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codeName="ThisWorkbook" defaultThemeVersion="124226"/>
  <mc:AlternateContent xmlns:mc="http://schemas.openxmlformats.org/markup-compatibility/2006">
    <mc:Choice Requires="x15">
      <x15ac:absPath xmlns:x15ac="http://schemas.microsoft.com/office/spreadsheetml/2010/11/ac" url="G:\Shared\accnt\MONTHLY DISTRIBUTIONS\CVET\CY 2026\"/>
    </mc:Choice>
  </mc:AlternateContent>
  <xr:revisionPtr revIDLastSave="0" documentId="13_ncr:1_{BBF59770-BF58-4861-AD48-9D1F797212D3}" xr6:coauthVersionLast="47" xr6:coauthVersionMax="47" xr10:uidLastSave="{00000000-0000-0000-0000-000000000000}"/>
  <bookViews>
    <workbookView xWindow="-28920" yWindow="-120" windowWidth="29040" windowHeight="17520" tabRatio="952" firstSheet="11" activeTab="11" xr2:uid="{00000000-000D-0000-FFFF-FFFF00000000}"/>
  </bookViews>
  <sheets>
    <sheet name="Workplan" sheetId="106" state="hidden" r:id="rId1"/>
    <sheet name="Query Layout" sheetId="104" state="hidden" r:id="rId2"/>
    <sheet name="Query Paste" sheetId="103" state="hidden" r:id="rId3"/>
    <sheet name="Query Paste PY" sheetId="109" state="hidden" r:id="rId4"/>
    <sheet name="Allocation Worksheet" sheetId="101" state="hidden" r:id="rId5"/>
    <sheet name="Step 1" sheetId="114" state="hidden" r:id="rId6"/>
    <sheet name="Support - Transition" sheetId="111" state="hidden" r:id="rId7"/>
    <sheet name="Support - Unit Adjustments" sheetId="115" state="hidden" r:id="rId8"/>
    <sheet name="Step 2" sheetId="113" state="hidden" r:id="rId9"/>
    <sheet name="Analytical Procedures" sheetId="108" state="hidden" r:id="rId10"/>
    <sheet name="Step 3 - Distributions" sheetId="110" state="hidden" r:id="rId11"/>
    <sheet name="1" sheetId="100" r:id="rId12"/>
    <sheet name="2" sheetId="99" r:id="rId13"/>
    <sheet name="3" sheetId="98" r:id="rId14"/>
    <sheet name="4" sheetId="97" r:id="rId15"/>
    <sheet name="5" sheetId="96" r:id="rId16"/>
    <sheet name="6" sheetId="95" r:id="rId17"/>
    <sheet name="7" sheetId="94" r:id="rId18"/>
    <sheet name="8" sheetId="93" r:id="rId19"/>
    <sheet name="9" sheetId="92" r:id="rId20"/>
    <sheet name="10" sheetId="91" r:id="rId21"/>
    <sheet name="11" sheetId="90" r:id="rId22"/>
    <sheet name="12" sheetId="89" r:id="rId23"/>
    <sheet name="13" sheetId="88" r:id="rId24"/>
    <sheet name="14" sheetId="87" r:id="rId25"/>
    <sheet name="15" sheetId="86" r:id="rId26"/>
    <sheet name="16" sheetId="85" r:id="rId27"/>
    <sheet name="17" sheetId="84" r:id="rId28"/>
    <sheet name="18" sheetId="83" r:id="rId29"/>
    <sheet name="19" sheetId="82" r:id="rId30"/>
    <sheet name="20" sheetId="81" r:id="rId31"/>
    <sheet name="21" sheetId="80" r:id="rId32"/>
    <sheet name="22" sheetId="79" r:id="rId33"/>
    <sheet name="23" sheetId="78" r:id="rId34"/>
    <sheet name="24" sheetId="77" r:id="rId35"/>
    <sheet name="25" sheetId="76" r:id="rId36"/>
    <sheet name="26" sheetId="75" r:id="rId37"/>
    <sheet name="27" sheetId="74" r:id="rId38"/>
    <sheet name="28" sheetId="73" r:id="rId39"/>
    <sheet name="29" sheetId="72" r:id="rId40"/>
    <sheet name="30" sheetId="71" r:id="rId41"/>
    <sheet name="31" sheetId="70" r:id="rId42"/>
    <sheet name="32" sheetId="69" r:id="rId43"/>
    <sheet name="33" sheetId="68" r:id="rId44"/>
    <sheet name="34" sheetId="67" r:id="rId45"/>
    <sheet name="35" sheetId="66" r:id="rId46"/>
    <sheet name="36" sheetId="65" r:id="rId47"/>
    <sheet name="37" sheetId="64" r:id="rId48"/>
    <sheet name="38" sheetId="63" r:id="rId49"/>
    <sheet name="39" sheetId="62" r:id="rId50"/>
    <sheet name="40" sheetId="61" r:id="rId51"/>
    <sheet name="41" sheetId="60" r:id="rId52"/>
    <sheet name="42" sheetId="59" r:id="rId53"/>
    <sheet name="43" sheetId="58" r:id="rId54"/>
    <sheet name="44" sheetId="57" r:id="rId55"/>
    <sheet name="45" sheetId="56" r:id="rId56"/>
    <sheet name="46" sheetId="55" r:id="rId57"/>
    <sheet name="47" sheetId="54" r:id="rId58"/>
    <sheet name="48" sheetId="53" r:id="rId59"/>
    <sheet name="49" sheetId="52" r:id="rId60"/>
    <sheet name="50" sheetId="51" r:id="rId61"/>
    <sheet name="51" sheetId="50" r:id="rId62"/>
    <sheet name="52" sheetId="49" r:id="rId63"/>
    <sheet name="53" sheetId="48" r:id="rId64"/>
    <sheet name="54" sheetId="47" r:id="rId65"/>
    <sheet name="55" sheetId="46" r:id="rId66"/>
    <sheet name="56" sheetId="45" r:id="rId67"/>
    <sheet name="57" sheetId="44" r:id="rId68"/>
    <sheet name="58" sheetId="43" r:id="rId69"/>
    <sheet name="59" sheetId="42" r:id="rId70"/>
    <sheet name="60" sheetId="32" r:id="rId71"/>
    <sheet name="61" sheetId="40" r:id="rId72"/>
    <sheet name="62" sheetId="39" r:id="rId73"/>
    <sheet name="63" sheetId="38" r:id="rId74"/>
    <sheet name="64" sheetId="37" r:id="rId75"/>
    <sheet name="65" sheetId="36" r:id="rId76"/>
    <sheet name="66" sheetId="35" r:id="rId77"/>
    <sheet name="67" sheetId="34" r:id="rId78"/>
    <sheet name="68" sheetId="33" r:id="rId79"/>
    <sheet name="69" sheetId="41" r:id="rId80"/>
    <sheet name="70" sheetId="31" r:id="rId81"/>
    <sheet name="71" sheetId="30" r:id="rId82"/>
    <sheet name="72" sheetId="29" r:id="rId83"/>
    <sheet name="73" sheetId="28" r:id="rId84"/>
    <sheet name="74" sheetId="27" r:id="rId85"/>
    <sheet name="75" sheetId="26" r:id="rId86"/>
    <sheet name="76" sheetId="25" r:id="rId87"/>
    <sheet name="77" sheetId="24" r:id="rId88"/>
    <sheet name="78" sheetId="23" r:id="rId89"/>
    <sheet name="79" sheetId="22" r:id="rId90"/>
    <sheet name="80" sheetId="21" r:id="rId91"/>
    <sheet name="81" sheetId="20" r:id="rId92"/>
    <sheet name="82" sheetId="19" r:id="rId93"/>
    <sheet name="83" sheetId="18" r:id="rId94"/>
    <sheet name="84" sheetId="17" r:id="rId95"/>
    <sheet name="85" sheetId="16" r:id="rId96"/>
    <sheet name="86" sheetId="15" r:id="rId97"/>
    <sheet name="87" sheetId="14" r:id="rId98"/>
    <sheet name="88" sheetId="13" r:id="rId99"/>
    <sheet name="89" sheetId="12" r:id="rId100"/>
    <sheet name="90" sheetId="11" r:id="rId101"/>
    <sheet name="91" sheetId="10" r:id="rId102"/>
    <sheet name="92" sheetId="9" r:id="rId103"/>
  </sheets>
  <definedNames>
    <definedName name="_xlnm._FilterDatabase" localSheetId="8" hidden="1">'Step 2'!$A$1:$AC$2678</definedName>
    <definedName name="_xlnm._FilterDatabase" localSheetId="6" hidden="1">'Support - Transition'!$B$1:$J$6692</definedName>
    <definedName name="_xlnm._FilterDatabase" localSheetId="7" hidden="1">'Support - Unit Adjustments'!$A$1:$H$1</definedName>
    <definedName name="_xlnm.Print_Area" localSheetId="20">'10'!$A$1:$F$76</definedName>
    <definedName name="_xlnm.Print_Area" localSheetId="21">'11'!$A$1:$F$71</definedName>
    <definedName name="_xlnm.Print_Area" localSheetId="22">'12'!$A$1:$F$83</definedName>
    <definedName name="_xlnm.Print_Area" localSheetId="23">'13'!$A$1:$F$71</definedName>
    <definedName name="_xlnm.Print_Area" localSheetId="24">'14'!$A$1:$F$71</definedName>
    <definedName name="_xlnm.Print_Area" localSheetId="25">'15'!$A$1:$F$77</definedName>
    <definedName name="_xlnm.Print_Area" localSheetId="26">'16'!$A$1:$F$71</definedName>
    <definedName name="_xlnm.Print_Area" localSheetId="27">'17'!$A$1:$F$88</definedName>
    <definedName name="_xlnm.Print_Area" localSheetId="28">'18'!$A$1:$F$90</definedName>
    <definedName name="_xlnm.Print_Area" localSheetId="29">'19'!$A$1:$F$76</definedName>
    <definedName name="_xlnm.Print_Area" localSheetId="12">'2'!$A$1:$F$104</definedName>
    <definedName name="_xlnm.Print_Area" localSheetId="30">'20'!$A$1:$F$103</definedName>
    <definedName name="_xlnm.Print_Area" localSheetId="31">'21'!$A$1:$F$71</definedName>
    <definedName name="_xlnm.Print_Area" localSheetId="32">'22'!$A$1:$F$39</definedName>
    <definedName name="_xlnm.Print_Area" localSheetId="33">'23'!$A$1:$F$71</definedName>
    <definedName name="_xlnm.Print_Area" localSheetId="34">'24'!$A$1:$F$74</definedName>
    <definedName name="_xlnm.Print_Area" localSheetId="35">'25'!$A$1:$F$71</definedName>
    <definedName name="_xlnm.Print_Area" localSheetId="36">'26'!$A$1:$F$71</definedName>
    <definedName name="_xlnm.Print_Area" localSheetId="37">'27'!$A$1:$F$93</definedName>
    <definedName name="_xlnm.Print_Area" localSheetId="38">'28'!$A$1:$F$90</definedName>
    <definedName name="_xlnm.Print_Area" localSheetId="39">'29'!$A$1:$F$77</definedName>
    <definedName name="_xlnm.Print_Area" localSheetId="13">'3'!$A$1:$F$73</definedName>
    <definedName name="_xlnm.Print_Area" localSheetId="40">'30'!$A$1:$F$71</definedName>
    <definedName name="_xlnm.Print_Area" localSheetId="41">'31'!$A$1:$F$81</definedName>
    <definedName name="_xlnm.Print_Area" localSheetId="42">'32'!$A$1:$F$92</definedName>
    <definedName name="_xlnm.Print_Area" localSheetId="43">'33'!$A$1:$F$101</definedName>
    <definedName name="_xlnm.Print_Area" localSheetId="44">'34'!$A$1:$F$72</definedName>
    <definedName name="_xlnm.Print_Area" localSheetId="45">'35'!$A$1:$F$71</definedName>
    <definedName name="_xlnm.Print_Area" localSheetId="46">'36'!$A$1:$F$73</definedName>
    <definedName name="_xlnm.Print_Area" localSheetId="47">'37'!$A$1:$F$75</definedName>
    <definedName name="_xlnm.Print_Area" localSheetId="48">'38'!$A$1:$F$71</definedName>
    <definedName name="_xlnm.Print_Area" localSheetId="49">'39'!$A$1:$F$71</definedName>
    <definedName name="_xlnm.Print_Area" localSheetId="14">'4'!$A$1:$F$71</definedName>
    <definedName name="_xlnm.Print_Area" localSheetId="50">'40'!$A$1:$F$71</definedName>
    <definedName name="_xlnm.Print_Area" localSheetId="51">'41'!$A$1:$F$83</definedName>
    <definedName name="_xlnm.Print_Area" localSheetId="52">'42'!$A$1:$F$71</definedName>
    <definedName name="_xlnm.Print_Area" localSheetId="53">'43'!$A$1:$F$109</definedName>
    <definedName name="_xlnm.Print_Area" localSheetId="54">'44'!$A$1:$F$71</definedName>
    <definedName name="_xlnm.Print_Area" localSheetId="55">'45'!$A$1:$F$154</definedName>
    <definedName name="_xlnm.Print_Area" localSheetId="56">'46'!$A$1:$F$132</definedName>
    <definedName name="_xlnm.Print_Area" localSheetId="57">'47'!$A$1:$F$71</definedName>
    <definedName name="_xlnm.Print_Area" localSheetId="58">'48'!$A$1:$F$100</definedName>
    <definedName name="_xlnm.Print_Area" localSheetId="59">'49'!$A$1:$F$109</definedName>
    <definedName name="_xlnm.Print_Area" localSheetId="15">'5'!$A$1:$F$42</definedName>
    <definedName name="_xlnm.Print_Area" localSheetId="60">'50'!$A$1:$F$83</definedName>
    <definedName name="_xlnm.Print_Area" localSheetId="61">'51'!$A$1:$F$71</definedName>
    <definedName name="_xlnm.Print_Area" localSheetId="62">'52'!$A$1:$F$80</definedName>
    <definedName name="_xlnm.Print_Area" localSheetId="63">'53'!$A$1:$F$71</definedName>
    <definedName name="_xlnm.Print_Area" localSheetId="64">'54'!$A$1:$F$74</definedName>
    <definedName name="_xlnm.Print_Area" localSheetId="65">'55'!$A$1:$F$86</definedName>
    <definedName name="_xlnm.Print_Area" localSheetId="66">'56'!$A$1:$F$71</definedName>
    <definedName name="_xlnm.Print_Area" localSheetId="67">'57'!$A$1:$F$83</definedName>
    <definedName name="_xlnm.Print_Area" localSheetId="68">'58'!$A$1:$F$71</definedName>
    <definedName name="_xlnm.Print_Area" localSheetId="69">'59'!$A$1:$F$71</definedName>
    <definedName name="_xlnm.Print_Area" localSheetId="16">'6'!$A$1:$F$76</definedName>
    <definedName name="_xlnm.Print_Area" localSheetId="70">'60'!$A$1:$F$71</definedName>
    <definedName name="_xlnm.Print_Area" localSheetId="71">'61'!$A$1:$F$77</definedName>
    <definedName name="_xlnm.Print_Area" localSheetId="72">'62'!$A$1:$F$71</definedName>
    <definedName name="_xlnm.Print_Area" localSheetId="73">'63'!$A$1:$F$71</definedName>
    <definedName name="_xlnm.Print_Area" localSheetId="74">'64'!$A$1:$F$97</definedName>
    <definedName name="_xlnm.Print_Area" localSheetId="75">'65'!$A$1:$F$71</definedName>
    <definedName name="_xlnm.Print_Area" localSheetId="76">'66'!$A$1:$F$73</definedName>
    <definedName name="_xlnm.Print_Area" localSheetId="77">'67'!$A$1:$F$79</definedName>
    <definedName name="_xlnm.Print_Area" localSheetId="78">'68'!$A$1:$F$82</definedName>
    <definedName name="_xlnm.Print_Area" localSheetId="79">'69'!$A$1:$F$77</definedName>
    <definedName name="_xlnm.Print_Area" localSheetId="17">'7'!$A$1:$F$35</definedName>
    <definedName name="_xlnm.Print_Area" localSheetId="80">'70'!$A$1:$F$71</definedName>
    <definedName name="_xlnm.Print_Area" localSheetId="81">'71'!$A$1:$F$93</definedName>
    <definedName name="_xlnm.Print_Area" localSheetId="82">'72'!$A$1:$F$71</definedName>
    <definedName name="_xlnm.Print_Area" localSheetId="83">'73'!$A$1:$F$81</definedName>
    <definedName name="_xlnm.Print_Area" localSheetId="84">'74'!$A$1:$F$71</definedName>
    <definedName name="_xlnm.Print_Area" localSheetId="85">'75'!$A$1:$F$71</definedName>
    <definedName name="_xlnm.Print_Area" localSheetId="86">'76'!$A$1:$F$79</definedName>
    <definedName name="_xlnm.Print_Area" localSheetId="88">'78'!$A$1:$F$71</definedName>
    <definedName name="_xlnm.Print_Area" localSheetId="89">'79'!$A$1:$F$80</definedName>
    <definedName name="_xlnm.Print_Area" localSheetId="18">'8'!$A$1:$F$80</definedName>
    <definedName name="_xlnm.Print_Area" localSheetId="90">'80'!$A$1:$F$71</definedName>
    <definedName name="_xlnm.Print_Area" localSheetId="91">'81'!$A$1:$F$71</definedName>
    <definedName name="_xlnm.Print_Area" localSheetId="92">'82'!$A$1:$F$71</definedName>
    <definedName name="_xlnm.Print_Area" localSheetId="93">'83'!$A$1:$F$71</definedName>
    <definedName name="_xlnm.Print_Area" localSheetId="94">'84'!$A$1:$F$71</definedName>
    <definedName name="_xlnm.Print_Area" localSheetId="95">'85'!$A$1:$F$71</definedName>
    <definedName name="_xlnm.Print_Area" localSheetId="96">'86'!$A$1:$F$71</definedName>
    <definedName name="_xlnm.Print_Area" localSheetId="97">'87'!$A$1:$F$71</definedName>
    <definedName name="_xlnm.Print_Area" localSheetId="98">'88'!$A$1:$F$76</definedName>
    <definedName name="_xlnm.Print_Area" localSheetId="99">'89'!$A$1:$F$100</definedName>
    <definedName name="_xlnm.Print_Area" localSheetId="19">'9'!$A$1:$F$80</definedName>
    <definedName name="_xlnm.Print_Area" localSheetId="100">'90'!$A$1:$F$71</definedName>
    <definedName name="_xlnm.Print_Area" localSheetId="101">'91'!$A$1:$F$81</definedName>
    <definedName name="_xlnm.Print_Area" localSheetId="102">'92'!$A$1:$F$71</definedName>
    <definedName name="_xlnm.Print_Area" localSheetId="10">'Step 3 - Distributions'!$C$4:$M$97</definedName>
    <definedName name="_xlnm.Print_Titles" localSheetId="12">'2'!$A:$A,'2'!$1:$3</definedName>
    <definedName name="_xlnm.Print_Titles" localSheetId="13">'3'!$A:$A,'3'!$1:$3</definedName>
    <definedName name="_xlnm.Print_Titles" localSheetId="55">'45'!$1:$3</definedName>
    <definedName name="_xlnm.Print_Titles" localSheetId="56">'46'!$1:$2</definedName>
    <definedName name="_xlnm.Print_Titles" localSheetId="59">'49'!$1:$2</definedName>
    <definedName name="_xlnm.Print_Titles" localSheetId="10">'Step 3 - Distributions'!$B:$B,'Step 3 - Distributions'!$3:$3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 i="101" l="1"/>
  <c r="G1" i="103"/>
  <c r="G21" i="113"/>
  <c r="H23" i="113"/>
  <c r="G27" i="113"/>
  <c r="G28" i="113"/>
  <c r="G48" i="113"/>
  <c r="G49" i="113"/>
  <c r="H49" i="113"/>
  <c r="H51" i="113"/>
  <c r="H70" i="113"/>
  <c r="H72" i="113"/>
  <c r="G76" i="113"/>
  <c r="G77" i="113"/>
  <c r="G84" i="113"/>
  <c r="G97" i="113"/>
  <c r="G98" i="113"/>
  <c r="H98" i="113"/>
  <c r="H100" i="113"/>
  <c r="H107" i="113"/>
  <c r="H119" i="113"/>
  <c r="H121" i="113"/>
  <c r="G125" i="113"/>
  <c r="G126" i="113"/>
  <c r="G133" i="113"/>
  <c r="G146" i="113"/>
  <c r="G147" i="113"/>
  <c r="H147" i="113"/>
  <c r="H149" i="113"/>
  <c r="H156" i="113"/>
  <c r="H168" i="113"/>
  <c r="H170" i="113"/>
  <c r="G174" i="113"/>
  <c r="G175" i="113"/>
  <c r="G182" i="113"/>
  <c r="G195" i="113"/>
  <c r="G196" i="113"/>
  <c r="H196" i="113"/>
  <c r="H198" i="113"/>
  <c r="H205" i="113"/>
  <c r="H217" i="113"/>
  <c r="H219" i="113"/>
  <c r="G223" i="113"/>
  <c r="G224" i="113"/>
  <c r="G231" i="113"/>
  <c r="G244" i="113"/>
  <c r="G245" i="113"/>
  <c r="H245" i="113"/>
  <c r="H247" i="113"/>
  <c r="H254" i="113"/>
  <c r="H266" i="113"/>
  <c r="H268" i="113"/>
  <c r="G272" i="113"/>
  <c r="G273" i="113"/>
  <c r="G280" i="113"/>
  <c r="G293" i="113"/>
  <c r="G294" i="113"/>
  <c r="H294" i="113"/>
  <c r="H296" i="113"/>
  <c r="H303" i="113"/>
  <c r="H315" i="113"/>
  <c r="H317" i="113"/>
  <c r="G321" i="113"/>
  <c r="G322" i="113"/>
  <c r="G329" i="113"/>
  <c r="G342" i="113"/>
  <c r="G343" i="113"/>
  <c r="H343" i="113"/>
  <c r="H345" i="113"/>
  <c r="H352" i="113"/>
  <c r="H364" i="113"/>
  <c r="H366" i="113"/>
  <c r="G370" i="113"/>
  <c r="G371" i="113"/>
  <c r="G378" i="113"/>
  <c r="G391" i="113"/>
  <c r="G392" i="113"/>
  <c r="H392" i="113"/>
  <c r="H394" i="113"/>
  <c r="H401" i="113"/>
  <c r="H413" i="113"/>
  <c r="H415" i="113"/>
  <c r="G419" i="113"/>
  <c r="G420" i="113"/>
  <c r="G427" i="113"/>
  <c r="G440" i="113"/>
  <c r="G441" i="113"/>
  <c r="H441" i="113"/>
  <c r="H443" i="113"/>
  <c r="H450" i="113"/>
  <c r="H462" i="113"/>
  <c r="H464" i="113"/>
  <c r="G468" i="113"/>
  <c r="G469" i="113"/>
  <c r="G476" i="113"/>
  <c r="G485" i="113"/>
  <c r="H485" i="113"/>
  <c r="H487" i="113"/>
  <c r="G489" i="113"/>
  <c r="H492" i="113"/>
  <c r="H501" i="113"/>
  <c r="G503" i="113"/>
  <c r="G504" i="113"/>
  <c r="H504" i="113"/>
  <c r="G510" i="113"/>
  <c r="G518" i="113"/>
  <c r="H518" i="113"/>
  <c r="G520" i="113"/>
  <c r="H520" i="113"/>
  <c r="H523" i="113"/>
  <c r="G529" i="113"/>
  <c r="H529" i="113"/>
  <c r="H530" i="113"/>
  <c r="G531" i="113"/>
  <c r="H534" i="113"/>
  <c r="H539" i="113"/>
  <c r="H540" i="113"/>
  <c r="G541" i="113"/>
  <c r="H541" i="113"/>
  <c r="G544" i="113"/>
  <c r="H548" i="113"/>
  <c r="G549" i="113"/>
  <c r="H549" i="113"/>
  <c r="G550" i="113"/>
  <c r="G552" i="113"/>
  <c r="H556" i="113"/>
  <c r="G557" i="113"/>
  <c r="H557" i="113"/>
  <c r="G558" i="113"/>
  <c r="H560" i="113"/>
  <c r="H564" i="113"/>
  <c r="G565" i="113"/>
  <c r="H565" i="113"/>
  <c r="G566" i="113"/>
  <c r="G569" i="113"/>
  <c r="H572" i="113"/>
  <c r="G573" i="113"/>
  <c r="G574" i="113"/>
  <c r="H574" i="113"/>
  <c r="G577" i="113"/>
  <c r="G581" i="113"/>
  <c r="H581" i="113"/>
  <c r="H582" i="113"/>
  <c r="G583" i="113"/>
  <c r="G585" i="113"/>
  <c r="H589" i="113"/>
  <c r="G590" i="113"/>
  <c r="H590" i="113"/>
  <c r="G591" i="113"/>
  <c r="G593" i="113"/>
  <c r="H597" i="113"/>
  <c r="G598" i="113"/>
  <c r="H598" i="113"/>
  <c r="G599" i="113"/>
  <c r="G601" i="113"/>
  <c r="H604" i="113"/>
  <c r="G605" i="113"/>
  <c r="H605" i="113"/>
  <c r="G606" i="113"/>
  <c r="G608" i="113"/>
  <c r="H611" i="113"/>
  <c r="G612" i="113"/>
  <c r="H612" i="113"/>
  <c r="G613" i="113"/>
  <c r="G615" i="113"/>
  <c r="H618" i="113"/>
  <c r="G619" i="113"/>
  <c r="H619" i="113"/>
  <c r="G620" i="113"/>
  <c r="G622" i="113"/>
  <c r="H625" i="113"/>
  <c r="G626" i="113"/>
  <c r="H626" i="113"/>
  <c r="G627" i="113"/>
  <c r="G629" i="113"/>
  <c r="H632" i="113"/>
  <c r="G633" i="113"/>
  <c r="H633" i="113"/>
  <c r="G634" i="113"/>
  <c r="G636" i="113"/>
  <c r="H639" i="113"/>
  <c r="G640" i="113"/>
  <c r="H640" i="113"/>
  <c r="G641" i="113"/>
  <c r="G643" i="113"/>
  <c r="H646" i="113"/>
  <c r="G647" i="113"/>
  <c r="H647" i="113"/>
  <c r="G648" i="113"/>
  <c r="G650" i="113"/>
  <c r="H653" i="113"/>
  <c r="G654" i="113"/>
  <c r="H654" i="113"/>
  <c r="G655" i="113"/>
  <c r="G657" i="113"/>
  <c r="H660" i="113"/>
  <c r="G661" i="113"/>
  <c r="H661" i="113"/>
  <c r="G662" i="113"/>
  <c r="G664" i="113"/>
  <c r="H667" i="113"/>
  <c r="G668" i="113"/>
  <c r="H668" i="113"/>
  <c r="G669" i="113"/>
  <c r="G671" i="113"/>
  <c r="H674" i="113"/>
  <c r="G675" i="113"/>
  <c r="H675" i="113"/>
  <c r="G676" i="113"/>
  <c r="G678" i="113"/>
  <c r="H681" i="113"/>
  <c r="G682" i="113"/>
  <c r="H682" i="113"/>
  <c r="G683" i="113"/>
  <c r="G685" i="113"/>
  <c r="H688" i="113"/>
  <c r="G689" i="113"/>
  <c r="H689" i="113"/>
  <c r="G690" i="113"/>
  <c r="G692" i="113"/>
  <c r="H695" i="113"/>
  <c r="G696" i="113"/>
  <c r="H696" i="113"/>
  <c r="G697" i="113"/>
  <c r="G699" i="113"/>
  <c r="H702" i="113"/>
  <c r="G703" i="113"/>
  <c r="H703" i="113"/>
  <c r="G704" i="113"/>
  <c r="G706" i="113"/>
  <c r="H709" i="113"/>
  <c r="G710" i="113"/>
  <c r="H710" i="113"/>
  <c r="G711" i="113"/>
  <c r="G713" i="113"/>
  <c r="H716" i="113"/>
  <c r="G717" i="113"/>
  <c r="H717" i="113"/>
  <c r="G718" i="113"/>
  <c r="G720" i="113"/>
  <c r="H723" i="113"/>
  <c r="G724" i="113"/>
  <c r="H724" i="113"/>
  <c r="G725" i="113"/>
  <c r="G727" i="113"/>
  <c r="H730" i="113"/>
  <c r="G731" i="113"/>
  <c r="H731" i="113"/>
  <c r="G732" i="113"/>
  <c r="G734" i="113"/>
  <c r="G737" i="113"/>
  <c r="H737" i="113"/>
  <c r="G738" i="113"/>
  <c r="H738" i="113"/>
  <c r="G739" i="113"/>
  <c r="G741" i="113"/>
  <c r="G744" i="113"/>
  <c r="H744" i="113"/>
  <c r="G745" i="113"/>
  <c r="H745" i="113"/>
  <c r="G746" i="113"/>
  <c r="G748" i="113"/>
  <c r="G751" i="113"/>
  <c r="H751" i="113"/>
  <c r="G752" i="113"/>
  <c r="H752" i="113"/>
  <c r="G753" i="113"/>
  <c r="G755" i="113"/>
  <c r="G758" i="113"/>
  <c r="H758" i="113"/>
  <c r="G759" i="113"/>
  <c r="H759" i="113"/>
  <c r="G760" i="113"/>
  <c r="G762" i="113"/>
  <c r="G765" i="113"/>
  <c r="H765" i="113"/>
  <c r="G766" i="113"/>
  <c r="H766" i="113"/>
  <c r="G767" i="113"/>
  <c r="G769" i="113"/>
  <c r="G772" i="113"/>
  <c r="H772" i="113"/>
  <c r="G773" i="113"/>
  <c r="H773" i="113"/>
  <c r="G774" i="113"/>
  <c r="G776" i="113"/>
  <c r="G779" i="113"/>
  <c r="H779" i="113"/>
  <c r="G780" i="113"/>
  <c r="H780" i="113"/>
  <c r="G781" i="113"/>
  <c r="G783" i="113"/>
  <c r="G786" i="113"/>
  <c r="H786" i="113"/>
  <c r="G787" i="113"/>
  <c r="H787" i="113"/>
  <c r="G788" i="113"/>
  <c r="G790" i="113"/>
  <c r="G793" i="113"/>
  <c r="H793" i="113"/>
  <c r="G794" i="113"/>
  <c r="H794" i="113"/>
  <c r="G795" i="113"/>
  <c r="G797" i="113"/>
  <c r="H797" i="113"/>
  <c r="G800" i="113"/>
  <c r="H800" i="113"/>
  <c r="G801" i="113"/>
  <c r="H801" i="113"/>
  <c r="G802" i="113"/>
  <c r="G804" i="113"/>
  <c r="H804" i="113"/>
  <c r="G807" i="113"/>
  <c r="H807" i="113"/>
  <c r="G808" i="113"/>
  <c r="H808" i="113"/>
  <c r="G809" i="113"/>
  <c r="G811" i="113"/>
  <c r="H811" i="113"/>
  <c r="G814" i="113"/>
  <c r="H814" i="113"/>
  <c r="G815" i="113"/>
  <c r="H815" i="113"/>
  <c r="G816" i="113"/>
  <c r="H817" i="113"/>
  <c r="G818" i="113"/>
  <c r="H818" i="113"/>
  <c r="G821" i="113"/>
  <c r="H821" i="113"/>
  <c r="G822" i="113"/>
  <c r="H822" i="113"/>
  <c r="G823" i="113"/>
  <c r="H824" i="113"/>
  <c r="G825" i="113"/>
  <c r="H825" i="113"/>
  <c r="G828" i="113"/>
  <c r="H828" i="113"/>
  <c r="G829" i="113"/>
  <c r="H829" i="113"/>
  <c r="G830" i="113"/>
  <c r="H831" i="113"/>
  <c r="G832" i="113"/>
  <c r="H832" i="113"/>
  <c r="G835" i="113"/>
  <c r="H835" i="113"/>
  <c r="G836" i="113"/>
  <c r="H836" i="113"/>
  <c r="G837" i="113"/>
  <c r="H838" i="113"/>
  <c r="G839" i="113"/>
  <c r="H839" i="113"/>
  <c r="G841" i="113"/>
  <c r="G842" i="113"/>
  <c r="H842" i="113"/>
  <c r="G843" i="113"/>
  <c r="H843" i="113"/>
  <c r="G844" i="113"/>
  <c r="H845" i="113"/>
  <c r="G846" i="113"/>
  <c r="H846" i="113"/>
  <c r="G848" i="113"/>
  <c r="G849" i="113"/>
  <c r="H849" i="113"/>
  <c r="G850" i="113"/>
  <c r="H850" i="113"/>
  <c r="G851" i="113"/>
  <c r="H852" i="113"/>
  <c r="G853" i="113"/>
  <c r="H853" i="113"/>
  <c r="G855" i="113"/>
  <c r="G856" i="113"/>
  <c r="H856" i="113"/>
  <c r="G857" i="113"/>
  <c r="H857" i="113"/>
  <c r="G858" i="113"/>
  <c r="H859" i="113"/>
  <c r="G860" i="113"/>
  <c r="H860" i="113"/>
  <c r="G862" i="113"/>
  <c r="G863" i="113"/>
  <c r="H863" i="113"/>
  <c r="G864" i="113"/>
  <c r="H864" i="113"/>
  <c r="G865" i="113"/>
  <c r="H866" i="113"/>
  <c r="G867" i="113"/>
  <c r="H867" i="113"/>
  <c r="G869" i="113"/>
  <c r="G870" i="113"/>
  <c r="H870" i="113"/>
  <c r="G871" i="113"/>
  <c r="H871" i="113"/>
  <c r="G872" i="113"/>
  <c r="H872" i="113"/>
  <c r="H873" i="113"/>
  <c r="G874" i="113"/>
  <c r="H874" i="113"/>
  <c r="G876" i="113"/>
  <c r="G877" i="113"/>
  <c r="H877" i="113"/>
  <c r="G878" i="113"/>
  <c r="H878" i="113"/>
  <c r="G879" i="113"/>
  <c r="H879" i="113"/>
  <c r="H880" i="113"/>
  <c r="G881" i="113"/>
  <c r="H881" i="113"/>
  <c r="G883" i="113"/>
  <c r="G884" i="113"/>
  <c r="H884" i="113"/>
  <c r="G885" i="113"/>
  <c r="H885" i="113"/>
  <c r="G886" i="113"/>
  <c r="H886" i="113"/>
  <c r="H887" i="113"/>
  <c r="G888" i="113"/>
  <c r="H888" i="113"/>
  <c r="G889" i="113"/>
  <c r="G890" i="113"/>
  <c r="G891" i="113"/>
  <c r="H891" i="113"/>
  <c r="G892" i="113"/>
  <c r="H892" i="113"/>
  <c r="G893" i="113"/>
  <c r="H893" i="113"/>
  <c r="H894" i="113"/>
  <c r="G895" i="113"/>
  <c r="H895" i="113"/>
  <c r="G896" i="113"/>
  <c r="G897" i="113"/>
  <c r="G898" i="113"/>
  <c r="H898" i="113"/>
  <c r="G899" i="113"/>
  <c r="H899" i="113"/>
  <c r="G900" i="113"/>
  <c r="H900" i="113"/>
  <c r="G901" i="113"/>
  <c r="H901" i="113"/>
  <c r="G902" i="113"/>
  <c r="H902" i="113"/>
  <c r="G903" i="113"/>
  <c r="G904" i="113"/>
  <c r="G905" i="113"/>
  <c r="H905" i="113"/>
  <c r="G906" i="113"/>
  <c r="H906" i="113"/>
  <c r="G907" i="113"/>
  <c r="H907" i="113"/>
  <c r="G908" i="113"/>
  <c r="H908" i="113"/>
  <c r="G909" i="113"/>
  <c r="H909" i="113"/>
  <c r="G910" i="113"/>
  <c r="H910" i="113"/>
  <c r="G911" i="113"/>
  <c r="G912" i="113"/>
  <c r="H912" i="113"/>
  <c r="G913" i="113"/>
  <c r="H913" i="113"/>
  <c r="G914" i="113"/>
  <c r="H914" i="113"/>
  <c r="G915" i="113"/>
  <c r="H915" i="113"/>
  <c r="G916" i="113"/>
  <c r="H916" i="113"/>
  <c r="G917" i="113"/>
  <c r="H917" i="113"/>
  <c r="G918" i="113"/>
  <c r="G919" i="113"/>
  <c r="H919" i="113"/>
  <c r="G920" i="113"/>
  <c r="H920" i="113"/>
  <c r="G921" i="113"/>
  <c r="H921" i="113"/>
  <c r="G922" i="113"/>
  <c r="H922" i="113"/>
  <c r="G923" i="113"/>
  <c r="H923" i="113"/>
  <c r="G924" i="113"/>
  <c r="H924" i="113"/>
  <c r="G925" i="113"/>
  <c r="G926" i="113"/>
  <c r="H926" i="113"/>
  <c r="G927" i="113"/>
  <c r="H927" i="113"/>
  <c r="G928" i="113"/>
  <c r="H928" i="113"/>
  <c r="G929" i="113"/>
  <c r="H929" i="113"/>
  <c r="G930" i="113"/>
  <c r="H930" i="113"/>
  <c r="G931" i="113"/>
  <c r="H931" i="113"/>
  <c r="G932" i="113"/>
  <c r="G933" i="113"/>
  <c r="H933" i="113"/>
  <c r="G934" i="113"/>
  <c r="H934" i="113"/>
  <c r="G935" i="113"/>
  <c r="H935" i="113"/>
  <c r="G936" i="113"/>
  <c r="H936" i="113"/>
  <c r="G937" i="113"/>
  <c r="H937" i="113"/>
  <c r="G938" i="113"/>
  <c r="H938" i="113"/>
  <c r="G939" i="113"/>
  <c r="G940" i="113"/>
  <c r="H940" i="113"/>
  <c r="G941" i="113"/>
  <c r="H941" i="113"/>
  <c r="G942" i="113"/>
  <c r="H942" i="113"/>
  <c r="G943" i="113"/>
  <c r="H943" i="113"/>
  <c r="G944" i="113"/>
  <c r="H944" i="113"/>
  <c r="G945" i="113"/>
  <c r="H945" i="113"/>
  <c r="G946" i="113"/>
  <c r="G947" i="113"/>
  <c r="H947" i="113"/>
  <c r="G948" i="113"/>
  <c r="H948" i="113"/>
  <c r="G949" i="113"/>
  <c r="H949" i="113"/>
  <c r="G950" i="113"/>
  <c r="H950" i="113"/>
  <c r="G951" i="113"/>
  <c r="H951" i="113"/>
  <c r="G952" i="113"/>
  <c r="H952" i="113"/>
  <c r="G953" i="113"/>
  <c r="G954" i="113"/>
  <c r="H954" i="113"/>
  <c r="G955" i="113"/>
  <c r="H955" i="113"/>
  <c r="G956" i="113"/>
  <c r="H956" i="113"/>
  <c r="G957" i="113"/>
  <c r="H957" i="113"/>
  <c r="G958" i="113"/>
  <c r="H958" i="113"/>
  <c r="G959" i="113"/>
  <c r="H959" i="113"/>
  <c r="G960" i="113"/>
  <c r="G961" i="113"/>
  <c r="H961" i="113"/>
  <c r="G962" i="113"/>
  <c r="H962" i="113"/>
  <c r="G963" i="113"/>
  <c r="H963" i="113"/>
  <c r="G964" i="113"/>
  <c r="H964" i="113"/>
  <c r="G965" i="113"/>
  <c r="H965" i="113"/>
  <c r="G966" i="113"/>
  <c r="H966" i="113"/>
  <c r="G967" i="113"/>
  <c r="G968" i="113"/>
  <c r="H968" i="113"/>
  <c r="G969" i="113"/>
  <c r="H969" i="113"/>
  <c r="G970" i="113"/>
  <c r="H970" i="113"/>
  <c r="G971" i="113"/>
  <c r="H971" i="113"/>
  <c r="G972" i="113"/>
  <c r="H972" i="113"/>
  <c r="G973" i="113"/>
  <c r="H973" i="113"/>
  <c r="G974" i="113"/>
  <c r="G975" i="113"/>
  <c r="H975" i="113"/>
  <c r="G976" i="113"/>
  <c r="H976" i="113"/>
  <c r="G977" i="113"/>
  <c r="H977" i="113"/>
  <c r="G978" i="113"/>
  <c r="H978" i="113"/>
  <c r="G979" i="113"/>
  <c r="H979" i="113"/>
  <c r="G980" i="113"/>
  <c r="H980" i="113"/>
  <c r="G981" i="113"/>
  <c r="H981" i="113"/>
  <c r="G982" i="113"/>
  <c r="H982" i="113"/>
  <c r="G983" i="113"/>
  <c r="H983" i="113"/>
  <c r="G984" i="113"/>
  <c r="H984" i="113"/>
  <c r="G985" i="113"/>
  <c r="H985" i="113"/>
  <c r="G986" i="113"/>
  <c r="H986" i="113"/>
  <c r="G987" i="113"/>
  <c r="H987" i="113"/>
  <c r="G988" i="113"/>
  <c r="H988" i="113"/>
  <c r="G989" i="113"/>
  <c r="H989" i="113"/>
  <c r="G990" i="113"/>
  <c r="H990" i="113"/>
  <c r="G991" i="113"/>
  <c r="H991" i="113"/>
  <c r="G992" i="113"/>
  <c r="H992" i="113"/>
  <c r="G993" i="113"/>
  <c r="H993" i="113"/>
  <c r="G994" i="113"/>
  <c r="H994" i="113"/>
  <c r="G995" i="113"/>
  <c r="H995" i="113"/>
  <c r="G996" i="113"/>
  <c r="H996" i="113"/>
  <c r="G997" i="113"/>
  <c r="H997" i="113"/>
  <c r="G998" i="113"/>
  <c r="H998" i="113"/>
  <c r="G999" i="113"/>
  <c r="H999" i="113"/>
  <c r="G1000" i="113"/>
  <c r="H1000" i="113"/>
  <c r="G1001" i="113"/>
  <c r="H1001" i="113"/>
  <c r="G1002" i="113"/>
  <c r="H1002" i="113"/>
  <c r="G1003" i="113"/>
  <c r="H1003" i="113"/>
  <c r="G1004" i="113"/>
  <c r="H1004" i="113"/>
  <c r="G1005" i="113"/>
  <c r="H1005" i="113"/>
  <c r="G1006" i="113"/>
  <c r="H1006" i="113"/>
  <c r="G1007" i="113"/>
  <c r="H1007" i="113"/>
  <c r="G1008" i="113"/>
  <c r="H1008" i="113"/>
  <c r="G1009" i="113"/>
  <c r="H1009" i="113"/>
  <c r="G1010" i="113"/>
  <c r="H1010" i="113"/>
  <c r="G1011" i="113"/>
  <c r="H1011" i="113"/>
  <c r="G1012" i="113"/>
  <c r="H1012" i="113"/>
  <c r="G1013" i="113"/>
  <c r="H1013" i="113"/>
  <c r="G1014" i="113"/>
  <c r="H1014" i="113"/>
  <c r="G1015" i="113"/>
  <c r="H1015" i="113"/>
  <c r="G1016" i="113"/>
  <c r="H1016" i="113"/>
  <c r="G1017" i="113"/>
  <c r="H1017" i="113"/>
  <c r="G1018" i="113"/>
  <c r="H1018" i="113"/>
  <c r="G1019" i="113"/>
  <c r="H1019" i="113"/>
  <c r="G1020" i="113"/>
  <c r="H1020" i="113"/>
  <c r="G1021" i="113"/>
  <c r="H1021" i="113"/>
  <c r="G1022" i="113"/>
  <c r="H1022" i="113"/>
  <c r="G1023" i="113"/>
  <c r="H1023" i="113"/>
  <c r="G1024" i="113"/>
  <c r="H1024" i="113"/>
  <c r="G1025" i="113"/>
  <c r="H1025" i="113"/>
  <c r="G1026" i="113"/>
  <c r="H1026" i="113"/>
  <c r="G1027" i="113"/>
  <c r="H1027" i="113"/>
  <c r="G1028" i="113"/>
  <c r="H1028" i="113"/>
  <c r="G1029" i="113"/>
  <c r="H1029" i="113"/>
  <c r="G1030" i="113"/>
  <c r="H1030" i="113"/>
  <c r="G1031" i="113"/>
  <c r="H1031" i="113"/>
  <c r="G1032" i="113"/>
  <c r="H1032" i="113"/>
  <c r="G1033" i="113"/>
  <c r="H1033" i="113"/>
  <c r="G1034" i="113"/>
  <c r="H1034" i="113"/>
  <c r="G1035" i="113"/>
  <c r="H1035" i="113"/>
  <c r="G1036" i="113"/>
  <c r="H1036" i="113"/>
  <c r="G1037" i="113"/>
  <c r="H1037" i="113"/>
  <c r="G1038" i="113"/>
  <c r="H1038" i="113"/>
  <c r="G1039" i="113"/>
  <c r="H1039" i="113"/>
  <c r="G1040" i="113"/>
  <c r="H1040" i="113"/>
  <c r="G1041" i="113"/>
  <c r="H1041" i="113"/>
  <c r="G1042" i="113"/>
  <c r="H1042" i="113"/>
  <c r="G1043" i="113"/>
  <c r="H1043" i="113"/>
  <c r="G1044" i="113"/>
  <c r="H1044" i="113"/>
  <c r="G1045" i="113"/>
  <c r="H1045" i="113"/>
  <c r="G1046" i="113"/>
  <c r="H1046" i="113"/>
  <c r="G1047" i="113"/>
  <c r="H1047" i="113"/>
  <c r="G1048" i="113"/>
  <c r="H1048" i="113"/>
  <c r="G1049" i="113"/>
  <c r="H1049" i="113"/>
  <c r="G1050" i="113"/>
  <c r="H1050" i="113"/>
  <c r="G1051" i="113"/>
  <c r="H1051" i="113"/>
  <c r="G1052" i="113"/>
  <c r="H1052" i="113"/>
  <c r="G1053" i="113"/>
  <c r="H1053" i="113"/>
  <c r="G1054" i="113"/>
  <c r="H1054" i="113"/>
  <c r="G1055" i="113"/>
  <c r="H1055" i="113"/>
  <c r="G1056" i="113"/>
  <c r="H1056" i="113"/>
  <c r="G1057" i="113"/>
  <c r="H1057" i="113"/>
  <c r="G1058" i="113"/>
  <c r="H1058" i="113"/>
  <c r="G1059" i="113"/>
  <c r="H1059" i="113"/>
  <c r="G1060" i="113"/>
  <c r="H1060" i="113"/>
  <c r="G1061" i="113"/>
  <c r="H1061" i="113"/>
  <c r="G1062" i="113"/>
  <c r="H1062" i="113"/>
  <c r="G1063" i="113"/>
  <c r="H1063" i="113"/>
  <c r="G1064" i="113"/>
  <c r="H1064" i="113"/>
  <c r="G1065" i="113"/>
  <c r="H1065" i="113"/>
  <c r="G1066" i="113"/>
  <c r="H1066" i="113"/>
  <c r="G1067" i="113"/>
  <c r="H1067" i="113"/>
  <c r="G1068" i="113"/>
  <c r="H1068" i="113"/>
  <c r="G1069" i="113"/>
  <c r="H1069" i="113"/>
  <c r="G1070" i="113"/>
  <c r="H1070" i="113"/>
  <c r="G1071" i="113"/>
  <c r="H1071" i="113"/>
  <c r="G1072" i="113"/>
  <c r="H1072" i="113"/>
  <c r="G1073" i="113"/>
  <c r="H1073" i="113"/>
  <c r="G1074" i="113"/>
  <c r="H1074" i="113"/>
  <c r="G1075" i="113"/>
  <c r="H1075" i="113"/>
  <c r="G1076" i="113"/>
  <c r="H1076" i="113"/>
  <c r="G1077" i="113"/>
  <c r="H1077" i="113"/>
  <c r="G1078" i="113"/>
  <c r="H1078" i="113"/>
  <c r="G1079" i="113"/>
  <c r="H1079" i="113"/>
  <c r="G1080" i="113"/>
  <c r="H1080" i="113"/>
  <c r="G1081" i="113"/>
  <c r="H1081" i="113"/>
  <c r="G1082" i="113"/>
  <c r="H1082" i="113"/>
  <c r="G1083" i="113"/>
  <c r="H1083" i="113"/>
  <c r="G1084" i="113"/>
  <c r="H1084" i="113"/>
  <c r="G1085" i="113"/>
  <c r="H1085" i="113"/>
  <c r="G1086" i="113"/>
  <c r="H1086" i="113"/>
  <c r="G1087" i="113"/>
  <c r="H1087" i="113"/>
  <c r="G1088" i="113"/>
  <c r="H1088" i="113"/>
  <c r="G1089" i="113"/>
  <c r="H1089" i="113"/>
  <c r="G1090" i="113"/>
  <c r="H1090" i="113"/>
  <c r="G1091" i="113"/>
  <c r="H1091" i="113"/>
  <c r="G1092" i="113"/>
  <c r="H1092" i="113"/>
  <c r="G1093" i="113"/>
  <c r="H1093" i="113"/>
  <c r="G1094" i="113"/>
  <c r="H1094" i="113"/>
  <c r="G1095" i="113"/>
  <c r="H1095" i="113"/>
  <c r="G1096" i="113"/>
  <c r="H1096" i="113"/>
  <c r="G1097" i="113"/>
  <c r="H1097" i="113"/>
  <c r="G1098" i="113"/>
  <c r="H1098" i="113"/>
  <c r="G1099" i="113"/>
  <c r="H1099" i="113"/>
  <c r="G1100" i="113"/>
  <c r="H1100" i="113"/>
  <c r="G1101" i="113"/>
  <c r="H1101" i="113"/>
  <c r="G1102" i="113"/>
  <c r="H1102" i="113"/>
  <c r="G1103" i="113"/>
  <c r="H1103" i="113"/>
  <c r="G1104" i="113"/>
  <c r="H1104" i="113"/>
  <c r="G1105" i="113"/>
  <c r="H1105" i="113"/>
  <c r="G1106" i="113"/>
  <c r="H1106" i="113"/>
  <c r="G1107" i="113"/>
  <c r="H1107" i="113"/>
  <c r="G1108" i="113"/>
  <c r="H1108" i="113"/>
  <c r="G1109" i="113"/>
  <c r="H1109" i="113"/>
  <c r="G1110" i="113"/>
  <c r="H1110" i="113"/>
  <c r="G1111" i="113"/>
  <c r="H1111" i="113"/>
  <c r="G1112" i="113"/>
  <c r="H1112" i="113"/>
  <c r="G1113" i="113"/>
  <c r="H1113" i="113"/>
  <c r="G1114" i="113"/>
  <c r="H1114" i="113"/>
  <c r="G1115" i="113"/>
  <c r="H1115" i="113"/>
  <c r="G1116" i="113"/>
  <c r="H1116" i="113"/>
  <c r="G1117" i="113"/>
  <c r="H1117" i="113"/>
  <c r="G1118" i="113"/>
  <c r="H1118" i="113"/>
  <c r="G1119" i="113"/>
  <c r="H1119" i="113"/>
  <c r="G1120" i="113"/>
  <c r="H1120" i="113"/>
  <c r="G1121" i="113"/>
  <c r="H1121" i="113"/>
  <c r="G1122" i="113"/>
  <c r="H1122" i="113"/>
  <c r="G1123" i="113"/>
  <c r="H1123" i="113"/>
  <c r="G1124" i="113"/>
  <c r="H1124" i="113"/>
  <c r="G1125" i="113"/>
  <c r="H1125" i="113"/>
  <c r="G1126" i="113"/>
  <c r="H1126" i="113"/>
  <c r="G1127" i="113"/>
  <c r="H1127" i="113"/>
  <c r="G1128" i="113"/>
  <c r="H1128" i="113"/>
  <c r="G1129" i="113"/>
  <c r="H1129" i="113"/>
  <c r="G1130" i="113"/>
  <c r="H1130" i="113"/>
  <c r="G1131" i="113"/>
  <c r="H1131" i="113"/>
  <c r="G1132" i="113"/>
  <c r="H1132" i="113"/>
  <c r="G1133" i="113"/>
  <c r="H1133" i="113"/>
  <c r="G1134" i="113"/>
  <c r="H1134" i="113"/>
  <c r="G1135" i="113"/>
  <c r="H1135" i="113"/>
  <c r="G1136" i="113"/>
  <c r="H1136" i="113"/>
  <c r="G1137" i="113"/>
  <c r="H1137" i="113"/>
  <c r="G1138" i="113"/>
  <c r="H1138" i="113"/>
  <c r="G1139" i="113"/>
  <c r="H1139" i="113"/>
  <c r="G1140" i="113"/>
  <c r="H1140" i="113"/>
  <c r="G1141" i="113"/>
  <c r="H1141" i="113"/>
  <c r="G1142" i="113"/>
  <c r="H1142" i="113"/>
  <c r="G1143" i="113"/>
  <c r="H1143" i="113"/>
  <c r="G1144" i="113"/>
  <c r="H1144" i="113"/>
  <c r="G1145" i="113"/>
  <c r="H1145" i="113"/>
  <c r="G1146" i="113"/>
  <c r="H1146" i="113"/>
  <c r="G1147" i="113"/>
  <c r="H1147" i="113"/>
  <c r="G1148" i="113"/>
  <c r="H1148" i="113"/>
  <c r="G1149" i="113"/>
  <c r="H1149" i="113"/>
  <c r="G1150" i="113"/>
  <c r="H1150" i="113"/>
  <c r="G1151" i="113"/>
  <c r="H1151" i="113"/>
  <c r="G1152" i="113"/>
  <c r="H1152" i="113"/>
  <c r="G1153" i="113"/>
  <c r="H1153" i="113"/>
  <c r="G1154" i="113"/>
  <c r="H1154" i="113"/>
  <c r="G1155" i="113"/>
  <c r="H1155" i="113"/>
  <c r="G1156" i="113"/>
  <c r="H1156" i="113"/>
  <c r="G1157" i="113"/>
  <c r="H1157" i="113"/>
  <c r="G1158" i="113"/>
  <c r="H1158" i="113"/>
  <c r="G1159" i="113"/>
  <c r="H1159" i="113"/>
  <c r="G1160" i="113"/>
  <c r="H1160" i="113"/>
  <c r="G1161" i="113"/>
  <c r="H1161" i="113"/>
  <c r="G1162" i="113"/>
  <c r="H1162" i="113"/>
  <c r="G1163" i="113"/>
  <c r="H1163" i="113"/>
  <c r="G1164" i="113"/>
  <c r="H1164" i="113"/>
  <c r="G1165" i="113"/>
  <c r="H1165" i="113"/>
  <c r="G1166" i="113"/>
  <c r="H1166" i="113"/>
  <c r="G1167" i="113"/>
  <c r="H1167" i="113"/>
  <c r="G1168" i="113"/>
  <c r="H1168" i="113"/>
  <c r="G1169" i="113"/>
  <c r="H1169" i="113"/>
  <c r="G1170" i="113"/>
  <c r="H1170" i="113"/>
  <c r="G1171" i="113"/>
  <c r="H1171" i="113"/>
  <c r="G1172" i="113"/>
  <c r="H1172" i="113"/>
  <c r="G1173" i="113"/>
  <c r="H1173" i="113"/>
  <c r="G1174" i="113"/>
  <c r="H1174" i="113"/>
  <c r="G1175" i="113"/>
  <c r="H1175" i="113"/>
  <c r="G1176" i="113"/>
  <c r="H1176" i="113"/>
  <c r="G1177" i="113"/>
  <c r="H1177" i="113"/>
  <c r="G1178" i="113"/>
  <c r="H1178" i="113"/>
  <c r="G1179" i="113"/>
  <c r="H1179" i="113"/>
  <c r="G1180" i="113"/>
  <c r="H1180" i="113"/>
  <c r="G1181" i="113"/>
  <c r="H1181" i="113"/>
  <c r="G1182" i="113"/>
  <c r="H1182" i="113"/>
  <c r="G1183" i="113"/>
  <c r="H1183" i="113"/>
  <c r="G1184" i="113"/>
  <c r="H1184" i="113"/>
  <c r="G1185" i="113"/>
  <c r="H1185" i="113"/>
  <c r="G1186" i="113"/>
  <c r="H1186" i="113"/>
  <c r="G1187" i="113"/>
  <c r="H1187" i="113"/>
  <c r="G1188" i="113"/>
  <c r="H1188" i="113"/>
  <c r="G1189" i="113"/>
  <c r="H1189" i="113"/>
  <c r="G1190" i="113"/>
  <c r="H1190" i="113"/>
  <c r="G1191" i="113"/>
  <c r="H1191" i="113"/>
  <c r="G1192" i="113"/>
  <c r="H1192" i="113"/>
  <c r="G1193" i="113"/>
  <c r="H1193" i="113"/>
  <c r="G1194" i="113"/>
  <c r="H1194" i="113"/>
  <c r="G1195" i="113"/>
  <c r="H1195" i="113"/>
  <c r="G1196" i="113"/>
  <c r="H1196" i="113"/>
  <c r="G1197" i="113"/>
  <c r="H1197" i="113"/>
  <c r="G1198" i="113"/>
  <c r="H1198" i="113"/>
  <c r="G1199" i="113"/>
  <c r="H1199" i="113"/>
  <c r="G1200" i="113"/>
  <c r="H1200" i="113"/>
  <c r="G1201" i="113"/>
  <c r="H1201" i="113"/>
  <c r="G1202" i="113"/>
  <c r="H1202" i="113"/>
  <c r="G1203" i="113"/>
  <c r="H1203" i="113"/>
  <c r="G1204" i="113"/>
  <c r="H1204" i="113"/>
  <c r="G1205" i="113"/>
  <c r="H1205" i="113"/>
  <c r="G1206" i="113"/>
  <c r="H1206" i="113"/>
  <c r="G1207" i="113"/>
  <c r="H1207" i="113"/>
  <c r="G1208" i="113"/>
  <c r="H1208" i="113"/>
  <c r="G1209" i="113"/>
  <c r="H1209" i="113"/>
  <c r="G1210" i="113"/>
  <c r="H1210" i="113"/>
  <c r="G1211" i="113"/>
  <c r="H1211" i="113"/>
  <c r="G1212" i="113"/>
  <c r="H1212" i="113"/>
  <c r="G1213" i="113"/>
  <c r="H1213" i="113"/>
  <c r="G1214" i="113"/>
  <c r="H1214" i="113"/>
  <c r="G1215" i="113"/>
  <c r="H1215" i="113"/>
  <c r="G1216" i="113"/>
  <c r="H1216" i="113"/>
  <c r="G1217" i="113"/>
  <c r="H1217" i="113"/>
  <c r="G1218" i="113"/>
  <c r="H1218" i="113"/>
  <c r="G1219" i="113"/>
  <c r="H1219" i="113"/>
  <c r="G1220" i="113"/>
  <c r="H1220" i="113"/>
  <c r="G1221" i="113"/>
  <c r="H1221" i="113"/>
  <c r="G1222" i="113"/>
  <c r="H1222" i="113"/>
  <c r="G1223" i="113"/>
  <c r="H1223" i="113"/>
  <c r="G1224" i="113"/>
  <c r="H1224" i="113"/>
  <c r="G1225" i="113"/>
  <c r="H1225" i="113"/>
  <c r="G1226" i="113"/>
  <c r="H1226" i="113"/>
  <c r="G1227" i="113"/>
  <c r="H1227" i="113"/>
  <c r="G1228" i="113"/>
  <c r="H1228" i="113"/>
  <c r="G1229" i="113"/>
  <c r="H1229" i="113"/>
  <c r="G1230" i="113"/>
  <c r="H1230" i="113"/>
  <c r="G1231" i="113"/>
  <c r="H1231" i="113"/>
  <c r="G1232" i="113"/>
  <c r="H1232" i="113"/>
  <c r="G1233" i="113"/>
  <c r="H1233" i="113"/>
  <c r="G1234" i="113"/>
  <c r="H1234" i="113"/>
  <c r="G1235" i="113"/>
  <c r="H1235" i="113"/>
  <c r="G1236" i="113"/>
  <c r="H1236" i="113"/>
  <c r="G1237" i="113"/>
  <c r="H1237" i="113"/>
  <c r="G1238" i="113"/>
  <c r="H1238" i="113"/>
  <c r="G1239" i="113"/>
  <c r="H1239" i="113"/>
  <c r="G1240" i="113"/>
  <c r="H1240" i="113"/>
  <c r="G1241" i="113"/>
  <c r="H1241" i="113"/>
  <c r="G1242" i="113"/>
  <c r="H1242" i="113"/>
  <c r="G1243" i="113"/>
  <c r="H1243" i="113"/>
  <c r="G1244" i="113"/>
  <c r="H1244" i="113"/>
  <c r="G1245" i="113"/>
  <c r="H1245" i="113"/>
  <c r="G1246" i="113"/>
  <c r="H1246" i="113"/>
  <c r="G1247" i="113"/>
  <c r="H1247" i="113"/>
  <c r="G1248" i="113"/>
  <c r="H1248" i="113"/>
  <c r="G1249" i="113"/>
  <c r="H1249" i="113"/>
  <c r="G1250" i="113"/>
  <c r="H1250" i="113"/>
  <c r="G1251" i="113"/>
  <c r="H1251" i="113"/>
  <c r="G1252" i="113"/>
  <c r="H1252" i="113"/>
  <c r="G1253" i="113"/>
  <c r="H1253" i="113"/>
  <c r="G1254" i="113"/>
  <c r="H1254" i="113"/>
  <c r="G1255" i="113"/>
  <c r="H1255" i="113"/>
  <c r="G1256" i="113"/>
  <c r="H1256" i="113"/>
  <c r="G1257" i="113"/>
  <c r="H1257" i="113"/>
  <c r="G1258" i="113"/>
  <c r="H1258" i="113"/>
  <c r="G1259" i="113"/>
  <c r="H1259" i="113"/>
  <c r="G1260" i="113"/>
  <c r="H1260" i="113"/>
  <c r="G1261" i="113"/>
  <c r="H1261" i="113"/>
  <c r="G1262" i="113"/>
  <c r="H1262" i="113"/>
  <c r="G1263" i="113"/>
  <c r="H1263" i="113"/>
  <c r="G1264" i="113"/>
  <c r="H1264" i="113"/>
  <c r="G1265" i="113"/>
  <c r="H1265" i="113"/>
  <c r="G1266" i="113"/>
  <c r="H1266" i="113"/>
  <c r="G1267" i="113"/>
  <c r="H1267" i="113"/>
  <c r="G1268" i="113"/>
  <c r="H1268" i="113"/>
  <c r="G1269" i="113"/>
  <c r="H1269" i="113"/>
  <c r="G1270" i="113"/>
  <c r="H1270" i="113"/>
  <c r="G1271" i="113"/>
  <c r="H1271" i="113"/>
  <c r="G1272" i="113"/>
  <c r="H1272" i="113"/>
  <c r="G1273" i="113"/>
  <c r="H1273" i="113"/>
  <c r="G1274" i="113"/>
  <c r="H1274" i="113"/>
  <c r="G1275" i="113"/>
  <c r="H1275" i="113"/>
  <c r="G1276" i="113"/>
  <c r="H1276" i="113"/>
  <c r="G1277" i="113"/>
  <c r="H1277" i="113"/>
  <c r="G1278" i="113"/>
  <c r="H1278" i="113"/>
  <c r="G1279" i="113"/>
  <c r="H1279" i="113"/>
  <c r="G1280" i="113"/>
  <c r="H1280" i="113"/>
  <c r="G1281" i="113"/>
  <c r="H1281" i="113"/>
  <c r="G1282" i="113"/>
  <c r="H1282" i="113"/>
  <c r="G1283" i="113"/>
  <c r="H1283" i="113"/>
  <c r="G1284" i="113"/>
  <c r="H1284" i="113"/>
  <c r="G1285" i="113"/>
  <c r="H1285" i="113"/>
  <c r="G1286" i="113"/>
  <c r="H1286" i="113"/>
  <c r="G1287" i="113"/>
  <c r="H1287" i="113"/>
  <c r="G1288" i="113"/>
  <c r="H1288" i="113"/>
  <c r="G1289" i="113"/>
  <c r="H1289" i="113"/>
  <c r="G1290" i="113"/>
  <c r="H1290" i="113"/>
  <c r="G1291" i="113"/>
  <c r="H1291" i="113"/>
  <c r="G1292" i="113"/>
  <c r="H1292" i="113"/>
  <c r="G1293" i="113"/>
  <c r="H1293" i="113"/>
  <c r="G1294" i="113"/>
  <c r="H1294" i="113"/>
  <c r="G1295" i="113"/>
  <c r="H1295" i="113"/>
  <c r="G1296" i="113"/>
  <c r="H1296" i="113"/>
  <c r="G1297" i="113"/>
  <c r="H1297" i="113"/>
  <c r="G1298" i="113"/>
  <c r="H1298" i="113"/>
  <c r="G1299" i="113"/>
  <c r="H1299" i="113"/>
  <c r="G1300" i="113"/>
  <c r="H1300" i="113"/>
  <c r="G1301" i="113"/>
  <c r="H1301" i="113"/>
  <c r="G1302" i="113"/>
  <c r="H1302" i="113"/>
  <c r="G1303" i="113"/>
  <c r="H1303" i="113"/>
  <c r="G1304" i="113"/>
  <c r="H1304" i="113"/>
  <c r="G1305" i="113"/>
  <c r="H1305" i="113"/>
  <c r="G1306" i="113"/>
  <c r="H1306" i="113"/>
  <c r="G1307" i="113"/>
  <c r="H1307" i="113"/>
  <c r="G1308" i="113"/>
  <c r="H1308" i="113"/>
  <c r="G1309" i="113"/>
  <c r="H1309" i="113"/>
  <c r="G1310" i="113"/>
  <c r="H1310" i="113"/>
  <c r="G1311" i="113"/>
  <c r="H1311" i="113"/>
  <c r="G1312" i="113"/>
  <c r="H1312" i="113"/>
  <c r="G1313" i="113"/>
  <c r="H1313" i="113"/>
  <c r="G1314" i="113"/>
  <c r="H1314" i="113"/>
  <c r="G1315" i="113"/>
  <c r="H1315" i="113"/>
  <c r="G1316" i="113"/>
  <c r="H1316" i="113"/>
  <c r="G1317" i="113"/>
  <c r="H1317" i="113"/>
  <c r="G1318" i="113"/>
  <c r="H1318" i="113"/>
  <c r="G1319" i="113"/>
  <c r="H1319" i="113"/>
  <c r="G1320" i="113"/>
  <c r="H1320" i="113"/>
  <c r="G1321" i="113"/>
  <c r="H1321" i="113"/>
  <c r="G1322" i="113"/>
  <c r="H1322" i="113"/>
  <c r="G1323" i="113"/>
  <c r="H1323" i="113"/>
  <c r="G1324" i="113"/>
  <c r="H1324" i="113"/>
  <c r="G1325" i="113"/>
  <c r="H1325" i="113"/>
  <c r="G1326" i="113"/>
  <c r="H1326" i="113"/>
  <c r="G1327" i="113"/>
  <c r="H1327" i="113"/>
  <c r="G1328" i="113"/>
  <c r="H1328" i="113"/>
  <c r="G1329" i="113"/>
  <c r="H1329" i="113"/>
  <c r="G1330" i="113"/>
  <c r="H1330" i="113"/>
  <c r="G1331" i="113"/>
  <c r="H1331" i="113"/>
  <c r="G1332" i="113"/>
  <c r="H1332" i="113"/>
  <c r="G1333" i="113"/>
  <c r="H1333" i="113"/>
  <c r="G1334" i="113"/>
  <c r="H1334" i="113"/>
  <c r="G1335" i="113"/>
  <c r="H1335" i="113"/>
  <c r="G1336" i="113"/>
  <c r="H1336" i="113"/>
  <c r="G1337" i="113"/>
  <c r="H1337" i="113"/>
  <c r="G1338" i="113"/>
  <c r="H1338" i="113"/>
  <c r="G1339" i="113"/>
  <c r="H1339" i="113"/>
  <c r="G1340" i="113"/>
  <c r="H1340" i="113"/>
  <c r="G1341" i="113"/>
  <c r="H1341" i="113"/>
  <c r="G1342" i="113"/>
  <c r="H1342" i="113"/>
  <c r="G1343" i="113"/>
  <c r="H1343" i="113"/>
  <c r="G1344" i="113"/>
  <c r="H1344" i="113"/>
  <c r="G1345" i="113"/>
  <c r="H1345" i="113"/>
  <c r="G1346" i="113"/>
  <c r="H1346" i="113"/>
  <c r="G1347" i="113"/>
  <c r="H1347" i="113"/>
  <c r="G1348" i="113"/>
  <c r="H1348" i="113"/>
  <c r="G1349" i="113"/>
  <c r="H1349" i="113"/>
  <c r="G1350" i="113"/>
  <c r="H1350" i="113"/>
  <c r="G1351" i="113"/>
  <c r="H1351" i="113"/>
  <c r="G1352" i="113"/>
  <c r="H1352" i="113"/>
  <c r="G1353" i="113"/>
  <c r="H1353" i="113"/>
  <c r="G1354" i="113"/>
  <c r="H1354" i="113"/>
  <c r="G1355" i="113"/>
  <c r="H1355" i="113"/>
  <c r="G1356" i="113"/>
  <c r="H1356" i="113"/>
  <c r="G1357" i="113"/>
  <c r="H1357" i="113"/>
  <c r="G1358" i="113"/>
  <c r="H1358" i="113"/>
  <c r="G1359" i="113"/>
  <c r="H1359" i="113"/>
  <c r="G1360" i="113"/>
  <c r="H1360" i="113"/>
  <c r="G1361" i="113"/>
  <c r="H1361" i="113"/>
  <c r="G1362" i="113"/>
  <c r="H1362" i="113"/>
  <c r="G1363" i="113"/>
  <c r="H1363" i="113"/>
  <c r="G1364" i="113"/>
  <c r="H1364" i="113"/>
  <c r="G1365" i="113"/>
  <c r="H1365" i="113"/>
  <c r="G1366" i="113"/>
  <c r="H1366" i="113"/>
  <c r="G1367" i="113"/>
  <c r="H1367" i="113"/>
  <c r="G1368" i="113"/>
  <c r="H1368" i="113"/>
  <c r="G1369" i="113"/>
  <c r="H1369" i="113"/>
  <c r="G1370" i="113"/>
  <c r="H1370" i="113"/>
  <c r="G1371" i="113"/>
  <c r="H1371" i="113"/>
  <c r="G1372" i="113"/>
  <c r="H1372" i="113"/>
  <c r="G1373" i="113"/>
  <c r="H1373" i="113"/>
  <c r="G1374" i="113"/>
  <c r="H1374" i="113"/>
  <c r="G1375" i="113"/>
  <c r="H1375" i="113"/>
  <c r="G1376" i="113"/>
  <c r="H1376" i="113"/>
  <c r="G1377" i="113"/>
  <c r="H1377" i="113"/>
  <c r="G1378" i="113"/>
  <c r="H1378" i="113"/>
  <c r="G1379" i="113"/>
  <c r="H1379" i="113"/>
  <c r="G1380" i="113"/>
  <c r="H1380" i="113"/>
  <c r="G1381" i="113"/>
  <c r="H1381" i="113"/>
  <c r="G1382" i="113"/>
  <c r="H1382" i="113"/>
  <c r="G1383" i="113"/>
  <c r="H1383" i="113"/>
  <c r="G1384" i="113"/>
  <c r="H1384" i="113"/>
  <c r="G1385" i="113"/>
  <c r="H1385" i="113"/>
  <c r="G1386" i="113"/>
  <c r="H1386" i="113"/>
  <c r="G1387" i="113"/>
  <c r="H1387" i="113"/>
  <c r="G1388" i="113"/>
  <c r="H1388" i="113"/>
  <c r="G1389" i="113"/>
  <c r="H1389" i="113"/>
  <c r="G1390" i="113"/>
  <c r="H1390" i="113"/>
  <c r="G1391" i="113"/>
  <c r="H1391" i="113"/>
  <c r="G1392" i="113"/>
  <c r="H1392" i="113"/>
  <c r="G1393" i="113"/>
  <c r="H1393" i="113"/>
  <c r="G1394" i="113"/>
  <c r="H1394" i="113"/>
  <c r="G1395" i="113"/>
  <c r="H1395" i="113"/>
  <c r="G1396" i="113"/>
  <c r="H1396" i="113"/>
  <c r="G1397" i="113"/>
  <c r="H1397" i="113"/>
  <c r="G1398" i="113"/>
  <c r="H1398" i="113"/>
  <c r="G1399" i="113"/>
  <c r="H1399" i="113"/>
  <c r="G1400" i="113"/>
  <c r="H1400" i="113"/>
  <c r="G1401" i="113"/>
  <c r="H1401" i="113"/>
  <c r="G1402" i="113"/>
  <c r="H1402" i="113"/>
  <c r="G1403" i="113"/>
  <c r="H1403" i="113"/>
  <c r="G1404" i="113"/>
  <c r="H1404" i="113"/>
  <c r="G1405" i="113"/>
  <c r="H1405" i="113"/>
  <c r="G1406" i="113"/>
  <c r="H1406" i="113"/>
  <c r="G1407" i="113"/>
  <c r="H1407" i="113"/>
  <c r="G1408" i="113"/>
  <c r="H1408" i="113"/>
  <c r="G1409" i="113"/>
  <c r="H1409" i="113"/>
  <c r="G1410" i="113"/>
  <c r="H1410" i="113"/>
  <c r="G1411" i="113"/>
  <c r="H1411" i="113"/>
  <c r="G1412" i="113"/>
  <c r="H1412" i="113"/>
  <c r="G1413" i="113"/>
  <c r="H1413" i="113"/>
  <c r="G1414" i="113"/>
  <c r="H1414" i="113"/>
  <c r="G1415" i="113"/>
  <c r="H1415" i="113"/>
  <c r="G1416" i="113"/>
  <c r="H1416" i="113"/>
  <c r="G1417" i="113"/>
  <c r="H1417" i="113"/>
  <c r="G1418" i="113"/>
  <c r="H1418" i="113"/>
  <c r="G1419" i="113"/>
  <c r="H1419" i="113"/>
  <c r="G1420" i="113"/>
  <c r="H1420" i="113"/>
  <c r="G1421" i="113"/>
  <c r="H1421" i="113"/>
  <c r="G1422" i="113"/>
  <c r="H1422" i="113"/>
  <c r="G1423" i="113"/>
  <c r="H1423" i="113"/>
  <c r="G1424" i="113"/>
  <c r="H1424" i="113"/>
  <c r="G1425" i="113"/>
  <c r="H1425" i="113"/>
  <c r="G1426" i="113"/>
  <c r="H1426" i="113"/>
  <c r="G1427" i="113"/>
  <c r="H1427" i="113"/>
  <c r="G1428" i="113"/>
  <c r="H1428" i="113"/>
  <c r="G1429" i="113"/>
  <c r="H1429" i="113"/>
  <c r="G1430" i="113"/>
  <c r="H1430" i="113"/>
  <c r="G1431" i="113"/>
  <c r="H1431" i="113"/>
  <c r="G1432" i="113"/>
  <c r="H1432" i="113"/>
  <c r="G1433" i="113"/>
  <c r="H1433" i="113"/>
  <c r="G1434" i="113"/>
  <c r="H1434" i="113"/>
  <c r="G1435" i="113"/>
  <c r="H1435" i="113"/>
  <c r="G1436" i="113"/>
  <c r="H1436" i="113"/>
  <c r="G1437" i="113"/>
  <c r="H1437" i="113"/>
  <c r="G1438" i="113"/>
  <c r="H1438" i="113"/>
  <c r="G1439" i="113"/>
  <c r="H1439" i="113"/>
  <c r="G1440" i="113"/>
  <c r="H1440" i="113"/>
  <c r="G1441" i="113"/>
  <c r="H1441" i="113"/>
  <c r="G1442" i="113"/>
  <c r="H1442" i="113"/>
  <c r="G1443" i="113"/>
  <c r="H1443" i="113"/>
  <c r="G1444" i="113"/>
  <c r="H1444" i="113"/>
  <c r="G1445" i="113"/>
  <c r="H1445" i="113"/>
  <c r="G1446" i="113"/>
  <c r="H1446" i="113"/>
  <c r="G1447" i="113"/>
  <c r="H1447" i="113"/>
  <c r="G1448" i="113"/>
  <c r="H1448" i="113"/>
  <c r="G1449" i="113"/>
  <c r="H1449" i="113"/>
  <c r="G1450" i="113"/>
  <c r="H1450" i="113"/>
  <c r="G1451" i="113"/>
  <c r="H1451" i="113"/>
  <c r="G1452" i="113"/>
  <c r="H1452" i="113"/>
  <c r="G1453" i="113"/>
  <c r="H1453" i="113"/>
  <c r="G1454" i="113"/>
  <c r="H1454" i="113"/>
  <c r="G1455" i="113"/>
  <c r="H1455" i="113"/>
  <c r="G1456" i="113"/>
  <c r="H1456" i="113"/>
  <c r="G1457" i="113"/>
  <c r="H1457" i="113"/>
  <c r="G1458" i="113"/>
  <c r="H1458" i="113"/>
  <c r="G1459" i="113"/>
  <c r="H1459" i="113"/>
  <c r="G1460" i="113"/>
  <c r="H1460" i="113"/>
  <c r="G1461" i="113"/>
  <c r="H1461" i="113"/>
  <c r="G1462" i="113"/>
  <c r="H1462" i="113"/>
  <c r="G1463" i="113"/>
  <c r="H1463" i="113"/>
  <c r="G1464" i="113"/>
  <c r="H1464" i="113"/>
  <c r="G1465" i="113"/>
  <c r="H1465" i="113"/>
  <c r="G1466" i="113"/>
  <c r="H1466" i="113"/>
  <c r="G1467" i="113"/>
  <c r="H1467" i="113"/>
  <c r="G1468" i="113"/>
  <c r="H1468" i="113"/>
  <c r="G1469" i="113"/>
  <c r="H1469" i="113"/>
  <c r="G1470" i="113"/>
  <c r="H1470" i="113"/>
  <c r="G1471" i="113"/>
  <c r="H1471" i="113"/>
  <c r="G1472" i="113"/>
  <c r="H1472" i="113"/>
  <c r="G1473" i="113"/>
  <c r="H1473" i="113"/>
  <c r="G1474" i="113"/>
  <c r="H1474" i="113"/>
  <c r="G1475" i="113"/>
  <c r="H1475" i="113"/>
  <c r="G1476" i="113"/>
  <c r="H1476" i="113"/>
  <c r="G1477" i="113"/>
  <c r="H1477" i="113"/>
  <c r="G1478" i="113"/>
  <c r="H1478" i="113"/>
  <c r="G1479" i="113"/>
  <c r="H1479" i="113"/>
  <c r="G1480" i="113"/>
  <c r="H1480" i="113"/>
  <c r="G1481" i="113"/>
  <c r="H1481" i="113"/>
  <c r="G1482" i="113"/>
  <c r="H1482" i="113"/>
  <c r="G1483" i="113"/>
  <c r="H1483" i="113"/>
  <c r="G1484" i="113"/>
  <c r="H1484" i="113"/>
  <c r="G1485" i="113"/>
  <c r="H1485" i="113"/>
  <c r="G1486" i="113"/>
  <c r="H1486" i="113"/>
  <c r="G1487" i="113"/>
  <c r="H1487" i="113"/>
  <c r="G1488" i="113"/>
  <c r="H1488" i="113"/>
  <c r="G1489" i="113"/>
  <c r="H1489" i="113"/>
  <c r="G1490" i="113"/>
  <c r="H1490" i="113"/>
  <c r="G1491" i="113"/>
  <c r="H1491" i="113"/>
  <c r="G1492" i="113"/>
  <c r="H1492" i="113"/>
  <c r="G1493" i="113"/>
  <c r="H1493" i="113"/>
  <c r="G1494" i="113"/>
  <c r="H1494" i="113"/>
  <c r="G1495" i="113"/>
  <c r="H1495" i="113"/>
  <c r="G1496" i="113"/>
  <c r="H1496" i="113"/>
  <c r="G1497" i="113"/>
  <c r="H1497" i="113"/>
  <c r="G1498" i="113"/>
  <c r="H1498" i="113"/>
  <c r="G1499" i="113"/>
  <c r="H1499" i="113"/>
  <c r="G1500" i="113"/>
  <c r="H1500" i="113"/>
  <c r="G1501" i="113"/>
  <c r="H1501" i="113"/>
  <c r="G1502" i="113"/>
  <c r="H1502" i="113"/>
  <c r="G1503" i="113"/>
  <c r="H1503" i="113"/>
  <c r="G1504" i="113"/>
  <c r="H1504" i="113"/>
  <c r="G1505" i="113"/>
  <c r="H1505" i="113"/>
  <c r="G1506" i="113"/>
  <c r="H1506" i="113"/>
  <c r="G1507" i="113"/>
  <c r="H1507" i="113"/>
  <c r="G1508" i="113"/>
  <c r="H1508" i="113"/>
  <c r="G1509" i="113"/>
  <c r="H1509" i="113"/>
  <c r="G1510" i="113"/>
  <c r="H1510" i="113"/>
  <c r="G1511" i="113"/>
  <c r="H1511" i="113"/>
  <c r="G1512" i="113"/>
  <c r="H1512" i="113"/>
  <c r="G1513" i="113"/>
  <c r="H1513" i="113"/>
  <c r="G1514" i="113"/>
  <c r="H1514" i="113"/>
  <c r="G1515" i="113"/>
  <c r="H1515" i="113"/>
  <c r="G1516" i="113"/>
  <c r="H1516" i="113"/>
  <c r="G1517" i="113"/>
  <c r="H1517" i="113"/>
  <c r="G1518" i="113"/>
  <c r="H1518" i="113"/>
  <c r="G1519" i="113"/>
  <c r="H1519" i="113"/>
  <c r="G1520" i="113"/>
  <c r="H1520" i="113"/>
  <c r="G1521" i="113"/>
  <c r="H1521" i="113"/>
  <c r="G1522" i="113"/>
  <c r="H1522" i="113"/>
  <c r="G1523" i="113"/>
  <c r="H1523" i="113"/>
  <c r="G1524" i="113"/>
  <c r="H1524" i="113"/>
  <c r="G1525" i="113"/>
  <c r="H1525" i="113"/>
  <c r="G1526" i="113"/>
  <c r="H1526" i="113"/>
  <c r="G1527" i="113"/>
  <c r="H1527" i="113"/>
  <c r="G1528" i="113"/>
  <c r="H1528" i="113"/>
  <c r="G1529" i="113"/>
  <c r="H1529" i="113"/>
  <c r="G1530" i="113"/>
  <c r="H1530" i="113"/>
  <c r="G1531" i="113"/>
  <c r="H1531" i="113"/>
  <c r="G1532" i="113"/>
  <c r="H1532" i="113"/>
  <c r="G1533" i="113"/>
  <c r="H1533" i="113"/>
  <c r="G1534" i="113"/>
  <c r="H1534" i="113"/>
  <c r="G1535" i="113"/>
  <c r="H1535" i="113"/>
  <c r="G1536" i="113"/>
  <c r="H1536" i="113"/>
  <c r="G1537" i="113"/>
  <c r="H1537" i="113"/>
  <c r="G1538" i="113"/>
  <c r="H1538" i="113"/>
  <c r="G1539" i="113"/>
  <c r="H1539" i="113"/>
  <c r="G1540" i="113"/>
  <c r="H1540" i="113"/>
  <c r="G1541" i="113"/>
  <c r="H1541" i="113"/>
  <c r="G1542" i="113"/>
  <c r="H1542" i="113"/>
  <c r="G1543" i="113"/>
  <c r="H1543" i="113"/>
  <c r="G1544" i="113"/>
  <c r="H1544" i="113"/>
  <c r="G1545" i="113"/>
  <c r="H1545" i="113"/>
  <c r="G1546" i="113"/>
  <c r="H1546" i="113"/>
  <c r="G1547" i="113"/>
  <c r="H1547" i="113"/>
  <c r="G1548" i="113"/>
  <c r="H1548" i="113"/>
  <c r="G1549" i="113"/>
  <c r="H1549" i="113"/>
  <c r="G1550" i="113"/>
  <c r="H1550" i="113"/>
  <c r="G1551" i="113"/>
  <c r="H1551" i="113"/>
  <c r="G1552" i="113"/>
  <c r="H1552" i="113"/>
  <c r="G1553" i="113"/>
  <c r="H1553" i="113"/>
  <c r="G1554" i="113"/>
  <c r="H1554" i="113"/>
  <c r="G1555" i="113"/>
  <c r="H1555" i="113"/>
  <c r="G1556" i="113"/>
  <c r="H1556" i="113"/>
  <c r="G1557" i="113"/>
  <c r="H1557" i="113"/>
  <c r="G1558" i="113"/>
  <c r="H1558" i="113"/>
  <c r="G1559" i="113"/>
  <c r="H1559" i="113"/>
  <c r="G1560" i="113"/>
  <c r="H1560" i="113"/>
  <c r="G1561" i="113"/>
  <c r="H1561" i="113"/>
  <c r="G1562" i="113"/>
  <c r="H1562" i="113"/>
  <c r="G1563" i="113"/>
  <c r="H1563" i="113"/>
  <c r="G1564" i="113"/>
  <c r="H1564" i="113"/>
  <c r="G1565" i="113"/>
  <c r="H1565" i="113"/>
  <c r="G1566" i="113"/>
  <c r="H1566" i="113"/>
  <c r="G1567" i="113"/>
  <c r="H1567" i="113"/>
  <c r="G1568" i="113"/>
  <c r="H1568" i="113"/>
  <c r="G1569" i="113"/>
  <c r="H1569" i="113"/>
  <c r="G1570" i="113"/>
  <c r="H1570" i="113"/>
  <c r="G1571" i="113"/>
  <c r="H1571" i="113"/>
  <c r="G1572" i="113"/>
  <c r="H1572" i="113"/>
  <c r="G1573" i="113"/>
  <c r="H1573" i="113"/>
  <c r="G1574" i="113"/>
  <c r="H1574" i="113"/>
  <c r="G1575" i="113"/>
  <c r="H1575" i="113"/>
  <c r="G1576" i="113"/>
  <c r="H1576" i="113"/>
  <c r="G1577" i="113"/>
  <c r="H1577" i="113"/>
  <c r="G1578" i="113"/>
  <c r="H1578" i="113"/>
  <c r="G1579" i="113"/>
  <c r="H1579" i="113"/>
  <c r="G1580" i="113"/>
  <c r="H1580" i="113"/>
  <c r="G1581" i="113"/>
  <c r="H1581" i="113"/>
  <c r="G1582" i="113"/>
  <c r="H1582" i="113"/>
  <c r="G1583" i="113"/>
  <c r="H1583" i="113"/>
  <c r="G1584" i="113"/>
  <c r="H1584" i="113"/>
  <c r="G1585" i="113"/>
  <c r="H1585" i="113"/>
  <c r="G1586" i="113"/>
  <c r="H1586" i="113"/>
  <c r="G1587" i="113"/>
  <c r="H1587" i="113"/>
  <c r="G1588" i="113"/>
  <c r="H1588" i="113"/>
  <c r="G1589" i="113"/>
  <c r="H1589" i="113"/>
  <c r="G1590" i="113"/>
  <c r="H1590" i="113"/>
  <c r="G1591" i="113"/>
  <c r="H1591" i="113"/>
  <c r="G1592" i="113"/>
  <c r="H1592" i="113"/>
  <c r="G1593" i="113"/>
  <c r="H1593" i="113"/>
  <c r="G1594" i="113"/>
  <c r="H1594" i="113"/>
  <c r="G1595" i="113"/>
  <c r="H1595" i="113"/>
  <c r="G1596" i="113"/>
  <c r="H1596" i="113"/>
  <c r="G1597" i="113"/>
  <c r="H1597" i="113"/>
  <c r="G1598" i="113"/>
  <c r="H1598" i="113"/>
  <c r="G1599" i="113"/>
  <c r="H1599" i="113"/>
  <c r="G1600" i="113"/>
  <c r="H1600" i="113"/>
  <c r="G1601" i="113"/>
  <c r="H1601" i="113"/>
  <c r="G1602" i="113"/>
  <c r="H1602" i="113"/>
  <c r="G1603" i="113"/>
  <c r="H1603" i="113"/>
  <c r="G1604" i="113"/>
  <c r="H1604" i="113"/>
  <c r="G1605" i="113"/>
  <c r="H1605" i="113"/>
  <c r="G1606" i="113"/>
  <c r="H1606" i="113"/>
  <c r="G1607" i="113"/>
  <c r="H1607" i="113"/>
  <c r="G1608" i="113"/>
  <c r="H1608" i="113"/>
  <c r="G1609" i="113"/>
  <c r="H1609" i="113"/>
  <c r="G1610" i="113"/>
  <c r="H1610" i="113"/>
  <c r="G1611" i="113"/>
  <c r="H1611" i="113"/>
  <c r="G1612" i="113"/>
  <c r="H1612" i="113"/>
  <c r="G1613" i="113"/>
  <c r="H1613" i="113"/>
  <c r="G1614" i="113"/>
  <c r="H1614" i="113"/>
  <c r="G1615" i="113"/>
  <c r="H1615" i="113"/>
  <c r="G1616" i="113"/>
  <c r="H1616" i="113"/>
  <c r="G1617" i="113"/>
  <c r="H1617" i="113"/>
  <c r="G1618" i="113"/>
  <c r="H1618" i="113"/>
  <c r="G1619" i="113"/>
  <c r="H1619" i="113"/>
  <c r="G1620" i="113"/>
  <c r="H1620" i="113"/>
  <c r="G1621" i="113"/>
  <c r="H1621" i="113"/>
  <c r="G1622" i="113"/>
  <c r="H1622" i="113"/>
  <c r="G1623" i="113"/>
  <c r="H1623" i="113"/>
  <c r="G1624" i="113"/>
  <c r="H1624" i="113"/>
  <c r="G1625" i="113"/>
  <c r="H1625" i="113"/>
  <c r="G1626" i="113"/>
  <c r="H1626" i="113"/>
  <c r="G1627" i="113"/>
  <c r="H1627" i="113"/>
  <c r="G1628" i="113"/>
  <c r="H1628" i="113"/>
  <c r="G1629" i="113"/>
  <c r="H1629" i="113"/>
  <c r="G1630" i="113"/>
  <c r="H1630" i="113"/>
  <c r="G1631" i="113"/>
  <c r="H1631" i="113"/>
  <c r="G1632" i="113"/>
  <c r="H1632" i="113"/>
  <c r="G1633" i="113"/>
  <c r="H1633" i="113"/>
  <c r="G1634" i="113"/>
  <c r="H1634" i="113"/>
  <c r="G1635" i="113"/>
  <c r="H1635" i="113"/>
  <c r="G1636" i="113"/>
  <c r="H1636" i="113"/>
  <c r="G1637" i="113"/>
  <c r="H1637" i="113"/>
  <c r="G1638" i="113"/>
  <c r="H1638" i="113"/>
  <c r="G1639" i="113"/>
  <c r="H1639" i="113"/>
  <c r="G1640" i="113"/>
  <c r="H1640" i="113"/>
  <c r="G1641" i="113"/>
  <c r="H1641" i="113"/>
  <c r="G1642" i="113"/>
  <c r="H1642" i="113"/>
  <c r="G1643" i="113"/>
  <c r="H1643" i="113"/>
  <c r="G1644" i="113"/>
  <c r="H1644" i="113"/>
  <c r="G1645" i="113"/>
  <c r="H1645" i="113"/>
  <c r="G1646" i="113"/>
  <c r="H1646" i="113"/>
  <c r="G1647" i="113"/>
  <c r="H1647" i="113"/>
  <c r="G1648" i="113"/>
  <c r="H1648" i="113"/>
  <c r="G1649" i="113"/>
  <c r="H1649" i="113"/>
  <c r="G1650" i="113"/>
  <c r="H1650" i="113"/>
  <c r="G1651" i="113"/>
  <c r="H1651" i="113"/>
  <c r="G1652" i="113"/>
  <c r="H1652" i="113"/>
  <c r="G1653" i="113"/>
  <c r="H1653" i="113"/>
  <c r="G1654" i="113"/>
  <c r="H1654" i="113"/>
  <c r="G1655" i="113"/>
  <c r="H1655" i="113"/>
  <c r="G1656" i="113"/>
  <c r="H1656" i="113"/>
  <c r="G1657" i="113"/>
  <c r="H1657" i="113"/>
  <c r="G1658" i="113"/>
  <c r="H1658" i="113"/>
  <c r="G1659" i="113"/>
  <c r="H1659" i="113"/>
  <c r="G1660" i="113"/>
  <c r="H1660" i="113"/>
  <c r="G1661" i="113"/>
  <c r="H1661" i="113"/>
  <c r="G1662" i="113"/>
  <c r="H1662" i="113"/>
  <c r="G1663" i="113"/>
  <c r="H1663" i="113"/>
  <c r="G1664" i="113"/>
  <c r="H1664" i="113"/>
  <c r="G1665" i="113"/>
  <c r="H1665" i="113"/>
  <c r="G1666" i="113"/>
  <c r="H1666" i="113"/>
  <c r="G1667" i="113"/>
  <c r="H1667" i="113"/>
  <c r="G1668" i="113"/>
  <c r="H1668" i="113"/>
  <c r="G1669" i="113"/>
  <c r="H1669" i="113"/>
  <c r="G1670" i="113"/>
  <c r="H1670" i="113"/>
  <c r="G1671" i="113"/>
  <c r="H1671" i="113"/>
  <c r="G1672" i="113"/>
  <c r="H1672" i="113"/>
  <c r="G1673" i="113"/>
  <c r="H1673" i="113"/>
  <c r="G1674" i="113"/>
  <c r="H1674" i="113"/>
  <c r="G1675" i="113"/>
  <c r="H1675" i="113"/>
  <c r="G1676" i="113"/>
  <c r="H1676" i="113"/>
  <c r="G1677" i="113"/>
  <c r="H1677" i="113"/>
  <c r="G1678" i="113"/>
  <c r="H1678" i="113"/>
  <c r="G1679" i="113"/>
  <c r="H1679" i="113"/>
  <c r="G1680" i="113"/>
  <c r="H1680" i="113"/>
  <c r="G1681" i="113"/>
  <c r="H1681" i="113"/>
  <c r="G1682" i="113"/>
  <c r="H1682" i="113"/>
  <c r="G1683" i="113"/>
  <c r="H1683" i="113"/>
  <c r="G1684" i="113"/>
  <c r="H1684" i="113"/>
  <c r="G1685" i="113"/>
  <c r="H1685" i="113"/>
  <c r="G1686" i="113"/>
  <c r="H1686" i="113"/>
  <c r="G1687" i="113"/>
  <c r="H1687" i="113"/>
  <c r="G1688" i="113"/>
  <c r="H1688" i="113"/>
  <c r="G1689" i="113"/>
  <c r="H1689" i="113"/>
  <c r="G1690" i="113"/>
  <c r="H1690" i="113"/>
  <c r="G1691" i="113"/>
  <c r="H1691" i="113"/>
  <c r="G1692" i="113"/>
  <c r="H1692" i="113"/>
  <c r="G1693" i="113"/>
  <c r="H1693" i="113"/>
  <c r="G1694" i="113"/>
  <c r="H1694" i="113"/>
  <c r="G1695" i="113"/>
  <c r="H1695" i="113"/>
  <c r="G1696" i="113"/>
  <c r="H1696" i="113"/>
  <c r="G1697" i="113"/>
  <c r="H1697" i="113"/>
  <c r="G1698" i="113"/>
  <c r="H1698" i="113"/>
  <c r="G1699" i="113"/>
  <c r="H1699" i="113"/>
  <c r="G1700" i="113"/>
  <c r="H1700" i="113"/>
  <c r="G1701" i="113"/>
  <c r="H1701" i="113"/>
  <c r="G1702" i="113"/>
  <c r="H1702" i="113"/>
  <c r="G1703" i="113"/>
  <c r="H1703" i="113"/>
  <c r="G1704" i="113"/>
  <c r="H1704" i="113"/>
  <c r="G1705" i="113"/>
  <c r="H1705" i="113"/>
  <c r="G1706" i="113"/>
  <c r="H1706" i="113"/>
  <c r="G1707" i="113"/>
  <c r="H1707" i="113"/>
  <c r="G1708" i="113"/>
  <c r="H1708" i="113"/>
  <c r="G1709" i="113"/>
  <c r="H1709" i="113"/>
  <c r="G1710" i="113"/>
  <c r="H1710" i="113"/>
  <c r="G1711" i="113"/>
  <c r="H1711" i="113"/>
  <c r="G1712" i="113"/>
  <c r="H1712" i="113"/>
  <c r="G1713" i="113"/>
  <c r="H1713" i="113"/>
  <c r="G1714" i="113"/>
  <c r="H1714" i="113"/>
  <c r="G1715" i="113"/>
  <c r="H1715" i="113"/>
  <c r="G1716" i="113"/>
  <c r="H1716" i="113"/>
  <c r="G1717" i="113"/>
  <c r="H1717" i="113"/>
  <c r="G1718" i="113"/>
  <c r="H1718" i="113"/>
  <c r="G1719" i="113"/>
  <c r="H1719" i="113"/>
  <c r="G1720" i="113"/>
  <c r="H1720" i="113"/>
  <c r="G1721" i="113"/>
  <c r="H1721" i="113"/>
  <c r="G1722" i="113"/>
  <c r="H1722" i="113"/>
  <c r="G1723" i="113"/>
  <c r="H1723" i="113"/>
  <c r="G1724" i="113"/>
  <c r="H1724" i="113"/>
  <c r="G1725" i="113"/>
  <c r="H1725" i="113"/>
  <c r="G1726" i="113"/>
  <c r="H1726" i="113"/>
  <c r="G1727" i="113"/>
  <c r="H1727" i="113"/>
  <c r="G1728" i="113"/>
  <c r="H1728" i="113"/>
  <c r="G1729" i="113"/>
  <c r="H1729" i="113"/>
  <c r="G1730" i="113"/>
  <c r="H1730" i="113"/>
  <c r="G1731" i="113"/>
  <c r="H1731" i="113"/>
  <c r="G1732" i="113"/>
  <c r="H1732" i="113"/>
  <c r="G1733" i="113"/>
  <c r="H1733" i="113"/>
  <c r="G1734" i="113"/>
  <c r="H1734" i="113"/>
  <c r="G1735" i="113"/>
  <c r="H1735" i="113"/>
  <c r="G1736" i="113"/>
  <c r="H1736" i="113"/>
  <c r="G1737" i="113"/>
  <c r="H1737" i="113"/>
  <c r="G1738" i="113"/>
  <c r="H1738" i="113"/>
  <c r="G1739" i="113"/>
  <c r="H1739" i="113"/>
  <c r="G1740" i="113"/>
  <c r="H1740" i="113"/>
  <c r="G1741" i="113"/>
  <c r="H1741" i="113"/>
  <c r="G1742" i="113"/>
  <c r="H1742" i="113"/>
  <c r="G1743" i="113"/>
  <c r="H1743" i="113"/>
  <c r="G1744" i="113"/>
  <c r="H1744" i="113"/>
  <c r="G1745" i="113"/>
  <c r="H1745" i="113"/>
  <c r="G1746" i="113"/>
  <c r="H1746" i="113"/>
  <c r="G1747" i="113"/>
  <c r="H1747" i="113"/>
  <c r="G1748" i="113"/>
  <c r="H1748" i="113"/>
  <c r="G1749" i="113"/>
  <c r="H1749" i="113"/>
  <c r="G1750" i="113"/>
  <c r="H1750" i="113"/>
  <c r="G1751" i="113"/>
  <c r="H1751" i="113"/>
  <c r="G1752" i="113"/>
  <c r="H1752" i="113"/>
  <c r="G1753" i="113"/>
  <c r="H1753" i="113"/>
  <c r="G1754" i="113"/>
  <c r="H1754" i="113"/>
  <c r="G1755" i="113"/>
  <c r="H1755" i="113"/>
  <c r="G1756" i="113"/>
  <c r="H1756" i="113"/>
  <c r="G1757" i="113"/>
  <c r="H1757" i="113"/>
  <c r="G1758" i="113"/>
  <c r="H1758" i="113"/>
  <c r="G1759" i="113"/>
  <c r="H1759" i="113"/>
  <c r="G1760" i="113"/>
  <c r="H1760" i="113"/>
  <c r="G1761" i="113"/>
  <c r="H1761" i="113"/>
  <c r="G1762" i="113"/>
  <c r="H1762" i="113"/>
  <c r="G1763" i="113"/>
  <c r="H1763" i="113"/>
  <c r="G1764" i="113"/>
  <c r="H1764" i="113"/>
  <c r="G1765" i="113"/>
  <c r="H1765" i="113"/>
  <c r="G1766" i="113"/>
  <c r="H1766" i="113"/>
  <c r="G1767" i="113"/>
  <c r="H1767" i="113"/>
  <c r="G1768" i="113"/>
  <c r="H1768" i="113"/>
  <c r="G1769" i="113"/>
  <c r="H1769" i="113"/>
  <c r="G1770" i="113"/>
  <c r="H1770" i="113"/>
  <c r="G1771" i="113"/>
  <c r="H1771" i="113"/>
  <c r="G1772" i="113"/>
  <c r="H1772" i="113"/>
  <c r="G1773" i="113"/>
  <c r="H1773" i="113"/>
  <c r="G1774" i="113"/>
  <c r="H1774" i="113"/>
  <c r="G1775" i="113"/>
  <c r="H1775" i="113"/>
  <c r="G1776" i="113"/>
  <c r="H1776" i="113"/>
  <c r="G1777" i="113"/>
  <c r="H1777" i="113"/>
  <c r="G1778" i="113"/>
  <c r="H1778" i="113"/>
  <c r="G1779" i="113"/>
  <c r="H1779" i="113"/>
  <c r="G1780" i="113"/>
  <c r="H1780" i="113"/>
  <c r="G1781" i="113"/>
  <c r="H1781" i="113"/>
  <c r="G1782" i="113"/>
  <c r="H1782" i="113"/>
  <c r="G1783" i="113"/>
  <c r="H1783" i="113"/>
  <c r="G1784" i="113"/>
  <c r="H1784" i="113"/>
  <c r="G1785" i="113"/>
  <c r="H1785" i="113"/>
  <c r="G1786" i="113"/>
  <c r="H1786" i="113"/>
  <c r="G1787" i="113"/>
  <c r="H1787" i="113"/>
  <c r="G1788" i="113"/>
  <c r="H1788" i="113"/>
  <c r="G1789" i="113"/>
  <c r="H1789" i="113"/>
  <c r="G1790" i="113"/>
  <c r="H1790" i="113"/>
  <c r="G1791" i="113"/>
  <c r="H1791" i="113"/>
  <c r="G1792" i="113"/>
  <c r="H1792" i="113"/>
  <c r="G1793" i="113"/>
  <c r="H1793" i="113"/>
  <c r="G1794" i="113"/>
  <c r="H1794" i="113"/>
  <c r="G1795" i="113"/>
  <c r="H1795" i="113"/>
  <c r="G1796" i="113"/>
  <c r="H1796" i="113"/>
  <c r="G1797" i="113"/>
  <c r="H1797" i="113"/>
  <c r="G1798" i="113"/>
  <c r="H1798" i="113"/>
  <c r="G1799" i="113"/>
  <c r="H1799" i="113"/>
  <c r="G1800" i="113"/>
  <c r="H1800" i="113"/>
  <c r="G1801" i="113"/>
  <c r="H1801" i="113"/>
  <c r="G1802" i="113"/>
  <c r="H1802" i="113"/>
  <c r="G1803" i="113"/>
  <c r="H1803" i="113"/>
  <c r="G1804" i="113"/>
  <c r="H1804" i="113"/>
  <c r="G1805" i="113"/>
  <c r="H1805" i="113"/>
  <c r="G1806" i="113"/>
  <c r="H1806" i="113"/>
  <c r="G1807" i="113"/>
  <c r="H1807" i="113"/>
  <c r="G1808" i="113"/>
  <c r="H1808" i="113"/>
  <c r="G1809" i="113"/>
  <c r="H1809" i="113"/>
  <c r="G1810" i="113"/>
  <c r="H1810" i="113"/>
  <c r="G1811" i="113"/>
  <c r="H1811" i="113"/>
  <c r="G1812" i="113"/>
  <c r="H1812" i="113"/>
  <c r="G1813" i="113"/>
  <c r="H1813" i="113"/>
  <c r="G1814" i="113"/>
  <c r="H1814" i="113"/>
  <c r="G1815" i="113"/>
  <c r="H1815" i="113"/>
  <c r="G1816" i="113"/>
  <c r="H1816" i="113"/>
  <c r="G1817" i="113"/>
  <c r="H1817" i="113"/>
  <c r="G1818" i="113"/>
  <c r="H1818" i="113"/>
  <c r="G1819" i="113"/>
  <c r="H1819" i="113"/>
  <c r="G1820" i="113"/>
  <c r="H1820" i="113"/>
  <c r="G1821" i="113"/>
  <c r="H1821" i="113"/>
  <c r="G1822" i="113"/>
  <c r="H1822" i="113"/>
  <c r="G1823" i="113"/>
  <c r="H1823" i="113"/>
  <c r="G1824" i="113"/>
  <c r="H1824" i="113"/>
  <c r="G1825" i="113"/>
  <c r="H1825" i="113"/>
  <c r="G1826" i="113"/>
  <c r="H1826" i="113"/>
  <c r="G1827" i="113"/>
  <c r="H1827" i="113"/>
  <c r="G1828" i="113"/>
  <c r="H1828" i="113"/>
  <c r="G1829" i="113"/>
  <c r="H1829" i="113"/>
  <c r="G1830" i="113"/>
  <c r="H1830" i="113"/>
  <c r="G1831" i="113"/>
  <c r="H1831" i="113"/>
  <c r="G1832" i="113"/>
  <c r="H1832" i="113"/>
  <c r="G1833" i="113"/>
  <c r="H1833" i="113"/>
  <c r="G1834" i="113"/>
  <c r="H1834" i="113"/>
  <c r="G1835" i="113"/>
  <c r="H1835" i="113"/>
  <c r="G1836" i="113"/>
  <c r="H1836" i="113"/>
  <c r="G1837" i="113"/>
  <c r="H1837" i="113"/>
  <c r="G1838" i="113"/>
  <c r="H1838" i="113"/>
  <c r="G1839" i="113"/>
  <c r="H1839" i="113"/>
  <c r="G1840" i="113"/>
  <c r="H1840" i="113"/>
  <c r="G1841" i="113"/>
  <c r="H1841" i="113"/>
  <c r="G1842" i="113"/>
  <c r="H1842" i="113"/>
  <c r="G1843" i="113"/>
  <c r="H1843" i="113"/>
  <c r="G1844" i="113"/>
  <c r="H1844" i="113"/>
  <c r="G1845" i="113"/>
  <c r="H1845" i="113"/>
  <c r="G1846" i="113"/>
  <c r="H1846" i="113"/>
  <c r="G1847" i="113"/>
  <c r="H1847" i="113"/>
  <c r="G1848" i="113"/>
  <c r="H1848" i="113"/>
  <c r="G1849" i="113"/>
  <c r="H1849" i="113"/>
  <c r="G1850" i="113"/>
  <c r="H1850" i="113"/>
  <c r="G1851" i="113"/>
  <c r="H1851" i="113"/>
  <c r="G1852" i="113"/>
  <c r="H1852" i="113"/>
  <c r="G1853" i="113"/>
  <c r="H1853" i="113"/>
  <c r="G1854" i="113"/>
  <c r="H1854" i="113"/>
  <c r="G1855" i="113"/>
  <c r="H1855" i="113"/>
  <c r="G1856" i="113"/>
  <c r="H1856" i="113"/>
  <c r="G1857" i="113"/>
  <c r="H1857" i="113"/>
  <c r="G1858" i="113"/>
  <c r="H1858" i="113"/>
  <c r="G1859" i="113"/>
  <c r="H1859" i="113"/>
  <c r="G1860" i="113"/>
  <c r="H1860" i="113"/>
  <c r="G1861" i="113"/>
  <c r="H1861" i="113"/>
  <c r="G1862" i="113"/>
  <c r="H1862" i="113"/>
  <c r="G1863" i="113"/>
  <c r="H1863" i="113"/>
  <c r="G1864" i="113"/>
  <c r="H1864" i="113"/>
  <c r="G1865" i="113"/>
  <c r="H1865" i="113"/>
  <c r="G1866" i="113"/>
  <c r="H1866" i="113"/>
  <c r="G1867" i="113"/>
  <c r="H1867" i="113"/>
  <c r="G1868" i="113"/>
  <c r="H1868" i="113"/>
  <c r="G1869" i="113"/>
  <c r="H1869" i="113"/>
  <c r="G1870" i="113"/>
  <c r="H1870" i="113"/>
  <c r="G1871" i="113"/>
  <c r="H1871" i="113"/>
  <c r="G1872" i="113"/>
  <c r="H1872" i="113"/>
  <c r="G1873" i="113"/>
  <c r="H1873" i="113"/>
  <c r="G1874" i="113"/>
  <c r="H1874" i="113"/>
  <c r="G1875" i="113"/>
  <c r="H1875" i="113"/>
  <c r="G1876" i="113"/>
  <c r="H1876" i="113"/>
  <c r="G1877" i="113"/>
  <c r="H1877" i="113"/>
  <c r="G1878" i="113"/>
  <c r="H1878" i="113"/>
  <c r="G1879" i="113"/>
  <c r="H1879" i="113"/>
  <c r="G1880" i="113"/>
  <c r="H1880" i="113"/>
  <c r="G1881" i="113"/>
  <c r="H1881" i="113"/>
  <c r="G1882" i="113"/>
  <c r="H1882" i="113"/>
  <c r="G1883" i="113"/>
  <c r="H1883" i="113"/>
  <c r="G1884" i="113"/>
  <c r="H1884" i="113"/>
  <c r="G1885" i="113"/>
  <c r="H1885" i="113"/>
  <c r="G1886" i="113"/>
  <c r="H1886" i="113"/>
  <c r="G1887" i="113"/>
  <c r="H1887" i="113"/>
  <c r="G1888" i="113"/>
  <c r="H1888" i="113"/>
  <c r="G1889" i="113"/>
  <c r="H1889" i="113"/>
  <c r="G1890" i="113"/>
  <c r="H1890" i="113"/>
  <c r="G1891" i="113"/>
  <c r="H1891" i="113"/>
  <c r="G1892" i="113"/>
  <c r="H1892" i="113"/>
  <c r="G1893" i="113"/>
  <c r="H1893" i="113"/>
  <c r="G1894" i="113"/>
  <c r="H1894" i="113"/>
  <c r="G1895" i="113"/>
  <c r="H1895" i="113"/>
  <c r="G1896" i="113"/>
  <c r="H1896" i="113"/>
  <c r="G1897" i="113"/>
  <c r="H1897" i="113"/>
  <c r="G1898" i="113"/>
  <c r="H1898" i="113"/>
  <c r="G1899" i="113"/>
  <c r="H1899" i="113"/>
  <c r="G1900" i="113"/>
  <c r="H1900" i="113"/>
  <c r="G1901" i="113"/>
  <c r="H1901" i="113"/>
  <c r="G1902" i="113"/>
  <c r="H1902" i="113"/>
  <c r="G1903" i="113"/>
  <c r="H1903" i="113"/>
  <c r="G1904" i="113"/>
  <c r="H1904" i="113"/>
  <c r="G1905" i="113"/>
  <c r="H1905" i="113"/>
  <c r="G1906" i="113"/>
  <c r="H1906" i="113"/>
  <c r="G1907" i="113"/>
  <c r="H1907" i="113"/>
  <c r="G1908" i="113"/>
  <c r="H1908" i="113"/>
  <c r="G1909" i="113"/>
  <c r="H1909" i="113"/>
  <c r="G1910" i="113"/>
  <c r="H1910" i="113"/>
  <c r="G1911" i="113"/>
  <c r="H1911" i="113"/>
  <c r="G1912" i="113"/>
  <c r="H1912" i="113"/>
  <c r="G1913" i="113"/>
  <c r="H1913" i="113"/>
  <c r="G1914" i="113"/>
  <c r="H1914" i="113"/>
  <c r="G1915" i="113"/>
  <c r="H1915" i="113"/>
  <c r="G1916" i="113"/>
  <c r="H1916" i="113"/>
  <c r="G1917" i="113"/>
  <c r="H1917" i="113"/>
  <c r="G1918" i="113"/>
  <c r="H1918" i="113"/>
  <c r="G1919" i="113"/>
  <c r="H1919" i="113"/>
  <c r="G1920" i="113"/>
  <c r="H1920" i="113"/>
  <c r="G1921" i="113"/>
  <c r="H1921" i="113"/>
  <c r="G1922" i="113"/>
  <c r="H1922" i="113"/>
  <c r="G1923" i="113"/>
  <c r="H1923" i="113"/>
  <c r="G1924" i="113"/>
  <c r="H1924" i="113"/>
  <c r="G1925" i="113"/>
  <c r="H1925" i="113"/>
  <c r="G1926" i="113"/>
  <c r="H1926" i="113"/>
  <c r="G1927" i="113"/>
  <c r="H1927" i="113"/>
  <c r="G1928" i="113"/>
  <c r="H1928" i="113"/>
  <c r="G1929" i="113"/>
  <c r="H1929" i="113"/>
  <c r="G1930" i="113"/>
  <c r="H1930" i="113"/>
  <c r="G1931" i="113"/>
  <c r="H1931" i="113"/>
  <c r="G1932" i="113"/>
  <c r="H1932" i="113"/>
  <c r="G1933" i="113"/>
  <c r="H1933" i="113"/>
  <c r="G1934" i="113"/>
  <c r="H1934" i="113"/>
  <c r="G1935" i="113"/>
  <c r="H1935" i="113"/>
  <c r="G1936" i="113"/>
  <c r="H1936" i="113"/>
  <c r="G1937" i="113"/>
  <c r="H1937" i="113"/>
  <c r="G1938" i="113"/>
  <c r="H1938" i="113"/>
  <c r="G1939" i="113"/>
  <c r="H1939" i="113"/>
  <c r="G1940" i="113"/>
  <c r="H1940" i="113"/>
  <c r="G1941" i="113"/>
  <c r="H1941" i="113"/>
  <c r="G1942" i="113"/>
  <c r="H1942" i="113"/>
  <c r="G1943" i="113"/>
  <c r="H1943" i="113"/>
  <c r="G1944" i="113"/>
  <c r="H1944" i="113"/>
  <c r="G1945" i="113"/>
  <c r="H1945" i="113"/>
  <c r="G1946" i="113"/>
  <c r="H1946" i="113"/>
  <c r="G1947" i="113"/>
  <c r="H1947" i="113"/>
  <c r="G1948" i="113"/>
  <c r="H1948" i="113"/>
  <c r="G1949" i="113"/>
  <c r="H1949" i="113"/>
  <c r="G1950" i="113"/>
  <c r="H1950" i="113"/>
  <c r="G1951" i="113"/>
  <c r="H1951" i="113"/>
  <c r="G1952" i="113"/>
  <c r="H1952" i="113"/>
  <c r="G1953" i="113"/>
  <c r="H1953" i="113"/>
  <c r="G1954" i="113"/>
  <c r="H1954" i="113"/>
  <c r="G1955" i="113"/>
  <c r="H1955" i="113"/>
  <c r="G1956" i="113"/>
  <c r="H1956" i="113"/>
  <c r="G1957" i="113"/>
  <c r="H1957" i="113"/>
  <c r="G1958" i="113"/>
  <c r="H1958" i="113"/>
  <c r="G1959" i="113"/>
  <c r="H1959" i="113"/>
  <c r="G1960" i="113"/>
  <c r="H1960" i="113"/>
  <c r="G1961" i="113"/>
  <c r="H1961" i="113"/>
  <c r="G1962" i="113"/>
  <c r="H1962" i="113"/>
  <c r="G1963" i="113"/>
  <c r="H1963" i="113"/>
  <c r="G1964" i="113"/>
  <c r="H1964" i="113"/>
  <c r="G1965" i="113"/>
  <c r="H1965" i="113"/>
  <c r="G1966" i="113"/>
  <c r="H1966" i="113"/>
  <c r="G1967" i="113"/>
  <c r="H1967" i="113"/>
  <c r="G1968" i="113"/>
  <c r="H1968" i="113"/>
  <c r="G1969" i="113"/>
  <c r="H1969" i="113"/>
  <c r="G1970" i="113"/>
  <c r="H1970" i="113"/>
  <c r="G1971" i="113"/>
  <c r="H1971" i="113"/>
  <c r="G1972" i="113"/>
  <c r="H1972" i="113"/>
  <c r="G1973" i="113"/>
  <c r="H1973" i="113"/>
  <c r="G1974" i="113"/>
  <c r="H1974" i="113"/>
  <c r="G1975" i="113"/>
  <c r="H1975" i="113"/>
  <c r="G1976" i="113"/>
  <c r="H1976" i="113"/>
  <c r="G1977" i="113"/>
  <c r="H1977" i="113"/>
  <c r="G1978" i="113"/>
  <c r="H1978" i="113"/>
  <c r="G1979" i="113"/>
  <c r="H1979" i="113"/>
  <c r="G1980" i="113"/>
  <c r="H1980" i="113"/>
  <c r="G1981" i="113"/>
  <c r="H1981" i="113"/>
  <c r="G1982" i="113"/>
  <c r="H1982" i="113"/>
  <c r="G1983" i="113"/>
  <c r="H1983" i="113"/>
  <c r="G1984" i="113"/>
  <c r="H1984" i="113"/>
  <c r="G1985" i="113"/>
  <c r="H1985" i="113"/>
  <c r="G1986" i="113"/>
  <c r="H1986" i="113"/>
  <c r="G1987" i="113"/>
  <c r="H1987" i="113"/>
  <c r="G1988" i="113"/>
  <c r="H1988" i="113"/>
  <c r="G1989" i="113"/>
  <c r="H1989" i="113"/>
  <c r="G1990" i="113"/>
  <c r="H1990" i="113"/>
  <c r="G1991" i="113"/>
  <c r="H1991" i="113"/>
  <c r="G1992" i="113"/>
  <c r="H1992" i="113"/>
  <c r="G1993" i="113"/>
  <c r="H1993" i="113"/>
  <c r="G1994" i="113"/>
  <c r="H1994" i="113"/>
  <c r="G1995" i="113"/>
  <c r="H1995" i="113"/>
  <c r="G1996" i="113"/>
  <c r="H1996" i="113"/>
  <c r="G1997" i="113"/>
  <c r="H1997" i="113"/>
  <c r="G1998" i="113"/>
  <c r="H1998" i="113"/>
  <c r="G1999" i="113"/>
  <c r="H1999" i="113"/>
  <c r="G2000" i="113"/>
  <c r="H2000" i="113"/>
  <c r="G2001" i="113"/>
  <c r="H2001" i="113"/>
  <c r="G2002" i="113"/>
  <c r="H2002" i="113"/>
  <c r="G2003" i="113"/>
  <c r="H2003" i="113"/>
  <c r="G2004" i="113"/>
  <c r="H2004" i="113"/>
  <c r="G2005" i="113"/>
  <c r="H2005" i="113"/>
  <c r="G2006" i="113"/>
  <c r="H2006" i="113"/>
  <c r="G2007" i="113"/>
  <c r="H2007" i="113"/>
  <c r="G2008" i="113"/>
  <c r="H2008" i="113"/>
  <c r="G2009" i="113"/>
  <c r="H2009" i="113"/>
  <c r="G2010" i="113"/>
  <c r="H2010" i="113"/>
  <c r="G2011" i="113"/>
  <c r="H2011" i="113"/>
  <c r="G2012" i="113"/>
  <c r="H2012" i="113"/>
  <c r="G2013" i="113"/>
  <c r="H2013" i="113"/>
  <c r="G2014" i="113"/>
  <c r="H2014" i="113"/>
  <c r="G2015" i="113"/>
  <c r="H2015" i="113"/>
  <c r="G2016" i="113"/>
  <c r="H2016" i="113"/>
  <c r="G2017" i="113"/>
  <c r="H2017" i="113"/>
  <c r="G2018" i="113"/>
  <c r="H2018" i="113"/>
  <c r="G2019" i="113"/>
  <c r="H2019" i="113"/>
  <c r="G2020" i="113"/>
  <c r="H2020" i="113"/>
  <c r="G2021" i="113"/>
  <c r="H2021" i="113"/>
  <c r="G2022" i="113"/>
  <c r="H2022" i="113"/>
  <c r="G2023" i="113"/>
  <c r="H2023" i="113"/>
  <c r="G2024" i="113"/>
  <c r="H2024" i="113"/>
  <c r="G2025" i="113"/>
  <c r="H2025" i="113"/>
  <c r="G2026" i="113"/>
  <c r="H2026" i="113"/>
  <c r="G2027" i="113"/>
  <c r="H2027" i="113"/>
  <c r="G2028" i="113"/>
  <c r="H2028" i="113"/>
  <c r="G2029" i="113"/>
  <c r="H2029" i="113"/>
  <c r="G2030" i="113"/>
  <c r="H2030" i="113"/>
  <c r="G2031" i="113"/>
  <c r="H2031" i="113"/>
  <c r="G2032" i="113"/>
  <c r="H2032" i="113"/>
  <c r="G2033" i="113"/>
  <c r="H2033" i="113"/>
  <c r="G2034" i="113"/>
  <c r="H2034" i="113"/>
  <c r="G2035" i="113"/>
  <c r="H2035" i="113"/>
  <c r="G2036" i="113"/>
  <c r="H2036" i="113"/>
  <c r="G2037" i="113"/>
  <c r="H2037" i="113"/>
  <c r="G2038" i="113"/>
  <c r="H2038" i="113"/>
  <c r="G2039" i="113"/>
  <c r="H2039" i="113"/>
  <c r="G2040" i="113"/>
  <c r="H2040" i="113"/>
  <c r="G2041" i="113"/>
  <c r="H2041" i="113"/>
  <c r="G2042" i="113"/>
  <c r="H2042" i="113"/>
  <c r="G2043" i="113"/>
  <c r="H2043" i="113"/>
  <c r="G2044" i="113"/>
  <c r="H2044" i="113"/>
  <c r="G2045" i="113"/>
  <c r="H2045" i="113"/>
  <c r="G2046" i="113"/>
  <c r="H2046" i="113"/>
  <c r="G2047" i="113"/>
  <c r="H2047" i="113"/>
  <c r="G2048" i="113"/>
  <c r="H2048" i="113"/>
  <c r="G2049" i="113"/>
  <c r="H2049" i="113"/>
  <c r="G2050" i="113"/>
  <c r="H2050" i="113"/>
  <c r="G2051" i="113"/>
  <c r="H2051" i="113"/>
  <c r="G2052" i="113"/>
  <c r="H2052" i="113"/>
  <c r="G2053" i="113"/>
  <c r="H2053" i="113"/>
  <c r="G2054" i="113"/>
  <c r="H2054" i="113"/>
  <c r="G2055" i="113"/>
  <c r="H2055" i="113"/>
  <c r="G2056" i="113"/>
  <c r="H2056" i="113"/>
  <c r="G2057" i="113"/>
  <c r="H2057" i="113"/>
  <c r="G2058" i="113"/>
  <c r="H2058" i="113"/>
  <c r="G2059" i="113"/>
  <c r="H2059" i="113"/>
  <c r="G2060" i="113"/>
  <c r="H2060" i="113"/>
  <c r="G2061" i="113"/>
  <c r="H2061" i="113"/>
  <c r="G2062" i="113"/>
  <c r="H2062" i="113"/>
  <c r="G2063" i="113"/>
  <c r="H2063" i="113"/>
  <c r="G2064" i="113"/>
  <c r="H2064" i="113"/>
  <c r="G2065" i="113"/>
  <c r="H2065" i="113"/>
  <c r="G2066" i="113"/>
  <c r="H2066" i="113"/>
  <c r="G2067" i="113"/>
  <c r="H2067" i="113"/>
  <c r="G2068" i="113"/>
  <c r="H2068" i="113"/>
  <c r="G2069" i="113"/>
  <c r="H2069" i="113"/>
  <c r="G2070" i="113"/>
  <c r="H2070" i="113"/>
  <c r="G2071" i="113"/>
  <c r="H2071" i="113"/>
  <c r="G2072" i="113"/>
  <c r="H2072" i="113"/>
  <c r="G2073" i="113"/>
  <c r="H2073" i="113"/>
  <c r="G2074" i="113"/>
  <c r="H2074" i="113"/>
  <c r="G2075" i="113"/>
  <c r="H2075" i="113"/>
  <c r="G2076" i="113"/>
  <c r="H2076" i="113"/>
  <c r="G2077" i="113"/>
  <c r="H2077" i="113"/>
  <c r="G2078" i="113"/>
  <c r="H2078" i="113"/>
  <c r="G2079" i="113"/>
  <c r="H2079" i="113"/>
  <c r="G2080" i="113"/>
  <c r="H2080" i="113"/>
  <c r="G2081" i="113"/>
  <c r="H2081" i="113"/>
  <c r="G2082" i="113"/>
  <c r="H2082" i="113"/>
  <c r="G2083" i="113"/>
  <c r="H2083" i="113"/>
  <c r="G2084" i="113"/>
  <c r="H2084" i="113"/>
  <c r="G2085" i="113"/>
  <c r="H2085" i="113"/>
  <c r="G2086" i="113"/>
  <c r="H2086" i="113"/>
  <c r="G2087" i="113"/>
  <c r="H2087" i="113"/>
  <c r="G2088" i="113"/>
  <c r="H2088" i="113"/>
  <c r="G2089" i="113"/>
  <c r="H2089" i="113"/>
  <c r="G2090" i="113"/>
  <c r="H2090" i="113"/>
  <c r="G2091" i="113"/>
  <c r="H2091" i="113"/>
  <c r="G2092" i="113"/>
  <c r="H2092" i="113"/>
  <c r="G2093" i="113"/>
  <c r="H2093" i="113"/>
  <c r="G2094" i="113"/>
  <c r="H2094" i="113"/>
  <c r="G2095" i="113"/>
  <c r="H2095" i="113"/>
  <c r="G2096" i="113"/>
  <c r="H2096" i="113"/>
  <c r="G2097" i="113"/>
  <c r="H2097" i="113"/>
  <c r="G2098" i="113"/>
  <c r="H2098" i="113"/>
  <c r="G2099" i="113"/>
  <c r="H2099" i="113"/>
  <c r="G2100" i="113"/>
  <c r="H2100" i="113"/>
  <c r="G2101" i="113"/>
  <c r="H2101" i="113"/>
  <c r="G2102" i="113"/>
  <c r="H2102" i="113"/>
  <c r="G2103" i="113"/>
  <c r="H2103" i="113"/>
  <c r="G2104" i="113"/>
  <c r="H2104" i="113"/>
  <c r="G2105" i="113"/>
  <c r="H2105" i="113"/>
  <c r="G2106" i="113"/>
  <c r="H2106" i="113"/>
  <c r="G2107" i="113"/>
  <c r="H2107" i="113"/>
  <c r="G2108" i="113"/>
  <c r="H2108" i="113"/>
  <c r="G2109" i="113"/>
  <c r="H2109" i="113"/>
  <c r="G2110" i="113"/>
  <c r="H2110" i="113"/>
  <c r="G2111" i="113"/>
  <c r="H2111" i="113"/>
  <c r="G2112" i="113"/>
  <c r="H2112" i="113"/>
  <c r="G2113" i="113"/>
  <c r="H2113" i="113"/>
  <c r="G2114" i="113"/>
  <c r="H2114" i="113"/>
  <c r="G2115" i="113"/>
  <c r="H2115" i="113"/>
  <c r="G2116" i="113"/>
  <c r="H2116" i="113"/>
  <c r="G2117" i="113"/>
  <c r="H2117" i="113"/>
  <c r="G2118" i="113"/>
  <c r="H2118" i="113"/>
  <c r="G2119" i="113"/>
  <c r="H2119" i="113"/>
  <c r="G2120" i="113"/>
  <c r="H2120" i="113"/>
  <c r="G2121" i="113"/>
  <c r="H2121" i="113"/>
  <c r="G2122" i="113"/>
  <c r="H2122" i="113"/>
  <c r="G2123" i="113"/>
  <c r="H2123" i="113"/>
  <c r="G2124" i="113"/>
  <c r="H2124" i="113"/>
  <c r="G2125" i="113"/>
  <c r="H2125" i="113"/>
  <c r="G2126" i="113"/>
  <c r="H2126" i="113"/>
  <c r="G2127" i="113"/>
  <c r="H2127" i="113"/>
  <c r="G2128" i="113"/>
  <c r="H2128" i="113"/>
  <c r="G2129" i="113"/>
  <c r="H2129" i="113"/>
  <c r="G2130" i="113"/>
  <c r="H2130" i="113"/>
  <c r="G2131" i="113"/>
  <c r="H2131" i="113"/>
  <c r="G2132" i="113"/>
  <c r="H2132" i="113"/>
  <c r="G2133" i="113"/>
  <c r="H2133" i="113"/>
  <c r="G2134" i="113"/>
  <c r="H2134" i="113"/>
  <c r="G2135" i="113"/>
  <c r="H2135" i="113"/>
  <c r="G2136" i="113"/>
  <c r="H2136" i="113"/>
  <c r="G2137" i="113"/>
  <c r="H2137" i="113"/>
  <c r="G2138" i="113"/>
  <c r="H2138" i="113"/>
  <c r="G2139" i="113"/>
  <c r="H2139" i="113"/>
  <c r="G2140" i="113"/>
  <c r="H2140" i="113"/>
  <c r="G2141" i="113"/>
  <c r="H2141" i="113"/>
  <c r="G2142" i="113"/>
  <c r="H2142" i="113"/>
  <c r="G2143" i="113"/>
  <c r="H2143" i="113"/>
  <c r="G2144" i="113"/>
  <c r="H2144" i="113"/>
  <c r="G2145" i="113"/>
  <c r="H2145" i="113"/>
  <c r="G2146" i="113"/>
  <c r="H2146" i="113"/>
  <c r="G2147" i="113"/>
  <c r="H2147" i="113"/>
  <c r="G2148" i="113"/>
  <c r="H2148" i="113"/>
  <c r="G2149" i="113"/>
  <c r="H2149" i="113"/>
  <c r="G2150" i="113"/>
  <c r="H2150" i="113"/>
  <c r="G2151" i="113"/>
  <c r="H2151" i="113"/>
  <c r="G2152" i="113"/>
  <c r="H2152" i="113"/>
  <c r="G2153" i="113"/>
  <c r="H2153" i="113"/>
  <c r="G2154" i="113"/>
  <c r="H2154" i="113"/>
  <c r="G2155" i="113"/>
  <c r="H2155" i="113"/>
  <c r="G2156" i="113"/>
  <c r="H2156" i="113"/>
  <c r="G2157" i="113"/>
  <c r="H2157" i="113"/>
  <c r="G2158" i="113"/>
  <c r="H2158" i="113"/>
  <c r="G2159" i="113"/>
  <c r="H2159" i="113"/>
  <c r="G2160" i="113"/>
  <c r="H2160" i="113"/>
  <c r="G2161" i="113"/>
  <c r="H2161" i="113"/>
  <c r="G2162" i="113"/>
  <c r="H2162" i="113"/>
  <c r="G2163" i="113"/>
  <c r="H2163" i="113"/>
  <c r="G2164" i="113"/>
  <c r="H2164" i="113"/>
  <c r="G2165" i="113"/>
  <c r="H2165" i="113"/>
  <c r="G2166" i="113"/>
  <c r="H2166" i="113"/>
  <c r="G2167" i="113"/>
  <c r="H2167" i="113"/>
  <c r="G2168" i="113"/>
  <c r="H2168" i="113"/>
  <c r="G2169" i="113"/>
  <c r="H2169" i="113"/>
  <c r="G2170" i="113"/>
  <c r="H2170" i="113"/>
  <c r="G2171" i="113"/>
  <c r="H2171" i="113"/>
  <c r="G2172" i="113"/>
  <c r="H2172" i="113"/>
  <c r="G2173" i="113"/>
  <c r="H2173" i="113"/>
  <c r="G2174" i="113"/>
  <c r="H2174" i="113"/>
  <c r="G2175" i="113"/>
  <c r="H2175" i="113"/>
  <c r="G2176" i="113"/>
  <c r="H2176" i="113"/>
  <c r="G2177" i="113"/>
  <c r="H2177" i="113"/>
  <c r="G2178" i="113"/>
  <c r="H2178" i="113"/>
  <c r="G2179" i="113"/>
  <c r="H2179" i="113"/>
  <c r="G2180" i="113"/>
  <c r="H2180" i="113"/>
  <c r="G2181" i="113"/>
  <c r="H2181" i="113"/>
  <c r="G2182" i="113"/>
  <c r="H2182" i="113"/>
  <c r="G2183" i="113"/>
  <c r="H2183" i="113"/>
  <c r="G2184" i="113"/>
  <c r="H2184" i="113"/>
  <c r="G2185" i="113"/>
  <c r="H2185" i="113"/>
  <c r="G2186" i="113"/>
  <c r="H2186" i="113"/>
  <c r="G2187" i="113"/>
  <c r="H2187" i="113"/>
  <c r="G2188" i="113"/>
  <c r="H2188" i="113"/>
  <c r="G2189" i="113"/>
  <c r="H2189" i="113"/>
  <c r="G2190" i="113"/>
  <c r="H2190" i="113"/>
  <c r="G2191" i="113"/>
  <c r="H2191" i="113"/>
  <c r="G2192" i="113"/>
  <c r="H2192" i="113"/>
  <c r="G2193" i="113"/>
  <c r="H2193" i="113"/>
  <c r="G2194" i="113"/>
  <c r="H2194" i="113"/>
  <c r="G2195" i="113"/>
  <c r="H2195" i="113"/>
  <c r="G2196" i="113"/>
  <c r="H2196" i="113"/>
  <c r="G2197" i="113"/>
  <c r="H2197" i="113"/>
  <c r="G2198" i="113"/>
  <c r="H2198" i="113"/>
  <c r="G2199" i="113"/>
  <c r="H2199" i="113"/>
  <c r="G2200" i="113"/>
  <c r="H2200" i="113"/>
  <c r="G2201" i="113"/>
  <c r="H2201" i="113"/>
  <c r="G2202" i="113"/>
  <c r="H2202" i="113"/>
  <c r="G2203" i="113"/>
  <c r="H2203" i="113"/>
  <c r="G2204" i="113"/>
  <c r="H2204" i="113"/>
  <c r="G2205" i="113"/>
  <c r="H2205" i="113"/>
  <c r="G2206" i="113"/>
  <c r="H2206" i="113"/>
  <c r="G2207" i="113"/>
  <c r="H2207" i="113"/>
  <c r="G2208" i="113"/>
  <c r="H2208" i="113"/>
  <c r="G2209" i="113"/>
  <c r="H2209" i="113"/>
  <c r="G2210" i="113"/>
  <c r="H2210" i="113"/>
  <c r="G2211" i="113"/>
  <c r="H2211" i="113"/>
  <c r="G2212" i="113"/>
  <c r="H2212" i="113"/>
  <c r="G2213" i="113"/>
  <c r="H2213" i="113"/>
  <c r="G2214" i="113"/>
  <c r="H2214" i="113"/>
  <c r="G2215" i="113"/>
  <c r="H2215" i="113"/>
  <c r="G2216" i="113"/>
  <c r="H2216" i="113"/>
  <c r="G2217" i="113"/>
  <c r="H2217" i="113"/>
  <c r="G2218" i="113"/>
  <c r="H2218" i="113"/>
  <c r="G2219" i="113"/>
  <c r="H2219" i="113"/>
  <c r="G2220" i="113"/>
  <c r="H2220" i="113"/>
  <c r="G2221" i="113"/>
  <c r="H2221" i="113"/>
  <c r="G2222" i="113"/>
  <c r="H2222" i="113"/>
  <c r="G2223" i="113"/>
  <c r="H2223" i="113"/>
  <c r="G2224" i="113"/>
  <c r="H2224" i="113"/>
  <c r="G2225" i="113"/>
  <c r="H2225" i="113"/>
  <c r="G2226" i="113"/>
  <c r="H2226" i="113"/>
  <c r="G2227" i="113"/>
  <c r="H2227" i="113"/>
  <c r="G2228" i="113"/>
  <c r="H2228" i="113"/>
  <c r="G2229" i="113"/>
  <c r="H2229" i="113"/>
  <c r="G2230" i="113"/>
  <c r="H2230" i="113"/>
  <c r="G2231" i="113"/>
  <c r="H2231" i="113"/>
  <c r="G2232" i="113"/>
  <c r="H2232" i="113"/>
  <c r="G2233" i="113"/>
  <c r="H2233" i="113"/>
  <c r="G2234" i="113"/>
  <c r="H2234" i="113"/>
  <c r="G2235" i="113"/>
  <c r="H2235" i="113"/>
  <c r="G2236" i="113"/>
  <c r="H2236" i="113"/>
  <c r="G2237" i="113"/>
  <c r="H2237" i="113"/>
  <c r="G2238" i="113"/>
  <c r="H2238" i="113"/>
  <c r="G2239" i="113"/>
  <c r="H2239" i="113"/>
  <c r="G2240" i="113"/>
  <c r="H2240" i="113"/>
  <c r="G2241" i="113"/>
  <c r="H2241" i="113"/>
  <c r="G2242" i="113"/>
  <c r="H2242" i="113"/>
  <c r="G2243" i="113"/>
  <c r="H2243" i="113"/>
  <c r="G2244" i="113"/>
  <c r="H2244" i="113"/>
  <c r="G2245" i="113"/>
  <c r="H2245" i="113"/>
  <c r="G2246" i="113"/>
  <c r="H2246" i="113"/>
  <c r="G2247" i="113"/>
  <c r="H2247" i="113"/>
  <c r="G2248" i="113"/>
  <c r="H2248" i="113"/>
  <c r="G2249" i="113"/>
  <c r="H2249" i="113"/>
  <c r="G2250" i="113"/>
  <c r="H2250" i="113"/>
  <c r="G2251" i="113"/>
  <c r="H2251" i="113"/>
  <c r="G2252" i="113"/>
  <c r="H2252" i="113"/>
  <c r="G2253" i="113"/>
  <c r="H2253" i="113"/>
  <c r="G2254" i="113"/>
  <c r="H2254" i="113"/>
  <c r="G2255" i="113"/>
  <c r="H2255" i="113"/>
  <c r="G2256" i="113"/>
  <c r="H2256" i="113"/>
  <c r="G2257" i="113"/>
  <c r="H2257" i="113"/>
  <c r="G2258" i="113"/>
  <c r="H2258" i="113"/>
  <c r="G2259" i="113"/>
  <c r="H2259" i="113"/>
  <c r="G2260" i="113"/>
  <c r="H2260" i="113"/>
  <c r="G2261" i="113"/>
  <c r="H2261" i="113"/>
  <c r="G2262" i="113"/>
  <c r="H2262" i="113"/>
  <c r="G2263" i="113"/>
  <c r="H2263" i="113"/>
  <c r="G2264" i="113"/>
  <c r="H2264" i="113"/>
  <c r="G2265" i="113"/>
  <c r="H2265" i="113"/>
  <c r="G2266" i="113"/>
  <c r="H2266" i="113"/>
  <c r="G2267" i="113"/>
  <c r="H2267" i="113"/>
  <c r="G2268" i="113"/>
  <c r="H2268" i="113"/>
  <c r="G2269" i="113"/>
  <c r="H2269" i="113"/>
  <c r="G2270" i="113"/>
  <c r="H2270" i="113"/>
  <c r="G2271" i="113"/>
  <c r="H2271" i="113"/>
  <c r="G2272" i="113"/>
  <c r="H2272" i="113"/>
  <c r="G2273" i="113"/>
  <c r="H2273" i="113"/>
  <c r="G2274" i="113"/>
  <c r="H2274" i="113"/>
  <c r="G2275" i="113"/>
  <c r="H2275" i="113"/>
  <c r="G2276" i="113"/>
  <c r="H2276" i="113"/>
  <c r="G2277" i="113"/>
  <c r="H2277" i="113"/>
  <c r="G2278" i="113"/>
  <c r="H2278" i="113"/>
  <c r="G2279" i="113"/>
  <c r="H2279" i="113"/>
  <c r="G2280" i="113"/>
  <c r="H2280" i="113"/>
  <c r="G2281" i="113"/>
  <c r="H2281" i="113"/>
  <c r="G2282" i="113"/>
  <c r="H2282" i="113"/>
  <c r="G2283" i="113"/>
  <c r="H2283" i="113"/>
  <c r="G2284" i="113"/>
  <c r="H2284" i="113"/>
  <c r="G2285" i="113"/>
  <c r="H2285" i="113"/>
  <c r="G2286" i="113"/>
  <c r="H2286" i="113"/>
  <c r="G2287" i="113"/>
  <c r="H2287" i="113"/>
  <c r="G2288" i="113"/>
  <c r="H2288" i="113"/>
  <c r="G2289" i="113"/>
  <c r="H2289" i="113"/>
  <c r="G2290" i="113"/>
  <c r="H2290" i="113"/>
  <c r="G2291" i="113"/>
  <c r="H2291" i="113"/>
  <c r="G2292" i="113"/>
  <c r="H2292" i="113"/>
  <c r="G2293" i="113"/>
  <c r="H2293" i="113"/>
  <c r="G2294" i="113"/>
  <c r="H2294" i="113"/>
  <c r="G2295" i="113"/>
  <c r="H2295" i="113"/>
  <c r="G2296" i="113"/>
  <c r="H2296" i="113"/>
  <c r="G2297" i="113"/>
  <c r="H2297" i="113"/>
  <c r="G2298" i="113"/>
  <c r="H2298" i="113"/>
  <c r="G2299" i="113"/>
  <c r="H2299" i="113"/>
  <c r="G2300" i="113"/>
  <c r="H2300" i="113"/>
  <c r="G2301" i="113"/>
  <c r="H2301" i="113"/>
  <c r="G2302" i="113"/>
  <c r="H2302" i="113"/>
  <c r="G2303" i="113"/>
  <c r="H2303" i="113"/>
  <c r="G2304" i="113"/>
  <c r="H2304" i="113"/>
  <c r="G2305" i="113"/>
  <c r="H2305" i="113"/>
  <c r="G2306" i="113"/>
  <c r="H2306" i="113"/>
  <c r="G2307" i="113"/>
  <c r="H2307" i="113"/>
  <c r="G2308" i="113"/>
  <c r="H2308" i="113"/>
  <c r="G2309" i="113"/>
  <c r="H2309" i="113"/>
  <c r="G2310" i="113"/>
  <c r="H2310" i="113"/>
  <c r="G2311" i="113"/>
  <c r="H2311" i="113"/>
  <c r="G2312" i="113"/>
  <c r="H2312" i="113"/>
  <c r="G2313" i="113"/>
  <c r="H2313" i="113"/>
  <c r="G2314" i="113"/>
  <c r="H2314" i="113"/>
  <c r="G2315" i="113"/>
  <c r="H2315" i="113"/>
  <c r="G2316" i="113"/>
  <c r="H2316" i="113"/>
  <c r="G2317" i="113"/>
  <c r="H2317" i="113"/>
  <c r="G2318" i="113"/>
  <c r="H2318" i="113"/>
  <c r="G2319" i="113"/>
  <c r="H2319" i="113"/>
  <c r="G2320" i="113"/>
  <c r="H2320" i="113"/>
  <c r="G2321" i="113"/>
  <c r="H2321" i="113"/>
  <c r="G2322" i="113"/>
  <c r="H2322" i="113"/>
  <c r="G2323" i="113"/>
  <c r="H2323" i="113"/>
  <c r="G2324" i="113"/>
  <c r="H2324" i="113"/>
  <c r="G2325" i="113"/>
  <c r="H2325" i="113"/>
  <c r="G2326" i="113"/>
  <c r="H2326" i="113"/>
  <c r="G2327" i="113"/>
  <c r="H2327" i="113"/>
  <c r="G2328" i="113"/>
  <c r="H2328" i="113"/>
  <c r="G2329" i="113"/>
  <c r="H2329" i="113"/>
  <c r="G2330" i="113"/>
  <c r="H2330" i="113"/>
  <c r="G2331" i="113"/>
  <c r="H2331" i="113"/>
  <c r="G2332" i="113"/>
  <c r="H2332" i="113"/>
  <c r="G2333" i="113"/>
  <c r="H2333" i="113"/>
  <c r="G2334" i="113"/>
  <c r="H2334" i="113"/>
  <c r="G2335" i="113"/>
  <c r="H2335" i="113"/>
  <c r="G2336" i="113"/>
  <c r="H2336" i="113"/>
  <c r="G2337" i="113"/>
  <c r="H2337" i="113"/>
  <c r="G2338" i="113"/>
  <c r="H2338" i="113"/>
  <c r="G2339" i="113"/>
  <c r="H2339" i="113"/>
  <c r="G2340" i="113"/>
  <c r="H2340" i="113"/>
  <c r="G2341" i="113"/>
  <c r="H2341" i="113"/>
  <c r="G2342" i="113"/>
  <c r="H2342" i="113"/>
  <c r="G2343" i="113"/>
  <c r="H2343" i="113"/>
  <c r="G2344" i="113"/>
  <c r="H2344" i="113"/>
  <c r="G2345" i="113"/>
  <c r="H2345" i="113"/>
  <c r="G2346" i="113"/>
  <c r="H2346" i="113"/>
  <c r="G2347" i="113"/>
  <c r="H2347" i="113"/>
  <c r="G2348" i="113"/>
  <c r="H2348" i="113"/>
  <c r="G2349" i="113"/>
  <c r="H2349" i="113"/>
  <c r="G2350" i="113"/>
  <c r="H2350" i="113"/>
  <c r="G2351" i="113"/>
  <c r="H2351" i="113"/>
  <c r="G2352" i="113"/>
  <c r="H2352" i="113"/>
  <c r="G2353" i="113"/>
  <c r="H2353" i="113"/>
  <c r="G2354" i="113"/>
  <c r="H2354" i="113"/>
  <c r="G2355" i="113"/>
  <c r="H2355" i="113"/>
  <c r="G2356" i="113"/>
  <c r="H2356" i="113"/>
  <c r="G2357" i="113"/>
  <c r="H2357" i="113"/>
  <c r="G2358" i="113"/>
  <c r="H2358" i="113"/>
  <c r="G2359" i="113"/>
  <c r="H2359" i="113"/>
  <c r="G2360" i="113"/>
  <c r="H2360" i="113"/>
  <c r="G2361" i="113"/>
  <c r="H2361" i="113"/>
  <c r="G2362" i="113"/>
  <c r="H2362" i="113"/>
  <c r="G2363" i="113"/>
  <c r="H2363" i="113"/>
  <c r="G2364" i="113"/>
  <c r="H2364" i="113"/>
  <c r="G2365" i="113"/>
  <c r="H2365" i="113"/>
  <c r="G2366" i="113"/>
  <c r="H2366" i="113"/>
  <c r="G2367" i="113"/>
  <c r="H2367" i="113"/>
  <c r="G2368" i="113"/>
  <c r="H2368" i="113"/>
  <c r="G2369" i="113"/>
  <c r="H2369" i="113"/>
  <c r="G2370" i="113"/>
  <c r="H2370" i="113"/>
  <c r="G2371" i="113"/>
  <c r="H2371" i="113"/>
  <c r="G2372" i="113"/>
  <c r="H2372" i="113"/>
  <c r="G2373" i="113"/>
  <c r="H2373" i="113"/>
  <c r="G2374" i="113"/>
  <c r="H2374" i="113"/>
  <c r="G2375" i="113"/>
  <c r="H2375" i="113"/>
  <c r="G2376" i="113"/>
  <c r="H2376" i="113"/>
  <c r="G2377" i="113"/>
  <c r="H2377" i="113"/>
  <c r="G2378" i="113"/>
  <c r="H2378" i="113"/>
  <c r="G2379" i="113"/>
  <c r="H2379" i="113"/>
  <c r="G2380" i="113"/>
  <c r="H2380" i="113"/>
  <c r="G2381" i="113"/>
  <c r="H2381" i="113"/>
  <c r="G2382" i="113"/>
  <c r="H2382" i="113"/>
  <c r="G2383" i="113"/>
  <c r="H2383" i="113"/>
  <c r="G2384" i="113"/>
  <c r="H2384" i="113"/>
  <c r="G2385" i="113"/>
  <c r="H2385" i="113"/>
  <c r="G2386" i="113"/>
  <c r="H2386" i="113"/>
  <c r="G2387" i="113"/>
  <c r="H2387" i="113"/>
  <c r="G2388" i="113"/>
  <c r="H2388" i="113"/>
  <c r="G2389" i="113"/>
  <c r="H2389" i="113"/>
  <c r="G2390" i="113"/>
  <c r="H2390" i="113"/>
  <c r="G2391" i="113"/>
  <c r="H2391" i="113"/>
  <c r="G2392" i="113"/>
  <c r="H2392" i="113"/>
  <c r="G2393" i="113"/>
  <c r="H2393" i="113"/>
  <c r="G2394" i="113"/>
  <c r="H2394" i="113"/>
  <c r="G2395" i="113"/>
  <c r="H2395" i="113"/>
  <c r="G2396" i="113"/>
  <c r="H2396" i="113"/>
  <c r="G2397" i="113"/>
  <c r="H2397" i="113"/>
  <c r="G2398" i="113"/>
  <c r="H2398" i="113"/>
  <c r="G2399" i="113"/>
  <c r="H2399" i="113"/>
  <c r="G2400" i="113"/>
  <c r="H2400" i="113"/>
  <c r="G2401" i="113"/>
  <c r="H2401" i="113"/>
  <c r="G2402" i="113"/>
  <c r="H2402" i="113"/>
  <c r="G2403" i="113"/>
  <c r="H2403" i="113"/>
  <c r="G2404" i="113"/>
  <c r="H2404" i="113"/>
  <c r="G2405" i="113"/>
  <c r="H2405" i="113"/>
  <c r="G2406" i="113"/>
  <c r="H2406" i="113"/>
  <c r="G2407" i="113"/>
  <c r="H2407" i="113"/>
  <c r="G2408" i="113"/>
  <c r="H2408" i="113"/>
  <c r="G2409" i="113"/>
  <c r="H2409" i="113"/>
  <c r="G2410" i="113"/>
  <c r="H2410" i="113"/>
  <c r="G2411" i="113"/>
  <c r="H2411" i="113"/>
  <c r="G2412" i="113"/>
  <c r="H2412" i="113"/>
  <c r="G2413" i="113"/>
  <c r="H2413" i="113"/>
  <c r="G2414" i="113"/>
  <c r="H2414" i="113"/>
  <c r="G2415" i="113"/>
  <c r="H2415" i="113"/>
  <c r="G2416" i="113"/>
  <c r="H2416" i="113"/>
  <c r="G2417" i="113"/>
  <c r="H2417" i="113"/>
  <c r="G2418" i="113"/>
  <c r="H2418" i="113"/>
  <c r="G2419" i="113"/>
  <c r="H2419" i="113"/>
  <c r="G2420" i="113"/>
  <c r="H2420" i="113"/>
  <c r="G2421" i="113"/>
  <c r="H2421" i="113"/>
  <c r="G2422" i="113"/>
  <c r="H2422" i="113"/>
  <c r="G2423" i="113"/>
  <c r="H2423" i="113"/>
  <c r="G2424" i="113"/>
  <c r="H2424" i="113"/>
  <c r="G2425" i="113"/>
  <c r="H2425" i="113"/>
  <c r="G2426" i="113"/>
  <c r="H2426" i="113"/>
  <c r="G2427" i="113"/>
  <c r="H2427" i="113"/>
  <c r="G2428" i="113"/>
  <c r="H2428" i="113"/>
  <c r="G2429" i="113"/>
  <c r="H2429" i="113"/>
  <c r="G2430" i="113"/>
  <c r="H2430" i="113"/>
  <c r="G2431" i="113"/>
  <c r="H2431" i="113"/>
  <c r="G2432" i="113"/>
  <c r="H2432" i="113"/>
  <c r="G2433" i="113"/>
  <c r="H2433" i="113"/>
  <c r="G2434" i="113"/>
  <c r="H2434" i="113"/>
  <c r="G2435" i="113"/>
  <c r="H2435" i="113"/>
  <c r="G2436" i="113"/>
  <c r="H2436" i="113"/>
  <c r="G2437" i="113"/>
  <c r="H2437" i="113"/>
  <c r="G2438" i="113"/>
  <c r="H2438" i="113"/>
  <c r="G2439" i="113"/>
  <c r="H2439" i="113"/>
  <c r="G2440" i="113"/>
  <c r="H2440" i="113"/>
  <c r="G2441" i="113"/>
  <c r="H2441" i="113"/>
  <c r="G2442" i="113"/>
  <c r="H2442" i="113"/>
  <c r="G2443" i="113"/>
  <c r="H2443" i="113"/>
  <c r="G2444" i="113"/>
  <c r="H2444" i="113"/>
  <c r="G2445" i="113"/>
  <c r="H2445" i="113"/>
  <c r="G2446" i="113"/>
  <c r="H2446" i="113"/>
  <c r="G2447" i="113"/>
  <c r="H2447" i="113"/>
  <c r="G2448" i="113"/>
  <c r="H2448" i="113"/>
  <c r="G2449" i="113"/>
  <c r="H2449" i="113"/>
  <c r="G2450" i="113"/>
  <c r="H2450" i="113"/>
  <c r="G2451" i="113"/>
  <c r="H2451" i="113"/>
  <c r="G2452" i="113"/>
  <c r="H2452" i="113"/>
  <c r="G2453" i="113"/>
  <c r="H2453" i="113"/>
  <c r="G2454" i="113"/>
  <c r="H2454" i="113"/>
  <c r="G2455" i="113"/>
  <c r="H2455" i="113"/>
  <c r="G2456" i="113"/>
  <c r="H2456" i="113"/>
  <c r="G2457" i="113"/>
  <c r="H2457" i="113"/>
  <c r="G2458" i="113"/>
  <c r="H2458" i="113"/>
  <c r="G2459" i="113"/>
  <c r="H2459" i="113"/>
  <c r="G2460" i="113"/>
  <c r="H2460" i="113"/>
  <c r="G2461" i="113"/>
  <c r="H2461" i="113"/>
  <c r="G2462" i="113"/>
  <c r="H2462" i="113"/>
  <c r="G2463" i="113"/>
  <c r="H2463" i="113"/>
  <c r="G2464" i="113"/>
  <c r="H2464" i="113"/>
  <c r="G2465" i="113"/>
  <c r="H2465" i="113"/>
  <c r="G2466" i="113"/>
  <c r="H2466" i="113"/>
  <c r="G2467" i="113"/>
  <c r="H2467" i="113"/>
  <c r="G2468" i="113"/>
  <c r="H2468" i="113"/>
  <c r="G2469" i="113"/>
  <c r="H2469" i="113"/>
  <c r="G2470" i="113"/>
  <c r="H2470" i="113"/>
  <c r="G2471" i="113"/>
  <c r="H2471" i="113"/>
  <c r="G2472" i="113"/>
  <c r="H2472" i="113"/>
  <c r="G2473" i="113"/>
  <c r="H2473" i="113"/>
  <c r="G2474" i="113"/>
  <c r="H2474" i="113"/>
  <c r="G2475" i="113"/>
  <c r="H2475" i="113"/>
  <c r="G2476" i="113"/>
  <c r="H2476" i="113"/>
  <c r="G2477" i="113"/>
  <c r="H2477" i="113"/>
  <c r="G2478" i="113"/>
  <c r="H2478" i="113"/>
  <c r="G2479" i="113"/>
  <c r="H2479" i="113"/>
  <c r="G2480" i="113"/>
  <c r="H2480" i="113"/>
  <c r="G2481" i="113"/>
  <c r="H2481" i="113"/>
  <c r="G2482" i="113"/>
  <c r="H2482" i="113"/>
  <c r="G2483" i="113"/>
  <c r="H2483" i="113"/>
  <c r="G2484" i="113"/>
  <c r="H2484" i="113"/>
  <c r="G2485" i="113"/>
  <c r="H2485" i="113"/>
  <c r="G2486" i="113"/>
  <c r="H2486" i="113"/>
  <c r="G2487" i="113"/>
  <c r="H2487" i="113"/>
  <c r="G2488" i="113"/>
  <c r="H2488" i="113"/>
  <c r="G2489" i="113"/>
  <c r="H2489" i="113"/>
  <c r="G2490" i="113"/>
  <c r="H2490" i="113"/>
  <c r="G2491" i="113"/>
  <c r="H2491" i="113"/>
  <c r="G2492" i="113"/>
  <c r="H2492" i="113"/>
  <c r="G2493" i="113"/>
  <c r="H2493" i="113"/>
  <c r="G2494" i="113"/>
  <c r="H2494" i="113"/>
  <c r="G2495" i="113"/>
  <c r="H2495" i="113"/>
  <c r="G2496" i="113"/>
  <c r="H2496" i="113"/>
  <c r="G2497" i="113"/>
  <c r="H2497" i="113"/>
  <c r="G2498" i="113"/>
  <c r="H2498" i="113"/>
  <c r="G2499" i="113"/>
  <c r="H2499" i="113"/>
  <c r="G2500" i="113"/>
  <c r="H2500" i="113"/>
  <c r="G2501" i="113"/>
  <c r="H2501" i="113"/>
  <c r="G2502" i="113"/>
  <c r="H2502" i="113"/>
  <c r="G2503" i="113"/>
  <c r="H2503" i="113"/>
  <c r="G2504" i="113"/>
  <c r="H2504" i="113"/>
  <c r="G2505" i="113"/>
  <c r="H2505" i="113"/>
  <c r="G2506" i="113"/>
  <c r="H2506" i="113"/>
  <c r="G2507" i="113"/>
  <c r="H2507" i="113"/>
  <c r="G2508" i="113"/>
  <c r="H2508" i="113"/>
  <c r="G2509" i="113"/>
  <c r="H2509" i="113"/>
  <c r="G2510" i="113"/>
  <c r="H2510" i="113"/>
  <c r="G2511" i="113"/>
  <c r="H2511" i="113"/>
  <c r="G2512" i="113"/>
  <c r="H2512" i="113"/>
  <c r="G2513" i="113"/>
  <c r="H2513" i="113"/>
  <c r="G2514" i="113"/>
  <c r="H2514" i="113"/>
  <c r="G2515" i="113"/>
  <c r="H2515" i="113"/>
  <c r="G2516" i="113"/>
  <c r="H2516" i="113"/>
  <c r="G2517" i="113"/>
  <c r="H2517" i="113"/>
  <c r="G2518" i="113"/>
  <c r="H2518" i="113"/>
  <c r="G2519" i="113"/>
  <c r="H2519" i="113"/>
  <c r="G2520" i="113"/>
  <c r="H2520" i="113"/>
  <c r="G2521" i="113"/>
  <c r="H2521" i="113"/>
  <c r="G2522" i="113"/>
  <c r="H2522" i="113"/>
  <c r="G2523" i="113"/>
  <c r="H2523" i="113"/>
  <c r="G2524" i="113"/>
  <c r="H2524" i="113"/>
  <c r="G2525" i="113"/>
  <c r="H2525" i="113"/>
  <c r="G2526" i="113"/>
  <c r="H2526" i="113"/>
  <c r="G2527" i="113"/>
  <c r="H2527" i="113"/>
  <c r="G2528" i="113"/>
  <c r="H2528" i="113"/>
  <c r="G2529" i="113"/>
  <c r="H2529" i="113"/>
  <c r="G2530" i="113"/>
  <c r="H2530" i="113"/>
  <c r="G2531" i="113"/>
  <c r="H2531" i="113"/>
  <c r="G2532" i="113"/>
  <c r="H2532" i="113"/>
  <c r="G2533" i="113"/>
  <c r="H2533" i="113"/>
  <c r="G2534" i="113"/>
  <c r="H2534" i="113"/>
  <c r="G2535" i="113"/>
  <c r="H2535" i="113"/>
  <c r="G2536" i="113"/>
  <c r="H2536" i="113"/>
  <c r="G2537" i="113"/>
  <c r="H2537" i="113"/>
  <c r="G2538" i="113"/>
  <c r="H2538" i="113"/>
  <c r="G2539" i="113"/>
  <c r="H2539" i="113"/>
  <c r="G2540" i="113"/>
  <c r="H2540" i="113"/>
  <c r="G2541" i="113"/>
  <c r="H2541" i="113"/>
  <c r="G2542" i="113"/>
  <c r="H2542" i="113"/>
  <c r="G2543" i="113"/>
  <c r="H2543" i="113"/>
  <c r="G2544" i="113"/>
  <c r="H2544" i="113"/>
  <c r="G2545" i="113"/>
  <c r="H2545" i="113"/>
  <c r="G2546" i="113"/>
  <c r="H2546" i="113"/>
  <c r="G2547" i="113"/>
  <c r="H2547" i="113"/>
  <c r="G2548" i="113"/>
  <c r="H2548" i="113"/>
  <c r="G2549" i="113"/>
  <c r="H2549" i="113"/>
  <c r="G2550" i="113"/>
  <c r="H2550" i="113"/>
  <c r="G2551" i="113"/>
  <c r="H2551" i="113"/>
  <c r="G2552" i="113"/>
  <c r="H2552" i="113"/>
  <c r="G2553" i="113"/>
  <c r="H2553" i="113"/>
  <c r="G2554" i="113"/>
  <c r="H2554" i="113"/>
  <c r="G2555" i="113"/>
  <c r="H2555" i="113"/>
  <c r="G2556" i="113"/>
  <c r="H2556" i="113"/>
  <c r="G2557" i="113"/>
  <c r="H2557" i="113"/>
  <c r="G2558" i="113"/>
  <c r="H2558" i="113"/>
  <c r="G2559" i="113"/>
  <c r="H2559" i="113"/>
  <c r="G2560" i="113"/>
  <c r="H2560" i="113"/>
  <c r="G2561" i="113"/>
  <c r="H2561" i="113"/>
  <c r="G2562" i="113"/>
  <c r="H2562" i="113"/>
  <c r="G2563" i="113"/>
  <c r="H2563" i="113"/>
  <c r="G2564" i="113"/>
  <c r="H2564" i="113"/>
  <c r="G2565" i="113"/>
  <c r="H2565" i="113"/>
  <c r="G2566" i="113"/>
  <c r="H2566" i="113"/>
  <c r="G2567" i="113"/>
  <c r="H2567" i="113"/>
  <c r="G2568" i="113"/>
  <c r="H2568" i="113"/>
  <c r="G2569" i="113"/>
  <c r="H2569" i="113"/>
  <c r="G2570" i="113"/>
  <c r="H2570" i="113"/>
  <c r="G2571" i="113"/>
  <c r="H2571" i="113"/>
  <c r="G2572" i="113"/>
  <c r="H2572" i="113"/>
  <c r="G2573" i="113"/>
  <c r="H2573" i="113"/>
  <c r="G2574" i="113"/>
  <c r="H2574" i="113"/>
  <c r="G2575" i="113"/>
  <c r="H2575" i="113"/>
  <c r="G2576" i="113"/>
  <c r="H2576" i="113"/>
  <c r="G2577" i="113"/>
  <c r="H2577" i="113"/>
  <c r="G2578" i="113"/>
  <c r="H2578" i="113"/>
  <c r="G2579" i="113"/>
  <c r="H2579" i="113"/>
  <c r="G2580" i="113"/>
  <c r="H2580" i="113"/>
  <c r="G2581" i="113"/>
  <c r="H2581" i="113"/>
  <c r="G2582" i="113"/>
  <c r="H2582" i="113"/>
  <c r="G2583" i="113"/>
  <c r="H2583" i="113"/>
  <c r="G2584" i="113"/>
  <c r="H2584" i="113"/>
  <c r="G2585" i="113"/>
  <c r="H2585" i="113"/>
  <c r="G2586" i="113"/>
  <c r="H2586" i="113"/>
  <c r="G2587" i="113"/>
  <c r="H2587" i="113"/>
  <c r="G2588" i="113"/>
  <c r="H2588" i="113"/>
  <c r="G2589" i="113"/>
  <c r="H2589" i="113"/>
  <c r="G2590" i="113"/>
  <c r="H2590" i="113"/>
  <c r="G2591" i="113"/>
  <c r="H2591" i="113"/>
  <c r="G2592" i="113"/>
  <c r="H2592" i="113"/>
  <c r="G2593" i="113"/>
  <c r="H2593" i="113"/>
  <c r="G2594" i="113"/>
  <c r="H2594" i="113"/>
  <c r="G2595" i="113"/>
  <c r="H2595" i="113"/>
  <c r="G2596" i="113"/>
  <c r="H2596" i="113"/>
  <c r="G2597" i="113"/>
  <c r="H2597" i="113"/>
  <c r="G2598" i="113"/>
  <c r="H2598" i="113"/>
  <c r="G2599" i="113"/>
  <c r="H2599" i="113"/>
  <c r="G2600" i="113"/>
  <c r="H2600" i="113"/>
  <c r="G2601" i="113"/>
  <c r="H2601" i="113"/>
  <c r="G2602" i="113"/>
  <c r="H2602" i="113"/>
  <c r="G2603" i="113"/>
  <c r="H2603" i="113"/>
  <c r="G2604" i="113"/>
  <c r="H2604" i="113"/>
  <c r="G2605" i="113"/>
  <c r="H2605" i="113"/>
  <c r="G2606" i="113"/>
  <c r="H2606" i="113"/>
  <c r="G2607" i="113"/>
  <c r="H2607" i="113"/>
  <c r="G2608" i="113"/>
  <c r="H2608" i="113"/>
  <c r="G2609" i="113"/>
  <c r="H2609" i="113"/>
  <c r="G2610" i="113"/>
  <c r="H2610" i="113"/>
  <c r="G2611" i="113"/>
  <c r="H2611" i="113"/>
  <c r="G2612" i="113"/>
  <c r="H2612" i="113"/>
  <c r="G2613" i="113"/>
  <c r="H2613" i="113"/>
  <c r="G2614" i="113"/>
  <c r="H2614" i="113"/>
  <c r="G2615" i="113"/>
  <c r="H2615" i="113"/>
  <c r="G2616" i="113"/>
  <c r="H2616" i="113"/>
  <c r="G2617" i="113"/>
  <c r="H2617" i="113"/>
  <c r="G2618" i="113"/>
  <c r="H2618" i="113"/>
  <c r="G2619" i="113"/>
  <c r="H2619" i="113"/>
  <c r="G2620" i="113"/>
  <c r="H2620" i="113"/>
  <c r="G2621" i="113"/>
  <c r="H2621" i="113"/>
  <c r="G2622" i="113"/>
  <c r="H2622" i="113"/>
  <c r="G2623" i="113"/>
  <c r="H2623" i="113"/>
  <c r="G2624" i="113"/>
  <c r="H2624" i="113"/>
  <c r="G2625" i="113"/>
  <c r="H2625" i="113"/>
  <c r="G2626" i="113"/>
  <c r="H2626" i="113"/>
  <c r="G2627" i="113"/>
  <c r="H2627" i="113"/>
  <c r="G2628" i="113"/>
  <c r="H2628" i="113"/>
  <c r="G2629" i="113"/>
  <c r="H2629" i="113"/>
  <c r="G2630" i="113"/>
  <c r="H2630" i="113"/>
  <c r="G2631" i="113"/>
  <c r="H2631" i="113"/>
  <c r="G2632" i="113"/>
  <c r="H2632" i="113"/>
  <c r="G2633" i="113"/>
  <c r="H2633" i="113"/>
  <c r="G2634" i="113"/>
  <c r="H2634" i="113"/>
  <c r="G2635" i="113"/>
  <c r="H2635" i="113"/>
  <c r="G2636" i="113"/>
  <c r="H2636" i="113"/>
  <c r="G2637" i="113"/>
  <c r="H2637" i="113"/>
  <c r="G2638" i="113"/>
  <c r="H2638" i="113"/>
  <c r="G2639" i="113"/>
  <c r="H2639" i="113"/>
  <c r="G2640" i="113"/>
  <c r="H2640" i="113"/>
  <c r="G2641" i="113"/>
  <c r="H2641" i="113"/>
  <c r="G2642" i="113"/>
  <c r="H2642" i="113"/>
  <c r="G2643" i="113"/>
  <c r="H2643" i="113"/>
  <c r="G2644" i="113"/>
  <c r="H2644" i="113"/>
  <c r="G2645" i="113"/>
  <c r="H2645" i="113"/>
  <c r="G2646" i="113"/>
  <c r="H2646" i="113"/>
  <c r="G2647" i="113"/>
  <c r="H2647" i="113"/>
  <c r="G2648" i="113"/>
  <c r="H2648" i="113"/>
  <c r="G2649" i="113"/>
  <c r="H2649" i="113"/>
  <c r="G2650" i="113"/>
  <c r="H2650" i="113"/>
  <c r="G2651" i="113"/>
  <c r="H2651" i="113"/>
  <c r="G2652" i="113"/>
  <c r="H2652" i="113"/>
  <c r="G2653" i="113"/>
  <c r="H2653" i="113"/>
  <c r="G2654" i="113"/>
  <c r="H2654" i="113"/>
  <c r="G2655" i="113"/>
  <c r="H2655" i="113"/>
  <c r="G2656" i="113"/>
  <c r="H2656" i="113"/>
  <c r="G2657" i="113"/>
  <c r="H2657" i="113"/>
  <c r="G2658" i="113"/>
  <c r="H2658" i="113"/>
  <c r="G2659" i="113"/>
  <c r="H2659" i="113"/>
  <c r="G2660" i="113"/>
  <c r="H2660" i="113"/>
  <c r="G2661" i="113"/>
  <c r="H2661" i="113"/>
  <c r="G2662" i="113"/>
  <c r="H2662" i="113"/>
  <c r="G2663" i="113"/>
  <c r="H2663" i="113"/>
  <c r="G2664" i="113"/>
  <c r="H2664" i="113"/>
  <c r="G2665" i="113"/>
  <c r="H2665" i="113"/>
  <c r="G2666" i="113"/>
  <c r="H2666" i="113"/>
  <c r="G2667" i="113"/>
  <c r="H2667" i="113"/>
  <c r="G2668" i="113"/>
  <c r="H2668" i="113"/>
  <c r="G2669" i="113"/>
  <c r="H2669" i="113"/>
  <c r="G2670" i="113"/>
  <c r="H2670" i="113"/>
  <c r="G2671" i="113"/>
  <c r="H2671" i="113"/>
  <c r="G2672" i="113"/>
  <c r="H2672" i="113"/>
  <c r="G2673" i="113"/>
  <c r="H2673" i="113"/>
  <c r="G2674" i="113"/>
  <c r="H2674" i="113"/>
  <c r="G2675" i="113"/>
  <c r="H2675" i="113"/>
  <c r="G2676" i="113"/>
  <c r="H2676" i="113"/>
  <c r="G2677" i="113"/>
  <c r="H2677" i="113"/>
  <c r="G2678" i="113"/>
  <c r="H2678" i="113"/>
  <c r="H2" i="113"/>
  <c r="G2" i="113"/>
  <c r="Q2678" i="113"/>
  <c r="Q2677" i="113"/>
  <c r="Q2676" i="113"/>
  <c r="Q2675" i="113"/>
  <c r="Q2674" i="113"/>
  <c r="Q2673" i="113"/>
  <c r="Q2672" i="113"/>
  <c r="Q2671" i="113"/>
  <c r="Q2670" i="113"/>
  <c r="Q2669" i="113"/>
  <c r="Q2668" i="113"/>
  <c r="Q2667" i="113"/>
  <c r="Q2666" i="113"/>
  <c r="Q2665" i="113"/>
  <c r="Q2664" i="113"/>
  <c r="Q2663" i="113"/>
  <c r="Q2662" i="113"/>
  <c r="Q2661" i="113"/>
  <c r="Q2660" i="113"/>
  <c r="Q2659" i="113"/>
  <c r="Q2658" i="113"/>
  <c r="Q2657" i="113"/>
  <c r="Q2656" i="113"/>
  <c r="Q2655" i="113"/>
  <c r="Q2654" i="113"/>
  <c r="Q2653" i="113"/>
  <c r="Q2652" i="113"/>
  <c r="Q2651" i="113"/>
  <c r="Q2650" i="113"/>
  <c r="Q2649" i="113"/>
  <c r="Q2648" i="113"/>
  <c r="Q2647" i="113"/>
  <c r="Q2646" i="113"/>
  <c r="Q2645" i="113"/>
  <c r="Q2644" i="113"/>
  <c r="Q2643" i="113"/>
  <c r="Q2642" i="113"/>
  <c r="Q2641" i="113"/>
  <c r="Q2640" i="113"/>
  <c r="Q2639" i="113"/>
  <c r="Q2638" i="113"/>
  <c r="Q2637" i="113"/>
  <c r="Q2636" i="113"/>
  <c r="Q2635" i="113"/>
  <c r="Q2634" i="113"/>
  <c r="Q2633" i="113"/>
  <c r="Q2632" i="113"/>
  <c r="Q2631" i="113"/>
  <c r="Q2630" i="113"/>
  <c r="Q2629" i="113"/>
  <c r="Q2628" i="113"/>
  <c r="Q2627" i="113"/>
  <c r="Q2626" i="113"/>
  <c r="Q2625" i="113"/>
  <c r="Q2624" i="113"/>
  <c r="Q2623" i="113"/>
  <c r="Q2622" i="113"/>
  <c r="Q2621" i="113"/>
  <c r="Q2620" i="113"/>
  <c r="Q2619" i="113"/>
  <c r="Q2618" i="113"/>
  <c r="Q2617" i="113"/>
  <c r="Q2616" i="113"/>
  <c r="Q2615" i="113"/>
  <c r="Q2614" i="113"/>
  <c r="Q2613" i="113"/>
  <c r="Q2612" i="113"/>
  <c r="Q2611" i="113"/>
  <c r="Q2610" i="113"/>
  <c r="Q2609" i="113"/>
  <c r="Q2608" i="113"/>
  <c r="Q2607" i="113"/>
  <c r="Q2606" i="113"/>
  <c r="Q2605" i="113"/>
  <c r="Q2604" i="113"/>
  <c r="Q2603" i="113"/>
  <c r="Q2602" i="113"/>
  <c r="Q2601" i="113"/>
  <c r="Q2600" i="113"/>
  <c r="Q2599" i="113"/>
  <c r="Q2598" i="113"/>
  <c r="Q2597" i="113"/>
  <c r="Q2596" i="113"/>
  <c r="Q2595" i="113"/>
  <c r="Q2594" i="113"/>
  <c r="Q2593" i="113"/>
  <c r="Q2592" i="113"/>
  <c r="Q2591" i="113"/>
  <c r="Q2590" i="113"/>
  <c r="Q2589" i="113"/>
  <c r="Q2588" i="113"/>
  <c r="Q2587" i="113"/>
  <c r="Q2586" i="113"/>
  <c r="Q2585" i="113"/>
  <c r="Q2584" i="113"/>
  <c r="Q2583" i="113"/>
  <c r="Q2582" i="113"/>
  <c r="Q2581" i="113"/>
  <c r="Q2580" i="113"/>
  <c r="Q2579" i="113"/>
  <c r="Q2578" i="113"/>
  <c r="Q2577" i="113"/>
  <c r="Q2576" i="113"/>
  <c r="Q2575" i="113"/>
  <c r="Q2574" i="113"/>
  <c r="Q2573" i="113"/>
  <c r="Q2572" i="113"/>
  <c r="Q2571" i="113"/>
  <c r="Q2570" i="113"/>
  <c r="Q2569" i="113"/>
  <c r="Q2568" i="113"/>
  <c r="Q2567" i="113"/>
  <c r="Q2566" i="113"/>
  <c r="Q2565" i="113"/>
  <c r="Q2564" i="113"/>
  <c r="Q2563" i="113"/>
  <c r="Q2562" i="113"/>
  <c r="Q2561" i="113"/>
  <c r="Q2560" i="113"/>
  <c r="Q2559" i="113"/>
  <c r="Q2558" i="113"/>
  <c r="Q2557" i="113"/>
  <c r="Q2556" i="113"/>
  <c r="Q2555" i="113"/>
  <c r="Q2554" i="113"/>
  <c r="Q2553" i="113"/>
  <c r="Q2552" i="113"/>
  <c r="Q2551" i="113"/>
  <c r="Q2550" i="113"/>
  <c r="Q2549" i="113"/>
  <c r="Q2548" i="113"/>
  <c r="Q2547" i="113"/>
  <c r="Q2546" i="113"/>
  <c r="Q2545" i="113"/>
  <c r="Q2544" i="113"/>
  <c r="Q2543" i="113"/>
  <c r="Q2542" i="113"/>
  <c r="Q2541" i="113"/>
  <c r="Q2540" i="113"/>
  <c r="Q2539" i="113"/>
  <c r="Q2538" i="113"/>
  <c r="Q2537" i="113"/>
  <c r="Q2536" i="113"/>
  <c r="Q2535" i="113"/>
  <c r="Q2534" i="113"/>
  <c r="Q2533" i="113"/>
  <c r="Q2532" i="113"/>
  <c r="Q2531" i="113"/>
  <c r="Q2530" i="113"/>
  <c r="Q2529" i="113"/>
  <c r="Q2528" i="113"/>
  <c r="Q2527" i="113"/>
  <c r="Q2526" i="113"/>
  <c r="Q2525" i="113"/>
  <c r="Q2524" i="113"/>
  <c r="Q2523" i="113"/>
  <c r="Q2522" i="113"/>
  <c r="Q2521" i="113"/>
  <c r="Q2520" i="113"/>
  <c r="Q2519" i="113"/>
  <c r="Q2518" i="113"/>
  <c r="Q2517" i="113"/>
  <c r="Q2516" i="113"/>
  <c r="Q2515" i="113"/>
  <c r="Q2514" i="113"/>
  <c r="Q2513" i="113"/>
  <c r="Q2512" i="113"/>
  <c r="Q2511" i="113"/>
  <c r="Q2510" i="113"/>
  <c r="Q2509" i="113"/>
  <c r="Q2508" i="113"/>
  <c r="Q2507" i="113"/>
  <c r="Q2506" i="113"/>
  <c r="Q2505" i="113"/>
  <c r="Q2504" i="113"/>
  <c r="Q2503" i="113"/>
  <c r="Q2502" i="113"/>
  <c r="Q2501" i="113"/>
  <c r="Q2500" i="113"/>
  <c r="Q2499" i="113"/>
  <c r="Q2498" i="113"/>
  <c r="Q2497" i="113"/>
  <c r="Q2496" i="113"/>
  <c r="Q2495" i="113"/>
  <c r="Q2494" i="113"/>
  <c r="Q2493" i="113"/>
  <c r="Q2492" i="113"/>
  <c r="Q2491" i="113"/>
  <c r="Q2490" i="113"/>
  <c r="Q2489" i="113"/>
  <c r="Q2488" i="113"/>
  <c r="Q2487" i="113"/>
  <c r="Q2486" i="113"/>
  <c r="Q2485" i="113"/>
  <c r="Q2484" i="113"/>
  <c r="Q2483" i="113"/>
  <c r="Q2482" i="113"/>
  <c r="Q2481" i="113"/>
  <c r="Q2480" i="113"/>
  <c r="Q2479" i="113"/>
  <c r="Q2478" i="113"/>
  <c r="Q2477" i="113"/>
  <c r="Q2476" i="113"/>
  <c r="Q2475" i="113"/>
  <c r="Q2474" i="113"/>
  <c r="Q2473" i="113"/>
  <c r="Q2472" i="113"/>
  <c r="Q2471" i="113"/>
  <c r="Q2470" i="113"/>
  <c r="Q2469" i="113"/>
  <c r="Q2468" i="113"/>
  <c r="Q2467" i="113"/>
  <c r="Q2466" i="113"/>
  <c r="Q2465" i="113"/>
  <c r="Q2464" i="113"/>
  <c r="Q2463" i="113"/>
  <c r="Q2462" i="113"/>
  <c r="Q2461" i="113"/>
  <c r="Q2460" i="113"/>
  <c r="Q2459" i="113"/>
  <c r="Q2458" i="113"/>
  <c r="Q2457" i="113"/>
  <c r="Q2456" i="113"/>
  <c r="Q2455" i="113"/>
  <c r="Q2454" i="113"/>
  <c r="Q2453" i="113"/>
  <c r="Q2452" i="113"/>
  <c r="Q2451" i="113"/>
  <c r="Q2450" i="113"/>
  <c r="Q2449" i="113"/>
  <c r="Q2448" i="113"/>
  <c r="Q2447" i="113"/>
  <c r="Q2446" i="113"/>
  <c r="Q2445" i="113"/>
  <c r="Q2444" i="113"/>
  <c r="Q2443" i="113"/>
  <c r="Q2442" i="113"/>
  <c r="Q2441" i="113"/>
  <c r="Q2440" i="113"/>
  <c r="Q2439" i="113"/>
  <c r="Q2438" i="113"/>
  <c r="Q2437" i="113"/>
  <c r="Q2436" i="113"/>
  <c r="Q2435" i="113"/>
  <c r="Q2434" i="113"/>
  <c r="Q2433" i="113"/>
  <c r="Q2432" i="113"/>
  <c r="Q2431" i="113"/>
  <c r="Q2430" i="113"/>
  <c r="Q2429" i="113"/>
  <c r="Q2428" i="113"/>
  <c r="Q2427" i="113"/>
  <c r="Q2426" i="113"/>
  <c r="Q2425" i="113"/>
  <c r="Q2424" i="113"/>
  <c r="Q2423" i="113"/>
  <c r="Q2422" i="113"/>
  <c r="Q2421" i="113"/>
  <c r="Q2420" i="113"/>
  <c r="Q2419" i="113"/>
  <c r="Q2418" i="113"/>
  <c r="Q2417" i="113"/>
  <c r="Q2416" i="113"/>
  <c r="Q2415" i="113"/>
  <c r="Q2414" i="113"/>
  <c r="Q2413" i="113"/>
  <c r="Q2412" i="113"/>
  <c r="Q2411" i="113"/>
  <c r="Q2410" i="113"/>
  <c r="Q2409" i="113"/>
  <c r="Q2408" i="113"/>
  <c r="Q2407" i="113"/>
  <c r="Q2406" i="113"/>
  <c r="Q2405" i="113"/>
  <c r="Q2404" i="113"/>
  <c r="Q2403" i="113"/>
  <c r="Q2402" i="113"/>
  <c r="Q2401" i="113"/>
  <c r="Q2400" i="113"/>
  <c r="Q2399" i="113"/>
  <c r="Q2398" i="113"/>
  <c r="Q2397" i="113"/>
  <c r="Q2396" i="113"/>
  <c r="Q2395" i="113"/>
  <c r="Q2394" i="113"/>
  <c r="Q2393" i="113"/>
  <c r="Q2392" i="113"/>
  <c r="Q2391" i="113"/>
  <c r="Q2390" i="113"/>
  <c r="Q2389" i="113"/>
  <c r="Q2388" i="113"/>
  <c r="Q2387" i="113"/>
  <c r="Q2386" i="113"/>
  <c r="Q2385" i="113"/>
  <c r="Q2384" i="113"/>
  <c r="Q2383" i="113"/>
  <c r="Q2382" i="113"/>
  <c r="Q2381" i="113"/>
  <c r="Q2380" i="113"/>
  <c r="Q2379" i="113"/>
  <c r="Q2378" i="113"/>
  <c r="Q2377" i="113"/>
  <c r="Q2376" i="113"/>
  <c r="Q2375" i="113"/>
  <c r="Q2374" i="113"/>
  <c r="Q2373" i="113"/>
  <c r="Q2372" i="113"/>
  <c r="Q2371" i="113"/>
  <c r="Q2370" i="113"/>
  <c r="Q2369" i="113"/>
  <c r="Q2368" i="113"/>
  <c r="Q2367" i="113"/>
  <c r="Q2366" i="113"/>
  <c r="Q2365" i="113"/>
  <c r="Q2364" i="113"/>
  <c r="Q2363" i="113"/>
  <c r="Q2362" i="113"/>
  <c r="Q2361" i="113"/>
  <c r="Q2360" i="113"/>
  <c r="Q2359" i="113"/>
  <c r="Q2358" i="113"/>
  <c r="Q2357" i="113"/>
  <c r="Q2356" i="113"/>
  <c r="Q2355" i="113"/>
  <c r="Q2354" i="113"/>
  <c r="Q2353" i="113"/>
  <c r="Q2352" i="113"/>
  <c r="Q2351" i="113"/>
  <c r="Q2350" i="113"/>
  <c r="Q2349" i="113"/>
  <c r="Q2348" i="113"/>
  <c r="Q2347" i="113"/>
  <c r="Q2346" i="113"/>
  <c r="Q2345" i="113"/>
  <c r="Q2344" i="113"/>
  <c r="Q2343" i="113"/>
  <c r="Q2342" i="113"/>
  <c r="Q2341" i="113"/>
  <c r="Q2340" i="113"/>
  <c r="Q2339" i="113"/>
  <c r="Q2338" i="113"/>
  <c r="Q2337" i="113"/>
  <c r="Q2336" i="113"/>
  <c r="Q2335" i="113"/>
  <c r="Q2334" i="113"/>
  <c r="Q2333" i="113"/>
  <c r="Q2332" i="113"/>
  <c r="Q2331" i="113"/>
  <c r="Q2330" i="113"/>
  <c r="Q2329" i="113"/>
  <c r="Q2328" i="113"/>
  <c r="Q2327" i="113"/>
  <c r="Q2326" i="113"/>
  <c r="Q2325" i="113"/>
  <c r="Q2324" i="113"/>
  <c r="Q2323" i="113"/>
  <c r="Q2322" i="113"/>
  <c r="Q2321" i="113"/>
  <c r="Q2320" i="113"/>
  <c r="Q2319" i="113"/>
  <c r="Q2318" i="113"/>
  <c r="Q2317" i="113"/>
  <c r="Q2316" i="113"/>
  <c r="Q2315" i="113"/>
  <c r="Q2314" i="113"/>
  <c r="Q2313" i="113"/>
  <c r="Q2312" i="113"/>
  <c r="Q2311" i="113"/>
  <c r="Q2310" i="113"/>
  <c r="Q2309" i="113"/>
  <c r="Q2308" i="113"/>
  <c r="Q2307" i="113"/>
  <c r="Q2306" i="113"/>
  <c r="Q2305" i="113"/>
  <c r="Q2304" i="113"/>
  <c r="Q2303" i="113"/>
  <c r="Q2302" i="113"/>
  <c r="Q2301" i="113"/>
  <c r="Q2300" i="113"/>
  <c r="Q2299" i="113"/>
  <c r="Q2298" i="113"/>
  <c r="Q2297" i="113"/>
  <c r="Q2296" i="113"/>
  <c r="Q2295" i="113"/>
  <c r="Q2294" i="113"/>
  <c r="Q2293" i="113"/>
  <c r="Q2292" i="113"/>
  <c r="Q2291" i="113"/>
  <c r="Q2290" i="113"/>
  <c r="Q2289" i="113"/>
  <c r="Q2288" i="113"/>
  <c r="Q2287" i="113"/>
  <c r="Q2286" i="113"/>
  <c r="Q2285" i="113"/>
  <c r="Q2284" i="113"/>
  <c r="Q2283" i="113"/>
  <c r="Q2282" i="113"/>
  <c r="Q2281" i="113"/>
  <c r="Q2280" i="113"/>
  <c r="Q2279" i="113"/>
  <c r="Q2278" i="113"/>
  <c r="Q2277" i="113"/>
  <c r="Q2276" i="113"/>
  <c r="Q2275" i="113"/>
  <c r="Q2274" i="113"/>
  <c r="Q2273" i="113"/>
  <c r="Q2272" i="113"/>
  <c r="Q2271" i="113"/>
  <c r="Q2270" i="113"/>
  <c r="Q2269" i="113"/>
  <c r="Q2268" i="113"/>
  <c r="Q2267" i="113"/>
  <c r="Q2266" i="113"/>
  <c r="Q2265" i="113"/>
  <c r="Q2264" i="113"/>
  <c r="Q2263" i="113"/>
  <c r="Q2262" i="113"/>
  <c r="Q2261" i="113"/>
  <c r="Q2260" i="113"/>
  <c r="Q2259" i="113"/>
  <c r="Q2258" i="113"/>
  <c r="Q2257" i="113"/>
  <c r="Q2256" i="113"/>
  <c r="Q2255" i="113"/>
  <c r="Q2254" i="113"/>
  <c r="Q2253" i="113"/>
  <c r="Q2252" i="113"/>
  <c r="Q2251" i="113"/>
  <c r="Q2250" i="113"/>
  <c r="Q2249" i="113"/>
  <c r="Q2248" i="113"/>
  <c r="Q2247" i="113"/>
  <c r="Q2246" i="113"/>
  <c r="Q2245" i="113"/>
  <c r="Q2244" i="113"/>
  <c r="Q2243" i="113"/>
  <c r="Q2242" i="113"/>
  <c r="Q2241" i="113"/>
  <c r="Q2240" i="113"/>
  <c r="Q2239" i="113"/>
  <c r="Q2238" i="113"/>
  <c r="Q2237" i="113"/>
  <c r="Q2236" i="113"/>
  <c r="Q2235" i="113"/>
  <c r="Q2234" i="113"/>
  <c r="Q2233" i="113"/>
  <c r="Q2232" i="113"/>
  <c r="Q2231" i="113"/>
  <c r="Q2230" i="113"/>
  <c r="Q2229" i="113"/>
  <c r="Q2228" i="113"/>
  <c r="Q2227" i="113"/>
  <c r="Q2226" i="113"/>
  <c r="Q2225" i="113"/>
  <c r="Q2224" i="113"/>
  <c r="Q2223" i="113"/>
  <c r="Q2222" i="113"/>
  <c r="Q2221" i="113"/>
  <c r="Q2220" i="113"/>
  <c r="Q2219" i="113"/>
  <c r="Q2218" i="113"/>
  <c r="Q2217" i="113"/>
  <c r="Q2216" i="113"/>
  <c r="Q2215" i="113"/>
  <c r="Q2214" i="113"/>
  <c r="Q2213" i="113"/>
  <c r="Q2212" i="113"/>
  <c r="Q2211" i="113"/>
  <c r="Q2210" i="113"/>
  <c r="Q2209" i="113"/>
  <c r="Q2208" i="113"/>
  <c r="Q2207" i="113"/>
  <c r="Q2206" i="113"/>
  <c r="Q2205" i="113"/>
  <c r="Q2204" i="113"/>
  <c r="Q2203" i="113"/>
  <c r="Q2202" i="113"/>
  <c r="Q2201" i="113"/>
  <c r="Q2200" i="113"/>
  <c r="Q2199" i="113"/>
  <c r="Q2198" i="113"/>
  <c r="Q2197" i="113"/>
  <c r="Q2196" i="113"/>
  <c r="Q2195" i="113"/>
  <c r="Q2194" i="113"/>
  <c r="Q2193" i="113"/>
  <c r="Q2192" i="113"/>
  <c r="Q2191" i="113"/>
  <c r="Q2190" i="113"/>
  <c r="Q2189" i="113"/>
  <c r="Q2188" i="113"/>
  <c r="Q2187" i="113"/>
  <c r="Q2186" i="113"/>
  <c r="Q2185" i="113"/>
  <c r="Q2184" i="113"/>
  <c r="Q2183" i="113"/>
  <c r="Q2182" i="113"/>
  <c r="Q2181" i="113"/>
  <c r="Q2180" i="113"/>
  <c r="Q2179" i="113"/>
  <c r="Q2178" i="113"/>
  <c r="Q2177" i="113"/>
  <c r="Q2176" i="113"/>
  <c r="Q2175" i="113"/>
  <c r="Q2174" i="113"/>
  <c r="Q2173" i="113"/>
  <c r="Q2172" i="113"/>
  <c r="Q2171" i="113"/>
  <c r="Q2170" i="113"/>
  <c r="Q2169" i="113"/>
  <c r="Q2168" i="113"/>
  <c r="Q2167" i="113"/>
  <c r="Q2166" i="113"/>
  <c r="Q2165" i="113"/>
  <c r="Q2164" i="113"/>
  <c r="Q2163" i="113"/>
  <c r="Q2162" i="113"/>
  <c r="Q2161" i="113"/>
  <c r="Q2160" i="113"/>
  <c r="Q2159" i="113"/>
  <c r="Q2158" i="113"/>
  <c r="Q2157" i="113"/>
  <c r="Q2156" i="113"/>
  <c r="Q2155" i="113"/>
  <c r="Q2154" i="113"/>
  <c r="Q2153" i="113"/>
  <c r="Q2152" i="113"/>
  <c r="Q2151" i="113"/>
  <c r="Q2150" i="113"/>
  <c r="Q2149" i="113"/>
  <c r="Q2148" i="113"/>
  <c r="Q2147" i="113"/>
  <c r="Q2146" i="113"/>
  <c r="Q2145" i="113"/>
  <c r="Q2144" i="113"/>
  <c r="Q2143" i="113"/>
  <c r="Q2142" i="113"/>
  <c r="Q2141" i="113"/>
  <c r="Q2140" i="113"/>
  <c r="Q2139" i="113"/>
  <c r="Q2138" i="113"/>
  <c r="Q2137" i="113"/>
  <c r="Q2136" i="113"/>
  <c r="Q2135" i="113"/>
  <c r="Q2134" i="113"/>
  <c r="Q2133" i="113"/>
  <c r="Q2132" i="113"/>
  <c r="Q2131" i="113"/>
  <c r="Q2130" i="113"/>
  <c r="Q2129" i="113"/>
  <c r="Q2128" i="113"/>
  <c r="Q2127" i="113"/>
  <c r="Q2126" i="113"/>
  <c r="Q2125" i="113"/>
  <c r="Q2124" i="113"/>
  <c r="Q2123" i="113"/>
  <c r="Q2122" i="113"/>
  <c r="Q2121" i="113"/>
  <c r="Q2120" i="113"/>
  <c r="Q2119" i="113"/>
  <c r="Q2118" i="113"/>
  <c r="Q2117" i="113"/>
  <c r="Q2116" i="113"/>
  <c r="Q2115" i="113"/>
  <c r="Q2114" i="113"/>
  <c r="Q2113" i="113"/>
  <c r="Q2112" i="113"/>
  <c r="Q2111" i="113"/>
  <c r="Q2110" i="113"/>
  <c r="Q2109" i="113"/>
  <c r="Q2108" i="113"/>
  <c r="Q2107" i="113"/>
  <c r="Q2106" i="113"/>
  <c r="Q2105" i="113"/>
  <c r="Q2104" i="113"/>
  <c r="Q2103" i="113"/>
  <c r="Q2102" i="113"/>
  <c r="Q2101" i="113"/>
  <c r="Q2100" i="113"/>
  <c r="Q2099" i="113"/>
  <c r="Q2098" i="113"/>
  <c r="Q2097" i="113"/>
  <c r="Q2096" i="113"/>
  <c r="Q2095" i="113"/>
  <c r="Q2094" i="113"/>
  <c r="Q2093" i="113"/>
  <c r="Q2092" i="113"/>
  <c r="Q2091" i="113"/>
  <c r="Q2090" i="113"/>
  <c r="Q2089" i="113"/>
  <c r="Q2088" i="113"/>
  <c r="Q2087" i="113"/>
  <c r="Q2086" i="113"/>
  <c r="Q2085" i="113"/>
  <c r="Q2084" i="113"/>
  <c r="Q2083" i="113"/>
  <c r="Q2082" i="113"/>
  <c r="Q2081" i="113"/>
  <c r="Q2080" i="113"/>
  <c r="Q2079" i="113"/>
  <c r="Q2078" i="113"/>
  <c r="Q2077" i="113"/>
  <c r="Q2076" i="113"/>
  <c r="Q2075" i="113"/>
  <c r="Q2074" i="113"/>
  <c r="Q2073" i="113"/>
  <c r="Q2072" i="113"/>
  <c r="Q2071" i="113"/>
  <c r="Q2070" i="113"/>
  <c r="Q2069" i="113"/>
  <c r="Q2068" i="113"/>
  <c r="Q2067" i="113"/>
  <c r="Q2066" i="113"/>
  <c r="Q2065" i="113"/>
  <c r="Q2064" i="113"/>
  <c r="Q2063" i="113"/>
  <c r="Q2062" i="113"/>
  <c r="Q2061" i="113"/>
  <c r="Q2060" i="113"/>
  <c r="Q2059" i="113"/>
  <c r="Q2058" i="113"/>
  <c r="Q2057" i="113"/>
  <c r="Q2056" i="113"/>
  <c r="Q2055" i="113"/>
  <c r="Q2054" i="113"/>
  <c r="Q2053" i="113"/>
  <c r="Q2052" i="113"/>
  <c r="Q2051" i="113"/>
  <c r="Q2050" i="113"/>
  <c r="Q2049" i="113"/>
  <c r="Q2048" i="113"/>
  <c r="Q2047" i="113"/>
  <c r="Q2046" i="113"/>
  <c r="Q2045" i="113"/>
  <c r="Q2044" i="113"/>
  <c r="Q2043" i="113"/>
  <c r="Q2042" i="113"/>
  <c r="Q2041" i="113"/>
  <c r="Q2040" i="113"/>
  <c r="Q2039" i="113"/>
  <c r="Q2038" i="113"/>
  <c r="Q2037" i="113"/>
  <c r="Q2036" i="113"/>
  <c r="Q2035" i="113"/>
  <c r="Q2034" i="113"/>
  <c r="Q2033" i="113"/>
  <c r="Q2032" i="113"/>
  <c r="Q2031" i="113"/>
  <c r="Q2030" i="113"/>
  <c r="Q2029" i="113"/>
  <c r="Q2028" i="113"/>
  <c r="Q2027" i="113"/>
  <c r="Q2026" i="113"/>
  <c r="Q2025" i="113"/>
  <c r="Q2024" i="113"/>
  <c r="Q2023" i="113"/>
  <c r="Q2022" i="113"/>
  <c r="Q2021" i="113"/>
  <c r="Q2020" i="113"/>
  <c r="Q2019" i="113"/>
  <c r="Q2018" i="113"/>
  <c r="Q2017" i="113"/>
  <c r="Q2016" i="113"/>
  <c r="Q2015" i="113"/>
  <c r="Q2014" i="113"/>
  <c r="Q2013" i="113"/>
  <c r="Q2012" i="113"/>
  <c r="Q2011" i="113"/>
  <c r="Q2010" i="113"/>
  <c r="Q2009" i="113"/>
  <c r="Q2008" i="113"/>
  <c r="Q2007" i="113"/>
  <c r="Q2006" i="113"/>
  <c r="Q2005" i="113"/>
  <c r="Q2004" i="113"/>
  <c r="Q2003" i="113"/>
  <c r="Q2002" i="113"/>
  <c r="Q2001" i="113"/>
  <c r="Q2000" i="113"/>
  <c r="Q1999" i="113"/>
  <c r="Q1998" i="113"/>
  <c r="Q1997" i="113"/>
  <c r="Q1996" i="113"/>
  <c r="Q1995" i="113"/>
  <c r="Q1994" i="113"/>
  <c r="Q1993" i="113"/>
  <c r="Q1992" i="113"/>
  <c r="Q1991" i="113"/>
  <c r="Q1990" i="113"/>
  <c r="Q1989" i="113"/>
  <c r="Q1988" i="113"/>
  <c r="Q1987" i="113"/>
  <c r="Q1986" i="113"/>
  <c r="Q1985" i="113"/>
  <c r="Q1984" i="113"/>
  <c r="Q1983" i="113"/>
  <c r="Q1982" i="113"/>
  <c r="Q1981" i="113"/>
  <c r="Q1980" i="113"/>
  <c r="Q1979" i="113"/>
  <c r="Q1978" i="113"/>
  <c r="Q1977" i="113"/>
  <c r="Q1976" i="113"/>
  <c r="Q1975" i="113"/>
  <c r="Q1974" i="113"/>
  <c r="Q1973" i="113"/>
  <c r="Q1972" i="113"/>
  <c r="Q1971" i="113"/>
  <c r="Q1970" i="113"/>
  <c r="Q1969" i="113"/>
  <c r="Q1968" i="113"/>
  <c r="Q1967" i="113"/>
  <c r="Q1966" i="113"/>
  <c r="Q1965" i="113"/>
  <c r="Q1964" i="113"/>
  <c r="Q1963" i="113"/>
  <c r="Q1962" i="113"/>
  <c r="Q1961" i="113"/>
  <c r="Q1960" i="113"/>
  <c r="Q1959" i="113"/>
  <c r="Q1958" i="113"/>
  <c r="Q1957" i="113"/>
  <c r="Q1956" i="113"/>
  <c r="Q1955" i="113"/>
  <c r="Q1954" i="113"/>
  <c r="Q1953" i="113"/>
  <c r="Q1952" i="113"/>
  <c r="Q1951" i="113"/>
  <c r="Q1950" i="113"/>
  <c r="Q1949" i="113"/>
  <c r="Q1948" i="113"/>
  <c r="Q1947" i="113"/>
  <c r="Q1946" i="113"/>
  <c r="Q1945" i="113"/>
  <c r="Q1944" i="113"/>
  <c r="Q1943" i="113"/>
  <c r="Q1942" i="113"/>
  <c r="Q1941" i="113"/>
  <c r="Q1940" i="113"/>
  <c r="Q1939" i="113"/>
  <c r="Q1938" i="113"/>
  <c r="Q1937" i="113"/>
  <c r="Q1936" i="113"/>
  <c r="Q1935" i="113"/>
  <c r="Q1934" i="113"/>
  <c r="Q1933" i="113"/>
  <c r="Q1932" i="113"/>
  <c r="Q1931" i="113"/>
  <c r="Q1930" i="113"/>
  <c r="Q1929" i="113"/>
  <c r="Q1928" i="113"/>
  <c r="Q1927" i="113"/>
  <c r="Q1926" i="113"/>
  <c r="Q1925" i="113"/>
  <c r="Q1924" i="113"/>
  <c r="Q1923" i="113"/>
  <c r="Q1922" i="113"/>
  <c r="Q1921" i="113"/>
  <c r="Q1920" i="113"/>
  <c r="Q1919" i="113"/>
  <c r="Q1918" i="113"/>
  <c r="Q1917" i="113"/>
  <c r="Q1916" i="113"/>
  <c r="Q1915" i="113"/>
  <c r="Q1914" i="113"/>
  <c r="Q1913" i="113"/>
  <c r="Q1912" i="113"/>
  <c r="Q1911" i="113"/>
  <c r="Q1910" i="113"/>
  <c r="Q1909" i="113"/>
  <c r="Q1908" i="113"/>
  <c r="Q1907" i="113"/>
  <c r="Q1906" i="113"/>
  <c r="Q1905" i="113"/>
  <c r="Q1904" i="113"/>
  <c r="Q1903" i="113"/>
  <c r="Q1902" i="113"/>
  <c r="Q1901" i="113"/>
  <c r="Q1900" i="113"/>
  <c r="Q1899" i="113"/>
  <c r="Q1898" i="113"/>
  <c r="Q1897" i="113"/>
  <c r="Q1896" i="113"/>
  <c r="Q1895" i="113"/>
  <c r="Q1894" i="113"/>
  <c r="Q1893" i="113"/>
  <c r="Q1892" i="113"/>
  <c r="Q1891" i="113"/>
  <c r="Q1890" i="113"/>
  <c r="Q1889" i="113"/>
  <c r="Q1888" i="113"/>
  <c r="Q1887" i="113"/>
  <c r="Q1886" i="113"/>
  <c r="Q1885" i="113"/>
  <c r="Q1884" i="113"/>
  <c r="Q1883" i="113"/>
  <c r="Q1882" i="113"/>
  <c r="Q1881" i="113"/>
  <c r="Q1880" i="113"/>
  <c r="Q1879" i="113"/>
  <c r="Q1878" i="113"/>
  <c r="Q1877" i="113"/>
  <c r="Q1876" i="113"/>
  <c r="Q1875" i="113"/>
  <c r="Q1874" i="113"/>
  <c r="Q1873" i="113"/>
  <c r="Q1872" i="113"/>
  <c r="Q1871" i="113"/>
  <c r="Q1870" i="113"/>
  <c r="Q1869" i="113"/>
  <c r="Q1868" i="113"/>
  <c r="Q1867" i="113"/>
  <c r="Q1866" i="113"/>
  <c r="Q1865" i="113"/>
  <c r="Q1864" i="113"/>
  <c r="Q1863" i="113"/>
  <c r="Q1862" i="113"/>
  <c r="Q1861" i="113"/>
  <c r="Q1860" i="113"/>
  <c r="Q1859" i="113"/>
  <c r="Q1858" i="113"/>
  <c r="Q1857" i="113"/>
  <c r="Q1856" i="113"/>
  <c r="Q1855" i="113"/>
  <c r="Q1854" i="113"/>
  <c r="Q1853" i="113"/>
  <c r="Q1852" i="113"/>
  <c r="Q1851" i="113"/>
  <c r="Q1850" i="113"/>
  <c r="Q1849" i="113"/>
  <c r="Q1848" i="113"/>
  <c r="Q1847" i="113"/>
  <c r="Q1846" i="113"/>
  <c r="Q1845" i="113"/>
  <c r="Q1844" i="113"/>
  <c r="Q1843" i="113"/>
  <c r="Q1842" i="113"/>
  <c r="Q1841" i="113"/>
  <c r="Q1840" i="113"/>
  <c r="Q1839" i="113"/>
  <c r="Q1838" i="113"/>
  <c r="Q1837" i="113"/>
  <c r="Q1836" i="113"/>
  <c r="Q1835" i="113"/>
  <c r="Q1834" i="113"/>
  <c r="Q1833" i="113"/>
  <c r="Q1832" i="113"/>
  <c r="Q1831" i="113"/>
  <c r="Q1830" i="113"/>
  <c r="Q1829" i="113"/>
  <c r="Q1828" i="113"/>
  <c r="Q1827" i="113"/>
  <c r="Q1826" i="113"/>
  <c r="Q1825" i="113"/>
  <c r="Q1824" i="113"/>
  <c r="Q1823" i="113"/>
  <c r="Q1822" i="113"/>
  <c r="Q1821" i="113"/>
  <c r="Q1820" i="113"/>
  <c r="Q1819" i="113"/>
  <c r="Q1818" i="113"/>
  <c r="Q1817" i="113"/>
  <c r="Q1816" i="113"/>
  <c r="Q1815" i="113"/>
  <c r="Q1814" i="113"/>
  <c r="Q1813" i="113"/>
  <c r="Q1812" i="113"/>
  <c r="Q1811" i="113"/>
  <c r="Q1810" i="113"/>
  <c r="Q1809" i="113"/>
  <c r="Q1808" i="113"/>
  <c r="Q1807" i="113"/>
  <c r="Q1806" i="113"/>
  <c r="Q1805" i="113"/>
  <c r="Q1804" i="113"/>
  <c r="Q1803" i="113"/>
  <c r="Q1802" i="113"/>
  <c r="Q1801" i="113"/>
  <c r="Q1800" i="113"/>
  <c r="Q1799" i="113"/>
  <c r="Q1798" i="113"/>
  <c r="Q1797" i="113"/>
  <c r="Q1796" i="113"/>
  <c r="Q1795" i="113"/>
  <c r="Q1794" i="113"/>
  <c r="Q1793" i="113"/>
  <c r="Q1792" i="113"/>
  <c r="Q1791" i="113"/>
  <c r="Q1790" i="113"/>
  <c r="Q1789" i="113"/>
  <c r="Q1788" i="113"/>
  <c r="Q1787" i="113"/>
  <c r="Q1786" i="113"/>
  <c r="Q1785" i="113"/>
  <c r="Q1784" i="113"/>
  <c r="Q1783" i="113"/>
  <c r="Q1782" i="113"/>
  <c r="Q1781" i="113"/>
  <c r="Q1780" i="113"/>
  <c r="Q1779" i="113"/>
  <c r="Q1778" i="113"/>
  <c r="Q1777" i="113"/>
  <c r="Q1776" i="113"/>
  <c r="Q1775" i="113"/>
  <c r="Q1774" i="113"/>
  <c r="Q1773" i="113"/>
  <c r="Q1772" i="113"/>
  <c r="Q1771" i="113"/>
  <c r="Q1770" i="113"/>
  <c r="Q1769" i="113"/>
  <c r="Q1768" i="113"/>
  <c r="Q1767" i="113"/>
  <c r="Q1766" i="113"/>
  <c r="Q1765" i="113"/>
  <c r="Q1764" i="113"/>
  <c r="Q1763" i="113"/>
  <c r="Q1762" i="113"/>
  <c r="Q1761" i="113"/>
  <c r="Q1760" i="113"/>
  <c r="Q1759" i="113"/>
  <c r="Q1758" i="113"/>
  <c r="Q1757" i="113"/>
  <c r="Q1756" i="113"/>
  <c r="Q1755" i="113"/>
  <c r="Q1754" i="113"/>
  <c r="Q1753" i="113"/>
  <c r="Q1752" i="113"/>
  <c r="Q1751" i="113"/>
  <c r="Q1750" i="113"/>
  <c r="Q1749" i="113"/>
  <c r="Q1748" i="113"/>
  <c r="Q1747" i="113"/>
  <c r="Q1746" i="113"/>
  <c r="Q1745" i="113"/>
  <c r="Q1744" i="113"/>
  <c r="Q1743" i="113"/>
  <c r="Q1742" i="113"/>
  <c r="Q1741" i="113"/>
  <c r="Q1740" i="113"/>
  <c r="Q1739" i="113"/>
  <c r="Q1738" i="113"/>
  <c r="Q1737" i="113"/>
  <c r="Q1736" i="113"/>
  <c r="Q1735" i="113"/>
  <c r="Q1734" i="113"/>
  <c r="Q1733" i="113"/>
  <c r="Q1732" i="113"/>
  <c r="Q1731" i="113"/>
  <c r="Q1730" i="113"/>
  <c r="Q1729" i="113"/>
  <c r="Q1728" i="113"/>
  <c r="Q1727" i="113"/>
  <c r="Q1726" i="113"/>
  <c r="Q1725" i="113"/>
  <c r="Q1724" i="113"/>
  <c r="Q1723" i="113"/>
  <c r="Q1722" i="113"/>
  <c r="Q1721" i="113"/>
  <c r="Q1720" i="113"/>
  <c r="Q1719" i="113"/>
  <c r="Q1718" i="113"/>
  <c r="Q1717" i="113"/>
  <c r="Q1716" i="113"/>
  <c r="Q1715" i="113"/>
  <c r="Q1714" i="113"/>
  <c r="Q1713" i="113"/>
  <c r="Q1712" i="113"/>
  <c r="Q1711" i="113"/>
  <c r="Q1710" i="113"/>
  <c r="Q1709" i="113"/>
  <c r="Q1708" i="113"/>
  <c r="Q1707" i="113"/>
  <c r="Q1706" i="113"/>
  <c r="Q1705" i="113"/>
  <c r="Q1704" i="113"/>
  <c r="Q1703" i="113"/>
  <c r="Q1702" i="113"/>
  <c r="Q1701" i="113"/>
  <c r="Q1700" i="113"/>
  <c r="Q1699" i="113"/>
  <c r="Q1698" i="113"/>
  <c r="Q1697" i="113"/>
  <c r="Q1696" i="113"/>
  <c r="Q1695" i="113"/>
  <c r="Q1694" i="113"/>
  <c r="Q1693" i="113"/>
  <c r="Q1692" i="113"/>
  <c r="Q1691" i="113"/>
  <c r="Q1690" i="113"/>
  <c r="Q1689" i="113"/>
  <c r="Q1688" i="113"/>
  <c r="Q1687" i="113"/>
  <c r="Q1686" i="113"/>
  <c r="Q1685" i="113"/>
  <c r="Q1684" i="113"/>
  <c r="Q1683" i="113"/>
  <c r="Q1682" i="113"/>
  <c r="Q1681" i="113"/>
  <c r="Q1680" i="113"/>
  <c r="Q1679" i="113"/>
  <c r="Q1678" i="113"/>
  <c r="Q1677" i="113"/>
  <c r="Q1676" i="113"/>
  <c r="Q1675" i="113"/>
  <c r="Q1674" i="113"/>
  <c r="Q1673" i="113"/>
  <c r="Q1672" i="113"/>
  <c r="Q1671" i="113"/>
  <c r="Q1670" i="113"/>
  <c r="Q1669" i="113"/>
  <c r="Q1668" i="113"/>
  <c r="Q1667" i="113"/>
  <c r="Q1666" i="113"/>
  <c r="Q1665" i="113"/>
  <c r="Q1664" i="113"/>
  <c r="Q1663" i="113"/>
  <c r="Q1662" i="113"/>
  <c r="Q1661" i="113"/>
  <c r="Q1660" i="113"/>
  <c r="Q1659" i="113"/>
  <c r="Q1658" i="113"/>
  <c r="Q1657" i="113"/>
  <c r="Q1656" i="113"/>
  <c r="Q1655" i="113"/>
  <c r="Q1654" i="113"/>
  <c r="Q1653" i="113"/>
  <c r="Q1652" i="113"/>
  <c r="Q1651" i="113"/>
  <c r="Q1650" i="113"/>
  <c r="Q1649" i="113"/>
  <c r="Q1648" i="113"/>
  <c r="Q1647" i="113"/>
  <c r="Q1646" i="113"/>
  <c r="Q1645" i="113"/>
  <c r="Q1644" i="113"/>
  <c r="Q1643" i="113"/>
  <c r="Q1642" i="113"/>
  <c r="Q1641" i="113"/>
  <c r="Q1640" i="113"/>
  <c r="Q1639" i="113"/>
  <c r="Q1638" i="113"/>
  <c r="Q1637" i="113"/>
  <c r="Q1636" i="113"/>
  <c r="Q1635" i="113"/>
  <c r="Q1634" i="113"/>
  <c r="Q1633" i="113"/>
  <c r="Q1632" i="113"/>
  <c r="Q1631" i="113"/>
  <c r="Q1630" i="113"/>
  <c r="Q1629" i="113"/>
  <c r="Q1628" i="113"/>
  <c r="Q1627" i="113"/>
  <c r="Q1626" i="113"/>
  <c r="Q1625" i="113"/>
  <c r="Q1624" i="113"/>
  <c r="Q1623" i="113"/>
  <c r="Q1622" i="113"/>
  <c r="Q1621" i="113"/>
  <c r="Q1620" i="113"/>
  <c r="Q1619" i="113"/>
  <c r="Q1618" i="113"/>
  <c r="Q1617" i="113"/>
  <c r="Q1616" i="113"/>
  <c r="Q1615" i="113"/>
  <c r="Q1614" i="113"/>
  <c r="Q1613" i="113"/>
  <c r="Q1612" i="113"/>
  <c r="Q1611" i="113"/>
  <c r="Q1610" i="113"/>
  <c r="Q1609" i="113"/>
  <c r="Q1608" i="113"/>
  <c r="Q1607" i="113"/>
  <c r="Q1606" i="113"/>
  <c r="Q1605" i="113"/>
  <c r="Q1604" i="113"/>
  <c r="Q1603" i="113"/>
  <c r="Q1602" i="113"/>
  <c r="Q1601" i="113"/>
  <c r="Q1600" i="113"/>
  <c r="Q1599" i="113"/>
  <c r="Q1598" i="113"/>
  <c r="Q1597" i="113"/>
  <c r="Q1596" i="113"/>
  <c r="Q1595" i="113"/>
  <c r="Q1594" i="113"/>
  <c r="Q1593" i="113"/>
  <c r="Q1592" i="113"/>
  <c r="Q1591" i="113"/>
  <c r="Q1590" i="113"/>
  <c r="Q1589" i="113"/>
  <c r="Q1588" i="113"/>
  <c r="Q1587" i="113"/>
  <c r="Q1586" i="113"/>
  <c r="Q1585" i="113"/>
  <c r="Q1584" i="113"/>
  <c r="Q1583" i="113"/>
  <c r="Q1582" i="113"/>
  <c r="Q1581" i="113"/>
  <c r="Q1580" i="113"/>
  <c r="Q1579" i="113"/>
  <c r="Q1578" i="113"/>
  <c r="Q1577" i="113"/>
  <c r="Q1576" i="113"/>
  <c r="Q1575" i="113"/>
  <c r="Q1574" i="113"/>
  <c r="Q1573" i="113"/>
  <c r="Q1572" i="113"/>
  <c r="Q1571" i="113"/>
  <c r="Q1570" i="113"/>
  <c r="Q1569" i="113"/>
  <c r="Q1568" i="113"/>
  <c r="Q1567" i="113"/>
  <c r="Q1566" i="113"/>
  <c r="Q1565" i="113"/>
  <c r="Q1564" i="113"/>
  <c r="Q1563" i="113"/>
  <c r="Q1562" i="113"/>
  <c r="Q1561" i="113"/>
  <c r="Q1560" i="113"/>
  <c r="Q1559" i="113"/>
  <c r="Q1558" i="113"/>
  <c r="Q1557" i="113"/>
  <c r="Q1556" i="113"/>
  <c r="Q1555" i="113"/>
  <c r="Q1554" i="113"/>
  <c r="Q1553" i="113"/>
  <c r="Q1552" i="113"/>
  <c r="Q1551" i="113"/>
  <c r="Q1550" i="113"/>
  <c r="Q1549" i="113"/>
  <c r="Q1548" i="113"/>
  <c r="Q1547" i="113"/>
  <c r="Q1546" i="113"/>
  <c r="Q1545" i="113"/>
  <c r="Q1544" i="113"/>
  <c r="Q1543" i="113"/>
  <c r="Q1542" i="113"/>
  <c r="Q1541" i="113"/>
  <c r="Q1540" i="113"/>
  <c r="Q1539" i="113"/>
  <c r="Q1538" i="113"/>
  <c r="Q1537" i="113"/>
  <c r="Q1536" i="113"/>
  <c r="Q1535" i="113"/>
  <c r="Q1534" i="113"/>
  <c r="Q1533" i="113"/>
  <c r="Q1532" i="113"/>
  <c r="Q1531" i="113"/>
  <c r="Q1530" i="113"/>
  <c r="Q1529" i="113"/>
  <c r="Q1528" i="113"/>
  <c r="Q1527" i="113"/>
  <c r="Q1526" i="113"/>
  <c r="Q1525" i="113"/>
  <c r="Q1524" i="113"/>
  <c r="Q1523" i="113"/>
  <c r="Q1522" i="113"/>
  <c r="Q1521" i="113"/>
  <c r="Q1520" i="113"/>
  <c r="Q1519" i="113"/>
  <c r="Q1518" i="113"/>
  <c r="Q1517" i="113"/>
  <c r="Q1516" i="113"/>
  <c r="Q1515" i="113"/>
  <c r="Q1514" i="113"/>
  <c r="Q1513" i="113"/>
  <c r="Q1512" i="113"/>
  <c r="Q1511" i="113"/>
  <c r="Q1510" i="113"/>
  <c r="Q1509" i="113"/>
  <c r="Q1508" i="113"/>
  <c r="Q1507" i="113"/>
  <c r="Q1506" i="113"/>
  <c r="Q1505" i="113"/>
  <c r="Q1504" i="113"/>
  <c r="Q1503" i="113"/>
  <c r="Q1502" i="113"/>
  <c r="Q1501" i="113"/>
  <c r="Q1500" i="113"/>
  <c r="Q1499" i="113"/>
  <c r="Q1498" i="113"/>
  <c r="Q1497" i="113"/>
  <c r="Q1496" i="113"/>
  <c r="Q1495" i="113"/>
  <c r="Q1494" i="113"/>
  <c r="Q1493" i="113"/>
  <c r="Q1492" i="113"/>
  <c r="Q1491" i="113"/>
  <c r="Q1490" i="113"/>
  <c r="Q1489" i="113"/>
  <c r="Q1488" i="113"/>
  <c r="Q1487" i="113"/>
  <c r="Q1486" i="113"/>
  <c r="Q1485" i="113"/>
  <c r="Q1484" i="113"/>
  <c r="Q1483" i="113"/>
  <c r="Q1482" i="113"/>
  <c r="Q1481" i="113"/>
  <c r="Q1480" i="113"/>
  <c r="Q1479" i="113"/>
  <c r="Q1478" i="113"/>
  <c r="Q1477" i="113"/>
  <c r="Q1476" i="113"/>
  <c r="Q1475" i="113"/>
  <c r="Q1474" i="113"/>
  <c r="Q1473" i="113"/>
  <c r="Q1472" i="113"/>
  <c r="Q1471" i="113"/>
  <c r="Q1470" i="113"/>
  <c r="Q1469" i="113"/>
  <c r="Q1468" i="113"/>
  <c r="Q1467" i="113"/>
  <c r="Q1466" i="113"/>
  <c r="Q1465" i="113"/>
  <c r="Q1464" i="113"/>
  <c r="Q1463" i="113"/>
  <c r="Q1462" i="113"/>
  <c r="Q1461" i="113"/>
  <c r="Q1460" i="113"/>
  <c r="Q1459" i="113"/>
  <c r="Q1458" i="113"/>
  <c r="Q1457" i="113"/>
  <c r="Q1456" i="113"/>
  <c r="Q1455" i="113"/>
  <c r="Q1454" i="113"/>
  <c r="Q1453" i="113"/>
  <c r="Q1452" i="113"/>
  <c r="Q1451" i="113"/>
  <c r="Q1450" i="113"/>
  <c r="Q1449" i="113"/>
  <c r="Q1448" i="113"/>
  <c r="Q1447" i="113"/>
  <c r="Q1446" i="113"/>
  <c r="Q1445" i="113"/>
  <c r="Q1444" i="113"/>
  <c r="Q1443" i="113"/>
  <c r="Q1442" i="113"/>
  <c r="Q1441" i="113"/>
  <c r="Q1440" i="113"/>
  <c r="Q1439" i="113"/>
  <c r="Q1438" i="113"/>
  <c r="Q1437" i="113"/>
  <c r="Q1436" i="113"/>
  <c r="Q1435" i="113"/>
  <c r="Q1434" i="113"/>
  <c r="Q1433" i="113"/>
  <c r="Q1432" i="113"/>
  <c r="Q1431" i="113"/>
  <c r="Q1430" i="113"/>
  <c r="Q1429" i="113"/>
  <c r="Q1428" i="113"/>
  <c r="Q1427" i="113"/>
  <c r="Q1426" i="113"/>
  <c r="Q1425" i="113"/>
  <c r="Q1424" i="113"/>
  <c r="Q1423" i="113"/>
  <c r="Q1422" i="113"/>
  <c r="Q1421" i="113"/>
  <c r="Q1420" i="113"/>
  <c r="Q1419" i="113"/>
  <c r="Q1418" i="113"/>
  <c r="Q1417" i="113"/>
  <c r="Q1416" i="113"/>
  <c r="Q1415" i="113"/>
  <c r="Q1414" i="113"/>
  <c r="Q1413" i="113"/>
  <c r="Q1412" i="113"/>
  <c r="Q1411" i="113"/>
  <c r="Q1410" i="113"/>
  <c r="Q1409" i="113"/>
  <c r="Q1408" i="113"/>
  <c r="Q1407" i="113"/>
  <c r="Q1406" i="113"/>
  <c r="Q1405" i="113"/>
  <c r="Q1404" i="113"/>
  <c r="Q1403" i="113"/>
  <c r="Q1402" i="113"/>
  <c r="Q1401" i="113"/>
  <c r="Q1400" i="113"/>
  <c r="Q1399" i="113"/>
  <c r="Q1398" i="113"/>
  <c r="Q1397" i="113"/>
  <c r="Q1396" i="113"/>
  <c r="Q1395" i="113"/>
  <c r="Q1394" i="113"/>
  <c r="Q1393" i="113"/>
  <c r="Q1392" i="113"/>
  <c r="Q1391" i="113"/>
  <c r="Q1390" i="113"/>
  <c r="Q1389" i="113"/>
  <c r="Q1388" i="113"/>
  <c r="Q1387" i="113"/>
  <c r="Q1386" i="113"/>
  <c r="Q1385" i="113"/>
  <c r="Q1384" i="113"/>
  <c r="Q1383" i="113"/>
  <c r="Q1382" i="113"/>
  <c r="Q1381" i="113"/>
  <c r="Q1380" i="113"/>
  <c r="Q1379" i="113"/>
  <c r="Q1378" i="113"/>
  <c r="Q1377" i="113"/>
  <c r="Q1376" i="113"/>
  <c r="Q1375" i="113"/>
  <c r="Q1374" i="113"/>
  <c r="Q1373" i="113"/>
  <c r="Q1372" i="113"/>
  <c r="Q1371" i="113"/>
  <c r="Q1370" i="113"/>
  <c r="Q1369" i="113"/>
  <c r="Q1368" i="113"/>
  <c r="Q1367" i="113"/>
  <c r="Q1366" i="113"/>
  <c r="Q1365" i="113"/>
  <c r="Q1364" i="113"/>
  <c r="Q1363" i="113"/>
  <c r="Q1362" i="113"/>
  <c r="Q1361" i="113"/>
  <c r="Q1360" i="113"/>
  <c r="Q1359" i="113"/>
  <c r="Q1358" i="113"/>
  <c r="Q1357" i="113"/>
  <c r="Q1356" i="113"/>
  <c r="Q1355" i="113"/>
  <c r="Q1354" i="113"/>
  <c r="Q1353" i="113"/>
  <c r="Q1352" i="113"/>
  <c r="Q1351" i="113"/>
  <c r="Q1350" i="113"/>
  <c r="Q1349" i="113"/>
  <c r="Q1348" i="113"/>
  <c r="Q1347" i="113"/>
  <c r="Q1346" i="113"/>
  <c r="Q1345" i="113"/>
  <c r="Q1344" i="113"/>
  <c r="Q1343" i="113"/>
  <c r="Q1342" i="113"/>
  <c r="Q1341" i="113"/>
  <c r="Q1340" i="113"/>
  <c r="Q1339" i="113"/>
  <c r="Q1338" i="113"/>
  <c r="Q1337" i="113"/>
  <c r="Q1336" i="113"/>
  <c r="Q1335" i="113"/>
  <c r="Q1334" i="113"/>
  <c r="Q1333" i="113"/>
  <c r="Q1332" i="113"/>
  <c r="Q1331" i="113"/>
  <c r="Q1330" i="113"/>
  <c r="Q1329" i="113"/>
  <c r="Q1328" i="113"/>
  <c r="Q1327" i="113"/>
  <c r="Q1326" i="113"/>
  <c r="Q1325" i="113"/>
  <c r="Q1324" i="113"/>
  <c r="Q1323" i="113"/>
  <c r="Q1322" i="113"/>
  <c r="Q1321" i="113"/>
  <c r="Q1320" i="113"/>
  <c r="Q1319" i="113"/>
  <c r="Q1318" i="113"/>
  <c r="Q1317" i="113"/>
  <c r="Q1316" i="113"/>
  <c r="Q1315" i="113"/>
  <c r="Q1314" i="113"/>
  <c r="Q1313" i="113"/>
  <c r="Q1312" i="113"/>
  <c r="Q1311" i="113"/>
  <c r="Q1310" i="113"/>
  <c r="Q1309" i="113"/>
  <c r="Q1308" i="113"/>
  <c r="Q1307" i="113"/>
  <c r="Q1306" i="113"/>
  <c r="Q1305" i="113"/>
  <c r="Q1304" i="113"/>
  <c r="Q1303" i="113"/>
  <c r="Q1302" i="113"/>
  <c r="Q1301" i="113"/>
  <c r="Q1300" i="113"/>
  <c r="Q1299" i="113"/>
  <c r="Q1298" i="113"/>
  <c r="Q1297" i="113"/>
  <c r="Q1296" i="113"/>
  <c r="Q1295" i="113"/>
  <c r="Q1294" i="113"/>
  <c r="Q1293" i="113"/>
  <c r="Q1292" i="113"/>
  <c r="Q1291" i="113"/>
  <c r="Q1290" i="113"/>
  <c r="Q1289" i="113"/>
  <c r="Q1288" i="113"/>
  <c r="Q1287" i="113"/>
  <c r="Q1286" i="113"/>
  <c r="Q1285" i="113"/>
  <c r="Q1284" i="113"/>
  <c r="Q1283" i="113"/>
  <c r="Q1282" i="113"/>
  <c r="Q1281" i="113"/>
  <c r="Q1280" i="113"/>
  <c r="Q1279" i="113"/>
  <c r="Q1278" i="113"/>
  <c r="Q1277" i="113"/>
  <c r="Q1276" i="113"/>
  <c r="Q1275" i="113"/>
  <c r="Q1274" i="113"/>
  <c r="Q1273" i="113"/>
  <c r="Q1272" i="113"/>
  <c r="Q1271" i="113"/>
  <c r="Q1270" i="113"/>
  <c r="Q1269" i="113"/>
  <c r="Q1268" i="113"/>
  <c r="Q1267" i="113"/>
  <c r="Q1266" i="113"/>
  <c r="Q1265" i="113"/>
  <c r="Q1264" i="113"/>
  <c r="Q1263" i="113"/>
  <c r="Q1262" i="113"/>
  <c r="Q1261" i="113"/>
  <c r="Q1260" i="113"/>
  <c r="Q1259" i="113"/>
  <c r="Q1258" i="113"/>
  <c r="Q1257" i="113"/>
  <c r="Q1256" i="113"/>
  <c r="Q1255" i="113"/>
  <c r="Q1254" i="113"/>
  <c r="Q1253" i="113"/>
  <c r="Q1252" i="113"/>
  <c r="Q1251" i="113"/>
  <c r="Q1250" i="113"/>
  <c r="Q1249" i="113"/>
  <c r="Q1248" i="113"/>
  <c r="Q1247" i="113"/>
  <c r="Q1246" i="113"/>
  <c r="Q1245" i="113"/>
  <c r="Q1244" i="113"/>
  <c r="Q1243" i="113"/>
  <c r="Q1242" i="113"/>
  <c r="Q1241" i="113"/>
  <c r="Q1240" i="113"/>
  <c r="Q1239" i="113"/>
  <c r="Q1238" i="113"/>
  <c r="Q1237" i="113"/>
  <c r="Q1236" i="113"/>
  <c r="Q1235" i="113"/>
  <c r="Q1234" i="113"/>
  <c r="Q1233" i="113"/>
  <c r="Q1232" i="113"/>
  <c r="Q1231" i="113"/>
  <c r="Q1230" i="113"/>
  <c r="Q1229" i="113"/>
  <c r="Q1228" i="113"/>
  <c r="Q1227" i="113"/>
  <c r="Q1226" i="113"/>
  <c r="Q1225" i="113"/>
  <c r="Q1224" i="113"/>
  <c r="Q1223" i="113"/>
  <c r="Q1222" i="113"/>
  <c r="Q1221" i="113"/>
  <c r="Q1220" i="113"/>
  <c r="Q1219" i="113"/>
  <c r="Q1218" i="113"/>
  <c r="Q1217" i="113"/>
  <c r="Q1216" i="113"/>
  <c r="Q1215" i="113"/>
  <c r="Q1214" i="113"/>
  <c r="Q1213" i="113"/>
  <c r="Q1212" i="113"/>
  <c r="Q1211" i="113"/>
  <c r="Q1210" i="113"/>
  <c r="Q1209" i="113"/>
  <c r="Q1208" i="113"/>
  <c r="Q1207" i="113"/>
  <c r="Q1206" i="113"/>
  <c r="Q1205" i="113"/>
  <c r="Q1204" i="113"/>
  <c r="Q1203" i="113"/>
  <c r="Q1202" i="113"/>
  <c r="Q1201" i="113"/>
  <c r="Q1200" i="113"/>
  <c r="Q1199" i="113"/>
  <c r="Q1198" i="113"/>
  <c r="Q1197" i="113"/>
  <c r="Q1196" i="113"/>
  <c r="Q1195" i="113"/>
  <c r="Q1194" i="113"/>
  <c r="Q1193" i="113"/>
  <c r="Q1192" i="113"/>
  <c r="Q1191" i="113"/>
  <c r="Q1190" i="113"/>
  <c r="Q1189" i="113"/>
  <c r="Q1188" i="113"/>
  <c r="Q1187" i="113"/>
  <c r="Q1186" i="113"/>
  <c r="Q1185" i="113"/>
  <c r="Q1184" i="113"/>
  <c r="Q1183" i="113"/>
  <c r="Q1182" i="113"/>
  <c r="Q1181" i="113"/>
  <c r="Q1180" i="113"/>
  <c r="Q1179" i="113"/>
  <c r="Q1178" i="113"/>
  <c r="Q1177" i="113"/>
  <c r="Q1176" i="113"/>
  <c r="Q1175" i="113"/>
  <c r="Q1174" i="113"/>
  <c r="Q1173" i="113"/>
  <c r="Q1172" i="113"/>
  <c r="Q1171" i="113"/>
  <c r="Q1170" i="113"/>
  <c r="Q1169" i="113"/>
  <c r="Q1168" i="113"/>
  <c r="Q1167" i="113"/>
  <c r="Q1166" i="113"/>
  <c r="Q1165" i="113"/>
  <c r="Q1164" i="113"/>
  <c r="Q1163" i="113"/>
  <c r="Q1162" i="113"/>
  <c r="Q1161" i="113"/>
  <c r="Q1160" i="113"/>
  <c r="Q1159" i="113"/>
  <c r="Q1158" i="113"/>
  <c r="Q1157" i="113"/>
  <c r="Q1156" i="113"/>
  <c r="Q1155" i="113"/>
  <c r="Q1154" i="113"/>
  <c r="Q1153" i="113"/>
  <c r="Q1152" i="113"/>
  <c r="Q1151" i="113"/>
  <c r="Q1150" i="113"/>
  <c r="Q1149" i="113"/>
  <c r="Q1148" i="113"/>
  <c r="Q1147" i="113"/>
  <c r="Q1146" i="113"/>
  <c r="Q1145" i="113"/>
  <c r="Q1144" i="113"/>
  <c r="Q1143" i="113"/>
  <c r="Q1142" i="113"/>
  <c r="Q1141" i="113"/>
  <c r="Q1140" i="113"/>
  <c r="Q1139" i="113"/>
  <c r="Q1138" i="113"/>
  <c r="Q1137" i="113"/>
  <c r="Q1136" i="113"/>
  <c r="Q1135" i="113"/>
  <c r="Q1134" i="113"/>
  <c r="Q1133" i="113"/>
  <c r="Q1132" i="113"/>
  <c r="Q1131" i="113"/>
  <c r="Q1130" i="113"/>
  <c r="Q1129" i="113"/>
  <c r="Q1128" i="113"/>
  <c r="Q1127" i="113"/>
  <c r="Q1126" i="113"/>
  <c r="Q1125" i="113"/>
  <c r="Q1124" i="113"/>
  <c r="Q1123" i="113"/>
  <c r="Q1122" i="113"/>
  <c r="Q1121" i="113"/>
  <c r="Q1120" i="113"/>
  <c r="Q1119" i="113"/>
  <c r="Q1118" i="113"/>
  <c r="Q1117" i="113"/>
  <c r="Q1116" i="113"/>
  <c r="Q1115" i="113"/>
  <c r="Q1114" i="113"/>
  <c r="Q1113" i="113"/>
  <c r="Q1112" i="113"/>
  <c r="Q1111" i="113"/>
  <c r="Q1110" i="113"/>
  <c r="Q1109" i="113"/>
  <c r="Q1108" i="113"/>
  <c r="Q1107" i="113"/>
  <c r="Q1106" i="113"/>
  <c r="Q1105" i="113"/>
  <c r="Q1104" i="113"/>
  <c r="Q1103" i="113"/>
  <c r="Q1102" i="113"/>
  <c r="Q1101" i="113"/>
  <c r="Q1100" i="113"/>
  <c r="Q1099" i="113"/>
  <c r="Q1098" i="113"/>
  <c r="Q1097" i="113"/>
  <c r="Q1096" i="113"/>
  <c r="Q1095" i="113"/>
  <c r="Q1094" i="113"/>
  <c r="Q1093" i="113"/>
  <c r="Q1092" i="113"/>
  <c r="Q1091" i="113"/>
  <c r="Q1090" i="113"/>
  <c r="Q1089" i="113"/>
  <c r="Q1088" i="113"/>
  <c r="Q1087" i="113"/>
  <c r="Q1086" i="113"/>
  <c r="Q1085" i="113"/>
  <c r="Q1084" i="113"/>
  <c r="Q1083" i="113"/>
  <c r="Q1082" i="113"/>
  <c r="Q1081" i="113"/>
  <c r="Q1080" i="113"/>
  <c r="Q1079" i="113"/>
  <c r="Q1078" i="113"/>
  <c r="Q1077" i="113"/>
  <c r="Q1076" i="113"/>
  <c r="Q1075" i="113"/>
  <c r="Q1074" i="113"/>
  <c r="Q1073" i="113"/>
  <c r="Q1072" i="113"/>
  <c r="Q1071" i="113"/>
  <c r="Q1070" i="113"/>
  <c r="Q1069" i="113"/>
  <c r="Q1068" i="113"/>
  <c r="Q1067" i="113"/>
  <c r="Q1066" i="113"/>
  <c r="Q1065" i="113"/>
  <c r="Q1064" i="113"/>
  <c r="Q1063" i="113"/>
  <c r="Q1062" i="113"/>
  <c r="Q1061" i="113"/>
  <c r="Q1060" i="113"/>
  <c r="Q1059" i="113"/>
  <c r="Q1058" i="113"/>
  <c r="Q1057" i="113"/>
  <c r="Q1056" i="113"/>
  <c r="Q1055" i="113"/>
  <c r="Q1054" i="113"/>
  <c r="Q1053" i="113"/>
  <c r="Q1052" i="113"/>
  <c r="Q1051" i="113"/>
  <c r="Q1050" i="113"/>
  <c r="Q1049" i="113"/>
  <c r="Q1048" i="113"/>
  <c r="Q1047" i="113"/>
  <c r="Q1046" i="113"/>
  <c r="Q1045" i="113"/>
  <c r="Q1044" i="113"/>
  <c r="Q1043" i="113"/>
  <c r="Q1042" i="113"/>
  <c r="Q1041" i="113"/>
  <c r="Q1040" i="113"/>
  <c r="Q1039" i="113"/>
  <c r="Q1038" i="113"/>
  <c r="Q1037" i="113"/>
  <c r="Q1036" i="113"/>
  <c r="Q1035" i="113"/>
  <c r="Q1034" i="113"/>
  <c r="Q1033" i="113"/>
  <c r="Q1032" i="113"/>
  <c r="Q1031" i="113"/>
  <c r="Q1030" i="113"/>
  <c r="Q1029" i="113"/>
  <c r="Q1028" i="113"/>
  <c r="Q1027" i="113"/>
  <c r="Q1026" i="113"/>
  <c r="Q1025" i="113"/>
  <c r="Q1024" i="113"/>
  <c r="Q1023" i="113"/>
  <c r="Q1022" i="113"/>
  <c r="Q1021" i="113"/>
  <c r="Q1020" i="113"/>
  <c r="Q1019" i="113"/>
  <c r="Q1018" i="113"/>
  <c r="Q1017" i="113"/>
  <c r="Q1016" i="113"/>
  <c r="Q1015" i="113"/>
  <c r="Q1014" i="113"/>
  <c r="Q1013" i="113"/>
  <c r="Q1012" i="113"/>
  <c r="Q1011" i="113"/>
  <c r="Q1010" i="113"/>
  <c r="Q1009" i="113"/>
  <c r="Q1008" i="113"/>
  <c r="Q1007" i="113"/>
  <c r="Q1006" i="113"/>
  <c r="Q1005" i="113"/>
  <c r="Q1004" i="113"/>
  <c r="Q1003" i="113"/>
  <c r="Q1002" i="113"/>
  <c r="Q1001" i="113"/>
  <c r="Q1000" i="113"/>
  <c r="Q999" i="113"/>
  <c r="Q998" i="113"/>
  <c r="Q997" i="113"/>
  <c r="Q996" i="113"/>
  <c r="Q995" i="113"/>
  <c r="Q994" i="113"/>
  <c r="Q993" i="113"/>
  <c r="Q992" i="113"/>
  <c r="Q991" i="113"/>
  <c r="Q990" i="113"/>
  <c r="Q989" i="113"/>
  <c r="Q988" i="113"/>
  <c r="Q987" i="113"/>
  <c r="Q986" i="113"/>
  <c r="Q985" i="113"/>
  <c r="Q984" i="113"/>
  <c r="Q983" i="113"/>
  <c r="Q982" i="113"/>
  <c r="Q981" i="113"/>
  <c r="Q980" i="113"/>
  <c r="Q979" i="113"/>
  <c r="Q978" i="113"/>
  <c r="Q977" i="113"/>
  <c r="Q976" i="113"/>
  <c r="Q975" i="113"/>
  <c r="Q974" i="113"/>
  <c r="Q973" i="113"/>
  <c r="Q972" i="113"/>
  <c r="Q971" i="113"/>
  <c r="Q970" i="113"/>
  <c r="Q969" i="113"/>
  <c r="Q968" i="113"/>
  <c r="Q967" i="113"/>
  <c r="Q966" i="113"/>
  <c r="Q965" i="113"/>
  <c r="Q964" i="113"/>
  <c r="Q963" i="113"/>
  <c r="Q962" i="113"/>
  <c r="Q961" i="113"/>
  <c r="Q960" i="113"/>
  <c r="Q959" i="113"/>
  <c r="Q958" i="113"/>
  <c r="Q957" i="113"/>
  <c r="Q956" i="113"/>
  <c r="Q955" i="113"/>
  <c r="Q954" i="113"/>
  <c r="Q953" i="113"/>
  <c r="Q952" i="113"/>
  <c r="Q951" i="113"/>
  <c r="Q950" i="113"/>
  <c r="Q949" i="113"/>
  <c r="Q948" i="113"/>
  <c r="Q947" i="113"/>
  <c r="Q946" i="113"/>
  <c r="Q945" i="113"/>
  <c r="Q944" i="113"/>
  <c r="Q943" i="113"/>
  <c r="Q942" i="113"/>
  <c r="Q941" i="113"/>
  <c r="Q940" i="113"/>
  <c r="Q939" i="113"/>
  <c r="Q938" i="113"/>
  <c r="Q937" i="113"/>
  <c r="Q936" i="113"/>
  <c r="Q935" i="113"/>
  <c r="Q934" i="113"/>
  <c r="Q933" i="113"/>
  <c r="Q932" i="113"/>
  <c r="Q931" i="113"/>
  <c r="Q930" i="113"/>
  <c r="Q929" i="113"/>
  <c r="Q928" i="113"/>
  <c r="Q927" i="113"/>
  <c r="Q926" i="113"/>
  <c r="Q925" i="113"/>
  <c r="Q924" i="113"/>
  <c r="Q923" i="113"/>
  <c r="Q922" i="113"/>
  <c r="Q921" i="113"/>
  <c r="Q920" i="113"/>
  <c r="Q919" i="113"/>
  <c r="Q918" i="113"/>
  <c r="Q917" i="113"/>
  <c r="Q916" i="113"/>
  <c r="Q915" i="113"/>
  <c r="Q914" i="113"/>
  <c r="Q913" i="113"/>
  <c r="Q912" i="113"/>
  <c r="Q911" i="113"/>
  <c r="Q910" i="113"/>
  <c r="Q909" i="113"/>
  <c r="Q908" i="113"/>
  <c r="Q907" i="113"/>
  <c r="Q906" i="113"/>
  <c r="Q905" i="113"/>
  <c r="Q904" i="113"/>
  <c r="Q903" i="113"/>
  <c r="Q902" i="113"/>
  <c r="Q901" i="113"/>
  <c r="Q900" i="113"/>
  <c r="Q899" i="113"/>
  <c r="Q898" i="113"/>
  <c r="Q897" i="113"/>
  <c r="Q896" i="113"/>
  <c r="Q895" i="113"/>
  <c r="Q894" i="113"/>
  <c r="Q893" i="113"/>
  <c r="Q892" i="113"/>
  <c r="Q891" i="113"/>
  <c r="Q890" i="113"/>
  <c r="Q889" i="113"/>
  <c r="Q888" i="113"/>
  <c r="Q887" i="113"/>
  <c r="Q886" i="113"/>
  <c r="Q885" i="113"/>
  <c r="Q884" i="113"/>
  <c r="Q883" i="113"/>
  <c r="Q882" i="113"/>
  <c r="Q881" i="113"/>
  <c r="Q880" i="113"/>
  <c r="Q879" i="113"/>
  <c r="Q878" i="113"/>
  <c r="Q877" i="113"/>
  <c r="Q876" i="113"/>
  <c r="Q875" i="113"/>
  <c r="Q874" i="113"/>
  <c r="Q873" i="113"/>
  <c r="Q872" i="113"/>
  <c r="Q871" i="113"/>
  <c r="Q870" i="113"/>
  <c r="Q869" i="113"/>
  <c r="Q868" i="113"/>
  <c r="Q867" i="113"/>
  <c r="Q866" i="113"/>
  <c r="Q865" i="113"/>
  <c r="Q864" i="113"/>
  <c r="Q863" i="113"/>
  <c r="Q862" i="113"/>
  <c r="Q861" i="113"/>
  <c r="Q860" i="113"/>
  <c r="Q859" i="113"/>
  <c r="Q858" i="113"/>
  <c r="Q857" i="113"/>
  <c r="Q856" i="113"/>
  <c r="Q855" i="113"/>
  <c r="Q854" i="113"/>
  <c r="Q853" i="113"/>
  <c r="Q852" i="113"/>
  <c r="Q851" i="113"/>
  <c r="Q850" i="113"/>
  <c r="Q849" i="113"/>
  <c r="Q848" i="113"/>
  <c r="Q847" i="113"/>
  <c r="Q846" i="113"/>
  <c r="Q845" i="113"/>
  <c r="Q844" i="113"/>
  <c r="Q843" i="113"/>
  <c r="Q842" i="113"/>
  <c r="Q841" i="113"/>
  <c r="Q840" i="113"/>
  <c r="Q839" i="113"/>
  <c r="Q838" i="113"/>
  <c r="Q837" i="113"/>
  <c r="Q836" i="113"/>
  <c r="Q835" i="113"/>
  <c r="Q834" i="113"/>
  <c r="Q833" i="113"/>
  <c r="Q832" i="113"/>
  <c r="Q831" i="113"/>
  <c r="Q830" i="113"/>
  <c r="Q829" i="113"/>
  <c r="Q828" i="113"/>
  <c r="Q827" i="113"/>
  <c r="Q826" i="113"/>
  <c r="Q825" i="113"/>
  <c r="Q824" i="113"/>
  <c r="Q823" i="113"/>
  <c r="Q822" i="113"/>
  <c r="Q821" i="113"/>
  <c r="Q820" i="113"/>
  <c r="Q819" i="113"/>
  <c r="Q818" i="113"/>
  <c r="Q817" i="113"/>
  <c r="Q816" i="113"/>
  <c r="Q815" i="113"/>
  <c r="Q814" i="113"/>
  <c r="Q813" i="113"/>
  <c r="Q812" i="113"/>
  <c r="Q811" i="113"/>
  <c r="Q810" i="113"/>
  <c r="Q809" i="113"/>
  <c r="Q808" i="113"/>
  <c r="Q807" i="113"/>
  <c r="Q806" i="113"/>
  <c r="Q805" i="113"/>
  <c r="Q804" i="113"/>
  <c r="Q803" i="113"/>
  <c r="Q802" i="113"/>
  <c r="Q801" i="113"/>
  <c r="Q800" i="113"/>
  <c r="Q799" i="113"/>
  <c r="Q798" i="113"/>
  <c r="Q797" i="113"/>
  <c r="Q796" i="113"/>
  <c r="Q795" i="113"/>
  <c r="Q794" i="113"/>
  <c r="Q793" i="113"/>
  <c r="Q792" i="113"/>
  <c r="Q791" i="113"/>
  <c r="Q790" i="113"/>
  <c r="Q789" i="113"/>
  <c r="Q788" i="113"/>
  <c r="Q787" i="113"/>
  <c r="Q786" i="113"/>
  <c r="Q785" i="113"/>
  <c r="Q784" i="113"/>
  <c r="Q783" i="113"/>
  <c r="Q782" i="113"/>
  <c r="Q781" i="113"/>
  <c r="Q780" i="113"/>
  <c r="Q779" i="113"/>
  <c r="Q778" i="113"/>
  <c r="Q777" i="113"/>
  <c r="Q776" i="113"/>
  <c r="Q775" i="113"/>
  <c r="Q774" i="113"/>
  <c r="Q773" i="113"/>
  <c r="Q772" i="113"/>
  <c r="Q771" i="113"/>
  <c r="Q770" i="113"/>
  <c r="Q769" i="113"/>
  <c r="Q768" i="113"/>
  <c r="Q767" i="113"/>
  <c r="Q766" i="113"/>
  <c r="Q765" i="113"/>
  <c r="Q764" i="113"/>
  <c r="Q763" i="113"/>
  <c r="Q762" i="113"/>
  <c r="Q761" i="113"/>
  <c r="Q760" i="113"/>
  <c r="Q759" i="113"/>
  <c r="Q758" i="113"/>
  <c r="Q757" i="113"/>
  <c r="Q756" i="113"/>
  <c r="Q755" i="113"/>
  <c r="Q754" i="113"/>
  <c r="Q753" i="113"/>
  <c r="Q752" i="113"/>
  <c r="Q751" i="113"/>
  <c r="Q750" i="113"/>
  <c r="Q749" i="113"/>
  <c r="Q748" i="113"/>
  <c r="Q747" i="113"/>
  <c r="Q746" i="113"/>
  <c r="Q745" i="113"/>
  <c r="Q744" i="113"/>
  <c r="Q743" i="113"/>
  <c r="Q742" i="113"/>
  <c r="Q741" i="113"/>
  <c r="Q740" i="113"/>
  <c r="Q739" i="113"/>
  <c r="Q738" i="113"/>
  <c r="Q737" i="113"/>
  <c r="Q736" i="113"/>
  <c r="Q735" i="113"/>
  <c r="Q734" i="113"/>
  <c r="Q733" i="113"/>
  <c r="Q732" i="113"/>
  <c r="Q731" i="113"/>
  <c r="Q730" i="113"/>
  <c r="Q729" i="113"/>
  <c r="Q728" i="113"/>
  <c r="Q727" i="113"/>
  <c r="Q726" i="113"/>
  <c r="Q725" i="113"/>
  <c r="Q724" i="113"/>
  <c r="Q723" i="113"/>
  <c r="Q722" i="113"/>
  <c r="Q721" i="113"/>
  <c r="Q720" i="113"/>
  <c r="Q719" i="113"/>
  <c r="Q718" i="113"/>
  <c r="Q717" i="113"/>
  <c r="Q716" i="113"/>
  <c r="Q715" i="113"/>
  <c r="Q714" i="113"/>
  <c r="Q713" i="113"/>
  <c r="Q712" i="113"/>
  <c r="Q711" i="113"/>
  <c r="Q710" i="113"/>
  <c r="Q709" i="113"/>
  <c r="Q708" i="113"/>
  <c r="Q707" i="113"/>
  <c r="Q706" i="113"/>
  <c r="Q705" i="113"/>
  <c r="Q704" i="113"/>
  <c r="Q703" i="113"/>
  <c r="Q702" i="113"/>
  <c r="Q701" i="113"/>
  <c r="Q700" i="113"/>
  <c r="Q699" i="113"/>
  <c r="Q698" i="113"/>
  <c r="Q697" i="113"/>
  <c r="Q696" i="113"/>
  <c r="Q695" i="113"/>
  <c r="Q694" i="113"/>
  <c r="Q693" i="113"/>
  <c r="Q692" i="113"/>
  <c r="Q691" i="113"/>
  <c r="Q690" i="113"/>
  <c r="Q689" i="113"/>
  <c r="Q688" i="113"/>
  <c r="Q687" i="113"/>
  <c r="Q686" i="113"/>
  <c r="Q685" i="113"/>
  <c r="Q684" i="113"/>
  <c r="Q683" i="113"/>
  <c r="Q682" i="113"/>
  <c r="Q681" i="113"/>
  <c r="Q680" i="113"/>
  <c r="Q679" i="113"/>
  <c r="Q678" i="113"/>
  <c r="Q677" i="113"/>
  <c r="Q676" i="113"/>
  <c r="Q675" i="113"/>
  <c r="Q674" i="113"/>
  <c r="Q673" i="113"/>
  <c r="Q672" i="113"/>
  <c r="Q671" i="113"/>
  <c r="Q670" i="113"/>
  <c r="Q669" i="113"/>
  <c r="Q668" i="113"/>
  <c r="Q667" i="113"/>
  <c r="Q666" i="113"/>
  <c r="Q665" i="113"/>
  <c r="Q664" i="113"/>
  <c r="Q663" i="113"/>
  <c r="Q662" i="113"/>
  <c r="Q661" i="113"/>
  <c r="Q660" i="113"/>
  <c r="Q659" i="113"/>
  <c r="Q658" i="113"/>
  <c r="Q657" i="113"/>
  <c r="Q656" i="113"/>
  <c r="Q655" i="113"/>
  <c r="Q654" i="113"/>
  <c r="Q653" i="113"/>
  <c r="Q652" i="113"/>
  <c r="Q651" i="113"/>
  <c r="Q650" i="113"/>
  <c r="Q649" i="113"/>
  <c r="Q648" i="113"/>
  <c r="Q647" i="113"/>
  <c r="Q646" i="113"/>
  <c r="Q645" i="113"/>
  <c r="Q644" i="113"/>
  <c r="Q643" i="113"/>
  <c r="Q642" i="113"/>
  <c r="Q641" i="113"/>
  <c r="Q640" i="113"/>
  <c r="Q639" i="113"/>
  <c r="Q638" i="113"/>
  <c r="Q637" i="113"/>
  <c r="Q636" i="113"/>
  <c r="Q635" i="113"/>
  <c r="Q634" i="113"/>
  <c r="Q633" i="113"/>
  <c r="Q632" i="113"/>
  <c r="Q631" i="113"/>
  <c r="Q630" i="113"/>
  <c r="Q629" i="113"/>
  <c r="Q628" i="113"/>
  <c r="Q627" i="113"/>
  <c r="Q626" i="113"/>
  <c r="Q625" i="113"/>
  <c r="Q624" i="113"/>
  <c r="Q623" i="113"/>
  <c r="Q622" i="113"/>
  <c r="Q621" i="113"/>
  <c r="Q620" i="113"/>
  <c r="Q619" i="113"/>
  <c r="Q618" i="113"/>
  <c r="Q617" i="113"/>
  <c r="Q616" i="113"/>
  <c r="Q615" i="113"/>
  <c r="Q614" i="113"/>
  <c r="Q613" i="113"/>
  <c r="Q612" i="113"/>
  <c r="Q611" i="113"/>
  <c r="Q610" i="113"/>
  <c r="Q609" i="113"/>
  <c r="Q608" i="113"/>
  <c r="Q607" i="113"/>
  <c r="Q606" i="113"/>
  <c r="Q605" i="113"/>
  <c r="Q604" i="113"/>
  <c r="Q603" i="113"/>
  <c r="Q602" i="113"/>
  <c r="Q601" i="113"/>
  <c r="Q600" i="113"/>
  <c r="Q599" i="113"/>
  <c r="Q598" i="113"/>
  <c r="Q597" i="113"/>
  <c r="Q596" i="113"/>
  <c r="Q595" i="113"/>
  <c r="Q594" i="113"/>
  <c r="Q593" i="113"/>
  <c r="Q592" i="113"/>
  <c r="Q591" i="113"/>
  <c r="Q590" i="113"/>
  <c r="Q589" i="113"/>
  <c r="Q588" i="113"/>
  <c r="Q587" i="113"/>
  <c r="Q586" i="113"/>
  <c r="Q585" i="113"/>
  <c r="Q584" i="113"/>
  <c r="Q583" i="113"/>
  <c r="Q582" i="113"/>
  <c r="Q581" i="113"/>
  <c r="Q580" i="113"/>
  <c r="Q579" i="113"/>
  <c r="Q578" i="113"/>
  <c r="Q577" i="113"/>
  <c r="Q576" i="113"/>
  <c r="Q575" i="113"/>
  <c r="Q574" i="113"/>
  <c r="Q573" i="113"/>
  <c r="Q572" i="113"/>
  <c r="Q571" i="113"/>
  <c r="Q570" i="113"/>
  <c r="Q569" i="113"/>
  <c r="Q568" i="113"/>
  <c r="Q567" i="113"/>
  <c r="Q566" i="113"/>
  <c r="Q565" i="113"/>
  <c r="Q564" i="113"/>
  <c r="Q563" i="113"/>
  <c r="Q562" i="113"/>
  <c r="Q561" i="113"/>
  <c r="Q560" i="113"/>
  <c r="Q559" i="113"/>
  <c r="Q558" i="113"/>
  <c r="Q557" i="113"/>
  <c r="Q556" i="113"/>
  <c r="Q555" i="113"/>
  <c r="Q554" i="113"/>
  <c r="Q553" i="113"/>
  <c r="Q552" i="113"/>
  <c r="Q551" i="113"/>
  <c r="Q550" i="113"/>
  <c r="Q549" i="113"/>
  <c r="Q548" i="113"/>
  <c r="Q547" i="113"/>
  <c r="Q546" i="113"/>
  <c r="Q545" i="113"/>
  <c r="Q544" i="113"/>
  <c r="Q543" i="113"/>
  <c r="Q542" i="113"/>
  <c r="Q541" i="113"/>
  <c r="Q540" i="113"/>
  <c r="Q539" i="113"/>
  <c r="Q538" i="113"/>
  <c r="Q537" i="113"/>
  <c r="Q536" i="113"/>
  <c r="Q535" i="113"/>
  <c r="Q534" i="113"/>
  <c r="Q533" i="113"/>
  <c r="Q532" i="113"/>
  <c r="Q531" i="113"/>
  <c r="Q530" i="113"/>
  <c r="Q529" i="113"/>
  <c r="Q528" i="113"/>
  <c r="Q527" i="113"/>
  <c r="Q526" i="113"/>
  <c r="Q525" i="113"/>
  <c r="Q524" i="113"/>
  <c r="Q523" i="113"/>
  <c r="Q522" i="113"/>
  <c r="Q521" i="113"/>
  <c r="Q520" i="113"/>
  <c r="Q519" i="113"/>
  <c r="Q518" i="113"/>
  <c r="Q517" i="113"/>
  <c r="Q516" i="113"/>
  <c r="Q515" i="113"/>
  <c r="Q514" i="113"/>
  <c r="Q513" i="113"/>
  <c r="Q512" i="113"/>
  <c r="Q511" i="113"/>
  <c r="Q510" i="113"/>
  <c r="Q509" i="113"/>
  <c r="Q508" i="113"/>
  <c r="Q507" i="113"/>
  <c r="Q506" i="113"/>
  <c r="Q505" i="113"/>
  <c r="Q504" i="113"/>
  <c r="Q503" i="113"/>
  <c r="Q502" i="113"/>
  <c r="Q501" i="113"/>
  <c r="Q500" i="113"/>
  <c r="Q499" i="113"/>
  <c r="Q498" i="113"/>
  <c r="Q497" i="113"/>
  <c r="Q496" i="113"/>
  <c r="Q495" i="113"/>
  <c r="Q494" i="113"/>
  <c r="Q493" i="113"/>
  <c r="Q492" i="113"/>
  <c r="Q491" i="113"/>
  <c r="Q490" i="113"/>
  <c r="Q489" i="113"/>
  <c r="Q488" i="113"/>
  <c r="Q487" i="113"/>
  <c r="Q486" i="113"/>
  <c r="Q485" i="113"/>
  <c r="Q484" i="113"/>
  <c r="Q483" i="113"/>
  <c r="Q482" i="113"/>
  <c r="Q481" i="113"/>
  <c r="Q480" i="113"/>
  <c r="Q479" i="113"/>
  <c r="Q478" i="113"/>
  <c r="Q477" i="113"/>
  <c r="Q476" i="113"/>
  <c r="Q475" i="113"/>
  <c r="Q474" i="113"/>
  <c r="Q473" i="113"/>
  <c r="Q472" i="113"/>
  <c r="Q471" i="113"/>
  <c r="Q470" i="113"/>
  <c r="Q469" i="113"/>
  <c r="Q468" i="113"/>
  <c r="Q467" i="113"/>
  <c r="Q466" i="113"/>
  <c r="Q465" i="113"/>
  <c r="Q464" i="113"/>
  <c r="Q463" i="113"/>
  <c r="Q462" i="113"/>
  <c r="Q461" i="113"/>
  <c r="Q460" i="113"/>
  <c r="Q459" i="113"/>
  <c r="Q458" i="113"/>
  <c r="Q457" i="113"/>
  <c r="Q456" i="113"/>
  <c r="Q455" i="113"/>
  <c r="Q454" i="113"/>
  <c r="Q453" i="113"/>
  <c r="Q452" i="113"/>
  <c r="Q451" i="113"/>
  <c r="Q450" i="113"/>
  <c r="Q449" i="113"/>
  <c r="Q448" i="113"/>
  <c r="Q447" i="113"/>
  <c r="Q446" i="113"/>
  <c r="Q445" i="113"/>
  <c r="Q444" i="113"/>
  <c r="Q443" i="113"/>
  <c r="Q442" i="113"/>
  <c r="Q441" i="113"/>
  <c r="Q440" i="113"/>
  <c r="Q439" i="113"/>
  <c r="Q438" i="113"/>
  <c r="Q437" i="113"/>
  <c r="Q436" i="113"/>
  <c r="Q435" i="113"/>
  <c r="Q434" i="113"/>
  <c r="Q433" i="113"/>
  <c r="Q432" i="113"/>
  <c r="Q431" i="113"/>
  <c r="Q430" i="113"/>
  <c r="Q429" i="113"/>
  <c r="Q428" i="113"/>
  <c r="Q427" i="113"/>
  <c r="Q426" i="113"/>
  <c r="Q425" i="113"/>
  <c r="Q424" i="113"/>
  <c r="Q423" i="113"/>
  <c r="Q422" i="113"/>
  <c r="Q421" i="113"/>
  <c r="Q420" i="113"/>
  <c r="Q419" i="113"/>
  <c r="Q418" i="113"/>
  <c r="Q417" i="113"/>
  <c r="Q416" i="113"/>
  <c r="Q415" i="113"/>
  <c r="Q414" i="113"/>
  <c r="Q413" i="113"/>
  <c r="Q412" i="113"/>
  <c r="Q411" i="113"/>
  <c r="Q410" i="113"/>
  <c r="Q409" i="113"/>
  <c r="Q408" i="113"/>
  <c r="Q407" i="113"/>
  <c r="Q406" i="113"/>
  <c r="Q405" i="113"/>
  <c r="Q404" i="113"/>
  <c r="Q403" i="113"/>
  <c r="Q402" i="113"/>
  <c r="Q401" i="113"/>
  <c r="Q400" i="113"/>
  <c r="Q399" i="113"/>
  <c r="Q398" i="113"/>
  <c r="Q397" i="113"/>
  <c r="Q396" i="113"/>
  <c r="Q395" i="113"/>
  <c r="Q394" i="113"/>
  <c r="Q393" i="113"/>
  <c r="Q392" i="113"/>
  <c r="Q391" i="113"/>
  <c r="Q390" i="113"/>
  <c r="Q389" i="113"/>
  <c r="Q388" i="113"/>
  <c r="Q387" i="113"/>
  <c r="Q386" i="113"/>
  <c r="Q385" i="113"/>
  <c r="Q384" i="113"/>
  <c r="Q383" i="113"/>
  <c r="Q382" i="113"/>
  <c r="Q381" i="113"/>
  <c r="Q380" i="113"/>
  <c r="Q379" i="113"/>
  <c r="Q378" i="113"/>
  <c r="Q377" i="113"/>
  <c r="Q376" i="113"/>
  <c r="Q375" i="113"/>
  <c r="Q374" i="113"/>
  <c r="Q373" i="113"/>
  <c r="Q372" i="113"/>
  <c r="Q371" i="113"/>
  <c r="Q370" i="113"/>
  <c r="Q369" i="113"/>
  <c r="Q368" i="113"/>
  <c r="Q367" i="113"/>
  <c r="Q366" i="113"/>
  <c r="Q365" i="113"/>
  <c r="Q364" i="113"/>
  <c r="Q363" i="113"/>
  <c r="Q362" i="113"/>
  <c r="Q361" i="113"/>
  <c r="Q360" i="113"/>
  <c r="Q359" i="113"/>
  <c r="Q358" i="113"/>
  <c r="Q357" i="113"/>
  <c r="Q356" i="113"/>
  <c r="Q355" i="113"/>
  <c r="Q354" i="113"/>
  <c r="Q353" i="113"/>
  <c r="Q352" i="113"/>
  <c r="Q351" i="113"/>
  <c r="Q350" i="113"/>
  <c r="Q349" i="113"/>
  <c r="Q348" i="113"/>
  <c r="Q347" i="113"/>
  <c r="Q346" i="113"/>
  <c r="Q345" i="113"/>
  <c r="Q344" i="113"/>
  <c r="Q343" i="113"/>
  <c r="Q342" i="113"/>
  <c r="Q341" i="113"/>
  <c r="Q340" i="113"/>
  <c r="Q339" i="113"/>
  <c r="Q338" i="113"/>
  <c r="Q337" i="113"/>
  <c r="Q336" i="113"/>
  <c r="Q335" i="113"/>
  <c r="Q334" i="113"/>
  <c r="Q333" i="113"/>
  <c r="Q332" i="113"/>
  <c r="Q331" i="113"/>
  <c r="Q330" i="113"/>
  <c r="Q329" i="113"/>
  <c r="Q328" i="113"/>
  <c r="Q327" i="113"/>
  <c r="Q326" i="113"/>
  <c r="Q325" i="113"/>
  <c r="Q324" i="113"/>
  <c r="Q323" i="113"/>
  <c r="Q322" i="113"/>
  <c r="Q321" i="113"/>
  <c r="Q320" i="113"/>
  <c r="Q319" i="113"/>
  <c r="Q318" i="113"/>
  <c r="Q317" i="113"/>
  <c r="Q316" i="113"/>
  <c r="Q315" i="113"/>
  <c r="Q314" i="113"/>
  <c r="Q313" i="113"/>
  <c r="Q312" i="113"/>
  <c r="Q311" i="113"/>
  <c r="Q310" i="113"/>
  <c r="Q309" i="113"/>
  <c r="Q308" i="113"/>
  <c r="Q307" i="113"/>
  <c r="Q306" i="113"/>
  <c r="Q305" i="113"/>
  <c r="Q304" i="113"/>
  <c r="Q303" i="113"/>
  <c r="Q302" i="113"/>
  <c r="Q301" i="113"/>
  <c r="Q300" i="113"/>
  <c r="Q299" i="113"/>
  <c r="Q298" i="113"/>
  <c r="Q297" i="113"/>
  <c r="Q296" i="113"/>
  <c r="Q295" i="113"/>
  <c r="Q294" i="113"/>
  <c r="Q293" i="113"/>
  <c r="Q292" i="113"/>
  <c r="Q291" i="113"/>
  <c r="Q290" i="113"/>
  <c r="Q289" i="113"/>
  <c r="Q288" i="113"/>
  <c r="Q287" i="113"/>
  <c r="Q286" i="113"/>
  <c r="Q285" i="113"/>
  <c r="Q284" i="113"/>
  <c r="Q283" i="113"/>
  <c r="Q282" i="113"/>
  <c r="Q281" i="113"/>
  <c r="Q280" i="113"/>
  <c r="Q279" i="113"/>
  <c r="Q278" i="113"/>
  <c r="Q277" i="113"/>
  <c r="Q276" i="113"/>
  <c r="Q275" i="113"/>
  <c r="Q274" i="113"/>
  <c r="Q273" i="113"/>
  <c r="Q272" i="113"/>
  <c r="Q271" i="113"/>
  <c r="Q270" i="113"/>
  <c r="Q269" i="113"/>
  <c r="Q268" i="113"/>
  <c r="Q267" i="113"/>
  <c r="Q266" i="113"/>
  <c r="Q265" i="113"/>
  <c r="Q264" i="113"/>
  <c r="Q263" i="113"/>
  <c r="Q262" i="113"/>
  <c r="Q261" i="113"/>
  <c r="Q260" i="113"/>
  <c r="Q259" i="113"/>
  <c r="Q258" i="113"/>
  <c r="Q257" i="113"/>
  <c r="Q256" i="113"/>
  <c r="Q255" i="113"/>
  <c r="Q254" i="113"/>
  <c r="Q253" i="113"/>
  <c r="Q252" i="113"/>
  <c r="Q251" i="113"/>
  <c r="Q250" i="113"/>
  <c r="Q249" i="113"/>
  <c r="Q248" i="113"/>
  <c r="Q247" i="113"/>
  <c r="Q246" i="113"/>
  <c r="Q245" i="113"/>
  <c r="Q244" i="113"/>
  <c r="Q243" i="113"/>
  <c r="Q242" i="113"/>
  <c r="Q241" i="113"/>
  <c r="Q240" i="113"/>
  <c r="Q239" i="113"/>
  <c r="Q238" i="113"/>
  <c r="Q237" i="113"/>
  <c r="Q236" i="113"/>
  <c r="Q235" i="113"/>
  <c r="Q234" i="113"/>
  <c r="Q233" i="113"/>
  <c r="Q232" i="113"/>
  <c r="Q231" i="113"/>
  <c r="Q230" i="113"/>
  <c r="Q229" i="113"/>
  <c r="Q228" i="113"/>
  <c r="Q227" i="113"/>
  <c r="Q226" i="113"/>
  <c r="Q225" i="113"/>
  <c r="Q224" i="113"/>
  <c r="Q223" i="113"/>
  <c r="Q222" i="113"/>
  <c r="Q221" i="113"/>
  <c r="Q220" i="113"/>
  <c r="Q219" i="113"/>
  <c r="Q218" i="113"/>
  <c r="Q217" i="113"/>
  <c r="Q216" i="113"/>
  <c r="Q215" i="113"/>
  <c r="Q214" i="113"/>
  <c r="Q213" i="113"/>
  <c r="Q212" i="113"/>
  <c r="Q211" i="113"/>
  <c r="Q210" i="113"/>
  <c r="Q209" i="113"/>
  <c r="Q208" i="113"/>
  <c r="Q207" i="113"/>
  <c r="Q206" i="113"/>
  <c r="Q205" i="113"/>
  <c r="Q204" i="113"/>
  <c r="Q203" i="113"/>
  <c r="Q202" i="113"/>
  <c r="Q201" i="113"/>
  <c r="Q200" i="113"/>
  <c r="Q199" i="113"/>
  <c r="Q198" i="113"/>
  <c r="Q197" i="113"/>
  <c r="Q196" i="113"/>
  <c r="Q195" i="113"/>
  <c r="Q194" i="113"/>
  <c r="Q193" i="113"/>
  <c r="Q192" i="113"/>
  <c r="Q191" i="113"/>
  <c r="Q190" i="113"/>
  <c r="Q189" i="113"/>
  <c r="Q188" i="113"/>
  <c r="Q187" i="113"/>
  <c r="Q186" i="113"/>
  <c r="Q185" i="113"/>
  <c r="Q184" i="113"/>
  <c r="Q183" i="113"/>
  <c r="Q182" i="113"/>
  <c r="Q181" i="113"/>
  <c r="Q180" i="113"/>
  <c r="Q179" i="113"/>
  <c r="Q178" i="113"/>
  <c r="Q177" i="113"/>
  <c r="Q176" i="113"/>
  <c r="Q175" i="113"/>
  <c r="Q174" i="113"/>
  <c r="Q173" i="113"/>
  <c r="Q172" i="113"/>
  <c r="Q171" i="113"/>
  <c r="Q170" i="113"/>
  <c r="Q169" i="113"/>
  <c r="Q168" i="113"/>
  <c r="Q167" i="113"/>
  <c r="Q166" i="113"/>
  <c r="Q165" i="113"/>
  <c r="Q164" i="113"/>
  <c r="Q163" i="113"/>
  <c r="Q162" i="113"/>
  <c r="Q161" i="113"/>
  <c r="Q160" i="113"/>
  <c r="Q159" i="113"/>
  <c r="Q158" i="113"/>
  <c r="Q157" i="113"/>
  <c r="Q156" i="113"/>
  <c r="Q155" i="113"/>
  <c r="Q154" i="113"/>
  <c r="Q153" i="113"/>
  <c r="Q152" i="113"/>
  <c r="Q151" i="113"/>
  <c r="Q150" i="113"/>
  <c r="Q149" i="113"/>
  <c r="Q148" i="113"/>
  <c r="Q147" i="113"/>
  <c r="Q146" i="113"/>
  <c r="Q145" i="113"/>
  <c r="Q144" i="113"/>
  <c r="Q143" i="113"/>
  <c r="Q142" i="113"/>
  <c r="Q141" i="113"/>
  <c r="Q140" i="113"/>
  <c r="Q139" i="113"/>
  <c r="Q138" i="113"/>
  <c r="Q137" i="113"/>
  <c r="Q136" i="113"/>
  <c r="Q135" i="113"/>
  <c r="Q134" i="113"/>
  <c r="Q133" i="113"/>
  <c r="Q132" i="113"/>
  <c r="Q131" i="113"/>
  <c r="Q130" i="113"/>
  <c r="Q129" i="113"/>
  <c r="Q128" i="113"/>
  <c r="Q127" i="113"/>
  <c r="Q126" i="113"/>
  <c r="Q125" i="113"/>
  <c r="Q124" i="113"/>
  <c r="Q123" i="113"/>
  <c r="Q122" i="113"/>
  <c r="Q121" i="113"/>
  <c r="Q120" i="113"/>
  <c r="Q119" i="113"/>
  <c r="Q118" i="113"/>
  <c r="Q117" i="113"/>
  <c r="Q116" i="113"/>
  <c r="Q115" i="113"/>
  <c r="Q114" i="113"/>
  <c r="Q113" i="113"/>
  <c r="Q112" i="113"/>
  <c r="Q111" i="113"/>
  <c r="Q110" i="113"/>
  <c r="Q109" i="113"/>
  <c r="Q108" i="113"/>
  <c r="Q107" i="113"/>
  <c r="Q106" i="113"/>
  <c r="Q105" i="113"/>
  <c r="Q104" i="113"/>
  <c r="Q103" i="113"/>
  <c r="Q102" i="113"/>
  <c r="Q101" i="113"/>
  <c r="Q100" i="113"/>
  <c r="Q99" i="113"/>
  <c r="Q98" i="113"/>
  <c r="Q97" i="113"/>
  <c r="Q96" i="113"/>
  <c r="Q95" i="113"/>
  <c r="Q94" i="113"/>
  <c r="Q93" i="113"/>
  <c r="Q92" i="113"/>
  <c r="Q91" i="113"/>
  <c r="Q90" i="113"/>
  <c r="Q89" i="113"/>
  <c r="Q88" i="113"/>
  <c r="Q87" i="113"/>
  <c r="Q86" i="113"/>
  <c r="Q85" i="113"/>
  <c r="Q84" i="113"/>
  <c r="Q83" i="113"/>
  <c r="Q82" i="113"/>
  <c r="Q81" i="113"/>
  <c r="Q80" i="113"/>
  <c r="Q79" i="113"/>
  <c r="Q78" i="113"/>
  <c r="Q77" i="113"/>
  <c r="Q76" i="113"/>
  <c r="Q75" i="113"/>
  <c r="Q74" i="113"/>
  <c r="Q73" i="113"/>
  <c r="Q72" i="113"/>
  <c r="Q71" i="113"/>
  <c r="Q70" i="113"/>
  <c r="Q69" i="113"/>
  <c r="Q68" i="113"/>
  <c r="Q67" i="113"/>
  <c r="Q66" i="113"/>
  <c r="Q65" i="113"/>
  <c r="Q64" i="113"/>
  <c r="Q63" i="113"/>
  <c r="Q62" i="113"/>
  <c r="Q61" i="113"/>
  <c r="Q60" i="113"/>
  <c r="Q59" i="113"/>
  <c r="Q58" i="113"/>
  <c r="Q57" i="113"/>
  <c r="Q56" i="113"/>
  <c r="Q55" i="113"/>
  <c r="Q54" i="113"/>
  <c r="Q53" i="113"/>
  <c r="Q52" i="113"/>
  <c r="Q51" i="113"/>
  <c r="Q50" i="113"/>
  <c r="Q49" i="113"/>
  <c r="Q48" i="113"/>
  <c r="Q47" i="113"/>
  <c r="Q46" i="113"/>
  <c r="Q45" i="113"/>
  <c r="Q44" i="113"/>
  <c r="Q43" i="113"/>
  <c r="Q42" i="113"/>
  <c r="Q41" i="113"/>
  <c r="Q40" i="113"/>
  <c r="Q39" i="113"/>
  <c r="Q38" i="113"/>
  <c r="Q37" i="113"/>
  <c r="Q36" i="113"/>
  <c r="Q35" i="113"/>
  <c r="Q34" i="113"/>
  <c r="Q33" i="113"/>
  <c r="Q32" i="113"/>
  <c r="Q31" i="113"/>
  <c r="Q30" i="113"/>
  <c r="Q29" i="113"/>
  <c r="Q28" i="113"/>
  <c r="Q27" i="113"/>
  <c r="Q26" i="113"/>
  <c r="Q25" i="113"/>
  <c r="Q24" i="113"/>
  <c r="Q23" i="113"/>
  <c r="Q22" i="113"/>
  <c r="Q21" i="113"/>
  <c r="Q20" i="113"/>
  <c r="Q19" i="113"/>
  <c r="Q18" i="113"/>
  <c r="Q17" i="113"/>
  <c r="Q16" i="113"/>
  <c r="Q15" i="113"/>
  <c r="Q14" i="113"/>
  <c r="Q13" i="113"/>
  <c r="Q12" i="113"/>
  <c r="Q11" i="113"/>
  <c r="Q10" i="113"/>
  <c r="Q9" i="113"/>
  <c r="Q8" i="113"/>
  <c r="Q7" i="113"/>
  <c r="Q6" i="113"/>
  <c r="Q5" i="113"/>
  <c r="Q4" i="113"/>
  <c r="Q3" i="113"/>
  <c r="Q2" i="113"/>
  <c r="P1968" i="113"/>
  <c r="P1859" i="113"/>
  <c r="P1414" i="113"/>
  <c r="P264" i="113"/>
  <c r="P263" i="113"/>
  <c r="J6588" i="111" l="1"/>
  <c r="X3" i="113" l="1"/>
  <c r="X4" i="113"/>
  <c r="X5" i="113"/>
  <c r="X6" i="113"/>
  <c r="X7" i="113"/>
  <c r="X8" i="113"/>
  <c r="X9" i="113"/>
  <c r="X10" i="113"/>
  <c r="X11" i="113"/>
  <c r="X12" i="113"/>
  <c r="X13" i="113"/>
  <c r="X14" i="113"/>
  <c r="X15" i="113"/>
  <c r="X16" i="113"/>
  <c r="X17" i="113"/>
  <c r="X18" i="113"/>
  <c r="X19" i="113"/>
  <c r="X20" i="113"/>
  <c r="X21" i="113"/>
  <c r="X22" i="113"/>
  <c r="X23" i="113"/>
  <c r="X24" i="113"/>
  <c r="X25" i="113"/>
  <c r="X27" i="113"/>
  <c r="X28" i="113"/>
  <c r="X29" i="113"/>
  <c r="X30" i="113"/>
  <c r="X31" i="113"/>
  <c r="X32" i="113"/>
  <c r="X33" i="113"/>
  <c r="X34" i="113"/>
  <c r="X35" i="113"/>
  <c r="X36" i="113"/>
  <c r="X37" i="113"/>
  <c r="X38" i="113"/>
  <c r="X39" i="113"/>
  <c r="X40" i="113"/>
  <c r="X41" i="113"/>
  <c r="X42" i="113"/>
  <c r="X43" i="113"/>
  <c r="X44" i="113"/>
  <c r="X45" i="113"/>
  <c r="X46" i="113"/>
  <c r="X47" i="113"/>
  <c r="X48" i="113"/>
  <c r="X49" i="113"/>
  <c r="X50" i="113"/>
  <c r="X51" i="113"/>
  <c r="X52" i="113"/>
  <c r="X53" i="113"/>
  <c r="X54" i="113"/>
  <c r="X55" i="113"/>
  <c r="X56" i="113"/>
  <c r="X57" i="113"/>
  <c r="X58" i="113"/>
  <c r="X59" i="113"/>
  <c r="X60" i="113"/>
  <c r="X61" i="113"/>
  <c r="X62" i="113"/>
  <c r="X63" i="113"/>
  <c r="X64" i="113"/>
  <c r="X65" i="113"/>
  <c r="X66" i="113"/>
  <c r="X68" i="113"/>
  <c r="X69" i="113"/>
  <c r="X70" i="113"/>
  <c r="X71" i="113"/>
  <c r="X72" i="113"/>
  <c r="X73" i="113"/>
  <c r="X74" i="113"/>
  <c r="X75" i="113"/>
  <c r="X76" i="113"/>
  <c r="X77" i="113"/>
  <c r="X78" i="113"/>
  <c r="X79" i="113"/>
  <c r="X80" i="113"/>
  <c r="X81" i="113"/>
  <c r="X82" i="113"/>
  <c r="X83" i="113"/>
  <c r="X84" i="113"/>
  <c r="X85" i="113"/>
  <c r="X86" i="113"/>
  <c r="X87" i="113"/>
  <c r="X88" i="113"/>
  <c r="X89" i="113"/>
  <c r="X90" i="113"/>
  <c r="X91" i="113"/>
  <c r="X92" i="113"/>
  <c r="X93" i="113"/>
  <c r="X95" i="113"/>
  <c r="X96" i="113"/>
  <c r="X97" i="113"/>
  <c r="X98" i="113"/>
  <c r="X99" i="113"/>
  <c r="X100" i="113"/>
  <c r="X101" i="113"/>
  <c r="X102" i="113"/>
  <c r="X103" i="113"/>
  <c r="X104" i="113"/>
  <c r="X105" i="113"/>
  <c r="X106" i="113"/>
  <c r="X107" i="113"/>
  <c r="X108" i="113"/>
  <c r="X109" i="113"/>
  <c r="X110" i="113"/>
  <c r="X111" i="113"/>
  <c r="X112" i="113"/>
  <c r="X113" i="113"/>
  <c r="X114" i="113"/>
  <c r="X115" i="113"/>
  <c r="X116" i="113"/>
  <c r="X117" i="113"/>
  <c r="X118" i="113"/>
  <c r="X119" i="113"/>
  <c r="X120" i="113"/>
  <c r="X121" i="113"/>
  <c r="X122" i="113"/>
  <c r="X123" i="113"/>
  <c r="X124" i="113"/>
  <c r="X126" i="113"/>
  <c r="X127" i="113"/>
  <c r="X128" i="113"/>
  <c r="X129" i="113"/>
  <c r="X130" i="113"/>
  <c r="X131" i="113"/>
  <c r="X132" i="113"/>
  <c r="X133" i="113"/>
  <c r="X134" i="113"/>
  <c r="X135" i="113"/>
  <c r="X136" i="113"/>
  <c r="X137" i="113"/>
  <c r="X138" i="113"/>
  <c r="X139" i="113"/>
  <c r="X140" i="113"/>
  <c r="X142" i="113"/>
  <c r="X143" i="113"/>
  <c r="X144" i="113"/>
  <c r="X145" i="113"/>
  <c r="X146" i="113"/>
  <c r="X147" i="113"/>
  <c r="X148" i="113"/>
  <c r="X149" i="113"/>
  <c r="X150" i="113"/>
  <c r="X151" i="113"/>
  <c r="X152" i="113"/>
  <c r="X153" i="113"/>
  <c r="X154" i="113"/>
  <c r="X155" i="113"/>
  <c r="X156" i="113"/>
  <c r="X157" i="113"/>
  <c r="X158" i="113"/>
  <c r="X159" i="113"/>
  <c r="X160" i="113"/>
  <c r="X161" i="113"/>
  <c r="X162" i="113"/>
  <c r="X163" i="113"/>
  <c r="X164" i="113"/>
  <c r="X165" i="113"/>
  <c r="X166" i="113"/>
  <c r="X168" i="113"/>
  <c r="X169" i="113"/>
  <c r="X170" i="113"/>
  <c r="X171" i="113"/>
  <c r="X172" i="113"/>
  <c r="X173" i="113"/>
  <c r="X174" i="113"/>
  <c r="X175" i="113"/>
  <c r="X176" i="113"/>
  <c r="X177" i="113"/>
  <c r="X178" i="113"/>
  <c r="X179" i="113"/>
  <c r="X181" i="113"/>
  <c r="X182" i="113"/>
  <c r="X183" i="113"/>
  <c r="X184" i="113"/>
  <c r="X185" i="113"/>
  <c r="X186" i="113"/>
  <c r="X187" i="113"/>
  <c r="X188" i="113"/>
  <c r="X189" i="113"/>
  <c r="X190" i="113"/>
  <c r="X191" i="113"/>
  <c r="X192" i="113"/>
  <c r="X193" i="113"/>
  <c r="X194" i="113"/>
  <c r="X195" i="113"/>
  <c r="X196" i="113"/>
  <c r="X197" i="113"/>
  <c r="X198" i="113"/>
  <c r="X199" i="113"/>
  <c r="X200" i="113"/>
  <c r="X201" i="113"/>
  <c r="X202" i="113"/>
  <c r="X203" i="113"/>
  <c r="X204" i="113"/>
  <c r="X205" i="113"/>
  <c r="X206" i="113"/>
  <c r="X207" i="113"/>
  <c r="X208" i="113"/>
  <c r="X209" i="113"/>
  <c r="X210" i="113"/>
  <c r="X212" i="113"/>
  <c r="X213" i="113"/>
  <c r="X214" i="113"/>
  <c r="X215" i="113"/>
  <c r="X216" i="113"/>
  <c r="X217" i="113"/>
  <c r="X218" i="113"/>
  <c r="X219" i="113"/>
  <c r="X220" i="113"/>
  <c r="X221" i="113"/>
  <c r="X222" i="113"/>
  <c r="X223" i="113"/>
  <c r="X224" i="113"/>
  <c r="X225" i="113"/>
  <c r="X226" i="113"/>
  <c r="X227" i="113"/>
  <c r="X228" i="113"/>
  <c r="X229" i="113"/>
  <c r="X230" i="113"/>
  <c r="X231" i="113"/>
  <c r="X232" i="113"/>
  <c r="X233" i="113"/>
  <c r="X234" i="113"/>
  <c r="X235" i="113"/>
  <c r="X236" i="113"/>
  <c r="X237" i="113"/>
  <c r="X238" i="113"/>
  <c r="X239" i="113"/>
  <c r="X240" i="113"/>
  <c r="X241" i="113"/>
  <c r="X242" i="113"/>
  <c r="X244" i="113"/>
  <c r="X245" i="113"/>
  <c r="X246" i="113"/>
  <c r="X247" i="113"/>
  <c r="X248" i="113"/>
  <c r="X249" i="113"/>
  <c r="X250" i="113"/>
  <c r="X251" i="113"/>
  <c r="X252" i="113"/>
  <c r="X253" i="113"/>
  <c r="X254" i="113"/>
  <c r="X255" i="113"/>
  <c r="X256" i="113"/>
  <c r="X257" i="113"/>
  <c r="X258" i="113"/>
  <c r="X259" i="113"/>
  <c r="X260" i="113"/>
  <c r="X261" i="113"/>
  <c r="X262" i="113"/>
  <c r="X263" i="113"/>
  <c r="X264" i="113"/>
  <c r="X265" i="113"/>
  <c r="X266" i="113"/>
  <c r="X267" i="113"/>
  <c r="X268" i="113"/>
  <c r="X269" i="113"/>
  <c r="X270" i="113"/>
  <c r="X271" i="113"/>
  <c r="X272" i="113"/>
  <c r="X273" i="113"/>
  <c r="X274" i="113"/>
  <c r="X275" i="113"/>
  <c r="X276" i="113"/>
  <c r="X277" i="113"/>
  <c r="X279" i="113"/>
  <c r="X280" i="113"/>
  <c r="X281" i="113"/>
  <c r="X282" i="113"/>
  <c r="X283" i="113"/>
  <c r="X284" i="113"/>
  <c r="X285" i="113"/>
  <c r="X286" i="113"/>
  <c r="X287" i="113"/>
  <c r="X288" i="113"/>
  <c r="X289" i="113"/>
  <c r="X290" i="113"/>
  <c r="X291" i="113"/>
  <c r="X292" i="113"/>
  <c r="X293" i="113"/>
  <c r="X294" i="113"/>
  <c r="X295" i="113"/>
  <c r="X296" i="113"/>
  <c r="X297" i="113"/>
  <c r="X298" i="113"/>
  <c r="X299" i="113"/>
  <c r="X300" i="113"/>
  <c r="X301" i="113"/>
  <c r="X302" i="113"/>
  <c r="X303" i="113"/>
  <c r="X304" i="113"/>
  <c r="X305" i="113"/>
  <c r="X307" i="113"/>
  <c r="X308" i="113"/>
  <c r="X309" i="113"/>
  <c r="X310" i="113"/>
  <c r="X311" i="113"/>
  <c r="X312" i="113"/>
  <c r="X313" i="113"/>
  <c r="X314" i="113"/>
  <c r="X315" i="113"/>
  <c r="X316" i="113"/>
  <c r="X317" i="113"/>
  <c r="X318" i="113"/>
  <c r="X319" i="113"/>
  <c r="X320" i="113"/>
  <c r="X321" i="113"/>
  <c r="X322" i="113"/>
  <c r="X323" i="113"/>
  <c r="X324" i="113"/>
  <c r="X325" i="113"/>
  <c r="X326" i="113"/>
  <c r="X327" i="113"/>
  <c r="X328" i="113"/>
  <c r="X329" i="113"/>
  <c r="X330" i="113"/>
  <c r="X331" i="113"/>
  <c r="X332" i="113"/>
  <c r="X333" i="113"/>
  <c r="X334" i="113"/>
  <c r="X335" i="113"/>
  <c r="X336" i="113"/>
  <c r="X337" i="113"/>
  <c r="X339" i="113"/>
  <c r="X340" i="113"/>
  <c r="X341" i="113"/>
  <c r="X342" i="113"/>
  <c r="X343" i="113"/>
  <c r="X344" i="113"/>
  <c r="X345" i="113"/>
  <c r="X346" i="113"/>
  <c r="X347" i="113"/>
  <c r="X348" i="113"/>
  <c r="X349" i="113"/>
  <c r="X350" i="113"/>
  <c r="X351" i="113"/>
  <c r="X352" i="113"/>
  <c r="X353" i="113"/>
  <c r="X354" i="113"/>
  <c r="X355" i="113"/>
  <c r="X356" i="113"/>
  <c r="X357" i="113"/>
  <c r="X358" i="113"/>
  <c r="X359" i="113"/>
  <c r="X360" i="113"/>
  <c r="X362" i="113"/>
  <c r="X363" i="113"/>
  <c r="X364" i="113"/>
  <c r="X365" i="113"/>
  <c r="X366" i="113"/>
  <c r="X367" i="113"/>
  <c r="X368" i="113"/>
  <c r="X369" i="113"/>
  <c r="X370" i="113"/>
  <c r="X371" i="113"/>
  <c r="X372" i="113"/>
  <c r="X373" i="113"/>
  <c r="X374" i="113"/>
  <c r="X375" i="113"/>
  <c r="X376" i="113"/>
  <c r="X377" i="113"/>
  <c r="X378" i="113"/>
  <c r="X379" i="113"/>
  <c r="X380" i="113"/>
  <c r="X381" i="113"/>
  <c r="X382" i="113"/>
  <c r="X383" i="113"/>
  <c r="X384" i="113"/>
  <c r="X385" i="113"/>
  <c r="X386" i="113"/>
  <c r="X387" i="113"/>
  <c r="X388" i="113"/>
  <c r="X390" i="113"/>
  <c r="X391" i="113"/>
  <c r="X392" i="113"/>
  <c r="X393" i="113"/>
  <c r="X394" i="113"/>
  <c r="X395" i="113"/>
  <c r="X396" i="113"/>
  <c r="X397" i="113"/>
  <c r="X398" i="113"/>
  <c r="X399" i="113"/>
  <c r="X400" i="113"/>
  <c r="X401" i="113"/>
  <c r="X402" i="113"/>
  <c r="X403" i="113"/>
  <c r="X404" i="113"/>
  <c r="X405" i="113"/>
  <c r="X406" i="113"/>
  <c r="X407" i="113"/>
  <c r="X408" i="113"/>
  <c r="X409" i="113"/>
  <c r="X410" i="113"/>
  <c r="X411" i="113"/>
  <c r="X412" i="113"/>
  <c r="X413" i="113"/>
  <c r="X414" i="113"/>
  <c r="X415" i="113"/>
  <c r="X416" i="113"/>
  <c r="X417" i="113"/>
  <c r="X418" i="113"/>
  <c r="X420" i="113"/>
  <c r="X421" i="113"/>
  <c r="X422" i="113"/>
  <c r="X423" i="113"/>
  <c r="X424" i="113"/>
  <c r="X425" i="113"/>
  <c r="X426" i="113"/>
  <c r="X427" i="113"/>
  <c r="X428" i="113"/>
  <c r="X429" i="113"/>
  <c r="X430" i="113"/>
  <c r="X431" i="113"/>
  <c r="X432" i="113"/>
  <c r="X433" i="113"/>
  <c r="X434" i="113"/>
  <c r="X435" i="113"/>
  <c r="X436" i="113"/>
  <c r="X437" i="113"/>
  <c r="X438" i="113"/>
  <c r="X439" i="113"/>
  <c r="X440" i="113"/>
  <c r="X442" i="113"/>
  <c r="X443" i="113"/>
  <c r="X444" i="113"/>
  <c r="X445" i="113"/>
  <c r="X446" i="113"/>
  <c r="X447" i="113"/>
  <c r="X448" i="113"/>
  <c r="X449" i="113"/>
  <c r="X450" i="113"/>
  <c r="X451" i="113"/>
  <c r="X452" i="113"/>
  <c r="X453" i="113"/>
  <c r="X454" i="113"/>
  <c r="X455" i="113"/>
  <c r="X456" i="113"/>
  <c r="X457" i="113"/>
  <c r="X458" i="113"/>
  <c r="X459" i="113"/>
  <c r="X460" i="113"/>
  <c r="X461" i="113"/>
  <c r="X462" i="113"/>
  <c r="X463" i="113"/>
  <c r="X464" i="113"/>
  <c r="X465" i="113"/>
  <c r="X466" i="113"/>
  <c r="X467" i="113"/>
  <c r="X468" i="113"/>
  <c r="X469" i="113"/>
  <c r="X470" i="113"/>
  <c r="X471" i="113"/>
  <c r="X472" i="113"/>
  <c r="X473" i="113"/>
  <c r="X474" i="113"/>
  <c r="X475" i="113"/>
  <c r="X476" i="113"/>
  <c r="X478" i="113"/>
  <c r="X479" i="113"/>
  <c r="X480" i="113"/>
  <c r="X481" i="113"/>
  <c r="X482" i="113"/>
  <c r="X483" i="113"/>
  <c r="X484" i="113"/>
  <c r="X485" i="113"/>
  <c r="X486" i="113"/>
  <c r="X487" i="113"/>
  <c r="X488" i="113"/>
  <c r="X489" i="113"/>
  <c r="X490" i="113"/>
  <c r="X491" i="113"/>
  <c r="X492" i="113"/>
  <c r="X493" i="113"/>
  <c r="X494" i="113"/>
  <c r="X495" i="113"/>
  <c r="X496" i="113"/>
  <c r="X497" i="113"/>
  <c r="X498" i="113"/>
  <c r="X499" i="113"/>
  <c r="X500" i="113"/>
  <c r="X501" i="113"/>
  <c r="X502" i="113"/>
  <c r="X503" i="113"/>
  <c r="X504" i="113"/>
  <c r="X505" i="113"/>
  <c r="X506" i="113"/>
  <c r="X507" i="113"/>
  <c r="X508" i="113"/>
  <c r="X509" i="113"/>
  <c r="X510" i="113"/>
  <c r="X512" i="113"/>
  <c r="X513" i="113"/>
  <c r="X514" i="113"/>
  <c r="X515" i="113"/>
  <c r="X516" i="113"/>
  <c r="X517" i="113"/>
  <c r="X518" i="113"/>
  <c r="X519" i="113"/>
  <c r="X520" i="113"/>
  <c r="X521" i="113"/>
  <c r="X522" i="113"/>
  <c r="X523" i="113"/>
  <c r="X524" i="113"/>
  <c r="X525" i="113"/>
  <c r="X526" i="113"/>
  <c r="X527" i="113"/>
  <c r="X528" i="113"/>
  <c r="X529" i="113"/>
  <c r="X530" i="113"/>
  <c r="X531" i="113"/>
  <c r="X532" i="113"/>
  <c r="X533" i="113"/>
  <c r="X534" i="113"/>
  <c r="X535" i="113"/>
  <c r="X536" i="113"/>
  <c r="X537" i="113"/>
  <c r="X538" i="113"/>
  <c r="X539" i="113"/>
  <c r="X540" i="113"/>
  <c r="X542" i="113"/>
  <c r="X543" i="113"/>
  <c r="X544" i="113"/>
  <c r="X545" i="113"/>
  <c r="X546" i="113"/>
  <c r="X547" i="113"/>
  <c r="X548" i="113"/>
  <c r="X549" i="113"/>
  <c r="X550" i="113"/>
  <c r="X551" i="113"/>
  <c r="X552" i="113"/>
  <c r="X553" i="113"/>
  <c r="X554" i="113"/>
  <c r="X555" i="113"/>
  <c r="X556" i="113"/>
  <c r="X557" i="113"/>
  <c r="X558" i="113"/>
  <c r="X559" i="113"/>
  <c r="X560" i="113"/>
  <c r="X561" i="113"/>
  <c r="X562" i="113"/>
  <c r="X563" i="113"/>
  <c r="X564" i="113"/>
  <c r="X565" i="113"/>
  <c r="X566" i="113"/>
  <c r="X567" i="113"/>
  <c r="X568" i="113"/>
  <c r="X569" i="113"/>
  <c r="X570" i="113"/>
  <c r="X571" i="113"/>
  <c r="X572" i="113"/>
  <c r="X573" i="113"/>
  <c r="X574" i="113"/>
  <c r="X575" i="113"/>
  <c r="X576" i="113"/>
  <c r="X577" i="113"/>
  <c r="X578" i="113"/>
  <c r="X579" i="113"/>
  <c r="X580" i="113"/>
  <c r="X581" i="113"/>
  <c r="X583" i="113"/>
  <c r="X584" i="113"/>
  <c r="X585" i="113"/>
  <c r="X586" i="113"/>
  <c r="X587" i="113"/>
  <c r="X588" i="113"/>
  <c r="X589" i="113"/>
  <c r="X590" i="113"/>
  <c r="X591" i="113"/>
  <c r="X592" i="113"/>
  <c r="X593" i="113"/>
  <c r="X594" i="113"/>
  <c r="X595" i="113"/>
  <c r="X596" i="113"/>
  <c r="X598" i="113"/>
  <c r="X599" i="113"/>
  <c r="X600" i="113"/>
  <c r="X601" i="113"/>
  <c r="X602" i="113"/>
  <c r="X603" i="113"/>
  <c r="X604" i="113"/>
  <c r="X605" i="113"/>
  <c r="X606" i="113"/>
  <c r="X607" i="113"/>
  <c r="X608" i="113"/>
  <c r="X609" i="113"/>
  <c r="X610" i="113"/>
  <c r="X611" i="113"/>
  <c r="X612" i="113"/>
  <c r="X613" i="113"/>
  <c r="X614" i="113"/>
  <c r="X616" i="113"/>
  <c r="X617" i="113"/>
  <c r="X618" i="113"/>
  <c r="X619" i="113"/>
  <c r="X620" i="113"/>
  <c r="X621" i="113"/>
  <c r="X622" i="113"/>
  <c r="X623" i="113"/>
  <c r="X624" i="113"/>
  <c r="X625" i="113"/>
  <c r="X626" i="113"/>
  <c r="X627" i="113"/>
  <c r="X628" i="113"/>
  <c r="X629" i="113"/>
  <c r="X630" i="113"/>
  <c r="X631" i="113"/>
  <c r="X632" i="113"/>
  <c r="X633" i="113"/>
  <c r="X634" i="113"/>
  <c r="X635" i="113"/>
  <c r="X636" i="113"/>
  <c r="X637" i="113"/>
  <c r="X638" i="113"/>
  <c r="X639" i="113"/>
  <c r="X640" i="113"/>
  <c r="X641" i="113"/>
  <c r="X642" i="113"/>
  <c r="X643" i="113"/>
  <c r="X645" i="113"/>
  <c r="X646" i="113"/>
  <c r="X647" i="113"/>
  <c r="X648" i="113"/>
  <c r="X649" i="113"/>
  <c r="X650" i="113"/>
  <c r="X651" i="113"/>
  <c r="X652" i="113"/>
  <c r="X653" i="113"/>
  <c r="X654" i="113"/>
  <c r="X655" i="113"/>
  <c r="X656" i="113"/>
  <c r="X657" i="113"/>
  <c r="X658" i="113"/>
  <c r="X659" i="113"/>
  <c r="X660" i="113"/>
  <c r="X661" i="113"/>
  <c r="X662" i="113"/>
  <c r="X663" i="113"/>
  <c r="X664" i="113"/>
  <c r="X665" i="113"/>
  <c r="X666" i="113"/>
  <c r="X667" i="113"/>
  <c r="X668" i="113"/>
  <c r="X669" i="113"/>
  <c r="X670" i="113"/>
  <c r="X672" i="113"/>
  <c r="X673" i="113"/>
  <c r="X674" i="113"/>
  <c r="X675" i="113"/>
  <c r="X676" i="113"/>
  <c r="X677" i="113"/>
  <c r="X678" i="113"/>
  <c r="X679" i="113"/>
  <c r="X680" i="113"/>
  <c r="X681" i="113"/>
  <c r="X682" i="113"/>
  <c r="X683" i="113"/>
  <c r="X684" i="113"/>
  <c r="X685" i="113"/>
  <c r="X686" i="113"/>
  <c r="X687" i="113"/>
  <c r="X688" i="113"/>
  <c r="X689" i="113"/>
  <c r="X690" i="113"/>
  <c r="X691" i="113"/>
  <c r="X692" i="113"/>
  <c r="X693" i="113"/>
  <c r="X694" i="113"/>
  <c r="X695" i="113"/>
  <c r="X696" i="113"/>
  <c r="X698" i="113"/>
  <c r="X699" i="113"/>
  <c r="X700" i="113"/>
  <c r="X701" i="113"/>
  <c r="X702" i="113"/>
  <c r="X703" i="113"/>
  <c r="X704" i="113"/>
  <c r="X705" i="113"/>
  <c r="X706" i="113"/>
  <c r="X707" i="113"/>
  <c r="X708" i="113"/>
  <c r="X709" i="113"/>
  <c r="X710" i="113"/>
  <c r="X711" i="113"/>
  <c r="X712" i="113"/>
  <c r="X713" i="113"/>
  <c r="X714" i="113"/>
  <c r="X715" i="113"/>
  <c r="X716" i="113"/>
  <c r="X717" i="113"/>
  <c r="X718" i="113"/>
  <c r="X719" i="113"/>
  <c r="X720" i="113"/>
  <c r="X721" i="113"/>
  <c r="X722" i="113"/>
  <c r="X723" i="113"/>
  <c r="X724" i="113"/>
  <c r="X725" i="113"/>
  <c r="X726" i="113"/>
  <c r="X727" i="113"/>
  <c r="X728" i="113"/>
  <c r="X730" i="113"/>
  <c r="X731" i="113"/>
  <c r="X732" i="113"/>
  <c r="X733" i="113"/>
  <c r="X734" i="113"/>
  <c r="X735" i="113"/>
  <c r="X736" i="113"/>
  <c r="X737" i="113"/>
  <c r="X738" i="113"/>
  <c r="X739" i="113"/>
  <c r="X740" i="113"/>
  <c r="X741" i="113"/>
  <c r="X742" i="113"/>
  <c r="X743" i="113"/>
  <c r="X744" i="113"/>
  <c r="X745" i="113"/>
  <c r="X746" i="113"/>
  <c r="X747" i="113"/>
  <c r="X748" i="113"/>
  <c r="X749" i="113"/>
  <c r="X750" i="113"/>
  <c r="X751" i="113"/>
  <c r="X752" i="113"/>
  <c r="X753" i="113"/>
  <c r="X754" i="113"/>
  <c r="X755" i="113"/>
  <c r="X756" i="113"/>
  <c r="X757" i="113"/>
  <c r="X758" i="113"/>
  <c r="X759" i="113"/>
  <c r="X760" i="113"/>
  <c r="X761" i="113"/>
  <c r="X762" i="113"/>
  <c r="X763" i="113"/>
  <c r="X764" i="113"/>
  <c r="X765" i="113"/>
  <c r="X766" i="113"/>
  <c r="X767" i="113"/>
  <c r="X768" i="113"/>
  <c r="X769" i="113"/>
  <c r="X771" i="113"/>
  <c r="X772" i="113"/>
  <c r="X773" i="113"/>
  <c r="X774" i="113"/>
  <c r="X775" i="113"/>
  <c r="X776" i="113"/>
  <c r="X777" i="113"/>
  <c r="X778" i="113"/>
  <c r="X779" i="113"/>
  <c r="X780" i="113"/>
  <c r="X781" i="113"/>
  <c r="X782" i="113"/>
  <c r="X783" i="113"/>
  <c r="X784" i="113"/>
  <c r="X785" i="113"/>
  <c r="X786" i="113"/>
  <c r="X787" i="113"/>
  <c r="X788" i="113"/>
  <c r="X789" i="113"/>
  <c r="X790" i="113"/>
  <c r="X791" i="113"/>
  <c r="X792" i="113"/>
  <c r="X793" i="113"/>
  <c r="X794" i="113"/>
  <c r="X795" i="113"/>
  <c r="X796" i="113"/>
  <c r="X797" i="113"/>
  <c r="X798" i="113"/>
  <c r="X799" i="113"/>
  <c r="X800" i="113"/>
  <c r="X801" i="113"/>
  <c r="X802" i="113"/>
  <c r="X803" i="113"/>
  <c r="X804" i="113"/>
  <c r="X805" i="113"/>
  <c r="X807" i="113"/>
  <c r="X808" i="113"/>
  <c r="X809" i="113"/>
  <c r="X810" i="113"/>
  <c r="X811" i="113"/>
  <c r="X812" i="113"/>
  <c r="X813" i="113"/>
  <c r="X814" i="113"/>
  <c r="X815" i="113"/>
  <c r="X816" i="113"/>
  <c r="X817" i="113"/>
  <c r="X818" i="113"/>
  <c r="X819" i="113"/>
  <c r="X820" i="113"/>
  <c r="X821" i="113"/>
  <c r="X822" i="113"/>
  <c r="X823" i="113"/>
  <c r="X824" i="113"/>
  <c r="X825" i="113"/>
  <c r="X826" i="113"/>
  <c r="X827" i="113"/>
  <c r="X828" i="113"/>
  <c r="X829" i="113"/>
  <c r="X830" i="113"/>
  <c r="X831" i="113"/>
  <c r="X832" i="113"/>
  <c r="X833" i="113"/>
  <c r="X834" i="113"/>
  <c r="X835" i="113"/>
  <c r="X836" i="113"/>
  <c r="X837" i="113"/>
  <c r="X839" i="113"/>
  <c r="X840" i="113"/>
  <c r="X841" i="113"/>
  <c r="X842" i="113"/>
  <c r="X843" i="113"/>
  <c r="X844" i="113"/>
  <c r="X845" i="113"/>
  <c r="X846" i="113"/>
  <c r="X847" i="113"/>
  <c r="X848" i="113"/>
  <c r="X849" i="113"/>
  <c r="X850" i="113"/>
  <c r="X851" i="113"/>
  <c r="X852" i="113"/>
  <c r="X853" i="113"/>
  <c r="X854" i="113"/>
  <c r="X855" i="113"/>
  <c r="X856" i="113"/>
  <c r="X857" i="113"/>
  <c r="X858" i="113"/>
  <c r="X859" i="113"/>
  <c r="X860" i="113"/>
  <c r="X861" i="113"/>
  <c r="X862" i="113"/>
  <c r="X863" i="113"/>
  <c r="X865" i="113"/>
  <c r="X866" i="113"/>
  <c r="X867" i="113"/>
  <c r="X868" i="113"/>
  <c r="X869" i="113"/>
  <c r="X870" i="113"/>
  <c r="X871" i="113"/>
  <c r="X872" i="113"/>
  <c r="X873" i="113"/>
  <c r="X874" i="113"/>
  <c r="X875" i="113"/>
  <c r="X876" i="113"/>
  <c r="X877" i="113"/>
  <c r="X878" i="113"/>
  <c r="X879" i="113"/>
  <c r="X880" i="113"/>
  <c r="X881" i="113"/>
  <c r="X882" i="113"/>
  <c r="X883" i="113"/>
  <c r="X884" i="113"/>
  <c r="X885" i="113"/>
  <c r="X886" i="113"/>
  <c r="X887" i="113"/>
  <c r="X888" i="113"/>
  <c r="X889" i="113"/>
  <c r="X890" i="113"/>
  <c r="X891" i="113"/>
  <c r="X892" i="113"/>
  <c r="X893" i="113"/>
  <c r="X894" i="113"/>
  <c r="X895" i="113"/>
  <c r="X896" i="113"/>
  <c r="X897" i="113"/>
  <c r="X898" i="113"/>
  <c r="X899" i="113"/>
  <c r="X900" i="113"/>
  <c r="X902" i="113"/>
  <c r="X903" i="113"/>
  <c r="X904" i="113"/>
  <c r="X905" i="113"/>
  <c r="X906" i="113"/>
  <c r="X907" i="113"/>
  <c r="X908" i="113"/>
  <c r="X909" i="113"/>
  <c r="X910" i="113"/>
  <c r="X911" i="113"/>
  <c r="X912" i="113"/>
  <c r="X913" i="113"/>
  <c r="X914" i="113"/>
  <c r="X915" i="113"/>
  <c r="X916" i="113"/>
  <c r="X917" i="113"/>
  <c r="X918" i="113"/>
  <c r="X919" i="113"/>
  <c r="X920" i="113"/>
  <c r="X921" i="113"/>
  <c r="X922" i="113"/>
  <c r="X923" i="113"/>
  <c r="X924" i="113"/>
  <c r="X925" i="113"/>
  <c r="X926" i="113"/>
  <c r="X927" i="113"/>
  <c r="X928" i="113"/>
  <c r="X929" i="113"/>
  <c r="X930" i="113"/>
  <c r="X931" i="113"/>
  <c r="X932" i="113"/>
  <c r="X933" i="113"/>
  <c r="X934" i="113"/>
  <c r="X935" i="113"/>
  <c r="X936" i="113"/>
  <c r="X937" i="113"/>
  <c r="X938" i="113"/>
  <c r="X939" i="113"/>
  <c r="X940" i="113"/>
  <c r="X941" i="113"/>
  <c r="X942" i="113"/>
  <c r="X943" i="113"/>
  <c r="X945" i="113"/>
  <c r="X946" i="113"/>
  <c r="X947" i="113"/>
  <c r="X948" i="113"/>
  <c r="X949" i="113"/>
  <c r="X950" i="113"/>
  <c r="X951" i="113"/>
  <c r="X952" i="113"/>
  <c r="X953" i="113"/>
  <c r="X954" i="113"/>
  <c r="X955" i="113"/>
  <c r="X956" i="113"/>
  <c r="X957" i="113"/>
  <c r="X958" i="113"/>
  <c r="X959" i="113"/>
  <c r="X960" i="113"/>
  <c r="X961" i="113"/>
  <c r="X962" i="113"/>
  <c r="X963" i="113"/>
  <c r="X964" i="113"/>
  <c r="X965" i="113"/>
  <c r="X966" i="113"/>
  <c r="X967" i="113"/>
  <c r="X968" i="113"/>
  <c r="X969" i="113"/>
  <c r="X970" i="113"/>
  <c r="X971" i="113"/>
  <c r="X972" i="113"/>
  <c r="X973" i="113"/>
  <c r="X974" i="113"/>
  <c r="X975" i="113"/>
  <c r="X976" i="113"/>
  <c r="X977" i="113"/>
  <c r="X978" i="113"/>
  <c r="X979" i="113"/>
  <c r="X980" i="113"/>
  <c r="X981" i="113"/>
  <c r="X982" i="113"/>
  <c r="X983" i="113"/>
  <c r="X984" i="113"/>
  <c r="X985" i="113"/>
  <c r="X986" i="113"/>
  <c r="X987" i="113"/>
  <c r="X989" i="113"/>
  <c r="X990" i="113"/>
  <c r="X991" i="113"/>
  <c r="X992" i="113"/>
  <c r="X993" i="113"/>
  <c r="X994" i="113"/>
  <c r="X995" i="113"/>
  <c r="X996" i="113"/>
  <c r="X997" i="113"/>
  <c r="X998" i="113"/>
  <c r="X999" i="113"/>
  <c r="X1000" i="113"/>
  <c r="X1001" i="113"/>
  <c r="X1002" i="113"/>
  <c r="X1003" i="113"/>
  <c r="X1004" i="113"/>
  <c r="X1005" i="113"/>
  <c r="X1006" i="113"/>
  <c r="X1007" i="113"/>
  <c r="X1008" i="113"/>
  <c r="X1009" i="113"/>
  <c r="X1010" i="113"/>
  <c r="X1011" i="113"/>
  <c r="X1012" i="113"/>
  <c r="X1014" i="113"/>
  <c r="X1015" i="113"/>
  <c r="X1016" i="113"/>
  <c r="X1017" i="113"/>
  <c r="X1018" i="113"/>
  <c r="X1019" i="113"/>
  <c r="X1020" i="113"/>
  <c r="X1021" i="113"/>
  <c r="X1022" i="113"/>
  <c r="X1023" i="113"/>
  <c r="X1024" i="113"/>
  <c r="X1025" i="113"/>
  <c r="X1026" i="113"/>
  <c r="X1027" i="113"/>
  <c r="X1028" i="113"/>
  <c r="X1029" i="113"/>
  <c r="X1030" i="113"/>
  <c r="X1031" i="113"/>
  <c r="X1032" i="113"/>
  <c r="X1033" i="113"/>
  <c r="X1034" i="113"/>
  <c r="X1035" i="113"/>
  <c r="X1036" i="113"/>
  <c r="X1037" i="113"/>
  <c r="X1038" i="113"/>
  <c r="X1039" i="113"/>
  <c r="X1041" i="113"/>
  <c r="X1042" i="113"/>
  <c r="X1043" i="113"/>
  <c r="X1044" i="113"/>
  <c r="X1045" i="113"/>
  <c r="X1046" i="113"/>
  <c r="X1047" i="113"/>
  <c r="X1048" i="113"/>
  <c r="X1049" i="113"/>
  <c r="X1050" i="113"/>
  <c r="X1051" i="113"/>
  <c r="X1052" i="113"/>
  <c r="X1053" i="113"/>
  <c r="X1054" i="113"/>
  <c r="X1055" i="113"/>
  <c r="X1056" i="113"/>
  <c r="X1057" i="113"/>
  <c r="X1058" i="113"/>
  <c r="X1059" i="113"/>
  <c r="X1060" i="113"/>
  <c r="X1061" i="113"/>
  <c r="X1062" i="113"/>
  <c r="X1063" i="113"/>
  <c r="X1064" i="113"/>
  <c r="X1065" i="113"/>
  <c r="X1066" i="113"/>
  <c r="X1067" i="113"/>
  <c r="X1068" i="113"/>
  <c r="X1069" i="113"/>
  <c r="X1070" i="113"/>
  <c r="X1071" i="113"/>
  <c r="X1072" i="113"/>
  <c r="X1073" i="113"/>
  <c r="X1074" i="113"/>
  <c r="X1076" i="113"/>
  <c r="X1077" i="113"/>
  <c r="X1078" i="113"/>
  <c r="X1079" i="113"/>
  <c r="X1080" i="113"/>
  <c r="X1081" i="113"/>
  <c r="X1082" i="113"/>
  <c r="X1083" i="113"/>
  <c r="X1084" i="113"/>
  <c r="X1085" i="113"/>
  <c r="X1086" i="113"/>
  <c r="X1087" i="113"/>
  <c r="X1088" i="113"/>
  <c r="X1089" i="113"/>
  <c r="X1090" i="113"/>
  <c r="X1091" i="113"/>
  <c r="X1092" i="113"/>
  <c r="X1093" i="113"/>
  <c r="X1094" i="113"/>
  <c r="X1095" i="113"/>
  <c r="X1096" i="113"/>
  <c r="X1097" i="113"/>
  <c r="X1098" i="113"/>
  <c r="X1099" i="113"/>
  <c r="X1100" i="113"/>
  <c r="X1101" i="113"/>
  <c r="X1102" i="113"/>
  <c r="X1104" i="113"/>
  <c r="X1105" i="113"/>
  <c r="X1106" i="113"/>
  <c r="X1107" i="113"/>
  <c r="X1108" i="113"/>
  <c r="X1109" i="113"/>
  <c r="X1110" i="113"/>
  <c r="X1111" i="113"/>
  <c r="X1112" i="113"/>
  <c r="X1113" i="113"/>
  <c r="X1114" i="113"/>
  <c r="X1115" i="113"/>
  <c r="X1116" i="113"/>
  <c r="X1117" i="113"/>
  <c r="X1118" i="113"/>
  <c r="X1119" i="113"/>
  <c r="X1120" i="113"/>
  <c r="X1121" i="113"/>
  <c r="X1122" i="113"/>
  <c r="X1123" i="113"/>
  <c r="X1124" i="113"/>
  <c r="X1125" i="113"/>
  <c r="X1126" i="113"/>
  <c r="X1127" i="113"/>
  <c r="X1129" i="113"/>
  <c r="X1130" i="113"/>
  <c r="X1131" i="113"/>
  <c r="X1132" i="113"/>
  <c r="X1133" i="113"/>
  <c r="X1134" i="113"/>
  <c r="X1135" i="113"/>
  <c r="X1136" i="113"/>
  <c r="X1137" i="113"/>
  <c r="X1138" i="113"/>
  <c r="X1139" i="113"/>
  <c r="X1140" i="113"/>
  <c r="X1141" i="113"/>
  <c r="X1142" i="113"/>
  <c r="X1143" i="113"/>
  <c r="X1144" i="113"/>
  <c r="X1145" i="113"/>
  <c r="X1146" i="113"/>
  <c r="X1147" i="113"/>
  <c r="X1148" i="113"/>
  <c r="X1150" i="113"/>
  <c r="X1151" i="113"/>
  <c r="X1152" i="113"/>
  <c r="X1153" i="113"/>
  <c r="X1154" i="113"/>
  <c r="X1155" i="113"/>
  <c r="X1156" i="113"/>
  <c r="X1157" i="113"/>
  <c r="X1158" i="113"/>
  <c r="X1159" i="113"/>
  <c r="X1160" i="113"/>
  <c r="X1161" i="113"/>
  <c r="X1162" i="113"/>
  <c r="X1163" i="113"/>
  <c r="X1164" i="113"/>
  <c r="X1165" i="113"/>
  <c r="X1166" i="113"/>
  <c r="X1168" i="113"/>
  <c r="X1169" i="113"/>
  <c r="X1170" i="113"/>
  <c r="X1171" i="113"/>
  <c r="X1172" i="113"/>
  <c r="X1173" i="113"/>
  <c r="X1174" i="113"/>
  <c r="X1175" i="113"/>
  <c r="X1176" i="113"/>
  <c r="X1177" i="113"/>
  <c r="X1178" i="113"/>
  <c r="X1179" i="113"/>
  <c r="X1180" i="113"/>
  <c r="X1181" i="113"/>
  <c r="X1182" i="113"/>
  <c r="X1183" i="113"/>
  <c r="X1184" i="113"/>
  <c r="X1185" i="113"/>
  <c r="X1186" i="113"/>
  <c r="X1187" i="113"/>
  <c r="X1188" i="113"/>
  <c r="X1189" i="113"/>
  <c r="X1190" i="113"/>
  <c r="X1191" i="113"/>
  <c r="X1192" i="113"/>
  <c r="X1193" i="113"/>
  <c r="X1194" i="113"/>
  <c r="X1195" i="113"/>
  <c r="X1196" i="113"/>
  <c r="X1197" i="113"/>
  <c r="X1198" i="113"/>
  <c r="X1199" i="113"/>
  <c r="X1200" i="113"/>
  <c r="X1201" i="113"/>
  <c r="X1202" i="113"/>
  <c r="X1203" i="113"/>
  <c r="X1205" i="113"/>
  <c r="X1206" i="113"/>
  <c r="X1207" i="113"/>
  <c r="X1208" i="113"/>
  <c r="X1209" i="113"/>
  <c r="X1210" i="113"/>
  <c r="X1211" i="113"/>
  <c r="X1212" i="113"/>
  <c r="X1213" i="113"/>
  <c r="X1214" i="113"/>
  <c r="X1215" i="113"/>
  <c r="X1216" i="113"/>
  <c r="X1217" i="113"/>
  <c r="X1218" i="113"/>
  <c r="X1219" i="113"/>
  <c r="X1220" i="113"/>
  <c r="X1221" i="113"/>
  <c r="X1222" i="113"/>
  <c r="X1223" i="113"/>
  <c r="X1224" i="113"/>
  <c r="X1225" i="113"/>
  <c r="X1226" i="113"/>
  <c r="X1227" i="113"/>
  <c r="X1228" i="113"/>
  <c r="X1229" i="113"/>
  <c r="X1230" i="113"/>
  <c r="X1231" i="113"/>
  <c r="X1232" i="113"/>
  <c r="X1233" i="113"/>
  <c r="X1234" i="113"/>
  <c r="X1235" i="113"/>
  <c r="X1237" i="113"/>
  <c r="X1238" i="113"/>
  <c r="X1239" i="113"/>
  <c r="X1240" i="113"/>
  <c r="X1241" i="113"/>
  <c r="X1242" i="113"/>
  <c r="X1243" i="113"/>
  <c r="X1244" i="113"/>
  <c r="X1245" i="113"/>
  <c r="X1246" i="113"/>
  <c r="X1247" i="113"/>
  <c r="X1248" i="113"/>
  <c r="X1249" i="113"/>
  <c r="X1250" i="113"/>
  <c r="X1251" i="113"/>
  <c r="X1252" i="113"/>
  <c r="X1253" i="113"/>
  <c r="X1254" i="113"/>
  <c r="X1255" i="113"/>
  <c r="X1256" i="113"/>
  <c r="X1257" i="113"/>
  <c r="X1258" i="113"/>
  <c r="X1259" i="113"/>
  <c r="X1260" i="113"/>
  <c r="X1261" i="113"/>
  <c r="X1262" i="113"/>
  <c r="X1263" i="113"/>
  <c r="X1264" i="113"/>
  <c r="X1265" i="113"/>
  <c r="X1266" i="113"/>
  <c r="X1267" i="113"/>
  <c r="X1268" i="113"/>
  <c r="X1269" i="113"/>
  <c r="X1270" i="113"/>
  <c r="X1271" i="113"/>
  <c r="X1272" i="113"/>
  <c r="X1273" i="113"/>
  <c r="X1274" i="113"/>
  <c r="X1275" i="113"/>
  <c r="X1276" i="113"/>
  <c r="X1277" i="113"/>
  <c r="X1278" i="113"/>
  <c r="X1279" i="113"/>
  <c r="X1280" i="113"/>
  <c r="X1281" i="113"/>
  <c r="X1282" i="113"/>
  <c r="X1283" i="113"/>
  <c r="X1285" i="113"/>
  <c r="X1286" i="113"/>
  <c r="X1287" i="113"/>
  <c r="X1288" i="113"/>
  <c r="X1289" i="113"/>
  <c r="X1290" i="113"/>
  <c r="X1291" i="113"/>
  <c r="X1292" i="113"/>
  <c r="X1293" i="113"/>
  <c r="X1294" i="113"/>
  <c r="X1295" i="113"/>
  <c r="X1296" i="113"/>
  <c r="X1297" i="113"/>
  <c r="X1298" i="113"/>
  <c r="X1299" i="113"/>
  <c r="X1300" i="113"/>
  <c r="X1301" i="113"/>
  <c r="X1302" i="113"/>
  <c r="X1303" i="113"/>
  <c r="X1304" i="113"/>
  <c r="X1305" i="113"/>
  <c r="X1307" i="113"/>
  <c r="X1308" i="113"/>
  <c r="X1309" i="113"/>
  <c r="X1310" i="113"/>
  <c r="X1311" i="113"/>
  <c r="X1312" i="113"/>
  <c r="X1313" i="113"/>
  <c r="X1314" i="113"/>
  <c r="X1315" i="113"/>
  <c r="X1316" i="113"/>
  <c r="X1317" i="113"/>
  <c r="X1318" i="113"/>
  <c r="X1319" i="113"/>
  <c r="X1320" i="113"/>
  <c r="X1321" i="113"/>
  <c r="X1322" i="113"/>
  <c r="X1323" i="113"/>
  <c r="X1324" i="113"/>
  <c r="X1325" i="113"/>
  <c r="X1326" i="113"/>
  <c r="X1327" i="113"/>
  <c r="X1328" i="113"/>
  <c r="X1329" i="113"/>
  <c r="X1330" i="113"/>
  <c r="X1331" i="113"/>
  <c r="X1332" i="113"/>
  <c r="X1333" i="113"/>
  <c r="X1334" i="113"/>
  <c r="X1335" i="113"/>
  <c r="X1336" i="113"/>
  <c r="X1337" i="113"/>
  <c r="X1338" i="113"/>
  <c r="X1339" i="113"/>
  <c r="X1340" i="113"/>
  <c r="X1341" i="113"/>
  <c r="X1342" i="113"/>
  <c r="X1343" i="113"/>
  <c r="X1344" i="113"/>
  <c r="X1345" i="113"/>
  <c r="X1346" i="113"/>
  <c r="X1347" i="113"/>
  <c r="X1348" i="113"/>
  <c r="X1349" i="113"/>
  <c r="X1350" i="113"/>
  <c r="X1351" i="113"/>
  <c r="X1352" i="113"/>
  <c r="X1353" i="113"/>
  <c r="X1354" i="113"/>
  <c r="X1355" i="113"/>
  <c r="X1356" i="113"/>
  <c r="X1357" i="113"/>
  <c r="X1358" i="113"/>
  <c r="X1359" i="113"/>
  <c r="X1360" i="113"/>
  <c r="X1361" i="113"/>
  <c r="X1362" i="113"/>
  <c r="X1363" i="113"/>
  <c r="X1364" i="113"/>
  <c r="X1365" i="113"/>
  <c r="X1366" i="113"/>
  <c r="X1367" i="113"/>
  <c r="X1368" i="113"/>
  <c r="X1369" i="113"/>
  <c r="X1370" i="113"/>
  <c r="X1371" i="113"/>
  <c r="X1372" i="113"/>
  <c r="X1373" i="113"/>
  <c r="X1374" i="113"/>
  <c r="X1375" i="113"/>
  <c r="X1376" i="113"/>
  <c r="X1377" i="113"/>
  <c r="X1379" i="113"/>
  <c r="X1380" i="113"/>
  <c r="X1381" i="113"/>
  <c r="X1382" i="113"/>
  <c r="X1383" i="113"/>
  <c r="X1384" i="113"/>
  <c r="X1385" i="113"/>
  <c r="X1386" i="113"/>
  <c r="X1387" i="113"/>
  <c r="X1388" i="113"/>
  <c r="X1389" i="113"/>
  <c r="X1390" i="113"/>
  <c r="X1391" i="113"/>
  <c r="X1392" i="113"/>
  <c r="X1393" i="113"/>
  <c r="X1394" i="113"/>
  <c r="X1395" i="113"/>
  <c r="X1396" i="113"/>
  <c r="X1397" i="113"/>
  <c r="X1398" i="113"/>
  <c r="X1399" i="113"/>
  <c r="X1400" i="113"/>
  <c r="X1401" i="113"/>
  <c r="X1402" i="113"/>
  <c r="X1403" i="113"/>
  <c r="X1404" i="113"/>
  <c r="X1405" i="113"/>
  <c r="X1406" i="113"/>
  <c r="X1407" i="113"/>
  <c r="X1408" i="113"/>
  <c r="X1409" i="113"/>
  <c r="X1410" i="113"/>
  <c r="X1411" i="113"/>
  <c r="X1412" i="113"/>
  <c r="X1413" i="113"/>
  <c r="X1414" i="113"/>
  <c r="X1415" i="113"/>
  <c r="X1416" i="113"/>
  <c r="X1417" i="113"/>
  <c r="X1418" i="113"/>
  <c r="X1419" i="113"/>
  <c r="X1420" i="113"/>
  <c r="X1421" i="113"/>
  <c r="X1422" i="113"/>
  <c r="X1423" i="113"/>
  <c r="X1424" i="113"/>
  <c r="X1425" i="113"/>
  <c r="X1426" i="113"/>
  <c r="X1427" i="113"/>
  <c r="X1428" i="113"/>
  <c r="X1429" i="113"/>
  <c r="X1430" i="113"/>
  <c r="X1431" i="113"/>
  <c r="X1433" i="113"/>
  <c r="X1434" i="113"/>
  <c r="X1435" i="113"/>
  <c r="X1436" i="113"/>
  <c r="X1437" i="113"/>
  <c r="X1438" i="113"/>
  <c r="X1439" i="113"/>
  <c r="X1440" i="113"/>
  <c r="X1441" i="113"/>
  <c r="X1442" i="113"/>
  <c r="X1443" i="113"/>
  <c r="X1444" i="113"/>
  <c r="X1445" i="113"/>
  <c r="X1446" i="113"/>
  <c r="X1447" i="113"/>
  <c r="X1448" i="113"/>
  <c r="X1449" i="113"/>
  <c r="X1450" i="113"/>
  <c r="X1452" i="113"/>
  <c r="X1453" i="113"/>
  <c r="X1454" i="113"/>
  <c r="X1455" i="113"/>
  <c r="X1456" i="113"/>
  <c r="X1457" i="113"/>
  <c r="X1458" i="113"/>
  <c r="X1459" i="113"/>
  <c r="X1460" i="113"/>
  <c r="X1461" i="113"/>
  <c r="X1462" i="113"/>
  <c r="X1463" i="113"/>
  <c r="X1464" i="113"/>
  <c r="X1465" i="113"/>
  <c r="X1466" i="113"/>
  <c r="X1467" i="113"/>
  <c r="X1468" i="113"/>
  <c r="X1469" i="113"/>
  <c r="X1470" i="113"/>
  <c r="X1471" i="113"/>
  <c r="X1472" i="113"/>
  <c r="X1473" i="113"/>
  <c r="X1474" i="113"/>
  <c r="X1475" i="113"/>
  <c r="X1476" i="113"/>
  <c r="X1477" i="113"/>
  <c r="X1478" i="113"/>
  <c r="X1479" i="113"/>
  <c r="X1480" i="113"/>
  <c r="X1481" i="113"/>
  <c r="X1482" i="113"/>
  <c r="X1483" i="113"/>
  <c r="X1484" i="113"/>
  <c r="X1485" i="113"/>
  <c r="X1486" i="113"/>
  <c r="X1487" i="113"/>
  <c r="X1488" i="113"/>
  <c r="X1489" i="113"/>
  <c r="X1490" i="113"/>
  <c r="X1491" i="113"/>
  <c r="X1492" i="113"/>
  <c r="X1493" i="113"/>
  <c r="X1495" i="113"/>
  <c r="X1496" i="113"/>
  <c r="X1497" i="113"/>
  <c r="X1498" i="113"/>
  <c r="X1499" i="113"/>
  <c r="X1500" i="113"/>
  <c r="X1501" i="113"/>
  <c r="X1502" i="113"/>
  <c r="X1503" i="113"/>
  <c r="X1504" i="113"/>
  <c r="X1505" i="113"/>
  <c r="X1506" i="113"/>
  <c r="X1507" i="113"/>
  <c r="X1508" i="113"/>
  <c r="X1509" i="113"/>
  <c r="X1510" i="113"/>
  <c r="X1511" i="113"/>
  <c r="X1512" i="113"/>
  <c r="X1513" i="113"/>
  <c r="X1514" i="113"/>
  <c r="X1515" i="113"/>
  <c r="X1516" i="113"/>
  <c r="X1517" i="113"/>
  <c r="X1518" i="113"/>
  <c r="X1519" i="113"/>
  <c r="X1520" i="113"/>
  <c r="X1521" i="113"/>
  <c r="X1522" i="113"/>
  <c r="X1523" i="113"/>
  <c r="X1524" i="113"/>
  <c r="X1525" i="113"/>
  <c r="X1526" i="113"/>
  <c r="X1527" i="113"/>
  <c r="X1528" i="113"/>
  <c r="X1529" i="113"/>
  <c r="X1530" i="113"/>
  <c r="X1531" i="113"/>
  <c r="X1532" i="113"/>
  <c r="X1533" i="113"/>
  <c r="X1534" i="113"/>
  <c r="X1535" i="113"/>
  <c r="X1536" i="113"/>
  <c r="X1537" i="113"/>
  <c r="X1538" i="113"/>
  <c r="X1539" i="113"/>
  <c r="X1540" i="113"/>
  <c r="X1541" i="113"/>
  <c r="X1542" i="113"/>
  <c r="X1544" i="113"/>
  <c r="X1545" i="113"/>
  <c r="X1546" i="113"/>
  <c r="X1547" i="113"/>
  <c r="X1548" i="113"/>
  <c r="X1549" i="113"/>
  <c r="X1550" i="113"/>
  <c r="X1551" i="113"/>
  <c r="X1552" i="113"/>
  <c r="X1553" i="113"/>
  <c r="X1554" i="113"/>
  <c r="X1555" i="113"/>
  <c r="X1556" i="113"/>
  <c r="X1557" i="113"/>
  <c r="X1558" i="113"/>
  <c r="X1559" i="113"/>
  <c r="X1560" i="113"/>
  <c r="X1561" i="113"/>
  <c r="X1562" i="113"/>
  <c r="X1563" i="113"/>
  <c r="X1564" i="113"/>
  <c r="X1565" i="113"/>
  <c r="X1566" i="113"/>
  <c r="X1567" i="113"/>
  <c r="X1568" i="113"/>
  <c r="X1569" i="113"/>
  <c r="X1570" i="113"/>
  <c r="X1571" i="113"/>
  <c r="X1572" i="113"/>
  <c r="X1573" i="113"/>
  <c r="X1574" i="113"/>
  <c r="X1575" i="113"/>
  <c r="X1576" i="113"/>
  <c r="X1578" i="113"/>
  <c r="X1579" i="113"/>
  <c r="X1580" i="113"/>
  <c r="X1581" i="113"/>
  <c r="X1582" i="113"/>
  <c r="X1583" i="113"/>
  <c r="X1584" i="113"/>
  <c r="X1585" i="113"/>
  <c r="X1586" i="113"/>
  <c r="X1587" i="113"/>
  <c r="X1588" i="113"/>
  <c r="X1589" i="113"/>
  <c r="X1590" i="113"/>
  <c r="X1591" i="113"/>
  <c r="X1592" i="113"/>
  <c r="X1594" i="113"/>
  <c r="X1595" i="113"/>
  <c r="X1596" i="113"/>
  <c r="X1597" i="113"/>
  <c r="X1598" i="113"/>
  <c r="X1599" i="113"/>
  <c r="X1600" i="113"/>
  <c r="X1601" i="113"/>
  <c r="X1602" i="113"/>
  <c r="X1603" i="113"/>
  <c r="X1604" i="113"/>
  <c r="X1605" i="113"/>
  <c r="X1606" i="113"/>
  <c r="X1607" i="113"/>
  <c r="X1608" i="113"/>
  <c r="X1609" i="113"/>
  <c r="X1610" i="113"/>
  <c r="X1611" i="113"/>
  <c r="X1612" i="113"/>
  <c r="X1613" i="113"/>
  <c r="X1614" i="113"/>
  <c r="X1615" i="113"/>
  <c r="X1616" i="113"/>
  <c r="X1617" i="113"/>
  <c r="X1618" i="113"/>
  <c r="X1619" i="113"/>
  <c r="X1620" i="113"/>
  <c r="X1621" i="113"/>
  <c r="X1623" i="113"/>
  <c r="X1624" i="113"/>
  <c r="X1625" i="113"/>
  <c r="X1626" i="113"/>
  <c r="X1627" i="113"/>
  <c r="X1628" i="113"/>
  <c r="X1629" i="113"/>
  <c r="X1630" i="113"/>
  <c r="X1631" i="113"/>
  <c r="X1632" i="113"/>
  <c r="X1633" i="113"/>
  <c r="X1634" i="113"/>
  <c r="X1635" i="113"/>
  <c r="X1636" i="113"/>
  <c r="X1637" i="113"/>
  <c r="X1638" i="113"/>
  <c r="X1639" i="113"/>
  <c r="X1640" i="113"/>
  <c r="X1641" i="113"/>
  <c r="X1642" i="113"/>
  <c r="X1643" i="113"/>
  <c r="X1644" i="113"/>
  <c r="X1646" i="113"/>
  <c r="X1647" i="113"/>
  <c r="X1648" i="113"/>
  <c r="X1649" i="113"/>
  <c r="X1650" i="113"/>
  <c r="X1651" i="113"/>
  <c r="X1652" i="113"/>
  <c r="X1653" i="113"/>
  <c r="X1654" i="113"/>
  <c r="X1655" i="113"/>
  <c r="X1656" i="113"/>
  <c r="X1657" i="113"/>
  <c r="X1658" i="113"/>
  <c r="X1659" i="113"/>
  <c r="X1660" i="113"/>
  <c r="X1661" i="113"/>
  <c r="X1662" i="113"/>
  <c r="X1663" i="113"/>
  <c r="X1664" i="113"/>
  <c r="X1665" i="113"/>
  <c r="X1666" i="113"/>
  <c r="X1667" i="113"/>
  <c r="X1668" i="113"/>
  <c r="X1669" i="113"/>
  <c r="X1670" i="113"/>
  <c r="X1671" i="113"/>
  <c r="X1672" i="113"/>
  <c r="X1673" i="113"/>
  <c r="X1674" i="113"/>
  <c r="X1675" i="113"/>
  <c r="X1676" i="113"/>
  <c r="X1677" i="113"/>
  <c r="X1678" i="113"/>
  <c r="X1679" i="113"/>
  <c r="X1681" i="113"/>
  <c r="X1682" i="113"/>
  <c r="X1683" i="113"/>
  <c r="X1684" i="113"/>
  <c r="X1685" i="113"/>
  <c r="X1686" i="113"/>
  <c r="X1687" i="113"/>
  <c r="X1688" i="113"/>
  <c r="X1689" i="113"/>
  <c r="X1690" i="113"/>
  <c r="X1691" i="113"/>
  <c r="X1692" i="113"/>
  <c r="X1693" i="113"/>
  <c r="X1694" i="113"/>
  <c r="X1695" i="113"/>
  <c r="X1696" i="113"/>
  <c r="X1697" i="113"/>
  <c r="X1698" i="113"/>
  <c r="X1699" i="113"/>
  <c r="X1700" i="113"/>
  <c r="X1701" i="113"/>
  <c r="X1702" i="113"/>
  <c r="X1703" i="113"/>
  <c r="X1704" i="113"/>
  <c r="X1705" i="113"/>
  <c r="X1706" i="113"/>
  <c r="X1707" i="113"/>
  <c r="X1708" i="113"/>
  <c r="X1709" i="113"/>
  <c r="X1710" i="113"/>
  <c r="X1711" i="113"/>
  <c r="X1712" i="113"/>
  <c r="X1713" i="113"/>
  <c r="X1714" i="113"/>
  <c r="X1715" i="113"/>
  <c r="X1716" i="113"/>
  <c r="X1717" i="113"/>
  <c r="X1718" i="113"/>
  <c r="X1720" i="113"/>
  <c r="X1721" i="113"/>
  <c r="X1722" i="113"/>
  <c r="X1723" i="113"/>
  <c r="X1724" i="113"/>
  <c r="X1725" i="113"/>
  <c r="X1726" i="113"/>
  <c r="X1727" i="113"/>
  <c r="X1728" i="113"/>
  <c r="X1729" i="113"/>
  <c r="X1730" i="113"/>
  <c r="X1731" i="113"/>
  <c r="X1732" i="113"/>
  <c r="X1733" i="113"/>
  <c r="X1734" i="113"/>
  <c r="X1735" i="113"/>
  <c r="X1736" i="113"/>
  <c r="X1737" i="113"/>
  <c r="X1738" i="113"/>
  <c r="X1739" i="113"/>
  <c r="X1740" i="113"/>
  <c r="X1741" i="113"/>
  <c r="X1742" i="113"/>
  <c r="X1743" i="113"/>
  <c r="X1744" i="113"/>
  <c r="X1745" i="113"/>
  <c r="X1747" i="113"/>
  <c r="X1748" i="113"/>
  <c r="X1749" i="113"/>
  <c r="X1750" i="113"/>
  <c r="X1751" i="113"/>
  <c r="X1752" i="113"/>
  <c r="X1753" i="113"/>
  <c r="X1754" i="113"/>
  <c r="X1755" i="113"/>
  <c r="X1756" i="113"/>
  <c r="X1757" i="113"/>
  <c r="X1758" i="113"/>
  <c r="X1759" i="113"/>
  <c r="X1760" i="113"/>
  <c r="X1761" i="113"/>
  <c r="X1762" i="113"/>
  <c r="X1763" i="113"/>
  <c r="X1764" i="113"/>
  <c r="X1765" i="113"/>
  <c r="X1766" i="113"/>
  <c r="X1767" i="113"/>
  <c r="X1768" i="113"/>
  <c r="X1769" i="113"/>
  <c r="X1770" i="113"/>
  <c r="X1771" i="113"/>
  <c r="X1772" i="113"/>
  <c r="X1773" i="113"/>
  <c r="X1774" i="113"/>
  <c r="X1775" i="113"/>
  <c r="X1776" i="113"/>
  <c r="X1777" i="113"/>
  <c r="X1779" i="113"/>
  <c r="X1780" i="113"/>
  <c r="X1781" i="113"/>
  <c r="X1782" i="113"/>
  <c r="X1783" i="113"/>
  <c r="X1784" i="113"/>
  <c r="X1785" i="113"/>
  <c r="X1786" i="113"/>
  <c r="X1787" i="113"/>
  <c r="X1789" i="113"/>
  <c r="X1790" i="113"/>
  <c r="X1791" i="113"/>
  <c r="X1792" i="113"/>
  <c r="X1793" i="113"/>
  <c r="X1794" i="113"/>
  <c r="X1795" i="113"/>
  <c r="X1796" i="113"/>
  <c r="X1797" i="113"/>
  <c r="X1798" i="113"/>
  <c r="X1799" i="113"/>
  <c r="X1800" i="113"/>
  <c r="X1801" i="113"/>
  <c r="X1802" i="113"/>
  <c r="X1803" i="113"/>
  <c r="X1804" i="113"/>
  <c r="X1805" i="113"/>
  <c r="X1806" i="113"/>
  <c r="X1807" i="113"/>
  <c r="X1808" i="113"/>
  <c r="X1809" i="113"/>
  <c r="X1810" i="113"/>
  <c r="X1811" i="113"/>
  <c r="X1812" i="113"/>
  <c r="X1814" i="113"/>
  <c r="X1815" i="113"/>
  <c r="X1816" i="113"/>
  <c r="X1817" i="113"/>
  <c r="X1818" i="113"/>
  <c r="X1819" i="113"/>
  <c r="X1820" i="113"/>
  <c r="X1821" i="113"/>
  <c r="X1822" i="113"/>
  <c r="X1823" i="113"/>
  <c r="X1824" i="113"/>
  <c r="X1825" i="113"/>
  <c r="X1826" i="113"/>
  <c r="X1827" i="113"/>
  <c r="X1828" i="113"/>
  <c r="X1829" i="113"/>
  <c r="X1830" i="113"/>
  <c r="X1831" i="113"/>
  <c r="X1832" i="113"/>
  <c r="X1833" i="113"/>
  <c r="X1834" i="113"/>
  <c r="X1835" i="113"/>
  <c r="X1837" i="113"/>
  <c r="X1838" i="113"/>
  <c r="X1839" i="113"/>
  <c r="X1840" i="113"/>
  <c r="X1841" i="113"/>
  <c r="X1842" i="113"/>
  <c r="X1843" i="113"/>
  <c r="X1844" i="113"/>
  <c r="X1845" i="113"/>
  <c r="X1846" i="113"/>
  <c r="X1847" i="113"/>
  <c r="X1848" i="113"/>
  <c r="X1849" i="113"/>
  <c r="X1850" i="113"/>
  <c r="X1851" i="113"/>
  <c r="X1852" i="113"/>
  <c r="X1853" i="113"/>
  <c r="X1854" i="113"/>
  <c r="X1855" i="113"/>
  <c r="X1856" i="113"/>
  <c r="X1857" i="113"/>
  <c r="X1858" i="113"/>
  <c r="X1859" i="113"/>
  <c r="X1860" i="113"/>
  <c r="X1861" i="113"/>
  <c r="X1862" i="113"/>
  <c r="X1863" i="113"/>
  <c r="X1864" i="113"/>
  <c r="X1866" i="113"/>
  <c r="X1867" i="113"/>
  <c r="X1868" i="113"/>
  <c r="X1869" i="113"/>
  <c r="X1870" i="113"/>
  <c r="X1871" i="113"/>
  <c r="X1872" i="113"/>
  <c r="X1873" i="113"/>
  <c r="X1874" i="113"/>
  <c r="X1875" i="113"/>
  <c r="X1876" i="113"/>
  <c r="X1877" i="113"/>
  <c r="X1878" i="113"/>
  <c r="X1879" i="113"/>
  <c r="X1880" i="113"/>
  <c r="X1881" i="113"/>
  <c r="X1882" i="113"/>
  <c r="X1883" i="113"/>
  <c r="X1885" i="113"/>
  <c r="X1886" i="113"/>
  <c r="X1887" i="113"/>
  <c r="X1888" i="113"/>
  <c r="X1889" i="113"/>
  <c r="X1890" i="113"/>
  <c r="X1891" i="113"/>
  <c r="X1892" i="113"/>
  <c r="X1893" i="113"/>
  <c r="X1894" i="113"/>
  <c r="X1895" i="113"/>
  <c r="X1896" i="113"/>
  <c r="X1897" i="113"/>
  <c r="X1898" i="113"/>
  <c r="X1899" i="113"/>
  <c r="X1900" i="113"/>
  <c r="X1901" i="113"/>
  <c r="X1902" i="113"/>
  <c r="X1903" i="113"/>
  <c r="X1904" i="113"/>
  <c r="X1905" i="113"/>
  <c r="X1907" i="113"/>
  <c r="X1908" i="113"/>
  <c r="X1909" i="113"/>
  <c r="X1910" i="113"/>
  <c r="X1911" i="113"/>
  <c r="X1912" i="113"/>
  <c r="X1913" i="113"/>
  <c r="X1914" i="113"/>
  <c r="X1915" i="113"/>
  <c r="X1916" i="113"/>
  <c r="X1917" i="113"/>
  <c r="X1918" i="113"/>
  <c r="X1919" i="113"/>
  <c r="X1920" i="113"/>
  <c r="X1921" i="113"/>
  <c r="X1922" i="113"/>
  <c r="X1923" i="113"/>
  <c r="X1924" i="113"/>
  <c r="X1925" i="113"/>
  <c r="X1926" i="113"/>
  <c r="X1927" i="113"/>
  <c r="X1928" i="113"/>
  <c r="X1929" i="113"/>
  <c r="X1930" i="113"/>
  <c r="X1931" i="113"/>
  <c r="X1932" i="113"/>
  <c r="X1933" i="113"/>
  <c r="X1934" i="113"/>
  <c r="X1935" i="113"/>
  <c r="X1936" i="113"/>
  <c r="X1937" i="113"/>
  <c r="X1938" i="113"/>
  <c r="X1939" i="113"/>
  <c r="X1940" i="113"/>
  <c r="X1941" i="113"/>
  <c r="X1942" i="113"/>
  <c r="X1943" i="113"/>
  <c r="X1944" i="113"/>
  <c r="X1945" i="113"/>
  <c r="X1946" i="113"/>
  <c r="X1947" i="113"/>
  <c r="X1948" i="113"/>
  <c r="X1949" i="113"/>
  <c r="X1951" i="113"/>
  <c r="X1952" i="113"/>
  <c r="X1953" i="113"/>
  <c r="X1954" i="113"/>
  <c r="X1955" i="113"/>
  <c r="X1956" i="113"/>
  <c r="X1957" i="113"/>
  <c r="X1958" i="113"/>
  <c r="X1959" i="113"/>
  <c r="X1960" i="113"/>
  <c r="X1961" i="113"/>
  <c r="X1962" i="113"/>
  <c r="X1963" i="113"/>
  <c r="X1964" i="113"/>
  <c r="X1965" i="113"/>
  <c r="X1966" i="113"/>
  <c r="X1967" i="113"/>
  <c r="X1968" i="113"/>
  <c r="X1969" i="113"/>
  <c r="X1970" i="113"/>
  <c r="X1971" i="113"/>
  <c r="X1972" i="113"/>
  <c r="X1973" i="113"/>
  <c r="X1974" i="113"/>
  <c r="X1976" i="113"/>
  <c r="X1977" i="113"/>
  <c r="X1978" i="113"/>
  <c r="X1979" i="113"/>
  <c r="X1980" i="113"/>
  <c r="X1981" i="113"/>
  <c r="X1982" i="113"/>
  <c r="X1983" i="113"/>
  <c r="X1984" i="113"/>
  <c r="X1985" i="113"/>
  <c r="X1986" i="113"/>
  <c r="X1987" i="113"/>
  <c r="X1988" i="113"/>
  <c r="X1989" i="113"/>
  <c r="X1990" i="113"/>
  <c r="X1991" i="113"/>
  <c r="X1992" i="113"/>
  <c r="X1993" i="113"/>
  <c r="X1994" i="113"/>
  <c r="X1995" i="113"/>
  <c r="X1996" i="113"/>
  <c r="X1997" i="113"/>
  <c r="X1998" i="113"/>
  <c r="X1999" i="113"/>
  <c r="X2000" i="113"/>
  <c r="X2001" i="113"/>
  <c r="X2002" i="113"/>
  <c r="X2004" i="113"/>
  <c r="X2005" i="113"/>
  <c r="X2006" i="113"/>
  <c r="X2007" i="113"/>
  <c r="X2008" i="113"/>
  <c r="X2009" i="113"/>
  <c r="X2010" i="113"/>
  <c r="X2011" i="113"/>
  <c r="X2012" i="113"/>
  <c r="X2013" i="113"/>
  <c r="X2014" i="113"/>
  <c r="X2015" i="113"/>
  <c r="X2016" i="113"/>
  <c r="X2017" i="113"/>
  <c r="X2018" i="113"/>
  <c r="X2019" i="113"/>
  <c r="X2020" i="113"/>
  <c r="X2021" i="113"/>
  <c r="X2022" i="113"/>
  <c r="X2023" i="113"/>
  <c r="X2024" i="113"/>
  <c r="X2025" i="113"/>
  <c r="X2026" i="113"/>
  <c r="X2027" i="113"/>
  <c r="X2028" i="113"/>
  <c r="X2029" i="113"/>
  <c r="X2030" i="113"/>
  <c r="X2031" i="113"/>
  <c r="X2032" i="113"/>
  <c r="X2033" i="113"/>
  <c r="X2034" i="113"/>
  <c r="X2035" i="113"/>
  <c r="X2036" i="113"/>
  <c r="X2037" i="113"/>
  <c r="X2039" i="113"/>
  <c r="X2040" i="113"/>
  <c r="X2041" i="113"/>
  <c r="X2042" i="113"/>
  <c r="X2043" i="113"/>
  <c r="X2044" i="113"/>
  <c r="X2045" i="113"/>
  <c r="X2046" i="113"/>
  <c r="X2047" i="113"/>
  <c r="X2048" i="113"/>
  <c r="X2049" i="113"/>
  <c r="X2050" i="113"/>
  <c r="X2051" i="113"/>
  <c r="X2052" i="113"/>
  <c r="X2053" i="113"/>
  <c r="X2054" i="113"/>
  <c r="X2055" i="113"/>
  <c r="X2056" i="113"/>
  <c r="X2057" i="113"/>
  <c r="X2058" i="113"/>
  <c r="X2059" i="113"/>
  <c r="X2060" i="113"/>
  <c r="X2061" i="113"/>
  <c r="X2062" i="113"/>
  <c r="X2063" i="113"/>
  <c r="X2064" i="113"/>
  <c r="X2065" i="113"/>
  <c r="X2066" i="113"/>
  <c r="X2067" i="113"/>
  <c r="X2068" i="113"/>
  <c r="X2069" i="113"/>
  <c r="X2070" i="113"/>
  <c r="X2071" i="113"/>
  <c r="X2073" i="113"/>
  <c r="X2074" i="113"/>
  <c r="X2075" i="113"/>
  <c r="X2076" i="113"/>
  <c r="X2077" i="113"/>
  <c r="X2078" i="113"/>
  <c r="X2079" i="113"/>
  <c r="X2080" i="113"/>
  <c r="X2081" i="113"/>
  <c r="X2082" i="113"/>
  <c r="X2083" i="113"/>
  <c r="X2084" i="113"/>
  <c r="X2085" i="113"/>
  <c r="X2086" i="113"/>
  <c r="X2087" i="113"/>
  <c r="X2088" i="113"/>
  <c r="X2089" i="113"/>
  <c r="X2090" i="113"/>
  <c r="X2091" i="113"/>
  <c r="X2092" i="113"/>
  <c r="X2093" i="113"/>
  <c r="X2094" i="113"/>
  <c r="X2095" i="113"/>
  <c r="X2096" i="113"/>
  <c r="X2097" i="113"/>
  <c r="X2098" i="113"/>
  <c r="X2099" i="113"/>
  <c r="X2101" i="113"/>
  <c r="X2102" i="113"/>
  <c r="X2103" i="113"/>
  <c r="X2104" i="113"/>
  <c r="X2105" i="113"/>
  <c r="X2106" i="113"/>
  <c r="X2107" i="113"/>
  <c r="X2108" i="113"/>
  <c r="X2109" i="113"/>
  <c r="X2110" i="113"/>
  <c r="X2111" i="113"/>
  <c r="X2112" i="113"/>
  <c r="X2113" i="113"/>
  <c r="X2114" i="113"/>
  <c r="X2115" i="113"/>
  <c r="X2116" i="113"/>
  <c r="X2117" i="113"/>
  <c r="X2118" i="113"/>
  <c r="X2119" i="113"/>
  <c r="X2120" i="113"/>
  <c r="X2121" i="113"/>
  <c r="X2122" i="113"/>
  <c r="X2124" i="113"/>
  <c r="X2125" i="113"/>
  <c r="X2126" i="113"/>
  <c r="X2127" i="113"/>
  <c r="X2128" i="113"/>
  <c r="X2129" i="113"/>
  <c r="X2130" i="113"/>
  <c r="X2131" i="113"/>
  <c r="X2132" i="113"/>
  <c r="X2133" i="113"/>
  <c r="X2134" i="113"/>
  <c r="X2135" i="113"/>
  <c r="X2136" i="113"/>
  <c r="X2137" i="113"/>
  <c r="X2138" i="113"/>
  <c r="X2139" i="113"/>
  <c r="X2140" i="113"/>
  <c r="X2141" i="113"/>
  <c r="X2142" i="113"/>
  <c r="X2143" i="113"/>
  <c r="X2144" i="113"/>
  <c r="X2145" i="113"/>
  <c r="X2146" i="113"/>
  <c r="X2147" i="113"/>
  <c r="X2148" i="113"/>
  <c r="X2149" i="113"/>
  <c r="X2150" i="113"/>
  <c r="X2151" i="113"/>
  <c r="X2152" i="113"/>
  <c r="X2153" i="113"/>
  <c r="X2154" i="113"/>
  <c r="X2155" i="113"/>
  <c r="X2156" i="113"/>
  <c r="X2157" i="113"/>
  <c r="X2158" i="113"/>
  <c r="X2159" i="113"/>
  <c r="X2160" i="113"/>
  <c r="X2162" i="113"/>
  <c r="X2163" i="113"/>
  <c r="X2164" i="113"/>
  <c r="X2165" i="113"/>
  <c r="X2166" i="113"/>
  <c r="X2167" i="113"/>
  <c r="X2168" i="113"/>
  <c r="X2169" i="113"/>
  <c r="X2170" i="113"/>
  <c r="X2171" i="113"/>
  <c r="X2172" i="113"/>
  <c r="X2173" i="113"/>
  <c r="X2174" i="113"/>
  <c r="X2176" i="113"/>
  <c r="X2177" i="113"/>
  <c r="X2178" i="113"/>
  <c r="X2179" i="113"/>
  <c r="X2180" i="113"/>
  <c r="X2181" i="113"/>
  <c r="X2182" i="113"/>
  <c r="X2183" i="113"/>
  <c r="X2184" i="113"/>
  <c r="X2185" i="113"/>
  <c r="X2186" i="113"/>
  <c r="X2187" i="113"/>
  <c r="X2188" i="113"/>
  <c r="X2189" i="113"/>
  <c r="X2190" i="113"/>
  <c r="X2191" i="113"/>
  <c r="X2192" i="113"/>
  <c r="X2193" i="113"/>
  <c r="X2194" i="113"/>
  <c r="X2195" i="113"/>
  <c r="X2196" i="113"/>
  <c r="X2197" i="113"/>
  <c r="X2198" i="113"/>
  <c r="X2199" i="113"/>
  <c r="X2200" i="113"/>
  <c r="X2201" i="113"/>
  <c r="X2202" i="113"/>
  <c r="X2203" i="113"/>
  <c r="X2205" i="113"/>
  <c r="X2206" i="113"/>
  <c r="X2207" i="113"/>
  <c r="X2208" i="113"/>
  <c r="X2209" i="113"/>
  <c r="X2210" i="113"/>
  <c r="X2211" i="113"/>
  <c r="X2212" i="113"/>
  <c r="X2213" i="113"/>
  <c r="X2214" i="113"/>
  <c r="X2215" i="113"/>
  <c r="X2216" i="113"/>
  <c r="X2217" i="113"/>
  <c r="X2218" i="113"/>
  <c r="X2219" i="113"/>
  <c r="X2220" i="113"/>
  <c r="X2221" i="113"/>
  <c r="X2222" i="113"/>
  <c r="X2223" i="113"/>
  <c r="X2224" i="113"/>
  <c r="X2225" i="113"/>
  <c r="X2226" i="113"/>
  <c r="X2227" i="113"/>
  <c r="X2229" i="113"/>
  <c r="X2230" i="113"/>
  <c r="X2231" i="113"/>
  <c r="X2232" i="113"/>
  <c r="X2233" i="113"/>
  <c r="X2234" i="113"/>
  <c r="X2235" i="113"/>
  <c r="X2236" i="113"/>
  <c r="X2237" i="113"/>
  <c r="X2238" i="113"/>
  <c r="X2239" i="113"/>
  <c r="X2240" i="113"/>
  <c r="X2241" i="113"/>
  <c r="X2242" i="113"/>
  <c r="X2243" i="113"/>
  <c r="X2244" i="113"/>
  <c r="X2245" i="113"/>
  <c r="X2246" i="113"/>
  <c r="X2247" i="113"/>
  <c r="X2248" i="113"/>
  <c r="X2249" i="113"/>
  <c r="X2250" i="113"/>
  <c r="X2251" i="113"/>
  <c r="X2253" i="113"/>
  <c r="X2254" i="113"/>
  <c r="X2255" i="113"/>
  <c r="X2256" i="113"/>
  <c r="X2257" i="113"/>
  <c r="X2258" i="113"/>
  <c r="X2259" i="113"/>
  <c r="X2260" i="113"/>
  <c r="X2261" i="113"/>
  <c r="X2262" i="113"/>
  <c r="X2263" i="113"/>
  <c r="X2264" i="113"/>
  <c r="X2265" i="113"/>
  <c r="X2266" i="113"/>
  <c r="X2267" i="113"/>
  <c r="X2268" i="113"/>
  <c r="X2269" i="113"/>
  <c r="X2270" i="113"/>
  <c r="X2271" i="113"/>
  <c r="X2272" i="113"/>
  <c r="X2273" i="113"/>
  <c r="X2274" i="113"/>
  <c r="X2275" i="113"/>
  <c r="X2276" i="113"/>
  <c r="X2277" i="113"/>
  <c r="X2278" i="113"/>
  <c r="X2279" i="113"/>
  <c r="X2280" i="113"/>
  <c r="X2282" i="113"/>
  <c r="X2283" i="113"/>
  <c r="X2284" i="113"/>
  <c r="X2285" i="113"/>
  <c r="X2286" i="113"/>
  <c r="X2287" i="113"/>
  <c r="X2288" i="113"/>
  <c r="X2289" i="113"/>
  <c r="X2290" i="113"/>
  <c r="X2291" i="113"/>
  <c r="X2292" i="113"/>
  <c r="X2293" i="113"/>
  <c r="X2294" i="113"/>
  <c r="X2295" i="113"/>
  <c r="X2296" i="113"/>
  <c r="X2297" i="113"/>
  <c r="X2298" i="113"/>
  <c r="X2299" i="113"/>
  <c r="X2300" i="113"/>
  <c r="X2301" i="113"/>
  <c r="X2302" i="113"/>
  <c r="X2303" i="113"/>
  <c r="X2304" i="113"/>
  <c r="X2306" i="113"/>
  <c r="X2307" i="113"/>
  <c r="X2308" i="113"/>
  <c r="X2309" i="113"/>
  <c r="X2310" i="113"/>
  <c r="X2311" i="113"/>
  <c r="X2312" i="113"/>
  <c r="X2313" i="113"/>
  <c r="X2314" i="113"/>
  <c r="X2315" i="113"/>
  <c r="X2316" i="113"/>
  <c r="X2317" i="113"/>
  <c r="X2319" i="113"/>
  <c r="X2320" i="113"/>
  <c r="X2321" i="113"/>
  <c r="X2322" i="113"/>
  <c r="X2323" i="113"/>
  <c r="X2324" i="113"/>
  <c r="X2325" i="113"/>
  <c r="X2326" i="113"/>
  <c r="X2327" i="113"/>
  <c r="X2328" i="113"/>
  <c r="X2329" i="113"/>
  <c r="X2330" i="113"/>
  <c r="X2331" i="113"/>
  <c r="X2332" i="113"/>
  <c r="X2333" i="113"/>
  <c r="X2334" i="113"/>
  <c r="X2335" i="113"/>
  <c r="X2336" i="113"/>
  <c r="X2337" i="113"/>
  <c r="X2338" i="113"/>
  <c r="X2339" i="113"/>
  <c r="X2340" i="113"/>
  <c r="X2341" i="113"/>
  <c r="X2342" i="113"/>
  <c r="X2343" i="113"/>
  <c r="X2344" i="113"/>
  <c r="X2345" i="113"/>
  <c r="X2346" i="113"/>
  <c r="X2347" i="113"/>
  <c r="X2348" i="113"/>
  <c r="X2349" i="113"/>
  <c r="X2350" i="113"/>
  <c r="X2351" i="113"/>
  <c r="X2353" i="113"/>
  <c r="X2354" i="113"/>
  <c r="X2355" i="113"/>
  <c r="X2356" i="113"/>
  <c r="X2357" i="113"/>
  <c r="X2358" i="113"/>
  <c r="X2359" i="113"/>
  <c r="X2360" i="113"/>
  <c r="X2361" i="113"/>
  <c r="X2362" i="113"/>
  <c r="X2363" i="113"/>
  <c r="X2364" i="113"/>
  <c r="X2365" i="113"/>
  <c r="X2366" i="113"/>
  <c r="X2367" i="113"/>
  <c r="X2368" i="113"/>
  <c r="X2370" i="113"/>
  <c r="X2371" i="113"/>
  <c r="X2372" i="113"/>
  <c r="X2373" i="113"/>
  <c r="X2374" i="113"/>
  <c r="X2375" i="113"/>
  <c r="X2376" i="113"/>
  <c r="X2377" i="113"/>
  <c r="X2378" i="113"/>
  <c r="X2379" i="113"/>
  <c r="X2380" i="113"/>
  <c r="X2381" i="113"/>
  <c r="X2383" i="113"/>
  <c r="X2384" i="113"/>
  <c r="X2385" i="113"/>
  <c r="X2386" i="113"/>
  <c r="X2387" i="113"/>
  <c r="X2388" i="113"/>
  <c r="X2389" i="113"/>
  <c r="X2390" i="113"/>
  <c r="X2391" i="113"/>
  <c r="X2392" i="113"/>
  <c r="X2393" i="113"/>
  <c r="X2394" i="113"/>
  <c r="X2395" i="113"/>
  <c r="X2396" i="113"/>
  <c r="X2397" i="113"/>
  <c r="X2398" i="113"/>
  <c r="X2400" i="113"/>
  <c r="X2401" i="113"/>
  <c r="X2402" i="113"/>
  <c r="X2403" i="113"/>
  <c r="X2404" i="113"/>
  <c r="X2405" i="113"/>
  <c r="X2406" i="113"/>
  <c r="X2407" i="113"/>
  <c r="X2408" i="113"/>
  <c r="X2409" i="113"/>
  <c r="X2410" i="113"/>
  <c r="X2411" i="113"/>
  <c r="X2412" i="113"/>
  <c r="X2413" i="113"/>
  <c r="X2414" i="113"/>
  <c r="X2415" i="113"/>
  <c r="X2416" i="113"/>
  <c r="X2417" i="113"/>
  <c r="X2419" i="113"/>
  <c r="X2420" i="113"/>
  <c r="X2421" i="113"/>
  <c r="X2422" i="113"/>
  <c r="X2423" i="113"/>
  <c r="X2424" i="113"/>
  <c r="X2425" i="113"/>
  <c r="X2426" i="113"/>
  <c r="X2427" i="113"/>
  <c r="X2428" i="113"/>
  <c r="X2429" i="113"/>
  <c r="X2430" i="113"/>
  <c r="X2431" i="113"/>
  <c r="X2432" i="113"/>
  <c r="X2433" i="113"/>
  <c r="X2434" i="113"/>
  <c r="X2435" i="113"/>
  <c r="X2436" i="113"/>
  <c r="X2437" i="113"/>
  <c r="X2438" i="113"/>
  <c r="X2439" i="113"/>
  <c r="X2440" i="113"/>
  <c r="X2441" i="113"/>
  <c r="X2442" i="113"/>
  <c r="X2443" i="113"/>
  <c r="X2444" i="113"/>
  <c r="X2445" i="113"/>
  <c r="X2446" i="113"/>
  <c r="X2447" i="113"/>
  <c r="X2448" i="113"/>
  <c r="X2449" i="113"/>
  <c r="X2450" i="113"/>
  <c r="X2451" i="113"/>
  <c r="X2452" i="113"/>
  <c r="X2454" i="113"/>
  <c r="X2455" i="113"/>
  <c r="X2456" i="113"/>
  <c r="X2457" i="113"/>
  <c r="X2458" i="113"/>
  <c r="X2459" i="113"/>
  <c r="X2460" i="113"/>
  <c r="X2461" i="113"/>
  <c r="X2462" i="113"/>
  <c r="X2463" i="113"/>
  <c r="X2464" i="113"/>
  <c r="X2465" i="113"/>
  <c r="X2466" i="113"/>
  <c r="X2467" i="113"/>
  <c r="X2468" i="113"/>
  <c r="X2469" i="113"/>
  <c r="X2470" i="113"/>
  <c r="X2471" i="113"/>
  <c r="X2472" i="113"/>
  <c r="X2473" i="113"/>
  <c r="X2475" i="113"/>
  <c r="X2476" i="113"/>
  <c r="X2477" i="113"/>
  <c r="X2478" i="113"/>
  <c r="X2479" i="113"/>
  <c r="X2480" i="113"/>
  <c r="X2481" i="113"/>
  <c r="X2482" i="113"/>
  <c r="X2483" i="113"/>
  <c r="X2484" i="113"/>
  <c r="X2485" i="113"/>
  <c r="X2486" i="113"/>
  <c r="X2487" i="113"/>
  <c r="X2488" i="113"/>
  <c r="X2489" i="113"/>
  <c r="X2490" i="113"/>
  <c r="X2491" i="113"/>
  <c r="X2492" i="113"/>
  <c r="X2493" i="113"/>
  <c r="X2494" i="113"/>
  <c r="X2495" i="113"/>
  <c r="X2496" i="113"/>
  <c r="X2497" i="113"/>
  <c r="X2498" i="113"/>
  <c r="X2499" i="113"/>
  <c r="X2500" i="113"/>
  <c r="X2502" i="113"/>
  <c r="X2503" i="113"/>
  <c r="X2504" i="113"/>
  <c r="X2505" i="113"/>
  <c r="X2506" i="113"/>
  <c r="X2507" i="113"/>
  <c r="X2508" i="113"/>
  <c r="X2509" i="113"/>
  <c r="X2510" i="113"/>
  <c r="X2511" i="113"/>
  <c r="X2512" i="113"/>
  <c r="X2513" i="113"/>
  <c r="X2514" i="113"/>
  <c r="X2515" i="113"/>
  <c r="X2516" i="113"/>
  <c r="X2517" i="113"/>
  <c r="X2518" i="113"/>
  <c r="X2519" i="113"/>
  <c r="X2520" i="113"/>
  <c r="X2521" i="113"/>
  <c r="X2522" i="113"/>
  <c r="X2523" i="113"/>
  <c r="X2525" i="113"/>
  <c r="X2526" i="113"/>
  <c r="X2527" i="113"/>
  <c r="X2528" i="113"/>
  <c r="X2529" i="113"/>
  <c r="X2530" i="113"/>
  <c r="X2531" i="113"/>
  <c r="X2532" i="113"/>
  <c r="X2533" i="113"/>
  <c r="X2534" i="113"/>
  <c r="X2535" i="113"/>
  <c r="X2536" i="113"/>
  <c r="X2537" i="113"/>
  <c r="X2538" i="113"/>
  <c r="X2539" i="113"/>
  <c r="X2540" i="113"/>
  <c r="X2541" i="113"/>
  <c r="X2542" i="113"/>
  <c r="X2543" i="113"/>
  <c r="X2544" i="113"/>
  <c r="X2545" i="113"/>
  <c r="X2546" i="113"/>
  <c r="X2547" i="113"/>
  <c r="X2548" i="113"/>
  <c r="X2549" i="113"/>
  <c r="X2550" i="113"/>
  <c r="X2551" i="113"/>
  <c r="X2552" i="113"/>
  <c r="X2553" i="113"/>
  <c r="X2554" i="113"/>
  <c r="X2555" i="113"/>
  <c r="X2557" i="113"/>
  <c r="X2558" i="113"/>
  <c r="X2559" i="113"/>
  <c r="X2560" i="113"/>
  <c r="X2561" i="113"/>
  <c r="X2562" i="113"/>
  <c r="X2563" i="113"/>
  <c r="X2564" i="113"/>
  <c r="X2565" i="113"/>
  <c r="X2566" i="113"/>
  <c r="X2567" i="113"/>
  <c r="X2568" i="113"/>
  <c r="X2569" i="113"/>
  <c r="X2570" i="113"/>
  <c r="X2571" i="113"/>
  <c r="X2572" i="113"/>
  <c r="X2573" i="113"/>
  <c r="X2574" i="113"/>
  <c r="X2575" i="113"/>
  <c r="X2576" i="113"/>
  <c r="X2577" i="113"/>
  <c r="X2578" i="113"/>
  <c r="X2579" i="113"/>
  <c r="X2580" i="113"/>
  <c r="X2581" i="113"/>
  <c r="X2582" i="113"/>
  <c r="X2583" i="113"/>
  <c r="X2584" i="113"/>
  <c r="X2585" i="113"/>
  <c r="X2586" i="113"/>
  <c r="X2587" i="113"/>
  <c r="X2588" i="113"/>
  <c r="X2589" i="113"/>
  <c r="X2590" i="113"/>
  <c r="X2591" i="113"/>
  <c r="X2592" i="113"/>
  <c r="X2593" i="113"/>
  <c r="X2594" i="113"/>
  <c r="X2595" i="113"/>
  <c r="X2596" i="113"/>
  <c r="X2597" i="113"/>
  <c r="X2598" i="113"/>
  <c r="X2599" i="113"/>
  <c r="X2601" i="113"/>
  <c r="X2602" i="113"/>
  <c r="X2603" i="113"/>
  <c r="X2604" i="113"/>
  <c r="X2605" i="113"/>
  <c r="X2606" i="113"/>
  <c r="X2607" i="113"/>
  <c r="X2608" i="113"/>
  <c r="X2609" i="113"/>
  <c r="X2610" i="113"/>
  <c r="X2611" i="113"/>
  <c r="X2612" i="113"/>
  <c r="X2613" i="113"/>
  <c r="X2614" i="113"/>
  <c r="X2615" i="113"/>
  <c r="X2616" i="113"/>
  <c r="X2617" i="113"/>
  <c r="X2618" i="113"/>
  <c r="X2619" i="113"/>
  <c r="X2620" i="113"/>
  <c r="X2621" i="113"/>
  <c r="X2622" i="113"/>
  <c r="X2623" i="113"/>
  <c r="X2624" i="113"/>
  <c r="X2626" i="113"/>
  <c r="X2627" i="113"/>
  <c r="X2628" i="113"/>
  <c r="X2629" i="113"/>
  <c r="X2630" i="113"/>
  <c r="X2631" i="113"/>
  <c r="X2632" i="113"/>
  <c r="X2633" i="113"/>
  <c r="X2634" i="113"/>
  <c r="X2635" i="113"/>
  <c r="X2636" i="113"/>
  <c r="X2637" i="113"/>
  <c r="X2638" i="113"/>
  <c r="X2639" i="113"/>
  <c r="X2640" i="113"/>
  <c r="X2641" i="113"/>
  <c r="X2642" i="113"/>
  <c r="X2643" i="113"/>
  <c r="X2644" i="113"/>
  <c r="X2645" i="113"/>
  <c r="X2646" i="113"/>
  <c r="X2647" i="113"/>
  <c r="X2648" i="113"/>
  <c r="X2649" i="113"/>
  <c r="X2650" i="113"/>
  <c r="X2651" i="113"/>
  <c r="X2652" i="113"/>
  <c r="X2653" i="113"/>
  <c r="X2654" i="113"/>
  <c r="X2655" i="113"/>
  <c r="X2656" i="113"/>
  <c r="X2658" i="113"/>
  <c r="X2659" i="113"/>
  <c r="X2660" i="113"/>
  <c r="X2661" i="113"/>
  <c r="X2662" i="113"/>
  <c r="X2663" i="113"/>
  <c r="X2664" i="113"/>
  <c r="X2665" i="113"/>
  <c r="X2666" i="113"/>
  <c r="X2667" i="113"/>
  <c r="X2668" i="113"/>
  <c r="X2669" i="113"/>
  <c r="X2670" i="113"/>
  <c r="X2671" i="113"/>
  <c r="X2672" i="113"/>
  <c r="X2673" i="113"/>
  <c r="X2674" i="113"/>
  <c r="X2675" i="113"/>
  <c r="X2676" i="113"/>
  <c r="X2677" i="113"/>
  <c r="X2678" i="113"/>
  <c r="U3" i="113"/>
  <c r="U4" i="113"/>
  <c r="U5" i="113"/>
  <c r="U6" i="113"/>
  <c r="U7" i="113"/>
  <c r="U8" i="113"/>
  <c r="U9" i="113"/>
  <c r="U10" i="113"/>
  <c r="U11" i="113"/>
  <c r="U12" i="113"/>
  <c r="U13" i="113"/>
  <c r="U14" i="113"/>
  <c r="U15" i="113"/>
  <c r="U16" i="113"/>
  <c r="U17" i="113"/>
  <c r="U18" i="113"/>
  <c r="U19" i="113"/>
  <c r="U20" i="113"/>
  <c r="U21" i="113"/>
  <c r="U22" i="113"/>
  <c r="U23" i="113"/>
  <c r="U24" i="113"/>
  <c r="U25" i="113"/>
  <c r="U27" i="113"/>
  <c r="U28" i="113"/>
  <c r="U29" i="113"/>
  <c r="U30" i="113"/>
  <c r="U31" i="113"/>
  <c r="U32" i="113"/>
  <c r="U33" i="113"/>
  <c r="U34" i="113"/>
  <c r="U35" i="113"/>
  <c r="U36" i="113"/>
  <c r="U37" i="113"/>
  <c r="U38" i="113"/>
  <c r="U39" i="113"/>
  <c r="U40" i="113"/>
  <c r="U41" i="113"/>
  <c r="U42" i="113"/>
  <c r="U43" i="113"/>
  <c r="U44" i="113"/>
  <c r="U45" i="113"/>
  <c r="U46" i="113"/>
  <c r="U47" i="113"/>
  <c r="U48" i="113"/>
  <c r="U49" i="113"/>
  <c r="U50" i="113"/>
  <c r="U51" i="113"/>
  <c r="U52" i="113"/>
  <c r="U53" i="113"/>
  <c r="U54" i="113"/>
  <c r="U55" i="113"/>
  <c r="U56" i="113"/>
  <c r="U57" i="113"/>
  <c r="U58" i="113"/>
  <c r="U59" i="113"/>
  <c r="U60" i="113"/>
  <c r="U61" i="113"/>
  <c r="U62" i="113"/>
  <c r="U63" i="113"/>
  <c r="U64" i="113"/>
  <c r="U65" i="113"/>
  <c r="U66" i="113"/>
  <c r="U68" i="113"/>
  <c r="U69" i="113"/>
  <c r="U70" i="113"/>
  <c r="U71" i="113"/>
  <c r="U72" i="113"/>
  <c r="U73" i="113"/>
  <c r="U74" i="113"/>
  <c r="U75" i="113"/>
  <c r="U76" i="113"/>
  <c r="U77" i="113"/>
  <c r="U78" i="113"/>
  <c r="U79" i="113"/>
  <c r="U80" i="113"/>
  <c r="U81" i="113"/>
  <c r="U82" i="113"/>
  <c r="U83" i="113"/>
  <c r="U84" i="113"/>
  <c r="U85" i="113"/>
  <c r="U86" i="113"/>
  <c r="U87" i="113"/>
  <c r="U88" i="113"/>
  <c r="U89" i="113"/>
  <c r="U90" i="113"/>
  <c r="U91" i="113"/>
  <c r="U92" i="113"/>
  <c r="U93" i="113"/>
  <c r="U95" i="113"/>
  <c r="U96" i="113"/>
  <c r="U97" i="113"/>
  <c r="U98" i="113"/>
  <c r="U99" i="113"/>
  <c r="U100" i="113"/>
  <c r="U101" i="113"/>
  <c r="U102" i="113"/>
  <c r="U103" i="113"/>
  <c r="U104" i="113"/>
  <c r="U105" i="113"/>
  <c r="U106" i="113"/>
  <c r="U107" i="113"/>
  <c r="U108" i="113"/>
  <c r="U109" i="113"/>
  <c r="U110" i="113"/>
  <c r="U111" i="113"/>
  <c r="U112" i="113"/>
  <c r="U113" i="113"/>
  <c r="U114" i="113"/>
  <c r="U115" i="113"/>
  <c r="U116" i="113"/>
  <c r="U117" i="113"/>
  <c r="U118" i="113"/>
  <c r="U119" i="113"/>
  <c r="U120" i="113"/>
  <c r="U121" i="113"/>
  <c r="U122" i="113"/>
  <c r="U123" i="113"/>
  <c r="U124" i="113"/>
  <c r="U126" i="113"/>
  <c r="U127" i="113"/>
  <c r="U128" i="113"/>
  <c r="U129" i="113"/>
  <c r="U130" i="113"/>
  <c r="U131" i="113"/>
  <c r="U132" i="113"/>
  <c r="U133" i="113"/>
  <c r="U134" i="113"/>
  <c r="U135" i="113"/>
  <c r="U136" i="113"/>
  <c r="U137" i="113"/>
  <c r="U138" i="113"/>
  <c r="U139" i="113"/>
  <c r="U140" i="113"/>
  <c r="U142" i="113"/>
  <c r="U143" i="113"/>
  <c r="U144" i="113"/>
  <c r="U145" i="113"/>
  <c r="U146" i="113"/>
  <c r="U147" i="113"/>
  <c r="U148" i="113"/>
  <c r="U149" i="113"/>
  <c r="U150" i="113"/>
  <c r="U151" i="113"/>
  <c r="U152" i="113"/>
  <c r="U153" i="113"/>
  <c r="U154" i="113"/>
  <c r="U155" i="113"/>
  <c r="U156" i="113"/>
  <c r="U157" i="113"/>
  <c r="U158" i="113"/>
  <c r="U159" i="113"/>
  <c r="U160" i="113"/>
  <c r="U161" i="113"/>
  <c r="U162" i="113"/>
  <c r="U163" i="113"/>
  <c r="U164" i="113"/>
  <c r="U165" i="113"/>
  <c r="U166" i="113"/>
  <c r="U168" i="113"/>
  <c r="U169" i="113"/>
  <c r="U170" i="113"/>
  <c r="U171" i="113"/>
  <c r="U172" i="113"/>
  <c r="U173" i="113"/>
  <c r="U174" i="113"/>
  <c r="U175" i="113"/>
  <c r="U176" i="113"/>
  <c r="U177" i="113"/>
  <c r="U178" i="113"/>
  <c r="U179" i="113"/>
  <c r="U181" i="113"/>
  <c r="U182" i="113"/>
  <c r="U183" i="113"/>
  <c r="U184" i="113"/>
  <c r="U185" i="113"/>
  <c r="U186" i="113"/>
  <c r="U187" i="113"/>
  <c r="U188" i="113"/>
  <c r="U189" i="113"/>
  <c r="U190" i="113"/>
  <c r="U191" i="113"/>
  <c r="U192" i="113"/>
  <c r="U193" i="113"/>
  <c r="U194" i="113"/>
  <c r="U195" i="113"/>
  <c r="U196" i="113"/>
  <c r="U197" i="113"/>
  <c r="U198" i="113"/>
  <c r="U199" i="113"/>
  <c r="U200" i="113"/>
  <c r="U201" i="113"/>
  <c r="U202" i="113"/>
  <c r="U203" i="113"/>
  <c r="U204" i="113"/>
  <c r="U205" i="113"/>
  <c r="U206" i="113"/>
  <c r="U207" i="113"/>
  <c r="U208" i="113"/>
  <c r="U209" i="113"/>
  <c r="U210" i="113"/>
  <c r="U212" i="113"/>
  <c r="U213" i="113"/>
  <c r="U214" i="113"/>
  <c r="U215" i="113"/>
  <c r="U216" i="113"/>
  <c r="U217" i="113"/>
  <c r="U218" i="113"/>
  <c r="U219" i="113"/>
  <c r="U220" i="113"/>
  <c r="U221" i="113"/>
  <c r="U222" i="113"/>
  <c r="U223" i="113"/>
  <c r="U224" i="113"/>
  <c r="U225" i="113"/>
  <c r="U226" i="113"/>
  <c r="U227" i="113"/>
  <c r="U228" i="113"/>
  <c r="U229" i="113"/>
  <c r="U230" i="113"/>
  <c r="U231" i="113"/>
  <c r="U232" i="113"/>
  <c r="U233" i="113"/>
  <c r="U234" i="113"/>
  <c r="U235" i="113"/>
  <c r="U236" i="113"/>
  <c r="U237" i="113"/>
  <c r="U238" i="113"/>
  <c r="U239" i="113"/>
  <c r="U240" i="113"/>
  <c r="U241" i="113"/>
  <c r="U242" i="113"/>
  <c r="U244" i="113"/>
  <c r="U245" i="113"/>
  <c r="U246" i="113"/>
  <c r="U247" i="113"/>
  <c r="U248" i="113"/>
  <c r="U249" i="113"/>
  <c r="U250" i="113"/>
  <c r="U251" i="113"/>
  <c r="U252" i="113"/>
  <c r="U253" i="113"/>
  <c r="U254" i="113"/>
  <c r="U255" i="113"/>
  <c r="U256" i="113"/>
  <c r="U257" i="113"/>
  <c r="U258" i="113"/>
  <c r="U259" i="113"/>
  <c r="U260" i="113"/>
  <c r="U261" i="113"/>
  <c r="U262" i="113"/>
  <c r="U263" i="113"/>
  <c r="U264" i="113"/>
  <c r="U265" i="113"/>
  <c r="U266" i="113"/>
  <c r="U267" i="113"/>
  <c r="U268" i="113"/>
  <c r="U269" i="113"/>
  <c r="U270" i="113"/>
  <c r="U271" i="113"/>
  <c r="U272" i="113"/>
  <c r="U273" i="113"/>
  <c r="U274" i="113"/>
  <c r="U275" i="113"/>
  <c r="U276" i="113"/>
  <c r="U277" i="113"/>
  <c r="U279" i="113"/>
  <c r="U280" i="113"/>
  <c r="U281" i="113"/>
  <c r="U282" i="113"/>
  <c r="U283" i="113"/>
  <c r="U284" i="113"/>
  <c r="U285" i="113"/>
  <c r="U286" i="113"/>
  <c r="U287" i="113"/>
  <c r="U288" i="113"/>
  <c r="U289" i="113"/>
  <c r="U290" i="113"/>
  <c r="U291" i="113"/>
  <c r="U292" i="113"/>
  <c r="U293" i="113"/>
  <c r="U294" i="113"/>
  <c r="U295" i="113"/>
  <c r="U296" i="113"/>
  <c r="U297" i="113"/>
  <c r="U298" i="113"/>
  <c r="U299" i="113"/>
  <c r="U300" i="113"/>
  <c r="U301" i="113"/>
  <c r="U302" i="113"/>
  <c r="U303" i="113"/>
  <c r="U304" i="113"/>
  <c r="U305" i="113"/>
  <c r="U307" i="113"/>
  <c r="U308" i="113"/>
  <c r="U309" i="113"/>
  <c r="U310" i="113"/>
  <c r="U311" i="113"/>
  <c r="U312" i="113"/>
  <c r="U313" i="113"/>
  <c r="U314" i="113"/>
  <c r="U315" i="113"/>
  <c r="U316" i="113"/>
  <c r="U317" i="113"/>
  <c r="U318" i="113"/>
  <c r="U319" i="113"/>
  <c r="U320" i="113"/>
  <c r="U321" i="113"/>
  <c r="U322" i="113"/>
  <c r="U323" i="113"/>
  <c r="U324" i="113"/>
  <c r="U325" i="113"/>
  <c r="U326" i="113"/>
  <c r="U327" i="113"/>
  <c r="U328" i="113"/>
  <c r="U329" i="113"/>
  <c r="U330" i="113"/>
  <c r="U331" i="113"/>
  <c r="U332" i="113"/>
  <c r="U333" i="113"/>
  <c r="U334" i="113"/>
  <c r="U335" i="113"/>
  <c r="U336" i="113"/>
  <c r="U337" i="113"/>
  <c r="U339" i="113"/>
  <c r="U340" i="113"/>
  <c r="U341" i="113"/>
  <c r="U342" i="113"/>
  <c r="U343" i="113"/>
  <c r="U344" i="113"/>
  <c r="U345" i="113"/>
  <c r="U346" i="113"/>
  <c r="U347" i="113"/>
  <c r="U348" i="113"/>
  <c r="U349" i="113"/>
  <c r="U350" i="113"/>
  <c r="U351" i="113"/>
  <c r="U352" i="113"/>
  <c r="U353" i="113"/>
  <c r="U354" i="113"/>
  <c r="U355" i="113"/>
  <c r="U356" i="113"/>
  <c r="U357" i="113"/>
  <c r="U358" i="113"/>
  <c r="U359" i="113"/>
  <c r="U360" i="113"/>
  <c r="U362" i="113"/>
  <c r="U363" i="113"/>
  <c r="U364" i="113"/>
  <c r="U365" i="113"/>
  <c r="U366" i="113"/>
  <c r="U367" i="113"/>
  <c r="U368" i="113"/>
  <c r="U369" i="113"/>
  <c r="U370" i="113"/>
  <c r="U371" i="113"/>
  <c r="U372" i="113"/>
  <c r="U373" i="113"/>
  <c r="U374" i="113"/>
  <c r="U375" i="113"/>
  <c r="U376" i="113"/>
  <c r="U377" i="113"/>
  <c r="U378" i="113"/>
  <c r="U379" i="113"/>
  <c r="U380" i="113"/>
  <c r="U381" i="113"/>
  <c r="U382" i="113"/>
  <c r="U383" i="113"/>
  <c r="U384" i="113"/>
  <c r="U385" i="113"/>
  <c r="U386" i="113"/>
  <c r="U387" i="113"/>
  <c r="U388" i="113"/>
  <c r="U390" i="113"/>
  <c r="U391" i="113"/>
  <c r="U392" i="113"/>
  <c r="U393" i="113"/>
  <c r="U394" i="113"/>
  <c r="U395" i="113"/>
  <c r="U396" i="113"/>
  <c r="U397" i="113"/>
  <c r="U398" i="113"/>
  <c r="U399" i="113"/>
  <c r="U400" i="113"/>
  <c r="U401" i="113"/>
  <c r="U402" i="113"/>
  <c r="U403" i="113"/>
  <c r="U404" i="113"/>
  <c r="U405" i="113"/>
  <c r="U406" i="113"/>
  <c r="U407" i="113"/>
  <c r="U408" i="113"/>
  <c r="U409" i="113"/>
  <c r="U410" i="113"/>
  <c r="U411" i="113"/>
  <c r="U412" i="113"/>
  <c r="U413" i="113"/>
  <c r="U414" i="113"/>
  <c r="U415" i="113"/>
  <c r="U416" i="113"/>
  <c r="U417" i="113"/>
  <c r="U418" i="113"/>
  <c r="U420" i="113"/>
  <c r="U421" i="113"/>
  <c r="U422" i="113"/>
  <c r="U423" i="113"/>
  <c r="U424" i="113"/>
  <c r="U425" i="113"/>
  <c r="U426" i="113"/>
  <c r="U427" i="113"/>
  <c r="U428" i="113"/>
  <c r="U429" i="113"/>
  <c r="U430" i="113"/>
  <c r="U431" i="113"/>
  <c r="U432" i="113"/>
  <c r="U433" i="113"/>
  <c r="U434" i="113"/>
  <c r="U435" i="113"/>
  <c r="U436" i="113"/>
  <c r="U437" i="113"/>
  <c r="U438" i="113"/>
  <c r="U439" i="113"/>
  <c r="U440" i="113"/>
  <c r="U442" i="113"/>
  <c r="U443" i="113"/>
  <c r="U444" i="113"/>
  <c r="U445" i="113"/>
  <c r="U446" i="113"/>
  <c r="U447" i="113"/>
  <c r="U448" i="113"/>
  <c r="U449" i="113"/>
  <c r="U450" i="113"/>
  <c r="U451" i="113"/>
  <c r="U452" i="113"/>
  <c r="U453" i="113"/>
  <c r="U454" i="113"/>
  <c r="U455" i="113"/>
  <c r="U456" i="113"/>
  <c r="U457" i="113"/>
  <c r="U458" i="113"/>
  <c r="U459" i="113"/>
  <c r="U460" i="113"/>
  <c r="U461" i="113"/>
  <c r="U462" i="113"/>
  <c r="U463" i="113"/>
  <c r="U464" i="113"/>
  <c r="U465" i="113"/>
  <c r="U466" i="113"/>
  <c r="U467" i="113"/>
  <c r="U468" i="113"/>
  <c r="U469" i="113"/>
  <c r="U470" i="113"/>
  <c r="U471" i="113"/>
  <c r="U472" i="113"/>
  <c r="U473" i="113"/>
  <c r="U474" i="113"/>
  <c r="U475" i="113"/>
  <c r="U476" i="113"/>
  <c r="U478" i="113"/>
  <c r="U479" i="113"/>
  <c r="U480" i="113"/>
  <c r="U481" i="113"/>
  <c r="U482" i="113"/>
  <c r="U483" i="113"/>
  <c r="U484" i="113"/>
  <c r="U485" i="113"/>
  <c r="U486" i="113"/>
  <c r="U487" i="113"/>
  <c r="U488" i="113"/>
  <c r="U489" i="113"/>
  <c r="U490" i="113"/>
  <c r="U491" i="113"/>
  <c r="U492" i="113"/>
  <c r="U493" i="113"/>
  <c r="U494" i="113"/>
  <c r="U495" i="113"/>
  <c r="U496" i="113"/>
  <c r="U497" i="113"/>
  <c r="U498" i="113"/>
  <c r="U499" i="113"/>
  <c r="U500" i="113"/>
  <c r="U501" i="113"/>
  <c r="U502" i="113"/>
  <c r="U503" i="113"/>
  <c r="U504" i="113"/>
  <c r="U505" i="113"/>
  <c r="U506" i="113"/>
  <c r="U507" i="113"/>
  <c r="U508" i="113"/>
  <c r="U509" i="113"/>
  <c r="U510" i="113"/>
  <c r="U512" i="113"/>
  <c r="U513" i="113"/>
  <c r="U514" i="113"/>
  <c r="U515" i="113"/>
  <c r="U516" i="113"/>
  <c r="U517" i="113"/>
  <c r="U518" i="113"/>
  <c r="U519" i="113"/>
  <c r="U520" i="113"/>
  <c r="U521" i="113"/>
  <c r="U522" i="113"/>
  <c r="U523" i="113"/>
  <c r="U524" i="113"/>
  <c r="U525" i="113"/>
  <c r="U526" i="113"/>
  <c r="U527" i="113"/>
  <c r="U528" i="113"/>
  <c r="U529" i="113"/>
  <c r="U530" i="113"/>
  <c r="U531" i="113"/>
  <c r="U532" i="113"/>
  <c r="U533" i="113"/>
  <c r="U534" i="113"/>
  <c r="U535" i="113"/>
  <c r="U536" i="113"/>
  <c r="U537" i="113"/>
  <c r="U538" i="113"/>
  <c r="U539" i="113"/>
  <c r="U540" i="113"/>
  <c r="U542" i="113"/>
  <c r="U543" i="113"/>
  <c r="U544" i="113"/>
  <c r="U545" i="113"/>
  <c r="U546" i="113"/>
  <c r="U547" i="113"/>
  <c r="U548" i="113"/>
  <c r="U549" i="113"/>
  <c r="U550" i="113"/>
  <c r="U551" i="113"/>
  <c r="U552" i="113"/>
  <c r="U553" i="113"/>
  <c r="U554" i="113"/>
  <c r="U555" i="113"/>
  <c r="U556" i="113"/>
  <c r="U557" i="113"/>
  <c r="U558" i="113"/>
  <c r="U559" i="113"/>
  <c r="U560" i="113"/>
  <c r="U561" i="113"/>
  <c r="U562" i="113"/>
  <c r="U563" i="113"/>
  <c r="U564" i="113"/>
  <c r="U565" i="113"/>
  <c r="U566" i="113"/>
  <c r="U567" i="113"/>
  <c r="U568" i="113"/>
  <c r="U569" i="113"/>
  <c r="U570" i="113"/>
  <c r="U571" i="113"/>
  <c r="U572" i="113"/>
  <c r="U573" i="113"/>
  <c r="U574" i="113"/>
  <c r="U575" i="113"/>
  <c r="U576" i="113"/>
  <c r="U577" i="113"/>
  <c r="U578" i="113"/>
  <c r="U579" i="113"/>
  <c r="U580" i="113"/>
  <c r="U581" i="113"/>
  <c r="U583" i="113"/>
  <c r="U584" i="113"/>
  <c r="U585" i="113"/>
  <c r="U586" i="113"/>
  <c r="U587" i="113"/>
  <c r="U588" i="113"/>
  <c r="U589" i="113"/>
  <c r="U590" i="113"/>
  <c r="U591" i="113"/>
  <c r="U592" i="113"/>
  <c r="U593" i="113"/>
  <c r="U594" i="113"/>
  <c r="U595" i="113"/>
  <c r="U596" i="113"/>
  <c r="U598" i="113"/>
  <c r="U599" i="113"/>
  <c r="U600" i="113"/>
  <c r="U601" i="113"/>
  <c r="U602" i="113"/>
  <c r="U603" i="113"/>
  <c r="U604" i="113"/>
  <c r="U605" i="113"/>
  <c r="U606" i="113"/>
  <c r="U607" i="113"/>
  <c r="U608" i="113"/>
  <c r="U609" i="113"/>
  <c r="U610" i="113"/>
  <c r="U611" i="113"/>
  <c r="U612" i="113"/>
  <c r="U613" i="113"/>
  <c r="U614" i="113"/>
  <c r="U616" i="113"/>
  <c r="U617" i="113"/>
  <c r="U618" i="113"/>
  <c r="U619" i="113"/>
  <c r="U620" i="113"/>
  <c r="U621" i="113"/>
  <c r="U622" i="113"/>
  <c r="U623" i="113"/>
  <c r="U624" i="113"/>
  <c r="U625" i="113"/>
  <c r="U626" i="113"/>
  <c r="U627" i="113"/>
  <c r="U628" i="113"/>
  <c r="U629" i="113"/>
  <c r="U630" i="113"/>
  <c r="U631" i="113"/>
  <c r="U632" i="113"/>
  <c r="U633" i="113"/>
  <c r="U634" i="113"/>
  <c r="U635" i="113"/>
  <c r="U636" i="113"/>
  <c r="U637" i="113"/>
  <c r="U638" i="113"/>
  <c r="U639" i="113"/>
  <c r="U640" i="113"/>
  <c r="U641" i="113"/>
  <c r="U642" i="113"/>
  <c r="U643" i="113"/>
  <c r="U645" i="113"/>
  <c r="U646" i="113"/>
  <c r="U647" i="113"/>
  <c r="U648" i="113"/>
  <c r="U649" i="113"/>
  <c r="U650" i="113"/>
  <c r="U651" i="113"/>
  <c r="U652" i="113"/>
  <c r="U653" i="113"/>
  <c r="U654" i="113"/>
  <c r="U655" i="113"/>
  <c r="U656" i="113"/>
  <c r="U657" i="113"/>
  <c r="U658" i="113"/>
  <c r="U659" i="113"/>
  <c r="U660" i="113"/>
  <c r="U661" i="113"/>
  <c r="U662" i="113"/>
  <c r="U663" i="113"/>
  <c r="U664" i="113"/>
  <c r="U665" i="113"/>
  <c r="U666" i="113"/>
  <c r="U667" i="113"/>
  <c r="U668" i="113"/>
  <c r="U669" i="113"/>
  <c r="U670" i="113"/>
  <c r="U672" i="113"/>
  <c r="U673" i="113"/>
  <c r="U674" i="113"/>
  <c r="U675" i="113"/>
  <c r="U676" i="113"/>
  <c r="U677" i="113"/>
  <c r="U678" i="113"/>
  <c r="U679" i="113"/>
  <c r="U680" i="113"/>
  <c r="U681" i="113"/>
  <c r="U682" i="113"/>
  <c r="U683" i="113"/>
  <c r="U684" i="113"/>
  <c r="U685" i="113"/>
  <c r="U686" i="113"/>
  <c r="U687" i="113"/>
  <c r="U688" i="113"/>
  <c r="U689" i="113"/>
  <c r="U690" i="113"/>
  <c r="U691" i="113"/>
  <c r="U692" i="113"/>
  <c r="U693" i="113"/>
  <c r="U694" i="113"/>
  <c r="U695" i="113"/>
  <c r="U696" i="113"/>
  <c r="U698" i="113"/>
  <c r="U699" i="113"/>
  <c r="U700" i="113"/>
  <c r="U701" i="113"/>
  <c r="U702" i="113"/>
  <c r="U703" i="113"/>
  <c r="U704" i="113"/>
  <c r="U705" i="113"/>
  <c r="U706" i="113"/>
  <c r="U707" i="113"/>
  <c r="U708" i="113"/>
  <c r="U709" i="113"/>
  <c r="U710" i="113"/>
  <c r="U711" i="113"/>
  <c r="U712" i="113"/>
  <c r="U713" i="113"/>
  <c r="U714" i="113"/>
  <c r="U715" i="113"/>
  <c r="U716" i="113"/>
  <c r="U717" i="113"/>
  <c r="U718" i="113"/>
  <c r="U719" i="113"/>
  <c r="U720" i="113"/>
  <c r="U721" i="113"/>
  <c r="U722" i="113"/>
  <c r="U723" i="113"/>
  <c r="U724" i="113"/>
  <c r="U725" i="113"/>
  <c r="U726" i="113"/>
  <c r="U727" i="113"/>
  <c r="U728" i="113"/>
  <c r="U730" i="113"/>
  <c r="U731" i="113"/>
  <c r="U732" i="113"/>
  <c r="U733" i="113"/>
  <c r="U734" i="113"/>
  <c r="U735" i="113"/>
  <c r="U736" i="113"/>
  <c r="U737" i="113"/>
  <c r="U738" i="113"/>
  <c r="U739" i="113"/>
  <c r="U740" i="113"/>
  <c r="U741" i="113"/>
  <c r="U742" i="113"/>
  <c r="U743" i="113"/>
  <c r="U744" i="113"/>
  <c r="U745" i="113"/>
  <c r="U746" i="113"/>
  <c r="U747" i="113"/>
  <c r="U748" i="113"/>
  <c r="U749" i="113"/>
  <c r="U750" i="113"/>
  <c r="U751" i="113"/>
  <c r="U752" i="113"/>
  <c r="U753" i="113"/>
  <c r="U754" i="113"/>
  <c r="U755" i="113"/>
  <c r="U756" i="113"/>
  <c r="U757" i="113"/>
  <c r="U758" i="113"/>
  <c r="U759" i="113"/>
  <c r="U760" i="113"/>
  <c r="U761" i="113"/>
  <c r="U762" i="113"/>
  <c r="U763" i="113"/>
  <c r="U764" i="113"/>
  <c r="U765" i="113"/>
  <c r="U766" i="113"/>
  <c r="U767" i="113"/>
  <c r="U768" i="113"/>
  <c r="U769" i="113"/>
  <c r="U771" i="113"/>
  <c r="U772" i="113"/>
  <c r="U773" i="113"/>
  <c r="U774" i="113"/>
  <c r="U775" i="113"/>
  <c r="U776" i="113"/>
  <c r="U777" i="113"/>
  <c r="U778" i="113"/>
  <c r="U779" i="113"/>
  <c r="U780" i="113"/>
  <c r="U781" i="113"/>
  <c r="U782" i="113"/>
  <c r="U783" i="113"/>
  <c r="U784" i="113"/>
  <c r="U785" i="113"/>
  <c r="U786" i="113"/>
  <c r="U787" i="113"/>
  <c r="U788" i="113"/>
  <c r="U789" i="113"/>
  <c r="U790" i="113"/>
  <c r="U791" i="113"/>
  <c r="U792" i="113"/>
  <c r="U793" i="113"/>
  <c r="U794" i="113"/>
  <c r="U795" i="113"/>
  <c r="U796" i="113"/>
  <c r="U797" i="113"/>
  <c r="U798" i="113"/>
  <c r="U799" i="113"/>
  <c r="U800" i="113"/>
  <c r="U801" i="113"/>
  <c r="U802" i="113"/>
  <c r="U803" i="113"/>
  <c r="U804" i="113"/>
  <c r="U805" i="113"/>
  <c r="U807" i="113"/>
  <c r="U808" i="113"/>
  <c r="U809" i="113"/>
  <c r="U810" i="113"/>
  <c r="U811" i="113"/>
  <c r="U812" i="113"/>
  <c r="U813" i="113"/>
  <c r="U814" i="113"/>
  <c r="U815" i="113"/>
  <c r="U816" i="113"/>
  <c r="U817" i="113"/>
  <c r="U818" i="113"/>
  <c r="U819" i="113"/>
  <c r="U820" i="113"/>
  <c r="U821" i="113"/>
  <c r="U822" i="113"/>
  <c r="U823" i="113"/>
  <c r="U824" i="113"/>
  <c r="U825" i="113"/>
  <c r="U826" i="113"/>
  <c r="U827" i="113"/>
  <c r="U828" i="113"/>
  <c r="U829" i="113"/>
  <c r="U830" i="113"/>
  <c r="U831" i="113"/>
  <c r="U832" i="113"/>
  <c r="U833" i="113"/>
  <c r="U834" i="113"/>
  <c r="U835" i="113"/>
  <c r="U836" i="113"/>
  <c r="U837" i="113"/>
  <c r="U839" i="113"/>
  <c r="U840" i="113"/>
  <c r="U841" i="113"/>
  <c r="U842" i="113"/>
  <c r="U843" i="113"/>
  <c r="U844" i="113"/>
  <c r="U845" i="113"/>
  <c r="U846" i="113"/>
  <c r="U847" i="113"/>
  <c r="U848" i="113"/>
  <c r="U849" i="113"/>
  <c r="U850" i="113"/>
  <c r="U851" i="113"/>
  <c r="U852" i="113"/>
  <c r="U853" i="113"/>
  <c r="U854" i="113"/>
  <c r="U855" i="113"/>
  <c r="U856" i="113"/>
  <c r="U857" i="113"/>
  <c r="U858" i="113"/>
  <c r="U859" i="113"/>
  <c r="U860" i="113"/>
  <c r="U861" i="113"/>
  <c r="U862" i="113"/>
  <c r="U863" i="113"/>
  <c r="U865" i="113"/>
  <c r="U866" i="113"/>
  <c r="U867" i="113"/>
  <c r="U868" i="113"/>
  <c r="U869" i="113"/>
  <c r="U870" i="113"/>
  <c r="U871" i="113"/>
  <c r="U872" i="113"/>
  <c r="U873" i="113"/>
  <c r="U874" i="113"/>
  <c r="U875" i="113"/>
  <c r="U876" i="113"/>
  <c r="U877" i="113"/>
  <c r="U878" i="113"/>
  <c r="U879" i="113"/>
  <c r="U880" i="113"/>
  <c r="U881" i="113"/>
  <c r="U882" i="113"/>
  <c r="U883" i="113"/>
  <c r="U884" i="113"/>
  <c r="U885" i="113"/>
  <c r="U886" i="113"/>
  <c r="U887" i="113"/>
  <c r="U888" i="113"/>
  <c r="U889" i="113"/>
  <c r="U890" i="113"/>
  <c r="U891" i="113"/>
  <c r="U892" i="113"/>
  <c r="U893" i="113"/>
  <c r="U894" i="113"/>
  <c r="U895" i="113"/>
  <c r="U896" i="113"/>
  <c r="U897" i="113"/>
  <c r="U898" i="113"/>
  <c r="U899" i="113"/>
  <c r="U900" i="113"/>
  <c r="U902" i="113"/>
  <c r="U903" i="113"/>
  <c r="U904" i="113"/>
  <c r="U905" i="113"/>
  <c r="U906" i="113"/>
  <c r="U907" i="113"/>
  <c r="U908" i="113"/>
  <c r="U909" i="113"/>
  <c r="U910" i="113"/>
  <c r="U911" i="113"/>
  <c r="U912" i="113"/>
  <c r="U913" i="113"/>
  <c r="U914" i="113"/>
  <c r="U915" i="113"/>
  <c r="U916" i="113"/>
  <c r="U917" i="113"/>
  <c r="U918" i="113"/>
  <c r="U919" i="113"/>
  <c r="U920" i="113"/>
  <c r="U921" i="113"/>
  <c r="U922" i="113"/>
  <c r="U923" i="113"/>
  <c r="U924" i="113"/>
  <c r="U925" i="113"/>
  <c r="U926" i="113"/>
  <c r="U927" i="113"/>
  <c r="U928" i="113"/>
  <c r="U929" i="113"/>
  <c r="U930" i="113"/>
  <c r="U931" i="113"/>
  <c r="U932" i="113"/>
  <c r="U933" i="113"/>
  <c r="U934" i="113"/>
  <c r="U935" i="113"/>
  <c r="U936" i="113"/>
  <c r="U937" i="113"/>
  <c r="U938" i="113"/>
  <c r="U939" i="113"/>
  <c r="U940" i="113"/>
  <c r="U941" i="113"/>
  <c r="U942" i="113"/>
  <c r="U943" i="113"/>
  <c r="U945" i="113"/>
  <c r="U946" i="113"/>
  <c r="U947" i="113"/>
  <c r="U948" i="113"/>
  <c r="U949" i="113"/>
  <c r="U950" i="113"/>
  <c r="U951" i="113"/>
  <c r="U952" i="113"/>
  <c r="U953" i="113"/>
  <c r="U954" i="113"/>
  <c r="U955" i="113"/>
  <c r="U956" i="113"/>
  <c r="U957" i="113"/>
  <c r="U958" i="113"/>
  <c r="U959" i="113"/>
  <c r="U960" i="113"/>
  <c r="U961" i="113"/>
  <c r="U962" i="113"/>
  <c r="U963" i="113"/>
  <c r="U964" i="113"/>
  <c r="U965" i="113"/>
  <c r="U966" i="113"/>
  <c r="U967" i="113"/>
  <c r="U968" i="113"/>
  <c r="U969" i="113"/>
  <c r="U970" i="113"/>
  <c r="U971" i="113"/>
  <c r="U972" i="113"/>
  <c r="U973" i="113"/>
  <c r="U974" i="113"/>
  <c r="U975" i="113"/>
  <c r="U976" i="113"/>
  <c r="U977" i="113"/>
  <c r="U978" i="113"/>
  <c r="U979" i="113"/>
  <c r="U980" i="113"/>
  <c r="U981" i="113"/>
  <c r="U982" i="113"/>
  <c r="U983" i="113"/>
  <c r="U984" i="113"/>
  <c r="U985" i="113"/>
  <c r="U986" i="113"/>
  <c r="U987" i="113"/>
  <c r="U989" i="113"/>
  <c r="U990" i="113"/>
  <c r="U991" i="113"/>
  <c r="U992" i="113"/>
  <c r="U993" i="113"/>
  <c r="U994" i="113"/>
  <c r="U995" i="113"/>
  <c r="U996" i="113"/>
  <c r="U997" i="113"/>
  <c r="U998" i="113"/>
  <c r="U999" i="113"/>
  <c r="U1000" i="113"/>
  <c r="U1001" i="113"/>
  <c r="U1002" i="113"/>
  <c r="U1003" i="113"/>
  <c r="U1004" i="113"/>
  <c r="U1005" i="113"/>
  <c r="U1006" i="113"/>
  <c r="U1007" i="113"/>
  <c r="U1008" i="113"/>
  <c r="U1009" i="113"/>
  <c r="U1010" i="113"/>
  <c r="U1011" i="113"/>
  <c r="U1012" i="113"/>
  <c r="U1014" i="113"/>
  <c r="U1015" i="113"/>
  <c r="U1016" i="113"/>
  <c r="U1017" i="113"/>
  <c r="U1018" i="113"/>
  <c r="U1019" i="113"/>
  <c r="U1020" i="113"/>
  <c r="U1021" i="113"/>
  <c r="U1022" i="113"/>
  <c r="U1023" i="113"/>
  <c r="U1024" i="113"/>
  <c r="U1025" i="113"/>
  <c r="U1026" i="113"/>
  <c r="U1027" i="113"/>
  <c r="U1028" i="113"/>
  <c r="U1029" i="113"/>
  <c r="U1030" i="113"/>
  <c r="U1031" i="113"/>
  <c r="U1032" i="113"/>
  <c r="U1033" i="113"/>
  <c r="U1034" i="113"/>
  <c r="U1035" i="113"/>
  <c r="U1036" i="113"/>
  <c r="U1037" i="113"/>
  <c r="U1038" i="113"/>
  <c r="U1039" i="113"/>
  <c r="U1041" i="113"/>
  <c r="U1042" i="113"/>
  <c r="U1043" i="113"/>
  <c r="U1044" i="113"/>
  <c r="U1045" i="113"/>
  <c r="U1046" i="113"/>
  <c r="U1047" i="113"/>
  <c r="U1048" i="113"/>
  <c r="U1049" i="113"/>
  <c r="U1050" i="113"/>
  <c r="U1051" i="113"/>
  <c r="U1052" i="113"/>
  <c r="U1053" i="113"/>
  <c r="U1054" i="113"/>
  <c r="U1055" i="113"/>
  <c r="U1056" i="113"/>
  <c r="U1057" i="113"/>
  <c r="U1058" i="113"/>
  <c r="U1059" i="113"/>
  <c r="U1060" i="113"/>
  <c r="U1061" i="113"/>
  <c r="U1062" i="113"/>
  <c r="U1063" i="113"/>
  <c r="U1064" i="113"/>
  <c r="U1065" i="113"/>
  <c r="U1066" i="113"/>
  <c r="U1067" i="113"/>
  <c r="U1068" i="113"/>
  <c r="U1069" i="113"/>
  <c r="U1070" i="113"/>
  <c r="U1071" i="113"/>
  <c r="U1072" i="113"/>
  <c r="U1073" i="113"/>
  <c r="U1074" i="113"/>
  <c r="U1076" i="113"/>
  <c r="U1077" i="113"/>
  <c r="U1078" i="113"/>
  <c r="U1079" i="113"/>
  <c r="U1080" i="113"/>
  <c r="U1081" i="113"/>
  <c r="U1082" i="113"/>
  <c r="U1083" i="113"/>
  <c r="U1084" i="113"/>
  <c r="U1085" i="113"/>
  <c r="U1086" i="113"/>
  <c r="U1087" i="113"/>
  <c r="U1088" i="113"/>
  <c r="U1089" i="113"/>
  <c r="U1090" i="113"/>
  <c r="U1091" i="113"/>
  <c r="U1092" i="113"/>
  <c r="U1093" i="113"/>
  <c r="U1094" i="113"/>
  <c r="U1095" i="113"/>
  <c r="U1096" i="113"/>
  <c r="U1097" i="113"/>
  <c r="U1098" i="113"/>
  <c r="U1099" i="113"/>
  <c r="U1100" i="113"/>
  <c r="U1101" i="113"/>
  <c r="U1102" i="113"/>
  <c r="U1104" i="113"/>
  <c r="U1105" i="113"/>
  <c r="U1106" i="113"/>
  <c r="U1107" i="113"/>
  <c r="U1108" i="113"/>
  <c r="U1109" i="113"/>
  <c r="U1110" i="113"/>
  <c r="U1111" i="113"/>
  <c r="U1112" i="113"/>
  <c r="U1113" i="113"/>
  <c r="U1114" i="113"/>
  <c r="U1115" i="113"/>
  <c r="U1116" i="113"/>
  <c r="U1117" i="113"/>
  <c r="U1118" i="113"/>
  <c r="U1119" i="113"/>
  <c r="U1120" i="113"/>
  <c r="U1121" i="113"/>
  <c r="U1122" i="113"/>
  <c r="U1123" i="113"/>
  <c r="U1124" i="113"/>
  <c r="U1125" i="113"/>
  <c r="U1126" i="113"/>
  <c r="U1127" i="113"/>
  <c r="U1129" i="113"/>
  <c r="U1130" i="113"/>
  <c r="U1131" i="113"/>
  <c r="U1132" i="113"/>
  <c r="U1133" i="113"/>
  <c r="U1134" i="113"/>
  <c r="U1135" i="113"/>
  <c r="U1136" i="113"/>
  <c r="U1137" i="113"/>
  <c r="U1138" i="113"/>
  <c r="U1139" i="113"/>
  <c r="U1140" i="113"/>
  <c r="U1141" i="113"/>
  <c r="U1142" i="113"/>
  <c r="U1143" i="113"/>
  <c r="U1144" i="113"/>
  <c r="U1145" i="113"/>
  <c r="U1146" i="113"/>
  <c r="U1147" i="113"/>
  <c r="U1148" i="113"/>
  <c r="U1150" i="113"/>
  <c r="U1151" i="113"/>
  <c r="U1152" i="113"/>
  <c r="U1153" i="113"/>
  <c r="U1154" i="113"/>
  <c r="U1155" i="113"/>
  <c r="U1156" i="113"/>
  <c r="U1157" i="113"/>
  <c r="U1158" i="113"/>
  <c r="U1159" i="113"/>
  <c r="U1160" i="113"/>
  <c r="U1161" i="113"/>
  <c r="U1162" i="113"/>
  <c r="U1163" i="113"/>
  <c r="U1164" i="113"/>
  <c r="U1165" i="113"/>
  <c r="U1166" i="113"/>
  <c r="U1168" i="113"/>
  <c r="U1169" i="113"/>
  <c r="U1170" i="113"/>
  <c r="U1171" i="113"/>
  <c r="U1172" i="113"/>
  <c r="U1173" i="113"/>
  <c r="U1174" i="113"/>
  <c r="U1175" i="113"/>
  <c r="U1176" i="113"/>
  <c r="U1177" i="113"/>
  <c r="U1178" i="113"/>
  <c r="U1179" i="113"/>
  <c r="U1180" i="113"/>
  <c r="U1181" i="113"/>
  <c r="U1182" i="113"/>
  <c r="U1183" i="113"/>
  <c r="U1184" i="113"/>
  <c r="U1185" i="113"/>
  <c r="U1186" i="113"/>
  <c r="U1187" i="113"/>
  <c r="U1188" i="113"/>
  <c r="U1189" i="113"/>
  <c r="U1190" i="113"/>
  <c r="U1191" i="113"/>
  <c r="U1192" i="113"/>
  <c r="U1193" i="113"/>
  <c r="U1194" i="113"/>
  <c r="U1195" i="113"/>
  <c r="U1196" i="113"/>
  <c r="U1197" i="113"/>
  <c r="U1198" i="113"/>
  <c r="U1199" i="113"/>
  <c r="U1200" i="113"/>
  <c r="U1201" i="113"/>
  <c r="U1202" i="113"/>
  <c r="U1203" i="113"/>
  <c r="U1205" i="113"/>
  <c r="U1206" i="113"/>
  <c r="U1207" i="113"/>
  <c r="U1208" i="113"/>
  <c r="U1209" i="113"/>
  <c r="U1210" i="113"/>
  <c r="U1211" i="113"/>
  <c r="U1212" i="113"/>
  <c r="U1213" i="113"/>
  <c r="U1214" i="113"/>
  <c r="U1215" i="113"/>
  <c r="U1216" i="113"/>
  <c r="U1217" i="113"/>
  <c r="U1218" i="113"/>
  <c r="U1219" i="113"/>
  <c r="U1220" i="113"/>
  <c r="U1221" i="113"/>
  <c r="U1222" i="113"/>
  <c r="U1223" i="113"/>
  <c r="U1224" i="113"/>
  <c r="U1225" i="113"/>
  <c r="U1226" i="113"/>
  <c r="U1227" i="113"/>
  <c r="U1228" i="113"/>
  <c r="U1229" i="113"/>
  <c r="U1230" i="113"/>
  <c r="U1231" i="113"/>
  <c r="U1232" i="113"/>
  <c r="U1233" i="113"/>
  <c r="U1234" i="113"/>
  <c r="U1235" i="113"/>
  <c r="U1237" i="113"/>
  <c r="U1238" i="113"/>
  <c r="U1239" i="113"/>
  <c r="U1240" i="113"/>
  <c r="U1241" i="113"/>
  <c r="U1242" i="113"/>
  <c r="U1243" i="113"/>
  <c r="U1244" i="113"/>
  <c r="U1245" i="113"/>
  <c r="U1246" i="113"/>
  <c r="U1247" i="113"/>
  <c r="U1248" i="113"/>
  <c r="U1249" i="113"/>
  <c r="U1250" i="113"/>
  <c r="U1251" i="113"/>
  <c r="U1252" i="113"/>
  <c r="U1253" i="113"/>
  <c r="U1254" i="113"/>
  <c r="U1255" i="113"/>
  <c r="U1256" i="113"/>
  <c r="U1257" i="113"/>
  <c r="U1258" i="113"/>
  <c r="U1259" i="113"/>
  <c r="U1260" i="113"/>
  <c r="U1261" i="113"/>
  <c r="U1262" i="113"/>
  <c r="U1263" i="113"/>
  <c r="U1264" i="113"/>
  <c r="U1265" i="113"/>
  <c r="U1266" i="113"/>
  <c r="U1267" i="113"/>
  <c r="U1268" i="113"/>
  <c r="U1269" i="113"/>
  <c r="U1270" i="113"/>
  <c r="U1271" i="113"/>
  <c r="U1272" i="113"/>
  <c r="U1273" i="113"/>
  <c r="U1274" i="113"/>
  <c r="U1275" i="113"/>
  <c r="U1276" i="113"/>
  <c r="U1277" i="113"/>
  <c r="U1278" i="113"/>
  <c r="U1279" i="113"/>
  <c r="U1280" i="113"/>
  <c r="U1281" i="113"/>
  <c r="U1282" i="113"/>
  <c r="U1283" i="113"/>
  <c r="U1285" i="113"/>
  <c r="U1286" i="113"/>
  <c r="U1287" i="113"/>
  <c r="U1288" i="113"/>
  <c r="U1289" i="113"/>
  <c r="U1290" i="113"/>
  <c r="U1291" i="113"/>
  <c r="U1292" i="113"/>
  <c r="U1293" i="113"/>
  <c r="U1294" i="113"/>
  <c r="U1295" i="113"/>
  <c r="U1296" i="113"/>
  <c r="U1297" i="113"/>
  <c r="U1298" i="113"/>
  <c r="U1299" i="113"/>
  <c r="U1300" i="113"/>
  <c r="U1301" i="113"/>
  <c r="U1302" i="113"/>
  <c r="U1303" i="113"/>
  <c r="U1304" i="113"/>
  <c r="U1305" i="113"/>
  <c r="U1307" i="113"/>
  <c r="U1308" i="113"/>
  <c r="U1309" i="113"/>
  <c r="U1310" i="113"/>
  <c r="U1311" i="113"/>
  <c r="U1312" i="113"/>
  <c r="U1313" i="113"/>
  <c r="U1314" i="113"/>
  <c r="U1315" i="113"/>
  <c r="U1316" i="113"/>
  <c r="U1317" i="113"/>
  <c r="U1318" i="113"/>
  <c r="U1319" i="113"/>
  <c r="U1320" i="113"/>
  <c r="U1321" i="113"/>
  <c r="U1322" i="113"/>
  <c r="U1323" i="113"/>
  <c r="U1324" i="113"/>
  <c r="U1325" i="113"/>
  <c r="U1326" i="113"/>
  <c r="U1327" i="113"/>
  <c r="U1328" i="113"/>
  <c r="U1329" i="113"/>
  <c r="U1330" i="113"/>
  <c r="U1331" i="113"/>
  <c r="U1332" i="113"/>
  <c r="U1333" i="113"/>
  <c r="U1334" i="113"/>
  <c r="U1335" i="113"/>
  <c r="U1336" i="113"/>
  <c r="U1337" i="113"/>
  <c r="U1338" i="113"/>
  <c r="U1339" i="113"/>
  <c r="U1340" i="113"/>
  <c r="U1341" i="113"/>
  <c r="U1342" i="113"/>
  <c r="U1343" i="113"/>
  <c r="U1344" i="113"/>
  <c r="U1345" i="113"/>
  <c r="U1346" i="113"/>
  <c r="U1347" i="113"/>
  <c r="U1348" i="113"/>
  <c r="U1349" i="113"/>
  <c r="U1350" i="113"/>
  <c r="U1351" i="113"/>
  <c r="U1352" i="113"/>
  <c r="U1353" i="113"/>
  <c r="U1354" i="113"/>
  <c r="U1355" i="113"/>
  <c r="U1356" i="113"/>
  <c r="U1357" i="113"/>
  <c r="U1358" i="113"/>
  <c r="U1359" i="113"/>
  <c r="U1360" i="113"/>
  <c r="U1361" i="113"/>
  <c r="U1362" i="113"/>
  <c r="U1363" i="113"/>
  <c r="U1364" i="113"/>
  <c r="U1365" i="113"/>
  <c r="U1366" i="113"/>
  <c r="U1367" i="113"/>
  <c r="U1368" i="113"/>
  <c r="U1369" i="113"/>
  <c r="U1370" i="113"/>
  <c r="U1371" i="113"/>
  <c r="U1372" i="113"/>
  <c r="U1373" i="113"/>
  <c r="U1374" i="113"/>
  <c r="U1375" i="113"/>
  <c r="U1376" i="113"/>
  <c r="U1377" i="113"/>
  <c r="U1379" i="113"/>
  <c r="U1380" i="113"/>
  <c r="U1381" i="113"/>
  <c r="U1382" i="113"/>
  <c r="U1383" i="113"/>
  <c r="U1384" i="113"/>
  <c r="U1385" i="113"/>
  <c r="U1386" i="113"/>
  <c r="U1387" i="113"/>
  <c r="U1388" i="113"/>
  <c r="U1389" i="113"/>
  <c r="U1390" i="113"/>
  <c r="U1391" i="113"/>
  <c r="U1392" i="113"/>
  <c r="U1393" i="113"/>
  <c r="U1394" i="113"/>
  <c r="U1395" i="113"/>
  <c r="U1396" i="113"/>
  <c r="U1397" i="113"/>
  <c r="U1398" i="113"/>
  <c r="U1399" i="113"/>
  <c r="U1400" i="113"/>
  <c r="U1401" i="113"/>
  <c r="U1402" i="113"/>
  <c r="U1403" i="113"/>
  <c r="U1404" i="113"/>
  <c r="U1405" i="113"/>
  <c r="U1406" i="113"/>
  <c r="U1407" i="113"/>
  <c r="U1408" i="113"/>
  <c r="U1409" i="113"/>
  <c r="U1410" i="113"/>
  <c r="U1411" i="113"/>
  <c r="U1412" i="113"/>
  <c r="U1413" i="113"/>
  <c r="U1414" i="113"/>
  <c r="U1415" i="113"/>
  <c r="U1416" i="113"/>
  <c r="U1417" i="113"/>
  <c r="U1418" i="113"/>
  <c r="U1419" i="113"/>
  <c r="U1420" i="113"/>
  <c r="U1421" i="113"/>
  <c r="U1422" i="113"/>
  <c r="U1423" i="113"/>
  <c r="U1424" i="113"/>
  <c r="U1425" i="113"/>
  <c r="U1426" i="113"/>
  <c r="U1427" i="113"/>
  <c r="U1428" i="113"/>
  <c r="U1429" i="113"/>
  <c r="U1430" i="113"/>
  <c r="U1431" i="113"/>
  <c r="U1433" i="113"/>
  <c r="U1434" i="113"/>
  <c r="U1435" i="113"/>
  <c r="U1436" i="113"/>
  <c r="U1437" i="113"/>
  <c r="U1438" i="113"/>
  <c r="U1439" i="113"/>
  <c r="U1440" i="113"/>
  <c r="U1441" i="113"/>
  <c r="U1442" i="113"/>
  <c r="U1443" i="113"/>
  <c r="U1444" i="113"/>
  <c r="U1445" i="113"/>
  <c r="U1446" i="113"/>
  <c r="U1447" i="113"/>
  <c r="U1448" i="113"/>
  <c r="U1449" i="113"/>
  <c r="U1450" i="113"/>
  <c r="U1452" i="113"/>
  <c r="U1453" i="113"/>
  <c r="U1454" i="113"/>
  <c r="U1455" i="113"/>
  <c r="U1456" i="113"/>
  <c r="U1457" i="113"/>
  <c r="U1458" i="113"/>
  <c r="U1459" i="113"/>
  <c r="U1460" i="113"/>
  <c r="U1461" i="113"/>
  <c r="U1462" i="113"/>
  <c r="U1463" i="113"/>
  <c r="U1464" i="113"/>
  <c r="U1465" i="113"/>
  <c r="U1466" i="113"/>
  <c r="U1467" i="113"/>
  <c r="U1468" i="113"/>
  <c r="U1469" i="113"/>
  <c r="U1470" i="113"/>
  <c r="U1471" i="113"/>
  <c r="U1472" i="113"/>
  <c r="U1473" i="113"/>
  <c r="U1474" i="113"/>
  <c r="U1475" i="113"/>
  <c r="U1476" i="113"/>
  <c r="U1477" i="113"/>
  <c r="U1478" i="113"/>
  <c r="U1479" i="113"/>
  <c r="U1480" i="113"/>
  <c r="U1481" i="113"/>
  <c r="U1482" i="113"/>
  <c r="U1483" i="113"/>
  <c r="U1484" i="113"/>
  <c r="U1485" i="113"/>
  <c r="U1486" i="113"/>
  <c r="U1487" i="113"/>
  <c r="U1488" i="113"/>
  <c r="U1489" i="113"/>
  <c r="U1490" i="113"/>
  <c r="U1491" i="113"/>
  <c r="U1492" i="113"/>
  <c r="U1493" i="113"/>
  <c r="U1495" i="113"/>
  <c r="U1496" i="113"/>
  <c r="U1497" i="113"/>
  <c r="U1498" i="113"/>
  <c r="U1499" i="113"/>
  <c r="U1500" i="113"/>
  <c r="U1501" i="113"/>
  <c r="U1502" i="113"/>
  <c r="U1503" i="113"/>
  <c r="U1504" i="113"/>
  <c r="U1505" i="113"/>
  <c r="U1506" i="113"/>
  <c r="U1507" i="113"/>
  <c r="U1508" i="113"/>
  <c r="U1509" i="113"/>
  <c r="U1510" i="113"/>
  <c r="U1511" i="113"/>
  <c r="U1512" i="113"/>
  <c r="U1513" i="113"/>
  <c r="U1514" i="113"/>
  <c r="U1515" i="113"/>
  <c r="U1516" i="113"/>
  <c r="U1517" i="113"/>
  <c r="U1518" i="113"/>
  <c r="U1519" i="113"/>
  <c r="U1520" i="113"/>
  <c r="U1521" i="113"/>
  <c r="U1522" i="113"/>
  <c r="U1523" i="113"/>
  <c r="U1524" i="113"/>
  <c r="U1525" i="113"/>
  <c r="U1526" i="113"/>
  <c r="U1527" i="113"/>
  <c r="U1528" i="113"/>
  <c r="U1529" i="113"/>
  <c r="U1530" i="113"/>
  <c r="U1531" i="113"/>
  <c r="U1532" i="113"/>
  <c r="U1533" i="113"/>
  <c r="U1534" i="113"/>
  <c r="U1535" i="113"/>
  <c r="U1536" i="113"/>
  <c r="U1537" i="113"/>
  <c r="U1538" i="113"/>
  <c r="U1539" i="113"/>
  <c r="U1540" i="113"/>
  <c r="U1541" i="113"/>
  <c r="U1542" i="113"/>
  <c r="U1544" i="113"/>
  <c r="U1545" i="113"/>
  <c r="U1546" i="113"/>
  <c r="U1547" i="113"/>
  <c r="U1548" i="113"/>
  <c r="U1549" i="113"/>
  <c r="U1550" i="113"/>
  <c r="U1551" i="113"/>
  <c r="U1552" i="113"/>
  <c r="U1553" i="113"/>
  <c r="U1554" i="113"/>
  <c r="U1555" i="113"/>
  <c r="U1556" i="113"/>
  <c r="U1557" i="113"/>
  <c r="U1558" i="113"/>
  <c r="U1559" i="113"/>
  <c r="U1560" i="113"/>
  <c r="U1561" i="113"/>
  <c r="U1562" i="113"/>
  <c r="U1563" i="113"/>
  <c r="U1564" i="113"/>
  <c r="U1565" i="113"/>
  <c r="U1566" i="113"/>
  <c r="U1567" i="113"/>
  <c r="U1568" i="113"/>
  <c r="U1569" i="113"/>
  <c r="U1570" i="113"/>
  <c r="U1571" i="113"/>
  <c r="U1572" i="113"/>
  <c r="U1573" i="113"/>
  <c r="U1574" i="113"/>
  <c r="U1575" i="113"/>
  <c r="U1576" i="113"/>
  <c r="U1578" i="113"/>
  <c r="U1579" i="113"/>
  <c r="U1580" i="113"/>
  <c r="U1581" i="113"/>
  <c r="U1582" i="113"/>
  <c r="U1583" i="113"/>
  <c r="U1584" i="113"/>
  <c r="U1585" i="113"/>
  <c r="U1586" i="113"/>
  <c r="U1587" i="113"/>
  <c r="U1588" i="113"/>
  <c r="U1589" i="113"/>
  <c r="U1590" i="113"/>
  <c r="U1591" i="113"/>
  <c r="U1592" i="113"/>
  <c r="U1594" i="113"/>
  <c r="U1595" i="113"/>
  <c r="U1596" i="113"/>
  <c r="U1597" i="113"/>
  <c r="U1598" i="113"/>
  <c r="U1599" i="113"/>
  <c r="U1600" i="113"/>
  <c r="U1601" i="113"/>
  <c r="U1602" i="113"/>
  <c r="U1603" i="113"/>
  <c r="U1604" i="113"/>
  <c r="U1605" i="113"/>
  <c r="U1606" i="113"/>
  <c r="U1607" i="113"/>
  <c r="U1608" i="113"/>
  <c r="U1609" i="113"/>
  <c r="U1610" i="113"/>
  <c r="U1611" i="113"/>
  <c r="U1612" i="113"/>
  <c r="U1613" i="113"/>
  <c r="U1614" i="113"/>
  <c r="U1615" i="113"/>
  <c r="U1616" i="113"/>
  <c r="U1617" i="113"/>
  <c r="U1618" i="113"/>
  <c r="U1619" i="113"/>
  <c r="U1620" i="113"/>
  <c r="U1621" i="113"/>
  <c r="U1623" i="113"/>
  <c r="U1624" i="113"/>
  <c r="U1625" i="113"/>
  <c r="U1626" i="113"/>
  <c r="U1627" i="113"/>
  <c r="U1628" i="113"/>
  <c r="U1629" i="113"/>
  <c r="U1630" i="113"/>
  <c r="U1631" i="113"/>
  <c r="U1632" i="113"/>
  <c r="U1633" i="113"/>
  <c r="U1634" i="113"/>
  <c r="U1635" i="113"/>
  <c r="U1636" i="113"/>
  <c r="U1637" i="113"/>
  <c r="U1638" i="113"/>
  <c r="U1639" i="113"/>
  <c r="U1640" i="113"/>
  <c r="U1641" i="113"/>
  <c r="U1642" i="113"/>
  <c r="U1643" i="113"/>
  <c r="U1644" i="113"/>
  <c r="U1646" i="113"/>
  <c r="U1647" i="113"/>
  <c r="U1648" i="113"/>
  <c r="U1649" i="113"/>
  <c r="U1650" i="113"/>
  <c r="U1651" i="113"/>
  <c r="U1652" i="113"/>
  <c r="U1653" i="113"/>
  <c r="U1654" i="113"/>
  <c r="U1655" i="113"/>
  <c r="U1656" i="113"/>
  <c r="U1657" i="113"/>
  <c r="U1658" i="113"/>
  <c r="U1659" i="113"/>
  <c r="U1660" i="113"/>
  <c r="U1661" i="113"/>
  <c r="U1662" i="113"/>
  <c r="U1663" i="113"/>
  <c r="U1664" i="113"/>
  <c r="U1665" i="113"/>
  <c r="U1666" i="113"/>
  <c r="U1667" i="113"/>
  <c r="U1668" i="113"/>
  <c r="U1669" i="113"/>
  <c r="U1670" i="113"/>
  <c r="U1671" i="113"/>
  <c r="U1672" i="113"/>
  <c r="U1673" i="113"/>
  <c r="U1674" i="113"/>
  <c r="U1675" i="113"/>
  <c r="U1676" i="113"/>
  <c r="U1677" i="113"/>
  <c r="U1678" i="113"/>
  <c r="U1679" i="113"/>
  <c r="U1681" i="113"/>
  <c r="U1682" i="113"/>
  <c r="U1683" i="113"/>
  <c r="U1684" i="113"/>
  <c r="U1685" i="113"/>
  <c r="U1686" i="113"/>
  <c r="U1687" i="113"/>
  <c r="U1688" i="113"/>
  <c r="U1689" i="113"/>
  <c r="U1690" i="113"/>
  <c r="U1691" i="113"/>
  <c r="U1692" i="113"/>
  <c r="U1693" i="113"/>
  <c r="U1694" i="113"/>
  <c r="U1695" i="113"/>
  <c r="U1696" i="113"/>
  <c r="U1697" i="113"/>
  <c r="U1698" i="113"/>
  <c r="U1699" i="113"/>
  <c r="U1700" i="113"/>
  <c r="U1701" i="113"/>
  <c r="U1702" i="113"/>
  <c r="U1703" i="113"/>
  <c r="U1704" i="113"/>
  <c r="U1705" i="113"/>
  <c r="U1706" i="113"/>
  <c r="U1707" i="113"/>
  <c r="U1708" i="113"/>
  <c r="U1709" i="113"/>
  <c r="U1710" i="113"/>
  <c r="U1711" i="113"/>
  <c r="U1712" i="113"/>
  <c r="U1713" i="113"/>
  <c r="U1714" i="113"/>
  <c r="U1715" i="113"/>
  <c r="U1716" i="113"/>
  <c r="U1717" i="113"/>
  <c r="U1718" i="113"/>
  <c r="U1720" i="113"/>
  <c r="U1721" i="113"/>
  <c r="U1722" i="113"/>
  <c r="U1723" i="113"/>
  <c r="U1724" i="113"/>
  <c r="U1725" i="113"/>
  <c r="U1726" i="113"/>
  <c r="U1727" i="113"/>
  <c r="U1728" i="113"/>
  <c r="U1729" i="113"/>
  <c r="U1730" i="113"/>
  <c r="U1731" i="113"/>
  <c r="U1732" i="113"/>
  <c r="U1733" i="113"/>
  <c r="U1734" i="113"/>
  <c r="U1735" i="113"/>
  <c r="U1736" i="113"/>
  <c r="U1737" i="113"/>
  <c r="U1738" i="113"/>
  <c r="U1739" i="113"/>
  <c r="U1740" i="113"/>
  <c r="U1741" i="113"/>
  <c r="U1742" i="113"/>
  <c r="U1743" i="113"/>
  <c r="U1744" i="113"/>
  <c r="U1745" i="113"/>
  <c r="U1747" i="113"/>
  <c r="U1748" i="113"/>
  <c r="U1749" i="113"/>
  <c r="U1750" i="113"/>
  <c r="U1751" i="113"/>
  <c r="U1752" i="113"/>
  <c r="U1753" i="113"/>
  <c r="U1754" i="113"/>
  <c r="U1755" i="113"/>
  <c r="U1756" i="113"/>
  <c r="U1757" i="113"/>
  <c r="U1758" i="113"/>
  <c r="U1759" i="113"/>
  <c r="U1760" i="113"/>
  <c r="U1761" i="113"/>
  <c r="U1762" i="113"/>
  <c r="U1763" i="113"/>
  <c r="U1764" i="113"/>
  <c r="U1765" i="113"/>
  <c r="U1766" i="113"/>
  <c r="U1767" i="113"/>
  <c r="U1768" i="113"/>
  <c r="U1769" i="113"/>
  <c r="U1770" i="113"/>
  <c r="U1771" i="113"/>
  <c r="U1772" i="113"/>
  <c r="U1773" i="113"/>
  <c r="U1774" i="113"/>
  <c r="U1775" i="113"/>
  <c r="U1776" i="113"/>
  <c r="U1777" i="113"/>
  <c r="U1779" i="113"/>
  <c r="U1780" i="113"/>
  <c r="U1781" i="113"/>
  <c r="U1782" i="113"/>
  <c r="U1783" i="113"/>
  <c r="U1784" i="113"/>
  <c r="U1785" i="113"/>
  <c r="U1786" i="113"/>
  <c r="U1787" i="113"/>
  <c r="U1789" i="113"/>
  <c r="U1790" i="113"/>
  <c r="U1791" i="113"/>
  <c r="U1792" i="113"/>
  <c r="U1793" i="113"/>
  <c r="U1794" i="113"/>
  <c r="U1795" i="113"/>
  <c r="U1796" i="113"/>
  <c r="U1797" i="113"/>
  <c r="U1798" i="113"/>
  <c r="U1799" i="113"/>
  <c r="U1800" i="113"/>
  <c r="U1801" i="113"/>
  <c r="U1802" i="113"/>
  <c r="U1803" i="113"/>
  <c r="U1804" i="113"/>
  <c r="U1805" i="113"/>
  <c r="U1806" i="113"/>
  <c r="U1807" i="113"/>
  <c r="U1808" i="113"/>
  <c r="U1809" i="113"/>
  <c r="U1810" i="113"/>
  <c r="U1811" i="113"/>
  <c r="U1812" i="113"/>
  <c r="U1814" i="113"/>
  <c r="U1815" i="113"/>
  <c r="U1816" i="113"/>
  <c r="U1817" i="113"/>
  <c r="U1818" i="113"/>
  <c r="U1819" i="113"/>
  <c r="U1820" i="113"/>
  <c r="U1821" i="113"/>
  <c r="U1822" i="113"/>
  <c r="U1823" i="113"/>
  <c r="U1824" i="113"/>
  <c r="U1825" i="113"/>
  <c r="U1826" i="113"/>
  <c r="U1827" i="113"/>
  <c r="U1828" i="113"/>
  <c r="U1829" i="113"/>
  <c r="U1830" i="113"/>
  <c r="U1831" i="113"/>
  <c r="U1832" i="113"/>
  <c r="U1833" i="113"/>
  <c r="U1834" i="113"/>
  <c r="U1835" i="113"/>
  <c r="U1837" i="113"/>
  <c r="U1838" i="113"/>
  <c r="U1839" i="113"/>
  <c r="U1840" i="113"/>
  <c r="U1841" i="113"/>
  <c r="U1842" i="113"/>
  <c r="U1843" i="113"/>
  <c r="U1844" i="113"/>
  <c r="U1845" i="113"/>
  <c r="U1846" i="113"/>
  <c r="U1847" i="113"/>
  <c r="U1848" i="113"/>
  <c r="U1849" i="113"/>
  <c r="U1850" i="113"/>
  <c r="U1851" i="113"/>
  <c r="U1852" i="113"/>
  <c r="U1853" i="113"/>
  <c r="U1854" i="113"/>
  <c r="U1855" i="113"/>
  <c r="U1856" i="113"/>
  <c r="U1857" i="113"/>
  <c r="U1858" i="113"/>
  <c r="U1859" i="113"/>
  <c r="U1860" i="113"/>
  <c r="U1861" i="113"/>
  <c r="U1862" i="113"/>
  <c r="U1863" i="113"/>
  <c r="U1864" i="113"/>
  <c r="U1866" i="113"/>
  <c r="U1867" i="113"/>
  <c r="U1868" i="113"/>
  <c r="U1869" i="113"/>
  <c r="U1870" i="113"/>
  <c r="U1871" i="113"/>
  <c r="U1872" i="113"/>
  <c r="U1873" i="113"/>
  <c r="U1874" i="113"/>
  <c r="U1875" i="113"/>
  <c r="U1876" i="113"/>
  <c r="U1877" i="113"/>
  <c r="U1878" i="113"/>
  <c r="U1879" i="113"/>
  <c r="U1880" i="113"/>
  <c r="U1881" i="113"/>
  <c r="U1882" i="113"/>
  <c r="U1883" i="113"/>
  <c r="U1885" i="113"/>
  <c r="U1886" i="113"/>
  <c r="U1887" i="113"/>
  <c r="U1888" i="113"/>
  <c r="U1889" i="113"/>
  <c r="U1890" i="113"/>
  <c r="U1891" i="113"/>
  <c r="U1892" i="113"/>
  <c r="U1893" i="113"/>
  <c r="U1894" i="113"/>
  <c r="U1895" i="113"/>
  <c r="U1896" i="113"/>
  <c r="U1897" i="113"/>
  <c r="U1898" i="113"/>
  <c r="U1899" i="113"/>
  <c r="U1900" i="113"/>
  <c r="U1901" i="113"/>
  <c r="U1902" i="113"/>
  <c r="U1903" i="113"/>
  <c r="U1904" i="113"/>
  <c r="U1905" i="113"/>
  <c r="U1907" i="113"/>
  <c r="U1908" i="113"/>
  <c r="U1909" i="113"/>
  <c r="U1910" i="113"/>
  <c r="U1911" i="113"/>
  <c r="U1912" i="113"/>
  <c r="U1913" i="113"/>
  <c r="U1914" i="113"/>
  <c r="U1915" i="113"/>
  <c r="U1916" i="113"/>
  <c r="U1917" i="113"/>
  <c r="U1918" i="113"/>
  <c r="U1919" i="113"/>
  <c r="U1920" i="113"/>
  <c r="U1921" i="113"/>
  <c r="U1922" i="113"/>
  <c r="U1923" i="113"/>
  <c r="U1924" i="113"/>
  <c r="U1925" i="113"/>
  <c r="U1926" i="113"/>
  <c r="U1927" i="113"/>
  <c r="U1928" i="113"/>
  <c r="U1929" i="113"/>
  <c r="U1930" i="113"/>
  <c r="U1931" i="113"/>
  <c r="U1932" i="113"/>
  <c r="U1933" i="113"/>
  <c r="U1934" i="113"/>
  <c r="U1935" i="113"/>
  <c r="U1936" i="113"/>
  <c r="U1937" i="113"/>
  <c r="U1938" i="113"/>
  <c r="U1939" i="113"/>
  <c r="U1940" i="113"/>
  <c r="U1941" i="113"/>
  <c r="U1942" i="113"/>
  <c r="U1943" i="113"/>
  <c r="U1944" i="113"/>
  <c r="U1945" i="113"/>
  <c r="U1946" i="113"/>
  <c r="U1947" i="113"/>
  <c r="U1948" i="113"/>
  <c r="U1949" i="113"/>
  <c r="U1951" i="113"/>
  <c r="U1952" i="113"/>
  <c r="U1953" i="113"/>
  <c r="U1954" i="113"/>
  <c r="U1955" i="113"/>
  <c r="U1956" i="113"/>
  <c r="U1957" i="113"/>
  <c r="U1958" i="113"/>
  <c r="U1959" i="113"/>
  <c r="U1960" i="113"/>
  <c r="U1961" i="113"/>
  <c r="U1962" i="113"/>
  <c r="U1963" i="113"/>
  <c r="U1964" i="113"/>
  <c r="U1965" i="113"/>
  <c r="U1966" i="113"/>
  <c r="U1967" i="113"/>
  <c r="U1968" i="113"/>
  <c r="U1969" i="113"/>
  <c r="U1970" i="113"/>
  <c r="U1971" i="113"/>
  <c r="U1972" i="113"/>
  <c r="U1973" i="113"/>
  <c r="U1974" i="113"/>
  <c r="U1976" i="113"/>
  <c r="U1977" i="113"/>
  <c r="U1978" i="113"/>
  <c r="U1979" i="113"/>
  <c r="U1980" i="113"/>
  <c r="U1981" i="113"/>
  <c r="U1982" i="113"/>
  <c r="U1983" i="113"/>
  <c r="U1984" i="113"/>
  <c r="U1985" i="113"/>
  <c r="U1986" i="113"/>
  <c r="U1987" i="113"/>
  <c r="U1988" i="113"/>
  <c r="U1989" i="113"/>
  <c r="U1990" i="113"/>
  <c r="U1991" i="113"/>
  <c r="U1992" i="113"/>
  <c r="U1993" i="113"/>
  <c r="U1994" i="113"/>
  <c r="U1995" i="113"/>
  <c r="U1996" i="113"/>
  <c r="U1997" i="113"/>
  <c r="U1998" i="113"/>
  <c r="U1999" i="113"/>
  <c r="U2000" i="113"/>
  <c r="U2001" i="113"/>
  <c r="U2002" i="113"/>
  <c r="U2004" i="113"/>
  <c r="U2005" i="113"/>
  <c r="U2006" i="113"/>
  <c r="U2007" i="113"/>
  <c r="U2008" i="113"/>
  <c r="U2009" i="113"/>
  <c r="U2010" i="113"/>
  <c r="U2011" i="113"/>
  <c r="U2012" i="113"/>
  <c r="U2013" i="113"/>
  <c r="U2014" i="113"/>
  <c r="U2015" i="113"/>
  <c r="U2016" i="113"/>
  <c r="U2017" i="113"/>
  <c r="U2018" i="113"/>
  <c r="U2019" i="113"/>
  <c r="U2020" i="113"/>
  <c r="U2021" i="113"/>
  <c r="U2022" i="113"/>
  <c r="U2023" i="113"/>
  <c r="U2024" i="113"/>
  <c r="U2025" i="113"/>
  <c r="U2026" i="113"/>
  <c r="U2027" i="113"/>
  <c r="U2028" i="113"/>
  <c r="U2029" i="113"/>
  <c r="U2030" i="113"/>
  <c r="U2031" i="113"/>
  <c r="U2032" i="113"/>
  <c r="U2033" i="113"/>
  <c r="U2034" i="113"/>
  <c r="U2035" i="113"/>
  <c r="U2036" i="113"/>
  <c r="U2037" i="113"/>
  <c r="U2039" i="113"/>
  <c r="U2040" i="113"/>
  <c r="U2041" i="113"/>
  <c r="U2042" i="113"/>
  <c r="U2043" i="113"/>
  <c r="U2044" i="113"/>
  <c r="U2045" i="113"/>
  <c r="U2046" i="113"/>
  <c r="U2047" i="113"/>
  <c r="U2048" i="113"/>
  <c r="U2049" i="113"/>
  <c r="U2050" i="113"/>
  <c r="U2051" i="113"/>
  <c r="U2052" i="113"/>
  <c r="U2053" i="113"/>
  <c r="U2054" i="113"/>
  <c r="U2055" i="113"/>
  <c r="U2056" i="113"/>
  <c r="U2057" i="113"/>
  <c r="U2058" i="113"/>
  <c r="U2059" i="113"/>
  <c r="U2060" i="113"/>
  <c r="U2061" i="113"/>
  <c r="U2062" i="113"/>
  <c r="U2063" i="113"/>
  <c r="U2064" i="113"/>
  <c r="U2065" i="113"/>
  <c r="U2066" i="113"/>
  <c r="U2067" i="113"/>
  <c r="U2068" i="113"/>
  <c r="U2069" i="113"/>
  <c r="U2070" i="113"/>
  <c r="U2071" i="113"/>
  <c r="U2073" i="113"/>
  <c r="U2074" i="113"/>
  <c r="U2075" i="113"/>
  <c r="U2076" i="113"/>
  <c r="U2077" i="113"/>
  <c r="U2078" i="113"/>
  <c r="U2079" i="113"/>
  <c r="U2080" i="113"/>
  <c r="U2081" i="113"/>
  <c r="U2082" i="113"/>
  <c r="U2083" i="113"/>
  <c r="U2084" i="113"/>
  <c r="U2085" i="113"/>
  <c r="U2086" i="113"/>
  <c r="U2087" i="113"/>
  <c r="U2088" i="113"/>
  <c r="U2089" i="113"/>
  <c r="U2090" i="113"/>
  <c r="U2091" i="113"/>
  <c r="U2092" i="113"/>
  <c r="U2093" i="113"/>
  <c r="U2094" i="113"/>
  <c r="U2095" i="113"/>
  <c r="U2096" i="113"/>
  <c r="U2097" i="113"/>
  <c r="U2098" i="113"/>
  <c r="U2099" i="113"/>
  <c r="U2101" i="113"/>
  <c r="U2102" i="113"/>
  <c r="U2103" i="113"/>
  <c r="U2104" i="113"/>
  <c r="U2105" i="113"/>
  <c r="U2106" i="113"/>
  <c r="U2107" i="113"/>
  <c r="U2108" i="113"/>
  <c r="U2109" i="113"/>
  <c r="U2110" i="113"/>
  <c r="U2111" i="113"/>
  <c r="U2112" i="113"/>
  <c r="U2113" i="113"/>
  <c r="U2114" i="113"/>
  <c r="U2115" i="113"/>
  <c r="U2116" i="113"/>
  <c r="U2117" i="113"/>
  <c r="U2118" i="113"/>
  <c r="U2119" i="113"/>
  <c r="U2120" i="113"/>
  <c r="U2121" i="113"/>
  <c r="U2122" i="113"/>
  <c r="U2124" i="113"/>
  <c r="U2125" i="113"/>
  <c r="U2126" i="113"/>
  <c r="U2127" i="113"/>
  <c r="U2128" i="113"/>
  <c r="U2129" i="113"/>
  <c r="U2130" i="113"/>
  <c r="U2131" i="113"/>
  <c r="U2132" i="113"/>
  <c r="U2133" i="113"/>
  <c r="U2134" i="113"/>
  <c r="U2135" i="113"/>
  <c r="U2136" i="113"/>
  <c r="U2137" i="113"/>
  <c r="U2138" i="113"/>
  <c r="U2139" i="113"/>
  <c r="U2140" i="113"/>
  <c r="U2141" i="113"/>
  <c r="U2142" i="113"/>
  <c r="U2143" i="113"/>
  <c r="U2144" i="113"/>
  <c r="U2145" i="113"/>
  <c r="U2146" i="113"/>
  <c r="U2147" i="113"/>
  <c r="U2148" i="113"/>
  <c r="U2149" i="113"/>
  <c r="U2150" i="113"/>
  <c r="U2151" i="113"/>
  <c r="U2152" i="113"/>
  <c r="U2153" i="113"/>
  <c r="U2154" i="113"/>
  <c r="U2155" i="113"/>
  <c r="U2156" i="113"/>
  <c r="U2157" i="113"/>
  <c r="U2158" i="113"/>
  <c r="U2159" i="113"/>
  <c r="U2160" i="113"/>
  <c r="U2162" i="113"/>
  <c r="U2163" i="113"/>
  <c r="U2164" i="113"/>
  <c r="U2165" i="113"/>
  <c r="U2166" i="113"/>
  <c r="U2167" i="113"/>
  <c r="U2168" i="113"/>
  <c r="U2169" i="113"/>
  <c r="U2170" i="113"/>
  <c r="U2171" i="113"/>
  <c r="U2172" i="113"/>
  <c r="U2173" i="113"/>
  <c r="U2174" i="113"/>
  <c r="U2176" i="113"/>
  <c r="U2177" i="113"/>
  <c r="U2178" i="113"/>
  <c r="U2179" i="113"/>
  <c r="U2180" i="113"/>
  <c r="U2181" i="113"/>
  <c r="U2182" i="113"/>
  <c r="U2183" i="113"/>
  <c r="U2184" i="113"/>
  <c r="U2185" i="113"/>
  <c r="U2186" i="113"/>
  <c r="U2187" i="113"/>
  <c r="U2188" i="113"/>
  <c r="U2189" i="113"/>
  <c r="U2190" i="113"/>
  <c r="U2191" i="113"/>
  <c r="U2192" i="113"/>
  <c r="U2193" i="113"/>
  <c r="U2194" i="113"/>
  <c r="U2195" i="113"/>
  <c r="U2196" i="113"/>
  <c r="U2197" i="113"/>
  <c r="U2198" i="113"/>
  <c r="U2199" i="113"/>
  <c r="U2200" i="113"/>
  <c r="U2201" i="113"/>
  <c r="U2202" i="113"/>
  <c r="U2203" i="113"/>
  <c r="U2205" i="113"/>
  <c r="U2206" i="113"/>
  <c r="U2207" i="113"/>
  <c r="U2208" i="113"/>
  <c r="U2209" i="113"/>
  <c r="U2210" i="113"/>
  <c r="U2211" i="113"/>
  <c r="U2212" i="113"/>
  <c r="U2213" i="113"/>
  <c r="U2214" i="113"/>
  <c r="U2215" i="113"/>
  <c r="U2216" i="113"/>
  <c r="U2217" i="113"/>
  <c r="U2218" i="113"/>
  <c r="U2219" i="113"/>
  <c r="U2220" i="113"/>
  <c r="U2221" i="113"/>
  <c r="U2222" i="113"/>
  <c r="U2223" i="113"/>
  <c r="U2224" i="113"/>
  <c r="U2225" i="113"/>
  <c r="U2226" i="113"/>
  <c r="U2227" i="113"/>
  <c r="U2229" i="113"/>
  <c r="U2230" i="113"/>
  <c r="U2231" i="113"/>
  <c r="U2232" i="113"/>
  <c r="U2233" i="113"/>
  <c r="U2234" i="113"/>
  <c r="U2235" i="113"/>
  <c r="U2236" i="113"/>
  <c r="U2237" i="113"/>
  <c r="U2238" i="113"/>
  <c r="U2239" i="113"/>
  <c r="U2240" i="113"/>
  <c r="U2241" i="113"/>
  <c r="U2242" i="113"/>
  <c r="U2243" i="113"/>
  <c r="U2244" i="113"/>
  <c r="U2245" i="113"/>
  <c r="U2246" i="113"/>
  <c r="U2247" i="113"/>
  <c r="U2248" i="113"/>
  <c r="U2249" i="113"/>
  <c r="U2250" i="113"/>
  <c r="U2251" i="113"/>
  <c r="U2253" i="113"/>
  <c r="U2254" i="113"/>
  <c r="U2255" i="113"/>
  <c r="U2256" i="113"/>
  <c r="U2257" i="113"/>
  <c r="U2258" i="113"/>
  <c r="U2259" i="113"/>
  <c r="U2260" i="113"/>
  <c r="U2261" i="113"/>
  <c r="U2262" i="113"/>
  <c r="U2263" i="113"/>
  <c r="U2264" i="113"/>
  <c r="U2265" i="113"/>
  <c r="U2266" i="113"/>
  <c r="U2267" i="113"/>
  <c r="U2268" i="113"/>
  <c r="U2269" i="113"/>
  <c r="U2270" i="113"/>
  <c r="U2271" i="113"/>
  <c r="U2272" i="113"/>
  <c r="U2273" i="113"/>
  <c r="U2274" i="113"/>
  <c r="U2275" i="113"/>
  <c r="U2276" i="113"/>
  <c r="U2277" i="113"/>
  <c r="U2278" i="113"/>
  <c r="U2279" i="113"/>
  <c r="U2280" i="113"/>
  <c r="U2282" i="113"/>
  <c r="U2283" i="113"/>
  <c r="U2284" i="113"/>
  <c r="U2285" i="113"/>
  <c r="U2286" i="113"/>
  <c r="U2287" i="113"/>
  <c r="U2288" i="113"/>
  <c r="U2289" i="113"/>
  <c r="U2290" i="113"/>
  <c r="U2291" i="113"/>
  <c r="U2292" i="113"/>
  <c r="U2293" i="113"/>
  <c r="U2294" i="113"/>
  <c r="U2295" i="113"/>
  <c r="U2296" i="113"/>
  <c r="U2297" i="113"/>
  <c r="U2298" i="113"/>
  <c r="U2299" i="113"/>
  <c r="U2300" i="113"/>
  <c r="U2301" i="113"/>
  <c r="U2302" i="113"/>
  <c r="U2303" i="113"/>
  <c r="U2304" i="113"/>
  <c r="U2306" i="113"/>
  <c r="U2307" i="113"/>
  <c r="U2308" i="113"/>
  <c r="U2309" i="113"/>
  <c r="U2310" i="113"/>
  <c r="U2311" i="113"/>
  <c r="U2312" i="113"/>
  <c r="U2313" i="113"/>
  <c r="U2314" i="113"/>
  <c r="U2315" i="113"/>
  <c r="U2316" i="113"/>
  <c r="U2317" i="113"/>
  <c r="U2319" i="113"/>
  <c r="U2320" i="113"/>
  <c r="U2321" i="113"/>
  <c r="U2322" i="113"/>
  <c r="U2323" i="113"/>
  <c r="U2324" i="113"/>
  <c r="U2325" i="113"/>
  <c r="U2326" i="113"/>
  <c r="U2327" i="113"/>
  <c r="U2328" i="113"/>
  <c r="U2329" i="113"/>
  <c r="U2330" i="113"/>
  <c r="U2331" i="113"/>
  <c r="U2332" i="113"/>
  <c r="U2333" i="113"/>
  <c r="U2334" i="113"/>
  <c r="U2335" i="113"/>
  <c r="U2336" i="113"/>
  <c r="U2337" i="113"/>
  <c r="U2338" i="113"/>
  <c r="U2339" i="113"/>
  <c r="U2340" i="113"/>
  <c r="U2341" i="113"/>
  <c r="U2342" i="113"/>
  <c r="U2343" i="113"/>
  <c r="U2344" i="113"/>
  <c r="U2345" i="113"/>
  <c r="U2346" i="113"/>
  <c r="U2347" i="113"/>
  <c r="U2348" i="113"/>
  <c r="U2349" i="113"/>
  <c r="U2350" i="113"/>
  <c r="U2351" i="113"/>
  <c r="U2353" i="113"/>
  <c r="U2354" i="113"/>
  <c r="U2355" i="113"/>
  <c r="U2356" i="113"/>
  <c r="U2357" i="113"/>
  <c r="U2358" i="113"/>
  <c r="U2359" i="113"/>
  <c r="U2360" i="113"/>
  <c r="U2361" i="113"/>
  <c r="U2362" i="113"/>
  <c r="U2363" i="113"/>
  <c r="U2364" i="113"/>
  <c r="U2365" i="113"/>
  <c r="U2366" i="113"/>
  <c r="U2367" i="113"/>
  <c r="U2368" i="113"/>
  <c r="U2370" i="113"/>
  <c r="U2371" i="113"/>
  <c r="U2372" i="113"/>
  <c r="U2373" i="113"/>
  <c r="U2374" i="113"/>
  <c r="U2375" i="113"/>
  <c r="U2376" i="113"/>
  <c r="U2377" i="113"/>
  <c r="U2378" i="113"/>
  <c r="U2379" i="113"/>
  <c r="U2380" i="113"/>
  <c r="U2381" i="113"/>
  <c r="U2383" i="113"/>
  <c r="U2384" i="113"/>
  <c r="U2385" i="113"/>
  <c r="U2386" i="113"/>
  <c r="U2387" i="113"/>
  <c r="U2388" i="113"/>
  <c r="U2389" i="113"/>
  <c r="U2390" i="113"/>
  <c r="U2391" i="113"/>
  <c r="U2392" i="113"/>
  <c r="U2393" i="113"/>
  <c r="U2394" i="113"/>
  <c r="U2395" i="113"/>
  <c r="U2396" i="113"/>
  <c r="U2397" i="113"/>
  <c r="U2398" i="113"/>
  <c r="U2400" i="113"/>
  <c r="U2401" i="113"/>
  <c r="U2402" i="113"/>
  <c r="U2403" i="113"/>
  <c r="U2404" i="113"/>
  <c r="U2405" i="113"/>
  <c r="U2406" i="113"/>
  <c r="U2407" i="113"/>
  <c r="U2408" i="113"/>
  <c r="U2409" i="113"/>
  <c r="U2410" i="113"/>
  <c r="U2411" i="113"/>
  <c r="U2412" i="113"/>
  <c r="U2413" i="113"/>
  <c r="U2414" i="113"/>
  <c r="U2415" i="113"/>
  <c r="U2416" i="113"/>
  <c r="U2417" i="113"/>
  <c r="U2419" i="113"/>
  <c r="U2420" i="113"/>
  <c r="U2421" i="113"/>
  <c r="U2422" i="113"/>
  <c r="U2423" i="113"/>
  <c r="U2424" i="113"/>
  <c r="U2425" i="113"/>
  <c r="U2426" i="113"/>
  <c r="U2427" i="113"/>
  <c r="U2428" i="113"/>
  <c r="U2429" i="113"/>
  <c r="U2430" i="113"/>
  <c r="U2431" i="113"/>
  <c r="U2432" i="113"/>
  <c r="U2433" i="113"/>
  <c r="U2434" i="113"/>
  <c r="U2435" i="113"/>
  <c r="U2436" i="113"/>
  <c r="U2437" i="113"/>
  <c r="U2438" i="113"/>
  <c r="U2439" i="113"/>
  <c r="U2440" i="113"/>
  <c r="U2441" i="113"/>
  <c r="U2442" i="113"/>
  <c r="U2443" i="113"/>
  <c r="U2444" i="113"/>
  <c r="U2445" i="113"/>
  <c r="U2446" i="113"/>
  <c r="U2447" i="113"/>
  <c r="U2448" i="113"/>
  <c r="U2449" i="113"/>
  <c r="U2450" i="113"/>
  <c r="U2451" i="113"/>
  <c r="U2452" i="113"/>
  <c r="U2454" i="113"/>
  <c r="U2455" i="113"/>
  <c r="U2456" i="113"/>
  <c r="U2457" i="113"/>
  <c r="U2458" i="113"/>
  <c r="U2459" i="113"/>
  <c r="U2460" i="113"/>
  <c r="U2461" i="113"/>
  <c r="U2462" i="113"/>
  <c r="U2463" i="113"/>
  <c r="U2464" i="113"/>
  <c r="U2465" i="113"/>
  <c r="U2466" i="113"/>
  <c r="U2467" i="113"/>
  <c r="U2468" i="113"/>
  <c r="U2469" i="113"/>
  <c r="U2470" i="113"/>
  <c r="U2471" i="113"/>
  <c r="U2472" i="113"/>
  <c r="U2473" i="113"/>
  <c r="U2475" i="113"/>
  <c r="U2476" i="113"/>
  <c r="U2477" i="113"/>
  <c r="U2478" i="113"/>
  <c r="U2479" i="113"/>
  <c r="U2480" i="113"/>
  <c r="U2481" i="113"/>
  <c r="U2482" i="113"/>
  <c r="U2483" i="113"/>
  <c r="U2484" i="113"/>
  <c r="U2485" i="113"/>
  <c r="U2486" i="113"/>
  <c r="U2487" i="113"/>
  <c r="U2488" i="113"/>
  <c r="U2489" i="113"/>
  <c r="U2490" i="113"/>
  <c r="U2491" i="113"/>
  <c r="U2492" i="113"/>
  <c r="U2493" i="113"/>
  <c r="U2494" i="113"/>
  <c r="U2495" i="113"/>
  <c r="U2496" i="113"/>
  <c r="U2497" i="113"/>
  <c r="U2498" i="113"/>
  <c r="U2499" i="113"/>
  <c r="U2500" i="113"/>
  <c r="U2502" i="113"/>
  <c r="U2503" i="113"/>
  <c r="U2504" i="113"/>
  <c r="U2505" i="113"/>
  <c r="U2506" i="113"/>
  <c r="U2507" i="113"/>
  <c r="U2508" i="113"/>
  <c r="U2509" i="113"/>
  <c r="U2510" i="113"/>
  <c r="U2511" i="113"/>
  <c r="U2512" i="113"/>
  <c r="U2513" i="113"/>
  <c r="U2514" i="113"/>
  <c r="U2515" i="113"/>
  <c r="U2516" i="113"/>
  <c r="U2517" i="113"/>
  <c r="U2518" i="113"/>
  <c r="U2519" i="113"/>
  <c r="U2520" i="113"/>
  <c r="U2521" i="113"/>
  <c r="U2522" i="113"/>
  <c r="U2523" i="113"/>
  <c r="U2525" i="113"/>
  <c r="U2526" i="113"/>
  <c r="U2527" i="113"/>
  <c r="U2528" i="113"/>
  <c r="U2529" i="113"/>
  <c r="U2530" i="113"/>
  <c r="U2531" i="113"/>
  <c r="U2532" i="113"/>
  <c r="U2533" i="113"/>
  <c r="U2534" i="113"/>
  <c r="U2535" i="113"/>
  <c r="U2536" i="113"/>
  <c r="U2537" i="113"/>
  <c r="U2538" i="113"/>
  <c r="U2539" i="113"/>
  <c r="U2540" i="113"/>
  <c r="U2541" i="113"/>
  <c r="U2542" i="113"/>
  <c r="U2543" i="113"/>
  <c r="U2544" i="113"/>
  <c r="U2545" i="113"/>
  <c r="U2546" i="113"/>
  <c r="U2547" i="113"/>
  <c r="U2548" i="113"/>
  <c r="U2549" i="113"/>
  <c r="U2550" i="113"/>
  <c r="U2551" i="113"/>
  <c r="U2552" i="113"/>
  <c r="U2553" i="113"/>
  <c r="U2554" i="113"/>
  <c r="U2555" i="113"/>
  <c r="U2557" i="113"/>
  <c r="U2558" i="113"/>
  <c r="U2559" i="113"/>
  <c r="U2560" i="113"/>
  <c r="U2561" i="113"/>
  <c r="U2562" i="113"/>
  <c r="U2563" i="113"/>
  <c r="U2564" i="113"/>
  <c r="U2565" i="113"/>
  <c r="U2566" i="113"/>
  <c r="U2567" i="113"/>
  <c r="U2568" i="113"/>
  <c r="U2569" i="113"/>
  <c r="U2570" i="113"/>
  <c r="U2571" i="113"/>
  <c r="U2572" i="113"/>
  <c r="U2573" i="113"/>
  <c r="U2574" i="113"/>
  <c r="U2575" i="113"/>
  <c r="U2576" i="113"/>
  <c r="U2577" i="113"/>
  <c r="U2578" i="113"/>
  <c r="U2579" i="113"/>
  <c r="U2580" i="113"/>
  <c r="U2581" i="113"/>
  <c r="U2582" i="113"/>
  <c r="U2583" i="113"/>
  <c r="U2584" i="113"/>
  <c r="U2585" i="113"/>
  <c r="U2586" i="113"/>
  <c r="U2587" i="113"/>
  <c r="U2588" i="113"/>
  <c r="U2589" i="113"/>
  <c r="U2590" i="113"/>
  <c r="U2591" i="113"/>
  <c r="U2592" i="113"/>
  <c r="U2593" i="113"/>
  <c r="U2594" i="113"/>
  <c r="U2595" i="113"/>
  <c r="U2596" i="113"/>
  <c r="U2597" i="113"/>
  <c r="U2598" i="113"/>
  <c r="U2599" i="113"/>
  <c r="U2601" i="113"/>
  <c r="U2602" i="113"/>
  <c r="U2603" i="113"/>
  <c r="U2604" i="113"/>
  <c r="U2605" i="113"/>
  <c r="U2606" i="113"/>
  <c r="U2607" i="113"/>
  <c r="U2608" i="113"/>
  <c r="U2609" i="113"/>
  <c r="U2610" i="113"/>
  <c r="U2611" i="113"/>
  <c r="U2612" i="113"/>
  <c r="U2613" i="113"/>
  <c r="U2614" i="113"/>
  <c r="U2615" i="113"/>
  <c r="U2616" i="113"/>
  <c r="U2617" i="113"/>
  <c r="U2618" i="113"/>
  <c r="U2619" i="113"/>
  <c r="U2620" i="113"/>
  <c r="U2621" i="113"/>
  <c r="U2622" i="113"/>
  <c r="U2623" i="113"/>
  <c r="U2624" i="113"/>
  <c r="U2626" i="113"/>
  <c r="U2627" i="113"/>
  <c r="U2628" i="113"/>
  <c r="U2629" i="113"/>
  <c r="U2630" i="113"/>
  <c r="U2631" i="113"/>
  <c r="U2632" i="113"/>
  <c r="U2633" i="113"/>
  <c r="U2634" i="113"/>
  <c r="U2635" i="113"/>
  <c r="U2636" i="113"/>
  <c r="U2637" i="113"/>
  <c r="U2638" i="113"/>
  <c r="U2639" i="113"/>
  <c r="U2640" i="113"/>
  <c r="U2641" i="113"/>
  <c r="U2642" i="113"/>
  <c r="U2643" i="113"/>
  <c r="U2644" i="113"/>
  <c r="U2645" i="113"/>
  <c r="U2646" i="113"/>
  <c r="U2647" i="113"/>
  <c r="U2648" i="113"/>
  <c r="U2649" i="113"/>
  <c r="U2650" i="113"/>
  <c r="U2651" i="113"/>
  <c r="U2652" i="113"/>
  <c r="U2653" i="113"/>
  <c r="U2654" i="113"/>
  <c r="U2655" i="113"/>
  <c r="U2656" i="113"/>
  <c r="U2658" i="113"/>
  <c r="U2659" i="113"/>
  <c r="U2660" i="113"/>
  <c r="U2661" i="113"/>
  <c r="U2662" i="113"/>
  <c r="U2663" i="113"/>
  <c r="U2664" i="113"/>
  <c r="U2665" i="113"/>
  <c r="U2666" i="113"/>
  <c r="U2667" i="113"/>
  <c r="U2668" i="113"/>
  <c r="U2669" i="113"/>
  <c r="U2670" i="113"/>
  <c r="U2671" i="113"/>
  <c r="U2672" i="113"/>
  <c r="U2673" i="113"/>
  <c r="U2674" i="113"/>
  <c r="U2675" i="113"/>
  <c r="U2676" i="113"/>
  <c r="U2677" i="113"/>
  <c r="U2678" i="113"/>
  <c r="V3" i="113"/>
  <c r="V4" i="113"/>
  <c r="V5" i="113"/>
  <c r="V6" i="113"/>
  <c r="V7" i="113"/>
  <c r="V8" i="113"/>
  <c r="V9" i="113"/>
  <c r="V10" i="113"/>
  <c r="V11" i="113"/>
  <c r="V12" i="113"/>
  <c r="V13" i="113"/>
  <c r="V14" i="113"/>
  <c r="V15" i="113"/>
  <c r="V16" i="113"/>
  <c r="V17" i="113"/>
  <c r="V18" i="113"/>
  <c r="V19" i="113"/>
  <c r="V20" i="113"/>
  <c r="V21" i="113"/>
  <c r="V22" i="113"/>
  <c r="V23" i="113"/>
  <c r="V24" i="113"/>
  <c r="V25" i="113"/>
  <c r="V27" i="113"/>
  <c r="V28" i="113"/>
  <c r="V29" i="113"/>
  <c r="V30" i="113"/>
  <c r="V31" i="113"/>
  <c r="V32" i="113"/>
  <c r="V33" i="113"/>
  <c r="V34" i="113"/>
  <c r="V35" i="113"/>
  <c r="V36" i="113"/>
  <c r="V37" i="113"/>
  <c r="V38" i="113"/>
  <c r="V39" i="113"/>
  <c r="V40" i="113"/>
  <c r="V41" i="113"/>
  <c r="V42" i="113"/>
  <c r="V43" i="113"/>
  <c r="V44" i="113"/>
  <c r="V45" i="113"/>
  <c r="V46" i="113"/>
  <c r="V47" i="113"/>
  <c r="V48" i="113"/>
  <c r="V49" i="113"/>
  <c r="V50" i="113"/>
  <c r="V51" i="113"/>
  <c r="V52" i="113"/>
  <c r="V53" i="113"/>
  <c r="V54" i="113"/>
  <c r="V55" i="113"/>
  <c r="V56" i="113"/>
  <c r="V57" i="113"/>
  <c r="V58" i="113"/>
  <c r="V59" i="113"/>
  <c r="V60" i="113"/>
  <c r="V61" i="113"/>
  <c r="V62" i="113"/>
  <c r="V63" i="113"/>
  <c r="V64" i="113"/>
  <c r="V65" i="113"/>
  <c r="V66" i="113"/>
  <c r="V68" i="113"/>
  <c r="V69" i="113"/>
  <c r="V70" i="113"/>
  <c r="V71" i="113"/>
  <c r="V72" i="113"/>
  <c r="V73" i="113"/>
  <c r="V74" i="113"/>
  <c r="V75" i="113"/>
  <c r="V76" i="113"/>
  <c r="V77" i="113"/>
  <c r="V78" i="113"/>
  <c r="V79" i="113"/>
  <c r="V80" i="113"/>
  <c r="V81" i="113"/>
  <c r="V82" i="113"/>
  <c r="V83" i="113"/>
  <c r="V84" i="113"/>
  <c r="V85" i="113"/>
  <c r="V86" i="113"/>
  <c r="V87" i="113"/>
  <c r="V88" i="113"/>
  <c r="V89" i="113"/>
  <c r="V90" i="113"/>
  <c r="V91" i="113"/>
  <c r="V92" i="113"/>
  <c r="V93" i="113"/>
  <c r="V95" i="113"/>
  <c r="V96" i="113"/>
  <c r="V97" i="113"/>
  <c r="V98" i="113"/>
  <c r="V99" i="113"/>
  <c r="V100" i="113"/>
  <c r="V101" i="113"/>
  <c r="V102" i="113"/>
  <c r="V103" i="113"/>
  <c r="V104" i="113"/>
  <c r="V105" i="113"/>
  <c r="V106" i="113"/>
  <c r="V107" i="113"/>
  <c r="V108" i="113"/>
  <c r="V109" i="113"/>
  <c r="V110" i="113"/>
  <c r="V111" i="113"/>
  <c r="V112" i="113"/>
  <c r="V113" i="113"/>
  <c r="V114" i="113"/>
  <c r="V115" i="113"/>
  <c r="V116" i="113"/>
  <c r="V117" i="113"/>
  <c r="V118" i="113"/>
  <c r="V119" i="113"/>
  <c r="V120" i="113"/>
  <c r="V121" i="113"/>
  <c r="V122" i="113"/>
  <c r="V123" i="113"/>
  <c r="V124" i="113"/>
  <c r="V126" i="113"/>
  <c r="V127" i="113"/>
  <c r="V128" i="113"/>
  <c r="V129" i="113"/>
  <c r="V130" i="113"/>
  <c r="V131" i="113"/>
  <c r="V132" i="113"/>
  <c r="V133" i="113"/>
  <c r="V134" i="113"/>
  <c r="V135" i="113"/>
  <c r="V136" i="113"/>
  <c r="V137" i="113"/>
  <c r="V138" i="113"/>
  <c r="V139" i="113"/>
  <c r="V140" i="113"/>
  <c r="V142" i="113"/>
  <c r="V143" i="113"/>
  <c r="V144" i="113"/>
  <c r="V145" i="113"/>
  <c r="V146" i="113"/>
  <c r="V147" i="113"/>
  <c r="V148" i="113"/>
  <c r="V149" i="113"/>
  <c r="V150" i="113"/>
  <c r="V151" i="113"/>
  <c r="V152" i="113"/>
  <c r="V153" i="113"/>
  <c r="V154" i="113"/>
  <c r="V155" i="113"/>
  <c r="V156" i="113"/>
  <c r="V157" i="113"/>
  <c r="V158" i="113"/>
  <c r="V159" i="113"/>
  <c r="V160" i="113"/>
  <c r="V161" i="113"/>
  <c r="V162" i="113"/>
  <c r="V163" i="113"/>
  <c r="V164" i="113"/>
  <c r="V165" i="113"/>
  <c r="V166" i="113"/>
  <c r="V168" i="113"/>
  <c r="V169" i="113"/>
  <c r="V170" i="113"/>
  <c r="V171" i="113"/>
  <c r="V172" i="113"/>
  <c r="V173" i="113"/>
  <c r="V174" i="113"/>
  <c r="V175" i="113"/>
  <c r="V176" i="113"/>
  <c r="V177" i="113"/>
  <c r="V178" i="113"/>
  <c r="V179" i="113"/>
  <c r="V181" i="113"/>
  <c r="V182" i="113"/>
  <c r="V183" i="113"/>
  <c r="V184" i="113"/>
  <c r="V185" i="113"/>
  <c r="V186" i="113"/>
  <c r="V187" i="113"/>
  <c r="V188" i="113"/>
  <c r="V189" i="113"/>
  <c r="V190" i="113"/>
  <c r="V191" i="113"/>
  <c r="V192" i="113"/>
  <c r="V193" i="113"/>
  <c r="V194" i="113"/>
  <c r="V195" i="113"/>
  <c r="V196" i="113"/>
  <c r="V197" i="113"/>
  <c r="V198" i="113"/>
  <c r="V199" i="113"/>
  <c r="V200" i="113"/>
  <c r="V201" i="113"/>
  <c r="V202" i="113"/>
  <c r="V203" i="113"/>
  <c r="V204" i="113"/>
  <c r="V205" i="113"/>
  <c r="V206" i="113"/>
  <c r="V207" i="113"/>
  <c r="V208" i="113"/>
  <c r="V209" i="113"/>
  <c r="V210" i="113"/>
  <c r="V212" i="113"/>
  <c r="V213" i="113"/>
  <c r="V214" i="113"/>
  <c r="V215" i="113"/>
  <c r="V216" i="113"/>
  <c r="V217" i="113"/>
  <c r="V218" i="113"/>
  <c r="V219" i="113"/>
  <c r="V220" i="113"/>
  <c r="V221" i="113"/>
  <c r="V222" i="113"/>
  <c r="V223" i="113"/>
  <c r="V224" i="113"/>
  <c r="V225" i="113"/>
  <c r="V226" i="113"/>
  <c r="V227" i="113"/>
  <c r="V228" i="113"/>
  <c r="V229" i="113"/>
  <c r="V230" i="113"/>
  <c r="V231" i="113"/>
  <c r="V232" i="113"/>
  <c r="V233" i="113"/>
  <c r="V234" i="113"/>
  <c r="V235" i="113"/>
  <c r="V236" i="113"/>
  <c r="V237" i="113"/>
  <c r="V238" i="113"/>
  <c r="V239" i="113"/>
  <c r="V240" i="113"/>
  <c r="V241" i="113"/>
  <c r="V242" i="113"/>
  <c r="V244" i="113"/>
  <c r="V245" i="113"/>
  <c r="V246" i="113"/>
  <c r="V247" i="113"/>
  <c r="V248" i="113"/>
  <c r="V249" i="113"/>
  <c r="V250" i="113"/>
  <c r="V251" i="113"/>
  <c r="V252" i="113"/>
  <c r="V253" i="113"/>
  <c r="V254" i="113"/>
  <c r="V255" i="113"/>
  <c r="V256" i="113"/>
  <c r="V257" i="113"/>
  <c r="V258" i="113"/>
  <c r="V259" i="113"/>
  <c r="V260" i="113"/>
  <c r="V261" i="113"/>
  <c r="V262" i="113"/>
  <c r="V263" i="113"/>
  <c r="V264" i="113"/>
  <c r="V265" i="113"/>
  <c r="V266" i="113"/>
  <c r="V267" i="113"/>
  <c r="V268" i="113"/>
  <c r="V269" i="113"/>
  <c r="V270" i="113"/>
  <c r="V271" i="113"/>
  <c r="V272" i="113"/>
  <c r="V273" i="113"/>
  <c r="V274" i="113"/>
  <c r="V275" i="113"/>
  <c r="V276" i="113"/>
  <c r="V277" i="113"/>
  <c r="V279" i="113"/>
  <c r="V280" i="113"/>
  <c r="V281" i="113"/>
  <c r="V282" i="113"/>
  <c r="V283" i="113"/>
  <c r="V284" i="113"/>
  <c r="V285" i="113"/>
  <c r="V286" i="113"/>
  <c r="V287" i="113"/>
  <c r="V288" i="113"/>
  <c r="V289" i="113"/>
  <c r="V290" i="113"/>
  <c r="V291" i="113"/>
  <c r="V292" i="113"/>
  <c r="V293" i="113"/>
  <c r="V294" i="113"/>
  <c r="V295" i="113"/>
  <c r="V296" i="113"/>
  <c r="V297" i="113"/>
  <c r="V298" i="113"/>
  <c r="V299" i="113"/>
  <c r="V300" i="113"/>
  <c r="V301" i="113"/>
  <c r="V302" i="113"/>
  <c r="V303" i="113"/>
  <c r="V304" i="113"/>
  <c r="V305" i="113"/>
  <c r="V307" i="113"/>
  <c r="V308" i="113"/>
  <c r="V309" i="113"/>
  <c r="V310" i="113"/>
  <c r="V311" i="113"/>
  <c r="V312" i="113"/>
  <c r="V313" i="113"/>
  <c r="V314" i="113"/>
  <c r="V315" i="113"/>
  <c r="V316" i="113"/>
  <c r="V317" i="113"/>
  <c r="V318" i="113"/>
  <c r="V319" i="113"/>
  <c r="V320" i="113"/>
  <c r="V321" i="113"/>
  <c r="V322" i="113"/>
  <c r="V323" i="113"/>
  <c r="V324" i="113"/>
  <c r="V325" i="113"/>
  <c r="V326" i="113"/>
  <c r="V327" i="113"/>
  <c r="V328" i="113"/>
  <c r="V329" i="113"/>
  <c r="V330" i="113"/>
  <c r="V331" i="113"/>
  <c r="V332" i="113"/>
  <c r="V333" i="113"/>
  <c r="V334" i="113"/>
  <c r="V335" i="113"/>
  <c r="V336" i="113"/>
  <c r="V337" i="113"/>
  <c r="V339" i="113"/>
  <c r="V340" i="113"/>
  <c r="V341" i="113"/>
  <c r="V342" i="113"/>
  <c r="V343" i="113"/>
  <c r="V344" i="113"/>
  <c r="V345" i="113"/>
  <c r="V346" i="113"/>
  <c r="V347" i="113"/>
  <c r="V348" i="113"/>
  <c r="V349" i="113"/>
  <c r="V350" i="113"/>
  <c r="V351" i="113"/>
  <c r="V352" i="113"/>
  <c r="V353" i="113"/>
  <c r="V354" i="113"/>
  <c r="V355" i="113"/>
  <c r="V356" i="113"/>
  <c r="V357" i="113"/>
  <c r="V358" i="113"/>
  <c r="V359" i="113"/>
  <c r="V360" i="113"/>
  <c r="V362" i="113"/>
  <c r="V363" i="113"/>
  <c r="V364" i="113"/>
  <c r="V365" i="113"/>
  <c r="V366" i="113"/>
  <c r="V367" i="113"/>
  <c r="V368" i="113"/>
  <c r="V369" i="113"/>
  <c r="V370" i="113"/>
  <c r="V371" i="113"/>
  <c r="V372" i="113"/>
  <c r="V373" i="113"/>
  <c r="V374" i="113"/>
  <c r="V375" i="113"/>
  <c r="V376" i="113"/>
  <c r="V377" i="113"/>
  <c r="V378" i="113"/>
  <c r="V379" i="113"/>
  <c r="V380" i="113"/>
  <c r="V381" i="113"/>
  <c r="V382" i="113"/>
  <c r="V383" i="113"/>
  <c r="V384" i="113"/>
  <c r="V385" i="113"/>
  <c r="V386" i="113"/>
  <c r="V387" i="113"/>
  <c r="V388" i="113"/>
  <c r="V390" i="113"/>
  <c r="V391" i="113"/>
  <c r="V392" i="113"/>
  <c r="V393" i="113"/>
  <c r="V394" i="113"/>
  <c r="V395" i="113"/>
  <c r="V396" i="113"/>
  <c r="V397" i="113"/>
  <c r="V398" i="113"/>
  <c r="V399" i="113"/>
  <c r="V400" i="113"/>
  <c r="V401" i="113"/>
  <c r="V402" i="113"/>
  <c r="V403" i="113"/>
  <c r="V404" i="113"/>
  <c r="V405" i="113"/>
  <c r="V406" i="113"/>
  <c r="V407" i="113"/>
  <c r="V408" i="113"/>
  <c r="V409" i="113"/>
  <c r="V410" i="113"/>
  <c r="V411" i="113"/>
  <c r="V412" i="113"/>
  <c r="V413" i="113"/>
  <c r="V414" i="113"/>
  <c r="V415" i="113"/>
  <c r="V416" i="113"/>
  <c r="V417" i="113"/>
  <c r="V418" i="113"/>
  <c r="V420" i="113"/>
  <c r="V421" i="113"/>
  <c r="V422" i="113"/>
  <c r="V423" i="113"/>
  <c r="V424" i="113"/>
  <c r="V425" i="113"/>
  <c r="V426" i="113"/>
  <c r="V427" i="113"/>
  <c r="V428" i="113"/>
  <c r="V429" i="113"/>
  <c r="V430" i="113"/>
  <c r="V431" i="113"/>
  <c r="V432" i="113"/>
  <c r="V433" i="113"/>
  <c r="V434" i="113"/>
  <c r="V435" i="113"/>
  <c r="V436" i="113"/>
  <c r="V437" i="113"/>
  <c r="V438" i="113"/>
  <c r="V439" i="113"/>
  <c r="V440" i="113"/>
  <c r="V442" i="113"/>
  <c r="V443" i="113"/>
  <c r="V444" i="113"/>
  <c r="V445" i="113"/>
  <c r="V446" i="113"/>
  <c r="V447" i="113"/>
  <c r="V448" i="113"/>
  <c r="V449" i="113"/>
  <c r="V450" i="113"/>
  <c r="V451" i="113"/>
  <c r="V452" i="113"/>
  <c r="V453" i="113"/>
  <c r="V454" i="113"/>
  <c r="V455" i="113"/>
  <c r="V456" i="113"/>
  <c r="V457" i="113"/>
  <c r="V458" i="113"/>
  <c r="V459" i="113"/>
  <c r="V460" i="113"/>
  <c r="V461" i="113"/>
  <c r="V462" i="113"/>
  <c r="V463" i="113"/>
  <c r="V464" i="113"/>
  <c r="V465" i="113"/>
  <c r="V466" i="113"/>
  <c r="V467" i="113"/>
  <c r="V468" i="113"/>
  <c r="V469" i="113"/>
  <c r="V470" i="113"/>
  <c r="V471" i="113"/>
  <c r="V472" i="113"/>
  <c r="V473" i="113"/>
  <c r="V474" i="113"/>
  <c r="V475" i="113"/>
  <c r="V476" i="113"/>
  <c r="V478" i="113"/>
  <c r="V479" i="113"/>
  <c r="V480" i="113"/>
  <c r="V481" i="113"/>
  <c r="V482" i="113"/>
  <c r="V483" i="113"/>
  <c r="V484" i="113"/>
  <c r="V485" i="113"/>
  <c r="V486" i="113"/>
  <c r="V487" i="113"/>
  <c r="V488" i="113"/>
  <c r="V489" i="113"/>
  <c r="V490" i="113"/>
  <c r="V491" i="113"/>
  <c r="V492" i="113"/>
  <c r="V493" i="113"/>
  <c r="V494" i="113"/>
  <c r="V495" i="113"/>
  <c r="V496" i="113"/>
  <c r="V497" i="113"/>
  <c r="V498" i="113"/>
  <c r="V499" i="113"/>
  <c r="V500" i="113"/>
  <c r="V501" i="113"/>
  <c r="V502" i="113"/>
  <c r="V503" i="113"/>
  <c r="V504" i="113"/>
  <c r="V505" i="113"/>
  <c r="V506" i="113"/>
  <c r="V507" i="113"/>
  <c r="V508" i="113"/>
  <c r="V509" i="113"/>
  <c r="V510" i="113"/>
  <c r="V512" i="113"/>
  <c r="V513" i="113"/>
  <c r="V514" i="113"/>
  <c r="V515" i="113"/>
  <c r="V516" i="113"/>
  <c r="V517" i="113"/>
  <c r="V518" i="113"/>
  <c r="V519" i="113"/>
  <c r="V520" i="113"/>
  <c r="V521" i="113"/>
  <c r="V522" i="113"/>
  <c r="V523" i="113"/>
  <c r="V524" i="113"/>
  <c r="V525" i="113"/>
  <c r="V526" i="113"/>
  <c r="V527" i="113"/>
  <c r="V528" i="113"/>
  <c r="V529" i="113"/>
  <c r="V530" i="113"/>
  <c r="V531" i="113"/>
  <c r="V532" i="113"/>
  <c r="V533" i="113"/>
  <c r="V534" i="113"/>
  <c r="V535" i="113"/>
  <c r="V536" i="113"/>
  <c r="V537" i="113"/>
  <c r="V538" i="113"/>
  <c r="V539" i="113"/>
  <c r="V540" i="113"/>
  <c r="V542" i="113"/>
  <c r="V543" i="113"/>
  <c r="V544" i="113"/>
  <c r="V545" i="113"/>
  <c r="V546" i="113"/>
  <c r="V547" i="113"/>
  <c r="V548" i="113"/>
  <c r="V549" i="113"/>
  <c r="V550" i="113"/>
  <c r="V551" i="113"/>
  <c r="V552" i="113"/>
  <c r="V553" i="113"/>
  <c r="V554" i="113"/>
  <c r="V555" i="113"/>
  <c r="V556" i="113"/>
  <c r="V557" i="113"/>
  <c r="V558" i="113"/>
  <c r="V559" i="113"/>
  <c r="V560" i="113"/>
  <c r="V561" i="113"/>
  <c r="V562" i="113"/>
  <c r="V563" i="113"/>
  <c r="V564" i="113"/>
  <c r="V565" i="113"/>
  <c r="V566" i="113"/>
  <c r="V567" i="113"/>
  <c r="V568" i="113"/>
  <c r="V569" i="113"/>
  <c r="V570" i="113"/>
  <c r="V571" i="113"/>
  <c r="V572" i="113"/>
  <c r="V573" i="113"/>
  <c r="V574" i="113"/>
  <c r="V575" i="113"/>
  <c r="V576" i="113"/>
  <c r="V577" i="113"/>
  <c r="V578" i="113"/>
  <c r="V579" i="113"/>
  <c r="V580" i="113"/>
  <c r="V581" i="113"/>
  <c r="V583" i="113"/>
  <c r="V584" i="113"/>
  <c r="V585" i="113"/>
  <c r="V586" i="113"/>
  <c r="V587" i="113"/>
  <c r="V588" i="113"/>
  <c r="V589" i="113"/>
  <c r="V590" i="113"/>
  <c r="V591" i="113"/>
  <c r="V592" i="113"/>
  <c r="V593" i="113"/>
  <c r="V594" i="113"/>
  <c r="V595" i="113"/>
  <c r="V596" i="113"/>
  <c r="V598" i="113"/>
  <c r="V599" i="113"/>
  <c r="V600" i="113"/>
  <c r="V601" i="113"/>
  <c r="V602" i="113"/>
  <c r="V603" i="113"/>
  <c r="V604" i="113"/>
  <c r="V605" i="113"/>
  <c r="V606" i="113"/>
  <c r="V607" i="113"/>
  <c r="V608" i="113"/>
  <c r="V609" i="113"/>
  <c r="V610" i="113"/>
  <c r="V611" i="113"/>
  <c r="V612" i="113"/>
  <c r="V613" i="113"/>
  <c r="V614" i="113"/>
  <c r="V616" i="113"/>
  <c r="V617" i="113"/>
  <c r="V618" i="113"/>
  <c r="V619" i="113"/>
  <c r="V620" i="113"/>
  <c r="V621" i="113"/>
  <c r="V622" i="113"/>
  <c r="V623" i="113"/>
  <c r="V624" i="113"/>
  <c r="V625" i="113"/>
  <c r="V626" i="113"/>
  <c r="V627" i="113"/>
  <c r="V628" i="113"/>
  <c r="V629" i="113"/>
  <c r="V630" i="113"/>
  <c r="V631" i="113"/>
  <c r="V632" i="113"/>
  <c r="V633" i="113"/>
  <c r="V634" i="113"/>
  <c r="V635" i="113"/>
  <c r="V636" i="113"/>
  <c r="V637" i="113"/>
  <c r="V638" i="113"/>
  <c r="V639" i="113"/>
  <c r="V640" i="113"/>
  <c r="V641" i="113"/>
  <c r="V642" i="113"/>
  <c r="V643" i="113"/>
  <c r="V645" i="113"/>
  <c r="V646" i="113"/>
  <c r="V647" i="113"/>
  <c r="V648" i="113"/>
  <c r="V649" i="113"/>
  <c r="V650" i="113"/>
  <c r="V651" i="113"/>
  <c r="V652" i="113"/>
  <c r="V653" i="113"/>
  <c r="V654" i="113"/>
  <c r="V655" i="113"/>
  <c r="V656" i="113"/>
  <c r="V657" i="113"/>
  <c r="V658" i="113"/>
  <c r="V659" i="113"/>
  <c r="V660" i="113"/>
  <c r="V661" i="113"/>
  <c r="V662" i="113"/>
  <c r="V663" i="113"/>
  <c r="V664" i="113"/>
  <c r="V665" i="113"/>
  <c r="V666" i="113"/>
  <c r="V667" i="113"/>
  <c r="V668" i="113"/>
  <c r="V669" i="113"/>
  <c r="V670" i="113"/>
  <c r="V672" i="113"/>
  <c r="V673" i="113"/>
  <c r="V674" i="113"/>
  <c r="V675" i="113"/>
  <c r="V676" i="113"/>
  <c r="V677" i="113"/>
  <c r="V678" i="113"/>
  <c r="V679" i="113"/>
  <c r="V680" i="113"/>
  <c r="V681" i="113"/>
  <c r="V682" i="113"/>
  <c r="V683" i="113"/>
  <c r="V684" i="113"/>
  <c r="V685" i="113"/>
  <c r="V686" i="113"/>
  <c r="V687" i="113"/>
  <c r="V688" i="113"/>
  <c r="V689" i="113"/>
  <c r="V690" i="113"/>
  <c r="V691" i="113"/>
  <c r="V692" i="113"/>
  <c r="V693" i="113"/>
  <c r="V694" i="113"/>
  <c r="V695" i="113"/>
  <c r="V696" i="113"/>
  <c r="V698" i="113"/>
  <c r="V699" i="113"/>
  <c r="V700" i="113"/>
  <c r="V701" i="113"/>
  <c r="V702" i="113"/>
  <c r="V703" i="113"/>
  <c r="V704" i="113"/>
  <c r="V705" i="113"/>
  <c r="V706" i="113"/>
  <c r="V707" i="113"/>
  <c r="V708" i="113"/>
  <c r="V709" i="113"/>
  <c r="V710" i="113"/>
  <c r="V711" i="113"/>
  <c r="V712" i="113"/>
  <c r="V713" i="113"/>
  <c r="V714" i="113"/>
  <c r="V715" i="113"/>
  <c r="V716" i="113"/>
  <c r="V717" i="113"/>
  <c r="V718" i="113"/>
  <c r="V719" i="113"/>
  <c r="V720" i="113"/>
  <c r="V721" i="113"/>
  <c r="V722" i="113"/>
  <c r="V723" i="113"/>
  <c r="V724" i="113"/>
  <c r="V725" i="113"/>
  <c r="V726" i="113"/>
  <c r="V727" i="113"/>
  <c r="V728" i="113"/>
  <c r="V730" i="113"/>
  <c r="V731" i="113"/>
  <c r="V732" i="113"/>
  <c r="V733" i="113"/>
  <c r="V734" i="113"/>
  <c r="V735" i="113"/>
  <c r="V736" i="113"/>
  <c r="V737" i="113"/>
  <c r="V738" i="113"/>
  <c r="V739" i="113"/>
  <c r="V740" i="113"/>
  <c r="V741" i="113"/>
  <c r="V742" i="113"/>
  <c r="V743" i="113"/>
  <c r="V744" i="113"/>
  <c r="V745" i="113"/>
  <c r="V746" i="113"/>
  <c r="V747" i="113"/>
  <c r="V748" i="113"/>
  <c r="V749" i="113"/>
  <c r="V750" i="113"/>
  <c r="V751" i="113"/>
  <c r="V752" i="113"/>
  <c r="V753" i="113"/>
  <c r="V754" i="113"/>
  <c r="V755" i="113"/>
  <c r="V756" i="113"/>
  <c r="V757" i="113"/>
  <c r="V758" i="113"/>
  <c r="V759" i="113"/>
  <c r="V760" i="113"/>
  <c r="V761" i="113"/>
  <c r="V762" i="113"/>
  <c r="V763" i="113"/>
  <c r="V764" i="113"/>
  <c r="V765" i="113"/>
  <c r="V766" i="113"/>
  <c r="V767" i="113"/>
  <c r="V768" i="113"/>
  <c r="V769" i="113"/>
  <c r="V771" i="113"/>
  <c r="V772" i="113"/>
  <c r="V773" i="113"/>
  <c r="V774" i="113"/>
  <c r="V775" i="113"/>
  <c r="V776" i="113"/>
  <c r="V777" i="113"/>
  <c r="V778" i="113"/>
  <c r="V779" i="113"/>
  <c r="V780" i="113"/>
  <c r="V781" i="113"/>
  <c r="V782" i="113"/>
  <c r="V783" i="113"/>
  <c r="V784" i="113"/>
  <c r="V785" i="113"/>
  <c r="V786" i="113"/>
  <c r="V787" i="113"/>
  <c r="V788" i="113"/>
  <c r="V789" i="113"/>
  <c r="V790" i="113"/>
  <c r="V791" i="113"/>
  <c r="V792" i="113"/>
  <c r="V793" i="113"/>
  <c r="V794" i="113"/>
  <c r="V795" i="113"/>
  <c r="V796" i="113"/>
  <c r="V797" i="113"/>
  <c r="V798" i="113"/>
  <c r="V799" i="113"/>
  <c r="V800" i="113"/>
  <c r="V801" i="113"/>
  <c r="V802" i="113"/>
  <c r="V803" i="113"/>
  <c r="V804" i="113"/>
  <c r="V805" i="113"/>
  <c r="V807" i="113"/>
  <c r="V808" i="113"/>
  <c r="V809" i="113"/>
  <c r="V810" i="113"/>
  <c r="V811" i="113"/>
  <c r="V812" i="113"/>
  <c r="V813" i="113"/>
  <c r="V814" i="113"/>
  <c r="V815" i="113"/>
  <c r="V816" i="113"/>
  <c r="V817" i="113"/>
  <c r="V818" i="113"/>
  <c r="V819" i="113"/>
  <c r="V820" i="113"/>
  <c r="V821" i="113"/>
  <c r="V822" i="113"/>
  <c r="V823" i="113"/>
  <c r="V824" i="113"/>
  <c r="V825" i="113"/>
  <c r="V826" i="113"/>
  <c r="V827" i="113"/>
  <c r="V828" i="113"/>
  <c r="V829" i="113"/>
  <c r="V830" i="113"/>
  <c r="V831" i="113"/>
  <c r="V832" i="113"/>
  <c r="V833" i="113"/>
  <c r="V834" i="113"/>
  <c r="V835" i="113"/>
  <c r="V836" i="113"/>
  <c r="V837" i="113"/>
  <c r="V839" i="113"/>
  <c r="V840" i="113"/>
  <c r="V841" i="113"/>
  <c r="V842" i="113"/>
  <c r="V843" i="113"/>
  <c r="V844" i="113"/>
  <c r="V845" i="113"/>
  <c r="V846" i="113"/>
  <c r="V847" i="113"/>
  <c r="V848" i="113"/>
  <c r="V849" i="113"/>
  <c r="V850" i="113"/>
  <c r="V851" i="113"/>
  <c r="V852" i="113"/>
  <c r="V853" i="113"/>
  <c r="V854" i="113"/>
  <c r="V855" i="113"/>
  <c r="V856" i="113"/>
  <c r="V857" i="113"/>
  <c r="V858" i="113"/>
  <c r="V859" i="113"/>
  <c r="V860" i="113"/>
  <c r="V861" i="113"/>
  <c r="V862" i="113"/>
  <c r="V863" i="113"/>
  <c r="V865" i="113"/>
  <c r="V866" i="113"/>
  <c r="V867" i="113"/>
  <c r="V868" i="113"/>
  <c r="V869" i="113"/>
  <c r="V870" i="113"/>
  <c r="V871" i="113"/>
  <c r="V872" i="113"/>
  <c r="V873" i="113"/>
  <c r="V874" i="113"/>
  <c r="V875" i="113"/>
  <c r="V876" i="113"/>
  <c r="V877" i="113"/>
  <c r="V878" i="113"/>
  <c r="V879" i="113"/>
  <c r="V880" i="113"/>
  <c r="V881" i="113"/>
  <c r="V882" i="113"/>
  <c r="V883" i="113"/>
  <c r="V884" i="113"/>
  <c r="V885" i="113"/>
  <c r="V886" i="113"/>
  <c r="V887" i="113"/>
  <c r="V888" i="113"/>
  <c r="V889" i="113"/>
  <c r="V890" i="113"/>
  <c r="V891" i="113"/>
  <c r="V892" i="113"/>
  <c r="V893" i="113"/>
  <c r="V894" i="113"/>
  <c r="V895" i="113"/>
  <c r="V896" i="113"/>
  <c r="V897" i="113"/>
  <c r="V898" i="113"/>
  <c r="V899" i="113"/>
  <c r="V900" i="113"/>
  <c r="V902" i="113"/>
  <c r="V903" i="113"/>
  <c r="V904" i="113"/>
  <c r="V905" i="113"/>
  <c r="V906" i="113"/>
  <c r="V907" i="113"/>
  <c r="V908" i="113"/>
  <c r="V909" i="113"/>
  <c r="V910" i="113"/>
  <c r="V911" i="113"/>
  <c r="V912" i="113"/>
  <c r="V913" i="113"/>
  <c r="V914" i="113"/>
  <c r="V915" i="113"/>
  <c r="V916" i="113"/>
  <c r="V917" i="113"/>
  <c r="V918" i="113"/>
  <c r="V919" i="113"/>
  <c r="V920" i="113"/>
  <c r="V921" i="113"/>
  <c r="V922" i="113"/>
  <c r="V923" i="113"/>
  <c r="V924" i="113"/>
  <c r="V925" i="113"/>
  <c r="V926" i="113"/>
  <c r="V927" i="113"/>
  <c r="V928" i="113"/>
  <c r="V929" i="113"/>
  <c r="V930" i="113"/>
  <c r="V931" i="113"/>
  <c r="V932" i="113"/>
  <c r="V933" i="113"/>
  <c r="V934" i="113"/>
  <c r="V935" i="113"/>
  <c r="V936" i="113"/>
  <c r="V937" i="113"/>
  <c r="V938" i="113"/>
  <c r="V939" i="113"/>
  <c r="V940" i="113"/>
  <c r="V941" i="113"/>
  <c r="V942" i="113"/>
  <c r="V943" i="113"/>
  <c r="V945" i="113"/>
  <c r="V946" i="113"/>
  <c r="V947" i="113"/>
  <c r="V948" i="113"/>
  <c r="V949" i="113"/>
  <c r="V950" i="113"/>
  <c r="V951" i="113"/>
  <c r="V952" i="113"/>
  <c r="V953" i="113"/>
  <c r="V954" i="113"/>
  <c r="V955" i="113"/>
  <c r="V956" i="113"/>
  <c r="V957" i="113"/>
  <c r="V958" i="113"/>
  <c r="V959" i="113"/>
  <c r="V960" i="113"/>
  <c r="V961" i="113"/>
  <c r="V962" i="113"/>
  <c r="V963" i="113"/>
  <c r="V964" i="113"/>
  <c r="V965" i="113"/>
  <c r="V966" i="113"/>
  <c r="V967" i="113"/>
  <c r="V968" i="113"/>
  <c r="V969" i="113"/>
  <c r="V970" i="113"/>
  <c r="V971" i="113"/>
  <c r="V972" i="113"/>
  <c r="V973" i="113"/>
  <c r="V974" i="113"/>
  <c r="V975" i="113"/>
  <c r="V976" i="113"/>
  <c r="V977" i="113"/>
  <c r="V978" i="113"/>
  <c r="V979" i="113"/>
  <c r="V980" i="113"/>
  <c r="V981" i="113"/>
  <c r="V982" i="113"/>
  <c r="V983" i="113"/>
  <c r="V984" i="113"/>
  <c r="V985" i="113"/>
  <c r="V986" i="113"/>
  <c r="V987" i="113"/>
  <c r="V989" i="113"/>
  <c r="V990" i="113"/>
  <c r="V991" i="113"/>
  <c r="V992" i="113"/>
  <c r="V993" i="113"/>
  <c r="V994" i="113"/>
  <c r="V995" i="113"/>
  <c r="V996" i="113"/>
  <c r="V997" i="113"/>
  <c r="V998" i="113"/>
  <c r="V999" i="113"/>
  <c r="V1000" i="113"/>
  <c r="V1001" i="113"/>
  <c r="V1002" i="113"/>
  <c r="V1003" i="113"/>
  <c r="V1004" i="113"/>
  <c r="V1005" i="113"/>
  <c r="V1006" i="113"/>
  <c r="V1007" i="113"/>
  <c r="V1008" i="113"/>
  <c r="V1009" i="113"/>
  <c r="V1010" i="113"/>
  <c r="V1011" i="113"/>
  <c r="V1012" i="113"/>
  <c r="V1014" i="113"/>
  <c r="V1015" i="113"/>
  <c r="V1016" i="113"/>
  <c r="V1017" i="113"/>
  <c r="V1018" i="113"/>
  <c r="V1019" i="113"/>
  <c r="V1020" i="113"/>
  <c r="V1021" i="113"/>
  <c r="V1022" i="113"/>
  <c r="V1023" i="113"/>
  <c r="V1024" i="113"/>
  <c r="V1025" i="113"/>
  <c r="V1026" i="113"/>
  <c r="V1027" i="113"/>
  <c r="V1028" i="113"/>
  <c r="V1029" i="113"/>
  <c r="V1030" i="113"/>
  <c r="V1031" i="113"/>
  <c r="V1032" i="113"/>
  <c r="V1033" i="113"/>
  <c r="V1034" i="113"/>
  <c r="V1035" i="113"/>
  <c r="V1036" i="113"/>
  <c r="V1037" i="113"/>
  <c r="V1038" i="113"/>
  <c r="V1039" i="113"/>
  <c r="V1041" i="113"/>
  <c r="V1042" i="113"/>
  <c r="V1043" i="113"/>
  <c r="V1044" i="113"/>
  <c r="V1045" i="113"/>
  <c r="V1046" i="113"/>
  <c r="V1047" i="113"/>
  <c r="V1048" i="113"/>
  <c r="V1049" i="113"/>
  <c r="V1050" i="113"/>
  <c r="V1051" i="113"/>
  <c r="V1052" i="113"/>
  <c r="V1053" i="113"/>
  <c r="V1054" i="113"/>
  <c r="V1055" i="113"/>
  <c r="V1056" i="113"/>
  <c r="V1057" i="113"/>
  <c r="V1058" i="113"/>
  <c r="V1059" i="113"/>
  <c r="V1060" i="113"/>
  <c r="V1061" i="113"/>
  <c r="V1062" i="113"/>
  <c r="V1063" i="113"/>
  <c r="V1064" i="113"/>
  <c r="V1065" i="113"/>
  <c r="V1066" i="113"/>
  <c r="V1067" i="113"/>
  <c r="V1068" i="113"/>
  <c r="V1069" i="113"/>
  <c r="V1070" i="113"/>
  <c r="V1071" i="113"/>
  <c r="V1072" i="113"/>
  <c r="V1073" i="113"/>
  <c r="V1074" i="113"/>
  <c r="V1076" i="113"/>
  <c r="V1077" i="113"/>
  <c r="V1078" i="113"/>
  <c r="V1079" i="113"/>
  <c r="V1080" i="113"/>
  <c r="V1081" i="113"/>
  <c r="V1082" i="113"/>
  <c r="V1083" i="113"/>
  <c r="V1084" i="113"/>
  <c r="V1085" i="113"/>
  <c r="V1086" i="113"/>
  <c r="V1087" i="113"/>
  <c r="V1088" i="113"/>
  <c r="V1089" i="113"/>
  <c r="V1090" i="113"/>
  <c r="V1091" i="113"/>
  <c r="V1092" i="113"/>
  <c r="V1093" i="113"/>
  <c r="V1094" i="113"/>
  <c r="V1095" i="113"/>
  <c r="V1096" i="113"/>
  <c r="V1097" i="113"/>
  <c r="V1098" i="113"/>
  <c r="V1099" i="113"/>
  <c r="V1100" i="113"/>
  <c r="V1101" i="113"/>
  <c r="V1102" i="113"/>
  <c r="V1104" i="113"/>
  <c r="V1105" i="113"/>
  <c r="V1106" i="113"/>
  <c r="V1107" i="113"/>
  <c r="V1108" i="113"/>
  <c r="V1109" i="113"/>
  <c r="V1110" i="113"/>
  <c r="V1111" i="113"/>
  <c r="V1112" i="113"/>
  <c r="V1113" i="113"/>
  <c r="V1114" i="113"/>
  <c r="V1115" i="113"/>
  <c r="V1116" i="113"/>
  <c r="V1117" i="113"/>
  <c r="V1118" i="113"/>
  <c r="V1119" i="113"/>
  <c r="V1120" i="113"/>
  <c r="V1121" i="113"/>
  <c r="V1122" i="113"/>
  <c r="V1123" i="113"/>
  <c r="V1124" i="113"/>
  <c r="V1125" i="113"/>
  <c r="V1126" i="113"/>
  <c r="V1127" i="113"/>
  <c r="V1129" i="113"/>
  <c r="V1130" i="113"/>
  <c r="V1131" i="113"/>
  <c r="V1132" i="113"/>
  <c r="V1133" i="113"/>
  <c r="V1134" i="113"/>
  <c r="V1135" i="113"/>
  <c r="V1136" i="113"/>
  <c r="V1137" i="113"/>
  <c r="V1138" i="113"/>
  <c r="V1139" i="113"/>
  <c r="V1140" i="113"/>
  <c r="V1141" i="113"/>
  <c r="V1142" i="113"/>
  <c r="V1143" i="113"/>
  <c r="V1144" i="113"/>
  <c r="V1145" i="113"/>
  <c r="V1146" i="113"/>
  <c r="V1147" i="113"/>
  <c r="V1148" i="113"/>
  <c r="V1150" i="113"/>
  <c r="V1151" i="113"/>
  <c r="V1152" i="113"/>
  <c r="V1153" i="113"/>
  <c r="V1154" i="113"/>
  <c r="V1155" i="113"/>
  <c r="V1156" i="113"/>
  <c r="V1157" i="113"/>
  <c r="V1158" i="113"/>
  <c r="V1159" i="113"/>
  <c r="V1160" i="113"/>
  <c r="V1161" i="113"/>
  <c r="V1162" i="113"/>
  <c r="V1163" i="113"/>
  <c r="V1164" i="113"/>
  <c r="V1165" i="113"/>
  <c r="V1166" i="113"/>
  <c r="V1168" i="113"/>
  <c r="V1169" i="113"/>
  <c r="V1170" i="113"/>
  <c r="V1171" i="113"/>
  <c r="V1172" i="113"/>
  <c r="V1173" i="113"/>
  <c r="V1174" i="113"/>
  <c r="V1175" i="113"/>
  <c r="V1176" i="113"/>
  <c r="V1177" i="113"/>
  <c r="V1178" i="113"/>
  <c r="V1179" i="113"/>
  <c r="V1180" i="113"/>
  <c r="V1181" i="113"/>
  <c r="V1182" i="113"/>
  <c r="V1183" i="113"/>
  <c r="V1184" i="113"/>
  <c r="V1185" i="113"/>
  <c r="V1186" i="113"/>
  <c r="V1187" i="113"/>
  <c r="V1188" i="113"/>
  <c r="V1189" i="113"/>
  <c r="V1190" i="113"/>
  <c r="V1191" i="113"/>
  <c r="V1192" i="113"/>
  <c r="V1193" i="113"/>
  <c r="V1194" i="113"/>
  <c r="V1195" i="113"/>
  <c r="V1196" i="113"/>
  <c r="V1197" i="113"/>
  <c r="V1198" i="113"/>
  <c r="V1199" i="113"/>
  <c r="V1200" i="113"/>
  <c r="V1201" i="113"/>
  <c r="V1202" i="113"/>
  <c r="V1203" i="113"/>
  <c r="V1205" i="113"/>
  <c r="V1206" i="113"/>
  <c r="V1207" i="113"/>
  <c r="V1208" i="113"/>
  <c r="V1209" i="113"/>
  <c r="V1210" i="113"/>
  <c r="V1211" i="113"/>
  <c r="V1212" i="113"/>
  <c r="V1213" i="113"/>
  <c r="V1214" i="113"/>
  <c r="V1215" i="113"/>
  <c r="V1216" i="113"/>
  <c r="V1217" i="113"/>
  <c r="V1218" i="113"/>
  <c r="V1219" i="113"/>
  <c r="V1220" i="113"/>
  <c r="V1221" i="113"/>
  <c r="V1222" i="113"/>
  <c r="V1223" i="113"/>
  <c r="V1224" i="113"/>
  <c r="V1225" i="113"/>
  <c r="V1226" i="113"/>
  <c r="V1227" i="113"/>
  <c r="V1228" i="113"/>
  <c r="V1229" i="113"/>
  <c r="V1230" i="113"/>
  <c r="V1231" i="113"/>
  <c r="V1232" i="113"/>
  <c r="V1233" i="113"/>
  <c r="V1234" i="113"/>
  <c r="V1235" i="113"/>
  <c r="V1237" i="113"/>
  <c r="V1238" i="113"/>
  <c r="V1239" i="113"/>
  <c r="V1240" i="113"/>
  <c r="V1241" i="113"/>
  <c r="V1242" i="113"/>
  <c r="V1243" i="113"/>
  <c r="V1244" i="113"/>
  <c r="V1245" i="113"/>
  <c r="V1246" i="113"/>
  <c r="V1247" i="113"/>
  <c r="V1248" i="113"/>
  <c r="V1249" i="113"/>
  <c r="V1250" i="113"/>
  <c r="V1251" i="113"/>
  <c r="V1252" i="113"/>
  <c r="V1253" i="113"/>
  <c r="V1254" i="113"/>
  <c r="V1255" i="113"/>
  <c r="V1256" i="113"/>
  <c r="V1257" i="113"/>
  <c r="V1258" i="113"/>
  <c r="V1259" i="113"/>
  <c r="V1260" i="113"/>
  <c r="V1261" i="113"/>
  <c r="V1262" i="113"/>
  <c r="V1263" i="113"/>
  <c r="V1264" i="113"/>
  <c r="V1265" i="113"/>
  <c r="V1266" i="113"/>
  <c r="V1267" i="113"/>
  <c r="V1268" i="113"/>
  <c r="V1269" i="113"/>
  <c r="V1270" i="113"/>
  <c r="V1271" i="113"/>
  <c r="V1272" i="113"/>
  <c r="V1273" i="113"/>
  <c r="V1274" i="113"/>
  <c r="V1275" i="113"/>
  <c r="V1276" i="113"/>
  <c r="V1277" i="113"/>
  <c r="V1278" i="113"/>
  <c r="V1279" i="113"/>
  <c r="V1280" i="113"/>
  <c r="V1281" i="113"/>
  <c r="V1282" i="113"/>
  <c r="V1283" i="113"/>
  <c r="V1285" i="113"/>
  <c r="V1286" i="113"/>
  <c r="V1287" i="113"/>
  <c r="V1288" i="113"/>
  <c r="V1289" i="113"/>
  <c r="V1290" i="113"/>
  <c r="V1291" i="113"/>
  <c r="V1292" i="113"/>
  <c r="V1293" i="113"/>
  <c r="V1294" i="113"/>
  <c r="V1295" i="113"/>
  <c r="V1296" i="113"/>
  <c r="V1297" i="113"/>
  <c r="V1298" i="113"/>
  <c r="V1299" i="113"/>
  <c r="V1300" i="113"/>
  <c r="V1301" i="113"/>
  <c r="V1302" i="113"/>
  <c r="V1303" i="113"/>
  <c r="V1304" i="113"/>
  <c r="V1305" i="113"/>
  <c r="V1307" i="113"/>
  <c r="V1308" i="113"/>
  <c r="V1309" i="113"/>
  <c r="V1310" i="113"/>
  <c r="V1311" i="113"/>
  <c r="V1312" i="113"/>
  <c r="V1313" i="113"/>
  <c r="V1314" i="113"/>
  <c r="V1315" i="113"/>
  <c r="V1316" i="113"/>
  <c r="V1317" i="113"/>
  <c r="V1318" i="113"/>
  <c r="V1319" i="113"/>
  <c r="V1320" i="113"/>
  <c r="V1321" i="113"/>
  <c r="V1322" i="113"/>
  <c r="V1323" i="113"/>
  <c r="V1324" i="113"/>
  <c r="V1325" i="113"/>
  <c r="V1326" i="113"/>
  <c r="V1327" i="113"/>
  <c r="V1328" i="113"/>
  <c r="V1329" i="113"/>
  <c r="V1330" i="113"/>
  <c r="V1331" i="113"/>
  <c r="V1332" i="113"/>
  <c r="V1333" i="113"/>
  <c r="V1334" i="113"/>
  <c r="V1335" i="113"/>
  <c r="V1336" i="113"/>
  <c r="V1337" i="113"/>
  <c r="V1338" i="113"/>
  <c r="V1339" i="113"/>
  <c r="V1340" i="113"/>
  <c r="V1341" i="113"/>
  <c r="V1342" i="113"/>
  <c r="V1343" i="113"/>
  <c r="V1344" i="113"/>
  <c r="V1345" i="113"/>
  <c r="V1346" i="113"/>
  <c r="V1347" i="113"/>
  <c r="V1348" i="113"/>
  <c r="V1349" i="113"/>
  <c r="V1350" i="113"/>
  <c r="V1351" i="113"/>
  <c r="V1352" i="113"/>
  <c r="V1353" i="113"/>
  <c r="V1354" i="113"/>
  <c r="V1355" i="113"/>
  <c r="V1356" i="113"/>
  <c r="V1357" i="113"/>
  <c r="V1358" i="113"/>
  <c r="V1359" i="113"/>
  <c r="V1360" i="113"/>
  <c r="V1361" i="113"/>
  <c r="V1362" i="113"/>
  <c r="V1363" i="113"/>
  <c r="V1364" i="113"/>
  <c r="V1365" i="113"/>
  <c r="V1366" i="113"/>
  <c r="V1367" i="113"/>
  <c r="V1368" i="113"/>
  <c r="V1369" i="113"/>
  <c r="V1370" i="113"/>
  <c r="V1371" i="113"/>
  <c r="V1372" i="113"/>
  <c r="V1373" i="113"/>
  <c r="V1374" i="113"/>
  <c r="V1375" i="113"/>
  <c r="V1376" i="113"/>
  <c r="V1377" i="113"/>
  <c r="V1379" i="113"/>
  <c r="V1380" i="113"/>
  <c r="V1381" i="113"/>
  <c r="V1382" i="113"/>
  <c r="V1383" i="113"/>
  <c r="V1384" i="113"/>
  <c r="V1385" i="113"/>
  <c r="V1386" i="113"/>
  <c r="V1387" i="113"/>
  <c r="V1388" i="113"/>
  <c r="V1389" i="113"/>
  <c r="V1390" i="113"/>
  <c r="V1391" i="113"/>
  <c r="V1392" i="113"/>
  <c r="V1393" i="113"/>
  <c r="V1394" i="113"/>
  <c r="V1395" i="113"/>
  <c r="V1396" i="113"/>
  <c r="V1397" i="113"/>
  <c r="V1398" i="113"/>
  <c r="V1399" i="113"/>
  <c r="V1400" i="113"/>
  <c r="V1401" i="113"/>
  <c r="V1402" i="113"/>
  <c r="V1403" i="113"/>
  <c r="V1404" i="113"/>
  <c r="V1405" i="113"/>
  <c r="V1406" i="113"/>
  <c r="V1407" i="113"/>
  <c r="V1408" i="113"/>
  <c r="V1409" i="113"/>
  <c r="V1410" i="113"/>
  <c r="V1411" i="113"/>
  <c r="V1412" i="113"/>
  <c r="V1413" i="113"/>
  <c r="V1414" i="113"/>
  <c r="V1415" i="113"/>
  <c r="V1416" i="113"/>
  <c r="V1417" i="113"/>
  <c r="V1418" i="113"/>
  <c r="V1419" i="113"/>
  <c r="V1420" i="113"/>
  <c r="V1421" i="113"/>
  <c r="V1422" i="113"/>
  <c r="V1423" i="113"/>
  <c r="V1424" i="113"/>
  <c r="V1425" i="113"/>
  <c r="V1426" i="113"/>
  <c r="V1427" i="113"/>
  <c r="V1428" i="113"/>
  <c r="V1429" i="113"/>
  <c r="V1430" i="113"/>
  <c r="V1431" i="113"/>
  <c r="V1433" i="113"/>
  <c r="V1434" i="113"/>
  <c r="V1435" i="113"/>
  <c r="V1436" i="113"/>
  <c r="V1437" i="113"/>
  <c r="V1438" i="113"/>
  <c r="V1439" i="113"/>
  <c r="V1440" i="113"/>
  <c r="V1441" i="113"/>
  <c r="V1442" i="113"/>
  <c r="V1443" i="113"/>
  <c r="V1444" i="113"/>
  <c r="V1445" i="113"/>
  <c r="V1446" i="113"/>
  <c r="V1447" i="113"/>
  <c r="V1448" i="113"/>
  <c r="V1449" i="113"/>
  <c r="V1450" i="113"/>
  <c r="V1452" i="113"/>
  <c r="V1453" i="113"/>
  <c r="V1454" i="113"/>
  <c r="V1455" i="113"/>
  <c r="V1456" i="113"/>
  <c r="V1457" i="113"/>
  <c r="V1458" i="113"/>
  <c r="V1459" i="113"/>
  <c r="V1460" i="113"/>
  <c r="V1461" i="113"/>
  <c r="V1462" i="113"/>
  <c r="V1463" i="113"/>
  <c r="V1464" i="113"/>
  <c r="V1465" i="113"/>
  <c r="V1466" i="113"/>
  <c r="V1467" i="113"/>
  <c r="V1468" i="113"/>
  <c r="V1469" i="113"/>
  <c r="V1470" i="113"/>
  <c r="V1471" i="113"/>
  <c r="V1472" i="113"/>
  <c r="V1473" i="113"/>
  <c r="V1474" i="113"/>
  <c r="V1475" i="113"/>
  <c r="V1476" i="113"/>
  <c r="V1477" i="113"/>
  <c r="V1478" i="113"/>
  <c r="V1479" i="113"/>
  <c r="V1480" i="113"/>
  <c r="V1481" i="113"/>
  <c r="V1482" i="113"/>
  <c r="V1483" i="113"/>
  <c r="V1484" i="113"/>
  <c r="V1485" i="113"/>
  <c r="V1486" i="113"/>
  <c r="V1487" i="113"/>
  <c r="V1488" i="113"/>
  <c r="V1489" i="113"/>
  <c r="V1490" i="113"/>
  <c r="V1491" i="113"/>
  <c r="V1492" i="113"/>
  <c r="V1493" i="113"/>
  <c r="V1495" i="113"/>
  <c r="V1496" i="113"/>
  <c r="V1497" i="113"/>
  <c r="V1498" i="113"/>
  <c r="V1499" i="113"/>
  <c r="V1500" i="113"/>
  <c r="V1501" i="113"/>
  <c r="V1502" i="113"/>
  <c r="V1503" i="113"/>
  <c r="V1504" i="113"/>
  <c r="V1505" i="113"/>
  <c r="V1506" i="113"/>
  <c r="V1507" i="113"/>
  <c r="V1508" i="113"/>
  <c r="V1509" i="113"/>
  <c r="V1510" i="113"/>
  <c r="V1511" i="113"/>
  <c r="V1512" i="113"/>
  <c r="V1513" i="113"/>
  <c r="V1514" i="113"/>
  <c r="V1515" i="113"/>
  <c r="V1516" i="113"/>
  <c r="V1517" i="113"/>
  <c r="V1518" i="113"/>
  <c r="V1519" i="113"/>
  <c r="V1520" i="113"/>
  <c r="V1521" i="113"/>
  <c r="V1522" i="113"/>
  <c r="V1523" i="113"/>
  <c r="V1524" i="113"/>
  <c r="V1525" i="113"/>
  <c r="V1526" i="113"/>
  <c r="V1527" i="113"/>
  <c r="V1528" i="113"/>
  <c r="V1529" i="113"/>
  <c r="V1530" i="113"/>
  <c r="V1531" i="113"/>
  <c r="V1532" i="113"/>
  <c r="V1533" i="113"/>
  <c r="V1534" i="113"/>
  <c r="V1535" i="113"/>
  <c r="V1536" i="113"/>
  <c r="V1537" i="113"/>
  <c r="V1538" i="113"/>
  <c r="V1539" i="113"/>
  <c r="V1540" i="113"/>
  <c r="V1541" i="113"/>
  <c r="V1542" i="113"/>
  <c r="V1544" i="113"/>
  <c r="V1545" i="113"/>
  <c r="V1546" i="113"/>
  <c r="V1547" i="113"/>
  <c r="V1548" i="113"/>
  <c r="V1549" i="113"/>
  <c r="V1550" i="113"/>
  <c r="V1551" i="113"/>
  <c r="V1552" i="113"/>
  <c r="V1553" i="113"/>
  <c r="V1554" i="113"/>
  <c r="V1555" i="113"/>
  <c r="V1556" i="113"/>
  <c r="V1557" i="113"/>
  <c r="V1558" i="113"/>
  <c r="V1559" i="113"/>
  <c r="V1560" i="113"/>
  <c r="V1561" i="113"/>
  <c r="V1562" i="113"/>
  <c r="V1563" i="113"/>
  <c r="V1564" i="113"/>
  <c r="V1565" i="113"/>
  <c r="V1566" i="113"/>
  <c r="V1567" i="113"/>
  <c r="V1568" i="113"/>
  <c r="V1569" i="113"/>
  <c r="V1570" i="113"/>
  <c r="V1571" i="113"/>
  <c r="V1572" i="113"/>
  <c r="V1573" i="113"/>
  <c r="V1574" i="113"/>
  <c r="V1575" i="113"/>
  <c r="V1576" i="113"/>
  <c r="V1578" i="113"/>
  <c r="V1579" i="113"/>
  <c r="V1580" i="113"/>
  <c r="V1581" i="113"/>
  <c r="V1582" i="113"/>
  <c r="V1583" i="113"/>
  <c r="V1584" i="113"/>
  <c r="V1585" i="113"/>
  <c r="V1586" i="113"/>
  <c r="V1587" i="113"/>
  <c r="V1588" i="113"/>
  <c r="V1589" i="113"/>
  <c r="V1590" i="113"/>
  <c r="V1591" i="113"/>
  <c r="V1592" i="113"/>
  <c r="V1594" i="113"/>
  <c r="V1595" i="113"/>
  <c r="V1596" i="113"/>
  <c r="V1597" i="113"/>
  <c r="V1598" i="113"/>
  <c r="V1599" i="113"/>
  <c r="V1600" i="113"/>
  <c r="V1601" i="113"/>
  <c r="V1602" i="113"/>
  <c r="V1603" i="113"/>
  <c r="V1604" i="113"/>
  <c r="V1605" i="113"/>
  <c r="V1606" i="113"/>
  <c r="V1607" i="113"/>
  <c r="V1608" i="113"/>
  <c r="V1609" i="113"/>
  <c r="V1610" i="113"/>
  <c r="V1611" i="113"/>
  <c r="V1612" i="113"/>
  <c r="V1613" i="113"/>
  <c r="V1614" i="113"/>
  <c r="V1615" i="113"/>
  <c r="V1616" i="113"/>
  <c r="V1617" i="113"/>
  <c r="V1618" i="113"/>
  <c r="V1619" i="113"/>
  <c r="V1620" i="113"/>
  <c r="V1621" i="113"/>
  <c r="V1623" i="113"/>
  <c r="V1624" i="113"/>
  <c r="V1625" i="113"/>
  <c r="V1626" i="113"/>
  <c r="V1627" i="113"/>
  <c r="V1628" i="113"/>
  <c r="V1629" i="113"/>
  <c r="V1630" i="113"/>
  <c r="V1631" i="113"/>
  <c r="V1632" i="113"/>
  <c r="V1633" i="113"/>
  <c r="V1634" i="113"/>
  <c r="V1635" i="113"/>
  <c r="V1636" i="113"/>
  <c r="V1637" i="113"/>
  <c r="V1638" i="113"/>
  <c r="V1639" i="113"/>
  <c r="V1640" i="113"/>
  <c r="V1641" i="113"/>
  <c r="V1642" i="113"/>
  <c r="V1643" i="113"/>
  <c r="V1644" i="113"/>
  <c r="V1646" i="113"/>
  <c r="V1647" i="113"/>
  <c r="V1648" i="113"/>
  <c r="V1649" i="113"/>
  <c r="V1650" i="113"/>
  <c r="V1651" i="113"/>
  <c r="V1652" i="113"/>
  <c r="V1653" i="113"/>
  <c r="V1654" i="113"/>
  <c r="V1655" i="113"/>
  <c r="V1656" i="113"/>
  <c r="V1657" i="113"/>
  <c r="V1658" i="113"/>
  <c r="V1659" i="113"/>
  <c r="V1660" i="113"/>
  <c r="V1661" i="113"/>
  <c r="V1662" i="113"/>
  <c r="V1663" i="113"/>
  <c r="V1664" i="113"/>
  <c r="V1665" i="113"/>
  <c r="V1666" i="113"/>
  <c r="V1667" i="113"/>
  <c r="V1668" i="113"/>
  <c r="V1669" i="113"/>
  <c r="V1670" i="113"/>
  <c r="V1671" i="113"/>
  <c r="V1672" i="113"/>
  <c r="V1673" i="113"/>
  <c r="V1674" i="113"/>
  <c r="V1675" i="113"/>
  <c r="V1676" i="113"/>
  <c r="V1677" i="113"/>
  <c r="V1678" i="113"/>
  <c r="V1679" i="113"/>
  <c r="V1681" i="113"/>
  <c r="V1682" i="113"/>
  <c r="V1683" i="113"/>
  <c r="V1684" i="113"/>
  <c r="V1685" i="113"/>
  <c r="V1686" i="113"/>
  <c r="V1687" i="113"/>
  <c r="V1688" i="113"/>
  <c r="V1689" i="113"/>
  <c r="V1690" i="113"/>
  <c r="V1691" i="113"/>
  <c r="V1692" i="113"/>
  <c r="V1693" i="113"/>
  <c r="V1694" i="113"/>
  <c r="V1695" i="113"/>
  <c r="V1696" i="113"/>
  <c r="V1697" i="113"/>
  <c r="V1698" i="113"/>
  <c r="V1699" i="113"/>
  <c r="V1700" i="113"/>
  <c r="V1701" i="113"/>
  <c r="V1702" i="113"/>
  <c r="V1703" i="113"/>
  <c r="V1704" i="113"/>
  <c r="V1705" i="113"/>
  <c r="V1706" i="113"/>
  <c r="V1707" i="113"/>
  <c r="V1708" i="113"/>
  <c r="V1709" i="113"/>
  <c r="V1710" i="113"/>
  <c r="V1711" i="113"/>
  <c r="V1712" i="113"/>
  <c r="V1713" i="113"/>
  <c r="V1714" i="113"/>
  <c r="V1715" i="113"/>
  <c r="V1716" i="113"/>
  <c r="V1717" i="113"/>
  <c r="V1718" i="113"/>
  <c r="V1720" i="113"/>
  <c r="V1721" i="113"/>
  <c r="V1722" i="113"/>
  <c r="V1723" i="113"/>
  <c r="V1724" i="113"/>
  <c r="V1725" i="113"/>
  <c r="V1726" i="113"/>
  <c r="V1727" i="113"/>
  <c r="V1728" i="113"/>
  <c r="V1729" i="113"/>
  <c r="V1730" i="113"/>
  <c r="V1731" i="113"/>
  <c r="V1732" i="113"/>
  <c r="V1733" i="113"/>
  <c r="V1734" i="113"/>
  <c r="V1735" i="113"/>
  <c r="V1736" i="113"/>
  <c r="V1737" i="113"/>
  <c r="V1738" i="113"/>
  <c r="V1739" i="113"/>
  <c r="V1740" i="113"/>
  <c r="V1741" i="113"/>
  <c r="V1742" i="113"/>
  <c r="V1743" i="113"/>
  <c r="V1744" i="113"/>
  <c r="V1745" i="113"/>
  <c r="V1747" i="113"/>
  <c r="V1748" i="113"/>
  <c r="V1749" i="113"/>
  <c r="V1750" i="113"/>
  <c r="V1751" i="113"/>
  <c r="V1752" i="113"/>
  <c r="V1753" i="113"/>
  <c r="V1754" i="113"/>
  <c r="V1755" i="113"/>
  <c r="V1756" i="113"/>
  <c r="V1757" i="113"/>
  <c r="V1758" i="113"/>
  <c r="V1759" i="113"/>
  <c r="V1760" i="113"/>
  <c r="V1761" i="113"/>
  <c r="V1762" i="113"/>
  <c r="V1763" i="113"/>
  <c r="V1764" i="113"/>
  <c r="V1765" i="113"/>
  <c r="V1766" i="113"/>
  <c r="V1767" i="113"/>
  <c r="V1768" i="113"/>
  <c r="V1769" i="113"/>
  <c r="V1770" i="113"/>
  <c r="V1771" i="113"/>
  <c r="V1772" i="113"/>
  <c r="V1773" i="113"/>
  <c r="V1774" i="113"/>
  <c r="V1775" i="113"/>
  <c r="V1776" i="113"/>
  <c r="V1777" i="113"/>
  <c r="V1779" i="113"/>
  <c r="V1780" i="113"/>
  <c r="V1781" i="113"/>
  <c r="V1782" i="113"/>
  <c r="V1783" i="113"/>
  <c r="V1784" i="113"/>
  <c r="V1785" i="113"/>
  <c r="V1786" i="113"/>
  <c r="V1787" i="113"/>
  <c r="V1789" i="113"/>
  <c r="V1790" i="113"/>
  <c r="V1791" i="113"/>
  <c r="V1792" i="113"/>
  <c r="V1793" i="113"/>
  <c r="V1794" i="113"/>
  <c r="V1795" i="113"/>
  <c r="V1796" i="113"/>
  <c r="V1797" i="113"/>
  <c r="V1798" i="113"/>
  <c r="V1799" i="113"/>
  <c r="V1800" i="113"/>
  <c r="V1801" i="113"/>
  <c r="V1802" i="113"/>
  <c r="V1803" i="113"/>
  <c r="V1804" i="113"/>
  <c r="V1805" i="113"/>
  <c r="V1806" i="113"/>
  <c r="V1807" i="113"/>
  <c r="V1808" i="113"/>
  <c r="V1809" i="113"/>
  <c r="V1810" i="113"/>
  <c r="V1811" i="113"/>
  <c r="V1812" i="113"/>
  <c r="V1814" i="113"/>
  <c r="V1815" i="113"/>
  <c r="V1816" i="113"/>
  <c r="V1817" i="113"/>
  <c r="V1818" i="113"/>
  <c r="V1819" i="113"/>
  <c r="V1820" i="113"/>
  <c r="V1821" i="113"/>
  <c r="V1822" i="113"/>
  <c r="V1823" i="113"/>
  <c r="V1824" i="113"/>
  <c r="V1825" i="113"/>
  <c r="V1826" i="113"/>
  <c r="V1827" i="113"/>
  <c r="V1828" i="113"/>
  <c r="V1829" i="113"/>
  <c r="V1830" i="113"/>
  <c r="V1831" i="113"/>
  <c r="V1832" i="113"/>
  <c r="V1833" i="113"/>
  <c r="V1834" i="113"/>
  <c r="V1835" i="113"/>
  <c r="V1837" i="113"/>
  <c r="V1838" i="113"/>
  <c r="V1839" i="113"/>
  <c r="V1840" i="113"/>
  <c r="V1841" i="113"/>
  <c r="V1842" i="113"/>
  <c r="V1843" i="113"/>
  <c r="V1844" i="113"/>
  <c r="V1845" i="113"/>
  <c r="V1846" i="113"/>
  <c r="V1847" i="113"/>
  <c r="V1848" i="113"/>
  <c r="V1849" i="113"/>
  <c r="V1850" i="113"/>
  <c r="V1851" i="113"/>
  <c r="V1852" i="113"/>
  <c r="V1853" i="113"/>
  <c r="V1854" i="113"/>
  <c r="V1855" i="113"/>
  <c r="V1856" i="113"/>
  <c r="V1857" i="113"/>
  <c r="V1858" i="113"/>
  <c r="V1859" i="113"/>
  <c r="V1860" i="113"/>
  <c r="V1861" i="113"/>
  <c r="V1862" i="113"/>
  <c r="V1863" i="113"/>
  <c r="V1864" i="113"/>
  <c r="V1866" i="113"/>
  <c r="V1867" i="113"/>
  <c r="V1868" i="113"/>
  <c r="V1869" i="113"/>
  <c r="V1870" i="113"/>
  <c r="V1871" i="113"/>
  <c r="V1872" i="113"/>
  <c r="V1873" i="113"/>
  <c r="V1874" i="113"/>
  <c r="V1875" i="113"/>
  <c r="V1876" i="113"/>
  <c r="V1877" i="113"/>
  <c r="V1878" i="113"/>
  <c r="V1879" i="113"/>
  <c r="V1880" i="113"/>
  <c r="V1881" i="113"/>
  <c r="V1882" i="113"/>
  <c r="V1883" i="113"/>
  <c r="V1885" i="113"/>
  <c r="V1886" i="113"/>
  <c r="V1887" i="113"/>
  <c r="V1888" i="113"/>
  <c r="V1889" i="113"/>
  <c r="V1890" i="113"/>
  <c r="V1891" i="113"/>
  <c r="V1892" i="113"/>
  <c r="V1893" i="113"/>
  <c r="V1894" i="113"/>
  <c r="V1895" i="113"/>
  <c r="V1896" i="113"/>
  <c r="V1897" i="113"/>
  <c r="V1898" i="113"/>
  <c r="V1899" i="113"/>
  <c r="V1900" i="113"/>
  <c r="V1901" i="113"/>
  <c r="V1902" i="113"/>
  <c r="V1903" i="113"/>
  <c r="V1904" i="113"/>
  <c r="V1905" i="113"/>
  <c r="V1907" i="113"/>
  <c r="V1908" i="113"/>
  <c r="V1909" i="113"/>
  <c r="V1910" i="113"/>
  <c r="V1911" i="113"/>
  <c r="V1912" i="113"/>
  <c r="V1913" i="113"/>
  <c r="V1914" i="113"/>
  <c r="V1915" i="113"/>
  <c r="V1916" i="113"/>
  <c r="V1917" i="113"/>
  <c r="V1918" i="113"/>
  <c r="V1919" i="113"/>
  <c r="V1920" i="113"/>
  <c r="V1921" i="113"/>
  <c r="V1922" i="113"/>
  <c r="V1923" i="113"/>
  <c r="V1924" i="113"/>
  <c r="V1925" i="113"/>
  <c r="V1926" i="113"/>
  <c r="V1927" i="113"/>
  <c r="V1928" i="113"/>
  <c r="V1929" i="113"/>
  <c r="V1930" i="113"/>
  <c r="V1931" i="113"/>
  <c r="V1932" i="113"/>
  <c r="V1933" i="113"/>
  <c r="V1934" i="113"/>
  <c r="V1935" i="113"/>
  <c r="V1936" i="113"/>
  <c r="V1937" i="113"/>
  <c r="V1938" i="113"/>
  <c r="V1939" i="113"/>
  <c r="V1940" i="113"/>
  <c r="V1941" i="113"/>
  <c r="V1942" i="113"/>
  <c r="V1943" i="113"/>
  <c r="V1944" i="113"/>
  <c r="V1945" i="113"/>
  <c r="V1946" i="113"/>
  <c r="V1947" i="113"/>
  <c r="V1948" i="113"/>
  <c r="V1949" i="113"/>
  <c r="V1951" i="113"/>
  <c r="V1952" i="113"/>
  <c r="V1953" i="113"/>
  <c r="V1954" i="113"/>
  <c r="V1955" i="113"/>
  <c r="V1956" i="113"/>
  <c r="V1957" i="113"/>
  <c r="V1958" i="113"/>
  <c r="V1959" i="113"/>
  <c r="V1960" i="113"/>
  <c r="V1961" i="113"/>
  <c r="V1962" i="113"/>
  <c r="V1963" i="113"/>
  <c r="V1964" i="113"/>
  <c r="V1965" i="113"/>
  <c r="V1966" i="113"/>
  <c r="V1967" i="113"/>
  <c r="V1968" i="113"/>
  <c r="V1969" i="113"/>
  <c r="V1970" i="113"/>
  <c r="V1971" i="113"/>
  <c r="V1972" i="113"/>
  <c r="V1973" i="113"/>
  <c r="V1974" i="113"/>
  <c r="V1976" i="113"/>
  <c r="V1977" i="113"/>
  <c r="V1978" i="113"/>
  <c r="V1979" i="113"/>
  <c r="V1980" i="113"/>
  <c r="V1981" i="113"/>
  <c r="V1982" i="113"/>
  <c r="V1983" i="113"/>
  <c r="V1984" i="113"/>
  <c r="V1985" i="113"/>
  <c r="V1986" i="113"/>
  <c r="V1987" i="113"/>
  <c r="V1988" i="113"/>
  <c r="V1989" i="113"/>
  <c r="V1990" i="113"/>
  <c r="V1991" i="113"/>
  <c r="V1992" i="113"/>
  <c r="V1993" i="113"/>
  <c r="V1994" i="113"/>
  <c r="V1995" i="113"/>
  <c r="V1996" i="113"/>
  <c r="V1997" i="113"/>
  <c r="V1998" i="113"/>
  <c r="V1999" i="113"/>
  <c r="V2000" i="113"/>
  <c r="V2001" i="113"/>
  <c r="V2002" i="113"/>
  <c r="V2004" i="113"/>
  <c r="V2005" i="113"/>
  <c r="V2006" i="113"/>
  <c r="V2007" i="113"/>
  <c r="V2008" i="113"/>
  <c r="V2009" i="113"/>
  <c r="V2010" i="113"/>
  <c r="V2011" i="113"/>
  <c r="V2012" i="113"/>
  <c r="V2013" i="113"/>
  <c r="V2014" i="113"/>
  <c r="V2015" i="113"/>
  <c r="V2016" i="113"/>
  <c r="V2017" i="113"/>
  <c r="V2018" i="113"/>
  <c r="V2019" i="113"/>
  <c r="V2020" i="113"/>
  <c r="V2021" i="113"/>
  <c r="V2022" i="113"/>
  <c r="V2023" i="113"/>
  <c r="V2024" i="113"/>
  <c r="V2025" i="113"/>
  <c r="V2026" i="113"/>
  <c r="V2027" i="113"/>
  <c r="V2028" i="113"/>
  <c r="V2029" i="113"/>
  <c r="V2030" i="113"/>
  <c r="V2031" i="113"/>
  <c r="V2032" i="113"/>
  <c r="V2033" i="113"/>
  <c r="V2034" i="113"/>
  <c r="V2035" i="113"/>
  <c r="V2036" i="113"/>
  <c r="V2037" i="113"/>
  <c r="V2039" i="113"/>
  <c r="V2040" i="113"/>
  <c r="V2041" i="113"/>
  <c r="V2042" i="113"/>
  <c r="V2043" i="113"/>
  <c r="V2044" i="113"/>
  <c r="V2045" i="113"/>
  <c r="V2046" i="113"/>
  <c r="V2047" i="113"/>
  <c r="V2048" i="113"/>
  <c r="V2049" i="113"/>
  <c r="V2050" i="113"/>
  <c r="V2051" i="113"/>
  <c r="V2052" i="113"/>
  <c r="V2053" i="113"/>
  <c r="V2054" i="113"/>
  <c r="V2055" i="113"/>
  <c r="V2056" i="113"/>
  <c r="V2057" i="113"/>
  <c r="V2058" i="113"/>
  <c r="V2059" i="113"/>
  <c r="V2060" i="113"/>
  <c r="V2061" i="113"/>
  <c r="V2062" i="113"/>
  <c r="V2063" i="113"/>
  <c r="V2064" i="113"/>
  <c r="V2065" i="113"/>
  <c r="V2066" i="113"/>
  <c r="V2067" i="113"/>
  <c r="V2068" i="113"/>
  <c r="V2069" i="113"/>
  <c r="V2070" i="113"/>
  <c r="V2071" i="113"/>
  <c r="V2073" i="113"/>
  <c r="V2074" i="113"/>
  <c r="V2075" i="113"/>
  <c r="V2076" i="113"/>
  <c r="V2077" i="113"/>
  <c r="V2078" i="113"/>
  <c r="V2079" i="113"/>
  <c r="V2080" i="113"/>
  <c r="V2081" i="113"/>
  <c r="V2082" i="113"/>
  <c r="V2083" i="113"/>
  <c r="V2084" i="113"/>
  <c r="V2085" i="113"/>
  <c r="V2086" i="113"/>
  <c r="V2087" i="113"/>
  <c r="V2088" i="113"/>
  <c r="V2089" i="113"/>
  <c r="V2090" i="113"/>
  <c r="V2091" i="113"/>
  <c r="V2092" i="113"/>
  <c r="V2093" i="113"/>
  <c r="V2094" i="113"/>
  <c r="V2095" i="113"/>
  <c r="V2096" i="113"/>
  <c r="V2097" i="113"/>
  <c r="V2098" i="113"/>
  <c r="V2099" i="113"/>
  <c r="V2101" i="113"/>
  <c r="V2102" i="113"/>
  <c r="V2103" i="113"/>
  <c r="V2104" i="113"/>
  <c r="V2105" i="113"/>
  <c r="V2106" i="113"/>
  <c r="V2107" i="113"/>
  <c r="V2108" i="113"/>
  <c r="V2109" i="113"/>
  <c r="V2110" i="113"/>
  <c r="V2111" i="113"/>
  <c r="V2112" i="113"/>
  <c r="V2113" i="113"/>
  <c r="V2114" i="113"/>
  <c r="V2115" i="113"/>
  <c r="V2116" i="113"/>
  <c r="V2117" i="113"/>
  <c r="V2118" i="113"/>
  <c r="V2119" i="113"/>
  <c r="V2120" i="113"/>
  <c r="V2121" i="113"/>
  <c r="V2122" i="113"/>
  <c r="V2124" i="113"/>
  <c r="V2125" i="113"/>
  <c r="V2126" i="113"/>
  <c r="V2127" i="113"/>
  <c r="V2128" i="113"/>
  <c r="V2129" i="113"/>
  <c r="V2130" i="113"/>
  <c r="V2131" i="113"/>
  <c r="V2132" i="113"/>
  <c r="V2133" i="113"/>
  <c r="V2134" i="113"/>
  <c r="V2135" i="113"/>
  <c r="V2136" i="113"/>
  <c r="V2137" i="113"/>
  <c r="V2138" i="113"/>
  <c r="V2139" i="113"/>
  <c r="V2140" i="113"/>
  <c r="V2141" i="113"/>
  <c r="V2142" i="113"/>
  <c r="V2143" i="113"/>
  <c r="V2144" i="113"/>
  <c r="V2145" i="113"/>
  <c r="V2146" i="113"/>
  <c r="V2147" i="113"/>
  <c r="V2148" i="113"/>
  <c r="V2149" i="113"/>
  <c r="V2150" i="113"/>
  <c r="V2151" i="113"/>
  <c r="V2152" i="113"/>
  <c r="V2153" i="113"/>
  <c r="V2154" i="113"/>
  <c r="V2155" i="113"/>
  <c r="V2156" i="113"/>
  <c r="V2157" i="113"/>
  <c r="V2158" i="113"/>
  <c r="V2159" i="113"/>
  <c r="V2160" i="113"/>
  <c r="V2162" i="113"/>
  <c r="V2163" i="113"/>
  <c r="V2164" i="113"/>
  <c r="V2165" i="113"/>
  <c r="V2166" i="113"/>
  <c r="V2167" i="113"/>
  <c r="V2168" i="113"/>
  <c r="V2169" i="113"/>
  <c r="V2170" i="113"/>
  <c r="V2171" i="113"/>
  <c r="V2172" i="113"/>
  <c r="V2173" i="113"/>
  <c r="V2174" i="113"/>
  <c r="V2176" i="113"/>
  <c r="V2177" i="113"/>
  <c r="V2178" i="113"/>
  <c r="V2179" i="113"/>
  <c r="V2180" i="113"/>
  <c r="V2181" i="113"/>
  <c r="V2182" i="113"/>
  <c r="V2183" i="113"/>
  <c r="V2184" i="113"/>
  <c r="V2185" i="113"/>
  <c r="V2186" i="113"/>
  <c r="V2187" i="113"/>
  <c r="V2188" i="113"/>
  <c r="V2189" i="113"/>
  <c r="V2190" i="113"/>
  <c r="V2191" i="113"/>
  <c r="V2192" i="113"/>
  <c r="V2193" i="113"/>
  <c r="V2194" i="113"/>
  <c r="V2195" i="113"/>
  <c r="V2196" i="113"/>
  <c r="V2197" i="113"/>
  <c r="V2198" i="113"/>
  <c r="V2199" i="113"/>
  <c r="V2200" i="113"/>
  <c r="V2201" i="113"/>
  <c r="V2202" i="113"/>
  <c r="V2203" i="113"/>
  <c r="V2205" i="113"/>
  <c r="V2206" i="113"/>
  <c r="V2207" i="113"/>
  <c r="V2208" i="113"/>
  <c r="V2209" i="113"/>
  <c r="V2210" i="113"/>
  <c r="V2211" i="113"/>
  <c r="V2212" i="113"/>
  <c r="V2213" i="113"/>
  <c r="V2214" i="113"/>
  <c r="V2215" i="113"/>
  <c r="V2216" i="113"/>
  <c r="V2217" i="113"/>
  <c r="V2218" i="113"/>
  <c r="V2219" i="113"/>
  <c r="V2220" i="113"/>
  <c r="V2221" i="113"/>
  <c r="V2222" i="113"/>
  <c r="V2223" i="113"/>
  <c r="V2224" i="113"/>
  <c r="V2225" i="113"/>
  <c r="V2226" i="113"/>
  <c r="V2227" i="113"/>
  <c r="V2229" i="113"/>
  <c r="V2230" i="113"/>
  <c r="V2231" i="113"/>
  <c r="V2232" i="113"/>
  <c r="V2233" i="113"/>
  <c r="V2234" i="113"/>
  <c r="V2235" i="113"/>
  <c r="V2236" i="113"/>
  <c r="V2237" i="113"/>
  <c r="V2238" i="113"/>
  <c r="V2239" i="113"/>
  <c r="V2240" i="113"/>
  <c r="V2241" i="113"/>
  <c r="V2242" i="113"/>
  <c r="V2243" i="113"/>
  <c r="V2244" i="113"/>
  <c r="V2245" i="113"/>
  <c r="V2246" i="113"/>
  <c r="V2247" i="113"/>
  <c r="V2248" i="113"/>
  <c r="V2249" i="113"/>
  <c r="V2250" i="113"/>
  <c r="V2251" i="113"/>
  <c r="V2253" i="113"/>
  <c r="V2254" i="113"/>
  <c r="V2255" i="113"/>
  <c r="V2256" i="113"/>
  <c r="V2257" i="113"/>
  <c r="V2258" i="113"/>
  <c r="V2259" i="113"/>
  <c r="V2260" i="113"/>
  <c r="V2261" i="113"/>
  <c r="V2262" i="113"/>
  <c r="V2263" i="113"/>
  <c r="V2264" i="113"/>
  <c r="V2265" i="113"/>
  <c r="V2266" i="113"/>
  <c r="V2267" i="113"/>
  <c r="V2268" i="113"/>
  <c r="V2269" i="113"/>
  <c r="V2270" i="113"/>
  <c r="V2271" i="113"/>
  <c r="V2272" i="113"/>
  <c r="V2273" i="113"/>
  <c r="V2274" i="113"/>
  <c r="V2275" i="113"/>
  <c r="V2276" i="113"/>
  <c r="V2277" i="113"/>
  <c r="V2278" i="113"/>
  <c r="V2279" i="113"/>
  <c r="V2280" i="113"/>
  <c r="V2282" i="113"/>
  <c r="V2283" i="113"/>
  <c r="V2284" i="113"/>
  <c r="V2285" i="113"/>
  <c r="V2286" i="113"/>
  <c r="V2287" i="113"/>
  <c r="V2288" i="113"/>
  <c r="V2289" i="113"/>
  <c r="V2290" i="113"/>
  <c r="V2291" i="113"/>
  <c r="V2292" i="113"/>
  <c r="V2293" i="113"/>
  <c r="V2294" i="113"/>
  <c r="V2295" i="113"/>
  <c r="V2296" i="113"/>
  <c r="V2297" i="113"/>
  <c r="V2298" i="113"/>
  <c r="V2299" i="113"/>
  <c r="V2300" i="113"/>
  <c r="V2301" i="113"/>
  <c r="V2302" i="113"/>
  <c r="V2303" i="113"/>
  <c r="V2304" i="113"/>
  <c r="V2306" i="113"/>
  <c r="V2307" i="113"/>
  <c r="V2308" i="113"/>
  <c r="V2309" i="113"/>
  <c r="V2310" i="113"/>
  <c r="V2311" i="113"/>
  <c r="V2312" i="113"/>
  <c r="V2313" i="113"/>
  <c r="V2314" i="113"/>
  <c r="V2315" i="113"/>
  <c r="V2316" i="113"/>
  <c r="V2317" i="113"/>
  <c r="V2319" i="113"/>
  <c r="V2320" i="113"/>
  <c r="V2321" i="113"/>
  <c r="V2322" i="113"/>
  <c r="V2323" i="113"/>
  <c r="V2324" i="113"/>
  <c r="V2325" i="113"/>
  <c r="V2326" i="113"/>
  <c r="V2327" i="113"/>
  <c r="V2328" i="113"/>
  <c r="V2329" i="113"/>
  <c r="V2330" i="113"/>
  <c r="V2331" i="113"/>
  <c r="V2332" i="113"/>
  <c r="V2333" i="113"/>
  <c r="V2334" i="113"/>
  <c r="V2335" i="113"/>
  <c r="V2336" i="113"/>
  <c r="V2337" i="113"/>
  <c r="V2338" i="113"/>
  <c r="V2339" i="113"/>
  <c r="V2340" i="113"/>
  <c r="V2341" i="113"/>
  <c r="V2342" i="113"/>
  <c r="V2343" i="113"/>
  <c r="V2344" i="113"/>
  <c r="V2345" i="113"/>
  <c r="V2346" i="113"/>
  <c r="V2347" i="113"/>
  <c r="V2348" i="113"/>
  <c r="V2349" i="113"/>
  <c r="V2350" i="113"/>
  <c r="V2351" i="113"/>
  <c r="V2353" i="113"/>
  <c r="V2354" i="113"/>
  <c r="V2355" i="113"/>
  <c r="V2356" i="113"/>
  <c r="V2357" i="113"/>
  <c r="V2358" i="113"/>
  <c r="V2359" i="113"/>
  <c r="V2360" i="113"/>
  <c r="V2361" i="113"/>
  <c r="V2362" i="113"/>
  <c r="V2363" i="113"/>
  <c r="V2364" i="113"/>
  <c r="V2365" i="113"/>
  <c r="V2366" i="113"/>
  <c r="V2367" i="113"/>
  <c r="V2368" i="113"/>
  <c r="V2370" i="113"/>
  <c r="V2371" i="113"/>
  <c r="V2372" i="113"/>
  <c r="V2373" i="113"/>
  <c r="V2374" i="113"/>
  <c r="V2375" i="113"/>
  <c r="V2376" i="113"/>
  <c r="V2377" i="113"/>
  <c r="V2378" i="113"/>
  <c r="V2379" i="113"/>
  <c r="V2380" i="113"/>
  <c r="V2381" i="113"/>
  <c r="V2383" i="113"/>
  <c r="V2384" i="113"/>
  <c r="V2385" i="113"/>
  <c r="V2386" i="113"/>
  <c r="V2387" i="113"/>
  <c r="V2388" i="113"/>
  <c r="V2389" i="113"/>
  <c r="V2390" i="113"/>
  <c r="V2391" i="113"/>
  <c r="V2392" i="113"/>
  <c r="V2393" i="113"/>
  <c r="V2394" i="113"/>
  <c r="V2395" i="113"/>
  <c r="V2396" i="113"/>
  <c r="V2397" i="113"/>
  <c r="V2398" i="113"/>
  <c r="V2400" i="113"/>
  <c r="V2401" i="113"/>
  <c r="V2402" i="113"/>
  <c r="V2403" i="113"/>
  <c r="V2404" i="113"/>
  <c r="V2405" i="113"/>
  <c r="V2406" i="113"/>
  <c r="V2407" i="113"/>
  <c r="V2408" i="113"/>
  <c r="V2409" i="113"/>
  <c r="V2410" i="113"/>
  <c r="V2411" i="113"/>
  <c r="V2412" i="113"/>
  <c r="V2413" i="113"/>
  <c r="V2414" i="113"/>
  <c r="V2415" i="113"/>
  <c r="V2416" i="113"/>
  <c r="V2417" i="113"/>
  <c r="V2419" i="113"/>
  <c r="V2420" i="113"/>
  <c r="V2421" i="113"/>
  <c r="V2422" i="113"/>
  <c r="V2423" i="113"/>
  <c r="V2424" i="113"/>
  <c r="V2425" i="113"/>
  <c r="V2426" i="113"/>
  <c r="V2427" i="113"/>
  <c r="V2428" i="113"/>
  <c r="V2429" i="113"/>
  <c r="V2430" i="113"/>
  <c r="V2431" i="113"/>
  <c r="V2432" i="113"/>
  <c r="V2433" i="113"/>
  <c r="V2434" i="113"/>
  <c r="V2435" i="113"/>
  <c r="V2436" i="113"/>
  <c r="V2437" i="113"/>
  <c r="V2438" i="113"/>
  <c r="V2439" i="113"/>
  <c r="V2440" i="113"/>
  <c r="V2441" i="113"/>
  <c r="V2442" i="113"/>
  <c r="V2443" i="113"/>
  <c r="V2444" i="113"/>
  <c r="V2445" i="113"/>
  <c r="V2446" i="113"/>
  <c r="V2447" i="113"/>
  <c r="V2448" i="113"/>
  <c r="V2449" i="113"/>
  <c r="V2450" i="113"/>
  <c r="V2451" i="113"/>
  <c r="V2452" i="113"/>
  <c r="V2454" i="113"/>
  <c r="V2455" i="113"/>
  <c r="V2456" i="113"/>
  <c r="V2457" i="113"/>
  <c r="V2458" i="113"/>
  <c r="V2459" i="113"/>
  <c r="V2460" i="113"/>
  <c r="V2461" i="113"/>
  <c r="V2462" i="113"/>
  <c r="V2463" i="113"/>
  <c r="V2464" i="113"/>
  <c r="V2465" i="113"/>
  <c r="V2466" i="113"/>
  <c r="V2467" i="113"/>
  <c r="V2468" i="113"/>
  <c r="V2469" i="113"/>
  <c r="V2470" i="113"/>
  <c r="V2471" i="113"/>
  <c r="V2472" i="113"/>
  <c r="V2473" i="113"/>
  <c r="V2475" i="113"/>
  <c r="V2476" i="113"/>
  <c r="V2477" i="113"/>
  <c r="V2478" i="113"/>
  <c r="V2479" i="113"/>
  <c r="V2480" i="113"/>
  <c r="V2481" i="113"/>
  <c r="V2482" i="113"/>
  <c r="V2483" i="113"/>
  <c r="V2484" i="113"/>
  <c r="V2485" i="113"/>
  <c r="V2486" i="113"/>
  <c r="V2487" i="113"/>
  <c r="V2488" i="113"/>
  <c r="V2489" i="113"/>
  <c r="V2490" i="113"/>
  <c r="V2491" i="113"/>
  <c r="V2492" i="113"/>
  <c r="V2493" i="113"/>
  <c r="V2494" i="113"/>
  <c r="V2495" i="113"/>
  <c r="V2496" i="113"/>
  <c r="V2497" i="113"/>
  <c r="V2498" i="113"/>
  <c r="V2499" i="113"/>
  <c r="V2500" i="113"/>
  <c r="V2502" i="113"/>
  <c r="V2503" i="113"/>
  <c r="V2504" i="113"/>
  <c r="V2505" i="113"/>
  <c r="V2506" i="113"/>
  <c r="V2507" i="113"/>
  <c r="V2508" i="113"/>
  <c r="V2509" i="113"/>
  <c r="V2510" i="113"/>
  <c r="V2511" i="113"/>
  <c r="V2512" i="113"/>
  <c r="V2513" i="113"/>
  <c r="V2514" i="113"/>
  <c r="V2515" i="113"/>
  <c r="V2516" i="113"/>
  <c r="V2517" i="113"/>
  <c r="V2518" i="113"/>
  <c r="V2519" i="113"/>
  <c r="V2520" i="113"/>
  <c r="V2521" i="113"/>
  <c r="V2522" i="113"/>
  <c r="V2523" i="113"/>
  <c r="V2525" i="113"/>
  <c r="V2526" i="113"/>
  <c r="V2527" i="113"/>
  <c r="V2528" i="113"/>
  <c r="V2529" i="113"/>
  <c r="V2530" i="113"/>
  <c r="V2531" i="113"/>
  <c r="V2532" i="113"/>
  <c r="V2533" i="113"/>
  <c r="V2534" i="113"/>
  <c r="V2535" i="113"/>
  <c r="V2536" i="113"/>
  <c r="V2537" i="113"/>
  <c r="V2538" i="113"/>
  <c r="V2539" i="113"/>
  <c r="V2540" i="113"/>
  <c r="V2541" i="113"/>
  <c r="V2542" i="113"/>
  <c r="V2543" i="113"/>
  <c r="V2544" i="113"/>
  <c r="V2545" i="113"/>
  <c r="V2546" i="113"/>
  <c r="V2547" i="113"/>
  <c r="V2548" i="113"/>
  <c r="V2549" i="113"/>
  <c r="V2550" i="113"/>
  <c r="V2551" i="113"/>
  <c r="V2552" i="113"/>
  <c r="V2553" i="113"/>
  <c r="V2554" i="113"/>
  <c r="V2555" i="113"/>
  <c r="V2557" i="113"/>
  <c r="V2558" i="113"/>
  <c r="V2559" i="113"/>
  <c r="V2560" i="113"/>
  <c r="V2561" i="113"/>
  <c r="V2562" i="113"/>
  <c r="V2563" i="113"/>
  <c r="V2564" i="113"/>
  <c r="V2565" i="113"/>
  <c r="V2566" i="113"/>
  <c r="V2567" i="113"/>
  <c r="V2568" i="113"/>
  <c r="V2569" i="113"/>
  <c r="V2570" i="113"/>
  <c r="V2571" i="113"/>
  <c r="V2572" i="113"/>
  <c r="V2573" i="113"/>
  <c r="V2574" i="113"/>
  <c r="V2575" i="113"/>
  <c r="V2576" i="113"/>
  <c r="V2577" i="113"/>
  <c r="V2578" i="113"/>
  <c r="V2579" i="113"/>
  <c r="V2580" i="113"/>
  <c r="V2581" i="113"/>
  <c r="V2582" i="113"/>
  <c r="V2583" i="113"/>
  <c r="V2584" i="113"/>
  <c r="V2585" i="113"/>
  <c r="V2586" i="113"/>
  <c r="V2587" i="113"/>
  <c r="V2588" i="113"/>
  <c r="V2589" i="113"/>
  <c r="V2590" i="113"/>
  <c r="V2591" i="113"/>
  <c r="V2592" i="113"/>
  <c r="V2593" i="113"/>
  <c r="V2594" i="113"/>
  <c r="V2595" i="113"/>
  <c r="V2596" i="113"/>
  <c r="V2597" i="113"/>
  <c r="V2598" i="113"/>
  <c r="V2599" i="113"/>
  <c r="V2601" i="113"/>
  <c r="V2602" i="113"/>
  <c r="V2603" i="113"/>
  <c r="V2604" i="113"/>
  <c r="V2605" i="113"/>
  <c r="V2606" i="113"/>
  <c r="V2607" i="113"/>
  <c r="V2608" i="113"/>
  <c r="V2609" i="113"/>
  <c r="V2610" i="113"/>
  <c r="V2611" i="113"/>
  <c r="V2612" i="113"/>
  <c r="V2613" i="113"/>
  <c r="V2614" i="113"/>
  <c r="V2615" i="113"/>
  <c r="V2616" i="113"/>
  <c r="V2617" i="113"/>
  <c r="V2618" i="113"/>
  <c r="V2619" i="113"/>
  <c r="V2620" i="113"/>
  <c r="V2621" i="113"/>
  <c r="V2622" i="113"/>
  <c r="V2623" i="113"/>
  <c r="V2624" i="113"/>
  <c r="V2626" i="113"/>
  <c r="V2627" i="113"/>
  <c r="V2628" i="113"/>
  <c r="V2629" i="113"/>
  <c r="V2630" i="113"/>
  <c r="V2631" i="113"/>
  <c r="V2632" i="113"/>
  <c r="V2633" i="113"/>
  <c r="V2634" i="113"/>
  <c r="V2635" i="113"/>
  <c r="V2636" i="113"/>
  <c r="V2637" i="113"/>
  <c r="V2638" i="113"/>
  <c r="V2639" i="113"/>
  <c r="V2640" i="113"/>
  <c r="V2641" i="113"/>
  <c r="V2642" i="113"/>
  <c r="V2643" i="113"/>
  <c r="V2644" i="113"/>
  <c r="V2645" i="113"/>
  <c r="V2646" i="113"/>
  <c r="V2647" i="113"/>
  <c r="V2648" i="113"/>
  <c r="V2649" i="113"/>
  <c r="V2650" i="113"/>
  <c r="V2651" i="113"/>
  <c r="V2652" i="113"/>
  <c r="V2653" i="113"/>
  <c r="V2654" i="113"/>
  <c r="V2655" i="113"/>
  <c r="V2656" i="113"/>
  <c r="V2658" i="113"/>
  <c r="V2659" i="113"/>
  <c r="V2660" i="113"/>
  <c r="V2661" i="113"/>
  <c r="V2662" i="113"/>
  <c r="V2663" i="113"/>
  <c r="V2664" i="113"/>
  <c r="V2665" i="113"/>
  <c r="V2666" i="113"/>
  <c r="V2667" i="113"/>
  <c r="V2668" i="113"/>
  <c r="V2669" i="113"/>
  <c r="V2670" i="113"/>
  <c r="V2671" i="113"/>
  <c r="V2672" i="113"/>
  <c r="V2673" i="113"/>
  <c r="V2674" i="113"/>
  <c r="V2675" i="113"/>
  <c r="V2676" i="113"/>
  <c r="V2677" i="113"/>
  <c r="V2678" i="113"/>
  <c r="J3" i="113" l="1"/>
  <c r="J4" i="113"/>
  <c r="J5" i="113"/>
  <c r="J6" i="113"/>
  <c r="J7" i="113"/>
  <c r="J8" i="113"/>
  <c r="J9" i="113"/>
  <c r="J10" i="113"/>
  <c r="J11" i="113"/>
  <c r="J12" i="113"/>
  <c r="J13" i="113"/>
  <c r="J14" i="113"/>
  <c r="J15" i="113"/>
  <c r="J16" i="113"/>
  <c r="J17" i="113"/>
  <c r="J18" i="113"/>
  <c r="J19" i="113"/>
  <c r="J20" i="113"/>
  <c r="J21" i="113"/>
  <c r="J22" i="113"/>
  <c r="J23" i="113"/>
  <c r="J24" i="113"/>
  <c r="J25" i="113"/>
  <c r="J27" i="113"/>
  <c r="J28" i="113"/>
  <c r="J29" i="113"/>
  <c r="J30" i="113"/>
  <c r="J31" i="113"/>
  <c r="J32" i="113"/>
  <c r="J33" i="113"/>
  <c r="J34" i="113"/>
  <c r="J35" i="113"/>
  <c r="J36" i="113"/>
  <c r="J37" i="113"/>
  <c r="J38" i="113"/>
  <c r="J39" i="113"/>
  <c r="J40" i="113"/>
  <c r="J41" i="113"/>
  <c r="J42" i="113"/>
  <c r="J43" i="113"/>
  <c r="J44" i="113"/>
  <c r="J45" i="113"/>
  <c r="J46" i="113"/>
  <c r="J47" i="113"/>
  <c r="J48" i="113"/>
  <c r="J49" i="113"/>
  <c r="J50" i="113"/>
  <c r="J51" i="113"/>
  <c r="J52" i="113"/>
  <c r="J53" i="113"/>
  <c r="J54" i="113"/>
  <c r="J55" i="113"/>
  <c r="J56" i="113"/>
  <c r="J57" i="113"/>
  <c r="J58" i="113"/>
  <c r="J59" i="113"/>
  <c r="J60" i="113"/>
  <c r="J61" i="113"/>
  <c r="J62" i="113"/>
  <c r="J63" i="113"/>
  <c r="J64" i="113"/>
  <c r="J65" i="113"/>
  <c r="J66" i="113"/>
  <c r="J68" i="113"/>
  <c r="J69" i="113"/>
  <c r="J70" i="113"/>
  <c r="J71" i="113"/>
  <c r="J72" i="113"/>
  <c r="J73" i="113"/>
  <c r="J74" i="113"/>
  <c r="J75" i="113"/>
  <c r="J76" i="113"/>
  <c r="J77" i="113"/>
  <c r="J78" i="113"/>
  <c r="J79" i="113"/>
  <c r="J80" i="113"/>
  <c r="J81" i="113"/>
  <c r="J82" i="113"/>
  <c r="J83" i="113"/>
  <c r="J84" i="113"/>
  <c r="J85" i="113"/>
  <c r="J86" i="113"/>
  <c r="J87" i="113"/>
  <c r="J88" i="113"/>
  <c r="J89" i="113"/>
  <c r="J90" i="113"/>
  <c r="J91" i="113"/>
  <c r="J92" i="113"/>
  <c r="J93" i="113"/>
  <c r="J95" i="113"/>
  <c r="J96" i="113"/>
  <c r="J97" i="113"/>
  <c r="J98" i="113"/>
  <c r="J99" i="113"/>
  <c r="J100" i="113"/>
  <c r="J101" i="113"/>
  <c r="J102" i="113"/>
  <c r="J103" i="113"/>
  <c r="J104" i="113"/>
  <c r="J105" i="113"/>
  <c r="J106" i="113"/>
  <c r="J107" i="113"/>
  <c r="J108" i="113"/>
  <c r="J109" i="113"/>
  <c r="J110" i="113"/>
  <c r="J111" i="113"/>
  <c r="J112" i="113"/>
  <c r="J113" i="113"/>
  <c r="J114" i="113"/>
  <c r="J115" i="113"/>
  <c r="J116" i="113"/>
  <c r="J117" i="113"/>
  <c r="J118" i="113"/>
  <c r="J119" i="113"/>
  <c r="J120" i="113"/>
  <c r="J121" i="113"/>
  <c r="J122" i="113"/>
  <c r="J123" i="113"/>
  <c r="J124" i="113"/>
  <c r="J126" i="113"/>
  <c r="J127" i="113"/>
  <c r="J128" i="113"/>
  <c r="J129" i="113"/>
  <c r="J130" i="113"/>
  <c r="J131" i="113"/>
  <c r="J132" i="113"/>
  <c r="J133" i="113"/>
  <c r="J134" i="113"/>
  <c r="J135" i="113"/>
  <c r="J136" i="113"/>
  <c r="J137" i="113"/>
  <c r="J138" i="113"/>
  <c r="J139" i="113"/>
  <c r="J140" i="113"/>
  <c r="J142" i="113"/>
  <c r="J143" i="113"/>
  <c r="J144" i="113"/>
  <c r="J145" i="113"/>
  <c r="J146" i="113"/>
  <c r="J147" i="113"/>
  <c r="J148" i="113"/>
  <c r="J149" i="113"/>
  <c r="J150" i="113"/>
  <c r="J151" i="113"/>
  <c r="J152" i="113"/>
  <c r="J153" i="113"/>
  <c r="J154" i="113"/>
  <c r="J155" i="113"/>
  <c r="J156" i="113"/>
  <c r="J157" i="113"/>
  <c r="J158" i="113"/>
  <c r="J159" i="113"/>
  <c r="J160" i="113"/>
  <c r="J161" i="113"/>
  <c r="J162" i="113"/>
  <c r="J163" i="113"/>
  <c r="J164" i="113"/>
  <c r="J165" i="113"/>
  <c r="J166" i="113"/>
  <c r="J168" i="113"/>
  <c r="J169" i="113"/>
  <c r="J170" i="113"/>
  <c r="J171" i="113"/>
  <c r="J172" i="113"/>
  <c r="J173" i="113"/>
  <c r="J174" i="113"/>
  <c r="J175" i="113"/>
  <c r="J176" i="113"/>
  <c r="J177" i="113"/>
  <c r="J178" i="113"/>
  <c r="J179" i="113"/>
  <c r="J181" i="113"/>
  <c r="J182" i="113"/>
  <c r="J183" i="113"/>
  <c r="J184" i="113"/>
  <c r="J185" i="113"/>
  <c r="J186" i="113"/>
  <c r="J187" i="113"/>
  <c r="J188" i="113"/>
  <c r="J189" i="113"/>
  <c r="J190" i="113"/>
  <c r="J191" i="113"/>
  <c r="J192" i="113"/>
  <c r="J193" i="113"/>
  <c r="J194" i="113"/>
  <c r="J195" i="113"/>
  <c r="J196" i="113"/>
  <c r="J197" i="113"/>
  <c r="J198" i="113"/>
  <c r="J199" i="113"/>
  <c r="J200" i="113"/>
  <c r="J201" i="113"/>
  <c r="J202" i="113"/>
  <c r="J203" i="113"/>
  <c r="J204" i="113"/>
  <c r="J205" i="113"/>
  <c r="J206" i="113"/>
  <c r="J207" i="113"/>
  <c r="J208" i="113"/>
  <c r="J209" i="113"/>
  <c r="J210" i="113"/>
  <c r="J212" i="113"/>
  <c r="J213" i="113"/>
  <c r="J214" i="113"/>
  <c r="J215" i="113"/>
  <c r="J216" i="113"/>
  <c r="J217" i="113"/>
  <c r="J218" i="113"/>
  <c r="J219" i="113"/>
  <c r="J220" i="113"/>
  <c r="J221" i="113"/>
  <c r="J222" i="113"/>
  <c r="J223" i="113"/>
  <c r="J224" i="113"/>
  <c r="J225" i="113"/>
  <c r="J226" i="113"/>
  <c r="J227" i="113"/>
  <c r="J228" i="113"/>
  <c r="J229" i="113"/>
  <c r="J230" i="113"/>
  <c r="J231" i="113"/>
  <c r="J232" i="113"/>
  <c r="J233" i="113"/>
  <c r="J234" i="113"/>
  <c r="J235" i="113"/>
  <c r="J236" i="113"/>
  <c r="J237" i="113"/>
  <c r="J238" i="113"/>
  <c r="J239" i="113"/>
  <c r="J240" i="113"/>
  <c r="J241" i="113"/>
  <c r="J242" i="113"/>
  <c r="J244" i="113"/>
  <c r="J245" i="113"/>
  <c r="J246" i="113"/>
  <c r="J247" i="113"/>
  <c r="J248" i="113"/>
  <c r="J249" i="113"/>
  <c r="J250" i="113"/>
  <c r="J251" i="113"/>
  <c r="J252" i="113"/>
  <c r="J253" i="113"/>
  <c r="J254" i="113"/>
  <c r="J255" i="113"/>
  <c r="J256" i="113"/>
  <c r="J257" i="113"/>
  <c r="J258" i="113"/>
  <c r="J259" i="113"/>
  <c r="J260" i="113"/>
  <c r="J261" i="113"/>
  <c r="J262" i="113"/>
  <c r="J263" i="113"/>
  <c r="J264" i="113"/>
  <c r="J265" i="113"/>
  <c r="J266" i="113"/>
  <c r="J267" i="113"/>
  <c r="J268" i="113"/>
  <c r="J269" i="113"/>
  <c r="J270" i="113"/>
  <c r="J271" i="113"/>
  <c r="J272" i="113"/>
  <c r="J273" i="113"/>
  <c r="J274" i="113"/>
  <c r="J275" i="113"/>
  <c r="J276" i="113"/>
  <c r="J277" i="113"/>
  <c r="J279" i="113"/>
  <c r="J280" i="113"/>
  <c r="J281" i="113"/>
  <c r="J282" i="113"/>
  <c r="J283" i="113"/>
  <c r="J284" i="113"/>
  <c r="J285" i="113"/>
  <c r="J286" i="113"/>
  <c r="J287" i="113"/>
  <c r="J288" i="113"/>
  <c r="J289" i="113"/>
  <c r="J290" i="113"/>
  <c r="J291" i="113"/>
  <c r="J292" i="113"/>
  <c r="J293" i="113"/>
  <c r="J294" i="113"/>
  <c r="J295" i="113"/>
  <c r="J296" i="113"/>
  <c r="J297" i="113"/>
  <c r="J298" i="113"/>
  <c r="J299" i="113"/>
  <c r="J300" i="113"/>
  <c r="J301" i="113"/>
  <c r="J302" i="113"/>
  <c r="J303" i="113"/>
  <c r="J304" i="113"/>
  <c r="J305" i="113"/>
  <c r="J307" i="113"/>
  <c r="J308" i="113"/>
  <c r="J309" i="113"/>
  <c r="J310" i="113"/>
  <c r="J311" i="113"/>
  <c r="J312" i="113"/>
  <c r="J313" i="113"/>
  <c r="J314" i="113"/>
  <c r="J315" i="113"/>
  <c r="J316" i="113"/>
  <c r="J317" i="113"/>
  <c r="J318" i="113"/>
  <c r="J319" i="113"/>
  <c r="J320" i="113"/>
  <c r="J321" i="113"/>
  <c r="J322" i="113"/>
  <c r="J323" i="113"/>
  <c r="J324" i="113"/>
  <c r="J325" i="113"/>
  <c r="J326" i="113"/>
  <c r="J327" i="113"/>
  <c r="J328" i="113"/>
  <c r="J329" i="113"/>
  <c r="J330" i="113"/>
  <c r="J331" i="113"/>
  <c r="J332" i="113"/>
  <c r="J333" i="113"/>
  <c r="J334" i="113"/>
  <c r="J335" i="113"/>
  <c r="J336" i="113"/>
  <c r="J337" i="113"/>
  <c r="J339" i="113"/>
  <c r="J340" i="113"/>
  <c r="J341" i="113"/>
  <c r="J342" i="113"/>
  <c r="J343" i="113"/>
  <c r="J344" i="113"/>
  <c r="J345" i="113"/>
  <c r="J346" i="113"/>
  <c r="J347" i="113"/>
  <c r="J348" i="113"/>
  <c r="J349" i="113"/>
  <c r="J350" i="113"/>
  <c r="J351" i="113"/>
  <c r="J352" i="113"/>
  <c r="J353" i="113"/>
  <c r="J354" i="113"/>
  <c r="J355" i="113"/>
  <c r="J356" i="113"/>
  <c r="J357" i="113"/>
  <c r="J358" i="113"/>
  <c r="J359" i="113"/>
  <c r="J360" i="113"/>
  <c r="J362" i="113"/>
  <c r="J363" i="113"/>
  <c r="J364" i="113"/>
  <c r="J365" i="113"/>
  <c r="J366" i="113"/>
  <c r="J367" i="113"/>
  <c r="J368" i="113"/>
  <c r="J369" i="113"/>
  <c r="J370" i="113"/>
  <c r="J371" i="113"/>
  <c r="J372" i="113"/>
  <c r="J373" i="113"/>
  <c r="J374" i="113"/>
  <c r="J375" i="113"/>
  <c r="J376" i="113"/>
  <c r="J377" i="113"/>
  <c r="J378" i="113"/>
  <c r="J379" i="113"/>
  <c r="J380" i="113"/>
  <c r="J381" i="113"/>
  <c r="J382" i="113"/>
  <c r="J383" i="113"/>
  <c r="J384" i="113"/>
  <c r="J385" i="113"/>
  <c r="J386" i="113"/>
  <c r="J387" i="113"/>
  <c r="J388" i="113"/>
  <c r="J390" i="113"/>
  <c r="J391" i="113"/>
  <c r="J392" i="113"/>
  <c r="J393" i="113"/>
  <c r="J394" i="113"/>
  <c r="J395" i="113"/>
  <c r="J396" i="113"/>
  <c r="J397" i="113"/>
  <c r="J398" i="113"/>
  <c r="J399" i="113"/>
  <c r="J400" i="113"/>
  <c r="J401" i="113"/>
  <c r="J402" i="113"/>
  <c r="J403" i="113"/>
  <c r="J404" i="113"/>
  <c r="J405" i="113"/>
  <c r="J406" i="113"/>
  <c r="J407" i="113"/>
  <c r="J408" i="113"/>
  <c r="J409" i="113"/>
  <c r="J410" i="113"/>
  <c r="J411" i="113"/>
  <c r="J412" i="113"/>
  <c r="J413" i="113"/>
  <c r="J414" i="113"/>
  <c r="J415" i="113"/>
  <c r="J416" i="113"/>
  <c r="J417" i="113"/>
  <c r="J418" i="113"/>
  <c r="J420" i="113"/>
  <c r="J421" i="113"/>
  <c r="J422" i="113"/>
  <c r="J423" i="113"/>
  <c r="J424" i="113"/>
  <c r="J425" i="113"/>
  <c r="J426" i="113"/>
  <c r="J427" i="113"/>
  <c r="J428" i="113"/>
  <c r="J429" i="113"/>
  <c r="J430" i="113"/>
  <c r="J431" i="113"/>
  <c r="J432" i="113"/>
  <c r="J433" i="113"/>
  <c r="J434" i="113"/>
  <c r="J435" i="113"/>
  <c r="J436" i="113"/>
  <c r="J437" i="113"/>
  <c r="J438" i="113"/>
  <c r="J439" i="113"/>
  <c r="J440" i="113"/>
  <c r="J442" i="113"/>
  <c r="J443" i="113"/>
  <c r="J444" i="113"/>
  <c r="J445" i="113"/>
  <c r="J446" i="113"/>
  <c r="J447" i="113"/>
  <c r="J448" i="113"/>
  <c r="J449" i="113"/>
  <c r="J450" i="113"/>
  <c r="J451" i="113"/>
  <c r="J452" i="113"/>
  <c r="J453" i="113"/>
  <c r="J454" i="113"/>
  <c r="J455" i="113"/>
  <c r="J456" i="113"/>
  <c r="J457" i="113"/>
  <c r="J458" i="113"/>
  <c r="J459" i="113"/>
  <c r="J460" i="113"/>
  <c r="J461" i="113"/>
  <c r="J462" i="113"/>
  <c r="J463" i="113"/>
  <c r="J464" i="113"/>
  <c r="J465" i="113"/>
  <c r="J466" i="113"/>
  <c r="J467" i="113"/>
  <c r="J468" i="113"/>
  <c r="J469" i="113"/>
  <c r="J470" i="113"/>
  <c r="J471" i="113"/>
  <c r="J472" i="113"/>
  <c r="J473" i="113"/>
  <c r="J474" i="113"/>
  <c r="J475" i="113"/>
  <c r="J476" i="113"/>
  <c r="J478" i="113"/>
  <c r="J479" i="113"/>
  <c r="J480" i="113"/>
  <c r="J481" i="113"/>
  <c r="J482" i="113"/>
  <c r="J483" i="113"/>
  <c r="J484" i="113"/>
  <c r="J485" i="113"/>
  <c r="J486" i="113"/>
  <c r="J487" i="113"/>
  <c r="J488" i="113"/>
  <c r="J489" i="113"/>
  <c r="J490" i="113"/>
  <c r="J491" i="113"/>
  <c r="J492" i="113"/>
  <c r="J493" i="113"/>
  <c r="J494" i="113"/>
  <c r="J495" i="113"/>
  <c r="J496" i="113"/>
  <c r="J497" i="113"/>
  <c r="J498" i="113"/>
  <c r="J499" i="113"/>
  <c r="J500" i="113"/>
  <c r="J501" i="113"/>
  <c r="J502" i="113"/>
  <c r="J503" i="113"/>
  <c r="J504" i="113"/>
  <c r="J505" i="113"/>
  <c r="J506" i="113"/>
  <c r="J507" i="113"/>
  <c r="J508" i="113"/>
  <c r="J509" i="113"/>
  <c r="J510" i="113"/>
  <c r="J512" i="113"/>
  <c r="J513" i="113"/>
  <c r="J514" i="113"/>
  <c r="J515" i="113"/>
  <c r="J516" i="113"/>
  <c r="J517" i="113"/>
  <c r="J518" i="113"/>
  <c r="J519" i="113"/>
  <c r="J520" i="113"/>
  <c r="J521" i="113"/>
  <c r="J522" i="113"/>
  <c r="J523" i="113"/>
  <c r="J524" i="113"/>
  <c r="J525" i="113"/>
  <c r="J526" i="113"/>
  <c r="J527" i="113"/>
  <c r="J528" i="113"/>
  <c r="J529" i="113"/>
  <c r="J530" i="113"/>
  <c r="J531" i="113"/>
  <c r="J532" i="113"/>
  <c r="J533" i="113"/>
  <c r="J534" i="113"/>
  <c r="J535" i="113"/>
  <c r="J536" i="113"/>
  <c r="J537" i="113"/>
  <c r="J538" i="113"/>
  <c r="J539" i="113"/>
  <c r="J540" i="113"/>
  <c r="J542" i="113"/>
  <c r="J543" i="113"/>
  <c r="J544" i="113"/>
  <c r="J545" i="113"/>
  <c r="J546" i="113"/>
  <c r="J547" i="113"/>
  <c r="J548" i="113"/>
  <c r="J549" i="113"/>
  <c r="J550" i="113"/>
  <c r="J551" i="113"/>
  <c r="J552" i="113"/>
  <c r="J553" i="113"/>
  <c r="J554" i="113"/>
  <c r="J555" i="113"/>
  <c r="J556" i="113"/>
  <c r="J557" i="113"/>
  <c r="J558" i="113"/>
  <c r="J559" i="113"/>
  <c r="J560" i="113"/>
  <c r="J561" i="113"/>
  <c r="J562" i="113"/>
  <c r="J563" i="113"/>
  <c r="J564" i="113"/>
  <c r="J565" i="113"/>
  <c r="J566" i="113"/>
  <c r="J567" i="113"/>
  <c r="J568" i="113"/>
  <c r="J569" i="113"/>
  <c r="J570" i="113"/>
  <c r="J571" i="113"/>
  <c r="J572" i="113"/>
  <c r="J573" i="113"/>
  <c r="J574" i="113"/>
  <c r="J575" i="113"/>
  <c r="J576" i="113"/>
  <c r="J577" i="113"/>
  <c r="J578" i="113"/>
  <c r="J579" i="113"/>
  <c r="J580" i="113"/>
  <c r="J581" i="113"/>
  <c r="J583" i="113"/>
  <c r="J584" i="113"/>
  <c r="J585" i="113"/>
  <c r="J586" i="113"/>
  <c r="J587" i="113"/>
  <c r="J588" i="113"/>
  <c r="J589" i="113"/>
  <c r="J590" i="113"/>
  <c r="J591" i="113"/>
  <c r="J592" i="113"/>
  <c r="J593" i="113"/>
  <c r="J594" i="113"/>
  <c r="J595" i="113"/>
  <c r="J596" i="113"/>
  <c r="J598" i="113"/>
  <c r="J599" i="113"/>
  <c r="J600" i="113"/>
  <c r="J601" i="113"/>
  <c r="J602" i="113"/>
  <c r="J603" i="113"/>
  <c r="J604" i="113"/>
  <c r="J605" i="113"/>
  <c r="J606" i="113"/>
  <c r="J607" i="113"/>
  <c r="J608" i="113"/>
  <c r="J609" i="113"/>
  <c r="J610" i="113"/>
  <c r="J611" i="113"/>
  <c r="J612" i="113"/>
  <c r="J613" i="113"/>
  <c r="J614" i="113"/>
  <c r="J616" i="113"/>
  <c r="J617" i="113"/>
  <c r="J618" i="113"/>
  <c r="J619" i="113"/>
  <c r="J620" i="113"/>
  <c r="J621" i="113"/>
  <c r="J622" i="113"/>
  <c r="J623" i="113"/>
  <c r="J624" i="113"/>
  <c r="J625" i="113"/>
  <c r="J626" i="113"/>
  <c r="J627" i="113"/>
  <c r="J628" i="113"/>
  <c r="J629" i="113"/>
  <c r="J630" i="113"/>
  <c r="J631" i="113"/>
  <c r="J632" i="113"/>
  <c r="J633" i="113"/>
  <c r="J634" i="113"/>
  <c r="J635" i="113"/>
  <c r="J636" i="113"/>
  <c r="J637" i="113"/>
  <c r="J638" i="113"/>
  <c r="J639" i="113"/>
  <c r="J640" i="113"/>
  <c r="J641" i="113"/>
  <c r="J642" i="113"/>
  <c r="J643" i="113"/>
  <c r="J645" i="113"/>
  <c r="J646" i="113"/>
  <c r="J647" i="113"/>
  <c r="J648" i="113"/>
  <c r="J649" i="113"/>
  <c r="J650" i="113"/>
  <c r="J651" i="113"/>
  <c r="J652" i="113"/>
  <c r="J653" i="113"/>
  <c r="J654" i="113"/>
  <c r="J655" i="113"/>
  <c r="J656" i="113"/>
  <c r="J657" i="113"/>
  <c r="J658" i="113"/>
  <c r="J659" i="113"/>
  <c r="J660" i="113"/>
  <c r="J661" i="113"/>
  <c r="J662" i="113"/>
  <c r="J663" i="113"/>
  <c r="J664" i="113"/>
  <c r="J665" i="113"/>
  <c r="J666" i="113"/>
  <c r="J667" i="113"/>
  <c r="J668" i="113"/>
  <c r="J669" i="113"/>
  <c r="J670" i="113"/>
  <c r="J672" i="113"/>
  <c r="J673" i="113"/>
  <c r="J674" i="113"/>
  <c r="J675" i="113"/>
  <c r="J676" i="113"/>
  <c r="J677" i="113"/>
  <c r="J678" i="113"/>
  <c r="J679" i="113"/>
  <c r="J680" i="113"/>
  <c r="J681" i="113"/>
  <c r="J682" i="113"/>
  <c r="J683" i="113"/>
  <c r="J684" i="113"/>
  <c r="J685" i="113"/>
  <c r="J686" i="113"/>
  <c r="J687" i="113"/>
  <c r="J688" i="113"/>
  <c r="J689" i="113"/>
  <c r="J690" i="113"/>
  <c r="J691" i="113"/>
  <c r="J692" i="113"/>
  <c r="J693" i="113"/>
  <c r="J694" i="113"/>
  <c r="J695" i="113"/>
  <c r="J696" i="113"/>
  <c r="J698" i="113"/>
  <c r="J699" i="113"/>
  <c r="J700" i="113"/>
  <c r="J701" i="113"/>
  <c r="J702" i="113"/>
  <c r="J703" i="113"/>
  <c r="J704" i="113"/>
  <c r="J705" i="113"/>
  <c r="J706" i="113"/>
  <c r="J707" i="113"/>
  <c r="J708" i="113"/>
  <c r="J709" i="113"/>
  <c r="J710" i="113"/>
  <c r="J711" i="113"/>
  <c r="J712" i="113"/>
  <c r="J713" i="113"/>
  <c r="J714" i="113"/>
  <c r="J715" i="113"/>
  <c r="J716" i="113"/>
  <c r="J717" i="113"/>
  <c r="J718" i="113"/>
  <c r="J719" i="113"/>
  <c r="J720" i="113"/>
  <c r="J721" i="113"/>
  <c r="J722" i="113"/>
  <c r="J723" i="113"/>
  <c r="J724" i="113"/>
  <c r="J725" i="113"/>
  <c r="J726" i="113"/>
  <c r="J727" i="113"/>
  <c r="J728" i="113"/>
  <c r="J730" i="113"/>
  <c r="J731" i="113"/>
  <c r="J732" i="113"/>
  <c r="J733" i="113"/>
  <c r="J734" i="113"/>
  <c r="J735" i="113"/>
  <c r="J736" i="113"/>
  <c r="J737" i="113"/>
  <c r="J738" i="113"/>
  <c r="J739" i="113"/>
  <c r="J740" i="113"/>
  <c r="J741" i="113"/>
  <c r="J742" i="113"/>
  <c r="J743" i="113"/>
  <c r="J744" i="113"/>
  <c r="J745" i="113"/>
  <c r="J746" i="113"/>
  <c r="J747" i="113"/>
  <c r="J748" i="113"/>
  <c r="J749" i="113"/>
  <c r="J750" i="113"/>
  <c r="J751" i="113"/>
  <c r="J752" i="113"/>
  <c r="J753" i="113"/>
  <c r="J754" i="113"/>
  <c r="J755" i="113"/>
  <c r="J756" i="113"/>
  <c r="J757" i="113"/>
  <c r="J758" i="113"/>
  <c r="J759" i="113"/>
  <c r="J760" i="113"/>
  <c r="J761" i="113"/>
  <c r="J762" i="113"/>
  <c r="J763" i="113"/>
  <c r="J764" i="113"/>
  <c r="J765" i="113"/>
  <c r="J766" i="113"/>
  <c r="J767" i="113"/>
  <c r="J768" i="113"/>
  <c r="J769" i="113"/>
  <c r="J771" i="113"/>
  <c r="J772" i="113"/>
  <c r="J773" i="113"/>
  <c r="J774" i="113"/>
  <c r="J775" i="113"/>
  <c r="J776" i="113"/>
  <c r="J777" i="113"/>
  <c r="J778" i="113"/>
  <c r="J779" i="113"/>
  <c r="J780" i="113"/>
  <c r="J781" i="113"/>
  <c r="J782" i="113"/>
  <c r="J783" i="113"/>
  <c r="J784" i="113"/>
  <c r="J785" i="113"/>
  <c r="J786" i="113"/>
  <c r="J787" i="113"/>
  <c r="J788" i="113"/>
  <c r="J789" i="113"/>
  <c r="J790" i="113"/>
  <c r="J791" i="113"/>
  <c r="J792" i="113"/>
  <c r="J793" i="113"/>
  <c r="J794" i="113"/>
  <c r="J795" i="113"/>
  <c r="J796" i="113"/>
  <c r="J797" i="113"/>
  <c r="J798" i="113"/>
  <c r="J799" i="113"/>
  <c r="J800" i="113"/>
  <c r="J801" i="113"/>
  <c r="J802" i="113"/>
  <c r="J803" i="113"/>
  <c r="J804" i="113"/>
  <c r="J805" i="113"/>
  <c r="J807" i="113"/>
  <c r="J808" i="113"/>
  <c r="J809" i="113"/>
  <c r="J810" i="113"/>
  <c r="J811" i="113"/>
  <c r="J812" i="113"/>
  <c r="J813" i="113"/>
  <c r="J814" i="113"/>
  <c r="J815" i="113"/>
  <c r="J816" i="113"/>
  <c r="J817" i="113"/>
  <c r="J818" i="113"/>
  <c r="J819" i="113"/>
  <c r="J820" i="113"/>
  <c r="J821" i="113"/>
  <c r="J822" i="113"/>
  <c r="J823" i="113"/>
  <c r="J824" i="113"/>
  <c r="J825" i="113"/>
  <c r="J826" i="113"/>
  <c r="J827" i="113"/>
  <c r="J828" i="113"/>
  <c r="J829" i="113"/>
  <c r="J830" i="113"/>
  <c r="J831" i="113"/>
  <c r="J832" i="113"/>
  <c r="J833" i="113"/>
  <c r="J834" i="113"/>
  <c r="J835" i="113"/>
  <c r="J836" i="113"/>
  <c r="J837" i="113"/>
  <c r="J839" i="113"/>
  <c r="J840" i="113"/>
  <c r="J841" i="113"/>
  <c r="J842" i="113"/>
  <c r="J843" i="113"/>
  <c r="J844" i="113"/>
  <c r="J845" i="113"/>
  <c r="J846" i="113"/>
  <c r="J847" i="113"/>
  <c r="J848" i="113"/>
  <c r="J849" i="113"/>
  <c r="J850" i="113"/>
  <c r="J851" i="113"/>
  <c r="J852" i="113"/>
  <c r="J853" i="113"/>
  <c r="J854" i="113"/>
  <c r="J855" i="113"/>
  <c r="J856" i="113"/>
  <c r="J857" i="113"/>
  <c r="J858" i="113"/>
  <c r="J859" i="113"/>
  <c r="J860" i="113"/>
  <c r="J861" i="113"/>
  <c r="J862" i="113"/>
  <c r="J863" i="113"/>
  <c r="J865" i="113"/>
  <c r="J866" i="113"/>
  <c r="J867" i="113"/>
  <c r="J868" i="113"/>
  <c r="J869" i="113"/>
  <c r="J870" i="113"/>
  <c r="J871" i="113"/>
  <c r="J872" i="113"/>
  <c r="J873" i="113"/>
  <c r="J874" i="113"/>
  <c r="J875" i="113"/>
  <c r="J876" i="113"/>
  <c r="J877" i="113"/>
  <c r="J878" i="113"/>
  <c r="J879" i="113"/>
  <c r="J880" i="113"/>
  <c r="J881" i="113"/>
  <c r="J882" i="113"/>
  <c r="J883" i="113"/>
  <c r="J884" i="113"/>
  <c r="J885" i="113"/>
  <c r="J886" i="113"/>
  <c r="J887" i="113"/>
  <c r="J888" i="113"/>
  <c r="J889" i="113"/>
  <c r="J890" i="113"/>
  <c r="J891" i="113"/>
  <c r="J892" i="113"/>
  <c r="J893" i="113"/>
  <c r="J894" i="113"/>
  <c r="J895" i="113"/>
  <c r="J896" i="113"/>
  <c r="J897" i="113"/>
  <c r="J898" i="113"/>
  <c r="J899" i="113"/>
  <c r="J900" i="113"/>
  <c r="J902" i="113"/>
  <c r="J903" i="113"/>
  <c r="J904" i="113"/>
  <c r="J905" i="113"/>
  <c r="J906" i="113"/>
  <c r="J907" i="113"/>
  <c r="J908" i="113"/>
  <c r="J909" i="113"/>
  <c r="J910" i="113"/>
  <c r="J911" i="113"/>
  <c r="J912" i="113"/>
  <c r="J913" i="113"/>
  <c r="J914" i="113"/>
  <c r="J915" i="113"/>
  <c r="J916" i="113"/>
  <c r="J917" i="113"/>
  <c r="J918" i="113"/>
  <c r="J919" i="113"/>
  <c r="J920" i="113"/>
  <c r="J921" i="113"/>
  <c r="J922" i="113"/>
  <c r="J923" i="113"/>
  <c r="J924" i="113"/>
  <c r="J925" i="113"/>
  <c r="J926" i="113"/>
  <c r="J927" i="113"/>
  <c r="J928" i="113"/>
  <c r="J929" i="113"/>
  <c r="J930" i="113"/>
  <c r="J931" i="113"/>
  <c r="J932" i="113"/>
  <c r="J933" i="113"/>
  <c r="J934" i="113"/>
  <c r="J935" i="113"/>
  <c r="J936" i="113"/>
  <c r="J937" i="113"/>
  <c r="J938" i="113"/>
  <c r="J939" i="113"/>
  <c r="J940" i="113"/>
  <c r="J941" i="113"/>
  <c r="J942" i="113"/>
  <c r="J943" i="113"/>
  <c r="J945" i="113"/>
  <c r="J946" i="113"/>
  <c r="J947" i="113"/>
  <c r="J948" i="113"/>
  <c r="J949" i="113"/>
  <c r="J950" i="113"/>
  <c r="J951" i="113"/>
  <c r="J952" i="113"/>
  <c r="J953" i="113"/>
  <c r="J954" i="113"/>
  <c r="J955" i="113"/>
  <c r="J956" i="113"/>
  <c r="J957" i="113"/>
  <c r="J958" i="113"/>
  <c r="J959" i="113"/>
  <c r="J960" i="113"/>
  <c r="J961" i="113"/>
  <c r="J962" i="113"/>
  <c r="J963" i="113"/>
  <c r="J964" i="113"/>
  <c r="J965" i="113"/>
  <c r="J966" i="113"/>
  <c r="J967" i="113"/>
  <c r="J968" i="113"/>
  <c r="J969" i="113"/>
  <c r="J970" i="113"/>
  <c r="J971" i="113"/>
  <c r="J972" i="113"/>
  <c r="J973" i="113"/>
  <c r="J974" i="113"/>
  <c r="J975" i="113"/>
  <c r="J976" i="113"/>
  <c r="J977" i="113"/>
  <c r="J978" i="113"/>
  <c r="J979" i="113"/>
  <c r="J980" i="113"/>
  <c r="J981" i="113"/>
  <c r="J982" i="113"/>
  <c r="J983" i="113"/>
  <c r="J984" i="113"/>
  <c r="J985" i="113"/>
  <c r="J986" i="113"/>
  <c r="J987" i="113"/>
  <c r="J989" i="113"/>
  <c r="J990" i="113"/>
  <c r="J991" i="113"/>
  <c r="J992" i="113"/>
  <c r="J993" i="113"/>
  <c r="J994" i="113"/>
  <c r="J995" i="113"/>
  <c r="J996" i="113"/>
  <c r="J997" i="113"/>
  <c r="J998" i="113"/>
  <c r="J999" i="113"/>
  <c r="J1000" i="113"/>
  <c r="J1001" i="113"/>
  <c r="J1002" i="113"/>
  <c r="J1003" i="113"/>
  <c r="J1004" i="113"/>
  <c r="J1005" i="113"/>
  <c r="J1006" i="113"/>
  <c r="J1007" i="113"/>
  <c r="J1008" i="113"/>
  <c r="J1009" i="113"/>
  <c r="J1010" i="113"/>
  <c r="J1011" i="113"/>
  <c r="J1012" i="113"/>
  <c r="J1014" i="113"/>
  <c r="J1015" i="113"/>
  <c r="J1016" i="113"/>
  <c r="J1017" i="113"/>
  <c r="J1018" i="113"/>
  <c r="J1019" i="113"/>
  <c r="J1020" i="113"/>
  <c r="J1021" i="113"/>
  <c r="J1022" i="113"/>
  <c r="J1023" i="113"/>
  <c r="J1024" i="113"/>
  <c r="J1025" i="113"/>
  <c r="J1026" i="113"/>
  <c r="J1027" i="113"/>
  <c r="J1028" i="113"/>
  <c r="J1029" i="113"/>
  <c r="J1030" i="113"/>
  <c r="J1031" i="113"/>
  <c r="J1032" i="113"/>
  <c r="J1033" i="113"/>
  <c r="J1034" i="113"/>
  <c r="J1035" i="113"/>
  <c r="J1036" i="113"/>
  <c r="J1037" i="113"/>
  <c r="J1038" i="113"/>
  <c r="J1039" i="113"/>
  <c r="J1041" i="113"/>
  <c r="J1042" i="113"/>
  <c r="J1043" i="113"/>
  <c r="J1044" i="113"/>
  <c r="J1045" i="113"/>
  <c r="J1046" i="113"/>
  <c r="J1047" i="113"/>
  <c r="J1048" i="113"/>
  <c r="J1049" i="113"/>
  <c r="J1050" i="113"/>
  <c r="J1051" i="113"/>
  <c r="J1052" i="113"/>
  <c r="J1053" i="113"/>
  <c r="J1054" i="113"/>
  <c r="J1055" i="113"/>
  <c r="J1056" i="113"/>
  <c r="J1057" i="113"/>
  <c r="J1058" i="113"/>
  <c r="J1059" i="113"/>
  <c r="J1060" i="113"/>
  <c r="J1061" i="113"/>
  <c r="J1062" i="113"/>
  <c r="J1063" i="113"/>
  <c r="J1064" i="113"/>
  <c r="J1065" i="113"/>
  <c r="J1066" i="113"/>
  <c r="J1067" i="113"/>
  <c r="J1068" i="113"/>
  <c r="J1069" i="113"/>
  <c r="J1070" i="113"/>
  <c r="J1071" i="113"/>
  <c r="J1072" i="113"/>
  <c r="J1073" i="113"/>
  <c r="J1074" i="113"/>
  <c r="J1076" i="113"/>
  <c r="J1077" i="113"/>
  <c r="J1078" i="113"/>
  <c r="J1079" i="113"/>
  <c r="J1080" i="113"/>
  <c r="J1081" i="113"/>
  <c r="J1082" i="113"/>
  <c r="J1083" i="113"/>
  <c r="J1084" i="113"/>
  <c r="J1085" i="113"/>
  <c r="J1086" i="113"/>
  <c r="J1087" i="113"/>
  <c r="J1088" i="113"/>
  <c r="J1089" i="113"/>
  <c r="J1090" i="113"/>
  <c r="J1091" i="113"/>
  <c r="J1092" i="113"/>
  <c r="J1093" i="113"/>
  <c r="J1094" i="113"/>
  <c r="J1095" i="113"/>
  <c r="J1096" i="113"/>
  <c r="J1097" i="113"/>
  <c r="J1098" i="113"/>
  <c r="J1099" i="113"/>
  <c r="J1100" i="113"/>
  <c r="J1101" i="113"/>
  <c r="J1102" i="113"/>
  <c r="J1104" i="113"/>
  <c r="J1105" i="113"/>
  <c r="J1106" i="113"/>
  <c r="J1107" i="113"/>
  <c r="J1108" i="113"/>
  <c r="J1109" i="113"/>
  <c r="J1110" i="113"/>
  <c r="J1111" i="113"/>
  <c r="J1112" i="113"/>
  <c r="J1113" i="113"/>
  <c r="J1114" i="113"/>
  <c r="J1115" i="113"/>
  <c r="J1116" i="113"/>
  <c r="J1117" i="113"/>
  <c r="J1118" i="113"/>
  <c r="J1119" i="113"/>
  <c r="J1120" i="113"/>
  <c r="J1121" i="113"/>
  <c r="J1122" i="113"/>
  <c r="J1123" i="113"/>
  <c r="J1124" i="113"/>
  <c r="J1125" i="113"/>
  <c r="J1126" i="113"/>
  <c r="J1127" i="113"/>
  <c r="J1129" i="113"/>
  <c r="J1130" i="113"/>
  <c r="J1131" i="113"/>
  <c r="J1132" i="113"/>
  <c r="J1133" i="113"/>
  <c r="J1134" i="113"/>
  <c r="J1135" i="113"/>
  <c r="J1136" i="113"/>
  <c r="J1137" i="113"/>
  <c r="J1138" i="113"/>
  <c r="J1139" i="113"/>
  <c r="J1140" i="113"/>
  <c r="J1141" i="113"/>
  <c r="J1142" i="113"/>
  <c r="J1143" i="113"/>
  <c r="J1144" i="113"/>
  <c r="J1145" i="113"/>
  <c r="J1146" i="113"/>
  <c r="J1147" i="113"/>
  <c r="J1148" i="113"/>
  <c r="J1150" i="113"/>
  <c r="J1151" i="113"/>
  <c r="J1152" i="113"/>
  <c r="J1153" i="113"/>
  <c r="J1154" i="113"/>
  <c r="J1155" i="113"/>
  <c r="J1156" i="113"/>
  <c r="J1157" i="113"/>
  <c r="J1158" i="113"/>
  <c r="J1159" i="113"/>
  <c r="J1160" i="113"/>
  <c r="J1161" i="113"/>
  <c r="J1162" i="113"/>
  <c r="J1163" i="113"/>
  <c r="J1164" i="113"/>
  <c r="J1165" i="113"/>
  <c r="J1166" i="113"/>
  <c r="J1168" i="113"/>
  <c r="J1169" i="113"/>
  <c r="J1170" i="113"/>
  <c r="J1171" i="113"/>
  <c r="J1172" i="113"/>
  <c r="J1173" i="113"/>
  <c r="J1174" i="113"/>
  <c r="J1175" i="113"/>
  <c r="J1176" i="113"/>
  <c r="J1177" i="113"/>
  <c r="J1178" i="113"/>
  <c r="J1179" i="113"/>
  <c r="J1180" i="113"/>
  <c r="J1181" i="113"/>
  <c r="J1182" i="113"/>
  <c r="J1183" i="113"/>
  <c r="J1184" i="113"/>
  <c r="J1185" i="113"/>
  <c r="J1186" i="113"/>
  <c r="J1187" i="113"/>
  <c r="J1188" i="113"/>
  <c r="J1189" i="113"/>
  <c r="J1190" i="113"/>
  <c r="J1191" i="113"/>
  <c r="J1192" i="113"/>
  <c r="J1193" i="113"/>
  <c r="J1194" i="113"/>
  <c r="J1195" i="113"/>
  <c r="J1196" i="113"/>
  <c r="J1197" i="113"/>
  <c r="J1198" i="113"/>
  <c r="J1199" i="113"/>
  <c r="J1200" i="113"/>
  <c r="J1201" i="113"/>
  <c r="J1202" i="113"/>
  <c r="J1203" i="113"/>
  <c r="J1205" i="113"/>
  <c r="J1206" i="113"/>
  <c r="J1207" i="113"/>
  <c r="J1208" i="113"/>
  <c r="J1209" i="113"/>
  <c r="J1210" i="113"/>
  <c r="J1211" i="113"/>
  <c r="J1212" i="113"/>
  <c r="J1213" i="113"/>
  <c r="J1214" i="113"/>
  <c r="J1215" i="113"/>
  <c r="J1216" i="113"/>
  <c r="J1217" i="113"/>
  <c r="J1218" i="113"/>
  <c r="J1219" i="113"/>
  <c r="J1220" i="113"/>
  <c r="J1221" i="113"/>
  <c r="J1222" i="113"/>
  <c r="J1223" i="113"/>
  <c r="J1224" i="113"/>
  <c r="J1225" i="113"/>
  <c r="J1226" i="113"/>
  <c r="J1227" i="113"/>
  <c r="J1228" i="113"/>
  <c r="J1229" i="113"/>
  <c r="J1230" i="113"/>
  <c r="J1231" i="113"/>
  <c r="J1232" i="113"/>
  <c r="J1233" i="113"/>
  <c r="J1234" i="113"/>
  <c r="J1235" i="113"/>
  <c r="J1237" i="113"/>
  <c r="J1238" i="113"/>
  <c r="J1239" i="113"/>
  <c r="J1240" i="113"/>
  <c r="J1241" i="113"/>
  <c r="J1242" i="113"/>
  <c r="J1243" i="113"/>
  <c r="J1244" i="113"/>
  <c r="J1245" i="113"/>
  <c r="J1246" i="113"/>
  <c r="J1247" i="113"/>
  <c r="J1248" i="113"/>
  <c r="J1249" i="113"/>
  <c r="J1250" i="113"/>
  <c r="J1251" i="113"/>
  <c r="J1252" i="113"/>
  <c r="J1253" i="113"/>
  <c r="J1254" i="113"/>
  <c r="J1255" i="113"/>
  <c r="J1256" i="113"/>
  <c r="J1257" i="113"/>
  <c r="J1258" i="113"/>
  <c r="J1259" i="113"/>
  <c r="J1260" i="113"/>
  <c r="J1261" i="113"/>
  <c r="J1262" i="113"/>
  <c r="J1263" i="113"/>
  <c r="J1264" i="113"/>
  <c r="J1265" i="113"/>
  <c r="J1266" i="113"/>
  <c r="J1267" i="113"/>
  <c r="J1268" i="113"/>
  <c r="J1269" i="113"/>
  <c r="J1270" i="113"/>
  <c r="J1271" i="113"/>
  <c r="J1272" i="113"/>
  <c r="J1273" i="113"/>
  <c r="J1274" i="113"/>
  <c r="J1275" i="113"/>
  <c r="J1276" i="113"/>
  <c r="J1277" i="113"/>
  <c r="J1278" i="113"/>
  <c r="J1279" i="113"/>
  <c r="J1280" i="113"/>
  <c r="J1281" i="113"/>
  <c r="J1282" i="113"/>
  <c r="J1283" i="113"/>
  <c r="J1285" i="113"/>
  <c r="J1286" i="113"/>
  <c r="J1287" i="113"/>
  <c r="J1288" i="113"/>
  <c r="J1289" i="113"/>
  <c r="J1290" i="113"/>
  <c r="J1291" i="113"/>
  <c r="J1292" i="113"/>
  <c r="J1293" i="113"/>
  <c r="J1294" i="113"/>
  <c r="J1295" i="113"/>
  <c r="J1296" i="113"/>
  <c r="J1297" i="113"/>
  <c r="J1298" i="113"/>
  <c r="J1299" i="113"/>
  <c r="J1300" i="113"/>
  <c r="J1301" i="113"/>
  <c r="J1302" i="113"/>
  <c r="J1303" i="113"/>
  <c r="J1304" i="113"/>
  <c r="J1305" i="113"/>
  <c r="J1307" i="113"/>
  <c r="J1308" i="113"/>
  <c r="J1309" i="113"/>
  <c r="J1310" i="113"/>
  <c r="J1311" i="113"/>
  <c r="J1312" i="113"/>
  <c r="J1313" i="113"/>
  <c r="J1314" i="113"/>
  <c r="J1315" i="113"/>
  <c r="J1316" i="113"/>
  <c r="J1317" i="113"/>
  <c r="J1318" i="113"/>
  <c r="J1319" i="113"/>
  <c r="J1320" i="113"/>
  <c r="J1321" i="113"/>
  <c r="J1322" i="113"/>
  <c r="J1323" i="113"/>
  <c r="J1324" i="113"/>
  <c r="J1325" i="113"/>
  <c r="J1326" i="113"/>
  <c r="J1327" i="113"/>
  <c r="J1328" i="113"/>
  <c r="J1329" i="113"/>
  <c r="J1330" i="113"/>
  <c r="J1331" i="113"/>
  <c r="J1332" i="113"/>
  <c r="J1333" i="113"/>
  <c r="J1334" i="113"/>
  <c r="J1335" i="113"/>
  <c r="J1336" i="113"/>
  <c r="J1337" i="113"/>
  <c r="J1338" i="113"/>
  <c r="J1339" i="113"/>
  <c r="J1340" i="113"/>
  <c r="J1341" i="113"/>
  <c r="J1342" i="113"/>
  <c r="J1343" i="113"/>
  <c r="J1344" i="113"/>
  <c r="J1345" i="113"/>
  <c r="J1346" i="113"/>
  <c r="J1347" i="113"/>
  <c r="J1348" i="113"/>
  <c r="J1349" i="113"/>
  <c r="J1350" i="113"/>
  <c r="J1351" i="113"/>
  <c r="J1352" i="113"/>
  <c r="J1353" i="113"/>
  <c r="J1354" i="113"/>
  <c r="J1355" i="113"/>
  <c r="J1356" i="113"/>
  <c r="J1357" i="113"/>
  <c r="J1358" i="113"/>
  <c r="J1359" i="113"/>
  <c r="J1360" i="113"/>
  <c r="J1361" i="113"/>
  <c r="J1362" i="113"/>
  <c r="J1363" i="113"/>
  <c r="J1364" i="113"/>
  <c r="J1365" i="113"/>
  <c r="J1366" i="113"/>
  <c r="J1367" i="113"/>
  <c r="J1368" i="113"/>
  <c r="J1369" i="113"/>
  <c r="J1370" i="113"/>
  <c r="J1371" i="113"/>
  <c r="J1372" i="113"/>
  <c r="J1373" i="113"/>
  <c r="J1374" i="113"/>
  <c r="J1375" i="113"/>
  <c r="J1376" i="113"/>
  <c r="J1377" i="113"/>
  <c r="J1379" i="113"/>
  <c r="J1380" i="113"/>
  <c r="J1381" i="113"/>
  <c r="J1382" i="113"/>
  <c r="J1383" i="113"/>
  <c r="J1384" i="113"/>
  <c r="J1385" i="113"/>
  <c r="J1386" i="113"/>
  <c r="J1387" i="113"/>
  <c r="J1388" i="113"/>
  <c r="J1389" i="113"/>
  <c r="J1390" i="113"/>
  <c r="J1391" i="113"/>
  <c r="J1392" i="113"/>
  <c r="J1393" i="113"/>
  <c r="J1394" i="113"/>
  <c r="J1395" i="113"/>
  <c r="J1396" i="113"/>
  <c r="J1397" i="113"/>
  <c r="J1398" i="113"/>
  <c r="J1399" i="113"/>
  <c r="J1400" i="113"/>
  <c r="J1401" i="113"/>
  <c r="J1402" i="113"/>
  <c r="J1403" i="113"/>
  <c r="J1404" i="113"/>
  <c r="J1405" i="113"/>
  <c r="J1406" i="113"/>
  <c r="J1407" i="113"/>
  <c r="J1408" i="113"/>
  <c r="J1409" i="113"/>
  <c r="J1410" i="113"/>
  <c r="J1411" i="113"/>
  <c r="J1412" i="113"/>
  <c r="J1413" i="113"/>
  <c r="J1414" i="113"/>
  <c r="J1415" i="113"/>
  <c r="J1416" i="113"/>
  <c r="J1417" i="113"/>
  <c r="J1418" i="113"/>
  <c r="J1419" i="113"/>
  <c r="J1420" i="113"/>
  <c r="J1421" i="113"/>
  <c r="J1422" i="113"/>
  <c r="J1423" i="113"/>
  <c r="J1424" i="113"/>
  <c r="J1425" i="113"/>
  <c r="J1426" i="113"/>
  <c r="J1427" i="113"/>
  <c r="J1428" i="113"/>
  <c r="J1429" i="113"/>
  <c r="J1430" i="113"/>
  <c r="J1431" i="113"/>
  <c r="J1433" i="113"/>
  <c r="J1434" i="113"/>
  <c r="J1435" i="113"/>
  <c r="J1436" i="113"/>
  <c r="J1437" i="113"/>
  <c r="J1438" i="113"/>
  <c r="J1439" i="113"/>
  <c r="J1440" i="113"/>
  <c r="J1441" i="113"/>
  <c r="J1442" i="113"/>
  <c r="J1443" i="113"/>
  <c r="J1444" i="113"/>
  <c r="J1445" i="113"/>
  <c r="J1446" i="113"/>
  <c r="J1447" i="113"/>
  <c r="J1448" i="113"/>
  <c r="J1449" i="113"/>
  <c r="J1450" i="113"/>
  <c r="J1452" i="113"/>
  <c r="J1453" i="113"/>
  <c r="J1454" i="113"/>
  <c r="J1455" i="113"/>
  <c r="J1456" i="113"/>
  <c r="J1457" i="113"/>
  <c r="J1458" i="113"/>
  <c r="J1459" i="113"/>
  <c r="J1460" i="113"/>
  <c r="J1461" i="113"/>
  <c r="J1462" i="113"/>
  <c r="J1463" i="113"/>
  <c r="J1464" i="113"/>
  <c r="J1465" i="113"/>
  <c r="J1466" i="113"/>
  <c r="J1467" i="113"/>
  <c r="J1468" i="113"/>
  <c r="J1469" i="113"/>
  <c r="J1470" i="113"/>
  <c r="J1471" i="113"/>
  <c r="J1472" i="113"/>
  <c r="J1473" i="113"/>
  <c r="J1474" i="113"/>
  <c r="J1475" i="113"/>
  <c r="J1476" i="113"/>
  <c r="J1477" i="113"/>
  <c r="J1478" i="113"/>
  <c r="J1479" i="113"/>
  <c r="J1480" i="113"/>
  <c r="J1481" i="113"/>
  <c r="J1482" i="113"/>
  <c r="J1483" i="113"/>
  <c r="J1484" i="113"/>
  <c r="J1485" i="113"/>
  <c r="J1486" i="113"/>
  <c r="J1487" i="113"/>
  <c r="J1488" i="113"/>
  <c r="J1489" i="113"/>
  <c r="J1490" i="113"/>
  <c r="J1491" i="113"/>
  <c r="J1492" i="113"/>
  <c r="J1493" i="113"/>
  <c r="J1495" i="113"/>
  <c r="J1496" i="113"/>
  <c r="J1497" i="113"/>
  <c r="J1498" i="113"/>
  <c r="J1499" i="113"/>
  <c r="J1500" i="113"/>
  <c r="J1501" i="113"/>
  <c r="J1502" i="113"/>
  <c r="J1503" i="113"/>
  <c r="J1504" i="113"/>
  <c r="J1505" i="113"/>
  <c r="J1506" i="113"/>
  <c r="J1507" i="113"/>
  <c r="J1508" i="113"/>
  <c r="J1509" i="113"/>
  <c r="J1510" i="113"/>
  <c r="J1511" i="113"/>
  <c r="J1512" i="113"/>
  <c r="J1513" i="113"/>
  <c r="J1514" i="113"/>
  <c r="J1515" i="113"/>
  <c r="J1516" i="113"/>
  <c r="J1517" i="113"/>
  <c r="J1518" i="113"/>
  <c r="J1519" i="113"/>
  <c r="J1520" i="113"/>
  <c r="J1521" i="113"/>
  <c r="J1522" i="113"/>
  <c r="J1523" i="113"/>
  <c r="J1524" i="113"/>
  <c r="J1525" i="113"/>
  <c r="J1526" i="113"/>
  <c r="J1527" i="113"/>
  <c r="J1528" i="113"/>
  <c r="J1529" i="113"/>
  <c r="J1530" i="113"/>
  <c r="J1531" i="113"/>
  <c r="J1532" i="113"/>
  <c r="J1533" i="113"/>
  <c r="J1534" i="113"/>
  <c r="J1535" i="113"/>
  <c r="J1536" i="113"/>
  <c r="J1537" i="113"/>
  <c r="J1538" i="113"/>
  <c r="J1539" i="113"/>
  <c r="J1540" i="113"/>
  <c r="J1541" i="113"/>
  <c r="J1542" i="113"/>
  <c r="J1544" i="113"/>
  <c r="J1545" i="113"/>
  <c r="J1546" i="113"/>
  <c r="J1547" i="113"/>
  <c r="J1548" i="113"/>
  <c r="J1549" i="113"/>
  <c r="J1550" i="113"/>
  <c r="J1551" i="113"/>
  <c r="J1552" i="113"/>
  <c r="J1553" i="113"/>
  <c r="J1554" i="113"/>
  <c r="J1555" i="113"/>
  <c r="J1556" i="113"/>
  <c r="J1557" i="113"/>
  <c r="J1558" i="113"/>
  <c r="J1559" i="113"/>
  <c r="J1560" i="113"/>
  <c r="J1561" i="113"/>
  <c r="J1562" i="113"/>
  <c r="J1563" i="113"/>
  <c r="J1564" i="113"/>
  <c r="J1565" i="113"/>
  <c r="J1566" i="113"/>
  <c r="J1567" i="113"/>
  <c r="J1568" i="113"/>
  <c r="J1569" i="113"/>
  <c r="J1570" i="113"/>
  <c r="J1571" i="113"/>
  <c r="J1572" i="113"/>
  <c r="J1573" i="113"/>
  <c r="J1574" i="113"/>
  <c r="J1575" i="113"/>
  <c r="J1576" i="113"/>
  <c r="J1578" i="113"/>
  <c r="J1579" i="113"/>
  <c r="J1580" i="113"/>
  <c r="J1581" i="113"/>
  <c r="J1582" i="113"/>
  <c r="J1583" i="113"/>
  <c r="J1584" i="113"/>
  <c r="J1585" i="113"/>
  <c r="J1586" i="113"/>
  <c r="J1587" i="113"/>
  <c r="J1588" i="113"/>
  <c r="J1589" i="113"/>
  <c r="J1590" i="113"/>
  <c r="J1591" i="113"/>
  <c r="J1592" i="113"/>
  <c r="J1594" i="113"/>
  <c r="J1595" i="113"/>
  <c r="J1596" i="113"/>
  <c r="J1597" i="113"/>
  <c r="J1598" i="113"/>
  <c r="J1599" i="113"/>
  <c r="J1600" i="113"/>
  <c r="J1601" i="113"/>
  <c r="J1602" i="113"/>
  <c r="J1603" i="113"/>
  <c r="J1604" i="113"/>
  <c r="J1605" i="113"/>
  <c r="J1606" i="113"/>
  <c r="J1607" i="113"/>
  <c r="J1608" i="113"/>
  <c r="J1609" i="113"/>
  <c r="J1610" i="113"/>
  <c r="J1611" i="113"/>
  <c r="J1612" i="113"/>
  <c r="J1613" i="113"/>
  <c r="J1614" i="113"/>
  <c r="J1615" i="113"/>
  <c r="J1616" i="113"/>
  <c r="J1617" i="113"/>
  <c r="J1618" i="113"/>
  <c r="J1619" i="113"/>
  <c r="J1620" i="113"/>
  <c r="J1621" i="113"/>
  <c r="J1623" i="113"/>
  <c r="J1624" i="113"/>
  <c r="J1625" i="113"/>
  <c r="J1626" i="113"/>
  <c r="J1627" i="113"/>
  <c r="J1628" i="113"/>
  <c r="J1629" i="113"/>
  <c r="J1630" i="113"/>
  <c r="J1631" i="113"/>
  <c r="J1632" i="113"/>
  <c r="J1633" i="113"/>
  <c r="J1634" i="113"/>
  <c r="J1635" i="113"/>
  <c r="J1636" i="113"/>
  <c r="J1637" i="113"/>
  <c r="J1638" i="113"/>
  <c r="J1639" i="113"/>
  <c r="J1640" i="113"/>
  <c r="J1641" i="113"/>
  <c r="J1642" i="113"/>
  <c r="J1643" i="113"/>
  <c r="J1644" i="113"/>
  <c r="J1646" i="113"/>
  <c r="J1647" i="113"/>
  <c r="J1648" i="113"/>
  <c r="J1649" i="113"/>
  <c r="J1650" i="113"/>
  <c r="J1651" i="113"/>
  <c r="J1652" i="113"/>
  <c r="J1653" i="113"/>
  <c r="J1654" i="113"/>
  <c r="J1655" i="113"/>
  <c r="J1656" i="113"/>
  <c r="J1657" i="113"/>
  <c r="J1658" i="113"/>
  <c r="J1659" i="113"/>
  <c r="J1660" i="113"/>
  <c r="J1661" i="113"/>
  <c r="J1662" i="113"/>
  <c r="J1663" i="113"/>
  <c r="J1664" i="113"/>
  <c r="J1665" i="113"/>
  <c r="J1666" i="113"/>
  <c r="J1667" i="113"/>
  <c r="J1668" i="113"/>
  <c r="J1669" i="113"/>
  <c r="J1670" i="113"/>
  <c r="J1671" i="113"/>
  <c r="J1672" i="113"/>
  <c r="J1673" i="113"/>
  <c r="J1674" i="113"/>
  <c r="J1675" i="113"/>
  <c r="J1676" i="113"/>
  <c r="J1677" i="113"/>
  <c r="J1678" i="113"/>
  <c r="J1679" i="113"/>
  <c r="J1681" i="113"/>
  <c r="J1682" i="113"/>
  <c r="J1683" i="113"/>
  <c r="J1684" i="113"/>
  <c r="J1685" i="113"/>
  <c r="J1686" i="113"/>
  <c r="J1687" i="113"/>
  <c r="J1688" i="113"/>
  <c r="J1689" i="113"/>
  <c r="J1690" i="113"/>
  <c r="J1691" i="113"/>
  <c r="J1692" i="113"/>
  <c r="J1693" i="113"/>
  <c r="J1694" i="113"/>
  <c r="J1695" i="113"/>
  <c r="J1696" i="113"/>
  <c r="J1697" i="113"/>
  <c r="J1698" i="113"/>
  <c r="J1699" i="113"/>
  <c r="J1700" i="113"/>
  <c r="J1701" i="113"/>
  <c r="J1702" i="113"/>
  <c r="J1703" i="113"/>
  <c r="J1704" i="113"/>
  <c r="J1705" i="113"/>
  <c r="J1706" i="113"/>
  <c r="J1707" i="113"/>
  <c r="J1708" i="113"/>
  <c r="J1709" i="113"/>
  <c r="J1710" i="113"/>
  <c r="J1711" i="113"/>
  <c r="J1712" i="113"/>
  <c r="J1713" i="113"/>
  <c r="J1714" i="113"/>
  <c r="J1715" i="113"/>
  <c r="J1716" i="113"/>
  <c r="J1717" i="113"/>
  <c r="J1718" i="113"/>
  <c r="J1720" i="113"/>
  <c r="J1721" i="113"/>
  <c r="J1722" i="113"/>
  <c r="J1723" i="113"/>
  <c r="J1724" i="113"/>
  <c r="J1725" i="113"/>
  <c r="J1726" i="113"/>
  <c r="J1727" i="113"/>
  <c r="J1728" i="113"/>
  <c r="J1729" i="113"/>
  <c r="J1730" i="113"/>
  <c r="J1731" i="113"/>
  <c r="J1732" i="113"/>
  <c r="J1733" i="113"/>
  <c r="J1734" i="113"/>
  <c r="J1735" i="113"/>
  <c r="J1736" i="113"/>
  <c r="J1737" i="113"/>
  <c r="J1738" i="113"/>
  <c r="J1739" i="113"/>
  <c r="J1740" i="113"/>
  <c r="J1741" i="113"/>
  <c r="J1742" i="113"/>
  <c r="J1743" i="113"/>
  <c r="J1744" i="113"/>
  <c r="J1745" i="113"/>
  <c r="J1747" i="113"/>
  <c r="J1748" i="113"/>
  <c r="J1749" i="113"/>
  <c r="J1750" i="113"/>
  <c r="J1751" i="113"/>
  <c r="J1752" i="113"/>
  <c r="J1753" i="113"/>
  <c r="J1754" i="113"/>
  <c r="J1755" i="113"/>
  <c r="J1756" i="113"/>
  <c r="J1757" i="113"/>
  <c r="J1758" i="113"/>
  <c r="J1759" i="113"/>
  <c r="J1760" i="113"/>
  <c r="J1761" i="113"/>
  <c r="J1762" i="113"/>
  <c r="J1763" i="113"/>
  <c r="J1764" i="113"/>
  <c r="J1765" i="113"/>
  <c r="J1766" i="113"/>
  <c r="J1767" i="113"/>
  <c r="J1768" i="113"/>
  <c r="J1769" i="113"/>
  <c r="J1770" i="113"/>
  <c r="J1771" i="113"/>
  <c r="J1772" i="113"/>
  <c r="J1773" i="113"/>
  <c r="J1774" i="113"/>
  <c r="J1775" i="113"/>
  <c r="J1776" i="113"/>
  <c r="J1777" i="113"/>
  <c r="J1779" i="113"/>
  <c r="J1780" i="113"/>
  <c r="J1781" i="113"/>
  <c r="J1782" i="113"/>
  <c r="J1783" i="113"/>
  <c r="J1784" i="113"/>
  <c r="J1785" i="113"/>
  <c r="J1786" i="113"/>
  <c r="J1787" i="113"/>
  <c r="J1789" i="113"/>
  <c r="J1790" i="113"/>
  <c r="J1791" i="113"/>
  <c r="J1792" i="113"/>
  <c r="J1793" i="113"/>
  <c r="J1794" i="113"/>
  <c r="J1795" i="113"/>
  <c r="J1796" i="113"/>
  <c r="J1797" i="113"/>
  <c r="J1798" i="113"/>
  <c r="J1799" i="113"/>
  <c r="J1800" i="113"/>
  <c r="J1801" i="113"/>
  <c r="J1802" i="113"/>
  <c r="J1803" i="113"/>
  <c r="J1804" i="113"/>
  <c r="J1805" i="113"/>
  <c r="J1806" i="113"/>
  <c r="J1807" i="113"/>
  <c r="J1808" i="113"/>
  <c r="J1809" i="113"/>
  <c r="J1810" i="113"/>
  <c r="J1811" i="113"/>
  <c r="J1812" i="113"/>
  <c r="J1814" i="113"/>
  <c r="J1815" i="113"/>
  <c r="J1816" i="113"/>
  <c r="J1817" i="113"/>
  <c r="J1818" i="113"/>
  <c r="J1819" i="113"/>
  <c r="J1820" i="113"/>
  <c r="J1821" i="113"/>
  <c r="J1822" i="113"/>
  <c r="J1823" i="113"/>
  <c r="J1824" i="113"/>
  <c r="J1825" i="113"/>
  <c r="J1826" i="113"/>
  <c r="J1827" i="113"/>
  <c r="J1828" i="113"/>
  <c r="J1829" i="113"/>
  <c r="J1830" i="113"/>
  <c r="J1831" i="113"/>
  <c r="J1832" i="113"/>
  <c r="J1833" i="113"/>
  <c r="J1834" i="113"/>
  <c r="J1835" i="113"/>
  <c r="J1837" i="113"/>
  <c r="J1838" i="113"/>
  <c r="J1839" i="113"/>
  <c r="J1840" i="113"/>
  <c r="J1841" i="113"/>
  <c r="J1842" i="113"/>
  <c r="J1843" i="113"/>
  <c r="J1844" i="113"/>
  <c r="J1845" i="113"/>
  <c r="J1846" i="113"/>
  <c r="J1847" i="113"/>
  <c r="J1848" i="113"/>
  <c r="J1849" i="113"/>
  <c r="J1850" i="113"/>
  <c r="J1851" i="113"/>
  <c r="J1852" i="113"/>
  <c r="J1853" i="113"/>
  <c r="J1854" i="113"/>
  <c r="J1855" i="113"/>
  <c r="J1856" i="113"/>
  <c r="J1857" i="113"/>
  <c r="J1858" i="113"/>
  <c r="J1859" i="113"/>
  <c r="J1860" i="113"/>
  <c r="J1861" i="113"/>
  <c r="J1862" i="113"/>
  <c r="J1863" i="113"/>
  <c r="J1864" i="113"/>
  <c r="J1866" i="113"/>
  <c r="J1867" i="113"/>
  <c r="J1868" i="113"/>
  <c r="J1869" i="113"/>
  <c r="J1870" i="113"/>
  <c r="J1871" i="113"/>
  <c r="J1872" i="113"/>
  <c r="J1873" i="113"/>
  <c r="J1874" i="113"/>
  <c r="J1875" i="113"/>
  <c r="J1876" i="113"/>
  <c r="J1877" i="113"/>
  <c r="J1878" i="113"/>
  <c r="J1879" i="113"/>
  <c r="J1880" i="113"/>
  <c r="J1881" i="113"/>
  <c r="J1882" i="113"/>
  <c r="J1883" i="113"/>
  <c r="J1885" i="113"/>
  <c r="J1886" i="113"/>
  <c r="J1887" i="113"/>
  <c r="J1888" i="113"/>
  <c r="J1889" i="113"/>
  <c r="J1890" i="113"/>
  <c r="J1891" i="113"/>
  <c r="J1892" i="113"/>
  <c r="J1893" i="113"/>
  <c r="J1894" i="113"/>
  <c r="J1895" i="113"/>
  <c r="J1896" i="113"/>
  <c r="J1897" i="113"/>
  <c r="J1898" i="113"/>
  <c r="J1899" i="113"/>
  <c r="J1900" i="113"/>
  <c r="J1901" i="113"/>
  <c r="J1902" i="113"/>
  <c r="J1903" i="113"/>
  <c r="J1904" i="113"/>
  <c r="J1905" i="113"/>
  <c r="J1907" i="113"/>
  <c r="J1908" i="113"/>
  <c r="J1909" i="113"/>
  <c r="J1910" i="113"/>
  <c r="J1911" i="113"/>
  <c r="J1912" i="113"/>
  <c r="J1913" i="113"/>
  <c r="J1914" i="113"/>
  <c r="J1915" i="113"/>
  <c r="J1916" i="113"/>
  <c r="J1917" i="113"/>
  <c r="J1918" i="113"/>
  <c r="J1919" i="113"/>
  <c r="J1920" i="113"/>
  <c r="J1921" i="113"/>
  <c r="J1922" i="113"/>
  <c r="J1923" i="113"/>
  <c r="J1924" i="113"/>
  <c r="J1925" i="113"/>
  <c r="J1926" i="113"/>
  <c r="J1927" i="113"/>
  <c r="J1928" i="113"/>
  <c r="J1929" i="113"/>
  <c r="J1930" i="113"/>
  <c r="J1931" i="113"/>
  <c r="J1932" i="113"/>
  <c r="J1933" i="113"/>
  <c r="J1934" i="113"/>
  <c r="J1935" i="113"/>
  <c r="J1936" i="113"/>
  <c r="J1937" i="113"/>
  <c r="J1938" i="113"/>
  <c r="J1939" i="113"/>
  <c r="J1940" i="113"/>
  <c r="J1941" i="113"/>
  <c r="J1942" i="113"/>
  <c r="J1943" i="113"/>
  <c r="J1944" i="113"/>
  <c r="J1945" i="113"/>
  <c r="J1946" i="113"/>
  <c r="J1947" i="113"/>
  <c r="J1948" i="113"/>
  <c r="J1949" i="113"/>
  <c r="J1951" i="113"/>
  <c r="J1952" i="113"/>
  <c r="J1953" i="113"/>
  <c r="J1954" i="113"/>
  <c r="J1955" i="113"/>
  <c r="J1956" i="113"/>
  <c r="J1957" i="113"/>
  <c r="J1958" i="113"/>
  <c r="J1959" i="113"/>
  <c r="J1960" i="113"/>
  <c r="J1961" i="113"/>
  <c r="J1962" i="113"/>
  <c r="J1963" i="113"/>
  <c r="J1964" i="113"/>
  <c r="J1965" i="113"/>
  <c r="J1966" i="113"/>
  <c r="J1967" i="113"/>
  <c r="J1968" i="113"/>
  <c r="J1969" i="113"/>
  <c r="J1970" i="113"/>
  <c r="J1971" i="113"/>
  <c r="J1972" i="113"/>
  <c r="J1973" i="113"/>
  <c r="J1974" i="113"/>
  <c r="J1976" i="113"/>
  <c r="J1977" i="113"/>
  <c r="J1978" i="113"/>
  <c r="J1979" i="113"/>
  <c r="J1980" i="113"/>
  <c r="J1981" i="113"/>
  <c r="J1982" i="113"/>
  <c r="J1983" i="113"/>
  <c r="J1984" i="113"/>
  <c r="J1985" i="113"/>
  <c r="J1986" i="113"/>
  <c r="J1987" i="113"/>
  <c r="J1988" i="113"/>
  <c r="J1989" i="113"/>
  <c r="J1990" i="113"/>
  <c r="J1991" i="113"/>
  <c r="J1992" i="113"/>
  <c r="J1993" i="113"/>
  <c r="J1994" i="113"/>
  <c r="J1995" i="113"/>
  <c r="J1996" i="113"/>
  <c r="J1997" i="113"/>
  <c r="J1998" i="113"/>
  <c r="J1999" i="113"/>
  <c r="J2000" i="113"/>
  <c r="J2001" i="113"/>
  <c r="J2002" i="113"/>
  <c r="J2004" i="113"/>
  <c r="J2005" i="113"/>
  <c r="J2006" i="113"/>
  <c r="J2007" i="113"/>
  <c r="J2008" i="113"/>
  <c r="J2009" i="113"/>
  <c r="J2010" i="113"/>
  <c r="J2011" i="113"/>
  <c r="J2012" i="113"/>
  <c r="J2013" i="113"/>
  <c r="J2014" i="113"/>
  <c r="J2015" i="113"/>
  <c r="J2016" i="113"/>
  <c r="J2017" i="113"/>
  <c r="J2018" i="113"/>
  <c r="J2019" i="113"/>
  <c r="J2020" i="113"/>
  <c r="J2021" i="113"/>
  <c r="J2022" i="113"/>
  <c r="J2023" i="113"/>
  <c r="J2024" i="113"/>
  <c r="J2025" i="113"/>
  <c r="J2026" i="113"/>
  <c r="J2027" i="113"/>
  <c r="J2028" i="113"/>
  <c r="J2029" i="113"/>
  <c r="J2030" i="113"/>
  <c r="J2031" i="113"/>
  <c r="J2032" i="113"/>
  <c r="J2033" i="113"/>
  <c r="J2034" i="113"/>
  <c r="J2035" i="113"/>
  <c r="J2036" i="113"/>
  <c r="J2037" i="113"/>
  <c r="J2039" i="113"/>
  <c r="J2040" i="113"/>
  <c r="J2041" i="113"/>
  <c r="J2042" i="113"/>
  <c r="J2043" i="113"/>
  <c r="J2044" i="113"/>
  <c r="J2045" i="113"/>
  <c r="J2046" i="113"/>
  <c r="J2047" i="113"/>
  <c r="J2048" i="113"/>
  <c r="J2049" i="113"/>
  <c r="J2050" i="113"/>
  <c r="J2051" i="113"/>
  <c r="J2052" i="113"/>
  <c r="J2053" i="113"/>
  <c r="J2054" i="113"/>
  <c r="J2055" i="113"/>
  <c r="J2056" i="113"/>
  <c r="J2057" i="113"/>
  <c r="J2058" i="113"/>
  <c r="J2059" i="113"/>
  <c r="J2060" i="113"/>
  <c r="J2061" i="113"/>
  <c r="J2062" i="113"/>
  <c r="J2063" i="113"/>
  <c r="J2064" i="113"/>
  <c r="J2065" i="113"/>
  <c r="J2066" i="113"/>
  <c r="J2067" i="113"/>
  <c r="J2068" i="113"/>
  <c r="J2069" i="113"/>
  <c r="J2070" i="113"/>
  <c r="J2071" i="113"/>
  <c r="J2073" i="113"/>
  <c r="J2074" i="113"/>
  <c r="J2075" i="113"/>
  <c r="J2076" i="113"/>
  <c r="J2077" i="113"/>
  <c r="J2078" i="113"/>
  <c r="J2079" i="113"/>
  <c r="J2080" i="113"/>
  <c r="J2081" i="113"/>
  <c r="J2082" i="113"/>
  <c r="J2083" i="113"/>
  <c r="J2084" i="113"/>
  <c r="J2085" i="113"/>
  <c r="J2086" i="113"/>
  <c r="J2087" i="113"/>
  <c r="J2088" i="113"/>
  <c r="J2089" i="113"/>
  <c r="J2090" i="113"/>
  <c r="J2091" i="113"/>
  <c r="J2092" i="113"/>
  <c r="J2093" i="113"/>
  <c r="J2094" i="113"/>
  <c r="J2095" i="113"/>
  <c r="J2096" i="113"/>
  <c r="J2097" i="113"/>
  <c r="J2098" i="113"/>
  <c r="J2099" i="113"/>
  <c r="J2101" i="113"/>
  <c r="J2102" i="113"/>
  <c r="J2103" i="113"/>
  <c r="J2104" i="113"/>
  <c r="J2105" i="113"/>
  <c r="J2106" i="113"/>
  <c r="J2107" i="113"/>
  <c r="J2108" i="113"/>
  <c r="J2109" i="113"/>
  <c r="J2110" i="113"/>
  <c r="J2111" i="113"/>
  <c r="J2112" i="113"/>
  <c r="J2113" i="113"/>
  <c r="J2114" i="113"/>
  <c r="J2115" i="113"/>
  <c r="J2116" i="113"/>
  <c r="J2117" i="113"/>
  <c r="J2118" i="113"/>
  <c r="J2119" i="113"/>
  <c r="J2120" i="113"/>
  <c r="J2121" i="113"/>
  <c r="J2122" i="113"/>
  <c r="J2124" i="113"/>
  <c r="J2125" i="113"/>
  <c r="J2126" i="113"/>
  <c r="J2127" i="113"/>
  <c r="J2128" i="113"/>
  <c r="J2129" i="113"/>
  <c r="J2130" i="113"/>
  <c r="J2131" i="113"/>
  <c r="J2132" i="113"/>
  <c r="J2133" i="113"/>
  <c r="J2134" i="113"/>
  <c r="J2135" i="113"/>
  <c r="J2136" i="113"/>
  <c r="J2137" i="113"/>
  <c r="J2138" i="113"/>
  <c r="J2139" i="113"/>
  <c r="J2140" i="113"/>
  <c r="J2141" i="113"/>
  <c r="J2142" i="113"/>
  <c r="J2143" i="113"/>
  <c r="J2144" i="113"/>
  <c r="J2145" i="113"/>
  <c r="J2146" i="113"/>
  <c r="J2147" i="113"/>
  <c r="J2148" i="113"/>
  <c r="J2149" i="113"/>
  <c r="J2150" i="113"/>
  <c r="J2151" i="113"/>
  <c r="J2152" i="113"/>
  <c r="J2153" i="113"/>
  <c r="J2154" i="113"/>
  <c r="J2155" i="113"/>
  <c r="J2156" i="113"/>
  <c r="J2157" i="113"/>
  <c r="J2158" i="113"/>
  <c r="J2159" i="113"/>
  <c r="J2160" i="113"/>
  <c r="J2162" i="113"/>
  <c r="J2163" i="113"/>
  <c r="J2164" i="113"/>
  <c r="J2165" i="113"/>
  <c r="J2166" i="113"/>
  <c r="J2167" i="113"/>
  <c r="J2168" i="113"/>
  <c r="J2169" i="113"/>
  <c r="J2170" i="113"/>
  <c r="J2171" i="113"/>
  <c r="J2172" i="113"/>
  <c r="J2173" i="113"/>
  <c r="J2174" i="113"/>
  <c r="J2176" i="113"/>
  <c r="J2177" i="113"/>
  <c r="J2178" i="113"/>
  <c r="J2179" i="113"/>
  <c r="J2180" i="113"/>
  <c r="J2181" i="113"/>
  <c r="J2182" i="113"/>
  <c r="J2183" i="113"/>
  <c r="J2184" i="113"/>
  <c r="J2185" i="113"/>
  <c r="J2186" i="113"/>
  <c r="J2187" i="113"/>
  <c r="J2188" i="113"/>
  <c r="J2189" i="113"/>
  <c r="J2190" i="113"/>
  <c r="J2191" i="113"/>
  <c r="J2192" i="113"/>
  <c r="J2193" i="113"/>
  <c r="J2194" i="113"/>
  <c r="J2195" i="113"/>
  <c r="J2196" i="113"/>
  <c r="J2197" i="113"/>
  <c r="J2198" i="113"/>
  <c r="J2199" i="113"/>
  <c r="J2200" i="113"/>
  <c r="J2201" i="113"/>
  <c r="J2202" i="113"/>
  <c r="J2203" i="113"/>
  <c r="J2205" i="113"/>
  <c r="J2206" i="113"/>
  <c r="J2207" i="113"/>
  <c r="J2208" i="113"/>
  <c r="J2209" i="113"/>
  <c r="J2210" i="113"/>
  <c r="J2211" i="113"/>
  <c r="J2212" i="113"/>
  <c r="J2213" i="113"/>
  <c r="J2214" i="113"/>
  <c r="J2215" i="113"/>
  <c r="J2216" i="113"/>
  <c r="J2217" i="113"/>
  <c r="J2218" i="113"/>
  <c r="J2219" i="113"/>
  <c r="J2220" i="113"/>
  <c r="J2221" i="113"/>
  <c r="J2222" i="113"/>
  <c r="J2223" i="113"/>
  <c r="J2224" i="113"/>
  <c r="J2225" i="113"/>
  <c r="J2226" i="113"/>
  <c r="J2227" i="113"/>
  <c r="J2229" i="113"/>
  <c r="J2230" i="113"/>
  <c r="J2231" i="113"/>
  <c r="J2232" i="113"/>
  <c r="J2233" i="113"/>
  <c r="J2234" i="113"/>
  <c r="J2235" i="113"/>
  <c r="J2236" i="113"/>
  <c r="J2237" i="113"/>
  <c r="J2238" i="113"/>
  <c r="J2239" i="113"/>
  <c r="J2240" i="113"/>
  <c r="J2241" i="113"/>
  <c r="J2242" i="113"/>
  <c r="J2243" i="113"/>
  <c r="J2244" i="113"/>
  <c r="J2245" i="113"/>
  <c r="J2246" i="113"/>
  <c r="J2247" i="113"/>
  <c r="J2248" i="113"/>
  <c r="J2249" i="113"/>
  <c r="J2250" i="113"/>
  <c r="J2251" i="113"/>
  <c r="J2253" i="113"/>
  <c r="J2254" i="113"/>
  <c r="J2255" i="113"/>
  <c r="J2256" i="113"/>
  <c r="J2257" i="113"/>
  <c r="J2258" i="113"/>
  <c r="J2259" i="113"/>
  <c r="J2260" i="113"/>
  <c r="J2261" i="113"/>
  <c r="J2262" i="113"/>
  <c r="J2263" i="113"/>
  <c r="J2264" i="113"/>
  <c r="J2265" i="113"/>
  <c r="J2266" i="113"/>
  <c r="J2267" i="113"/>
  <c r="J2268" i="113"/>
  <c r="J2269" i="113"/>
  <c r="J2270" i="113"/>
  <c r="J2271" i="113"/>
  <c r="J2272" i="113"/>
  <c r="J2273" i="113"/>
  <c r="J2274" i="113"/>
  <c r="J2275" i="113"/>
  <c r="J2276" i="113"/>
  <c r="J2277" i="113"/>
  <c r="J2278" i="113"/>
  <c r="J2279" i="113"/>
  <c r="J2280" i="113"/>
  <c r="J2282" i="113"/>
  <c r="J2283" i="113"/>
  <c r="J2284" i="113"/>
  <c r="J2285" i="113"/>
  <c r="J2286" i="113"/>
  <c r="J2287" i="113"/>
  <c r="J2288" i="113"/>
  <c r="J2289" i="113"/>
  <c r="J2290" i="113"/>
  <c r="J2291" i="113"/>
  <c r="J2292" i="113"/>
  <c r="J2293" i="113"/>
  <c r="J2294" i="113"/>
  <c r="J2295" i="113"/>
  <c r="J2296" i="113"/>
  <c r="J2297" i="113"/>
  <c r="J2298" i="113"/>
  <c r="J2299" i="113"/>
  <c r="J2300" i="113"/>
  <c r="J2301" i="113"/>
  <c r="J2302" i="113"/>
  <c r="J2303" i="113"/>
  <c r="J2304" i="113"/>
  <c r="J2306" i="113"/>
  <c r="J2307" i="113"/>
  <c r="J2308" i="113"/>
  <c r="J2309" i="113"/>
  <c r="J2310" i="113"/>
  <c r="J2311" i="113"/>
  <c r="J2312" i="113"/>
  <c r="J2313" i="113"/>
  <c r="J2314" i="113"/>
  <c r="J2315" i="113"/>
  <c r="J2316" i="113"/>
  <c r="J2317" i="113"/>
  <c r="J2319" i="113"/>
  <c r="J2320" i="113"/>
  <c r="J2321" i="113"/>
  <c r="J2322" i="113"/>
  <c r="J2323" i="113"/>
  <c r="J2324" i="113"/>
  <c r="J2325" i="113"/>
  <c r="J2326" i="113"/>
  <c r="J2327" i="113"/>
  <c r="J2328" i="113"/>
  <c r="J2329" i="113"/>
  <c r="J2330" i="113"/>
  <c r="J2331" i="113"/>
  <c r="J2332" i="113"/>
  <c r="J2333" i="113"/>
  <c r="J2334" i="113"/>
  <c r="J2335" i="113"/>
  <c r="J2336" i="113"/>
  <c r="J2337" i="113"/>
  <c r="J2338" i="113"/>
  <c r="J2339" i="113"/>
  <c r="J2340" i="113"/>
  <c r="J2341" i="113"/>
  <c r="J2342" i="113"/>
  <c r="J2343" i="113"/>
  <c r="J2344" i="113"/>
  <c r="J2345" i="113"/>
  <c r="J2346" i="113"/>
  <c r="J2347" i="113"/>
  <c r="J2348" i="113"/>
  <c r="J2349" i="113"/>
  <c r="J2350" i="113"/>
  <c r="J2351" i="113"/>
  <c r="J2353" i="113"/>
  <c r="J2354" i="113"/>
  <c r="J2355" i="113"/>
  <c r="J2356" i="113"/>
  <c r="J2357" i="113"/>
  <c r="J2358" i="113"/>
  <c r="J2359" i="113"/>
  <c r="J2360" i="113"/>
  <c r="J2361" i="113"/>
  <c r="J2362" i="113"/>
  <c r="J2363" i="113"/>
  <c r="J2364" i="113"/>
  <c r="J2365" i="113"/>
  <c r="J2366" i="113"/>
  <c r="J2367" i="113"/>
  <c r="J2368" i="113"/>
  <c r="J2370" i="113"/>
  <c r="J2371" i="113"/>
  <c r="J2372" i="113"/>
  <c r="J2373" i="113"/>
  <c r="J2374" i="113"/>
  <c r="J2375" i="113"/>
  <c r="J2376" i="113"/>
  <c r="J2377" i="113"/>
  <c r="J2378" i="113"/>
  <c r="J2379" i="113"/>
  <c r="J2380" i="113"/>
  <c r="J2381" i="113"/>
  <c r="J2383" i="113"/>
  <c r="J2384" i="113"/>
  <c r="J2385" i="113"/>
  <c r="J2386" i="113"/>
  <c r="J2387" i="113"/>
  <c r="J2388" i="113"/>
  <c r="J2389" i="113"/>
  <c r="J2390" i="113"/>
  <c r="J2391" i="113"/>
  <c r="J2392" i="113"/>
  <c r="J2393" i="113"/>
  <c r="J2394" i="113"/>
  <c r="J2395" i="113"/>
  <c r="J2396" i="113"/>
  <c r="J2397" i="113"/>
  <c r="J2398" i="113"/>
  <c r="J2400" i="113"/>
  <c r="J2401" i="113"/>
  <c r="J2402" i="113"/>
  <c r="J2403" i="113"/>
  <c r="J2404" i="113"/>
  <c r="J2405" i="113"/>
  <c r="J2406" i="113"/>
  <c r="J2407" i="113"/>
  <c r="J2408" i="113"/>
  <c r="J2409" i="113"/>
  <c r="J2410" i="113"/>
  <c r="J2411" i="113"/>
  <c r="J2412" i="113"/>
  <c r="J2413" i="113"/>
  <c r="J2414" i="113"/>
  <c r="J2415" i="113"/>
  <c r="J2416" i="113"/>
  <c r="J2417" i="113"/>
  <c r="J2419" i="113"/>
  <c r="J2420" i="113"/>
  <c r="J2421" i="113"/>
  <c r="J2422" i="113"/>
  <c r="J2423" i="113"/>
  <c r="J2424" i="113"/>
  <c r="J2425" i="113"/>
  <c r="J2426" i="113"/>
  <c r="J2427" i="113"/>
  <c r="J2428" i="113"/>
  <c r="J2429" i="113"/>
  <c r="J2430" i="113"/>
  <c r="J2431" i="113"/>
  <c r="J2432" i="113"/>
  <c r="J2433" i="113"/>
  <c r="J2434" i="113"/>
  <c r="J2435" i="113"/>
  <c r="J2436" i="113"/>
  <c r="J2437" i="113"/>
  <c r="J2438" i="113"/>
  <c r="J2439" i="113"/>
  <c r="J2440" i="113"/>
  <c r="J2441" i="113"/>
  <c r="J2442" i="113"/>
  <c r="J2443" i="113"/>
  <c r="J2444" i="113"/>
  <c r="J2445" i="113"/>
  <c r="J2446" i="113"/>
  <c r="J2447" i="113"/>
  <c r="J2448" i="113"/>
  <c r="J2449" i="113"/>
  <c r="J2450" i="113"/>
  <c r="J2451" i="113"/>
  <c r="J2452" i="113"/>
  <c r="J2454" i="113"/>
  <c r="J2455" i="113"/>
  <c r="J2456" i="113"/>
  <c r="J2457" i="113"/>
  <c r="J2458" i="113"/>
  <c r="J2459" i="113"/>
  <c r="J2460" i="113"/>
  <c r="J2461" i="113"/>
  <c r="J2462" i="113"/>
  <c r="J2463" i="113"/>
  <c r="J2464" i="113"/>
  <c r="J2465" i="113"/>
  <c r="J2466" i="113"/>
  <c r="J2467" i="113"/>
  <c r="J2468" i="113"/>
  <c r="J2469" i="113"/>
  <c r="J2470" i="113"/>
  <c r="J2471" i="113"/>
  <c r="J2472" i="113"/>
  <c r="J2473" i="113"/>
  <c r="J2475" i="113"/>
  <c r="J2476" i="113"/>
  <c r="J2477" i="113"/>
  <c r="J2478" i="113"/>
  <c r="J2479" i="113"/>
  <c r="J2480" i="113"/>
  <c r="J2481" i="113"/>
  <c r="J2482" i="113"/>
  <c r="J2483" i="113"/>
  <c r="J2484" i="113"/>
  <c r="J2485" i="113"/>
  <c r="J2486" i="113"/>
  <c r="J2487" i="113"/>
  <c r="J2488" i="113"/>
  <c r="J2489" i="113"/>
  <c r="J2490" i="113"/>
  <c r="J2491" i="113"/>
  <c r="J2492" i="113"/>
  <c r="J2493" i="113"/>
  <c r="J2494" i="113"/>
  <c r="J2495" i="113"/>
  <c r="J2496" i="113"/>
  <c r="J2497" i="113"/>
  <c r="J2498" i="113"/>
  <c r="J2499" i="113"/>
  <c r="J2500" i="113"/>
  <c r="J2502" i="113"/>
  <c r="J2503" i="113"/>
  <c r="J2504" i="113"/>
  <c r="J2505" i="113"/>
  <c r="J2506" i="113"/>
  <c r="J2507" i="113"/>
  <c r="J2508" i="113"/>
  <c r="J2509" i="113"/>
  <c r="J2510" i="113"/>
  <c r="J2511" i="113"/>
  <c r="J2512" i="113"/>
  <c r="J2513" i="113"/>
  <c r="J2514" i="113"/>
  <c r="J2515" i="113"/>
  <c r="J2516" i="113"/>
  <c r="J2517" i="113"/>
  <c r="J2518" i="113"/>
  <c r="J2519" i="113"/>
  <c r="J2520" i="113"/>
  <c r="J2521" i="113"/>
  <c r="J2522" i="113"/>
  <c r="J2523" i="113"/>
  <c r="J2525" i="113"/>
  <c r="J2526" i="113"/>
  <c r="J2527" i="113"/>
  <c r="J2528" i="113"/>
  <c r="J2529" i="113"/>
  <c r="J2530" i="113"/>
  <c r="J2531" i="113"/>
  <c r="J2532" i="113"/>
  <c r="J2533" i="113"/>
  <c r="J2534" i="113"/>
  <c r="J2535" i="113"/>
  <c r="J2536" i="113"/>
  <c r="J2537" i="113"/>
  <c r="J2538" i="113"/>
  <c r="J2539" i="113"/>
  <c r="J2540" i="113"/>
  <c r="J2541" i="113"/>
  <c r="J2542" i="113"/>
  <c r="J2543" i="113"/>
  <c r="J2544" i="113"/>
  <c r="J2545" i="113"/>
  <c r="J2546" i="113"/>
  <c r="J2547" i="113"/>
  <c r="J2548" i="113"/>
  <c r="J2549" i="113"/>
  <c r="J2550" i="113"/>
  <c r="J2551" i="113"/>
  <c r="J2552" i="113"/>
  <c r="J2553" i="113"/>
  <c r="J2554" i="113"/>
  <c r="J2555" i="113"/>
  <c r="J2557" i="113"/>
  <c r="J2558" i="113"/>
  <c r="J2559" i="113"/>
  <c r="J2560" i="113"/>
  <c r="J2561" i="113"/>
  <c r="J2562" i="113"/>
  <c r="J2563" i="113"/>
  <c r="J2564" i="113"/>
  <c r="J2565" i="113"/>
  <c r="J2566" i="113"/>
  <c r="J2567" i="113"/>
  <c r="J2568" i="113"/>
  <c r="J2569" i="113"/>
  <c r="J2570" i="113"/>
  <c r="J2571" i="113"/>
  <c r="J2572" i="113"/>
  <c r="J2573" i="113"/>
  <c r="J2574" i="113"/>
  <c r="J2575" i="113"/>
  <c r="J2576" i="113"/>
  <c r="J2577" i="113"/>
  <c r="J2578" i="113"/>
  <c r="J2579" i="113"/>
  <c r="J2580" i="113"/>
  <c r="J2581" i="113"/>
  <c r="J2582" i="113"/>
  <c r="J2583" i="113"/>
  <c r="J2584" i="113"/>
  <c r="J2585" i="113"/>
  <c r="J2586" i="113"/>
  <c r="J2587" i="113"/>
  <c r="J2588" i="113"/>
  <c r="J2589" i="113"/>
  <c r="J2590" i="113"/>
  <c r="J2591" i="113"/>
  <c r="J2592" i="113"/>
  <c r="J2593" i="113"/>
  <c r="J2594" i="113"/>
  <c r="J2595" i="113"/>
  <c r="J2596" i="113"/>
  <c r="J2597" i="113"/>
  <c r="J2598" i="113"/>
  <c r="J2599" i="113"/>
  <c r="J2601" i="113"/>
  <c r="J2602" i="113"/>
  <c r="J2603" i="113"/>
  <c r="J2604" i="113"/>
  <c r="J2605" i="113"/>
  <c r="J2606" i="113"/>
  <c r="J2607" i="113"/>
  <c r="J2608" i="113"/>
  <c r="J2609" i="113"/>
  <c r="J2610" i="113"/>
  <c r="J2611" i="113"/>
  <c r="J2612" i="113"/>
  <c r="J2613" i="113"/>
  <c r="J2614" i="113"/>
  <c r="J2615" i="113"/>
  <c r="J2616" i="113"/>
  <c r="J2617" i="113"/>
  <c r="J2618" i="113"/>
  <c r="J2619" i="113"/>
  <c r="J2620" i="113"/>
  <c r="J2621" i="113"/>
  <c r="J2622" i="113"/>
  <c r="J2623" i="113"/>
  <c r="J2624" i="113"/>
  <c r="J2626" i="113"/>
  <c r="J2627" i="113"/>
  <c r="J2628" i="113"/>
  <c r="J2629" i="113"/>
  <c r="J2630" i="113"/>
  <c r="J2631" i="113"/>
  <c r="J2632" i="113"/>
  <c r="J2633" i="113"/>
  <c r="J2634" i="113"/>
  <c r="J2635" i="113"/>
  <c r="J2636" i="113"/>
  <c r="J2637" i="113"/>
  <c r="J2638" i="113"/>
  <c r="J2639" i="113"/>
  <c r="J2640" i="113"/>
  <c r="J2641" i="113"/>
  <c r="J2642" i="113"/>
  <c r="J2643" i="113"/>
  <c r="J2644" i="113"/>
  <c r="J2645" i="113"/>
  <c r="J2646" i="113"/>
  <c r="J2647" i="113"/>
  <c r="J2648" i="113"/>
  <c r="J2649" i="113"/>
  <c r="J2650" i="113"/>
  <c r="J2651" i="113"/>
  <c r="J2652" i="113"/>
  <c r="J2653" i="113"/>
  <c r="J2654" i="113"/>
  <c r="J2655" i="113"/>
  <c r="J2656" i="113"/>
  <c r="J2658" i="113"/>
  <c r="J2659" i="113"/>
  <c r="J2660" i="113"/>
  <c r="J2661" i="113"/>
  <c r="J2662" i="113"/>
  <c r="J2663" i="113"/>
  <c r="J2664" i="113"/>
  <c r="J2665" i="113"/>
  <c r="J2666" i="113"/>
  <c r="J2667" i="113"/>
  <c r="J2668" i="113"/>
  <c r="J2669" i="113"/>
  <c r="J2670" i="113"/>
  <c r="J2671" i="113"/>
  <c r="J2672" i="113"/>
  <c r="J2673" i="113"/>
  <c r="J2674" i="113"/>
  <c r="J2675" i="113"/>
  <c r="J2676" i="113"/>
  <c r="J2677" i="113"/>
  <c r="J2678" i="113"/>
  <c r="L155" i="113"/>
  <c r="L547" i="113"/>
  <c r="L634" i="113"/>
  <c r="L1787" i="113"/>
  <c r="L1976" i="113"/>
  <c r="L2032" i="113"/>
  <c r="L2222" i="113"/>
  <c r="L2223" i="113"/>
  <c r="L2250" i="113"/>
  <c r="L2373" i="113"/>
  <c r="L2402" i="113"/>
  <c r="L2404" i="113"/>
  <c r="L2405" i="113"/>
  <c r="L2557" i="113"/>
  <c r="L2579" i="113"/>
  <c r="L2581" i="113"/>
  <c r="L2583" i="113"/>
  <c r="L2622" i="113"/>
  <c r="C95" i="114"/>
  <c r="E94" i="114"/>
  <c r="D94" i="114"/>
  <c r="L2668" i="113" s="1"/>
  <c r="E93" i="114"/>
  <c r="D93" i="114"/>
  <c r="L2643" i="113" s="1"/>
  <c r="E92" i="114"/>
  <c r="D92" i="114"/>
  <c r="L2602" i="113" s="1"/>
  <c r="E91" i="114"/>
  <c r="D91" i="114"/>
  <c r="L2560" i="113" s="1"/>
  <c r="E90" i="114"/>
  <c r="D90" i="114"/>
  <c r="L2532" i="113" s="1"/>
  <c r="E89" i="114"/>
  <c r="D89" i="114"/>
  <c r="L2504" i="113" s="1"/>
  <c r="E88" i="114"/>
  <c r="D88" i="114"/>
  <c r="L2476" i="113" s="1"/>
  <c r="E87" i="114"/>
  <c r="D87" i="114"/>
  <c r="E86" i="114"/>
  <c r="D86" i="114"/>
  <c r="L2445" i="113" s="1"/>
  <c r="E85" i="114"/>
  <c r="D85" i="114"/>
  <c r="L2406" i="113" s="1"/>
  <c r="E84" i="114"/>
  <c r="D84" i="114"/>
  <c r="L2392" i="113" s="1"/>
  <c r="E83" i="114"/>
  <c r="D83" i="114"/>
  <c r="L2378" i="113" s="1"/>
  <c r="E82" i="114"/>
  <c r="D82" i="114"/>
  <c r="L2364" i="113" s="1"/>
  <c r="E81" i="114"/>
  <c r="D81" i="114"/>
  <c r="L2322" i="113" s="1"/>
  <c r="E80" i="114"/>
  <c r="D80" i="114"/>
  <c r="L2317" i="113" s="1"/>
  <c r="E79" i="114"/>
  <c r="D79" i="114"/>
  <c r="L2290" i="113" s="1"/>
  <c r="E78" i="114"/>
  <c r="D78" i="114"/>
  <c r="L2252" i="113" s="1"/>
  <c r="E77" i="114"/>
  <c r="D77" i="114"/>
  <c r="L2238" i="113" s="1"/>
  <c r="E76" i="114"/>
  <c r="D76" i="114"/>
  <c r="L2210" i="113" s="1"/>
  <c r="E75" i="114"/>
  <c r="D75" i="114"/>
  <c r="L2177" i="113" s="1"/>
  <c r="E74" i="114"/>
  <c r="D74" i="114"/>
  <c r="L2161" i="113" s="1"/>
  <c r="E73" i="114"/>
  <c r="D73" i="114"/>
  <c r="L2144" i="113" s="1"/>
  <c r="E72" i="114"/>
  <c r="D72" i="114"/>
  <c r="E71" i="114"/>
  <c r="D71" i="114"/>
  <c r="L2081" i="113" s="1"/>
  <c r="E70" i="114"/>
  <c r="D70" i="114"/>
  <c r="L2043" i="113" s="1"/>
  <c r="E69" i="114"/>
  <c r="D69" i="114"/>
  <c r="L2005" i="113" s="1"/>
  <c r="E68" i="114"/>
  <c r="D68" i="114"/>
  <c r="L1989" i="113" s="1"/>
  <c r="E67" i="114"/>
  <c r="D67" i="114"/>
  <c r="L1955" i="113" s="1"/>
  <c r="E66" i="114"/>
  <c r="D66" i="114"/>
  <c r="L1906" i="113" s="1"/>
  <c r="E65" i="114"/>
  <c r="D65" i="114"/>
  <c r="L1886" i="113" s="1"/>
  <c r="E64" i="114"/>
  <c r="D64" i="114"/>
  <c r="L1865" i="113" s="1"/>
  <c r="E63" i="114"/>
  <c r="D63" i="114"/>
  <c r="L1844" i="113" s="1"/>
  <c r="E62" i="114"/>
  <c r="D62" i="114"/>
  <c r="L1821" i="113" s="1"/>
  <c r="E61" i="114"/>
  <c r="D61" i="114"/>
  <c r="L1802" i="113" s="1"/>
  <c r="E60" i="114"/>
  <c r="D60" i="114"/>
  <c r="L1779" i="113" s="1"/>
  <c r="E59" i="114"/>
  <c r="D59" i="114"/>
  <c r="L1760" i="113" s="1"/>
  <c r="E58" i="114"/>
  <c r="D58" i="114"/>
  <c r="E57" i="114"/>
  <c r="D57" i="114"/>
  <c r="L1691" i="113" s="1"/>
  <c r="E56" i="114"/>
  <c r="D56" i="114"/>
  <c r="L1663" i="113" s="1"/>
  <c r="E55" i="114"/>
  <c r="D55" i="114"/>
  <c r="L1643" i="113" s="1"/>
  <c r="E54" i="114"/>
  <c r="D54" i="114"/>
  <c r="L1614" i="113" s="1"/>
  <c r="E53" i="114"/>
  <c r="D53" i="114"/>
  <c r="L1590" i="113" s="1"/>
  <c r="E52" i="114"/>
  <c r="D52" i="114"/>
  <c r="L1559" i="113" s="1"/>
  <c r="E51" i="114"/>
  <c r="D51" i="114"/>
  <c r="E50" i="114"/>
  <c r="D50" i="114"/>
  <c r="L1460" i="113" s="1"/>
  <c r="E49" i="114"/>
  <c r="D49" i="114"/>
  <c r="L1432" i="113" s="1"/>
  <c r="E48" i="114"/>
  <c r="D48" i="114"/>
  <c r="L1412" i="113" s="1"/>
  <c r="E47" i="114"/>
  <c r="D47" i="114"/>
  <c r="L1312" i="113" s="1"/>
  <c r="E46" i="114"/>
  <c r="D46" i="114"/>
  <c r="E45" i="114"/>
  <c r="D45" i="114"/>
  <c r="L1266" i="113" s="1"/>
  <c r="E44" i="114"/>
  <c r="D44" i="114"/>
  <c r="E43" i="114"/>
  <c r="D43" i="114"/>
  <c r="L1179" i="113" s="1"/>
  <c r="E42" i="114"/>
  <c r="D42" i="114"/>
  <c r="L1149" i="113" s="1"/>
  <c r="E41" i="114"/>
  <c r="D41" i="114"/>
  <c r="L1135" i="113" s="1"/>
  <c r="E40" i="114"/>
  <c r="D40" i="114"/>
  <c r="L1107" i="113" s="1"/>
  <c r="E39" i="114"/>
  <c r="D39" i="114"/>
  <c r="E38" i="114"/>
  <c r="D38" i="114"/>
  <c r="E37" i="114"/>
  <c r="D37" i="114"/>
  <c r="E36" i="114"/>
  <c r="D36" i="114"/>
  <c r="L1009" i="113" s="1"/>
  <c r="E35" i="114"/>
  <c r="D35" i="114"/>
  <c r="L959" i="113" s="1"/>
  <c r="E34" i="114"/>
  <c r="D34" i="114"/>
  <c r="E33" i="114"/>
  <c r="D33" i="114"/>
  <c r="L882" i="113" s="1"/>
  <c r="E32" i="114"/>
  <c r="D32" i="114"/>
  <c r="E31" i="114"/>
  <c r="D31" i="114"/>
  <c r="E30" i="114"/>
  <c r="D30" i="114"/>
  <c r="E29" i="114"/>
  <c r="D29" i="114"/>
  <c r="L730" i="113" s="1"/>
  <c r="E28" i="114"/>
  <c r="D28" i="114"/>
  <c r="L706" i="113" s="1"/>
  <c r="E27" i="114"/>
  <c r="D27" i="114"/>
  <c r="E26" i="114"/>
  <c r="D26" i="114"/>
  <c r="L663" i="113" s="1"/>
  <c r="E25" i="114"/>
  <c r="D25" i="114"/>
  <c r="L635" i="113" s="1"/>
  <c r="E24" i="114"/>
  <c r="D24" i="114"/>
  <c r="E23" i="114"/>
  <c r="D23" i="114"/>
  <c r="E22" i="114"/>
  <c r="D22" i="114"/>
  <c r="L560" i="113" s="1"/>
  <c r="E21" i="114"/>
  <c r="D21" i="114"/>
  <c r="L536" i="113" s="1"/>
  <c r="E20" i="114"/>
  <c r="D20" i="114"/>
  <c r="L493" i="113" s="1"/>
  <c r="E19" i="114"/>
  <c r="D19" i="114"/>
  <c r="E18" i="114"/>
  <c r="D18" i="114"/>
  <c r="L421" i="113" s="1"/>
  <c r="E17" i="114"/>
  <c r="D17" i="114"/>
  <c r="L410" i="113" s="1"/>
  <c r="E16" i="114"/>
  <c r="D16" i="114"/>
  <c r="E15" i="114"/>
  <c r="D15" i="114"/>
  <c r="L338" i="113" s="1"/>
  <c r="E14" i="114"/>
  <c r="D14" i="114"/>
  <c r="E13" i="114"/>
  <c r="D13" i="114"/>
  <c r="L280" i="113" s="1"/>
  <c r="E12" i="114"/>
  <c r="D12" i="114"/>
  <c r="L252" i="113" s="1"/>
  <c r="E11" i="114"/>
  <c r="D11" i="114"/>
  <c r="E10" i="114"/>
  <c r="D10" i="114"/>
  <c r="E9" i="114"/>
  <c r="D9" i="114"/>
  <c r="E8" i="114"/>
  <c r="D8" i="114"/>
  <c r="L142" i="113" s="1"/>
  <c r="E7" i="114"/>
  <c r="D7" i="114"/>
  <c r="E6" i="114"/>
  <c r="D6" i="114"/>
  <c r="L102" i="113" s="1"/>
  <c r="E5" i="114"/>
  <c r="D5" i="114"/>
  <c r="E4" i="114"/>
  <c r="D4" i="114"/>
  <c r="L44" i="113" s="1"/>
  <c r="E3" i="114"/>
  <c r="D3" i="114"/>
  <c r="L5" i="113" s="1"/>
  <c r="J4" i="111"/>
  <c r="J5" i="111"/>
  <c r="J6" i="111"/>
  <c r="J7" i="111"/>
  <c r="J8" i="111"/>
  <c r="J9" i="111"/>
  <c r="J10" i="111"/>
  <c r="J11" i="111"/>
  <c r="J12" i="111"/>
  <c r="J13" i="111"/>
  <c r="J14" i="111"/>
  <c r="J15" i="111"/>
  <c r="J16" i="111"/>
  <c r="J17" i="111"/>
  <c r="J18" i="111"/>
  <c r="J19" i="111"/>
  <c r="J20" i="111"/>
  <c r="J21" i="111"/>
  <c r="J22" i="111"/>
  <c r="J23" i="111"/>
  <c r="J24" i="111"/>
  <c r="J25" i="111"/>
  <c r="J26" i="111"/>
  <c r="J27" i="111"/>
  <c r="J28" i="111"/>
  <c r="J29" i="111"/>
  <c r="J30" i="111"/>
  <c r="J31" i="111"/>
  <c r="J32" i="111"/>
  <c r="J33" i="111"/>
  <c r="J34" i="111"/>
  <c r="J35" i="111"/>
  <c r="J36" i="111"/>
  <c r="J37" i="111"/>
  <c r="J38" i="111"/>
  <c r="J39" i="111"/>
  <c r="J40" i="111"/>
  <c r="J41" i="111"/>
  <c r="J42" i="111"/>
  <c r="J43" i="111"/>
  <c r="J44" i="111"/>
  <c r="J45" i="111"/>
  <c r="J46" i="111"/>
  <c r="J47" i="111"/>
  <c r="J48" i="111"/>
  <c r="J49" i="111"/>
  <c r="J50" i="111"/>
  <c r="J51" i="111"/>
  <c r="J52" i="111"/>
  <c r="J53" i="111"/>
  <c r="J54" i="111"/>
  <c r="J55" i="111"/>
  <c r="J56" i="111"/>
  <c r="J57" i="111"/>
  <c r="J58" i="111"/>
  <c r="J59" i="111"/>
  <c r="J60" i="111"/>
  <c r="J61" i="111"/>
  <c r="J62" i="111"/>
  <c r="J63" i="111"/>
  <c r="J64" i="111"/>
  <c r="J65" i="111"/>
  <c r="J66" i="111"/>
  <c r="J67" i="111"/>
  <c r="J68" i="111"/>
  <c r="J69" i="111"/>
  <c r="J70" i="111"/>
  <c r="J71" i="111"/>
  <c r="J72" i="111"/>
  <c r="J73" i="111"/>
  <c r="J74" i="111"/>
  <c r="J75" i="111"/>
  <c r="J76" i="111"/>
  <c r="J77" i="111"/>
  <c r="J78" i="111"/>
  <c r="J79" i="111"/>
  <c r="J80" i="111"/>
  <c r="J81" i="111"/>
  <c r="J82" i="111"/>
  <c r="J83" i="111"/>
  <c r="J84" i="111"/>
  <c r="J85" i="111"/>
  <c r="J86" i="111"/>
  <c r="J87" i="111"/>
  <c r="J88" i="111"/>
  <c r="J89" i="111"/>
  <c r="J90" i="111"/>
  <c r="J91" i="111"/>
  <c r="J92" i="111"/>
  <c r="J93" i="111"/>
  <c r="J94" i="111"/>
  <c r="J95" i="111"/>
  <c r="J96" i="111"/>
  <c r="J97" i="111"/>
  <c r="J98" i="111"/>
  <c r="J99" i="111"/>
  <c r="J100" i="111"/>
  <c r="J101" i="111"/>
  <c r="J102" i="111"/>
  <c r="J103" i="111"/>
  <c r="J104" i="111"/>
  <c r="J105" i="111"/>
  <c r="J106" i="111"/>
  <c r="J107" i="111"/>
  <c r="J108" i="111"/>
  <c r="J109" i="111"/>
  <c r="J110" i="111"/>
  <c r="J111" i="111"/>
  <c r="J112" i="111"/>
  <c r="J113" i="111"/>
  <c r="J114" i="111"/>
  <c r="J115" i="111"/>
  <c r="J116" i="111"/>
  <c r="J117" i="111"/>
  <c r="J118" i="111"/>
  <c r="J119" i="111"/>
  <c r="J120" i="111"/>
  <c r="J121" i="111"/>
  <c r="J122" i="111"/>
  <c r="J123" i="111"/>
  <c r="J124" i="111"/>
  <c r="J125" i="111"/>
  <c r="J126" i="111"/>
  <c r="J127" i="111"/>
  <c r="J128" i="111"/>
  <c r="J129" i="111"/>
  <c r="J130" i="111"/>
  <c r="J131" i="111"/>
  <c r="J132" i="111"/>
  <c r="J133" i="111"/>
  <c r="J134" i="111"/>
  <c r="J135" i="111"/>
  <c r="J136" i="111"/>
  <c r="J137" i="111"/>
  <c r="J138" i="111"/>
  <c r="J139" i="111"/>
  <c r="J140" i="111"/>
  <c r="J141" i="111"/>
  <c r="J142" i="111"/>
  <c r="J143" i="111"/>
  <c r="J144" i="111"/>
  <c r="J145" i="111"/>
  <c r="J146" i="111"/>
  <c r="J147" i="111"/>
  <c r="J148" i="111"/>
  <c r="J149" i="111"/>
  <c r="J150" i="111"/>
  <c r="J151" i="111"/>
  <c r="J152" i="111"/>
  <c r="J153" i="111"/>
  <c r="J154" i="111"/>
  <c r="J155" i="111"/>
  <c r="J156" i="111"/>
  <c r="J157" i="111"/>
  <c r="J158" i="111"/>
  <c r="J159" i="111"/>
  <c r="J160" i="111"/>
  <c r="J161" i="111"/>
  <c r="J162" i="111"/>
  <c r="J163" i="111"/>
  <c r="J164" i="111"/>
  <c r="J165" i="111"/>
  <c r="J166" i="111"/>
  <c r="J167" i="111"/>
  <c r="J168" i="111"/>
  <c r="J169" i="111"/>
  <c r="J170" i="111"/>
  <c r="J171" i="111"/>
  <c r="J172" i="111"/>
  <c r="J173" i="111"/>
  <c r="J174" i="111"/>
  <c r="J175" i="111"/>
  <c r="J176" i="111"/>
  <c r="J177" i="111"/>
  <c r="J178" i="111"/>
  <c r="J179" i="111"/>
  <c r="J180" i="111"/>
  <c r="J181" i="111"/>
  <c r="J182" i="111"/>
  <c r="J183" i="111"/>
  <c r="J184" i="111"/>
  <c r="J185" i="111"/>
  <c r="J186" i="111"/>
  <c r="J187" i="111"/>
  <c r="J188" i="111"/>
  <c r="J189" i="111"/>
  <c r="J190" i="111"/>
  <c r="J191" i="111"/>
  <c r="J192" i="111"/>
  <c r="J193" i="111"/>
  <c r="J194" i="111"/>
  <c r="J195" i="111"/>
  <c r="J196" i="111"/>
  <c r="J197" i="111"/>
  <c r="J198" i="111"/>
  <c r="J199" i="111"/>
  <c r="J200" i="111"/>
  <c r="J201" i="111"/>
  <c r="J202" i="111"/>
  <c r="J203" i="111"/>
  <c r="J204" i="111"/>
  <c r="J205" i="111"/>
  <c r="J206" i="111"/>
  <c r="J207" i="111"/>
  <c r="J208" i="111"/>
  <c r="J209" i="111"/>
  <c r="J210" i="111"/>
  <c r="J211" i="111"/>
  <c r="J212" i="111"/>
  <c r="J213" i="111"/>
  <c r="J214" i="111"/>
  <c r="J215" i="111"/>
  <c r="J216" i="111"/>
  <c r="J217" i="111"/>
  <c r="J218" i="111"/>
  <c r="J219" i="111"/>
  <c r="J220" i="111"/>
  <c r="J221" i="111"/>
  <c r="J222" i="111"/>
  <c r="J223" i="111"/>
  <c r="J224" i="111"/>
  <c r="J225" i="111"/>
  <c r="J226" i="111"/>
  <c r="J227" i="111"/>
  <c r="J228" i="111"/>
  <c r="J229" i="111"/>
  <c r="J230" i="111"/>
  <c r="J231" i="111"/>
  <c r="J232" i="111"/>
  <c r="J233" i="111"/>
  <c r="J234" i="111"/>
  <c r="J235" i="111"/>
  <c r="J236" i="111"/>
  <c r="J237" i="111"/>
  <c r="J238" i="111"/>
  <c r="J239" i="111"/>
  <c r="J240" i="111"/>
  <c r="J241" i="111"/>
  <c r="J242" i="111"/>
  <c r="J243" i="111"/>
  <c r="J244" i="111"/>
  <c r="J245" i="111"/>
  <c r="J246" i="111"/>
  <c r="J247" i="111"/>
  <c r="J248" i="111"/>
  <c r="J249" i="111"/>
  <c r="J250" i="111"/>
  <c r="J251" i="111"/>
  <c r="J252" i="111"/>
  <c r="J253" i="111"/>
  <c r="J254" i="111"/>
  <c r="J255" i="111"/>
  <c r="J256" i="111"/>
  <c r="J257" i="111"/>
  <c r="J258" i="111"/>
  <c r="J259" i="111"/>
  <c r="J260" i="111"/>
  <c r="J261" i="111"/>
  <c r="J262" i="111"/>
  <c r="J263" i="111"/>
  <c r="J264" i="111"/>
  <c r="J265" i="111"/>
  <c r="J266" i="111"/>
  <c r="J267" i="111"/>
  <c r="J268" i="111"/>
  <c r="J269" i="111"/>
  <c r="J270" i="111"/>
  <c r="J271" i="111"/>
  <c r="J272" i="111"/>
  <c r="J273" i="111"/>
  <c r="J274" i="111"/>
  <c r="J275" i="111"/>
  <c r="J276" i="111"/>
  <c r="J277" i="111"/>
  <c r="J278" i="111"/>
  <c r="J279" i="111"/>
  <c r="J280" i="111"/>
  <c r="J281" i="111"/>
  <c r="J282" i="111"/>
  <c r="J283" i="111"/>
  <c r="J284" i="111"/>
  <c r="J285" i="111"/>
  <c r="J286" i="111"/>
  <c r="J287" i="111"/>
  <c r="J288" i="111"/>
  <c r="J289" i="111"/>
  <c r="J290" i="111"/>
  <c r="J291" i="111"/>
  <c r="J292" i="111"/>
  <c r="J293" i="111"/>
  <c r="J294" i="111"/>
  <c r="J295" i="111"/>
  <c r="J296" i="111"/>
  <c r="J297" i="111"/>
  <c r="J298" i="111"/>
  <c r="J299" i="111"/>
  <c r="J300" i="111"/>
  <c r="J301" i="111"/>
  <c r="J302" i="111"/>
  <c r="J303" i="111"/>
  <c r="J304" i="111"/>
  <c r="J305" i="111"/>
  <c r="J306" i="111"/>
  <c r="J307" i="111"/>
  <c r="J308" i="111"/>
  <c r="J309" i="111"/>
  <c r="J310" i="111"/>
  <c r="J311" i="111"/>
  <c r="J312" i="111"/>
  <c r="J313" i="111"/>
  <c r="J314" i="111"/>
  <c r="J315" i="111"/>
  <c r="J316" i="111"/>
  <c r="J317" i="111"/>
  <c r="J318" i="111"/>
  <c r="J319" i="111"/>
  <c r="J320" i="111"/>
  <c r="J321" i="111"/>
  <c r="J322" i="111"/>
  <c r="J323" i="111"/>
  <c r="J324" i="111"/>
  <c r="J325" i="111"/>
  <c r="J326" i="111"/>
  <c r="J327" i="111"/>
  <c r="J328" i="111"/>
  <c r="J329" i="111"/>
  <c r="J330" i="111"/>
  <c r="J331" i="111"/>
  <c r="J332" i="111"/>
  <c r="J333" i="111"/>
  <c r="J334" i="111"/>
  <c r="J335" i="111"/>
  <c r="J336" i="111"/>
  <c r="J337" i="111"/>
  <c r="J338" i="111"/>
  <c r="J339" i="111"/>
  <c r="J340" i="111"/>
  <c r="J341" i="111"/>
  <c r="J342" i="111"/>
  <c r="J343" i="111"/>
  <c r="J344" i="111"/>
  <c r="J345" i="111"/>
  <c r="J346" i="111"/>
  <c r="J347" i="111"/>
  <c r="J348" i="111"/>
  <c r="J349" i="111"/>
  <c r="J350" i="111"/>
  <c r="J351" i="111"/>
  <c r="J352" i="111"/>
  <c r="J353" i="111"/>
  <c r="J354" i="111"/>
  <c r="J355" i="111"/>
  <c r="J356" i="111"/>
  <c r="J357" i="111"/>
  <c r="J358" i="111"/>
  <c r="J359" i="111"/>
  <c r="J360" i="111"/>
  <c r="J361" i="111"/>
  <c r="J362" i="111"/>
  <c r="J363" i="111"/>
  <c r="J364" i="111"/>
  <c r="J365" i="111"/>
  <c r="J366" i="111"/>
  <c r="J367" i="111"/>
  <c r="J368" i="111"/>
  <c r="J369" i="111"/>
  <c r="J370" i="111"/>
  <c r="J371" i="111"/>
  <c r="J372" i="111"/>
  <c r="J373" i="111"/>
  <c r="J374" i="111"/>
  <c r="J375" i="111"/>
  <c r="J376" i="111"/>
  <c r="J377" i="111"/>
  <c r="J378" i="111"/>
  <c r="J379" i="111"/>
  <c r="J380" i="111"/>
  <c r="J381" i="111"/>
  <c r="J382" i="111"/>
  <c r="J383" i="111"/>
  <c r="J384" i="111"/>
  <c r="J385" i="111"/>
  <c r="J386" i="111"/>
  <c r="J387" i="111"/>
  <c r="J388" i="111"/>
  <c r="J389" i="111"/>
  <c r="J390" i="111"/>
  <c r="J391" i="111"/>
  <c r="J392" i="111"/>
  <c r="J393" i="111"/>
  <c r="J394" i="111"/>
  <c r="J395" i="111"/>
  <c r="J396" i="111"/>
  <c r="J397" i="111"/>
  <c r="J398" i="111"/>
  <c r="J399" i="111"/>
  <c r="J400" i="111"/>
  <c r="J401" i="111"/>
  <c r="J402" i="111"/>
  <c r="J403" i="111"/>
  <c r="J404" i="111"/>
  <c r="J405" i="111"/>
  <c r="J406" i="111"/>
  <c r="J407" i="111"/>
  <c r="J408" i="111"/>
  <c r="J409" i="111"/>
  <c r="J410" i="111"/>
  <c r="J411" i="111"/>
  <c r="J412" i="111"/>
  <c r="J413" i="111"/>
  <c r="J414" i="111"/>
  <c r="J415" i="111"/>
  <c r="J416" i="111"/>
  <c r="J417" i="111"/>
  <c r="J418" i="111"/>
  <c r="J419" i="111"/>
  <c r="J420" i="111"/>
  <c r="J421" i="111"/>
  <c r="J422" i="111"/>
  <c r="J423" i="111"/>
  <c r="J424" i="111"/>
  <c r="J425" i="111"/>
  <c r="J426" i="111"/>
  <c r="J427" i="111"/>
  <c r="J428" i="111"/>
  <c r="J429" i="111"/>
  <c r="J430" i="111"/>
  <c r="J431" i="111"/>
  <c r="J432" i="111"/>
  <c r="J433" i="111"/>
  <c r="J434" i="111"/>
  <c r="J435" i="111"/>
  <c r="J436" i="111"/>
  <c r="J437" i="111"/>
  <c r="J438" i="111"/>
  <c r="J439" i="111"/>
  <c r="J440" i="111"/>
  <c r="J441" i="111"/>
  <c r="J442" i="111"/>
  <c r="J443" i="111"/>
  <c r="J444" i="111"/>
  <c r="J445" i="111"/>
  <c r="J446" i="111"/>
  <c r="J447" i="111"/>
  <c r="J448" i="111"/>
  <c r="J449" i="111"/>
  <c r="J450" i="111"/>
  <c r="J451" i="111"/>
  <c r="J452" i="111"/>
  <c r="J453" i="111"/>
  <c r="J454" i="111"/>
  <c r="J455" i="111"/>
  <c r="J456" i="111"/>
  <c r="J457" i="111"/>
  <c r="J458" i="111"/>
  <c r="J459" i="111"/>
  <c r="J460" i="111"/>
  <c r="J461" i="111"/>
  <c r="J462" i="111"/>
  <c r="J463" i="111"/>
  <c r="J464" i="111"/>
  <c r="J465" i="111"/>
  <c r="J466" i="111"/>
  <c r="J467" i="111"/>
  <c r="J468" i="111"/>
  <c r="J469" i="111"/>
  <c r="J470" i="111"/>
  <c r="J471" i="111"/>
  <c r="J472" i="111"/>
  <c r="J473" i="111"/>
  <c r="J474" i="111"/>
  <c r="J475" i="111"/>
  <c r="J476" i="111"/>
  <c r="J477" i="111"/>
  <c r="J478" i="111"/>
  <c r="J479" i="111"/>
  <c r="J480" i="111"/>
  <c r="J481" i="111"/>
  <c r="J482" i="111"/>
  <c r="J483" i="111"/>
  <c r="J484" i="111"/>
  <c r="J485" i="111"/>
  <c r="J486" i="111"/>
  <c r="J487" i="111"/>
  <c r="J488" i="111"/>
  <c r="J489" i="111"/>
  <c r="J490" i="111"/>
  <c r="J491" i="111"/>
  <c r="J492" i="111"/>
  <c r="J493" i="111"/>
  <c r="J494" i="111"/>
  <c r="J495" i="111"/>
  <c r="J496" i="111"/>
  <c r="J497" i="111"/>
  <c r="J498" i="111"/>
  <c r="J499" i="111"/>
  <c r="J500" i="111"/>
  <c r="J501" i="111"/>
  <c r="J502" i="111"/>
  <c r="J503" i="111"/>
  <c r="J504" i="111"/>
  <c r="J505" i="111"/>
  <c r="J506" i="111"/>
  <c r="J507" i="111"/>
  <c r="J508" i="111"/>
  <c r="J509" i="111"/>
  <c r="J510" i="111"/>
  <c r="J511" i="111"/>
  <c r="J512" i="111"/>
  <c r="J513" i="111"/>
  <c r="J514" i="111"/>
  <c r="J515" i="111"/>
  <c r="J516" i="111"/>
  <c r="J517" i="111"/>
  <c r="J518" i="111"/>
  <c r="J519" i="111"/>
  <c r="J520" i="111"/>
  <c r="J521" i="111"/>
  <c r="J522" i="111"/>
  <c r="J523" i="111"/>
  <c r="J524" i="111"/>
  <c r="J525" i="111"/>
  <c r="J526" i="111"/>
  <c r="J527" i="111"/>
  <c r="J528" i="111"/>
  <c r="J529" i="111"/>
  <c r="J530" i="111"/>
  <c r="J531" i="111"/>
  <c r="J532" i="111"/>
  <c r="J533" i="111"/>
  <c r="J534" i="111"/>
  <c r="J535" i="111"/>
  <c r="J536" i="111"/>
  <c r="J537" i="111"/>
  <c r="J538" i="111"/>
  <c r="J539" i="111"/>
  <c r="J540" i="111"/>
  <c r="J541" i="111"/>
  <c r="J542" i="111"/>
  <c r="J543" i="111"/>
  <c r="J544" i="111"/>
  <c r="J545" i="111"/>
  <c r="J546" i="111"/>
  <c r="J547" i="111"/>
  <c r="J548" i="111"/>
  <c r="J549" i="111"/>
  <c r="J550" i="111"/>
  <c r="J551" i="111"/>
  <c r="J552" i="111"/>
  <c r="J553" i="111"/>
  <c r="J554" i="111"/>
  <c r="J555" i="111"/>
  <c r="J556" i="111"/>
  <c r="J557" i="111"/>
  <c r="J558" i="111"/>
  <c r="J559" i="111"/>
  <c r="J560" i="111"/>
  <c r="J561" i="111"/>
  <c r="J562" i="111"/>
  <c r="J563" i="111"/>
  <c r="J564" i="111"/>
  <c r="J565" i="111"/>
  <c r="J566" i="111"/>
  <c r="J567" i="111"/>
  <c r="J568" i="111"/>
  <c r="J569" i="111"/>
  <c r="J570" i="111"/>
  <c r="J571" i="111"/>
  <c r="J572" i="111"/>
  <c r="J573" i="111"/>
  <c r="J574" i="111"/>
  <c r="J575" i="111"/>
  <c r="J576" i="111"/>
  <c r="J577" i="111"/>
  <c r="J578" i="111"/>
  <c r="J579" i="111"/>
  <c r="J580" i="111"/>
  <c r="J581" i="111"/>
  <c r="J582" i="111"/>
  <c r="J583" i="111"/>
  <c r="J584" i="111"/>
  <c r="J585" i="111"/>
  <c r="J586" i="111"/>
  <c r="J587" i="111"/>
  <c r="J588" i="111"/>
  <c r="J589" i="111"/>
  <c r="J590" i="111"/>
  <c r="J591" i="111"/>
  <c r="J592" i="111"/>
  <c r="J593" i="111"/>
  <c r="J594" i="111"/>
  <c r="J595" i="111"/>
  <c r="J596" i="111"/>
  <c r="J597" i="111"/>
  <c r="J598" i="111"/>
  <c r="J599" i="111"/>
  <c r="J600" i="111"/>
  <c r="J601" i="111"/>
  <c r="J602" i="111"/>
  <c r="J603" i="111"/>
  <c r="J604" i="111"/>
  <c r="J605" i="111"/>
  <c r="J606" i="111"/>
  <c r="J607" i="111"/>
  <c r="J608" i="111"/>
  <c r="J609" i="111"/>
  <c r="J610" i="111"/>
  <c r="J611" i="111"/>
  <c r="J612" i="111"/>
  <c r="J613" i="111"/>
  <c r="J614" i="111"/>
  <c r="J615" i="111"/>
  <c r="J616" i="111"/>
  <c r="J617" i="111"/>
  <c r="J618" i="111"/>
  <c r="J619" i="111"/>
  <c r="J620" i="111"/>
  <c r="J621" i="111"/>
  <c r="J622" i="111"/>
  <c r="J623" i="111"/>
  <c r="J624" i="111"/>
  <c r="J625" i="111"/>
  <c r="J626" i="111"/>
  <c r="J627" i="111"/>
  <c r="J628" i="111"/>
  <c r="J629" i="111"/>
  <c r="J630" i="111"/>
  <c r="J631" i="111"/>
  <c r="J632" i="111"/>
  <c r="J633" i="111"/>
  <c r="J634" i="111"/>
  <c r="J635" i="111"/>
  <c r="J636" i="111"/>
  <c r="J637" i="111"/>
  <c r="J638" i="111"/>
  <c r="J639" i="111"/>
  <c r="J640" i="111"/>
  <c r="J641" i="111"/>
  <c r="J642" i="111"/>
  <c r="J643" i="111"/>
  <c r="J644" i="111"/>
  <c r="J645" i="111"/>
  <c r="J646" i="111"/>
  <c r="J647" i="111"/>
  <c r="J648" i="111"/>
  <c r="J649" i="111"/>
  <c r="J650" i="111"/>
  <c r="J651" i="111"/>
  <c r="J652" i="111"/>
  <c r="J653" i="111"/>
  <c r="J654" i="111"/>
  <c r="J655" i="111"/>
  <c r="J656" i="111"/>
  <c r="J657" i="111"/>
  <c r="J658" i="111"/>
  <c r="J659" i="111"/>
  <c r="J660" i="111"/>
  <c r="J661" i="111"/>
  <c r="J662" i="111"/>
  <c r="J663" i="111"/>
  <c r="J664" i="111"/>
  <c r="J665" i="111"/>
  <c r="J666" i="111"/>
  <c r="J667" i="111"/>
  <c r="J668" i="111"/>
  <c r="J669" i="111"/>
  <c r="J670" i="111"/>
  <c r="J671" i="111"/>
  <c r="J672" i="111"/>
  <c r="J673" i="111"/>
  <c r="J674" i="111"/>
  <c r="J675" i="111"/>
  <c r="J676" i="111"/>
  <c r="J677" i="111"/>
  <c r="J678" i="111"/>
  <c r="J679" i="111"/>
  <c r="J680" i="111"/>
  <c r="J681" i="111"/>
  <c r="J682" i="111"/>
  <c r="J683" i="111"/>
  <c r="J684" i="111"/>
  <c r="J685" i="111"/>
  <c r="J686" i="111"/>
  <c r="J687" i="111"/>
  <c r="J688" i="111"/>
  <c r="J689" i="111"/>
  <c r="J690" i="111"/>
  <c r="J691" i="111"/>
  <c r="J692" i="111"/>
  <c r="J693" i="111"/>
  <c r="J694" i="111"/>
  <c r="J695" i="111"/>
  <c r="J696" i="111"/>
  <c r="J697" i="111"/>
  <c r="J698" i="111"/>
  <c r="J699" i="111"/>
  <c r="J700" i="111"/>
  <c r="J701" i="111"/>
  <c r="J702" i="111"/>
  <c r="J703" i="111"/>
  <c r="J704" i="111"/>
  <c r="J705" i="111"/>
  <c r="J706" i="111"/>
  <c r="J707" i="111"/>
  <c r="J708" i="111"/>
  <c r="J709" i="111"/>
  <c r="J710" i="111"/>
  <c r="J711" i="111"/>
  <c r="J712" i="111"/>
  <c r="J713" i="111"/>
  <c r="J714" i="111"/>
  <c r="J715" i="111"/>
  <c r="J716" i="111"/>
  <c r="J717" i="111"/>
  <c r="J718" i="111"/>
  <c r="J719" i="111"/>
  <c r="J720" i="111"/>
  <c r="J721" i="111"/>
  <c r="J722" i="111"/>
  <c r="J723" i="111"/>
  <c r="J724" i="111"/>
  <c r="J725" i="111"/>
  <c r="J726" i="111"/>
  <c r="J727" i="111"/>
  <c r="J728" i="111"/>
  <c r="J729" i="111"/>
  <c r="J730" i="111"/>
  <c r="J731" i="111"/>
  <c r="J732" i="111"/>
  <c r="J733" i="111"/>
  <c r="J734" i="111"/>
  <c r="J735" i="111"/>
  <c r="J736" i="111"/>
  <c r="J737" i="111"/>
  <c r="J738" i="111"/>
  <c r="J739" i="111"/>
  <c r="J740" i="111"/>
  <c r="J741" i="111"/>
  <c r="J742" i="111"/>
  <c r="J743" i="111"/>
  <c r="J744" i="111"/>
  <c r="J745" i="111"/>
  <c r="J746" i="111"/>
  <c r="J747" i="111"/>
  <c r="J748" i="111"/>
  <c r="J749" i="111"/>
  <c r="J750" i="111"/>
  <c r="J751" i="111"/>
  <c r="J752" i="111"/>
  <c r="J753" i="111"/>
  <c r="J754" i="111"/>
  <c r="J755" i="111"/>
  <c r="J756" i="111"/>
  <c r="J757" i="111"/>
  <c r="J758" i="111"/>
  <c r="J759" i="111"/>
  <c r="J760" i="111"/>
  <c r="J761" i="111"/>
  <c r="J762" i="111"/>
  <c r="J763" i="111"/>
  <c r="J764" i="111"/>
  <c r="J765" i="111"/>
  <c r="J766" i="111"/>
  <c r="J767" i="111"/>
  <c r="J768" i="111"/>
  <c r="J769" i="111"/>
  <c r="J770" i="111"/>
  <c r="J771" i="111"/>
  <c r="J772" i="111"/>
  <c r="J773" i="111"/>
  <c r="J774" i="111"/>
  <c r="J775" i="111"/>
  <c r="J776" i="111"/>
  <c r="J777" i="111"/>
  <c r="J778" i="111"/>
  <c r="J779" i="111"/>
  <c r="J780" i="111"/>
  <c r="J781" i="111"/>
  <c r="J782" i="111"/>
  <c r="J783" i="111"/>
  <c r="J784" i="111"/>
  <c r="J785" i="111"/>
  <c r="J786" i="111"/>
  <c r="J787" i="111"/>
  <c r="J788" i="111"/>
  <c r="J789" i="111"/>
  <c r="J790" i="111"/>
  <c r="J791" i="111"/>
  <c r="J792" i="111"/>
  <c r="J793" i="111"/>
  <c r="J794" i="111"/>
  <c r="J795" i="111"/>
  <c r="J796" i="111"/>
  <c r="J797" i="111"/>
  <c r="J798" i="111"/>
  <c r="J799" i="111"/>
  <c r="J800" i="111"/>
  <c r="J801" i="111"/>
  <c r="J802" i="111"/>
  <c r="J803" i="111"/>
  <c r="J804" i="111"/>
  <c r="J805" i="111"/>
  <c r="J806" i="111"/>
  <c r="J807" i="111"/>
  <c r="J808" i="111"/>
  <c r="J809" i="111"/>
  <c r="J810" i="111"/>
  <c r="J811" i="111"/>
  <c r="J812" i="111"/>
  <c r="J813" i="111"/>
  <c r="J814" i="111"/>
  <c r="J815" i="111"/>
  <c r="J816" i="111"/>
  <c r="J817" i="111"/>
  <c r="J818" i="111"/>
  <c r="J819" i="111"/>
  <c r="J820" i="111"/>
  <c r="J821" i="111"/>
  <c r="J822" i="111"/>
  <c r="J823" i="111"/>
  <c r="J824" i="111"/>
  <c r="J825" i="111"/>
  <c r="J826" i="111"/>
  <c r="J827" i="111"/>
  <c r="J828" i="111"/>
  <c r="J829" i="111"/>
  <c r="J830" i="111"/>
  <c r="J831" i="111"/>
  <c r="J832" i="111"/>
  <c r="J833" i="111"/>
  <c r="J834" i="111"/>
  <c r="J835" i="111"/>
  <c r="J836" i="111"/>
  <c r="J837" i="111"/>
  <c r="J838" i="111"/>
  <c r="J839" i="111"/>
  <c r="J840" i="111"/>
  <c r="J841" i="111"/>
  <c r="J842" i="111"/>
  <c r="J843" i="111"/>
  <c r="J844" i="111"/>
  <c r="J845" i="111"/>
  <c r="J846" i="111"/>
  <c r="J847" i="111"/>
  <c r="J848" i="111"/>
  <c r="J849" i="111"/>
  <c r="J850" i="111"/>
  <c r="J851" i="111"/>
  <c r="J852" i="111"/>
  <c r="J853" i="111"/>
  <c r="J854" i="111"/>
  <c r="J855" i="111"/>
  <c r="J856" i="111"/>
  <c r="J857" i="111"/>
  <c r="J858" i="111"/>
  <c r="J859" i="111"/>
  <c r="J860" i="111"/>
  <c r="J861" i="111"/>
  <c r="J862" i="111"/>
  <c r="J863" i="111"/>
  <c r="J864" i="111"/>
  <c r="J865" i="111"/>
  <c r="J866" i="111"/>
  <c r="J867" i="111"/>
  <c r="J868" i="111"/>
  <c r="J869" i="111"/>
  <c r="J870" i="111"/>
  <c r="J871" i="111"/>
  <c r="J872" i="111"/>
  <c r="J873" i="111"/>
  <c r="J874" i="111"/>
  <c r="J875" i="111"/>
  <c r="J876" i="111"/>
  <c r="J877" i="111"/>
  <c r="J878" i="111"/>
  <c r="J879" i="111"/>
  <c r="J880" i="111"/>
  <c r="J881" i="111"/>
  <c r="J882" i="111"/>
  <c r="J883" i="111"/>
  <c r="J884" i="111"/>
  <c r="J885" i="111"/>
  <c r="J886" i="111"/>
  <c r="J887" i="111"/>
  <c r="J888" i="111"/>
  <c r="J889" i="111"/>
  <c r="J890" i="111"/>
  <c r="J891" i="111"/>
  <c r="J892" i="111"/>
  <c r="J893" i="111"/>
  <c r="J894" i="111"/>
  <c r="J895" i="111"/>
  <c r="J896" i="111"/>
  <c r="J897" i="111"/>
  <c r="J898" i="111"/>
  <c r="J899" i="111"/>
  <c r="J900" i="111"/>
  <c r="J901" i="111"/>
  <c r="J902" i="111"/>
  <c r="J903" i="111"/>
  <c r="J904" i="111"/>
  <c r="J905" i="111"/>
  <c r="J906" i="111"/>
  <c r="J907" i="111"/>
  <c r="J908" i="111"/>
  <c r="J909" i="111"/>
  <c r="J910" i="111"/>
  <c r="J911" i="111"/>
  <c r="J912" i="111"/>
  <c r="J913" i="111"/>
  <c r="J914" i="111"/>
  <c r="J915" i="111"/>
  <c r="J916" i="111"/>
  <c r="J917" i="111"/>
  <c r="J918" i="111"/>
  <c r="J919" i="111"/>
  <c r="J920" i="111"/>
  <c r="J921" i="111"/>
  <c r="J922" i="111"/>
  <c r="J923" i="111"/>
  <c r="J924" i="111"/>
  <c r="J925" i="111"/>
  <c r="J926" i="111"/>
  <c r="J927" i="111"/>
  <c r="J928" i="111"/>
  <c r="J929" i="111"/>
  <c r="J930" i="111"/>
  <c r="J931" i="111"/>
  <c r="J932" i="111"/>
  <c r="J933" i="111"/>
  <c r="J934" i="111"/>
  <c r="J935" i="111"/>
  <c r="J936" i="111"/>
  <c r="J937" i="111"/>
  <c r="J938" i="111"/>
  <c r="J939" i="111"/>
  <c r="J940" i="111"/>
  <c r="J941" i="111"/>
  <c r="J942" i="111"/>
  <c r="J943" i="111"/>
  <c r="J944" i="111"/>
  <c r="J945" i="111"/>
  <c r="J946" i="111"/>
  <c r="J947" i="111"/>
  <c r="J948" i="111"/>
  <c r="J949" i="111"/>
  <c r="J950" i="111"/>
  <c r="J951" i="111"/>
  <c r="J952" i="111"/>
  <c r="J953" i="111"/>
  <c r="J954" i="111"/>
  <c r="J955" i="111"/>
  <c r="J956" i="111"/>
  <c r="J957" i="111"/>
  <c r="J958" i="111"/>
  <c r="J959" i="111"/>
  <c r="J960" i="111"/>
  <c r="J961" i="111"/>
  <c r="J962" i="111"/>
  <c r="J963" i="111"/>
  <c r="J964" i="111"/>
  <c r="J965" i="111"/>
  <c r="J966" i="111"/>
  <c r="J967" i="111"/>
  <c r="J968" i="111"/>
  <c r="J969" i="111"/>
  <c r="J970" i="111"/>
  <c r="J971" i="111"/>
  <c r="J972" i="111"/>
  <c r="J973" i="111"/>
  <c r="J974" i="111"/>
  <c r="J975" i="111"/>
  <c r="J976" i="111"/>
  <c r="J977" i="111"/>
  <c r="J978" i="111"/>
  <c r="J979" i="111"/>
  <c r="J980" i="111"/>
  <c r="J981" i="111"/>
  <c r="J982" i="111"/>
  <c r="J983" i="111"/>
  <c r="J984" i="111"/>
  <c r="J985" i="111"/>
  <c r="J986" i="111"/>
  <c r="J987" i="111"/>
  <c r="J988" i="111"/>
  <c r="J989" i="111"/>
  <c r="J990" i="111"/>
  <c r="J991" i="111"/>
  <c r="J992" i="111"/>
  <c r="J993" i="111"/>
  <c r="J994" i="111"/>
  <c r="J995" i="111"/>
  <c r="J996" i="111"/>
  <c r="J997" i="111"/>
  <c r="J998" i="111"/>
  <c r="J999" i="111"/>
  <c r="J1000" i="111"/>
  <c r="J1001" i="111"/>
  <c r="J1002" i="111"/>
  <c r="J1003" i="111"/>
  <c r="J1004" i="111"/>
  <c r="J1005" i="111"/>
  <c r="J1006" i="111"/>
  <c r="J1007" i="111"/>
  <c r="J1008" i="111"/>
  <c r="J1009" i="111"/>
  <c r="J1010" i="111"/>
  <c r="J1011" i="111"/>
  <c r="J1012" i="111"/>
  <c r="J1013" i="111"/>
  <c r="J1014" i="111"/>
  <c r="J1015" i="111"/>
  <c r="J1016" i="111"/>
  <c r="J1017" i="111"/>
  <c r="J1018" i="111"/>
  <c r="J1019" i="111"/>
  <c r="J1020" i="111"/>
  <c r="J1021" i="111"/>
  <c r="J1022" i="111"/>
  <c r="J1023" i="111"/>
  <c r="J1024" i="111"/>
  <c r="J1025" i="111"/>
  <c r="J1026" i="111"/>
  <c r="J1027" i="111"/>
  <c r="J1028" i="111"/>
  <c r="J1029" i="111"/>
  <c r="J1030" i="111"/>
  <c r="J1031" i="111"/>
  <c r="J1032" i="111"/>
  <c r="J1033" i="111"/>
  <c r="J1034" i="111"/>
  <c r="J1035" i="111"/>
  <c r="J1036" i="111"/>
  <c r="J1037" i="111"/>
  <c r="J1038" i="111"/>
  <c r="J1039" i="111"/>
  <c r="J1040" i="111"/>
  <c r="J1041" i="111"/>
  <c r="J1042" i="111"/>
  <c r="J1043" i="111"/>
  <c r="J1044" i="111"/>
  <c r="J1045" i="111"/>
  <c r="J1046" i="111"/>
  <c r="J1047" i="111"/>
  <c r="J1048" i="111"/>
  <c r="J1049" i="111"/>
  <c r="J1050" i="111"/>
  <c r="J1051" i="111"/>
  <c r="J1052" i="111"/>
  <c r="J1053" i="111"/>
  <c r="J1054" i="111"/>
  <c r="J1055" i="111"/>
  <c r="J1056" i="111"/>
  <c r="J1057" i="111"/>
  <c r="J1058" i="111"/>
  <c r="J1059" i="111"/>
  <c r="J1060" i="111"/>
  <c r="J1061" i="111"/>
  <c r="J1062" i="111"/>
  <c r="J1063" i="111"/>
  <c r="J1064" i="111"/>
  <c r="J1065" i="111"/>
  <c r="J1066" i="111"/>
  <c r="J1067" i="111"/>
  <c r="J1068" i="111"/>
  <c r="J1069" i="111"/>
  <c r="J1070" i="111"/>
  <c r="J1071" i="111"/>
  <c r="J1072" i="111"/>
  <c r="J1073" i="111"/>
  <c r="J1074" i="111"/>
  <c r="J1075" i="111"/>
  <c r="J1076" i="111"/>
  <c r="J1077" i="111"/>
  <c r="J1078" i="111"/>
  <c r="J1079" i="111"/>
  <c r="J1080" i="111"/>
  <c r="J1081" i="111"/>
  <c r="J1082" i="111"/>
  <c r="J1083" i="111"/>
  <c r="J1084" i="111"/>
  <c r="J1085" i="111"/>
  <c r="J1086" i="111"/>
  <c r="J1087" i="111"/>
  <c r="J1088" i="111"/>
  <c r="J1089" i="111"/>
  <c r="J1090" i="111"/>
  <c r="J1091" i="111"/>
  <c r="J1092" i="111"/>
  <c r="J1093" i="111"/>
  <c r="J1094" i="111"/>
  <c r="J1095" i="111"/>
  <c r="J1096" i="111"/>
  <c r="J1097" i="111"/>
  <c r="J1098" i="111"/>
  <c r="J1099" i="111"/>
  <c r="J1100" i="111"/>
  <c r="J1101" i="111"/>
  <c r="J1102" i="111"/>
  <c r="J1103" i="111"/>
  <c r="J1104" i="111"/>
  <c r="J1105" i="111"/>
  <c r="J1106" i="111"/>
  <c r="J1107" i="111"/>
  <c r="J1108" i="111"/>
  <c r="J1109" i="111"/>
  <c r="J1110" i="111"/>
  <c r="J1111" i="111"/>
  <c r="J1112" i="111"/>
  <c r="J1113" i="111"/>
  <c r="J1114" i="111"/>
  <c r="J1115" i="111"/>
  <c r="J1116" i="111"/>
  <c r="J1117" i="111"/>
  <c r="J1118" i="111"/>
  <c r="J1119" i="111"/>
  <c r="J1120" i="111"/>
  <c r="J1121" i="111"/>
  <c r="J1122" i="111"/>
  <c r="J1123" i="111"/>
  <c r="J1124" i="111"/>
  <c r="J1125" i="111"/>
  <c r="J1126" i="111"/>
  <c r="J1127" i="111"/>
  <c r="J1128" i="111"/>
  <c r="J1129" i="111"/>
  <c r="J1130" i="111"/>
  <c r="J1131" i="111"/>
  <c r="J1132" i="111"/>
  <c r="J1133" i="111"/>
  <c r="J1134" i="111"/>
  <c r="J1135" i="111"/>
  <c r="J1136" i="111"/>
  <c r="J1137" i="111"/>
  <c r="J1138" i="111"/>
  <c r="J1139" i="111"/>
  <c r="J1140" i="111"/>
  <c r="J1141" i="111"/>
  <c r="J1142" i="111"/>
  <c r="J1143" i="111"/>
  <c r="J1144" i="111"/>
  <c r="J1145" i="111"/>
  <c r="J1146" i="111"/>
  <c r="J1147" i="111"/>
  <c r="J1148" i="111"/>
  <c r="J1149" i="111"/>
  <c r="J1150" i="111"/>
  <c r="J1151" i="111"/>
  <c r="J1152" i="111"/>
  <c r="J1153" i="111"/>
  <c r="J1154" i="111"/>
  <c r="J1155" i="111"/>
  <c r="J1156" i="111"/>
  <c r="J1157" i="111"/>
  <c r="J1158" i="111"/>
  <c r="J1159" i="111"/>
  <c r="J1160" i="111"/>
  <c r="J1161" i="111"/>
  <c r="J1162" i="111"/>
  <c r="J1163" i="111"/>
  <c r="J1164" i="111"/>
  <c r="J1165" i="111"/>
  <c r="J1166" i="111"/>
  <c r="J1167" i="111"/>
  <c r="J1168" i="111"/>
  <c r="J1169" i="111"/>
  <c r="J1170" i="111"/>
  <c r="J1171" i="111"/>
  <c r="J1172" i="111"/>
  <c r="J1173" i="111"/>
  <c r="J1174" i="111"/>
  <c r="J1175" i="111"/>
  <c r="J1176" i="111"/>
  <c r="J1177" i="111"/>
  <c r="J1178" i="111"/>
  <c r="J1179" i="111"/>
  <c r="J1180" i="111"/>
  <c r="J1181" i="111"/>
  <c r="J1182" i="111"/>
  <c r="J1183" i="111"/>
  <c r="J1184" i="111"/>
  <c r="J1185" i="111"/>
  <c r="J1186" i="111"/>
  <c r="J1187" i="111"/>
  <c r="J1188" i="111"/>
  <c r="J1189" i="111"/>
  <c r="J1190" i="111"/>
  <c r="J1191" i="111"/>
  <c r="J1192" i="111"/>
  <c r="J1193" i="111"/>
  <c r="J1194" i="111"/>
  <c r="J1195" i="111"/>
  <c r="J1196" i="111"/>
  <c r="J1197" i="111"/>
  <c r="J1198" i="111"/>
  <c r="J1199" i="111"/>
  <c r="J1200" i="111"/>
  <c r="J1201" i="111"/>
  <c r="J1202" i="111"/>
  <c r="J1203" i="111"/>
  <c r="J1204" i="111"/>
  <c r="J1205" i="111"/>
  <c r="J1206" i="111"/>
  <c r="J1207" i="111"/>
  <c r="J1208" i="111"/>
  <c r="J1209" i="111"/>
  <c r="J1210" i="111"/>
  <c r="J1211" i="111"/>
  <c r="J1212" i="111"/>
  <c r="J1213" i="111"/>
  <c r="J1214" i="111"/>
  <c r="J1215" i="111"/>
  <c r="J1216" i="111"/>
  <c r="J1217" i="111"/>
  <c r="J1218" i="111"/>
  <c r="J1219" i="111"/>
  <c r="J1220" i="111"/>
  <c r="J1221" i="111"/>
  <c r="J1222" i="111"/>
  <c r="J1223" i="111"/>
  <c r="J1224" i="111"/>
  <c r="J1225" i="111"/>
  <c r="J1226" i="111"/>
  <c r="J1227" i="111"/>
  <c r="J1228" i="111"/>
  <c r="J1229" i="111"/>
  <c r="J1230" i="111"/>
  <c r="J1231" i="111"/>
  <c r="J1232" i="111"/>
  <c r="J1233" i="111"/>
  <c r="J1234" i="111"/>
  <c r="J1235" i="111"/>
  <c r="J1236" i="111"/>
  <c r="J1237" i="111"/>
  <c r="J1238" i="111"/>
  <c r="J1239" i="111"/>
  <c r="J1240" i="111"/>
  <c r="J1241" i="111"/>
  <c r="J1242" i="111"/>
  <c r="J1243" i="111"/>
  <c r="J1244" i="111"/>
  <c r="J1245" i="111"/>
  <c r="J1246" i="111"/>
  <c r="J1247" i="111"/>
  <c r="J1248" i="111"/>
  <c r="J1249" i="111"/>
  <c r="J1250" i="111"/>
  <c r="J1251" i="111"/>
  <c r="J1252" i="111"/>
  <c r="J1253" i="111"/>
  <c r="J1254" i="111"/>
  <c r="J1255" i="111"/>
  <c r="J1256" i="111"/>
  <c r="J1257" i="111"/>
  <c r="J1258" i="111"/>
  <c r="J1259" i="111"/>
  <c r="J1260" i="111"/>
  <c r="J1261" i="111"/>
  <c r="J1262" i="111"/>
  <c r="J1263" i="111"/>
  <c r="J1264" i="111"/>
  <c r="J1265" i="111"/>
  <c r="J1266" i="111"/>
  <c r="J1267" i="111"/>
  <c r="J1268" i="111"/>
  <c r="J1269" i="111"/>
  <c r="J1270" i="111"/>
  <c r="J1271" i="111"/>
  <c r="J1272" i="111"/>
  <c r="J1273" i="111"/>
  <c r="J1274" i="111"/>
  <c r="J1275" i="111"/>
  <c r="J1276" i="111"/>
  <c r="J1277" i="111"/>
  <c r="J1278" i="111"/>
  <c r="J1279" i="111"/>
  <c r="J1280" i="111"/>
  <c r="J1281" i="111"/>
  <c r="J1282" i="111"/>
  <c r="J1283" i="111"/>
  <c r="J1284" i="111"/>
  <c r="J1285" i="111"/>
  <c r="J1286" i="111"/>
  <c r="J1287" i="111"/>
  <c r="J1288" i="111"/>
  <c r="J1289" i="111"/>
  <c r="J1290" i="111"/>
  <c r="J1291" i="111"/>
  <c r="J1292" i="111"/>
  <c r="J1293" i="111"/>
  <c r="J1294" i="111"/>
  <c r="J1295" i="111"/>
  <c r="J1296" i="111"/>
  <c r="J1297" i="111"/>
  <c r="J1298" i="111"/>
  <c r="J1299" i="111"/>
  <c r="J1300" i="111"/>
  <c r="J1301" i="111"/>
  <c r="J1302" i="111"/>
  <c r="J1303" i="111"/>
  <c r="J1304" i="111"/>
  <c r="J1305" i="111"/>
  <c r="J1306" i="111"/>
  <c r="J1307" i="111"/>
  <c r="J1308" i="111"/>
  <c r="J1309" i="111"/>
  <c r="J1310" i="111"/>
  <c r="J1311" i="111"/>
  <c r="J1312" i="111"/>
  <c r="J1313" i="111"/>
  <c r="J1314" i="111"/>
  <c r="J1315" i="111"/>
  <c r="J1316" i="111"/>
  <c r="J1317" i="111"/>
  <c r="J1318" i="111"/>
  <c r="J1319" i="111"/>
  <c r="J1320" i="111"/>
  <c r="J1321" i="111"/>
  <c r="J1322" i="111"/>
  <c r="J1323" i="111"/>
  <c r="J1324" i="111"/>
  <c r="J1325" i="111"/>
  <c r="J1326" i="111"/>
  <c r="J1327" i="111"/>
  <c r="J1328" i="111"/>
  <c r="J1329" i="111"/>
  <c r="J1330" i="111"/>
  <c r="J1331" i="111"/>
  <c r="J1332" i="111"/>
  <c r="J1333" i="111"/>
  <c r="J1334" i="111"/>
  <c r="J1335" i="111"/>
  <c r="J1336" i="111"/>
  <c r="J1337" i="111"/>
  <c r="J1338" i="111"/>
  <c r="J1339" i="111"/>
  <c r="J1340" i="111"/>
  <c r="J1341" i="111"/>
  <c r="J1342" i="111"/>
  <c r="J1343" i="111"/>
  <c r="J1344" i="111"/>
  <c r="J1345" i="111"/>
  <c r="J1346" i="111"/>
  <c r="J1347" i="111"/>
  <c r="J1348" i="111"/>
  <c r="J1349" i="111"/>
  <c r="J1350" i="111"/>
  <c r="J1351" i="111"/>
  <c r="J1352" i="111"/>
  <c r="J1353" i="111"/>
  <c r="J1354" i="111"/>
  <c r="J1355" i="111"/>
  <c r="J1356" i="111"/>
  <c r="J1357" i="111"/>
  <c r="J1358" i="111"/>
  <c r="J1359" i="111"/>
  <c r="J1360" i="111"/>
  <c r="J1361" i="111"/>
  <c r="J1362" i="111"/>
  <c r="J1363" i="111"/>
  <c r="J1364" i="111"/>
  <c r="J1365" i="111"/>
  <c r="J1366" i="111"/>
  <c r="J1367" i="111"/>
  <c r="J1368" i="111"/>
  <c r="J1369" i="111"/>
  <c r="J1370" i="111"/>
  <c r="J1371" i="111"/>
  <c r="J1372" i="111"/>
  <c r="J1373" i="111"/>
  <c r="J1374" i="111"/>
  <c r="J1375" i="111"/>
  <c r="J1376" i="111"/>
  <c r="J1377" i="111"/>
  <c r="J1378" i="111"/>
  <c r="J1379" i="111"/>
  <c r="J1380" i="111"/>
  <c r="J1381" i="111"/>
  <c r="J1382" i="111"/>
  <c r="J1383" i="111"/>
  <c r="J1384" i="111"/>
  <c r="J1385" i="111"/>
  <c r="J1386" i="111"/>
  <c r="J1387" i="111"/>
  <c r="J1388" i="111"/>
  <c r="J1389" i="111"/>
  <c r="J1390" i="111"/>
  <c r="J1391" i="111"/>
  <c r="J1392" i="111"/>
  <c r="J1393" i="111"/>
  <c r="J1394" i="111"/>
  <c r="J1395" i="111"/>
  <c r="J1396" i="111"/>
  <c r="J1397" i="111"/>
  <c r="J1398" i="111"/>
  <c r="J1399" i="111"/>
  <c r="J1400" i="111"/>
  <c r="J1401" i="111"/>
  <c r="J1402" i="111"/>
  <c r="J1403" i="111"/>
  <c r="J1404" i="111"/>
  <c r="J1405" i="111"/>
  <c r="J1406" i="111"/>
  <c r="J1407" i="111"/>
  <c r="J1408" i="111"/>
  <c r="J1409" i="111"/>
  <c r="J1410" i="111"/>
  <c r="J1411" i="111"/>
  <c r="J1412" i="111"/>
  <c r="J1413" i="111"/>
  <c r="J1414" i="111"/>
  <c r="J1415" i="111"/>
  <c r="J1416" i="111"/>
  <c r="J1417" i="111"/>
  <c r="J1418" i="111"/>
  <c r="J1419" i="111"/>
  <c r="J1420" i="111"/>
  <c r="J1421" i="111"/>
  <c r="J1422" i="111"/>
  <c r="J1423" i="111"/>
  <c r="J1424" i="111"/>
  <c r="J1425" i="111"/>
  <c r="J1426" i="111"/>
  <c r="J1427" i="111"/>
  <c r="J1428" i="111"/>
  <c r="J1429" i="111"/>
  <c r="J1430" i="111"/>
  <c r="J1431" i="111"/>
  <c r="J1432" i="111"/>
  <c r="J1433" i="111"/>
  <c r="J1434" i="111"/>
  <c r="J1435" i="111"/>
  <c r="J1436" i="111"/>
  <c r="J1437" i="111"/>
  <c r="J1438" i="111"/>
  <c r="J1439" i="111"/>
  <c r="J1440" i="111"/>
  <c r="J1441" i="111"/>
  <c r="J1442" i="111"/>
  <c r="J1443" i="111"/>
  <c r="J1444" i="111"/>
  <c r="J1445" i="111"/>
  <c r="J1446" i="111"/>
  <c r="J1447" i="111"/>
  <c r="J1448" i="111"/>
  <c r="J1449" i="111"/>
  <c r="J1450" i="111"/>
  <c r="J1451" i="111"/>
  <c r="J1452" i="111"/>
  <c r="J1453" i="111"/>
  <c r="J1454" i="111"/>
  <c r="J1455" i="111"/>
  <c r="J1456" i="111"/>
  <c r="J1457" i="111"/>
  <c r="J1458" i="111"/>
  <c r="J1459" i="111"/>
  <c r="J1460" i="111"/>
  <c r="J1461" i="111"/>
  <c r="J1462" i="111"/>
  <c r="J1463" i="111"/>
  <c r="J1464" i="111"/>
  <c r="J1465" i="111"/>
  <c r="J1466" i="111"/>
  <c r="J1467" i="111"/>
  <c r="J1468" i="111"/>
  <c r="J1469" i="111"/>
  <c r="J1470" i="111"/>
  <c r="J1471" i="111"/>
  <c r="J1472" i="111"/>
  <c r="J1473" i="111"/>
  <c r="J1474" i="111"/>
  <c r="J1475" i="111"/>
  <c r="J1476" i="111"/>
  <c r="J1477" i="111"/>
  <c r="J1478" i="111"/>
  <c r="J1479" i="111"/>
  <c r="J1480" i="111"/>
  <c r="J1481" i="111"/>
  <c r="J1482" i="111"/>
  <c r="J1483" i="111"/>
  <c r="J1484" i="111"/>
  <c r="J1485" i="111"/>
  <c r="J1486" i="111"/>
  <c r="J1487" i="111"/>
  <c r="J1488" i="111"/>
  <c r="J1489" i="111"/>
  <c r="J1490" i="111"/>
  <c r="J1491" i="111"/>
  <c r="J1492" i="111"/>
  <c r="J1493" i="111"/>
  <c r="J1494" i="111"/>
  <c r="J1495" i="111"/>
  <c r="J1496" i="111"/>
  <c r="J1497" i="111"/>
  <c r="J1498" i="111"/>
  <c r="J1499" i="111"/>
  <c r="J1500" i="111"/>
  <c r="J1501" i="111"/>
  <c r="J1502" i="111"/>
  <c r="J1503" i="111"/>
  <c r="J1504" i="111"/>
  <c r="J1505" i="111"/>
  <c r="J1506" i="111"/>
  <c r="J1507" i="111"/>
  <c r="J1508" i="111"/>
  <c r="J1509" i="111"/>
  <c r="J1510" i="111"/>
  <c r="J1511" i="111"/>
  <c r="J1512" i="111"/>
  <c r="J1513" i="111"/>
  <c r="J1514" i="111"/>
  <c r="J1515" i="111"/>
  <c r="J1516" i="111"/>
  <c r="J1517" i="111"/>
  <c r="J1518" i="111"/>
  <c r="J1519" i="111"/>
  <c r="J1520" i="111"/>
  <c r="J1521" i="111"/>
  <c r="J1522" i="111"/>
  <c r="J1523" i="111"/>
  <c r="J1524" i="111"/>
  <c r="J1525" i="111"/>
  <c r="J1526" i="111"/>
  <c r="J1527" i="111"/>
  <c r="J1528" i="111"/>
  <c r="J1529" i="111"/>
  <c r="J1530" i="111"/>
  <c r="J1531" i="111"/>
  <c r="J1532" i="111"/>
  <c r="J1533" i="111"/>
  <c r="J1534" i="111"/>
  <c r="J1535" i="111"/>
  <c r="J1536" i="111"/>
  <c r="J1537" i="111"/>
  <c r="J1538" i="111"/>
  <c r="J1539" i="111"/>
  <c r="J1540" i="111"/>
  <c r="J1541" i="111"/>
  <c r="J1542" i="111"/>
  <c r="J1543" i="111"/>
  <c r="J1544" i="111"/>
  <c r="J1545" i="111"/>
  <c r="J1546" i="111"/>
  <c r="J1547" i="111"/>
  <c r="J1548" i="111"/>
  <c r="J1549" i="111"/>
  <c r="J1550" i="111"/>
  <c r="J1551" i="111"/>
  <c r="J1552" i="111"/>
  <c r="J1553" i="111"/>
  <c r="J1554" i="111"/>
  <c r="J1555" i="111"/>
  <c r="J1556" i="111"/>
  <c r="J1557" i="111"/>
  <c r="J1558" i="111"/>
  <c r="J1559" i="111"/>
  <c r="J1560" i="111"/>
  <c r="J1561" i="111"/>
  <c r="J1562" i="111"/>
  <c r="J1563" i="111"/>
  <c r="J1564" i="111"/>
  <c r="J1565" i="111"/>
  <c r="J1566" i="111"/>
  <c r="J1567" i="111"/>
  <c r="J1568" i="111"/>
  <c r="J1569" i="111"/>
  <c r="J1570" i="111"/>
  <c r="J1571" i="111"/>
  <c r="J1572" i="111"/>
  <c r="J1573" i="111"/>
  <c r="J1574" i="111"/>
  <c r="J1575" i="111"/>
  <c r="J1576" i="111"/>
  <c r="J1577" i="111"/>
  <c r="J1578" i="111"/>
  <c r="J1579" i="111"/>
  <c r="J1580" i="111"/>
  <c r="J1581" i="111"/>
  <c r="J1582" i="111"/>
  <c r="J1583" i="111"/>
  <c r="J1584" i="111"/>
  <c r="J1585" i="111"/>
  <c r="J1586" i="111"/>
  <c r="J1587" i="111"/>
  <c r="J1588" i="111"/>
  <c r="J1589" i="111"/>
  <c r="J1590" i="111"/>
  <c r="J1591" i="111"/>
  <c r="J1592" i="111"/>
  <c r="J1593" i="111"/>
  <c r="J1594" i="111"/>
  <c r="J1595" i="111"/>
  <c r="J1596" i="111"/>
  <c r="J1597" i="111"/>
  <c r="J1598" i="111"/>
  <c r="J1599" i="111"/>
  <c r="J1600" i="111"/>
  <c r="J1601" i="111"/>
  <c r="J1602" i="111"/>
  <c r="J1603" i="111"/>
  <c r="J1604" i="111"/>
  <c r="J1605" i="111"/>
  <c r="J1606" i="111"/>
  <c r="J1607" i="111"/>
  <c r="J1608" i="111"/>
  <c r="J1609" i="111"/>
  <c r="J1610" i="111"/>
  <c r="J1611" i="111"/>
  <c r="J1612" i="111"/>
  <c r="J1613" i="111"/>
  <c r="J1614" i="111"/>
  <c r="J1615" i="111"/>
  <c r="J1616" i="111"/>
  <c r="J1617" i="111"/>
  <c r="J1618" i="111"/>
  <c r="J1619" i="111"/>
  <c r="J1620" i="111"/>
  <c r="J1621" i="111"/>
  <c r="J1622" i="111"/>
  <c r="J1623" i="111"/>
  <c r="J1624" i="111"/>
  <c r="J1625" i="111"/>
  <c r="J1626" i="111"/>
  <c r="J1627" i="111"/>
  <c r="J1628" i="111"/>
  <c r="J1629" i="111"/>
  <c r="J1630" i="111"/>
  <c r="J1631" i="111"/>
  <c r="J1632" i="111"/>
  <c r="J1633" i="111"/>
  <c r="J1634" i="111"/>
  <c r="J1635" i="111"/>
  <c r="J1636" i="111"/>
  <c r="J1637" i="111"/>
  <c r="J1638" i="111"/>
  <c r="J1639" i="111"/>
  <c r="J1640" i="111"/>
  <c r="J1641" i="111"/>
  <c r="J1642" i="111"/>
  <c r="J1643" i="111"/>
  <c r="J1644" i="111"/>
  <c r="J1645" i="111"/>
  <c r="J1646" i="111"/>
  <c r="J1647" i="111"/>
  <c r="J1648" i="111"/>
  <c r="J1649" i="111"/>
  <c r="J1650" i="111"/>
  <c r="J1651" i="111"/>
  <c r="J1652" i="111"/>
  <c r="J1653" i="111"/>
  <c r="J1654" i="111"/>
  <c r="J1655" i="111"/>
  <c r="J1656" i="111"/>
  <c r="J1657" i="111"/>
  <c r="J1658" i="111"/>
  <c r="J1659" i="111"/>
  <c r="J1660" i="111"/>
  <c r="J1661" i="111"/>
  <c r="J1662" i="111"/>
  <c r="J1663" i="111"/>
  <c r="J1664" i="111"/>
  <c r="J1665" i="111"/>
  <c r="J1666" i="111"/>
  <c r="J1667" i="111"/>
  <c r="J1668" i="111"/>
  <c r="J1669" i="111"/>
  <c r="J1670" i="111"/>
  <c r="J1671" i="111"/>
  <c r="J1672" i="111"/>
  <c r="J1673" i="111"/>
  <c r="J1674" i="111"/>
  <c r="J1675" i="111"/>
  <c r="J1676" i="111"/>
  <c r="J1677" i="111"/>
  <c r="J1678" i="111"/>
  <c r="J1679" i="111"/>
  <c r="J1680" i="111"/>
  <c r="J1681" i="111"/>
  <c r="J1682" i="111"/>
  <c r="J1683" i="111"/>
  <c r="J1684" i="111"/>
  <c r="J1685" i="111"/>
  <c r="J1686" i="111"/>
  <c r="J1687" i="111"/>
  <c r="J1688" i="111"/>
  <c r="J1689" i="111"/>
  <c r="J1690" i="111"/>
  <c r="J1691" i="111"/>
  <c r="J1692" i="111"/>
  <c r="J1693" i="111"/>
  <c r="J1694" i="111"/>
  <c r="J1695" i="111"/>
  <c r="J1696" i="111"/>
  <c r="J1697" i="111"/>
  <c r="J1698" i="111"/>
  <c r="J1699" i="111"/>
  <c r="J1700" i="111"/>
  <c r="J1701" i="111"/>
  <c r="J1702" i="111"/>
  <c r="J1703" i="111"/>
  <c r="J1704" i="111"/>
  <c r="J1705" i="111"/>
  <c r="J1706" i="111"/>
  <c r="J1707" i="111"/>
  <c r="J1708" i="111"/>
  <c r="J1709" i="111"/>
  <c r="J1710" i="111"/>
  <c r="J1711" i="111"/>
  <c r="J1712" i="111"/>
  <c r="J1713" i="111"/>
  <c r="J1714" i="111"/>
  <c r="J1715" i="111"/>
  <c r="J1716" i="111"/>
  <c r="J1717" i="111"/>
  <c r="J1718" i="111"/>
  <c r="J1719" i="111"/>
  <c r="J1720" i="111"/>
  <c r="J1721" i="111"/>
  <c r="J1722" i="111"/>
  <c r="J1723" i="111"/>
  <c r="J1724" i="111"/>
  <c r="J1725" i="111"/>
  <c r="J1726" i="111"/>
  <c r="J1727" i="111"/>
  <c r="J1728" i="111"/>
  <c r="J1729" i="111"/>
  <c r="J1730" i="111"/>
  <c r="J1731" i="111"/>
  <c r="J1732" i="111"/>
  <c r="J1733" i="111"/>
  <c r="J1734" i="111"/>
  <c r="J1735" i="111"/>
  <c r="J1736" i="111"/>
  <c r="J1737" i="111"/>
  <c r="J1738" i="111"/>
  <c r="J1739" i="111"/>
  <c r="J1740" i="111"/>
  <c r="J1741" i="111"/>
  <c r="J1742" i="111"/>
  <c r="J1743" i="111"/>
  <c r="J1744" i="111"/>
  <c r="J1745" i="111"/>
  <c r="J1746" i="111"/>
  <c r="J1747" i="111"/>
  <c r="J1748" i="111"/>
  <c r="J1749" i="111"/>
  <c r="J1750" i="111"/>
  <c r="J1751" i="111"/>
  <c r="J1752" i="111"/>
  <c r="J1753" i="111"/>
  <c r="J1754" i="111"/>
  <c r="J1755" i="111"/>
  <c r="J1756" i="111"/>
  <c r="J1757" i="111"/>
  <c r="J1758" i="111"/>
  <c r="J1759" i="111"/>
  <c r="J1760" i="111"/>
  <c r="J1761" i="111"/>
  <c r="J1762" i="111"/>
  <c r="J1763" i="111"/>
  <c r="J1764" i="111"/>
  <c r="J1765" i="111"/>
  <c r="J1766" i="111"/>
  <c r="J1767" i="111"/>
  <c r="J1768" i="111"/>
  <c r="J1769" i="111"/>
  <c r="J1770" i="111"/>
  <c r="J1771" i="111"/>
  <c r="J1772" i="111"/>
  <c r="J1773" i="111"/>
  <c r="J1774" i="111"/>
  <c r="J1775" i="111"/>
  <c r="J1776" i="111"/>
  <c r="J1777" i="111"/>
  <c r="J1778" i="111"/>
  <c r="J1779" i="111"/>
  <c r="J1780" i="111"/>
  <c r="J1781" i="111"/>
  <c r="J1782" i="111"/>
  <c r="J1783" i="111"/>
  <c r="J1784" i="111"/>
  <c r="J1785" i="111"/>
  <c r="J1786" i="111"/>
  <c r="J1787" i="111"/>
  <c r="J1788" i="111"/>
  <c r="J1789" i="111"/>
  <c r="J1790" i="111"/>
  <c r="J1791" i="111"/>
  <c r="J1792" i="111"/>
  <c r="J1793" i="111"/>
  <c r="J1794" i="111"/>
  <c r="J1795" i="111"/>
  <c r="J1796" i="111"/>
  <c r="J1797" i="111"/>
  <c r="J1798" i="111"/>
  <c r="J1799" i="111"/>
  <c r="J1800" i="111"/>
  <c r="J1801" i="111"/>
  <c r="J1802" i="111"/>
  <c r="J1803" i="111"/>
  <c r="J1804" i="111"/>
  <c r="J1805" i="111"/>
  <c r="J1806" i="111"/>
  <c r="J1807" i="111"/>
  <c r="J1808" i="111"/>
  <c r="J1809" i="111"/>
  <c r="J1810" i="111"/>
  <c r="J1811" i="111"/>
  <c r="J1812" i="111"/>
  <c r="J1813" i="111"/>
  <c r="J1814" i="111"/>
  <c r="J1815" i="111"/>
  <c r="J1816" i="111"/>
  <c r="J1817" i="111"/>
  <c r="J1818" i="111"/>
  <c r="J1819" i="111"/>
  <c r="J1820" i="111"/>
  <c r="J1821" i="111"/>
  <c r="J1822" i="111"/>
  <c r="J1823" i="111"/>
  <c r="J1824" i="111"/>
  <c r="J1825" i="111"/>
  <c r="J1826" i="111"/>
  <c r="J1827" i="111"/>
  <c r="J1828" i="111"/>
  <c r="J1829" i="111"/>
  <c r="J1830" i="111"/>
  <c r="J1831" i="111"/>
  <c r="J1832" i="111"/>
  <c r="J1833" i="111"/>
  <c r="J1834" i="111"/>
  <c r="J1835" i="111"/>
  <c r="J1836" i="111"/>
  <c r="J1837" i="111"/>
  <c r="J1838" i="111"/>
  <c r="J1839" i="111"/>
  <c r="J1840" i="111"/>
  <c r="J1841" i="111"/>
  <c r="J1842" i="111"/>
  <c r="J1843" i="111"/>
  <c r="J1844" i="111"/>
  <c r="J1845" i="111"/>
  <c r="J1846" i="111"/>
  <c r="J1847" i="111"/>
  <c r="J1848" i="111"/>
  <c r="J1849" i="111"/>
  <c r="J1850" i="111"/>
  <c r="J1851" i="111"/>
  <c r="J1852" i="111"/>
  <c r="J1853" i="111"/>
  <c r="J1854" i="111"/>
  <c r="J1855" i="111"/>
  <c r="J1856" i="111"/>
  <c r="J1857" i="111"/>
  <c r="J1858" i="111"/>
  <c r="J1859" i="111"/>
  <c r="J1860" i="111"/>
  <c r="J1861" i="111"/>
  <c r="J1862" i="111"/>
  <c r="J1863" i="111"/>
  <c r="J1864" i="111"/>
  <c r="J1865" i="111"/>
  <c r="J1866" i="111"/>
  <c r="J1867" i="111"/>
  <c r="J1868" i="111"/>
  <c r="J1869" i="111"/>
  <c r="J1870" i="111"/>
  <c r="J1871" i="111"/>
  <c r="J1872" i="111"/>
  <c r="J1873" i="111"/>
  <c r="J1874" i="111"/>
  <c r="J1875" i="111"/>
  <c r="J1876" i="111"/>
  <c r="J1877" i="111"/>
  <c r="J1878" i="111"/>
  <c r="J1879" i="111"/>
  <c r="J1880" i="111"/>
  <c r="J1881" i="111"/>
  <c r="J1882" i="111"/>
  <c r="J1883" i="111"/>
  <c r="J1884" i="111"/>
  <c r="J1885" i="111"/>
  <c r="J1886" i="111"/>
  <c r="J1887" i="111"/>
  <c r="J1888" i="111"/>
  <c r="J1889" i="111"/>
  <c r="J1890" i="111"/>
  <c r="J1891" i="111"/>
  <c r="J1892" i="111"/>
  <c r="J1893" i="111"/>
  <c r="J1894" i="111"/>
  <c r="J1895" i="111"/>
  <c r="J1896" i="111"/>
  <c r="J1897" i="111"/>
  <c r="J1898" i="111"/>
  <c r="J1899" i="111"/>
  <c r="J1900" i="111"/>
  <c r="J1901" i="111"/>
  <c r="J1902" i="111"/>
  <c r="J1903" i="111"/>
  <c r="J1904" i="111"/>
  <c r="J1905" i="111"/>
  <c r="J1906" i="111"/>
  <c r="J1907" i="111"/>
  <c r="J1908" i="111"/>
  <c r="J1909" i="111"/>
  <c r="J1910" i="111"/>
  <c r="J1911" i="111"/>
  <c r="J1912" i="111"/>
  <c r="J1913" i="111"/>
  <c r="J1914" i="111"/>
  <c r="J1915" i="111"/>
  <c r="J1916" i="111"/>
  <c r="J1917" i="111"/>
  <c r="J1918" i="111"/>
  <c r="J1919" i="111"/>
  <c r="J1920" i="111"/>
  <c r="J1921" i="111"/>
  <c r="J1922" i="111"/>
  <c r="J1923" i="111"/>
  <c r="J1924" i="111"/>
  <c r="J1925" i="111"/>
  <c r="J1926" i="111"/>
  <c r="J1927" i="111"/>
  <c r="J1928" i="111"/>
  <c r="J1929" i="111"/>
  <c r="J1930" i="111"/>
  <c r="J1931" i="111"/>
  <c r="J1932" i="111"/>
  <c r="J1933" i="111"/>
  <c r="J1934" i="111"/>
  <c r="J1935" i="111"/>
  <c r="J1936" i="111"/>
  <c r="J1937" i="111"/>
  <c r="J1938" i="111"/>
  <c r="J1939" i="111"/>
  <c r="J1940" i="111"/>
  <c r="J1941" i="111"/>
  <c r="J1942" i="111"/>
  <c r="J1943" i="111"/>
  <c r="J1944" i="111"/>
  <c r="J1945" i="111"/>
  <c r="J1946" i="111"/>
  <c r="J1947" i="111"/>
  <c r="J1948" i="111"/>
  <c r="J1949" i="111"/>
  <c r="J1950" i="111"/>
  <c r="J1951" i="111"/>
  <c r="J1952" i="111"/>
  <c r="J1953" i="111"/>
  <c r="J1954" i="111"/>
  <c r="J1955" i="111"/>
  <c r="J1956" i="111"/>
  <c r="J1957" i="111"/>
  <c r="J1958" i="111"/>
  <c r="J1959" i="111"/>
  <c r="J1960" i="111"/>
  <c r="J1961" i="111"/>
  <c r="J1962" i="111"/>
  <c r="J1963" i="111"/>
  <c r="J1964" i="111"/>
  <c r="J1965" i="111"/>
  <c r="J1966" i="111"/>
  <c r="J1967" i="111"/>
  <c r="J1968" i="111"/>
  <c r="J1969" i="111"/>
  <c r="J1970" i="111"/>
  <c r="J1971" i="111"/>
  <c r="J1972" i="111"/>
  <c r="J1973" i="111"/>
  <c r="J1974" i="111"/>
  <c r="J1975" i="111"/>
  <c r="J1976" i="111"/>
  <c r="J1977" i="111"/>
  <c r="J1978" i="111"/>
  <c r="J1979" i="111"/>
  <c r="J1980" i="111"/>
  <c r="J1981" i="111"/>
  <c r="J1982" i="111"/>
  <c r="J1983" i="111"/>
  <c r="J1984" i="111"/>
  <c r="J1985" i="111"/>
  <c r="J1986" i="111"/>
  <c r="J1987" i="111"/>
  <c r="J1988" i="111"/>
  <c r="J1989" i="111"/>
  <c r="J1990" i="111"/>
  <c r="J1991" i="111"/>
  <c r="J1992" i="111"/>
  <c r="J1993" i="111"/>
  <c r="J1994" i="111"/>
  <c r="J1995" i="111"/>
  <c r="J1996" i="111"/>
  <c r="J1997" i="111"/>
  <c r="J1998" i="111"/>
  <c r="J1999" i="111"/>
  <c r="J2000" i="111"/>
  <c r="J2001" i="111"/>
  <c r="J2002" i="111"/>
  <c r="J2003" i="111"/>
  <c r="J2004" i="111"/>
  <c r="J2005" i="111"/>
  <c r="J2006" i="111"/>
  <c r="J2007" i="111"/>
  <c r="J2008" i="111"/>
  <c r="J2009" i="111"/>
  <c r="J2010" i="111"/>
  <c r="J2011" i="111"/>
  <c r="J2012" i="111"/>
  <c r="J2013" i="111"/>
  <c r="J2014" i="111"/>
  <c r="J2015" i="111"/>
  <c r="J2016" i="111"/>
  <c r="J2017" i="111"/>
  <c r="J2018" i="111"/>
  <c r="J2019" i="111"/>
  <c r="J2020" i="111"/>
  <c r="J2021" i="111"/>
  <c r="J2022" i="111"/>
  <c r="J2023" i="111"/>
  <c r="J2024" i="111"/>
  <c r="J2025" i="111"/>
  <c r="J2026" i="111"/>
  <c r="J2027" i="111"/>
  <c r="J2028" i="111"/>
  <c r="J2029" i="111"/>
  <c r="J2030" i="111"/>
  <c r="J2031" i="111"/>
  <c r="J2032" i="111"/>
  <c r="J2033" i="111"/>
  <c r="J2034" i="111"/>
  <c r="J2035" i="111"/>
  <c r="J2036" i="111"/>
  <c r="J2037" i="111"/>
  <c r="J2038" i="111"/>
  <c r="J2039" i="111"/>
  <c r="J2040" i="111"/>
  <c r="J2041" i="111"/>
  <c r="J2042" i="111"/>
  <c r="J2043" i="111"/>
  <c r="J2044" i="111"/>
  <c r="J2045" i="111"/>
  <c r="J2046" i="111"/>
  <c r="J2047" i="111"/>
  <c r="J2048" i="111"/>
  <c r="J2049" i="111"/>
  <c r="J2050" i="111"/>
  <c r="J2051" i="111"/>
  <c r="J2052" i="111"/>
  <c r="J2053" i="111"/>
  <c r="J2054" i="111"/>
  <c r="J2055" i="111"/>
  <c r="J2056" i="111"/>
  <c r="J2057" i="111"/>
  <c r="J2058" i="111"/>
  <c r="J2059" i="111"/>
  <c r="J2060" i="111"/>
  <c r="J2061" i="111"/>
  <c r="J2062" i="111"/>
  <c r="J2063" i="111"/>
  <c r="J2064" i="111"/>
  <c r="J2065" i="111"/>
  <c r="J2066" i="111"/>
  <c r="J2067" i="111"/>
  <c r="J2068" i="111"/>
  <c r="J2069" i="111"/>
  <c r="J2070" i="111"/>
  <c r="J2071" i="111"/>
  <c r="J2072" i="111"/>
  <c r="J2073" i="111"/>
  <c r="J2074" i="111"/>
  <c r="J2075" i="111"/>
  <c r="J2076" i="111"/>
  <c r="J2077" i="111"/>
  <c r="J2078" i="111"/>
  <c r="J2079" i="111"/>
  <c r="J2080" i="111"/>
  <c r="J2081" i="111"/>
  <c r="J2082" i="111"/>
  <c r="J2083" i="111"/>
  <c r="J2084" i="111"/>
  <c r="J2085" i="111"/>
  <c r="J2086" i="111"/>
  <c r="J2087" i="111"/>
  <c r="J2088" i="111"/>
  <c r="J2089" i="111"/>
  <c r="J2090" i="111"/>
  <c r="J2091" i="111"/>
  <c r="J2092" i="111"/>
  <c r="J2093" i="111"/>
  <c r="J2094" i="111"/>
  <c r="J2095" i="111"/>
  <c r="J2096" i="111"/>
  <c r="J2097" i="111"/>
  <c r="J2098" i="111"/>
  <c r="J2099" i="111"/>
  <c r="J2100" i="111"/>
  <c r="J2101" i="111"/>
  <c r="J2102" i="111"/>
  <c r="J2103" i="111"/>
  <c r="J2104" i="111"/>
  <c r="J2105" i="111"/>
  <c r="J2106" i="111"/>
  <c r="J2107" i="111"/>
  <c r="J2108" i="111"/>
  <c r="J2109" i="111"/>
  <c r="J2110" i="111"/>
  <c r="J2111" i="111"/>
  <c r="J2112" i="111"/>
  <c r="J2113" i="111"/>
  <c r="J2114" i="111"/>
  <c r="J2115" i="111"/>
  <c r="J2116" i="111"/>
  <c r="J2117" i="111"/>
  <c r="J2118" i="111"/>
  <c r="J2119" i="111"/>
  <c r="J2120" i="111"/>
  <c r="J2121" i="111"/>
  <c r="J2122" i="111"/>
  <c r="J2123" i="111"/>
  <c r="J2124" i="111"/>
  <c r="J2125" i="111"/>
  <c r="J2126" i="111"/>
  <c r="J2127" i="111"/>
  <c r="J2128" i="111"/>
  <c r="J2129" i="111"/>
  <c r="J2130" i="111"/>
  <c r="J2131" i="111"/>
  <c r="J2132" i="111"/>
  <c r="J2133" i="111"/>
  <c r="J2134" i="111"/>
  <c r="J2135" i="111"/>
  <c r="J2136" i="111"/>
  <c r="J2137" i="111"/>
  <c r="J2138" i="111"/>
  <c r="J2139" i="111"/>
  <c r="J2140" i="111"/>
  <c r="J2141" i="111"/>
  <c r="J2142" i="111"/>
  <c r="J2143" i="111"/>
  <c r="J2144" i="111"/>
  <c r="J2145" i="111"/>
  <c r="J2146" i="111"/>
  <c r="J2147" i="111"/>
  <c r="J2148" i="111"/>
  <c r="J2149" i="111"/>
  <c r="J2150" i="111"/>
  <c r="J2151" i="111"/>
  <c r="J2152" i="111"/>
  <c r="J2153" i="111"/>
  <c r="J2154" i="111"/>
  <c r="J2155" i="111"/>
  <c r="J2156" i="111"/>
  <c r="J2157" i="111"/>
  <c r="J2158" i="111"/>
  <c r="J2159" i="111"/>
  <c r="J2160" i="111"/>
  <c r="J2161" i="111"/>
  <c r="J2162" i="111"/>
  <c r="J2163" i="111"/>
  <c r="J2164" i="111"/>
  <c r="J2165" i="111"/>
  <c r="J2166" i="111"/>
  <c r="J2167" i="111"/>
  <c r="J2168" i="111"/>
  <c r="J2169" i="111"/>
  <c r="J2170" i="111"/>
  <c r="J2171" i="111"/>
  <c r="J2172" i="111"/>
  <c r="J2173" i="111"/>
  <c r="J2174" i="111"/>
  <c r="J2175" i="111"/>
  <c r="J2176" i="111"/>
  <c r="J2177" i="111"/>
  <c r="J2178" i="111"/>
  <c r="J2179" i="111"/>
  <c r="J2180" i="111"/>
  <c r="J2181" i="111"/>
  <c r="J2182" i="111"/>
  <c r="J2183" i="111"/>
  <c r="J2184" i="111"/>
  <c r="J2185" i="111"/>
  <c r="J2186" i="111"/>
  <c r="J2187" i="111"/>
  <c r="J2188" i="111"/>
  <c r="J2189" i="111"/>
  <c r="J2190" i="111"/>
  <c r="J2191" i="111"/>
  <c r="J2192" i="111"/>
  <c r="J2193" i="111"/>
  <c r="J2194" i="111"/>
  <c r="J2195" i="111"/>
  <c r="J2196" i="111"/>
  <c r="J2197" i="111"/>
  <c r="J2198" i="111"/>
  <c r="J2199" i="111"/>
  <c r="J2200" i="111"/>
  <c r="J2201" i="111"/>
  <c r="J2202" i="111"/>
  <c r="J2203" i="111"/>
  <c r="J2204" i="111"/>
  <c r="J2205" i="111"/>
  <c r="J2206" i="111"/>
  <c r="J2207" i="111"/>
  <c r="J2208" i="111"/>
  <c r="J2209" i="111"/>
  <c r="J2210" i="111"/>
  <c r="J2211" i="111"/>
  <c r="J2212" i="111"/>
  <c r="J2213" i="111"/>
  <c r="J2214" i="111"/>
  <c r="J2215" i="111"/>
  <c r="J2216" i="111"/>
  <c r="J2217" i="111"/>
  <c r="J2218" i="111"/>
  <c r="J2219" i="111"/>
  <c r="J2220" i="111"/>
  <c r="J2221" i="111"/>
  <c r="J2222" i="111"/>
  <c r="J2223" i="111"/>
  <c r="J2224" i="111"/>
  <c r="J2225" i="111"/>
  <c r="J2226" i="111"/>
  <c r="J2227" i="111"/>
  <c r="J2228" i="111"/>
  <c r="J2229" i="111"/>
  <c r="J2230" i="111"/>
  <c r="J2231" i="111"/>
  <c r="J2232" i="111"/>
  <c r="J2233" i="111"/>
  <c r="J2234" i="111"/>
  <c r="J2235" i="111"/>
  <c r="J2236" i="111"/>
  <c r="J2237" i="111"/>
  <c r="J2238" i="111"/>
  <c r="J2239" i="111"/>
  <c r="J2240" i="111"/>
  <c r="J2241" i="111"/>
  <c r="J2242" i="111"/>
  <c r="J2243" i="111"/>
  <c r="J2244" i="111"/>
  <c r="J2245" i="111"/>
  <c r="J2246" i="111"/>
  <c r="J2247" i="111"/>
  <c r="J2248" i="111"/>
  <c r="J2249" i="111"/>
  <c r="J2250" i="111"/>
  <c r="J2251" i="111"/>
  <c r="J2252" i="111"/>
  <c r="J2253" i="111"/>
  <c r="J2254" i="111"/>
  <c r="J2255" i="111"/>
  <c r="J2256" i="111"/>
  <c r="J2257" i="111"/>
  <c r="J2258" i="111"/>
  <c r="J2259" i="111"/>
  <c r="J2260" i="111"/>
  <c r="J2261" i="111"/>
  <c r="J2262" i="111"/>
  <c r="J2263" i="111"/>
  <c r="J2264" i="111"/>
  <c r="J2265" i="111"/>
  <c r="J2266" i="111"/>
  <c r="J2267" i="111"/>
  <c r="J2268" i="111"/>
  <c r="J2269" i="111"/>
  <c r="J2270" i="111"/>
  <c r="J2271" i="111"/>
  <c r="J2272" i="111"/>
  <c r="J2273" i="111"/>
  <c r="J2274" i="111"/>
  <c r="J2275" i="111"/>
  <c r="J2276" i="111"/>
  <c r="J2277" i="111"/>
  <c r="J2278" i="111"/>
  <c r="J2279" i="111"/>
  <c r="J2280" i="111"/>
  <c r="J2281" i="111"/>
  <c r="J2282" i="111"/>
  <c r="J2283" i="111"/>
  <c r="J2284" i="111"/>
  <c r="J2285" i="111"/>
  <c r="J2286" i="111"/>
  <c r="J2287" i="111"/>
  <c r="J2288" i="111"/>
  <c r="J2289" i="111"/>
  <c r="J2290" i="111"/>
  <c r="J2291" i="111"/>
  <c r="J2292" i="111"/>
  <c r="J2293" i="111"/>
  <c r="J2294" i="111"/>
  <c r="J2295" i="111"/>
  <c r="J2296" i="111"/>
  <c r="J2297" i="111"/>
  <c r="J2298" i="111"/>
  <c r="J2299" i="111"/>
  <c r="J2300" i="111"/>
  <c r="J2301" i="111"/>
  <c r="J2302" i="111"/>
  <c r="J2303" i="111"/>
  <c r="J2304" i="111"/>
  <c r="J2305" i="111"/>
  <c r="J2306" i="111"/>
  <c r="J2307" i="111"/>
  <c r="J2308" i="111"/>
  <c r="J2309" i="111"/>
  <c r="J2310" i="111"/>
  <c r="J2311" i="111"/>
  <c r="J2312" i="111"/>
  <c r="J2313" i="111"/>
  <c r="J2314" i="111"/>
  <c r="J2315" i="111"/>
  <c r="J2316" i="111"/>
  <c r="J2317" i="111"/>
  <c r="J2318" i="111"/>
  <c r="J2319" i="111"/>
  <c r="J2320" i="111"/>
  <c r="J2321" i="111"/>
  <c r="J2322" i="111"/>
  <c r="J2323" i="111"/>
  <c r="J2324" i="111"/>
  <c r="J2325" i="111"/>
  <c r="J2326" i="111"/>
  <c r="J2327" i="111"/>
  <c r="J2328" i="111"/>
  <c r="J2329" i="111"/>
  <c r="J2330" i="111"/>
  <c r="J2331" i="111"/>
  <c r="J2332" i="111"/>
  <c r="J2333" i="111"/>
  <c r="J2334" i="111"/>
  <c r="J2335" i="111"/>
  <c r="J2336" i="111"/>
  <c r="J2337" i="111"/>
  <c r="J2338" i="111"/>
  <c r="J2339" i="111"/>
  <c r="J2340" i="111"/>
  <c r="J2341" i="111"/>
  <c r="J2342" i="111"/>
  <c r="J2343" i="111"/>
  <c r="J2344" i="111"/>
  <c r="J2345" i="111"/>
  <c r="J2346" i="111"/>
  <c r="J2347" i="111"/>
  <c r="J2348" i="111"/>
  <c r="J2349" i="111"/>
  <c r="J2350" i="111"/>
  <c r="J2351" i="111"/>
  <c r="J2352" i="111"/>
  <c r="J2353" i="111"/>
  <c r="J2354" i="111"/>
  <c r="J2355" i="111"/>
  <c r="J2356" i="111"/>
  <c r="J2357" i="111"/>
  <c r="J2358" i="111"/>
  <c r="J2359" i="111"/>
  <c r="J2360" i="111"/>
  <c r="J2361" i="111"/>
  <c r="J2362" i="111"/>
  <c r="J2363" i="111"/>
  <c r="J2364" i="111"/>
  <c r="J2365" i="111"/>
  <c r="J2366" i="111"/>
  <c r="J2367" i="111"/>
  <c r="J2368" i="111"/>
  <c r="J2369" i="111"/>
  <c r="J2370" i="111"/>
  <c r="J2371" i="111"/>
  <c r="J2372" i="111"/>
  <c r="J2373" i="111"/>
  <c r="J2374" i="111"/>
  <c r="J2375" i="111"/>
  <c r="J2376" i="111"/>
  <c r="J2377" i="111"/>
  <c r="J2378" i="111"/>
  <c r="J2379" i="111"/>
  <c r="J2380" i="111"/>
  <c r="J2381" i="111"/>
  <c r="J2382" i="111"/>
  <c r="J2383" i="111"/>
  <c r="J2384" i="111"/>
  <c r="J2385" i="111"/>
  <c r="J2386" i="111"/>
  <c r="J2387" i="111"/>
  <c r="J2388" i="111"/>
  <c r="J2389" i="111"/>
  <c r="J2390" i="111"/>
  <c r="J2391" i="111"/>
  <c r="J2392" i="111"/>
  <c r="J2393" i="111"/>
  <c r="J2394" i="111"/>
  <c r="J2395" i="111"/>
  <c r="J2396" i="111"/>
  <c r="J2397" i="111"/>
  <c r="J2398" i="111"/>
  <c r="J2399" i="111"/>
  <c r="J2400" i="111"/>
  <c r="J2401" i="111"/>
  <c r="J2402" i="111"/>
  <c r="J2403" i="111"/>
  <c r="J2404" i="111"/>
  <c r="J2405" i="111"/>
  <c r="J2406" i="111"/>
  <c r="J2407" i="111"/>
  <c r="J2408" i="111"/>
  <c r="J2409" i="111"/>
  <c r="J2410" i="111"/>
  <c r="J2411" i="111"/>
  <c r="J2412" i="111"/>
  <c r="J2413" i="111"/>
  <c r="J2414" i="111"/>
  <c r="J2415" i="111"/>
  <c r="J2416" i="111"/>
  <c r="J2417" i="111"/>
  <c r="J2418" i="111"/>
  <c r="J2419" i="111"/>
  <c r="J2420" i="111"/>
  <c r="J2421" i="111"/>
  <c r="J2422" i="111"/>
  <c r="J2423" i="111"/>
  <c r="J2424" i="111"/>
  <c r="J2425" i="111"/>
  <c r="J2426" i="111"/>
  <c r="J2427" i="111"/>
  <c r="J2428" i="111"/>
  <c r="J2429" i="111"/>
  <c r="J2430" i="111"/>
  <c r="J2431" i="111"/>
  <c r="J2432" i="111"/>
  <c r="J2433" i="111"/>
  <c r="J2434" i="111"/>
  <c r="J2435" i="111"/>
  <c r="J2436" i="111"/>
  <c r="J2437" i="111"/>
  <c r="J2438" i="111"/>
  <c r="J2439" i="111"/>
  <c r="J2440" i="111"/>
  <c r="J2441" i="111"/>
  <c r="J2442" i="111"/>
  <c r="J2443" i="111"/>
  <c r="J2444" i="111"/>
  <c r="J2445" i="111"/>
  <c r="J2446" i="111"/>
  <c r="J2447" i="111"/>
  <c r="J2448" i="111"/>
  <c r="J2449" i="111"/>
  <c r="J2450" i="111"/>
  <c r="J2451" i="111"/>
  <c r="J2452" i="111"/>
  <c r="J2453" i="111"/>
  <c r="J2454" i="111"/>
  <c r="J2455" i="111"/>
  <c r="J2456" i="111"/>
  <c r="J2457" i="111"/>
  <c r="J2458" i="111"/>
  <c r="J2459" i="111"/>
  <c r="J2460" i="111"/>
  <c r="J2461" i="111"/>
  <c r="J2462" i="111"/>
  <c r="J2463" i="111"/>
  <c r="J2464" i="111"/>
  <c r="J2465" i="111"/>
  <c r="J2466" i="111"/>
  <c r="J2467" i="111"/>
  <c r="J2468" i="111"/>
  <c r="J2469" i="111"/>
  <c r="J2470" i="111"/>
  <c r="J2471" i="111"/>
  <c r="J2472" i="111"/>
  <c r="J2473" i="111"/>
  <c r="J2474" i="111"/>
  <c r="J2475" i="111"/>
  <c r="J2476" i="111"/>
  <c r="J2477" i="111"/>
  <c r="J2478" i="111"/>
  <c r="J2479" i="111"/>
  <c r="J2480" i="111"/>
  <c r="J2481" i="111"/>
  <c r="J2482" i="111"/>
  <c r="J2483" i="111"/>
  <c r="J2484" i="111"/>
  <c r="J2485" i="111"/>
  <c r="J2486" i="111"/>
  <c r="J2487" i="111"/>
  <c r="J2488" i="111"/>
  <c r="J2489" i="111"/>
  <c r="J2490" i="111"/>
  <c r="J2491" i="111"/>
  <c r="J2492" i="111"/>
  <c r="J2493" i="111"/>
  <c r="J2494" i="111"/>
  <c r="J2495" i="111"/>
  <c r="J2496" i="111"/>
  <c r="J2497" i="111"/>
  <c r="J2498" i="111"/>
  <c r="J2499" i="111"/>
  <c r="J2500" i="111"/>
  <c r="J2501" i="111"/>
  <c r="J2502" i="111"/>
  <c r="J2503" i="111"/>
  <c r="J2504" i="111"/>
  <c r="J2505" i="111"/>
  <c r="J2506" i="111"/>
  <c r="J2507" i="111"/>
  <c r="J2508" i="111"/>
  <c r="J2509" i="111"/>
  <c r="J2510" i="111"/>
  <c r="J2511" i="111"/>
  <c r="J2512" i="111"/>
  <c r="J2513" i="111"/>
  <c r="J2514" i="111"/>
  <c r="J2515" i="111"/>
  <c r="J2516" i="111"/>
  <c r="J2517" i="111"/>
  <c r="J2518" i="111"/>
  <c r="J2519" i="111"/>
  <c r="J2520" i="111"/>
  <c r="J2521" i="111"/>
  <c r="J2522" i="111"/>
  <c r="J2523" i="111"/>
  <c r="J2524" i="111"/>
  <c r="J2525" i="111"/>
  <c r="J2526" i="111"/>
  <c r="J2527" i="111"/>
  <c r="J2528" i="111"/>
  <c r="J2529" i="111"/>
  <c r="J2530" i="111"/>
  <c r="J2531" i="111"/>
  <c r="J2532" i="111"/>
  <c r="J2533" i="111"/>
  <c r="J2534" i="111"/>
  <c r="J2535" i="111"/>
  <c r="J2536" i="111"/>
  <c r="J2537" i="111"/>
  <c r="J2538" i="111"/>
  <c r="J2539" i="111"/>
  <c r="J2540" i="111"/>
  <c r="J2541" i="111"/>
  <c r="J2542" i="111"/>
  <c r="J2543" i="111"/>
  <c r="J2544" i="111"/>
  <c r="J2545" i="111"/>
  <c r="J2546" i="111"/>
  <c r="J2547" i="111"/>
  <c r="J2548" i="111"/>
  <c r="J2549" i="111"/>
  <c r="J2550" i="111"/>
  <c r="J2551" i="111"/>
  <c r="J2552" i="111"/>
  <c r="J2553" i="111"/>
  <c r="J2554" i="111"/>
  <c r="J2555" i="111"/>
  <c r="J2556" i="111"/>
  <c r="J2557" i="111"/>
  <c r="J2558" i="111"/>
  <c r="J2559" i="111"/>
  <c r="J2560" i="111"/>
  <c r="J2561" i="111"/>
  <c r="J2562" i="111"/>
  <c r="J2563" i="111"/>
  <c r="J2564" i="111"/>
  <c r="J2565" i="111"/>
  <c r="J2566" i="111"/>
  <c r="J2567" i="111"/>
  <c r="J2568" i="111"/>
  <c r="J2569" i="111"/>
  <c r="J2570" i="111"/>
  <c r="J2571" i="111"/>
  <c r="J2572" i="111"/>
  <c r="J2573" i="111"/>
  <c r="J2574" i="111"/>
  <c r="J2575" i="111"/>
  <c r="J2576" i="111"/>
  <c r="J2577" i="111"/>
  <c r="J2578" i="111"/>
  <c r="J2579" i="111"/>
  <c r="J2580" i="111"/>
  <c r="J2581" i="111"/>
  <c r="J2582" i="111"/>
  <c r="J2583" i="111"/>
  <c r="J2584" i="111"/>
  <c r="J2585" i="111"/>
  <c r="J2586" i="111"/>
  <c r="J2587" i="111"/>
  <c r="J2588" i="111"/>
  <c r="J2589" i="111"/>
  <c r="J2590" i="111"/>
  <c r="J2591" i="111"/>
  <c r="J2592" i="111"/>
  <c r="J2593" i="111"/>
  <c r="J2594" i="111"/>
  <c r="J2595" i="111"/>
  <c r="J2596" i="111"/>
  <c r="J2597" i="111"/>
  <c r="J2598" i="111"/>
  <c r="J2599" i="111"/>
  <c r="J2600" i="111"/>
  <c r="J2601" i="111"/>
  <c r="J2602" i="111"/>
  <c r="J2603" i="111"/>
  <c r="J2604" i="111"/>
  <c r="J2605" i="111"/>
  <c r="J2606" i="111"/>
  <c r="J2607" i="111"/>
  <c r="J2608" i="111"/>
  <c r="J2609" i="111"/>
  <c r="J2610" i="111"/>
  <c r="J2611" i="111"/>
  <c r="J2612" i="111"/>
  <c r="J2613" i="111"/>
  <c r="J2614" i="111"/>
  <c r="J2615" i="111"/>
  <c r="J2616" i="111"/>
  <c r="J2617" i="111"/>
  <c r="J2618" i="111"/>
  <c r="J2619" i="111"/>
  <c r="J2620" i="111"/>
  <c r="J2621" i="111"/>
  <c r="J2622" i="111"/>
  <c r="J2623" i="111"/>
  <c r="J2624" i="111"/>
  <c r="J2625" i="111"/>
  <c r="J2626" i="111"/>
  <c r="J2627" i="111"/>
  <c r="J2628" i="111"/>
  <c r="J2629" i="111"/>
  <c r="J2630" i="111"/>
  <c r="J2631" i="111"/>
  <c r="J2632" i="111"/>
  <c r="J2633" i="111"/>
  <c r="J2634" i="111"/>
  <c r="J2635" i="111"/>
  <c r="J2636" i="111"/>
  <c r="J2637" i="111"/>
  <c r="J2638" i="111"/>
  <c r="J2639" i="111"/>
  <c r="J2640" i="111"/>
  <c r="J2641" i="111"/>
  <c r="J2642" i="111"/>
  <c r="J2643" i="111"/>
  <c r="J2644" i="111"/>
  <c r="J2645" i="111"/>
  <c r="J2646" i="111"/>
  <c r="J2647" i="111"/>
  <c r="J2648" i="111"/>
  <c r="J2649" i="111"/>
  <c r="J2650" i="111"/>
  <c r="J2651" i="111"/>
  <c r="J2652" i="111"/>
  <c r="J2653" i="111"/>
  <c r="J2654" i="111"/>
  <c r="J2655" i="111"/>
  <c r="J2656" i="111"/>
  <c r="J2657" i="111"/>
  <c r="J2658" i="111"/>
  <c r="J2659" i="111"/>
  <c r="J2660" i="111"/>
  <c r="J2661" i="111"/>
  <c r="J2662" i="111"/>
  <c r="J2663" i="111"/>
  <c r="J2664" i="111"/>
  <c r="J2665" i="111"/>
  <c r="J2666" i="111"/>
  <c r="J2667" i="111"/>
  <c r="J2668" i="111"/>
  <c r="J2669" i="111"/>
  <c r="J2670" i="111"/>
  <c r="J2671" i="111"/>
  <c r="J2672" i="111"/>
  <c r="J2673" i="111"/>
  <c r="J2674" i="111"/>
  <c r="J2675" i="111"/>
  <c r="J2676" i="111"/>
  <c r="J2677" i="111"/>
  <c r="J2678" i="111"/>
  <c r="J2679" i="111"/>
  <c r="J2680" i="111"/>
  <c r="J2681" i="111"/>
  <c r="J2682" i="111"/>
  <c r="J2683" i="111"/>
  <c r="J2684" i="111"/>
  <c r="J2685" i="111"/>
  <c r="J2686" i="111"/>
  <c r="J2687" i="111"/>
  <c r="J2688" i="111"/>
  <c r="J2689" i="111"/>
  <c r="J2690" i="111"/>
  <c r="J2691" i="111"/>
  <c r="J2692" i="111"/>
  <c r="J2693" i="111"/>
  <c r="J2694" i="111"/>
  <c r="J2695" i="111"/>
  <c r="J2696" i="111"/>
  <c r="J2697" i="111"/>
  <c r="J2698" i="111"/>
  <c r="J2699" i="111"/>
  <c r="J2700" i="111"/>
  <c r="J2701" i="111"/>
  <c r="J2702" i="111"/>
  <c r="J2703" i="111"/>
  <c r="J2704" i="111"/>
  <c r="J2705" i="111"/>
  <c r="J2706" i="111"/>
  <c r="J2707" i="111"/>
  <c r="J2708" i="111"/>
  <c r="J2709" i="111"/>
  <c r="J2710" i="111"/>
  <c r="J2711" i="111"/>
  <c r="J2712" i="111"/>
  <c r="J2713" i="111"/>
  <c r="J2714" i="111"/>
  <c r="J2715" i="111"/>
  <c r="J2716" i="111"/>
  <c r="J2717" i="111"/>
  <c r="J2718" i="111"/>
  <c r="J2719" i="111"/>
  <c r="J2720" i="111"/>
  <c r="J2721" i="111"/>
  <c r="J2722" i="111"/>
  <c r="J2723" i="111"/>
  <c r="J2724" i="111"/>
  <c r="J2725" i="111"/>
  <c r="J2726" i="111"/>
  <c r="J2727" i="111"/>
  <c r="J2728" i="111"/>
  <c r="J2729" i="111"/>
  <c r="J2730" i="111"/>
  <c r="J2731" i="111"/>
  <c r="J2732" i="111"/>
  <c r="J2733" i="111"/>
  <c r="J2734" i="111"/>
  <c r="J2735" i="111"/>
  <c r="J2736" i="111"/>
  <c r="J2737" i="111"/>
  <c r="J2738" i="111"/>
  <c r="J2739" i="111"/>
  <c r="J2740" i="111"/>
  <c r="J2741" i="111"/>
  <c r="J2742" i="111"/>
  <c r="J2743" i="111"/>
  <c r="J2744" i="111"/>
  <c r="J2745" i="111"/>
  <c r="J2746" i="111"/>
  <c r="J2747" i="111"/>
  <c r="J2748" i="111"/>
  <c r="J2749" i="111"/>
  <c r="J2750" i="111"/>
  <c r="J2751" i="111"/>
  <c r="J2752" i="111"/>
  <c r="J2753" i="111"/>
  <c r="J2754" i="111"/>
  <c r="J2755" i="111"/>
  <c r="J2756" i="111"/>
  <c r="J2757" i="111"/>
  <c r="J2758" i="111"/>
  <c r="J2759" i="111"/>
  <c r="J2760" i="111"/>
  <c r="J2761" i="111"/>
  <c r="J2762" i="111"/>
  <c r="J2763" i="111"/>
  <c r="J2764" i="111"/>
  <c r="J2765" i="111"/>
  <c r="J2766" i="111"/>
  <c r="J2767" i="111"/>
  <c r="J2768" i="111"/>
  <c r="J2769" i="111"/>
  <c r="J2770" i="111"/>
  <c r="J2771" i="111"/>
  <c r="J2772" i="111"/>
  <c r="J2773" i="111"/>
  <c r="J2774" i="111"/>
  <c r="J2775" i="111"/>
  <c r="J2776" i="111"/>
  <c r="J2777" i="111"/>
  <c r="J2778" i="111"/>
  <c r="J2779" i="111"/>
  <c r="J2780" i="111"/>
  <c r="J2781" i="111"/>
  <c r="J2782" i="111"/>
  <c r="J2783" i="111"/>
  <c r="J2784" i="111"/>
  <c r="J2785" i="111"/>
  <c r="J2786" i="111"/>
  <c r="J2787" i="111"/>
  <c r="J2788" i="111"/>
  <c r="J2789" i="111"/>
  <c r="J2790" i="111"/>
  <c r="J2791" i="111"/>
  <c r="J2792" i="111"/>
  <c r="J2793" i="111"/>
  <c r="J2794" i="111"/>
  <c r="J2795" i="111"/>
  <c r="J2796" i="111"/>
  <c r="J2797" i="111"/>
  <c r="J2798" i="111"/>
  <c r="J2799" i="111"/>
  <c r="J2800" i="111"/>
  <c r="J2801" i="111"/>
  <c r="J2802" i="111"/>
  <c r="J2803" i="111"/>
  <c r="J2804" i="111"/>
  <c r="J2805" i="111"/>
  <c r="J2806" i="111"/>
  <c r="J2807" i="111"/>
  <c r="J2808" i="111"/>
  <c r="J2809" i="111"/>
  <c r="J2810" i="111"/>
  <c r="J2811" i="111"/>
  <c r="J2812" i="111"/>
  <c r="J2813" i="111"/>
  <c r="J2814" i="111"/>
  <c r="J2815" i="111"/>
  <c r="J2816" i="111"/>
  <c r="J2817" i="111"/>
  <c r="J2818" i="111"/>
  <c r="J2819" i="111"/>
  <c r="J2820" i="111"/>
  <c r="J2821" i="111"/>
  <c r="J2822" i="111"/>
  <c r="J2823" i="111"/>
  <c r="J2824" i="111"/>
  <c r="J2825" i="111"/>
  <c r="J2826" i="111"/>
  <c r="J2827" i="111"/>
  <c r="J2828" i="111"/>
  <c r="J2829" i="111"/>
  <c r="J2830" i="111"/>
  <c r="J2831" i="111"/>
  <c r="J2832" i="111"/>
  <c r="J2833" i="111"/>
  <c r="J2834" i="111"/>
  <c r="J2835" i="111"/>
  <c r="J2836" i="111"/>
  <c r="J2837" i="111"/>
  <c r="J2838" i="111"/>
  <c r="J2839" i="111"/>
  <c r="J2840" i="111"/>
  <c r="J2841" i="111"/>
  <c r="J2842" i="111"/>
  <c r="J2843" i="111"/>
  <c r="J2844" i="111"/>
  <c r="J2845" i="111"/>
  <c r="J2846" i="111"/>
  <c r="J2847" i="111"/>
  <c r="J2848" i="111"/>
  <c r="J2849" i="111"/>
  <c r="J2850" i="111"/>
  <c r="J2851" i="111"/>
  <c r="J2852" i="111"/>
  <c r="J2853" i="111"/>
  <c r="J2854" i="111"/>
  <c r="J2855" i="111"/>
  <c r="J2856" i="111"/>
  <c r="J2857" i="111"/>
  <c r="J2858" i="111"/>
  <c r="J2859" i="111"/>
  <c r="J2860" i="111"/>
  <c r="J2861" i="111"/>
  <c r="J2862" i="111"/>
  <c r="J2863" i="111"/>
  <c r="J2864" i="111"/>
  <c r="J2865" i="111"/>
  <c r="J2866" i="111"/>
  <c r="J2867" i="111"/>
  <c r="J2868" i="111"/>
  <c r="J2869" i="111"/>
  <c r="J2870" i="111"/>
  <c r="J2871" i="111"/>
  <c r="J2872" i="111"/>
  <c r="J2873" i="111"/>
  <c r="J2874" i="111"/>
  <c r="J2875" i="111"/>
  <c r="J2876" i="111"/>
  <c r="J2877" i="111"/>
  <c r="J2878" i="111"/>
  <c r="J2879" i="111"/>
  <c r="J2880" i="111"/>
  <c r="J2881" i="111"/>
  <c r="J2882" i="111"/>
  <c r="J2883" i="111"/>
  <c r="J2884" i="111"/>
  <c r="J2885" i="111"/>
  <c r="J2886" i="111"/>
  <c r="J2887" i="111"/>
  <c r="J2888" i="111"/>
  <c r="J2889" i="111"/>
  <c r="J2890" i="111"/>
  <c r="J2891" i="111"/>
  <c r="J2892" i="111"/>
  <c r="J2893" i="111"/>
  <c r="J2894" i="111"/>
  <c r="J2895" i="111"/>
  <c r="J2896" i="111"/>
  <c r="J2897" i="111"/>
  <c r="J2898" i="111"/>
  <c r="J2899" i="111"/>
  <c r="J2900" i="111"/>
  <c r="J2901" i="111"/>
  <c r="J2902" i="111"/>
  <c r="J2903" i="111"/>
  <c r="J2904" i="111"/>
  <c r="J2905" i="111"/>
  <c r="J2906" i="111"/>
  <c r="J2907" i="111"/>
  <c r="J2908" i="111"/>
  <c r="J2909" i="111"/>
  <c r="J2910" i="111"/>
  <c r="J2911" i="111"/>
  <c r="J2912" i="111"/>
  <c r="J2913" i="111"/>
  <c r="J2914" i="111"/>
  <c r="J2915" i="111"/>
  <c r="J2916" i="111"/>
  <c r="J2917" i="111"/>
  <c r="J2918" i="111"/>
  <c r="J2919" i="111"/>
  <c r="J2920" i="111"/>
  <c r="J2921" i="111"/>
  <c r="J2922" i="111"/>
  <c r="J2923" i="111"/>
  <c r="J2924" i="111"/>
  <c r="J2925" i="111"/>
  <c r="J2926" i="111"/>
  <c r="J2927" i="111"/>
  <c r="J2928" i="111"/>
  <c r="J2929" i="111"/>
  <c r="J2930" i="111"/>
  <c r="J2931" i="111"/>
  <c r="J2932" i="111"/>
  <c r="J2933" i="111"/>
  <c r="J2934" i="111"/>
  <c r="J2935" i="111"/>
  <c r="J2936" i="111"/>
  <c r="J2937" i="111"/>
  <c r="J2938" i="111"/>
  <c r="J2939" i="111"/>
  <c r="J2940" i="111"/>
  <c r="J2941" i="111"/>
  <c r="J2942" i="111"/>
  <c r="J2943" i="111"/>
  <c r="J2944" i="111"/>
  <c r="J2945" i="111"/>
  <c r="J2946" i="111"/>
  <c r="J2947" i="111"/>
  <c r="J2948" i="111"/>
  <c r="J2949" i="111"/>
  <c r="J2950" i="111"/>
  <c r="J2951" i="111"/>
  <c r="J2952" i="111"/>
  <c r="J2953" i="111"/>
  <c r="J2954" i="111"/>
  <c r="J2955" i="111"/>
  <c r="J2956" i="111"/>
  <c r="J2957" i="111"/>
  <c r="J2958" i="111"/>
  <c r="J2959" i="111"/>
  <c r="J2960" i="111"/>
  <c r="J2961" i="111"/>
  <c r="J2962" i="111"/>
  <c r="J2963" i="111"/>
  <c r="J2964" i="111"/>
  <c r="J2965" i="111"/>
  <c r="J2966" i="111"/>
  <c r="J2967" i="111"/>
  <c r="J2968" i="111"/>
  <c r="J2969" i="111"/>
  <c r="J2970" i="111"/>
  <c r="J2971" i="111"/>
  <c r="J2972" i="111"/>
  <c r="J2973" i="111"/>
  <c r="J2974" i="111"/>
  <c r="J2975" i="111"/>
  <c r="J2976" i="111"/>
  <c r="J2977" i="111"/>
  <c r="J2978" i="111"/>
  <c r="J2979" i="111"/>
  <c r="J2980" i="111"/>
  <c r="J2981" i="111"/>
  <c r="J2982" i="111"/>
  <c r="J2983" i="111"/>
  <c r="J2984" i="111"/>
  <c r="J2985" i="111"/>
  <c r="J2986" i="111"/>
  <c r="J2987" i="111"/>
  <c r="J2988" i="111"/>
  <c r="J2989" i="111"/>
  <c r="J2990" i="111"/>
  <c r="J2991" i="111"/>
  <c r="J2992" i="111"/>
  <c r="J2993" i="111"/>
  <c r="J2994" i="111"/>
  <c r="J2995" i="111"/>
  <c r="J2996" i="111"/>
  <c r="J2997" i="111"/>
  <c r="J2998" i="111"/>
  <c r="J2999" i="111"/>
  <c r="J3000" i="111"/>
  <c r="J3001" i="111"/>
  <c r="J3002" i="111"/>
  <c r="J3003" i="111"/>
  <c r="J3004" i="111"/>
  <c r="J3005" i="111"/>
  <c r="J3006" i="111"/>
  <c r="J3007" i="111"/>
  <c r="J3008" i="111"/>
  <c r="J3009" i="111"/>
  <c r="J3010" i="111"/>
  <c r="J3011" i="111"/>
  <c r="J3012" i="111"/>
  <c r="J3013" i="111"/>
  <c r="J3014" i="111"/>
  <c r="J3015" i="111"/>
  <c r="J3016" i="111"/>
  <c r="J3017" i="111"/>
  <c r="J3018" i="111"/>
  <c r="J3019" i="111"/>
  <c r="J3020" i="111"/>
  <c r="J3021" i="111"/>
  <c r="J3022" i="111"/>
  <c r="J3023" i="111"/>
  <c r="J3024" i="111"/>
  <c r="J3025" i="111"/>
  <c r="J3026" i="111"/>
  <c r="J3027" i="111"/>
  <c r="J3028" i="111"/>
  <c r="J3029" i="111"/>
  <c r="J3030" i="111"/>
  <c r="J3031" i="111"/>
  <c r="J3032" i="111"/>
  <c r="J3033" i="111"/>
  <c r="J3034" i="111"/>
  <c r="J3035" i="111"/>
  <c r="J3036" i="111"/>
  <c r="J3037" i="111"/>
  <c r="J3038" i="111"/>
  <c r="J3039" i="111"/>
  <c r="J3040" i="111"/>
  <c r="J3041" i="111"/>
  <c r="J3042" i="111"/>
  <c r="J3043" i="111"/>
  <c r="J3044" i="111"/>
  <c r="J3045" i="111"/>
  <c r="J3046" i="111"/>
  <c r="J3047" i="111"/>
  <c r="J3048" i="111"/>
  <c r="J3049" i="111"/>
  <c r="J3050" i="111"/>
  <c r="J3051" i="111"/>
  <c r="J3052" i="111"/>
  <c r="J3053" i="111"/>
  <c r="J3054" i="111"/>
  <c r="J3055" i="111"/>
  <c r="J3056" i="111"/>
  <c r="J3057" i="111"/>
  <c r="J3058" i="111"/>
  <c r="J3059" i="111"/>
  <c r="J3060" i="111"/>
  <c r="J3061" i="111"/>
  <c r="J3062" i="111"/>
  <c r="J3063" i="111"/>
  <c r="J3064" i="111"/>
  <c r="J3065" i="111"/>
  <c r="J3066" i="111"/>
  <c r="J3067" i="111"/>
  <c r="J3068" i="111"/>
  <c r="J3069" i="111"/>
  <c r="J3070" i="111"/>
  <c r="J3071" i="111"/>
  <c r="J3072" i="111"/>
  <c r="J3073" i="111"/>
  <c r="J3074" i="111"/>
  <c r="J3075" i="111"/>
  <c r="J3076" i="111"/>
  <c r="J3077" i="111"/>
  <c r="J3078" i="111"/>
  <c r="J3079" i="111"/>
  <c r="J3080" i="111"/>
  <c r="J3081" i="111"/>
  <c r="J3082" i="111"/>
  <c r="J3083" i="111"/>
  <c r="J3084" i="111"/>
  <c r="J3085" i="111"/>
  <c r="J3086" i="111"/>
  <c r="J3087" i="111"/>
  <c r="J3088" i="111"/>
  <c r="J3089" i="111"/>
  <c r="J3090" i="111"/>
  <c r="J3091" i="111"/>
  <c r="J3092" i="111"/>
  <c r="J3093" i="111"/>
  <c r="J3094" i="111"/>
  <c r="J3095" i="111"/>
  <c r="J3096" i="111"/>
  <c r="J3097" i="111"/>
  <c r="J3098" i="111"/>
  <c r="J3099" i="111"/>
  <c r="J3100" i="111"/>
  <c r="J3101" i="111"/>
  <c r="J3102" i="111"/>
  <c r="J3103" i="111"/>
  <c r="J3104" i="111"/>
  <c r="J3105" i="111"/>
  <c r="J3106" i="111"/>
  <c r="J3107" i="111"/>
  <c r="J3108" i="111"/>
  <c r="J3109" i="111"/>
  <c r="J3110" i="111"/>
  <c r="J3111" i="111"/>
  <c r="J3112" i="111"/>
  <c r="J3113" i="111"/>
  <c r="J3114" i="111"/>
  <c r="J3115" i="111"/>
  <c r="J3116" i="111"/>
  <c r="J3117" i="111"/>
  <c r="J3118" i="111"/>
  <c r="J3119" i="111"/>
  <c r="J3120" i="111"/>
  <c r="J3121" i="111"/>
  <c r="J3122" i="111"/>
  <c r="J3123" i="111"/>
  <c r="J3124" i="111"/>
  <c r="J3125" i="111"/>
  <c r="J3126" i="111"/>
  <c r="J3127" i="111"/>
  <c r="J3128" i="111"/>
  <c r="J3129" i="111"/>
  <c r="J3130" i="111"/>
  <c r="J3131" i="111"/>
  <c r="J3132" i="111"/>
  <c r="J3133" i="111"/>
  <c r="J3134" i="111"/>
  <c r="J3135" i="111"/>
  <c r="J3136" i="111"/>
  <c r="J3137" i="111"/>
  <c r="J3138" i="111"/>
  <c r="J3139" i="111"/>
  <c r="J3140" i="111"/>
  <c r="J3141" i="111"/>
  <c r="J3142" i="111"/>
  <c r="J3143" i="111"/>
  <c r="J3144" i="111"/>
  <c r="J3145" i="111"/>
  <c r="J3146" i="111"/>
  <c r="J3147" i="111"/>
  <c r="J3148" i="111"/>
  <c r="J3149" i="111"/>
  <c r="J3150" i="111"/>
  <c r="J3151" i="111"/>
  <c r="J3152" i="111"/>
  <c r="J3153" i="111"/>
  <c r="J3154" i="111"/>
  <c r="J3155" i="111"/>
  <c r="J3156" i="111"/>
  <c r="J3157" i="111"/>
  <c r="J3158" i="111"/>
  <c r="J3159" i="111"/>
  <c r="J3160" i="111"/>
  <c r="J3161" i="111"/>
  <c r="J3162" i="111"/>
  <c r="J3163" i="111"/>
  <c r="J3164" i="111"/>
  <c r="J3165" i="111"/>
  <c r="J3166" i="111"/>
  <c r="J3167" i="111"/>
  <c r="J3168" i="111"/>
  <c r="J3169" i="111"/>
  <c r="J3170" i="111"/>
  <c r="J3171" i="111"/>
  <c r="J3172" i="111"/>
  <c r="J3173" i="111"/>
  <c r="J3174" i="111"/>
  <c r="J3175" i="111"/>
  <c r="J3176" i="111"/>
  <c r="J3177" i="111"/>
  <c r="J3178" i="111"/>
  <c r="J3179" i="111"/>
  <c r="J3180" i="111"/>
  <c r="J3181" i="111"/>
  <c r="J3182" i="111"/>
  <c r="J3183" i="111"/>
  <c r="J3184" i="111"/>
  <c r="J3185" i="111"/>
  <c r="J3186" i="111"/>
  <c r="J3187" i="111"/>
  <c r="J3188" i="111"/>
  <c r="J3189" i="111"/>
  <c r="J3190" i="111"/>
  <c r="J3191" i="111"/>
  <c r="J3192" i="111"/>
  <c r="J3193" i="111"/>
  <c r="J3194" i="111"/>
  <c r="J3195" i="111"/>
  <c r="J3196" i="111"/>
  <c r="J3197" i="111"/>
  <c r="J3198" i="111"/>
  <c r="J3199" i="111"/>
  <c r="J3200" i="111"/>
  <c r="J3201" i="111"/>
  <c r="J3202" i="111"/>
  <c r="J3203" i="111"/>
  <c r="J3204" i="111"/>
  <c r="J3205" i="111"/>
  <c r="J3206" i="111"/>
  <c r="J3207" i="111"/>
  <c r="J3208" i="111"/>
  <c r="J3209" i="111"/>
  <c r="J3210" i="111"/>
  <c r="J3211" i="111"/>
  <c r="J3212" i="111"/>
  <c r="J3213" i="111"/>
  <c r="J3214" i="111"/>
  <c r="J3215" i="111"/>
  <c r="J3216" i="111"/>
  <c r="J3217" i="111"/>
  <c r="J3218" i="111"/>
  <c r="J3219" i="111"/>
  <c r="J3220" i="111"/>
  <c r="J3221" i="111"/>
  <c r="J3222" i="111"/>
  <c r="J3223" i="111"/>
  <c r="J3224" i="111"/>
  <c r="J3225" i="111"/>
  <c r="J3226" i="111"/>
  <c r="J3227" i="111"/>
  <c r="J3228" i="111"/>
  <c r="J3229" i="111"/>
  <c r="J3230" i="111"/>
  <c r="J3231" i="111"/>
  <c r="J3232" i="111"/>
  <c r="J3233" i="111"/>
  <c r="J3234" i="111"/>
  <c r="J3235" i="111"/>
  <c r="J3236" i="111"/>
  <c r="J3237" i="111"/>
  <c r="J3238" i="111"/>
  <c r="J3239" i="111"/>
  <c r="J3240" i="111"/>
  <c r="J3241" i="111"/>
  <c r="J3242" i="111"/>
  <c r="J3243" i="111"/>
  <c r="J3244" i="111"/>
  <c r="J3245" i="111"/>
  <c r="J3246" i="111"/>
  <c r="J3247" i="111"/>
  <c r="J3248" i="111"/>
  <c r="J3249" i="111"/>
  <c r="J3250" i="111"/>
  <c r="J3251" i="111"/>
  <c r="J3252" i="111"/>
  <c r="J3253" i="111"/>
  <c r="J3254" i="111"/>
  <c r="J3255" i="111"/>
  <c r="J3256" i="111"/>
  <c r="J3257" i="111"/>
  <c r="J3258" i="111"/>
  <c r="J3259" i="111"/>
  <c r="J3260" i="111"/>
  <c r="J3261" i="111"/>
  <c r="J3262" i="111"/>
  <c r="J3263" i="111"/>
  <c r="J3264" i="111"/>
  <c r="J3265" i="111"/>
  <c r="J3266" i="111"/>
  <c r="J3267" i="111"/>
  <c r="J3268" i="111"/>
  <c r="J3269" i="111"/>
  <c r="J3270" i="111"/>
  <c r="J3271" i="111"/>
  <c r="J3272" i="111"/>
  <c r="J3273" i="111"/>
  <c r="J3274" i="111"/>
  <c r="J3275" i="111"/>
  <c r="J3276" i="111"/>
  <c r="J3277" i="111"/>
  <c r="J3278" i="111"/>
  <c r="J3279" i="111"/>
  <c r="J3280" i="111"/>
  <c r="J3281" i="111"/>
  <c r="J3282" i="111"/>
  <c r="J3283" i="111"/>
  <c r="J3284" i="111"/>
  <c r="J3285" i="111"/>
  <c r="J3286" i="111"/>
  <c r="J3287" i="111"/>
  <c r="J3288" i="111"/>
  <c r="J3289" i="111"/>
  <c r="J3290" i="111"/>
  <c r="J3291" i="111"/>
  <c r="J3292" i="111"/>
  <c r="J3293" i="111"/>
  <c r="J3294" i="111"/>
  <c r="J3295" i="111"/>
  <c r="J3296" i="111"/>
  <c r="J3297" i="111"/>
  <c r="J3298" i="111"/>
  <c r="J3299" i="111"/>
  <c r="J3300" i="111"/>
  <c r="J3301" i="111"/>
  <c r="J3302" i="111"/>
  <c r="J3303" i="111"/>
  <c r="J3304" i="111"/>
  <c r="J3305" i="111"/>
  <c r="J3306" i="111"/>
  <c r="J3307" i="111"/>
  <c r="J3308" i="111"/>
  <c r="J3309" i="111"/>
  <c r="J3310" i="111"/>
  <c r="J3311" i="111"/>
  <c r="J3312" i="111"/>
  <c r="J3313" i="111"/>
  <c r="J3314" i="111"/>
  <c r="J3315" i="111"/>
  <c r="J3316" i="111"/>
  <c r="J3317" i="111"/>
  <c r="J3318" i="111"/>
  <c r="J3319" i="111"/>
  <c r="J3320" i="111"/>
  <c r="J3321" i="111"/>
  <c r="J3322" i="111"/>
  <c r="J3323" i="111"/>
  <c r="J3324" i="111"/>
  <c r="J3325" i="111"/>
  <c r="J3326" i="111"/>
  <c r="J3327" i="111"/>
  <c r="J3328" i="111"/>
  <c r="J3329" i="111"/>
  <c r="J3330" i="111"/>
  <c r="J3331" i="111"/>
  <c r="J3332" i="111"/>
  <c r="J3333" i="111"/>
  <c r="J3334" i="111"/>
  <c r="J3335" i="111"/>
  <c r="J3336" i="111"/>
  <c r="J3337" i="111"/>
  <c r="J3338" i="111"/>
  <c r="J3339" i="111"/>
  <c r="J3340" i="111"/>
  <c r="J3341" i="111"/>
  <c r="J3342" i="111"/>
  <c r="J3343" i="111"/>
  <c r="J3344" i="111"/>
  <c r="J3345" i="111"/>
  <c r="J3346" i="111"/>
  <c r="J3347" i="111"/>
  <c r="J3348" i="111"/>
  <c r="J3349" i="111"/>
  <c r="J3350" i="111"/>
  <c r="J3351" i="111"/>
  <c r="J3352" i="111"/>
  <c r="J3353" i="111"/>
  <c r="J3354" i="111"/>
  <c r="J3355" i="111"/>
  <c r="J3356" i="111"/>
  <c r="J3357" i="111"/>
  <c r="J3358" i="111"/>
  <c r="J3359" i="111"/>
  <c r="J3360" i="111"/>
  <c r="J3361" i="111"/>
  <c r="J3362" i="111"/>
  <c r="J3363" i="111"/>
  <c r="J3364" i="111"/>
  <c r="J3365" i="111"/>
  <c r="J3366" i="111"/>
  <c r="J3367" i="111"/>
  <c r="J3368" i="111"/>
  <c r="J3369" i="111"/>
  <c r="J3370" i="111"/>
  <c r="J3371" i="111"/>
  <c r="J3372" i="111"/>
  <c r="J3373" i="111"/>
  <c r="J3374" i="111"/>
  <c r="J3375" i="111"/>
  <c r="J3376" i="111"/>
  <c r="J3377" i="111"/>
  <c r="J3378" i="111"/>
  <c r="J3379" i="111"/>
  <c r="J3380" i="111"/>
  <c r="J3381" i="111"/>
  <c r="J3382" i="111"/>
  <c r="J3383" i="111"/>
  <c r="J3384" i="111"/>
  <c r="J3385" i="111"/>
  <c r="J3386" i="111"/>
  <c r="J3387" i="111"/>
  <c r="J3388" i="111"/>
  <c r="J3389" i="111"/>
  <c r="J3390" i="111"/>
  <c r="J3391" i="111"/>
  <c r="J3392" i="111"/>
  <c r="J3393" i="111"/>
  <c r="J3394" i="111"/>
  <c r="J3395" i="111"/>
  <c r="J3396" i="111"/>
  <c r="J3397" i="111"/>
  <c r="J3398" i="111"/>
  <c r="J3399" i="111"/>
  <c r="J3400" i="111"/>
  <c r="J3401" i="111"/>
  <c r="J3402" i="111"/>
  <c r="J3403" i="111"/>
  <c r="J3404" i="111"/>
  <c r="J3405" i="111"/>
  <c r="J3406" i="111"/>
  <c r="J3407" i="111"/>
  <c r="J3408" i="111"/>
  <c r="J3409" i="111"/>
  <c r="J3410" i="111"/>
  <c r="J3411" i="111"/>
  <c r="J3412" i="111"/>
  <c r="J3413" i="111"/>
  <c r="J3414" i="111"/>
  <c r="J3415" i="111"/>
  <c r="J3416" i="111"/>
  <c r="J3417" i="111"/>
  <c r="J3418" i="111"/>
  <c r="J3419" i="111"/>
  <c r="J3420" i="111"/>
  <c r="J3421" i="111"/>
  <c r="J3422" i="111"/>
  <c r="J3423" i="111"/>
  <c r="J3424" i="111"/>
  <c r="J3425" i="111"/>
  <c r="J3426" i="111"/>
  <c r="J3427" i="111"/>
  <c r="J3428" i="111"/>
  <c r="J3429" i="111"/>
  <c r="J3430" i="111"/>
  <c r="J3431" i="111"/>
  <c r="J3432" i="111"/>
  <c r="J3433" i="111"/>
  <c r="J3434" i="111"/>
  <c r="J3435" i="111"/>
  <c r="J3436" i="111"/>
  <c r="J3437" i="111"/>
  <c r="J3438" i="111"/>
  <c r="J3439" i="111"/>
  <c r="J3440" i="111"/>
  <c r="J3441" i="111"/>
  <c r="J3442" i="111"/>
  <c r="J3443" i="111"/>
  <c r="J3444" i="111"/>
  <c r="J3445" i="111"/>
  <c r="J3446" i="111"/>
  <c r="J3447" i="111"/>
  <c r="J3448" i="111"/>
  <c r="J3449" i="111"/>
  <c r="J3450" i="111"/>
  <c r="J3451" i="111"/>
  <c r="J3452" i="111"/>
  <c r="J3453" i="111"/>
  <c r="J3454" i="111"/>
  <c r="J3455" i="111"/>
  <c r="J3456" i="111"/>
  <c r="J3457" i="111"/>
  <c r="J3458" i="111"/>
  <c r="J3459" i="111"/>
  <c r="J3460" i="111"/>
  <c r="J3461" i="111"/>
  <c r="J3462" i="111"/>
  <c r="J3463" i="111"/>
  <c r="J3464" i="111"/>
  <c r="J3465" i="111"/>
  <c r="J3466" i="111"/>
  <c r="J3467" i="111"/>
  <c r="J3468" i="111"/>
  <c r="J3469" i="111"/>
  <c r="J3470" i="111"/>
  <c r="J3471" i="111"/>
  <c r="J3472" i="111"/>
  <c r="J3473" i="111"/>
  <c r="J3474" i="111"/>
  <c r="J3475" i="111"/>
  <c r="J3476" i="111"/>
  <c r="J3477" i="111"/>
  <c r="J3478" i="111"/>
  <c r="J3479" i="111"/>
  <c r="J3480" i="111"/>
  <c r="J3481" i="111"/>
  <c r="J3482" i="111"/>
  <c r="J3483" i="111"/>
  <c r="J3484" i="111"/>
  <c r="J3485" i="111"/>
  <c r="J3486" i="111"/>
  <c r="J3487" i="111"/>
  <c r="J3488" i="111"/>
  <c r="J3489" i="111"/>
  <c r="J3490" i="111"/>
  <c r="J3491" i="111"/>
  <c r="J3492" i="111"/>
  <c r="J3493" i="111"/>
  <c r="J3494" i="111"/>
  <c r="J3495" i="111"/>
  <c r="J3496" i="111"/>
  <c r="J3497" i="111"/>
  <c r="J3498" i="111"/>
  <c r="J3499" i="111"/>
  <c r="J3500" i="111"/>
  <c r="J3501" i="111"/>
  <c r="J3502" i="111"/>
  <c r="J3503" i="111"/>
  <c r="J3504" i="111"/>
  <c r="J3505" i="111"/>
  <c r="J3506" i="111"/>
  <c r="J3507" i="111"/>
  <c r="J3508" i="111"/>
  <c r="J3509" i="111"/>
  <c r="J3510" i="111"/>
  <c r="J3511" i="111"/>
  <c r="J3512" i="111"/>
  <c r="J3513" i="111"/>
  <c r="J3514" i="111"/>
  <c r="J3515" i="111"/>
  <c r="J3516" i="111"/>
  <c r="J3517" i="111"/>
  <c r="J3518" i="111"/>
  <c r="J3519" i="111"/>
  <c r="J3520" i="111"/>
  <c r="J3521" i="111"/>
  <c r="J3522" i="111"/>
  <c r="J3523" i="111"/>
  <c r="J3524" i="111"/>
  <c r="J3525" i="111"/>
  <c r="J3526" i="111"/>
  <c r="J3527" i="111"/>
  <c r="J3528" i="111"/>
  <c r="J3529" i="111"/>
  <c r="J3530" i="111"/>
  <c r="J3531" i="111"/>
  <c r="J3532" i="111"/>
  <c r="J3533" i="111"/>
  <c r="J3534" i="111"/>
  <c r="J3535" i="111"/>
  <c r="J3536" i="111"/>
  <c r="J3537" i="111"/>
  <c r="J3538" i="111"/>
  <c r="J3539" i="111"/>
  <c r="J3540" i="111"/>
  <c r="J3541" i="111"/>
  <c r="J3542" i="111"/>
  <c r="J3543" i="111"/>
  <c r="J3544" i="111"/>
  <c r="J3545" i="111"/>
  <c r="J3546" i="111"/>
  <c r="J3547" i="111"/>
  <c r="J3548" i="111"/>
  <c r="J3549" i="111"/>
  <c r="J3550" i="111"/>
  <c r="J3551" i="111"/>
  <c r="J3552" i="111"/>
  <c r="J3553" i="111"/>
  <c r="J3554" i="111"/>
  <c r="J3555" i="111"/>
  <c r="J3556" i="111"/>
  <c r="J3557" i="111"/>
  <c r="J3558" i="111"/>
  <c r="J3559" i="111"/>
  <c r="J3560" i="111"/>
  <c r="J3561" i="111"/>
  <c r="J3562" i="111"/>
  <c r="J3563" i="111"/>
  <c r="J3564" i="111"/>
  <c r="J3565" i="111"/>
  <c r="J3566" i="111"/>
  <c r="J3567" i="111"/>
  <c r="J3568" i="111"/>
  <c r="J3569" i="111"/>
  <c r="J3570" i="111"/>
  <c r="J3571" i="111"/>
  <c r="J3572" i="111"/>
  <c r="J3573" i="111"/>
  <c r="J3574" i="111"/>
  <c r="J3575" i="111"/>
  <c r="J3576" i="111"/>
  <c r="J3577" i="111"/>
  <c r="J3578" i="111"/>
  <c r="J3579" i="111"/>
  <c r="J3580" i="111"/>
  <c r="J3581" i="111"/>
  <c r="J3582" i="111"/>
  <c r="J3583" i="111"/>
  <c r="J3584" i="111"/>
  <c r="J3585" i="111"/>
  <c r="J3586" i="111"/>
  <c r="J3587" i="111"/>
  <c r="J3588" i="111"/>
  <c r="J3589" i="111"/>
  <c r="J3590" i="111"/>
  <c r="J3591" i="111"/>
  <c r="J3592" i="111"/>
  <c r="J3593" i="111"/>
  <c r="J3594" i="111"/>
  <c r="J3595" i="111"/>
  <c r="J3596" i="111"/>
  <c r="J3597" i="111"/>
  <c r="J3598" i="111"/>
  <c r="J3599" i="111"/>
  <c r="J3600" i="111"/>
  <c r="J3601" i="111"/>
  <c r="J3602" i="111"/>
  <c r="J3603" i="111"/>
  <c r="J3604" i="111"/>
  <c r="J3605" i="111"/>
  <c r="J3606" i="111"/>
  <c r="J3607" i="111"/>
  <c r="J3608" i="111"/>
  <c r="J3609" i="111"/>
  <c r="J3610" i="111"/>
  <c r="J3611" i="111"/>
  <c r="J3612" i="111"/>
  <c r="J3613" i="111"/>
  <c r="J3614" i="111"/>
  <c r="J3615" i="111"/>
  <c r="J3616" i="111"/>
  <c r="J3617" i="111"/>
  <c r="J3618" i="111"/>
  <c r="J3619" i="111"/>
  <c r="J3620" i="111"/>
  <c r="J3621" i="111"/>
  <c r="J3622" i="111"/>
  <c r="J3623" i="111"/>
  <c r="J3624" i="111"/>
  <c r="J3625" i="111"/>
  <c r="J3626" i="111"/>
  <c r="J3627" i="111"/>
  <c r="J3628" i="111"/>
  <c r="J3629" i="111"/>
  <c r="J3630" i="111"/>
  <c r="J3631" i="111"/>
  <c r="J3632" i="111"/>
  <c r="J3633" i="111"/>
  <c r="J3634" i="111"/>
  <c r="J3635" i="111"/>
  <c r="J3636" i="111"/>
  <c r="J3637" i="111"/>
  <c r="J3638" i="111"/>
  <c r="J3639" i="111"/>
  <c r="J3640" i="111"/>
  <c r="J3641" i="111"/>
  <c r="J3642" i="111"/>
  <c r="J3643" i="111"/>
  <c r="J3644" i="111"/>
  <c r="J3645" i="111"/>
  <c r="J3646" i="111"/>
  <c r="J3647" i="111"/>
  <c r="J3648" i="111"/>
  <c r="J3649" i="111"/>
  <c r="J3650" i="111"/>
  <c r="J3651" i="111"/>
  <c r="J3652" i="111"/>
  <c r="J3653" i="111"/>
  <c r="J3654" i="111"/>
  <c r="J3655" i="111"/>
  <c r="J3656" i="111"/>
  <c r="J3657" i="111"/>
  <c r="J3658" i="111"/>
  <c r="J3659" i="111"/>
  <c r="J3660" i="111"/>
  <c r="J3661" i="111"/>
  <c r="J3662" i="111"/>
  <c r="J3663" i="111"/>
  <c r="J3664" i="111"/>
  <c r="J3665" i="111"/>
  <c r="J3666" i="111"/>
  <c r="J3667" i="111"/>
  <c r="J3668" i="111"/>
  <c r="J3669" i="111"/>
  <c r="J3670" i="111"/>
  <c r="J3671" i="111"/>
  <c r="J3672" i="111"/>
  <c r="J3673" i="111"/>
  <c r="J3674" i="111"/>
  <c r="J3675" i="111"/>
  <c r="J3676" i="111"/>
  <c r="J3677" i="111"/>
  <c r="J3678" i="111"/>
  <c r="J3679" i="111"/>
  <c r="J3680" i="111"/>
  <c r="J3681" i="111"/>
  <c r="J3682" i="111"/>
  <c r="J3683" i="111"/>
  <c r="J3684" i="111"/>
  <c r="J3685" i="111"/>
  <c r="J3686" i="111"/>
  <c r="J3687" i="111"/>
  <c r="J3688" i="111"/>
  <c r="J3689" i="111"/>
  <c r="J3690" i="111"/>
  <c r="J3691" i="111"/>
  <c r="J3692" i="111"/>
  <c r="J3693" i="111"/>
  <c r="J3694" i="111"/>
  <c r="J3695" i="111"/>
  <c r="J3696" i="111"/>
  <c r="J3697" i="111"/>
  <c r="J3698" i="111"/>
  <c r="J3699" i="111"/>
  <c r="J3700" i="111"/>
  <c r="J3701" i="111"/>
  <c r="J3702" i="111"/>
  <c r="J3703" i="111"/>
  <c r="J3704" i="111"/>
  <c r="J3705" i="111"/>
  <c r="J3706" i="111"/>
  <c r="J3707" i="111"/>
  <c r="J3708" i="111"/>
  <c r="J3709" i="111"/>
  <c r="J3710" i="111"/>
  <c r="J3711" i="111"/>
  <c r="J3712" i="111"/>
  <c r="J3713" i="111"/>
  <c r="J3714" i="111"/>
  <c r="J3715" i="111"/>
  <c r="J3716" i="111"/>
  <c r="J3717" i="111"/>
  <c r="J3718" i="111"/>
  <c r="J3719" i="111"/>
  <c r="J3720" i="111"/>
  <c r="J3721" i="111"/>
  <c r="J3722" i="111"/>
  <c r="J3723" i="111"/>
  <c r="J3724" i="111"/>
  <c r="J3725" i="111"/>
  <c r="J3726" i="111"/>
  <c r="J3727" i="111"/>
  <c r="J3728" i="111"/>
  <c r="J3729" i="111"/>
  <c r="J3730" i="111"/>
  <c r="J3731" i="111"/>
  <c r="J3732" i="111"/>
  <c r="J3733" i="111"/>
  <c r="J3734" i="111"/>
  <c r="J3735" i="111"/>
  <c r="J3736" i="111"/>
  <c r="J3737" i="111"/>
  <c r="J3738" i="111"/>
  <c r="J3739" i="111"/>
  <c r="J3740" i="111"/>
  <c r="J3741" i="111"/>
  <c r="J3742" i="111"/>
  <c r="J3743" i="111"/>
  <c r="J3744" i="111"/>
  <c r="J3745" i="111"/>
  <c r="J3746" i="111"/>
  <c r="J3747" i="111"/>
  <c r="J3748" i="111"/>
  <c r="J3749" i="111"/>
  <c r="J3750" i="111"/>
  <c r="J3751" i="111"/>
  <c r="J3752" i="111"/>
  <c r="J3753" i="111"/>
  <c r="J3754" i="111"/>
  <c r="J3755" i="111"/>
  <c r="J3756" i="111"/>
  <c r="J3757" i="111"/>
  <c r="J3758" i="111"/>
  <c r="J3759" i="111"/>
  <c r="J3760" i="111"/>
  <c r="J3761" i="111"/>
  <c r="J3762" i="111"/>
  <c r="J3763" i="111"/>
  <c r="J3764" i="111"/>
  <c r="J3765" i="111"/>
  <c r="J3766" i="111"/>
  <c r="J3767" i="111"/>
  <c r="J3768" i="111"/>
  <c r="J3769" i="111"/>
  <c r="J3770" i="111"/>
  <c r="J3771" i="111"/>
  <c r="J3772" i="111"/>
  <c r="J3773" i="111"/>
  <c r="J3774" i="111"/>
  <c r="J3775" i="111"/>
  <c r="J3776" i="111"/>
  <c r="J3777" i="111"/>
  <c r="J3778" i="111"/>
  <c r="J3779" i="111"/>
  <c r="J3780" i="111"/>
  <c r="J3781" i="111"/>
  <c r="J3782" i="111"/>
  <c r="J3783" i="111"/>
  <c r="J3784" i="111"/>
  <c r="J3785" i="111"/>
  <c r="J3786" i="111"/>
  <c r="J3787" i="111"/>
  <c r="J3788" i="111"/>
  <c r="J3789" i="111"/>
  <c r="J3790" i="111"/>
  <c r="J3791" i="111"/>
  <c r="J3792" i="111"/>
  <c r="J3793" i="111"/>
  <c r="J3794" i="111"/>
  <c r="J3795" i="111"/>
  <c r="J3796" i="111"/>
  <c r="J3797" i="111"/>
  <c r="J3798" i="111"/>
  <c r="J3799" i="111"/>
  <c r="J3800" i="111"/>
  <c r="J3801" i="111"/>
  <c r="J3802" i="111"/>
  <c r="J3803" i="111"/>
  <c r="J3804" i="111"/>
  <c r="J3805" i="111"/>
  <c r="J3806" i="111"/>
  <c r="J3807" i="111"/>
  <c r="J3808" i="111"/>
  <c r="J3809" i="111"/>
  <c r="J3810" i="111"/>
  <c r="J3811" i="111"/>
  <c r="J3812" i="111"/>
  <c r="J3813" i="111"/>
  <c r="J3814" i="111"/>
  <c r="J3815" i="111"/>
  <c r="J3816" i="111"/>
  <c r="J3817" i="111"/>
  <c r="J3818" i="111"/>
  <c r="J3819" i="111"/>
  <c r="J3820" i="111"/>
  <c r="J3821" i="111"/>
  <c r="J3822" i="111"/>
  <c r="J3823" i="111"/>
  <c r="J3824" i="111"/>
  <c r="J3825" i="111"/>
  <c r="J3826" i="111"/>
  <c r="J3827" i="111"/>
  <c r="J3828" i="111"/>
  <c r="J3829" i="111"/>
  <c r="J3830" i="111"/>
  <c r="J3831" i="111"/>
  <c r="J3832" i="111"/>
  <c r="J3833" i="111"/>
  <c r="J3834" i="111"/>
  <c r="J3835" i="111"/>
  <c r="J3836" i="111"/>
  <c r="J3837" i="111"/>
  <c r="J3838" i="111"/>
  <c r="J3839" i="111"/>
  <c r="J3840" i="111"/>
  <c r="J3841" i="111"/>
  <c r="J3842" i="111"/>
  <c r="J3843" i="111"/>
  <c r="J3844" i="111"/>
  <c r="J3845" i="111"/>
  <c r="J3846" i="111"/>
  <c r="J3847" i="111"/>
  <c r="J3848" i="111"/>
  <c r="J3849" i="111"/>
  <c r="J3850" i="111"/>
  <c r="J3851" i="111"/>
  <c r="J3852" i="111"/>
  <c r="J3853" i="111"/>
  <c r="J3854" i="111"/>
  <c r="J3855" i="111"/>
  <c r="J3856" i="111"/>
  <c r="J3857" i="111"/>
  <c r="J3858" i="111"/>
  <c r="J3859" i="111"/>
  <c r="J3860" i="111"/>
  <c r="J3861" i="111"/>
  <c r="J3862" i="111"/>
  <c r="J3863" i="111"/>
  <c r="J3864" i="111"/>
  <c r="J3865" i="111"/>
  <c r="J3866" i="111"/>
  <c r="J3867" i="111"/>
  <c r="J3868" i="111"/>
  <c r="J3869" i="111"/>
  <c r="J3870" i="111"/>
  <c r="J3871" i="111"/>
  <c r="J3872" i="111"/>
  <c r="J3873" i="111"/>
  <c r="J3874" i="111"/>
  <c r="J3875" i="111"/>
  <c r="J3876" i="111"/>
  <c r="J3877" i="111"/>
  <c r="J3878" i="111"/>
  <c r="J3879" i="111"/>
  <c r="J3880" i="111"/>
  <c r="J3881" i="111"/>
  <c r="J3882" i="111"/>
  <c r="J3883" i="111"/>
  <c r="J3884" i="111"/>
  <c r="J3885" i="111"/>
  <c r="J3886" i="111"/>
  <c r="J3887" i="111"/>
  <c r="J3888" i="111"/>
  <c r="J3889" i="111"/>
  <c r="J3890" i="111"/>
  <c r="J3891" i="111"/>
  <c r="J3892" i="111"/>
  <c r="J3893" i="111"/>
  <c r="J3894" i="111"/>
  <c r="J3895" i="111"/>
  <c r="J3896" i="111"/>
  <c r="J3897" i="111"/>
  <c r="J3898" i="111"/>
  <c r="J3899" i="111"/>
  <c r="J3900" i="111"/>
  <c r="J3901" i="111"/>
  <c r="J3902" i="111"/>
  <c r="J3903" i="111"/>
  <c r="J3904" i="111"/>
  <c r="J3905" i="111"/>
  <c r="J3906" i="111"/>
  <c r="J3907" i="111"/>
  <c r="J3908" i="111"/>
  <c r="J3909" i="111"/>
  <c r="J3910" i="111"/>
  <c r="J3911" i="111"/>
  <c r="J3912" i="111"/>
  <c r="J3913" i="111"/>
  <c r="J3914" i="111"/>
  <c r="J3915" i="111"/>
  <c r="J3916" i="111"/>
  <c r="J3917" i="111"/>
  <c r="J3918" i="111"/>
  <c r="J3919" i="111"/>
  <c r="J3920" i="111"/>
  <c r="J3921" i="111"/>
  <c r="J3922" i="111"/>
  <c r="J3923" i="111"/>
  <c r="J3924" i="111"/>
  <c r="J3925" i="111"/>
  <c r="J3926" i="111"/>
  <c r="J3927" i="111"/>
  <c r="J3928" i="111"/>
  <c r="J3929" i="111"/>
  <c r="J3930" i="111"/>
  <c r="J3931" i="111"/>
  <c r="J3932" i="111"/>
  <c r="J3933" i="111"/>
  <c r="J3934" i="111"/>
  <c r="J3935" i="111"/>
  <c r="J3936" i="111"/>
  <c r="J3937" i="111"/>
  <c r="J3938" i="111"/>
  <c r="J3939" i="111"/>
  <c r="J3940" i="111"/>
  <c r="J3941" i="111"/>
  <c r="J3942" i="111"/>
  <c r="J3943" i="111"/>
  <c r="J3944" i="111"/>
  <c r="J3945" i="111"/>
  <c r="J3946" i="111"/>
  <c r="J3947" i="111"/>
  <c r="J3948" i="111"/>
  <c r="J3949" i="111"/>
  <c r="J3950" i="111"/>
  <c r="J3951" i="111"/>
  <c r="J3952" i="111"/>
  <c r="J3953" i="111"/>
  <c r="J3954" i="111"/>
  <c r="J3955" i="111"/>
  <c r="J3956" i="111"/>
  <c r="J3957" i="111"/>
  <c r="J3958" i="111"/>
  <c r="J3959" i="111"/>
  <c r="J3960" i="111"/>
  <c r="J3961" i="111"/>
  <c r="J3962" i="111"/>
  <c r="J3963" i="111"/>
  <c r="J3964" i="111"/>
  <c r="J3965" i="111"/>
  <c r="J3966" i="111"/>
  <c r="J3967" i="111"/>
  <c r="J3968" i="111"/>
  <c r="J3969" i="111"/>
  <c r="J3970" i="111"/>
  <c r="J3971" i="111"/>
  <c r="J3972" i="111"/>
  <c r="J3973" i="111"/>
  <c r="J3974" i="111"/>
  <c r="J3975" i="111"/>
  <c r="J3976" i="111"/>
  <c r="J3977" i="111"/>
  <c r="J3978" i="111"/>
  <c r="J3979" i="111"/>
  <c r="J3980" i="111"/>
  <c r="J3981" i="111"/>
  <c r="J3982" i="111"/>
  <c r="J3983" i="111"/>
  <c r="J3984" i="111"/>
  <c r="J3985" i="111"/>
  <c r="J3986" i="111"/>
  <c r="J3987" i="111"/>
  <c r="J3988" i="111"/>
  <c r="J3989" i="111"/>
  <c r="J3990" i="111"/>
  <c r="J3991" i="111"/>
  <c r="J3992" i="111"/>
  <c r="J3993" i="111"/>
  <c r="J3994" i="111"/>
  <c r="J3995" i="111"/>
  <c r="J3996" i="111"/>
  <c r="J3997" i="111"/>
  <c r="J3998" i="111"/>
  <c r="J3999" i="111"/>
  <c r="J4000" i="111"/>
  <c r="J4001" i="111"/>
  <c r="J4002" i="111"/>
  <c r="J4003" i="111"/>
  <c r="J4004" i="111"/>
  <c r="J4005" i="111"/>
  <c r="J4006" i="111"/>
  <c r="J4007" i="111"/>
  <c r="J4008" i="111"/>
  <c r="J4009" i="111"/>
  <c r="J4010" i="111"/>
  <c r="J4011" i="111"/>
  <c r="J4012" i="111"/>
  <c r="J4013" i="111"/>
  <c r="J4014" i="111"/>
  <c r="J4015" i="111"/>
  <c r="J4016" i="111"/>
  <c r="J4017" i="111"/>
  <c r="J4018" i="111"/>
  <c r="J4019" i="111"/>
  <c r="J4020" i="111"/>
  <c r="J4021" i="111"/>
  <c r="J4022" i="111"/>
  <c r="J4023" i="111"/>
  <c r="J4024" i="111"/>
  <c r="J4025" i="111"/>
  <c r="J4026" i="111"/>
  <c r="J4027" i="111"/>
  <c r="J4028" i="111"/>
  <c r="J4029" i="111"/>
  <c r="J4030" i="111"/>
  <c r="J4031" i="111"/>
  <c r="J4032" i="111"/>
  <c r="J4033" i="111"/>
  <c r="J4034" i="111"/>
  <c r="J4035" i="111"/>
  <c r="J4036" i="111"/>
  <c r="J4037" i="111"/>
  <c r="J4038" i="111"/>
  <c r="J4039" i="111"/>
  <c r="J4040" i="111"/>
  <c r="J4041" i="111"/>
  <c r="J4042" i="111"/>
  <c r="J4043" i="111"/>
  <c r="J4044" i="111"/>
  <c r="J4045" i="111"/>
  <c r="J4046" i="111"/>
  <c r="J4047" i="111"/>
  <c r="J4048" i="111"/>
  <c r="J4049" i="111"/>
  <c r="J4050" i="111"/>
  <c r="J4051" i="111"/>
  <c r="J4052" i="111"/>
  <c r="J4053" i="111"/>
  <c r="J4054" i="111"/>
  <c r="J4055" i="111"/>
  <c r="J4056" i="111"/>
  <c r="J4057" i="111"/>
  <c r="J4058" i="111"/>
  <c r="J4059" i="111"/>
  <c r="J4060" i="111"/>
  <c r="J4061" i="111"/>
  <c r="J4062" i="111"/>
  <c r="J4063" i="111"/>
  <c r="J4064" i="111"/>
  <c r="J4065" i="111"/>
  <c r="J4066" i="111"/>
  <c r="J4067" i="111"/>
  <c r="J4068" i="111"/>
  <c r="J4069" i="111"/>
  <c r="J4070" i="111"/>
  <c r="J4071" i="111"/>
  <c r="J4072" i="111"/>
  <c r="J4073" i="111"/>
  <c r="J4074" i="111"/>
  <c r="J4075" i="111"/>
  <c r="J4076" i="111"/>
  <c r="J4077" i="111"/>
  <c r="J4078" i="111"/>
  <c r="J4079" i="111"/>
  <c r="J4080" i="111"/>
  <c r="J4081" i="111"/>
  <c r="J4082" i="111"/>
  <c r="J4083" i="111"/>
  <c r="J4084" i="111"/>
  <c r="J4085" i="111"/>
  <c r="J4086" i="111"/>
  <c r="J4087" i="111"/>
  <c r="J4088" i="111"/>
  <c r="J4089" i="111"/>
  <c r="J4090" i="111"/>
  <c r="J4091" i="111"/>
  <c r="J4092" i="111"/>
  <c r="J4093" i="111"/>
  <c r="J4094" i="111"/>
  <c r="J4095" i="111"/>
  <c r="J4096" i="111"/>
  <c r="J4097" i="111"/>
  <c r="J4098" i="111"/>
  <c r="J4099" i="111"/>
  <c r="J4100" i="111"/>
  <c r="J4101" i="111"/>
  <c r="J4102" i="111"/>
  <c r="J4103" i="111"/>
  <c r="J4104" i="111"/>
  <c r="J4105" i="111"/>
  <c r="J4106" i="111"/>
  <c r="J4107" i="111"/>
  <c r="J4108" i="111"/>
  <c r="J4109" i="111"/>
  <c r="J4110" i="111"/>
  <c r="J4111" i="111"/>
  <c r="J4112" i="111"/>
  <c r="J4113" i="111"/>
  <c r="J4114" i="111"/>
  <c r="J4115" i="111"/>
  <c r="J4116" i="111"/>
  <c r="J4117" i="111"/>
  <c r="J4118" i="111"/>
  <c r="J4119" i="111"/>
  <c r="J4120" i="111"/>
  <c r="J4121" i="111"/>
  <c r="J4122" i="111"/>
  <c r="J4123" i="111"/>
  <c r="J4124" i="111"/>
  <c r="J4125" i="111"/>
  <c r="J4126" i="111"/>
  <c r="J4127" i="111"/>
  <c r="J4128" i="111"/>
  <c r="J4129" i="111"/>
  <c r="J4130" i="111"/>
  <c r="J4131" i="111"/>
  <c r="J4132" i="111"/>
  <c r="J4133" i="111"/>
  <c r="J4134" i="111"/>
  <c r="J4135" i="111"/>
  <c r="J4136" i="111"/>
  <c r="J4137" i="111"/>
  <c r="J4138" i="111"/>
  <c r="J4139" i="111"/>
  <c r="J4140" i="111"/>
  <c r="J4141" i="111"/>
  <c r="J4142" i="111"/>
  <c r="J4143" i="111"/>
  <c r="J4144" i="111"/>
  <c r="J4145" i="111"/>
  <c r="J4146" i="111"/>
  <c r="J4147" i="111"/>
  <c r="J4148" i="111"/>
  <c r="J4149" i="111"/>
  <c r="J4150" i="111"/>
  <c r="J4151" i="111"/>
  <c r="J4152" i="111"/>
  <c r="J4153" i="111"/>
  <c r="J4154" i="111"/>
  <c r="J4155" i="111"/>
  <c r="J4156" i="111"/>
  <c r="J4157" i="111"/>
  <c r="J4158" i="111"/>
  <c r="J4159" i="111"/>
  <c r="J4160" i="111"/>
  <c r="J4161" i="111"/>
  <c r="J4162" i="111"/>
  <c r="J4163" i="111"/>
  <c r="J4164" i="111"/>
  <c r="J4165" i="111"/>
  <c r="J4166" i="111"/>
  <c r="J4167" i="111"/>
  <c r="J4168" i="111"/>
  <c r="J4169" i="111"/>
  <c r="J4170" i="111"/>
  <c r="J4171" i="111"/>
  <c r="J4172" i="111"/>
  <c r="J4173" i="111"/>
  <c r="J4174" i="111"/>
  <c r="J4175" i="111"/>
  <c r="J4176" i="111"/>
  <c r="J4177" i="111"/>
  <c r="J4178" i="111"/>
  <c r="J4179" i="111"/>
  <c r="J4180" i="111"/>
  <c r="J4181" i="111"/>
  <c r="J4182" i="111"/>
  <c r="J4183" i="111"/>
  <c r="J4184" i="111"/>
  <c r="J4185" i="111"/>
  <c r="J4186" i="111"/>
  <c r="J4187" i="111"/>
  <c r="J4188" i="111"/>
  <c r="J4189" i="111"/>
  <c r="J4190" i="111"/>
  <c r="J4191" i="111"/>
  <c r="J4192" i="111"/>
  <c r="J4193" i="111"/>
  <c r="J4194" i="111"/>
  <c r="J4195" i="111"/>
  <c r="J4196" i="111"/>
  <c r="J4197" i="111"/>
  <c r="J4198" i="111"/>
  <c r="J4199" i="111"/>
  <c r="J4200" i="111"/>
  <c r="J4201" i="111"/>
  <c r="J4202" i="111"/>
  <c r="J4203" i="111"/>
  <c r="J4204" i="111"/>
  <c r="J4205" i="111"/>
  <c r="J4206" i="111"/>
  <c r="J4207" i="111"/>
  <c r="J4208" i="111"/>
  <c r="J4209" i="111"/>
  <c r="J4210" i="111"/>
  <c r="J4211" i="111"/>
  <c r="J4212" i="111"/>
  <c r="J4213" i="111"/>
  <c r="J4214" i="111"/>
  <c r="J4215" i="111"/>
  <c r="J4216" i="111"/>
  <c r="J4217" i="111"/>
  <c r="J4218" i="111"/>
  <c r="J4219" i="111"/>
  <c r="J4220" i="111"/>
  <c r="J4221" i="111"/>
  <c r="J4222" i="111"/>
  <c r="J4223" i="111"/>
  <c r="J4224" i="111"/>
  <c r="J4225" i="111"/>
  <c r="J4226" i="111"/>
  <c r="J4227" i="111"/>
  <c r="J4228" i="111"/>
  <c r="J4229" i="111"/>
  <c r="J4230" i="111"/>
  <c r="J4231" i="111"/>
  <c r="J4232" i="111"/>
  <c r="J4233" i="111"/>
  <c r="J4234" i="111"/>
  <c r="J4235" i="111"/>
  <c r="J4236" i="111"/>
  <c r="J4237" i="111"/>
  <c r="J4238" i="111"/>
  <c r="J4239" i="111"/>
  <c r="J4240" i="111"/>
  <c r="J4241" i="111"/>
  <c r="J4242" i="111"/>
  <c r="J4243" i="111"/>
  <c r="J4244" i="111"/>
  <c r="J4245" i="111"/>
  <c r="J4246" i="111"/>
  <c r="J4247" i="111"/>
  <c r="J4248" i="111"/>
  <c r="J4249" i="111"/>
  <c r="J4250" i="111"/>
  <c r="J4251" i="111"/>
  <c r="J4252" i="111"/>
  <c r="J4253" i="111"/>
  <c r="J4254" i="111"/>
  <c r="J4255" i="111"/>
  <c r="J4256" i="111"/>
  <c r="J4257" i="111"/>
  <c r="J4258" i="111"/>
  <c r="J4259" i="111"/>
  <c r="J4260" i="111"/>
  <c r="J4261" i="111"/>
  <c r="J4262" i="111"/>
  <c r="J4263" i="111"/>
  <c r="J4264" i="111"/>
  <c r="J4265" i="111"/>
  <c r="J4266" i="111"/>
  <c r="J4267" i="111"/>
  <c r="J4268" i="111"/>
  <c r="J4269" i="111"/>
  <c r="J4270" i="111"/>
  <c r="J4271" i="111"/>
  <c r="J4272" i="111"/>
  <c r="J4273" i="111"/>
  <c r="J4274" i="111"/>
  <c r="J4275" i="111"/>
  <c r="J4276" i="111"/>
  <c r="J4277" i="111"/>
  <c r="J4278" i="111"/>
  <c r="J4279" i="111"/>
  <c r="J4280" i="111"/>
  <c r="J4281" i="111"/>
  <c r="J4282" i="111"/>
  <c r="J4283" i="111"/>
  <c r="J4284" i="111"/>
  <c r="J4285" i="111"/>
  <c r="J4286" i="111"/>
  <c r="J4287" i="111"/>
  <c r="J4288" i="111"/>
  <c r="J4289" i="111"/>
  <c r="J4290" i="111"/>
  <c r="J4291" i="111"/>
  <c r="J4292" i="111"/>
  <c r="J4293" i="111"/>
  <c r="J4294" i="111"/>
  <c r="J4295" i="111"/>
  <c r="J4296" i="111"/>
  <c r="J4297" i="111"/>
  <c r="J4298" i="111"/>
  <c r="J4299" i="111"/>
  <c r="J4300" i="111"/>
  <c r="J4301" i="111"/>
  <c r="J4302" i="111"/>
  <c r="J4303" i="111"/>
  <c r="J4304" i="111"/>
  <c r="J4305" i="111"/>
  <c r="J4306" i="111"/>
  <c r="J4307" i="111"/>
  <c r="J4308" i="111"/>
  <c r="J4309" i="111"/>
  <c r="J4310" i="111"/>
  <c r="J4311" i="111"/>
  <c r="J4312" i="111"/>
  <c r="J4313" i="111"/>
  <c r="J4314" i="111"/>
  <c r="J4315" i="111"/>
  <c r="J4316" i="111"/>
  <c r="J4317" i="111"/>
  <c r="J4318" i="111"/>
  <c r="J4319" i="111"/>
  <c r="J4320" i="111"/>
  <c r="J4321" i="111"/>
  <c r="J4322" i="111"/>
  <c r="J4323" i="111"/>
  <c r="J4324" i="111"/>
  <c r="J4325" i="111"/>
  <c r="J4326" i="111"/>
  <c r="J4327" i="111"/>
  <c r="J4328" i="111"/>
  <c r="J4329" i="111"/>
  <c r="J4330" i="111"/>
  <c r="J4331" i="111"/>
  <c r="J4332" i="111"/>
  <c r="J4333" i="111"/>
  <c r="J4334" i="111"/>
  <c r="J4335" i="111"/>
  <c r="J4336" i="111"/>
  <c r="J4337" i="111"/>
  <c r="J4338" i="111"/>
  <c r="J4339" i="111"/>
  <c r="J4340" i="111"/>
  <c r="J4341" i="111"/>
  <c r="J4342" i="111"/>
  <c r="J4343" i="111"/>
  <c r="J4344" i="111"/>
  <c r="J4345" i="111"/>
  <c r="J4346" i="111"/>
  <c r="J4347" i="111"/>
  <c r="J4348" i="111"/>
  <c r="J4349" i="111"/>
  <c r="J4350" i="111"/>
  <c r="J4351" i="111"/>
  <c r="J4352" i="111"/>
  <c r="J4353" i="111"/>
  <c r="J4354" i="111"/>
  <c r="J4355" i="111"/>
  <c r="J4356" i="111"/>
  <c r="J4357" i="111"/>
  <c r="J4358" i="111"/>
  <c r="J4359" i="111"/>
  <c r="J4360" i="111"/>
  <c r="J4361" i="111"/>
  <c r="J4362" i="111"/>
  <c r="J4363" i="111"/>
  <c r="J4364" i="111"/>
  <c r="J4365" i="111"/>
  <c r="J4366" i="111"/>
  <c r="J4367" i="111"/>
  <c r="J4368" i="111"/>
  <c r="J4369" i="111"/>
  <c r="J4370" i="111"/>
  <c r="J4371" i="111"/>
  <c r="J4372" i="111"/>
  <c r="J4373" i="111"/>
  <c r="J4374" i="111"/>
  <c r="J4375" i="111"/>
  <c r="J4376" i="111"/>
  <c r="J4377" i="111"/>
  <c r="J4378" i="111"/>
  <c r="J4379" i="111"/>
  <c r="J4380" i="111"/>
  <c r="J4381" i="111"/>
  <c r="J4382" i="111"/>
  <c r="J4383" i="111"/>
  <c r="J4384" i="111"/>
  <c r="J4385" i="111"/>
  <c r="J4386" i="111"/>
  <c r="J4387" i="111"/>
  <c r="J4388" i="111"/>
  <c r="J4389" i="111"/>
  <c r="J4390" i="111"/>
  <c r="J4391" i="111"/>
  <c r="J4392" i="111"/>
  <c r="J4393" i="111"/>
  <c r="J4394" i="111"/>
  <c r="J4395" i="111"/>
  <c r="J4396" i="111"/>
  <c r="J4397" i="111"/>
  <c r="J4398" i="111"/>
  <c r="J4399" i="111"/>
  <c r="J4400" i="111"/>
  <c r="J4401" i="111"/>
  <c r="J4402" i="111"/>
  <c r="J4403" i="111"/>
  <c r="J4404" i="111"/>
  <c r="J4405" i="111"/>
  <c r="J4406" i="111"/>
  <c r="J4407" i="111"/>
  <c r="J4408" i="111"/>
  <c r="J4409" i="111"/>
  <c r="J4410" i="111"/>
  <c r="J4411" i="111"/>
  <c r="J4412" i="111"/>
  <c r="J4413" i="111"/>
  <c r="J4414" i="111"/>
  <c r="J4415" i="111"/>
  <c r="J4416" i="111"/>
  <c r="J4417" i="111"/>
  <c r="J4418" i="111"/>
  <c r="J4419" i="111"/>
  <c r="J4420" i="111"/>
  <c r="J4421" i="111"/>
  <c r="J4422" i="111"/>
  <c r="J4423" i="111"/>
  <c r="J4424" i="111"/>
  <c r="J4425" i="111"/>
  <c r="J4426" i="111"/>
  <c r="J4427" i="111"/>
  <c r="J4428" i="111"/>
  <c r="J4429" i="111"/>
  <c r="J4430" i="111"/>
  <c r="J4431" i="111"/>
  <c r="J4432" i="111"/>
  <c r="J4433" i="111"/>
  <c r="J4434" i="111"/>
  <c r="J4435" i="111"/>
  <c r="J4436" i="111"/>
  <c r="J4437" i="111"/>
  <c r="J4438" i="111"/>
  <c r="J4439" i="111"/>
  <c r="J4440" i="111"/>
  <c r="J4441" i="111"/>
  <c r="J4442" i="111"/>
  <c r="J4443" i="111"/>
  <c r="J4444" i="111"/>
  <c r="J4445" i="111"/>
  <c r="J4446" i="111"/>
  <c r="J4447" i="111"/>
  <c r="J4448" i="111"/>
  <c r="J4449" i="111"/>
  <c r="J4450" i="111"/>
  <c r="J4451" i="111"/>
  <c r="J4452" i="111"/>
  <c r="J4453" i="111"/>
  <c r="J4454" i="111"/>
  <c r="J4455" i="111"/>
  <c r="J4456" i="111"/>
  <c r="J4457" i="111"/>
  <c r="J4458" i="111"/>
  <c r="J4459" i="111"/>
  <c r="J4460" i="111"/>
  <c r="J4461" i="111"/>
  <c r="J4462" i="111"/>
  <c r="J4463" i="111"/>
  <c r="J4464" i="111"/>
  <c r="J4465" i="111"/>
  <c r="J4466" i="111"/>
  <c r="J4467" i="111"/>
  <c r="J4468" i="111"/>
  <c r="J4469" i="111"/>
  <c r="J4470" i="111"/>
  <c r="J4471" i="111"/>
  <c r="J4472" i="111"/>
  <c r="J4473" i="111"/>
  <c r="J4474" i="111"/>
  <c r="J4475" i="111"/>
  <c r="J4476" i="111"/>
  <c r="J4477" i="111"/>
  <c r="J4478" i="111"/>
  <c r="J4479" i="111"/>
  <c r="J4480" i="111"/>
  <c r="J4481" i="111"/>
  <c r="J4482" i="111"/>
  <c r="J4483" i="111"/>
  <c r="J4484" i="111"/>
  <c r="J4485" i="111"/>
  <c r="J4486" i="111"/>
  <c r="J4487" i="111"/>
  <c r="J4488" i="111"/>
  <c r="J4489" i="111"/>
  <c r="J4490" i="111"/>
  <c r="J4491" i="111"/>
  <c r="J4492" i="111"/>
  <c r="J4493" i="111"/>
  <c r="J4494" i="111"/>
  <c r="J4495" i="111"/>
  <c r="J4496" i="111"/>
  <c r="J4497" i="111"/>
  <c r="J4498" i="111"/>
  <c r="J4499" i="111"/>
  <c r="J4500" i="111"/>
  <c r="J4501" i="111"/>
  <c r="J4502" i="111"/>
  <c r="J4503" i="111"/>
  <c r="J4504" i="111"/>
  <c r="J4505" i="111"/>
  <c r="J4506" i="111"/>
  <c r="J4507" i="111"/>
  <c r="J4508" i="111"/>
  <c r="J4509" i="111"/>
  <c r="J4510" i="111"/>
  <c r="J4511" i="111"/>
  <c r="J4512" i="111"/>
  <c r="J4513" i="111"/>
  <c r="J4514" i="111"/>
  <c r="J4515" i="111"/>
  <c r="J4516" i="111"/>
  <c r="J4517" i="111"/>
  <c r="J4518" i="111"/>
  <c r="J4519" i="111"/>
  <c r="J4520" i="111"/>
  <c r="J4521" i="111"/>
  <c r="J4522" i="111"/>
  <c r="J4523" i="111"/>
  <c r="J4524" i="111"/>
  <c r="J4525" i="111"/>
  <c r="J4526" i="111"/>
  <c r="J4527" i="111"/>
  <c r="J4528" i="111"/>
  <c r="J4529" i="111"/>
  <c r="J4530" i="111"/>
  <c r="J4531" i="111"/>
  <c r="J4532" i="111"/>
  <c r="J4533" i="111"/>
  <c r="J4534" i="111"/>
  <c r="J4535" i="111"/>
  <c r="J4536" i="111"/>
  <c r="J4537" i="111"/>
  <c r="J4538" i="111"/>
  <c r="J4539" i="111"/>
  <c r="J4540" i="111"/>
  <c r="J4541" i="111"/>
  <c r="J4542" i="111"/>
  <c r="J4543" i="111"/>
  <c r="J4544" i="111"/>
  <c r="J4545" i="111"/>
  <c r="J4546" i="111"/>
  <c r="J4547" i="111"/>
  <c r="J4548" i="111"/>
  <c r="J4549" i="111"/>
  <c r="J4550" i="111"/>
  <c r="J4551" i="111"/>
  <c r="J4552" i="111"/>
  <c r="J4553" i="111"/>
  <c r="J4554" i="111"/>
  <c r="J4555" i="111"/>
  <c r="J4556" i="111"/>
  <c r="J4557" i="111"/>
  <c r="J4558" i="111"/>
  <c r="J4559" i="111"/>
  <c r="J4560" i="111"/>
  <c r="J4561" i="111"/>
  <c r="J4562" i="111"/>
  <c r="J4563" i="111"/>
  <c r="J4564" i="111"/>
  <c r="J4565" i="111"/>
  <c r="J4566" i="111"/>
  <c r="J4567" i="111"/>
  <c r="J4568" i="111"/>
  <c r="J4569" i="111"/>
  <c r="J4570" i="111"/>
  <c r="J4571" i="111"/>
  <c r="J4572" i="111"/>
  <c r="J4573" i="111"/>
  <c r="J4574" i="111"/>
  <c r="J4575" i="111"/>
  <c r="J4576" i="111"/>
  <c r="J4577" i="111"/>
  <c r="J4578" i="111"/>
  <c r="J4579" i="111"/>
  <c r="J4580" i="111"/>
  <c r="J4581" i="111"/>
  <c r="J4582" i="111"/>
  <c r="J4583" i="111"/>
  <c r="J4584" i="111"/>
  <c r="J4585" i="111"/>
  <c r="J4586" i="111"/>
  <c r="J4587" i="111"/>
  <c r="J4588" i="111"/>
  <c r="J4589" i="111"/>
  <c r="J4590" i="111"/>
  <c r="J4591" i="111"/>
  <c r="J4592" i="111"/>
  <c r="J4593" i="111"/>
  <c r="J4594" i="111"/>
  <c r="J4595" i="111"/>
  <c r="J4596" i="111"/>
  <c r="J4597" i="111"/>
  <c r="J4598" i="111"/>
  <c r="J4599" i="111"/>
  <c r="J4600" i="111"/>
  <c r="J4601" i="111"/>
  <c r="J4602" i="111"/>
  <c r="J4603" i="111"/>
  <c r="J4604" i="111"/>
  <c r="J4605" i="111"/>
  <c r="J4606" i="111"/>
  <c r="J4607" i="111"/>
  <c r="J4608" i="111"/>
  <c r="J4609" i="111"/>
  <c r="J4610" i="111"/>
  <c r="J4611" i="111"/>
  <c r="J4612" i="111"/>
  <c r="J4613" i="111"/>
  <c r="J4614" i="111"/>
  <c r="J4615" i="111"/>
  <c r="J4616" i="111"/>
  <c r="J4617" i="111"/>
  <c r="J4618" i="111"/>
  <c r="J4619" i="111"/>
  <c r="J4620" i="111"/>
  <c r="J4621" i="111"/>
  <c r="J4622" i="111"/>
  <c r="J4623" i="111"/>
  <c r="J4624" i="111"/>
  <c r="J4625" i="111"/>
  <c r="J4626" i="111"/>
  <c r="J4627" i="111"/>
  <c r="J4628" i="111"/>
  <c r="J4629" i="111"/>
  <c r="J4630" i="111"/>
  <c r="J4631" i="111"/>
  <c r="J4632" i="111"/>
  <c r="J4633" i="111"/>
  <c r="J4634" i="111"/>
  <c r="J4635" i="111"/>
  <c r="J4636" i="111"/>
  <c r="J4637" i="111"/>
  <c r="J4638" i="111"/>
  <c r="J4639" i="111"/>
  <c r="J4640" i="111"/>
  <c r="J4641" i="111"/>
  <c r="J4642" i="111"/>
  <c r="J4643" i="111"/>
  <c r="J4644" i="111"/>
  <c r="J4645" i="111"/>
  <c r="J4646" i="111"/>
  <c r="J4647" i="111"/>
  <c r="J4648" i="111"/>
  <c r="J4649" i="111"/>
  <c r="J4650" i="111"/>
  <c r="J4651" i="111"/>
  <c r="J4652" i="111"/>
  <c r="J4653" i="111"/>
  <c r="J4654" i="111"/>
  <c r="J4655" i="111"/>
  <c r="J4656" i="111"/>
  <c r="J4657" i="111"/>
  <c r="J4658" i="111"/>
  <c r="J4659" i="111"/>
  <c r="J4660" i="111"/>
  <c r="J4661" i="111"/>
  <c r="J4662" i="111"/>
  <c r="J4663" i="111"/>
  <c r="J4664" i="111"/>
  <c r="J4665" i="111"/>
  <c r="J4666" i="111"/>
  <c r="J4667" i="111"/>
  <c r="J4668" i="111"/>
  <c r="J4669" i="111"/>
  <c r="J4670" i="111"/>
  <c r="J4671" i="111"/>
  <c r="J4672" i="111"/>
  <c r="J4673" i="111"/>
  <c r="J4674" i="111"/>
  <c r="J4675" i="111"/>
  <c r="J4676" i="111"/>
  <c r="J4677" i="111"/>
  <c r="J4678" i="111"/>
  <c r="J4679" i="111"/>
  <c r="J4680" i="111"/>
  <c r="J4681" i="111"/>
  <c r="J4682" i="111"/>
  <c r="J4683" i="111"/>
  <c r="J4684" i="111"/>
  <c r="J4685" i="111"/>
  <c r="J4686" i="111"/>
  <c r="J4687" i="111"/>
  <c r="J4688" i="111"/>
  <c r="J4689" i="111"/>
  <c r="J4690" i="111"/>
  <c r="J4691" i="111"/>
  <c r="J4692" i="111"/>
  <c r="J4693" i="111"/>
  <c r="J4694" i="111"/>
  <c r="J4695" i="111"/>
  <c r="J4696" i="111"/>
  <c r="J4697" i="111"/>
  <c r="J4698" i="111"/>
  <c r="J4699" i="111"/>
  <c r="J4700" i="111"/>
  <c r="J4701" i="111"/>
  <c r="J4702" i="111"/>
  <c r="J4703" i="111"/>
  <c r="J4704" i="111"/>
  <c r="J4705" i="111"/>
  <c r="J4706" i="111"/>
  <c r="J4707" i="111"/>
  <c r="J4708" i="111"/>
  <c r="J4709" i="111"/>
  <c r="J4710" i="111"/>
  <c r="J4711" i="111"/>
  <c r="J4712" i="111"/>
  <c r="J4713" i="111"/>
  <c r="J4714" i="111"/>
  <c r="J4715" i="111"/>
  <c r="J4716" i="111"/>
  <c r="J4717" i="111"/>
  <c r="J4718" i="111"/>
  <c r="J4719" i="111"/>
  <c r="J4720" i="111"/>
  <c r="J4721" i="111"/>
  <c r="J4722" i="111"/>
  <c r="J4723" i="111"/>
  <c r="J4724" i="111"/>
  <c r="J4725" i="111"/>
  <c r="J4726" i="111"/>
  <c r="J4727" i="111"/>
  <c r="J4728" i="111"/>
  <c r="J4729" i="111"/>
  <c r="J4730" i="111"/>
  <c r="J4731" i="111"/>
  <c r="J4732" i="111"/>
  <c r="J4733" i="111"/>
  <c r="J4734" i="111"/>
  <c r="J4735" i="111"/>
  <c r="J4736" i="111"/>
  <c r="J4737" i="111"/>
  <c r="J4738" i="111"/>
  <c r="J4739" i="111"/>
  <c r="J4740" i="111"/>
  <c r="J4741" i="111"/>
  <c r="J4742" i="111"/>
  <c r="J4743" i="111"/>
  <c r="J4744" i="111"/>
  <c r="J4745" i="111"/>
  <c r="J4746" i="111"/>
  <c r="J4747" i="111"/>
  <c r="J4748" i="111"/>
  <c r="J4749" i="111"/>
  <c r="J4750" i="111"/>
  <c r="J4751" i="111"/>
  <c r="J4752" i="111"/>
  <c r="J4753" i="111"/>
  <c r="J4754" i="111"/>
  <c r="J4755" i="111"/>
  <c r="J4756" i="111"/>
  <c r="J4757" i="111"/>
  <c r="J4758" i="111"/>
  <c r="J4759" i="111"/>
  <c r="J4760" i="111"/>
  <c r="J4761" i="111"/>
  <c r="J4762" i="111"/>
  <c r="J4763" i="111"/>
  <c r="J4764" i="111"/>
  <c r="J4765" i="111"/>
  <c r="J4766" i="111"/>
  <c r="J4767" i="111"/>
  <c r="J4768" i="111"/>
  <c r="J4769" i="111"/>
  <c r="J4770" i="111"/>
  <c r="J4771" i="111"/>
  <c r="J4772" i="111"/>
  <c r="J4773" i="111"/>
  <c r="J4774" i="111"/>
  <c r="J4775" i="111"/>
  <c r="J4776" i="111"/>
  <c r="J4777" i="111"/>
  <c r="J4778" i="111"/>
  <c r="J4779" i="111"/>
  <c r="J4780" i="111"/>
  <c r="J4781" i="111"/>
  <c r="J4782" i="111"/>
  <c r="J4783" i="111"/>
  <c r="J4784" i="111"/>
  <c r="J4785" i="111"/>
  <c r="J4786" i="111"/>
  <c r="J4787" i="111"/>
  <c r="J4788" i="111"/>
  <c r="J4789" i="111"/>
  <c r="J4790" i="111"/>
  <c r="J4791" i="111"/>
  <c r="J4792" i="111"/>
  <c r="J4793" i="111"/>
  <c r="J4794" i="111"/>
  <c r="J4795" i="111"/>
  <c r="J4796" i="111"/>
  <c r="J4797" i="111"/>
  <c r="J4798" i="111"/>
  <c r="J4799" i="111"/>
  <c r="J4800" i="111"/>
  <c r="J4801" i="111"/>
  <c r="J4802" i="111"/>
  <c r="J4803" i="111"/>
  <c r="J4804" i="111"/>
  <c r="J4805" i="111"/>
  <c r="J4806" i="111"/>
  <c r="J4807" i="111"/>
  <c r="J4808" i="111"/>
  <c r="J4809" i="111"/>
  <c r="J4810" i="111"/>
  <c r="J4811" i="111"/>
  <c r="J4812" i="111"/>
  <c r="J4813" i="111"/>
  <c r="J4814" i="111"/>
  <c r="J4815" i="111"/>
  <c r="J4816" i="111"/>
  <c r="J4817" i="111"/>
  <c r="J4818" i="111"/>
  <c r="J4819" i="111"/>
  <c r="J4820" i="111"/>
  <c r="J4821" i="111"/>
  <c r="J4822" i="111"/>
  <c r="J4823" i="111"/>
  <c r="J4824" i="111"/>
  <c r="J4825" i="111"/>
  <c r="J4826" i="111"/>
  <c r="J4827" i="111"/>
  <c r="J4828" i="111"/>
  <c r="J4829" i="111"/>
  <c r="J4830" i="111"/>
  <c r="J4831" i="111"/>
  <c r="J4832" i="111"/>
  <c r="J4833" i="111"/>
  <c r="J4834" i="111"/>
  <c r="J4835" i="111"/>
  <c r="J4836" i="111"/>
  <c r="J4837" i="111"/>
  <c r="J4838" i="111"/>
  <c r="J4839" i="111"/>
  <c r="J4840" i="111"/>
  <c r="J4841" i="111"/>
  <c r="J4842" i="111"/>
  <c r="J4843" i="111"/>
  <c r="J4844" i="111"/>
  <c r="J4845" i="111"/>
  <c r="J4846" i="111"/>
  <c r="J4847" i="111"/>
  <c r="J4848" i="111"/>
  <c r="J4849" i="111"/>
  <c r="J4850" i="111"/>
  <c r="J4851" i="111"/>
  <c r="J4852" i="111"/>
  <c r="J4853" i="111"/>
  <c r="J4854" i="111"/>
  <c r="J4855" i="111"/>
  <c r="J4856" i="111"/>
  <c r="J4857" i="111"/>
  <c r="J4858" i="111"/>
  <c r="J4859" i="111"/>
  <c r="J4860" i="111"/>
  <c r="J4861" i="111"/>
  <c r="J4862" i="111"/>
  <c r="J4863" i="111"/>
  <c r="J4864" i="111"/>
  <c r="J4865" i="111"/>
  <c r="J4866" i="111"/>
  <c r="J4867" i="111"/>
  <c r="J4868" i="111"/>
  <c r="J4869" i="111"/>
  <c r="J4870" i="111"/>
  <c r="J4871" i="111"/>
  <c r="J4872" i="111"/>
  <c r="J4873" i="111"/>
  <c r="J4874" i="111"/>
  <c r="J4875" i="111"/>
  <c r="J4876" i="111"/>
  <c r="J4877" i="111"/>
  <c r="J4878" i="111"/>
  <c r="J4879" i="111"/>
  <c r="J4880" i="111"/>
  <c r="J4881" i="111"/>
  <c r="J4882" i="111"/>
  <c r="J4883" i="111"/>
  <c r="J4884" i="111"/>
  <c r="J4885" i="111"/>
  <c r="J4886" i="111"/>
  <c r="J4887" i="111"/>
  <c r="J4888" i="111"/>
  <c r="J4889" i="111"/>
  <c r="J4890" i="111"/>
  <c r="J4891" i="111"/>
  <c r="J4892" i="111"/>
  <c r="J4893" i="111"/>
  <c r="J4894" i="111"/>
  <c r="J4895" i="111"/>
  <c r="J4896" i="111"/>
  <c r="J4897" i="111"/>
  <c r="J4898" i="111"/>
  <c r="J4899" i="111"/>
  <c r="J4900" i="111"/>
  <c r="J4901" i="111"/>
  <c r="J4902" i="111"/>
  <c r="J4903" i="111"/>
  <c r="J4904" i="111"/>
  <c r="J4905" i="111"/>
  <c r="J4906" i="111"/>
  <c r="J4907" i="111"/>
  <c r="J4908" i="111"/>
  <c r="J4909" i="111"/>
  <c r="J4910" i="111"/>
  <c r="J4911" i="111"/>
  <c r="J4912" i="111"/>
  <c r="J4913" i="111"/>
  <c r="J4914" i="111"/>
  <c r="J4915" i="111"/>
  <c r="J4916" i="111"/>
  <c r="J4917" i="111"/>
  <c r="J4918" i="111"/>
  <c r="J4919" i="111"/>
  <c r="J4920" i="111"/>
  <c r="J4921" i="111"/>
  <c r="J4922" i="111"/>
  <c r="J4923" i="111"/>
  <c r="J4924" i="111"/>
  <c r="J4925" i="111"/>
  <c r="J4926" i="111"/>
  <c r="J4927" i="111"/>
  <c r="J4928" i="111"/>
  <c r="J4929" i="111"/>
  <c r="J4930" i="111"/>
  <c r="J4931" i="111"/>
  <c r="J4932" i="111"/>
  <c r="J4933" i="111"/>
  <c r="J4934" i="111"/>
  <c r="J4935" i="111"/>
  <c r="J4936" i="111"/>
  <c r="J4937" i="111"/>
  <c r="J4938" i="111"/>
  <c r="J4939" i="111"/>
  <c r="J4940" i="111"/>
  <c r="J4941" i="111"/>
  <c r="J4942" i="111"/>
  <c r="J4943" i="111"/>
  <c r="J4944" i="111"/>
  <c r="J4945" i="111"/>
  <c r="J4946" i="111"/>
  <c r="J4947" i="111"/>
  <c r="J4948" i="111"/>
  <c r="J4949" i="111"/>
  <c r="J4950" i="111"/>
  <c r="J4951" i="111"/>
  <c r="J4952" i="111"/>
  <c r="J4953" i="111"/>
  <c r="J4954" i="111"/>
  <c r="J4955" i="111"/>
  <c r="J4956" i="111"/>
  <c r="J4957" i="111"/>
  <c r="J4958" i="111"/>
  <c r="J4959" i="111"/>
  <c r="J4960" i="111"/>
  <c r="J4961" i="111"/>
  <c r="J4962" i="111"/>
  <c r="J4963" i="111"/>
  <c r="J4964" i="111"/>
  <c r="J4965" i="111"/>
  <c r="J4966" i="111"/>
  <c r="J4967" i="111"/>
  <c r="J4968" i="111"/>
  <c r="J4969" i="111"/>
  <c r="J4970" i="111"/>
  <c r="J4971" i="111"/>
  <c r="J4972" i="111"/>
  <c r="J4973" i="111"/>
  <c r="J4974" i="111"/>
  <c r="J4975" i="111"/>
  <c r="J4976" i="111"/>
  <c r="J4977" i="111"/>
  <c r="J4978" i="111"/>
  <c r="J4979" i="111"/>
  <c r="J4980" i="111"/>
  <c r="J4981" i="111"/>
  <c r="J4982" i="111"/>
  <c r="J4983" i="111"/>
  <c r="J4984" i="111"/>
  <c r="J4985" i="111"/>
  <c r="J4986" i="111"/>
  <c r="J4987" i="111"/>
  <c r="J4988" i="111"/>
  <c r="J4989" i="111"/>
  <c r="J4990" i="111"/>
  <c r="J4991" i="111"/>
  <c r="J4992" i="111"/>
  <c r="J4993" i="111"/>
  <c r="J4994" i="111"/>
  <c r="J4995" i="111"/>
  <c r="J4996" i="111"/>
  <c r="J4997" i="111"/>
  <c r="J4998" i="111"/>
  <c r="J4999" i="111"/>
  <c r="J5000" i="111"/>
  <c r="J5001" i="111"/>
  <c r="J5002" i="111"/>
  <c r="J5003" i="111"/>
  <c r="J5004" i="111"/>
  <c r="J5005" i="111"/>
  <c r="J5006" i="111"/>
  <c r="J5007" i="111"/>
  <c r="J5008" i="111"/>
  <c r="J5009" i="111"/>
  <c r="J5010" i="111"/>
  <c r="J5011" i="111"/>
  <c r="J5012" i="111"/>
  <c r="J5013" i="111"/>
  <c r="J5014" i="111"/>
  <c r="J5015" i="111"/>
  <c r="J5016" i="111"/>
  <c r="J5017" i="111"/>
  <c r="J5018" i="111"/>
  <c r="J5019" i="111"/>
  <c r="J5020" i="111"/>
  <c r="J5021" i="111"/>
  <c r="J5022" i="111"/>
  <c r="J5023" i="111"/>
  <c r="J5024" i="111"/>
  <c r="J5025" i="111"/>
  <c r="J5026" i="111"/>
  <c r="J5027" i="111"/>
  <c r="J5028" i="111"/>
  <c r="J5029" i="111"/>
  <c r="J5030" i="111"/>
  <c r="J5031" i="111"/>
  <c r="J5032" i="111"/>
  <c r="J5033" i="111"/>
  <c r="J5034" i="111"/>
  <c r="J5035" i="111"/>
  <c r="J5036" i="111"/>
  <c r="J5037" i="111"/>
  <c r="J5038" i="111"/>
  <c r="J5039" i="111"/>
  <c r="J5040" i="111"/>
  <c r="J5041" i="111"/>
  <c r="J5042" i="111"/>
  <c r="J5043" i="111"/>
  <c r="J5044" i="111"/>
  <c r="J5045" i="111"/>
  <c r="J5046" i="111"/>
  <c r="J5047" i="111"/>
  <c r="J5048" i="111"/>
  <c r="J5049" i="111"/>
  <c r="J5050" i="111"/>
  <c r="J5051" i="111"/>
  <c r="J5052" i="111"/>
  <c r="J5053" i="111"/>
  <c r="J5054" i="111"/>
  <c r="J5055" i="111"/>
  <c r="J5056" i="111"/>
  <c r="J5057" i="111"/>
  <c r="J5058" i="111"/>
  <c r="J5059" i="111"/>
  <c r="J5060" i="111"/>
  <c r="J5061" i="111"/>
  <c r="J5062" i="111"/>
  <c r="J5063" i="111"/>
  <c r="J5064" i="111"/>
  <c r="J5065" i="111"/>
  <c r="J5066" i="111"/>
  <c r="J5067" i="111"/>
  <c r="J5068" i="111"/>
  <c r="J5069" i="111"/>
  <c r="J5070" i="111"/>
  <c r="J5071" i="111"/>
  <c r="J5072" i="111"/>
  <c r="J5073" i="111"/>
  <c r="J5074" i="111"/>
  <c r="J5075" i="111"/>
  <c r="J5076" i="111"/>
  <c r="J5077" i="111"/>
  <c r="J5078" i="111"/>
  <c r="J5079" i="111"/>
  <c r="J5080" i="111"/>
  <c r="J5081" i="111"/>
  <c r="J5082" i="111"/>
  <c r="J5083" i="111"/>
  <c r="J5084" i="111"/>
  <c r="J5085" i="111"/>
  <c r="J5086" i="111"/>
  <c r="J5087" i="111"/>
  <c r="J5088" i="111"/>
  <c r="J5089" i="111"/>
  <c r="J5090" i="111"/>
  <c r="J5091" i="111"/>
  <c r="J5092" i="111"/>
  <c r="J5093" i="111"/>
  <c r="J5094" i="111"/>
  <c r="J5095" i="111"/>
  <c r="J5096" i="111"/>
  <c r="J5097" i="111"/>
  <c r="J5098" i="111"/>
  <c r="J5099" i="111"/>
  <c r="J5100" i="111"/>
  <c r="J5101" i="111"/>
  <c r="J5102" i="111"/>
  <c r="J5103" i="111"/>
  <c r="J5104" i="111"/>
  <c r="J5105" i="111"/>
  <c r="J5106" i="111"/>
  <c r="J5107" i="111"/>
  <c r="J5108" i="111"/>
  <c r="J5109" i="111"/>
  <c r="J5110" i="111"/>
  <c r="J5111" i="111"/>
  <c r="J5112" i="111"/>
  <c r="J5113" i="111"/>
  <c r="J5114" i="111"/>
  <c r="J5115" i="111"/>
  <c r="J5116" i="111"/>
  <c r="J5117" i="111"/>
  <c r="J5118" i="111"/>
  <c r="J5119" i="111"/>
  <c r="J5120" i="111"/>
  <c r="J5121" i="111"/>
  <c r="J5122" i="111"/>
  <c r="J5123" i="111"/>
  <c r="J5124" i="111"/>
  <c r="J5125" i="111"/>
  <c r="J5126" i="111"/>
  <c r="J5127" i="111"/>
  <c r="J5128" i="111"/>
  <c r="J5129" i="111"/>
  <c r="J5130" i="111"/>
  <c r="J5131" i="111"/>
  <c r="J5132" i="111"/>
  <c r="J5133" i="111"/>
  <c r="J5134" i="111"/>
  <c r="J5135" i="111"/>
  <c r="J5136" i="111"/>
  <c r="J5137" i="111"/>
  <c r="J5138" i="111"/>
  <c r="J5139" i="111"/>
  <c r="J5140" i="111"/>
  <c r="J5141" i="111"/>
  <c r="J5142" i="111"/>
  <c r="J5143" i="111"/>
  <c r="J5144" i="111"/>
  <c r="J5145" i="111"/>
  <c r="J5146" i="111"/>
  <c r="J5147" i="111"/>
  <c r="J5148" i="111"/>
  <c r="J5149" i="111"/>
  <c r="J5150" i="111"/>
  <c r="J5151" i="111"/>
  <c r="J5152" i="111"/>
  <c r="J5153" i="111"/>
  <c r="J5154" i="111"/>
  <c r="J5155" i="111"/>
  <c r="J5156" i="111"/>
  <c r="J5157" i="111"/>
  <c r="J5158" i="111"/>
  <c r="J5159" i="111"/>
  <c r="J5160" i="111"/>
  <c r="J5161" i="111"/>
  <c r="J5162" i="111"/>
  <c r="J5163" i="111"/>
  <c r="J5164" i="111"/>
  <c r="J5165" i="111"/>
  <c r="J5166" i="111"/>
  <c r="J5167" i="111"/>
  <c r="J5168" i="111"/>
  <c r="J5169" i="111"/>
  <c r="J5170" i="111"/>
  <c r="J5171" i="111"/>
  <c r="J5172" i="111"/>
  <c r="J5173" i="111"/>
  <c r="J5174" i="111"/>
  <c r="J5175" i="111"/>
  <c r="J5176" i="111"/>
  <c r="J5177" i="111"/>
  <c r="J5178" i="111"/>
  <c r="J5179" i="111"/>
  <c r="J5180" i="111"/>
  <c r="J5181" i="111"/>
  <c r="J5182" i="111"/>
  <c r="J5183" i="111"/>
  <c r="J5184" i="111"/>
  <c r="J5185" i="111"/>
  <c r="J5186" i="111"/>
  <c r="J5187" i="111"/>
  <c r="J5188" i="111"/>
  <c r="J5189" i="111"/>
  <c r="J5190" i="111"/>
  <c r="J5191" i="111"/>
  <c r="J5192" i="111"/>
  <c r="J5193" i="111"/>
  <c r="J5194" i="111"/>
  <c r="J5195" i="111"/>
  <c r="J5196" i="111"/>
  <c r="J5197" i="111"/>
  <c r="J5198" i="111"/>
  <c r="J5199" i="111"/>
  <c r="J5200" i="111"/>
  <c r="J5201" i="111"/>
  <c r="J5202" i="111"/>
  <c r="J5203" i="111"/>
  <c r="J5204" i="111"/>
  <c r="J5205" i="111"/>
  <c r="J5206" i="111"/>
  <c r="J5207" i="111"/>
  <c r="J5208" i="111"/>
  <c r="J5209" i="111"/>
  <c r="J5210" i="111"/>
  <c r="J5211" i="111"/>
  <c r="J5212" i="111"/>
  <c r="J5213" i="111"/>
  <c r="J5214" i="111"/>
  <c r="J5215" i="111"/>
  <c r="J5216" i="111"/>
  <c r="J5217" i="111"/>
  <c r="J5218" i="111"/>
  <c r="J5219" i="111"/>
  <c r="J5220" i="111"/>
  <c r="J5221" i="111"/>
  <c r="J5222" i="111"/>
  <c r="J5223" i="111"/>
  <c r="J5224" i="111"/>
  <c r="J5225" i="111"/>
  <c r="J5226" i="111"/>
  <c r="J5227" i="111"/>
  <c r="J5228" i="111"/>
  <c r="J5229" i="111"/>
  <c r="J5230" i="111"/>
  <c r="J5231" i="111"/>
  <c r="J5232" i="111"/>
  <c r="J5233" i="111"/>
  <c r="J5234" i="111"/>
  <c r="J5235" i="111"/>
  <c r="J5236" i="111"/>
  <c r="J5237" i="111"/>
  <c r="J5238" i="111"/>
  <c r="J5239" i="111"/>
  <c r="J5240" i="111"/>
  <c r="J5241" i="111"/>
  <c r="J5242" i="111"/>
  <c r="J5243" i="111"/>
  <c r="J5244" i="111"/>
  <c r="J5245" i="111"/>
  <c r="J5246" i="111"/>
  <c r="J5247" i="111"/>
  <c r="J5248" i="111"/>
  <c r="J5249" i="111"/>
  <c r="J5250" i="111"/>
  <c r="J5251" i="111"/>
  <c r="J5252" i="111"/>
  <c r="J5253" i="111"/>
  <c r="J5254" i="111"/>
  <c r="J5255" i="111"/>
  <c r="J5256" i="111"/>
  <c r="J5257" i="111"/>
  <c r="J5258" i="111"/>
  <c r="J5259" i="111"/>
  <c r="J5260" i="111"/>
  <c r="J5261" i="111"/>
  <c r="J5262" i="111"/>
  <c r="J5263" i="111"/>
  <c r="J5264" i="111"/>
  <c r="J5265" i="111"/>
  <c r="J5266" i="111"/>
  <c r="J5267" i="111"/>
  <c r="J5268" i="111"/>
  <c r="J5269" i="111"/>
  <c r="J5270" i="111"/>
  <c r="J5271" i="111"/>
  <c r="J5272" i="111"/>
  <c r="J5273" i="111"/>
  <c r="J5274" i="111"/>
  <c r="J5275" i="111"/>
  <c r="J5276" i="111"/>
  <c r="J5277" i="111"/>
  <c r="J5278" i="111"/>
  <c r="J5279" i="111"/>
  <c r="J5280" i="111"/>
  <c r="J5281" i="111"/>
  <c r="J5282" i="111"/>
  <c r="J5283" i="111"/>
  <c r="J5284" i="111"/>
  <c r="J5285" i="111"/>
  <c r="J5286" i="111"/>
  <c r="J5287" i="111"/>
  <c r="J5288" i="111"/>
  <c r="J5289" i="111"/>
  <c r="J5290" i="111"/>
  <c r="J5291" i="111"/>
  <c r="J5292" i="111"/>
  <c r="J5293" i="111"/>
  <c r="J5294" i="111"/>
  <c r="J5295" i="111"/>
  <c r="J5296" i="111"/>
  <c r="J5297" i="111"/>
  <c r="J5298" i="111"/>
  <c r="J5299" i="111"/>
  <c r="J5300" i="111"/>
  <c r="J5301" i="111"/>
  <c r="J5302" i="111"/>
  <c r="J5303" i="111"/>
  <c r="J5304" i="111"/>
  <c r="J5305" i="111"/>
  <c r="J5306" i="111"/>
  <c r="J5307" i="111"/>
  <c r="J5308" i="111"/>
  <c r="J5309" i="111"/>
  <c r="J5310" i="111"/>
  <c r="J5311" i="111"/>
  <c r="J5312" i="111"/>
  <c r="J5313" i="111"/>
  <c r="J5314" i="111"/>
  <c r="J5315" i="111"/>
  <c r="J5316" i="111"/>
  <c r="J5317" i="111"/>
  <c r="J5318" i="111"/>
  <c r="J5319" i="111"/>
  <c r="J5320" i="111"/>
  <c r="J5321" i="111"/>
  <c r="J5322" i="111"/>
  <c r="J5323" i="111"/>
  <c r="J5324" i="111"/>
  <c r="J5325" i="111"/>
  <c r="J5326" i="111"/>
  <c r="J5327" i="111"/>
  <c r="J5328" i="111"/>
  <c r="J5329" i="111"/>
  <c r="J5330" i="111"/>
  <c r="J5331" i="111"/>
  <c r="J5332" i="111"/>
  <c r="J5333" i="111"/>
  <c r="J5334" i="111"/>
  <c r="J5335" i="111"/>
  <c r="J5336" i="111"/>
  <c r="J5337" i="111"/>
  <c r="J5338" i="111"/>
  <c r="J5339" i="111"/>
  <c r="J5340" i="111"/>
  <c r="J5341" i="111"/>
  <c r="J5342" i="111"/>
  <c r="J5343" i="111"/>
  <c r="J5344" i="111"/>
  <c r="J5345" i="111"/>
  <c r="J5346" i="111"/>
  <c r="J5347" i="111"/>
  <c r="J5348" i="111"/>
  <c r="J5349" i="111"/>
  <c r="J5350" i="111"/>
  <c r="J5351" i="111"/>
  <c r="J5352" i="111"/>
  <c r="J5353" i="111"/>
  <c r="J5354" i="111"/>
  <c r="J5355" i="111"/>
  <c r="J5356" i="111"/>
  <c r="J5357" i="111"/>
  <c r="J5358" i="111"/>
  <c r="J5359" i="111"/>
  <c r="J5360" i="111"/>
  <c r="J5361" i="111"/>
  <c r="J5362" i="111"/>
  <c r="J5363" i="111"/>
  <c r="J5364" i="111"/>
  <c r="J5365" i="111"/>
  <c r="J5366" i="111"/>
  <c r="J5367" i="111"/>
  <c r="J5368" i="111"/>
  <c r="J5369" i="111"/>
  <c r="J5370" i="111"/>
  <c r="J5371" i="111"/>
  <c r="J5372" i="111"/>
  <c r="J5373" i="111"/>
  <c r="J5374" i="111"/>
  <c r="J5375" i="111"/>
  <c r="J5376" i="111"/>
  <c r="J5377" i="111"/>
  <c r="J5378" i="111"/>
  <c r="J5379" i="111"/>
  <c r="J5380" i="111"/>
  <c r="J5381" i="111"/>
  <c r="J5382" i="111"/>
  <c r="J5383" i="111"/>
  <c r="J5384" i="111"/>
  <c r="J5385" i="111"/>
  <c r="J5386" i="111"/>
  <c r="J5387" i="111"/>
  <c r="J5388" i="111"/>
  <c r="J5389" i="111"/>
  <c r="J5390" i="111"/>
  <c r="J5391" i="111"/>
  <c r="J5392" i="111"/>
  <c r="J5393" i="111"/>
  <c r="J5394" i="111"/>
  <c r="J5395" i="111"/>
  <c r="J5396" i="111"/>
  <c r="J5397" i="111"/>
  <c r="J5398" i="111"/>
  <c r="J5399" i="111"/>
  <c r="J5400" i="111"/>
  <c r="J5401" i="111"/>
  <c r="J5402" i="111"/>
  <c r="J5403" i="111"/>
  <c r="J5404" i="111"/>
  <c r="J5405" i="111"/>
  <c r="J5406" i="111"/>
  <c r="J5407" i="111"/>
  <c r="J5408" i="111"/>
  <c r="J5409" i="111"/>
  <c r="J5410" i="111"/>
  <c r="J5411" i="111"/>
  <c r="J5412" i="111"/>
  <c r="J5413" i="111"/>
  <c r="J5414" i="111"/>
  <c r="J5415" i="111"/>
  <c r="J5416" i="111"/>
  <c r="J5417" i="111"/>
  <c r="J5418" i="111"/>
  <c r="J5419" i="111"/>
  <c r="J5420" i="111"/>
  <c r="J5421" i="111"/>
  <c r="J5422" i="111"/>
  <c r="J5423" i="111"/>
  <c r="J5424" i="111"/>
  <c r="J5425" i="111"/>
  <c r="J5426" i="111"/>
  <c r="J5427" i="111"/>
  <c r="J5428" i="111"/>
  <c r="J5429" i="111"/>
  <c r="J5430" i="111"/>
  <c r="J5431" i="111"/>
  <c r="J5432" i="111"/>
  <c r="J5433" i="111"/>
  <c r="J5434" i="111"/>
  <c r="J5435" i="111"/>
  <c r="J5436" i="111"/>
  <c r="J5437" i="111"/>
  <c r="J5438" i="111"/>
  <c r="J5439" i="111"/>
  <c r="J5440" i="111"/>
  <c r="J5441" i="111"/>
  <c r="J5442" i="111"/>
  <c r="J5443" i="111"/>
  <c r="J5444" i="111"/>
  <c r="J5445" i="111"/>
  <c r="J5446" i="111"/>
  <c r="J5447" i="111"/>
  <c r="J5448" i="111"/>
  <c r="J5449" i="111"/>
  <c r="J5450" i="111"/>
  <c r="J5451" i="111"/>
  <c r="J5452" i="111"/>
  <c r="J5453" i="111"/>
  <c r="J5454" i="111"/>
  <c r="J5455" i="111"/>
  <c r="J5456" i="111"/>
  <c r="J5457" i="111"/>
  <c r="J5458" i="111"/>
  <c r="J5459" i="111"/>
  <c r="J5460" i="111"/>
  <c r="J5461" i="111"/>
  <c r="J5462" i="111"/>
  <c r="J5463" i="111"/>
  <c r="J5464" i="111"/>
  <c r="J5465" i="111"/>
  <c r="J5466" i="111"/>
  <c r="J5467" i="111"/>
  <c r="J5468" i="111"/>
  <c r="J5469" i="111"/>
  <c r="J5470" i="111"/>
  <c r="J5471" i="111"/>
  <c r="J5472" i="111"/>
  <c r="J5473" i="111"/>
  <c r="J5474" i="111"/>
  <c r="J5475" i="111"/>
  <c r="J5476" i="111"/>
  <c r="J5477" i="111"/>
  <c r="J5478" i="111"/>
  <c r="J5479" i="111"/>
  <c r="J5480" i="111"/>
  <c r="J5481" i="111"/>
  <c r="J5482" i="111"/>
  <c r="J5483" i="111"/>
  <c r="J5484" i="111"/>
  <c r="J5485" i="111"/>
  <c r="J5486" i="111"/>
  <c r="J5487" i="111"/>
  <c r="J5488" i="111"/>
  <c r="J5489" i="111"/>
  <c r="J5490" i="111"/>
  <c r="J5491" i="111"/>
  <c r="J5492" i="111"/>
  <c r="J5493" i="111"/>
  <c r="J5494" i="111"/>
  <c r="J5495" i="111"/>
  <c r="J5496" i="111"/>
  <c r="J5497" i="111"/>
  <c r="J5498" i="111"/>
  <c r="J5499" i="111"/>
  <c r="J5500" i="111"/>
  <c r="J5501" i="111"/>
  <c r="J5502" i="111"/>
  <c r="J5503" i="111"/>
  <c r="J5504" i="111"/>
  <c r="J5505" i="111"/>
  <c r="J5506" i="111"/>
  <c r="J5507" i="111"/>
  <c r="J5508" i="111"/>
  <c r="J5509" i="111"/>
  <c r="J5510" i="111"/>
  <c r="J5511" i="111"/>
  <c r="J5512" i="111"/>
  <c r="J5513" i="111"/>
  <c r="J5514" i="111"/>
  <c r="J5515" i="111"/>
  <c r="J5516" i="111"/>
  <c r="J5517" i="111"/>
  <c r="J5518" i="111"/>
  <c r="J5519" i="111"/>
  <c r="J5520" i="111"/>
  <c r="J5521" i="111"/>
  <c r="J5522" i="111"/>
  <c r="J5523" i="111"/>
  <c r="J5524" i="111"/>
  <c r="J5525" i="111"/>
  <c r="J5526" i="111"/>
  <c r="J5527" i="111"/>
  <c r="J5528" i="111"/>
  <c r="J5529" i="111"/>
  <c r="J5530" i="111"/>
  <c r="J5531" i="111"/>
  <c r="J5532" i="111"/>
  <c r="J5533" i="111"/>
  <c r="J5534" i="111"/>
  <c r="J5535" i="111"/>
  <c r="J5536" i="111"/>
  <c r="J5537" i="111"/>
  <c r="J5538" i="111"/>
  <c r="J5539" i="111"/>
  <c r="J5540" i="111"/>
  <c r="J5541" i="111"/>
  <c r="J5542" i="111"/>
  <c r="J5543" i="111"/>
  <c r="J5544" i="111"/>
  <c r="J5545" i="111"/>
  <c r="J5546" i="111"/>
  <c r="J5547" i="111"/>
  <c r="J5548" i="111"/>
  <c r="J5549" i="111"/>
  <c r="J5550" i="111"/>
  <c r="J5551" i="111"/>
  <c r="J5552" i="111"/>
  <c r="J5553" i="111"/>
  <c r="J5554" i="111"/>
  <c r="J5555" i="111"/>
  <c r="J5556" i="111"/>
  <c r="J5557" i="111"/>
  <c r="J5558" i="111"/>
  <c r="J5559" i="111"/>
  <c r="J5560" i="111"/>
  <c r="J5561" i="111"/>
  <c r="J5562" i="111"/>
  <c r="J5563" i="111"/>
  <c r="J5564" i="111"/>
  <c r="J5565" i="111"/>
  <c r="J5566" i="111"/>
  <c r="J5567" i="111"/>
  <c r="J5568" i="111"/>
  <c r="J5569" i="111"/>
  <c r="J5570" i="111"/>
  <c r="J5571" i="111"/>
  <c r="J5572" i="111"/>
  <c r="J5573" i="111"/>
  <c r="J5574" i="111"/>
  <c r="J5575" i="111"/>
  <c r="J5576" i="111"/>
  <c r="J5577" i="111"/>
  <c r="J5578" i="111"/>
  <c r="J5579" i="111"/>
  <c r="J5580" i="111"/>
  <c r="J5581" i="111"/>
  <c r="J5582" i="111"/>
  <c r="J5583" i="111"/>
  <c r="J5584" i="111"/>
  <c r="J5585" i="111"/>
  <c r="J5586" i="111"/>
  <c r="J5587" i="111"/>
  <c r="J5588" i="111"/>
  <c r="J5589" i="111"/>
  <c r="J5590" i="111"/>
  <c r="J5591" i="111"/>
  <c r="J5592" i="111"/>
  <c r="J5593" i="111"/>
  <c r="J5594" i="111"/>
  <c r="J5595" i="111"/>
  <c r="J5596" i="111"/>
  <c r="J5597" i="111"/>
  <c r="J5598" i="111"/>
  <c r="J5599" i="111"/>
  <c r="J5600" i="111"/>
  <c r="J5601" i="111"/>
  <c r="J5602" i="111"/>
  <c r="J5603" i="111"/>
  <c r="J5604" i="111"/>
  <c r="J5605" i="111"/>
  <c r="J5606" i="111"/>
  <c r="J5607" i="111"/>
  <c r="J5608" i="111"/>
  <c r="J5609" i="111"/>
  <c r="J5610" i="111"/>
  <c r="J5611" i="111"/>
  <c r="J5612" i="111"/>
  <c r="J5613" i="111"/>
  <c r="J5614" i="111"/>
  <c r="J5615" i="111"/>
  <c r="J5616" i="111"/>
  <c r="J5617" i="111"/>
  <c r="J5618" i="111"/>
  <c r="J5619" i="111"/>
  <c r="J5620" i="111"/>
  <c r="J5621" i="111"/>
  <c r="J5622" i="111"/>
  <c r="J5623" i="111"/>
  <c r="J5624" i="111"/>
  <c r="J5625" i="111"/>
  <c r="J5626" i="111"/>
  <c r="J5627" i="111"/>
  <c r="J5628" i="111"/>
  <c r="J5629" i="111"/>
  <c r="J5630" i="111"/>
  <c r="J5631" i="111"/>
  <c r="J5632" i="111"/>
  <c r="J5633" i="111"/>
  <c r="J5634" i="111"/>
  <c r="J5635" i="111"/>
  <c r="J5636" i="111"/>
  <c r="J5637" i="111"/>
  <c r="J5638" i="111"/>
  <c r="J5639" i="111"/>
  <c r="J5640" i="111"/>
  <c r="J5641" i="111"/>
  <c r="J5642" i="111"/>
  <c r="J5643" i="111"/>
  <c r="J5644" i="111"/>
  <c r="J5645" i="111"/>
  <c r="J5646" i="111"/>
  <c r="J5647" i="111"/>
  <c r="J5648" i="111"/>
  <c r="J5649" i="111"/>
  <c r="J5650" i="111"/>
  <c r="J5651" i="111"/>
  <c r="J5652" i="111"/>
  <c r="J5653" i="111"/>
  <c r="J5654" i="111"/>
  <c r="J5655" i="111"/>
  <c r="J5656" i="111"/>
  <c r="J5657" i="111"/>
  <c r="J5658" i="111"/>
  <c r="J5659" i="111"/>
  <c r="J5660" i="111"/>
  <c r="J5661" i="111"/>
  <c r="J5662" i="111"/>
  <c r="J5663" i="111"/>
  <c r="J5664" i="111"/>
  <c r="J5665" i="111"/>
  <c r="J5666" i="111"/>
  <c r="J5667" i="111"/>
  <c r="J5668" i="111"/>
  <c r="J5669" i="111"/>
  <c r="J5670" i="111"/>
  <c r="J5671" i="111"/>
  <c r="J5672" i="111"/>
  <c r="J5673" i="111"/>
  <c r="J5674" i="111"/>
  <c r="J5675" i="111"/>
  <c r="J5676" i="111"/>
  <c r="J5677" i="111"/>
  <c r="J5678" i="111"/>
  <c r="J5679" i="111"/>
  <c r="J5680" i="111"/>
  <c r="J5681" i="111"/>
  <c r="J5682" i="111"/>
  <c r="J5683" i="111"/>
  <c r="J5684" i="111"/>
  <c r="J5685" i="111"/>
  <c r="J5686" i="111"/>
  <c r="J5687" i="111"/>
  <c r="J5688" i="111"/>
  <c r="J5689" i="111"/>
  <c r="J5690" i="111"/>
  <c r="J5691" i="111"/>
  <c r="J5692" i="111"/>
  <c r="J5693" i="111"/>
  <c r="J5694" i="111"/>
  <c r="J5695" i="111"/>
  <c r="J5696" i="111"/>
  <c r="J5697" i="111"/>
  <c r="J5698" i="111"/>
  <c r="J5699" i="111"/>
  <c r="J5700" i="111"/>
  <c r="J5701" i="111"/>
  <c r="J5702" i="111"/>
  <c r="J5703" i="111"/>
  <c r="J5704" i="111"/>
  <c r="J5705" i="111"/>
  <c r="J5706" i="111"/>
  <c r="J5707" i="111"/>
  <c r="J5708" i="111"/>
  <c r="J5709" i="111"/>
  <c r="J5710" i="111"/>
  <c r="J5711" i="111"/>
  <c r="J5712" i="111"/>
  <c r="J5713" i="111"/>
  <c r="J5714" i="111"/>
  <c r="J5715" i="111"/>
  <c r="J5716" i="111"/>
  <c r="J5717" i="111"/>
  <c r="J5718" i="111"/>
  <c r="J5719" i="111"/>
  <c r="J5720" i="111"/>
  <c r="J5721" i="111"/>
  <c r="J5722" i="111"/>
  <c r="J5723" i="111"/>
  <c r="J5724" i="111"/>
  <c r="J5725" i="111"/>
  <c r="J5726" i="111"/>
  <c r="J5727" i="111"/>
  <c r="J5728" i="111"/>
  <c r="J5729" i="111"/>
  <c r="J5730" i="111"/>
  <c r="J5731" i="111"/>
  <c r="J5732" i="111"/>
  <c r="J5733" i="111"/>
  <c r="J5734" i="111"/>
  <c r="J5735" i="111"/>
  <c r="J5736" i="111"/>
  <c r="J5737" i="111"/>
  <c r="J5738" i="111"/>
  <c r="J5739" i="111"/>
  <c r="J5740" i="111"/>
  <c r="J5741" i="111"/>
  <c r="J5742" i="111"/>
  <c r="J5743" i="111"/>
  <c r="J5744" i="111"/>
  <c r="J5745" i="111"/>
  <c r="J5746" i="111"/>
  <c r="J5747" i="111"/>
  <c r="J5748" i="111"/>
  <c r="J5749" i="111"/>
  <c r="J5750" i="111"/>
  <c r="J5751" i="111"/>
  <c r="J5752" i="111"/>
  <c r="J5753" i="111"/>
  <c r="J5754" i="111"/>
  <c r="J5755" i="111"/>
  <c r="J5756" i="111"/>
  <c r="J5757" i="111"/>
  <c r="J5758" i="111"/>
  <c r="J5759" i="111"/>
  <c r="J5760" i="111"/>
  <c r="J5761" i="111"/>
  <c r="J5762" i="111"/>
  <c r="J5763" i="111"/>
  <c r="J5764" i="111"/>
  <c r="J5765" i="111"/>
  <c r="J5766" i="111"/>
  <c r="J5767" i="111"/>
  <c r="J5768" i="111"/>
  <c r="J5769" i="111"/>
  <c r="J5770" i="111"/>
  <c r="J5771" i="111"/>
  <c r="J5772" i="111"/>
  <c r="J5773" i="111"/>
  <c r="J5774" i="111"/>
  <c r="J5775" i="111"/>
  <c r="J5776" i="111"/>
  <c r="J5777" i="111"/>
  <c r="J5778" i="111"/>
  <c r="J5779" i="111"/>
  <c r="J5780" i="111"/>
  <c r="J5781" i="111"/>
  <c r="J5782" i="111"/>
  <c r="J5783" i="111"/>
  <c r="J5784" i="111"/>
  <c r="J5785" i="111"/>
  <c r="J5786" i="111"/>
  <c r="J5787" i="111"/>
  <c r="J5788" i="111"/>
  <c r="J5789" i="111"/>
  <c r="J5790" i="111"/>
  <c r="J5791" i="111"/>
  <c r="J5792" i="111"/>
  <c r="J5793" i="111"/>
  <c r="J5794" i="111"/>
  <c r="J5795" i="111"/>
  <c r="J5796" i="111"/>
  <c r="J5797" i="111"/>
  <c r="J5798" i="111"/>
  <c r="J5799" i="111"/>
  <c r="J5800" i="111"/>
  <c r="J5801" i="111"/>
  <c r="J5802" i="111"/>
  <c r="J5803" i="111"/>
  <c r="J5804" i="111"/>
  <c r="J5805" i="111"/>
  <c r="J5806" i="111"/>
  <c r="J5807" i="111"/>
  <c r="J5808" i="111"/>
  <c r="J5809" i="111"/>
  <c r="J5810" i="111"/>
  <c r="J5811" i="111"/>
  <c r="J5812" i="111"/>
  <c r="J5813" i="111"/>
  <c r="J5814" i="111"/>
  <c r="J5815" i="111"/>
  <c r="J5816" i="111"/>
  <c r="J5817" i="111"/>
  <c r="J5818" i="111"/>
  <c r="J5819" i="111"/>
  <c r="J5820" i="111"/>
  <c r="J5821" i="111"/>
  <c r="J5822" i="111"/>
  <c r="J5823" i="111"/>
  <c r="J5824" i="111"/>
  <c r="J5825" i="111"/>
  <c r="J5826" i="111"/>
  <c r="J5827" i="111"/>
  <c r="J5828" i="111"/>
  <c r="J5829" i="111"/>
  <c r="J5830" i="111"/>
  <c r="J5831" i="111"/>
  <c r="J5832" i="111"/>
  <c r="J5833" i="111"/>
  <c r="J5834" i="111"/>
  <c r="J5835" i="111"/>
  <c r="J5836" i="111"/>
  <c r="J5837" i="111"/>
  <c r="J5838" i="111"/>
  <c r="J5839" i="111"/>
  <c r="J5840" i="111"/>
  <c r="J5841" i="111"/>
  <c r="J5842" i="111"/>
  <c r="J5843" i="111"/>
  <c r="J5844" i="111"/>
  <c r="J5845" i="111"/>
  <c r="J5846" i="111"/>
  <c r="J5847" i="111"/>
  <c r="J5848" i="111"/>
  <c r="J5849" i="111"/>
  <c r="J5850" i="111"/>
  <c r="J5851" i="111"/>
  <c r="J5852" i="111"/>
  <c r="J5853" i="111"/>
  <c r="J5854" i="111"/>
  <c r="J5855" i="111"/>
  <c r="J5856" i="111"/>
  <c r="J5857" i="111"/>
  <c r="J5858" i="111"/>
  <c r="J5859" i="111"/>
  <c r="J5860" i="111"/>
  <c r="J5861" i="111"/>
  <c r="J5862" i="111"/>
  <c r="J5863" i="111"/>
  <c r="J5864" i="111"/>
  <c r="J5865" i="111"/>
  <c r="J5866" i="111"/>
  <c r="J5867" i="111"/>
  <c r="J5868" i="111"/>
  <c r="J5869" i="111"/>
  <c r="J5870" i="111"/>
  <c r="J5871" i="111"/>
  <c r="J5872" i="111"/>
  <c r="J5873" i="111"/>
  <c r="J5874" i="111"/>
  <c r="J5875" i="111"/>
  <c r="J5876" i="111"/>
  <c r="J5877" i="111"/>
  <c r="J5878" i="111"/>
  <c r="J5879" i="111"/>
  <c r="J5880" i="111"/>
  <c r="J5881" i="111"/>
  <c r="J5882" i="111"/>
  <c r="J5883" i="111"/>
  <c r="J5884" i="111"/>
  <c r="J5885" i="111"/>
  <c r="J5886" i="111"/>
  <c r="J5887" i="111"/>
  <c r="J5888" i="111"/>
  <c r="J5889" i="111"/>
  <c r="J5890" i="111"/>
  <c r="J5891" i="111"/>
  <c r="J5892" i="111"/>
  <c r="J5893" i="111"/>
  <c r="J5894" i="111"/>
  <c r="J5895" i="111"/>
  <c r="J5896" i="111"/>
  <c r="J5897" i="111"/>
  <c r="J5898" i="111"/>
  <c r="J5899" i="111"/>
  <c r="J5900" i="111"/>
  <c r="J5901" i="111"/>
  <c r="J5902" i="111"/>
  <c r="J5903" i="111"/>
  <c r="J5904" i="111"/>
  <c r="J5905" i="111"/>
  <c r="J5906" i="111"/>
  <c r="J5907" i="111"/>
  <c r="J5908" i="111"/>
  <c r="J5909" i="111"/>
  <c r="J5910" i="111"/>
  <c r="J5911" i="111"/>
  <c r="J5912" i="111"/>
  <c r="J5913" i="111"/>
  <c r="J5914" i="111"/>
  <c r="J5915" i="111"/>
  <c r="J5916" i="111"/>
  <c r="J5917" i="111"/>
  <c r="J5918" i="111"/>
  <c r="J5919" i="111"/>
  <c r="J5920" i="111"/>
  <c r="J5921" i="111"/>
  <c r="J5922" i="111"/>
  <c r="J5923" i="111"/>
  <c r="J5924" i="111"/>
  <c r="J5925" i="111"/>
  <c r="J5926" i="111"/>
  <c r="J5927" i="111"/>
  <c r="J5928" i="111"/>
  <c r="J5929" i="111"/>
  <c r="J5930" i="111"/>
  <c r="J5931" i="111"/>
  <c r="J5932" i="111"/>
  <c r="J5933" i="111"/>
  <c r="J5934" i="111"/>
  <c r="J5935" i="111"/>
  <c r="J5936" i="111"/>
  <c r="J5937" i="111"/>
  <c r="J5938" i="111"/>
  <c r="J5939" i="111"/>
  <c r="J5940" i="111"/>
  <c r="J5941" i="111"/>
  <c r="J5942" i="111"/>
  <c r="J5943" i="111"/>
  <c r="J5944" i="111"/>
  <c r="J5945" i="111"/>
  <c r="J5946" i="111"/>
  <c r="J5947" i="111"/>
  <c r="J5948" i="111"/>
  <c r="J5949" i="111"/>
  <c r="J5950" i="111"/>
  <c r="J5951" i="111"/>
  <c r="J5952" i="111"/>
  <c r="J5953" i="111"/>
  <c r="J5954" i="111"/>
  <c r="J5955" i="111"/>
  <c r="J5956" i="111"/>
  <c r="J5957" i="111"/>
  <c r="J5958" i="111"/>
  <c r="J5959" i="111"/>
  <c r="J5960" i="111"/>
  <c r="J5961" i="111"/>
  <c r="J5962" i="111"/>
  <c r="J5963" i="111"/>
  <c r="J5964" i="111"/>
  <c r="J5965" i="111"/>
  <c r="J5966" i="111"/>
  <c r="J5967" i="111"/>
  <c r="J5968" i="111"/>
  <c r="J5969" i="111"/>
  <c r="J5970" i="111"/>
  <c r="J5971" i="111"/>
  <c r="J5972" i="111"/>
  <c r="J5973" i="111"/>
  <c r="J5974" i="111"/>
  <c r="J5975" i="111"/>
  <c r="J5976" i="111"/>
  <c r="J5977" i="111"/>
  <c r="J5978" i="111"/>
  <c r="J5979" i="111"/>
  <c r="J5980" i="111"/>
  <c r="J5981" i="111"/>
  <c r="J5982" i="111"/>
  <c r="J5983" i="111"/>
  <c r="J5984" i="111"/>
  <c r="J5985" i="111"/>
  <c r="J5986" i="111"/>
  <c r="J5987" i="111"/>
  <c r="J5988" i="111"/>
  <c r="J5989" i="111"/>
  <c r="J5990" i="111"/>
  <c r="J5991" i="111"/>
  <c r="J5992" i="111"/>
  <c r="J5993" i="111"/>
  <c r="J5994" i="111"/>
  <c r="J5995" i="111"/>
  <c r="J5996" i="111"/>
  <c r="J5997" i="111"/>
  <c r="J5998" i="111"/>
  <c r="J5999" i="111"/>
  <c r="J6000" i="111"/>
  <c r="J6001" i="111"/>
  <c r="J6002" i="111"/>
  <c r="J6003" i="111"/>
  <c r="J6004" i="111"/>
  <c r="J6005" i="111"/>
  <c r="J6006" i="111"/>
  <c r="J6007" i="111"/>
  <c r="J6008" i="111"/>
  <c r="J6009" i="111"/>
  <c r="J6010" i="111"/>
  <c r="J6011" i="111"/>
  <c r="J6012" i="111"/>
  <c r="J6013" i="111"/>
  <c r="J6014" i="111"/>
  <c r="J6015" i="111"/>
  <c r="J6016" i="111"/>
  <c r="J6017" i="111"/>
  <c r="J6018" i="111"/>
  <c r="J6019" i="111"/>
  <c r="J6020" i="111"/>
  <c r="J6021" i="111"/>
  <c r="J6022" i="111"/>
  <c r="J6023" i="111"/>
  <c r="J6024" i="111"/>
  <c r="J6025" i="111"/>
  <c r="J6026" i="111"/>
  <c r="J6027" i="111"/>
  <c r="J6028" i="111"/>
  <c r="J6029" i="111"/>
  <c r="J6030" i="111"/>
  <c r="J6031" i="111"/>
  <c r="J6032" i="111"/>
  <c r="J6033" i="111"/>
  <c r="J6034" i="111"/>
  <c r="J6035" i="111"/>
  <c r="J6036" i="111"/>
  <c r="J6037" i="111"/>
  <c r="J6038" i="111"/>
  <c r="J6039" i="111"/>
  <c r="J6040" i="111"/>
  <c r="J6041" i="111"/>
  <c r="J6042" i="111"/>
  <c r="J6043" i="111"/>
  <c r="J6044" i="111"/>
  <c r="J6045" i="111"/>
  <c r="J6046" i="111"/>
  <c r="J6047" i="111"/>
  <c r="J6048" i="111"/>
  <c r="J6049" i="111"/>
  <c r="J6050" i="111"/>
  <c r="J6051" i="111"/>
  <c r="J6052" i="111"/>
  <c r="J6053" i="111"/>
  <c r="J6054" i="111"/>
  <c r="J6055" i="111"/>
  <c r="J6056" i="111"/>
  <c r="J6057" i="111"/>
  <c r="J6058" i="111"/>
  <c r="J6059" i="111"/>
  <c r="J6060" i="111"/>
  <c r="J6061" i="111"/>
  <c r="J6062" i="111"/>
  <c r="J6063" i="111"/>
  <c r="J6064" i="111"/>
  <c r="J6065" i="111"/>
  <c r="J6066" i="111"/>
  <c r="J6067" i="111"/>
  <c r="J6068" i="111"/>
  <c r="J6069" i="111"/>
  <c r="J6070" i="111"/>
  <c r="J6071" i="111"/>
  <c r="J6072" i="111"/>
  <c r="J6073" i="111"/>
  <c r="J6074" i="111"/>
  <c r="J6075" i="111"/>
  <c r="J6076" i="111"/>
  <c r="J6077" i="111"/>
  <c r="J6078" i="111"/>
  <c r="J6079" i="111"/>
  <c r="J6080" i="111"/>
  <c r="J6081" i="111"/>
  <c r="J6082" i="111"/>
  <c r="J6083" i="111"/>
  <c r="J6084" i="111"/>
  <c r="J6085" i="111"/>
  <c r="J6086" i="111"/>
  <c r="J6087" i="111"/>
  <c r="J6088" i="111"/>
  <c r="J6089" i="111"/>
  <c r="J6090" i="111"/>
  <c r="J6091" i="111"/>
  <c r="J6092" i="111"/>
  <c r="J6093" i="111"/>
  <c r="J6094" i="111"/>
  <c r="J6095" i="111"/>
  <c r="J6096" i="111"/>
  <c r="J6097" i="111"/>
  <c r="J6098" i="111"/>
  <c r="J6099" i="111"/>
  <c r="J6100" i="111"/>
  <c r="J6101" i="111"/>
  <c r="J6102" i="111"/>
  <c r="J6103" i="111"/>
  <c r="J6104" i="111"/>
  <c r="J6105" i="111"/>
  <c r="J6106" i="111"/>
  <c r="J6107" i="111"/>
  <c r="J6108" i="111"/>
  <c r="J6109" i="111"/>
  <c r="J6110" i="111"/>
  <c r="J6111" i="111"/>
  <c r="J6112" i="111"/>
  <c r="J6113" i="111"/>
  <c r="J6114" i="111"/>
  <c r="J6115" i="111"/>
  <c r="J6116" i="111"/>
  <c r="J6117" i="111"/>
  <c r="J6118" i="111"/>
  <c r="J6119" i="111"/>
  <c r="J6120" i="111"/>
  <c r="J6121" i="111"/>
  <c r="J6122" i="111"/>
  <c r="J6123" i="111"/>
  <c r="J6124" i="111"/>
  <c r="J6125" i="111"/>
  <c r="J6126" i="111"/>
  <c r="J6127" i="111"/>
  <c r="J6128" i="111"/>
  <c r="J6129" i="111"/>
  <c r="J6130" i="111"/>
  <c r="J6131" i="111"/>
  <c r="J6132" i="111"/>
  <c r="J6133" i="111"/>
  <c r="J6134" i="111"/>
  <c r="J6135" i="111"/>
  <c r="J6136" i="111"/>
  <c r="J6137" i="111"/>
  <c r="J6138" i="111"/>
  <c r="J6139" i="111"/>
  <c r="J6140" i="111"/>
  <c r="J6141" i="111"/>
  <c r="J6142" i="111"/>
  <c r="J6143" i="111"/>
  <c r="J6144" i="111"/>
  <c r="J6145" i="111"/>
  <c r="J6146" i="111"/>
  <c r="J6147" i="111"/>
  <c r="J6148" i="111"/>
  <c r="J6149" i="111"/>
  <c r="J6150" i="111"/>
  <c r="J6151" i="111"/>
  <c r="J6152" i="111"/>
  <c r="J6153" i="111"/>
  <c r="J6154" i="111"/>
  <c r="J6155" i="111"/>
  <c r="J6156" i="111"/>
  <c r="J6157" i="111"/>
  <c r="J6158" i="111"/>
  <c r="J6159" i="111"/>
  <c r="J6160" i="111"/>
  <c r="J6161" i="111"/>
  <c r="J6162" i="111"/>
  <c r="J6163" i="111"/>
  <c r="J6164" i="111"/>
  <c r="J6165" i="111"/>
  <c r="J6166" i="111"/>
  <c r="J6167" i="111"/>
  <c r="J6168" i="111"/>
  <c r="J6169" i="111"/>
  <c r="J6170" i="111"/>
  <c r="J6171" i="111"/>
  <c r="J6172" i="111"/>
  <c r="J6173" i="111"/>
  <c r="J6174" i="111"/>
  <c r="J6175" i="111"/>
  <c r="J6176" i="111"/>
  <c r="J6177" i="111"/>
  <c r="J6178" i="111"/>
  <c r="J6179" i="111"/>
  <c r="J6180" i="111"/>
  <c r="J6181" i="111"/>
  <c r="J6182" i="111"/>
  <c r="J6183" i="111"/>
  <c r="J6184" i="111"/>
  <c r="J6185" i="111"/>
  <c r="J6186" i="111"/>
  <c r="J6187" i="111"/>
  <c r="J6188" i="111"/>
  <c r="J6189" i="111"/>
  <c r="J6190" i="111"/>
  <c r="J6191" i="111"/>
  <c r="J6192" i="111"/>
  <c r="J6193" i="111"/>
  <c r="J6194" i="111"/>
  <c r="J6195" i="111"/>
  <c r="J6196" i="111"/>
  <c r="J6197" i="111"/>
  <c r="J6198" i="111"/>
  <c r="J6199" i="111"/>
  <c r="J6200" i="111"/>
  <c r="J6201" i="111"/>
  <c r="J6202" i="111"/>
  <c r="J6203" i="111"/>
  <c r="J6204" i="111"/>
  <c r="J6205" i="111"/>
  <c r="J6206" i="111"/>
  <c r="J6207" i="111"/>
  <c r="J6208" i="111"/>
  <c r="J6209" i="111"/>
  <c r="J6210" i="111"/>
  <c r="J6211" i="111"/>
  <c r="J6212" i="111"/>
  <c r="J6213" i="111"/>
  <c r="J6214" i="111"/>
  <c r="J6215" i="111"/>
  <c r="J6216" i="111"/>
  <c r="J6217" i="111"/>
  <c r="J6218" i="111"/>
  <c r="J6219" i="111"/>
  <c r="J6220" i="111"/>
  <c r="J6221" i="111"/>
  <c r="J6222" i="111"/>
  <c r="J6223" i="111"/>
  <c r="J6224" i="111"/>
  <c r="J6225" i="111"/>
  <c r="J6226" i="111"/>
  <c r="J6227" i="111"/>
  <c r="J6228" i="111"/>
  <c r="J6229" i="111"/>
  <c r="J6230" i="111"/>
  <c r="J6231" i="111"/>
  <c r="J6232" i="111"/>
  <c r="J6233" i="111"/>
  <c r="J6234" i="111"/>
  <c r="J6235" i="111"/>
  <c r="J6236" i="111"/>
  <c r="J6237" i="111"/>
  <c r="J6238" i="111"/>
  <c r="J6239" i="111"/>
  <c r="J6240" i="111"/>
  <c r="J6241" i="111"/>
  <c r="J6242" i="111"/>
  <c r="J6243" i="111"/>
  <c r="J6244" i="111"/>
  <c r="J6245" i="111"/>
  <c r="J6246" i="111"/>
  <c r="J6247" i="111"/>
  <c r="J6248" i="111"/>
  <c r="J6249" i="111"/>
  <c r="J6250" i="111"/>
  <c r="J6251" i="111"/>
  <c r="J6252" i="111"/>
  <c r="J6253" i="111"/>
  <c r="J6254" i="111"/>
  <c r="J6255" i="111"/>
  <c r="J6256" i="111"/>
  <c r="J6257" i="111"/>
  <c r="J6258" i="111"/>
  <c r="J6259" i="111"/>
  <c r="J6260" i="111"/>
  <c r="J6261" i="111"/>
  <c r="J6262" i="111"/>
  <c r="J6263" i="111"/>
  <c r="J6264" i="111"/>
  <c r="J6265" i="111"/>
  <c r="J6266" i="111"/>
  <c r="J6267" i="111"/>
  <c r="J6268" i="111"/>
  <c r="J6269" i="111"/>
  <c r="J6270" i="111"/>
  <c r="J6271" i="111"/>
  <c r="J6272" i="111"/>
  <c r="J6273" i="111"/>
  <c r="J6274" i="111"/>
  <c r="J6275" i="111"/>
  <c r="J6276" i="111"/>
  <c r="J6277" i="111"/>
  <c r="J6278" i="111"/>
  <c r="J6279" i="111"/>
  <c r="J6280" i="111"/>
  <c r="J6281" i="111"/>
  <c r="J6282" i="111"/>
  <c r="J6283" i="111"/>
  <c r="J6284" i="111"/>
  <c r="J6285" i="111"/>
  <c r="J6286" i="111"/>
  <c r="J6287" i="111"/>
  <c r="J6288" i="111"/>
  <c r="J6289" i="111"/>
  <c r="J6290" i="111"/>
  <c r="J6291" i="111"/>
  <c r="J6292" i="111"/>
  <c r="J6293" i="111"/>
  <c r="J6294" i="111"/>
  <c r="J6295" i="111"/>
  <c r="J6296" i="111"/>
  <c r="J6297" i="111"/>
  <c r="J6298" i="111"/>
  <c r="J6299" i="111"/>
  <c r="J6300" i="111"/>
  <c r="J6301" i="111"/>
  <c r="J6302" i="111"/>
  <c r="J6303" i="111"/>
  <c r="J6304" i="111"/>
  <c r="J6305" i="111"/>
  <c r="J6306" i="111"/>
  <c r="J6307" i="111"/>
  <c r="J6308" i="111"/>
  <c r="J6309" i="111"/>
  <c r="J6310" i="111"/>
  <c r="J6311" i="111"/>
  <c r="J6312" i="111"/>
  <c r="J6313" i="111"/>
  <c r="J6314" i="111"/>
  <c r="J6315" i="111"/>
  <c r="J6316" i="111"/>
  <c r="J6317" i="111"/>
  <c r="J6318" i="111"/>
  <c r="J6319" i="111"/>
  <c r="J6320" i="111"/>
  <c r="J6321" i="111"/>
  <c r="J6322" i="111"/>
  <c r="J6323" i="111"/>
  <c r="J6324" i="111"/>
  <c r="J6325" i="111"/>
  <c r="J6326" i="111"/>
  <c r="J6327" i="111"/>
  <c r="J6328" i="111"/>
  <c r="J6329" i="111"/>
  <c r="J6330" i="111"/>
  <c r="J6331" i="111"/>
  <c r="J6332" i="111"/>
  <c r="J6333" i="111"/>
  <c r="J6334" i="111"/>
  <c r="J6335" i="111"/>
  <c r="J6336" i="111"/>
  <c r="J6337" i="111"/>
  <c r="J6338" i="111"/>
  <c r="J6339" i="111"/>
  <c r="J6340" i="111"/>
  <c r="J6341" i="111"/>
  <c r="J6342" i="111"/>
  <c r="J6343" i="111"/>
  <c r="J6344" i="111"/>
  <c r="J6345" i="111"/>
  <c r="J6346" i="111"/>
  <c r="J6347" i="111"/>
  <c r="J6348" i="111"/>
  <c r="J6349" i="111"/>
  <c r="J6350" i="111"/>
  <c r="J6351" i="111"/>
  <c r="J6352" i="111"/>
  <c r="J6353" i="111"/>
  <c r="J6354" i="111"/>
  <c r="J6355" i="111"/>
  <c r="J6356" i="111"/>
  <c r="J6357" i="111"/>
  <c r="J6358" i="111"/>
  <c r="J6359" i="111"/>
  <c r="J6360" i="111"/>
  <c r="J6361" i="111"/>
  <c r="J6362" i="111"/>
  <c r="J6363" i="111"/>
  <c r="J6364" i="111"/>
  <c r="J6365" i="111"/>
  <c r="J6366" i="111"/>
  <c r="J6367" i="111"/>
  <c r="J6368" i="111"/>
  <c r="J6369" i="111"/>
  <c r="J6370" i="111"/>
  <c r="J6371" i="111"/>
  <c r="J6372" i="111"/>
  <c r="J6373" i="111"/>
  <c r="J6374" i="111"/>
  <c r="J6375" i="111"/>
  <c r="J6376" i="111"/>
  <c r="J6377" i="111"/>
  <c r="J6378" i="111"/>
  <c r="J6379" i="111"/>
  <c r="J6380" i="111"/>
  <c r="J6381" i="111"/>
  <c r="J6382" i="111"/>
  <c r="J6383" i="111"/>
  <c r="J6384" i="111"/>
  <c r="J6385" i="111"/>
  <c r="J6386" i="111"/>
  <c r="J6387" i="111"/>
  <c r="J6388" i="111"/>
  <c r="J6389" i="111"/>
  <c r="J6390" i="111"/>
  <c r="J6391" i="111"/>
  <c r="J6392" i="111"/>
  <c r="J6393" i="111"/>
  <c r="J6394" i="111"/>
  <c r="J6395" i="111"/>
  <c r="J6396" i="111"/>
  <c r="J6397" i="111"/>
  <c r="J6398" i="111"/>
  <c r="J6399" i="111"/>
  <c r="J6400" i="111"/>
  <c r="J6401" i="111"/>
  <c r="J6402" i="111"/>
  <c r="J6403" i="111"/>
  <c r="J6404" i="111"/>
  <c r="J6405" i="111"/>
  <c r="J6406" i="111"/>
  <c r="J6407" i="111"/>
  <c r="J6408" i="111"/>
  <c r="J6409" i="111"/>
  <c r="J6410" i="111"/>
  <c r="J6411" i="111"/>
  <c r="J6412" i="111"/>
  <c r="J6413" i="111"/>
  <c r="J6414" i="111"/>
  <c r="J6415" i="111"/>
  <c r="J6416" i="111"/>
  <c r="J6417" i="111"/>
  <c r="J6418" i="111"/>
  <c r="J6419" i="111"/>
  <c r="J6420" i="111"/>
  <c r="J6421" i="111"/>
  <c r="J6422" i="111"/>
  <c r="J6423" i="111"/>
  <c r="J6424" i="111"/>
  <c r="J6425" i="111"/>
  <c r="J6426" i="111"/>
  <c r="J6427" i="111"/>
  <c r="J6428" i="111"/>
  <c r="J6429" i="111"/>
  <c r="J6430" i="111"/>
  <c r="J6431" i="111"/>
  <c r="J6432" i="111"/>
  <c r="J6433" i="111"/>
  <c r="J6434" i="111"/>
  <c r="J6435" i="111"/>
  <c r="J6436" i="111"/>
  <c r="J6437" i="111"/>
  <c r="J6438" i="111"/>
  <c r="J6439" i="111"/>
  <c r="J6440" i="111"/>
  <c r="J6441" i="111"/>
  <c r="J6442" i="111"/>
  <c r="J6443" i="111"/>
  <c r="J6444" i="111"/>
  <c r="J6445" i="111"/>
  <c r="J6446" i="111"/>
  <c r="J6447" i="111"/>
  <c r="J6448" i="111"/>
  <c r="J6449" i="111"/>
  <c r="J6450" i="111"/>
  <c r="J6451" i="111"/>
  <c r="J6452" i="111"/>
  <c r="J6453" i="111"/>
  <c r="J6454" i="111"/>
  <c r="J6455" i="111"/>
  <c r="J6456" i="111"/>
  <c r="J6457" i="111"/>
  <c r="J6458" i="111"/>
  <c r="J6459" i="111"/>
  <c r="J6460" i="111"/>
  <c r="J6461" i="111"/>
  <c r="J6462" i="111"/>
  <c r="J6463" i="111"/>
  <c r="J6464" i="111"/>
  <c r="J6465" i="111"/>
  <c r="J6466" i="111"/>
  <c r="J6467" i="111"/>
  <c r="J6468" i="111"/>
  <c r="J6469" i="111"/>
  <c r="J6470" i="111"/>
  <c r="J6471" i="111"/>
  <c r="J6472" i="111"/>
  <c r="J6473" i="111"/>
  <c r="J6474" i="111"/>
  <c r="J6475" i="111"/>
  <c r="J6476" i="111"/>
  <c r="J6477" i="111"/>
  <c r="J6478" i="111"/>
  <c r="J6479" i="111"/>
  <c r="J6480" i="111"/>
  <c r="J6481" i="111"/>
  <c r="J6482" i="111"/>
  <c r="J6483" i="111"/>
  <c r="J6484" i="111"/>
  <c r="J6485" i="111"/>
  <c r="J6486" i="111"/>
  <c r="J6487" i="111"/>
  <c r="J6488" i="111"/>
  <c r="J6489" i="111"/>
  <c r="J6490" i="111"/>
  <c r="J6491" i="111"/>
  <c r="J6492" i="111"/>
  <c r="J6493" i="111"/>
  <c r="J6494" i="111"/>
  <c r="J6495" i="111"/>
  <c r="J6496" i="111"/>
  <c r="J6497" i="111"/>
  <c r="J6498" i="111"/>
  <c r="J6499" i="111"/>
  <c r="J6500" i="111"/>
  <c r="J6501" i="111"/>
  <c r="J6502" i="111"/>
  <c r="J6503" i="111"/>
  <c r="J6504" i="111"/>
  <c r="J6505" i="111"/>
  <c r="J6506" i="111"/>
  <c r="J6507" i="111"/>
  <c r="J6508" i="111"/>
  <c r="J6509" i="111"/>
  <c r="J6510" i="111"/>
  <c r="J6511" i="111"/>
  <c r="J6512" i="111"/>
  <c r="J6513" i="111"/>
  <c r="J6514" i="111"/>
  <c r="J6515" i="111"/>
  <c r="J6516" i="111"/>
  <c r="J6517" i="111"/>
  <c r="J6518" i="111"/>
  <c r="J6519" i="111"/>
  <c r="J6520" i="111"/>
  <c r="J6521" i="111"/>
  <c r="J6522" i="111"/>
  <c r="J6523" i="111"/>
  <c r="J6524" i="111"/>
  <c r="J6525" i="111"/>
  <c r="J6526" i="111"/>
  <c r="J6527" i="111"/>
  <c r="J6528" i="111"/>
  <c r="J6529" i="111"/>
  <c r="J6530" i="111"/>
  <c r="J6531" i="111"/>
  <c r="J6532" i="111"/>
  <c r="J6533" i="111"/>
  <c r="J6534" i="111"/>
  <c r="J6535" i="111"/>
  <c r="J6536" i="111"/>
  <c r="J6537" i="111"/>
  <c r="J6538" i="111"/>
  <c r="J6539" i="111"/>
  <c r="J6540" i="111"/>
  <c r="J6541" i="111"/>
  <c r="J6542" i="111"/>
  <c r="J6543" i="111"/>
  <c r="J6544" i="111"/>
  <c r="J6545" i="111"/>
  <c r="J6546" i="111"/>
  <c r="J6547" i="111"/>
  <c r="J6548" i="111"/>
  <c r="J6549" i="111"/>
  <c r="J6550" i="111"/>
  <c r="J6551" i="111"/>
  <c r="J6552" i="111"/>
  <c r="J6553" i="111"/>
  <c r="J6554" i="111"/>
  <c r="J6555" i="111"/>
  <c r="J6556" i="111"/>
  <c r="J6557" i="111"/>
  <c r="J6558" i="111"/>
  <c r="J6559" i="111"/>
  <c r="J6560" i="111"/>
  <c r="J6561" i="111"/>
  <c r="J6562" i="111"/>
  <c r="J6563" i="111"/>
  <c r="J6564" i="111"/>
  <c r="J6565" i="111"/>
  <c r="J6566" i="111"/>
  <c r="J6567" i="111"/>
  <c r="J6568" i="111"/>
  <c r="J6569" i="111"/>
  <c r="J6570" i="111"/>
  <c r="J6571" i="111"/>
  <c r="J6572" i="111"/>
  <c r="J6573" i="111"/>
  <c r="J6574" i="111"/>
  <c r="J6575" i="111"/>
  <c r="J6576" i="111"/>
  <c r="J6577" i="111"/>
  <c r="J6578" i="111"/>
  <c r="J6579" i="111"/>
  <c r="J6580" i="111"/>
  <c r="J6581" i="111"/>
  <c r="J6582" i="111"/>
  <c r="J6583" i="111"/>
  <c r="J6584" i="111"/>
  <c r="J6585" i="111"/>
  <c r="J6586" i="111"/>
  <c r="J6587" i="111"/>
  <c r="J6589" i="111"/>
  <c r="J6590" i="111"/>
  <c r="J6591" i="111"/>
  <c r="J6592" i="111"/>
  <c r="J6593" i="111"/>
  <c r="J6594" i="111"/>
  <c r="J6595" i="111"/>
  <c r="J6596" i="111"/>
  <c r="J6597" i="111"/>
  <c r="J6598" i="111"/>
  <c r="J6599" i="111"/>
  <c r="J6600" i="111"/>
  <c r="J6601" i="111"/>
  <c r="J6602" i="111"/>
  <c r="J6603" i="111"/>
  <c r="J6604" i="111"/>
  <c r="J6605" i="111"/>
  <c r="J6606" i="111"/>
  <c r="J6607" i="111"/>
  <c r="J6608" i="111"/>
  <c r="J6609" i="111"/>
  <c r="J6610" i="111"/>
  <c r="J6611" i="111"/>
  <c r="J6612" i="111"/>
  <c r="J6613" i="111"/>
  <c r="J6614" i="111"/>
  <c r="J6615" i="111"/>
  <c r="J6616" i="111"/>
  <c r="J6617" i="111"/>
  <c r="J6618" i="111"/>
  <c r="J6619" i="111"/>
  <c r="J6620" i="111"/>
  <c r="J6621" i="111"/>
  <c r="J6622" i="111"/>
  <c r="J6623" i="111"/>
  <c r="J6624" i="111"/>
  <c r="J6625" i="111"/>
  <c r="J6626" i="111"/>
  <c r="J6627" i="111"/>
  <c r="J6628" i="111"/>
  <c r="J6629" i="111"/>
  <c r="J6630" i="111"/>
  <c r="J6631" i="111"/>
  <c r="J6632" i="111"/>
  <c r="J6633" i="111"/>
  <c r="J6634" i="111"/>
  <c r="J6635" i="111"/>
  <c r="J6636" i="111"/>
  <c r="J6637" i="111"/>
  <c r="J6638" i="111"/>
  <c r="J6639" i="111"/>
  <c r="J6640" i="111"/>
  <c r="J6641" i="111"/>
  <c r="J6642" i="111"/>
  <c r="J6643" i="111"/>
  <c r="J6644" i="111"/>
  <c r="J6645" i="111"/>
  <c r="J6646" i="111"/>
  <c r="J6647" i="111"/>
  <c r="J6648" i="111"/>
  <c r="J6649" i="111"/>
  <c r="J6650" i="111"/>
  <c r="J6651" i="111"/>
  <c r="J6652" i="111"/>
  <c r="J6653" i="111"/>
  <c r="J6654" i="111"/>
  <c r="J6655" i="111"/>
  <c r="J6656" i="111"/>
  <c r="J6657" i="111"/>
  <c r="J6658" i="111"/>
  <c r="J6659" i="111"/>
  <c r="J6660" i="111"/>
  <c r="J6661" i="111"/>
  <c r="J6662" i="111"/>
  <c r="J6663" i="111"/>
  <c r="J6664" i="111"/>
  <c r="J6665" i="111"/>
  <c r="J6666" i="111"/>
  <c r="J6667" i="111"/>
  <c r="J6668" i="111"/>
  <c r="J6669" i="111"/>
  <c r="J6670" i="111"/>
  <c r="J6671" i="111"/>
  <c r="J6672" i="111"/>
  <c r="J6673" i="111"/>
  <c r="J6674" i="111"/>
  <c r="J6675" i="111"/>
  <c r="J6676" i="111"/>
  <c r="J6677" i="111"/>
  <c r="J6678" i="111"/>
  <c r="J6679" i="111"/>
  <c r="J6680" i="111"/>
  <c r="J6681" i="111"/>
  <c r="J6682" i="111"/>
  <c r="J6683" i="111"/>
  <c r="J6684" i="111"/>
  <c r="J6685" i="111"/>
  <c r="J6686" i="111"/>
  <c r="J6687" i="111"/>
  <c r="J6688" i="111"/>
  <c r="J6689" i="111"/>
  <c r="J6690" i="111"/>
  <c r="J6691" i="111"/>
  <c r="J6692" i="111"/>
  <c r="J3" i="111"/>
  <c r="D26" i="113"/>
  <c r="D67" i="113"/>
  <c r="D94" i="113"/>
  <c r="D125" i="113"/>
  <c r="D141" i="113"/>
  <c r="D167" i="113"/>
  <c r="D180" i="113"/>
  <c r="D211" i="113"/>
  <c r="D243" i="113"/>
  <c r="D278" i="113"/>
  <c r="D306" i="113"/>
  <c r="D338" i="113"/>
  <c r="D361" i="113"/>
  <c r="D389" i="113"/>
  <c r="D419" i="113"/>
  <c r="D441" i="113"/>
  <c r="D477" i="113"/>
  <c r="D511" i="113"/>
  <c r="D541" i="113"/>
  <c r="D582" i="113"/>
  <c r="D597" i="113"/>
  <c r="D615" i="113"/>
  <c r="D644" i="113"/>
  <c r="D671" i="113"/>
  <c r="D697" i="113"/>
  <c r="D729" i="113"/>
  <c r="D770" i="113"/>
  <c r="D806" i="113"/>
  <c r="D838" i="113"/>
  <c r="D864" i="113"/>
  <c r="D901" i="113"/>
  <c r="D944" i="113"/>
  <c r="D988" i="113"/>
  <c r="D1013" i="113"/>
  <c r="D1040" i="113"/>
  <c r="D1075" i="113"/>
  <c r="D1103" i="113"/>
  <c r="D1128" i="113"/>
  <c r="D1149" i="113"/>
  <c r="D1167" i="113"/>
  <c r="D1204" i="113"/>
  <c r="D1236" i="113"/>
  <c r="D1284" i="113"/>
  <c r="D1306" i="113"/>
  <c r="D1378" i="113"/>
  <c r="D1432" i="113"/>
  <c r="D1451" i="113"/>
  <c r="D1494" i="113"/>
  <c r="D1543" i="113"/>
  <c r="D1577" i="113"/>
  <c r="D1593" i="113"/>
  <c r="D1622" i="113"/>
  <c r="D1645" i="113"/>
  <c r="D1680" i="113"/>
  <c r="D1719" i="113"/>
  <c r="D1746" i="113"/>
  <c r="D1778" i="113"/>
  <c r="D1788" i="113"/>
  <c r="D1813" i="113"/>
  <c r="D1836" i="113"/>
  <c r="D1865" i="113"/>
  <c r="D1884" i="113"/>
  <c r="D1906" i="113"/>
  <c r="D1950" i="113"/>
  <c r="D1975" i="113"/>
  <c r="D2003" i="113"/>
  <c r="D2038" i="113"/>
  <c r="D2072" i="113"/>
  <c r="D2100" i="113"/>
  <c r="D2123" i="113"/>
  <c r="D2161" i="113"/>
  <c r="D2175" i="113"/>
  <c r="D2204" i="113"/>
  <c r="D2228" i="113"/>
  <c r="D2252" i="113"/>
  <c r="D2281" i="113"/>
  <c r="D2305" i="113"/>
  <c r="D2318" i="113"/>
  <c r="D2352" i="113"/>
  <c r="D2369" i="113"/>
  <c r="D2382" i="113"/>
  <c r="D2399" i="113"/>
  <c r="D2418" i="113"/>
  <c r="D2453" i="113"/>
  <c r="D2474" i="113"/>
  <c r="D2501" i="113"/>
  <c r="D2524" i="113"/>
  <c r="D2556" i="113"/>
  <c r="D2600" i="113"/>
  <c r="D2625" i="113"/>
  <c r="D2657" i="113"/>
  <c r="D2" i="113"/>
  <c r="L2584" i="113" l="1"/>
  <c r="L2415" i="113"/>
  <c r="L2251" i="113"/>
  <c r="L2033" i="113"/>
  <c r="L900" i="113"/>
  <c r="L1975" i="113"/>
  <c r="L2578" i="113"/>
  <c r="L2401" i="113"/>
  <c r="L2191" i="113"/>
  <c r="L1858" i="113"/>
  <c r="L154" i="113"/>
  <c r="L2558" i="113"/>
  <c r="L2374" i="113"/>
  <c r="L2181" i="113"/>
  <c r="L1857" i="113"/>
  <c r="L2621" i="113"/>
  <c r="L2556" i="113"/>
  <c r="L2363" i="113"/>
  <c r="L2178" i="113"/>
  <c r="L1781" i="113"/>
  <c r="L2611" i="113"/>
  <c r="L2530" i="113"/>
  <c r="L2361" i="113"/>
  <c r="L2176" i="113"/>
  <c r="L1677" i="113"/>
  <c r="L2607" i="113"/>
  <c r="L2529" i="113"/>
  <c r="L2360" i="113"/>
  <c r="L2090" i="113"/>
  <c r="L1659" i="113"/>
  <c r="L2606" i="113"/>
  <c r="L2528" i="113"/>
  <c r="L2333" i="113"/>
  <c r="L2089" i="113"/>
  <c r="L1591" i="113"/>
  <c r="L2601" i="113"/>
  <c r="L2517" i="113"/>
  <c r="L2264" i="113"/>
  <c r="L2075" i="113"/>
  <c r="L1382" i="113"/>
  <c r="L2599" i="113"/>
  <c r="L2516" i="113"/>
  <c r="L2263" i="113"/>
  <c r="L2073" i="113"/>
  <c r="L1381" i="113"/>
  <c r="L2180" i="113"/>
  <c r="L2598" i="113"/>
  <c r="L2496" i="113"/>
  <c r="L2262" i="113"/>
  <c r="L2072" i="113"/>
  <c r="L983" i="113"/>
  <c r="L2489" i="113"/>
  <c r="L2331" i="113"/>
  <c r="L2221" i="113"/>
  <c r="L2031" i="113"/>
  <c r="L1974" i="113"/>
  <c r="L1851" i="113"/>
  <c r="L1780" i="113"/>
  <c r="L1657" i="113"/>
  <c r="L1493" i="113"/>
  <c r="L1337" i="113"/>
  <c r="L888" i="113"/>
  <c r="L537" i="113"/>
  <c r="L144" i="113"/>
  <c r="L2623" i="113"/>
  <c r="L2600" i="113"/>
  <c r="L2580" i="113"/>
  <c r="L2555" i="113"/>
  <c r="L2527" i="113"/>
  <c r="L2488" i="113"/>
  <c r="L2403" i="113"/>
  <c r="L2362" i="113"/>
  <c r="L2321" i="113"/>
  <c r="L2261" i="113"/>
  <c r="L2220" i="113"/>
  <c r="L2179" i="113"/>
  <c r="L2074" i="113"/>
  <c r="L2017" i="113"/>
  <c r="L1973" i="113"/>
  <c r="L1835" i="113"/>
  <c r="L1656" i="113"/>
  <c r="L1492" i="113"/>
  <c r="L1335" i="113"/>
  <c r="L887" i="113"/>
  <c r="L46" i="113"/>
  <c r="L2495" i="113"/>
  <c r="L2552" i="113"/>
  <c r="L2487" i="113"/>
  <c r="L2320" i="113"/>
  <c r="L2219" i="113"/>
  <c r="L2016" i="113"/>
  <c r="L1959" i="113"/>
  <c r="L1834" i="113"/>
  <c r="L1759" i="113"/>
  <c r="L1653" i="113"/>
  <c r="L1481" i="113"/>
  <c r="L1334" i="113"/>
  <c r="L883" i="113"/>
  <c r="L510" i="113"/>
  <c r="L2551" i="113"/>
  <c r="L2486" i="113"/>
  <c r="L2319" i="113"/>
  <c r="L2209" i="113"/>
  <c r="L2015" i="113"/>
  <c r="L1957" i="113"/>
  <c r="L1833" i="113"/>
  <c r="L1711" i="113"/>
  <c r="L1647" i="113"/>
  <c r="L1480" i="113"/>
  <c r="L1320" i="113"/>
  <c r="L509" i="113"/>
  <c r="L2620" i="113"/>
  <c r="L2597" i="113"/>
  <c r="L2573" i="113"/>
  <c r="L2545" i="113"/>
  <c r="L2515" i="113"/>
  <c r="L2485" i="113"/>
  <c r="L2391" i="113"/>
  <c r="L2359" i="113"/>
  <c r="L2318" i="113"/>
  <c r="L2249" i="113"/>
  <c r="L2208" i="113"/>
  <c r="L2166" i="113"/>
  <c r="L2071" i="113"/>
  <c r="L2014" i="113"/>
  <c r="L1956" i="113"/>
  <c r="L1831" i="113"/>
  <c r="L1710" i="113"/>
  <c r="L1629" i="113"/>
  <c r="L1452" i="113"/>
  <c r="L1314" i="113"/>
  <c r="L763" i="113"/>
  <c r="L422" i="113"/>
  <c r="L2615" i="113"/>
  <c r="L2595" i="113"/>
  <c r="L2572" i="113"/>
  <c r="L2544" i="113"/>
  <c r="L2514" i="113"/>
  <c r="L2482" i="113"/>
  <c r="L2390" i="113"/>
  <c r="L2349" i="113"/>
  <c r="L2248" i="113"/>
  <c r="L2207" i="113"/>
  <c r="L2165" i="113"/>
  <c r="L2057" i="113"/>
  <c r="L2013" i="113"/>
  <c r="L1830" i="113"/>
  <c r="L1709" i="113"/>
  <c r="L1628" i="113"/>
  <c r="L1439" i="113"/>
  <c r="L762" i="113"/>
  <c r="L2614" i="113"/>
  <c r="L2594" i="113"/>
  <c r="L2571" i="113"/>
  <c r="L2543" i="113"/>
  <c r="L2513" i="113"/>
  <c r="L2481" i="113"/>
  <c r="L2389" i="113"/>
  <c r="L2348" i="113"/>
  <c r="L2279" i="113"/>
  <c r="L2247" i="113"/>
  <c r="L2206" i="113"/>
  <c r="L2164" i="113"/>
  <c r="L2056" i="113"/>
  <c r="L1999" i="113"/>
  <c r="L1809" i="113"/>
  <c r="L1708" i="113"/>
  <c r="L1625" i="113"/>
  <c r="L1438" i="113"/>
  <c r="L1136" i="113"/>
  <c r="L761" i="113"/>
  <c r="L297" i="113"/>
  <c r="L2613" i="113"/>
  <c r="L2593" i="113"/>
  <c r="L2570" i="113"/>
  <c r="L2542" i="113"/>
  <c r="L2503" i="113"/>
  <c r="L2475" i="113"/>
  <c r="L2388" i="113"/>
  <c r="L2347" i="113"/>
  <c r="L2278" i="113"/>
  <c r="L2237" i="113"/>
  <c r="L2205" i="113"/>
  <c r="L2055" i="113"/>
  <c r="L1998" i="113"/>
  <c r="L1879" i="113"/>
  <c r="L1808" i="113"/>
  <c r="L1707" i="113"/>
  <c r="L1623" i="113"/>
  <c r="L1437" i="113"/>
  <c r="L757" i="113"/>
  <c r="L295" i="113"/>
  <c r="L2612" i="113"/>
  <c r="L2592" i="113"/>
  <c r="L2569" i="113"/>
  <c r="L2541" i="113"/>
  <c r="L2502" i="113"/>
  <c r="L2474" i="113"/>
  <c r="L2387" i="113"/>
  <c r="L2346" i="113"/>
  <c r="L2277" i="113"/>
  <c r="L2236" i="113"/>
  <c r="L2195" i="113"/>
  <c r="L2126" i="113"/>
  <c r="L2054" i="113"/>
  <c r="L1997" i="113"/>
  <c r="L1878" i="113"/>
  <c r="L1807" i="113"/>
  <c r="L1688" i="113"/>
  <c r="L1622" i="113"/>
  <c r="L1435" i="113"/>
  <c r="L1109" i="113"/>
  <c r="L664" i="113"/>
  <c r="L294" i="113"/>
  <c r="L2587" i="113"/>
  <c r="L2566" i="113"/>
  <c r="L2538" i="113"/>
  <c r="L2501" i="113"/>
  <c r="L2377" i="113"/>
  <c r="L2345" i="113"/>
  <c r="L2276" i="113"/>
  <c r="L2235" i="113"/>
  <c r="L2194" i="113"/>
  <c r="L2096" i="113"/>
  <c r="L2053" i="113"/>
  <c r="L1993" i="113"/>
  <c r="L1877" i="113"/>
  <c r="L1806" i="113"/>
  <c r="L1687" i="113"/>
  <c r="L1595" i="113"/>
  <c r="L1391" i="113"/>
  <c r="L1108" i="113"/>
  <c r="L2332" i="113"/>
  <c r="L2609" i="113"/>
  <c r="L2586" i="113"/>
  <c r="L2565" i="113"/>
  <c r="L2537" i="113"/>
  <c r="L2500" i="113"/>
  <c r="L2417" i="113"/>
  <c r="L2376" i="113"/>
  <c r="L2335" i="113"/>
  <c r="L2275" i="113"/>
  <c r="L2234" i="113"/>
  <c r="L2193" i="113"/>
  <c r="L2095" i="113"/>
  <c r="L2039" i="113"/>
  <c r="L1991" i="113"/>
  <c r="L1861" i="113"/>
  <c r="L1805" i="113"/>
  <c r="L1679" i="113"/>
  <c r="L1594" i="113"/>
  <c r="L1390" i="113"/>
  <c r="L1010" i="113"/>
  <c r="L637" i="113"/>
  <c r="L273" i="113"/>
  <c r="L2608" i="113"/>
  <c r="L2585" i="113"/>
  <c r="L2559" i="113"/>
  <c r="L2531" i="113"/>
  <c r="L2499" i="113"/>
  <c r="L2416" i="113"/>
  <c r="L2375" i="113"/>
  <c r="L2334" i="113"/>
  <c r="L2265" i="113"/>
  <c r="L2233" i="113"/>
  <c r="L2192" i="113"/>
  <c r="L2091" i="113"/>
  <c r="L2035" i="113"/>
  <c r="L1977" i="113"/>
  <c r="L1859" i="113"/>
  <c r="L1788" i="113"/>
  <c r="L1678" i="113"/>
  <c r="L1593" i="113"/>
  <c r="L1384" i="113"/>
  <c r="L156" i="113"/>
  <c r="L176" i="113"/>
  <c r="L177" i="113"/>
  <c r="L178" i="113"/>
  <c r="L179" i="113"/>
  <c r="L167" i="113"/>
  <c r="L169" i="113"/>
  <c r="L172" i="113"/>
  <c r="L170" i="113"/>
  <c r="L171" i="113"/>
  <c r="L173" i="113"/>
  <c r="L174" i="113"/>
  <c r="L175" i="113"/>
  <c r="L168" i="113"/>
  <c r="L372" i="113"/>
  <c r="L386" i="113"/>
  <c r="L373" i="113"/>
  <c r="L387" i="113"/>
  <c r="L374" i="113"/>
  <c r="L388" i="113"/>
  <c r="L361" i="113"/>
  <c r="L375" i="113"/>
  <c r="L362" i="113"/>
  <c r="L376" i="113"/>
  <c r="L363" i="113"/>
  <c r="L377" i="113"/>
  <c r="L380" i="113"/>
  <c r="L381" i="113"/>
  <c r="L382" i="113"/>
  <c r="L383" i="113"/>
  <c r="L368" i="113"/>
  <c r="L379" i="113"/>
  <c r="L364" i="113"/>
  <c r="L365" i="113"/>
  <c r="L369" i="113"/>
  <c r="L370" i="113"/>
  <c r="L385" i="113"/>
  <c r="L366" i="113"/>
  <c r="L384" i="113"/>
  <c r="L367" i="113"/>
  <c r="L371" i="113"/>
  <c r="L378" i="113"/>
  <c r="L582" i="113"/>
  <c r="L596" i="113"/>
  <c r="L583" i="113"/>
  <c r="L584" i="113"/>
  <c r="L585" i="113"/>
  <c r="L586" i="113"/>
  <c r="L587" i="113"/>
  <c r="L590" i="113"/>
  <c r="L595" i="113"/>
  <c r="L588" i="113"/>
  <c r="L589" i="113"/>
  <c r="L594" i="113"/>
  <c r="L591" i="113"/>
  <c r="L592" i="113"/>
  <c r="L593" i="113"/>
  <c r="L778" i="113"/>
  <c r="L792" i="113"/>
  <c r="L779" i="113"/>
  <c r="L793" i="113"/>
  <c r="L780" i="113"/>
  <c r="L794" i="113"/>
  <c r="L781" i="113"/>
  <c r="L795" i="113"/>
  <c r="L782" i="113"/>
  <c r="L796" i="113"/>
  <c r="L783" i="113"/>
  <c r="L797" i="113"/>
  <c r="L772" i="113"/>
  <c r="L798" i="113"/>
  <c r="L773" i="113"/>
  <c r="L799" i="113"/>
  <c r="L774" i="113"/>
  <c r="L800" i="113"/>
  <c r="L775" i="113"/>
  <c r="L801" i="113"/>
  <c r="L786" i="113"/>
  <c r="L771" i="113"/>
  <c r="L791" i="113"/>
  <c r="L776" i="113"/>
  <c r="L777" i="113"/>
  <c r="L784" i="113"/>
  <c r="L785" i="113"/>
  <c r="L787" i="113"/>
  <c r="L788" i="113"/>
  <c r="L802" i="113"/>
  <c r="L803" i="113"/>
  <c r="L770" i="113"/>
  <c r="L790" i="113"/>
  <c r="L804" i="113"/>
  <c r="L805" i="113"/>
  <c r="L1016" i="113"/>
  <c r="L1030" i="113"/>
  <c r="L1017" i="113"/>
  <c r="L1031" i="113"/>
  <c r="L1018" i="113"/>
  <c r="L1032" i="113"/>
  <c r="L1019" i="113"/>
  <c r="L1033" i="113"/>
  <c r="L1020" i="113"/>
  <c r="L1034" i="113"/>
  <c r="L1021" i="113"/>
  <c r="L1035" i="113"/>
  <c r="L1014" i="113"/>
  <c r="L1015" i="113"/>
  <c r="L1022" i="113"/>
  <c r="L1023" i="113"/>
  <c r="L1028" i="113"/>
  <c r="L1013" i="113"/>
  <c r="L1039" i="113"/>
  <c r="L1029" i="113"/>
  <c r="L1036" i="113"/>
  <c r="L1037" i="113"/>
  <c r="L1038" i="113"/>
  <c r="L1027" i="113"/>
  <c r="L1026" i="113"/>
  <c r="L1204" i="113"/>
  <c r="L1218" i="113"/>
  <c r="L1232" i="113"/>
  <c r="L1205" i="113"/>
  <c r="L1219" i="113"/>
  <c r="L1233" i="113"/>
  <c r="L1206" i="113"/>
  <c r="L1220" i="113"/>
  <c r="L1234" i="113"/>
  <c r="L1207" i="113"/>
  <c r="L1221" i="113"/>
  <c r="L1235" i="113"/>
  <c r="L1212" i="113"/>
  <c r="L1226" i="113"/>
  <c r="L1217" i="113"/>
  <c r="L1231" i="113"/>
  <c r="L1224" i="113"/>
  <c r="L1225" i="113"/>
  <c r="L1227" i="113"/>
  <c r="L1228" i="113"/>
  <c r="L1208" i="113"/>
  <c r="L1229" i="113"/>
  <c r="L1209" i="113"/>
  <c r="L1230" i="113"/>
  <c r="L1213" i="113"/>
  <c r="L1223" i="113"/>
  <c r="L1222" i="113"/>
  <c r="L1210" i="113"/>
  <c r="L1500" i="113"/>
  <c r="L1514" i="113"/>
  <c r="L1528" i="113"/>
  <c r="L1542" i="113"/>
  <c r="L1501" i="113"/>
  <c r="L1515" i="113"/>
  <c r="L1529" i="113"/>
  <c r="L1502" i="113"/>
  <c r="L1518" i="113"/>
  <c r="L1534" i="113"/>
  <c r="L1503" i="113"/>
  <c r="L1519" i="113"/>
  <c r="L1535" i="113"/>
  <c r="L1504" i="113"/>
  <c r="L1520" i="113"/>
  <c r="L1536" i="113"/>
  <c r="L1505" i="113"/>
  <c r="L1521" i="113"/>
  <c r="L1537" i="113"/>
  <c r="L1506" i="113"/>
  <c r="L1522" i="113"/>
  <c r="L1538" i="113"/>
  <c r="L1507" i="113"/>
  <c r="L1523" i="113"/>
  <c r="L1539" i="113"/>
  <c r="L1494" i="113"/>
  <c r="L1510" i="113"/>
  <c r="L1526" i="113"/>
  <c r="L1499" i="113"/>
  <c r="L1517" i="113"/>
  <c r="L1496" i="113"/>
  <c r="L1532" i="113"/>
  <c r="L1497" i="113"/>
  <c r="L1533" i="113"/>
  <c r="L1498" i="113"/>
  <c r="L1540" i="113"/>
  <c r="L1508" i="113"/>
  <c r="L1541" i="113"/>
  <c r="L1509" i="113"/>
  <c r="L1524" i="113"/>
  <c r="L1511" i="113"/>
  <c r="L1512" i="113"/>
  <c r="L1513" i="113"/>
  <c r="L1516" i="113"/>
  <c r="L1726" i="113"/>
  <c r="L1740" i="113"/>
  <c r="L1727" i="113"/>
  <c r="L1741" i="113"/>
  <c r="L1728" i="113"/>
  <c r="L1742" i="113"/>
  <c r="L1729" i="113"/>
  <c r="L1743" i="113"/>
  <c r="L1730" i="113"/>
  <c r="L1744" i="113"/>
  <c r="L1720" i="113"/>
  <c r="L1734" i="113"/>
  <c r="L1738" i="113"/>
  <c r="L1739" i="113"/>
  <c r="L1719" i="113"/>
  <c r="L1745" i="113"/>
  <c r="L1721" i="113"/>
  <c r="L1722" i="113"/>
  <c r="L1723" i="113"/>
  <c r="L1724" i="113"/>
  <c r="L1725" i="113"/>
  <c r="L1731" i="113"/>
  <c r="L1894" i="113"/>
  <c r="L1895" i="113"/>
  <c r="L1896" i="113"/>
  <c r="L1897" i="113"/>
  <c r="L1884" i="113"/>
  <c r="L1898" i="113"/>
  <c r="L1888" i="113"/>
  <c r="L1902" i="113"/>
  <c r="L1887" i="113"/>
  <c r="L1889" i="113"/>
  <c r="L1890" i="113"/>
  <c r="L1891" i="113"/>
  <c r="L1892" i="113"/>
  <c r="L1893" i="113"/>
  <c r="L1899" i="113"/>
  <c r="L1900" i="113"/>
  <c r="L1901" i="113"/>
  <c r="L2106" i="113"/>
  <c r="L2120" i="113"/>
  <c r="L2107" i="113"/>
  <c r="L2121" i="113"/>
  <c r="L2108" i="113"/>
  <c r="L2122" i="113"/>
  <c r="L2114" i="113"/>
  <c r="L2115" i="113"/>
  <c r="L2116" i="113"/>
  <c r="L2100" i="113"/>
  <c r="L2117" i="113"/>
  <c r="L2101" i="113"/>
  <c r="L2118" i="113"/>
  <c r="L2102" i="113"/>
  <c r="L2119" i="113"/>
  <c r="L2103" i="113"/>
  <c r="L2104" i="113"/>
  <c r="L2105" i="113"/>
  <c r="L2294" i="113"/>
  <c r="L2281" i="113"/>
  <c r="L2295" i="113"/>
  <c r="L2282" i="113"/>
  <c r="L2296" i="113"/>
  <c r="L2283" i="113"/>
  <c r="L2297" i="113"/>
  <c r="L2284" i="113"/>
  <c r="L2298" i="113"/>
  <c r="L2285" i="113"/>
  <c r="L2299" i="113"/>
  <c r="L2286" i="113"/>
  <c r="L2300" i="113"/>
  <c r="L2287" i="113"/>
  <c r="L2301" i="113"/>
  <c r="L2288" i="113"/>
  <c r="L2302" i="113"/>
  <c r="L2420" i="113"/>
  <c r="L2434" i="113"/>
  <c r="L2448" i="113"/>
  <c r="L2421" i="113"/>
  <c r="L2435" i="113"/>
  <c r="L2449" i="113"/>
  <c r="L2422" i="113"/>
  <c r="L2436" i="113"/>
  <c r="L2450" i="113"/>
  <c r="L2423" i="113"/>
  <c r="L2437" i="113"/>
  <c r="L2451" i="113"/>
  <c r="L2424" i="113"/>
  <c r="L2438" i="113"/>
  <c r="L2452" i="113"/>
  <c r="L2425" i="113"/>
  <c r="L2439" i="113"/>
  <c r="L2426" i="113"/>
  <c r="L2440" i="113"/>
  <c r="L2427" i="113"/>
  <c r="L2441" i="113"/>
  <c r="L2428" i="113"/>
  <c r="L2442" i="113"/>
  <c r="L2630" i="113"/>
  <c r="L2644" i="113"/>
  <c r="L2631" i="113"/>
  <c r="L2645" i="113"/>
  <c r="L2632" i="113"/>
  <c r="L2646" i="113"/>
  <c r="L2633" i="113"/>
  <c r="L2647" i="113"/>
  <c r="L2634" i="113"/>
  <c r="L2648" i="113"/>
  <c r="L2635" i="113"/>
  <c r="L2649" i="113"/>
  <c r="L2636" i="113"/>
  <c r="L2650" i="113"/>
  <c r="L2637" i="113"/>
  <c r="L2651" i="113"/>
  <c r="L2638" i="113"/>
  <c r="L2652" i="113"/>
  <c r="L2653" i="113"/>
  <c r="L2446" i="113"/>
  <c r="L2291" i="113"/>
  <c r="L2127" i="113"/>
  <c r="L1903" i="113"/>
  <c r="L789" i="113"/>
  <c r="L1754" i="113"/>
  <c r="L1768" i="113"/>
  <c r="L1755" i="113"/>
  <c r="L1769" i="113"/>
  <c r="L1756" i="113"/>
  <c r="L1770" i="113"/>
  <c r="L1757" i="113"/>
  <c r="L1771" i="113"/>
  <c r="L1758" i="113"/>
  <c r="L1772" i="113"/>
  <c r="L1748" i="113"/>
  <c r="L1762" i="113"/>
  <c r="L1776" i="113"/>
  <c r="L1764" i="113"/>
  <c r="L1765" i="113"/>
  <c r="L1766" i="113"/>
  <c r="L1746" i="113"/>
  <c r="L1767" i="113"/>
  <c r="L1747" i="113"/>
  <c r="L1773" i="113"/>
  <c r="L1749" i="113"/>
  <c r="L1774" i="113"/>
  <c r="L1750" i="113"/>
  <c r="L1775" i="113"/>
  <c r="L1751" i="113"/>
  <c r="L1777" i="113"/>
  <c r="L1752" i="113"/>
  <c r="L2642" i="113"/>
  <c r="L2444" i="113"/>
  <c r="L2112" i="113"/>
  <c r="L1737" i="113"/>
  <c r="L411" i="113"/>
  <c r="L6" i="113"/>
  <c r="L2640" i="113"/>
  <c r="L2433" i="113"/>
  <c r="L2111" i="113"/>
  <c r="L1949" i="113"/>
  <c r="L1736" i="113"/>
  <c r="L1025" i="113"/>
  <c r="L610" i="113"/>
  <c r="L597" i="113"/>
  <c r="L611" i="113"/>
  <c r="L598" i="113"/>
  <c r="L612" i="113"/>
  <c r="L599" i="113"/>
  <c r="L613" i="113"/>
  <c r="L600" i="113"/>
  <c r="L614" i="113"/>
  <c r="L601" i="113"/>
  <c r="L602" i="113"/>
  <c r="L603" i="113"/>
  <c r="L604" i="113"/>
  <c r="L605" i="113"/>
  <c r="L606" i="113"/>
  <c r="L607" i="113"/>
  <c r="L608" i="113"/>
  <c r="L609" i="113"/>
  <c r="L2462" i="113"/>
  <c r="L2463" i="113"/>
  <c r="L2464" i="113"/>
  <c r="L2465" i="113"/>
  <c r="L2466" i="113"/>
  <c r="L2453" i="113"/>
  <c r="L2467" i="113"/>
  <c r="L2454" i="113"/>
  <c r="L2468" i="113"/>
  <c r="L2455" i="113"/>
  <c r="L2469" i="113"/>
  <c r="L2456" i="113"/>
  <c r="L2470" i="113"/>
  <c r="L2113" i="113"/>
  <c r="L1885" i="113"/>
  <c r="L1753" i="113"/>
  <c r="L2671" i="113"/>
  <c r="L2639" i="113"/>
  <c r="L2473" i="113"/>
  <c r="L2432" i="113"/>
  <c r="L2160" i="113"/>
  <c r="L2110" i="113"/>
  <c r="L1933" i="113"/>
  <c r="L1735" i="113"/>
  <c r="L1563" i="113"/>
  <c r="L1283" i="113"/>
  <c r="L1024" i="113"/>
  <c r="L2670" i="113"/>
  <c r="L1932" i="113"/>
  <c r="L1269" i="113"/>
  <c r="L2669" i="113"/>
  <c r="L2628" i="113"/>
  <c r="L2471" i="113"/>
  <c r="L2430" i="113"/>
  <c r="L2307" i="113"/>
  <c r="L2146" i="113"/>
  <c r="L1931" i="113"/>
  <c r="L1732" i="113"/>
  <c r="L1561" i="113"/>
  <c r="L1267" i="113"/>
  <c r="L1562" i="113"/>
  <c r="L2627" i="113"/>
  <c r="L2461" i="113"/>
  <c r="L2429" i="113"/>
  <c r="L2306" i="113"/>
  <c r="L2145" i="113"/>
  <c r="L1929" i="113"/>
  <c r="D95" i="114"/>
  <c r="L8" i="113"/>
  <c r="L22" i="113"/>
  <c r="L9" i="113"/>
  <c r="L23" i="113"/>
  <c r="L10" i="113"/>
  <c r="L24" i="113"/>
  <c r="L11" i="113"/>
  <c r="L25" i="113"/>
  <c r="L12" i="113"/>
  <c r="L13" i="113"/>
  <c r="L14" i="113"/>
  <c r="L15" i="113"/>
  <c r="L16" i="113"/>
  <c r="L17" i="113"/>
  <c r="L19" i="113"/>
  <c r="L7" i="113"/>
  <c r="L20" i="113"/>
  <c r="L21" i="113"/>
  <c r="L3" i="113"/>
  <c r="L18" i="113"/>
  <c r="L2" i="113"/>
  <c r="L4" i="113"/>
  <c r="L190" i="113"/>
  <c r="L204" i="113"/>
  <c r="L191" i="113"/>
  <c r="L205" i="113"/>
  <c r="L192" i="113"/>
  <c r="L206" i="113"/>
  <c r="L193" i="113"/>
  <c r="L207" i="113"/>
  <c r="L180" i="113"/>
  <c r="L194" i="113"/>
  <c r="L208" i="113"/>
  <c r="L181" i="113"/>
  <c r="L195" i="113"/>
  <c r="L209" i="113"/>
  <c r="L184" i="113"/>
  <c r="L210" i="113"/>
  <c r="L185" i="113"/>
  <c r="L186" i="113"/>
  <c r="L187" i="113"/>
  <c r="L189" i="113"/>
  <c r="L198" i="113"/>
  <c r="L183" i="113"/>
  <c r="L203" i="113"/>
  <c r="L182" i="113"/>
  <c r="L197" i="113"/>
  <c r="L199" i="113"/>
  <c r="L196" i="113"/>
  <c r="L200" i="113"/>
  <c r="L201" i="113"/>
  <c r="L202" i="113"/>
  <c r="L806" i="113"/>
  <c r="L820" i="113"/>
  <c r="L834" i="113"/>
  <c r="L807" i="113"/>
  <c r="L821" i="113"/>
  <c r="L835" i="113"/>
  <c r="L808" i="113"/>
  <c r="L822" i="113"/>
  <c r="L836" i="113"/>
  <c r="L809" i="113"/>
  <c r="L823" i="113"/>
  <c r="L837" i="113"/>
  <c r="L810" i="113"/>
  <c r="L824" i="113"/>
  <c r="L811" i="113"/>
  <c r="L825" i="113"/>
  <c r="L818" i="113"/>
  <c r="L819" i="113"/>
  <c r="L826" i="113"/>
  <c r="L827" i="113"/>
  <c r="L812" i="113"/>
  <c r="L832" i="113"/>
  <c r="L817" i="113"/>
  <c r="L815" i="113"/>
  <c r="L816" i="113"/>
  <c r="L828" i="113"/>
  <c r="L829" i="113"/>
  <c r="L830" i="113"/>
  <c r="L831" i="113"/>
  <c r="L814" i="113"/>
  <c r="L813" i="113"/>
  <c r="L833" i="113"/>
  <c r="L1044" i="113"/>
  <c r="L1058" i="113"/>
  <c r="L1072" i="113"/>
  <c r="L1045" i="113"/>
  <c r="L1059" i="113"/>
  <c r="L1073" i="113"/>
  <c r="L1046" i="113"/>
  <c r="L1060" i="113"/>
  <c r="L1074" i="113"/>
  <c r="L1047" i="113"/>
  <c r="L1061" i="113"/>
  <c r="L1048" i="113"/>
  <c r="L1062" i="113"/>
  <c r="L1049" i="113"/>
  <c r="L1063" i="113"/>
  <c r="L1040" i="113"/>
  <c r="L1066" i="113"/>
  <c r="L1041" i="113"/>
  <c r="L1067" i="113"/>
  <c r="L1042" i="113"/>
  <c r="L1068" i="113"/>
  <c r="L1043" i="113"/>
  <c r="L1069" i="113"/>
  <c r="L1054" i="113"/>
  <c r="L1065" i="113"/>
  <c r="L1050" i="113"/>
  <c r="L1051" i="113"/>
  <c r="L1055" i="113"/>
  <c r="L1056" i="113"/>
  <c r="L1071" i="113"/>
  <c r="L1052" i="113"/>
  <c r="L1053" i="113"/>
  <c r="L1057" i="113"/>
  <c r="L1064" i="113"/>
  <c r="L1070" i="113"/>
  <c r="L1556" i="113"/>
  <c r="L1570" i="113"/>
  <c r="L1543" i="113"/>
  <c r="L1557" i="113"/>
  <c r="L1571" i="113"/>
  <c r="L1550" i="113"/>
  <c r="L1566" i="113"/>
  <c r="L1551" i="113"/>
  <c r="L1567" i="113"/>
  <c r="L1552" i="113"/>
  <c r="L1568" i="113"/>
  <c r="L1553" i="113"/>
  <c r="L1569" i="113"/>
  <c r="L1554" i="113"/>
  <c r="L1572" i="113"/>
  <c r="L1555" i="113"/>
  <c r="L1573" i="113"/>
  <c r="L1544" i="113"/>
  <c r="L1560" i="113"/>
  <c r="L1576" i="113"/>
  <c r="L1564" i="113"/>
  <c r="L1565" i="113"/>
  <c r="L1574" i="113"/>
  <c r="L1558" i="113"/>
  <c r="L1575" i="113"/>
  <c r="L1545" i="113"/>
  <c r="L1546" i="113"/>
  <c r="L1547" i="113"/>
  <c r="L1548" i="113"/>
  <c r="L1549" i="113"/>
  <c r="L2658" i="113"/>
  <c r="L2672" i="113"/>
  <c r="L2659" i="113"/>
  <c r="L2673" i="113"/>
  <c r="L2660" i="113"/>
  <c r="L2674" i="113"/>
  <c r="L2661" i="113"/>
  <c r="L2675" i="113"/>
  <c r="L2662" i="113"/>
  <c r="L2676" i="113"/>
  <c r="L2663" i="113"/>
  <c r="L2677" i="113"/>
  <c r="L2664" i="113"/>
  <c r="L2678" i="113"/>
  <c r="L2665" i="113"/>
  <c r="L2666" i="113"/>
  <c r="L2472" i="113"/>
  <c r="L2147" i="113"/>
  <c r="L2667" i="113"/>
  <c r="L2626" i="113"/>
  <c r="L2460" i="113"/>
  <c r="L2419" i="113"/>
  <c r="L2305" i="113"/>
  <c r="L1928" i="113"/>
  <c r="L1531" i="113"/>
  <c r="L1216" i="113"/>
  <c r="L2134" i="113"/>
  <c r="L2148" i="113"/>
  <c r="L2135" i="113"/>
  <c r="L2149" i="113"/>
  <c r="L2136" i="113"/>
  <c r="L2150" i="113"/>
  <c r="L2131" i="113"/>
  <c r="L2151" i="113"/>
  <c r="L2132" i="113"/>
  <c r="L2152" i="113"/>
  <c r="L2133" i="113"/>
  <c r="L2153" i="113"/>
  <c r="L2137" i="113"/>
  <c r="L2154" i="113"/>
  <c r="L2138" i="113"/>
  <c r="L2155" i="113"/>
  <c r="L2139" i="113"/>
  <c r="L2156" i="113"/>
  <c r="L2123" i="113"/>
  <c r="L2140" i="113"/>
  <c r="L2157" i="113"/>
  <c r="L2124" i="113"/>
  <c r="L2141" i="113"/>
  <c r="L2158" i="113"/>
  <c r="L2125" i="113"/>
  <c r="L2142" i="113"/>
  <c r="L2159" i="113"/>
  <c r="L2641" i="113"/>
  <c r="L1733" i="113"/>
  <c r="L2657" i="113"/>
  <c r="L2625" i="113"/>
  <c r="L2459" i="113"/>
  <c r="L2418" i="113"/>
  <c r="L2304" i="113"/>
  <c r="L2143" i="113"/>
  <c r="L1907" i="113"/>
  <c r="L1530" i="113"/>
  <c r="L1215" i="113"/>
  <c r="L188" i="113"/>
  <c r="L400" i="113"/>
  <c r="L414" i="113"/>
  <c r="L401" i="113"/>
  <c r="L415" i="113"/>
  <c r="L402" i="113"/>
  <c r="L416" i="113"/>
  <c r="L389" i="113"/>
  <c r="L403" i="113"/>
  <c r="L417" i="113"/>
  <c r="L390" i="113"/>
  <c r="L404" i="113"/>
  <c r="L418" i="113"/>
  <c r="L391" i="113"/>
  <c r="L405" i="113"/>
  <c r="L406" i="113"/>
  <c r="L407" i="113"/>
  <c r="L408" i="113"/>
  <c r="L409" i="113"/>
  <c r="L394" i="113"/>
  <c r="L399" i="113"/>
  <c r="L392" i="113"/>
  <c r="L393" i="113"/>
  <c r="L395" i="113"/>
  <c r="L396" i="113"/>
  <c r="L397" i="113"/>
  <c r="L398" i="113"/>
  <c r="L412" i="113"/>
  <c r="L413" i="113"/>
  <c r="L1246" i="113"/>
  <c r="L1260" i="113"/>
  <c r="L1274" i="113"/>
  <c r="L1247" i="113"/>
  <c r="L1261" i="113"/>
  <c r="L1275" i="113"/>
  <c r="L1248" i="113"/>
  <c r="L1262" i="113"/>
  <c r="L1276" i="113"/>
  <c r="L1249" i="113"/>
  <c r="L1263" i="113"/>
  <c r="L1277" i="113"/>
  <c r="L1240" i="113"/>
  <c r="L1254" i="113"/>
  <c r="L1268" i="113"/>
  <c r="L1282" i="113"/>
  <c r="L1245" i="113"/>
  <c r="L1259" i="113"/>
  <c r="L1273" i="113"/>
  <c r="L1250" i="113"/>
  <c r="L1271" i="113"/>
  <c r="L1251" i="113"/>
  <c r="L1272" i="113"/>
  <c r="L1252" i="113"/>
  <c r="L1278" i="113"/>
  <c r="L1253" i="113"/>
  <c r="L1279" i="113"/>
  <c r="L1255" i="113"/>
  <c r="L1280" i="113"/>
  <c r="L1256" i="113"/>
  <c r="L1281" i="113"/>
  <c r="L1238" i="113"/>
  <c r="L1264" i="113"/>
  <c r="L1244" i="113"/>
  <c r="L1270" i="113"/>
  <c r="L1236" i="113"/>
  <c r="L1237" i="113"/>
  <c r="L1239" i="113"/>
  <c r="L1241" i="113"/>
  <c r="L1242" i="113"/>
  <c r="L1243" i="113"/>
  <c r="L1265" i="113"/>
  <c r="L1257" i="113"/>
  <c r="L1258" i="113"/>
  <c r="L2308" i="113"/>
  <c r="L2309" i="113"/>
  <c r="L2310" i="113"/>
  <c r="L2311" i="113"/>
  <c r="L2312" i="113"/>
  <c r="L2313" i="113"/>
  <c r="L2314" i="113"/>
  <c r="L2315" i="113"/>
  <c r="L2316" i="113"/>
  <c r="L2289" i="113"/>
  <c r="L2443" i="113"/>
  <c r="L2431" i="113"/>
  <c r="L2109" i="113"/>
  <c r="L2656" i="113"/>
  <c r="L2458" i="113"/>
  <c r="L2303" i="113"/>
  <c r="L2130" i="113"/>
  <c r="L1527" i="113"/>
  <c r="L1214" i="113"/>
  <c r="L1908" i="113"/>
  <c r="L1922" i="113"/>
  <c r="L1936" i="113"/>
  <c r="L1909" i="113"/>
  <c r="L1923" i="113"/>
  <c r="L1937" i="113"/>
  <c r="L1910" i="113"/>
  <c r="L1924" i="113"/>
  <c r="L1938" i="113"/>
  <c r="L1911" i="113"/>
  <c r="L1925" i="113"/>
  <c r="L1939" i="113"/>
  <c r="L1912" i="113"/>
  <c r="L1926" i="113"/>
  <c r="L1940" i="113"/>
  <c r="L1916" i="113"/>
  <c r="L1930" i="113"/>
  <c r="L1944" i="113"/>
  <c r="L1913" i="113"/>
  <c r="L1934" i="113"/>
  <c r="L1914" i="113"/>
  <c r="L1935" i="113"/>
  <c r="L1915" i="113"/>
  <c r="L1941" i="113"/>
  <c r="L1917" i="113"/>
  <c r="L1942" i="113"/>
  <c r="L1918" i="113"/>
  <c r="L1943" i="113"/>
  <c r="L1919" i="113"/>
  <c r="L1945" i="113"/>
  <c r="L1920" i="113"/>
  <c r="L1946" i="113"/>
  <c r="L1921" i="113"/>
  <c r="L1947" i="113"/>
  <c r="L1927" i="113"/>
  <c r="L1948" i="113"/>
  <c r="L2629" i="113"/>
  <c r="L2655" i="113"/>
  <c r="L2457" i="113"/>
  <c r="L2293" i="113"/>
  <c r="L2129" i="113"/>
  <c r="L1905" i="113"/>
  <c r="L1763" i="113"/>
  <c r="L1525" i="113"/>
  <c r="L1211" i="113"/>
  <c r="L2654" i="113"/>
  <c r="L2447" i="113"/>
  <c r="L2292" i="113"/>
  <c r="L2128" i="113"/>
  <c r="L1904" i="113"/>
  <c r="L1761" i="113"/>
  <c r="L1495" i="113"/>
  <c r="L36" i="113"/>
  <c r="L50" i="113"/>
  <c r="L64" i="113"/>
  <c r="L37" i="113"/>
  <c r="L51" i="113"/>
  <c r="L65" i="113"/>
  <c r="L38" i="113"/>
  <c r="L52" i="113"/>
  <c r="L66" i="113"/>
  <c r="L39" i="113"/>
  <c r="L53" i="113"/>
  <c r="L26" i="113"/>
  <c r="L40" i="113"/>
  <c r="L54" i="113"/>
  <c r="L27" i="113"/>
  <c r="L41" i="113"/>
  <c r="L55" i="113"/>
  <c r="L34" i="113"/>
  <c r="L60" i="113"/>
  <c r="L35" i="113"/>
  <c r="L61" i="113"/>
  <c r="L42" i="113"/>
  <c r="L62" i="113"/>
  <c r="L43" i="113"/>
  <c r="L63" i="113"/>
  <c r="L45" i="113"/>
  <c r="L28" i="113"/>
  <c r="L48" i="113"/>
  <c r="L33" i="113"/>
  <c r="L59" i="113"/>
  <c r="L29" i="113"/>
  <c r="L30" i="113"/>
  <c r="L31" i="113"/>
  <c r="L32" i="113"/>
  <c r="L47" i="113"/>
  <c r="L49" i="113"/>
  <c r="L218" i="113"/>
  <c r="L232" i="113"/>
  <c r="L219" i="113"/>
  <c r="L233" i="113"/>
  <c r="L220" i="113"/>
  <c r="L234" i="113"/>
  <c r="L221" i="113"/>
  <c r="L235" i="113"/>
  <c r="L222" i="113"/>
  <c r="L236" i="113"/>
  <c r="L223" i="113"/>
  <c r="L237" i="113"/>
  <c r="L230" i="113"/>
  <c r="L211" i="113"/>
  <c r="L231" i="113"/>
  <c r="L212" i="113"/>
  <c r="L238" i="113"/>
  <c r="L213" i="113"/>
  <c r="L239" i="113"/>
  <c r="L215" i="113"/>
  <c r="L224" i="113"/>
  <c r="L229" i="113"/>
  <c r="L216" i="113"/>
  <c r="L217" i="113"/>
  <c r="L225" i="113"/>
  <c r="L226" i="113"/>
  <c r="L227" i="113"/>
  <c r="L228" i="113"/>
  <c r="L242" i="113"/>
  <c r="L214" i="113"/>
  <c r="L428" i="113"/>
  <c r="L429" i="113"/>
  <c r="L430" i="113"/>
  <c r="L431" i="113"/>
  <c r="L432" i="113"/>
  <c r="L419" i="113"/>
  <c r="L433" i="113"/>
  <c r="L426" i="113"/>
  <c r="L427" i="113"/>
  <c r="L434" i="113"/>
  <c r="L435" i="113"/>
  <c r="L420" i="113"/>
  <c r="L440" i="113"/>
  <c r="L425" i="113"/>
  <c r="L436" i="113"/>
  <c r="L437" i="113"/>
  <c r="L438" i="113"/>
  <c r="L439" i="113"/>
  <c r="L424" i="113"/>
  <c r="L624" i="113"/>
  <c r="L638" i="113"/>
  <c r="L625" i="113"/>
  <c r="L639" i="113"/>
  <c r="L626" i="113"/>
  <c r="L640" i="113"/>
  <c r="L627" i="113"/>
  <c r="L641" i="113"/>
  <c r="L628" i="113"/>
  <c r="L642" i="113"/>
  <c r="L615" i="113"/>
  <c r="L629" i="113"/>
  <c r="L643" i="113"/>
  <c r="L622" i="113"/>
  <c r="L623" i="113"/>
  <c r="L630" i="113"/>
  <c r="L631" i="113"/>
  <c r="L616" i="113"/>
  <c r="L636" i="113"/>
  <c r="L621" i="113"/>
  <c r="L617" i="113"/>
  <c r="L618" i="113"/>
  <c r="L632" i="113"/>
  <c r="L633" i="113"/>
  <c r="L848" i="113"/>
  <c r="L862" i="113"/>
  <c r="L849" i="113"/>
  <c r="L863" i="113"/>
  <c r="L850" i="113"/>
  <c r="L851" i="113"/>
  <c r="L838" i="113"/>
  <c r="L852" i="113"/>
  <c r="L839" i="113"/>
  <c r="L853" i="113"/>
  <c r="L844" i="113"/>
  <c r="L845" i="113"/>
  <c r="L846" i="113"/>
  <c r="L847" i="113"/>
  <c r="L858" i="113"/>
  <c r="L843" i="113"/>
  <c r="L859" i="113"/>
  <c r="L860" i="113"/>
  <c r="L861" i="113"/>
  <c r="L841" i="113"/>
  <c r="L842" i="113"/>
  <c r="L857" i="113"/>
  <c r="L1086" i="113"/>
  <c r="L1100" i="113"/>
  <c r="L1087" i="113"/>
  <c r="L1101" i="113"/>
  <c r="L1088" i="113"/>
  <c r="L1102" i="113"/>
  <c r="L1075" i="113"/>
  <c r="L1089" i="113"/>
  <c r="L1076" i="113"/>
  <c r="L1090" i="113"/>
  <c r="L1077" i="113"/>
  <c r="L1091" i="113"/>
  <c r="L1092" i="113"/>
  <c r="L1093" i="113"/>
  <c r="L1094" i="113"/>
  <c r="L1095" i="113"/>
  <c r="L1080" i="113"/>
  <c r="L1085" i="113"/>
  <c r="L1078" i="113"/>
  <c r="L1079" i="113"/>
  <c r="L1081" i="113"/>
  <c r="L1082" i="113"/>
  <c r="L1083" i="113"/>
  <c r="L1084" i="113"/>
  <c r="L1098" i="113"/>
  <c r="L1099" i="113"/>
  <c r="L1288" i="113"/>
  <c r="L1302" i="113"/>
  <c r="L1289" i="113"/>
  <c r="L1303" i="113"/>
  <c r="L1290" i="113"/>
  <c r="L1304" i="113"/>
  <c r="L1291" i="113"/>
  <c r="L1305" i="113"/>
  <c r="L1296" i="113"/>
  <c r="L1287" i="113"/>
  <c r="L1301" i="113"/>
  <c r="L1297" i="113"/>
  <c r="L1298" i="113"/>
  <c r="L1299" i="113"/>
  <c r="L1300" i="113"/>
  <c r="L1285" i="113"/>
  <c r="L1295" i="113"/>
  <c r="L1584" i="113"/>
  <c r="L1585" i="113"/>
  <c r="L1582" i="113"/>
  <c r="L1583" i="113"/>
  <c r="L1586" i="113"/>
  <c r="L1587" i="113"/>
  <c r="L1588" i="113"/>
  <c r="L1589" i="113"/>
  <c r="L1592" i="113"/>
  <c r="L1782" i="113"/>
  <c r="L1783" i="113"/>
  <c r="L1784" i="113"/>
  <c r="L1785" i="113"/>
  <c r="L1786" i="113"/>
  <c r="L1950" i="113"/>
  <c r="L1964" i="113"/>
  <c r="L1951" i="113"/>
  <c r="L1952" i="113"/>
  <c r="L1966" i="113"/>
  <c r="L1953" i="113"/>
  <c r="L1967" i="113"/>
  <c r="L1954" i="113"/>
  <c r="L1968" i="113"/>
  <c r="L1958" i="113"/>
  <c r="L2162" i="113"/>
  <c r="L2163" i="113"/>
  <c r="L2624" i="113"/>
  <c r="L2610" i="113"/>
  <c r="L2596" i="113"/>
  <c r="L2582" i="113"/>
  <c r="L2568" i="113"/>
  <c r="L2554" i="113"/>
  <c r="L2540" i="113"/>
  <c r="L2526" i="113"/>
  <c r="L2512" i="113"/>
  <c r="L2498" i="113"/>
  <c r="L2484" i="113"/>
  <c r="L2414" i="113"/>
  <c r="L2400" i="113"/>
  <c r="L2386" i="113"/>
  <c r="L2372" i="113"/>
  <c r="L2358" i="113"/>
  <c r="L2344" i="113"/>
  <c r="L2330" i="113"/>
  <c r="L2274" i="113"/>
  <c r="L2260" i="113"/>
  <c r="L2246" i="113"/>
  <c r="L2232" i="113"/>
  <c r="L2218" i="113"/>
  <c r="L2204" i="113"/>
  <c r="L2190" i="113"/>
  <c r="L2175" i="113"/>
  <c r="L2088" i="113"/>
  <c r="L2070" i="113"/>
  <c r="L2049" i="113"/>
  <c r="L2030" i="113"/>
  <c r="L2012" i="113"/>
  <c r="L1990" i="113"/>
  <c r="L1972" i="113"/>
  <c r="L1876" i="113"/>
  <c r="L1850" i="113"/>
  <c r="L1829" i="113"/>
  <c r="L1803" i="113"/>
  <c r="L1778" i="113"/>
  <c r="L1705" i="113"/>
  <c r="L1676" i="113"/>
  <c r="L1646" i="113"/>
  <c r="L1615" i="113"/>
  <c r="L1581" i="113"/>
  <c r="L1479" i="113"/>
  <c r="L1433" i="113"/>
  <c r="L1367" i="113"/>
  <c r="L1313" i="113"/>
  <c r="L1196" i="113"/>
  <c r="L981" i="113"/>
  <c r="L856" i="113"/>
  <c r="L756" i="113"/>
  <c r="L620" i="113"/>
  <c r="L508" i="113"/>
  <c r="L253" i="113"/>
  <c r="L2567" i="113"/>
  <c r="L2553" i="113"/>
  <c r="L2539" i="113"/>
  <c r="L2525" i="113"/>
  <c r="L2511" i="113"/>
  <c r="L2497" i="113"/>
  <c r="L2483" i="113"/>
  <c r="L2413" i="113"/>
  <c r="L2399" i="113"/>
  <c r="L2385" i="113"/>
  <c r="L2371" i="113"/>
  <c r="L2357" i="113"/>
  <c r="L2343" i="113"/>
  <c r="L2329" i="113"/>
  <c r="L2273" i="113"/>
  <c r="L2259" i="113"/>
  <c r="L2245" i="113"/>
  <c r="L2231" i="113"/>
  <c r="L2217" i="113"/>
  <c r="L2203" i="113"/>
  <c r="L2189" i="113"/>
  <c r="L2174" i="113"/>
  <c r="L2087" i="113"/>
  <c r="L2069" i="113"/>
  <c r="L2047" i="113"/>
  <c r="L2029" i="113"/>
  <c r="L2011" i="113"/>
  <c r="L1971" i="113"/>
  <c r="L1875" i="113"/>
  <c r="L1849" i="113"/>
  <c r="L1823" i="113"/>
  <c r="L1704" i="113"/>
  <c r="L1675" i="113"/>
  <c r="L1645" i="113"/>
  <c r="L1580" i="113"/>
  <c r="L1478" i="113"/>
  <c r="L1365" i="113"/>
  <c r="L1195" i="113"/>
  <c r="L1097" i="113"/>
  <c r="L980" i="113"/>
  <c r="L855" i="113"/>
  <c r="L619" i="113"/>
  <c r="L494" i="113"/>
  <c r="L104" i="113"/>
  <c r="L78" i="113"/>
  <c r="L92" i="113"/>
  <c r="L79" i="113"/>
  <c r="L93" i="113"/>
  <c r="L80" i="113"/>
  <c r="L67" i="113"/>
  <c r="L81" i="113"/>
  <c r="L68" i="113"/>
  <c r="L82" i="113"/>
  <c r="L69" i="113"/>
  <c r="L83" i="113"/>
  <c r="L86" i="113"/>
  <c r="L87" i="113"/>
  <c r="L88" i="113"/>
  <c r="L89" i="113"/>
  <c r="L71" i="113"/>
  <c r="L91" i="113"/>
  <c r="L74" i="113"/>
  <c r="L85" i="113"/>
  <c r="L72" i="113"/>
  <c r="L73" i="113"/>
  <c r="L75" i="113"/>
  <c r="L76" i="113"/>
  <c r="L77" i="113"/>
  <c r="L84" i="113"/>
  <c r="L70" i="113"/>
  <c r="L246" i="113"/>
  <c r="L260" i="113"/>
  <c r="L274" i="113"/>
  <c r="L247" i="113"/>
  <c r="L261" i="113"/>
  <c r="L275" i="113"/>
  <c r="L248" i="113"/>
  <c r="L262" i="113"/>
  <c r="L276" i="113"/>
  <c r="L249" i="113"/>
  <c r="L263" i="113"/>
  <c r="L277" i="113"/>
  <c r="L250" i="113"/>
  <c r="L264" i="113"/>
  <c r="L251" i="113"/>
  <c r="L265" i="113"/>
  <c r="L256" i="113"/>
  <c r="L257" i="113"/>
  <c r="L258" i="113"/>
  <c r="L259" i="113"/>
  <c r="L244" i="113"/>
  <c r="L270" i="113"/>
  <c r="L255" i="113"/>
  <c r="L266" i="113"/>
  <c r="L267" i="113"/>
  <c r="L268" i="113"/>
  <c r="L269" i="113"/>
  <c r="L271" i="113"/>
  <c r="L272" i="113"/>
  <c r="L243" i="113"/>
  <c r="L254" i="113"/>
  <c r="L442" i="113"/>
  <c r="L456" i="113"/>
  <c r="L470" i="113"/>
  <c r="L443" i="113"/>
  <c r="L457" i="113"/>
  <c r="L471" i="113"/>
  <c r="L444" i="113"/>
  <c r="L458" i="113"/>
  <c r="L472" i="113"/>
  <c r="L445" i="113"/>
  <c r="L459" i="113"/>
  <c r="L473" i="113"/>
  <c r="L446" i="113"/>
  <c r="L460" i="113"/>
  <c r="L474" i="113"/>
  <c r="L447" i="113"/>
  <c r="L461" i="113"/>
  <c r="L475" i="113"/>
  <c r="L452" i="113"/>
  <c r="L453" i="113"/>
  <c r="L454" i="113"/>
  <c r="L455" i="113"/>
  <c r="L466" i="113"/>
  <c r="L451" i="113"/>
  <c r="L469" i="113"/>
  <c r="L476" i="113"/>
  <c r="L441" i="113"/>
  <c r="L448" i="113"/>
  <c r="L462" i="113"/>
  <c r="L463" i="113"/>
  <c r="L468" i="113"/>
  <c r="L652" i="113"/>
  <c r="L666" i="113"/>
  <c r="L653" i="113"/>
  <c r="L667" i="113"/>
  <c r="L654" i="113"/>
  <c r="L668" i="113"/>
  <c r="L655" i="113"/>
  <c r="L669" i="113"/>
  <c r="L656" i="113"/>
  <c r="L670" i="113"/>
  <c r="L657" i="113"/>
  <c r="L648" i="113"/>
  <c r="L649" i="113"/>
  <c r="L650" i="113"/>
  <c r="L651" i="113"/>
  <c r="L662" i="113"/>
  <c r="L647" i="113"/>
  <c r="L645" i="113"/>
  <c r="L646" i="113"/>
  <c r="L658" i="113"/>
  <c r="L659" i="113"/>
  <c r="L660" i="113"/>
  <c r="L661" i="113"/>
  <c r="L665" i="113"/>
  <c r="L644" i="113"/>
  <c r="L876" i="113"/>
  <c r="L890" i="113"/>
  <c r="L877" i="113"/>
  <c r="L891" i="113"/>
  <c r="L864" i="113"/>
  <c r="L878" i="113"/>
  <c r="L892" i="113"/>
  <c r="L865" i="113"/>
  <c r="L879" i="113"/>
  <c r="L893" i="113"/>
  <c r="L866" i="113"/>
  <c r="L880" i="113"/>
  <c r="L894" i="113"/>
  <c r="L867" i="113"/>
  <c r="L881" i="113"/>
  <c r="L895" i="113"/>
  <c r="L870" i="113"/>
  <c r="L896" i="113"/>
  <c r="L871" i="113"/>
  <c r="L897" i="113"/>
  <c r="L872" i="113"/>
  <c r="L898" i="113"/>
  <c r="L873" i="113"/>
  <c r="L899" i="113"/>
  <c r="L884" i="113"/>
  <c r="L869" i="113"/>
  <c r="L889" i="113"/>
  <c r="L868" i="113"/>
  <c r="L874" i="113"/>
  <c r="L875" i="113"/>
  <c r="L885" i="113"/>
  <c r="L886" i="113"/>
  <c r="L1114" i="113"/>
  <c r="L1115" i="113"/>
  <c r="L1116" i="113"/>
  <c r="L1103" i="113"/>
  <c r="L1117" i="113"/>
  <c r="L1104" i="113"/>
  <c r="L1118" i="113"/>
  <c r="L1105" i="113"/>
  <c r="L1119" i="113"/>
  <c r="L1112" i="113"/>
  <c r="L1113" i="113"/>
  <c r="L1120" i="113"/>
  <c r="L1121" i="113"/>
  <c r="L1106" i="113"/>
  <c r="L1126" i="113"/>
  <c r="L1111" i="113"/>
  <c r="L1122" i="113"/>
  <c r="L1123" i="113"/>
  <c r="L1124" i="113"/>
  <c r="L1125" i="113"/>
  <c r="L1127" i="113"/>
  <c r="L1110" i="113"/>
  <c r="L1316" i="113"/>
  <c r="L1330" i="113"/>
  <c r="L1344" i="113"/>
  <c r="L1358" i="113"/>
  <c r="L1372" i="113"/>
  <c r="L1317" i="113"/>
  <c r="L1331" i="113"/>
  <c r="L1345" i="113"/>
  <c r="L1359" i="113"/>
  <c r="L1373" i="113"/>
  <c r="L1318" i="113"/>
  <c r="L1332" i="113"/>
  <c r="L1346" i="113"/>
  <c r="L1360" i="113"/>
  <c r="L1374" i="113"/>
  <c r="L1319" i="113"/>
  <c r="L1333" i="113"/>
  <c r="L1347" i="113"/>
  <c r="L1361" i="113"/>
  <c r="L1375" i="113"/>
  <c r="L1310" i="113"/>
  <c r="L1324" i="113"/>
  <c r="L1338" i="113"/>
  <c r="L1352" i="113"/>
  <c r="L1366" i="113"/>
  <c r="L1315" i="113"/>
  <c r="L1329" i="113"/>
  <c r="L1343" i="113"/>
  <c r="L1357" i="113"/>
  <c r="L1371" i="113"/>
  <c r="L1322" i="113"/>
  <c r="L1348" i="113"/>
  <c r="L1369" i="113"/>
  <c r="L1323" i="113"/>
  <c r="L1349" i="113"/>
  <c r="L1370" i="113"/>
  <c r="L1325" i="113"/>
  <c r="L1350" i="113"/>
  <c r="L1376" i="113"/>
  <c r="L1326" i="113"/>
  <c r="L1351" i="113"/>
  <c r="L1377" i="113"/>
  <c r="L1306" i="113"/>
  <c r="L1327" i="113"/>
  <c r="L1353" i="113"/>
  <c r="L1307" i="113"/>
  <c r="L1328" i="113"/>
  <c r="L1354" i="113"/>
  <c r="L1311" i="113"/>
  <c r="L1336" i="113"/>
  <c r="L1362" i="113"/>
  <c r="L1321" i="113"/>
  <c r="L1342" i="113"/>
  <c r="L1368" i="113"/>
  <c r="L1598" i="113"/>
  <c r="L1612" i="113"/>
  <c r="L1599" i="113"/>
  <c r="L1613" i="113"/>
  <c r="L1600" i="113"/>
  <c r="L1616" i="113"/>
  <c r="L1601" i="113"/>
  <c r="L1617" i="113"/>
  <c r="L1602" i="113"/>
  <c r="L1618" i="113"/>
  <c r="L1603" i="113"/>
  <c r="L1619" i="113"/>
  <c r="L1604" i="113"/>
  <c r="L1620" i="113"/>
  <c r="L1605" i="113"/>
  <c r="L1621" i="113"/>
  <c r="L1608" i="113"/>
  <c r="L1796" i="113"/>
  <c r="L1810" i="113"/>
  <c r="L1797" i="113"/>
  <c r="L1811" i="113"/>
  <c r="L1798" i="113"/>
  <c r="L1812" i="113"/>
  <c r="L1799" i="113"/>
  <c r="L1800" i="113"/>
  <c r="L1790" i="113"/>
  <c r="L1804" i="113"/>
  <c r="L1978" i="113"/>
  <c r="L1992" i="113"/>
  <c r="L1980" i="113"/>
  <c r="L1994" i="113"/>
  <c r="L1981" i="113"/>
  <c r="L1995" i="113"/>
  <c r="L1982" i="113"/>
  <c r="L1996" i="113"/>
  <c r="L2524" i="113"/>
  <c r="L2510" i="113"/>
  <c r="L2412" i="113"/>
  <c r="L2398" i="113"/>
  <c r="L2384" i="113"/>
  <c r="L2370" i="113"/>
  <c r="L2356" i="113"/>
  <c r="L2342" i="113"/>
  <c r="L2328" i="113"/>
  <c r="L2272" i="113"/>
  <c r="L2258" i="113"/>
  <c r="L2244" i="113"/>
  <c r="L2230" i="113"/>
  <c r="L2216" i="113"/>
  <c r="L2202" i="113"/>
  <c r="L2188" i="113"/>
  <c r="L2173" i="113"/>
  <c r="L2086" i="113"/>
  <c r="L2068" i="113"/>
  <c r="L2046" i="113"/>
  <c r="L2028" i="113"/>
  <c r="L2007" i="113"/>
  <c r="L1988" i="113"/>
  <c r="L1970" i="113"/>
  <c r="L1873" i="113"/>
  <c r="L1848" i="113"/>
  <c r="L1822" i="113"/>
  <c r="L1801" i="113"/>
  <c r="L1703" i="113"/>
  <c r="L1673" i="113"/>
  <c r="L1644" i="113"/>
  <c r="L1611" i="113"/>
  <c r="L1579" i="113"/>
  <c r="L1476" i="113"/>
  <c r="L1418" i="113"/>
  <c r="L1364" i="113"/>
  <c r="L1309" i="113"/>
  <c r="L1194" i="113"/>
  <c r="L1096" i="113"/>
  <c r="L966" i="113"/>
  <c r="L854" i="113"/>
  <c r="L718" i="113"/>
  <c r="L245" i="113"/>
  <c r="L103" i="113"/>
  <c r="L2523" i="113"/>
  <c r="L2509" i="113"/>
  <c r="L2411" i="113"/>
  <c r="L2397" i="113"/>
  <c r="L2383" i="113"/>
  <c r="L2369" i="113"/>
  <c r="L2355" i="113"/>
  <c r="L2341" i="113"/>
  <c r="L2327" i="113"/>
  <c r="L2271" i="113"/>
  <c r="L2257" i="113"/>
  <c r="L2243" i="113"/>
  <c r="L2229" i="113"/>
  <c r="L2215" i="113"/>
  <c r="L2201" i="113"/>
  <c r="L2187" i="113"/>
  <c r="L2172" i="113"/>
  <c r="L2085" i="113"/>
  <c r="L2067" i="113"/>
  <c r="L2045" i="113"/>
  <c r="L2027" i="113"/>
  <c r="L1987" i="113"/>
  <c r="L1969" i="113"/>
  <c r="L1872" i="113"/>
  <c r="L1847" i="113"/>
  <c r="L1795" i="113"/>
  <c r="L1695" i="113"/>
  <c r="L1672" i="113"/>
  <c r="L1610" i="113"/>
  <c r="L1578" i="113"/>
  <c r="L1475" i="113"/>
  <c r="L1363" i="113"/>
  <c r="L1308" i="113"/>
  <c r="L1182" i="113"/>
  <c r="L840" i="113"/>
  <c r="L717" i="113"/>
  <c r="L467" i="113"/>
  <c r="L241" i="113"/>
  <c r="L106" i="113"/>
  <c r="L120" i="113"/>
  <c r="L107" i="113"/>
  <c r="L121" i="113"/>
  <c r="L94" i="113"/>
  <c r="L108" i="113"/>
  <c r="L122" i="113"/>
  <c r="L95" i="113"/>
  <c r="L109" i="113"/>
  <c r="L123" i="113"/>
  <c r="L96" i="113"/>
  <c r="L110" i="113"/>
  <c r="L124" i="113"/>
  <c r="L97" i="113"/>
  <c r="L111" i="113"/>
  <c r="L112" i="113"/>
  <c r="L113" i="113"/>
  <c r="L114" i="113"/>
  <c r="L115" i="113"/>
  <c r="L117" i="113"/>
  <c r="L100" i="113"/>
  <c r="L105" i="113"/>
  <c r="L118" i="113"/>
  <c r="L119" i="113"/>
  <c r="L99" i="113"/>
  <c r="L101" i="113"/>
  <c r="L116" i="113"/>
  <c r="L288" i="113"/>
  <c r="L302" i="113"/>
  <c r="L289" i="113"/>
  <c r="L303" i="113"/>
  <c r="L290" i="113"/>
  <c r="L304" i="113"/>
  <c r="L291" i="113"/>
  <c r="L305" i="113"/>
  <c r="L278" i="113"/>
  <c r="L292" i="113"/>
  <c r="L279" i="113"/>
  <c r="L293" i="113"/>
  <c r="L282" i="113"/>
  <c r="L283" i="113"/>
  <c r="L284" i="113"/>
  <c r="L285" i="113"/>
  <c r="L296" i="113"/>
  <c r="L281" i="113"/>
  <c r="L301" i="113"/>
  <c r="L299" i="113"/>
  <c r="L300" i="113"/>
  <c r="L286" i="113"/>
  <c r="L287" i="113"/>
  <c r="L298" i="113"/>
  <c r="L484" i="113"/>
  <c r="L498" i="113"/>
  <c r="L485" i="113"/>
  <c r="L499" i="113"/>
  <c r="L486" i="113"/>
  <c r="L500" i="113"/>
  <c r="L487" i="113"/>
  <c r="L501" i="113"/>
  <c r="L488" i="113"/>
  <c r="L502" i="113"/>
  <c r="L489" i="113"/>
  <c r="L503" i="113"/>
  <c r="L478" i="113"/>
  <c r="L504" i="113"/>
  <c r="L479" i="113"/>
  <c r="L505" i="113"/>
  <c r="L480" i="113"/>
  <c r="L506" i="113"/>
  <c r="L481" i="113"/>
  <c r="L507" i="113"/>
  <c r="L492" i="113"/>
  <c r="L477" i="113"/>
  <c r="L497" i="113"/>
  <c r="L482" i="113"/>
  <c r="L483" i="113"/>
  <c r="L490" i="113"/>
  <c r="L491" i="113"/>
  <c r="L495" i="113"/>
  <c r="L496" i="113"/>
  <c r="L680" i="113"/>
  <c r="L694" i="113"/>
  <c r="L681" i="113"/>
  <c r="L695" i="113"/>
  <c r="L682" i="113"/>
  <c r="L696" i="113"/>
  <c r="L683" i="113"/>
  <c r="L684" i="113"/>
  <c r="L671" i="113"/>
  <c r="L685" i="113"/>
  <c r="L674" i="113"/>
  <c r="L675" i="113"/>
  <c r="L676" i="113"/>
  <c r="L677" i="113"/>
  <c r="L688" i="113"/>
  <c r="L673" i="113"/>
  <c r="L693" i="113"/>
  <c r="L689" i="113"/>
  <c r="L690" i="113"/>
  <c r="L691" i="113"/>
  <c r="L692" i="113"/>
  <c r="L672" i="113"/>
  <c r="L687" i="113"/>
  <c r="L904" i="113"/>
  <c r="L918" i="113"/>
  <c r="L932" i="113"/>
  <c r="L905" i="113"/>
  <c r="L919" i="113"/>
  <c r="L933" i="113"/>
  <c r="L906" i="113"/>
  <c r="L920" i="113"/>
  <c r="L934" i="113"/>
  <c r="L907" i="113"/>
  <c r="L921" i="113"/>
  <c r="L935" i="113"/>
  <c r="L908" i="113"/>
  <c r="L922" i="113"/>
  <c r="L936" i="113"/>
  <c r="L909" i="113"/>
  <c r="L923" i="113"/>
  <c r="L937" i="113"/>
  <c r="L916" i="113"/>
  <c r="L942" i="113"/>
  <c r="L917" i="113"/>
  <c r="L943" i="113"/>
  <c r="L924" i="113"/>
  <c r="L925" i="113"/>
  <c r="L910" i="113"/>
  <c r="L930" i="113"/>
  <c r="L915" i="113"/>
  <c r="L941" i="113"/>
  <c r="L902" i="113"/>
  <c r="L903" i="113"/>
  <c r="L911" i="113"/>
  <c r="L912" i="113"/>
  <c r="L913" i="113"/>
  <c r="L914" i="113"/>
  <c r="L928" i="113"/>
  <c r="L929" i="113"/>
  <c r="L901" i="113"/>
  <c r="L940" i="113"/>
  <c r="L1128" i="113"/>
  <c r="L1142" i="113"/>
  <c r="L1129" i="113"/>
  <c r="L1143" i="113"/>
  <c r="L1130" i="113"/>
  <c r="L1144" i="113"/>
  <c r="L1131" i="113"/>
  <c r="L1145" i="113"/>
  <c r="L1132" i="113"/>
  <c r="L1146" i="113"/>
  <c r="L1133" i="113"/>
  <c r="L1147" i="113"/>
  <c r="L1138" i="113"/>
  <c r="L1139" i="113"/>
  <c r="L1140" i="113"/>
  <c r="L1141" i="113"/>
  <c r="L1137" i="113"/>
  <c r="L1134" i="113"/>
  <c r="L1148" i="113"/>
  <c r="L1386" i="113"/>
  <c r="L1400" i="113"/>
  <c r="L1414" i="113"/>
  <c r="L1428" i="113"/>
  <c r="L1387" i="113"/>
  <c r="L1401" i="113"/>
  <c r="L1415" i="113"/>
  <c r="L1429" i="113"/>
  <c r="L1388" i="113"/>
  <c r="L1402" i="113"/>
  <c r="L1416" i="113"/>
  <c r="L1430" i="113"/>
  <c r="L1389" i="113"/>
  <c r="L1403" i="113"/>
  <c r="L1417" i="113"/>
  <c r="L1431" i="113"/>
  <c r="L1380" i="113"/>
  <c r="L1394" i="113"/>
  <c r="L1408" i="113"/>
  <c r="L1422" i="113"/>
  <c r="L1385" i="113"/>
  <c r="L1399" i="113"/>
  <c r="L1413" i="113"/>
  <c r="L1427" i="113"/>
  <c r="L1395" i="113"/>
  <c r="L1420" i="113"/>
  <c r="L1396" i="113"/>
  <c r="L1421" i="113"/>
  <c r="L1397" i="113"/>
  <c r="L1423" i="113"/>
  <c r="L1398" i="113"/>
  <c r="L1424" i="113"/>
  <c r="L1378" i="113"/>
  <c r="L1404" i="113"/>
  <c r="L1425" i="113"/>
  <c r="L1379" i="113"/>
  <c r="L1405" i="113"/>
  <c r="L1426" i="113"/>
  <c r="L1383" i="113"/>
  <c r="L1409" i="113"/>
  <c r="L1393" i="113"/>
  <c r="L1419" i="113"/>
  <c r="L1626" i="113"/>
  <c r="L1640" i="113"/>
  <c r="L1627" i="113"/>
  <c r="L1641" i="113"/>
  <c r="L1632" i="113"/>
  <c r="L1633" i="113"/>
  <c r="L1634" i="113"/>
  <c r="L1635" i="113"/>
  <c r="L1636" i="113"/>
  <c r="L1624" i="113"/>
  <c r="L1642" i="113"/>
  <c r="L1824" i="113"/>
  <c r="L1825" i="113"/>
  <c r="L1826" i="113"/>
  <c r="L1813" i="113"/>
  <c r="L1827" i="113"/>
  <c r="L1814" i="113"/>
  <c r="L1828" i="113"/>
  <c r="L1818" i="113"/>
  <c r="L1832" i="113"/>
  <c r="L2006" i="113"/>
  <c r="L2020" i="113"/>
  <c r="L2034" i="113"/>
  <c r="L2008" i="113"/>
  <c r="L2022" i="113"/>
  <c r="L2036" i="113"/>
  <c r="L2009" i="113"/>
  <c r="L2023" i="113"/>
  <c r="L2037" i="113"/>
  <c r="L2010" i="113"/>
  <c r="L2024" i="113"/>
  <c r="L2564" i="113"/>
  <c r="L2550" i="113"/>
  <c r="L2536" i="113"/>
  <c r="L2522" i="113"/>
  <c r="L2508" i="113"/>
  <c r="L2494" i="113"/>
  <c r="L2480" i="113"/>
  <c r="L2410" i="113"/>
  <c r="L2396" i="113"/>
  <c r="L2382" i="113"/>
  <c r="L2368" i="113"/>
  <c r="L2354" i="113"/>
  <c r="L2340" i="113"/>
  <c r="L2326" i="113"/>
  <c r="L2270" i="113"/>
  <c r="L2256" i="113"/>
  <c r="L2242" i="113"/>
  <c r="L2228" i="113"/>
  <c r="L2214" i="113"/>
  <c r="L2200" i="113"/>
  <c r="L2186" i="113"/>
  <c r="L2171" i="113"/>
  <c r="L2084" i="113"/>
  <c r="L2063" i="113"/>
  <c r="L2044" i="113"/>
  <c r="L2026" i="113"/>
  <c r="L2004" i="113"/>
  <c r="L1986" i="113"/>
  <c r="L1965" i="113"/>
  <c r="L1871" i="113"/>
  <c r="L1845" i="113"/>
  <c r="L1820" i="113"/>
  <c r="L1794" i="113"/>
  <c r="L1694" i="113"/>
  <c r="L1671" i="113"/>
  <c r="L1639" i="113"/>
  <c r="L1609" i="113"/>
  <c r="L1577" i="113"/>
  <c r="L1463" i="113"/>
  <c r="L1411" i="113"/>
  <c r="L1356" i="113"/>
  <c r="L1294" i="113"/>
  <c r="L1180" i="113"/>
  <c r="L939" i="113"/>
  <c r="L707" i="113"/>
  <c r="L465" i="113"/>
  <c r="L340" i="113"/>
  <c r="L240" i="113"/>
  <c r="L98" i="113"/>
  <c r="L2619" i="113"/>
  <c r="L2605" i="113"/>
  <c r="L2591" i="113"/>
  <c r="L2577" i="113"/>
  <c r="L2563" i="113"/>
  <c r="L2549" i="113"/>
  <c r="L2535" i="113"/>
  <c r="L2521" i="113"/>
  <c r="L2507" i="113"/>
  <c r="L2493" i="113"/>
  <c r="L2479" i="113"/>
  <c r="L2409" i="113"/>
  <c r="L2395" i="113"/>
  <c r="L2381" i="113"/>
  <c r="L2367" i="113"/>
  <c r="L2353" i="113"/>
  <c r="L2339" i="113"/>
  <c r="L2325" i="113"/>
  <c r="L2269" i="113"/>
  <c r="L2255" i="113"/>
  <c r="L2241" i="113"/>
  <c r="L2227" i="113"/>
  <c r="L2213" i="113"/>
  <c r="L2199" i="113"/>
  <c r="L2185" i="113"/>
  <c r="L2170" i="113"/>
  <c r="L2083" i="113"/>
  <c r="L2061" i="113"/>
  <c r="L2025" i="113"/>
  <c r="L2003" i="113"/>
  <c r="L1985" i="113"/>
  <c r="L1963" i="113"/>
  <c r="L1819" i="113"/>
  <c r="L1793" i="113"/>
  <c r="L1693" i="113"/>
  <c r="L1638" i="113"/>
  <c r="L1607" i="113"/>
  <c r="L1462" i="113"/>
  <c r="L1410" i="113"/>
  <c r="L1355" i="113"/>
  <c r="L1293" i="113"/>
  <c r="L938" i="113"/>
  <c r="L581" i="113"/>
  <c r="L464" i="113"/>
  <c r="L339" i="113"/>
  <c r="L90" i="113"/>
  <c r="L134" i="113"/>
  <c r="L135" i="113"/>
  <c r="L136" i="113"/>
  <c r="L137" i="113"/>
  <c r="L138" i="113"/>
  <c r="L125" i="113"/>
  <c r="L139" i="113"/>
  <c r="L132" i="113"/>
  <c r="L133" i="113"/>
  <c r="L140" i="113"/>
  <c r="L126" i="113"/>
  <c r="L131" i="113"/>
  <c r="L127" i="113"/>
  <c r="L128" i="113"/>
  <c r="L129" i="113"/>
  <c r="L130" i="113"/>
  <c r="L316" i="113"/>
  <c r="L330" i="113"/>
  <c r="L317" i="113"/>
  <c r="L331" i="113"/>
  <c r="L318" i="113"/>
  <c r="L332" i="113"/>
  <c r="L319" i="113"/>
  <c r="L333" i="113"/>
  <c r="L306" i="113"/>
  <c r="L320" i="113"/>
  <c r="L334" i="113"/>
  <c r="L307" i="113"/>
  <c r="L321" i="113"/>
  <c r="L335" i="113"/>
  <c r="L308" i="113"/>
  <c r="L328" i="113"/>
  <c r="L309" i="113"/>
  <c r="L329" i="113"/>
  <c r="L310" i="113"/>
  <c r="L336" i="113"/>
  <c r="L311" i="113"/>
  <c r="L337" i="113"/>
  <c r="L322" i="113"/>
  <c r="L327" i="113"/>
  <c r="L312" i="113"/>
  <c r="L313" i="113"/>
  <c r="L314" i="113"/>
  <c r="L315" i="113"/>
  <c r="L325" i="113"/>
  <c r="L326" i="113"/>
  <c r="L512" i="113"/>
  <c r="L526" i="113"/>
  <c r="L540" i="113"/>
  <c r="L513" i="113"/>
  <c r="L527" i="113"/>
  <c r="L514" i="113"/>
  <c r="L528" i="113"/>
  <c r="L515" i="113"/>
  <c r="L529" i="113"/>
  <c r="L516" i="113"/>
  <c r="L530" i="113"/>
  <c r="L517" i="113"/>
  <c r="L531" i="113"/>
  <c r="L524" i="113"/>
  <c r="L525" i="113"/>
  <c r="L532" i="113"/>
  <c r="L533" i="113"/>
  <c r="L518" i="113"/>
  <c r="L538" i="113"/>
  <c r="L523" i="113"/>
  <c r="L519" i="113"/>
  <c r="L520" i="113"/>
  <c r="L521" i="113"/>
  <c r="L522" i="113"/>
  <c r="L534" i="113"/>
  <c r="L535" i="113"/>
  <c r="L539" i="113"/>
  <c r="L511" i="113"/>
  <c r="L708" i="113"/>
  <c r="L722" i="113"/>
  <c r="L709" i="113"/>
  <c r="L723" i="113"/>
  <c r="L710" i="113"/>
  <c r="L724" i="113"/>
  <c r="L697" i="113"/>
  <c r="L711" i="113"/>
  <c r="L725" i="113"/>
  <c r="L698" i="113"/>
  <c r="L712" i="113"/>
  <c r="L726" i="113"/>
  <c r="L699" i="113"/>
  <c r="L713" i="113"/>
  <c r="L727" i="113"/>
  <c r="L700" i="113"/>
  <c r="L720" i="113"/>
  <c r="L701" i="113"/>
  <c r="L721" i="113"/>
  <c r="L702" i="113"/>
  <c r="L728" i="113"/>
  <c r="L703" i="113"/>
  <c r="L714" i="113"/>
  <c r="L719" i="113"/>
  <c r="L704" i="113"/>
  <c r="L705" i="113"/>
  <c r="L715" i="113"/>
  <c r="L716" i="113"/>
  <c r="L946" i="113"/>
  <c r="L960" i="113"/>
  <c r="L974" i="113"/>
  <c r="L947" i="113"/>
  <c r="L961" i="113"/>
  <c r="L975" i="113"/>
  <c r="L948" i="113"/>
  <c r="L962" i="113"/>
  <c r="L976" i="113"/>
  <c r="L949" i="113"/>
  <c r="L963" i="113"/>
  <c r="L977" i="113"/>
  <c r="L950" i="113"/>
  <c r="L964" i="113"/>
  <c r="L978" i="113"/>
  <c r="L951" i="113"/>
  <c r="L965" i="113"/>
  <c r="L979" i="113"/>
  <c r="L968" i="113"/>
  <c r="L969" i="113"/>
  <c r="L944" i="113"/>
  <c r="L970" i="113"/>
  <c r="L945" i="113"/>
  <c r="L971" i="113"/>
  <c r="L956" i="113"/>
  <c r="L982" i="113"/>
  <c r="L967" i="113"/>
  <c r="L987" i="113"/>
  <c r="L952" i="113"/>
  <c r="L985" i="113"/>
  <c r="L953" i="113"/>
  <c r="L986" i="113"/>
  <c r="L954" i="113"/>
  <c r="L955" i="113"/>
  <c r="L957" i="113"/>
  <c r="L958" i="113"/>
  <c r="L972" i="113"/>
  <c r="L973" i="113"/>
  <c r="L984" i="113"/>
  <c r="L1156" i="113"/>
  <c r="L1157" i="113"/>
  <c r="L1158" i="113"/>
  <c r="L1159" i="113"/>
  <c r="L1160" i="113"/>
  <c r="L1161" i="113"/>
  <c r="L1164" i="113"/>
  <c r="L1165" i="113"/>
  <c r="L1166" i="113"/>
  <c r="L1152" i="113"/>
  <c r="L1163" i="113"/>
  <c r="L1155" i="113"/>
  <c r="L1162" i="113"/>
  <c r="L1154" i="113"/>
  <c r="L1442" i="113"/>
  <c r="L1443" i="113"/>
  <c r="L1444" i="113"/>
  <c r="L1445" i="113"/>
  <c r="L1436" i="113"/>
  <c r="L1441" i="113"/>
  <c r="L1446" i="113"/>
  <c r="L1447" i="113"/>
  <c r="L1448" i="113"/>
  <c r="L1449" i="113"/>
  <c r="L1450" i="113"/>
  <c r="L1434" i="113"/>
  <c r="L1440" i="113"/>
  <c r="L1654" i="113"/>
  <c r="L1668" i="113"/>
  <c r="L1655" i="113"/>
  <c r="L1669" i="113"/>
  <c r="L1648" i="113"/>
  <c r="L1664" i="113"/>
  <c r="L1649" i="113"/>
  <c r="L1665" i="113"/>
  <c r="L1650" i="113"/>
  <c r="L1666" i="113"/>
  <c r="L1651" i="113"/>
  <c r="L1667" i="113"/>
  <c r="L1652" i="113"/>
  <c r="L1670" i="113"/>
  <c r="L1658" i="113"/>
  <c r="L1674" i="113"/>
  <c r="L1838" i="113"/>
  <c r="L1852" i="113"/>
  <c r="L1839" i="113"/>
  <c r="L1853" i="113"/>
  <c r="L1840" i="113"/>
  <c r="L1854" i="113"/>
  <c r="L1841" i="113"/>
  <c r="L1855" i="113"/>
  <c r="L1842" i="113"/>
  <c r="L1856" i="113"/>
  <c r="L1846" i="113"/>
  <c r="L1860" i="113"/>
  <c r="L2048" i="113"/>
  <c r="L2062" i="113"/>
  <c r="L2050" i="113"/>
  <c r="L2064" i="113"/>
  <c r="L2051" i="113"/>
  <c r="L2065" i="113"/>
  <c r="L2038" i="113"/>
  <c r="L2052" i="113"/>
  <c r="L2066" i="113"/>
  <c r="L2618" i="113"/>
  <c r="L2604" i="113"/>
  <c r="L2590" i="113"/>
  <c r="L2576" i="113"/>
  <c r="L2562" i="113"/>
  <c r="L2548" i="113"/>
  <c r="L2534" i="113"/>
  <c r="L2520" i="113"/>
  <c r="L2506" i="113"/>
  <c r="L2492" i="113"/>
  <c r="L2478" i="113"/>
  <c r="L2408" i="113"/>
  <c r="L2394" i="113"/>
  <c r="L2380" i="113"/>
  <c r="L2366" i="113"/>
  <c r="L2352" i="113"/>
  <c r="L2338" i="113"/>
  <c r="L2324" i="113"/>
  <c r="L2268" i="113"/>
  <c r="L2254" i="113"/>
  <c r="L2240" i="113"/>
  <c r="L2226" i="113"/>
  <c r="L2212" i="113"/>
  <c r="L2198" i="113"/>
  <c r="L2184" i="113"/>
  <c r="L2169" i="113"/>
  <c r="L2099" i="113"/>
  <c r="L2082" i="113"/>
  <c r="L2060" i="113"/>
  <c r="L2042" i="113"/>
  <c r="L2021" i="113"/>
  <c r="L2002" i="113"/>
  <c r="L1984" i="113"/>
  <c r="L1962" i="113"/>
  <c r="L1864" i="113"/>
  <c r="L1843" i="113"/>
  <c r="L1817" i="113"/>
  <c r="L1792" i="113"/>
  <c r="L1692" i="113"/>
  <c r="L1662" i="113"/>
  <c r="L1637" i="113"/>
  <c r="L1606" i="113"/>
  <c r="L1461" i="113"/>
  <c r="L1407" i="113"/>
  <c r="L1341" i="113"/>
  <c r="L1292" i="113"/>
  <c r="L1153" i="113"/>
  <c r="L931" i="113"/>
  <c r="L686" i="113"/>
  <c r="L580" i="113"/>
  <c r="L450" i="113"/>
  <c r="L58" i="113"/>
  <c r="L2617" i="113"/>
  <c r="L2603" i="113"/>
  <c r="L2589" i="113"/>
  <c r="L2575" i="113"/>
  <c r="L2561" i="113"/>
  <c r="L2547" i="113"/>
  <c r="L2533" i="113"/>
  <c r="L2519" i="113"/>
  <c r="L2505" i="113"/>
  <c r="L2491" i="113"/>
  <c r="L2477" i="113"/>
  <c r="L2407" i="113"/>
  <c r="L2393" i="113"/>
  <c r="L2379" i="113"/>
  <c r="L2365" i="113"/>
  <c r="L2351" i="113"/>
  <c r="L2337" i="113"/>
  <c r="L2323" i="113"/>
  <c r="L2267" i="113"/>
  <c r="L2253" i="113"/>
  <c r="L2239" i="113"/>
  <c r="L2225" i="113"/>
  <c r="L2211" i="113"/>
  <c r="L2197" i="113"/>
  <c r="L2183" i="113"/>
  <c r="L2168" i="113"/>
  <c r="L2098" i="113"/>
  <c r="L2059" i="113"/>
  <c r="L2041" i="113"/>
  <c r="L2019" i="113"/>
  <c r="L2001" i="113"/>
  <c r="L1983" i="113"/>
  <c r="L1961" i="113"/>
  <c r="L1863" i="113"/>
  <c r="L1837" i="113"/>
  <c r="L1816" i="113"/>
  <c r="L1791" i="113"/>
  <c r="L1718" i="113"/>
  <c r="L1661" i="113"/>
  <c r="L1631" i="113"/>
  <c r="L1597" i="113"/>
  <c r="L1406" i="113"/>
  <c r="L1340" i="113"/>
  <c r="L1286" i="113"/>
  <c r="L1151" i="113"/>
  <c r="L927" i="113"/>
  <c r="L679" i="113"/>
  <c r="L449" i="113"/>
  <c r="L324" i="113"/>
  <c r="L57" i="113"/>
  <c r="L148" i="113"/>
  <c r="L162" i="113"/>
  <c r="L149" i="113"/>
  <c r="L163" i="113"/>
  <c r="L150" i="113"/>
  <c r="L164" i="113"/>
  <c r="L151" i="113"/>
  <c r="L165" i="113"/>
  <c r="L152" i="113"/>
  <c r="L166" i="113"/>
  <c r="L153" i="113"/>
  <c r="L158" i="113"/>
  <c r="L159" i="113"/>
  <c r="L160" i="113"/>
  <c r="L141" i="113"/>
  <c r="L161" i="113"/>
  <c r="L143" i="113"/>
  <c r="L146" i="113"/>
  <c r="L157" i="113"/>
  <c r="L145" i="113"/>
  <c r="L147" i="113"/>
  <c r="L344" i="113"/>
  <c r="L358" i="113"/>
  <c r="L345" i="113"/>
  <c r="L359" i="113"/>
  <c r="L346" i="113"/>
  <c r="L360" i="113"/>
  <c r="L347" i="113"/>
  <c r="L348" i="113"/>
  <c r="L349" i="113"/>
  <c r="L354" i="113"/>
  <c r="L355" i="113"/>
  <c r="L356" i="113"/>
  <c r="L357" i="113"/>
  <c r="L342" i="113"/>
  <c r="L353" i="113"/>
  <c r="L343" i="113"/>
  <c r="L350" i="113"/>
  <c r="L351" i="113"/>
  <c r="L352" i="113"/>
  <c r="L341" i="113"/>
  <c r="L554" i="113"/>
  <c r="L568" i="113"/>
  <c r="L541" i="113"/>
  <c r="L555" i="113"/>
  <c r="L569" i="113"/>
  <c r="L542" i="113"/>
  <c r="L556" i="113"/>
  <c r="L570" i="113"/>
  <c r="L543" i="113"/>
  <c r="L557" i="113"/>
  <c r="L571" i="113"/>
  <c r="L544" i="113"/>
  <c r="L558" i="113"/>
  <c r="L572" i="113"/>
  <c r="L545" i="113"/>
  <c r="L559" i="113"/>
  <c r="L573" i="113"/>
  <c r="L550" i="113"/>
  <c r="L576" i="113"/>
  <c r="L551" i="113"/>
  <c r="L577" i="113"/>
  <c r="L552" i="113"/>
  <c r="L578" i="113"/>
  <c r="L553" i="113"/>
  <c r="L579" i="113"/>
  <c r="L564" i="113"/>
  <c r="L549" i="113"/>
  <c r="L575" i="113"/>
  <c r="L562" i="113"/>
  <c r="L563" i="113"/>
  <c r="L565" i="113"/>
  <c r="L566" i="113"/>
  <c r="L567" i="113"/>
  <c r="L574" i="113"/>
  <c r="L546" i="113"/>
  <c r="L561" i="113"/>
  <c r="L736" i="113"/>
  <c r="L750" i="113"/>
  <c r="L764" i="113"/>
  <c r="L737" i="113"/>
  <c r="L751" i="113"/>
  <c r="L765" i="113"/>
  <c r="L738" i="113"/>
  <c r="L752" i="113"/>
  <c r="L766" i="113"/>
  <c r="L739" i="113"/>
  <c r="L753" i="113"/>
  <c r="L767" i="113"/>
  <c r="L740" i="113"/>
  <c r="L754" i="113"/>
  <c r="L768" i="113"/>
  <c r="L741" i="113"/>
  <c r="L755" i="113"/>
  <c r="L769" i="113"/>
  <c r="L746" i="113"/>
  <c r="L747" i="113"/>
  <c r="L748" i="113"/>
  <c r="L729" i="113"/>
  <c r="L749" i="113"/>
  <c r="L734" i="113"/>
  <c r="L760" i="113"/>
  <c r="L745" i="113"/>
  <c r="L732" i="113"/>
  <c r="L733" i="113"/>
  <c r="L735" i="113"/>
  <c r="L742" i="113"/>
  <c r="L743" i="113"/>
  <c r="L744" i="113"/>
  <c r="L758" i="113"/>
  <c r="L759" i="113"/>
  <c r="L731" i="113"/>
  <c r="L988" i="113"/>
  <c r="L1002" i="113"/>
  <c r="L989" i="113"/>
  <c r="L1003" i="113"/>
  <c r="L990" i="113"/>
  <c r="L1004" i="113"/>
  <c r="L991" i="113"/>
  <c r="L1005" i="113"/>
  <c r="L992" i="113"/>
  <c r="L1006" i="113"/>
  <c r="L993" i="113"/>
  <c r="L1007" i="113"/>
  <c r="L994" i="113"/>
  <c r="L995" i="113"/>
  <c r="L996" i="113"/>
  <c r="L997" i="113"/>
  <c r="L1008" i="113"/>
  <c r="L998" i="113"/>
  <c r="L999" i="113"/>
  <c r="L1000" i="113"/>
  <c r="L1001" i="113"/>
  <c r="L1011" i="113"/>
  <c r="L1012" i="113"/>
  <c r="L1170" i="113"/>
  <c r="L1184" i="113"/>
  <c r="L1171" i="113"/>
  <c r="L1185" i="113"/>
  <c r="L1172" i="113"/>
  <c r="L1186" i="113"/>
  <c r="L1173" i="113"/>
  <c r="L1187" i="113"/>
  <c r="L1174" i="113"/>
  <c r="L1188" i="113"/>
  <c r="L1175" i="113"/>
  <c r="L1189" i="113"/>
  <c r="L1190" i="113"/>
  <c r="L1191" i="113"/>
  <c r="L1192" i="113"/>
  <c r="L1167" i="113"/>
  <c r="L1193" i="113"/>
  <c r="L1178" i="113"/>
  <c r="L1198" i="113"/>
  <c r="L1183" i="113"/>
  <c r="L1203" i="113"/>
  <c r="L1199" i="113"/>
  <c r="L1200" i="113"/>
  <c r="L1168" i="113"/>
  <c r="L1201" i="113"/>
  <c r="L1169" i="113"/>
  <c r="L1202" i="113"/>
  <c r="L1176" i="113"/>
  <c r="L1177" i="113"/>
  <c r="L1181" i="113"/>
  <c r="L1197" i="113"/>
  <c r="L1456" i="113"/>
  <c r="L1470" i="113"/>
  <c r="L1484" i="113"/>
  <c r="L1457" i="113"/>
  <c r="L1471" i="113"/>
  <c r="L1458" i="113"/>
  <c r="L1472" i="113"/>
  <c r="L1486" i="113"/>
  <c r="L1459" i="113"/>
  <c r="L1473" i="113"/>
  <c r="L1487" i="113"/>
  <c r="L1455" i="113"/>
  <c r="L1465" i="113"/>
  <c r="L1483" i="113"/>
  <c r="L1466" i="113"/>
  <c r="L1485" i="113"/>
  <c r="L1467" i="113"/>
  <c r="L1488" i="113"/>
  <c r="L1468" i="113"/>
  <c r="L1489" i="113"/>
  <c r="L1469" i="113"/>
  <c r="L1490" i="113"/>
  <c r="L1451" i="113"/>
  <c r="L1474" i="113"/>
  <c r="L1491" i="113"/>
  <c r="L1454" i="113"/>
  <c r="L1477" i="113"/>
  <c r="L1464" i="113"/>
  <c r="L1482" i="113"/>
  <c r="L1682" i="113"/>
  <c r="L1696" i="113"/>
  <c r="L1683" i="113"/>
  <c r="L1697" i="113"/>
  <c r="L1680" i="113"/>
  <c r="L1698" i="113"/>
  <c r="L1712" i="113"/>
  <c r="L1681" i="113"/>
  <c r="L1699" i="113"/>
  <c r="L1713" i="113"/>
  <c r="L1684" i="113"/>
  <c r="L1700" i="113"/>
  <c r="L1714" i="113"/>
  <c r="L1685" i="113"/>
  <c r="L1701" i="113"/>
  <c r="L1715" i="113"/>
  <c r="L1686" i="113"/>
  <c r="L1702" i="113"/>
  <c r="L1716" i="113"/>
  <c r="L1690" i="113"/>
  <c r="L1706" i="113"/>
  <c r="L1866" i="113"/>
  <c r="L1880" i="113"/>
  <c r="L1867" i="113"/>
  <c r="L1881" i="113"/>
  <c r="L1868" i="113"/>
  <c r="L1882" i="113"/>
  <c r="L1869" i="113"/>
  <c r="L1883" i="113"/>
  <c r="L1870" i="113"/>
  <c r="L1874" i="113"/>
  <c r="L2076" i="113"/>
  <c r="L2078" i="113"/>
  <c r="L2092" i="113"/>
  <c r="L2079" i="113"/>
  <c r="L2093" i="113"/>
  <c r="L2080" i="113"/>
  <c r="L2094" i="113"/>
  <c r="L2616" i="113"/>
  <c r="L2588" i="113"/>
  <c r="L2574" i="113"/>
  <c r="L2546" i="113"/>
  <c r="L2518" i="113"/>
  <c r="L2490" i="113"/>
  <c r="L2350" i="113"/>
  <c r="L2336" i="113"/>
  <c r="L2280" i="113"/>
  <c r="L2266" i="113"/>
  <c r="L2224" i="113"/>
  <c r="L2196" i="113"/>
  <c r="L2182" i="113"/>
  <c r="L2167" i="113"/>
  <c r="L2097" i="113"/>
  <c r="L2077" i="113"/>
  <c r="L2058" i="113"/>
  <c r="L2040" i="113"/>
  <c r="L2018" i="113"/>
  <c r="L2000" i="113"/>
  <c r="L1979" i="113"/>
  <c r="L1960" i="113"/>
  <c r="L1862" i="113"/>
  <c r="L1836" i="113"/>
  <c r="L1815" i="113"/>
  <c r="L1789" i="113"/>
  <c r="L1717" i="113"/>
  <c r="L1689" i="113"/>
  <c r="L1660" i="113"/>
  <c r="L1630" i="113"/>
  <c r="L1596" i="113"/>
  <c r="L1453" i="113"/>
  <c r="L1392" i="113"/>
  <c r="L1339" i="113"/>
  <c r="L1284" i="113"/>
  <c r="L1150" i="113"/>
  <c r="L926" i="113"/>
  <c r="L678" i="113"/>
  <c r="L548" i="113"/>
  <c r="L423" i="113"/>
  <c r="L323" i="113"/>
  <c r="L56" i="113"/>
  <c r="E95" i="114"/>
  <c r="P2672" i="113"/>
  <c r="P2658" i="113"/>
  <c r="P2643" i="113"/>
  <c r="P2629" i="113"/>
  <c r="P2614" i="113"/>
  <c r="P2599" i="113"/>
  <c r="P2585" i="113"/>
  <c r="P2571" i="113"/>
  <c r="P2557" i="113"/>
  <c r="P2542" i="113"/>
  <c r="P2528" i="113"/>
  <c r="P2513" i="113"/>
  <c r="P2498" i="113"/>
  <c r="R2498" i="113" s="1"/>
  <c r="P2484" i="113"/>
  <c r="R2484" i="113" s="1"/>
  <c r="P2469" i="113"/>
  <c r="P2455" i="113"/>
  <c r="R2455" i="113" s="1"/>
  <c r="P2440" i="113"/>
  <c r="R2440" i="113" s="1"/>
  <c r="P2426" i="113"/>
  <c r="P2411" i="113"/>
  <c r="R2411" i="113" s="1"/>
  <c r="P2396" i="113"/>
  <c r="P2381" i="113"/>
  <c r="R2381" i="113" s="1"/>
  <c r="P2366" i="113"/>
  <c r="R2366" i="113" s="1"/>
  <c r="P2351" i="113"/>
  <c r="P2337" i="113"/>
  <c r="R2337" i="113" s="1"/>
  <c r="P2323" i="113"/>
  <c r="P2308" i="113"/>
  <c r="P2293" i="113"/>
  <c r="R2293" i="113" s="1"/>
  <c r="P2278" i="113"/>
  <c r="P2264" i="113"/>
  <c r="P2249" i="113"/>
  <c r="R2249" i="113" s="1"/>
  <c r="P2235" i="113"/>
  <c r="P2220" i="113"/>
  <c r="P2206" i="113"/>
  <c r="R2206" i="113" s="1"/>
  <c r="P2191" i="113"/>
  <c r="P2177" i="113"/>
  <c r="R2177" i="113" s="1"/>
  <c r="P2162" i="113"/>
  <c r="R2162" i="113" s="1"/>
  <c r="P2147" i="113"/>
  <c r="P2133" i="113"/>
  <c r="R2133" i="113" s="1"/>
  <c r="P2118" i="113"/>
  <c r="P2104" i="113"/>
  <c r="P2089" i="113"/>
  <c r="R2089" i="113" s="1"/>
  <c r="P2075" i="113"/>
  <c r="R2075" i="113" s="1"/>
  <c r="P2060" i="113"/>
  <c r="R2060" i="113" s="1"/>
  <c r="P2046" i="113"/>
  <c r="R2046" i="113" s="1"/>
  <c r="P2031" i="113"/>
  <c r="R2031" i="113" s="1"/>
  <c r="P2017" i="113"/>
  <c r="P2002" i="113"/>
  <c r="R2002" i="113" s="1"/>
  <c r="P1988" i="113"/>
  <c r="P1973" i="113"/>
  <c r="R1973" i="113" s="1"/>
  <c r="P1959" i="113"/>
  <c r="P1944" i="113"/>
  <c r="P1930" i="113"/>
  <c r="R1930" i="113" s="1"/>
  <c r="P1916" i="113"/>
  <c r="R1916" i="113" s="1"/>
  <c r="P1901" i="113"/>
  <c r="R1901" i="113" s="1"/>
  <c r="P1887" i="113"/>
  <c r="P1872" i="113"/>
  <c r="P1857" i="113"/>
  <c r="R1857" i="113" s="1"/>
  <c r="P1843" i="113"/>
  <c r="R1843" i="113" s="1"/>
  <c r="P1828" i="113"/>
  <c r="R1828" i="113" s="1"/>
  <c r="P1814" i="113"/>
  <c r="P1799" i="113"/>
  <c r="R1799" i="113" s="1"/>
  <c r="P1784" i="113"/>
  <c r="P1769" i="113"/>
  <c r="R1769" i="113" s="1"/>
  <c r="P1755" i="113"/>
  <c r="R1755" i="113" s="1"/>
  <c r="P1740" i="113"/>
  <c r="P1726" i="113"/>
  <c r="R1726" i="113" s="1"/>
  <c r="P1711" i="113"/>
  <c r="P1697" i="113"/>
  <c r="P1683" i="113"/>
  <c r="R1683" i="113" s="1"/>
  <c r="P1668" i="113"/>
  <c r="R1668" i="113" s="1"/>
  <c r="P1654" i="113"/>
  <c r="P1639" i="113"/>
  <c r="R1639" i="113" s="1"/>
  <c r="P1625" i="113"/>
  <c r="R1625" i="113" s="1"/>
  <c r="P1610" i="113"/>
  <c r="P1596" i="113"/>
  <c r="R1596" i="113" s="1"/>
  <c r="P1581" i="113"/>
  <c r="P1566" i="113"/>
  <c r="R1566" i="113" s="1"/>
  <c r="P1552" i="113"/>
  <c r="R1552" i="113" s="1"/>
  <c r="P1537" i="113"/>
  <c r="P1523" i="113"/>
  <c r="P1509" i="113"/>
  <c r="P1495" i="113"/>
  <c r="P1480" i="113"/>
  <c r="P1466" i="113"/>
  <c r="P1452" i="113"/>
  <c r="P2671" i="113"/>
  <c r="R2671" i="113" s="1"/>
  <c r="P2656" i="113"/>
  <c r="R2656" i="113" s="1"/>
  <c r="P2642" i="113"/>
  <c r="P2628" i="113"/>
  <c r="R2628" i="113" s="1"/>
  <c r="P2613" i="113"/>
  <c r="P2598" i="113"/>
  <c r="R2598" i="113" s="1"/>
  <c r="P2584" i="113"/>
  <c r="P2570" i="113"/>
  <c r="P2555" i="113"/>
  <c r="R2555" i="113" s="1"/>
  <c r="P2541" i="113"/>
  <c r="P2527" i="113"/>
  <c r="P2512" i="113"/>
  <c r="R2512" i="113" s="1"/>
  <c r="P2497" i="113"/>
  <c r="P2483" i="113"/>
  <c r="R2483" i="113" s="1"/>
  <c r="P2468" i="113"/>
  <c r="R2468" i="113" s="1"/>
  <c r="P2454" i="113"/>
  <c r="R2454" i="113" s="1"/>
  <c r="P2439" i="113"/>
  <c r="P2425" i="113"/>
  <c r="R2425" i="113" s="1"/>
  <c r="P2410" i="113"/>
  <c r="P2395" i="113"/>
  <c r="R2395" i="113" s="1"/>
  <c r="P2380" i="113"/>
  <c r="R2380" i="113" s="1"/>
  <c r="P2365" i="113"/>
  <c r="P2350" i="113"/>
  <c r="R2350" i="113" s="1"/>
  <c r="P2336" i="113"/>
  <c r="R2336" i="113" s="1"/>
  <c r="P2322" i="113"/>
  <c r="P2307" i="113"/>
  <c r="R2307" i="113" s="1"/>
  <c r="P2292" i="113"/>
  <c r="P2277" i="113"/>
  <c r="P2263" i="113"/>
  <c r="R2263" i="113" s="1"/>
  <c r="P2248" i="113"/>
  <c r="P2234" i="113"/>
  <c r="P2219" i="113"/>
  <c r="R2219" i="113" s="1"/>
  <c r="P2205" i="113"/>
  <c r="P2190" i="113"/>
  <c r="R2190" i="113" s="1"/>
  <c r="P2176" i="113"/>
  <c r="R2176" i="113" s="1"/>
  <c r="P2160" i="113"/>
  <c r="P2146" i="113"/>
  <c r="R2146" i="113" s="1"/>
  <c r="P2132" i="113"/>
  <c r="P2117" i="113"/>
  <c r="P2103" i="113"/>
  <c r="P2088" i="113"/>
  <c r="R2088" i="113" s="1"/>
  <c r="P2074" i="113"/>
  <c r="P2059" i="113"/>
  <c r="R2059" i="113" s="1"/>
  <c r="P2045" i="113"/>
  <c r="P2030" i="113"/>
  <c r="P2016" i="113"/>
  <c r="R2016" i="113" s="1"/>
  <c r="P2001" i="113"/>
  <c r="R2001" i="113" s="1"/>
  <c r="P1987" i="113"/>
  <c r="R1987" i="113" s="1"/>
  <c r="P1972" i="113"/>
  <c r="R1972" i="113" s="1"/>
  <c r="P1958" i="113"/>
  <c r="R1958" i="113" s="1"/>
  <c r="P1943" i="113"/>
  <c r="R1943" i="113" s="1"/>
  <c r="P1929" i="113"/>
  <c r="P1915" i="113"/>
  <c r="P1900" i="113"/>
  <c r="R1900" i="113" s="1"/>
  <c r="P1886" i="113"/>
  <c r="P1871" i="113"/>
  <c r="P1856" i="113"/>
  <c r="R1856" i="113" s="1"/>
  <c r="P1842" i="113"/>
  <c r="R1842" i="113" s="1"/>
  <c r="P1827" i="113"/>
  <c r="P1812" i="113"/>
  <c r="R1812" i="113" s="1"/>
  <c r="P1798" i="113"/>
  <c r="P1783" i="113"/>
  <c r="P1768" i="113"/>
  <c r="P1754" i="113"/>
  <c r="P1739" i="113"/>
  <c r="R1739" i="113" s="1"/>
  <c r="P1725" i="113"/>
  <c r="R1725" i="113" s="1"/>
  <c r="P1710" i="113"/>
  <c r="P1696" i="113"/>
  <c r="R1696" i="113" s="1"/>
  <c r="P1682" i="113"/>
  <c r="P1667" i="113"/>
  <c r="P1653" i="113"/>
  <c r="P1638" i="113"/>
  <c r="P1624" i="113"/>
  <c r="P1609" i="113"/>
  <c r="R1609" i="113" s="1"/>
  <c r="P1595" i="113"/>
  <c r="P1580" i="113"/>
  <c r="P1565" i="113"/>
  <c r="R1565" i="113" s="1"/>
  <c r="P1551" i="113"/>
  <c r="R1551" i="113" s="1"/>
  <c r="P1536" i="113"/>
  <c r="R1536" i="113" s="1"/>
  <c r="P1522" i="113"/>
  <c r="R1522" i="113" s="1"/>
  <c r="P1508" i="113"/>
  <c r="P1493" i="113"/>
  <c r="P1479" i="113"/>
  <c r="R1479" i="113" s="1"/>
  <c r="P2675" i="113"/>
  <c r="R2675" i="113" s="1"/>
  <c r="P2659" i="113"/>
  <c r="R2659" i="113" s="1"/>
  <c r="P2640" i="113"/>
  <c r="R2640" i="113" s="1"/>
  <c r="P2623" i="113"/>
  <c r="P2607" i="113"/>
  <c r="R2607" i="113" s="1"/>
  <c r="P2590" i="113"/>
  <c r="P2574" i="113"/>
  <c r="P2558" i="113"/>
  <c r="P2539" i="113"/>
  <c r="P2522" i="113"/>
  <c r="R2522" i="113" s="1"/>
  <c r="P2506" i="113"/>
  <c r="R2506" i="113" s="1"/>
  <c r="P2489" i="113"/>
  <c r="R2489" i="113" s="1"/>
  <c r="P2472" i="113"/>
  <c r="R2472" i="113" s="1"/>
  <c r="P2456" i="113"/>
  <c r="P2437" i="113"/>
  <c r="P2421" i="113"/>
  <c r="R2421" i="113" s="1"/>
  <c r="P2404" i="113"/>
  <c r="R2404" i="113" s="1"/>
  <c r="P2387" i="113"/>
  <c r="P2370" i="113"/>
  <c r="R2370" i="113" s="1"/>
  <c r="P2353" i="113"/>
  <c r="R2353" i="113" s="1"/>
  <c r="P2334" i="113"/>
  <c r="R2334" i="113" s="1"/>
  <c r="P2317" i="113"/>
  <c r="R2317" i="113" s="1"/>
  <c r="P2300" i="113"/>
  <c r="P2284" i="113"/>
  <c r="R2284" i="113" s="1"/>
  <c r="P2267" i="113"/>
  <c r="P2250" i="113"/>
  <c r="R2250" i="113" s="1"/>
  <c r="P2232" i="113"/>
  <c r="P2215" i="113"/>
  <c r="P2198" i="113"/>
  <c r="R2198" i="113" s="1"/>
  <c r="P2182" i="113"/>
  <c r="R2182" i="113" s="1"/>
  <c r="P2165" i="113"/>
  <c r="P2148" i="113"/>
  <c r="P2130" i="113"/>
  <c r="P2113" i="113"/>
  <c r="R2113" i="113" s="1"/>
  <c r="P2096" i="113"/>
  <c r="P2080" i="113"/>
  <c r="R2080" i="113" s="1"/>
  <c r="P2670" i="113"/>
  <c r="P2653" i="113"/>
  <c r="R2653" i="113" s="1"/>
  <c r="P2637" i="113"/>
  <c r="P2620" i="113"/>
  <c r="R2620" i="113" s="1"/>
  <c r="P2604" i="113"/>
  <c r="R2604" i="113" s="1"/>
  <c r="P2587" i="113"/>
  <c r="P2569" i="113"/>
  <c r="R2569" i="113" s="1"/>
  <c r="P2552" i="113"/>
  <c r="R2552" i="113" s="1"/>
  <c r="P2536" i="113"/>
  <c r="R2536" i="113" s="1"/>
  <c r="P2519" i="113"/>
  <c r="P2503" i="113"/>
  <c r="R2503" i="113" s="1"/>
  <c r="P2486" i="113"/>
  <c r="P2467" i="113"/>
  <c r="P2450" i="113"/>
  <c r="P2434" i="113"/>
  <c r="P2417" i="113"/>
  <c r="R2417" i="113" s="1"/>
  <c r="P2401" i="113"/>
  <c r="R2401" i="113" s="1"/>
  <c r="P2384" i="113"/>
  <c r="P2364" i="113"/>
  <c r="R2364" i="113" s="1"/>
  <c r="P2347" i="113"/>
  <c r="R2347" i="113" s="1"/>
  <c r="P2331" i="113"/>
  <c r="R2331" i="113" s="1"/>
  <c r="P2314" i="113"/>
  <c r="P2297" i="113"/>
  <c r="R2297" i="113" s="1"/>
  <c r="P2280" i="113"/>
  <c r="P2262" i="113"/>
  <c r="R2262" i="113" s="1"/>
  <c r="P2245" i="113"/>
  <c r="R2245" i="113" s="1"/>
  <c r="P2229" i="113"/>
  <c r="R2229" i="113" s="1"/>
  <c r="P2212" i="113"/>
  <c r="R2212" i="113" s="1"/>
  <c r="P2195" i="113"/>
  <c r="R2195" i="113" s="1"/>
  <c r="P2179" i="113"/>
  <c r="R2179" i="113" s="1"/>
  <c r="P2159" i="113"/>
  <c r="P2143" i="113"/>
  <c r="P2127" i="113"/>
  <c r="P2110" i="113"/>
  <c r="P2093" i="113"/>
  <c r="P2077" i="113"/>
  <c r="R2077" i="113" s="1"/>
  <c r="P2058" i="113"/>
  <c r="R2058" i="113" s="1"/>
  <c r="P2042" i="113"/>
  <c r="P2025" i="113"/>
  <c r="P2009" i="113"/>
  <c r="P1992" i="113"/>
  <c r="R1992" i="113" s="1"/>
  <c r="P1976" i="113"/>
  <c r="R1976" i="113" s="1"/>
  <c r="P1957" i="113"/>
  <c r="R1957" i="113" s="1"/>
  <c r="P1940" i="113"/>
  <c r="R1940" i="113" s="1"/>
  <c r="P1924" i="113"/>
  <c r="P1908" i="113"/>
  <c r="R1908" i="113" s="1"/>
  <c r="P2668" i="113"/>
  <c r="R2668" i="113" s="1"/>
  <c r="P2651" i="113"/>
  <c r="P2635" i="113"/>
  <c r="P2618" i="113"/>
  <c r="R2618" i="113" s="1"/>
  <c r="P2602" i="113"/>
  <c r="R2602" i="113" s="1"/>
  <c r="P2583" i="113"/>
  <c r="P2567" i="113"/>
  <c r="P2550" i="113"/>
  <c r="P2534" i="113"/>
  <c r="R2534" i="113" s="1"/>
  <c r="P2517" i="113"/>
  <c r="R2517" i="113" s="1"/>
  <c r="P2500" i="113"/>
  <c r="R2500" i="113" s="1"/>
  <c r="P2482" i="113"/>
  <c r="R2482" i="113" s="1"/>
  <c r="P2465" i="113"/>
  <c r="P2448" i="113"/>
  <c r="R2448" i="113" s="1"/>
  <c r="P2432" i="113"/>
  <c r="P2415" i="113"/>
  <c r="R2415" i="113" s="1"/>
  <c r="P2398" i="113"/>
  <c r="P2379" i="113"/>
  <c r="R2379" i="113" s="1"/>
  <c r="P2362" i="113"/>
  <c r="R2362" i="113" s="1"/>
  <c r="P2345" i="113"/>
  <c r="P2329" i="113"/>
  <c r="R2329" i="113" s="1"/>
  <c r="P2312" i="113"/>
  <c r="P2295" i="113"/>
  <c r="R2295" i="113" s="1"/>
  <c r="P2276" i="113"/>
  <c r="R2276" i="113" s="1"/>
  <c r="P2260" i="113"/>
  <c r="P2243" i="113"/>
  <c r="R2243" i="113" s="1"/>
  <c r="P2226" i="113"/>
  <c r="P2210" i="113"/>
  <c r="P2193" i="113"/>
  <c r="P2174" i="113"/>
  <c r="P2157" i="113"/>
  <c r="R2157" i="113" s="1"/>
  <c r="P2141" i="113"/>
  <c r="R2141" i="113" s="1"/>
  <c r="P2125" i="113"/>
  <c r="P2108" i="113"/>
  <c r="P2091" i="113"/>
  <c r="R2091" i="113" s="1"/>
  <c r="P2073" i="113"/>
  <c r="P2056" i="113"/>
  <c r="R2056" i="113" s="1"/>
  <c r="P2040" i="113"/>
  <c r="R2040" i="113" s="1"/>
  <c r="P2023" i="113"/>
  <c r="R2023" i="113" s="1"/>
  <c r="P2007" i="113"/>
  <c r="R2007" i="113" s="1"/>
  <c r="P1990" i="113"/>
  <c r="P1971" i="113"/>
  <c r="R1971" i="113" s="1"/>
  <c r="P1955" i="113"/>
  <c r="P1938" i="113"/>
  <c r="R1938" i="113" s="1"/>
  <c r="P1922" i="113"/>
  <c r="P1905" i="113"/>
  <c r="R1905" i="113" s="1"/>
  <c r="P1889" i="113"/>
  <c r="R1889" i="113" s="1"/>
  <c r="P1870" i="113"/>
  <c r="P1853" i="113"/>
  <c r="P1837" i="113"/>
  <c r="R1837" i="113" s="1"/>
  <c r="P1820" i="113"/>
  <c r="R1820" i="113" s="1"/>
  <c r="P1803" i="113"/>
  <c r="R1803" i="113" s="1"/>
  <c r="P1786" i="113"/>
  <c r="R1786" i="113" s="1"/>
  <c r="P1767" i="113"/>
  <c r="R1767" i="113" s="1"/>
  <c r="P1751" i="113"/>
  <c r="R1751" i="113" s="1"/>
  <c r="P1734" i="113"/>
  <c r="R1734" i="113" s="1"/>
  <c r="P1717" i="113"/>
  <c r="R1717" i="113" s="1"/>
  <c r="P1701" i="113"/>
  <c r="P1685" i="113"/>
  <c r="P1666" i="113"/>
  <c r="R1666" i="113" s="1"/>
  <c r="P1650" i="113"/>
  <c r="P1633" i="113"/>
  <c r="P1616" i="113"/>
  <c r="R1616" i="113" s="1"/>
  <c r="P1600" i="113"/>
  <c r="R1600" i="113" s="1"/>
  <c r="P1583" i="113"/>
  <c r="R1583" i="113" s="1"/>
  <c r="P1564" i="113"/>
  <c r="R1564" i="113" s="1"/>
  <c r="P1548" i="113"/>
  <c r="R1548" i="113" s="1"/>
  <c r="P1531" i="113"/>
  <c r="R1531" i="113" s="1"/>
  <c r="P1515" i="113"/>
  <c r="R1515" i="113" s="1"/>
  <c r="P1499" i="113"/>
  <c r="P1482" i="113"/>
  <c r="R1482" i="113" s="1"/>
  <c r="P1465" i="113"/>
  <c r="P1449" i="113"/>
  <c r="P1435" i="113"/>
  <c r="P1420" i="113"/>
  <c r="P1406" i="113"/>
  <c r="P1392" i="113"/>
  <c r="R1392" i="113" s="1"/>
  <c r="P1377" i="113"/>
  <c r="R1377" i="113" s="1"/>
  <c r="P1363" i="113"/>
  <c r="R1363" i="113" s="1"/>
  <c r="P1349" i="113"/>
  <c r="R1349" i="113" s="1"/>
  <c r="P1335" i="113"/>
  <c r="R1335" i="113" s="1"/>
  <c r="P1321" i="113"/>
  <c r="R1321" i="113" s="1"/>
  <c r="P1307" i="113"/>
  <c r="P1292" i="113"/>
  <c r="P1277" i="113"/>
  <c r="P2674" i="113"/>
  <c r="R2674" i="113" s="1"/>
  <c r="P2650" i="113"/>
  <c r="P2631" i="113"/>
  <c r="R2631" i="113" s="1"/>
  <c r="P2609" i="113"/>
  <c r="R2609" i="113" s="1"/>
  <c r="P2588" i="113"/>
  <c r="P2565" i="113"/>
  <c r="R2565" i="113" s="1"/>
  <c r="P2545" i="113"/>
  <c r="P2523" i="113"/>
  <c r="R2523" i="113" s="1"/>
  <c r="P2502" i="113"/>
  <c r="R2502" i="113" s="1"/>
  <c r="P2479" i="113"/>
  <c r="R2479" i="113" s="1"/>
  <c r="P2459" i="113"/>
  <c r="P2436" i="113"/>
  <c r="P2414" i="113"/>
  <c r="P2392" i="113"/>
  <c r="R2392" i="113" s="1"/>
  <c r="P2372" i="113"/>
  <c r="R2372" i="113" s="1"/>
  <c r="P2348" i="113"/>
  <c r="R2348" i="113" s="1"/>
  <c r="P2327" i="113"/>
  <c r="R2327" i="113" s="1"/>
  <c r="P2304" i="113"/>
  <c r="P2285" i="113"/>
  <c r="P2261" i="113"/>
  <c r="R2261" i="113" s="1"/>
  <c r="P2240" i="113"/>
  <c r="R2240" i="113" s="1"/>
  <c r="P2218" i="113"/>
  <c r="R2218" i="113" s="1"/>
  <c r="P2197" i="113"/>
  <c r="R2197" i="113" s="1"/>
  <c r="P2173" i="113"/>
  <c r="P2153" i="113"/>
  <c r="R2153" i="113" s="1"/>
  <c r="P2134" i="113"/>
  <c r="P2111" i="113"/>
  <c r="P2087" i="113"/>
  <c r="P2067" i="113"/>
  <c r="P2049" i="113"/>
  <c r="R2049" i="113" s="1"/>
  <c r="P2028" i="113"/>
  <c r="R2028" i="113" s="1"/>
  <c r="P2010" i="113"/>
  <c r="P1989" i="113"/>
  <c r="P1949" i="113"/>
  <c r="R1949" i="113" s="1"/>
  <c r="P1931" i="113"/>
  <c r="R1931" i="113" s="1"/>
  <c r="P1911" i="113"/>
  <c r="P1892" i="113"/>
  <c r="R1892" i="113" s="1"/>
  <c r="P1874" i="113"/>
  <c r="R1874" i="113" s="1"/>
  <c r="P1854" i="113"/>
  <c r="R1854" i="113" s="1"/>
  <c r="P1835" i="113"/>
  <c r="P1818" i="113"/>
  <c r="P1800" i="113"/>
  <c r="R1800" i="113" s="1"/>
  <c r="P1780" i="113"/>
  <c r="R1780" i="113" s="1"/>
  <c r="P1762" i="113"/>
  <c r="P1744" i="113"/>
  <c r="P1727" i="113"/>
  <c r="P1707" i="113"/>
  <c r="P1690" i="113"/>
  <c r="R1690" i="113" s="1"/>
  <c r="P1672" i="113"/>
  <c r="P1655" i="113"/>
  <c r="P1635" i="113"/>
  <c r="R1635" i="113" s="1"/>
  <c r="P1617" i="113"/>
  <c r="R1617" i="113" s="1"/>
  <c r="P1599" i="113"/>
  <c r="R1599" i="113" s="1"/>
  <c r="P1579" i="113"/>
  <c r="P1561" i="113"/>
  <c r="R1561" i="113" s="1"/>
  <c r="P1544" i="113"/>
  <c r="R1544" i="113" s="1"/>
  <c r="P1526" i="113"/>
  <c r="R1526" i="113" s="1"/>
  <c r="P1507" i="113"/>
  <c r="P1489" i="113"/>
  <c r="R1489" i="113" s="1"/>
  <c r="P1472" i="113"/>
  <c r="R1472" i="113" s="1"/>
  <c r="P1456" i="113"/>
  <c r="P1439" i="113"/>
  <c r="R1439" i="113" s="1"/>
  <c r="P1423" i="113"/>
  <c r="P1408" i="113"/>
  <c r="P1393" i="113"/>
  <c r="P1376" i="113"/>
  <c r="R1376" i="113" s="1"/>
  <c r="P1361" i="113"/>
  <c r="R1361" i="113" s="1"/>
  <c r="P1346" i="113"/>
  <c r="P1331" i="113"/>
  <c r="R1331" i="113" s="1"/>
  <c r="P1316" i="113"/>
  <c r="R1316" i="113" s="1"/>
  <c r="P1300" i="113"/>
  <c r="R1300" i="113" s="1"/>
  <c r="P1285" i="113"/>
  <c r="P1269" i="113"/>
  <c r="R1269" i="113" s="1"/>
  <c r="P1255" i="113"/>
  <c r="R1255" i="113" s="1"/>
  <c r="P1241" i="113"/>
  <c r="P1226" i="113"/>
  <c r="R1226" i="113" s="1"/>
  <c r="P1212" i="113"/>
  <c r="R1212" i="113" s="1"/>
  <c r="P1197" i="113"/>
  <c r="R1197" i="113" s="1"/>
  <c r="P1183" i="113"/>
  <c r="R1183" i="113" s="1"/>
  <c r="P1169" i="113"/>
  <c r="R1169" i="113" s="1"/>
  <c r="P1154" i="113"/>
  <c r="R1154" i="113" s="1"/>
  <c r="P1139" i="113"/>
  <c r="R1139" i="113" s="1"/>
  <c r="P1124" i="113"/>
  <c r="P1110" i="113"/>
  <c r="R1110" i="113" s="1"/>
  <c r="P1095" i="113"/>
  <c r="R1095" i="113" s="1"/>
  <c r="P2667" i="113"/>
  <c r="R2667" i="113" s="1"/>
  <c r="P2647" i="113"/>
  <c r="R2647" i="113" s="1"/>
  <c r="P2626" i="113"/>
  <c r="R2626" i="113" s="1"/>
  <c r="P2605" i="113"/>
  <c r="P2581" i="113"/>
  <c r="P2562" i="113"/>
  <c r="P2540" i="113"/>
  <c r="R2540" i="113" s="1"/>
  <c r="P2518" i="113"/>
  <c r="R2518" i="113" s="1"/>
  <c r="P2495" i="113"/>
  <c r="P2476" i="113"/>
  <c r="R2476" i="113" s="1"/>
  <c r="P2452" i="113"/>
  <c r="P2431" i="113"/>
  <c r="P2409" i="113"/>
  <c r="P2389" i="113"/>
  <c r="P2367" i="113"/>
  <c r="P2343" i="113"/>
  <c r="R2343" i="113" s="1"/>
  <c r="P2324" i="113"/>
  <c r="R2324" i="113" s="1"/>
  <c r="P2301" i="113"/>
  <c r="P2279" i="113"/>
  <c r="R2279" i="113" s="1"/>
  <c r="P2257" i="113"/>
  <c r="P2237" i="113"/>
  <c r="P2214" i="113"/>
  <c r="R2214" i="113" s="1"/>
  <c r="P2192" i="113"/>
  <c r="P2170" i="113"/>
  <c r="R2170" i="113" s="1"/>
  <c r="P2150" i="113"/>
  <c r="P2128" i="113"/>
  <c r="P2106" i="113"/>
  <c r="P2084" i="113"/>
  <c r="P2064" i="113"/>
  <c r="P2044" i="113"/>
  <c r="R2044" i="113" s="1"/>
  <c r="P2024" i="113"/>
  <c r="R2024" i="113" s="1"/>
  <c r="P2005" i="113"/>
  <c r="P1984" i="113"/>
  <c r="R1984" i="113" s="1"/>
  <c r="P1965" i="113"/>
  <c r="R1965" i="113" s="1"/>
  <c r="P1946" i="113"/>
  <c r="R1946" i="113" s="1"/>
  <c r="P1926" i="113"/>
  <c r="R1926" i="113" s="1"/>
  <c r="P1907" i="113"/>
  <c r="R1907" i="113" s="1"/>
  <c r="P1888" i="113"/>
  <c r="R1888" i="113" s="1"/>
  <c r="P1868" i="113"/>
  <c r="R1868" i="113" s="1"/>
  <c r="P1850" i="113"/>
  <c r="P1832" i="113"/>
  <c r="R1832" i="113" s="1"/>
  <c r="P1815" i="113"/>
  <c r="P1795" i="113"/>
  <c r="R1795" i="113" s="1"/>
  <c r="P1776" i="113"/>
  <c r="P1759" i="113"/>
  <c r="R1759" i="113" s="1"/>
  <c r="P1741" i="113"/>
  <c r="P1722" i="113"/>
  <c r="R1722" i="113" s="1"/>
  <c r="P1704" i="113"/>
  <c r="P1687" i="113"/>
  <c r="R1687" i="113" s="1"/>
  <c r="P1669" i="113"/>
  <c r="R1669" i="113" s="1"/>
  <c r="P1649" i="113"/>
  <c r="R1649" i="113" s="1"/>
  <c r="P1631" i="113"/>
  <c r="R1631" i="113" s="1"/>
  <c r="P1613" i="113"/>
  <c r="R1613" i="113" s="1"/>
  <c r="P1594" i="113"/>
  <c r="P1575" i="113"/>
  <c r="R1575" i="113" s="1"/>
  <c r="P1558" i="113"/>
  <c r="P1540" i="113"/>
  <c r="R1540" i="113" s="1"/>
  <c r="P1521" i="113"/>
  <c r="R1521" i="113" s="1"/>
  <c r="P1504" i="113"/>
  <c r="R1504" i="113" s="1"/>
  <c r="P1486" i="113"/>
  <c r="P1469" i="113"/>
  <c r="R1469" i="113" s="1"/>
  <c r="P1453" i="113"/>
  <c r="P1436" i="113"/>
  <c r="R1436" i="113" s="1"/>
  <c r="P1419" i="113"/>
  <c r="R1419" i="113" s="1"/>
  <c r="P1404" i="113"/>
  <c r="P1389" i="113"/>
  <c r="R1389" i="113" s="1"/>
  <c r="P1373" i="113"/>
  <c r="R1373" i="113" s="1"/>
  <c r="P1358" i="113"/>
  <c r="P1343" i="113"/>
  <c r="R1343" i="113" s="1"/>
  <c r="P1328" i="113"/>
  <c r="P1313" i="113"/>
  <c r="R1313" i="113" s="1"/>
  <c r="P1297" i="113"/>
  <c r="R1297" i="113" s="1"/>
  <c r="P1281" i="113"/>
  <c r="R1281" i="113" s="1"/>
  <c r="P1266" i="113"/>
  <c r="R1266" i="113" s="1"/>
  <c r="P1252" i="113"/>
  <c r="R1252" i="113" s="1"/>
  <c r="P1238" i="113"/>
  <c r="P1223" i="113"/>
  <c r="R1223" i="113" s="1"/>
  <c r="P1209" i="113"/>
  <c r="R1209" i="113" s="1"/>
  <c r="P1194" i="113"/>
  <c r="R1194" i="113" s="1"/>
  <c r="P1180" i="113"/>
  <c r="R1180" i="113" s="1"/>
  <c r="P1165" i="113"/>
  <c r="R1165" i="113" s="1"/>
  <c r="P1151" i="113"/>
  <c r="P1136" i="113"/>
  <c r="R1136" i="113" s="1"/>
  <c r="P1121" i="113"/>
  <c r="R1121" i="113" s="1"/>
  <c r="P1107" i="113"/>
  <c r="R1107" i="113" s="1"/>
  <c r="P1092" i="113"/>
  <c r="R1092" i="113" s="1"/>
  <c r="P1078" i="113"/>
  <c r="P1063" i="113"/>
  <c r="P1049" i="113"/>
  <c r="R1049" i="113" s="1"/>
  <c r="P1034" i="113"/>
  <c r="R1034" i="113" s="1"/>
  <c r="P1020" i="113"/>
  <c r="R1020" i="113" s="1"/>
  <c r="P1005" i="113"/>
  <c r="R1005" i="113" s="1"/>
  <c r="P991" i="113"/>
  <c r="P976" i="113"/>
  <c r="R976" i="113" s="1"/>
  <c r="P962" i="113"/>
  <c r="P948" i="113"/>
  <c r="R948" i="113" s="1"/>
  <c r="P933" i="113"/>
  <c r="R933" i="113" s="1"/>
  <c r="P919" i="113"/>
  <c r="R919" i="113" s="1"/>
  <c r="P905" i="113"/>
  <c r="R905" i="113" s="1"/>
  <c r="P890" i="113"/>
  <c r="R890" i="113" s="1"/>
  <c r="P876" i="113"/>
  <c r="R876" i="113" s="1"/>
  <c r="P861" i="113"/>
  <c r="R861" i="113" s="1"/>
  <c r="P847" i="113"/>
  <c r="R847" i="113" s="1"/>
  <c r="P832" i="113"/>
  <c r="P818" i="113"/>
  <c r="R818" i="113" s="1"/>
  <c r="P803" i="113"/>
  <c r="R803" i="113" s="1"/>
  <c r="P2666" i="113"/>
  <c r="R2666" i="113" s="1"/>
  <c r="P2646" i="113"/>
  <c r="R2646" i="113" s="1"/>
  <c r="P2624" i="113"/>
  <c r="R2624" i="113" s="1"/>
  <c r="P2603" i="113"/>
  <c r="R2603" i="113" s="1"/>
  <c r="P2580" i="113"/>
  <c r="R2580" i="113" s="1"/>
  <c r="P2561" i="113"/>
  <c r="R2561" i="113" s="1"/>
  <c r="P2538" i="113"/>
  <c r="P2516" i="113"/>
  <c r="R2516" i="113" s="1"/>
  <c r="P2494" i="113"/>
  <c r="P2475" i="113"/>
  <c r="P2451" i="113"/>
  <c r="R2451" i="113" s="1"/>
  <c r="P2430" i="113"/>
  <c r="P2408" i="113"/>
  <c r="P2388" i="113"/>
  <c r="R2388" i="113" s="1"/>
  <c r="P2363" i="113"/>
  <c r="P2342" i="113"/>
  <c r="R2342" i="113" s="1"/>
  <c r="P2321" i="113"/>
  <c r="R2321" i="113" s="1"/>
  <c r="P2299" i="113"/>
  <c r="P2275" i="113"/>
  <c r="R2275" i="113" s="1"/>
  <c r="P2256" i="113"/>
  <c r="R2256" i="113" s="1"/>
  <c r="P2236" i="113"/>
  <c r="P2213" i="113"/>
  <c r="R2213" i="113" s="1"/>
  <c r="P2189" i="113"/>
  <c r="P2169" i="113"/>
  <c r="P2149" i="113"/>
  <c r="R2149" i="113" s="1"/>
  <c r="P2126" i="113"/>
  <c r="R2126" i="113" s="1"/>
  <c r="P2105" i="113"/>
  <c r="R2105" i="113" s="1"/>
  <c r="P2083" i="113"/>
  <c r="R2083" i="113" s="1"/>
  <c r="P2063" i="113"/>
  <c r="R2063" i="113" s="1"/>
  <c r="P2043" i="113"/>
  <c r="R2043" i="113" s="1"/>
  <c r="P2022" i="113"/>
  <c r="R2022" i="113" s="1"/>
  <c r="P2004" i="113"/>
  <c r="R2004" i="113" s="1"/>
  <c r="P1983" i="113"/>
  <c r="R1983" i="113" s="1"/>
  <c r="P1964" i="113"/>
  <c r="R1964" i="113" s="1"/>
  <c r="P1945" i="113"/>
  <c r="P1925" i="113"/>
  <c r="R1925" i="113" s="1"/>
  <c r="P1904" i="113"/>
  <c r="R1904" i="113" s="1"/>
  <c r="P1885" i="113"/>
  <c r="P1867" i="113"/>
  <c r="R1867" i="113" s="1"/>
  <c r="P1849" i="113"/>
  <c r="R1849" i="113" s="1"/>
  <c r="P1831" i="113"/>
  <c r="R1831" i="113" s="1"/>
  <c r="P1811" i="113"/>
  <c r="R1811" i="113" s="1"/>
  <c r="P1794" i="113"/>
  <c r="R1794" i="113" s="1"/>
  <c r="P1775" i="113"/>
  <c r="R1775" i="113" s="1"/>
  <c r="P1758" i="113"/>
  <c r="R1758" i="113" s="1"/>
  <c r="P1738" i="113"/>
  <c r="P1721" i="113"/>
  <c r="R1721" i="113" s="1"/>
  <c r="P1703" i="113"/>
  <c r="R1703" i="113" s="1"/>
  <c r="P1686" i="113"/>
  <c r="P1665" i="113"/>
  <c r="P1648" i="113"/>
  <c r="P1630" i="113"/>
  <c r="P1612" i="113"/>
  <c r="R1612" i="113" s="1"/>
  <c r="P1592" i="113"/>
  <c r="R1592" i="113" s="1"/>
  <c r="P1574" i="113"/>
  <c r="R1574" i="113" s="1"/>
  <c r="P1557" i="113"/>
  <c r="R1557" i="113" s="1"/>
  <c r="P1539" i="113"/>
  <c r="R1539" i="113" s="1"/>
  <c r="P1520" i="113"/>
  <c r="P1503" i="113"/>
  <c r="R1503" i="113" s="1"/>
  <c r="P1485" i="113"/>
  <c r="R1485" i="113" s="1"/>
  <c r="P1468" i="113"/>
  <c r="R1468" i="113" s="1"/>
  <c r="P1450" i="113"/>
  <c r="R1450" i="113" s="1"/>
  <c r="P1434" i="113"/>
  <c r="P2665" i="113"/>
  <c r="R2665" i="113" s="1"/>
  <c r="P2645" i="113"/>
  <c r="P2622" i="113"/>
  <c r="P2601" i="113"/>
  <c r="R2601" i="113" s="1"/>
  <c r="P2579" i="113"/>
  <c r="P2560" i="113"/>
  <c r="P2537" i="113"/>
  <c r="R2537" i="113" s="1"/>
  <c r="P2515" i="113"/>
  <c r="R2515" i="113" s="1"/>
  <c r="P2493" i="113"/>
  <c r="R2493" i="113" s="1"/>
  <c r="P2473" i="113"/>
  <c r="P2449" i="113"/>
  <c r="R2449" i="113" s="1"/>
  <c r="P2429" i="113"/>
  <c r="R2429" i="113" s="1"/>
  <c r="P2407" i="113"/>
  <c r="P2386" i="113"/>
  <c r="P2361" i="113"/>
  <c r="R2361" i="113" s="1"/>
  <c r="P2341" i="113"/>
  <c r="R2341" i="113" s="1"/>
  <c r="P2320" i="113"/>
  <c r="P2298" i="113"/>
  <c r="R2298" i="113" s="1"/>
  <c r="P2274" i="113"/>
  <c r="R2274" i="113" s="1"/>
  <c r="P2255" i="113"/>
  <c r="R2255" i="113" s="1"/>
  <c r="P2233" i="113"/>
  <c r="R2233" i="113" s="1"/>
  <c r="P2211" i="113"/>
  <c r="R2211" i="113" s="1"/>
  <c r="P2188" i="113"/>
  <c r="R2188" i="113" s="1"/>
  <c r="P2168" i="113"/>
  <c r="R2168" i="113" s="1"/>
  <c r="P2145" i="113"/>
  <c r="R2145" i="113" s="1"/>
  <c r="P2124" i="113"/>
  <c r="R2124" i="113" s="1"/>
  <c r="P2102" i="113"/>
  <c r="P2082" i="113"/>
  <c r="R2082" i="113" s="1"/>
  <c r="P2062" i="113"/>
  <c r="R2062" i="113" s="1"/>
  <c r="P2041" i="113"/>
  <c r="R2041" i="113" s="1"/>
  <c r="P2021" i="113"/>
  <c r="P2000" i="113"/>
  <c r="P1982" i="113"/>
  <c r="P1963" i="113"/>
  <c r="R1963" i="113" s="1"/>
  <c r="P1942" i="113"/>
  <c r="R1942" i="113" s="1"/>
  <c r="P1923" i="113"/>
  <c r="R1923" i="113" s="1"/>
  <c r="P1903" i="113"/>
  <c r="P1883" i="113"/>
  <c r="R1883" i="113" s="1"/>
  <c r="P1866" i="113"/>
  <c r="R1866" i="113" s="1"/>
  <c r="P1848" i="113"/>
  <c r="R1848" i="113" s="1"/>
  <c r="P1830" i="113"/>
  <c r="P1810" i="113"/>
  <c r="R1810" i="113" s="1"/>
  <c r="P1793" i="113"/>
  <c r="R1793" i="113" s="1"/>
  <c r="P1774" i="113"/>
  <c r="R1774" i="113" s="1"/>
  <c r="P1757" i="113"/>
  <c r="P1737" i="113"/>
  <c r="R1737" i="113" s="1"/>
  <c r="P1720" i="113"/>
  <c r="R1720" i="113" s="1"/>
  <c r="P1702" i="113"/>
  <c r="R1702" i="113" s="1"/>
  <c r="P1684" i="113"/>
  <c r="R1684" i="113" s="1"/>
  <c r="P1664" i="113"/>
  <c r="P1647" i="113"/>
  <c r="R1647" i="113" s="1"/>
  <c r="P1629" i="113"/>
  <c r="R1629" i="113" s="1"/>
  <c r="P1611" i="113"/>
  <c r="R1611" i="113" s="1"/>
  <c r="P1591" i="113"/>
  <c r="R1591" i="113" s="1"/>
  <c r="P1573" i="113"/>
  <c r="R1573" i="113" s="1"/>
  <c r="P1556" i="113"/>
  <c r="P1538" i="113"/>
  <c r="R1538" i="113" s="1"/>
  <c r="P1519" i="113"/>
  <c r="R1519" i="113" s="1"/>
  <c r="P1502" i="113"/>
  <c r="P1484" i="113"/>
  <c r="R1484" i="113" s="1"/>
  <c r="P1467" i="113"/>
  <c r="P1448" i="113"/>
  <c r="R1448" i="113" s="1"/>
  <c r="P1433" i="113"/>
  <c r="R1433" i="113" s="1"/>
  <c r="P1417" i="113"/>
  <c r="R1417" i="113" s="1"/>
  <c r="P1402" i="113"/>
  <c r="R1402" i="113" s="1"/>
  <c r="P1387" i="113"/>
  <c r="R1387" i="113" s="1"/>
  <c r="P1371" i="113"/>
  <c r="R1371" i="113" s="1"/>
  <c r="P1356" i="113"/>
  <c r="R1356" i="113" s="1"/>
  <c r="P1341" i="113"/>
  <c r="R1341" i="113" s="1"/>
  <c r="P1326" i="113"/>
  <c r="R1326" i="113" s="1"/>
  <c r="P1311" i="113"/>
  <c r="R1311" i="113" s="1"/>
  <c r="P1295" i="113"/>
  <c r="P1279" i="113"/>
  <c r="P1264" i="113"/>
  <c r="P1250" i="113"/>
  <c r="R1250" i="113" s="1"/>
  <c r="P1235" i="113"/>
  <c r="P1221" i="113"/>
  <c r="R1221" i="113" s="1"/>
  <c r="P1207" i="113"/>
  <c r="R1207" i="113" s="1"/>
  <c r="P1192" i="113"/>
  <c r="R1192" i="113" s="1"/>
  <c r="P1178" i="113"/>
  <c r="R1178" i="113" s="1"/>
  <c r="P1163" i="113"/>
  <c r="R1163" i="113" s="1"/>
  <c r="P1148" i="113"/>
  <c r="R1148" i="113" s="1"/>
  <c r="P2663" i="113"/>
  <c r="R2663" i="113" s="1"/>
  <c r="P2641" i="113"/>
  <c r="P2619" i="113"/>
  <c r="R2619" i="113" s="1"/>
  <c r="P2596" i="113"/>
  <c r="R2596" i="113" s="1"/>
  <c r="P2577" i="113"/>
  <c r="R2577" i="113" s="1"/>
  <c r="P2554" i="113"/>
  <c r="R2554" i="113" s="1"/>
  <c r="P2533" i="113"/>
  <c r="R2533" i="113" s="1"/>
  <c r="P2511" i="113"/>
  <c r="P2491" i="113"/>
  <c r="R2491" i="113" s="1"/>
  <c r="P2470" i="113"/>
  <c r="R2470" i="113" s="1"/>
  <c r="P2446" i="113"/>
  <c r="R2446" i="113" s="1"/>
  <c r="P2427" i="113"/>
  <c r="R2427" i="113" s="1"/>
  <c r="P2405" i="113"/>
  <c r="P2383" i="113"/>
  <c r="R2383" i="113" s="1"/>
  <c r="P2359" i="113"/>
  <c r="R2359" i="113" s="1"/>
  <c r="P2339" i="113"/>
  <c r="P2316" i="113"/>
  <c r="P2294" i="113"/>
  <c r="R2294" i="113" s="1"/>
  <c r="P2272" i="113"/>
  <c r="P2253" i="113"/>
  <c r="R2253" i="113" s="1"/>
  <c r="P2230" i="113"/>
  <c r="P2208" i="113"/>
  <c r="P2186" i="113"/>
  <c r="R2186" i="113" s="1"/>
  <c r="P2166" i="113"/>
  <c r="R2166" i="113" s="1"/>
  <c r="P2142" i="113"/>
  <c r="R2142" i="113" s="1"/>
  <c r="P2121" i="113"/>
  <c r="P2099" i="113"/>
  <c r="R2099" i="113" s="1"/>
  <c r="P2079" i="113"/>
  <c r="R2079" i="113" s="1"/>
  <c r="P2057" i="113"/>
  <c r="R2057" i="113" s="1"/>
  <c r="P2037" i="113"/>
  <c r="P2019" i="113"/>
  <c r="R2019" i="113" s="1"/>
  <c r="P1998" i="113"/>
  <c r="P1980" i="113"/>
  <c r="P1961" i="113"/>
  <c r="R1961" i="113" s="1"/>
  <c r="P1939" i="113"/>
  <c r="R1939" i="113" s="1"/>
  <c r="P1920" i="113"/>
  <c r="P1899" i="113"/>
  <c r="R1899" i="113" s="1"/>
  <c r="P1881" i="113"/>
  <c r="R1881" i="113" s="1"/>
  <c r="P1863" i="113"/>
  <c r="R1863" i="113" s="1"/>
  <c r="P1846" i="113"/>
  <c r="P1826" i="113"/>
  <c r="P1808" i="113"/>
  <c r="R1808" i="113" s="1"/>
  <c r="P1791" i="113"/>
  <c r="R1791" i="113" s="1"/>
  <c r="P1772" i="113"/>
  <c r="R1772" i="113" s="1"/>
  <c r="P1753" i="113"/>
  <c r="R1753" i="113" s="1"/>
  <c r="P1735" i="113"/>
  <c r="P1716" i="113"/>
  <c r="R1716" i="113" s="1"/>
  <c r="P1699" i="113"/>
  <c r="P1679" i="113"/>
  <c r="P1662" i="113"/>
  <c r="R1662" i="113" s="1"/>
  <c r="P1644" i="113"/>
  <c r="R1644" i="113" s="1"/>
  <c r="P1627" i="113"/>
  <c r="R1627" i="113" s="1"/>
  <c r="P1607" i="113"/>
  <c r="R1607" i="113" s="1"/>
  <c r="P1589" i="113"/>
  <c r="R1589" i="113" s="1"/>
  <c r="P1571" i="113"/>
  <c r="R1571" i="113" s="1"/>
  <c r="P1554" i="113"/>
  <c r="R1554" i="113" s="1"/>
  <c r="P1534" i="113"/>
  <c r="R1534" i="113" s="1"/>
  <c r="P1517" i="113"/>
  <c r="R1517" i="113" s="1"/>
  <c r="P1500" i="113"/>
  <c r="R1500" i="113" s="1"/>
  <c r="P1481" i="113"/>
  <c r="R1481" i="113" s="1"/>
  <c r="P1463" i="113"/>
  <c r="R1463" i="113" s="1"/>
  <c r="P1446" i="113"/>
  <c r="R1446" i="113" s="1"/>
  <c r="P2673" i="113"/>
  <c r="P2636" i="113"/>
  <c r="R2636" i="113" s="1"/>
  <c r="P2606" i="113"/>
  <c r="R2606" i="113" s="1"/>
  <c r="P2572" i="113"/>
  <c r="P2535" i="113"/>
  <c r="R2535" i="113" s="1"/>
  <c r="P2505" i="113"/>
  <c r="R2505" i="113" s="1"/>
  <c r="P2466" i="113"/>
  <c r="R2466" i="113" s="1"/>
  <c r="P2438" i="113"/>
  <c r="R2438" i="113" s="1"/>
  <c r="P2402" i="113"/>
  <c r="R2402" i="113" s="1"/>
  <c r="P2371" i="113"/>
  <c r="R2371" i="113" s="1"/>
  <c r="P2333" i="113"/>
  <c r="R2333" i="113" s="1"/>
  <c r="P2302" i="113"/>
  <c r="R2302" i="113" s="1"/>
  <c r="P2268" i="113"/>
  <c r="P2231" i="113"/>
  <c r="R2231" i="113" s="1"/>
  <c r="P2200" i="113"/>
  <c r="P2164" i="113"/>
  <c r="R2164" i="113" s="1"/>
  <c r="P2135" i="113"/>
  <c r="R2135" i="113" s="1"/>
  <c r="P2097" i="113"/>
  <c r="R2097" i="113" s="1"/>
  <c r="P2066" i="113"/>
  <c r="R2066" i="113" s="1"/>
  <c r="P2034" i="113"/>
  <c r="P2006" i="113"/>
  <c r="R2006" i="113" s="1"/>
  <c r="P1974" i="113"/>
  <c r="P1947" i="113"/>
  <c r="R1947" i="113" s="1"/>
  <c r="P1914" i="113"/>
  <c r="P1882" i="113"/>
  <c r="R1882" i="113" s="1"/>
  <c r="P1858" i="113"/>
  <c r="P1825" i="113"/>
  <c r="P1801" i="113"/>
  <c r="R1801" i="113" s="1"/>
  <c r="P1770" i="113"/>
  <c r="R1770" i="113" s="1"/>
  <c r="P1743" i="113"/>
  <c r="R1743" i="113" s="1"/>
  <c r="P1713" i="113"/>
  <c r="R1713" i="113" s="1"/>
  <c r="P1688" i="113"/>
  <c r="P1658" i="113"/>
  <c r="R1658" i="113" s="1"/>
  <c r="P1628" i="113"/>
  <c r="R1628" i="113" s="1"/>
  <c r="P1602" i="113"/>
  <c r="R1602" i="113" s="1"/>
  <c r="P1570" i="113"/>
  <c r="R1570" i="113" s="1"/>
  <c r="P1545" i="113"/>
  <c r="P1514" i="113"/>
  <c r="P1488" i="113"/>
  <c r="R1488" i="113" s="1"/>
  <c r="P1460" i="113"/>
  <c r="P1437" i="113"/>
  <c r="P1396" i="113"/>
  <c r="R1396" i="113" s="1"/>
  <c r="P1375" i="113"/>
  <c r="R1375" i="113" s="1"/>
  <c r="P1355" i="113"/>
  <c r="P1337" i="113"/>
  <c r="R1337" i="113" s="1"/>
  <c r="P1318" i="113"/>
  <c r="R1318" i="113" s="1"/>
  <c r="P1298" i="113"/>
  <c r="R1298" i="113" s="1"/>
  <c r="P1276" i="113"/>
  <c r="P1259" i="113"/>
  <c r="P1242" i="113"/>
  <c r="R1242" i="113" s="1"/>
  <c r="P1222" i="113"/>
  <c r="R1222" i="113" s="1"/>
  <c r="P1203" i="113"/>
  <c r="P1186" i="113"/>
  <c r="R1186" i="113" s="1"/>
  <c r="P1168" i="113"/>
  <c r="R1168" i="113" s="1"/>
  <c r="P1147" i="113"/>
  <c r="R1147" i="113" s="1"/>
  <c r="P1131" i="113"/>
  <c r="R1131" i="113" s="1"/>
  <c r="P1114" i="113"/>
  <c r="R1114" i="113" s="1"/>
  <c r="P1097" i="113"/>
  <c r="R1097" i="113" s="1"/>
  <c r="P1081" i="113"/>
  <c r="R1081" i="113" s="1"/>
  <c r="P1065" i="113"/>
  <c r="R1065" i="113" s="1"/>
  <c r="P1050" i="113"/>
  <c r="R1050" i="113" s="1"/>
  <c r="P1033" i="113"/>
  <c r="P1018" i="113"/>
  <c r="R1018" i="113" s="1"/>
  <c r="P1002" i="113"/>
  <c r="R1002" i="113" s="1"/>
  <c r="P986" i="113"/>
  <c r="R986" i="113" s="1"/>
  <c r="P971" i="113"/>
  <c r="P956" i="113"/>
  <c r="R956" i="113" s="1"/>
  <c r="P940" i="113"/>
  <c r="R940" i="113" s="1"/>
  <c r="P925" i="113"/>
  <c r="P910" i="113"/>
  <c r="R910" i="113" s="1"/>
  <c r="P894" i="113"/>
  <c r="R894" i="113" s="1"/>
  <c r="P879" i="113"/>
  <c r="R879" i="113" s="1"/>
  <c r="P863" i="113"/>
  <c r="R863" i="113" s="1"/>
  <c r="P848" i="113"/>
  <c r="R848" i="113" s="1"/>
  <c r="P831" i="113"/>
  <c r="R831" i="113" s="1"/>
  <c r="P816" i="113"/>
  <c r="R816" i="113" s="1"/>
  <c r="P800" i="113"/>
  <c r="R800" i="113" s="1"/>
  <c r="P786" i="113"/>
  <c r="R786" i="113" s="1"/>
  <c r="P772" i="113"/>
  <c r="R772" i="113" s="1"/>
  <c r="P757" i="113"/>
  <c r="P743" i="113"/>
  <c r="R743" i="113" s="1"/>
  <c r="P728" i="113"/>
  <c r="R728" i="113" s="1"/>
  <c r="P714" i="113"/>
  <c r="R714" i="113" s="1"/>
  <c r="P700" i="113"/>
  <c r="R700" i="113" s="1"/>
  <c r="P685" i="113"/>
  <c r="R685" i="113" s="1"/>
  <c r="P670" i="113"/>
  <c r="R670" i="113" s="1"/>
  <c r="P656" i="113"/>
  <c r="R656" i="113" s="1"/>
  <c r="P641" i="113"/>
  <c r="R641" i="113" s="1"/>
  <c r="P627" i="113"/>
  <c r="R627" i="113" s="1"/>
  <c r="P612" i="113"/>
  <c r="R612" i="113" s="1"/>
  <c r="P598" i="113"/>
  <c r="R598" i="113" s="1"/>
  <c r="P583" i="113"/>
  <c r="R583" i="113" s="1"/>
  <c r="P568" i="113"/>
  <c r="R568" i="113" s="1"/>
  <c r="P554" i="113"/>
  <c r="P539" i="113"/>
  <c r="P525" i="113"/>
  <c r="P510" i="113"/>
  <c r="R510" i="113" s="1"/>
  <c r="P496" i="113"/>
  <c r="R496" i="113" s="1"/>
  <c r="P482" i="113"/>
  <c r="R482" i="113" s="1"/>
  <c r="P467" i="113"/>
  <c r="R467" i="113" s="1"/>
  <c r="P453" i="113"/>
  <c r="R453" i="113" s="1"/>
  <c r="P438" i="113"/>
  <c r="P424" i="113"/>
  <c r="R424" i="113" s="1"/>
  <c r="P409" i="113"/>
  <c r="R409" i="113" s="1"/>
  <c r="P395" i="113"/>
  <c r="R395" i="113" s="1"/>
  <c r="P380" i="113"/>
  <c r="R380" i="113" s="1"/>
  <c r="P366" i="113"/>
  <c r="P351" i="113"/>
  <c r="R351" i="113" s="1"/>
  <c r="P336" i="113"/>
  <c r="R336" i="113" s="1"/>
  <c r="P322" i="113"/>
  <c r="R322" i="113" s="1"/>
  <c r="P308" i="113"/>
  <c r="R308" i="113" s="1"/>
  <c r="P293" i="113"/>
  <c r="R293" i="113" s="1"/>
  <c r="P279" i="113"/>
  <c r="R279" i="113" s="1"/>
  <c r="P15" i="113"/>
  <c r="R15" i="113" s="1"/>
  <c r="P30" i="113"/>
  <c r="R30" i="113" s="1"/>
  <c r="P44" i="113"/>
  <c r="R44" i="113" s="1"/>
  <c r="P58" i="113"/>
  <c r="R58" i="113" s="1"/>
  <c r="P73" i="113"/>
  <c r="R73" i="113" s="1"/>
  <c r="P87" i="113"/>
  <c r="R87" i="113" s="1"/>
  <c r="P102" i="113"/>
  <c r="R102" i="113" s="1"/>
  <c r="P116" i="113"/>
  <c r="R116" i="113" s="1"/>
  <c r="P131" i="113"/>
  <c r="R131" i="113" s="1"/>
  <c r="P146" i="113"/>
  <c r="R146" i="113" s="1"/>
  <c r="P160" i="113"/>
  <c r="R160" i="113" s="1"/>
  <c r="P175" i="113"/>
  <c r="P190" i="113"/>
  <c r="R190" i="113" s="1"/>
  <c r="P204" i="113"/>
  <c r="R204" i="113" s="1"/>
  <c r="P219" i="113"/>
  <c r="R219" i="113" s="1"/>
  <c r="P233" i="113"/>
  <c r="R233" i="113" s="1"/>
  <c r="P248" i="113"/>
  <c r="R248" i="113" s="1"/>
  <c r="P262" i="113"/>
  <c r="R262" i="113" s="1"/>
  <c r="P2662" i="113"/>
  <c r="R2662" i="113" s="1"/>
  <c r="P2632" i="113"/>
  <c r="R2632" i="113" s="1"/>
  <c r="P2594" i="113"/>
  <c r="R2594" i="113" s="1"/>
  <c r="P2564" i="113"/>
  <c r="R2564" i="113" s="1"/>
  <c r="P2530" i="113"/>
  <c r="P2496" i="113"/>
  <c r="R2496" i="113" s="1"/>
  <c r="P2462" i="113"/>
  <c r="P2428" i="113"/>
  <c r="R2428" i="113" s="1"/>
  <c r="P2394" i="113"/>
  <c r="R2394" i="113" s="1"/>
  <c r="P2358" i="113"/>
  <c r="R2358" i="113" s="1"/>
  <c r="P2328" i="113"/>
  <c r="R2328" i="113" s="1"/>
  <c r="P2290" i="113"/>
  <c r="R2290" i="113" s="1"/>
  <c r="P2259" i="113"/>
  <c r="R2259" i="113" s="1"/>
  <c r="P2224" i="113"/>
  <c r="R2224" i="113" s="1"/>
  <c r="P2194" i="113"/>
  <c r="R2194" i="113" s="1"/>
  <c r="P2156" i="113"/>
  <c r="R2156" i="113" s="1"/>
  <c r="P2122" i="113"/>
  <c r="R2122" i="113" s="1"/>
  <c r="P2092" i="113"/>
  <c r="R2092" i="113" s="1"/>
  <c r="P2055" i="113"/>
  <c r="P2029" i="113"/>
  <c r="R2029" i="113" s="1"/>
  <c r="P1996" i="113"/>
  <c r="R1996" i="113" s="1"/>
  <c r="P1936" i="113"/>
  <c r="R1936" i="113" s="1"/>
  <c r="P1910" i="113"/>
  <c r="R1910" i="113" s="1"/>
  <c r="P1878" i="113"/>
  <c r="R1878" i="113" s="1"/>
  <c r="P1851" i="113"/>
  <c r="R1851" i="113" s="1"/>
  <c r="P1822" i="113"/>
  <c r="R1822" i="113" s="1"/>
  <c r="P1792" i="113"/>
  <c r="P1764" i="113"/>
  <c r="R1764" i="113" s="1"/>
  <c r="P1733" i="113"/>
  <c r="R1733" i="113" s="1"/>
  <c r="P1708" i="113"/>
  <c r="P1677" i="113"/>
  <c r="R1677" i="113" s="1"/>
  <c r="P1652" i="113"/>
  <c r="R1652" i="113" s="1"/>
  <c r="P1621" i="113"/>
  <c r="R1621" i="113" s="1"/>
  <c r="P1597" i="113"/>
  <c r="R1597" i="113" s="1"/>
  <c r="P1567" i="113"/>
  <c r="R1567" i="113" s="1"/>
  <c r="P1535" i="113"/>
  <c r="R1535" i="113" s="1"/>
  <c r="P1511" i="113"/>
  <c r="R1511" i="113" s="1"/>
  <c r="P1478" i="113"/>
  <c r="P1457" i="113"/>
  <c r="R1457" i="113" s="1"/>
  <c r="P1429" i="113"/>
  <c r="R1429" i="113" s="1"/>
  <c r="P1411" i="113"/>
  <c r="R1411" i="113" s="1"/>
  <c r="P1391" i="113"/>
  <c r="R1391" i="113" s="1"/>
  <c r="P1370" i="113"/>
  <c r="R1370" i="113" s="1"/>
  <c r="P1352" i="113"/>
  <c r="R1352" i="113" s="1"/>
  <c r="P1333" i="113"/>
  <c r="R1333" i="113" s="1"/>
  <c r="P1314" i="113"/>
  <c r="R1314" i="113" s="1"/>
  <c r="P1293" i="113"/>
  <c r="R1293" i="113" s="1"/>
  <c r="P1273" i="113"/>
  <c r="R1273" i="113" s="1"/>
  <c r="P1256" i="113"/>
  <c r="P1237" i="113"/>
  <c r="R1237" i="113" s="1"/>
  <c r="P1218" i="113"/>
  <c r="R1218" i="113" s="1"/>
  <c r="P1200" i="113"/>
  <c r="R1200" i="113" s="1"/>
  <c r="P1182" i="113"/>
  <c r="R1182" i="113" s="1"/>
  <c r="P1162" i="113"/>
  <c r="R1162" i="113" s="1"/>
  <c r="P1144" i="113"/>
  <c r="R1144" i="113" s="1"/>
  <c r="P1127" i="113"/>
  <c r="R1127" i="113" s="1"/>
  <c r="P1111" i="113"/>
  <c r="R1111" i="113" s="1"/>
  <c r="P1093" i="113"/>
  <c r="R1093" i="113" s="1"/>
  <c r="P1077" i="113"/>
  <c r="R1077" i="113" s="1"/>
  <c r="P1061" i="113"/>
  <c r="R1061" i="113" s="1"/>
  <c r="P1046" i="113"/>
  <c r="R1046" i="113" s="1"/>
  <c r="P1030" i="113"/>
  <c r="R1030" i="113" s="1"/>
  <c r="P1015" i="113"/>
  <c r="R1015" i="113" s="1"/>
  <c r="P999" i="113"/>
  <c r="R999" i="113" s="1"/>
  <c r="P983" i="113"/>
  <c r="R983" i="113" s="1"/>
  <c r="P968" i="113"/>
  <c r="R968" i="113" s="1"/>
  <c r="P953" i="113"/>
  <c r="R953" i="113" s="1"/>
  <c r="P937" i="113"/>
  <c r="R937" i="113" s="1"/>
  <c r="P922" i="113"/>
  <c r="R922" i="113" s="1"/>
  <c r="P907" i="113"/>
  <c r="R907" i="113" s="1"/>
  <c r="P891" i="113"/>
  <c r="R891" i="113" s="1"/>
  <c r="P875" i="113"/>
  <c r="R875" i="113" s="1"/>
  <c r="P859" i="113"/>
  <c r="R859" i="113" s="1"/>
  <c r="P844" i="113"/>
  <c r="R844" i="113" s="1"/>
  <c r="P828" i="113"/>
  <c r="P813" i="113"/>
  <c r="R813" i="113" s="1"/>
  <c r="P797" i="113"/>
  <c r="P783" i="113"/>
  <c r="R783" i="113" s="1"/>
  <c r="P768" i="113"/>
  <c r="R768" i="113" s="1"/>
  <c r="P754" i="113"/>
  <c r="P740" i="113"/>
  <c r="R740" i="113" s="1"/>
  <c r="P725" i="113"/>
  <c r="R725" i="113" s="1"/>
  <c r="P711" i="113"/>
  <c r="R711" i="113" s="1"/>
  <c r="P696" i="113"/>
  <c r="R696" i="113" s="1"/>
  <c r="P682" i="113"/>
  <c r="R682" i="113" s="1"/>
  <c r="P667" i="113"/>
  <c r="R667" i="113" s="1"/>
  <c r="P653" i="113"/>
  <c r="R653" i="113" s="1"/>
  <c r="P638" i="113"/>
  <c r="R638" i="113" s="1"/>
  <c r="P624" i="113"/>
  <c r="P609" i="113"/>
  <c r="R609" i="113" s="1"/>
  <c r="P594" i="113"/>
  <c r="P579" i="113"/>
  <c r="R579" i="113" s="1"/>
  <c r="P565" i="113"/>
  <c r="R565" i="113" s="1"/>
  <c r="P551" i="113"/>
  <c r="R551" i="113" s="1"/>
  <c r="P536" i="113"/>
  <c r="R536" i="113" s="1"/>
  <c r="P522" i="113"/>
  <c r="R522" i="113" s="1"/>
  <c r="P507" i="113"/>
  <c r="R507" i="113" s="1"/>
  <c r="P493" i="113"/>
  <c r="R493" i="113" s="1"/>
  <c r="P479" i="113"/>
  <c r="P464" i="113"/>
  <c r="R464" i="113" s="1"/>
  <c r="P450" i="113"/>
  <c r="R450" i="113" s="1"/>
  <c r="P435" i="113"/>
  <c r="R435" i="113" s="1"/>
  <c r="P421" i="113"/>
  <c r="R421" i="113" s="1"/>
  <c r="P406" i="113"/>
  <c r="R406" i="113" s="1"/>
  <c r="P392" i="113"/>
  <c r="R392" i="113" s="1"/>
  <c r="P377" i="113"/>
  <c r="R377" i="113" s="1"/>
  <c r="P363" i="113"/>
  <c r="R363" i="113" s="1"/>
  <c r="P348" i="113"/>
  <c r="R348" i="113" s="1"/>
  <c r="P333" i="113"/>
  <c r="R333" i="113" s="1"/>
  <c r="P319" i="113"/>
  <c r="R319" i="113" s="1"/>
  <c r="P304" i="113"/>
  <c r="R304" i="113" s="1"/>
  <c r="P290" i="113"/>
  <c r="R290" i="113" s="1"/>
  <c r="P275" i="113"/>
  <c r="P4" i="113"/>
  <c r="R4" i="113" s="1"/>
  <c r="P18" i="113"/>
  <c r="R18" i="113" s="1"/>
  <c r="P33" i="113"/>
  <c r="P47" i="113"/>
  <c r="P61" i="113"/>
  <c r="P2660" i="113"/>
  <c r="P2627" i="113"/>
  <c r="R2627" i="113" s="1"/>
  <c r="P2592" i="113"/>
  <c r="R2592" i="113" s="1"/>
  <c r="P2559" i="113"/>
  <c r="P2526" i="113"/>
  <c r="R2526" i="113" s="1"/>
  <c r="P2490" i="113"/>
  <c r="R2490" i="113" s="1"/>
  <c r="P2460" i="113"/>
  <c r="R2460" i="113" s="1"/>
  <c r="P2423" i="113"/>
  <c r="R2423" i="113" s="1"/>
  <c r="P2391" i="113"/>
  <c r="P2356" i="113"/>
  <c r="R2356" i="113" s="1"/>
  <c r="P2325" i="113"/>
  <c r="R2325" i="113" s="1"/>
  <c r="P2288" i="113"/>
  <c r="R2288" i="113" s="1"/>
  <c r="P2254" i="113"/>
  <c r="R2254" i="113" s="1"/>
  <c r="P2222" i="113"/>
  <c r="R2222" i="113" s="1"/>
  <c r="P2185" i="113"/>
  <c r="P2154" i="113"/>
  <c r="P2119" i="113"/>
  <c r="R2119" i="113" s="1"/>
  <c r="P2086" i="113"/>
  <c r="P2053" i="113"/>
  <c r="R2053" i="113" s="1"/>
  <c r="P2026" i="113"/>
  <c r="R2026" i="113" s="1"/>
  <c r="P1994" i="113"/>
  <c r="R1994" i="113" s="1"/>
  <c r="P1966" i="113"/>
  <c r="R1966" i="113" s="1"/>
  <c r="P1934" i="113"/>
  <c r="R1934" i="113" s="1"/>
  <c r="P1902" i="113"/>
  <c r="R1902" i="113" s="1"/>
  <c r="P1876" i="113"/>
  <c r="R1876" i="113" s="1"/>
  <c r="P1845" i="113"/>
  <c r="R1845" i="113" s="1"/>
  <c r="P1819" i="113"/>
  <c r="P1789" i="113"/>
  <c r="R1789" i="113" s="1"/>
  <c r="P1761" i="113"/>
  <c r="R1761" i="113" s="1"/>
  <c r="P1731" i="113"/>
  <c r="R1731" i="113" s="1"/>
  <c r="P1705" i="113"/>
  <c r="R1705" i="113" s="1"/>
  <c r="P1675" i="113"/>
  <c r="R1675" i="113" s="1"/>
  <c r="P1646" i="113"/>
  <c r="R1646" i="113" s="1"/>
  <c r="P1619" i="113"/>
  <c r="R1619" i="113" s="1"/>
  <c r="P1588" i="113"/>
  <c r="R1588" i="113" s="1"/>
  <c r="P1562" i="113"/>
  <c r="R1562" i="113" s="1"/>
  <c r="P1532" i="113"/>
  <c r="P1506" i="113"/>
  <c r="R1506" i="113" s="1"/>
  <c r="P1476" i="113"/>
  <c r="R1476" i="113" s="1"/>
  <c r="P1454" i="113"/>
  <c r="R1454" i="113" s="1"/>
  <c r="P1427" i="113"/>
  <c r="P1409" i="113"/>
  <c r="R1409" i="113" s="1"/>
  <c r="P1388" i="113"/>
  <c r="R1388" i="113" s="1"/>
  <c r="P1368" i="113"/>
  <c r="R1368" i="113" s="1"/>
  <c r="P1350" i="113"/>
  <c r="R1350" i="113" s="1"/>
  <c r="P1330" i="113"/>
  <c r="R1330" i="113" s="1"/>
  <c r="P1310" i="113"/>
  <c r="R1310" i="113" s="1"/>
  <c r="P1290" i="113"/>
  <c r="R1290" i="113" s="1"/>
  <c r="P1271" i="113"/>
  <c r="R1271" i="113" s="1"/>
  <c r="P1253" i="113"/>
  <c r="R1253" i="113" s="1"/>
  <c r="P1233" i="113"/>
  <c r="R1233" i="113" s="1"/>
  <c r="P1216" i="113"/>
  <c r="R1216" i="113" s="1"/>
  <c r="P1198" i="113"/>
  <c r="R1198" i="113" s="1"/>
  <c r="P1179" i="113"/>
  <c r="R1179" i="113" s="1"/>
  <c r="P1160" i="113"/>
  <c r="R1160" i="113" s="1"/>
  <c r="P1142" i="113"/>
  <c r="R1142" i="113" s="1"/>
  <c r="P1125" i="113"/>
  <c r="R1125" i="113" s="1"/>
  <c r="P1108" i="113"/>
  <c r="R1108" i="113" s="1"/>
  <c r="P1090" i="113"/>
  <c r="R1090" i="113" s="1"/>
  <c r="P1074" i="113"/>
  <c r="R1074" i="113" s="1"/>
  <c r="P1059" i="113"/>
  <c r="R1059" i="113" s="1"/>
  <c r="P1044" i="113"/>
  <c r="R1044" i="113" s="1"/>
  <c r="P1028" i="113"/>
  <c r="R1028" i="113" s="1"/>
  <c r="P1012" i="113"/>
  <c r="R1012" i="113" s="1"/>
  <c r="P997" i="113"/>
  <c r="R997" i="113" s="1"/>
  <c r="P981" i="113"/>
  <c r="R981" i="113" s="1"/>
  <c r="P966" i="113"/>
  <c r="R966" i="113" s="1"/>
  <c r="P951" i="113"/>
  <c r="R951" i="113" s="1"/>
  <c r="P935" i="113"/>
  <c r="R935" i="113" s="1"/>
  <c r="P920" i="113"/>
  <c r="R920" i="113" s="1"/>
  <c r="P904" i="113"/>
  <c r="R904" i="113" s="1"/>
  <c r="P888" i="113"/>
  <c r="R888" i="113" s="1"/>
  <c r="P873" i="113"/>
  <c r="R873" i="113" s="1"/>
  <c r="P857" i="113"/>
  <c r="R857" i="113" s="1"/>
  <c r="P842" i="113"/>
  <c r="R842" i="113" s="1"/>
  <c r="P826" i="113"/>
  <c r="R826" i="113" s="1"/>
  <c r="P811" i="113"/>
  <c r="R811" i="113" s="1"/>
  <c r="P795" i="113"/>
  <c r="R795" i="113" s="1"/>
  <c r="P781" i="113"/>
  <c r="R781" i="113" s="1"/>
  <c r="P766" i="113"/>
  <c r="R766" i="113" s="1"/>
  <c r="P752" i="113"/>
  <c r="R752" i="113" s="1"/>
  <c r="P738" i="113"/>
  <c r="R738" i="113" s="1"/>
  <c r="P723" i="113"/>
  <c r="P709" i="113"/>
  <c r="R709" i="113" s="1"/>
  <c r="P694" i="113"/>
  <c r="R694" i="113" s="1"/>
  <c r="P680" i="113"/>
  <c r="R680" i="113" s="1"/>
  <c r="P665" i="113"/>
  <c r="R665" i="113" s="1"/>
  <c r="P651" i="113"/>
  <c r="R651" i="113" s="1"/>
  <c r="P636" i="113"/>
  <c r="R636" i="113" s="1"/>
  <c r="P622" i="113"/>
  <c r="R622" i="113" s="1"/>
  <c r="P607" i="113"/>
  <c r="R607" i="113" s="1"/>
  <c r="P592" i="113"/>
  <c r="R592" i="113" s="1"/>
  <c r="P577" i="113"/>
  <c r="R577" i="113" s="1"/>
  <c r="P563" i="113"/>
  <c r="R563" i="113" s="1"/>
  <c r="P549" i="113"/>
  <c r="R549" i="113" s="1"/>
  <c r="P534" i="113"/>
  <c r="P520" i="113"/>
  <c r="R520" i="113" s="1"/>
  <c r="P505" i="113"/>
  <c r="R505" i="113" s="1"/>
  <c r="P2654" i="113"/>
  <c r="R2654" i="113" s="1"/>
  <c r="P2617" i="113"/>
  <c r="R2617" i="113" s="1"/>
  <c r="P2589" i="113"/>
  <c r="R2589" i="113" s="1"/>
  <c r="P2551" i="113"/>
  <c r="R2551" i="113" s="1"/>
  <c r="P2521" i="113"/>
  <c r="R2521" i="113" s="1"/>
  <c r="P2487" i="113"/>
  <c r="R2487" i="113" s="1"/>
  <c r="P2457" i="113"/>
  <c r="R2457" i="113" s="1"/>
  <c r="P2420" i="113"/>
  <c r="R2420" i="113" s="1"/>
  <c r="P2385" i="113"/>
  <c r="R2385" i="113" s="1"/>
  <c r="P2354" i="113"/>
  <c r="R2354" i="113" s="1"/>
  <c r="P2315" i="113"/>
  <c r="R2315" i="113" s="1"/>
  <c r="P2286" i="113"/>
  <c r="R2286" i="113" s="1"/>
  <c r="P2247" i="113"/>
  <c r="R2247" i="113" s="1"/>
  <c r="P2217" i="113"/>
  <c r="R2217" i="113" s="1"/>
  <c r="P2183" i="113"/>
  <c r="P2151" i="113"/>
  <c r="R2151" i="113" s="1"/>
  <c r="P2115" i="113"/>
  <c r="R2115" i="113" s="1"/>
  <c r="P2081" i="113"/>
  <c r="R2081" i="113" s="1"/>
  <c r="P2051" i="113"/>
  <c r="R2051" i="113" s="1"/>
  <c r="P2018" i="113"/>
  <c r="R2018" i="113" s="1"/>
  <c r="P1991" i="113"/>
  <c r="R1991" i="113" s="1"/>
  <c r="P1960" i="113"/>
  <c r="R1960" i="113" s="1"/>
  <c r="P1932" i="113"/>
  <c r="R1932" i="113" s="1"/>
  <c r="P1897" i="113"/>
  <c r="R1897" i="113" s="1"/>
  <c r="P1873" i="113"/>
  <c r="R1873" i="113" s="1"/>
  <c r="P1841" i="113"/>
  <c r="R1841" i="113" s="1"/>
  <c r="P1816" i="113"/>
  <c r="P1785" i="113"/>
  <c r="R1785" i="113" s="1"/>
  <c r="P1756" i="113"/>
  <c r="R1756" i="113" s="1"/>
  <c r="P1729" i="113"/>
  <c r="R1729" i="113" s="1"/>
  <c r="P1698" i="113"/>
  <c r="R1698" i="113" s="1"/>
  <c r="P1673" i="113"/>
  <c r="R1673" i="113" s="1"/>
  <c r="P1642" i="113"/>
  <c r="R1642" i="113" s="1"/>
  <c r="P1615" i="113"/>
  <c r="R1615" i="113" s="1"/>
  <c r="P1586" i="113"/>
  <c r="R1586" i="113" s="1"/>
  <c r="P1559" i="113"/>
  <c r="R1559" i="113" s="1"/>
  <c r="P1529" i="113"/>
  <c r="R1529" i="113" s="1"/>
  <c r="P1501" i="113"/>
  <c r="R1501" i="113" s="1"/>
  <c r="P1474" i="113"/>
  <c r="R1474" i="113" s="1"/>
  <c r="P1445" i="113"/>
  <c r="R1445" i="113" s="1"/>
  <c r="P1425" i="113"/>
  <c r="R1425" i="113" s="1"/>
  <c r="P1405" i="113"/>
  <c r="R1405" i="113" s="1"/>
  <c r="P1385" i="113"/>
  <c r="R1385" i="113" s="1"/>
  <c r="P1366" i="113"/>
  <c r="R1366" i="113" s="1"/>
  <c r="P1347" i="113"/>
  <c r="R1347" i="113" s="1"/>
  <c r="P1327" i="113"/>
  <c r="R1327" i="113" s="1"/>
  <c r="P1308" i="113"/>
  <c r="R1308" i="113" s="1"/>
  <c r="P1288" i="113"/>
  <c r="R1288" i="113" s="1"/>
  <c r="P1268" i="113"/>
  <c r="R1268" i="113" s="1"/>
  <c r="P1249" i="113"/>
  <c r="R1249" i="113" s="1"/>
  <c r="P1231" i="113"/>
  <c r="R1231" i="113" s="1"/>
  <c r="P1214" i="113"/>
  <c r="R1214" i="113" s="1"/>
  <c r="P1195" i="113"/>
  <c r="R1195" i="113" s="1"/>
  <c r="P1176" i="113"/>
  <c r="R1176" i="113" s="1"/>
  <c r="P1158" i="113"/>
  <c r="R1158" i="113" s="1"/>
  <c r="P1140" i="113"/>
  <c r="R1140" i="113" s="1"/>
  <c r="P1122" i="113"/>
  <c r="R1122" i="113" s="1"/>
  <c r="P1105" i="113"/>
  <c r="R1105" i="113" s="1"/>
  <c r="P1088" i="113"/>
  <c r="R1088" i="113" s="1"/>
  <c r="P1072" i="113"/>
  <c r="R1072" i="113" s="1"/>
  <c r="P1057" i="113"/>
  <c r="R1057" i="113" s="1"/>
  <c r="P1042" i="113"/>
  <c r="R1042" i="113" s="1"/>
  <c r="P1026" i="113"/>
  <c r="R1026" i="113" s="1"/>
  <c r="P1010" i="113"/>
  <c r="R1010" i="113" s="1"/>
  <c r="P995" i="113"/>
  <c r="R995" i="113" s="1"/>
  <c r="P979" i="113"/>
  <c r="R979" i="113" s="1"/>
  <c r="P964" i="113"/>
  <c r="R964" i="113" s="1"/>
  <c r="P949" i="113"/>
  <c r="R949" i="113" s="1"/>
  <c r="P932" i="113"/>
  <c r="R932" i="113" s="1"/>
  <c r="P917" i="113"/>
  <c r="P902" i="113"/>
  <c r="R902" i="113" s="1"/>
  <c r="P886" i="113"/>
  <c r="R886" i="113" s="1"/>
  <c r="P871" i="113"/>
  <c r="R871" i="113" s="1"/>
  <c r="P855" i="113"/>
  <c r="R855" i="113" s="1"/>
  <c r="P840" i="113"/>
  <c r="R840" i="113" s="1"/>
  <c r="P824" i="113"/>
  <c r="R824" i="113" s="1"/>
  <c r="P809" i="113"/>
  <c r="R809" i="113" s="1"/>
  <c r="P793" i="113"/>
  <c r="R793" i="113" s="1"/>
  <c r="P779" i="113"/>
  <c r="R779" i="113" s="1"/>
  <c r="P764" i="113"/>
  <c r="R764" i="113" s="1"/>
  <c r="P750" i="113"/>
  <c r="R750" i="113" s="1"/>
  <c r="P736" i="113"/>
  <c r="R736" i="113" s="1"/>
  <c r="P721" i="113"/>
  <c r="R721" i="113" s="1"/>
  <c r="P707" i="113"/>
  <c r="R707" i="113" s="1"/>
  <c r="P692" i="113"/>
  <c r="R692" i="113" s="1"/>
  <c r="P2678" i="113"/>
  <c r="R2678" i="113" s="1"/>
  <c r="P2633" i="113"/>
  <c r="R2633" i="113" s="1"/>
  <c r="P2582" i="113"/>
  <c r="R2582" i="113" s="1"/>
  <c r="P2543" i="113"/>
  <c r="P2488" i="113"/>
  <c r="R2488" i="113" s="1"/>
  <c r="P2443" i="113"/>
  <c r="R2443" i="113" s="1"/>
  <c r="P2397" i="113"/>
  <c r="R2397" i="113" s="1"/>
  <c r="P2346" i="113"/>
  <c r="R2346" i="113" s="1"/>
  <c r="P2303" i="113"/>
  <c r="R2303" i="113" s="1"/>
  <c r="P2251" i="113"/>
  <c r="R2251" i="113" s="1"/>
  <c r="P2203" i="113"/>
  <c r="R2203" i="113" s="1"/>
  <c r="P2158" i="113"/>
  <c r="P2112" i="113"/>
  <c r="P2068" i="113"/>
  <c r="R2068" i="113" s="1"/>
  <c r="P2020" i="113"/>
  <c r="P2669" i="113"/>
  <c r="R2669" i="113" s="1"/>
  <c r="P2616" i="113"/>
  <c r="R2616" i="113" s="1"/>
  <c r="P2575" i="113"/>
  <c r="R2575" i="113" s="1"/>
  <c r="P2529" i="113"/>
  <c r="R2529" i="113" s="1"/>
  <c r="P2480" i="113"/>
  <c r="R2480" i="113" s="1"/>
  <c r="P2435" i="113"/>
  <c r="R2435" i="113" s="1"/>
  <c r="P2378" i="113"/>
  <c r="R2378" i="113" s="1"/>
  <c r="P2338" i="113"/>
  <c r="R2338" i="113" s="1"/>
  <c r="P2289" i="113"/>
  <c r="R2289" i="113" s="1"/>
  <c r="P2242" i="113"/>
  <c r="R2242" i="113" s="1"/>
  <c r="P2199" i="113"/>
  <c r="R2199" i="113" s="1"/>
  <c r="P2144" i="113"/>
  <c r="R2144" i="113" s="1"/>
  <c r="P2101" i="113"/>
  <c r="R2101" i="113" s="1"/>
  <c r="P2054" i="113"/>
  <c r="R2054" i="113" s="1"/>
  <c r="P2013" i="113"/>
  <c r="R2013" i="113" s="1"/>
  <c r="P1970" i="113"/>
  <c r="R1970" i="113" s="1"/>
  <c r="P1933" i="113"/>
  <c r="R1933" i="113" s="1"/>
  <c r="P1893" i="113"/>
  <c r="R1893" i="113" s="1"/>
  <c r="P1852" i="113"/>
  <c r="R1852" i="113" s="1"/>
  <c r="P1807" i="113"/>
  <c r="R1807" i="113" s="1"/>
  <c r="P1771" i="113"/>
  <c r="P1730" i="113"/>
  <c r="R1730" i="113" s="1"/>
  <c r="P1692" i="113"/>
  <c r="R1692" i="113" s="1"/>
  <c r="P1656" i="113"/>
  <c r="R1656" i="113" s="1"/>
  <c r="P1608" i="113"/>
  <c r="R1608" i="113" s="1"/>
  <c r="P1572" i="113"/>
  <c r="R1572" i="113" s="1"/>
  <c r="P1530" i="113"/>
  <c r="P1492" i="113"/>
  <c r="R1492" i="113" s="1"/>
  <c r="P1458" i="113"/>
  <c r="R1458" i="113" s="1"/>
  <c r="P1422" i="113"/>
  <c r="R1422" i="113" s="1"/>
  <c r="P1398" i="113"/>
  <c r="R1398" i="113" s="1"/>
  <c r="P1369" i="113"/>
  <c r="R1369" i="113" s="1"/>
  <c r="P1342" i="113"/>
  <c r="R1342" i="113" s="1"/>
  <c r="P1317" i="113"/>
  <c r="R1317" i="113" s="1"/>
  <c r="P1287" i="113"/>
  <c r="R1287" i="113" s="1"/>
  <c r="P1261" i="113"/>
  <c r="R1261" i="113" s="1"/>
  <c r="P1234" i="113"/>
  <c r="R1234" i="113" s="1"/>
  <c r="P1210" i="113"/>
  <c r="R1210" i="113" s="1"/>
  <c r="P1185" i="113"/>
  <c r="R1185" i="113" s="1"/>
  <c r="P1157" i="113"/>
  <c r="P1133" i="113"/>
  <c r="P2655" i="113"/>
  <c r="R2655" i="113" s="1"/>
  <c r="P2611" i="113"/>
  <c r="R2611" i="113" s="1"/>
  <c r="P2566" i="113"/>
  <c r="R2566" i="113" s="1"/>
  <c r="P2514" i="113"/>
  <c r="R2514" i="113" s="1"/>
  <c r="P2471" i="113"/>
  <c r="R2471" i="113" s="1"/>
  <c r="P2422" i="113"/>
  <c r="R2422" i="113" s="1"/>
  <c r="P2375" i="113"/>
  <c r="R2375" i="113" s="1"/>
  <c r="P2330" i="113"/>
  <c r="R2330" i="113" s="1"/>
  <c r="P2282" i="113"/>
  <c r="R2282" i="113" s="1"/>
  <c r="P2238" i="113"/>
  <c r="R2238" i="113" s="1"/>
  <c r="P2184" i="113"/>
  <c r="R2184" i="113" s="1"/>
  <c r="P2138" i="113"/>
  <c r="R2138" i="113" s="1"/>
  <c r="P2094" i="113"/>
  <c r="R2094" i="113" s="1"/>
  <c r="P2048" i="113"/>
  <c r="P2008" i="113"/>
  <c r="R2008" i="113" s="1"/>
  <c r="P1967" i="113"/>
  <c r="R1967" i="113" s="1"/>
  <c r="P1921" i="113"/>
  <c r="R1921" i="113" s="1"/>
  <c r="P1880" i="113"/>
  <c r="R1880" i="113" s="1"/>
  <c r="P1840" i="113"/>
  <c r="R1840" i="113" s="1"/>
  <c r="P1804" i="113"/>
  <c r="R1804" i="113" s="1"/>
  <c r="P1763" i="113"/>
  <c r="R1763" i="113" s="1"/>
  <c r="P1723" i="113"/>
  <c r="R1723" i="113" s="1"/>
  <c r="P1681" i="113"/>
  <c r="R1681" i="113" s="1"/>
  <c r="P1641" i="113"/>
  <c r="R1641" i="113" s="1"/>
  <c r="P1604" i="113"/>
  <c r="R1604" i="113" s="1"/>
  <c r="P1563" i="113"/>
  <c r="R1563" i="113" s="1"/>
  <c r="P1525" i="113"/>
  <c r="R1525" i="113" s="1"/>
  <c r="P1487" i="113"/>
  <c r="R1487" i="113" s="1"/>
  <c r="P1444" i="113"/>
  <c r="R1444" i="113" s="1"/>
  <c r="P1416" i="113"/>
  <c r="R1416" i="113" s="1"/>
  <c r="P1394" i="113"/>
  <c r="R1394" i="113" s="1"/>
  <c r="P1364" i="113"/>
  <c r="R1364" i="113" s="1"/>
  <c r="P1338" i="113"/>
  <c r="R1338" i="113" s="1"/>
  <c r="P1309" i="113"/>
  <c r="R1309" i="113" s="1"/>
  <c r="P1282" i="113"/>
  <c r="R1282" i="113" s="1"/>
  <c r="P1257" i="113"/>
  <c r="R1257" i="113" s="1"/>
  <c r="P1229" i="113"/>
  <c r="R1229" i="113" s="1"/>
  <c r="P1205" i="113"/>
  <c r="R1205" i="113" s="1"/>
  <c r="P1177" i="113"/>
  <c r="R1177" i="113" s="1"/>
  <c r="P1153" i="113"/>
  <c r="P1129" i="113"/>
  <c r="R1129" i="113" s="1"/>
  <c r="P1102" i="113"/>
  <c r="P1082" i="113"/>
  <c r="R1082" i="113" s="1"/>
  <c r="P1058" i="113"/>
  <c r="R1058" i="113" s="1"/>
  <c r="P1037" i="113"/>
  <c r="R1037" i="113" s="1"/>
  <c r="P1016" i="113"/>
  <c r="R1016" i="113" s="1"/>
  <c r="P993" i="113"/>
  <c r="R993" i="113" s="1"/>
  <c r="P972" i="113"/>
  <c r="R972" i="113" s="1"/>
  <c r="P950" i="113"/>
  <c r="R950" i="113" s="1"/>
  <c r="P928" i="113"/>
  <c r="P908" i="113"/>
  <c r="R908" i="113" s="1"/>
  <c r="P884" i="113"/>
  <c r="R884" i="113" s="1"/>
  <c r="P865" i="113"/>
  <c r="R865" i="113" s="1"/>
  <c r="P841" i="113"/>
  <c r="R841" i="113" s="1"/>
  <c r="P820" i="113"/>
  <c r="R820" i="113" s="1"/>
  <c r="P798" i="113"/>
  <c r="R798" i="113" s="1"/>
  <c r="P777" i="113"/>
  <c r="R777" i="113" s="1"/>
  <c r="P758" i="113"/>
  <c r="R758" i="113" s="1"/>
  <c r="P737" i="113"/>
  <c r="R737" i="113" s="1"/>
  <c r="P717" i="113"/>
  <c r="R717" i="113" s="1"/>
  <c r="P698" i="113"/>
  <c r="R698" i="113" s="1"/>
  <c r="P677" i="113"/>
  <c r="R677" i="113" s="1"/>
  <c r="P659" i="113"/>
  <c r="R659" i="113" s="1"/>
  <c r="P640" i="113"/>
  <c r="R640" i="113" s="1"/>
  <c r="P621" i="113"/>
  <c r="R621" i="113" s="1"/>
  <c r="P603" i="113"/>
  <c r="R603" i="113" s="1"/>
  <c r="P585" i="113"/>
  <c r="R585" i="113" s="1"/>
  <c r="P566" i="113"/>
  <c r="R566" i="113" s="1"/>
  <c r="P547" i="113"/>
  <c r="R547" i="113" s="1"/>
  <c r="P529" i="113"/>
  <c r="R529" i="113" s="1"/>
  <c r="P512" i="113"/>
  <c r="R512" i="113" s="1"/>
  <c r="P492" i="113"/>
  <c r="R492" i="113" s="1"/>
  <c r="P475" i="113"/>
  <c r="R475" i="113" s="1"/>
  <c r="P459" i="113"/>
  <c r="R459" i="113" s="1"/>
  <c r="P443" i="113"/>
  <c r="R443" i="113" s="1"/>
  <c r="P426" i="113"/>
  <c r="R426" i="113" s="1"/>
  <c r="P408" i="113"/>
  <c r="R408" i="113" s="1"/>
  <c r="P391" i="113"/>
  <c r="R391" i="113" s="1"/>
  <c r="P374" i="113"/>
  <c r="R374" i="113" s="1"/>
  <c r="P357" i="113"/>
  <c r="R357" i="113" s="1"/>
  <c r="P341" i="113"/>
  <c r="R341" i="113" s="1"/>
  <c r="P324" i="113"/>
  <c r="R324" i="113" s="1"/>
  <c r="P307" i="113"/>
  <c r="R307" i="113" s="1"/>
  <c r="P289" i="113"/>
  <c r="R289" i="113" s="1"/>
  <c r="P272" i="113"/>
  <c r="R272" i="113" s="1"/>
  <c r="P8" i="113"/>
  <c r="R8" i="113" s="1"/>
  <c r="P24" i="113"/>
  <c r="R24" i="113" s="1"/>
  <c r="P41" i="113"/>
  <c r="R41" i="113" s="1"/>
  <c r="P57" i="113"/>
  <c r="R57" i="113" s="1"/>
  <c r="P75" i="113"/>
  <c r="R75" i="113" s="1"/>
  <c r="P90" i="113"/>
  <c r="R90" i="113" s="1"/>
  <c r="P106" i="113"/>
  <c r="R106" i="113" s="1"/>
  <c r="P121" i="113"/>
  <c r="R121" i="113" s="1"/>
  <c r="P137" i="113"/>
  <c r="R137" i="113" s="1"/>
  <c r="P153" i="113"/>
  <c r="R153" i="113" s="1"/>
  <c r="P169" i="113"/>
  <c r="R169" i="113" s="1"/>
  <c r="P185" i="113"/>
  <c r="R185" i="113" s="1"/>
  <c r="P200" i="113"/>
  <c r="P216" i="113"/>
  <c r="R216" i="113" s="1"/>
  <c r="P231" i="113"/>
  <c r="R231" i="113" s="1"/>
  <c r="P247" i="113"/>
  <c r="R247" i="113" s="1"/>
  <c r="P2652" i="113"/>
  <c r="R2652" i="113" s="1"/>
  <c r="P2610" i="113"/>
  <c r="R2610" i="113" s="1"/>
  <c r="P2563" i="113"/>
  <c r="R2563" i="113" s="1"/>
  <c r="P2510" i="113"/>
  <c r="R2510" i="113" s="1"/>
  <c r="P2464" i="113"/>
  <c r="R2464" i="113" s="1"/>
  <c r="P2419" i="113"/>
  <c r="R2419" i="113" s="1"/>
  <c r="P2374" i="113"/>
  <c r="R2374" i="113" s="1"/>
  <c r="P2326" i="113"/>
  <c r="R2326" i="113" s="1"/>
  <c r="P2273" i="113"/>
  <c r="R2273" i="113" s="1"/>
  <c r="P2227" i="113"/>
  <c r="R2227" i="113" s="1"/>
  <c r="P2181" i="113"/>
  <c r="R2181" i="113" s="1"/>
  <c r="P2137" i="113"/>
  <c r="R2137" i="113" s="1"/>
  <c r="P2090" i="113"/>
  <c r="R2090" i="113" s="1"/>
  <c r="P2047" i="113"/>
  <c r="R2047" i="113" s="1"/>
  <c r="P1999" i="113"/>
  <c r="R1999" i="113" s="1"/>
  <c r="P1962" i="113"/>
  <c r="R1962" i="113" s="1"/>
  <c r="P1919" i="113"/>
  <c r="R1919" i="113" s="1"/>
  <c r="P1879" i="113"/>
  <c r="R1879" i="113" s="1"/>
  <c r="P1839" i="113"/>
  <c r="P1802" i="113"/>
  <c r="R1802" i="113" s="1"/>
  <c r="P1760" i="113"/>
  <c r="R1760" i="113" s="1"/>
  <c r="P1718" i="113"/>
  <c r="R1718" i="113" s="1"/>
  <c r="P1678" i="113"/>
  <c r="R1678" i="113" s="1"/>
  <c r="P1640" i="113"/>
  <c r="R1640" i="113" s="1"/>
  <c r="P1603" i="113"/>
  <c r="R1603" i="113" s="1"/>
  <c r="P1560" i="113"/>
  <c r="R1560" i="113" s="1"/>
  <c r="P1524" i="113"/>
  <c r="R1524" i="113" s="1"/>
  <c r="P1483" i="113"/>
  <c r="R1483" i="113" s="1"/>
  <c r="P1443" i="113"/>
  <c r="R1443" i="113" s="1"/>
  <c r="P1415" i="113"/>
  <c r="P1390" i="113"/>
  <c r="R1390" i="113" s="1"/>
  <c r="P1362" i="113"/>
  <c r="R1362" i="113" s="1"/>
  <c r="P1336" i="113"/>
  <c r="R1336" i="113" s="1"/>
  <c r="P1305" i="113"/>
  <c r="R1305" i="113" s="1"/>
  <c r="P1280" i="113"/>
  <c r="R1280" i="113" s="1"/>
  <c r="P1254" i="113"/>
  <c r="R1254" i="113" s="1"/>
  <c r="P1228" i="113"/>
  <c r="P1175" i="113"/>
  <c r="R1175" i="113" s="1"/>
  <c r="P1152" i="113"/>
  <c r="R1152" i="113" s="1"/>
  <c r="P1126" i="113"/>
  <c r="R1126" i="113" s="1"/>
  <c r="P1101" i="113"/>
  <c r="R1101" i="113" s="1"/>
  <c r="P1056" i="113"/>
  <c r="R1056" i="113" s="1"/>
  <c r="P1036" i="113"/>
  <c r="R1036" i="113" s="1"/>
  <c r="P992" i="113"/>
  <c r="R992" i="113" s="1"/>
  <c r="P947" i="113"/>
  <c r="R947" i="113" s="1"/>
  <c r="P927" i="113"/>
  <c r="R927" i="113" s="1"/>
  <c r="P883" i="113"/>
  <c r="R883" i="113" s="1"/>
  <c r="P862" i="113"/>
  <c r="R862" i="113" s="1"/>
  <c r="P819" i="113"/>
  <c r="R819" i="113" s="1"/>
  <c r="P796" i="113"/>
  <c r="R796" i="113" s="1"/>
  <c r="P756" i="113"/>
  <c r="P716" i="113"/>
  <c r="R716" i="113" s="1"/>
  <c r="P695" i="113"/>
  <c r="R695" i="113" s="1"/>
  <c r="P658" i="113"/>
  <c r="R658" i="113" s="1"/>
  <c r="P620" i="113"/>
  <c r="R620" i="113" s="1"/>
  <c r="P602" i="113"/>
  <c r="R602" i="113" s="1"/>
  <c r="P564" i="113"/>
  <c r="R564" i="113" s="1"/>
  <c r="P528" i="113"/>
  <c r="R528" i="113" s="1"/>
  <c r="P509" i="113"/>
  <c r="R509" i="113" s="1"/>
  <c r="P474" i="113"/>
  <c r="R474" i="113" s="1"/>
  <c r="P442" i="113"/>
  <c r="R442" i="113" s="1"/>
  <c r="P407" i="113"/>
  <c r="R407" i="113" s="1"/>
  <c r="P390" i="113"/>
  <c r="R390" i="113" s="1"/>
  <c r="P356" i="113"/>
  <c r="R356" i="113" s="1"/>
  <c r="P323" i="113"/>
  <c r="R323" i="113" s="1"/>
  <c r="P288" i="113"/>
  <c r="R288" i="113" s="1"/>
  <c r="P9" i="113"/>
  <c r="P25" i="113"/>
  <c r="R25" i="113" s="1"/>
  <c r="P59" i="113"/>
  <c r="R59" i="113" s="1"/>
  <c r="P1202" i="113"/>
  <c r="R1202" i="113" s="1"/>
  <c r="P1080" i="113"/>
  <c r="R1080" i="113" s="1"/>
  <c r="P1014" i="113"/>
  <c r="R1014" i="113" s="1"/>
  <c r="P970" i="113"/>
  <c r="R970" i="113" s="1"/>
  <c r="P906" i="113"/>
  <c r="R906" i="113" s="1"/>
  <c r="P839" i="113"/>
  <c r="R839" i="113" s="1"/>
  <c r="P776" i="113"/>
  <c r="R776" i="113" s="1"/>
  <c r="P735" i="113"/>
  <c r="R735" i="113" s="1"/>
  <c r="P676" i="113"/>
  <c r="R676" i="113" s="1"/>
  <c r="P639" i="113"/>
  <c r="R639" i="113" s="1"/>
  <c r="P584" i="113"/>
  <c r="R584" i="113" s="1"/>
  <c r="P546" i="113"/>
  <c r="R546" i="113" s="1"/>
  <c r="P491" i="113"/>
  <c r="R491" i="113" s="1"/>
  <c r="P458" i="113"/>
  <c r="R458" i="113" s="1"/>
  <c r="P425" i="113"/>
  <c r="R425" i="113" s="1"/>
  <c r="P373" i="113"/>
  <c r="R373" i="113" s="1"/>
  <c r="P340" i="113"/>
  <c r="R340" i="113" s="1"/>
  <c r="P305" i="113"/>
  <c r="R305" i="113" s="1"/>
  <c r="P271" i="113"/>
  <c r="R271" i="113" s="1"/>
  <c r="P42" i="113"/>
  <c r="P76" i="113"/>
  <c r="R76" i="113" s="1"/>
  <c r="P2649" i="113"/>
  <c r="R2649" i="113" s="1"/>
  <c r="P2608" i="113"/>
  <c r="R2608" i="113" s="1"/>
  <c r="P2553" i="113"/>
  <c r="R2553" i="113" s="1"/>
  <c r="P2509" i="113"/>
  <c r="P2463" i="113"/>
  <c r="R2463" i="113" s="1"/>
  <c r="P2416" i="113"/>
  <c r="R2416" i="113" s="1"/>
  <c r="P2373" i="113"/>
  <c r="R2373" i="113" s="1"/>
  <c r="P2319" i="113"/>
  <c r="R2319" i="113" s="1"/>
  <c r="P2271" i="113"/>
  <c r="R2271" i="113" s="1"/>
  <c r="P2225" i="113"/>
  <c r="R2225" i="113" s="1"/>
  <c r="P2180" i="113"/>
  <c r="R2180" i="113" s="1"/>
  <c r="P2136" i="113"/>
  <c r="R2136" i="113" s="1"/>
  <c r="P2085" i="113"/>
  <c r="R2085" i="113" s="1"/>
  <c r="P2039" i="113"/>
  <c r="R2039" i="113" s="1"/>
  <c r="P1997" i="113"/>
  <c r="R1997" i="113" s="1"/>
  <c r="P1956" i="113"/>
  <c r="R1956" i="113" s="1"/>
  <c r="P1918" i="113"/>
  <c r="R1918" i="113" s="1"/>
  <c r="P1877" i="113"/>
  <c r="R1877" i="113" s="1"/>
  <c r="P1838" i="113"/>
  <c r="R1838" i="113" s="1"/>
  <c r="P1797" i="113"/>
  <c r="R1797" i="113" s="1"/>
  <c r="P1752" i="113"/>
  <c r="R1752" i="113" s="1"/>
  <c r="P1715" i="113"/>
  <c r="R1715" i="113" s="1"/>
  <c r="P1676" i="113"/>
  <c r="R1676" i="113" s="1"/>
  <c r="P1637" i="113"/>
  <c r="R1637" i="113" s="1"/>
  <c r="P1601" i="113"/>
  <c r="R1601" i="113" s="1"/>
  <c r="P1555" i="113"/>
  <c r="R1555" i="113" s="1"/>
  <c r="P1518" i="113"/>
  <c r="R1518" i="113" s="1"/>
  <c r="P1477" i="113"/>
  <c r="R1477" i="113" s="1"/>
  <c r="P1442" i="113"/>
  <c r="R1442" i="113" s="1"/>
  <c r="P1386" i="113"/>
  <c r="R1386" i="113" s="1"/>
  <c r="P1360" i="113"/>
  <c r="R1360" i="113" s="1"/>
  <c r="P1334" i="113"/>
  <c r="R1334" i="113" s="1"/>
  <c r="P1304" i="113"/>
  <c r="R1304" i="113" s="1"/>
  <c r="P1278" i="113"/>
  <c r="R1278" i="113" s="1"/>
  <c r="P1251" i="113"/>
  <c r="R1251" i="113" s="1"/>
  <c r="P1227" i="113"/>
  <c r="R1227" i="113" s="1"/>
  <c r="P1201" i="113"/>
  <c r="R1201" i="113" s="1"/>
  <c r="P1174" i="113"/>
  <c r="R1174" i="113" s="1"/>
  <c r="P1150" i="113"/>
  <c r="R1150" i="113" s="1"/>
  <c r="P1123" i="113"/>
  <c r="R1123" i="113" s="1"/>
  <c r="P1100" i="113"/>
  <c r="R1100" i="113" s="1"/>
  <c r="P1079" i="113"/>
  <c r="R1079" i="113" s="1"/>
  <c r="P1055" i="113"/>
  <c r="R1055" i="113" s="1"/>
  <c r="P1035" i="113"/>
  <c r="R1035" i="113" s="1"/>
  <c r="P1011" i="113"/>
  <c r="R1011" i="113" s="1"/>
  <c r="P990" i="113"/>
  <c r="R990" i="113" s="1"/>
  <c r="P969" i="113"/>
  <c r="P946" i="113"/>
  <c r="R946" i="113" s="1"/>
  <c r="P926" i="113"/>
  <c r="R926" i="113" s="1"/>
  <c r="P903" i="113"/>
  <c r="R903" i="113" s="1"/>
  <c r="P882" i="113"/>
  <c r="R882" i="113" s="1"/>
  <c r="P860" i="113"/>
  <c r="R860" i="113" s="1"/>
  <c r="P837" i="113"/>
  <c r="R837" i="113" s="1"/>
  <c r="P817" i="113"/>
  <c r="R817" i="113" s="1"/>
  <c r="P794" i="113"/>
  <c r="R794" i="113" s="1"/>
  <c r="P775" i="113"/>
  <c r="R775" i="113" s="1"/>
  <c r="P755" i="113"/>
  <c r="R755" i="113" s="1"/>
  <c r="P734" i="113"/>
  <c r="R734" i="113" s="1"/>
  <c r="P715" i="113"/>
  <c r="R715" i="113" s="1"/>
  <c r="P693" i="113"/>
  <c r="R693" i="113" s="1"/>
  <c r="P675" i="113"/>
  <c r="R675" i="113" s="1"/>
  <c r="P657" i="113"/>
  <c r="R657" i="113" s="1"/>
  <c r="P637" i="113"/>
  <c r="R637" i="113" s="1"/>
  <c r="P619" i="113"/>
  <c r="R619" i="113" s="1"/>
  <c r="P601" i="113"/>
  <c r="R601" i="113" s="1"/>
  <c r="P581" i="113"/>
  <c r="R581" i="113" s="1"/>
  <c r="P562" i="113"/>
  <c r="R562" i="113" s="1"/>
  <c r="P545" i="113"/>
  <c r="R545" i="113" s="1"/>
  <c r="P527" i="113"/>
  <c r="R527" i="113" s="1"/>
  <c r="P508" i="113"/>
  <c r="R508" i="113" s="1"/>
  <c r="P490" i="113"/>
  <c r="R490" i="113" s="1"/>
  <c r="P473" i="113"/>
  <c r="R473" i="113" s="1"/>
  <c r="P457" i="113"/>
  <c r="R457" i="113" s="1"/>
  <c r="P440" i="113"/>
  <c r="R440" i="113" s="1"/>
  <c r="P423" i="113"/>
  <c r="R423" i="113" s="1"/>
  <c r="P405" i="113"/>
  <c r="R405" i="113" s="1"/>
  <c r="P388" i="113"/>
  <c r="R388" i="113" s="1"/>
  <c r="P372" i="113"/>
  <c r="R372" i="113" s="1"/>
  <c r="P355" i="113"/>
  <c r="R355" i="113" s="1"/>
  <c r="P339" i="113"/>
  <c r="R339" i="113" s="1"/>
  <c r="P321" i="113"/>
  <c r="R321" i="113" s="1"/>
  <c r="P303" i="113"/>
  <c r="R303" i="113" s="1"/>
  <c r="P287" i="113"/>
  <c r="R287" i="113" s="1"/>
  <c r="P270" i="113"/>
  <c r="R270" i="113" s="1"/>
  <c r="P10" i="113"/>
  <c r="R10" i="113" s="1"/>
  <c r="P27" i="113"/>
  <c r="R27" i="113" s="1"/>
  <c r="P43" i="113"/>
  <c r="R43" i="113" s="1"/>
  <c r="P60" i="113"/>
  <c r="R60" i="113" s="1"/>
  <c r="P77" i="113"/>
  <c r="P92" i="113"/>
  <c r="R92" i="113" s="1"/>
  <c r="P108" i="113"/>
  <c r="R108" i="113" s="1"/>
  <c r="P123" i="113"/>
  <c r="R123" i="113" s="1"/>
  <c r="P139" i="113"/>
  <c r="R139" i="113" s="1"/>
  <c r="P155" i="113"/>
  <c r="R155" i="113" s="1"/>
  <c r="P171" i="113"/>
  <c r="R171" i="113" s="1"/>
  <c r="P187" i="113"/>
  <c r="R187" i="113" s="1"/>
  <c r="P202" i="113"/>
  <c r="R202" i="113" s="1"/>
  <c r="P218" i="113"/>
  <c r="R218" i="113" s="1"/>
  <c r="P234" i="113"/>
  <c r="R234" i="113" s="1"/>
  <c r="P250" i="113"/>
  <c r="R250" i="113" s="1"/>
  <c r="P1225" i="113"/>
  <c r="R1225" i="113" s="1"/>
  <c r="P1173" i="113"/>
  <c r="R1173" i="113" s="1"/>
  <c r="P1120" i="113"/>
  <c r="R1120" i="113" s="1"/>
  <c r="P1076" i="113"/>
  <c r="R1076" i="113" s="1"/>
  <c r="P1032" i="113"/>
  <c r="R1032" i="113" s="1"/>
  <c r="P989" i="113"/>
  <c r="R989" i="113" s="1"/>
  <c r="P945" i="113"/>
  <c r="R945" i="113" s="1"/>
  <c r="P900" i="113"/>
  <c r="R900" i="113" s="1"/>
  <c r="P858" i="113"/>
  <c r="R858" i="113" s="1"/>
  <c r="P815" i="113"/>
  <c r="R815" i="113" s="1"/>
  <c r="P774" i="113"/>
  <c r="R774" i="113" s="1"/>
  <c r="P733" i="113"/>
  <c r="P691" i="113"/>
  <c r="R691" i="113" s="1"/>
  <c r="P655" i="113"/>
  <c r="R655" i="113" s="1"/>
  <c r="P618" i="113"/>
  <c r="P580" i="113"/>
  <c r="R580" i="113" s="1"/>
  <c r="P544" i="113"/>
  <c r="R544" i="113" s="1"/>
  <c r="P506" i="113"/>
  <c r="R506" i="113" s="1"/>
  <c r="P472" i="113"/>
  <c r="R472" i="113" s="1"/>
  <c r="P439" i="113"/>
  <c r="R439" i="113" s="1"/>
  <c r="P404" i="113"/>
  <c r="R404" i="113" s="1"/>
  <c r="P371" i="113"/>
  <c r="R371" i="113" s="1"/>
  <c r="P337" i="113"/>
  <c r="R337" i="113" s="1"/>
  <c r="P302" i="113"/>
  <c r="R302" i="113" s="1"/>
  <c r="P269" i="113"/>
  <c r="R269" i="113" s="1"/>
  <c r="P28" i="113"/>
  <c r="P62" i="113"/>
  <c r="R62" i="113" s="1"/>
  <c r="P93" i="113"/>
  <c r="R93" i="113" s="1"/>
  <c r="P124" i="113"/>
  <c r="R124" i="113" s="1"/>
  <c r="P156" i="113"/>
  <c r="R156" i="113" s="1"/>
  <c r="P188" i="113"/>
  <c r="P220" i="113"/>
  <c r="R220" i="113" s="1"/>
  <c r="P251" i="113"/>
  <c r="R251" i="113" s="1"/>
  <c r="P2648" i="113"/>
  <c r="R2648" i="113" s="1"/>
  <c r="P2597" i="113"/>
  <c r="R2597" i="113" s="1"/>
  <c r="P2549" i="113"/>
  <c r="R2549" i="113" s="1"/>
  <c r="P2508" i="113"/>
  <c r="R2508" i="113" s="1"/>
  <c r="P2461" i="113"/>
  <c r="R2461" i="113" s="1"/>
  <c r="P2413" i="113"/>
  <c r="R2413" i="113" s="1"/>
  <c r="P2368" i="113"/>
  <c r="R2368" i="113" s="1"/>
  <c r="P2313" i="113"/>
  <c r="R2313" i="113" s="1"/>
  <c r="P2270" i="113"/>
  <c r="R2270" i="113" s="1"/>
  <c r="P2223" i="113"/>
  <c r="R2223" i="113" s="1"/>
  <c r="P2178" i="113"/>
  <c r="R2178" i="113" s="1"/>
  <c r="P2131" i="113"/>
  <c r="R2131" i="113" s="1"/>
  <c r="P2078" i="113"/>
  <c r="R2078" i="113" s="1"/>
  <c r="P2036" i="113"/>
  <c r="R2036" i="113" s="1"/>
  <c r="P1995" i="113"/>
  <c r="R1995" i="113" s="1"/>
  <c r="P1954" i="113"/>
  <c r="R1954" i="113" s="1"/>
  <c r="P1917" i="113"/>
  <c r="R1917" i="113" s="1"/>
  <c r="P1875" i="113"/>
  <c r="R1875" i="113" s="1"/>
  <c r="P1834" i="113"/>
  <c r="R1834" i="113" s="1"/>
  <c r="P1796" i="113"/>
  <c r="R1796" i="113" s="1"/>
  <c r="P1750" i="113"/>
  <c r="R1750" i="113" s="1"/>
  <c r="P1714" i="113"/>
  <c r="R1714" i="113" s="1"/>
  <c r="P1674" i="113"/>
  <c r="R1674" i="113" s="1"/>
  <c r="P1636" i="113"/>
  <c r="P1598" i="113"/>
  <c r="P1553" i="113"/>
  <c r="P1516" i="113"/>
  <c r="R1516" i="113" s="1"/>
  <c r="P1475" i="113"/>
  <c r="R1475" i="113" s="1"/>
  <c r="P1441" i="113"/>
  <c r="R1441" i="113" s="1"/>
  <c r="P1413" i="113"/>
  <c r="R1413" i="113" s="1"/>
  <c r="P1384" i="113"/>
  <c r="R1384" i="113" s="1"/>
  <c r="P1359" i="113"/>
  <c r="R1359" i="113" s="1"/>
  <c r="P1332" i="113"/>
  <c r="R1332" i="113" s="1"/>
  <c r="P1303" i="113"/>
  <c r="R1303" i="113" s="1"/>
  <c r="P1275" i="113"/>
  <c r="R1275" i="113" s="1"/>
  <c r="P1248" i="113"/>
  <c r="R1248" i="113" s="1"/>
  <c r="P1199" i="113"/>
  <c r="R1199" i="113" s="1"/>
  <c r="P1146" i="113"/>
  <c r="R1146" i="113" s="1"/>
  <c r="P1099" i="113"/>
  <c r="R1099" i="113" s="1"/>
  <c r="P1054" i="113"/>
  <c r="R1054" i="113" s="1"/>
  <c r="P1009" i="113"/>
  <c r="R1009" i="113" s="1"/>
  <c r="P967" i="113"/>
  <c r="R967" i="113" s="1"/>
  <c r="P924" i="113"/>
  <c r="R924" i="113" s="1"/>
  <c r="P881" i="113"/>
  <c r="R881" i="113" s="1"/>
  <c r="P836" i="113"/>
  <c r="R836" i="113" s="1"/>
  <c r="P792" i="113"/>
  <c r="R792" i="113" s="1"/>
  <c r="P753" i="113"/>
  <c r="R753" i="113" s="1"/>
  <c r="P713" i="113"/>
  <c r="R713" i="113" s="1"/>
  <c r="P674" i="113"/>
  <c r="R674" i="113" s="1"/>
  <c r="P635" i="113"/>
  <c r="R635" i="113" s="1"/>
  <c r="P600" i="113"/>
  <c r="R600" i="113" s="1"/>
  <c r="P561" i="113"/>
  <c r="P526" i="113"/>
  <c r="R526" i="113" s="1"/>
  <c r="P489" i="113"/>
  <c r="R489" i="113" s="1"/>
  <c r="P456" i="113"/>
  <c r="R456" i="113" s="1"/>
  <c r="P422" i="113"/>
  <c r="R422" i="113" s="1"/>
  <c r="P387" i="113"/>
  <c r="R387" i="113" s="1"/>
  <c r="P354" i="113"/>
  <c r="R354" i="113" s="1"/>
  <c r="P320" i="113"/>
  <c r="R320" i="113" s="1"/>
  <c r="P286" i="113"/>
  <c r="R286" i="113" s="1"/>
  <c r="P11" i="113"/>
  <c r="R11" i="113" s="1"/>
  <c r="P45" i="113"/>
  <c r="R45" i="113" s="1"/>
  <c r="P78" i="113"/>
  <c r="R78" i="113" s="1"/>
  <c r="P109" i="113"/>
  <c r="R109" i="113" s="1"/>
  <c r="P140" i="113"/>
  <c r="R140" i="113" s="1"/>
  <c r="P172" i="113"/>
  <c r="P203" i="113"/>
  <c r="R203" i="113" s="1"/>
  <c r="P235" i="113"/>
  <c r="R235" i="113" s="1"/>
  <c r="P2644" i="113"/>
  <c r="R2644" i="113" s="1"/>
  <c r="P2595" i="113"/>
  <c r="R2595" i="113" s="1"/>
  <c r="P2548" i="113"/>
  <c r="R2548" i="113" s="1"/>
  <c r="P2507" i="113"/>
  <c r="R2507" i="113" s="1"/>
  <c r="P2458" i="113"/>
  <c r="R2458" i="113" s="1"/>
  <c r="P2412" i="113"/>
  <c r="R2412" i="113" s="1"/>
  <c r="P2360" i="113"/>
  <c r="R2360" i="113" s="1"/>
  <c r="P2311" i="113"/>
  <c r="R2311" i="113" s="1"/>
  <c r="P2269" i="113"/>
  <c r="R2269" i="113" s="1"/>
  <c r="P2221" i="113"/>
  <c r="R2221" i="113" s="1"/>
  <c r="P2172" i="113"/>
  <c r="R2172" i="113" s="1"/>
  <c r="P2129" i="113"/>
  <c r="R2129" i="113" s="1"/>
  <c r="P2076" i="113"/>
  <c r="R2076" i="113" s="1"/>
  <c r="P2035" i="113"/>
  <c r="P1993" i="113"/>
  <c r="R1993" i="113" s="1"/>
  <c r="P1953" i="113"/>
  <c r="R1953" i="113" s="1"/>
  <c r="P1913" i="113"/>
  <c r="R1913" i="113" s="1"/>
  <c r="P1869" i="113"/>
  <c r="P1833" i="113"/>
  <c r="R1833" i="113" s="1"/>
  <c r="P1790" i="113"/>
  <c r="R1790" i="113" s="1"/>
  <c r="P1749" i="113"/>
  <c r="R1749" i="113" s="1"/>
  <c r="P1712" i="113"/>
  <c r="R1712" i="113" s="1"/>
  <c r="P1671" i="113"/>
  <c r="R1671" i="113" s="1"/>
  <c r="P1634" i="113"/>
  <c r="R1634" i="113" s="1"/>
  <c r="P1590" i="113"/>
  <c r="R1590" i="113" s="1"/>
  <c r="P1550" i="113"/>
  <c r="R1550" i="113" s="1"/>
  <c r="P1513" i="113"/>
  <c r="R1513" i="113" s="1"/>
  <c r="P1473" i="113"/>
  <c r="R1473" i="113" s="1"/>
  <c r="P1440" i="113"/>
  <c r="R1440" i="113" s="1"/>
  <c r="P1412" i="113"/>
  <c r="R1412" i="113" s="1"/>
  <c r="P1383" i="113"/>
  <c r="R1383" i="113" s="1"/>
  <c r="P1357" i="113"/>
  <c r="R1357" i="113" s="1"/>
  <c r="P1329" i="113"/>
  <c r="R1329" i="113" s="1"/>
  <c r="P1302" i="113"/>
  <c r="R1302" i="113" s="1"/>
  <c r="P1274" i="113"/>
  <c r="R1274" i="113" s="1"/>
  <c r="P1247" i="113"/>
  <c r="R1247" i="113" s="1"/>
  <c r="P1224" i="113"/>
  <c r="R1224" i="113" s="1"/>
  <c r="P1196" i="113"/>
  <c r="R1196" i="113" s="1"/>
  <c r="P1172" i="113"/>
  <c r="R1172" i="113" s="1"/>
  <c r="P1145" i="113"/>
  <c r="R1145" i="113" s="1"/>
  <c r="P1119" i="113"/>
  <c r="R1119" i="113" s="1"/>
  <c r="P1098" i="113"/>
  <c r="R1098" i="113" s="1"/>
  <c r="P1073" i="113"/>
  <c r="R1073" i="113" s="1"/>
  <c r="P1053" i="113"/>
  <c r="R1053" i="113" s="1"/>
  <c r="P1031" i="113"/>
  <c r="R1031" i="113" s="1"/>
  <c r="P1008" i="113"/>
  <c r="R1008" i="113" s="1"/>
  <c r="P987" i="113"/>
  <c r="R987" i="113" s="1"/>
  <c r="P965" i="113"/>
  <c r="R965" i="113" s="1"/>
  <c r="P943" i="113"/>
  <c r="R943" i="113" s="1"/>
  <c r="P923" i="113"/>
  <c r="R923" i="113" s="1"/>
  <c r="P899" i="113"/>
  <c r="R899" i="113" s="1"/>
  <c r="P880" i="113"/>
  <c r="R880" i="113" s="1"/>
  <c r="P856" i="113"/>
  <c r="R856" i="113" s="1"/>
  <c r="P835" i="113"/>
  <c r="R835" i="113" s="1"/>
  <c r="P814" i="113"/>
  <c r="R814" i="113" s="1"/>
  <c r="P791" i="113"/>
  <c r="P773" i="113"/>
  <c r="P751" i="113"/>
  <c r="R751" i="113" s="1"/>
  <c r="P732" i="113"/>
  <c r="R732" i="113" s="1"/>
  <c r="P712" i="113"/>
  <c r="R712" i="113" s="1"/>
  <c r="P690" i="113"/>
  <c r="R690" i="113" s="1"/>
  <c r="P673" i="113"/>
  <c r="R673" i="113" s="1"/>
  <c r="P654" i="113"/>
  <c r="R654" i="113" s="1"/>
  <c r="P634" i="113"/>
  <c r="R634" i="113" s="1"/>
  <c r="P617" i="113"/>
  <c r="R617" i="113" s="1"/>
  <c r="P599" i="113"/>
  <c r="R599" i="113" s="1"/>
  <c r="P578" i="113"/>
  <c r="R578" i="113" s="1"/>
  <c r="P560" i="113"/>
  <c r="R560" i="113" s="1"/>
  <c r="P543" i="113"/>
  <c r="R543" i="113" s="1"/>
  <c r="P524" i="113"/>
  <c r="R524" i="113" s="1"/>
  <c r="P504" i="113"/>
  <c r="R504" i="113" s="1"/>
  <c r="P488" i="113"/>
  <c r="R488" i="113" s="1"/>
  <c r="P471" i="113"/>
  <c r="R471" i="113" s="1"/>
  <c r="P455" i="113"/>
  <c r="R455" i="113" s="1"/>
  <c r="P437" i="113"/>
  <c r="R437" i="113" s="1"/>
  <c r="P420" i="113"/>
  <c r="R420" i="113" s="1"/>
  <c r="P403" i="113"/>
  <c r="R403" i="113" s="1"/>
  <c r="P386" i="113"/>
  <c r="R386" i="113" s="1"/>
  <c r="P370" i="113"/>
  <c r="R370" i="113" s="1"/>
  <c r="P353" i="113"/>
  <c r="R353" i="113" s="1"/>
  <c r="P335" i="113"/>
  <c r="R335" i="113" s="1"/>
  <c r="P318" i="113"/>
  <c r="R318" i="113" s="1"/>
  <c r="P301" i="113"/>
  <c r="R301" i="113" s="1"/>
  <c r="P285" i="113"/>
  <c r="R285" i="113" s="1"/>
  <c r="P268" i="113"/>
  <c r="R268" i="113" s="1"/>
  <c r="P12" i="113"/>
  <c r="R12" i="113" s="1"/>
  <c r="P29" i="113"/>
  <c r="R29" i="113" s="1"/>
  <c r="P46" i="113"/>
  <c r="R46" i="113" s="1"/>
  <c r="P63" i="113"/>
  <c r="R63" i="113" s="1"/>
  <c r="P79" i="113"/>
  <c r="R79" i="113" s="1"/>
  <c r="P95" i="113"/>
  <c r="R95" i="113" s="1"/>
  <c r="P110" i="113"/>
  <c r="R110" i="113" s="1"/>
  <c r="P126" i="113"/>
  <c r="R126" i="113" s="1"/>
  <c r="P142" i="113"/>
  <c r="R142" i="113" s="1"/>
  <c r="P157" i="113"/>
  <c r="R157" i="113" s="1"/>
  <c r="P173" i="113"/>
  <c r="R173" i="113" s="1"/>
  <c r="P189" i="113"/>
  <c r="R189" i="113" s="1"/>
  <c r="P205" i="113"/>
  <c r="P221" i="113"/>
  <c r="R221" i="113" s="1"/>
  <c r="P236" i="113"/>
  <c r="R236" i="113" s="1"/>
  <c r="P252" i="113"/>
  <c r="R252" i="113" s="1"/>
  <c r="P2677" i="113"/>
  <c r="R2677" i="113" s="1"/>
  <c r="P2578" i="113"/>
  <c r="R2578" i="113" s="1"/>
  <c r="P2485" i="113"/>
  <c r="R2485" i="113" s="1"/>
  <c r="P2393" i="113"/>
  <c r="R2393" i="113" s="1"/>
  <c r="P2296" i="113"/>
  <c r="R2296" i="113" s="1"/>
  <c r="P2202" i="113"/>
  <c r="R2202" i="113" s="1"/>
  <c r="P2109" i="113"/>
  <c r="R2109" i="113" s="1"/>
  <c r="P2015" i="113"/>
  <c r="R2015" i="113" s="1"/>
  <c r="P1948" i="113"/>
  <c r="R1948" i="113" s="1"/>
  <c r="P1864" i="113"/>
  <c r="R1864" i="113" s="1"/>
  <c r="P1806" i="113"/>
  <c r="P1736" i="113"/>
  <c r="R1736" i="113" s="1"/>
  <c r="P1661" i="113"/>
  <c r="R1661" i="113" s="1"/>
  <c r="P1587" i="113"/>
  <c r="R1587" i="113" s="1"/>
  <c r="P1528" i="113"/>
  <c r="R1528" i="113" s="1"/>
  <c r="P1461" i="113"/>
  <c r="R1461" i="113" s="1"/>
  <c r="P1407" i="113"/>
  <c r="R1407" i="113" s="1"/>
  <c r="P1365" i="113"/>
  <c r="R1365" i="113" s="1"/>
  <c r="P1319" i="113"/>
  <c r="R1319" i="113" s="1"/>
  <c r="P1265" i="113"/>
  <c r="R1265" i="113" s="1"/>
  <c r="P1219" i="113"/>
  <c r="R1219" i="113" s="1"/>
  <c r="P1181" i="113"/>
  <c r="R1181" i="113" s="1"/>
  <c r="P1134" i="113"/>
  <c r="P1091" i="113"/>
  <c r="R1091" i="113" s="1"/>
  <c r="P1062" i="113"/>
  <c r="R1062" i="113" s="1"/>
  <c r="P1024" i="113"/>
  <c r="R1024" i="113" s="1"/>
  <c r="P994" i="113"/>
  <c r="R994" i="113" s="1"/>
  <c r="P958" i="113"/>
  <c r="R958" i="113" s="1"/>
  <c r="P921" i="113"/>
  <c r="R921" i="113" s="1"/>
  <c r="P892" i="113"/>
  <c r="R892" i="113" s="1"/>
  <c r="P853" i="113"/>
  <c r="R853" i="113" s="1"/>
  <c r="P823" i="113"/>
  <c r="R823" i="113" s="1"/>
  <c r="P788" i="113"/>
  <c r="P760" i="113"/>
  <c r="R760" i="113" s="1"/>
  <c r="P726" i="113"/>
  <c r="R726" i="113" s="1"/>
  <c r="P699" i="113"/>
  <c r="R699" i="113" s="1"/>
  <c r="P664" i="113"/>
  <c r="R664" i="113" s="1"/>
  <c r="P633" i="113"/>
  <c r="R633" i="113" s="1"/>
  <c r="P608" i="113"/>
  <c r="R608" i="113" s="1"/>
  <c r="P575" i="113"/>
  <c r="P552" i="113"/>
  <c r="R552" i="113" s="1"/>
  <c r="P519" i="113"/>
  <c r="R519" i="113" s="1"/>
  <c r="P495" i="113"/>
  <c r="R495" i="113" s="1"/>
  <c r="P466" i="113"/>
  <c r="R466" i="113" s="1"/>
  <c r="P444" i="113"/>
  <c r="R444" i="113" s="1"/>
  <c r="P414" i="113"/>
  <c r="R414" i="113" s="1"/>
  <c r="P385" i="113"/>
  <c r="R385" i="113" s="1"/>
  <c r="P362" i="113"/>
  <c r="R362" i="113" s="1"/>
  <c r="P332" i="113"/>
  <c r="R332" i="113" s="1"/>
  <c r="P311" i="113"/>
  <c r="R311" i="113" s="1"/>
  <c r="P282" i="113"/>
  <c r="R282" i="113" s="1"/>
  <c r="P6" i="113"/>
  <c r="R6" i="113" s="1"/>
  <c r="P35" i="113"/>
  <c r="R35" i="113" s="1"/>
  <c r="P56" i="113"/>
  <c r="R56" i="113" s="1"/>
  <c r="P84" i="113"/>
  <c r="R84" i="113" s="1"/>
  <c r="P105" i="113"/>
  <c r="R105" i="113" s="1"/>
  <c r="P129" i="113"/>
  <c r="R129" i="113" s="1"/>
  <c r="P150" i="113"/>
  <c r="R150" i="113" s="1"/>
  <c r="P174" i="113"/>
  <c r="R174" i="113" s="1"/>
  <c r="P195" i="113"/>
  <c r="R195" i="113" s="1"/>
  <c r="P215" i="113"/>
  <c r="R215" i="113" s="1"/>
  <c r="P239" i="113"/>
  <c r="R239" i="113" s="1"/>
  <c r="P259" i="113"/>
  <c r="R259" i="113" s="1"/>
  <c r="P2481" i="113"/>
  <c r="R2481" i="113" s="1"/>
  <c r="P2201" i="113"/>
  <c r="R2201" i="113" s="1"/>
  <c r="P2014" i="113"/>
  <c r="R2014" i="113" s="1"/>
  <c r="P1862" i="113"/>
  <c r="R1862" i="113" s="1"/>
  <c r="P1732" i="113"/>
  <c r="R1732" i="113" s="1"/>
  <c r="P1527" i="113"/>
  <c r="R1527" i="113" s="1"/>
  <c r="P1459" i="113"/>
  <c r="R1459" i="113" s="1"/>
  <c r="P1315" i="113"/>
  <c r="R1315" i="113" s="1"/>
  <c r="P1263" i="113"/>
  <c r="R1263" i="113" s="1"/>
  <c r="P1171" i="113"/>
  <c r="R1171" i="113" s="1"/>
  <c r="P1060" i="113"/>
  <c r="R1060" i="113" s="1"/>
  <c r="P957" i="113"/>
  <c r="P918" i="113"/>
  <c r="R918" i="113" s="1"/>
  <c r="P822" i="113"/>
  <c r="R822" i="113" s="1"/>
  <c r="P759" i="113"/>
  <c r="R759" i="113" s="1"/>
  <c r="P689" i="113"/>
  <c r="R689" i="113" s="1"/>
  <c r="P632" i="113"/>
  <c r="R632" i="113" s="1"/>
  <c r="P574" i="113"/>
  <c r="R574" i="113" s="1"/>
  <c r="P518" i="113"/>
  <c r="R518" i="113" s="1"/>
  <c r="P465" i="113"/>
  <c r="R465" i="113" s="1"/>
  <c r="P413" i="113"/>
  <c r="R413" i="113" s="1"/>
  <c r="P331" i="113"/>
  <c r="R331" i="113" s="1"/>
  <c r="P2676" i="113"/>
  <c r="R2676" i="113" s="1"/>
  <c r="P2576" i="113"/>
  <c r="R2576" i="113" s="1"/>
  <c r="P2390" i="113"/>
  <c r="R2390" i="113" s="1"/>
  <c r="P2291" i="113"/>
  <c r="R2291" i="113" s="1"/>
  <c r="P2107" i="113"/>
  <c r="R2107" i="113" s="1"/>
  <c r="P1941" i="113"/>
  <c r="R1941" i="113" s="1"/>
  <c r="P1805" i="113"/>
  <c r="R1805" i="113" s="1"/>
  <c r="P1660" i="113"/>
  <c r="R1660" i="113" s="1"/>
  <c r="P1585" i="113"/>
  <c r="R1585" i="113" s="1"/>
  <c r="P1403" i="113"/>
  <c r="P1354" i="113"/>
  <c r="R1354" i="113" s="1"/>
  <c r="P1217" i="113"/>
  <c r="R1217" i="113" s="1"/>
  <c r="P1132" i="113"/>
  <c r="R1132" i="113" s="1"/>
  <c r="P1089" i="113"/>
  <c r="R1089" i="113" s="1"/>
  <c r="P1023" i="113"/>
  <c r="R1023" i="113" s="1"/>
  <c r="P985" i="113"/>
  <c r="R985" i="113" s="1"/>
  <c r="P889" i="113"/>
  <c r="R889" i="113" s="1"/>
  <c r="P852" i="113"/>
  <c r="R852" i="113" s="1"/>
  <c r="P787" i="113"/>
  <c r="R787" i="113" s="1"/>
  <c r="P724" i="113"/>
  <c r="R724" i="113" s="1"/>
  <c r="P663" i="113"/>
  <c r="R663" i="113" s="1"/>
  <c r="P606" i="113"/>
  <c r="P550" i="113"/>
  <c r="R550" i="113" s="1"/>
  <c r="P494" i="113"/>
  <c r="P436" i="113"/>
  <c r="R436" i="113" s="1"/>
  <c r="P384" i="113"/>
  <c r="R384" i="113" s="1"/>
  <c r="P360" i="113"/>
  <c r="R360" i="113" s="1"/>
  <c r="P2661" i="113"/>
  <c r="R2661" i="113" s="1"/>
  <c r="P2568" i="113"/>
  <c r="R2568" i="113" s="1"/>
  <c r="P2477" i="113"/>
  <c r="R2477" i="113" s="1"/>
  <c r="P2376" i="113"/>
  <c r="R2376" i="113" s="1"/>
  <c r="P2283" i="113"/>
  <c r="R2283" i="113" s="1"/>
  <c r="P2187" i="113"/>
  <c r="R2187" i="113" s="1"/>
  <c r="P2095" i="113"/>
  <c r="R2095" i="113" s="1"/>
  <c r="P2011" i="113"/>
  <c r="R2011" i="113" s="1"/>
  <c r="P1935" i="113"/>
  <c r="R1935" i="113" s="1"/>
  <c r="P1860" i="113"/>
  <c r="P1782" i="113"/>
  <c r="R1782" i="113" s="1"/>
  <c r="P1724" i="113"/>
  <c r="R1724" i="113" s="1"/>
  <c r="P1657" i="113"/>
  <c r="R1657" i="113" s="1"/>
  <c r="P1582" i="113"/>
  <c r="R1582" i="113" s="1"/>
  <c r="P1510" i="113"/>
  <c r="R1510" i="113" s="1"/>
  <c r="P1447" i="113"/>
  <c r="R1447" i="113" s="1"/>
  <c r="P1400" i="113"/>
  <c r="R1400" i="113" s="1"/>
  <c r="P1351" i="113"/>
  <c r="R1351" i="113" s="1"/>
  <c r="P1301" i="113"/>
  <c r="R1301" i="113" s="1"/>
  <c r="P1260" i="113"/>
  <c r="R1260" i="113" s="1"/>
  <c r="P1213" i="113"/>
  <c r="R1213" i="113" s="1"/>
  <c r="P1166" i="113"/>
  <c r="R1166" i="113" s="1"/>
  <c r="P1118" i="113"/>
  <c r="P1086" i="113"/>
  <c r="R1086" i="113" s="1"/>
  <c r="P1051" i="113"/>
  <c r="P1021" i="113"/>
  <c r="R1021" i="113" s="1"/>
  <c r="P982" i="113"/>
  <c r="R982" i="113" s="1"/>
  <c r="P954" i="113"/>
  <c r="R954" i="113" s="1"/>
  <c r="P915" i="113"/>
  <c r="R915" i="113" s="1"/>
  <c r="P885" i="113"/>
  <c r="R885" i="113" s="1"/>
  <c r="P850" i="113"/>
  <c r="R850" i="113" s="1"/>
  <c r="P812" i="113"/>
  <c r="R812" i="113" s="1"/>
  <c r="P784" i="113"/>
  <c r="R784" i="113" s="1"/>
  <c r="P748" i="113"/>
  <c r="R748" i="113" s="1"/>
  <c r="P720" i="113"/>
  <c r="R720" i="113" s="1"/>
  <c r="P687" i="113"/>
  <c r="R687" i="113" s="1"/>
  <c r="P661" i="113"/>
  <c r="R661" i="113" s="1"/>
  <c r="P630" i="113"/>
  <c r="R630" i="113" s="1"/>
  <c r="P604" i="113"/>
  <c r="R604" i="113" s="1"/>
  <c r="P572" i="113"/>
  <c r="R572" i="113" s="1"/>
  <c r="P542" i="113"/>
  <c r="R542" i="113" s="1"/>
  <c r="P516" i="113"/>
  <c r="R516" i="113" s="1"/>
  <c r="P486" i="113"/>
  <c r="R486" i="113" s="1"/>
  <c r="P462" i="113"/>
  <c r="R462" i="113" s="1"/>
  <c r="P433" i="113"/>
  <c r="R433" i="113" s="1"/>
  <c r="P411" i="113"/>
  <c r="R411" i="113" s="1"/>
  <c r="P382" i="113"/>
  <c r="R382" i="113" s="1"/>
  <c r="P358" i="113"/>
  <c r="R358" i="113" s="1"/>
  <c r="P329" i="113"/>
  <c r="R329" i="113" s="1"/>
  <c r="P300" i="113"/>
  <c r="R300" i="113" s="1"/>
  <c r="P277" i="113"/>
  <c r="P14" i="113"/>
  <c r="R14" i="113" s="1"/>
  <c r="P38" i="113"/>
  <c r="R38" i="113" s="1"/>
  <c r="P66" i="113"/>
  <c r="R66" i="113" s="1"/>
  <c r="P88" i="113"/>
  <c r="R88" i="113" s="1"/>
  <c r="P112" i="113"/>
  <c r="R112" i="113" s="1"/>
  <c r="P133" i="113"/>
  <c r="R133" i="113" s="1"/>
  <c r="P154" i="113"/>
  <c r="R154" i="113" s="1"/>
  <c r="P178" i="113"/>
  <c r="R178" i="113" s="1"/>
  <c r="P198" i="113"/>
  <c r="R198" i="113" s="1"/>
  <c r="P223" i="113"/>
  <c r="R223" i="113" s="1"/>
  <c r="P242" i="113"/>
  <c r="R242" i="113" s="1"/>
  <c r="P2634" i="113"/>
  <c r="R2634" i="113" s="1"/>
  <c r="P2544" i="113"/>
  <c r="R2544" i="113" s="1"/>
  <c r="P2444" i="113"/>
  <c r="P2349" i="113"/>
  <c r="R2349" i="113" s="1"/>
  <c r="P2258" i="113"/>
  <c r="R2258" i="113" s="1"/>
  <c r="P2163" i="113"/>
  <c r="R2163" i="113" s="1"/>
  <c r="P2069" i="113"/>
  <c r="R2069" i="113" s="1"/>
  <c r="P1981" i="113"/>
  <c r="R1981" i="113" s="1"/>
  <c r="P1912" i="113"/>
  <c r="R1912" i="113" s="1"/>
  <c r="P1847" i="113"/>
  <c r="R1847" i="113" s="1"/>
  <c r="P1777" i="113"/>
  <c r="R1777" i="113" s="1"/>
  <c r="P1700" i="113"/>
  <c r="R1700" i="113" s="1"/>
  <c r="P1632" i="113"/>
  <c r="R1632" i="113" s="1"/>
  <c r="P1569" i="113"/>
  <c r="R1569" i="113" s="1"/>
  <c r="P1497" i="113"/>
  <c r="R1497" i="113" s="1"/>
  <c r="P1430" i="113"/>
  <c r="R1430" i="113" s="1"/>
  <c r="P1395" i="113"/>
  <c r="R1395" i="113" s="1"/>
  <c r="P1344" i="113"/>
  <c r="R1344" i="113" s="1"/>
  <c r="P1294" i="113"/>
  <c r="R1294" i="113" s="1"/>
  <c r="P1245" i="113"/>
  <c r="R1245" i="113" s="1"/>
  <c r="P1206" i="113"/>
  <c r="R1206" i="113" s="1"/>
  <c r="P1159" i="113"/>
  <c r="R1159" i="113" s="1"/>
  <c r="P1115" i="113"/>
  <c r="R1115" i="113" s="1"/>
  <c r="P1083" i="113"/>
  <c r="R1083" i="113" s="1"/>
  <c r="P1045" i="113"/>
  <c r="R1045" i="113" s="1"/>
  <c r="P1007" i="113"/>
  <c r="R1007" i="113" s="1"/>
  <c r="P977" i="113"/>
  <c r="R977" i="113" s="1"/>
  <c r="P941" i="113"/>
  <c r="R941" i="113" s="1"/>
  <c r="P912" i="113"/>
  <c r="R912" i="113" s="1"/>
  <c r="P874" i="113"/>
  <c r="R874" i="113" s="1"/>
  <c r="P845" i="113"/>
  <c r="R845" i="113" s="1"/>
  <c r="P807" i="113"/>
  <c r="R807" i="113" s="1"/>
  <c r="P778" i="113"/>
  <c r="P745" i="113"/>
  <c r="R745" i="113" s="1"/>
  <c r="P710" i="113"/>
  <c r="R710" i="113" s="1"/>
  <c r="P683" i="113"/>
  <c r="R683" i="113" s="1"/>
  <c r="P650" i="113"/>
  <c r="R650" i="113" s="1"/>
  <c r="P626" i="113"/>
  <c r="R626" i="113" s="1"/>
  <c r="P593" i="113"/>
  <c r="R593" i="113" s="1"/>
  <c r="P569" i="113"/>
  <c r="R569" i="113" s="1"/>
  <c r="P537" i="113"/>
  <c r="R537" i="113" s="1"/>
  <c r="P513" i="113"/>
  <c r="R513" i="113" s="1"/>
  <c r="P483" i="113"/>
  <c r="R483" i="113" s="1"/>
  <c r="P454" i="113"/>
  <c r="R454" i="113" s="1"/>
  <c r="P430" i="113"/>
  <c r="R430" i="113" s="1"/>
  <c r="P401" i="113"/>
  <c r="R401" i="113" s="1"/>
  <c r="P378" i="113"/>
  <c r="R378" i="113" s="1"/>
  <c r="P349" i="113"/>
  <c r="R349" i="113" s="1"/>
  <c r="P326" i="113"/>
  <c r="R326" i="113" s="1"/>
  <c r="P297" i="113"/>
  <c r="R297" i="113" s="1"/>
  <c r="P273" i="113"/>
  <c r="R273" i="113" s="1"/>
  <c r="P19" i="113"/>
  <c r="R19" i="113" s="1"/>
  <c r="P48" i="113"/>
  <c r="R48" i="113" s="1"/>
  <c r="P70" i="113"/>
  <c r="R70" i="113" s="1"/>
  <c r="P96" i="113"/>
  <c r="R96" i="113" s="1"/>
  <c r="P115" i="113"/>
  <c r="R115" i="113" s="1"/>
  <c r="P136" i="113"/>
  <c r="R136" i="113" s="1"/>
  <c r="P161" i="113"/>
  <c r="R161" i="113" s="1"/>
  <c r="P182" i="113"/>
  <c r="R182" i="113" s="1"/>
  <c r="P206" i="113"/>
  <c r="R206" i="113" s="1"/>
  <c r="P226" i="113"/>
  <c r="R226" i="113" s="1"/>
  <c r="P246" i="113"/>
  <c r="R246" i="113" s="1"/>
  <c r="P2630" i="113"/>
  <c r="R2630" i="113" s="1"/>
  <c r="P2532" i="113"/>
  <c r="R2532" i="113" s="1"/>
  <c r="P2442" i="113"/>
  <c r="R2442" i="113" s="1"/>
  <c r="P2344" i="113"/>
  <c r="R2344" i="113" s="1"/>
  <c r="P2246" i="113"/>
  <c r="R2246" i="113" s="1"/>
  <c r="P2155" i="113"/>
  <c r="R2155" i="113" s="1"/>
  <c r="P2065" i="113"/>
  <c r="R2065" i="113" s="1"/>
  <c r="P1979" i="113"/>
  <c r="R1979" i="113" s="1"/>
  <c r="P1909" i="113"/>
  <c r="R1909" i="113" s="1"/>
  <c r="P1844" i="113"/>
  <c r="R1844" i="113" s="1"/>
  <c r="P1773" i="113"/>
  <c r="R1773" i="113" s="1"/>
  <c r="P1695" i="113"/>
  <c r="R1695" i="113" s="1"/>
  <c r="P1626" i="113"/>
  <c r="R1626" i="113" s="1"/>
  <c r="P1568" i="113"/>
  <c r="R1568" i="113" s="1"/>
  <c r="P1496" i="113"/>
  <c r="R1496" i="113" s="1"/>
  <c r="P1428" i="113"/>
  <c r="R1428" i="113" s="1"/>
  <c r="P1382" i="113"/>
  <c r="R1382" i="113" s="1"/>
  <c r="P1340" i="113"/>
  <c r="R1340" i="113" s="1"/>
  <c r="P1291" i="113"/>
  <c r="R1291" i="113" s="1"/>
  <c r="P1244" i="113"/>
  <c r="R1244" i="113" s="1"/>
  <c r="P1193" i="113"/>
  <c r="R1193" i="113" s="1"/>
  <c r="P1156" i="113"/>
  <c r="R1156" i="113" s="1"/>
  <c r="P2621" i="113"/>
  <c r="R2621" i="113" s="1"/>
  <c r="P2531" i="113"/>
  <c r="R2531" i="113" s="1"/>
  <c r="P2441" i="113"/>
  <c r="R2441" i="113" s="1"/>
  <c r="P2340" i="113"/>
  <c r="R2340" i="113" s="1"/>
  <c r="P2244" i="113"/>
  <c r="P2152" i="113"/>
  <c r="P2061" i="113"/>
  <c r="R2061" i="113" s="1"/>
  <c r="P1978" i="113"/>
  <c r="R1978" i="113" s="1"/>
  <c r="P1898" i="113"/>
  <c r="R1898" i="113" s="1"/>
  <c r="P1829" i="113"/>
  <c r="R1829" i="113" s="1"/>
  <c r="P1766" i="113"/>
  <c r="R1766" i="113" s="1"/>
  <c r="P1694" i="113"/>
  <c r="R1694" i="113" s="1"/>
  <c r="P1623" i="113"/>
  <c r="R1623" i="113" s="1"/>
  <c r="P1549" i="113"/>
  <c r="R1549" i="113" s="1"/>
  <c r="P1491" i="113"/>
  <c r="R1491" i="113" s="1"/>
  <c r="P1426" i="113"/>
  <c r="R1426" i="113" s="1"/>
  <c r="P1381" i="113"/>
  <c r="R1381" i="113" s="1"/>
  <c r="P1339" i="113"/>
  <c r="R1339" i="113" s="1"/>
  <c r="P1289" i="113"/>
  <c r="R1289" i="113" s="1"/>
  <c r="P1243" i="113"/>
  <c r="R1243" i="113" s="1"/>
  <c r="P1191" i="113"/>
  <c r="R1191" i="113" s="1"/>
  <c r="P1155" i="113"/>
  <c r="R1155" i="113" s="1"/>
  <c r="P1112" i="113"/>
  <c r="R1112" i="113" s="1"/>
  <c r="P1070" i="113"/>
  <c r="R1070" i="113" s="1"/>
  <c r="P1041" i="113"/>
  <c r="R1041" i="113" s="1"/>
  <c r="P1004" i="113"/>
  <c r="R1004" i="113" s="1"/>
  <c r="P974" i="113"/>
  <c r="R974" i="113" s="1"/>
  <c r="P938" i="113"/>
  <c r="R938" i="113" s="1"/>
  <c r="P909" i="113"/>
  <c r="R909" i="113" s="1"/>
  <c r="P870" i="113"/>
  <c r="R870" i="113" s="1"/>
  <c r="P834" i="113"/>
  <c r="R834" i="113" s="1"/>
  <c r="P804" i="113"/>
  <c r="R804" i="113" s="1"/>
  <c r="P769" i="113"/>
  <c r="R769" i="113" s="1"/>
  <c r="P742" i="113"/>
  <c r="R742" i="113" s="1"/>
  <c r="P706" i="113"/>
  <c r="R706" i="113" s="1"/>
  <c r="P679" i="113"/>
  <c r="R679" i="113" s="1"/>
  <c r="P648" i="113"/>
  <c r="R648" i="113" s="1"/>
  <c r="P623" i="113"/>
  <c r="R623" i="113" s="1"/>
  <c r="P590" i="113"/>
  <c r="R590" i="113" s="1"/>
  <c r="P559" i="113"/>
  <c r="R559" i="113" s="1"/>
  <c r="P533" i="113"/>
  <c r="R533" i="113" s="1"/>
  <c r="P502" i="113"/>
  <c r="R502" i="113" s="1"/>
  <c r="P480" i="113"/>
  <c r="R480" i="113" s="1"/>
  <c r="P451" i="113"/>
  <c r="R451" i="113" s="1"/>
  <c r="P428" i="113"/>
  <c r="R428" i="113" s="1"/>
  <c r="P399" i="113"/>
  <c r="R399" i="113" s="1"/>
  <c r="P375" i="113"/>
  <c r="R375" i="113" s="1"/>
  <c r="P346" i="113"/>
  <c r="R346" i="113" s="1"/>
  <c r="P317" i="113"/>
  <c r="R317" i="113" s="1"/>
  <c r="P295" i="113"/>
  <c r="R295" i="113" s="1"/>
  <c r="P266" i="113"/>
  <c r="R266" i="113" s="1"/>
  <c r="P21" i="113"/>
  <c r="R21" i="113" s="1"/>
  <c r="P50" i="113"/>
  <c r="R50" i="113" s="1"/>
  <c r="P72" i="113"/>
  <c r="R72" i="113" s="1"/>
  <c r="P98" i="113"/>
  <c r="R98" i="113" s="1"/>
  <c r="P118" i="113"/>
  <c r="R118" i="113" s="1"/>
  <c r="P143" i="113"/>
  <c r="R143" i="113" s="1"/>
  <c r="P163" i="113"/>
  <c r="R163" i="113" s="1"/>
  <c r="P184" i="113"/>
  <c r="R184" i="113" s="1"/>
  <c r="P208" i="113"/>
  <c r="R208" i="113" s="1"/>
  <c r="P228" i="113"/>
  <c r="R228" i="113" s="1"/>
  <c r="P253" i="113"/>
  <c r="R253" i="113" s="1"/>
  <c r="P2615" i="113"/>
  <c r="R2615" i="113" s="1"/>
  <c r="P2525" i="113"/>
  <c r="R2525" i="113" s="1"/>
  <c r="P2433" i="113"/>
  <c r="R2433" i="113" s="1"/>
  <c r="P2335" i="113"/>
  <c r="R2335" i="113" s="1"/>
  <c r="P2241" i="113"/>
  <c r="R2241" i="113" s="1"/>
  <c r="P2140" i="113"/>
  <c r="R2140" i="113" s="1"/>
  <c r="P2052" i="113"/>
  <c r="R2052" i="113" s="1"/>
  <c r="P1977" i="113"/>
  <c r="R1977" i="113" s="1"/>
  <c r="P1896" i="113"/>
  <c r="R1896" i="113" s="1"/>
  <c r="P1824" i="113"/>
  <c r="R1824" i="113" s="1"/>
  <c r="P1765" i="113"/>
  <c r="R1765" i="113" s="1"/>
  <c r="P1693" i="113"/>
  <c r="R1693" i="113" s="1"/>
  <c r="P1620" i="113"/>
  <c r="P1547" i="113"/>
  <c r="R1547" i="113" s="1"/>
  <c r="P1490" i="113"/>
  <c r="R1490" i="113" s="1"/>
  <c r="P1424" i="113"/>
  <c r="R1424" i="113" s="1"/>
  <c r="P1380" i="113"/>
  <c r="R1380" i="113" s="1"/>
  <c r="P1325" i="113"/>
  <c r="R1325" i="113" s="1"/>
  <c r="P1286" i="113"/>
  <c r="R1286" i="113" s="1"/>
  <c r="P1240" i="113"/>
  <c r="R1240" i="113" s="1"/>
  <c r="P1190" i="113"/>
  <c r="R1190" i="113" s="1"/>
  <c r="P1143" i="113"/>
  <c r="R1143" i="113" s="1"/>
  <c r="P1109" i="113"/>
  <c r="R1109" i="113" s="1"/>
  <c r="P1069" i="113"/>
  <c r="R1069" i="113" s="1"/>
  <c r="P1039" i="113"/>
  <c r="R1039" i="113" s="1"/>
  <c r="P1003" i="113"/>
  <c r="R1003" i="113" s="1"/>
  <c r="P973" i="113"/>
  <c r="R973" i="113" s="1"/>
  <c r="P936" i="113"/>
  <c r="R936" i="113" s="1"/>
  <c r="P898" i="113"/>
  <c r="R898" i="113" s="1"/>
  <c r="P869" i="113"/>
  <c r="R869" i="113" s="1"/>
  <c r="P833" i="113"/>
  <c r="R833" i="113" s="1"/>
  <c r="P802" i="113"/>
  <c r="R802" i="113" s="1"/>
  <c r="P767" i="113"/>
  <c r="R767" i="113" s="1"/>
  <c r="P741" i="113"/>
  <c r="R741" i="113" s="1"/>
  <c r="P705" i="113"/>
  <c r="R705" i="113" s="1"/>
  <c r="P678" i="113"/>
  <c r="R678" i="113" s="1"/>
  <c r="P647" i="113"/>
  <c r="R647" i="113" s="1"/>
  <c r="P616" i="113"/>
  <c r="R616" i="113" s="1"/>
  <c r="P589" i="113"/>
  <c r="R589" i="113" s="1"/>
  <c r="P558" i="113"/>
  <c r="R558" i="113" s="1"/>
  <c r="P532" i="113"/>
  <c r="R532" i="113" s="1"/>
  <c r="P501" i="113"/>
  <c r="R501" i="113" s="1"/>
  <c r="P478" i="113"/>
  <c r="R478" i="113" s="1"/>
  <c r="P449" i="113"/>
  <c r="R449" i="113" s="1"/>
  <c r="P427" i="113"/>
  <c r="R427" i="113" s="1"/>
  <c r="P398" i="113"/>
  <c r="R398" i="113" s="1"/>
  <c r="P369" i="113"/>
  <c r="R369" i="113" s="1"/>
  <c r="P345" i="113"/>
  <c r="R345" i="113" s="1"/>
  <c r="P316" i="113"/>
  <c r="R316" i="113" s="1"/>
  <c r="P294" i="113"/>
  <c r="R294" i="113" s="1"/>
  <c r="P265" i="113"/>
  <c r="R265" i="113" s="1"/>
  <c r="P22" i="113"/>
  <c r="R22" i="113" s="1"/>
  <c r="P51" i="113"/>
  <c r="R51" i="113" s="1"/>
  <c r="P74" i="113"/>
  <c r="R74" i="113" s="1"/>
  <c r="P99" i="113"/>
  <c r="R99" i="113" s="1"/>
  <c r="P119" i="113"/>
  <c r="R119" i="113" s="1"/>
  <c r="P144" i="113"/>
  <c r="R144" i="113" s="1"/>
  <c r="P164" i="113"/>
  <c r="R164" i="113" s="1"/>
  <c r="P186" i="113"/>
  <c r="R186" i="113" s="1"/>
  <c r="P209" i="113"/>
  <c r="R209" i="113" s="1"/>
  <c r="P229" i="113"/>
  <c r="R229" i="113" s="1"/>
  <c r="P254" i="113"/>
  <c r="R254" i="113" s="1"/>
  <c r="P230" i="113"/>
  <c r="R230" i="113" s="1"/>
  <c r="P2612" i="113"/>
  <c r="R2612" i="113" s="1"/>
  <c r="P2520" i="113"/>
  <c r="R2520" i="113" s="1"/>
  <c r="P2424" i="113"/>
  <c r="R2424" i="113" s="1"/>
  <c r="P2332" i="113"/>
  <c r="R2332" i="113" s="1"/>
  <c r="P2239" i="113"/>
  <c r="R2239" i="113" s="1"/>
  <c r="P2139" i="113"/>
  <c r="P2050" i="113"/>
  <c r="R2050" i="113" s="1"/>
  <c r="P1969" i="113"/>
  <c r="R1969" i="113" s="1"/>
  <c r="P1895" i="113"/>
  <c r="R1895" i="113" s="1"/>
  <c r="P1823" i="113"/>
  <c r="R1823" i="113" s="1"/>
  <c r="P1748" i="113"/>
  <c r="R1748" i="113" s="1"/>
  <c r="P1691" i="113"/>
  <c r="R1691" i="113" s="1"/>
  <c r="P1618" i="113"/>
  <c r="R1618" i="113" s="1"/>
  <c r="P1546" i="113"/>
  <c r="R1546" i="113" s="1"/>
  <c r="P1471" i="113"/>
  <c r="R1471" i="113" s="1"/>
  <c r="P1421" i="113"/>
  <c r="R1421" i="113" s="1"/>
  <c r="P1379" i="113"/>
  <c r="R1379" i="113" s="1"/>
  <c r="P1324" i="113"/>
  <c r="P1283" i="113"/>
  <c r="R1283" i="113" s="1"/>
  <c r="P1239" i="113"/>
  <c r="P1189" i="113"/>
  <c r="R1189" i="113" s="1"/>
  <c r="P1141" i="113"/>
  <c r="R1141" i="113" s="1"/>
  <c r="P1106" i="113"/>
  <c r="R1106" i="113" s="1"/>
  <c r="P1068" i="113"/>
  <c r="R1068" i="113" s="1"/>
  <c r="P1038" i="113"/>
  <c r="R1038" i="113" s="1"/>
  <c r="P1001" i="113"/>
  <c r="R1001" i="113" s="1"/>
  <c r="P963" i="113"/>
  <c r="R963" i="113" s="1"/>
  <c r="P934" i="113"/>
  <c r="R934" i="113" s="1"/>
  <c r="P897" i="113"/>
  <c r="R897" i="113" s="1"/>
  <c r="P868" i="113"/>
  <c r="R868" i="113" s="1"/>
  <c r="P830" i="113"/>
  <c r="R830" i="113" s="1"/>
  <c r="P801" i="113"/>
  <c r="R801" i="113" s="1"/>
  <c r="P765" i="113"/>
  <c r="R765" i="113" s="1"/>
  <c r="P739" i="113"/>
  <c r="R739" i="113" s="1"/>
  <c r="P704" i="113"/>
  <c r="R704" i="113" s="1"/>
  <c r="P672" i="113"/>
  <c r="R672" i="113" s="1"/>
  <c r="P646" i="113"/>
  <c r="R646" i="113" s="1"/>
  <c r="P614" i="113"/>
  <c r="R614" i="113" s="1"/>
  <c r="P588" i="113"/>
  <c r="R588" i="113" s="1"/>
  <c r="P557" i="113"/>
  <c r="R557" i="113" s="1"/>
  <c r="P531" i="113"/>
  <c r="R531" i="113" s="1"/>
  <c r="P500" i="113"/>
  <c r="R500" i="113" s="1"/>
  <c r="P476" i="113"/>
  <c r="R476" i="113" s="1"/>
  <c r="P448" i="113"/>
  <c r="R448" i="113" s="1"/>
  <c r="P418" i="113"/>
  <c r="R418" i="113" s="1"/>
  <c r="P397" i="113"/>
  <c r="P368" i="113"/>
  <c r="R368" i="113" s="1"/>
  <c r="P344" i="113"/>
  <c r="R344" i="113" s="1"/>
  <c r="P315" i="113"/>
  <c r="R315" i="113" s="1"/>
  <c r="P292" i="113"/>
  <c r="R292" i="113" s="1"/>
  <c r="P23" i="113"/>
  <c r="R23" i="113" s="1"/>
  <c r="P52" i="113"/>
  <c r="R52" i="113" s="1"/>
  <c r="P80" i="113"/>
  <c r="R80" i="113" s="1"/>
  <c r="P100" i="113"/>
  <c r="R100" i="113" s="1"/>
  <c r="P120" i="113"/>
  <c r="R120" i="113" s="1"/>
  <c r="P145" i="113"/>
  <c r="R145" i="113" s="1"/>
  <c r="P165" i="113"/>
  <c r="R165" i="113" s="1"/>
  <c r="P191" i="113"/>
  <c r="R191" i="113" s="1"/>
  <c r="P210" i="113"/>
  <c r="R210" i="113" s="1"/>
  <c r="P255" i="113"/>
  <c r="R255" i="113" s="1"/>
  <c r="P2447" i="113"/>
  <c r="R2447" i="113" s="1"/>
  <c r="P2216" i="113"/>
  <c r="P2027" i="113"/>
  <c r="R2027" i="113" s="1"/>
  <c r="P1689" i="113"/>
  <c r="R1689" i="113" s="1"/>
  <c r="P1533" i="113"/>
  <c r="R1533" i="113" s="1"/>
  <c r="P1399" i="113"/>
  <c r="R1399" i="113" s="1"/>
  <c r="P1272" i="113"/>
  <c r="R1272" i="113" s="1"/>
  <c r="P1184" i="113"/>
  <c r="R1184" i="113" s="1"/>
  <c r="P1087" i="113"/>
  <c r="R1087" i="113" s="1"/>
  <c r="P1022" i="113"/>
  <c r="R1022" i="113" s="1"/>
  <c r="P955" i="113"/>
  <c r="R955" i="113" s="1"/>
  <c r="P887" i="113"/>
  <c r="R887" i="113" s="1"/>
  <c r="P821" i="113"/>
  <c r="R821" i="113" s="1"/>
  <c r="P631" i="113"/>
  <c r="R631" i="113" s="1"/>
  <c r="P40" i="113"/>
  <c r="R40" i="113" s="1"/>
  <c r="P2664" i="113"/>
  <c r="R2664" i="113" s="1"/>
  <c r="P2445" i="113"/>
  <c r="R2445" i="113" s="1"/>
  <c r="P2209" i="113"/>
  <c r="R2209" i="113" s="1"/>
  <c r="P2012" i="113"/>
  <c r="R2012" i="113" s="1"/>
  <c r="P1855" i="113"/>
  <c r="R1855" i="113" s="1"/>
  <c r="P1670" i="113"/>
  <c r="R1670" i="113" s="1"/>
  <c r="P1512" i="113"/>
  <c r="R1512" i="113" s="1"/>
  <c r="P1397" i="113"/>
  <c r="R1397" i="113" s="1"/>
  <c r="P1270" i="113"/>
  <c r="R1270" i="113" s="1"/>
  <c r="P1170" i="113"/>
  <c r="R1170" i="113" s="1"/>
  <c r="P1085" i="113"/>
  <c r="R1085" i="113" s="1"/>
  <c r="P1019" i="113"/>
  <c r="R1019" i="113" s="1"/>
  <c r="P952" i="113"/>
  <c r="R952" i="113" s="1"/>
  <c r="P878" i="113"/>
  <c r="R878" i="113" s="1"/>
  <c r="P810" i="113"/>
  <c r="P747" i="113"/>
  <c r="R747" i="113" s="1"/>
  <c r="P686" i="113"/>
  <c r="R686" i="113" s="1"/>
  <c r="P629" i="113"/>
  <c r="R629" i="113" s="1"/>
  <c r="P571" i="113"/>
  <c r="R571" i="113" s="1"/>
  <c r="P515" i="113"/>
  <c r="R515" i="113" s="1"/>
  <c r="P461" i="113"/>
  <c r="R461" i="113" s="1"/>
  <c r="P410" i="113"/>
  <c r="R410" i="113" s="1"/>
  <c r="P352" i="113"/>
  <c r="P309" i="113"/>
  <c r="R309" i="113" s="1"/>
  <c r="P3" i="113"/>
  <c r="R3" i="113" s="1"/>
  <c r="P49" i="113"/>
  <c r="R49" i="113" s="1"/>
  <c r="P89" i="113"/>
  <c r="R89" i="113" s="1"/>
  <c r="P130" i="113"/>
  <c r="R130" i="113" s="1"/>
  <c r="P168" i="113"/>
  <c r="R168" i="113" s="1"/>
  <c r="P207" i="113"/>
  <c r="R207" i="113" s="1"/>
  <c r="P244" i="113"/>
  <c r="R244" i="113" s="1"/>
  <c r="P1262" i="113"/>
  <c r="R1262" i="113" s="1"/>
  <c r="P939" i="113"/>
  <c r="R939" i="113" s="1"/>
  <c r="P805" i="113"/>
  <c r="R805" i="113" s="1"/>
  <c r="P681" i="113"/>
  <c r="R681" i="113" s="1"/>
  <c r="P452" i="113"/>
  <c r="R452" i="113" s="1"/>
  <c r="P347" i="113"/>
  <c r="R347" i="113" s="1"/>
  <c r="P97" i="113"/>
  <c r="R97" i="113" s="1"/>
  <c r="P213" i="113"/>
  <c r="R213" i="113" s="1"/>
  <c r="P1787" i="113"/>
  <c r="R1787" i="113" s="1"/>
  <c r="P1066" i="113"/>
  <c r="R1066" i="113" s="1"/>
  <c r="P790" i="113"/>
  <c r="R790" i="113" s="1"/>
  <c r="P446" i="113"/>
  <c r="R446" i="113" s="1"/>
  <c r="P16" i="113"/>
  <c r="R16" i="113" s="1"/>
  <c r="P217" i="113"/>
  <c r="R217" i="113" s="1"/>
  <c r="P2357" i="113"/>
  <c r="R2357" i="113" s="1"/>
  <c r="P1781" i="113"/>
  <c r="R1781" i="113" s="1"/>
  <c r="P1348" i="113"/>
  <c r="R1348" i="113" s="1"/>
  <c r="P1064" i="113"/>
  <c r="R1064" i="113" s="1"/>
  <c r="P789" i="113"/>
  <c r="R789" i="113" s="1"/>
  <c r="P553" i="113"/>
  <c r="R553" i="113" s="1"/>
  <c r="P65" i="113"/>
  <c r="R65" i="113" s="1"/>
  <c r="P159" i="113"/>
  <c r="R159" i="113" s="1"/>
  <c r="P412" i="113"/>
  <c r="R412" i="113" s="1"/>
  <c r="P2639" i="113"/>
  <c r="P2406" i="113"/>
  <c r="R2406" i="113" s="1"/>
  <c r="P2207" i="113"/>
  <c r="R2207" i="113" s="1"/>
  <c r="P1986" i="113"/>
  <c r="R1986" i="113" s="1"/>
  <c r="P1821" i="113"/>
  <c r="R1821" i="113" s="1"/>
  <c r="P1663" i="113"/>
  <c r="R1663" i="113" s="1"/>
  <c r="P1505" i="113"/>
  <c r="R1505" i="113" s="1"/>
  <c r="P1374" i="113"/>
  <c r="R1374" i="113" s="1"/>
  <c r="P1267" i="113"/>
  <c r="R1267" i="113" s="1"/>
  <c r="P1164" i="113"/>
  <c r="R1164" i="113" s="1"/>
  <c r="P1084" i="113"/>
  <c r="R1084" i="113" s="1"/>
  <c r="P1017" i="113"/>
  <c r="R1017" i="113" s="1"/>
  <c r="P942" i="113"/>
  <c r="R942" i="113" s="1"/>
  <c r="P877" i="113"/>
  <c r="R877" i="113" s="1"/>
  <c r="P808" i="113"/>
  <c r="R808" i="113" s="1"/>
  <c r="P746" i="113"/>
  <c r="R746" i="113" s="1"/>
  <c r="P684" i="113"/>
  <c r="R684" i="113" s="1"/>
  <c r="P628" i="113"/>
  <c r="R628" i="113" s="1"/>
  <c r="P570" i="113"/>
  <c r="R570" i="113" s="1"/>
  <c r="P514" i="113"/>
  <c r="R514" i="113" s="1"/>
  <c r="P460" i="113"/>
  <c r="R460" i="113" s="1"/>
  <c r="P402" i="113"/>
  <c r="R402" i="113" s="1"/>
  <c r="P350" i="113"/>
  <c r="R350" i="113" s="1"/>
  <c r="P299" i="113"/>
  <c r="R299" i="113" s="1"/>
  <c r="P5" i="113"/>
  <c r="R5" i="113" s="1"/>
  <c r="P53" i="113"/>
  <c r="R53" i="113" s="1"/>
  <c r="P91" i="113"/>
  <c r="R91" i="113" s="1"/>
  <c r="P132" i="113"/>
  <c r="R132" i="113" s="1"/>
  <c r="P170" i="113"/>
  <c r="R170" i="113" s="1"/>
  <c r="P212" i="113"/>
  <c r="R212" i="113" s="1"/>
  <c r="P245" i="113"/>
  <c r="R245" i="113" s="1"/>
  <c r="P2638" i="113"/>
  <c r="R2638" i="113" s="1"/>
  <c r="P2403" i="113"/>
  <c r="R2403" i="113" s="1"/>
  <c r="P1985" i="113"/>
  <c r="R1985" i="113" s="1"/>
  <c r="P1817" i="113"/>
  <c r="R1817" i="113" s="1"/>
  <c r="P1372" i="113"/>
  <c r="R1372" i="113" s="1"/>
  <c r="P1071" i="113"/>
  <c r="R1071" i="113" s="1"/>
  <c r="P872" i="113"/>
  <c r="R872" i="113" s="1"/>
  <c r="P625" i="113"/>
  <c r="R625" i="113" s="1"/>
  <c r="P503" i="113"/>
  <c r="R503" i="113" s="1"/>
  <c r="P298" i="113"/>
  <c r="R298" i="113" s="1"/>
  <c r="P54" i="113"/>
  <c r="R54" i="113" s="1"/>
  <c r="P134" i="113"/>
  <c r="R134" i="113" s="1"/>
  <c r="P2591" i="113"/>
  <c r="R2591" i="113" s="1"/>
  <c r="P1952" i="113"/>
  <c r="R1952" i="113" s="1"/>
  <c r="P1353" i="113"/>
  <c r="R1353" i="113" s="1"/>
  <c r="P866" i="113"/>
  <c r="R866" i="113" s="1"/>
  <c r="P555" i="113"/>
  <c r="R555" i="113" s="1"/>
  <c r="P394" i="113"/>
  <c r="R394" i="113" s="1"/>
  <c r="P138" i="113"/>
  <c r="R138" i="113" s="1"/>
  <c r="P257" i="113"/>
  <c r="R257" i="113" s="1"/>
  <c r="P2120" i="113"/>
  <c r="R2120" i="113" s="1"/>
  <c r="P1232" i="113"/>
  <c r="R1232" i="113" s="1"/>
  <c r="P854" i="113"/>
  <c r="R854" i="113" s="1"/>
  <c r="P497" i="113"/>
  <c r="R497" i="113" s="1"/>
  <c r="P284" i="113"/>
  <c r="R284" i="113" s="1"/>
  <c r="P181" i="113"/>
  <c r="R181" i="113" s="1"/>
  <c r="P2492" i="113"/>
  <c r="R2492" i="113" s="1"/>
  <c r="P1410" i="113"/>
  <c r="P1027" i="113"/>
  <c r="R1027" i="113" s="1"/>
  <c r="P762" i="113"/>
  <c r="R762" i="113" s="1"/>
  <c r="P469" i="113"/>
  <c r="R469" i="113" s="1"/>
  <c r="P238" i="113"/>
  <c r="R238" i="113" s="1"/>
  <c r="P162" i="113"/>
  <c r="R162" i="113" s="1"/>
  <c r="P166" i="113"/>
  <c r="R166" i="113" s="1"/>
  <c r="P2196" i="113"/>
  <c r="R2196" i="113" s="1"/>
  <c r="P1659" i="113"/>
  <c r="R1659" i="113" s="1"/>
  <c r="P1498" i="113"/>
  <c r="R1498" i="113" s="1"/>
  <c r="P1161" i="113"/>
  <c r="R1161" i="113" s="1"/>
  <c r="P1006" i="113"/>
  <c r="R1006" i="113" s="1"/>
  <c r="P744" i="113"/>
  <c r="R744" i="113" s="1"/>
  <c r="P567" i="113"/>
  <c r="R567" i="113" s="1"/>
  <c r="P400" i="113"/>
  <c r="R400" i="113" s="1"/>
  <c r="P7" i="113"/>
  <c r="R7" i="113" s="1"/>
  <c r="P176" i="113"/>
  <c r="R176" i="113" s="1"/>
  <c r="P249" i="113"/>
  <c r="R249" i="113" s="1"/>
  <c r="P2167" i="113"/>
  <c r="R2167" i="113" s="1"/>
  <c r="P1246" i="113"/>
  <c r="R1246" i="113" s="1"/>
  <c r="P930" i="113"/>
  <c r="R930" i="113" s="1"/>
  <c r="P730" i="113"/>
  <c r="R730" i="113" s="1"/>
  <c r="P498" i="113"/>
  <c r="R498" i="113" s="1"/>
  <c r="P291" i="113"/>
  <c r="R291" i="113" s="1"/>
  <c r="P103" i="113"/>
  <c r="R103" i="113" s="1"/>
  <c r="P1951" i="113"/>
  <c r="R1951" i="113" s="1"/>
  <c r="P1135" i="113"/>
  <c r="R1135" i="113" s="1"/>
  <c r="P929" i="113"/>
  <c r="R929" i="113" s="1"/>
  <c r="P727" i="113"/>
  <c r="R727" i="113" s="1"/>
  <c r="P393" i="113"/>
  <c r="R393" i="113" s="1"/>
  <c r="P222" i="113"/>
  <c r="R222" i="113" s="1"/>
  <c r="P2266" i="113"/>
  <c r="R2266" i="113" s="1"/>
  <c r="P1709" i="113"/>
  <c r="R1709" i="113" s="1"/>
  <c r="P1299" i="113"/>
  <c r="R1299" i="113" s="1"/>
  <c r="P702" i="113"/>
  <c r="R702" i="113" s="1"/>
  <c r="P267" i="113"/>
  <c r="R267" i="113" s="1"/>
  <c r="P1706" i="113"/>
  <c r="R1706" i="113" s="1"/>
  <c r="P1025" i="113"/>
  <c r="R1025" i="113" s="1"/>
  <c r="P642" i="113"/>
  <c r="R642" i="113" s="1"/>
  <c r="P199" i="113"/>
  <c r="R199" i="113" s="1"/>
  <c r="P310" i="113"/>
  <c r="R310" i="113" s="1"/>
  <c r="P2593" i="113"/>
  <c r="R2593" i="113" s="1"/>
  <c r="P2400" i="113"/>
  <c r="R2400" i="113" s="1"/>
  <c r="P2171" i="113"/>
  <c r="R2171" i="113" s="1"/>
  <c r="P1809" i="113"/>
  <c r="R1809" i="113" s="1"/>
  <c r="P1651" i="113"/>
  <c r="R1651" i="113" s="1"/>
  <c r="P1470" i="113"/>
  <c r="R1470" i="113" s="1"/>
  <c r="P1367" i="113"/>
  <c r="R1367" i="113" s="1"/>
  <c r="P1258" i="113"/>
  <c r="R1258" i="113" s="1"/>
  <c r="P1138" i="113"/>
  <c r="R1138" i="113" s="1"/>
  <c r="P1067" i="113"/>
  <c r="R1067" i="113" s="1"/>
  <c r="P1000" i="113"/>
  <c r="R1000" i="113" s="1"/>
  <c r="P931" i="113"/>
  <c r="R931" i="113" s="1"/>
  <c r="P867" i="113"/>
  <c r="R867" i="113" s="1"/>
  <c r="P799" i="113"/>
  <c r="R799" i="113" s="1"/>
  <c r="P731" i="113"/>
  <c r="R731" i="113" s="1"/>
  <c r="P669" i="113"/>
  <c r="R669" i="113" s="1"/>
  <c r="P613" i="113"/>
  <c r="R613" i="113" s="1"/>
  <c r="P556" i="113"/>
  <c r="R556" i="113" s="1"/>
  <c r="P499" i="113"/>
  <c r="R499" i="113" s="1"/>
  <c r="P447" i="113"/>
  <c r="R447" i="113" s="1"/>
  <c r="P396" i="113"/>
  <c r="R396" i="113" s="1"/>
  <c r="P343" i="113"/>
  <c r="R343" i="113" s="1"/>
  <c r="P296" i="113"/>
  <c r="R296" i="113" s="1"/>
  <c r="P13" i="113"/>
  <c r="R13" i="113" s="1"/>
  <c r="P55" i="113"/>
  <c r="R55" i="113" s="1"/>
  <c r="P101" i="113"/>
  <c r="R101" i="113" s="1"/>
  <c r="P135" i="113"/>
  <c r="R135" i="113" s="1"/>
  <c r="P177" i="113"/>
  <c r="R177" i="113" s="1"/>
  <c r="P214" i="113"/>
  <c r="R214" i="113" s="1"/>
  <c r="P256" i="113"/>
  <c r="R256" i="113" s="1"/>
  <c r="P2377" i="113"/>
  <c r="R2377" i="113" s="1"/>
  <c r="P1643" i="113"/>
  <c r="R1643" i="113" s="1"/>
  <c r="P1464" i="113"/>
  <c r="R1464" i="113" s="1"/>
  <c r="P1137" i="113"/>
  <c r="R1137" i="113" s="1"/>
  <c r="P998" i="113"/>
  <c r="R998" i="113" s="1"/>
  <c r="P668" i="113"/>
  <c r="R668" i="113" s="1"/>
  <c r="P611" i="113"/>
  <c r="R611" i="113" s="1"/>
  <c r="P342" i="113"/>
  <c r="R342" i="113" s="1"/>
  <c r="P64" i="113"/>
  <c r="R64" i="113" s="1"/>
  <c r="P179" i="113"/>
  <c r="R179" i="113" s="1"/>
  <c r="P2586" i="113"/>
  <c r="R2586" i="113" s="1"/>
  <c r="P1614" i="113"/>
  <c r="R1614" i="113" s="1"/>
  <c r="P1462" i="113"/>
  <c r="R1462" i="113" s="1"/>
  <c r="P996" i="113"/>
  <c r="R996" i="113" s="1"/>
  <c r="P666" i="113"/>
  <c r="R666" i="113" s="1"/>
  <c r="P445" i="113"/>
  <c r="R445" i="113" s="1"/>
  <c r="P334" i="113"/>
  <c r="R334" i="113" s="1"/>
  <c r="P104" i="113"/>
  <c r="R104" i="113" s="1"/>
  <c r="P258" i="113"/>
  <c r="R258" i="113" s="1"/>
  <c r="P2033" i="113"/>
  <c r="R2033" i="113" s="1"/>
  <c r="P1188" i="113"/>
  <c r="R1188" i="113" s="1"/>
  <c r="P895" i="113"/>
  <c r="R895" i="113" s="1"/>
  <c r="P586" i="113"/>
  <c r="R586" i="113" s="1"/>
  <c r="P365" i="113"/>
  <c r="R365" i="113" s="1"/>
  <c r="P122" i="113"/>
  <c r="R122" i="113" s="1"/>
  <c r="P1541" i="113"/>
  <c r="R1541" i="113" s="1"/>
  <c r="P1094" i="113"/>
  <c r="R1094" i="113" s="1"/>
  <c r="P701" i="113"/>
  <c r="R701" i="113" s="1"/>
  <c r="P468" i="113"/>
  <c r="R468" i="113" s="1"/>
  <c r="P85" i="113"/>
  <c r="R85" i="113" s="1"/>
  <c r="P573" i="113"/>
  <c r="R573" i="113" s="1"/>
  <c r="P86" i="113"/>
  <c r="R86" i="113" s="1"/>
  <c r="P610" i="113"/>
  <c r="R610" i="113" s="1"/>
  <c r="P17" i="113"/>
  <c r="R17" i="113" s="1"/>
  <c r="P147" i="113"/>
  <c r="R147" i="113" s="1"/>
  <c r="P1890" i="113"/>
  <c r="R1890" i="113" s="1"/>
  <c r="P1096" i="113"/>
  <c r="R1096" i="113" s="1"/>
  <c r="P827" i="113"/>
  <c r="R827" i="113" s="1"/>
  <c r="P523" i="113"/>
  <c r="R523" i="113" s="1"/>
  <c r="P313" i="113"/>
  <c r="R313" i="113" s="1"/>
  <c r="P1401" i="113"/>
  <c r="R1401" i="113" s="1"/>
  <c r="P825" i="113"/>
  <c r="R825" i="113" s="1"/>
  <c r="P415" i="113"/>
  <c r="R415" i="113" s="1"/>
  <c r="P688" i="113"/>
  <c r="R688" i="113" s="1"/>
  <c r="P241" i="113"/>
  <c r="R241" i="113" s="1"/>
  <c r="P2573" i="113"/>
  <c r="R2573" i="113" s="1"/>
  <c r="P2355" i="113"/>
  <c r="R2355" i="113" s="1"/>
  <c r="P2116" i="113"/>
  <c r="R2116" i="113" s="1"/>
  <c r="P1937" i="113"/>
  <c r="R1937" i="113" s="1"/>
  <c r="P1779" i="113"/>
  <c r="R1779" i="113" s="1"/>
  <c r="P1606" i="113"/>
  <c r="R1606" i="113" s="1"/>
  <c r="P1455" i="113"/>
  <c r="R1455" i="113" s="1"/>
  <c r="P1345" i="113"/>
  <c r="R1345" i="113" s="1"/>
  <c r="P1230" i="113"/>
  <c r="R1230" i="113" s="1"/>
  <c r="P1130" i="113"/>
  <c r="R1130" i="113" s="1"/>
  <c r="P1052" i="113"/>
  <c r="P984" i="113"/>
  <c r="R984" i="113" s="1"/>
  <c r="P916" i="113"/>
  <c r="R916" i="113" s="1"/>
  <c r="P851" i="113"/>
  <c r="R851" i="113" s="1"/>
  <c r="P785" i="113"/>
  <c r="R785" i="113" s="1"/>
  <c r="P722" i="113"/>
  <c r="R722" i="113" s="1"/>
  <c r="P662" i="113"/>
  <c r="R662" i="113" s="1"/>
  <c r="P605" i="113"/>
  <c r="R605" i="113" s="1"/>
  <c r="P548" i="113"/>
  <c r="R548" i="113" s="1"/>
  <c r="P487" i="113"/>
  <c r="R487" i="113" s="1"/>
  <c r="P434" i="113"/>
  <c r="R434" i="113" s="1"/>
  <c r="P383" i="113"/>
  <c r="R383" i="113" s="1"/>
  <c r="P330" i="113"/>
  <c r="R330" i="113" s="1"/>
  <c r="P283" i="113"/>
  <c r="R283" i="113" s="1"/>
  <c r="P20" i="113"/>
  <c r="R20" i="113" s="1"/>
  <c r="P68" i="113"/>
  <c r="R68" i="113" s="1"/>
  <c r="P107" i="113"/>
  <c r="R107" i="113" s="1"/>
  <c r="P148" i="113"/>
  <c r="R148" i="113" s="1"/>
  <c r="P183" i="113"/>
  <c r="R183" i="113" s="1"/>
  <c r="P224" i="113"/>
  <c r="R224" i="113" s="1"/>
  <c r="P260" i="113"/>
  <c r="R260" i="113" s="1"/>
  <c r="P2547" i="113"/>
  <c r="R2547" i="113" s="1"/>
  <c r="P2310" i="113"/>
  <c r="R2310" i="113" s="1"/>
  <c r="P2114" i="113"/>
  <c r="R2114" i="113" s="1"/>
  <c r="P1928" i="113"/>
  <c r="R1928" i="113" s="1"/>
  <c r="P1747" i="113"/>
  <c r="R1747" i="113" s="1"/>
  <c r="P1605" i="113"/>
  <c r="P1438" i="113"/>
  <c r="R1438" i="113" s="1"/>
  <c r="P1323" i="113"/>
  <c r="R1323" i="113" s="1"/>
  <c r="P1220" i="113"/>
  <c r="R1220" i="113" s="1"/>
  <c r="P1117" i="113"/>
  <c r="R1117" i="113" s="1"/>
  <c r="P1048" i="113"/>
  <c r="R1048" i="113" s="1"/>
  <c r="P980" i="113"/>
  <c r="R980" i="113" s="1"/>
  <c r="P914" i="113"/>
  <c r="R914" i="113" s="1"/>
  <c r="P849" i="113"/>
  <c r="R849" i="113" s="1"/>
  <c r="P782" i="113"/>
  <c r="R782" i="113" s="1"/>
  <c r="P719" i="113"/>
  <c r="R719" i="113" s="1"/>
  <c r="P660" i="113"/>
  <c r="R660" i="113" s="1"/>
  <c r="P596" i="113"/>
  <c r="R596" i="113" s="1"/>
  <c r="P540" i="113"/>
  <c r="R540" i="113" s="1"/>
  <c r="P485" i="113"/>
  <c r="R485" i="113" s="1"/>
  <c r="P432" i="113"/>
  <c r="R432" i="113" s="1"/>
  <c r="P381" i="113"/>
  <c r="R381" i="113" s="1"/>
  <c r="P328" i="113"/>
  <c r="R328" i="113" s="1"/>
  <c r="P281" i="113"/>
  <c r="R281" i="113" s="1"/>
  <c r="P31" i="113"/>
  <c r="R31" i="113" s="1"/>
  <c r="P69" i="113"/>
  <c r="R69" i="113" s="1"/>
  <c r="P111" i="113"/>
  <c r="R111" i="113" s="1"/>
  <c r="P149" i="113"/>
  <c r="R149" i="113" s="1"/>
  <c r="P192" i="113"/>
  <c r="R192" i="113" s="1"/>
  <c r="P225" i="113"/>
  <c r="R225" i="113" s="1"/>
  <c r="P261" i="113"/>
  <c r="R261" i="113" s="1"/>
  <c r="P1542" i="113"/>
  <c r="R1542" i="113" s="1"/>
  <c r="P960" i="113"/>
  <c r="R960" i="113" s="1"/>
  <c r="P416" i="113"/>
  <c r="R416" i="113" s="1"/>
  <c r="P37" i="113"/>
  <c r="R37" i="113" s="1"/>
  <c r="P959" i="113"/>
  <c r="R959" i="113" s="1"/>
  <c r="P521" i="113"/>
  <c r="R521" i="113" s="1"/>
  <c r="P127" i="113"/>
  <c r="R127" i="113" s="1"/>
  <c r="P517" i="113"/>
  <c r="R517" i="113" s="1"/>
  <c r="P201" i="113"/>
  <c r="R201" i="113" s="1"/>
  <c r="P2546" i="113"/>
  <c r="R2546" i="113" s="1"/>
  <c r="P2309" i="113"/>
  <c r="R2309" i="113" s="1"/>
  <c r="P2098" i="113"/>
  <c r="R2098" i="113" s="1"/>
  <c r="P1927" i="113"/>
  <c r="R1927" i="113" s="1"/>
  <c r="P1745" i="113"/>
  <c r="R1745" i="113" s="1"/>
  <c r="P1584" i="113"/>
  <c r="R1584" i="113" s="1"/>
  <c r="P1431" i="113"/>
  <c r="R1431" i="113" s="1"/>
  <c r="P1322" i="113"/>
  <c r="R1322" i="113" s="1"/>
  <c r="P1215" i="113"/>
  <c r="R1215" i="113" s="1"/>
  <c r="P1116" i="113"/>
  <c r="P1047" i="113"/>
  <c r="R1047" i="113" s="1"/>
  <c r="P978" i="113"/>
  <c r="R978" i="113" s="1"/>
  <c r="P913" i="113"/>
  <c r="R913" i="113" s="1"/>
  <c r="P846" i="113"/>
  <c r="R846" i="113" s="1"/>
  <c r="P780" i="113"/>
  <c r="R780" i="113" s="1"/>
  <c r="P718" i="113"/>
  <c r="R718" i="113" s="1"/>
  <c r="P652" i="113"/>
  <c r="R652" i="113" s="1"/>
  <c r="P595" i="113"/>
  <c r="R595" i="113" s="1"/>
  <c r="P538" i="113"/>
  <c r="R538" i="113" s="1"/>
  <c r="P484" i="113"/>
  <c r="R484" i="113" s="1"/>
  <c r="P431" i="113"/>
  <c r="R431" i="113" s="1"/>
  <c r="P379" i="113"/>
  <c r="R379" i="113" s="1"/>
  <c r="P327" i="113"/>
  <c r="R327" i="113" s="1"/>
  <c r="P280" i="113"/>
  <c r="P32" i="113"/>
  <c r="R32" i="113" s="1"/>
  <c r="P71" i="113"/>
  <c r="R71" i="113" s="1"/>
  <c r="P113" i="113"/>
  <c r="R113" i="113" s="1"/>
  <c r="P151" i="113"/>
  <c r="R151" i="113" s="1"/>
  <c r="P193" i="113"/>
  <c r="R193" i="113" s="1"/>
  <c r="P227" i="113"/>
  <c r="R227" i="113" s="1"/>
  <c r="P1861" i="113"/>
  <c r="R1861" i="113" s="1"/>
  <c r="P893" i="113"/>
  <c r="R893" i="113" s="1"/>
  <c r="P312" i="113"/>
  <c r="R312" i="113" s="1"/>
  <c r="P359" i="113"/>
  <c r="R359" i="113" s="1"/>
  <c r="P2504" i="113"/>
  <c r="R2504" i="113" s="1"/>
  <c r="P2306" i="113"/>
  <c r="R2306" i="113" s="1"/>
  <c r="P2071" i="113"/>
  <c r="R2071" i="113" s="1"/>
  <c r="P1894" i="113"/>
  <c r="R1894" i="113" s="1"/>
  <c r="P1742" i="113"/>
  <c r="R1742" i="113" s="1"/>
  <c r="P1578" i="113"/>
  <c r="R1578" i="113" s="1"/>
  <c r="P1418" i="113"/>
  <c r="R1418" i="113" s="1"/>
  <c r="P1320" i="113"/>
  <c r="R1320" i="113" s="1"/>
  <c r="P1211" i="113"/>
  <c r="R1211" i="113" s="1"/>
  <c r="P1113" i="113"/>
  <c r="R1113" i="113" s="1"/>
  <c r="P1043" i="113"/>
  <c r="R1043" i="113" s="1"/>
  <c r="P975" i="113"/>
  <c r="R975" i="113" s="1"/>
  <c r="P911" i="113"/>
  <c r="R911" i="113" s="1"/>
  <c r="P843" i="113"/>
  <c r="R843" i="113" s="1"/>
  <c r="P771" i="113"/>
  <c r="R771" i="113" s="1"/>
  <c r="P708" i="113"/>
  <c r="R708" i="113" s="1"/>
  <c r="P649" i="113"/>
  <c r="R649" i="113" s="1"/>
  <c r="P591" i="113"/>
  <c r="R591" i="113" s="1"/>
  <c r="P535" i="113"/>
  <c r="R535" i="113" s="1"/>
  <c r="P481" i="113"/>
  <c r="R481" i="113" s="1"/>
  <c r="P429" i="113"/>
  <c r="R429" i="113" s="1"/>
  <c r="P376" i="113"/>
  <c r="R376" i="113" s="1"/>
  <c r="P325" i="113"/>
  <c r="R325" i="113" s="1"/>
  <c r="P276" i="113"/>
  <c r="R276" i="113" s="1"/>
  <c r="P34" i="113"/>
  <c r="R34" i="113" s="1"/>
  <c r="P81" i="113"/>
  <c r="R81" i="113" s="1"/>
  <c r="P114" i="113"/>
  <c r="R114" i="113" s="1"/>
  <c r="P152" i="113"/>
  <c r="R152" i="113" s="1"/>
  <c r="P194" i="113"/>
  <c r="R194" i="113" s="1"/>
  <c r="P232" i="113"/>
  <c r="R232" i="113" s="1"/>
  <c r="P240" i="113"/>
  <c r="R240" i="113" s="1"/>
  <c r="P2499" i="113"/>
  <c r="P2287" i="113"/>
  <c r="R2287" i="113" s="1"/>
  <c r="P2070" i="113"/>
  <c r="R2070" i="113" s="1"/>
  <c r="P1891" i="113"/>
  <c r="R1891" i="113" s="1"/>
  <c r="P1728" i="113"/>
  <c r="R1728" i="113" s="1"/>
  <c r="P1576" i="113"/>
  <c r="R1576" i="113" s="1"/>
  <c r="P1312" i="113"/>
  <c r="R1312" i="113" s="1"/>
  <c r="P1208" i="113"/>
  <c r="R1208" i="113" s="1"/>
  <c r="P1104" i="113"/>
  <c r="R1104" i="113" s="1"/>
  <c r="P1029" i="113"/>
  <c r="R1029" i="113" s="1"/>
  <c r="P961" i="113"/>
  <c r="R961" i="113" s="1"/>
  <c r="P896" i="113"/>
  <c r="R896" i="113" s="1"/>
  <c r="P829" i="113"/>
  <c r="R829" i="113" s="1"/>
  <c r="P763" i="113"/>
  <c r="R763" i="113" s="1"/>
  <c r="P703" i="113"/>
  <c r="R703" i="113" s="1"/>
  <c r="P645" i="113"/>
  <c r="R645" i="113" s="1"/>
  <c r="P587" i="113"/>
  <c r="R587" i="113" s="1"/>
  <c r="P530" i="113"/>
  <c r="R530" i="113" s="1"/>
  <c r="P470" i="113"/>
  <c r="R470" i="113" s="1"/>
  <c r="P417" i="113"/>
  <c r="R417" i="113" s="1"/>
  <c r="P367" i="113"/>
  <c r="R367" i="113" s="1"/>
  <c r="P314" i="113"/>
  <c r="R314" i="113" s="1"/>
  <c r="P274" i="113"/>
  <c r="R274" i="113" s="1"/>
  <c r="P36" i="113"/>
  <c r="R36" i="113" s="1"/>
  <c r="P82" i="113"/>
  <c r="R82" i="113" s="1"/>
  <c r="P117" i="113"/>
  <c r="R117" i="113" s="1"/>
  <c r="P158" i="113"/>
  <c r="R158" i="113" s="1"/>
  <c r="P196" i="113"/>
  <c r="R196" i="113" s="1"/>
  <c r="P237" i="113"/>
  <c r="R237" i="113" s="1"/>
  <c r="P643" i="113"/>
  <c r="R643" i="113" s="1"/>
  <c r="P83" i="113"/>
  <c r="R83" i="113" s="1"/>
  <c r="P2265" i="113"/>
  <c r="R2265" i="113" s="1"/>
  <c r="P1296" i="113"/>
  <c r="R1296" i="113" s="1"/>
  <c r="P576" i="113"/>
  <c r="R576" i="113" s="1"/>
  <c r="P39" i="113"/>
  <c r="R39" i="113" s="1"/>
  <c r="P463" i="113"/>
  <c r="R463" i="113" s="1"/>
  <c r="P197" i="113"/>
  <c r="R197" i="113" s="1"/>
  <c r="P2478" i="113"/>
  <c r="R2478" i="113" s="1"/>
  <c r="P2032" i="113"/>
  <c r="R2032" i="113" s="1"/>
  <c r="P1187" i="113"/>
  <c r="R1187" i="113" s="1"/>
  <c r="P761" i="113"/>
  <c r="R761" i="113" s="1"/>
  <c r="P364" i="113"/>
  <c r="R364" i="113" s="1"/>
  <c r="P749" i="113"/>
  <c r="P128" i="113"/>
  <c r="R128" i="113" s="1"/>
  <c r="J2318" i="113"/>
  <c r="P2318" i="113"/>
  <c r="R2318" i="113" s="1"/>
  <c r="J988" i="113"/>
  <c r="P988" i="113"/>
  <c r="R988" i="113" s="1"/>
  <c r="J2501" i="113"/>
  <c r="P2501" i="113"/>
  <c r="R2501" i="113" s="1"/>
  <c r="J2175" i="113"/>
  <c r="P2175" i="113"/>
  <c r="R2175" i="113" s="1"/>
  <c r="J1788" i="113"/>
  <c r="P1788" i="113"/>
  <c r="R1788" i="113" s="1"/>
  <c r="J1306" i="113"/>
  <c r="P1306" i="113"/>
  <c r="R1306" i="113" s="1"/>
  <c r="J864" i="113"/>
  <c r="P864" i="113"/>
  <c r="R864" i="113" s="1"/>
  <c r="J441" i="113"/>
  <c r="P441" i="113"/>
  <c r="R441" i="113" s="1"/>
  <c r="J67" i="113"/>
  <c r="P67" i="113"/>
  <c r="R67" i="113" s="1"/>
  <c r="J2474" i="113"/>
  <c r="P2474" i="113"/>
  <c r="R2474" i="113" s="1"/>
  <c r="J2161" i="113"/>
  <c r="P2161" i="113"/>
  <c r="R2161" i="113" s="1"/>
  <c r="J806" i="113"/>
  <c r="P806" i="113"/>
  <c r="R806" i="113" s="1"/>
  <c r="J2418" i="113"/>
  <c r="P2418" i="113"/>
  <c r="R2418" i="113" s="1"/>
  <c r="J2100" i="113"/>
  <c r="P2100" i="113"/>
  <c r="R2100" i="113" s="1"/>
  <c r="J1719" i="113"/>
  <c r="P1719" i="113"/>
  <c r="R1719" i="113" s="1"/>
  <c r="J1204" i="113"/>
  <c r="P1204" i="113"/>
  <c r="R1204" i="113" s="1"/>
  <c r="J361" i="113"/>
  <c r="P361" i="113"/>
  <c r="R361" i="113" s="1"/>
  <c r="J2399" i="113"/>
  <c r="P2399" i="113"/>
  <c r="R2399" i="113" s="1"/>
  <c r="J2072" i="113"/>
  <c r="P2072" i="113"/>
  <c r="R2072" i="113" s="1"/>
  <c r="J1680" i="113"/>
  <c r="P1680" i="113"/>
  <c r="R1680" i="113" s="1"/>
  <c r="J1167" i="113"/>
  <c r="P1167" i="113"/>
  <c r="R1167" i="113" s="1"/>
  <c r="J729" i="113"/>
  <c r="P729" i="113"/>
  <c r="R729" i="113" s="1"/>
  <c r="J338" i="113"/>
  <c r="P338" i="113"/>
  <c r="R338" i="113" s="1"/>
  <c r="J1746" i="113"/>
  <c r="P1746" i="113"/>
  <c r="R1746" i="113" s="1"/>
  <c r="J770" i="113"/>
  <c r="P770" i="113"/>
  <c r="R770" i="113" s="1"/>
  <c r="J2382" i="113"/>
  <c r="P2382" i="113"/>
  <c r="R2382" i="113" s="1"/>
  <c r="J2038" i="113"/>
  <c r="P2038" i="113"/>
  <c r="R2038" i="113" s="1"/>
  <c r="J1645" i="113"/>
  <c r="P1645" i="113"/>
  <c r="R1645" i="113" s="1"/>
  <c r="J1149" i="113"/>
  <c r="P1149" i="113"/>
  <c r="R1149" i="113" s="1"/>
  <c r="J697" i="113"/>
  <c r="P697" i="113"/>
  <c r="R697" i="113" s="1"/>
  <c r="J306" i="113"/>
  <c r="P306" i="113"/>
  <c r="R306" i="113" s="1"/>
  <c r="J2123" i="113"/>
  <c r="P2123" i="113"/>
  <c r="R2123" i="113" s="1"/>
  <c r="J2369" i="113"/>
  <c r="P2369" i="113"/>
  <c r="R2369" i="113" s="1"/>
  <c r="J2003" i="113"/>
  <c r="P2003" i="113"/>
  <c r="R2003" i="113" s="1"/>
  <c r="J1622" i="113"/>
  <c r="P1622" i="113"/>
  <c r="R1622" i="113" s="1"/>
  <c r="J1128" i="113"/>
  <c r="P1128" i="113"/>
  <c r="R1128" i="113" s="1"/>
  <c r="J671" i="113"/>
  <c r="P671" i="113"/>
  <c r="R671" i="113" s="1"/>
  <c r="J278" i="113"/>
  <c r="P278" i="113"/>
  <c r="R278" i="113" s="1"/>
  <c r="J1778" i="113"/>
  <c r="P1778" i="113"/>
  <c r="R1778" i="113" s="1"/>
  <c r="J1075" i="113"/>
  <c r="P1075" i="113"/>
  <c r="R1075" i="113" s="1"/>
  <c r="J26" i="113"/>
  <c r="P26" i="113"/>
  <c r="R26" i="113" s="1"/>
  <c r="J2453" i="113"/>
  <c r="P2453" i="113"/>
  <c r="R2453" i="113" s="1"/>
  <c r="J389" i="113"/>
  <c r="P389" i="113"/>
  <c r="R389" i="113" s="1"/>
  <c r="J2352" i="113"/>
  <c r="P2352" i="113"/>
  <c r="R2352" i="113" s="1"/>
  <c r="J1593" i="113"/>
  <c r="P1593" i="113"/>
  <c r="R1593" i="113" s="1"/>
  <c r="J644" i="113"/>
  <c r="P644" i="113"/>
  <c r="R644" i="113" s="1"/>
  <c r="J1577" i="113"/>
  <c r="P1577" i="113"/>
  <c r="R1577" i="113" s="1"/>
  <c r="J211" i="113"/>
  <c r="P211" i="113"/>
  <c r="R211" i="113" s="1"/>
  <c r="J2657" i="113"/>
  <c r="P2657" i="113"/>
  <c r="R2657" i="113" s="1"/>
  <c r="J2305" i="113"/>
  <c r="P2305" i="113"/>
  <c r="R2305" i="113" s="1"/>
  <c r="J1906" i="113"/>
  <c r="P1906" i="113"/>
  <c r="R1906" i="113" s="1"/>
  <c r="J1543" i="113"/>
  <c r="P1543" i="113"/>
  <c r="R1543" i="113" s="1"/>
  <c r="J1040" i="113"/>
  <c r="P1040" i="113"/>
  <c r="R1040" i="113" s="1"/>
  <c r="J597" i="113"/>
  <c r="P597" i="113"/>
  <c r="R597" i="113" s="1"/>
  <c r="J180" i="113"/>
  <c r="P180" i="113"/>
  <c r="R180" i="113" s="1"/>
  <c r="J2625" i="113"/>
  <c r="P2625" i="113"/>
  <c r="R2625" i="113" s="1"/>
  <c r="J2281" i="113"/>
  <c r="P2281" i="113"/>
  <c r="R2281" i="113" s="1"/>
  <c r="J1884" i="113"/>
  <c r="P1884" i="113"/>
  <c r="R1884" i="113" s="1"/>
  <c r="J1494" i="113"/>
  <c r="P1494" i="113"/>
  <c r="R1494" i="113" s="1"/>
  <c r="J1013" i="113"/>
  <c r="P1013" i="113"/>
  <c r="R1013" i="113" s="1"/>
  <c r="J582" i="113"/>
  <c r="P582" i="113"/>
  <c r="R582" i="113" s="1"/>
  <c r="J167" i="113"/>
  <c r="P167" i="113"/>
  <c r="R167" i="113" s="1"/>
  <c r="J1284" i="113"/>
  <c r="P1284" i="113"/>
  <c r="R1284" i="113" s="1"/>
  <c r="J1865" i="113"/>
  <c r="P1865" i="113"/>
  <c r="R1865" i="113" s="1"/>
  <c r="J838" i="113"/>
  <c r="P838" i="113"/>
  <c r="R838" i="113" s="1"/>
  <c r="J125" i="113"/>
  <c r="P125" i="113"/>
  <c r="R125" i="113" s="1"/>
  <c r="J419" i="113"/>
  <c r="P419" i="113"/>
  <c r="R419" i="113" s="1"/>
  <c r="J1236" i="113"/>
  <c r="P1236" i="113"/>
  <c r="R1236" i="113" s="1"/>
  <c r="J1975" i="113"/>
  <c r="P1975" i="113"/>
  <c r="R1975" i="113" s="1"/>
  <c r="J1103" i="113"/>
  <c r="P1103" i="113"/>
  <c r="R1103" i="113" s="1"/>
  <c r="J243" i="113"/>
  <c r="P243" i="113"/>
  <c r="R243" i="113" s="1"/>
  <c r="J2" i="113"/>
  <c r="P2" i="113"/>
  <c r="R2" i="113" s="1"/>
  <c r="J1950" i="113"/>
  <c r="P1950" i="113"/>
  <c r="R1950" i="113" s="1"/>
  <c r="J615" i="113"/>
  <c r="P615" i="113"/>
  <c r="R615" i="113" s="1"/>
  <c r="J2600" i="113"/>
  <c r="P2600" i="113"/>
  <c r="R2600" i="113" s="1"/>
  <c r="J2252" i="113"/>
  <c r="P2252" i="113"/>
  <c r="R2252" i="113" s="1"/>
  <c r="J1451" i="113"/>
  <c r="P1451" i="113"/>
  <c r="R1451" i="113" s="1"/>
  <c r="J541" i="113"/>
  <c r="P541" i="113"/>
  <c r="R541" i="113" s="1"/>
  <c r="J141" i="113"/>
  <c r="P141" i="113"/>
  <c r="R141" i="113" s="1"/>
  <c r="J2556" i="113"/>
  <c r="P2556" i="113"/>
  <c r="R2556" i="113" s="1"/>
  <c r="J2228" i="113"/>
  <c r="P2228" i="113"/>
  <c r="R2228" i="113" s="1"/>
  <c r="J1836" i="113"/>
  <c r="P1836" i="113"/>
  <c r="R1836" i="113" s="1"/>
  <c r="J1432" i="113"/>
  <c r="P1432" i="113"/>
  <c r="R1432" i="113" s="1"/>
  <c r="J944" i="113"/>
  <c r="P944" i="113"/>
  <c r="R944" i="113" s="1"/>
  <c r="J511" i="113"/>
  <c r="P511" i="113"/>
  <c r="R511" i="113" s="1"/>
  <c r="J2524" i="113"/>
  <c r="P2524" i="113"/>
  <c r="R2524" i="113" s="1"/>
  <c r="J2204" i="113"/>
  <c r="P2204" i="113"/>
  <c r="R2204" i="113" s="1"/>
  <c r="J1813" i="113"/>
  <c r="P1813" i="113"/>
  <c r="R1813" i="113" s="1"/>
  <c r="J1378" i="113"/>
  <c r="P1378" i="113"/>
  <c r="R1378" i="113" s="1"/>
  <c r="J901" i="113"/>
  <c r="P901" i="113"/>
  <c r="R901" i="113" s="1"/>
  <c r="J477" i="113"/>
  <c r="P477" i="113"/>
  <c r="R477" i="113" s="1"/>
  <c r="J94" i="113"/>
  <c r="P94" i="113"/>
  <c r="R94" i="113" s="1"/>
  <c r="R1968" i="113"/>
  <c r="R1415" i="113"/>
  <c r="R263" i="113"/>
  <c r="R264" i="113"/>
  <c r="N2626" i="113"/>
  <c r="N1906" i="113"/>
  <c r="N2640" i="113"/>
  <c r="N2654" i="113"/>
  <c r="N2451" i="113"/>
  <c r="N2669" i="113"/>
  <c r="N97" i="113"/>
  <c r="N2610" i="113"/>
  <c r="N2593" i="113"/>
  <c r="N2577" i="113"/>
  <c r="N2559" i="113"/>
  <c r="N2542" i="113"/>
  <c r="N2526" i="113"/>
  <c r="N2509" i="113"/>
  <c r="N2492" i="113"/>
  <c r="N2475" i="113"/>
  <c r="N2454" i="113"/>
  <c r="N2436" i="113"/>
  <c r="N2419" i="113"/>
  <c r="N2398" i="113"/>
  <c r="N2379" i="113"/>
  <c r="N2361" i="113"/>
  <c r="N2343" i="113"/>
  <c r="N2323" i="113"/>
  <c r="N2304" i="113"/>
  <c r="N2287" i="113"/>
  <c r="N2269" i="113"/>
  <c r="N2248" i="113"/>
  <c r="N2231" i="113"/>
  <c r="N2213" i="113"/>
  <c r="N2193" i="113"/>
  <c r="N2174" i="113"/>
  <c r="N2155" i="113"/>
  <c r="N2132" i="113"/>
  <c r="N2102" i="113"/>
  <c r="N2057" i="113"/>
  <c r="N1986" i="113"/>
  <c r="N1916" i="113"/>
  <c r="N1854" i="113"/>
  <c r="N1782" i="113"/>
  <c r="N1711" i="113"/>
  <c r="N1651" i="113"/>
  <c r="N1579" i="113"/>
  <c r="N1509" i="113"/>
  <c r="N1445" i="113"/>
  <c r="N1369" i="113"/>
  <c r="N1281" i="113"/>
  <c r="N1205" i="113"/>
  <c r="N1112" i="113"/>
  <c r="N910" i="113"/>
  <c r="N630" i="113"/>
  <c r="N133" i="113"/>
  <c r="N2668" i="113"/>
  <c r="N2653" i="113"/>
  <c r="N2639" i="113"/>
  <c r="N2624" i="113"/>
  <c r="N2609" i="113"/>
  <c r="N2592" i="113"/>
  <c r="N2576" i="113"/>
  <c r="N2558" i="113"/>
  <c r="N2541" i="113"/>
  <c r="N2525" i="113"/>
  <c r="N2508" i="113"/>
  <c r="N2491" i="113"/>
  <c r="N2471" i="113"/>
  <c r="N2452" i="113"/>
  <c r="N2435" i="113"/>
  <c r="N2417" i="113"/>
  <c r="N2396" i="113"/>
  <c r="N2378" i="113"/>
  <c r="N2360" i="113"/>
  <c r="N2342" i="113"/>
  <c r="N2322" i="113"/>
  <c r="N2303" i="113"/>
  <c r="N2286" i="113"/>
  <c r="N2266" i="113"/>
  <c r="N2247" i="113"/>
  <c r="N2230" i="113"/>
  <c r="N2212" i="113"/>
  <c r="N2191" i="113"/>
  <c r="N2173" i="113"/>
  <c r="N2154" i="113"/>
  <c r="N2131" i="113"/>
  <c r="N2101" i="113"/>
  <c r="N2046" i="113"/>
  <c r="N1985" i="113"/>
  <c r="N1914" i="113"/>
  <c r="N1843" i="113"/>
  <c r="N1781" i="113"/>
  <c r="N1709" i="113"/>
  <c r="N1639" i="113"/>
  <c r="N1578" i="113"/>
  <c r="N1507" i="113"/>
  <c r="N1434" i="113"/>
  <c r="N1368" i="113"/>
  <c r="N1278" i="113"/>
  <c r="N1190" i="113"/>
  <c r="N1111" i="113"/>
  <c r="N905" i="113"/>
  <c r="N570" i="113"/>
  <c r="N13" i="113"/>
  <c r="N28" i="113"/>
  <c r="N42" i="113"/>
  <c r="N56" i="113"/>
  <c r="N71" i="113"/>
  <c r="N85" i="113"/>
  <c r="N100" i="113"/>
  <c r="N114" i="113"/>
  <c r="N129" i="113"/>
  <c r="N144" i="113"/>
  <c r="N158" i="113"/>
  <c r="N173" i="113"/>
  <c r="N188" i="113"/>
  <c r="N202" i="113"/>
  <c r="N217" i="113"/>
  <c r="N231" i="113"/>
  <c r="N246" i="113"/>
  <c r="N260" i="113"/>
  <c r="N274" i="113"/>
  <c r="N289" i="113"/>
  <c r="N303" i="113"/>
  <c r="N318" i="113"/>
  <c r="N14" i="113"/>
  <c r="N29" i="113"/>
  <c r="N43" i="113"/>
  <c r="N57" i="113"/>
  <c r="N72" i="113"/>
  <c r="N86" i="113"/>
  <c r="N101" i="113"/>
  <c r="N115" i="113"/>
  <c r="N130" i="113"/>
  <c r="N145" i="113"/>
  <c r="N159" i="113"/>
  <c r="N174" i="113"/>
  <c r="N189" i="113"/>
  <c r="N203" i="113"/>
  <c r="N218" i="113"/>
  <c r="N232" i="113"/>
  <c r="N247" i="113"/>
  <c r="N261" i="113"/>
  <c r="N15" i="113"/>
  <c r="N30" i="113"/>
  <c r="N44" i="113"/>
  <c r="N58" i="113"/>
  <c r="N73" i="113"/>
  <c r="N87" i="113"/>
  <c r="N102" i="113"/>
  <c r="N116" i="113"/>
  <c r="N131" i="113"/>
  <c r="N146" i="113"/>
  <c r="N160" i="113"/>
  <c r="N175" i="113"/>
  <c r="N190" i="113"/>
  <c r="N204" i="113"/>
  <c r="N219" i="113"/>
  <c r="N233" i="113"/>
  <c r="N16" i="113"/>
  <c r="N31" i="113"/>
  <c r="N45" i="113"/>
  <c r="N59" i="113"/>
  <c r="N74" i="113"/>
  <c r="N88" i="113"/>
  <c r="N103" i="113"/>
  <c r="N117" i="113"/>
  <c r="N132" i="113"/>
  <c r="N147" i="113"/>
  <c r="N161" i="113"/>
  <c r="N176" i="113"/>
  <c r="N191" i="113"/>
  <c r="N205" i="113"/>
  <c r="N220" i="113"/>
  <c r="N234" i="113"/>
  <c r="N249" i="113"/>
  <c r="N263" i="113"/>
  <c r="N277" i="113"/>
  <c r="N292" i="113"/>
  <c r="N307" i="113"/>
  <c r="N321" i="113"/>
  <c r="N335" i="113"/>
  <c r="N350" i="113"/>
  <c r="N365" i="113"/>
  <c r="N379" i="113"/>
  <c r="N394" i="113"/>
  <c r="N408" i="113"/>
  <c r="N423" i="113"/>
  <c r="N437" i="113"/>
  <c r="N452" i="113"/>
  <c r="N466" i="113"/>
  <c r="N481" i="113"/>
  <c r="N495" i="113"/>
  <c r="N509" i="113"/>
  <c r="N524" i="113"/>
  <c r="N538" i="113"/>
  <c r="N553" i="113"/>
  <c r="N567" i="113"/>
  <c r="N581" i="113"/>
  <c r="N596" i="113"/>
  <c r="N611" i="113"/>
  <c r="N626" i="113"/>
  <c r="N3" i="113"/>
  <c r="N17" i="113"/>
  <c r="N32" i="113"/>
  <c r="N46" i="113"/>
  <c r="N60" i="113"/>
  <c r="N75" i="113"/>
  <c r="N89" i="113"/>
  <c r="N104" i="113"/>
  <c r="N4" i="113"/>
  <c r="N18" i="113"/>
  <c r="N33" i="113"/>
  <c r="N47" i="113"/>
  <c r="N61" i="113"/>
  <c r="N76" i="113"/>
  <c r="N90" i="113"/>
  <c r="N105" i="113"/>
  <c r="N119" i="113"/>
  <c r="N134" i="113"/>
  <c r="N149" i="113"/>
  <c r="N163" i="113"/>
  <c r="N178" i="113"/>
  <c r="N193" i="113"/>
  <c r="N207" i="113"/>
  <c r="N222" i="113"/>
  <c r="N236" i="113"/>
  <c r="N251" i="113"/>
  <c r="N265" i="113"/>
  <c r="N280" i="113"/>
  <c r="N294" i="113"/>
  <c r="N309" i="113"/>
  <c r="N323" i="113"/>
  <c r="N337" i="113"/>
  <c r="N352" i="113"/>
  <c r="N367" i="113"/>
  <c r="N381" i="113"/>
  <c r="N396" i="113"/>
  <c r="N410" i="113"/>
  <c r="N425" i="113"/>
  <c r="N439" i="113"/>
  <c r="N454" i="113"/>
  <c r="N468" i="113"/>
  <c r="N483" i="113"/>
  <c r="N497" i="113"/>
  <c r="N512" i="113"/>
  <c r="N526" i="113"/>
  <c r="N540" i="113"/>
  <c r="N555" i="113"/>
  <c r="N569" i="113"/>
  <c r="N584" i="113"/>
  <c r="N5" i="113"/>
  <c r="N19" i="113"/>
  <c r="N34" i="113"/>
  <c r="N48" i="113"/>
  <c r="N62" i="113"/>
  <c r="N77" i="113"/>
  <c r="N91" i="113"/>
  <c r="N106" i="113"/>
  <c r="N120" i="113"/>
  <c r="N135" i="113"/>
  <c r="N150" i="113"/>
  <c r="N164" i="113"/>
  <c r="N179" i="113"/>
  <c r="N194" i="113"/>
  <c r="N208" i="113"/>
  <c r="N223" i="113"/>
  <c r="N237" i="113"/>
  <c r="N252" i="113"/>
  <c r="N266" i="113"/>
  <c r="N281" i="113"/>
  <c r="N295" i="113"/>
  <c r="N310" i="113"/>
  <c r="N324" i="113"/>
  <c r="N339" i="113"/>
  <c r="N353" i="113"/>
  <c r="N368" i="113"/>
  <c r="N382" i="113"/>
  <c r="N397" i="113"/>
  <c r="N411" i="113"/>
  <c r="N426" i="113"/>
  <c r="N440" i="113"/>
  <c r="N455" i="113"/>
  <c r="N469" i="113"/>
  <c r="N484" i="113"/>
  <c r="N498" i="113"/>
  <c r="N513" i="113"/>
  <c r="N6" i="113"/>
  <c r="N20" i="113"/>
  <c r="N35" i="113"/>
  <c r="N49" i="113"/>
  <c r="N63" i="113"/>
  <c r="N78" i="113"/>
  <c r="N92" i="113"/>
  <c r="N107" i="113"/>
  <c r="N121" i="113"/>
  <c r="N136" i="113"/>
  <c r="N151" i="113"/>
  <c r="N165" i="113"/>
  <c r="N181" i="113"/>
  <c r="N195" i="113"/>
  <c r="N209" i="113"/>
  <c r="N224" i="113"/>
  <c r="N238" i="113"/>
  <c r="N253" i="113"/>
  <c r="N267" i="113"/>
  <c r="N282" i="113"/>
  <c r="N7" i="113"/>
  <c r="N21" i="113"/>
  <c r="N36" i="113"/>
  <c r="N50" i="113"/>
  <c r="N64" i="113"/>
  <c r="N79" i="113"/>
  <c r="N93" i="113"/>
  <c r="N108" i="113"/>
  <c r="N122" i="113"/>
  <c r="N137" i="113"/>
  <c r="N152" i="113"/>
  <c r="N166" i="113"/>
  <c r="N182" i="113"/>
  <c r="N196" i="113"/>
  <c r="N210" i="113"/>
  <c r="N225" i="113"/>
  <c r="N8" i="113"/>
  <c r="N22" i="113"/>
  <c r="N37" i="113"/>
  <c r="N51" i="113"/>
  <c r="N65" i="113"/>
  <c r="N80" i="113"/>
  <c r="N95" i="113"/>
  <c r="N109" i="113"/>
  <c r="N123" i="113"/>
  <c r="N138" i="113"/>
  <c r="N153" i="113"/>
  <c r="N168" i="113"/>
  <c r="N183" i="113"/>
  <c r="N197" i="113"/>
  <c r="N212" i="113"/>
  <c r="N226" i="113"/>
  <c r="N240" i="113"/>
  <c r="N255" i="113"/>
  <c r="N269" i="113"/>
  <c r="N284" i="113"/>
  <c r="N11" i="113"/>
  <c r="N25" i="113"/>
  <c r="N40" i="113"/>
  <c r="N54" i="113"/>
  <c r="N69" i="113"/>
  <c r="N83" i="113"/>
  <c r="N98" i="113"/>
  <c r="N112" i="113"/>
  <c r="N127" i="113"/>
  <c r="N142" i="113"/>
  <c r="N156" i="113"/>
  <c r="N171" i="113"/>
  <c r="N186" i="113"/>
  <c r="N200" i="113"/>
  <c r="N215" i="113"/>
  <c r="N41" i="113"/>
  <c r="N111" i="113"/>
  <c r="N162" i="113"/>
  <c r="N214" i="113"/>
  <c r="N250" i="113"/>
  <c r="N276" i="113"/>
  <c r="N300" i="113"/>
  <c r="N320" i="113"/>
  <c r="N341" i="113"/>
  <c r="N358" i="113"/>
  <c r="N376" i="113"/>
  <c r="N395" i="113"/>
  <c r="N414" i="113"/>
  <c r="N432" i="113"/>
  <c r="N450" i="113"/>
  <c r="N470" i="113"/>
  <c r="N488" i="113"/>
  <c r="N505" i="113"/>
  <c r="N523" i="113"/>
  <c r="N542" i="113"/>
  <c r="N558" i="113"/>
  <c r="N574" i="113"/>
  <c r="N591" i="113"/>
  <c r="N607" i="113"/>
  <c r="N623" i="113"/>
  <c r="N638" i="113"/>
  <c r="N653" i="113"/>
  <c r="N667" i="113"/>
  <c r="N682" i="113"/>
  <c r="N696" i="113"/>
  <c r="N711" i="113"/>
  <c r="N725" i="113"/>
  <c r="N740" i="113"/>
  <c r="N754" i="113"/>
  <c r="N768" i="113"/>
  <c r="N783" i="113"/>
  <c r="N797" i="113"/>
  <c r="N812" i="113"/>
  <c r="N826" i="113"/>
  <c r="N841" i="113"/>
  <c r="N855" i="113"/>
  <c r="N870" i="113"/>
  <c r="N884" i="113"/>
  <c r="N898" i="113"/>
  <c r="N913" i="113"/>
  <c r="N927" i="113"/>
  <c r="N941" i="113"/>
  <c r="N956" i="113"/>
  <c r="N970" i="113"/>
  <c r="N984" i="113"/>
  <c r="N999" i="113"/>
  <c r="N1014" i="113"/>
  <c r="N1028" i="113"/>
  <c r="N1043" i="113"/>
  <c r="N1057" i="113"/>
  <c r="N1071" i="113"/>
  <c r="N1086" i="113"/>
  <c r="N1100" i="113"/>
  <c r="N1115" i="113"/>
  <c r="N1130" i="113"/>
  <c r="N1144" i="113"/>
  <c r="N1159" i="113"/>
  <c r="N1174" i="113"/>
  <c r="N1188" i="113"/>
  <c r="N1202" i="113"/>
  <c r="N1217" i="113"/>
  <c r="N1231" i="113"/>
  <c r="N1246" i="113"/>
  <c r="N1260" i="113"/>
  <c r="N1274" i="113"/>
  <c r="N1289" i="113"/>
  <c r="N1303" i="113"/>
  <c r="N1318" i="113"/>
  <c r="N1332" i="113"/>
  <c r="N1346" i="113"/>
  <c r="N1360" i="113"/>
  <c r="N1374" i="113"/>
  <c r="N1389" i="113"/>
  <c r="N1403" i="113"/>
  <c r="N1417" i="113"/>
  <c r="N1431" i="113"/>
  <c r="N1446" i="113"/>
  <c r="N1461" i="113"/>
  <c r="N1475" i="113"/>
  <c r="N52" i="113"/>
  <c r="N113" i="113"/>
  <c r="N169" i="113"/>
  <c r="N216" i="113"/>
  <c r="N254" i="113"/>
  <c r="N279" i="113"/>
  <c r="N301" i="113"/>
  <c r="N322" i="113"/>
  <c r="N342" i="113"/>
  <c r="N359" i="113"/>
  <c r="N377" i="113"/>
  <c r="N398" i="113"/>
  <c r="N415" i="113"/>
  <c r="N433" i="113"/>
  <c r="N451" i="113"/>
  <c r="N471" i="113"/>
  <c r="N489" i="113"/>
  <c r="N506" i="113"/>
  <c r="N525" i="113"/>
  <c r="N543" i="113"/>
  <c r="N559" i="113"/>
  <c r="N575" i="113"/>
  <c r="N592" i="113"/>
  <c r="N608" i="113"/>
  <c r="N624" i="113"/>
  <c r="N639" i="113"/>
  <c r="N654" i="113"/>
  <c r="N668" i="113"/>
  <c r="N683" i="113"/>
  <c r="N698" i="113"/>
  <c r="N712" i="113"/>
  <c r="N726" i="113"/>
  <c r="N741" i="113"/>
  <c r="N755" i="113"/>
  <c r="N769" i="113"/>
  <c r="N784" i="113"/>
  <c r="N798" i="113"/>
  <c r="N813" i="113"/>
  <c r="N827" i="113"/>
  <c r="N842" i="113"/>
  <c r="N856" i="113"/>
  <c r="N871" i="113"/>
  <c r="N885" i="113"/>
  <c r="N899" i="113"/>
  <c r="N914" i="113"/>
  <c r="N928" i="113"/>
  <c r="N942" i="113"/>
  <c r="N957" i="113"/>
  <c r="N971" i="113"/>
  <c r="N985" i="113"/>
  <c r="N1000" i="113"/>
  <c r="N1015" i="113"/>
  <c r="N1029" i="113"/>
  <c r="N1044" i="113"/>
  <c r="N1058" i="113"/>
  <c r="N1072" i="113"/>
  <c r="N1087" i="113"/>
  <c r="N1101" i="113"/>
  <c r="N1116" i="113"/>
  <c r="N1131" i="113"/>
  <c r="N1145" i="113"/>
  <c r="N1160" i="113"/>
  <c r="N1175" i="113"/>
  <c r="N1189" i="113"/>
  <c r="N1203" i="113"/>
  <c r="N1218" i="113"/>
  <c r="N1232" i="113"/>
  <c r="N1247" i="113"/>
  <c r="N1261" i="113"/>
  <c r="N1275" i="113"/>
  <c r="N1290" i="113"/>
  <c r="N1304" i="113"/>
  <c r="N1319" i="113"/>
  <c r="N1333" i="113"/>
  <c r="N1347" i="113"/>
  <c r="N1361" i="113"/>
  <c r="N53" i="113"/>
  <c r="N118" i="113"/>
  <c r="N170" i="113"/>
  <c r="N221" i="113"/>
  <c r="N256" i="113"/>
  <c r="N283" i="113"/>
  <c r="N302" i="113"/>
  <c r="N325" i="113"/>
  <c r="N343" i="113"/>
  <c r="N360" i="113"/>
  <c r="N378" i="113"/>
  <c r="N399" i="113"/>
  <c r="N416" i="113"/>
  <c r="N434" i="113"/>
  <c r="N453" i="113"/>
  <c r="N472" i="113"/>
  <c r="N490" i="113"/>
  <c r="N507" i="113"/>
  <c r="N527" i="113"/>
  <c r="N544" i="113"/>
  <c r="N560" i="113"/>
  <c r="N576" i="113"/>
  <c r="N593" i="113"/>
  <c r="N609" i="113"/>
  <c r="N625" i="113"/>
  <c r="N640" i="113"/>
  <c r="N655" i="113"/>
  <c r="N669" i="113"/>
  <c r="N684" i="113"/>
  <c r="N699" i="113"/>
  <c r="N713" i="113"/>
  <c r="N727" i="113"/>
  <c r="N742" i="113"/>
  <c r="N756" i="113"/>
  <c r="N771" i="113"/>
  <c r="N785" i="113"/>
  <c r="N799" i="113"/>
  <c r="N814" i="113"/>
  <c r="N828" i="113"/>
  <c r="N843" i="113"/>
  <c r="N857" i="113"/>
  <c r="N872" i="113"/>
  <c r="N886" i="113"/>
  <c r="N900" i="113"/>
  <c r="N915" i="113"/>
  <c r="N929" i="113"/>
  <c r="N943" i="113"/>
  <c r="N958" i="113"/>
  <c r="N972" i="113"/>
  <c r="N986" i="113"/>
  <c r="N1001" i="113"/>
  <c r="N1016" i="113"/>
  <c r="N1030" i="113"/>
  <c r="N1045" i="113"/>
  <c r="N1059" i="113"/>
  <c r="N55" i="113"/>
  <c r="N124" i="113"/>
  <c r="N172" i="113"/>
  <c r="N227" i="113"/>
  <c r="N257" i="113"/>
  <c r="N285" i="113"/>
  <c r="N304" i="113"/>
  <c r="N326" i="113"/>
  <c r="N344" i="113"/>
  <c r="N362" i="113"/>
  <c r="N380" i="113"/>
  <c r="N400" i="113"/>
  <c r="N417" i="113"/>
  <c r="N435" i="113"/>
  <c r="N456" i="113"/>
  <c r="N473" i="113"/>
  <c r="N491" i="113"/>
  <c r="N508" i="113"/>
  <c r="N528" i="113"/>
  <c r="N545" i="113"/>
  <c r="N561" i="113"/>
  <c r="N577" i="113"/>
  <c r="N594" i="113"/>
  <c r="N610" i="113"/>
  <c r="N627" i="113"/>
  <c r="N641" i="113"/>
  <c r="N656" i="113"/>
  <c r="N670" i="113"/>
  <c r="N685" i="113"/>
  <c r="N700" i="113"/>
  <c r="N714" i="113"/>
  <c r="N728" i="113"/>
  <c r="N743" i="113"/>
  <c r="N757" i="113"/>
  <c r="N772" i="113"/>
  <c r="N786" i="113"/>
  <c r="N800" i="113"/>
  <c r="N815" i="113"/>
  <c r="N829" i="113"/>
  <c r="N844" i="113"/>
  <c r="N858" i="113"/>
  <c r="N873" i="113"/>
  <c r="N887" i="113"/>
  <c r="N902" i="113"/>
  <c r="N916" i="113"/>
  <c r="N930" i="113"/>
  <c r="N945" i="113"/>
  <c r="N959" i="113"/>
  <c r="N973" i="113"/>
  <c r="N987" i="113"/>
  <c r="N1002" i="113"/>
  <c r="N1017" i="113"/>
  <c r="N1031" i="113"/>
  <c r="N1046" i="113"/>
  <c r="N1060" i="113"/>
  <c r="N1074" i="113"/>
  <c r="N1089" i="113"/>
  <c r="N66" i="113"/>
  <c r="N126" i="113"/>
  <c r="N177" i="113"/>
  <c r="N228" i="113"/>
  <c r="N258" i="113"/>
  <c r="N286" i="113"/>
  <c r="N305" i="113"/>
  <c r="N327" i="113"/>
  <c r="N345" i="113"/>
  <c r="N363" i="113"/>
  <c r="N383" i="113"/>
  <c r="N401" i="113"/>
  <c r="N418" i="113"/>
  <c r="N436" i="113"/>
  <c r="N457" i="113"/>
  <c r="N474" i="113"/>
  <c r="N492" i="113"/>
  <c r="N510" i="113"/>
  <c r="N529" i="113"/>
  <c r="N546" i="113"/>
  <c r="N562" i="113"/>
  <c r="N578" i="113"/>
  <c r="N595" i="113"/>
  <c r="N612" i="113"/>
  <c r="N628" i="113"/>
  <c r="N642" i="113"/>
  <c r="N657" i="113"/>
  <c r="N672" i="113"/>
  <c r="N686" i="113"/>
  <c r="N701" i="113"/>
  <c r="N715" i="113"/>
  <c r="N730" i="113"/>
  <c r="N744" i="113"/>
  <c r="N758" i="113"/>
  <c r="N773" i="113"/>
  <c r="N787" i="113"/>
  <c r="N801" i="113"/>
  <c r="N816" i="113"/>
  <c r="N830" i="113"/>
  <c r="N845" i="113"/>
  <c r="N859" i="113"/>
  <c r="N874" i="113"/>
  <c r="N888" i="113"/>
  <c r="N903" i="113"/>
  <c r="N917" i="113"/>
  <c r="N931" i="113"/>
  <c r="N946" i="113"/>
  <c r="N960" i="113"/>
  <c r="N974" i="113"/>
  <c r="N989" i="113"/>
  <c r="N1003" i="113"/>
  <c r="N1018" i="113"/>
  <c r="N1032" i="113"/>
  <c r="N1047" i="113"/>
  <c r="N68" i="113"/>
  <c r="N128" i="113"/>
  <c r="N184" i="113"/>
  <c r="N229" i="113"/>
  <c r="N259" i="113"/>
  <c r="N287" i="113"/>
  <c r="N308" i="113"/>
  <c r="N328" i="113"/>
  <c r="N346" i="113"/>
  <c r="N364" i="113"/>
  <c r="N384" i="113"/>
  <c r="N402" i="113"/>
  <c r="N420" i="113"/>
  <c r="N438" i="113"/>
  <c r="N458" i="113"/>
  <c r="N475" i="113"/>
  <c r="N493" i="113"/>
  <c r="N514" i="113"/>
  <c r="N530" i="113"/>
  <c r="N547" i="113"/>
  <c r="N563" i="113"/>
  <c r="N579" i="113"/>
  <c r="N598" i="113"/>
  <c r="N613" i="113"/>
  <c r="N629" i="113"/>
  <c r="N643" i="113"/>
  <c r="N658" i="113"/>
  <c r="N673" i="113"/>
  <c r="N687" i="113"/>
  <c r="N702" i="113"/>
  <c r="N716" i="113"/>
  <c r="N731" i="113"/>
  <c r="N745" i="113"/>
  <c r="N759" i="113"/>
  <c r="N774" i="113"/>
  <c r="N788" i="113"/>
  <c r="N802" i="113"/>
  <c r="N817" i="113"/>
  <c r="N831" i="113"/>
  <c r="N846" i="113"/>
  <c r="N860" i="113"/>
  <c r="N875" i="113"/>
  <c r="N889" i="113"/>
  <c r="N904" i="113"/>
  <c r="N918" i="113"/>
  <c r="N932" i="113"/>
  <c r="N947" i="113"/>
  <c r="N961" i="113"/>
  <c r="N975" i="113"/>
  <c r="N990" i="113"/>
  <c r="N1004" i="113"/>
  <c r="N1019" i="113"/>
  <c r="N1033" i="113"/>
  <c r="N1048" i="113"/>
  <c r="N1062" i="113"/>
  <c r="N1077" i="113"/>
  <c r="N1091" i="113"/>
  <c r="N1106" i="113"/>
  <c r="N1120" i="113"/>
  <c r="N1135" i="113"/>
  <c r="N1150" i="113"/>
  <c r="N1164" i="113"/>
  <c r="N1179" i="113"/>
  <c r="N1193" i="113"/>
  <c r="N1208" i="113"/>
  <c r="N1222" i="113"/>
  <c r="N1237" i="113"/>
  <c r="N1251" i="113"/>
  <c r="N1265" i="113"/>
  <c r="N1279" i="113"/>
  <c r="N1294" i="113"/>
  <c r="N1309" i="113"/>
  <c r="N1323" i="113"/>
  <c r="N1337" i="113"/>
  <c r="N1351" i="113"/>
  <c r="N1365" i="113"/>
  <c r="N10" i="113"/>
  <c r="N81" i="113"/>
  <c r="N139" i="113"/>
  <c r="N187" i="113"/>
  <c r="N235" i="113"/>
  <c r="N264" i="113"/>
  <c r="N290" i="113"/>
  <c r="N312" i="113"/>
  <c r="N330" i="113"/>
  <c r="N348" i="113"/>
  <c r="N369" i="113"/>
  <c r="N386" i="113"/>
  <c r="N404" i="113"/>
  <c r="N422" i="113"/>
  <c r="N443" i="113"/>
  <c r="N460" i="113"/>
  <c r="N478" i="113"/>
  <c r="N496" i="113"/>
  <c r="N516" i="113"/>
  <c r="N532" i="113"/>
  <c r="N549" i="113"/>
  <c r="N565" i="113"/>
  <c r="N583" i="113"/>
  <c r="N600" i="113"/>
  <c r="N616" i="113"/>
  <c r="N631" i="113"/>
  <c r="N646" i="113"/>
  <c r="N660" i="113"/>
  <c r="N675" i="113"/>
  <c r="N689" i="113"/>
  <c r="N704" i="113"/>
  <c r="N718" i="113"/>
  <c r="N733" i="113"/>
  <c r="N747" i="113"/>
  <c r="N761" i="113"/>
  <c r="N776" i="113"/>
  <c r="N790" i="113"/>
  <c r="N804" i="113"/>
  <c r="N819" i="113"/>
  <c r="N833" i="113"/>
  <c r="N848" i="113"/>
  <c r="N862" i="113"/>
  <c r="N877" i="113"/>
  <c r="N891" i="113"/>
  <c r="N906" i="113"/>
  <c r="N920" i="113"/>
  <c r="N934" i="113"/>
  <c r="N949" i="113"/>
  <c r="N963" i="113"/>
  <c r="N977" i="113"/>
  <c r="N992" i="113"/>
  <c r="N1006" i="113"/>
  <c r="N1021" i="113"/>
  <c r="N1035" i="113"/>
  <c r="N1050" i="113"/>
  <c r="N1064" i="113"/>
  <c r="N12" i="113"/>
  <c r="N82" i="113"/>
  <c r="N140" i="113"/>
  <c r="N192" i="113"/>
  <c r="N239" i="113"/>
  <c r="N268" i="113"/>
  <c r="N291" i="113"/>
  <c r="N313" i="113"/>
  <c r="N331" i="113"/>
  <c r="N349" i="113"/>
  <c r="N370" i="113"/>
  <c r="N387" i="113"/>
  <c r="N405" i="113"/>
  <c r="N424" i="113"/>
  <c r="N444" i="113"/>
  <c r="N461" i="113"/>
  <c r="N479" i="113"/>
  <c r="N499" i="113"/>
  <c r="N517" i="113"/>
  <c r="N533" i="113"/>
  <c r="N550" i="113"/>
  <c r="N566" i="113"/>
  <c r="N585" i="113"/>
  <c r="N601" i="113"/>
  <c r="N617" i="113"/>
  <c r="N632" i="113"/>
  <c r="N647" i="113"/>
  <c r="N661" i="113"/>
  <c r="N676" i="113"/>
  <c r="N690" i="113"/>
  <c r="N705" i="113"/>
  <c r="N719" i="113"/>
  <c r="N734" i="113"/>
  <c r="N748" i="113"/>
  <c r="N762" i="113"/>
  <c r="N777" i="113"/>
  <c r="N791" i="113"/>
  <c r="N805" i="113"/>
  <c r="N820" i="113"/>
  <c r="N834" i="113"/>
  <c r="N849" i="113"/>
  <c r="N863" i="113"/>
  <c r="N878" i="113"/>
  <c r="N892" i="113"/>
  <c r="N907" i="113"/>
  <c r="N921" i="113"/>
  <c r="N935" i="113"/>
  <c r="N950" i="113"/>
  <c r="N964" i="113"/>
  <c r="N978" i="113"/>
  <c r="N993" i="113"/>
  <c r="N1007" i="113"/>
  <c r="N1022" i="113"/>
  <c r="N1036" i="113"/>
  <c r="N23" i="113"/>
  <c r="N84" i="113"/>
  <c r="N143" i="113"/>
  <c r="N198" i="113"/>
  <c r="N241" i="113"/>
  <c r="N270" i="113"/>
  <c r="N293" i="113"/>
  <c r="N314" i="113"/>
  <c r="N332" i="113"/>
  <c r="N351" i="113"/>
  <c r="N371" i="113"/>
  <c r="N388" i="113"/>
  <c r="N406" i="113"/>
  <c r="N427" i="113"/>
  <c r="N445" i="113"/>
  <c r="N462" i="113"/>
  <c r="N480" i="113"/>
  <c r="N500" i="113"/>
  <c r="N518" i="113"/>
  <c r="N534" i="113"/>
  <c r="N551" i="113"/>
  <c r="N568" i="113"/>
  <c r="N586" i="113"/>
  <c r="N602" i="113"/>
  <c r="N618" i="113"/>
  <c r="N633" i="113"/>
  <c r="N648" i="113"/>
  <c r="N662" i="113"/>
  <c r="N677" i="113"/>
  <c r="N691" i="113"/>
  <c r="N706" i="113"/>
  <c r="N720" i="113"/>
  <c r="N735" i="113"/>
  <c r="N749" i="113"/>
  <c r="N763" i="113"/>
  <c r="N778" i="113"/>
  <c r="N792" i="113"/>
  <c r="N807" i="113"/>
  <c r="N821" i="113"/>
  <c r="N835" i="113"/>
  <c r="N850" i="113"/>
  <c r="N865" i="113"/>
  <c r="N879" i="113"/>
  <c r="N893" i="113"/>
  <c r="N908" i="113"/>
  <c r="N922" i="113"/>
  <c r="N936" i="113"/>
  <c r="N951" i="113"/>
  <c r="N965" i="113"/>
  <c r="N979" i="113"/>
  <c r="N994" i="113"/>
  <c r="N1008" i="113"/>
  <c r="N1023" i="113"/>
  <c r="N1037" i="113"/>
  <c r="N38" i="113"/>
  <c r="N99" i="113"/>
  <c r="N155" i="113"/>
  <c r="N206" i="113"/>
  <c r="N245" i="113"/>
  <c r="N273" i="113"/>
  <c r="N298" i="113"/>
  <c r="N317" i="113"/>
  <c r="N336" i="113"/>
  <c r="N356" i="113"/>
  <c r="N374" i="113"/>
  <c r="N392" i="113"/>
  <c r="N412" i="113"/>
  <c r="N430" i="113"/>
  <c r="N448" i="113"/>
  <c r="N465" i="113"/>
  <c r="N486" i="113"/>
  <c r="N503" i="113"/>
  <c r="N521" i="113"/>
  <c r="N537" i="113"/>
  <c r="N556" i="113"/>
  <c r="N572" i="113"/>
  <c r="N589" i="113"/>
  <c r="N605" i="113"/>
  <c r="N621" i="113"/>
  <c r="N636" i="113"/>
  <c r="N651" i="113"/>
  <c r="N665" i="113"/>
  <c r="N680" i="113"/>
  <c r="N694" i="113"/>
  <c r="N709" i="113"/>
  <c r="N723" i="113"/>
  <c r="N738" i="113"/>
  <c r="N752" i="113"/>
  <c r="N766" i="113"/>
  <c r="N781" i="113"/>
  <c r="N795" i="113"/>
  <c r="N810" i="113"/>
  <c r="N824" i="113"/>
  <c r="N839" i="113"/>
  <c r="N853" i="113"/>
  <c r="N868" i="113"/>
  <c r="N882" i="113"/>
  <c r="N896" i="113"/>
  <c r="N911" i="113"/>
  <c r="N925" i="113"/>
  <c r="N939" i="113"/>
  <c r="N954" i="113"/>
  <c r="N968" i="113"/>
  <c r="N982" i="113"/>
  <c r="N997" i="113"/>
  <c r="N1011" i="113"/>
  <c r="N1026" i="113"/>
  <c r="N1041" i="113"/>
  <c r="N1055" i="113"/>
  <c r="N1069" i="113"/>
  <c r="N1084" i="113"/>
  <c r="N39" i="113"/>
  <c r="N110" i="113"/>
  <c r="N157" i="113"/>
  <c r="N213" i="113"/>
  <c r="N248" i="113"/>
  <c r="N275" i="113"/>
  <c r="N299" i="113"/>
  <c r="N319" i="113"/>
  <c r="N340" i="113"/>
  <c r="N357" i="113"/>
  <c r="N375" i="113"/>
  <c r="N393" i="113"/>
  <c r="N413" i="113"/>
  <c r="N431" i="113"/>
  <c r="N449" i="113"/>
  <c r="N467" i="113"/>
  <c r="N487" i="113"/>
  <c r="N504" i="113"/>
  <c r="N522" i="113"/>
  <c r="N539" i="113"/>
  <c r="N557" i="113"/>
  <c r="N573" i="113"/>
  <c r="N590" i="113"/>
  <c r="N606" i="113"/>
  <c r="N622" i="113"/>
  <c r="N637" i="113"/>
  <c r="N652" i="113"/>
  <c r="N666" i="113"/>
  <c r="N681" i="113"/>
  <c r="N695" i="113"/>
  <c r="N710" i="113"/>
  <c r="N724" i="113"/>
  <c r="N739" i="113"/>
  <c r="N753" i="113"/>
  <c r="N767" i="113"/>
  <c r="N782" i="113"/>
  <c r="N796" i="113"/>
  <c r="N811" i="113"/>
  <c r="N825" i="113"/>
  <c r="N840" i="113"/>
  <c r="N854" i="113"/>
  <c r="N869" i="113"/>
  <c r="N883" i="113"/>
  <c r="N897" i="113"/>
  <c r="N912" i="113"/>
  <c r="N926" i="113"/>
  <c r="N940" i="113"/>
  <c r="N955" i="113"/>
  <c r="N969" i="113"/>
  <c r="N983" i="113"/>
  <c r="N998" i="113"/>
  <c r="N1012" i="113"/>
  <c r="N1027" i="113"/>
  <c r="N1042" i="113"/>
  <c r="N185" i="113"/>
  <c r="N316" i="113"/>
  <c r="N407" i="113"/>
  <c r="N494" i="113"/>
  <c r="N571" i="113"/>
  <c r="N649" i="113"/>
  <c r="N717" i="113"/>
  <c r="N780" i="113"/>
  <c r="N851" i="113"/>
  <c r="N919" i="113"/>
  <c r="N981" i="113"/>
  <c r="N1051" i="113"/>
  <c r="N1078" i="113"/>
  <c r="N1097" i="113"/>
  <c r="N1117" i="113"/>
  <c r="N1136" i="113"/>
  <c r="N1154" i="113"/>
  <c r="N1172" i="113"/>
  <c r="N1191" i="113"/>
  <c r="N1210" i="113"/>
  <c r="N1227" i="113"/>
  <c r="N1245" i="113"/>
  <c r="N1264" i="113"/>
  <c r="N1282" i="113"/>
  <c r="N1300" i="113"/>
  <c r="N1320" i="113"/>
  <c r="N1338" i="113"/>
  <c r="N1355" i="113"/>
  <c r="N1372" i="113"/>
  <c r="N1388" i="113"/>
  <c r="N1404" i="113"/>
  <c r="N1419" i="113"/>
  <c r="N1435" i="113"/>
  <c r="N1450" i="113"/>
  <c r="N1466" i="113"/>
  <c r="N1481" i="113"/>
  <c r="N1496" i="113"/>
  <c r="N1510" i="113"/>
  <c r="N1524" i="113"/>
  <c r="N1538" i="113"/>
  <c r="N1553" i="113"/>
  <c r="N1567" i="113"/>
  <c r="N1582" i="113"/>
  <c r="N1597" i="113"/>
  <c r="N1611" i="113"/>
  <c r="N1626" i="113"/>
  <c r="N1640" i="113"/>
  <c r="N1655" i="113"/>
  <c r="N1669" i="113"/>
  <c r="N1684" i="113"/>
  <c r="N1698" i="113"/>
  <c r="N1712" i="113"/>
  <c r="N1727" i="113"/>
  <c r="N1741" i="113"/>
  <c r="N1756" i="113"/>
  <c r="N1770" i="113"/>
  <c r="N1785" i="113"/>
  <c r="N1800" i="113"/>
  <c r="N1815" i="113"/>
  <c r="N1829" i="113"/>
  <c r="N1844" i="113"/>
  <c r="N1858" i="113"/>
  <c r="N1873" i="113"/>
  <c r="N1888" i="113"/>
  <c r="N1902" i="113"/>
  <c r="N1917" i="113"/>
  <c r="N1931" i="113"/>
  <c r="N1945" i="113"/>
  <c r="N1960" i="113"/>
  <c r="N1974" i="113"/>
  <c r="N1989" i="113"/>
  <c r="N2004" i="113"/>
  <c r="N2018" i="113"/>
  <c r="N2032" i="113"/>
  <c r="N2047" i="113"/>
  <c r="N2061" i="113"/>
  <c r="N2076" i="113"/>
  <c r="N2090" i="113"/>
  <c r="N2105" i="113"/>
  <c r="N2119" i="113"/>
  <c r="N2134" i="113"/>
  <c r="N2148" i="113"/>
  <c r="N2163" i="113"/>
  <c r="N2178" i="113"/>
  <c r="N2192" i="113"/>
  <c r="N2207" i="113"/>
  <c r="N2221" i="113"/>
  <c r="N2236" i="113"/>
  <c r="N2250" i="113"/>
  <c r="N2265" i="113"/>
  <c r="N2279" i="113"/>
  <c r="N2294" i="113"/>
  <c r="N2309" i="113"/>
  <c r="N2324" i="113"/>
  <c r="N2338" i="113"/>
  <c r="N2353" i="113"/>
  <c r="N2367" i="113"/>
  <c r="N2383" i="113"/>
  <c r="N2397" i="113"/>
  <c r="N2412" i="113"/>
  <c r="N2427" i="113"/>
  <c r="N2441" i="113"/>
  <c r="N2456" i="113"/>
  <c r="N2470" i="113"/>
  <c r="N2485" i="113"/>
  <c r="N199" i="113"/>
  <c r="N329" i="113"/>
  <c r="N409" i="113"/>
  <c r="N501" i="113"/>
  <c r="N580" i="113"/>
  <c r="N650" i="113"/>
  <c r="N721" i="113"/>
  <c r="N789" i="113"/>
  <c r="N852" i="113"/>
  <c r="N923" i="113"/>
  <c r="N991" i="113"/>
  <c r="N1052" i="113"/>
  <c r="N1079" i="113"/>
  <c r="N1098" i="113"/>
  <c r="N1118" i="113"/>
  <c r="N1137" i="113"/>
  <c r="N1155" i="113"/>
  <c r="N1173" i="113"/>
  <c r="N1192" i="113"/>
  <c r="N1211" i="113"/>
  <c r="N1228" i="113"/>
  <c r="N1248" i="113"/>
  <c r="N1266" i="113"/>
  <c r="N1283" i="113"/>
  <c r="N1301" i="113"/>
  <c r="N1321" i="113"/>
  <c r="N1339" i="113"/>
  <c r="N1356" i="113"/>
  <c r="N1373" i="113"/>
  <c r="N1390" i="113"/>
  <c r="N1405" i="113"/>
  <c r="N1420" i="113"/>
  <c r="N1436" i="113"/>
  <c r="N1452" i="113"/>
  <c r="N1467" i="113"/>
  <c r="N1482" i="113"/>
  <c r="N1497" i="113"/>
  <c r="N1511" i="113"/>
  <c r="N1525" i="113"/>
  <c r="N1539" i="113"/>
  <c r="N1554" i="113"/>
  <c r="N1568" i="113"/>
  <c r="N1583" i="113"/>
  <c r="N1598" i="113"/>
  <c r="N1612" i="113"/>
  <c r="N1627" i="113"/>
  <c r="N1641" i="113"/>
  <c r="N1656" i="113"/>
  <c r="N1670" i="113"/>
  <c r="N1685" i="113"/>
  <c r="N1699" i="113"/>
  <c r="N1713" i="113"/>
  <c r="N1728" i="113"/>
  <c r="N1742" i="113"/>
  <c r="N1757" i="113"/>
  <c r="N1771" i="113"/>
  <c r="N1786" i="113"/>
  <c r="N1801" i="113"/>
  <c r="N1816" i="113"/>
  <c r="N1830" i="113"/>
  <c r="N1845" i="113"/>
  <c r="N1859" i="113"/>
  <c r="N1874" i="113"/>
  <c r="N1889" i="113"/>
  <c r="N1903" i="113"/>
  <c r="N1918" i="113"/>
  <c r="N1932" i="113"/>
  <c r="N1946" i="113"/>
  <c r="N1961" i="113"/>
  <c r="N1976" i="113"/>
  <c r="N1990" i="113"/>
  <c r="N2005" i="113"/>
  <c r="N2019" i="113"/>
  <c r="N2033" i="113"/>
  <c r="N2048" i="113"/>
  <c r="N2062" i="113"/>
  <c r="N2077" i="113"/>
  <c r="N2091" i="113"/>
  <c r="N2106" i="113"/>
  <c r="N2120" i="113"/>
  <c r="N2135" i="113"/>
  <c r="N201" i="113"/>
  <c r="N333" i="113"/>
  <c r="N421" i="113"/>
  <c r="N502" i="113"/>
  <c r="N587" i="113"/>
  <c r="N659" i="113"/>
  <c r="N722" i="113"/>
  <c r="N793" i="113"/>
  <c r="N861" i="113"/>
  <c r="N924" i="113"/>
  <c r="N995" i="113"/>
  <c r="N1053" i="113"/>
  <c r="N1080" i="113"/>
  <c r="N1099" i="113"/>
  <c r="N1119" i="113"/>
  <c r="N1138" i="113"/>
  <c r="N1156" i="113"/>
  <c r="N1176" i="113"/>
  <c r="N1194" i="113"/>
  <c r="N1212" i="113"/>
  <c r="N1229" i="113"/>
  <c r="N1249" i="113"/>
  <c r="N1267" i="113"/>
  <c r="N1285" i="113"/>
  <c r="N1302" i="113"/>
  <c r="N1322" i="113"/>
  <c r="N1340" i="113"/>
  <c r="N1357" i="113"/>
  <c r="N1375" i="113"/>
  <c r="N1391" i="113"/>
  <c r="N1406" i="113"/>
  <c r="N1421" i="113"/>
  <c r="N1437" i="113"/>
  <c r="N1453" i="113"/>
  <c r="N1468" i="113"/>
  <c r="N1483" i="113"/>
  <c r="N1498" i="113"/>
  <c r="N1512" i="113"/>
  <c r="N1526" i="113"/>
  <c r="N1540" i="113"/>
  <c r="N1555" i="113"/>
  <c r="N1569" i="113"/>
  <c r="N1584" i="113"/>
  <c r="N1599" i="113"/>
  <c r="N1613" i="113"/>
  <c r="N1628" i="113"/>
  <c r="N1642" i="113"/>
  <c r="N1657" i="113"/>
  <c r="N1671" i="113"/>
  <c r="N1686" i="113"/>
  <c r="N1700" i="113"/>
  <c r="N1714" i="113"/>
  <c r="N1729" i="113"/>
  <c r="N1743" i="113"/>
  <c r="N1758" i="113"/>
  <c r="N1772" i="113"/>
  <c r="N1787" i="113"/>
  <c r="N1802" i="113"/>
  <c r="N1817" i="113"/>
  <c r="N1831" i="113"/>
  <c r="N1846" i="113"/>
  <c r="N1860" i="113"/>
  <c r="N1875" i="113"/>
  <c r="N1890" i="113"/>
  <c r="N1904" i="113"/>
  <c r="N1919" i="113"/>
  <c r="N1933" i="113"/>
  <c r="N1947" i="113"/>
  <c r="N1962" i="113"/>
  <c r="N1977" i="113"/>
  <c r="N1991" i="113"/>
  <c r="N2006" i="113"/>
  <c r="N2020" i="113"/>
  <c r="N2034" i="113"/>
  <c r="N2049" i="113"/>
  <c r="N2063" i="113"/>
  <c r="N2078" i="113"/>
  <c r="N2092" i="113"/>
  <c r="N2107" i="113"/>
  <c r="N2121" i="113"/>
  <c r="N2136" i="113"/>
  <c r="N2150" i="113"/>
  <c r="N2165" i="113"/>
  <c r="N2180" i="113"/>
  <c r="N2194" i="113"/>
  <c r="N2209" i="113"/>
  <c r="N2223" i="113"/>
  <c r="N2238" i="113"/>
  <c r="N2253" i="113"/>
  <c r="N2267" i="113"/>
  <c r="N2282" i="113"/>
  <c r="N2296" i="113"/>
  <c r="N2311" i="113"/>
  <c r="N2326" i="113"/>
  <c r="N2340" i="113"/>
  <c r="N2355" i="113"/>
  <c r="N2370" i="113"/>
  <c r="N2385" i="113"/>
  <c r="N2400" i="113"/>
  <c r="N2414" i="113"/>
  <c r="N2429" i="113"/>
  <c r="N2443" i="113"/>
  <c r="N2458" i="113"/>
  <c r="N2472" i="113"/>
  <c r="N2487" i="113"/>
  <c r="N2502" i="113"/>
  <c r="N2516" i="113"/>
  <c r="N2531" i="113"/>
  <c r="N2545" i="113"/>
  <c r="N2560" i="113"/>
  <c r="N2574" i="113"/>
  <c r="N2588" i="113"/>
  <c r="N2603" i="113"/>
  <c r="N230" i="113"/>
  <c r="N334" i="113"/>
  <c r="N428" i="113"/>
  <c r="N515" i="113"/>
  <c r="N588" i="113"/>
  <c r="N663" i="113"/>
  <c r="N732" i="113"/>
  <c r="N794" i="113"/>
  <c r="N866" i="113"/>
  <c r="N933" i="113"/>
  <c r="N996" i="113"/>
  <c r="N1054" i="113"/>
  <c r="N1081" i="113"/>
  <c r="N1102" i="113"/>
  <c r="N1121" i="113"/>
  <c r="N1139" i="113"/>
  <c r="N1157" i="113"/>
  <c r="N1177" i="113"/>
  <c r="N1195" i="113"/>
  <c r="N1213" i="113"/>
  <c r="N1230" i="113"/>
  <c r="N1250" i="113"/>
  <c r="N1268" i="113"/>
  <c r="N1286" i="113"/>
  <c r="N1305" i="113"/>
  <c r="N1324" i="113"/>
  <c r="N1341" i="113"/>
  <c r="N1358" i="113"/>
  <c r="N1376" i="113"/>
  <c r="N1392" i="113"/>
  <c r="N1407" i="113"/>
  <c r="N1422" i="113"/>
  <c r="N1438" i="113"/>
  <c r="N1454" i="113"/>
  <c r="N1469" i="113"/>
  <c r="N1484" i="113"/>
  <c r="N1499" i="113"/>
  <c r="N1513" i="113"/>
  <c r="N1527" i="113"/>
  <c r="N1541" i="113"/>
  <c r="N1556" i="113"/>
  <c r="N1570" i="113"/>
  <c r="N1585" i="113"/>
  <c r="N1600" i="113"/>
  <c r="N1614" i="113"/>
  <c r="N1629" i="113"/>
  <c r="N1643" i="113"/>
  <c r="N1658" i="113"/>
  <c r="N1672" i="113"/>
  <c r="N1687" i="113"/>
  <c r="N1701" i="113"/>
  <c r="N1715" i="113"/>
  <c r="N1730" i="113"/>
  <c r="N1744" i="113"/>
  <c r="N1759" i="113"/>
  <c r="N1773" i="113"/>
  <c r="N1789" i="113"/>
  <c r="N1803" i="113"/>
  <c r="N1818" i="113"/>
  <c r="N1832" i="113"/>
  <c r="N1847" i="113"/>
  <c r="N1861" i="113"/>
  <c r="N1876" i="113"/>
  <c r="N1891" i="113"/>
  <c r="N1905" i="113"/>
  <c r="N1920" i="113"/>
  <c r="N1934" i="113"/>
  <c r="N1948" i="113"/>
  <c r="N1963" i="113"/>
  <c r="N1978" i="113"/>
  <c r="N1992" i="113"/>
  <c r="N2007" i="113"/>
  <c r="N2021" i="113"/>
  <c r="N2035" i="113"/>
  <c r="N2050" i="113"/>
  <c r="N2064" i="113"/>
  <c r="N2079" i="113"/>
  <c r="N2093" i="113"/>
  <c r="N2108" i="113"/>
  <c r="N2122" i="113"/>
  <c r="N2137" i="113"/>
  <c r="N2151" i="113"/>
  <c r="N2166" i="113"/>
  <c r="N2181" i="113"/>
  <c r="N2195" i="113"/>
  <c r="N2210" i="113"/>
  <c r="N2224" i="113"/>
  <c r="N2239" i="113"/>
  <c r="N2254" i="113"/>
  <c r="N2268" i="113"/>
  <c r="N2283" i="113"/>
  <c r="N2297" i="113"/>
  <c r="N2312" i="113"/>
  <c r="N2327" i="113"/>
  <c r="N2341" i="113"/>
  <c r="N2356" i="113"/>
  <c r="N2371" i="113"/>
  <c r="N2386" i="113"/>
  <c r="N2401" i="113"/>
  <c r="N2415" i="113"/>
  <c r="N2430" i="113"/>
  <c r="N2444" i="113"/>
  <c r="N2459" i="113"/>
  <c r="N2473" i="113"/>
  <c r="N2488" i="113"/>
  <c r="N2503" i="113"/>
  <c r="N2517" i="113"/>
  <c r="N2532" i="113"/>
  <c r="N2546" i="113"/>
  <c r="N2561" i="113"/>
  <c r="N2575" i="113"/>
  <c r="N2589" i="113"/>
  <c r="N2604" i="113"/>
  <c r="N2618" i="113"/>
  <c r="N242" i="113"/>
  <c r="N347" i="113"/>
  <c r="N429" i="113"/>
  <c r="N519" i="113"/>
  <c r="N599" i="113"/>
  <c r="N664" i="113"/>
  <c r="N736" i="113"/>
  <c r="N803" i="113"/>
  <c r="N867" i="113"/>
  <c r="N937" i="113"/>
  <c r="N1005" i="113"/>
  <c r="N1056" i="113"/>
  <c r="N1082" i="113"/>
  <c r="N1104" i="113"/>
  <c r="N1122" i="113"/>
  <c r="N1140" i="113"/>
  <c r="N1158" i="113"/>
  <c r="N1178" i="113"/>
  <c r="N1196" i="113"/>
  <c r="N1214" i="113"/>
  <c r="N1233" i="113"/>
  <c r="N1252" i="113"/>
  <c r="N1269" i="113"/>
  <c r="N1287" i="113"/>
  <c r="N1307" i="113"/>
  <c r="N1325" i="113"/>
  <c r="N1342" i="113"/>
  <c r="N1359" i="113"/>
  <c r="N1377" i="113"/>
  <c r="N1393" i="113"/>
  <c r="N1408" i="113"/>
  <c r="N1423" i="113"/>
  <c r="N1439" i="113"/>
  <c r="N1455" i="113"/>
  <c r="N1470" i="113"/>
  <c r="N1485" i="113"/>
  <c r="N1500" i="113"/>
  <c r="N1514" i="113"/>
  <c r="N1528" i="113"/>
  <c r="N1542" i="113"/>
  <c r="N1557" i="113"/>
  <c r="N1571" i="113"/>
  <c r="N1586" i="113"/>
  <c r="N1601" i="113"/>
  <c r="N1615" i="113"/>
  <c r="N1630" i="113"/>
  <c r="N1644" i="113"/>
  <c r="N1659" i="113"/>
  <c r="N1673" i="113"/>
  <c r="N1688" i="113"/>
  <c r="N1702" i="113"/>
  <c r="N1716" i="113"/>
  <c r="N1731" i="113"/>
  <c r="N1745" i="113"/>
  <c r="N1760" i="113"/>
  <c r="N1774" i="113"/>
  <c r="N1790" i="113"/>
  <c r="N1804" i="113"/>
  <c r="N1819" i="113"/>
  <c r="N1833" i="113"/>
  <c r="N1848" i="113"/>
  <c r="N1862" i="113"/>
  <c r="N1877" i="113"/>
  <c r="N1892" i="113"/>
  <c r="N1907" i="113"/>
  <c r="N1921" i="113"/>
  <c r="N1935" i="113"/>
  <c r="N1949" i="113"/>
  <c r="N1964" i="113"/>
  <c r="N1979" i="113"/>
  <c r="N1993" i="113"/>
  <c r="N2008" i="113"/>
  <c r="N2022" i="113"/>
  <c r="N2036" i="113"/>
  <c r="N2051" i="113"/>
  <c r="N2065" i="113"/>
  <c r="N9" i="113"/>
  <c r="N244" i="113"/>
  <c r="N354" i="113"/>
  <c r="N442" i="113"/>
  <c r="N520" i="113"/>
  <c r="N603" i="113"/>
  <c r="N674" i="113"/>
  <c r="N737" i="113"/>
  <c r="N808" i="113"/>
  <c r="N876" i="113"/>
  <c r="N938" i="113"/>
  <c r="N1009" i="113"/>
  <c r="N1061" i="113"/>
  <c r="N1083" i="113"/>
  <c r="N1105" i="113"/>
  <c r="N1123" i="113"/>
  <c r="N1141" i="113"/>
  <c r="N1161" i="113"/>
  <c r="N1180" i="113"/>
  <c r="N1197" i="113"/>
  <c r="N1215" i="113"/>
  <c r="N1234" i="113"/>
  <c r="N1253" i="113"/>
  <c r="N1270" i="113"/>
  <c r="N1288" i="113"/>
  <c r="N1308" i="113"/>
  <c r="N1326" i="113"/>
  <c r="N1343" i="113"/>
  <c r="N1362" i="113"/>
  <c r="N1379" i="113"/>
  <c r="N1394" i="113"/>
  <c r="N1409" i="113"/>
  <c r="N1424" i="113"/>
  <c r="N1440" i="113"/>
  <c r="N1456" i="113"/>
  <c r="N1471" i="113"/>
  <c r="N1486" i="113"/>
  <c r="N1501" i="113"/>
  <c r="N1515" i="113"/>
  <c r="N1529" i="113"/>
  <c r="N1544" i="113"/>
  <c r="N1558" i="113"/>
  <c r="N1572" i="113"/>
  <c r="N1587" i="113"/>
  <c r="N1602" i="113"/>
  <c r="N1616" i="113"/>
  <c r="N1631" i="113"/>
  <c r="N1646" i="113"/>
  <c r="N1660" i="113"/>
  <c r="N1674" i="113"/>
  <c r="N1689" i="113"/>
  <c r="N1703" i="113"/>
  <c r="N1717" i="113"/>
  <c r="N1732" i="113"/>
  <c r="N1747" i="113"/>
  <c r="N1761" i="113"/>
  <c r="N1775" i="113"/>
  <c r="N1791" i="113"/>
  <c r="N1805" i="113"/>
  <c r="N1820" i="113"/>
  <c r="N1834" i="113"/>
  <c r="N1849" i="113"/>
  <c r="N1863" i="113"/>
  <c r="N1878" i="113"/>
  <c r="N1893" i="113"/>
  <c r="N1908" i="113"/>
  <c r="N1922" i="113"/>
  <c r="N1936" i="113"/>
  <c r="N1951" i="113"/>
  <c r="N1965" i="113"/>
  <c r="N1980" i="113"/>
  <c r="N1994" i="113"/>
  <c r="N2009" i="113"/>
  <c r="N2023" i="113"/>
  <c r="N2037" i="113"/>
  <c r="N2052" i="113"/>
  <c r="N2066" i="113"/>
  <c r="N2081" i="113"/>
  <c r="N2095" i="113"/>
  <c r="N2110" i="113"/>
  <c r="N2125" i="113"/>
  <c r="N2139" i="113"/>
  <c r="N24" i="113"/>
  <c r="N262" i="113"/>
  <c r="N355" i="113"/>
  <c r="N446" i="113"/>
  <c r="N531" i="113"/>
  <c r="N604" i="113"/>
  <c r="N678" i="113"/>
  <c r="N746" i="113"/>
  <c r="N809" i="113"/>
  <c r="N880" i="113"/>
  <c r="N948" i="113"/>
  <c r="N1010" i="113"/>
  <c r="N1063" i="113"/>
  <c r="N1085" i="113"/>
  <c r="N1107" i="113"/>
  <c r="N1124" i="113"/>
  <c r="N1142" i="113"/>
  <c r="N1162" i="113"/>
  <c r="N1181" i="113"/>
  <c r="N1198" i="113"/>
  <c r="N1216" i="113"/>
  <c r="N1235" i="113"/>
  <c r="N1254" i="113"/>
  <c r="N1271" i="113"/>
  <c r="N1291" i="113"/>
  <c r="N1310" i="113"/>
  <c r="N1327" i="113"/>
  <c r="N1344" i="113"/>
  <c r="N1363" i="113"/>
  <c r="N1380" i="113"/>
  <c r="N1395" i="113"/>
  <c r="N1410" i="113"/>
  <c r="N1425" i="113"/>
  <c r="N1441" i="113"/>
  <c r="N1457" i="113"/>
  <c r="N1472" i="113"/>
  <c r="N1487" i="113"/>
  <c r="N1502" i="113"/>
  <c r="N1516" i="113"/>
  <c r="N1530" i="113"/>
  <c r="N1545" i="113"/>
  <c r="N1559" i="113"/>
  <c r="N1573" i="113"/>
  <c r="N1588" i="113"/>
  <c r="N1603" i="113"/>
  <c r="N1617" i="113"/>
  <c r="N1632" i="113"/>
  <c r="N1647" i="113"/>
  <c r="N1661" i="113"/>
  <c r="N1675" i="113"/>
  <c r="N1690" i="113"/>
  <c r="N1704" i="113"/>
  <c r="N1718" i="113"/>
  <c r="N1733" i="113"/>
  <c r="N1748" i="113"/>
  <c r="N1762" i="113"/>
  <c r="N1776" i="113"/>
  <c r="N1792" i="113"/>
  <c r="N1806" i="113"/>
  <c r="N1821" i="113"/>
  <c r="N1835" i="113"/>
  <c r="N1850" i="113"/>
  <c r="N1864" i="113"/>
  <c r="N1879" i="113"/>
  <c r="N1894" i="113"/>
  <c r="N1909" i="113"/>
  <c r="N1923" i="113"/>
  <c r="N1937" i="113"/>
  <c r="N1952" i="113"/>
  <c r="N1966" i="113"/>
  <c r="N1981" i="113"/>
  <c r="N1995" i="113"/>
  <c r="N2010" i="113"/>
  <c r="N2024" i="113"/>
  <c r="N2039" i="113"/>
  <c r="N2053" i="113"/>
  <c r="N2067" i="113"/>
  <c r="N27" i="113"/>
  <c r="N271" i="113"/>
  <c r="N366" i="113"/>
  <c r="N447" i="113"/>
  <c r="N535" i="113"/>
  <c r="N614" i="113"/>
  <c r="N679" i="113"/>
  <c r="N750" i="113"/>
  <c r="N818" i="113"/>
  <c r="N881" i="113"/>
  <c r="N952" i="113"/>
  <c r="N1020" i="113"/>
  <c r="N1065" i="113"/>
  <c r="N1088" i="113"/>
  <c r="N1108" i="113"/>
  <c r="N1125" i="113"/>
  <c r="N1143" i="113"/>
  <c r="N1163" i="113"/>
  <c r="N1182" i="113"/>
  <c r="N1199" i="113"/>
  <c r="N1219" i="113"/>
  <c r="N1238" i="113"/>
  <c r="N1255" i="113"/>
  <c r="N1272" i="113"/>
  <c r="N1292" i="113"/>
  <c r="N1311" i="113"/>
  <c r="N1328" i="113"/>
  <c r="N1345" i="113"/>
  <c r="N1364" i="113"/>
  <c r="N1381" i="113"/>
  <c r="N1396" i="113"/>
  <c r="N1411" i="113"/>
  <c r="N1426" i="113"/>
  <c r="N1442" i="113"/>
  <c r="N1458" i="113"/>
  <c r="N1473" i="113"/>
  <c r="N1488" i="113"/>
  <c r="N1503" i="113"/>
  <c r="N1517" i="113"/>
  <c r="N1531" i="113"/>
  <c r="N1546" i="113"/>
  <c r="N1560" i="113"/>
  <c r="N1574" i="113"/>
  <c r="N1589" i="113"/>
  <c r="N1604" i="113"/>
  <c r="N1618" i="113"/>
  <c r="N1633" i="113"/>
  <c r="N1648" i="113"/>
  <c r="N1662" i="113"/>
  <c r="N1676" i="113"/>
  <c r="N1691" i="113"/>
  <c r="N1705" i="113"/>
  <c r="N1720" i="113"/>
  <c r="N1734" i="113"/>
  <c r="N1749" i="113"/>
  <c r="N1763" i="113"/>
  <c r="N1777" i="113"/>
  <c r="N1793" i="113"/>
  <c r="N1807" i="113"/>
  <c r="N1822" i="113"/>
  <c r="N1837" i="113"/>
  <c r="N1851" i="113"/>
  <c r="N1866" i="113"/>
  <c r="N1880" i="113"/>
  <c r="N1895" i="113"/>
  <c r="N1910" i="113"/>
  <c r="N1924" i="113"/>
  <c r="N1938" i="113"/>
  <c r="N1953" i="113"/>
  <c r="N1967" i="113"/>
  <c r="N1982" i="113"/>
  <c r="N1996" i="113"/>
  <c r="N2011" i="113"/>
  <c r="N2025" i="113"/>
  <c r="N2040" i="113"/>
  <c r="N2054" i="113"/>
  <c r="N2068" i="113"/>
  <c r="N2083" i="113"/>
  <c r="N2097" i="113"/>
  <c r="N70" i="113"/>
  <c r="N272" i="113"/>
  <c r="N372" i="113"/>
  <c r="N459" i="113"/>
  <c r="N536" i="113"/>
  <c r="N619" i="113"/>
  <c r="N688" i="113"/>
  <c r="N751" i="113"/>
  <c r="N822" i="113"/>
  <c r="N890" i="113"/>
  <c r="N953" i="113"/>
  <c r="N1024" i="113"/>
  <c r="N1066" i="113"/>
  <c r="N1090" i="113"/>
  <c r="N1109" i="113"/>
  <c r="N1126" i="113"/>
  <c r="N1146" i="113"/>
  <c r="N1165" i="113"/>
  <c r="N1183" i="113"/>
  <c r="N1200" i="113"/>
  <c r="N1220" i="113"/>
  <c r="N1239" i="113"/>
  <c r="N1256" i="113"/>
  <c r="N1273" i="113"/>
  <c r="N1293" i="113"/>
  <c r="N1312" i="113"/>
  <c r="N1329" i="113"/>
  <c r="N1348" i="113"/>
  <c r="N1366" i="113"/>
  <c r="N1382" i="113"/>
  <c r="N1397" i="113"/>
  <c r="N1412" i="113"/>
  <c r="N1427" i="113"/>
  <c r="N1443" i="113"/>
  <c r="N1459" i="113"/>
  <c r="N1474" i="113"/>
  <c r="N1489" i="113"/>
  <c r="N1504" i="113"/>
  <c r="N1518" i="113"/>
  <c r="N1532" i="113"/>
  <c r="N1547" i="113"/>
  <c r="N1561" i="113"/>
  <c r="N1575" i="113"/>
  <c r="N1590" i="113"/>
  <c r="N1605" i="113"/>
  <c r="N1619" i="113"/>
  <c r="N1634" i="113"/>
  <c r="N1649" i="113"/>
  <c r="N1663" i="113"/>
  <c r="N1677" i="113"/>
  <c r="N1692" i="113"/>
  <c r="N1706" i="113"/>
  <c r="N1721" i="113"/>
  <c r="N1735" i="113"/>
  <c r="N1750" i="113"/>
  <c r="N1764" i="113"/>
  <c r="N1779" i="113"/>
  <c r="N1794" i="113"/>
  <c r="N1808" i="113"/>
  <c r="N1823" i="113"/>
  <c r="N1838" i="113"/>
  <c r="N1852" i="113"/>
  <c r="N1867" i="113"/>
  <c r="N1881" i="113"/>
  <c r="N1896" i="113"/>
  <c r="N1911" i="113"/>
  <c r="N1925" i="113"/>
  <c r="N1939" i="113"/>
  <c r="N1954" i="113"/>
  <c r="N1968" i="113"/>
  <c r="N1983" i="113"/>
  <c r="N1997" i="113"/>
  <c r="N2012" i="113"/>
  <c r="N2026" i="113"/>
  <c r="N2041" i="113"/>
  <c r="N2055" i="113"/>
  <c r="N2069" i="113"/>
  <c r="N2084" i="113"/>
  <c r="N2098" i="113"/>
  <c r="N2113" i="113"/>
  <c r="N2128" i="113"/>
  <c r="N96" i="113"/>
  <c r="N288" i="113"/>
  <c r="N373" i="113"/>
  <c r="N463" i="113"/>
  <c r="N548" i="113"/>
  <c r="N620" i="113"/>
  <c r="N692" i="113"/>
  <c r="N760" i="113"/>
  <c r="N823" i="113"/>
  <c r="N894" i="113"/>
  <c r="N962" i="113"/>
  <c r="N1025" i="113"/>
  <c r="N1067" i="113"/>
  <c r="N1092" i="113"/>
  <c r="N1110" i="113"/>
  <c r="N1127" i="113"/>
  <c r="N1147" i="113"/>
  <c r="N1166" i="113"/>
  <c r="N1184" i="113"/>
  <c r="N1201" i="113"/>
  <c r="N1221" i="113"/>
  <c r="N1240" i="113"/>
  <c r="N1257" i="113"/>
  <c r="N1276" i="113"/>
  <c r="N1295" i="113"/>
  <c r="N1313" i="113"/>
  <c r="N1330" i="113"/>
  <c r="N1349" i="113"/>
  <c r="N1367" i="113"/>
  <c r="N1383" i="113"/>
  <c r="N1398" i="113"/>
  <c r="N1413" i="113"/>
  <c r="N1428" i="113"/>
  <c r="N1444" i="113"/>
  <c r="N1460" i="113"/>
  <c r="N1476" i="113"/>
  <c r="N1490" i="113"/>
  <c r="N1505" i="113"/>
  <c r="N1519" i="113"/>
  <c r="N1533" i="113"/>
  <c r="N1548" i="113"/>
  <c r="N1562" i="113"/>
  <c r="N1576" i="113"/>
  <c r="N1591" i="113"/>
  <c r="N1606" i="113"/>
  <c r="N1620" i="113"/>
  <c r="N1635" i="113"/>
  <c r="N1650" i="113"/>
  <c r="N1664" i="113"/>
  <c r="N1678" i="113"/>
  <c r="N1693" i="113"/>
  <c r="N1707" i="113"/>
  <c r="N1722" i="113"/>
  <c r="N1736" i="113"/>
  <c r="N1751" i="113"/>
  <c r="N1765" i="113"/>
  <c r="N1780" i="113"/>
  <c r="N1795" i="113"/>
  <c r="N1809" i="113"/>
  <c r="N1824" i="113"/>
  <c r="N1839" i="113"/>
  <c r="N1853" i="113"/>
  <c r="N1868" i="113"/>
  <c r="N1882" i="113"/>
  <c r="N1897" i="113"/>
  <c r="N1912" i="113"/>
  <c r="N1926" i="113"/>
  <c r="N1940" i="113"/>
  <c r="N1955" i="113"/>
  <c r="N1969" i="113"/>
  <c r="N1984" i="113"/>
  <c r="N1998" i="113"/>
  <c r="N2013" i="113"/>
  <c r="N2027" i="113"/>
  <c r="N2042" i="113"/>
  <c r="N2056" i="113"/>
  <c r="N2070" i="113"/>
  <c r="N2085" i="113"/>
  <c r="N2099" i="113"/>
  <c r="N2114" i="113"/>
  <c r="N2129" i="113"/>
  <c r="N2143" i="113"/>
  <c r="N2157" i="113"/>
  <c r="N148" i="113"/>
  <c r="N311" i="113"/>
  <c r="N391" i="113"/>
  <c r="N482" i="113"/>
  <c r="N564" i="113"/>
  <c r="N635" i="113"/>
  <c r="N707" i="113"/>
  <c r="N775" i="113"/>
  <c r="N837" i="113"/>
  <c r="N909" i="113"/>
  <c r="N976" i="113"/>
  <c r="N1039" i="113"/>
  <c r="N1073" i="113"/>
  <c r="N1095" i="113"/>
  <c r="N1113" i="113"/>
  <c r="N1133" i="113"/>
  <c r="N1152" i="113"/>
  <c r="N1170" i="113"/>
  <c r="N1187" i="113"/>
  <c r="N1207" i="113"/>
  <c r="N1225" i="113"/>
  <c r="N1243" i="113"/>
  <c r="N1262" i="113"/>
  <c r="N1280" i="113"/>
  <c r="N1298" i="113"/>
  <c r="N1316" i="113"/>
  <c r="N1335" i="113"/>
  <c r="N1353" i="113"/>
  <c r="N1370" i="113"/>
  <c r="N1386" i="113"/>
  <c r="N1401" i="113"/>
  <c r="N1416" i="113"/>
  <c r="N1433" i="113"/>
  <c r="N1448" i="113"/>
  <c r="N1464" i="113"/>
  <c r="N1479" i="113"/>
  <c r="N1493" i="113"/>
  <c r="N1508" i="113"/>
  <c r="N1522" i="113"/>
  <c r="N1536" i="113"/>
  <c r="N1551" i="113"/>
  <c r="N1565" i="113"/>
  <c r="N1580" i="113"/>
  <c r="N1595" i="113"/>
  <c r="N1609" i="113"/>
  <c r="N1624" i="113"/>
  <c r="N1638" i="113"/>
  <c r="N1653" i="113"/>
  <c r="N1667" i="113"/>
  <c r="N1682" i="113"/>
  <c r="N1696" i="113"/>
  <c r="N1710" i="113"/>
  <c r="N1725" i="113"/>
  <c r="N1739" i="113"/>
  <c r="N1754" i="113"/>
  <c r="N1768" i="113"/>
  <c r="N1783" i="113"/>
  <c r="N1798" i="113"/>
  <c r="N1812" i="113"/>
  <c r="N1827" i="113"/>
  <c r="N1842" i="113"/>
  <c r="N1856" i="113"/>
  <c r="N1871" i="113"/>
  <c r="N1886" i="113"/>
  <c r="N1900" i="113"/>
  <c r="N1915" i="113"/>
  <c r="N1929" i="113"/>
  <c r="N1943" i="113"/>
  <c r="N1958" i="113"/>
  <c r="N1972" i="113"/>
  <c r="N1987" i="113"/>
  <c r="N2001" i="113"/>
  <c r="N2016" i="113"/>
  <c r="N2030" i="113"/>
  <c r="N2045" i="113"/>
  <c r="N2059" i="113"/>
  <c r="N2074" i="113"/>
  <c r="N2088" i="113"/>
  <c r="N2103" i="113"/>
  <c r="N2490" i="113"/>
  <c r="N2302" i="113"/>
  <c r="N2044" i="113"/>
  <c r="N554" i="113"/>
  <c r="I2677" i="113"/>
  <c r="N2468" i="113"/>
  <c r="N2301" i="113"/>
  <c r="N2171" i="113"/>
  <c r="N1840" i="113"/>
  <c r="N1767" i="113"/>
  <c r="N1697" i="113"/>
  <c r="N1636" i="113"/>
  <c r="N1564" i="113"/>
  <c r="N1495" i="113"/>
  <c r="N1429" i="113"/>
  <c r="N1352" i="113"/>
  <c r="N1263" i="113"/>
  <c r="N1185" i="113"/>
  <c r="N1094" i="113"/>
  <c r="N847" i="113"/>
  <c r="N552" i="113"/>
  <c r="N2667" i="113"/>
  <c r="N2469" i="113"/>
  <c r="N2246" i="113"/>
  <c r="N1430" i="113"/>
  <c r="N2572" i="113"/>
  <c r="N2394" i="113"/>
  <c r="N2208" i="113"/>
  <c r="R28" i="113"/>
  <c r="R42" i="113"/>
  <c r="R188" i="113"/>
  <c r="R969" i="113"/>
  <c r="R175" i="113"/>
  <c r="R494" i="113"/>
  <c r="R928" i="113"/>
  <c r="R957" i="113"/>
  <c r="R77" i="113"/>
  <c r="R397" i="113"/>
  <c r="R788" i="113"/>
  <c r="R832" i="113"/>
  <c r="R962" i="113"/>
  <c r="R733" i="113"/>
  <c r="R618" i="113"/>
  <c r="R791" i="113"/>
  <c r="R9" i="113"/>
  <c r="R749" i="113"/>
  <c r="R778" i="113"/>
  <c r="R561" i="113"/>
  <c r="R575" i="113"/>
  <c r="R352" i="113"/>
  <c r="R828" i="113"/>
  <c r="R1238" i="113"/>
  <c r="R1295" i="113"/>
  <c r="R1324" i="113"/>
  <c r="R525" i="113"/>
  <c r="R594" i="113"/>
  <c r="R797" i="113"/>
  <c r="R925" i="113"/>
  <c r="R1239" i="113"/>
  <c r="R1410" i="113"/>
  <c r="R47" i="113"/>
  <c r="R1157" i="113"/>
  <c r="R1686" i="113"/>
  <c r="R971" i="113"/>
  <c r="R1124" i="113"/>
  <c r="R1241" i="113"/>
  <c r="R1355" i="113"/>
  <c r="R1456" i="113"/>
  <c r="R1499" i="113"/>
  <c r="R200" i="113"/>
  <c r="R366" i="113"/>
  <c r="R606" i="113"/>
  <c r="R991" i="113"/>
  <c r="R1486" i="113"/>
  <c r="R1558" i="113"/>
  <c r="R773" i="113"/>
  <c r="R810" i="113"/>
  <c r="R1228" i="113"/>
  <c r="R1358" i="113"/>
  <c r="R61" i="113"/>
  <c r="R438" i="113"/>
  <c r="R539" i="113"/>
  <c r="R1078" i="113"/>
  <c r="R1259" i="113"/>
  <c r="R1460" i="113"/>
  <c r="R172" i="113"/>
  <c r="R205" i="113"/>
  <c r="R1346" i="113"/>
  <c r="R1403" i="113"/>
  <c r="R275" i="113"/>
  <c r="R479" i="113"/>
  <c r="R1063" i="113"/>
  <c r="R1404" i="113"/>
  <c r="R1620" i="113"/>
  <c r="R1650" i="113"/>
  <c r="R1664" i="113"/>
  <c r="R1707" i="113"/>
  <c r="R277" i="113"/>
  <c r="R1116" i="113"/>
  <c r="R1133" i="113"/>
  <c r="R1276" i="113"/>
  <c r="N2571" i="113"/>
  <c r="N2449" i="113"/>
  <c r="N2226" i="113"/>
  <c r="N1970" i="113"/>
  <c r="N1828" i="113"/>
  <c r="N1492" i="113"/>
  <c r="N1418" i="113"/>
  <c r="N1350" i="113"/>
  <c r="N1259" i="113"/>
  <c r="N1171" i="113"/>
  <c r="N1093" i="113"/>
  <c r="N836" i="113"/>
  <c r="N485" i="113"/>
  <c r="R2475" i="113"/>
  <c r="N2591" i="113"/>
  <c r="N2395" i="113"/>
  <c r="N2153" i="113"/>
  <c r="N1637" i="113"/>
  <c r="N2228" i="113"/>
  <c r="N2555" i="113"/>
  <c r="N2433" i="113"/>
  <c r="N2245" i="113"/>
  <c r="N477" i="113"/>
  <c r="N2621" i="113"/>
  <c r="N2411" i="113"/>
  <c r="N2280" i="113"/>
  <c r="N2149" i="113"/>
  <c r="N1625" i="113"/>
  <c r="N2678" i="113"/>
  <c r="N2664" i="113"/>
  <c r="N2649" i="113"/>
  <c r="N2635" i="113"/>
  <c r="N2620" i="113"/>
  <c r="N2605" i="113"/>
  <c r="N2586" i="113"/>
  <c r="N2570" i="113"/>
  <c r="N2553" i="113"/>
  <c r="N2537" i="113"/>
  <c r="N2520" i="113"/>
  <c r="N2504" i="113"/>
  <c r="N2484" i="113"/>
  <c r="N2466" i="113"/>
  <c r="N2448" i="113"/>
  <c r="N2431" i="113"/>
  <c r="N2410" i="113"/>
  <c r="N2392" i="113"/>
  <c r="N2374" i="113"/>
  <c r="N2354" i="113"/>
  <c r="N2335" i="113"/>
  <c r="N2317" i="113"/>
  <c r="N2299" i="113"/>
  <c r="N2278" i="113"/>
  <c r="N2261" i="113"/>
  <c r="N2243" i="113"/>
  <c r="N2225" i="113"/>
  <c r="N2205" i="113"/>
  <c r="N2187" i="113"/>
  <c r="N2169" i="113"/>
  <c r="N2147" i="113"/>
  <c r="N2124" i="113"/>
  <c r="N2087" i="113"/>
  <c r="N2029" i="113"/>
  <c r="N1959" i="113"/>
  <c r="N1898" i="113"/>
  <c r="N1826" i="113"/>
  <c r="N1755" i="113"/>
  <c r="N1694" i="113"/>
  <c r="N1623" i="113"/>
  <c r="N1552" i="113"/>
  <c r="N1491" i="113"/>
  <c r="N1415" i="113"/>
  <c r="N1336" i="113"/>
  <c r="N1258" i="113"/>
  <c r="N1169" i="113"/>
  <c r="N1076" i="113"/>
  <c r="N832" i="113"/>
  <c r="N476" i="113"/>
  <c r="N2557" i="113"/>
  <c r="N2377" i="113"/>
  <c r="N1913" i="113"/>
  <c r="N1186" i="113"/>
  <c r="N2666" i="113"/>
  <c r="N2489" i="113"/>
  <c r="N2189" i="113"/>
  <c r="N2665" i="113"/>
  <c r="N2538" i="113"/>
  <c r="N2393" i="113"/>
  <c r="N2244" i="113"/>
  <c r="N2089" i="113"/>
  <c r="N1563" i="113"/>
  <c r="N2663" i="113"/>
  <c r="N2648" i="113"/>
  <c r="N2634" i="113"/>
  <c r="N2619" i="113"/>
  <c r="N2602" i="113"/>
  <c r="N2585" i="113"/>
  <c r="N2569" i="113"/>
  <c r="N2552" i="113"/>
  <c r="N2536" i="113"/>
  <c r="N2519" i="113"/>
  <c r="N2500" i="113"/>
  <c r="N2483" i="113"/>
  <c r="N2465" i="113"/>
  <c r="N2447" i="113"/>
  <c r="N2428" i="113"/>
  <c r="N2409" i="113"/>
  <c r="N2391" i="113"/>
  <c r="N2373" i="113"/>
  <c r="N2351" i="113"/>
  <c r="N2334" i="113"/>
  <c r="N2316" i="113"/>
  <c r="N2298" i="113"/>
  <c r="N2277" i="113"/>
  <c r="N2260" i="113"/>
  <c r="N2242" i="113"/>
  <c r="N2222" i="113"/>
  <c r="N2203" i="113"/>
  <c r="N2186" i="113"/>
  <c r="N2168" i="113"/>
  <c r="N2146" i="113"/>
  <c r="N2118" i="113"/>
  <c r="N2086" i="113"/>
  <c r="N2028" i="113"/>
  <c r="N1957" i="113"/>
  <c r="N1887" i="113"/>
  <c r="N1825" i="113"/>
  <c r="N1753" i="113"/>
  <c r="N1683" i="113"/>
  <c r="N1621" i="113"/>
  <c r="N1550" i="113"/>
  <c r="N1480" i="113"/>
  <c r="N1414" i="113"/>
  <c r="N1334" i="113"/>
  <c r="N1244" i="113"/>
  <c r="N1168" i="113"/>
  <c r="N1070" i="113"/>
  <c r="N779" i="113"/>
  <c r="N464" i="113"/>
  <c r="N141" i="113"/>
  <c r="N2652" i="113"/>
  <c r="N2540" i="113"/>
  <c r="N2359" i="113"/>
  <c r="N2229" i="113"/>
  <c r="N1841" i="113"/>
  <c r="N2651" i="113"/>
  <c r="N2506" i="113"/>
  <c r="N2376" i="113"/>
  <c r="N2284" i="113"/>
  <c r="N2127" i="113"/>
  <c r="N2633" i="113"/>
  <c r="N2601" i="113"/>
  <c r="N2584" i="113"/>
  <c r="N2568" i="113"/>
  <c r="N2551" i="113"/>
  <c r="N2535" i="113"/>
  <c r="N2518" i="113"/>
  <c r="N2499" i="113"/>
  <c r="N2482" i="113"/>
  <c r="N2464" i="113"/>
  <c r="N2446" i="113"/>
  <c r="N2426" i="113"/>
  <c r="N2408" i="113"/>
  <c r="N2390" i="113"/>
  <c r="N2372" i="113"/>
  <c r="N2350" i="113"/>
  <c r="N2333" i="113"/>
  <c r="N2315" i="113"/>
  <c r="N2295" i="113"/>
  <c r="N2276" i="113"/>
  <c r="N2259" i="113"/>
  <c r="N2241" i="113"/>
  <c r="N2220" i="113"/>
  <c r="N2202" i="113"/>
  <c r="N2185" i="113"/>
  <c r="N2167" i="113"/>
  <c r="N2145" i="113"/>
  <c r="N2117" i="113"/>
  <c r="N2082" i="113"/>
  <c r="N2017" i="113"/>
  <c r="N1956" i="113"/>
  <c r="N1885" i="113"/>
  <c r="N1814" i="113"/>
  <c r="N1752" i="113"/>
  <c r="N1681" i="113"/>
  <c r="N1610" i="113"/>
  <c r="N1549" i="113"/>
  <c r="N1478" i="113"/>
  <c r="N1402" i="113"/>
  <c r="N1331" i="113"/>
  <c r="N1242" i="113"/>
  <c r="N1153" i="113"/>
  <c r="N1068" i="113"/>
  <c r="N765" i="113"/>
  <c r="N403" i="113"/>
  <c r="N2638" i="113"/>
  <c r="N2523" i="113"/>
  <c r="N2339" i="113"/>
  <c r="N2211" i="113"/>
  <c r="N1769" i="113"/>
  <c r="N1354" i="113"/>
  <c r="N2637" i="113"/>
  <c r="N2522" i="113"/>
  <c r="N2358" i="113"/>
  <c r="N2263" i="113"/>
  <c r="N2152" i="113"/>
  <c r="N2587" i="113"/>
  <c r="N2505" i="113"/>
  <c r="N2375" i="113"/>
  <c r="N2300" i="113"/>
  <c r="N2126" i="113"/>
  <c r="N1899" i="113"/>
  <c r="N67" i="113"/>
  <c r="N1778" i="113"/>
  <c r="N2677" i="113"/>
  <c r="N1746" i="113"/>
  <c r="N2662" i="113"/>
  <c r="N2617" i="113"/>
  <c r="N2100" i="113"/>
  <c r="N1204" i="113"/>
  <c r="N770" i="113"/>
  <c r="N2675" i="113"/>
  <c r="N2661" i="113"/>
  <c r="N2646" i="113"/>
  <c r="N2632" i="113"/>
  <c r="N2616" i="113"/>
  <c r="N2599" i="113"/>
  <c r="N2583" i="113"/>
  <c r="N2567" i="113"/>
  <c r="N2550" i="113"/>
  <c r="N2534" i="113"/>
  <c r="N2515" i="113"/>
  <c r="N2498" i="113"/>
  <c r="N2481" i="113"/>
  <c r="N2463" i="113"/>
  <c r="N2445" i="113"/>
  <c r="N2425" i="113"/>
  <c r="N2407" i="113"/>
  <c r="N2389" i="113"/>
  <c r="N2368" i="113"/>
  <c r="N2349" i="113"/>
  <c r="N2332" i="113"/>
  <c r="N2314" i="113"/>
  <c r="N2293" i="113"/>
  <c r="N2275" i="113"/>
  <c r="N2258" i="113"/>
  <c r="N2240" i="113"/>
  <c r="N2219" i="113"/>
  <c r="N2201" i="113"/>
  <c r="N2184" i="113"/>
  <c r="N2164" i="113"/>
  <c r="N2144" i="113"/>
  <c r="N2116" i="113"/>
  <c r="N2080" i="113"/>
  <c r="N2015" i="113"/>
  <c r="N1944" i="113"/>
  <c r="N1883" i="113"/>
  <c r="N1811" i="113"/>
  <c r="N1740" i="113"/>
  <c r="N1679" i="113"/>
  <c r="N1608" i="113"/>
  <c r="N1537" i="113"/>
  <c r="N1477" i="113"/>
  <c r="N1400" i="113"/>
  <c r="N1317" i="113"/>
  <c r="N1241" i="113"/>
  <c r="N1151" i="113"/>
  <c r="N1049" i="113"/>
  <c r="N764" i="113"/>
  <c r="N390" i="113"/>
  <c r="N2623" i="113"/>
  <c r="N2434" i="113"/>
  <c r="N2264" i="113"/>
  <c r="N2130" i="113"/>
  <c r="N1708" i="113"/>
  <c r="N895" i="113"/>
  <c r="N2094" i="113"/>
  <c r="N2606" i="113"/>
  <c r="N2486" i="113"/>
  <c r="N2319" i="113"/>
  <c r="N2188" i="113"/>
  <c r="N1766" i="113"/>
  <c r="N2676" i="113"/>
  <c r="N2072" i="113"/>
  <c r="N1680" i="113"/>
  <c r="N729" i="113"/>
  <c r="N338" i="113"/>
  <c r="N2674" i="113"/>
  <c r="N2660" i="113"/>
  <c r="N2645" i="113"/>
  <c r="N2631" i="113"/>
  <c r="N2615" i="113"/>
  <c r="N2598" i="113"/>
  <c r="N2582" i="113"/>
  <c r="N2566" i="113"/>
  <c r="N2549" i="113"/>
  <c r="N2533" i="113"/>
  <c r="N2514" i="113"/>
  <c r="N2497" i="113"/>
  <c r="N2480" i="113"/>
  <c r="N2462" i="113"/>
  <c r="N2442" i="113"/>
  <c r="N2424" i="113"/>
  <c r="N2406" i="113"/>
  <c r="N2388" i="113"/>
  <c r="N2366" i="113"/>
  <c r="N2348" i="113"/>
  <c r="N2331" i="113"/>
  <c r="N2313" i="113"/>
  <c r="N2292" i="113"/>
  <c r="N2274" i="113"/>
  <c r="N2257" i="113"/>
  <c r="N2237" i="113"/>
  <c r="N2218" i="113"/>
  <c r="N2200" i="113"/>
  <c r="N2183" i="113"/>
  <c r="N2162" i="113"/>
  <c r="N2142" i="113"/>
  <c r="N2115" i="113"/>
  <c r="N2075" i="113"/>
  <c r="N2014" i="113"/>
  <c r="N1942" i="113"/>
  <c r="N1872" i="113"/>
  <c r="N1810" i="113"/>
  <c r="N1738" i="113"/>
  <c r="N1668" i="113"/>
  <c r="N1607" i="113"/>
  <c r="N1535" i="113"/>
  <c r="N1465" i="113"/>
  <c r="N1399" i="113"/>
  <c r="N1315" i="113"/>
  <c r="N1226" i="113"/>
  <c r="N1148" i="113"/>
  <c r="N1038" i="113"/>
  <c r="N708" i="113"/>
  <c r="N385" i="113"/>
  <c r="N2507" i="113"/>
  <c r="N2321" i="113"/>
  <c r="N2096" i="113"/>
  <c r="N1096" i="113"/>
  <c r="N2539" i="113"/>
  <c r="N2337" i="113"/>
  <c r="N1901" i="113"/>
  <c r="N2636" i="113"/>
  <c r="N2521" i="113"/>
  <c r="N2432" i="113"/>
  <c r="N2336" i="113"/>
  <c r="N2262" i="113"/>
  <c r="N2170" i="113"/>
  <c r="N2031" i="113"/>
  <c r="N1695" i="113"/>
  <c r="N2647" i="113"/>
  <c r="N2382" i="113"/>
  <c r="N2673" i="113"/>
  <c r="N2659" i="113"/>
  <c r="N2644" i="113"/>
  <c r="N2630" i="113"/>
  <c r="N2614" i="113"/>
  <c r="N2597" i="113"/>
  <c r="N2581" i="113"/>
  <c r="N2565" i="113"/>
  <c r="N2548" i="113"/>
  <c r="N2530" i="113"/>
  <c r="N2513" i="113"/>
  <c r="N2496" i="113"/>
  <c r="N2479" i="113"/>
  <c r="N2461" i="113"/>
  <c r="N2440" i="113"/>
  <c r="N2423" i="113"/>
  <c r="N2405" i="113"/>
  <c r="N2387" i="113"/>
  <c r="N2365" i="113"/>
  <c r="N2347" i="113"/>
  <c r="N2330" i="113"/>
  <c r="N2310" i="113"/>
  <c r="N2291" i="113"/>
  <c r="N2273" i="113"/>
  <c r="N2256" i="113"/>
  <c r="N2235" i="113"/>
  <c r="N2217" i="113"/>
  <c r="N2199" i="113"/>
  <c r="N2182" i="113"/>
  <c r="N2160" i="113"/>
  <c r="N2141" i="113"/>
  <c r="N2112" i="113"/>
  <c r="N2073" i="113"/>
  <c r="N2002" i="113"/>
  <c r="N1941" i="113"/>
  <c r="N1870" i="113"/>
  <c r="N1799" i="113"/>
  <c r="N1737" i="113"/>
  <c r="N1666" i="113"/>
  <c r="N1596" i="113"/>
  <c r="N1534" i="113"/>
  <c r="N1463" i="113"/>
  <c r="N1387" i="113"/>
  <c r="N1314" i="113"/>
  <c r="N1224" i="113"/>
  <c r="N1134" i="113"/>
  <c r="N1034" i="113"/>
  <c r="N703" i="113"/>
  <c r="N315" i="113"/>
  <c r="R1292" i="113"/>
  <c r="R1427" i="113"/>
  <c r="R1507" i="113"/>
  <c r="R1682" i="113"/>
  <c r="R1699" i="113"/>
  <c r="R1792" i="113"/>
  <c r="R1825" i="113"/>
  <c r="R1869" i="113"/>
  <c r="R2086" i="113"/>
  <c r="R2130" i="113"/>
  <c r="R2158" i="113"/>
  <c r="R2173" i="113"/>
  <c r="R2232" i="113"/>
  <c r="R2304" i="113"/>
  <c r="R2320" i="113"/>
  <c r="R2363" i="113"/>
  <c r="R2408" i="113"/>
  <c r="R2437" i="113"/>
  <c r="R2495" i="113"/>
  <c r="R723" i="113"/>
  <c r="R1393" i="113"/>
  <c r="R1508" i="113"/>
  <c r="R1530" i="113"/>
  <c r="R1665" i="113"/>
  <c r="R1701" i="113"/>
  <c r="R1738" i="113"/>
  <c r="R1826" i="113"/>
  <c r="R1870" i="113"/>
  <c r="R1885" i="113"/>
  <c r="R1914" i="113"/>
  <c r="R2000" i="113"/>
  <c r="R2073" i="113"/>
  <c r="R2087" i="113"/>
  <c r="R2102" i="113"/>
  <c r="R1134" i="113"/>
  <c r="R1434" i="113"/>
  <c r="R1509" i="113"/>
  <c r="R1532" i="113"/>
  <c r="R1610" i="113"/>
  <c r="R1648" i="113"/>
  <c r="R1757" i="113"/>
  <c r="R1776" i="113"/>
  <c r="R1827" i="113"/>
  <c r="R1871" i="113"/>
  <c r="R1886" i="113"/>
  <c r="R1915" i="113"/>
  <c r="R1929" i="113"/>
  <c r="R2030" i="113"/>
  <c r="R2045" i="113"/>
  <c r="R2074" i="113"/>
  <c r="R2103" i="113"/>
  <c r="R2117" i="113"/>
  <c r="R2132" i="113"/>
  <c r="R2160" i="113"/>
  <c r="R2205" i="113"/>
  <c r="R2234" i="113"/>
  <c r="R2248" i="113"/>
  <c r="R2277" i="113"/>
  <c r="R2292" i="113"/>
  <c r="R2322" i="113"/>
  <c r="R2365" i="113"/>
  <c r="R2410" i="113"/>
  <c r="R2439" i="113"/>
  <c r="R1435" i="113"/>
  <c r="R1553" i="113"/>
  <c r="R1594" i="113"/>
  <c r="R1630" i="113"/>
  <c r="R1667" i="113"/>
  <c r="R1685" i="113"/>
  <c r="R1704" i="113"/>
  <c r="R1740" i="113"/>
  <c r="R1872" i="113"/>
  <c r="R1887" i="113"/>
  <c r="R1944" i="113"/>
  <c r="R1959" i="113"/>
  <c r="R1988" i="113"/>
  <c r="R2017" i="113"/>
  <c r="R2104" i="113"/>
  <c r="R2118" i="113"/>
  <c r="R2147" i="113"/>
  <c r="R2191" i="113"/>
  <c r="R2220" i="113"/>
  <c r="R2235" i="113"/>
  <c r="R2264" i="113"/>
  <c r="R2278" i="113"/>
  <c r="R2308" i="113"/>
  <c r="R2323" i="113"/>
  <c r="R2351" i="113"/>
  <c r="R2396" i="113"/>
  <c r="R2426" i="113"/>
  <c r="R2469" i="113"/>
  <c r="R2513" i="113"/>
  <c r="R2528" i="113"/>
  <c r="R624" i="113"/>
  <c r="R754" i="113"/>
  <c r="R1307" i="113"/>
  <c r="R1406" i="113"/>
  <c r="R1465" i="113"/>
  <c r="R1595" i="113"/>
  <c r="R1741" i="113"/>
  <c r="R1814" i="113"/>
  <c r="R1858" i="113"/>
  <c r="R1945" i="113"/>
  <c r="R1974" i="113"/>
  <c r="R1989" i="113"/>
  <c r="R2134" i="113"/>
  <c r="R2148" i="113"/>
  <c r="R2192" i="113"/>
  <c r="R534" i="113"/>
  <c r="R1033" i="113"/>
  <c r="R1153" i="113"/>
  <c r="R1264" i="113"/>
  <c r="R1495" i="113"/>
  <c r="R1580" i="113"/>
  <c r="R1598" i="113"/>
  <c r="R1636" i="113"/>
  <c r="R1654" i="113"/>
  <c r="R1672" i="113"/>
  <c r="R1727" i="113"/>
  <c r="R1783" i="113"/>
  <c r="R1920" i="113"/>
  <c r="R2021" i="113"/>
  <c r="R2035" i="113"/>
  <c r="R2064" i="113"/>
  <c r="R2093" i="113"/>
  <c r="R2108" i="113"/>
  <c r="R2210" i="113"/>
  <c r="R1520" i="113"/>
  <c r="R1581" i="113"/>
  <c r="R1655" i="113"/>
  <c r="R1710" i="113"/>
  <c r="R1784" i="113"/>
  <c r="R1818" i="113"/>
  <c r="R2152" i="113"/>
  <c r="R1638" i="113"/>
  <c r="R1711" i="113"/>
  <c r="R1819" i="113"/>
  <c r="R1922" i="113"/>
  <c r="R1980" i="113"/>
  <c r="R2009" i="113"/>
  <c r="R2037" i="113"/>
  <c r="R2110" i="113"/>
  <c r="R2125" i="113"/>
  <c r="R2139" i="113"/>
  <c r="R554" i="113"/>
  <c r="R917" i="113"/>
  <c r="R1102" i="113"/>
  <c r="R1277" i="113"/>
  <c r="R1420" i="113"/>
  <c r="R1449" i="113"/>
  <c r="R1768" i="113"/>
  <c r="R1835" i="113"/>
  <c r="R1850" i="113"/>
  <c r="R2010" i="113"/>
  <c r="R2067" i="113"/>
  <c r="R2096" i="113"/>
  <c r="R2111" i="113"/>
  <c r="R2154" i="113"/>
  <c r="R2169" i="113"/>
  <c r="R1051" i="113"/>
  <c r="R1328" i="113"/>
  <c r="R1478" i="113"/>
  <c r="R1502" i="113"/>
  <c r="R1523" i="113"/>
  <c r="R1545" i="113"/>
  <c r="R1924" i="113"/>
  <c r="R1982" i="113"/>
  <c r="R2025" i="113"/>
  <c r="R2112" i="113"/>
  <c r="R2127" i="113"/>
  <c r="R1052" i="113"/>
  <c r="R1279" i="113"/>
  <c r="R1452" i="113"/>
  <c r="R1605" i="113"/>
  <c r="R1624" i="113"/>
  <c r="R1679" i="113"/>
  <c r="R1697" i="113"/>
  <c r="R1806" i="113"/>
  <c r="R1911" i="113"/>
  <c r="R2055" i="113"/>
  <c r="R2084" i="113"/>
  <c r="R2128" i="113"/>
  <c r="R1437" i="113"/>
  <c r="R2143" i="113"/>
  <c r="R2215" i="113"/>
  <c r="R2257" i="113"/>
  <c r="R2444" i="113"/>
  <c r="R2462" i="113"/>
  <c r="R2545" i="113"/>
  <c r="R2560" i="113"/>
  <c r="R2574" i="113"/>
  <c r="R2588" i="113"/>
  <c r="R1235" i="113"/>
  <c r="R1556" i="113"/>
  <c r="R1815" i="113"/>
  <c r="R2189" i="113"/>
  <c r="R2216" i="113"/>
  <c r="R2314" i="113"/>
  <c r="R2389" i="113"/>
  <c r="R2407" i="113"/>
  <c r="R2497" i="113"/>
  <c r="R1256" i="113"/>
  <c r="R1453" i="113"/>
  <c r="R1735" i="113"/>
  <c r="R1816" i="113"/>
  <c r="R1955" i="113"/>
  <c r="R2020" i="113"/>
  <c r="R2193" i="113"/>
  <c r="R2409" i="113"/>
  <c r="R2499" i="113"/>
  <c r="R2562" i="113"/>
  <c r="R2590" i="113"/>
  <c r="R2605" i="113"/>
  <c r="R1466" i="113"/>
  <c r="R1653" i="113"/>
  <c r="R2150" i="113"/>
  <c r="R2260" i="113"/>
  <c r="R2280" i="113"/>
  <c r="R2316" i="113"/>
  <c r="R2391" i="113"/>
  <c r="R2430" i="113"/>
  <c r="R2465" i="113"/>
  <c r="R2635" i="113"/>
  <c r="R1285" i="113"/>
  <c r="R1467" i="113"/>
  <c r="R1744" i="113"/>
  <c r="R1830" i="113"/>
  <c r="R2299" i="113"/>
  <c r="R2431" i="113"/>
  <c r="R2467" i="113"/>
  <c r="R2650" i="113"/>
  <c r="R1480" i="113"/>
  <c r="R1579" i="113"/>
  <c r="R1754" i="113"/>
  <c r="R1903" i="113"/>
  <c r="R2034" i="113"/>
  <c r="R2106" i="113"/>
  <c r="R2159" i="113"/>
  <c r="R2244" i="113"/>
  <c r="R2300" i="113"/>
  <c r="R2339" i="113"/>
  <c r="R2414" i="113"/>
  <c r="R2432" i="113"/>
  <c r="R2486" i="113"/>
  <c r="R2519" i="113"/>
  <c r="R2550" i="113"/>
  <c r="R2579" i="113"/>
  <c r="R2622" i="113"/>
  <c r="R2637" i="113"/>
  <c r="R2651" i="113"/>
  <c r="R33" i="113"/>
  <c r="R1762" i="113"/>
  <c r="R1839" i="113"/>
  <c r="R2042" i="113"/>
  <c r="R2200" i="113"/>
  <c r="R2301" i="113"/>
  <c r="R2450" i="113"/>
  <c r="R2623" i="113"/>
  <c r="R1493" i="113"/>
  <c r="R2048" i="113"/>
  <c r="R2165" i="113"/>
  <c r="R2226" i="113"/>
  <c r="R2267" i="113"/>
  <c r="R2285" i="113"/>
  <c r="R2398" i="113"/>
  <c r="R2434" i="113"/>
  <c r="R2452" i="113"/>
  <c r="R2538" i="113"/>
  <c r="R2567" i="113"/>
  <c r="R2581" i="113"/>
  <c r="R2639" i="113"/>
  <c r="R1688" i="113"/>
  <c r="R1771" i="113"/>
  <c r="R1846" i="113"/>
  <c r="R2268" i="113"/>
  <c r="R2456" i="113"/>
  <c r="R2539" i="113"/>
  <c r="R756" i="113"/>
  <c r="R1118" i="113"/>
  <c r="R1514" i="113"/>
  <c r="R1853" i="113"/>
  <c r="R1990" i="113"/>
  <c r="R2121" i="113"/>
  <c r="R2174" i="113"/>
  <c r="R2230" i="113"/>
  <c r="R2436" i="113"/>
  <c r="R2473" i="113"/>
  <c r="R2583" i="113"/>
  <c r="R2641" i="113"/>
  <c r="R2670" i="113"/>
  <c r="R1408" i="113"/>
  <c r="R1708" i="113"/>
  <c r="R1798" i="113"/>
  <c r="R2005" i="113"/>
  <c r="R2183" i="113"/>
  <c r="R2236" i="113"/>
  <c r="R2272" i="113"/>
  <c r="R2367" i="113"/>
  <c r="R2386" i="113"/>
  <c r="R2511" i="113"/>
  <c r="R2543" i="113"/>
  <c r="R2558" i="113"/>
  <c r="R2572" i="113"/>
  <c r="R2673" i="113"/>
  <c r="R1203" i="113"/>
  <c r="R2345" i="113"/>
  <c r="R2585" i="113"/>
  <c r="R2587" i="113"/>
  <c r="R2658" i="113"/>
  <c r="R1859" i="113"/>
  <c r="R2527" i="113"/>
  <c r="R2660" i="113"/>
  <c r="R1423" i="113"/>
  <c r="R1860" i="113"/>
  <c r="R2530" i="113"/>
  <c r="R2599" i="113"/>
  <c r="R2459" i="113"/>
  <c r="R2541" i="113"/>
  <c r="R2672" i="113"/>
  <c r="R2185" i="113"/>
  <c r="R2384" i="113"/>
  <c r="R2542" i="113"/>
  <c r="R2613" i="113"/>
  <c r="R280" i="113"/>
  <c r="R2387" i="113"/>
  <c r="R2557" i="113"/>
  <c r="R757" i="113"/>
  <c r="R1633" i="113"/>
  <c r="R1998" i="113"/>
  <c r="R2312" i="113"/>
  <c r="R2559" i="113"/>
  <c r="R2629" i="113"/>
  <c r="R2643" i="113"/>
  <c r="R1151" i="113"/>
  <c r="R2509" i="113"/>
  <c r="R2584" i="113"/>
  <c r="R2645" i="113"/>
  <c r="R2570" i="113"/>
  <c r="R2208" i="113"/>
  <c r="R2571" i="113"/>
  <c r="R2614" i="113"/>
  <c r="R2237" i="113"/>
  <c r="R2642" i="113"/>
  <c r="R2405" i="113"/>
  <c r="R1537" i="113"/>
  <c r="R2494" i="113"/>
  <c r="N2608" i="113"/>
  <c r="N2285" i="113"/>
  <c r="N1973" i="113"/>
  <c r="N1277" i="113"/>
  <c r="N2590" i="113"/>
  <c r="N2413" i="113"/>
  <c r="N2227" i="113"/>
  <c r="N2650" i="113"/>
  <c r="N2554" i="113"/>
  <c r="N2467" i="113"/>
  <c r="N2357" i="113"/>
  <c r="N2206" i="113"/>
  <c r="N2003" i="113"/>
  <c r="N1622" i="113"/>
  <c r="N671" i="113"/>
  <c r="N278" i="113"/>
  <c r="N2672" i="113"/>
  <c r="N2658" i="113"/>
  <c r="N2643" i="113"/>
  <c r="N2629" i="113"/>
  <c r="N2613" i="113"/>
  <c r="N2596" i="113"/>
  <c r="N2580" i="113"/>
  <c r="N2564" i="113"/>
  <c r="N2547" i="113"/>
  <c r="N2529" i="113"/>
  <c r="N2512" i="113"/>
  <c r="N2495" i="113"/>
  <c r="N2478" i="113"/>
  <c r="N2460" i="113"/>
  <c r="N2439" i="113"/>
  <c r="N2422" i="113"/>
  <c r="N2404" i="113"/>
  <c r="N2384" i="113"/>
  <c r="N2364" i="113"/>
  <c r="N2346" i="113"/>
  <c r="N2329" i="113"/>
  <c r="N2308" i="113"/>
  <c r="N2290" i="113"/>
  <c r="N2272" i="113"/>
  <c r="N2255" i="113"/>
  <c r="N2234" i="113"/>
  <c r="N2216" i="113"/>
  <c r="N2198" i="113"/>
  <c r="N2179" i="113"/>
  <c r="N2159" i="113"/>
  <c r="N2140" i="113"/>
  <c r="N2111" i="113"/>
  <c r="N2071" i="113"/>
  <c r="N2000" i="113"/>
  <c r="N1930" i="113"/>
  <c r="N1869" i="113"/>
  <c r="N1797" i="113"/>
  <c r="N1726" i="113"/>
  <c r="N1665" i="113"/>
  <c r="N1594" i="113"/>
  <c r="N1523" i="113"/>
  <c r="N1462" i="113"/>
  <c r="N1385" i="113"/>
  <c r="N1299" i="113"/>
  <c r="N1223" i="113"/>
  <c r="N1132" i="113"/>
  <c r="N980" i="113"/>
  <c r="N693" i="113"/>
  <c r="N297" i="113"/>
  <c r="N2573" i="113"/>
  <c r="N2416" i="113"/>
  <c r="N2190" i="113"/>
  <c r="N1566" i="113"/>
  <c r="N2607" i="113"/>
  <c r="N2450" i="113"/>
  <c r="N2043" i="113"/>
  <c r="N2352" i="113"/>
  <c r="N1975" i="113"/>
  <c r="N644" i="113"/>
  <c r="N2671" i="113"/>
  <c r="N2656" i="113"/>
  <c r="N2642" i="113"/>
  <c r="N2628" i="113"/>
  <c r="N2612" i="113"/>
  <c r="N2595" i="113"/>
  <c r="N2579" i="113"/>
  <c r="N2563" i="113"/>
  <c r="N2544" i="113"/>
  <c r="N2528" i="113"/>
  <c r="N2511" i="113"/>
  <c r="N2494" i="113"/>
  <c r="N2477" i="113"/>
  <c r="N2457" i="113"/>
  <c r="N2438" i="113"/>
  <c r="N2421" i="113"/>
  <c r="N2403" i="113"/>
  <c r="N2381" i="113"/>
  <c r="N2363" i="113"/>
  <c r="N2345" i="113"/>
  <c r="N2328" i="113"/>
  <c r="N2307" i="113"/>
  <c r="N2289" i="113"/>
  <c r="N2271" i="113"/>
  <c r="N2251" i="113"/>
  <c r="N2233" i="113"/>
  <c r="N2215" i="113"/>
  <c r="N2197" i="113"/>
  <c r="N2177" i="113"/>
  <c r="N2158" i="113"/>
  <c r="N2138" i="113"/>
  <c r="N2109" i="113"/>
  <c r="N2060" i="113"/>
  <c r="N1999" i="113"/>
  <c r="N1928" i="113"/>
  <c r="N1857" i="113"/>
  <c r="N1796" i="113"/>
  <c r="N1724" i="113"/>
  <c r="N1654" i="113"/>
  <c r="N1592" i="113"/>
  <c r="N1521" i="113"/>
  <c r="N1449" i="113"/>
  <c r="N1384" i="113"/>
  <c r="N1297" i="113"/>
  <c r="N1209" i="113"/>
  <c r="N1129" i="113"/>
  <c r="N967" i="113"/>
  <c r="N645" i="113"/>
  <c r="N296" i="113"/>
  <c r="N2172" i="113"/>
  <c r="N1506" i="113"/>
  <c r="N2622" i="113"/>
  <c r="N2320" i="113"/>
  <c r="N1971" i="113"/>
  <c r="N211" i="113"/>
  <c r="N2670" i="113"/>
  <c r="N2655" i="113"/>
  <c r="N2641" i="113"/>
  <c r="N2627" i="113"/>
  <c r="N2611" i="113"/>
  <c r="N2594" i="113"/>
  <c r="N2578" i="113"/>
  <c r="N2562" i="113"/>
  <c r="N2543" i="113"/>
  <c r="N2527" i="113"/>
  <c r="N2510" i="113"/>
  <c r="N2493" i="113"/>
  <c r="N2476" i="113"/>
  <c r="N2455" i="113"/>
  <c r="N2437" i="113"/>
  <c r="N2420" i="113"/>
  <c r="N2402" i="113"/>
  <c r="N2380" i="113"/>
  <c r="N2362" i="113"/>
  <c r="N2344" i="113"/>
  <c r="N2325" i="113"/>
  <c r="N2306" i="113"/>
  <c r="N2288" i="113"/>
  <c r="N2270" i="113"/>
  <c r="N2249" i="113"/>
  <c r="N2232" i="113"/>
  <c r="N2214" i="113"/>
  <c r="N2196" i="113"/>
  <c r="N2176" i="113"/>
  <c r="N2156" i="113"/>
  <c r="N2133" i="113"/>
  <c r="N2104" i="113"/>
  <c r="N2058" i="113"/>
  <c r="N1988" i="113"/>
  <c r="N1927" i="113"/>
  <c r="N1855" i="113"/>
  <c r="N1784" i="113"/>
  <c r="N1723" i="113"/>
  <c r="N1652" i="113"/>
  <c r="N1581" i="113"/>
  <c r="N1520" i="113"/>
  <c r="N1447" i="113"/>
  <c r="N1371" i="113"/>
  <c r="N1296" i="113"/>
  <c r="N1206" i="113"/>
  <c r="N1114" i="113"/>
  <c r="N966" i="113"/>
  <c r="N634" i="113"/>
  <c r="N154" i="113"/>
  <c r="N2556" i="113"/>
  <c r="N419" i="113"/>
  <c r="N1719" i="113"/>
  <c r="N361" i="113"/>
  <c r="N2657" i="113"/>
  <c r="N2600" i="113"/>
  <c r="N306" i="113"/>
  <c r="N1149" i="113"/>
  <c r="N1451" i="113"/>
  <c r="N1494" i="113"/>
  <c r="N1865" i="113"/>
  <c r="N1836" i="113"/>
  <c r="N2281" i="113"/>
  <c r="N2252" i="113"/>
  <c r="N1432" i="113"/>
  <c r="N615" i="113"/>
  <c r="N2" i="113"/>
  <c r="N2524" i="113"/>
  <c r="N1543" i="113"/>
  <c r="N901" i="113"/>
  <c r="N2161" i="113"/>
  <c r="N541" i="113"/>
  <c r="N26" i="113"/>
  <c r="N1013" i="113"/>
  <c r="N125" i="113"/>
  <c r="N167" i="113"/>
  <c r="N2418" i="113"/>
  <c r="N1813" i="113"/>
  <c r="N180" i="113"/>
  <c r="N838" i="113"/>
  <c r="N1075" i="113"/>
  <c r="N1593" i="113"/>
  <c r="N1284" i="113"/>
  <c r="N94" i="113"/>
  <c r="N1788" i="113"/>
  <c r="N1103" i="113"/>
  <c r="N697" i="113"/>
  <c r="N389" i="113"/>
  <c r="N1577" i="113"/>
  <c r="N1128" i="113"/>
  <c r="N988" i="113"/>
  <c r="N806" i="113"/>
  <c r="N582" i="113"/>
  <c r="N2474" i="113"/>
  <c r="N864" i="113"/>
  <c r="N2123" i="113"/>
  <c r="N2625" i="113"/>
  <c r="N511" i="113"/>
  <c r="N441" i="113"/>
  <c r="N2501" i="113"/>
  <c r="N2305" i="113"/>
  <c r="N597" i="113"/>
  <c r="N2318" i="113"/>
  <c r="N2038" i="113"/>
  <c r="N1884" i="113"/>
  <c r="N1645" i="113"/>
  <c r="N2204" i="113"/>
  <c r="N1378" i="113"/>
  <c r="N944" i="113"/>
  <c r="N2399" i="113"/>
  <c r="N2175" i="113"/>
  <c r="N1167" i="113"/>
  <c r="N243" i="113"/>
  <c r="N1950" i="113"/>
  <c r="N1306" i="113"/>
  <c r="N1236" i="113"/>
  <c r="N1040" i="113"/>
  <c r="N2453" i="113"/>
  <c r="N2369" i="113"/>
  <c r="I26" i="113"/>
  <c r="I2623" i="113"/>
  <c r="I2387" i="113"/>
  <c r="I419" i="113"/>
  <c r="I838" i="113"/>
  <c r="I1284" i="113"/>
  <c r="I1778" i="113"/>
  <c r="I2474" i="113"/>
  <c r="I2161" i="113"/>
  <c r="I2501" i="113"/>
  <c r="I2175" i="113"/>
  <c r="I1788" i="113"/>
  <c r="I1204" i="113"/>
  <c r="I896" i="113"/>
  <c r="I1011" i="113"/>
  <c r="I1247" i="113"/>
  <c r="I1291" i="113"/>
  <c r="I1387" i="113"/>
  <c r="I1524" i="113"/>
  <c r="I1620" i="113"/>
  <c r="I1700" i="113"/>
  <c r="I761" i="113"/>
  <c r="I1108" i="113"/>
  <c r="I1183" i="113"/>
  <c r="I1339" i="113"/>
  <c r="I1433" i="113"/>
  <c r="I1480" i="113"/>
  <c r="I1574" i="113"/>
  <c r="I1664" i="113"/>
  <c r="I1734" i="113"/>
  <c r="I625" i="113"/>
  <c r="I1113" i="113"/>
  <c r="I1184" i="113"/>
  <c r="I1249" i="113"/>
  <c r="I1296" i="113"/>
  <c r="I1340" i="113"/>
  <c r="I1390" i="113"/>
  <c r="I1436" i="113"/>
  <c r="I1482" i="113"/>
  <c r="I1531" i="113"/>
  <c r="I1575" i="113"/>
  <c r="I1624" i="113"/>
  <c r="I1667" i="113"/>
  <c r="I1701" i="113"/>
  <c r="I1739" i="113"/>
  <c r="I1776" i="113"/>
  <c r="I1811" i="113"/>
  <c r="I1840" i="113"/>
  <c r="I1866" i="113"/>
  <c r="I1893" i="113"/>
  <c r="I1915" i="113"/>
  <c r="I1299" i="113"/>
  <c r="I1347" i="113"/>
  <c r="I1391" i="113"/>
  <c r="I1439" i="113"/>
  <c r="I1487" i="113"/>
  <c r="I1533" i="113"/>
  <c r="I1581" i="113"/>
  <c r="I1625" i="113"/>
  <c r="I1669" i="113"/>
  <c r="I1702" i="113"/>
  <c r="I1741" i="113"/>
  <c r="I1779" i="113"/>
  <c r="I1812" i="113"/>
  <c r="I1841" i="113"/>
  <c r="I1867" i="113"/>
  <c r="I1894" i="113"/>
  <c r="I1920" i="113"/>
  <c r="I1941" i="113"/>
  <c r="I1964" i="113"/>
  <c r="I1983" i="113"/>
  <c r="I442" i="113"/>
  <c r="I2609" i="113"/>
  <c r="I2555" i="113"/>
  <c r="I2491" i="113"/>
  <c r="I2437" i="113"/>
  <c r="I2372" i="113"/>
  <c r="I2317" i="113"/>
  <c r="I2253" i="113"/>
  <c r="I2198" i="113"/>
  <c r="I2131" i="113"/>
  <c r="I2073" i="113"/>
  <c r="I2001" i="113"/>
  <c r="I1895" i="113"/>
  <c r="I1583" i="113"/>
  <c r="I2662" i="113"/>
  <c r="I2608" i="113"/>
  <c r="I2543" i="113"/>
  <c r="I2490" i="113"/>
  <c r="I2424" i="113"/>
  <c r="I2371" i="113"/>
  <c r="I2303" i="113"/>
  <c r="I2250" i="113"/>
  <c r="I2185" i="113"/>
  <c r="I2130" i="113"/>
  <c r="I2058" i="113"/>
  <c r="I2000" i="113"/>
  <c r="I1891" i="113"/>
  <c r="I1536" i="113"/>
  <c r="I770" i="113"/>
  <c r="I2423" i="113"/>
  <c r="I1490" i="113"/>
  <c r="I1981" i="113"/>
  <c r="I1838" i="113"/>
  <c r="I1349" i="113"/>
  <c r="I2418" i="113"/>
  <c r="I2370" i="113"/>
  <c r="I2352" i="113"/>
  <c r="I2055" i="113"/>
  <c r="I2591" i="113"/>
  <c r="I2041" i="113"/>
  <c r="I2642" i="113"/>
  <c r="I2590" i="113"/>
  <c r="I2525" i="113"/>
  <c r="I2472" i="113"/>
  <c r="I2406" i="113"/>
  <c r="I2350" i="113"/>
  <c r="I2286" i="113"/>
  <c r="I2232" i="113"/>
  <c r="I2167" i="113"/>
  <c r="I2111" i="113"/>
  <c r="I2040" i="113"/>
  <c r="I1965" i="113"/>
  <c r="I1818" i="113"/>
  <c r="I1303" i="113"/>
  <c r="I2248" i="113"/>
  <c r="I2369" i="113"/>
  <c r="I2422" i="113"/>
  <c r="I2301" i="113"/>
  <c r="I2236" i="113"/>
  <c r="I2183" i="113"/>
  <c r="I2114" i="113"/>
  <c r="I1440" i="113"/>
  <c r="I2644" i="113"/>
  <c r="I2473" i="113"/>
  <c r="I2407" i="113"/>
  <c r="I2168" i="113"/>
  <c r="I2641" i="113"/>
  <c r="I2577" i="113"/>
  <c r="I2523" i="113"/>
  <c r="I2459" i="113"/>
  <c r="I2405" i="113"/>
  <c r="I2338" i="113"/>
  <c r="I2285" i="113"/>
  <c r="I2218" i="113"/>
  <c r="I2166" i="113"/>
  <c r="I2096" i="113"/>
  <c r="I2039" i="113"/>
  <c r="I1963" i="113"/>
  <c r="I1810" i="113"/>
  <c r="I1256" i="113"/>
  <c r="I2123" i="113"/>
  <c r="I361" i="113"/>
  <c r="I2661" i="113"/>
  <c r="I2541" i="113"/>
  <c r="I2302" i="113"/>
  <c r="I2129" i="113"/>
  <c r="I1999" i="113"/>
  <c r="I2540" i="113"/>
  <c r="I1975" i="113"/>
  <c r="I2656" i="113"/>
  <c r="I2355" i="113"/>
  <c r="I2234" i="113"/>
  <c r="I2113" i="113"/>
  <c r="I1396" i="113"/>
  <c r="I2353" i="113"/>
  <c r="I2287" i="113"/>
  <c r="I2233" i="113"/>
  <c r="I2112" i="113"/>
  <c r="I2625" i="113"/>
  <c r="I2640" i="113"/>
  <c r="I2576" i="113"/>
  <c r="I2522" i="113"/>
  <c r="I2458" i="113"/>
  <c r="I2404" i="113"/>
  <c r="I2336" i="113"/>
  <c r="I2284" i="113"/>
  <c r="I2217" i="113"/>
  <c r="I2165" i="113"/>
  <c r="I2095" i="113"/>
  <c r="I2037" i="113"/>
  <c r="I1958" i="113"/>
  <c r="I1780" i="113"/>
  <c r="I1198" i="113"/>
  <c r="I1746" i="113"/>
  <c r="I2100" i="113"/>
  <c r="I2675" i="113"/>
  <c r="I2057" i="113"/>
  <c r="I2003" i="113"/>
  <c r="I2356" i="113"/>
  <c r="I2056" i="113"/>
  <c r="I1864" i="113"/>
  <c r="I2539" i="113"/>
  <c r="I2475" i="113"/>
  <c r="I2421" i="113"/>
  <c r="I2300" i="113"/>
  <c r="I2182" i="113"/>
  <c r="I1842" i="113"/>
  <c r="I2526" i="113"/>
  <c r="I2556" i="113"/>
  <c r="I2228" i="113"/>
  <c r="I1836" i="113"/>
  <c r="I1821" i="113"/>
  <c r="I2627" i="113"/>
  <c r="I2575" i="113"/>
  <c r="I2509" i="113"/>
  <c r="I2456" i="113"/>
  <c r="I2390" i="113"/>
  <c r="I2335" i="113"/>
  <c r="I2270" i="113"/>
  <c r="I2216" i="113"/>
  <c r="I2151" i="113"/>
  <c r="I2094" i="113"/>
  <c r="I2023" i="113"/>
  <c r="I1942" i="113"/>
  <c r="I1772" i="113"/>
  <c r="I1119" i="113"/>
  <c r="I1719" i="113"/>
  <c r="I2607" i="113"/>
  <c r="I2489" i="113"/>
  <c r="I2184" i="113"/>
  <c r="I1869" i="113"/>
  <c r="I2659" i="113"/>
  <c r="I2593" i="113"/>
  <c r="I2476" i="113"/>
  <c r="I1984" i="113"/>
  <c r="I2592" i="113"/>
  <c r="I1982" i="113"/>
  <c r="I85" i="113"/>
  <c r="I2626" i="113"/>
  <c r="I2574" i="113"/>
  <c r="I2508" i="113"/>
  <c r="I2454" i="113"/>
  <c r="I2389" i="113"/>
  <c r="I2334" i="113"/>
  <c r="I2269" i="113"/>
  <c r="I2215" i="113"/>
  <c r="I2150" i="113"/>
  <c r="I2093" i="113"/>
  <c r="I2022" i="113"/>
  <c r="I1939" i="113"/>
  <c r="I1744" i="113"/>
  <c r="I1036" i="113"/>
  <c r="I1306" i="113"/>
  <c r="I864" i="113"/>
  <c r="I441" i="113"/>
  <c r="I67" i="113"/>
  <c r="I2678" i="113"/>
  <c r="I2624" i="113"/>
  <c r="I2561" i="113"/>
  <c r="I2507" i="113"/>
  <c r="I2441" i="113"/>
  <c r="I2388" i="113"/>
  <c r="I2321" i="113"/>
  <c r="I2268" i="113"/>
  <c r="I2201" i="113"/>
  <c r="I2148" i="113"/>
  <c r="I2079" i="113"/>
  <c r="I2021" i="113"/>
  <c r="I1938" i="113"/>
  <c r="I1708" i="113"/>
  <c r="I913" i="113"/>
  <c r="I2560" i="113"/>
  <c r="I2506" i="113"/>
  <c r="I2439" i="113"/>
  <c r="I2320" i="113"/>
  <c r="I2267" i="113"/>
  <c r="I2200" i="113"/>
  <c r="I2146" i="113"/>
  <c r="I2078" i="113"/>
  <c r="I2020" i="113"/>
  <c r="I1922" i="113"/>
  <c r="I1670" i="113"/>
  <c r="I793" i="113"/>
  <c r="I2453" i="113"/>
  <c r="I1236" i="113"/>
  <c r="I806" i="113"/>
  <c r="I389" i="113"/>
  <c r="I2676" i="113"/>
  <c r="I2610" i="113"/>
  <c r="I2558" i="113"/>
  <c r="I2492" i="113"/>
  <c r="I2438" i="113"/>
  <c r="I2373" i="113"/>
  <c r="I2319" i="113"/>
  <c r="I2254" i="113"/>
  <c r="I2199" i="113"/>
  <c r="I2132" i="113"/>
  <c r="I2074" i="113"/>
  <c r="I2006" i="113"/>
  <c r="I1914" i="113"/>
  <c r="I1630" i="113"/>
  <c r="I645" i="113"/>
  <c r="I1252" i="113"/>
  <c r="I1192" i="113"/>
  <c r="I1117" i="113"/>
  <c r="I1028" i="113"/>
  <c r="I912" i="113"/>
  <c r="I785" i="113"/>
  <c r="I641" i="113"/>
  <c r="I421" i="113"/>
  <c r="I1012" i="113"/>
  <c r="I906" i="113"/>
  <c r="I762" i="113"/>
  <c r="I635" i="113"/>
  <c r="I357" i="113"/>
  <c r="I356" i="113"/>
  <c r="I2072" i="113"/>
  <c r="I1680" i="113"/>
  <c r="I338" i="113"/>
  <c r="I2673" i="113"/>
  <c r="I2655" i="113"/>
  <c r="I2639" i="113"/>
  <c r="I2622" i="113"/>
  <c r="I2606" i="113"/>
  <c r="I2589" i="113"/>
  <c r="I2572" i="113"/>
  <c r="I2554" i="113"/>
  <c r="I2538" i="113"/>
  <c r="I2521" i="113"/>
  <c r="I2505" i="113"/>
  <c r="I2488" i="113"/>
  <c r="I2470" i="113"/>
  <c r="I2452" i="113"/>
  <c r="I2436" i="113"/>
  <c r="I2420" i="113"/>
  <c r="I2403" i="113"/>
  <c r="I2386" i="113"/>
  <c r="I2367" i="113"/>
  <c r="I2349" i="113"/>
  <c r="I2333" i="113"/>
  <c r="I2316" i="113"/>
  <c r="I2299" i="113"/>
  <c r="I2283" i="113"/>
  <c r="I2265" i="113"/>
  <c r="I2247" i="113"/>
  <c r="I2231" i="113"/>
  <c r="I2214" i="113"/>
  <c r="I2197" i="113"/>
  <c r="I2181" i="113"/>
  <c r="I2163" i="113"/>
  <c r="I2145" i="113"/>
  <c r="I2128" i="113"/>
  <c r="I2110" i="113"/>
  <c r="I2092" i="113"/>
  <c r="I2071" i="113"/>
  <c r="I2054" i="113"/>
  <c r="I2036" i="113"/>
  <c r="I2016" i="113"/>
  <c r="I1998" i="113"/>
  <c r="I1980" i="113"/>
  <c r="I1957" i="113"/>
  <c r="I1937" i="113"/>
  <c r="I1913" i="113"/>
  <c r="I1886" i="113"/>
  <c r="I1863" i="113"/>
  <c r="I1837" i="113"/>
  <c r="I1808" i="113"/>
  <c r="I1770" i="113"/>
  <c r="I1733" i="113"/>
  <c r="I1698" i="113"/>
  <c r="I1662" i="113"/>
  <c r="I1617" i="113"/>
  <c r="I1569" i="113"/>
  <c r="I1523" i="113"/>
  <c r="I1475" i="113"/>
  <c r="I1430" i="113"/>
  <c r="I1382" i="113"/>
  <c r="I1336" i="113"/>
  <c r="I1290" i="113"/>
  <c r="I1240" i="113"/>
  <c r="I1177" i="113"/>
  <c r="I1097" i="113"/>
  <c r="I1005" i="113"/>
  <c r="I880" i="113"/>
  <c r="I753" i="113"/>
  <c r="I607" i="113"/>
  <c r="I325" i="113"/>
  <c r="I2399" i="113"/>
  <c r="I1167" i="113"/>
  <c r="I729" i="113"/>
  <c r="I2382" i="113"/>
  <c r="I2038" i="113"/>
  <c r="I1645" i="113"/>
  <c r="I1149" i="113"/>
  <c r="I697" i="113"/>
  <c r="I306" i="113"/>
  <c r="I2671" i="113"/>
  <c r="I2654" i="113"/>
  <c r="I2638" i="113"/>
  <c r="I2621" i="113"/>
  <c r="I2605" i="113"/>
  <c r="I2588" i="113"/>
  <c r="I2570" i="113"/>
  <c r="I2553" i="113"/>
  <c r="I2537" i="113"/>
  <c r="I2520" i="113"/>
  <c r="I2504" i="113"/>
  <c r="I2487" i="113"/>
  <c r="I2468" i="113"/>
  <c r="I2451" i="113"/>
  <c r="I2435" i="113"/>
  <c r="I2419" i="113"/>
  <c r="I2402" i="113"/>
  <c r="I2385" i="113"/>
  <c r="I2365" i="113"/>
  <c r="I2348" i="113"/>
  <c r="I2332" i="113"/>
  <c r="I2315" i="113"/>
  <c r="I2298" i="113"/>
  <c r="I2282" i="113"/>
  <c r="I2263" i="113"/>
  <c r="I2246" i="113"/>
  <c r="I2230" i="113"/>
  <c r="I2213" i="113"/>
  <c r="I2196" i="113"/>
  <c r="I2180" i="113"/>
  <c r="I2160" i="113"/>
  <c r="I2144" i="113"/>
  <c r="I2127" i="113"/>
  <c r="I2109" i="113"/>
  <c r="I2088" i="113"/>
  <c r="I2070" i="113"/>
  <c r="I2053" i="113"/>
  <c r="I2035" i="113"/>
  <c r="I2015" i="113"/>
  <c r="I1997" i="113"/>
  <c r="I1979" i="113"/>
  <c r="I1956" i="113"/>
  <c r="I1936" i="113"/>
  <c r="I1911" i="113"/>
  <c r="I1885" i="113"/>
  <c r="I1861" i="113"/>
  <c r="I1835" i="113"/>
  <c r="I1804" i="113"/>
  <c r="I1765" i="113"/>
  <c r="I1731" i="113"/>
  <c r="I1695" i="113"/>
  <c r="I1656" i="113"/>
  <c r="I1614" i="113"/>
  <c r="I1566" i="113"/>
  <c r="I1520" i="113"/>
  <c r="I1474" i="113"/>
  <c r="I1423" i="113"/>
  <c r="I1380" i="113"/>
  <c r="I1333" i="113"/>
  <c r="I1287" i="113"/>
  <c r="I1239" i="113"/>
  <c r="I1174" i="113"/>
  <c r="I1096" i="113"/>
  <c r="I997" i="113"/>
  <c r="I879" i="113"/>
  <c r="I743" i="113"/>
  <c r="I603" i="113"/>
  <c r="I304" i="113"/>
  <c r="I1622" i="113"/>
  <c r="I1128" i="113"/>
  <c r="I671" i="113"/>
  <c r="I278" i="113"/>
  <c r="I2670" i="113"/>
  <c r="I2653" i="113"/>
  <c r="I2637" i="113"/>
  <c r="I2620" i="113"/>
  <c r="I2604" i="113"/>
  <c r="I2586" i="113"/>
  <c r="I2569" i="113"/>
  <c r="I2552" i="113"/>
  <c r="I2536" i="113"/>
  <c r="I2519" i="113"/>
  <c r="I2503" i="113"/>
  <c r="I2485" i="113"/>
  <c r="I2467" i="113"/>
  <c r="I2450" i="113"/>
  <c r="I2434" i="113"/>
  <c r="I2417" i="113"/>
  <c r="I2401" i="113"/>
  <c r="I2383" i="113"/>
  <c r="I2364" i="113"/>
  <c r="I2347" i="113"/>
  <c r="I2331" i="113"/>
  <c r="I2314" i="113"/>
  <c r="I2297" i="113"/>
  <c r="I2279" i="113"/>
  <c r="I2262" i="113"/>
  <c r="I2245" i="113"/>
  <c r="I2229" i="113"/>
  <c r="I2212" i="113"/>
  <c r="I2195" i="113"/>
  <c r="I2178" i="113"/>
  <c r="I2159" i="113"/>
  <c r="I2143" i="113"/>
  <c r="I2126" i="113"/>
  <c r="I2108" i="113"/>
  <c r="I2087" i="113"/>
  <c r="I2069" i="113"/>
  <c r="I2052" i="113"/>
  <c r="I2034" i="113"/>
  <c r="I2014" i="113"/>
  <c r="I1996" i="113"/>
  <c r="I1978" i="113"/>
  <c r="I1955" i="113"/>
  <c r="I1935" i="113"/>
  <c r="I1910" i="113"/>
  <c r="I1883" i="113"/>
  <c r="I1856" i="113"/>
  <c r="I1834" i="113"/>
  <c r="I1802" i="113"/>
  <c r="I1764" i="113"/>
  <c r="I1729" i="113"/>
  <c r="I1693" i="113"/>
  <c r="I1655" i="113"/>
  <c r="I1609" i="113"/>
  <c r="I1564" i="113"/>
  <c r="I1517" i="113"/>
  <c r="I1469" i="113"/>
  <c r="I1422" i="113"/>
  <c r="I1374" i="113"/>
  <c r="I1331" i="113"/>
  <c r="I1281" i="113"/>
  <c r="I1235" i="113"/>
  <c r="I1162" i="113"/>
  <c r="I1090" i="113"/>
  <c r="I980" i="113"/>
  <c r="I871" i="113"/>
  <c r="I725" i="113"/>
  <c r="I591" i="113"/>
  <c r="I241" i="113"/>
  <c r="I2669" i="113"/>
  <c r="I2652" i="113"/>
  <c r="I2636" i="113"/>
  <c r="I2619" i="113"/>
  <c r="I2603" i="113"/>
  <c r="I2584" i="113"/>
  <c r="I2568" i="113"/>
  <c r="I2551" i="113"/>
  <c r="I2535" i="113"/>
  <c r="I2518" i="113"/>
  <c r="I2502" i="113"/>
  <c r="I2483" i="113"/>
  <c r="I2466" i="113"/>
  <c r="I2449" i="113"/>
  <c r="I2433" i="113"/>
  <c r="I2416" i="113"/>
  <c r="I2400" i="113"/>
  <c r="I2380" i="113"/>
  <c r="I2363" i="113"/>
  <c r="I2346" i="113"/>
  <c r="I2330" i="113"/>
  <c r="I2313" i="113"/>
  <c r="I2296" i="113"/>
  <c r="I2277" i="113"/>
  <c r="I2261" i="113"/>
  <c r="I2244" i="113"/>
  <c r="I2227" i="113"/>
  <c r="I2211" i="113"/>
  <c r="I2194" i="113"/>
  <c r="I2176" i="113"/>
  <c r="I2158" i="113"/>
  <c r="I2142" i="113"/>
  <c r="I2125" i="113"/>
  <c r="I2107" i="113"/>
  <c r="I2086" i="113"/>
  <c r="I2068" i="113"/>
  <c r="I2051" i="113"/>
  <c r="I2030" i="113"/>
  <c r="I2013" i="113"/>
  <c r="I1995" i="113"/>
  <c r="I1972" i="113"/>
  <c r="I1954" i="113"/>
  <c r="I1934" i="113"/>
  <c r="I1909" i="113"/>
  <c r="I1881" i="113"/>
  <c r="I1855" i="113"/>
  <c r="I1832" i="113"/>
  <c r="I1797" i="113"/>
  <c r="I1763" i="113"/>
  <c r="I1726" i="113"/>
  <c r="I1687" i="113"/>
  <c r="I1652" i="113"/>
  <c r="I1608" i="113"/>
  <c r="I1559" i="113"/>
  <c r="I1514" i="113"/>
  <c r="I1466" i="113"/>
  <c r="I1419" i="113"/>
  <c r="I1373" i="113"/>
  <c r="I1324" i="113"/>
  <c r="I1279" i="113"/>
  <c r="I1232" i="113"/>
  <c r="I1161" i="113"/>
  <c r="I1084" i="113"/>
  <c r="I979" i="113"/>
  <c r="I862" i="113"/>
  <c r="I721" i="113"/>
  <c r="I583" i="113"/>
  <c r="I240" i="113"/>
  <c r="I1593" i="113"/>
  <c r="I1103" i="113"/>
  <c r="I644" i="113"/>
  <c r="I243" i="113"/>
  <c r="I2" i="113"/>
  <c r="I2318" i="113"/>
  <c r="I1950" i="113"/>
  <c r="I1577" i="113"/>
  <c r="I1075" i="113"/>
  <c r="I615" i="113"/>
  <c r="I211" i="113"/>
  <c r="I2668" i="113"/>
  <c r="I2651" i="113"/>
  <c r="I2635" i="113"/>
  <c r="I2618" i="113"/>
  <c r="I2601" i="113"/>
  <c r="I2583" i="113"/>
  <c r="I2567" i="113"/>
  <c r="I2550" i="113"/>
  <c r="I2534" i="113"/>
  <c r="I2517" i="113"/>
  <c r="I2499" i="113"/>
  <c r="I2482" i="113"/>
  <c r="I2465" i="113"/>
  <c r="I2448" i="113"/>
  <c r="I2432" i="113"/>
  <c r="I2415" i="113"/>
  <c r="I2397" i="113"/>
  <c r="I2379" i="113"/>
  <c r="I2362" i="113"/>
  <c r="I2345" i="113"/>
  <c r="I2329" i="113"/>
  <c r="I2312" i="113"/>
  <c r="I2294" i="113"/>
  <c r="I2276" i="113"/>
  <c r="I2260" i="113"/>
  <c r="I2243" i="113"/>
  <c r="I2226" i="113"/>
  <c r="I2210" i="113"/>
  <c r="I2192" i="113"/>
  <c r="I2174" i="113"/>
  <c r="I2157" i="113"/>
  <c r="I2141" i="113"/>
  <c r="I2124" i="113"/>
  <c r="I2103" i="113"/>
  <c r="I2085" i="113"/>
  <c r="I2067" i="113"/>
  <c r="I2050" i="113"/>
  <c r="I2029" i="113"/>
  <c r="I2012" i="113"/>
  <c r="I1994" i="113"/>
  <c r="I1971" i="113"/>
  <c r="I1953" i="113"/>
  <c r="I1929" i="113"/>
  <c r="I1908" i="113"/>
  <c r="I1880" i="113"/>
  <c r="I1854" i="113"/>
  <c r="I1827" i="113"/>
  <c r="I1796" i="113"/>
  <c r="I1760" i="113"/>
  <c r="I1724" i="113"/>
  <c r="I1686" i="113"/>
  <c r="I1649" i="113"/>
  <c r="I1605" i="113"/>
  <c r="I1557" i="113"/>
  <c r="I1508" i="113"/>
  <c r="I1464" i="113"/>
  <c r="I1416" i="113"/>
  <c r="I1368" i="113"/>
  <c r="I1323" i="113"/>
  <c r="I1274" i="113"/>
  <c r="I1223" i="113"/>
  <c r="I1158" i="113"/>
  <c r="I1073" i="113"/>
  <c r="I971" i="113"/>
  <c r="I843" i="113"/>
  <c r="I711" i="113"/>
  <c r="I554" i="113"/>
  <c r="I209" i="113"/>
  <c r="I2657" i="113"/>
  <c r="I2305" i="113"/>
  <c r="I1906" i="113"/>
  <c r="I1543" i="113"/>
  <c r="I1040" i="113"/>
  <c r="I597" i="113"/>
  <c r="I180" i="113"/>
  <c r="I2667" i="113"/>
  <c r="I2650" i="113"/>
  <c r="I2634" i="113"/>
  <c r="I2617" i="113"/>
  <c r="I2598" i="113"/>
  <c r="I2582" i="113"/>
  <c r="I2566" i="113"/>
  <c r="I2549" i="113"/>
  <c r="I2533" i="113"/>
  <c r="I2516" i="113"/>
  <c r="I2497" i="113"/>
  <c r="I2481" i="113"/>
  <c r="I2464" i="113"/>
  <c r="I2447" i="113"/>
  <c r="I2431" i="113"/>
  <c r="I2414" i="113"/>
  <c r="I2395" i="113"/>
  <c r="I2378" i="113"/>
  <c r="I2361" i="113"/>
  <c r="I2344" i="113"/>
  <c r="I2328" i="113"/>
  <c r="I2311" i="113"/>
  <c r="I2292" i="113"/>
  <c r="I2275" i="113"/>
  <c r="I2259" i="113"/>
  <c r="I2242" i="113"/>
  <c r="I2225" i="113"/>
  <c r="I2209" i="113"/>
  <c r="I2190" i="113"/>
  <c r="I2173" i="113"/>
  <c r="I2156" i="113"/>
  <c r="I2140" i="113"/>
  <c r="I2122" i="113"/>
  <c r="I2102" i="113"/>
  <c r="I2084" i="113"/>
  <c r="I2066" i="113"/>
  <c r="I2049" i="113"/>
  <c r="I2028" i="113"/>
  <c r="I2011" i="113"/>
  <c r="I1993" i="113"/>
  <c r="I1970" i="113"/>
  <c r="I1952" i="113"/>
  <c r="I1928" i="113"/>
  <c r="I1905" i="113"/>
  <c r="I1879" i="113"/>
  <c r="I1852" i="113"/>
  <c r="I1826" i="113"/>
  <c r="I1795" i="113"/>
  <c r="I1757" i="113"/>
  <c r="I1718" i="113"/>
  <c r="I1685" i="113"/>
  <c r="I1647" i="113"/>
  <c r="I1601" i="113"/>
  <c r="I1553" i="113"/>
  <c r="I1507" i="113"/>
  <c r="I1459" i="113"/>
  <c r="I1413" i="113"/>
  <c r="I1365" i="113"/>
  <c r="I1320" i="113"/>
  <c r="I1273" i="113"/>
  <c r="I1221" i="113"/>
  <c r="I1153" i="113"/>
  <c r="I1072" i="113"/>
  <c r="I964" i="113"/>
  <c r="I839" i="113"/>
  <c r="I705" i="113"/>
  <c r="I553" i="113"/>
  <c r="I187" i="113"/>
  <c r="I2281" i="113"/>
  <c r="I1884" i="113"/>
  <c r="I1494" i="113"/>
  <c r="I1013" i="113"/>
  <c r="I582" i="113"/>
  <c r="I167" i="113"/>
  <c r="I2666" i="113"/>
  <c r="I2649" i="113"/>
  <c r="I2633" i="113"/>
  <c r="I2615" i="113"/>
  <c r="I2597" i="113"/>
  <c r="I2581" i="113"/>
  <c r="I2565" i="113"/>
  <c r="I2548" i="113"/>
  <c r="I2532" i="113"/>
  <c r="I2514" i="113"/>
  <c r="I2496" i="113"/>
  <c r="I2480" i="113"/>
  <c r="I2463" i="113"/>
  <c r="I2446" i="113"/>
  <c r="I2430" i="113"/>
  <c r="I2412" i="113"/>
  <c r="I2394" i="113"/>
  <c r="I2377" i="113"/>
  <c r="I2360" i="113"/>
  <c r="I2343" i="113"/>
  <c r="I2327" i="113"/>
  <c r="I2309" i="113"/>
  <c r="I2291" i="113"/>
  <c r="I2274" i="113"/>
  <c r="I2258" i="113"/>
  <c r="I2241" i="113"/>
  <c r="I2224" i="113"/>
  <c r="I2207" i="113"/>
  <c r="I2189" i="113"/>
  <c r="I2172" i="113"/>
  <c r="I2155" i="113"/>
  <c r="I2139" i="113"/>
  <c r="I2121" i="113"/>
  <c r="I2101" i="113"/>
  <c r="I2083" i="113"/>
  <c r="I2065" i="113"/>
  <c r="I2045" i="113"/>
  <c r="I2027" i="113"/>
  <c r="I2010" i="113"/>
  <c r="I1992" i="113"/>
  <c r="I1969" i="113"/>
  <c r="I1951" i="113"/>
  <c r="I1927" i="113"/>
  <c r="I1900" i="113"/>
  <c r="I1878" i="113"/>
  <c r="I1851" i="113"/>
  <c r="I1825" i="113"/>
  <c r="I1793" i="113"/>
  <c r="I1755" i="113"/>
  <c r="I1716" i="113"/>
  <c r="I1683" i="113"/>
  <c r="I1640" i="113"/>
  <c r="I1598" i="113"/>
  <c r="I1550" i="113"/>
  <c r="I1504" i="113"/>
  <c r="I1457" i="113"/>
  <c r="I1407" i="113"/>
  <c r="I1363" i="113"/>
  <c r="I1317" i="113"/>
  <c r="I1268" i="113"/>
  <c r="I1217" i="113"/>
  <c r="I1142" i="113"/>
  <c r="I1066" i="113"/>
  <c r="I948" i="113"/>
  <c r="I828" i="113"/>
  <c r="I685" i="113"/>
  <c r="I536" i="113"/>
  <c r="I121" i="113"/>
  <c r="I2600" i="113"/>
  <c r="I2252" i="113"/>
  <c r="I1865" i="113"/>
  <c r="I1451" i="113"/>
  <c r="I988" i="113"/>
  <c r="I541" i="113"/>
  <c r="I141" i="113"/>
  <c r="I2665" i="113"/>
  <c r="I2648" i="113"/>
  <c r="I2632" i="113"/>
  <c r="I2613" i="113"/>
  <c r="I2596" i="113"/>
  <c r="I2580" i="113"/>
  <c r="I2564" i="113"/>
  <c r="I2547" i="113"/>
  <c r="I2531" i="113"/>
  <c r="I2512" i="113"/>
  <c r="I2495" i="113"/>
  <c r="I2479" i="113"/>
  <c r="I2462" i="113"/>
  <c r="I2445" i="113"/>
  <c r="I2429" i="113"/>
  <c r="I2410" i="113"/>
  <c r="I2393" i="113"/>
  <c r="I2376" i="113"/>
  <c r="I2359" i="113"/>
  <c r="I2342" i="113"/>
  <c r="I2326" i="113"/>
  <c r="I2307" i="113"/>
  <c r="I2290" i="113"/>
  <c r="I2273" i="113"/>
  <c r="I2257" i="113"/>
  <c r="I2240" i="113"/>
  <c r="I2223" i="113"/>
  <c r="I2205" i="113"/>
  <c r="I2188" i="113"/>
  <c r="I2171" i="113"/>
  <c r="I2154" i="113"/>
  <c r="I2138" i="113"/>
  <c r="I2117" i="113"/>
  <c r="I2099" i="113"/>
  <c r="I2082" i="113"/>
  <c r="I2064" i="113"/>
  <c r="I2044" i="113"/>
  <c r="I2026" i="113"/>
  <c r="I2009" i="113"/>
  <c r="I1987" i="113"/>
  <c r="I1968" i="113"/>
  <c r="I1949" i="113"/>
  <c r="I1925" i="113"/>
  <c r="I1899" i="113"/>
  <c r="I1876" i="113"/>
  <c r="I1850" i="113"/>
  <c r="I1823" i="113"/>
  <c r="I1789" i="113"/>
  <c r="I1750" i="113"/>
  <c r="I1715" i="113"/>
  <c r="I1679" i="113"/>
  <c r="I1639" i="113"/>
  <c r="I1592" i="113"/>
  <c r="I1548" i="113"/>
  <c r="I1500" i="113"/>
  <c r="I1453" i="113"/>
  <c r="I1406" i="113"/>
  <c r="I1358" i="113"/>
  <c r="I1314" i="113"/>
  <c r="I1265" i="113"/>
  <c r="I1214" i="113"/>
  <c r="I1139" i="113"/>
  <c r="I1059" i="113"/>
  <c r="I945" i="113"/>
  <c r="I822" i="113"/>
  <c r="I684" i="113"/>
  <c r="I523" i="113"/>
  <c r="I115" i="113"/>
  <c r="I1432" i="113"/>
  <c r="I125" i="113"/>
  <c r="I2546" i="113"/>
  <c r="I2529" i="113"/>
  <c r="I2511" i="113"/>
  <c r="I2461" i="113"/>
  <c r="I2392" i="113"/>
  <c r="I2341" i="113"/>
  <c r="I2289" i="113"/>
  <c r="I2256" i="113"/>
  <c r="I2239" i="113"/>
  <c r="I2221" i="113"/>
  <c r="I2043" i="113"/>
  <c r="I2025" i="113"/>
  <c r="I2008" i="113"/>
  <c r="I1898" i="113"/>
  <c r="I1786" i="113"/>
  <c r="I1749" i="113"/>
  <c r="I1713" i="113"/>
  <c r="I1677" i="113"/>
  <c r="I1636" i="113"/>
  <c r="I1591" i="113"/>
  <c r="I1540" i="113"/>
  <c r="I1497" i="113"/>
  <c r="I1449" i="113"/>
  <c r="I1403" i="113"/>
  <c r="I1356" i="113"/>
  <c r="I1308" i="113"/>
  <c r="I1263" i="113"/>
  <c r="I1203" i="113"/>
  <c r="I1136" i="113"/>
  <c r="I1044" i="113"/>
  <c r="I938" i="113"/>
  <c r="I804" i="113"/>
  <c r="I676" i="113"/>
  <c r="I470" i="113"/>
  <c r="I944" i="113"/>
  <c r="I511" i="113"/>
  <c r="I2664" i="113"/>
  <c r="I2647" i="113"/>
  <c r="I2630" i="113"/>
  <c r="I2612" i="113"/>
  <c r="I2595" i="113"/>
  <c r="I2579" i="113"/>
  <c r="I2563" i="113"/>
  <c r="I2494" i="113"/>
  <c r="I2478" i="113"/>
  <c r="I2444" i="113"/>
  <c r="I2427" i="113"/>
  <c r="I2409" i="113"/>
  <c r="I2375" i="113"/>
  <c r="I2358" i="113"/>
  <c r="I2324" i="113"/>
  <c r="I2306" i="113"/>
  <c r="I2272" i="113"/>
  <c r="I2203" i="113"/>
  <c r="I2187" i="113"/>
  <c r="I2170" i="113"/>
  <c r="I2153" i="113"/>
  <c r="I2137" i="113"/>
  <c r="I2116" i="113"/>
  <c r="I2098" i="113"/>
  <c r="I2081" i="113"/>
  <c r="I2063" i="113"/>
  <c r="I1986" i="113"/>
  <c r="I1967" i="113"/>
  <c r="I1948" i="113"/>
  <c r="I1924" i="113"/>
  <c r="I1871" i="113"/>
  <c r="I1849" i="113"/>
  <c r="I2524" i="113"/>
  <c r="I2204" i="113"/>
  <c r="I1813" i="113"/>
  <c r="I1378" i="113"/>
  <c r="I901" i="113"/>
  <c r="I477" i="113"/>
  <c r="I94" i="113"/>
  <c r="I3" i="113"/>
  <c r="I17" i="113"/>
  <c r="I32" i="113"/>
  <c r="I46" i="113"/>
  <c r="I60" i="113"/>
  <c r="I75" i="113"/>
  <c r="I89" i="113"/>
  <c r="I104" i="113"/>
  <c r="I118" i="113"/>
  <c r="I133" i="113"/>
  <c r="I148" i="113"/>
  <c r="I162" i="113"/>
  <c r="I177" i="113"/>
  <c r="I192" i="113"/>
  <c r="I206" i="113"/>
  <c r="I221" i="113"/>
  <c r="I235" i="113"/>
  <c r="I250" i="113"/>
  <c r="I264" i="113"/>
  <c r="I279" i="113"/>
  <c r="I293" i="113"/>
  <c r="I308" i="113"/>
  <c r="I322" i="113"/>
  <c r="I336" i="113"/>
  <c r="I351" i="113"/>
  <c r="I366" i="113"/>
  <c r="I380" i="113"/>
  <c r="I395" i="113"/>
  <c r="I409" i="113"/>
  <c r="I424" i="113"/>
  <c r="I438" i="113"/>
  <c r="I453" i="113"/>
  <c r="I467" i="113"/>
  <c r="I482" i="113"/>
  <c r="I496" i="113"/>
  <c r="I510" i="113"/>
  <c r="I525" i="113"/>
  <c r="I4" i="113"/>
  <c r="I18" i="113"/>
  <c r="I33" i="113"/>
  <c r="I47" i="113"/>
  <c r="I61" i="113"/>
  <c r="I76" i="113"/>
  <c r="I90" i="113"/>
  <c r="I105" i="113"/>
  <c r="I119" i="113"/>
  <c r="I134" i="113"/>
  <c r="I149" i="113"/>
  <c r="I163" i="113"/>
  <c r="I178" i="113"/>
  <c r="I193" i="113"/>
  <c r="I207" i="113"/>
  <c r="I222" i="113"/>
  <c r="I236" i="113"/>
  <c r="I251" i="113"/>
  <c r="I265" i="113"/>
  <c r="I280" i="113"/>
  <c r="I294" i="113"/>
  <c r="I309" i="113"/>
  <c r="I323" i="113"/>
  <c r="I337" i="113"/>
  <c r="I352" i="113"/>
  <c r="I367" i="113"/>
  <c r="I381" i="113"/>
  <c r="I396" i="113"/>
  <c r="I410" i="113"/>
  <c r="I425" i="113"/>
  <c r="I439" i="113"/>
  <c r="I454" i="113"/>
  <c r="I468" i="113"/>
  <c r="I483" i="113"/>
  <c r="I497" i="113"/>
  <c r="I512" i="113"/>
  <c r="I526" i="113"/>
  <c r="I540" i="113"/>
  <c r="I555" i="113"/>
  <c r="I569" i="113"/>
  <c r="I584" i="113"/>
  <c r="I599" i="113"/>
  <c r="I613" i="113"/>
  <c r="I628" i="113"/>
  <c r="I642" i="113"/>
  <c r="I657" i="113"/>
  <c r="I672" i="113"/>
  <c r="I686" i="113"/>
  <c r="I701" i="113"/>
  <c r="I715" i="113"/>
  <c r="I730" i="113"/>
  <c r="I744" i="113"/>
  <c r="I758" i="113"/>
  <c r="I773" i="113"/>
  <c r="I787" i="113"/>
  <c r="I801" i="113"/>
  <c r="I816" i="113"/>
  <c r="I830" i="113"/>
  <c r="I845" i="113"/>
  <c r="I859" i="113"/>
  <c r="I874" i="113"/>
  <c r="I888" i="113"/>
  <c r="I903" i="113"/>
  <c r="I917" i="113"/>
  <c r="I931" i="113"/>
  <c r="I946" i="113"/>
  <c r="I960" i="113"/>
  <c r="I974" i="113"/>
  <c r="I989" i="113"/>
  <c r="I5" i="113"/>
  <c r="I19" i="113"/>
  <c r="I34" i="113"/>
  <c r="I48" i="113"/>
  <c r="I62" i="113"/>
  <c r="I77" i="113"/>
  <c r="I91" i="113"/>
  <c r="I106" i="113"/>
  <c r="I120" i="113"/>
  <c r="I135" i="113"/>
  <c r="I150" i="113"/>
  <c r="I164" i="113"/>
  <c r="I179" i="113"/>
  <c r="I194" i="113"/>
  <c r="I208" i="113"/>
  <c r="I223" i="113"/>
  <c r="I237" i="113"/>
  <c r="I252" i="113"/>
  <c r="I266" i="113"/>
  <c r="I281" i="113"/>
  <c r="I295" i="113"/>
  <c r="I310" i="113"/>
  <c r="I324" i="113"/>
  <c r="I339" i="113"/>
  <c r="I353" i="113"/>
  <c r="I368" i="113"/>
  <c r="I382" i="113"/>
  <c r="I397" i="113"/>
  <c r="I411" i="113"/>
  <c r="I426" i="113"/>
  <c r="I440" i="113"/>
  <c r="I455" i="113"/>
  <c r="I469" i="113"/>
  <c r="I484" i="113"/>
  <c r="I498" i="113"/>
  <c r="I513" i="113"/>
  <c r="I527" i="113"/>
  <c r="I542" i="113"/>
  <c r="I556" i="113"/>
  <c r="I570" i="113"/>
  <c r="I585" i="113"/>
  <c r="I600" i="113"/>
  <c r="I614" i="113"/>
  <c r="I629" i="113"/>
  <c r="I643" i="113"/>
  <c r="I658" i="113"/>
  <c r="I673" i="113"/>
  <c r="I687" i="113"/>
  <c r="I702" i="113"/>
  <c r="I716" i="113"/>
  <c r="I731" i="113"/>
  <c r="I745" i="113"/>
  <c r="I759" i="113"/>
  <c r="I774" i="113"/>
  <c r="I788" i="113"/>
  <c r="I802" i="113"/>
  <c r="I817" i="113"/>
  <c r="I831" i="113"/>
  <c r="I846" i="113"/>
  <c r="I860" i="113"/>
  <c r="I875" i="113"/>
  <c r="I889" i="113"/>
  <c r="I904" i="113"/>
  <c r="I918" i="113"/>
  <c r="I932" i="113"/>
  <c r="I947" i="113"/>
  <c r="I961" i="113"/>
  <c r="I975" i="113"/>
  <c r="I990" i="113"/>
  <c r="I1004" i="113"/>
  <c r="I1019" i="113"/>
  <c r="I1033" i="113"/>
  <c r="I1048" i="113"/>
  <c r="I1062" i="113"/>
  <c r="I1077" i="113"/>
  <c r="I1091" i="113"/>
  <c r="I1106" i="113"/>
  <c r="I1120" i="113"/>
  <c r="I1135" i="113"/>
  <c r="I1150" i="113"/>
  <c r="I1164" i="113"/>
  <c r="I1179" i="113"/>
  <c r="I1193" i="113"/>
  <c r="I1208" i="113"/>
  <c r="I1222" i="113"/>
  <c r="I6" i="113"/>
  <c r="I7" i="113"/>
  <c r="I21" i="113"/>
  <c r="I36" i="113"/>
  <c r="I50" i="113"/>
  <c r="I64" i="113"/>
  <c r="I79" i="113"/>
  <c r="I93" i="113"/>
  <c r="I108" i="113"/>
  <c r="I122" i="113"/>
  <c r="I137" i="113"/>
  <c r="I152" i="113"/>
  <c r="I166" i="113"/>
  <c r="I182" i="113"/>
  <c r="I196" i="113"/>
  <c r="I210" i="113"/>
  <c r="I225" i="113"/>
  <c r="I239" i="113"/>
  <c r="I254" i="113"/>
  <c r="I268" i="113"/>
  <c r="I283" i="113"/>
  <c r="I297" i="113"/>
  <c r="I312" i="113"/>
  <c r="I326" i="113"/>
  <c r="I341" i="113"/>
  <c r="I355" i="113"/>
  <c r="I370" i="113"/>
  <c r="I384" i="113"/>
  <c r="I399" i="113"/>
  <c r="I413" i="113"/>
  <c r="I428" i="113"/>
  <c r="I443" i="113"/>
  <c r="I457" i="113"/>
  <c r="I471" i="113"/>
  <c r="I486" i="113"/>
  <c r="I500" i="113"/>
  <c r="I515" i="113"/>
  <c r="I529" i="113"/>
  <c r="I544" i="113"/>
  <c r="I558" i="113"/>
  <c r="I10" i="113"/>
  <c r="I24" i="113"/>
  <c r="I39" i="113"/>
  <c r="I53" i="113"/>
  <c r="I68" i="113"/>
  <c r="I82" i="113"/>
  <c r="I97" i="113"/>
  <c r="I111" i="113"/>
  <c r="I126" i="113"/>
  <c r="I140" i="113"/>
  <c r="I155" i="113"/>
  <c r="I170" i="113"/>
  <c r="I185" i="113"/>
  <c r="I199" i="113"/>
  <c r="I214" i="113"/>
  <c r="I228" i="113"/>
  <c r="I242" i="113"/>
  <c r="I257" i="113"/>
  <c r="I271" i="113"/>
  <c r="I286" i="113"/>
  <c r="I300" i="113"/>
  <c r="I315" i="113"/>
  <c r="I329" i="113"/>
  <c r="I344" i="113"/>
  <c r="I358" i="113"/>
  <c r="I373" i="113"/>
  <c r="I387" i="113"/>
  <c r="I402" i="113"/>
  <c r="I416" i="113"/>
  <c r="I431" i="113"/>
  <c r="I446" i="113"/>
  <c r="I460" i="113"/>
  <c r="I474" i="113"/>
  <c r="I489" i="113"/>
  <c r="I503" i="113"/>
  <c r="I518" i="113"/>
  <c r="I532" i="113"/>
  <c r="I547" i="113"/>
  <c r="I561" i="113"/>
  <c r="I11" i="113"/>
  <c r="I25" i="113"/>
  <c r="I40" i="113"/>
  <c r="I54" i="113"/>
  <c r="I69" i="113"/>
  <c r="I83" i="113"/>
  <c r="I98" i="113"/>
  <c r="I112" i="113"/>
  <c r="I127" i="113"/>
  <c r="I142" i="113"/>
  <c r="I156" i="113"/>
  <c r="I171" i="113"/>
  <c r="I186" i="113"/>
  <c r="I200" i="113"/>
  <c r="I215" i="113"/>
  <c r="I229" i="113"/>
  <c r="I244" i="113"/>
  <c r="I258" i="113"/>
  <c r="I272" i="113"/>
  <c r="I287" i="113"/>
  <c r="I301" i="113"/>
  <c r="I316" i="113"/>
  <c r="I330" i="113"/>
  <c r="I345" i="113"/>
  <c r="I359" i="113"/>
  <c r="I374" i="113"/>
  <c r="I388" i="113"/>
  <c r="I403" i="113"/>
  <c r="I417" i="113"/>
  <c r="I432" i="113"/>
  <c r="I447" i="113"/>
  <c r="I461" i="113"/>
  <c r="I475" i="113"/>
  <c r="I490" i="113"/>
  <c r="I504" i="113"/>
  <c r="I519" i="113"/>
  <c r="I533" i="113"/>
  <c r="I15" i="113"/>
  <c r="I30" i="113"/>
  <c r="I44" i="113"/>
  <c r="I58" i="113"/>
  <c r="I73" i="113"/>
  <c r="I87" i="113"/>
  <c r="I102" i="113"/>
  <c r="I116" i="113"/>
  <c r="I131" i="113"/>
  <c r="I146" i="113"/>
  <c r="I160" i="113"/>
  <c r="I175" i="113"/>
  <c r="I190" i="113"/>
  <c r="I204" i="113"/>
  <c r="I219" i="113"/>
  <c r="I233" i="113"/>
  <c r="I248" i="113"/>
  <c r="I262" i="113"/>
  <c r="I276" i="113"/>
  <c r="I291" i="113"/>
  <c r="I305" i="113"/>
  <c r="I320" i="113"/>
  <c r="I334" i="113"/>
  <c r="I349" i="113"/>
  <c r="I364" i="113"/>
  <c r="I378" i="113"/>
  <c r="I393" i="113"/>
  <c r="I407" i="113"/>
  <c r="I422" i="113"/>
  <c r="I436" i="113"/>
  <c r="I451" i="113"/>
  <c r="I465" i="113"/>
  <c r="I480" i="113"/>
  <c r="I494" i="113"/>
  <c r="I508" i="113"/>
  <c r="I16" i="113"/>
  <c r="I31" i="113"/>
  <c r="I45" i="113"/>
  <c r="I59" i="113"/>
  <c r="I74" i="113"/>
  <c r="I88" i="113"/>
  <c r="I103" i="113"/>
  <c r="I117" i="113"/>
  <c r="I132" i="113"/>
  <c r="I147" i="113"/>
  <c r="I161" i="113"/>
  <c r="I176" i="113"/>
  <c r="I191" i="113"/>
  <c r="I205" i="113"/>
  <c r="I220" i="113"/>
  <c r="I234" i="113"/>
  <c r="I249" i="113"/>
  <c r="I263" i="113"/>
  <c r="I277" i="113"/>
  <c r="I292" i="113"/>
  <c r="I307" i="113"/>
  <c r="I321" i="113"/>
  <c r="I335" i="113"/>
  <c r="I350" i="113"/>
  <c r="I365" i="113"/>
  <c r="I379" i="113"/>
  <c r="I394" i="113"/>
  <c r="I408" i="113"/>
  <c r="I8" i="113"/>
  <c r="I41" i="113"/>
  <c r="I72" i="113"/>
  <c r="I109" i="113"/>
  <c r="I143" i="113"/>
  <c r="I174" i="113"/>
  <c r="I212" i="113"/>
  <c r="I245" i="113"/>
  <c r="I275" i="113"/>
  <c r="I313" i="113"/>
  <c r="I346" i="113"/>
  <c r="I377" i="113"/>
  <c r="I414" i="113"/>
  <c r="I444" i="113"/>
  <c r="I472" i="113"/>
  <c r="I501" i="113"/>
  <c r="I528" i="113"/>
  <c r="I550" i="113"/>
  <c r="I568" i="113"/>
  <c r="I587" i="113"/>
  <c r="I604" i="113"/>
  <c r="I621" i="113"/>
  <c r="I637" i="113"/>
  <c r="I654" i="113"/>
  <c r="I670" i="113"/>
  <c r="I689" i="113"/>
  <c r="I706" i="113"/>
  <c r="I722" i="113"/>
  <c r="I739" i="113"/>
  <c r="I755" i="113"/>
  <c r="I772" i="113"/>
  <c r="I790" i="113"/>
  <c r="I807" i="113"/>
  <c r="I823" i="113"/>
  <c r="I840" i="113"/>
  <c r="I856" i="113"/>
  <c r="I873" i="113"/>
  <c r="I891" i="113"/>
  <c r="I908" i="113"/>
  <c r="I924" i="113"/>
  <c r="I940" i="113"/>
  <c r="I957" i="113"/>
  <c r="I973" i="113"/>
  <c r="I992" i="113"/>
  <c r="I1007" i="113"/>
  <c r="I1023" i="113"/>
  <c r="I1038" i="113"/>
  <c r="I1054" i="113"/>
  <c r="I1069" i="113"/>
  <c r="I1085" i="113"/>
  <c r="I1100" i="113"/>
  <c r="I1116" i="113"/>
  <c r="I1132" i="113"/>
  <c r="I1147" i="113"/>
  <c r="I1163" i="113"/>
  <c r="I1180" i="113"/>
  <c r="I1195" i="113"/>
  <c r="I1211" i="113"/>
  <c r="I1226" i="113"/>
  <c r="I1241" i="113"/>
  <c r="I1255" i="113"/>
  <c r="I1269" i="113"/>
  <c r="I1283" i="113"/>
  <c r="I1298" i="113"/>
  <c r="I1313" i="113"/>
  <c r="I1327" i="113"/>
  <c r="I1341" i="113"/>
  <c r="I1355" i="113"/>
  <c r="I1369" i="113"/>
  <c r="I1384" i="113"/>
  <c r="I1398" i="113"/>
  <c r="I1412" i="113"/>
  <c r="I1426" i="113"/>
  <c r="I1441" i="113"/>
  <c r="I1456" i="113"/>
  <c r="I1470" i="113"/>
  <c r="I1484" i="113"/>
  <c r="I1499" i="113"/>
  <c r="I1513" i="113"/>
  <c r="I1527" i="113"/>
  <c r="I1541" i="113"/>
  <c r="I1556" i="113"/>
  <c r="I1570" i="113"/>
  <c r="I1585" i="113"/>
  <c r="I1600" i="113"/>
  <c r="I9" i="113"/>
  <c r="I42" i="113"/>
  <c r="I78" i="113"/>
  <c r="I110" i="113"/>
  <c r="I144" i="113"/>
  <c r="I181" i="113"/>
  <c r="I213" i="113"/>
  <c r="I246" i="113"/>
  <c r="I282" i="113"/>
  <c r="I314" i="113"/>
  <c r="I347" i="113"/>
  <c r="I383" i="113"/>
  <c r="I415" i="113"/>
  <c r="I445" i="113"/>
  <c r="I473" i="113"/>
  <c r="I502" i="113"/>
  <c r="I530" i="113"/>
  <c r="I551" i="113"/>
  <c r="I571" i="113"/>
  <c r="I588" i="113"/>
  <c r="I605" i="113"/>
  <c r="I622" i="113"/>
  <c r="I638" i="113"/>
  <c r="I655" i="113"/>
  <c r="I674" i="113"/>
  <c r="I690" i="113"/>
  <c r="I707" i="113"/>
  <c r="I723" i="113"/>
  <c r="I740" i="113"/>
  <c r="I756" i="113"/>
  <c r="I775" i="113"/>
  <c r="I791" i="113"/>
  <c r="I808" i="113"/>
  <c r="I824" i="113"/>
  <c r="I841" i="113"/>
  <c r="I857" i="113"/>
  <c r="I876" i="113"/>
  <c r="I892" i="113"/>
  <c r="I909" i="113"/>
  <c r="I925" i="113"/>
  <c r="I941" i="113"/>
  <c r="I958" i="113"/>
  <c r="I976" i="113"/>
  <c r="I993" i="113"/>
  <c r="I1008" i="113"/>
  <c r="I1024" i="113"/>
  <c r="I1039" i="113"/>
  <c r="I1055" i="113"/>
  <c r="I1070" i="113"/>
  <c r="I1086" i="113"/>
  <c r="I12" i="113"/>
  <c r="I43" i="113"/>
  <c r="I80" i="113"/>
  <c r="I113" i="113"/>
  <c r="I145" i="113"/>
  <c r="I183" i="113"/>
  <c r="I216" i="113"/>
  <c r="I247" i="113"/>
  <c r="I284" i="113"/>
  <c r="I317" i="113"/>
  <c r="I348" i="113"/>
  <c r="I385" i="113"/>
  <c r="I418" i="113"/>
  <c r="I448" i="113"/>
  <c r="I476" i="113"/>
  <c r="I505" i="113"/>
  <c r="I531" i="113"/>
  <c r="I552" i="113"/>
  <c r="I572" i="113"/>
  <c r="I589" i="113"/>
  <c r="I606" i="113"/>
  <c r="I623" i="113"/>
  <c r="I639" i="113"/>
  <c r="I656" i="113"/>
  <c r="I675" i="113"/>
  <c r="I691" i="113"/>
  <c r="I708" i="113"/>
  <c r="I724" i="113"/>
  <c r="I741" i="113"/>
  <c r="I757" i="113"/>
  <c r="I776" i="113"/>
  <c r="I792" i="113"/>
  <c r="I809" i="113"/>
  <c r="I825" i="113"/>
  <c r="I842" i="113"/>
  <c r="I858" i="113"/>
  <c r="I877" i="113"/>
  <c r="I893" i="113"/>
  <c r="I910" i="113"/>
  <c r="I926" i="113"/>
  <c r="I942" i="113"/>
  <c r="I959" i="113"/>
  <c r="I977" i="113"/>
  <c r="I994" i="113"/>
  <c r="I1009" i="113"/>
  <c r="I1025" i="113"/>
  <c r="I1041" i="113"/>
  <c r="I1056" i="113"/>
  <c r="I1071" i="113"/>
  <c r="I1087" i="113"/>
  <c r="I1102" i="113"/>
  <c r="I1118" i="113"/>
  <c r="I1134" i="113"/>
  <c r="I1151" i="113"/>
  <c r="I1166" i="113"/>
  <c r="I1182" i="113"/>
  <c r="I1197" i="113"/>
  <c r="I1213" i="113"/>
  <c r="I1228" i="113"/>
  <c r="I1243" i="113"/>
  <c r="I1257" i="113"/>
  <c r="I1271" i="113"/>
  <c r="I1286" i="113"/>
  <c r="I1300" i="113"/>
  <c r="I1315" i="113"/>
  <c r="I1329" i="113"/>
  <c r="I1343" i="113"/>
  <c r="I1357" i="113"/>
  <c r="I1371" i="113"/>
  <c r="I1386" i="113"/>
  <c r="I1400" i="113"/>
  <c r="I1414" i="113"/>
  <c r="I1428" i="113"/>
  <c r="I1443" i="113"/>
  <c r="I1458" i="113"/>
  <c r="I1472" i="113"/>
  <c r="I1486" i="113"/>
  <c r="I1501" i="113"/>
  <c r="I1515" i="113"/>
  <c r="I1529" i="113"/>
  <c r="I1544" i="113"/>
  <c r="I1558" i="113"/>
  <c r="I1572" i="113"/>
  <c r="I1587" i="113"/>
  <c r="I1602" i="113"/>
  <c r="I1616" i="113"/>
  <c r="I1631" i="113"/>
  <c r="I1646" i="113"/>
  <c r="I1660" i="113"/>
  <c r="I1674" i="113"/>
  <c r="I1689" i="113"/>
  <c r="I1703" i="113"/>
  <c r="I1717" i="113"/>
  <c r="I1732" i="113"/>
  <c r="I1747" i="113"/>
  <c r="I1761" i="113"/>
  <c r="I1775" i="113"/>
  <c r="I1791" i="113"/>
  <c r="I1805" i="113"/>
  <c r="I13" i="113"/>
  <c r="I49" i="113"/>
  <c r="I81" i="113"/>
  <c r="I114" i="113"/>
  <c r="I151" i="113"/>
  <c r="I184" i="113"/>
  <c r="I217" i="113"/>
  <c r="I253" i="113"/>
  <c r="I285" i="113"/>
  <c r="I318" i="113"/>
  <c r="I354" i="113"/>
  <c r="I386" i="113"/>
  <c r="I420" i="113"/>
  <c r="I449" i="113"/>
  <c r="I478" i="113"/>
  <c r="I506" i="113"/>
  <c r="I534" i="113"/>
  <c r="I22" i="113"/>
  <c r="I55" i="113"/>
  <c r="I86" i="113"/>
  <c r="I123" i="113"/>
  <c r="I157" i="113"/>
  <c r="I189" i="113"/>
  <c r="I226" i="113"/>
  <c r="I259" i="113"/>
  <c r="I290" i="113"/>
  <c r="I327" i="113"/>
  <c r="I360" i="113"/>
  <c r="I392" i="113"/>
  <c r="I427" i="113"/>
  <c r="I456" i="113"/>
  <c r="I485" i="113"/>
  <c r="I514" i="113"/>
  <c r="I537" i="113"/>
  <c r="I559" i="113"/>
  <c r="I576" i="113"/>
  <c r="I593" i="113"/>
  <c r="I610" i="113"/>
  <c r="I627" i="113"/>
  <c r="I646" i="113"/>
  <c r="I662" i="113"/>
  <c r="I679" i="113"/>
  <c r="I695" i="113"/>
  <c r="I712" i="113"/>
  <c r="I728" i="113"/>
  <c r="I747" i="113"/>
  <c r="I763" i="113"/>
  <c r="I780" i="113"/>
  <c r="I796" i="113"/>
  <c r="I813" i="113"/>
  <c r="I829" i="113"/>
  <c r="I848" i="113"/>
  <c r="I865" i="113"/>
  <c r="I881" i="113"/>
  <c r="I897" i="113"/>
  <c r="I914" i="113"/>
  <c r="I930" i="113"/>
  <c r="I949" i="113"/>
  <c r="I965" i="113"/>
  <c r="I981" i="113"/>
  <c r="I998" i="113"/>
  <c r="I1014" i="113"/>
  <c r="I1029" i="113"/>
  <c r="I1045" i="113"/>
  <c r="I1060" i="113"/>
  <c r="I23" i="113"/>
  <c r="I56" i="113"/>
  <c r="I92" i="113"/>
  <c r="I124" i="113"/>
  <c r="I158" i="113"/>
  <c r="I195" i="113"/>
  <c r="I227" i="113"/>
  <c r="I260" i="113"/>
  <c r="I296" i="113"/>
  <c r="I328" i="113"/>
  <c r="I362" i="113"/>
  <c r="I398" i="113"/>
  <c r="I429" i="113"/>
  <c r="I458" i="113"/>
  <c r="I487" i="113"/>
  <c r="I516" i="113"/>
  <c r="I538" i="113"/>
  <c r="I560" i="113"/>
  <c r="I577" i="113"/>
  <c r="I594" i="113"/>
  <c r="I611" i="113"/>
  <c r="I630" i="113"/>
  <c r="I647" i="113"/>
  <c r="I663" i="113"/>
  <c r="I680" i="113"/>
  <c r="I696" i="113"/>
  <c r="I713" i="113"/>
  <c r="I732" i="113"/>
  <c r="I748" i="113"/>
  <c r="I764" i="113"/>
  <c r="I781" i="113"/>
  <c r="I797" i="113"/>
  <c r="I814" i="113"/>
  <c r="I832" i="113"/>
  <c r="I849" i="113"/>
  <c r="I866" i="113"/>
  <c r="I882" i="113"/>
  <c r="I898" i="113"/>
  <c r="I915" i="113"/>
  <c r="I933" i="113"/>
  <c r="I950" i="113"/>
  <c r="I966" i="113"/>
  <c r="I982" i="113"/>
  <c r="I999" i="113"/>
  <c r="I1015" i="113"/>
  <c r="I1030" i="113"/>
  <c r="I1046" i="113"/>
  <c r="I1061" i="113"/>
  <c r="I1078" i="113"/>
  <c r="I1093" i="113"/>
  <c r="I1109" i="113"/>
  <c r="I1124" i="113"/>
  <c r="I1140" i="113"/>
  <c r="I1156" i="113"/>
  <c r="I1172" i="113"/>
  <c r="I1187" i="113"/>
  <c r="I1202" i="113"/>
  <c r="I1218" i="113"/>
  <c r="I27" i="113"/>
  <c r="I57" i="113"/>
  <c r="I95" i="113"/>
  <c r="I128" i="113"/>
  <c r="I159" i="113"/>
  <c r="I197" i="113"/>
  <c r="I230" i="113"/>
  <c r="I261" i="113"/>
  <c r="I298" i="113"/>
  <c r="I331" i="113"/>
  <c r="I363" i="113"/>
  <c r="I400" i="113"/>
  <c r="I430" i="113"/>
  <c r="I459" i="113"/>
  <c r="I488" i="113"/>
  <c r="I517" i="113"/>
  <c r="I539" i="113"/>
  <c r="I562" i="113"/>
  <c r="I578" i="113"/>
  <c r="I595" i="113"/>
  <c r="I612" i="113"/>
  <c r="I631" i="113"/>
  <c r="I648" i="113"/>
  <c r="I664" i="113"/>
  <c r="I681" i="113"/>
  <c r="I698" i="113"/>
  <c r="I714" i="113"/>
  <c r="I733" i="113"/>
  <c r="I749" i="113"/>
  <c r="I765" i="113"/>
  <c r="I782" i="113"/>
  <c r="I798" i="113"/>
  <c r="I815" i="113"/>
  <c r="I833" i="113"/>
  <c r="I850" i="113"/>
  <c r="I867" i="113"/>
  <c r="I883" i="113"/>
  <c r="I899" i="113"/>
  <c r="I916" i="113"/>
  <c r="I934" i="113"/>
  <c r="I951" i="113"/>
  <c r="I967" i="113"/>
  <c r="I983" i="113"/>
  <c r="I1000" i="113"/>
  <c r="I1016" i="113"/>
  <c r="I1031" i="113"/>
  <c r="I1047" i="113"/>
  <c r="I1063" i="113"/>
  <c r="I1079" i="113"/>
  <c r="I1094" i="113"/>
  <c r="I1110" i="113"/>
  <c r="I1125" i="113"/>
  <c r="I1141" i="113"/>
  <c r="I1157" i="113"/>
  <c r="I28" i="113"/>
  <c r="I63" i="113"/>
  <c r="I96" i="113"/>
  <c r="I129" i="113"/>
  <c r="I165" i="113"/>
  <c r="I198" i="113"/>
  <c r="I231" i="113"/>
  <c r="I267" i="113"/>
  <c r="I299" i="113"/>
  <c r="I332" i="113"/>
  <c r="I369" i="113"/>
  <c r="I401" i="113"/>
  <c r="I433" i="113"/>
  <c r="I462" i="113"/>
  <c r="I491" i="113"/>
  <c r="I520" i="113"/>
  <c r="I543" i="113"/>
  <c r="I563" i="113"/>
  <c r="I579" i="113"/>
  <c r="I596" i="113"/>
  <c r="I616" i="113"/>
  <c r="I632" i="113"/>
  <c r="I649" i="113"/>
  <c r="I665" i="113"/>
  <c r="I682" i="113"/>
  <c r="I699" i="113"/>
  <c r="I717" i="113"/>
  <c r="I734" i="113"/>
  <c r="I750" i="113"/>
  <c r="I766" i="113"/>
  <c r="I783" i="113"/>
  <c r="I799" i="113"/>
  <c r="I818" i="113"/>
  <c r="I834" i="113"/>
  <c r="I851" i="113"/>
  <c r="I868" i="113"/>
  <c r="I884" i="113"/>
  <c r="I900" i="113"/>
  <c r="I919" i="113"/>
  <c r="I935" i="113"/>
  <c r="I952" i="113"/>
  <c r="I968" i="113"/>
  <c r="I984" i="113"/>
  <c r="I1001" i="113"/>
  <c r="I1017" i="113"/>
  <c r="I1032" i="113"/>
  <c r="I1049" i="113"/>
  <c r="I29" i="113"/>
  <c r="I65" i="113"/>
  <c r="I99" i="113"/>
  <c r="I130" i="113"/>
  <c r="I168" i="113"/>
  <c r="I201" i="113"/>
  <c r="I232" i="113"/>
  <c r="I269" i="113"/>
  <c r="I302" i="113"/>
  <c r="I333" i="113"/>
  <c r="I371" i="113"/>
  <c r="I404" i="113"/>
  <c r="I434" i="113"/>
  <c r="I463" i="113"/>
  <c r="I492" i="113"/>
  <c r="I521" i="113"/>
  <c r="I545" i="113"/>
  <c r="I564" i="113"/>
  <c r="I580" i="113"/>
  <c r="I598" i="113"/>
  <c r="I617" i="113"/>
  <c r="I633" i="113"/>
  <c r="I650" i="113"/>
  <c r="I666" i="113"/>
  <c r="I683" i="113"/>
  <c r="I700" i="113"/>
  <c r="I718" i="113"/>
  <c r="I735" i="113"/>
  <c r="I751" i="113"/>
  <c r="I767" i="113"/>
  <c r="I784" i="113"/>
  <c r="I800" i="113"/>
  <c r="I819" i="113"/>
  <c r="I835" i="113"/>
  <c r="I852" i="113"/>
  <c r="I869" i="113"/>
  <c r="I35" i="113"/>
  <c r="I66" i="113"/>
  <c r="I100" i="113"/>
  <c r="I136" i="113"/>
  <c r="I169" i="113"/>
  <c r="I202" i="113"/>
  <c r="I238" i="113"/>
  <c r="I270" i="113"/>
  <c r="I303" i="113"/>
  <c r="I340" i="113"/>
  <c r="I372" i="113"/>
  <c r="I405" i="113"/>
  <c r="I435" i="113"/>
  <c r="I464" i="113"/>
  <c r="I493" i="113"/>
  <c r="I522" i="113"/>
  <c r="I546" i="113"/>
  <c r="I565" i="113"/>
  <c r="I581" i="113"/>
  <c r="I601" i="113"/>
  <c r="I14" i="113"/>
  <c r="I138" i="113"/>
  <c r="I255" i="113"/>
  <c r="I375" i="113"/>
  <c r="I479" i="113"/>
  <c r="I557" i="113"/>
  <c r="I608" i="113"/>
  <c r="I651" i="113"/>
  <c r="I688" i="113"/>
  <c r="I726" i="113"/>
  <c r="I768" i="113"/>
  <c r="I805" i="113"/>
  <c r="I844" i="113"/>
  <c r="I885" i="113"/>
  <c r="I920" i="113"/>
  <c r="I953" i="113"/>
  <c r="I985" i="113"/>
  <c r="I1018" i="113"/>
  <c r="I1050" i="113"/>
  <c r="I1074" i="113"/>
  <c r="I1098" i="113"/>
  <c r="I1121" i="113"/>
  <c r="I1143" i="113"/>
  <c r="I1165" i="113"/>
  <c r="I1185" i="113"/>
  <c r="I1205" i="113"/>
  <c r="I1224" i="113"/>
  <c r="I1242" i="113"/>
  <c r="I1259" i="113"/>
  <c r="I1275" i="113"/>
  <c r="I1292" i="113"/>
  <c r="I1309" i="113"/>
  <c r="I1325" i="113"/>
  <c r="I1342" i="113"/>
  <c r="I1359" i="113"/>
  <c r="I1375" i="113"/>
  <c r="I1392" i="113"/>
  <c r="I1408" i="113"/>
  <c r="I1424" i="113"/>
  <c r="I1442" i="113"/>
  <c r="I1460" i="113"/>
  <c r="I1476" i="113"/>
  <c r="I1492" i="113"/>
  <c r="I1509" i="113"/>
  <c r="I1525" i="113"/>
  <c r="I1542" i="113"/>
  <c r="I1560" i="113"/>
  <c r="I1576" i="113"/>
  <c r="I1594" i="113"/>
  <c r="I1610" i="113"/>
  <c r="I1626" i="113"/>
  <c r="I1641" i="113"/>
  <c r="I1657" i="113"/>
  <c r="I1672" i="113"/>
  <c r="I1688" i="113"/>
  <c r="I1704" i="113"/>
  <c r="I1720" i="113"/>
  <c r="I1735" i="113"/>
  <c r="I1751" i="113"/>
  <c r="I1766" i="113"/>
  <c r="I1782" i="113"/>
  <c r="I1798" i="113"/>
  <c r="I1814" i="113"/>
  <c r="I1828" i="113"/>
  <c r="I1843" i="113"/>
  <c r="I1857" i="113"/>
  <c r="I1872" i="113"/>
  <c r="I1887" i="113"/>
  <c r="I1901" i="113"/>
  <c r="I1916" i="113"/>
  <c r="I1930" i="113"/>
  <c r="I1944" i="113"/>
  <c r="I1959" i="113"/>
  <c r="I1973" i="113"/>
  <c r="I1988" i="113"/>
  <c r="I2002" i="113"/>
  <c r="I2017" i="113"/>
  <c r="I2031" i="113"/>
  <c r="I2046" i="113"/>
  <c r="I2060" i="113"/>
  <c r="I2075" i="113"/>
  <c r="I2089" i="113"/>
  <c r="I2104" i="113"/>
  <c r="I2118" i="113"/>
  <c r="I2133" i="113"/>
  <c r="I2147" i="113"/>
  <c r="I2162" i="113"/>
  <c r="I2177" i="113"/>
  <c r="I2191" i="113"/>
  <c r="I2206" i="113"/>
  <c r="I2220" i="113"/>
  <c r="I2235" i="113"/>
  <c r="I2249" i="113"/>
  <c r="I2264" i="113"/>
  <c r="I2278" i="113"/>
  <c r="I2293" i="113"/>
  <c r="I2308" i="113"/>
  <c r="I2323" i="113"/>
  <c r="I2337" i="113"/>
  <c r="I2351" i="113"/>
  <c r="I2366" i="113"/>
  <c r="I2381" i="113"/>
  <c r="I2396" i="113"/>
  <c r="I2411" i="113"/>
  <c r="I2426" i="113"/>
  <c r="I2440" i="113"/>
  <c r="I2455" i="113"/>
  <c r="I2469" i="113"/>
  <c r="I2484" i="113"/>
  <c r="I2498" i="113"/>
  <c r="I2513" i="113"/>
  <c r="I2528" i="113"/>
  <c r="I2542" i="113"/>
  <c r="I2557" i="113"/>
  <c r="I2571" i="113"/>
  <c r="I2585" i="113"/>
  <c r="I2599" i="113"/>
  <c r="I2614" i="113"/>
  <c r="I2629" i="113"/>
  <c r="I2643" i="113"/>
  <c r="I2658" i="113"/>
  <c r="I2672" i="113"/>
  <c r="I20" i="113"/>
  <c r="I139" i="113"/>
  <c r="I256" i="113"/>
  <c r="I376" i="113"/>
  <c r="I481" i="113"/>
  <c r="I566" i="113"/>
  <c r="I609" i="113"/>
  <c r="I652" i="113"/>
  <c r="I692" i="113"/>
  <c r="I727" i="113"/>
  <c r="I769" i="113"/>
  <c r="I810" i="113"/>
  <c r="I847" i="113"/>
  <c r="I886" i="113"/>
  <c r="I921" i="113"/>
  <c r="I954" i="113"/>
  <c r="I986" i="113"/>
  <c r="I1020" i="113"/>
  <c r="I1051" i="113"/>
  <c r="I1076" i="113"/>
  <c r="I1099" i="113"/>
  <c r="I1122" i="113"/>
  <c r="I1144" i="113"/>
  <c r="I1168" i="113"/>
  <c r="I1186" i="113"/>
  <c r="I1206" i="113"/>
  <c r="I1225" i="113"/>
  <c r="I1244" i="113"/>
  <c r="I1260" i="113"/>
  <c r="I1276" i="113"/>
  <c r="I1293" i="113"/>
  <c r="I1310" i="113"/>
  <c r="I1326" i="113"/>
  <c r="I1344" i="113"/>
  <c r="I1360" i="113"/>
  <c r="I1376" i="113"/>
  <c r="I1393" i="113"/>
  <c r="I1409" i="113"/>
  <c r="I1425" i="113"/>
  <c r="I1444" i="113"/>
  <c r="I1461" i="113"/>
  <c r="I1477" i="113"/>
  <c r="I1493" i="113"/>
  <c r="I1510" i="113"/>
  <c r="I1526" i="113"/>
  <c r="I1545" i="113"/>
  <c r="I1561" i="113"/>
  <c r="I1578" i="113"/>
  <c r="I1595" i="113"/>
  <c r="I1611" i="113"/>
  <c r="I1627" i="113"/>
  <c r="I1642" i="113"/>
  <c r="I1658" i="113"/>
  <c r="I1673" i="113"/>
  <c r="I1690" i="113"/>
  <c r="I1705" i="113"/>
  <c r="I1721" i="113"/>
  <c r="I1736" i="113"/>
  <c r="I1752" i="113"/>
  <c r="I1767" i="113"/>
  <c r="I1783" i="113"/>
  <c r="I1799" i="113"/>
  <c r="I1815" i="113"/>
  <c r="I1829" i="113"/>
  <c r="I1844" i="113"/>
  <c r="I1858" i="113"/>
  <c r="I1873" i="113"/>
  <c r="I1888" i="113"/>
  <c r="I1902" i="113"/>
  <c r="I1917" i="113"/>
  <c r="I1931" i="113"/>
  <c r="I1945" i="113"/>
  <c r="I1960" i="113"/>
  <c r="I1974" i="113"/>
  <c r="I1989" i="113"/>
  <c r="I2004" i="113"/>
  <c r="I2018" i="113"/>
  <c r="I2032" i="113"/>
  <c r="I2047" i="113"/>
  <c r="I2061" i="113"/>
  <c r="I2076" i="113"/>
  <c r="I2090" i="113"/>
  <c r="I2105" i="113"/>
  <c r="I2119" i="113"/>
  <c r="I2134" i="113"/>
  <c r="I37" i="113"/>
  <c r="I153" i="113"/>
  <c r="I273" i="113"/>
  <c r="I390" i="113"/>
  <c r="I495" i="113"/>
  <c r="I567" i="113"/>
  <c r="I618" i="113"/>
  <c r="I653" i="113"/>
  <c r="I693" i="113"/>
  <c r="I736" i="113"/>
  <c r="I771" i="113"/>
  <c r="I811" i="113"/>
  <c r="I853" i="113"/>
  <c r="I887" i="113"/>
  <c r="I922" i="113"/>
  <c r="I955" i="113"/>
  <c r="I987" i="113"/>
  <c r="I1021" i="113"/>
  <c r="I1052" i="113"/>
  <c r="I1080" i="113"/>
  <c r="I1101" i="113"/>
  <c r="I1123" i="113"/>
  <c r="I1145" i="113"/>
  <c r="I1169" i="113"/>
  <c r="I1188" i="113"/>
  <c r="I1207" i="113"/>
  <c r="I1227" i="113"/>
  <c r="I1245" i="113"/>
  <c r="I1261" i="113"/>
  <c r="I1277" i="113"/>
  <c r="I1294" i="113"/>
  <c r="I1311" i="113"/>
  <c r="I1328" i="113"/>
  <c r="I1345" i="113"/>
  <c r="I1361" i="113"/>
  <c r="I1377" i="113"/>
  <c r="I1394" i="113"/>
  <c r="I1410" i="113"/>
  <c r="I1427" i="113"/>
  <c r="I1445" i="113"/>
  <c r="I1462" i="113"/>
  <c r="I1478" i="113"/>
  <c r="I1495" i="113"/>
  <c r="I1511" i="113"/>
  <c r="I1528" i="113"/>
  <c r="I1546" i="113"/>
  <c r="I1562" i="113"/>
  <c r="I1579" i="113"/>
  <c r="I1596" i="113"/>
  <c r="I1612" i="113"/>
  <c r="I1628" i="113"/>
  <c r="I1643" i="113"/>
  <c r="I1659" i="113"/>
  <c r="I1675" i="113"/>
  <c r="I1691" i="113"/>
  <c r="I1706" i="113"/>
  <c r="I1722" i="113"/>
  <c r="I1737" i="113"/>
  <c r="I1753" i="113"/>
  <c r="I1768" i="113"/>
  <c r="I1784" i="113"/>
  <c r="I1800" i="113"/>
  <c r="I1816" i="113"/>
  <c r="I1830" i="113"/>
  <c r="I1845" i="113"/>
  <c r="I1859" i="113"/>
  <c r="I1874" i="113"/>
  <c r="I1889" i="113"/>
  <c r="I1903" i="113"/>
  <c r="I1918" i="113"/>
  <c r="I1932" i="113"/>
  <c r="I1946" i="113"/>
  <c r="I1961" i="113"/>
  <c r="I1976" i="113"/>
  <c r="I1990" i="113"/>
  <c r="I2005" i="113"/>
  <c r="I2019" i="113"/>
  <c r="I2033" i="113"/>
  <c r="I2048" i="113"/>
  <c r="I2062" i="113"/>
  <c r="I2077" i="113"/>
  <c r="I2091" i="113"/>
  <c r="I2106" i="113"/>
  <c r="I2120" i="113"/>
  <c r="I2135" i="113"/>
  <c r="I2149" i="113"/>
  <c r="I2164" i="113"/>
  <c r="I2179" i="113"/>
  <c r="I2193" i="113"/>
  <c r="I2208" i="113"/>
  <c r="I2222" i="113"/>
  <c r="I2237" i="113"/>
  <c r="I2251" i="113"/>
  <c r="I2266" i="113"/>
  <c r="I2280" i="113"/>
  <c r="I2295" i="113"/>
  <c r="I2310" i="113"/>
  <c r="I2325" i="113"/>
  <c r="I2339" i="113"/>
  <c r="I2354" i="113"/>
  <c r="I2368" i="113"/>
  <c r="I2384" i="113"/>
  <c r="I2398" i="113"/>
  <c r="I2413" i="113"/>
  <c r="I2428" i="113"/>
  <c r="I2442" i="113"/>
  <c r="I2457" i="113"/>
  <c r="I2471" i="113"/>
  <c r="I2486" i="113"/>
  <c r="I2500" i="113"/>
  <c r="I2515" i="113"/>
  <c r="I2530" i="113"/>
  <c r="I2544" i="113"/>
  <c r="I2559" i="113"/>
  <c r="I2573" i="113"/>
  <c r="I2587" i="113"/>
  <c r="I2602" i="113"/>
  <c r="I2616" i="113"/>
  <c r="I2631" i="113"/>
  <c r="I2645" i="113"/>
  <c r="I2660" i="113"/>
  <c r="I2674" i="113"/>
  <c r="I38" i="113"/>
  <c r="I154" i="113"/>
  <c r="I274" i="113"/>
  <c r="I391" i="113"/>
  <c r="I499" i="113"/>
  <c r="I573" i="113"/>
  <c r="I619" i="113"/>
  <c r="I659" i="113"/>
  <c r="I694" i="113"/>
  <c r="I737" i="113"/>
  <c r="I777" i="113"/>
  <c r="I812" i="113"/>
  <c r="I854" i="113"/>
  <c r="I890" i="113"/>
  <c r="I923" i="113"/>
  <c r="I956" i="113"/>
  <c r="I991" i="113"/>
  <c r="I1022" i="113"/>
  <c r="I1053" i="113"/>
  <c r="I1081" i="113"/>
  <c r="I1104" i="113"/>
  <c r="I1126" i="113"/>
  <c r="I1146" i="113"/>
  <c r="I1170" i="113"/>
  <c r="I1189" i="113"/>
  <c r="I1209" i="113"/>
  <c r="I1229" i="113"/>
  <c r="I1246" i="113"/>
  <c r="I1262" i="113"/>
  <c r="I1278" i="113"/>
  <c r="I1295" i="113"/>
  <c r="I1312" i="113"/>
  <c r="I1330" i="113"/>
  <c r="I1346" i="113"/>
  <c r="I1362" i="113"/>
  <c r="I1379" i="113"/>
  <c r="I1395" i="113"/>
  <c r="I1411" i="113"/>
  <c r="I1429" i="113"/>
  <c r="I1446" i="113"/>
  <c r="I1463" i="113"/>
  <c r="I1479" i="113"/>
  <c r="I1496" i="113"/>
  <c r="I1512" i="113"/>
  <c r="I1530" i="113"/>
  <c r="I1547" i="113"/>
  <c r="I1563" i="113"/>
  <c r="I1580" i="113"/>
  <c r="I1597" i="113"/>
  <c r="I1613" i="113"/>
  <c r="I1629" i="113"/>
  <c r="I1644" i="113"/>
  <c r="I1661" i="113"/>
  <c r="I1676" i="113"/>
  <c r="I1692" i="113"/>
  <c r="I1707" i="113"/>
  <c r="I1723" i="113"/>
  <c r="I1738" i="113"/>
  <c r="I1754" i="113"/>
  <c r="I1769" i="113"/>
  <c r="I1785" i="113"/>
  <c r="I1801" i="113"/>
  <c r="I1817" i="113"/>
  <c r="I1831" i="113"/>
  <c r="I1846" i="113"/>
  <c r="I1860" i="113"/>
  <c r="I1875" i="113"/>
  <c r="I1890" i="113"/>
  <c r="I1904" i="113"/>
  <c r="I1919" i="113"/>
  <c r="I1933" i="113"/>
  <c r="I1947" i="113"/>
  <c r="I1962" i="113"/>
  <c r="I1977" i="113"/>
  <c r="I1991" i="113"/>
  <c r="I51" i="113"/>
  <c r="I172" i="113"/>
  <c r="I288" i="113"/>
  <c r="I406" i="113"/>
  <c r="I507" i="113"/>
  <c r="I574" i="113"/>
  <c r="I620" i="113"/>
  <c r="I660" i="113"/>
  <c r="I703" i="113"/>
  <c r="I738" i="113"/>
  <c r="I778" i="113"/>
  <c r="I820" i="113"/>
  <c r="I855" i="113"/>
  <c r="I894" i="113"/>
  <c r="I927" i="113"/>
  <c r="I962" i="113"/>
  <c r="I995" i="113"/>
  <c r="I1026" i="113"/>
  <c r="I1057" i="113"/>
  <c r="I1082" i="113"/>
  <c r="I1105" i="113"/>
  <c r="I1127" i="113"/>
  <c r="I1148" i="113"/>
  <c r="I1171" i="113"/>
  <c r="I1190" i="113"/>
  <c r="I1210" i="113"/>
  <c r="I1230" i="113"/>
  <c r="I52" i="113"/>
  <c r="I173" i="113"/>
  <c r="I289" i="113"/>
  <c r="I412" i="113"/>
  <c r="I509" i="113"/>
  <c r="I575" i="113"/>
  <c r="I624" i="113"/>
  <c r="I661" i="113"/>
  <c r="I704" i="113"/>
  <c r="I742" i="113"/>
  <c r="I779" i="113"/>
  <c r="I821" i="113"/>
  <c r="I861" i="113"/>
  <c r="I895" i="113"/>
  <c r="I928" i="113"/>
  <c r="I963" i="113"/>
  <c r="I996" i="113"/>
  <c r="I1027" i="113"/>
  <c r="I1058" i="113"/>
  <c r="I1083" i="113"/>
  <c r="I1107" i="113"/>
  <c r="I1129" i="113"/>
  <c r="I1152" i="113"/>
  <c r="I1173" i="113"/>
  <c r="I1191" i="113"/>
  <c r="I1212" i="113"/>
  <c r="I1231" i="113"/>
  <c r="I1248" i="113"/>
  <c r="I1264" i="113"/>
  <c r="I1280" i="113"/>
  <c r="I1297" i="113"/>
  <c r="I1316" i="113"/>
  <c r="I1332" i="113"/>
  <c r="I1348" i="113"/>
  <c r="I1364" i="113"/>
  <c r="I1381" i="113"/>
  <c r="I1397" i="113"/>
  <c r="I1415" i="113"/>
  <c r="I1431" i="113"/>
  <c r="I1448" i="113"/>
  <c r="I1465" i="113"/>
  <c r="I1481" i="113"/>
  <c r="I1498" i="113"/>
  <c r="I1516" i="113"/>
  <c r="I1532" i="113"/>
  <c r="I1549" i="113"/>
  <c r="I1565" i="113"/>
  <c r="I1582" i="113"/>
  <c r="I1599" i="113"/>
  <c r="I1615" i="113"/>
  <c r="I1632" i="113"/>
  <c r="I1648" i="113"/>
  <c r="I1663" i="113"/>
  <c r="I1678" i="113"/>
  <c r="I1694" i="113"/>
  <c r="I1709" i="113"/>
  <c r="I1725" i="113"/>
  <c r="I1740" i="113"/>
  <c r="I1756" i="113"/>
  <c r="I1771" i="113"/>
  <c r="I1787" i="113"/>
  <c r="I1803" i="113"/>
  <c r="I1819" i="113"/>
  <c r="I1833" i="113"/>
  <c r="I1848" i="113"/>
  <c r="I1862" i="113"/>
  <c r="I1877" i="113"/>
  <c r="I1892" i="113"/>
  <c r="I1907" i="113"/>
  <c r="I1921" i="113"/>
  <c r="I71" i="113"/>
  <c r="I188" i="113"/>
  <c r="I311" i="113"/>
  <c r="I423" i="113"/>
  <c r="I524" i="113"/>
  <c r="I586" i="113"/>
  <c r="I626" i="113"/>
  <c r="I668" i="113"/>
  <c r="I709" i="113"/>
  <c r="I746" i="113"/>
  <c r="I786" i="113"/>
  <c r="I826" i="113"/>
  <c r="I863" i="113"/>
  <c r="I902" i="113"/>
  <c r="I936" i="113"/>
  <c r="I969" i="113"/>
  <c r="I1002" i="113"/>
  <c r="I1034" i="113"/>
  <c r="I1064" i="113"/>
  <c r="I1088" i="113"/>
  <c r="I1111" i="113"/>
  <c r="I1131" i="113"/>
  <c r="I1154" i="113"/>
  <c r="I1175" i="113"/>
  <c r="I1194" i="113"/>
  <c r="I1215" i="113"/>
  <c r="I1233" i="113"/>
  <c r="I1250" i="113"/>
  <c r="I1266" i="113"/>
  <c r="I1282" i="113"/>
  <c r="I1301" i="113"/>
  <c r="I1318" i="113"/>
  <c r="I1334" i="113"/>
  <c r="I1350" i="113"/>
  <c r="I1366" i="113"/>
  <c r="I1383" i="113"/>
  <c r="I1401" i="113"/>
  <c r="I1417" i="113"/>
  <c r="I1434" i="113"/>
  <c r="I1450" i="113"/>
  <c r="I1467" i="113"/>
  <c r="I1483" i="113"/>
  <c r="I1502" i="113"/>
  <c r="I1518" i="113"/>
  <c r="I1534" i="113"/>
  <c r="I1551" i="113"/>
  <c r="I1567" i="113"/>
  <c r="I1584" i="113"/>
  <c r="I1603" i="113"/>
  <c r="I1618" i="113"/>
  <c r="I1634" i="113"/>
  <c r="I1650" i="113"/>
  <c r="I1665" i="113"/>
  <c r="I1681" i="113"/>
  <c r="I1696" i="113"/>
  <c r="I1711" i="113"/>
  <c r="I1727" i="113"/>
  <c r="I1742" i="113"/>
  <c r="I1758" i="113"/>
  <c r="I1773" i="113"/>
  <c r="I1790" i="113"/>
  <c r="I1806" i="113"/>
  <c r="I84" i="113"/>
  <c r="I203" i="113"/>
  <c r="I319" i="113"/>
  <c r="I437" i="113"/>
  <c r="I535" i="113"/>
  <c r="I590" i="113"/>
  <c r="I634" i="113"/>
  <c r="I669" i="113"/>
  <c r="I710" i="113"/>
  <c r="I752" i="113"/>
  <c r="I789" i="113"/>
  <c r="I827" i="113"/>
  <c r="I870" i="113"/>
  <c r="I905" i="113"/>
  <c r="I937" i="113"/>
  <c r="I970" i="113"/>
  <c r="I1003" i="113"/>
  <c r="I1035" i="113"/>
  <c r="I1065" i="113"/>
  <c r="I1089" i="113"/>
  <c r="I1112" i="113"/>
  <c r="I1133" i="113"/>
  <c r="I1155" i="113"/>
  <c r="I1176" i="113"/>
  <c r="I1196" i="113"/>
  <c r="I1216" i="113"/>
  <c r="I1234" i="113"/>
  <c r="I1251" i="113"/>
  <c r="I1267" i="113"/>
  <c r="I1285" i="113"/>
  <c r="I1302" i="113"/>
  <c r="I1319" i="113"/>
  <c r="I1335" i="113"/>
  <c r="I1351" i="113"/>
  <c r="I1367" i="113"/>
  <c r="I1385" i="113"/>
  <c r="I1402" i="113"/>
  <c r="I1418" i="113"/>
  <c r="I1435" i="113"/>
  <c r="I1452" i="113"/>
  <c r="I1468" i="113"/>
  <c r="I1485" i="113"/>
  <c r="I1503" i="113"/>
  <c r="I1519" i="113"/>
  <c r="I1535" i="113"/>
  <c r="I1552" i="113"/>
  <c r="I1568" i="113"/>
  <c r="I1586" i="113"/>
  <c r="I1604" i="113"/>
  <c r="I1619" i="113"/>
  <c r="I1635" i="113"/>
  <c r="I1651" i="113"/>
  <c r="I1666" i="113"/>
  <c r="I1682" i="113"/>
  <c r="I1697" i="113"/>
  <c r="I1712" i="113"/>
  <c r="I1728" i="113"/>
  <c r="I1743" i="113"/>
  <c r="I1759" i="113"/>
  <c r="I1774" i="113"/>
  <c r="I1792" i="113"/>
  <c r="I1807" i="113"/>
  <c r="I1822" i="113"/>
  <c r="I101" i="113"/>
  <c r="I218" i="113"/>
  <c r="I342" i="113"/>
  <c r="I450" i="113"/>
  <c r="I548" i="113"/>
  <c r="I592" i="113"/>
  <c r="I636" i="113"/>
  <c r="I677" i="113"/>
  <c r="I719" i="113"/>
  <c r="I754" i="113"/>
  <c r="I794" i="113"/>
  <c r="I836" i="113"/>
  <c r="I872" i="113"/>
  <c r="I907" i="113"/>
  <c r="I939" i="113"/>
  <c r="I972" i="113"/>
  <c r="I1006" i="113"/>
  <c r="I1037" i="113"/>
  <c r="I1067" i="113"/>
  <c r="I1092" i="113"/>
  <c r="I1114" i="113"/>
  <c r="I1137" i="113"/>
  <c r="I1159" i="113"/>
  <c r="I1178" i="113"/>
  <c r="I1199" i="113"/>
  <c r="I1219" i="113"/>
  <c r="I1237" i="113"/>
  <c r="I1253" i="113"/>
  <c r="I1270" i="113"/>
  <c r="I1288" i="113"/>
  <c r="I1304" i="113"/>
  <c r="I1321" i="113"/>
  <c r="I1337" i="113"/>
  <c r="I1353" i="113"/>
  <c r="I1370" i="113"/>
  <c r="I1388" i="113"/>
  <c r="I1404" i="113"/>
  <c r="I1420" i="113"/>
  <c r="I1437" i="113"/>
  <c r="I1454" i="113"/>
  <c r="I1471" i="113"/>
  <c r="I1488" i="113"/>
  <c r="I1505" i="113"/>
  <c r="I1521" i="113"/>
  <c r="I1537" i="113"/>
  <c r="I1554" i="113"/>
  <c r="I1571" i="113"/>
  <c r="I1589" i="113"/>
  <c r="I1606" i="113"/>
  <c r="I1621" i="113"/>
  <c r="I1637" i="113"/>
  <c r="I1653" i="113"/>
  <c r="I1668" i="113"/>
  <c r="I1684" i="113"/>
  <c r="I1699" i="113"/>
  <c r="I1714" i="113"/>
  <c r="I1730" i="113"/>
  <c r="I1745" i="113"/>
  <c r="I1762" i="113"/>
  <c r="I1777" i="113"/>
  <c r="I1794" i="113"/>
  <c r="I1809" i="113"/>
  <c r="I1824" i="113"/>
  <c r="I1839" i="113"/>
  <c r="I1853" i="113"/>
  <c r="I1868" i="113"/>
  <c r="I1882" i="113"/>
  <c r="I1897" i="113"/>
  <c r="I1912" i="113"/>
  <c r="I1926" i="113"/>
  <c r="I1940" i="113"/>
  <c r="I107" i="113"/>
  <c r="I224" i="113"/>
  <c r="I343" i="113"/>
  <c r="I452" i="113"/>
  <c r="I549" i="113"/>
  <c r="I602" i="113"/>
  <c r="I640" i="113"/>
  <c r="I678" i="113"/>
  <c r="I720" i="113"/>
  <c r="I760" i="113"/>
  <c r="I795" i="113"/>
  <c r="I837" i="113"/>
  <c r="I878" i="113"/>
  <c r="I911" i="113"/>
  <c r="I943" i="113"/>
  <c r="I978" i="113"/>
  <c r="I1010" i="113"/>
  <c r="I1042" i="113"/>
  <c r="I1068" i="113"/>
  <c r="I1095" i="113"/>
  <c r="I1115" i="113"/>
  <c r="I1138" i="113"/>
  <c r="I1160" i="113"/>
  <c r="I1181" i="113"/>
  <c r="I1200" i="113"/>
  <c r="I1220" i="113"/>
  <c r="I1238" i="113"/>
  <c r="I1254" i="113"/>
  <c r="I1272" i="113"/>
  <c r="I1289" i="113"/>
  <c r="I1305" i="113"/>
  <c r="I1322" i="113"/>
  <c r="I1338" i="113"/>
  <c r="I1354" i="113"/>
  <c r="I1372" i="113"/>
  <c r="I1389" i="113"/>
  <c r="I1405" i="113"/>
  <c r="I1421" i="113"/>
  <c r="I1438" i="113"/>
  <c r="I1455" i="113"/>
  <c r="I1473" i="113"/>
  <c r="I1489" i="113"/>
  <c r="I1506" i="113"/>
  <c r="I1522" i="113"/>
  <c r="I1538" i="113"/>
  <c r="I1555" i="113"/>
  <c r="I1573" i="113"/>
  <c r="I1590" i="113"/>
  <c r="I1607" i="113"/>
  <c r="I1623" i="113"/>
  <c r="I1638" i="113"/>
  <c r="I1654" i="113"/>
  <c r="I2663" i="113"/>
  <c r="I2646" i="113"/>
  <c r="I2628" i="113"/>
  <c r="I2611" i="113"/>
  <c r="I2594" i="113"/>
  <c r="I2578" i="113"/>
  <c r="I2562" i="113"/>
  <c r="I2545" i="113"/>
  <c r="I2527" i="113"/>
  <c r="I2510" i="113"/>
  <c r="I2493" i="113"/>
  <c r="I2477" i="113"/>
  <c r="I2460" i="113"/>
  <c r="I2443" i="113"/>
  <c r="I2425" i="113"/>
  <c r="I2408" i="113"/>
  <c r="I2391" i="113"/>
  <c r="I2374" i="113"/>
  <c r="I2357" i="113"/>
  <c r="I2340" i="113"/>
  <c r="I2322" i="113"/>
  <c r="I2304" i="113"/>
  <c r="I2288" i="113"/>
  <c r="I2271" i="113"/>
  <c r="I2255" i="113"/>
  <c r="I2238" i="113"/>
  <c r="I2219" i="113"/>
  <c r="I2202" i="113"/>
  <c r="I2186" i="113"/>
  <c r="I2169" i="113"/>
  <c r="I2152" i="113"/>
  <c r="I2136" i="113"/>
  <c r="I2115" i="113"/>
  <c r="I2097" i="113"/>
  <c r="I2080" i="113"/>
  <c r="I2059" i="113"/>
  <c r="I2042" i="113"/>
  <c r="I2024" i="113"/>
  <c r="I2007" i="113"/>
  <c r="I1985" i="113"/>
  <c r="I1966" i="113"/>
  <c r="I1943" i="113"/>
  <c r="I1923" i="113"/>
  <c r="I1896" i="113"/>
  <c r="I1870" i="113"/>
  <c r="I1847" i="113"/>
  <c r="I1820" i="113"/>
  <c r="I1781" i="113"/>
  <c r="I1748" i="113"/>
  <c r="I1710" i="113"/>
  <c r="I1671" i="113"/>
  <c r="I1633" i="113"/>
  <c r="I1588" i="113"/>
  <c r="I1539" i="113"/>
  <c r="I1491" i="113"/>
  <c r="I1447" i="113"/>
  <c r="I1399" i="113"/>
  <c r="I1352" i="113"/>
  <c r="I1307" i="113"/>
  <c r="I1258" i="113"/>
  <c r="I1201" i="113"/>
  <c r="I1130" i="113"/>
  <c r="I1043" i="113"/>
  <c r="I929" i="113"/>
  <c r="I803" i="113"/>
  <c r="I667" i="113"/>
  <c r="I466" i="113"/>
  <c r="I70" i="113"/>
  <c r="C1" i="111"/>
  <c r="B1" i="111"/>
  <c r="H9" i="113" l="1"/>
  <c r="H37" i="113"/>
  <c r="G63" i="113"/>
  <c r="H86" i="113"/>
  <c r="G112" i="113"/>
  <c r="H135" i="113"/>
  <c r="G161" i="113"/>
  <c r="H184" i="113"/>
  <c r="G210" i="113"/>
  <c r="H233" i="113"/>
  <c r="G259" i="113"/>
  <c r="H282" i="113"/>
  <c r="G308" i="113"/>
  <c r="H331" i="113"/>
  <c r="G357" i="113"/>
  <c r="H380" i="113"/>
  <c r="G406" i="113"/>
  <c r="H429" i="113"/>
  <c r="G455" i="113"/>
  <c r="H478" i="113"/>
  <c r="G496" i="113"/>
  <c r="H511" i="113"/>
  <c r="G525" i="113"/>
  <c r="G536" i="113"/>
  <c r="G545" i="113"/>
  <c r="H553" i="113"/>
  <c r="G562" i="113"/>
  <c r="G570" i="113"/>
  <c r="G578" i="113"/>
  <c r="G586" i="113"/>
  <c r="G594" i="113"/>
  <c r="G602" i="113"/>
  <c r="G609" i="113"/>
  <c r="G616" i="113"/>
  <c r="G623" i="113"/>
  <c r="G630" i="113"/>
  <c r="G637" i="113"/>
  <c r="G644" i="113"/>
  <c r="G651" i="113"/>
  <c r="G658" i="113"/>
  <c r="G665" i="113"/>
  <c r="G672" i="113"/>
  <c r="G679" i="113"/>
  <c r="G686" i="113"/>
  <c r="G693" i="113"/>
  <c r="G700" i="113"/>
  <c r="G707" i="113"/>
  <c r="G714" i="113"/>
  <c r="G721" i="113"/>
  <c r="G728" i="113"/>
  <c r="G735" i="113"/>
  <c r="G742" i="113"/>
  <c r="G749" i="113"/>
  <c r="G756" i="113"/>
  <c r="G763" i="113"/>
  <c r="G770" i="113"/>
  <c r="G777" i="113"/>
  <c r="G784" i="113"/>
  <c r="G791" i="113"/>
  <c r="G798" i="113"/>
  <c r="G805" i="113"/>
  <c r="G812" i="113"/>
  <c r="G819" i="113"/>
  <c r="G826" i="113"/>
  <c r="G833" i="113"/>
  <c r="G840" i="113"/>
  <c r="G847" i="113"/>
  <c r="G854" i="113"/>
  <c r="G861" i="113"/>
  <c r="G868" i="113"/>
  <c r="G875" i="113"/>
  <c r="G882" i="113"/>
  <c r="G13" i="113"/>
  <c r="G41" i="113"/>
  <c r="H63" i="113"/>
  <c r="G90" i="113"/>
  <c r="H112" i="113"/>
  <c r="G139" i="113"/>
  <c r="H161" i="113"/>
  <c r="G188" i="113"/>
  <c r="H210" i="113"/>
  <c r="G237" i="113"/>
  <c r="H259" i="113"/>
  <c r="G286" i="113"/>
  <c r="H308" i="113"/>
  <c r="G335" i="113"/>
  <c r="H357" i="113"/>
  <c r="G384" i="113"/>
  <c r="H406" i="113"/>
  <c r="G433" i="113"/>
  <c r="H455" i="113"/>
  <c r="H480" i="113"/>
  <c r="G497" i="113"/>
  <c r="G513" i="113"/>
  <c r="H525" i="113"/>
  <c r="H536" i="113"/>
  <c r="G546" i="113"/>
  <c r="H554" i="113"/>
  <c r="H562" i="113"/>
  <c r="H570" i="113"/>
  <c r="H578" i="113"/>
  <c r="H586" i="113"/>
  <c r="G595" i="113"/>
  <c r="H602" i="113"/>
  <c r="H609" i="113"/>
  <c r="H616" i="113"/>
  <c r="H623" i="113"/>
  <c r="H630" i="113"/>
  <c r="H637" i="113"/>
  <c r="H644" i="113"/>
  <c r="H651" i="113"/>
  <c r="H658" i="113"/>
  <c r="H665" i="113"/>
  <c r="H672" i="113"/>
  <c r="H679" i="113"/>
  <c r="H686" i="113"/>
  <c r="H693" i="113"/>
  <c r="H700" i="113"/>
  <c r="H707" i="113"/>
  <c r="H714" i="113"/>
  <c r="H721" i="113"/>
  <c r="H728" i="113"/>
  <c r="H735" i="113"/>
  <c r="H742" i="113"/>
  <c r="H749" i="113"/>
  <c r="H756" i="113"/>
  <c r="H763" i="113"/>
  <c r="H770" i="113"/>
  <c r="H777" i="113"/>
  <c r="H784" i="113"/>
  <c r="H791" i="113"/>
  <c r="H798" i="113"/>
  <c r="H805" i="113"/>
  <c r="H812" i="113"/>
  <c r="H819" i="113"/>
  <c r="H826" i="113"/>
  <c r="H833" i="113"/>
  <c r="H840" i="113"/>
  <c r="H847" i="113"/>
  <c r="H854" i="113"/>
  <c r="H861" i="113"/>
  <c r="H868" i="113"/>
  <c r="H875" i="113"/>
  <c r="H882" i="113"/>
  <c r="H889" i="113"/>
  <c r="H896" i="113"/>
  <c r="H903" i="113"/>
  <c r="G14" i="113"/>
  <c r="G42" i="113"/>
  <c r="H65" i="113"/>
  <c r="G91" i="113"/>
  <c r="H114" i="113"/>
  <c r="G140" i="113"/>
  <c r="H163" i="113"/>
  <c r="G189" i="113"/>
  <c r="H212" i="113"/>
  <c r="G238" i="113"/>
  <c r="H261" i="113"/>
  <c r="G287" i="113"/>
  <c r="H310" i="113"/>
  <c r="G336" i="113"/>
  <c r="H359" i="113"/>
  <c r="G385" i="113"/>
  <c r="H408" i="113"/>
  <c r="G434" i="113"/>
  <c r="H457" i="113"/>
  <c r="G482" i="113"/>
  <c r="H497" i="113"/>
  <c r="H513" i="113"/>
  <c r="G527" i="113"/>
  <c r="H537" i="113"/>
  <c r="H546" i="113"/>
  <c r="G555" i="113"/>
  <c r="G563" i="113"/>
  <c r="G571" i="113"/>
  <c r="G579" i="113"/>
  <c r="G587" i="113"/>
  <c r="H595" i="113"/>
  <c r="G603" i="113"/>
  <c r="G610" i="113"/>
  <c r="G617" i="113"/>
  <c r="G624" i="113"/>
  <c r="G631" i="113"/>
  <c r="G638" i="113"/>
  <c r="G645" i="113"/>
  <c r="G652" i="113"/>
  <c r="G659" i="113"/>
  <c r="G666" i="113"/>
  <c r="G673" i="113"/>
  <c r="G680" i="113"/>
  <c r="G687" i="113"/>
  <c r="G694" i="113"/>
  <c r="G701" i="113"/>
  <c r="G708" i="113"/>
  <c r="G715" i="113"/>
  <c r="G722" i="113"/>
  <c r="G729" i="113"/>
  <c r="G736" i="113"/>
  <c r="G743" i="113"/>
  <c r="G750" i="113"/>
  <c r="G757" i="113"/>
  <c r="G764" i="113"/>
  <c r="G771" i="113"/>
  <c r="G778" i="113"/>
  <c r="G785" i="113"/>
  <c r="G792" i="113"/>
  <c r="G799" i="113"/>
  <c r="G806" i="113"/>
  <c r="G813" i="113"/>
  <c r="G820" i="113"/>
  <c r="G827" i="113"/>
  <c r="G834" i="113"/>
  <c r="H16" i="113"/>
  <c r="H42" i="113"/>
  <c r="G69" i="113"/>
  <c r="H91" i="113"/>
  <c r="G118" i="113"/>
  <c r="H140" i="113"/>
  <c r="G167" i="113"/>
  <c r="H189" i="113"/>
  <c r="G216" i="113"/>
  <c r="H238" i="113"/>
  <c r="G265" i="113"/>
  <c r="H287" i="113"/>
  <c r="G314" i="113"/>
  <c r="H336" i="113"/>
  <c r="G363" i="113"/>
  <c r="H385" i="113"/>
  <c r="G412" i="113"/>
  <c r="H434" i="113"/>
  <c r="G461" i="113"/>
  <c r="G483" i="113"/>
  <c r="G499" i="113"/>
  <c r="H515" i="113"/>
  <c r="H527" i="113"/>
  <c r="G538" i="113"/>
  <c r="H547" i="113"/>
  <c r="H555" i="113"/>
  <c r="H563" i="113"/>
  <c r="H571" i="113"/>
  <c r="H579" i="113"/>
  <c r="G588" i="113"/>
  <c r="H596" i="113"/>
  <c r="H603" i="113"/>
  <c r="H610" i="113"/>
  <c r="H617" i="113"/>
  <c r="H624" i="113"/>
  <c r="H631" i="113"/>
  <c r="H638" i="113"/>
  <c r="H645" i="113"/>
  <c r="H652" i="113"/>
  <c r="H659" i="113"/>
  <c r="H666" i="113"/>
  <c r="H673" i="113"/>
  <c r="H680" i="113"/>
  <c r="H687" i="113"/>
  <c r="H694" i="113"/>
  <c r="H701" i="113"/>
  <c r="H708" i="113"/>
  <c r="H715" i="113"/>
  <c r="H722" i="113"/>
  <c r="H729" i="113"/>
  <c r="H736" i="113"/>
  <c r="H743" i="113"/>
  <c r="H750" i="113"/>
  <c r="H757" i="113"/>
  <c r="H764" i="113"/>
  <c r="H771" i="113"/>
  <c r="H778" i="113"/>
  <c r="H785" i="113"/>
  <c r="H792" i="113"/>
  <c r="H799" i="113"/>
  <c r="H806" i="113"/>
  <c r="H813" i="113"/>
  <c r="H820" i="113"/>
  <c r="H827" i="113"/>
  <c r="H834" i="113"/>
  <c r="H841" i="113"/>
  <c r="H848" i="113"/>
  <c r="H855" i="113"/>
  <c r="H862" i="113"/>
  <c r="H869" i="113"/>
  <c r="H876" i="113"/>
  <c r="H883" i="113"/>
  <c r="H890" i="113"/>
  <c r="H897" i="113"/>
  <c r="H904" i="113"/>
  <c r="H911" i="113"/>
  <c r="H918" i="113"/>
  <c r="H925" i="113"/>
  <c r="H932" i="113"/>
  <c r="H939" i="113"/>
  <c r="H946" i="113"/>
  <c r="H953" i="113"/>
  <c r="H960" i="113"/>
  <c r="H967" i="113"/>
  <c r="H974" i="113"/>
  <c r="G20" i="113"/>
  <c r="H44" i="113"/>
  <c r="G70" i="113"/>
  <c r="H93" i="113"/>
  <c r="G119" i="113"/>
  <c r="H142" i="113"/>
  <c r="G168" i="113"/>
  <c r="H191" i="113"/>
  <c r="G217" i="113"/>
  <c r="H240" i="113"/>
  <c r="G266" i="113"/>
  <c r="H289" i="113"/>
  <c r="G315" i="113"/>
  <c r="H338" i="113"/>
  <c r="G364" i="113"/>
  <c r="H387" i="113"/>
  <c r="G413" i="113"/>
  <c r="H436" i="113"/>
  <c r="G462" i="113"/>
  <c r="H483" i="113"/>
  <c r="H499" i="113"/>
  <c r="G517" i="113"/>
  <c r="G528" i="113"/>
  <c r="G539" i="113"/>
  <c r="G548" i="113"/>
  <c r="G556" i="113"/>
  <c r="G564" i="113"/>
  <c r="G572" i="113"/>
  <c r="G580" i="113"/>
  <c r="H588" i="113"/>
  <c r="G597" i="113"/>
  <c r="G604" i="113"/>
  <c r="G611" i="113"/>
  <c r="G618" i="113"/>
  <c r="G625" i="113"/>
  <c r="G632" i="113"/>
  <c r="G639" i="113"/>
  <c r="G646" i="113"/>
  <c r="G653" i="113"/>
  <c r="G660" i="113"/>
  <c r="G667" i="113"/>
  <c r="G674" i="113"/>
  <c r="G681" i="113"/>
  <c r="G688" i="113"/>
  <c r="G695" i="113"/>
  <c r="G702" i="113"/>
  <c r="G709" i="113"/>
  <c r="G716" i="113"/>
  <c r="G723" i="113"/>
  <c r="G730" i="113"/>
  <c r="H28" i="113"/>
  <c r="G55" i="113"/>
  <c r="H77" i="113"/>
  <c r="G104" i="113"/>
  <c r="H126" i="113"/>
  <c r="G153" i="113"/>
  <c r="H175" i="113"/>
  <c r="G202" i="113"/>
  <c r="H224" i="113"/>
  <c r="G251" i="113"/>
  <c r="H273" i="113"/>
  <c r="G300" i="113"/>
  <c r="H322" i="113"/>
  <c r="G349" i="113"/>
  <c r="H371" i="113"/>
  <c r="G398" i="113"/>
  <c r="H420" i="113"/>
  <c r="G447" i="113"/>
  <c r="H469" i="113"/>
  <c r="G490" i="113"/>
  <c r="G506" i="113"/>
  <c r="G521" i="113"/>
  <c r="G532" i="113"/>
  <c r="G542" i="113"/>
  <c r="H550" i="113"/>
  <c r="H558" i="113"/>
  <c r="G567" i="113"/>
  <c r="H575" i="113"/>
  <c r="H583" i="113"/>
  <c r="H591" i="113"/>
  <c r="H599" i="113"/>
  <c r="H606" i="113"/>
  <c r="H613" i="113"/>
  <c r="H620" i="113"/>
  <c r="H627" i="113"/>
  <c r="H634" i="113"/>
  <c r="H641" i="113"/>
  <c r="H648" i="113"/>
  <c r="H655" i="113"/>
  <c r="H662" i="113"/>
  <c r="H669" i="113"/>
  <c r="H676" i="113"/>
  <c r="H683" i="113"/>
  <c r="H690" i="113"/>
  <c r="H697" i="113"/>
  <c r="H704" i="113"/>
  <c r="H711" i="113"/>
  <c r="H718" i="113"/>
  <c r="H725" i="113"/>
  <c r="H732" i="113"/>
  <c r="H739" i="113"/>
  <c r="H746" i="113"/>
  <c r="H753" i="113"/>
  <c r="H760" i="113"/>
  <c r="H767" i="113"/>
  <c r="H774" i="113"/>
  <c r="H781" i="113"/>
  <c r="H788" i="113"/>
  <c r="H795" i="113"/>
  <c r="H802" i="113"/>
  <c r="H809" i="113"/>
  <c r="H816" i="113"/>
  <c r="H823" i="113"/>
  <c r="H830" i="113"/>
  <c r="H837" i="113"/>
  <c r="H844" i="113"/>
  <c r="H851" i="113"/>
  <c r="H858" i="113"/>
  <c r="H865" i="113"/>
  <c r="H30" i="113"/>
  <c r="G56" i="113"/>
  <c r="H79" i="113"/>
  <c r="G105" i="113"/>
  <c r="H128" i="113"/>
  <c r="G154" i="113"/>
  <c r="H177" i="113"/>
  <c r="G203" i="113"/>
  <c r="H226" i="113"/>
  <c r="G252" i="113"/>
  <c r="H275" i="113"/>
  <c r="G301" i="113"/>
  <c r="H324" i="113"/>
  <c r="G350" i="113"/>
  <c r="H373" i="113"/>
  <c r="G399" i="113"/>
  <c r="H422" i="113"/>
  <c r="G448" i="113"/>
  <c r="H471" i="113"/>
  <c r="H490" i="113"/>
  <c r="H506" i="113"/>
  <c r="G522" i="113"/>
  <c r="H532" i="113"/>
  <c r="G543" i="113"/>
  <c r="G551" i="113"/>
  <c r="G559" i="113"/>
  <c r="H567" i="113"/>
  <c r="G576" i="113"/>
  <c r="G584" i="113"/>
  <c r="G592" i="113"/>
  <c r="G600" i="113"/>
  <c r="G607" i="113"/>
  <c r="G614" i="113"/>
  <c r="G621" i="113"/>
  <c r="G628" i="113"/>
  <c r="G635" i="113"/>
  <c r="G642" i="113"/>
  <c r="G649" i="113"/>
  <c r="G656" i="113"/>
  <c r="G663" i="113"/>
  <c r="G670" i="113"/>
  <c r="G677" i="113"/>
  <c r="G684" i="113"/>
  <c r="G691" i="113"/>
  <c r="G698" i="113"/>
  <c r="G705" i="113"/>
  <c r="G712" i="113"/>
  <c r="G719" i="113"/>
  <c r="G726" i="113"/>
  <c r="G733" i="113"/>
  <c r="G740" i="113"/>
  <c r="G747" i="113"/>
  <c r="G754" i="113"/>
  <c r="G761" i="113"/>
  <c r="G768" i="113"/>
  <c r="G775" i="113"/>
  <c r="G782" i="113"/>
  <c r="G789" i="113"/>
  <c r="G796" i="113"/>
  <c r="G803" i="113"/>
  <c r="G810" i="113"/>
  <c r="G817" i="113"/>
  <c r="G824" i="113"/>
  <c r="G831" i="113"/>
  <c r="G838" i="113"/>
  <c r="G845" i="113"/>
  <c r="G852" i="113"/>
  <c r="G859" i="113"/>
  <c r="G866" i="113"/>
  <c r="G873" i="113"/>
  <c r="G880" i="113"/>
  <c r="G887" i="113"/>
  <c r="G894" i="113"/>
  <c r="G34" i="113"/>
  <c r="H56" i="113"/>
  <c r="G83" i="113"/>
  <c r="H105" i="113"/>
  <c r="G132" i="113"/>
  <c r="H154" i="113"/>
  <c r="G181" i="113"/>
  <c r="H203" i="113"/>
  <c r="G230" i="113"/>
  <c r="H252" i="113"/>
  <c r="G279" i="113"/>
  <c r="H301" i="113"/>
  <c r="G328" i="113"/>
  <c r="H350" i="113"/>
  <c r="G377" i="113"/>
  <c r="H399" i="113"/>
  <c r="G426" i="113"/>
  <c r="H448" i="113"/>
  <c r="G475" i="113"/>
  <c r="G492" i="113"/>
  <c r="H508" i="113"/>
  <c r="H522" i="113"/>
  <c r="G534" i="113"/>
  <c r="H543" i="113"/>
  <c r="H551" i="113"/>
  <c r="G560" i="113"/>
  <c r="H568" i="113"/>
  <c r="H576" i="113"/>
  <c r="H584" i="113"/>
  <c r="H592" i="113"/>
  <c r="H600" i="113"/>
  <c r="H607" i="113"/>
  <c r="H614" i="113"/>
  <c r="H621" i="113"/>
  <c r="H628" i="113"/>
  <c r="H635" i="113"/>
  <c r="H642" i="113"/>
  <c r="H649" i="113"/>
  <c r="H656" i="113"/>
  <c r="H663" i="113"/>
  <c r="H670" i="113"/>
  <c r="H677" i="113"/>
  <c r="H684" i="113"/>
  <c r="H691" i="113"/>
  <c r="H698" i="113"/>
  <c r="H705" i="113"/>
  <c r="H712" i="113"/>
  <c r="H719" i="113"/>
  <c r="H726" i="113"/>
  <c r="H733" i="113"/>
  <c r="H740" i="113"/>
  <c r="H747" i="113"/>
  <c r="H754" i="113"/>
  <c r="H761" i="113"/>
  <c r="H768" i="113"/>
  <c r="H775" i="113"/>
  <c r="H782" i="113"/>
  <c r="H789" i="113"/>
  <c r="H796" i="113"/>
  <c r="H803" i="113"/>
  <c r="H810" i="113"/>
  <c r="G35" i="113"/>
  <c r="H58" i="113"/>
  <c r="H35" i="113"/>
  <c r="G62" i="113"/>
  <c r="H84" i="113"/>
  <c r="G111" i="113"/>
  <c r="H133" i="113"/>
  <c r="G160" i="113"/>
  <c r="H182" i="113"/>
  <c r="G209" i="113"/>
  <c r="H231" i="113"/>
  <c r="G258" i="113"/>
  <c r="H280" i="113"/>
  <c r="G307" i="113"/>
  <c r="H329" i="113"/>
  <c r="G356" i="113"/>
  <c r="H378" i="113"/>
  <c r="G405" i="113"/>
  <c r="H427" i="113"/>
  <c r="G454" i="113"/>
  <c r="H476" i="113"/>
  <c r="H494" i="113"/>
  <c r="G511" i="113"/>
  <c r="G524" i="113"/>
  <c r="G535" i="113"/>
  <c r="H544" i="113"/>
  <c r="G553" i="113"/>
  <c r="H561" i="113"/>
  <c r="H569" i="113"/>
  <c r="H577" i="113"/>
  <c r="H585" i="113"/>
  <c r="H593" i="113"/>
  <c r="H601" i="113"/>
  <c r="H608" i="113"/>
  <c r="H615" i="113"/>
  <c r="H622" i="113"/>
  <c r="H629" i="113"/>
  <c r="H636" i="113"/>
  <c r="H643" i="113"/>
  <c r="H650" i="113"/>
  <c r="H657" i="113"/>
  <c r="H664" i="113"/>
  <c r="H671" i="113"/>
  <c r="H678" i="113"/>
  <c r="H685" i="113"/>
  <c r="H692" i="113"/>
  <c r="H699" i="113"/>
  <c r="H706" i="113"/>
  <c r="H713" i="113"/>
  <c r="H720" i="113"/>
  <c r="H727" i="113"/>
  <c r="H734" i="113"/>
  <c r="H741" i="113"/>
  <c r="H748" i="113"/>
  <c r="H755" i="113"/>
  <c r="H762" i="113"/>
  <c r="H769" i="113"/>
  <c r="H776" i="113"/>
  <c r="H783" i="113"/>
  <c r="H790" i="113"/>
  <c r="G3" i="113"/>
  <c r="G10" i="113"/>
  <c r="G17" i="113"/>
  <c r="G24" i="113"/>
  <c r="G31" i="113"/>
  <c r="G38" i="113"/>
  <c r="G45" i="113"/>
  <c r="G52" i="113"/>
  <c r="G59" i="113"/>
  <c r="G66" i="113"/>
  <c r="G73" i="113"/>
  <c r="G80" i="113"/>
  <c r="G87" i="113"/>
  <c r="G94" i="113"/>
  <c r="G101" i="113"/>
  <c r="G108" i="113"/>
  <c r="G115" i="113"/>
  <c r="G122" i="113"/>
  <c r="G129" i="113"/>
  <c r="G136" i="113"/>
  <c r="G143" i="113"/>
  <c r="G150" i="113"/>
  <c r="G157" i="113"/>
  <c r="G164" i="113"/>
  <c r="G171" i="113"/>
  <c r="G178" i="113"/>
  <c r="G185" i="113"/>
  <c r="G192" i="113"/>
  <c r="G199" i="113"/>
  <c r="G206" i="113"/>
  <c r="G213" i="113"/>
  <c r="G220" i="113"/>
  <c r="G227" i="113"/>
  <c r="G234" i="113"/>
  <c r="G241" i="113"/>
  <c r="G248" i="113"/>
  <c r="G255" i="113"/>
  <c r="G262" i="113"/>
  <c r="G269" i="113"/>
  <c r="G276" i="113"/>
  <c r="G283" i="113"/>
  <c r="G290" i="113"/>
  <c r="G297" i="113"/>
  <c r="G304" i="113"/>
  <c r="G311" i="113"/>
  <c r="G318" i="113"/>
  <c r="G325" i="113"/>
  <c r="G332" i="113"/>
  <c r="G339" i="113"/>
  <c r="G346" i="113"/>
  <c r="G353" i="113"/>
  <c r="G360" i="113"/>
  <c r="G367" i="113"/>
  <c r="G374" i="113"/>
  <c r="G381" i="113"/>
  <c r="G388" i="113"/>
  <c r="G395" i="113"/>
  <c r="G402" i="113"/>
  <c r="G409" i="113"/>
  <c r="G416" i="113"/>
  <c r="G423" i="113"/>
  <c r="G430" i="113"/>
  <c r="G437" i="113"/>
  <c r="G444" i="113"/>
  <c r="G451" i="113"/>
  <c r="G458" i="113"/>
  <c r="G465" i="113"/>
  <c r="G472" i="113"/>
  <c r="G479" i="113"/>
  <c r="G486" i="113"/>
  <c r="G493" i="113"/>
  <c r="G500" i="113"/>
  <c r="G507" i="113"/>
  <c r="G514" i="113"/>
  <c r="H3" i="113"/>
  <c r="H10" i="113"/>
  <c r="H17" i="113"/>
  <c r="H24" i="113"/>
  <c r="H31" i="113"/>
  <c r="H38" i="113"/>
  <c r="H45" i="113"/>
  <c r="H52" i="113"/>
  <c r="H59" i="113"/>
  <c r="H66" i="113"/>
  <c r="H73" i="113"/>
  <c r="H80" i="113"/>
  <c r="H87" i="113"/>
  <c r="H94" i="113"/>
  <c r="H101" i="113"/>
  <c r="H108" i="113"/>
  <c r="H115" i="113"/>
  <c r="H122" i="113"/>
  <c r="H129" i="113"/>
  <c r="H136" i="113"/>
  <c r="H143" i="113"/>
  <c r="H150" i="113"/>
  <c r="H157" i="113"/>
  <c r="H164" i="113"/>
  <c r="H171" i="113"/>
  <c r="H178" i="113"/>
  <c r="H185" i="113"/>
  <c r="H192" i="113"/>
  <c r="H199" i="113"/>
  <c r="H206" i="113"/>
  <c r="H213" i="113"/>
  <c r="H220" i="113"/>
  <c r="H227" i="113"/>
  <c r="H234" i="113"/>
  <c r="H241" i="113"/>
  <c r="H248" i="113"/>
  <c r="H255" i="113"/>
  <c r="H262" i="113"/>
  <c r="H269" i="113"/>
  <c r="H276" i="113"/>
  <c r="H283" i="113"/>
  <c r="H290" i="113"/>
  <c r="H297" i="113"/>
  <c r="H304" i="113"/>
  <c r="H311" i="113"/>
  <c r="H318" i="113"/>
  <c r="H325" i="113"/>
  <c r="H332" i="113"/>
  <c r="H339" i="113"/>
  <c r="H346" i="113"/>
  <c r="H353" i="113"/>
  <c r="H360" i="113"/>
  <c r="H367" i="113"/>
  <c r="H374" i="113"/>
  <c r="H381" i="113"/>
  <c r="H388" i="113"/>
  <c r="H395" i="113"/>
  <c r="H402" i="113"/>
  <c r="H409" i="113"/>
  <c r="H416" i="113"/>
  <c r="H423" i="113"/>
  <c r="H430" i="113"/>
  <c r="H437" i="113"/>
  <c r="H444" i="113"/>
  <c r="H451" i="113"/>
  <c r="H458" i="113"/>
  <c r="H465" i="113"/>
  <c r="H472" i="113"/>
  <c r="H479" i="113"/>
  <c r="H486" i="113"/>
  <c r="H493" i="113"/>
  <c r="H500" i="113"/>
  <c r="H507" i="113"/>
  <c r="H514" i="113"/>
  <c r="H521" i="113"/>
  <c r="H528" i="113"/>
  <c r="H535" i="113"/>
  <c r="H542" i="113"/>
  <c r="G4" i="113"/>
  <c r="G11" i="113"/>
  <c r="G18" i="113"/>
  <c r="G25" i="113"/>
  <c r="G32" i="113"/>
  <c r="G39" i="113"/>
  <c r="G46" i="113"/>
  <c r="G53" i="113"/>
  <c r="G60" i="113"/>
  <c r="G67" i="113"/>
  <c r="G74" i="113"/>
  <c r="G81" i="113"/>
  <c r="G88" i="113"/>
  <c r="G95" i="113"/>
  <c r="G102" i="113"/>
  <c r="G109" i="113"/>
  <c r="G116" i="113"/>
  <c r="G123" i="113"/>
  <c r="G130" i="113"/>
  <c r="G137" i="113"/>
  <c r="G144" i="113"/>
  <c r="G151" i="113"/>
  <c r="G158" i="113"/>
  <c r="G165" i="113"/>
  <c r="G172" i="113"/>
  <c r="G179" i="113"/>
  <c r="G186" i="113"/>
  <c r="G193" i="113"/>
  <c r="G200" i="113"/>
  <c r="G207" i="113"/>
  <c r="G214" i="113"/>
  <c r="G221" i="113"/>
  <c r="G228" i="113"/>
  <c r="G235" i="113"/>
  <c r="G242" i="113"/>
  <c r="G249" i="113"/>
  <c r="G256" i="113"/>
  <c r="G263" i="113"/>
  <c r="G270" i="113"/>
  <c r="G277" i="113"/>
  <c r="G284" i="113"/>
  <c r="G291" i="113"/>
  <c r="G298" i="113"/>
  <c r="G305" i="113"/>
  <c r="G312" i="113"/>
  <c r="G319" i="113"/>
  <c r="G326" i="113"/>
  <c r="G333" i="113"/>
  <c r="G340" i="113"/>
  <c r="G347" i="113"/>
  <c r="G354" i="113"/>
  <c r="G361" i="113"/>
  <c r="G368" i="113"/>
  <c r="G375" i="113"/>
  <c r="G382" i="113"/>
  <c r="G389" i="113"/>
  <c r="G396" i="113"/>
  <c r="G403" i="113"/>
  <c r="G410" i="113"/>
  <c r="G417" i="113"/>
  <c r="G424" i="113"/>
  <c r="G431" i="113"/>
  <c r="G438" i="113"/>
  <c r="G445" i="113"/>
  <c r="G452" i="113"/>
  <c r="G459" i="113"/>
  <c r="G466" i="113"/>
  <c r="G473" i="113"/>
  <c r="G480" i="113"/>
  <c r="G487" i="113"/>
  <c r="G494" i="113"/>
  <c r="G501" i="113"/>
  <c r="G508" i="113"/>
  <c r="G515" i="113"/>
  <c r="H4" i="113"/>
  <c r="H11" i="113"/>
  <c r="H18" i="113"/>
  <c r="H25" i="113"/>
  <c r="H32" i="113"/>
  <c r="H39" i="113"/>
  <c r="H46" i="113"/>
  <c r="H53" i="113"/>
  <c r="H60" i="113"/>
  <c r="H67" i="113"/>
  <c r="H74" i="113"/>
  <c r="H81" i="113"/>
  <c r="H88" i="113"/>
  <c r="H95" i="113"/>
  <c r="H102" i="113"/>
  <c r="H109" i="113"/>
  <c r="H116" i="113"/>
  <c r="H123" i="113"/>
  <c r="H130" i="113"/>
  <c r="H137" i="113"/>
  <c r="H144" i="113"/>
  <c r="H151" i="113"/>
  <c r="H158" i="113"/>
  <c r="H165" i="113"/>
  <c r="H172" i="113"/>
  <c r="H179" i="113"/>
  <c r="H186" i="113"/>
  <c r="H193" i="113"/>
  <c r="H200" i="113"/>
  <c r="H207" i="113"/>
  <c r="H214" i="113"/>
  <c r="H221" i="113"/>
  <c r="H228" i="113"/>
  <c r="H235" i="113"/>
  <c r="H242" i="113"/>
  <c r="H249" i="113"/>
  <c r="H256" i="113"/>
  <c r="H263" i="113"/>
  <c r="H270" i="113"/>
  <c r="H277" i="113"/>
  <c r="H284" i="113"/>
  <c r="H291" i="113"/>
  <c r="H298" i="113"/>
  <c r="H305" i="113"/>
  <c r="H312" i="113"/>
  <c r="H319" i="113"/>
  <c r="H326" i="113"/>
  <c r="H333" i="113"/>
  <c r="H340" i="113"/>
  <c r="H347" i="113"/>
  <c r="H354" i="113"/>
  <c r="H361" i="113"/>
  <c r="H368" i="113"/>
  <c r="H375" i="113"/>
  <c r="H382" i="113"/>
  <c r="H389" i="113"/>
  <c r="H396" i="113"/>
  <c r="H403" i="113"/>
  <c r="H410" i="113"/>
  <c r="H417" i="113"/>
  <c r="H424" i="113"/>
  <c r="H431" i="113"/>
  <c r="H438" i="113"/>
  <c r="H445" i="113"/>
  <c r="H452" i="113"/>
  <c r="H459" i="113"/>
  <c r="H466" i="113"/>
  <c r="H473" i="113"/>
  <c r="G5" i="113"/>
  <c r="G12" i="113"/>
  <c r="G19" i="113"/>
  <c r="G26" i="113"/>
  <c r="G33" i="113"/>
  <c r="G40" i="113"/>
  <c r="G47" i="113"/>
  <c r="G54" i="113"/>
  <c r="G61" i="113"/>
  <c r="G68" i="113"/>
  <c r="G75" i="113"/>
  <c r="G82" i="113"/>
  <c r="G89" i="113"/>
  <c r="G96" i="113"/>
  <c r="G103" i="113"/>
  <c r="G110" i="113"/>
  <c r="G117" i="113"/>
  <c r="G124" i="113"/>
  <c r="G131" i="113"/>
  <c r="G138" i="113"/>
  <c r="G145" i="113"/>
  <c r="G152" i="113"/>
  <c r="G159" i="113"/>
  <c r="G166" i="113"/>
  <c r="G173" i="113"/>
  <c r="G180" i="113"/>
  <c r="G187" i="113"/>
  <c r="G194" i="113"/>
  <c r="G201" i="113"/>
  <c r="G208" i="113"/>
  <c r="G215" i="113"/>
  <c r="G222" i="113"/>
  <c r="G229" i="113"/>
  <c r="G236" i="113"/>
  <c r="G243" i="113"/>
  <c r="G250" i="113"/>
  <c r="G257" i="113"/>
  <c r="G264" i="113"/>
  <c r="G271" i="113"/>
  <c r="G278" i="113"/>
  <c r="G285" i="113"/>
  <c r="G292" i="113"/>
  <c r="G299" i="113"/>
  <c r="G306" i="113"/>
  <c r="G313" i="113"/>
  <c r="G320" i="113"/>
  <c r="G327" i="113"/>
  <c r="G334" i="113"/>
  <c r="G341" i="113"/>
  <c r="G348" i="113"/>
  <c r="G355" i="113"/>
  <c r="G362" i="113"/>
  <c r="G369" i="113"/>
  <c r="G376" i="113"/>
  <c r="G383" i="113"/>
  <c r="G390" i="113"/>
  <c r="G397" i="113"/>
  <c r="G404" i="113"/>
  <c r="G411" i="113"/>
  <c r="G418" i="113"/>
  <c r="G425" i="113"/>
  <c r="G432" i="113"/>
  <c r="G439" i="113"/>
  <c r="G446" i="113"/>
  <c r="G453" i="113"/>
  <c r="G460" i="113"/>
  <c r="G467" i="113"/>
  <c r="G474" i="113"/>
  <c r="G481" i="113"/>
  <c r="G488" i="113"/>
  <c r="G495" i="113"/>
  <c r="G502" i="113"/>
  <c r="G509" i="113"/>
  <c r="G516" i="113"/>
  <c r="G523" i="113"/>
  <c r="G530" i="113"/>
  <c r="G537" i="113"/>
  <c r="H5" i="113"/>
  <c r="H12" i="113"/>
  <c r="H19" i="113"/>
  <c r="H26" i="113"/>
  <c r="H33" i="113"/>
  <c r="H40" i="113"/>
  <c r="H47" i="113"/>
  <c r="H54" i="113"/>
  <c r="H61" i="113"/>
  <c r="H68" i="113"/>
  <c r="H75" i="113"/>
  <c r="H82" i="113"/>
  <c r="H89" i="113"/>
  <c r="H96" i="113"/>
  <c r="H103" i="113"/>
  <c r="H110" i="113"/>
  <c r="H117" i="113"/>
  <c r="H124" i="113"/>
  <c r="H131" i="113"/>
  <c r="H138" i="113"/>
  <c r="H145" i="113"/>
  <c r="H152" i="113"/>
  <c r="H159" i="113"/>
  <c r="H166" i="113"/>
  <c r="H173" i="113"/>
  <c r="H180" i="113"/>
  <c r="H187" i="113"/>
  <c r="H194" i="113"/>
  <c r="H201" i="113"/>
  <c r="H208" i="113"/>
  <c r="H215" i="113"/>
  <c r="H222" i="113"/>
  <c r="H229" i="113"/>
  <c r="H236" i="113"/>
  <c r="H243" i="113"/>
  <c r="H250" i="113"/>
  <c r="H257" i="113"/>
  <c r="H264" i="113"/>
  <c r="H271" i="113"/>
  <c r="H278" i="113"/>
  <c r="H285" i="113"/>
  <c r="H292" i="113"/>
  <c r="H299" i="113"/>
  <c r="H306" i="113"/>
  <c r="H313" i="113"/>
  <c r="H320" i="113"/>
  <c r="H327" i="113"/>
  <c r="H334" i="113"/>
  <c r="H341" i="113"/>
  <c r="H348" i="113"/>
  <c r="H355" i="113"/>
  <c r="H362" i="113"/>
  <c r="H369" i="113"/>
  <c r="H376" i="113"/>
  <c r="H383" i="113"/>
  <c r="H390" i="113"/>
  <c r="H397" i="113"/>
  <c r="H404" i="113"/>
  <c r="H411" i="113"/>
  <c r="H418" i="113"/>
  <c r="H425" i="113"/>
  <c r="H432" i="113"/>
  <c r="H439" i="113"/>
  <c r="H446" i="113"/>
  <c r="H453" i="113"/>
  <c r="H460" i="113"/>
  <c r="H467" i="113"/>
  <c r="H474" i="113"/>
  <c r="H481" i="113"/>
  <c r="H488" i="113"/>
  <c r="H495" i="113"/>
  <c r="H502" i="113"/>
  <c r="H509" i="113"/>
  <c r="H516" i="113"/>
  <c r="G6" i="113"/>
  <c r="H6" i="113"/>
  <c r="H13" i="113"/>
  <c r="H20" i="113"/>
  <c r="H27" i="113"/>
  <c r="H34" i="113"/>
  <c r="H41" i="113"/>
  <c r="H48" i="113"/>
  <c r="H55" i="113"/>
  <c r="H62" i="113"/>
  <c r="H69" i="113"/>
  <c r="H76" i="113"/>
  <c r="H83" i="113"/>
  <c r="H90" i="113"/>
  <c r="H97" i="113"/>
  <c r="H104" i="113"/>
  <c r="H111" i="113"/>
  <c r="H118" i="113"/>
  <c r="H125" i="113"/>
  <c r="H132" i="113"/>
  <c r="H139" i="113"/>
  <c r="H146" i="113"/>
  <c r="H153" i="113"/>
  <c r="H160" i="113"/>
  <c r="H167" i="113"/>
  <c r="H174" i="113"/>
  <c r="H181" i="113"/>
  <c r="H188" i="113"/>
  <c r="H195" i="113"/>
  <c r="H202" i="113"/>
  <c r="H209" i="113"/>
  <c r="H216" i="113"/>
  <c r="H223" i="113"/>
  <c r="H230" i="113"/>
  <c r="H237" i="113"/>
  <c r="H244" i="113"/>
  <c r="H251" i="113"/>
  <c r="H258" i="113"/>
  <c r="H265" i="113"/>
  <c r="H272" i="113"/>
  <c r="H279" i="113"/>
  <c r="H286" i="113"/>
  <c r="H293" i="113"/>
  <c r="H300" i="113"/>
  <c r="H307" i="113"/>
  <c r="H314" i="113"/>
  <c r="H321" i="113"/>
  <c r="H328" i="113"/>
  <c r="H335" i="113"/>
  <c r="H342" i="113"/>
  <c r="H349" i="113"/>
  <c r="H356" i="113"/>
  <c r="H363" i="113"/>
  <c r="H370" i="113"/>
  <c r="H377" i="113"/>
  <c r="H384" i="113"/>
  <c r="H391" i="113"/>
  <c r="H398" i="113"/>
  <c r="H405" i="113"/>
  <c r="H412" i="113"/>
  <c r="H419" i="113"/>
  <c r="H426" i="113"/>
  <c r="H433" i="113"/>
  <c r="H440" i="113"/>
  <c r="H447" i="113"/>
  <c r="H454" i="113"/>
  <c r="H461" i="113"/>
  <c r="H468" i="113"/>
  <c r="H475" i="113"/>
  <c r="H482" i="113"/>
  <c r="H489" i="113"/>
  <c r="H496" i="113"/>
  <c r="H503" i="113"/>
  <c r="H510" i="113"/>
  <c r="H517" i="113"/>
  <c r="H524" i="113"/>
  <c r="H531" i="113"/>
  <c r="H538" i="113"/>
  <c r="H545" i="113"/>
  <c r="H552" i="113"/>
  <c r="H559" i="113"/>
  <c r="H566" i="113"/>
  <c r="H573" i="113"/>
  <c r="H580" i="113"/>
  <c r="H587" i="113"/>
  <c r="H594" i="113"/>
  <c r="G7" i="113"/>
  <c r="H7" i="113"/>
  <c r="H14" i="113"/>
  <c r="H21" i="113"/>
  <c r="G8" i="113"/>
  <c r="G15" i="113"/>
  <c r="G22" i="113"/>
  <c r="G29" i="113"/>
  <c r="G36" i="113"/>
  <c r="G43" i="113"/>
  <c r="G50" i="113"/>
  <c r="G57" i="113"/>
  <c r="G64" i="113"/>
  <c r="G71" i="113"/>
  <c r="G78" i="113"/>
  <c r="G85" i="113"/>
  <c r="G92" i="113"/>
  <c r="G99" i="113"/>
  <c r="G106" i="113"/>
  <c r="G113" i="113"/>
  <c r="G120" i="113"/>
  <c r="G127" i="113"/>
  <c r="G134" i="113"/>
  <c r="G141" i="113"/>
  <c r="G148" i="113"/>
  <c r="G155" i="113"/>
  <c r="G162" i="113"/>
  <c r="G169" i="113"/>
  <c r="G176" i="113"/>
  <c r="G183" i="113"/>
  <c r="G190" i="113"/>
  <c r="G197" i="113"/>
  <c r="G204" i="113"/>
  <c r="G211" i="113"/>
  <c r="G218" i="113"/>
  <c r="G225" i="113"/>
  <c r="G232" i="113"/>
  <c r="G239" i="113"/>
  <c r="G246" i="113"/>
  <c r="G253" i="113"/>
  <c r="G260" i="113"/>
  <c r="G267" i="113"/>
  <c r="G274" i="113"/>
  <c r="G281" i="113"/>
  <c r="G288" i="113"/>
  <c r="G295" i="113"/>
  <c r="G302" i="113"/>
  <c r="G309" i="113"/>
  <c r="G316" i="113"/>
  <c r="G323" i="113"/>
  <c r="G330" i="113"/>
  <c r="G337" i="113"/>
  <c r="G344" i="113"/>
  <c r="G351" i="113"/>
  <c r="G358" i="113"/>
  <c r="G365" i="113"/>
  <c r="G372" i="113"/>
  <c r="G379" i="113"/>
  <c r="G386" i="113"/>
  <c r="G393" i="113"/>
  <c r="G400" i="113"/>
  <c r="G407" i="113"/>
  <c r="G414" i="113"/>
  <c r="G421" i="113"/>
  <c r="G428" i="113"/>
  <c r="G435" i="113"/>
  <c r="G442" i="113"/>
  <c r="G449" i="113"/>
  <c r="G456" i="113"/>
  <c r="G463" i="113"/>
  <c r="G470" i="113"/>
  <c r="G477" i="113"/>
  <c r="G484" i="113"/>
  <c r="G491" i="113"/>
  <c r="G498" i="113"/>
  <c r="G505" i="113"/>
  <c r="G512" i="113"/>
  <c r="G519" i="113"/>
  <c r="G526" i="113"/>
  <c r="G533" i="113"/>
  <c r="G540" i="113"/>
  <c r="G547" i="113"/>
  <c r="G554" i="113"/>
  <c r="G561" i="113"/>
  <c r="G568" i="113"/>
  <c r="G575" i="113"/>
  <c r="G582" i="113"/>
  <c r="G589" i="113"/>
  <c r="G596" i="113"/>
  <c r="H8" i="113"/>
  <c r="H15" i="113"/>
  <c r="H22" i="113"/>
  <c r="H29" i="113"/>
  <c r="H36" i="113"/>
  <c r="H43" i="113"/>
  <c r="H50" i="113"/>
  <c r="H57" i="113"/>
  <c r="H64" i="113"/>
  <c r="H71" i="113"/>
  <c r="H78" i="113"/>
  <c r="H85" i="113"/>
  <c r="H92" i="113"/>
  <c r="H99" i="113"/>
  <c r="H106" i="113"/>
  <c r="H113" i="113"/>
  <c r="H120" i="113"/>
  <c r="H127" i="113"/>
  <c r="H134" i="113"/>
  <c r="H141" i="113"/>
  <c r="H148" i="113"/>
  <c r="H155" i="113"/>
  <c r="H162" i="113"/>
  <c r="H169" i="113"/>
  <c r="H176" i="113"/>
  <c r="H183" i="113"/>
  <c r="H190" i="113"/>
  <c r="H197" i="113"/>
  <c r="H204" i="113"/>
  <c r="H211" i="113"/>
  <c r="H218" i="113"/>
  <c r="H225" i="113"/>
  <c r="H232" i="113"/>
  <c r="H239" i="113"/>
  <c r="H246" i="113"/>
  <c r="H253" i="113"/>
  <c r="H260" i="113"/>
  <c r="H267" i="113"/>
  <c r="H274" i="113"/>
  <c r="H281" i="113"/>
  <c r="H288" i="113"/>
  <c r="H295" i="113"/>
  <c r="H302" i="113"/>
  <c r="H309" i="113"/>
  <c r="H316" i="113"/>
  <c r="H323" i="113"/>
  <c r="H330" i="113"/>
  <c r="H337" i="113"/>
  <c r="H344" i="113"/>
  <c r="H351" i="113"/>
  <c r="H358" i="113"/>
  <c r="H365" i="113"/>
  <c r="H372" i="113"/>
  <c r="H379" i="113"/>
  <c r="H386" i="113"/>
  <c r="H393" i="113"/>
  <c r="H400" i="113"/>
  <c r="H407" i="113"/>
  <c r="H414" i="113"/>
  <c r="H421" i="113"/>
  <c r="H428" i="113"/>
  <c r="H435" i="113"/>
  <c r="H442" i="113"/>
  <c r="H449" i="113"/>
  <c r="H456" i="113"/>
  <c r="H463" i="113"/>
  <c r="H470" i="113"/>
  <c r="H477" i="113"/>
  <c r="H484" i="113"/>
  <c r="H491" i="113"/>
  <c r="H498" i="113"/>
  <c r="H505" i="113"/>
  <c r="H512" i="113"/>
  <c r="H519" i="113"/>
  <c r="H526" i="113"/>
  <c r="H533" i="113"/>
  <c r="G9" i="113"/>
  <c r="G16" i="113"/>
  <c r="G23" i="113"/>
  <c r="G30" i="113"/>
  <c r="G37" i="113"/>
  <c r="G44" i="113"/>
  <c r="G51" i="113"/>
  <c r="G58" i="113"/>
  <c r="G65" i="113"/>
  <c r="G72" i="113"/>
  <c r="G79" i="113"/>
  <c r="G86" i="113"/>
  <c r="G93" i="113"/>
  <c r="G100" i="113"/>
  <c r="G107" i="113"/>
  <c r="G114" i="113"/>
  <c r="G121" i="113"/>
  <c r="G128" i="113"/>
  <c r="G135" i="113"/>
  <c r="G142" i="113"/>
  <c r="G149" i="113"/>
  <c r="G156" i="113"/>
  <c r="G163" i="113"/>
  <c r="G170" i="113"/>
  <c r="G177" i="113"/>
  <c r="G184" i="113"/>
  <c r="G191" i="113"/>
  <c r="G198" i="113"/>
  <c r="G205" i="113"/>
  <c r="G212" i="113"/>
  <c r="G219" i="113"/>
  <c r="G226" i="113"/>
  <c r="G233" i="113"/>
  <c r="G240" i="113"/>
  <c r="G247" i="113"/>
  <c r="G254" i="113"/>
  <c r="G261" i="113"/>
  <c r="G268" i="113"/>
  <c r="G275" i="113"/>
  <c r="G282" i="113"/>
  <c r="G289" i="113"/>
  <c r="G296" i="113"/>
  <c r="G303" i="113"/>
  <c r="G310" i="113"/>
  <c r="G317" i="113"/>
  <c r="G324" i="113"/>
  <c r="G331" i="113"/>
  <c r="G338" i="113"/>
  <c r="G345" i="113"/>
  <c r="G352" i="113"/>
  <c r="G359" i="113"/>
  <c r="G366" i="113"/>
  <c r="G373" i="113"/>
  <c r="G380" i="113"/>
  <c r="G387" i="113"/>
  <c r="G394" i="113"/>
  <c r="G401" i="113"/>
  <c r="G408" i="113"/>
  <c r="G415" i="113"/>
  <c r="G422" i="113"/>
  <c r="G429" i="113"/>
  <c r="G436" i="113"/>
  <c r="G443" i="113"/>
  <c r="G450" i="113"/>
  <c r="G457" i="113"/>
  <c r="G464" i="113"/>
  <c r="G471" i="113"/>
  <c r="G478" i="113"/>
  <c r="K70" i="113"/>
  <c r="M70" i="113" s="1"/>
  <c r="S70" i="113" s="1"/>
  <c r="K1138" i="113"/>
  <c r="M1138" i="113" s="1"/>
  <c r="S1138" i="113" s="1"/>
  <c r="K2238" i="113"/>
  <c r="M2238" i="113" s="1"/>
  <c r="S2238" i="113" s="1"/>
  <c r="K1539" i="113"/>
  <c r="M1539" i="113" s="1"/>
  <c r="S1539" i="113" s="1"/>
  <c r="K1985" i="113"/>
  <c r="M1985" i="113" s="1"/>
  <c r="S1985" i="113" s="1"/>
  <c r="K1623" i="113"/>
  <c r="M1623" i="113" s="1"/>
  <c r="S1623" i="113" s="1"/>
  <c r="K1389" i="113"/>
  <c r="M1389" i="113" s="1"/>
  <c r="S1389" i="113" s="1"/>
  <c r="K2477" i="113"/>
  <c r="M2477" i="113" s="1"/>
  <c r="S2477" i="113" s="1"/>
  <c r="K47" i="113"/>
  <c r="M47" i="113" s="1"/>
  <c r="K1404" i="113"/>
  <c r="M1404" i="113" s="1"/>
  <c r="S1404" i="113" s="1"/>
  <c r="K1381" i="113"/>
  <c r="M1381" i="113" s="1"/>
  <c r="O1381" i="113" s="1"/>
  <c r="K2645" i="113"/>
  <c r="M2645" i="113" s="1"/>
  <c r="S2645" i="113" s="1"/>
  <c r="K1393" i="113"/>
  <c r="M1393" i="113" s="1"/>
  <c r="S1393" i="113" s="1"/>
  <c r="K479" i="113"/>
  <c r="M479" i="113" s="1"/>
  <c r="S479" i="113" s="1"/>
  <c r="K631" i="113"/>
  <c r="M631" i="113" s="1"/>
  <c r="S631" i="113" s="1"/>
  <c r="K2493" i="113"/>
  <c r="M2493" i="113" s="1"/>
  <c r="S2493" i="113" s="1"/>
  <c r="K1503" i="113"/>
  <c r="M1503" i="113" s="1"/>
  <c r="S1503" i="113" s="1"/>
  <c r="K1819" i="113"/>
  <c r="M1819" i="113" s="1"/>
  <c r="S1819" i="113" s="1"/>
  <c r="K777" i="113"/>
  <c r="M777" i="113" s="1"/>
  <c r="S777" i="113" s="1"/>
  <c r="K1829" i="113"/>
  <c r="M1829" i="113" s="1"/>
  <c r="S1829" i="113" s="1"/>
  <c r="K1766" i="113"/>
  <c r="M1766" i="113" s="1"/>
  <c r="S1766" i="113" s="1"/>
  <c r="K649" i="113"/>
  <c r="M649" i="113" s="1"/>
  <c r="S649" i="113" s="1"/>
  <c r="K981" i="113"/>
  <c r="M981" i="113" s="1"/>
  <c r="S981" i="113" s="1"/>
  <c r="K572" i="113"/>
  <c r="M572" i="113" s="1"/>
  <c r="S572" i="113" s="1"/>
  <c r="K722" i="113"/>
  <c r="M722" i="113" s="1"/>
  <c r="S722" i="113" s="1"/>
  <c r="K25" i="113"/>
  <c r="M25" i="113" s="1"/>
  <c r="K164" i="113"/>
  <c r="M164" i="113" s="1"/>
  <c r="K1871" i="113"/>
  <c r="M1871" i="113" s="1"/>
  <c r="S1871" i="113" s="1"/>
  <c r="K2495" i="113"/>
  <c r="M2495" i="113" s="1"/>
  <c r="S2495" i="113" s="1"/>
  <c r="K1795" i="113"/>
  <c r="M1795" i="113" s="1"/>
  <c r="S1795" i="113" s="1"/>
  <c r="K2107" i="113"/>
  <c r="M2107" i="113" s="1"/>
  <c r="S2107" i="113" s="1"/>
  <c r="K1804" i="113"/>
  <c r="M1804" i="113" s="1"/>
  <c r="S1804" i="113" s="1"/>
  <c r="K2388" i="113"/>
  <c r="M2388" i="113" s="1"/>
  <c r="S2388" i="113" s="1"/>
  <c r="K1322" i="113"/>
  <c r="M1322" i="113" s="1"/>
  <c r="S1322" i="113" s="1"/>
  <c r="K548" i="113"/>
  <c r="M548" i="113" s="1"/>
  <c r="S548" i="113" s="1"/>
  <c r="K1318" i="113"/>
  <c r="M1318" i="113" s="1"/>
  <c r="S1318" i="113" s="1"/>
  <c r="K412" i="113"/>
  <c r="M412" i="113" s="1"/>
  <c r="S412" i="113" s="1"/>
  <c r="K659" i="113"/>
  <c r="M659" i="113" s="1"/>
  <c r="S659" i="113" s="1"/>
  <c r="K1311" i="113"/>
  <c r="M1311" i="113" s="1"/>
  <c r="S1311" i="113" s="1"/>
  <c r="K1051" i="113"/>
  <c r="M1051" i="113" s="1"/>
  <c r="S1051" i="113" s="1"/>
  <c r="K1259" i="113"/>
  <c r="M1259" i="113" s="1"/>
  <c r="S1259" i="113" s="1"/>
  <c r="K834" i="113"/>
  <c r="M834" i="113" s="1"/>
  <c r="S834" i="113" s="1"/>
  <c r="K1061" i="113"/>
  <c r="M1061" i="113" s="1"/>
  <c r="S1061" i="113" s="1"/>
  <c r="K13" i="113"/>
  <c r="M13" i="113" s="1"/>
  <c r="S13" i="113" s="1"/>
  <c r="K505" i="113"/>
  <c r="M505" i="113" s="1"/>
  <c r="S505" i="113" s="1"/>
  <c r="K1132" i="113"/>
  <c r="M1132" i="113" s="1"/>
  <c r="S1132" i="113" s="1"/>
  <c r="K465" i="113"/>
  <c r="M465" i="113" s="1"/>
  <c r="S465" i="113" s="1"/>
  <c r="K297" i="113"/>
  <c r="M297" i="113" s="1"/>
  <c r="S297" i="113" s="1"/>
  <c r="K120" i="113"/>
  <c r="M120" i="113" s="1"/>
  <c r="K32" i="113"/>
  <c r="M32" i="113" s="1"/>
  <c r="K1715" i="113"/>
  <c r="M1715" i="113" s="1"/>
  <c r="S1715" i="113" s="1"/>
  <c r="K582" i="113"/>
  <c r="M582" i="113" s="1"/>
  <c r="K2067" i="113"/>
  <c r="M2067" i="113" s="1"/>
  <c r="S2067" i="113" s="1"/>
  <c r="K2636" i="113"/>
  <c r="M2636" i="113" s="1"/>
  <c r="S2636" i="113" s="1"/>
  <c r="K2160" i="113"/>
  <c r="M2160" i="113" s="1"/>
  <c r="S2160" i="113" s="1"/>
  <c r="K357" i="113"/>
  <c r="M357" i="113" s="1"/>
  <c r="S357" i="113" s="1"/>
  <c r="K2475" i="113"/>
  <c r="M2475" i="113" s="1"/>
  <c r="S2475" i="113" s="1"/>
  <c r="K2073" i="113"/>
  <c r="M2073" i="113" s="1"/>
  <c r="S2073" i="113" s="1"/>
  <c r="K2097" i="113"/>
  <c r="M2097" i="113" s="1"/>
  <c r="S2097" i="113" s="1"/>
  <c r="K224" i="113"/>
  <c r="M224" i="113" s="1"/>
  <c r="S224" i="113" s="1"/>
  <c r="K1651" i="113"/>
  <c r="M1651" i="113" s="1"/>
  <c r="S1651" i="113" s="1"/>
  <c r="K969" i="113"/>
  <c r="M969" i="113" s="1"/>
  <c r="S969" i="113" s="1"/>
  <c r="K173" i="113"/>
  <c r="M173" i="113" s="1"/>
  <c r="K1081" i="113"/>
  <c r="M1081" i="113" s="1"/>
  <c r="S1081" i="113" s="1"/>
  <c r="K1946" i="113"/>
  <c r="M1946" i="113" s="1"/>
  <c r="S1946" i="113" s="1"/>
  <c r="K1960" i="113"/>
  <c r="M1960" i="113" s="1"/>
  <c r="S1960" i="113" s="1"/>
  <c r="K2308" i="113"/>
  <c r="M2308" i="113" s="1"/>
  <c r="S2308" i="113" s="1"/>
  <c r="K2115" i="113"/>
  <c r="M2115" i="113" s="1"/>
  <c r="S2115" i="113" s="1"/>
  <c r="K943" i="113"/>
  <c r="M943" i="113" s="1"/>
  <c r="S943" i="113" s="1"/>
  <c r="K218" i="113"/>
  <c r="M218" i="113" s="1"/>
  <c r="S218" i="113" s="1"/>
  <c r="K1502" i="113"/>
  <c r="M1502" i="113" s="1"/>
  <c r="S1502" i="113" s="1"/>
  <c r="K928" i="113"/>
  <c r="M928" i="113" s="1"/>
  <c r="S928" i="113" s="1"/>
  <c r="K1330" i="113"/>
  <c r="M1330" i="113" s="1"/>
  <c r="S1330" i="113" s="1"/>
  <c r="K1932" i="113"/>
  <c r="M1932" i="113" s="1"/>
  <c r="S1932" i="113" s="1"/>
  <c r="K1736" i="113"/>
  <c r="M1736" i="113" s="1"/>
  <c r="K887" i="113"/>
  <c r="M887" i="113" s="1"/>
  <c r="S887" i="113" s="1"/>
  <c r="K1260" i="113"/>
  <c r="M1260" i="113" s="1"/>
  <c r="S1260" i="113" s="1"/>
  <c r="K2075" i="113"/>
  <c r="M2075" i="113" s="1"/>
  <c r="S2075" i="113" s="1"/>
  <c r="K768" i="113"/>
  <c r="M768" i="113" s="1"/>
  <c r="S768" i="113" s="1"/>
  <c r="K1001" i="113"/>
  <c r="M1001" i="113" s="1"/>
  <c r="S1001" i="113" s="1"/>
  <c r="K733" i="113"/>
  <c r="M733" i="113" s="1"/>
  <c r="S733" i="113" s="1"/>
  <c r="K516" i="113"/>
  <c r="M516" i="113" s="1"/>
  <c r="S516" i="113" s="1"/>
  <c r="K354" i="113"/>
  <c r="M354" i="113" s="1"/>
  <c r="S354" i="113" s="1"/>
  <c r="K926" i="113"/>
  <c r="M926" i="113" s="1"/>
  <c r="O926" i="113" s="1"/>
  <c r="K588" i="113"/>
  <c r="M588" i="113" s="1"/>
  <c r="S588" i="113" s="1"/>
  <c r="K1069" i="113"/>
  <c r="M1069" i="113" s="1"/>
  <c r="S1069" i="113" s="1"/>
  <c r="K103" i="113"/>
  <c r="M103" i="113" s="1"/>
  <c r="K127" i="113"/>
  <c r="M127" i="113" s="1"/>
  <c r="S127" i="113" s="1"/>
  <c r="K36" i="113"/>
  <c r="M36" i="113" s="1"/>
  <c r="S36" i="113" s="1"/>
  <c r="K266" i="113"/>
  <c r="M266" i="113" s="1"/>
  <c r="S266" i="113" s="1"/>
  <c r="K657" i="113"/>
  <c r="M657" i="113" s="1"/>
  <c r="S657" i="113" s="1"/>
  <c r="K1870" i="113"/>
  <c r="M1870" i="113" s="1"/>
  <c r="S1870" i="113" s="1"/>
  <c r="K1473" i="113"/>
  <c r="M1473" i="113" s="1"/>
  <c r="S1473" i="113" s="1"/>
  <c r="K878" i="113"/>
  <c r="M878" i="113" s="1"/>
  <c r="O878" i="113" s="1"/>
  <c r="K1488" i="113"/>
  <c r="M1488" i="113" s="1"/>
  <c r="S1488" i="113" s="1"/>
  <c r="K907" i="113"/>
  <c r="M907" i="113" s="1"/>
  <c r="S907" i="113" s="1"/>
  <c r="K1604" i="113"/>
  <c r="M1604" i="113" s="1"/>
  <c r="S1604" i="113" s="1"/>
  <c r="K1112" i="113"/>
  <c r="M1112" i="113" s="1"/>
  <c r="S1112" i="113" s="1"/>
  <c r="K1696" i="113"/>
  <c r="M1696" i="113" s="1"/>
  <c r="S1696" i="113" s="1"/>
  <c r="K1233" i="113"/>
  <c r="M1233" i="113" s="1"/>
  <c r="S1233" i="113" s="1"/>
  <c r="K1907" i="113"/>
  <c r="M1907" i="113" s="1"/>
  <c r="S1907" i="113" s="1"/>
  <c r="K1694" i="113"/>
  <c r="M1694" i="113" s="1"/>
  <c r="S1694" i="113" s="1"/>
  <c r="K1465" i="113"/>
  <c r="M1465" i="113" s="1"/>
  <c r="S1465" i="113" s="1"/>
  <c r="K1231" i="113"/>
  <c r="M1231" i="113" s="1"/>
  <c r="S1231" i="113" s="1"/>
  <c r="K861" i="113"/>
  <c r="M861" i="113" s="1"/>
  <c r="S861" i="113" s="1"/>
  <c r="K1210" i="113"/>
  <c r="M1210" i="113" s="1"/>
  <c r="S1210" i="113" s="1"/>
  <c r="K820" i="113"/>
  <c r="M820" i="113" s="1"/>
  <c r="S820" i="113" s="1"/>
  <c r="K1962" i="113"/>
  <c r="M1962" i="113" s="1"/>
  <c r="S1962" i="113" s="1"/>
  <c r="K1754" i="113"/>
  <c r="M1754" i="113" s="1"/>
  <c r="S1754" i="113" s="1"/>
  <c r="K1530" i="113"/>
  <c r="M1530" i="113" s="1"/>
  <c r="S1530" i="113" s="1"/>
  <c r="K1295" i="113"/>
  <c r="M1295" i="113" s="1"/>
  <c r="S1295" i="113" s="1"/>
  <c r="K991" i="113"/>
  <c r="M991" i="113" s="1"/>
  <c r="S991" i="113" s="1"/>
  <c r="K274" i="113"/>
  <c r="M274" i="113" s="1"/>
  <c r="O274" i="113" s="1"/>
  <c r="K2515" i="113"/>
  <c r="M2515" i="113" s="1"/>
  <c r="S2515" i="113" s="1"/>
  <c r="K2310" i="113"/>
  <c r="M2310" i="113" s="1"/>
  <c r="O2310" i="113" s="1"/>
  <c r="K2106" i="113"/>
  <c r="M2106" i="113" s="1"/>
  <c r="S2106" i="113" s="1"/>
  <c r="K1903" i="113"/>
  <c r="M1903" i="113" s="1"/>
  <c r="S1903" i="113" s="1"/>
  <c r="K1691" i="113"/>
  <c r="M1691" i="113" s="1"/>
  <c r="S1691" i="113" s="1"/>
  <c r="K1462" i="113"/>
  <c r="M1462" i="113" s="1"/>
  <c r="S1462" i="113" s="1"/>
  <c r="K1227" i="113"/>
  <c r="M1227" i="113" s="1"/>
  <c r="S1227" i="113" s="1"/>
  <c r="K853" i="113"/>
  <c r="M853" i="113" s="1"/>
  <c r="S853" i="113" s="1"/>
  <c r="K2119" i="113"/>
  <c r="M2119" i="113" s="1"/>
  <c r="S2119" i="113" s="1"/>
  <c r="K1917" i="113"/>
  <c r="M1917" i="113" s="1"/>
  <c r="S1917" i="113" s="1"/>
  <c r="K1705" i="113"/>
  <c r="M1705" i="113" s="1"/>
  <c r="S1705" i="113" s="1"/>
  <c r="K1477" i="113"/>
  <c r="M1477" i="113" s="1"/>
  <c r="S1477" i="113" s="1"/>
  <c r="K1244" i="113"/>
  <c r="M1244" i="113" s="1"/>
  <c r="S1244" i="113" s="1"/>
  <c r="K886" i="113"/>
  <c r="M886" i="113" s="1"/>
  <c r="S886" i="113" s="1"/>
  <c r="K2672" i="113"/>
  <c r="M2672" i="113" s="1"/>
  <c r="S2672" i="113" s="1"/>
  <c r="K2469" i="113"/>
  <c r="M2469" i="113" s="1"/>
  <c r="S2469" i="113" s="1"/>
  <c r="K2264" i="113"/>
  <c r="M2264" i="113" s="1"/>
  <c r="S2264" i="113" s="1"/>
  <c r="K2060" i="113"/>
  <c r="M2060" i="113" s="1"/>
  <c r="S2060" i="113" s="1"/>
  <c r="K1857" i="113"/>
  <c r="M1857" i="113" s="1"/>
  <c r="S1857" i="113" s="1"/>
  <c r="K1641" i="113"/>
  <c r="M1641" i="113" s="1"/>
  <c r="S1641" i="113" s="1"/>
  <c r="K1408" i="113"/>
  <c r="M1408" i="113" s="1"/>
  <c r="S1408" i="113" s="1"/>
  <c r="K1165" i="113"/>
  <c r="M1165" i="113" s="1"/>
  <c r="S1165" i="113" s="1"/>
  <c r="K726" i="113"/>
  <c r="M726" i="113" s="1"/>
  <c r="S726" i="113" s="1"/>
  <c r="K522" i="113"/>
  <c r="M522" i="113" s="1"/>
  <c r="S522" i="113" s="1"/>
  <c r="K66" i="113"/>
  <c r="M66" i="113" s="1"/>
  <c r="S66" i="113" s="1"/>
  <c r="K666" i="113"/>
  <c r="M666" i="113" s="1"/>
  <c r="S666" i="113" s="1"/>
  <c r="K333" i="113"/>
  <c r="M333" i="113" s="1"/>
  <c r="S333" i="113" s="1"/>
  <c r="K984" i="113"/>
  <c r="M984" i="113" s="1"/>
  <c r="S984" i="113" s="1"/>
  <c r="K750" i="113"/>
  <c r="M750" i="113" s="1"/>
  <c r="S750" i="113" s="1"/>
  <c r="K491" i="113"/>
  <c r="M491" i="113" s="1"/>
  <c r="S491" i="113" s="1"/>
  <c r="K28" i="113"/>
  <c r="M28" i="113" s="1"/>
  <c r="K951" i="113"/>
  <c r="M951" i="113" s="1"/>
  <c r="S951" i="113" s="1"/>
  <c r="K714" i="113"/>
  <c r="M714" i="113" s="1"/>
  <c r="O714" i="113" s="1"/>
  <c r="K430" i="113"/>
  <c r="M430" i="113" s="1"/>
  <c r="S430" i="113" s="1"/>
  <c r="K1202" i="113"/>
  <c r="M1202" i="113" s="1"/>
  <c r="S1202" i="113" s="1"/>
  <c r="K982" i="113"/>
  <c r="M982" i="113" s="1"/>
  <c r="S982" i="113" s="1"/>
  <c r="K748" i="113"/>
  <c r="M748" i="113" s="1"/>
  <c r="S748" i="113" s="1"/>
  <c r="K487" i="113"/>
  <c r="M487" i="113" s="1"/>
  <c r="S487" i="113" s="1"/>
  <c r="K23" i="113"/>
  <c r="M23" i="113" s="1"/>
  <c r="K848" i="113"/>
  <c r="M848" i="113" s="1"/>
  <c r="S848" i="113" s="1"/>
  <c r="K610" i="113"/>
  <c r="M610" i="113" s="1"/>
  <c r="S610" i="113" s="1"/>
  <c r="K226" i="113"/>
  <c r="M226" i="113" s="1"/>
  <c r="O226" i="113" s="1"/>
  <c r="K318" i="113"/>
  <c r="M318" i="113" s="1"/>
  <c r="S318" i="113" s="1"/>
  <c r="K1747" i="113"/>
  <c r="M1747" i="113" s="1"/>
  <c r="S1747" i="113" s="1"/>
  <c r="K1544" i="113"/>
  <c r="M1544" i="113" s="1"/>
  <c r="S1544" i="113" s="1"/>
  <c r="K1343" i="113"/>
  <c r="M1343" i="113" s="1"/>
  <c r="S1343" i="113" s="1"/>
  <c r="K1134" i="113"/>
  <c r="M1134" i="113" s="1"/>
  <c r="S1134" i="113" s="1"/>
  <c r="K910" i="113"/>
  <c r="M910" i="113" s="1"/>
  <c r="S910" i="113" s="1"/>
  <c r="K675" i="113"/>
  <c r="M675" i="113" s="1"/>
  <c r="S675" i="113" s="1"/>
  <c r="K348" i="113"/>
  <c r="M348" i="113" s="1"/>
  <c r="S348" i="113" s="1"/>
  <c r="K1039" i="113"/>
  <c r="M1039" i="113" s="1"/>
  <c r="O1039" i="113" s="1"/>
  <c r="K808" i="113"/>
  <c r="M808" i="113" s="1"/>
  <c r="S808" i="113" s="1"/>
  <c r="K571" i="113"/>
  <c r="M571" i="113" s="1"/>
  <c r="S571" i="113" s="1"/>
  <c r="K144" i="113"/>
  <c r="M144" i="113" s="1"/>
  <c r="S144" i="113" s="1"/>
  <c r="K1470" i="113"/>
  <c r="M1470" i="113" s="1"/>
  <c r="S1470" i="113" s="1"/>
  <c r="K1269" i="113"/>
  <c r="M1269" i="113" s="1"/>
  <c r="S1269" i="113" s="1"/>
  <c r="K1054" i="113"/>
  <c r="M1054" i="113" s="1"/>
  <c r="S1054" i="113" s="1"/>
  <c r="K823" i="113"/>
  <c r="M823" i="113" s="1"/>
  <c r="S823" i="113" s="1"/>
  <c r="K587" i="113"/>
  <c r="M587" i="113" s="1"/>
  <c r="S587" i="113" s="1"/>
  <c r="K174" i="113"/>
  <c r="M174" i="113" s="1"/>
  <c r="K292" i="113"/>
  <c r="M292" i="113" s="1"/>
  <c r="S292" i="113" s="1"/>
  <c r="K88" i="113"/>
  <c r="M88" i="113" s="1"/>
  <c r="S88" i="113" s="1"/>
  <c r="K393" i="113"/>
  <c r="M393" i="113" s="1"/>
  <c r="S393" i="113" s="1"/>
  <c r="K190" i="113"/>
  <c r="M190" i="113" s="1"/>
  <c r="S190" i="113" s="1"/>
  <c r="K519" i="113"/>
  <c r="M519" i="113" s="1"/>
  <c r="S519" i="113" s="1"/>
  <c r="K316" i="113"/>
  <c r="M316" i="113" s="1"/>
  <c r="S316" i="113" s="1"/>
  <c r="K112" i="113"/>
  <c r="M112" i="113" s="1"/>
  <c r="S112" i="113" s="1"/>
  <c r="K474" i="113"/>
  <c r="M474" i="113" s="1"/>
  <c r="S474" i="113" s="1"/>
  <c r="K271" i="113"/>
  <c r="M271" i="113" s="1"/>
  <c r="S271" i="113" s="1"/>
  <c r="K68" i="113"/>
  <c r="M68" i="113" s="1"/>
  <c r="S68" i="113" s="1"/>
  <c r="K428" i="113"/>
  <c r="M428" i="113" s="1"/>
  <c r="S428" i="113" s="1"/>
  <c r="K225" i="113"/>
  <c r="M225" i="113" s="1"/>
  <c r="O225" i="113" s="1"/>
  <c r="K21" i="113"/>
  <c r="M21" i="113" s="1"/>
  <c r="S21" i="113" s="1"/>
  <c r="K1062" i="113"/>
  <c r="M1062" i="113" s="1"/>
  <c r="S1062" i="113" s="1"/>
  <c r="K860" i="113"/>
  <c r="M860" i="113" s="1"/>
  <c r="S860" i="113" s="1"/>
  <c r="K658" i="113"/>
  <c r="M658" i="113" s="1"/>
  <c r="S658" i="113" s="1"/>
  <c r="K455" i="113"/>
  <c r="M455" i="113" s="1"/>
  <c r="S455" i="113" s="1"/>
  <c r="K252" i="113"/>
  <c r="M252" i="113" s="1"/>
  <c r="K48" i="113"/>
  <c r="M48" i="113" s="1"/>
  <c r="K845" i="113"/>
  <c r="M845" i="113" s="1"/>
  <c r="S845" i="113" s="1"/>
  <c r="K642" i="113"/>
  <c r="M642" i="113" s="1"/>
  <c r="S642" i="113" s="1"/>
  <c r="K439" i="113"/>
  <c r="M439" i="113" s="1"/>
  <c r="S439" i="113" s="1"/>
  <c r="K236" i="113"/>
  <c r="M236" i="113" s="1"/>
  <c r="K33" i="113"/>
  <c r="M33" i="113" s="1"/>
  <c r="K366" i="113"/>
  <c r="M366" i="113" s="1"/>
  <c r="S366" i="113" s="1"/>
  <c r="K162" i="113"/>
  <c r="M162" i="113" s="1"/>
  <c r="S162" i="113" s="1"/>
  <c r="K901" i="113"/>
  <c r="M901" i="113" s="1"/>
  <c r="S901" i="113" s="1"/>
  <c r="K2116" i="113"/>
  <c r="M2116" i="113" s="1"/>
  <c r="S2116" i="113" s="1"/>
  <c r="K2478" i="113"/>
  <c r="M2478" i="113" s="1"/>
  <c r="S2478" i="113" s="1"/>
  <c r="K938" i="113"/>
  <c r="M938" i="113" s="1"/>
  <c r="S938" i="113" s="1"/>
  <c r="K1713" i="113"/>
  <c r="M1713" i="113" s="1"/>
  <c r="S1713" i="113" s="1"/>
  <c r="K2511" i="113"/>
  <c r="M2511" i="113" s="1"/>
  <c r="S2511" i="113" s="1"/>
  <c r="K1314" i="113"/>
  <c r="M1314" i="113" s="1"/>
  <c r="S1314" i="113" s="1"/>
  <c r="K1876" i="113"/>
  <c r="M1876" i="113" s="1"/>
  <c r="S1876" i="113" s="1"/>
  <c r="K2154" i="113"/>
  <c r="M2154" i="113" s="1"/>
  <c r="S2154" i="113" s="1"/>
  <c r="K2393" i="113"/>
  <c r="M2393" i="113" s="1"/>
  <c r="S2393" i="113" s="1"/>
  <c r="K2632" i="113"/>
  <c r="M2632" i="113" s="1"/>
  <c r="S2632" i="113" s="1"/>
  <c r="K948" i="113"/>
  <c r="M948" i="113" s="1"/>
  <c r="S948" i="113" s="1"/>
  <c r="K1716" i="113"/>
  <c r="M1716" i="113" s="1"/>
  <c r="S1716" i="113" s="1"/>
  <c r="K2065" i="113"/>
  <c r="M2065" i="113" s="1"/>
  <c r="S2065" i="113" s="1"/>
  <c r="K2309" i="113"/>
  <c r="M2309" i="113" s="1"/>
  <c r="S2309" i="113" s="1"/>
  <c r="K2548" i="113"/>
  <c r="M2548" i="113" s="1"/>
  <c r="S2548" i="113" s="1"/>
  <c r="K187" i="113"/>
  <c r="M187" i="113" s="1"/>
  <c r="S187" i="113" s="1"/>
  <c r="K1553" i="113"/>
  <c r="M1553" i="113" s="1"/>
  <c r="S1553" i="113" s="1"/>
  <c r="K1993" i="113"/>
  <c r="M1993" i="113" s="1"/>
  <c r="S1993" i="113" s="1"/>
  <c r="K2242" i="113"/>
  <c r="M2242" i="113" s="1"/>
  <c r="S2242" i="113" s="1"/>
  <c r="K2481" i="113"/>
  <c r="M2481" i="113" s="1"/>
  <c r="S2481" i="113" s="1"/>
  <c r="K1040" i="113"/>
  <c r="M1040" i="113" s="1"/>
  <c r="O1040" i="113" s="1"/>
  <c r="K1323" i="113"/>
  <c r="M1323" i="113" s="1"/>
  <c r="S1323" i="113" s="1"/>
  <c r="K1880" i="113"/>
  <c r="M1880" i="113" s="1"/>
  <c r="S1880" i="113" s="1"/>
  <c r="K2157" i="113"/>
  <c r="M2157" i="113" s="1"/>
  <c r="S2157" i="113" s="1"/>
  <c r="K2397" i="113"/>
  <c r="M2397" i="113" s="1"/>
  <c r="S2397" i="113" s="1"/>
  <c r="K2635" i="113"/>
  <c r="M2635" i="113" s="1"/>
  <c r="S2635" i="113" s="1"/>
  <c r="K240" i="113"/>
  <c r="M240" i="113" s="1"/>
  <c r="K1559" i="113"/>
  <c r="M1559" i="113" s="1"/>
  <c r="S1559" i="113" s="1"/>
  <c r="K1995" i="113"/>
  <c r="M1995" i="113" s="1"/>
  <c r="S1995" i="113" s="1"/>
  <c r="K2244" i="113"/>
  <c r="M2244" i="113" s="1"/>
  <c r="S2244" i="113" s="1"/>
  <c r="K2483" i="113"/>
  <c r="M2483" i="113" s="1"/>
  <c r="S2483" i="113" s="1"/>
  <c r="K725" i="113"/>
  <c r="M725" i="113" s="1"/>
  <c r="S725" i="113" s="1"/>
  <c r="K1655" i="113"/>
  <c r="M1655" i="113" s="1"/>
  <c r="S1655" i="113" s="1"/>
  <c r="K2034" i="113"/>
  <c r="M2034" i="113" s="1"/>
  <c r="S2034" i="113" s="1"/>
  <c r="K2279" i="113"/>
  <c r="M2279" i="113" s="1"/>
  <c r="S2279" i="113" s="1"/>
  <c r="K2519" i="113"/>
  <c r="M2519" i="113" s="1"/>
  <c r="S2519" i="113" s="1"/>
  <c r="K304" i="113"/>
  <c r="M304" i="113" s="1"/>
  <c r="S304" i="113" s="1"/>
  <c r="K1566" i="113"/>
  <c r="M1566" i="113" s="1"/>
  <c r="S1566" i="113" s="1"/>
  <c r="K1853" i="113"/>
  <c r="M1853" i="113" s="1"/>
  <c r="S1853" i="113" s="1"/>
  <c r="K1131" i="113"/>
  <c r="M1131" i="113" s="1"/>
  <c r="S1131" i="113" s="1"/>
  <c r="K1676" i="113"/>
  <c r="M1676" i="113" s="1"/>
  <c r="S1676" i="113" s="1"/>
  <c r="K1123" i="113"/>
  <c r="M1123" i="113" s="1"/>
  <c r="S1123" i="113" s="1"/>
  <c r="K2396" i="113"/>
  <c r="M2396" i="113" s="1"/>
  <c r="S2396" i="113" s="1"/>
  <c r="K665" i="113"/>
  <c r="M665" i="113" s="1"/>
  <c r="S665" i="113" s="1"/>
  <c r="K998" i="113"/>
  <c r="M998" i="113" s="1"/>
  <c r="S998" i="113" s="1"/>
  <c r="K1621" i="113"/>
  <c r="M1621" i="113" s="1"/>
  <c r="S1621" i="113" s="1"/>
  <c r="K1366" i="113"/>
  <c r="M1366" i="113" s="1"/>
  <c r="S1366" i="113" s="1"/>
  <c r="K574" i="113"/>
  <c r="M574" i="113" s="1"/>
  <c r="O574" i="113" s="1"/>
  <c r="K1816" i="113"/>
  <c r="M1816" i="113" s="1"/>
  <c r="S1816" i="113" s="1"/>
  <c r="K2585" i="113"/>
  <c r="M2585" i="113" s="1"/>
  <c r="S2585" i="113" s="1"/>
  <c r="K340" i="113"/>
  <c r="M340" i="113" s="1"/>
  <c r="S340" i="113" s="1"/>
  <c r="K882" i="113"/>
  <c r="M882" i="113" s="1"/>
  <c r="S882" i="113" s="1"/>
  <c r="K1458" i="113"/>
  <c r="M1458" i="113" s="1"/>
  <c r="S1458" i="113" s="1"/>
  <c r="K1585" i="113"/>
  <c r="M1585" i="113" s="1"/>
  <c r="S1585" i="113" s="1"/>
  <c r="K432" i="113"/>
  <c r="M432" i="113" s="1"/>
  <c r="S432" i="113" s="1"/>
  <c r="K368" i="113"/>
  <c r="M368" i="113" s="1"/>
  <c r="S368" i="113" s="1"/>
  <c r="K75" i="113"/>
  <c r="M75" i="113" s="1"/>
  <c r="K2257" i="113"/>
  <c r="M2257" i="113" s="1"/>
  <c r="S2257" i="113" s="1"/>
  <c r="K2102" i="113"/>
  <c r="M2102" i="113" s="1"/>
  <c r="S2102" i="113" s="1"/>
  <c r="K2346" i="113"/>
  <c r="M2346" i="113" s="1"/>
  <c r="S2346" i="113" s="1"/>
  <c r="K2109" i="113"/>
  <c r="M2109" i="113" s="1"/>
  <c r="S2109" i="113" s="1"/>
  <c r="K1192" i="113"/>
  <c r="M1192" i="113" s="1"/>
  <c r="S1192" i="113" s="1"/>
  <c r="K2545" i="113"/>
  <c r="M2545" i="113" s="1"/>
  <c r="S2545" i="113" s="1"/>
  <c r="K1067" i="113"/>
  <c r="M1067" i="113" s="1"/>
  <c r="S1067" i="113" s="1"/>
  <c r="K1551" i="113"/>
  <c r="M1551" i="113" s="1"/>
  <c r="S1551" i="113" s="1"/>
  <c r="K1027" i="113"/>
  <c r="M1027" i="113" s="1"/>
  <c r="S1027" i="113" s="1"/>
  <c r="K1126" i="113"/>
  <c r="M1126" i="113" s="1"/>
  <c r="S1126" i="113" s="1"/>
  <c r="K1546" i="113"/>
  <c r="M1546" i="113" s="1"/>
  <c r="S1546" i="113" s="1"/>
  <c r="K1326" i="113"/>
  <c r="M1326" i="113" s="1"/>
  <c r="S1326" i="113" s="1"/>
  <c r="K1492" i="113"/>
  <c r="M1492" i="113" s="1"/>
  <c r="S1492" i="113" s="1"/>
  <c r="K29" i="113"/>
  <c r="M29" i="113" s="1"/>
  <c r="S29" i="113" s="1"/>
  <c r="K128" i="113"/>
  <c r="M128" i="113" s="1"/>
  <c r="K392" i="113"/>
  <c r="M392" i="113" s="1"/>
  <c r="S392" i="113" s="1"/>
  <c r="K757" i="113"/>
  <c r="M757" i="113" s="1"/>
  <c r="S757" i="113" s="1"/>
  <c r="K1341" i="113"/>
  <c r="M1341" i="113" s="1"/>
  <c r="S1341" i="113" s="1"/>
  <c r="K262" i="113"/>
  <c r="M262" i="113" s="1"/>
  <c r="O262" i="113" s="1"/>
  <c r="K140" i="113"/>
  <c r="M140" i="113" s="1"/>
  <c r="K324" i="113"/>
  <c r="M324" i="113" s="1"/>
  <c r="S324" i="113" s="1"/>
  <c r="K235" i="113"/>
  <c r="M235" i="113" s="1"/>
  <c r="K2064" i="113"/>
  <c r="M2064" i="113" s="1"/>
  <c r="S2064" i="113" s="1"/>
  <c r="K2463" i="113"/>
  <c r="M2463" i="113" s="1"/>
  <c r="K1724" i="113"/>
  <c r="M1724" i="113" s="1"/>
  <c r="S1724" i="113" s="1"/>
  <c r="K1422" i="113"/>
  <c r="M1422" i="113" s="1"/>
  <c r="S1422" i="113" s="1"/>
  <c r="K2402" i="113"/>
  <c r="M2402" i="113" s="1"/>
  <c r="S2402" i="113" s="1"/>
  <c r="K389" i="113"/>
  <c r="M389" i="113" s="1"/>
  <c r="S389" i="113" s="1"/>
  <c r="K2353" i="113"/>
  <c r="M2353" i="113" s="1"/>
  <c r="S2353" i="113" s="1"/>
  <c r="K1391" i="113"/>
  <c r="M1391" i="113" s="1"/>
  <c r="S1391" i="113" s="1"/>
  <c r="K1781" i="113"/>
  <c r="M1781" i="113" s="1"/>
  <c r="S1781" i="113" s="1"/>
  <c r="K978" i="113"/>
  <c r="M978" i="113" s="1"/>
  <c r="S978" i="113" s="1"/>
  <c r="K342" i="113"/>
  <c r="M342" i="113" s="1"/>
  <c r="S342" i="113" s="1"/>
  <c r="K1518" i="113"/>
  <c r="M1518" i="113" s="1"/>
  <c r="S1518" i="113" s="1"/>
  <c r="K963" i="113"/>
  <c r="M963" i="113" s="1"/>
  <c r="S963" i="113" s="1"/>
  <c r="K1346" i="113"/>
  <c r="M1346" i="113" s="1"/>
  <c r="S1346" i="113" s="1"/>
  <c r="K1737" i="113"/>
  <c r="M1737" i="113" s="1"/>
  <c r="S1737" i="113" s="1"/>
  <c r="K1752" i="113"/>
  <c r="M1752" i="113" s="1"/>
  <c r="S1752" i="113" s="1"/>
  <c r="K2513" i="113"/>
  <c r="M2513" i="113" s="1"/>
  <c r="S2513" i="113" s="1"/>
  <c r="K1820" i="113"/>
  <c r="M1820" i="113" s="1"/>
  <c r="S1820" i="113" s="1"/>
  <c r="K107" i="113"/>
  <c r="M107" i="113" s="1"/>
  <c r="S107" i="113" s="1"/>
  <c r="K1635" i="113"/>
  <c r="M1635" i="113" s="1"/>
  <c r="S1635" i="113" s="1"/>
  <c r="K1266" i="113"/>
  <c r="M1266" i="113" s="1"/>
  <c r="S1266" i="113" s="1"/>
  <c r="K52" i="113"/>
  <c r="M52" i="113" s="1"/>
  <c r="K1053" i="113"/>
  <c r="M1053" i="113" s="1"/>
  <c r="S1053" i="113" s="1"/>
  <c r="K1722" i="113"/>
  <c r="M1722" i="113" s="1"/>
  <c r="S1722" i="113" s="1"/>
  <c r="K1510" i="113"/>
  <c r="M1510" i="113" s="1"/>
  <c r="S1510" i="113" s="1"/>
  <c r="K2089" i="113"/>
  <c r="M2089" i="113" s="1"/>
  <c r="S2089" i="113" s="1"/>
  <c r="K136" i="113"/>
  <c r="M136" i="113" s="1"/>
  <c r="K543" i="113"/>
  <c r="M543" i="113" s="1"/>
  <c r="S543" i="113" s="1"/>
  <c r="K1015" i="113"/>
  <c r="M1015" i="113" s="1"/>
  <c r="S1015" i="113" s="1"/>
  <c r="K646" i="113"/>
  <c r="M646" i="113" s="1"/>
  <c r="S646" i="113" s="1"/>
  <c r="K1166" i="113"/>
  <c r="M1166" i="113" s="1"/>
  <c r="S1166" i="113" s="1"/>
  <c r="K2374" i="113"/>
  <c r="M2374" i="113" s="1"/>
  <c r="S2374" i="113" s="1"/>
  <c r="K911" i="113"/>
  <c r="M911" i="113" s="1"/>
  <c r="S911" i="113" s="1"/>
  <c r="K1270" i="113"/>
  <c r="M1270" i="113" s="1"/>
  <c r="S1270" i="113" s="1"/>
  <c r="K1385" i="113"/>
  <c r="M1385" i="113" s="1"/>
  <c r="S1385" i="113" s="1"/>
  <c r="K1483" i="113"/>
  <c r="M1483" i="113" s="1"/>
  <c r="S1483" i="113" s="1"/>
  <c r="K1709" i="113"/>
  <c r="M1709" i="113" s="1"/>
  <c r="S1709" i="113" s="1"/>
  <c r="K895" i="113"/>
  <c r="M895" i="113" s="1"/>
  <c r="S895" i="113" s="1"/>
  <c r="K1769" i="113"/>
  <c r="M1769" i="113" s="1"/>
  <c r="S1769" i="113" s="1"/>
  <c r="K391" i="113"/>
  <c r="M391" i="113" s="1"/>
  <c r="S391" i="113" s="1"/>
  <c r="K1918" i="113"/>
  <c r="M1918" i="113" s="1"/>
  <c r="S1918" i="113" s="1"/>
  <c r="K2134" i="113"/>
  <c r="M2134" i="113" s="1"/>
  <c r="S2134" i="113" s="1"/>
  <c r="K921" i="113"/>
  <c r="M921" i="113" s="1"/>
  <c r="S921" i="113" s="1"/>
  <c r="K1872" i="113"/>
  <c r="M1872" i="113" s="1"/>
  <c r="S1872" i="113" s="1"/>
  <c r="K1424" i="113"/>
  <c r="M1424" i="113" s="1"/>
  <c r="S1424" i="113" s="1"/>
  <c r="K371" i="113"/>
  <c r="M371" i="113" s="1"/>
  <c r="S371" i="113" s="1"/>
  <c r="K967" i="113"/>
  <c r="M967" i="113" s="1"/>
  <c r="S967" i="113" s="1"/>
  <c r="K764" i="113"/>
  <c r="M764" i="113" s="1"/>
  <c r="S764" i="113" s="1"/>
  <c r="K259" i="113"/>
  <c r="M259" i="113" s="1"/>
  <c r="O259" i="113" s="1"/>
  <c r="K1151" i="113"/>
  <c r="M1151" i="113" s="1"/>
  <c r="S1151" i="113" s="1"/>
  <c r="K824" i="113"/>
  <c r="M824" i="113" s="1"/>
  <c r="S824" i="113" s="1"/>
  <c r="K840" i="113"/>
  <c r="M840" i="113" s="1"/>
  <c r="S840" i="113" s="1"/>
  <c r="K407" i="113"/>
  <c r="M407" i="113" s="1"/>
  <c r="K489" i="113"/>
  <c r="M489" i="113" s="1"/>
  <c r="S489" i="113" s="1"/>
  <c r="K1077" i="113"/>
  <c r="M1077" i="113" s="1"/>
  <c r="S1077" i="113" s="1"/>
  <c r="K62" i="113"/>
  <c r="M62" i="113" s="1"/>
  <c r="K454" i="113"/>
  <c r="M454" i="113" s="1"/>
  <c r="O454" i="113" s="1"/>
  <c r="K2152" i="113"/>
  <c r="M2152" i="113" s="1"/>
  <c r="S2152" i="113" s="1"/>
  <c r="K1238" i="113"/>
  <c r="M1238" i="113" s="1"/>
  <c r="S1238" i="113" s="1"/>
  <c r="K1926" i="113"/>
  <c r="M1926" i="113" s="1"/>
  <c r="S1926" i="113" s="1"/>
  <c r="K1714" i="113"/>
  <c r="M1714" i="113" s="1"/>
  <c r="S1714" i="113" s="1"/>
  <c r="K1253" i="113"/>
  <c r="M1253" i="113" s="1"/>
  <c r="S1253" i="113" s="1"/>
  <c r="K1822" i="113"/>
  <c r="M1822" i="113" s="1"/>
  <c r="S1822" i="113" s="1"/>
  <c r="K1367" i="113"/>
  <c r="M1367" i="113" s="1"/>
  <c r="S1367" i="113" s="1"/>
  <c r="K634" i="113"/>
  <c r="M634" i="113" s="1"/>
  <c r="S634" i="113" s="1"/>
  <c r="K1467" i="113"/>
  <c r="M1467" i="113" s="1"/>
  <c r="S1467" i="113" s="1"/>
  <c r="K863" i="113"/>
  <c r="M863" i="113" s="1"/>
  <c r="S863" i="113" s="1"/>
  <c r="K1352" i="113"/>
  <c r="M1352" i="113" s="1"/>
  <c r="S1352" i="113" s="1"/>
  <c r="K1896" i="113"/>
  <c r="M1896" i="113" s="1"/>
  <c r="K2169" i="113"/>
  <c r="M2169" i="113" s="1"/>
  <c r="S2169" i="113" s="1"/>
  <c r="K2408" i="113"/>
  <c r="M2408" i="113" s="1"/>
  <c r="S2408" i="113" s="1"/>
  <c r="K2646" i="113"/>
  <c r="M2646" i="113" s="1"/>
  <c r="S2646" i="113" s="1"/>
  <c r="K1455" i="113"/>
  <c r="M1455" i="113" s="1"/>
  <c r="S1455" i="113" s="1"/>
  <c r="K1220" i="113"/>
  <c r="M1220" i="113" s="1"/>
  <c r="S1220" i="113" s="1"/>
  <c r="K837" i="113"/>
  <c r="M837" i="113" s="1"/>
  <c r="S837" i="113" s="1"/>
  <c r="K1912" i="113"/>
  <c r="M1912" i="113" s="1"/>
  <c r="S1912" i="113" s="1"/>
  <c r="K1699" i="113"/>
  <c r="M1699" i="113" s="1"/>
  <c r="S1699" i="113" s="1"/>
  <c r="K1471" i="113"/>
  <c r="M1471" i="113" s="1"/>
  <c r="S1471" i="113" s="1"/>
  <c r="K1237" i="113"/>
  <c r="M1237" i="113" s="1"/>
  <c r="S1237" i="113" s="1"/>
  <c r="K872" i="113"/>
  <c r="M872" i="113" s="1"/>
  <c r="S872" i="113" s="1"/>
  <c r="K1807" i="113"/>
  <c r="M1807" i="113" s="1"/>
  <c r="S1807" i="113" s="1"/>
  <c r="K1586" i="113"/>
  <c r="M1586" i="113" s="1"/>
  <c r="S1586" i="113" s="1"/>
  <c r="K1351" i="113"/>
  <c r="M1351" i="113" s="1"/>
  <c r="S1351" i="113" s="1"/>
  <c r="K1089" i="113"/>
  <c r="M1089" i="113" s="1"/>
  <c r="S1089" i="113" s="1"/>
  <c r="K590" i="113"/>
  <c r="M590" i="113" s="1"/>
  <c r="S590" i="113" s="1"/>
  <c r="K1681" i="113"/>
  <c r="M1681" i="113" s="1"/>
  <c r="S1681" i="113" s="1"/>
  <c r="K1450" i="113"/>
  <c r="M1450" i="113" s="1"/>
  <c r="K1215" i="113"/>
  <c r="M1215" i="113" s="1"/>
  <c r="S1215" i="113" s="1"/>
  <c r="K826" i="113"/>
  <c r="M826" i="113" s="1"/>
  <c r="S826" i="113" s="1"/>
  <c r="K1892" i="113"/>
  <c r="M1892" i="113" s="1"/>
  <c r="S1892" i="113" s="1"/>
  <c r="K1678" i="113"/>
  <c r="M1678" i="113" s="1"/>
  <c r="S1678" i="113" s="1"/>
  <c r="K1448" i="113"/>
  <c r="M1448" i="113" s="1"/>
  <c r="S1448" i="113" s="1"/>
  <c r="K1212" i="113"/>
  <c r="M1212" i="113" s="1"/>
  <c r="K821" i="113"/>
  <c r="M821" i="113" s="1"/>
  <c r="S821" i="113" s="1"/>
  <c r="K1190" i="113"/>
  <c r="M1190" i="113" s="1"/>
  <c r="S1190" i="113" s="1"/>
  <c r="K778" i="113"/>
  <c r="M778" i="113" s="1"/>
  <c r="O778" i="113" s="1"/>
  <c r="K1947" i="113"/>
  <c r="M1947" i="113" s="1"/>
  <c r="S1947" i="113" s="1"/>
  <c r="K1738" i="113"/>
  <c r="M1738" i="113" s="1"/>
  <c r="S1738" i="113" s="1"/>
  <c r="K1512" i="113"/>
  <c r="M1512" i="113" s="1"/>
  <c r="S1512" i="113" s="1"/>
  <c r="K1278" i="113"/>
  <c r="M1278" i="113" s="1"/>
  <c r="S1278" i="113" s="1"/>
  <c r="K956" i="113"/>
  <c r="M956" i="113" s="1"/>
  <c r="K154" i="113"/>
  <c r="M154" i="113" s="1"/>
  <c r="K2500" i="113"/>
  <c r="M2500" i="113" s="1"/>
  <c r="S2500" i="113" s="1"/>
  <c r="K2295" i="113"/>
  <c r="M2295" i="113" s="1"/>
  <c r="S2295" i="113" s="1"/>
  <c r="K2091" i="113"/>
  <c r="M2091" i="113" s="1"/>
  <c r="S2091" i="113" s="1"/>
  <c r="K1889" i="113"/>
  <c r="M1889" i="113" s="1"/>
  <c r="S1889" i="113" s="1"/>
  <c r="K1675" i="113"/>
  <c r="M1675" i="113" s="1"/>
  <c r="S1675" i="113" s="1"/>
  <c r="K1445" i="113"/>
  <c r="M1445" i="113" s="1"/>
  <c r="S1445" i="113" s="1"/>
  <c r="K1207" i="113"/>
  <c r="M1207" i="113" s="1"/>
  <c r="S1207" i="113" s="1"/>
  <c r="K811" i="113"/>
  <c r="M811" i="113" s="1"/>
  <c r="S811" i="113" s="1"/>
  <c r="K2105" i="113"/>
  <c r="M2105" i="113" s="1"/>
  <c r="S2105" i="113" s="1"/>
  <c r="K1902" i="113"/>
  <c r="M1902" i="113" s="1"/>
  <c r="S1902" i="113" s="1"/>
  <c r="K1690" i="113"/>
  <c r="M1690" i="113" s="1"/>
  <c r="S1690" i="113" s="1"/>
  <c r="K1461" i="113"/>
  <c r="M1461" i="113" s="1"/>
  <c r="S1461" i="113" s="1"/>
  <c r="K1225" i="113"/>
  <c r="M1225" i="113" s="1"/>
  <c r="S1225" i="113" s="1"/>
  <c r="K847" i="113"/>
  <c r="M847" i="113" s="1"/>
  <c r="S847" i="113" s="1"/>
  <c r="K2658" i="113"/>
  <c r="M2658" i="113" s="1"/>
  <c r="S2658" i="113" s="1"/>
  <c r="K2455" i="113"/>
  <c r="M2455" i="113" s="1"/>
  <c r="S2455" i="113" s="1"/>
  <c r="K2249" i="113"/>
  <c r="M2249" i="113" s="1"/>
  <c r="S2249" i="113" s="1"/>
  <c r="K2046" i="113"/>
  <c r="M2046" i="113" s="1"/>
  <c r="S2046" i="113" s="1"/>
  <c r="K1843" i="113"/>
  <c r="M1843" i="113" s="1"/>
  <c r="K1626" i="113"/>
  <c r="M1626" i="113" s="1"/>
  <c r="S1626" i="113" s="1"/>
  <c r="K1392" i="113"/>
  <c r="M1392" i="113" s="1"/>
  <c r="S1392" i="113" s="1"/>
  <c r="K1143" i="113"/>
  <c r="M1143" i="113" s="1"/>
  <c r="S1143" i="113" s="1"/>
  <c r="K688" i="113"/>
  <c r="M688" i="113" s="1"/>
  <c r="S688" i="113" s="1"/>
  <c r="K493" i="113"/>
  <c r="M493" i="113" s="1"/>
  <c r="S493" i="113" s="1"/>
  <c r="K35" i="113"/>
  <c r="M35" i="113" s="1"/>
  <c r="K650" i="113"/>
  <c r="M650" i="113" s="1"/>
  <c r="S650" i="113" s="1"/>
  <c r="K302" i="113"/>
  <c r="M302" i="113" s="1"/>
  <c r="S302" i="113" s="1"/>
  <c r="K968" i="113"/>
  <c r="M968" i="113" s="1"/>
  <c r="S968" i="113" s="1"/>
  <c r="K734" i="113"/>
  <c r="M734" i="113" s="1"/>
  <c r="O734" i="113" s="1"/>
  <c r="K462" i="113"/>
  <c r="M462" i="113" s="1"/>
  <c r="S462" i="113" s="1"/>
  <c r="K1157" i="113"/>
  <c r="M1157" i="113" s="1"/>
  <c r="S1157" i="113" s="1"/>
  <c r="K934" i="113"/>
  <c r="M934" i="113" s="1"/>
  <c r="O934" i="113" s="1"/>
  <c r="K698" i="113"/>
  <c r="M698" i="113" s="1"/>
  <c r="S698" i="113" s="1"/>
  <c r="K400" i="113"/>
  <c r="M400" i="113" s="1"/>
  <c r="S400" i="113" s="1"/>
  <c r="K1187" i="113"/>
  <c r="M1187" i="113" s="1"/>
  <c r="S1187" i="113" s="1"/>
  <c r="K966" i="113"/>
  <c r="M966" i="113" s="1"/>
  <c r="S966" i="113" s="1"/>
  <c r="K732" i="113"/>
  <c r="M732" i="113" s="1"/>
  <c r="S732" i="113" s="1"/>
  <c r="K458" i="113"/>
  <c r="M458" i="113" s="1"/>
  <c r="S458" i="113" s="1"/>
  <c r="K1060" i="113"/>
  <c r="M1060" i="113" s="1"/>
  <c r="S1060" i="113" s="1"/>
  <c r="K829" i="113"/>
  <c r="M829" i="113" s="1"/>
  <c r="S829" i="113" s="1"/>
  <c r="K593" i="113"/>
  <c r="M593" i="113" s="1"/>
  <c r="S593" i="113" s="1"/>
  <c r="K189" i="113"/>
  <c r="M189" i="113" s="1"/>
  <c r="K285" i="113"/>
  <c r="M285" i="113" s="1"/>
  <c r="S285" i="113" s="1"/>
  <c r="K1732" i="113"/>
  <c r="M1732" i="113" s="1"/>
  <c r="S1732" i="113" s="1"/>
  <c r="K1529" i="113"/>
  <c r="M1529" i="113" s="1"/>
  <c r="S1529" i="113" s="1"/>
  <c r="K1329" i="113"/>
  <c r="M1329" i="113" s="1"/>
  <c r="S1329" i="113" s="1"/>
  <c r="K1118" i="113"/>
  <c r="M1118" i="113" s="1"/>
  <c r="S1118" i="113" s="1"/>
  <c r="K893" i="113"/>
  <c r="M893" i="113" s="1"/>
  <c r="S893" i="113" s="1"/>
  <c r="K656" i="113"/>
  <c r="M656" i="113" s="1"/>
  <c r="S656" i="113" s="1"/>
  <c r="K317" i="113"/>
  <c r="M317" i="113" s="1"/>
  <c r="S317" i="113" s="1"/>
  <c r="K1024" i="113"/>
  <c r="M1024" i="113" s="1"/>
  <c r="S1024" i="113" s="1"/>
  <c r="K791" i="113"/>
  <c r="M791" i="113" s="1"/>
  <c r="S791" i="113" s="1"/>
  <c r="K551" i="113"/>
  <c r="M551" i="113" s="1"/>
  <c r="S551" i="113" s="1"/>
  <c r="K110" i="113"/>
  <c r="M110" i="113" s="1"/>
  <c r="K1456" i="113"/>
  <c r="M1456" i="113" s="1"/>
  <c r="O1456" i="113" s="1"/>
  <c r="K1255" i="113"/>
  <c r="M1255" i="113" s="1"/>
  <c r="K1038" i="113"/>
  <c r="M1038" i="113" s="1"/>
  <c r="S1038" i="113" s="1"/>
  <c r="K807" i="113"/>
  <c r="M807" i="113" s="1"/>
  <c r="S807" i="113" s="1"/>
  <c r="K568" i="113"/>
  <c r="M568" i="113" s="1"/>
  <c r="S568" i="113" s="1"/>
  <c r="K143" i="113"/>
  <c r="M143" i="113" s="1"/>
  <c r="K277" i="113"/>
  <c r="M277" i="113" s="1"/>
  <c r="K74" i="113"/>
  <c r="M74" i="113" s="1"/>
  <c r="K378" i="113"/>
  <c r="M378" i="113" s="1"/>
  <c r="S378" i="113" s="1"/>
  <c r="K175" i="113"/>
  <c r="M175" i="113" s="1"/>
  <c r="S175" i="113" s="1"/>
  <c r="K504" i="113"/>
  <c r="M504" i="113" s="1"/>
  <c r="S504" i="113" s="1"/>
  <c r="K301" i="113"/>
  <c r="M301" i="113" s="1"/>
  <c r="S301" i="113" s="1"/>
  <c r="K98" i="113"/>
  <c r="M98" i="113" s="1"/>
  <c r="S98" i="113" s="1"/>
  <c r="K460" i="113"/>
  <c r="M460" i="113" s="1"/>
  <c r="S460" i="113" s="1"/>
  <c r="K257" i="113"/>
  <c r="M257" i="113" s="1"/>
  <c r="K53" i="113"/>
  <c r="M53" i="113" s="1"/>
  <c r="S53" i="113" s="1"/>
  <c r="K413" i="113"/>
  <c r="M413" i="113" s="1"/>
  <c r="S413" i="113" s="1"/>
  <c r="K210" i="113"/>
  <c r="M210" i="113" s="1"/>
  <c r="S210" i="113" s="1"/>
  <c r="K7" i="113"/>
  <c r="M7" i="113" s="1"/>
  <c r="K1048" i="113"/>
  <c r="M1048" i="113" s="1"/>
  <c r="S1048" i="113" s="1"/>
  <c r="K846" i="113"/>
  <c r="M846" i="113" s="1"/>
  <c r="S846" i="113" s="1"/>
  <c r="K643" i="113"/>
  <c r="M643" i="113" s="1"/>
  <c r="S643" i="113" s="1"/>
  <c r="K440" i="113"/>
  <c r="M440" i="113" s="1"/>
  <c r="S440" i="113" s="1"/>
  <c r="K237" i="113"/>
  <c r="M237" i="113" s="1"/>
  <c r="S237" i="113" s="1"/>
  <c r="K34" i="113"/>
  <c r="M34" i="113" s="1"/>
  <c r="S34" i="113" s="1"/>
  <c r="K830" i="113"/>
  <c r="M830" i="113" s="1"/>
  <c r="S830" i="113" s="1"/>
  <c r="K628" i="113"/>
  <c r="M628" i="113" s="1"/>
  <c r="S628" i="113" s="1"/>
  <c r="K425" i="113"/>
  <c r="M425" i="113" s="1"/>
  <c r="S425" i="113" s="1"/>
  <c r="K222" i="113"/>
  <c r="M222" i="113" s="1"/>
  <c r="S222" i="113" s="1"/>
  <c r="K18" i="113"/>
  <c r="M18" i="113" s="1"/>
  <c r="S18" i="113" s="1"/>
  <c r="K351" i="113"/>
  <c r="M351" i="113" s="1"/>
  <c r="S351" i="113" s="1"/>
  <c r="K148" i="113"/>
  <c r="M148" i="113" s="1"/>
  <c r="K1378" i="113"/>
  <c r="M1378" i="113" s="1"/>
  <c r="S1378" i="113" s="1"/>
  <c r="K2137" i="113"/>
  <c r="M2137" i="113" s="1"/>
  <c r="S2137" i="113" s="1"/>
  <c r="K2494" i="113"/>
  <c r="M2494" i="113" s="1"/>
  <c r="S2494" i="113" s="1"/>
  <c r="K1044" i="113"/>
  <c r="M1044" i="113" s="1"/>
  <c r="S1044" i="113" s="1"/>
  <c r="K1749" i="113"/>
  <c r="M1749" i="113" s="1"/>
  <c r="S1749" i="113" s="1"/>
  <c r="K2529" i="113"/>
  <c r="M2529" i="113" s="1"/>
  <c r="S2529" i="113" s="1"/>
  <c r="K1358" i="113"/>
  <c r="M1358" i="113" s="1"/>
  <c r="S1358" i="113" s="1"/>
  <c r="K1899" i="113"/>
  <c r="M1899" i="113" s="1"/>
  <c r="S1899" i="113" s="1"/>
  <c r="K2171" i="113"/>
  <c r="M2171" i="113" s="1"/>
  <c r="S2171" i="113" s="1"/>
  <c r="K2410" i="113"/>
  <c r="M2410" i="113" s="1"/>
  <c r="S2410" i="113" s="1"/>
  <c r="K2648" i="113"/>
  <c r="M2648" i="113" s="1"/>
  <c r="S2648" i="113" s="1"/>
  <c r="K1066" i="113"/>
  <c r="M1066" i="113" s="1"/>
  <c r="S1066" i="113" s="1"/>
  <c r="K1755" i="113"/>
  <c r="M1755" i="113" s="1"/>
  <c r="S1755" i="113" s="1"/>
  <c r="K2083" i="113"/>
  <c r="M2083" i="113" s="1"/>
  <c r="S2083" i="113" s="1"/>
  <c r="K2327" i="113"/>
  <c r="M2327" i="113" s="1"/>
  <c r="S2327" i="113" s="1"/>
  <c r="K2565" i="113"/>
  <c r="M2565" i="113" s="1"/>
  <c r="S2565" i="113" s="1"/>
  <c r="K553" i="113"/>
  <c r="M553" i="113" s="1"/>
  <c r="S553" i="113" s="1"/>
  <c r="K1601" i="113"/>
  <c r="M1601" i="113" s="1"/>
  <c r="S1601" i="113" s="1"/>
  <c r="K2011" i="113"/>
  <c r="M2011" i="113" s="1"/>
  <c r="S2011" i="113" s="1"/>
  <c r="K2259" i="113"/>
  <c r="M2259" i="113" s="1"/>
  <c r="S2259" i="113" s="1"/>
  <c r="K2497" i="113"/>
  <c r="M2497" i="113" s="1"/>
  <c r="K1618" i="113"/>
  <c r="M1618" i="113" s="1"/>
  <c r="S1618" i="113" s="1"/>
  <c r="K1890" i="113"/>
  <c r="M1890" i="113" s="1"/>
  <c r="S1890" i="113" s="1"/>
  <c r="K1612" i="113"/>
  <c r="M1612" i="113" s="1"/>
  <c r="S1612" i="113" s="1"/>
  <c r="K2191" i="113"/>
  <c r="M2191" i="113" s="1"/>
  <c r="S2191" i="113" s="1"/>
  <c r="K900" i="113"/>
  <c r="M900" i="113" s="1"/>
  <c r="S900" i="113" s="1"/>
  <c r="K328" i="113"/>
  <c r="M328" i="113" s="1"/>
  <c r="S328" i="113" s="1"/>
  <c r="K1839" i="113"/>
  <c r="M1839" i="113" s="1"/>
  <c r="S1839" i="113" s="1"/>
  <c r="K1603" i="113"/>
  <c r="M1603" i="113" s="1"/>
  <c r="S1603" i="113" s="1"/>
  <c r="K1082" i="113"/>
  <c r="M1082" i="113" s="1"/>
  <c r="S1082" i="113" s="1"/>
  <c r="K2019" i="113"/>
  <c r="M2019" i="113" s="1"/>
  <c r="S2019" i="113" s="1"/>
  <c r="K1376" i="113"/>
  <c r="M1376" i="113" s="1"/>
  <c r="S1376" i="113" s="1"/>
  <c r="K1018" i="113"/>
  <c r="M1018" i="113" s="1"/>
  <c r="S1018" i="113" s="1"/>
  <c r="K850" i="113"/>
  <c r="M850" i="113" s="1"/>
  <c r="S850" i="113" s="1"/>
  <c r="K22" i="113"/>
  <c r="M22" i="113" s="1"/>
  <c r="K415" i="113"/>
  <c r="M415" i="113" s="1"/>
  <c r="S415" i="113" s="1"/>
  <c r="K508" i="113"/>
  <c r="M508" i="113" s="1"/>
  <c r="S508" i="113" s="1"/>
  <c r="K341" i="113"/>
  <c r="M341" i="113" s="1"/>
  <c r="O341" i="113" s="1"/>
  <c r="K482" i="113"/>
  <c r="M482" i="113" s="1"/>
  <c r="S482" i="113" s="1"/>
  <c r="K523" i="113"/>
  <c r="M523" i="113" s="1"/>
  <c r="S523" i="113" s="1"/>
  <c r="K2412" i="113"/>
  <c r="M2412" i="113" s="1"/>
  <c r="S2412" i="113" s="1"/>
  <c r="K2012" i="113"/>
  <c r="M2012" i="113" s="1"/>
  <c r="S2012" i="113" s="1"/>
  <c r="K2383" i="113"/>
  <c r="M2383" i="113" s="1"/>
  <c r="S2383" i="113" s="1"/>
  <c r="K1680" i="113"/>
  <c r="M1680" i="113" s="1"/>
  <c r="S1680" i="113" s="1"/>
  <c r="K2304" i="113"/>
  <c r="M2304" i="113" s="1"/>
  <c r="S2304" i="113" s="1"/>
  <c r="K1337" i="113"/>
  <c r="M1337" i="113" s="1"/>
  <c r="S1337" i="113" s="1"/>
  <c r="K1773" i="113"/>
  <c r="M1773" i="113" s="1"/>
  <c r="S1773" i="113" s="1"/>
  <c r="K1549" i="113"/>
  <c r="M1549" i="113" s="1"/>
  <c r="S1549" i="113" s="1"/>
  <c r="K1831" i="113"/>
  <c r="M1831" i="113" s="1"/>
  <c r="S1831" i="113" s="1"/>
  <c r="K1976" i="113"/>
  <c r="M1976" i="113" s="1"/>
  <c r="S1976" i="113" s="1"/>
  <c r="K1783" i="113"/>
  <c r="M1783" i="113" s="1"/>
  <c r="S1783" i="113" s="1"/>
  <c r="K2133" i="113"/>
  <c r="M2133" i="113" s="1"/>
  <c r="S2133" i="113" s="1"/>
  <c r="K751" i="113"/>
  <c r="M751" i="113" s="1"/>
  <c r="S751" i="113" s="1"/>
  <c r="K798" i="113"/>
  <c r="M798" i="113" s="1"/>
  <c r="S798" i="113" s="1"/>
  <c r="K930" i="113"/>
  <c r="M930" i="113" s="1"/>
  <c r="K1414" i="113"/>
  <c r="M1414" i="113" s="1"/>
  <c r="O1414" i="113" s="1"/>
  <c r="K892" i="113"/>
  <c r="M892" i="113" s="1"/>
  <c r="S892" i="113" s="1"/>
  <c r="K670" i="113"/>
  <c r="M670" i="113" s="1"/>
  <c r="S670" i="113" s="1"/>
  <c r="K186" i="113"/>
  <c r="M186" i="113" s="1"/>
  <c r="S186" i="113" s="1"/>
  <c r="K1135" i="113"/>
  <c r="M1135" i="113" s="1"/>
  <c r="S1135" i="113" s="1"/>
  <c r="K512" i="113"/>
  <c r="M512" i="113" s="1"/>
  <c r="S512" i="113" s="1"/>
  <c r="K2358" i="113"/>
  <c r="M2358" i="113" s="1"/>
  <c r="S2358" i="113" s="1"/>
  <c r="K2547" i="113"/>
  <c r="M2547" i="113" s="1"/>
  <c r="S2547" i="113" s="1"/>
  <c r="K1879" i="113"/>
  <c r="M1879" i="113" s="1"/>
  <c r="S1879" i="113" s="1"/>
  <c r="K2" i="113"/>
  <c r="M2" i="113" s="1"/>
  <c r="K2434" i="113"/>
  <c r="M2434" i="113" s="1"/>
  <c r="S2434" i="113" s="1"/>
  <c r="K1662" i="113"/>
  <c r="M1662" i="113" s="1"/>
  <c r="S1662" i="113" s="1"/>
  <c r="K2561" i="113"/>
  <c r="M2561" i="113" s="1"/>
  <c r="S2561" i="113" s="1"/>
  <c r="K2641" i="113"/>
  <c r="M2641" i="113" s="1"/>
  <c r="S2641" i="113" s="1"/>
  <c r="K1788" i="113"/>
  <c r="M1788" i="113" s="1"/>
  <c r="S1788" i="113" s="1"/>
  <c r="K1522" i="113"/>
  <c r="M1522" i="113" s="1"/>
  <c r="K1304" i="113"/>
  <c r="M1304" i="113" s="1"/>
  <c r="S1304" i="113" s="1"/>
  <c r="K1742" i="113"/>
  <c r="M1742" i="113" s="1"/>
  <c r="S1742" i="113" s="1"/>
  <c r="K1516" i="113"/>
  <c r="M1516" i="113" s="1"/>
  <c r="S1516" i="113" s="1"/>
  <c r="K1801" i="113"/>
  <c r="M1801" i="113" s="1"/>
  <c r="S1801" i="113" s="1"/>
  <c r="K2354" i="113"/>
  <c r="M2354" i="113" s="1"/>
  <c r="S2354" i="113" s="1"/>
  <c r="K153" i="113"/>
  <c r="M153" i="113" s="1"/>
  <c r="K986" i="113"/>
  <c r="M986" i="113" s="1"/>
  <c r="S986" i="113" s="1"/>
  <c r="K1460" i="113"/>
  <c r="M1460" i="113" s="1"/>
  <c r="S1460" i="113" s="1"/>
  <c r="K2594" i="113"/>
  <c r="M2594" i="113" s="1"/>
  <c r="S2594" i="113" s="1"/>
  <c r="K1745" i="113"/>
  <c r="M1745" i="113" s="1"/>
  <c r="S1745" i="113" s="1"/>
  <c r="K1155" i="113"/>
  <c r="M1155" i="113" s="1"/>
  <c r="S1155" i="113" s="1"/>
  <c r="K71" i="113"/>
  <c r="M71" i="113" s="1"/>
  <c r="O71" i="113" s="1"/>
  <c r="K1991" i="113"/>
  <c r="M1991" i="113" s="1"/>
  <c r="S1991" i="113" s="1"/>
  <c r="K2339" i="113"/>
  <c r="M2339" i="113" s="1"/>
  <c r="S2339" i="113" s="1"/>
  <c r="K922" i="113"/>
  <c r="M922" i="113" s="1"/>
  <c r="S922" i="113" s="1"/>
  <c r="K954" i="113"/>
  <c r="M954" i="113" s="1"/>
  <c r="S954" i="113" s="1"/>
  <c r="K1887" i="113"/>
  <c r="M1887" i="113" s="1"/>
  <c r="S1887" i="113" s="1"/>
  <c r="K565" i="113"/>
  <c r="M565" i="113" s="1"/>
  <c r="S565" i="113" s="1"/>
  <c r="K783" i="113"/>
  <c r="M783" i="113" s="1"/>
  <c r="S783" i="113" s="1"/>
  <c r="K27" i="113"/>
  <c r="M27" i="113" s="1"/>
  <c r="K881" i="113"/>
  <c r="M881" i="113" s="1"/>
  <c r="S881" i="113" s="1"/>
  <c r="K1371" i="113"/>
  <c r="M1371" i="113" s="1"/>
  <c r="S1371" i="113" s="1"/>
  <c r="K1847" i="113"/>
  <c r="M1847" i="113" s="1"/>
  <c r="S1847" i="113" s="1"/>
  <c r="K1489" i="113"/>
  <c r="M1489" i="113" s="1"/>
  <c r="S1489" i="113" s="1"/>
  <c r="K1730" i="113"/>
  <c r="M1730" i="113" s="1"/>
  <c r="S1730" i="113" s="1"/>
  <c r="K101" i="113"/>
  <c r="M101" i="113" s="1"/>
  <c r="S101" i="113" s="1"/>
  <c r="K669" i="113"/>
  <c r="M669" i="113" s="1"/>
  <c r="S669" i="113" s="1"/>
  <c r="K902" i="113"/>
  <c r="M902" i="113" s="1"/>
  <c r="S902" i="113" s="1"/>
  <c r="K1248" i="113"/>
  <c r="M1248" i="113" s="1"/>
  <c r="S1248" i="113" s="1"/>
  <c r="K1977" i="113"/>
  <c r="M1977" i="113" s="1"/>
  <c r="S1977" i="113" s="1"/>
  <c r="K1022" i="113"/>
  <c r="M1022" i="113" s="1"/>
  <c r="S1022" i="113" s="1"/>
  <c r="K2325" i="113"/>
  <c r="M2325" i="113" s="1"/>
  <c r="S2325" i="113" s="1"/>
  <c r="K1478" i="113"/>
  <c r="M1478" i="113" s="1"/>
  <c r="S1478" i="113" s="1"/>
  <c r="K1721" i="113"/>
  <c r="M1721" i="113" s="1"/>
  <c r="S1721" i="113" s="1"/>
  <c r="K2484" i="113"/>
  <c r="M2484" i="113" s="1"/>
  <c r="S2484" i="113" s="1"/>
  <c r="K1185" i="113"/>
  <c r="M1185" i="113" s="1"/>
  <c r="S1185" i="113" s="1"/>
  <c r="K683" i="113"/>
  <c r="M683" i="113" s="1"/>
  <c r="S683" i="113" s="1"/>
  <c r="K63" i="113"/>
  <c r="M63" i="113" s="1"/>
  <c r="S63" i="113" s="1"/>
  <c r="K999" i="113"/>
  <c r="M999" i="113" s="1"/>
  <c r="S999" i="113" s="1"/>
  <c r="K627" i="113"/>
  <c r="M627" i="113" s="1"/>
  <c r="S627" i="113" s="1"/>
  <c r="K1357" i="113"/>
  <c r="M1357" i="113" s="1"/>
  <c r="S1357" i="113" s="1"/>
  <c r="K1055" i="113"/>
  <c r="M1055" i="113" s="1"/>
  <c r="S1055" i="113" s="1"/>
  <c r="K1283" i="113"/>
  <c r="M1283" i="113" s="1"/>
  <c r="S1283" i="113" s="1"/>
  <c r="K307" i="113"/>
  <c r="M307" i="113" s="1"/>
  <c r="K330" i="113"/>
  <c r="M330" i="113" s="1"/>
  <c r="S330" i="113" s="1"/>
  <c r="K443" i="113"/>
  <c r="M443" i="113" s="1"/>
  <c r="S443" i="113" s="1"/>
  <c r="K673" i="113"/>
  <c r="M673" i="113" s="1"/>
  <c r="S673" i="113" s="1"/>
  <c r="K859" i="113"/>
  <c r="M859" i="113" s="1"/>
  <c r="S859" i="113" s="1"/>
  <c r="K1307" i="113"/>
  <c r="M1307" i="113" s="1"/>
  <c r="S1307" i="113" s="1"/>
  <c r="K2628" i="113"/>
  <c r="M2628" i="113" s="1"/>
  <c r="S2628" i="113" s="1"/>
  <c r="K1399" i="113"/>
  <c r="M1399" i="113" s="1"/>
  <c r="S1399" i="113" s="1"/>
  <c r="K1923" i="113"/>
  <c r="M1923" i="113" s="1"/>
  <c r="S1923" i="113" s="1"/>
  <c r="K2186" i="113"/>
  <c r="M2186" i="113" s="1"/>
  <c r="S2186" i="113" s="1"/>
  <c r="K2425" i="113"/>
  <c r="M2425" i="113" s="1"/>
  <c r="S2425" i="113" s="1"/>
  <c r="K2663" i="113"/>
  <c r="M2663" i="113" s="1"/>
  <c r="S2663" i="113" s="1"/>
  <c r="K1438" i="113"/>
  <c r="M1438" i="113" s="1"/>
  <c r="S1438" i="113" s="1"/>
  <c r="K1200" i="113"/>
  <c r="M1200" i="113" s="1"/>
  <c r="S1200" i="113" s="1"/>
  <c r="K795" i="113"/>
  <c r="M795" i="113" s="1"/>
  <c r="S795" i="113" s="1"/>
  <c r="K1897" i="113"/>
  <c r="M1897" i="113" s="1"/>
  <c r="S1897" i="113" s="1"/>
  <c r="K1684" i="113"/>
  <c r="M1684" i="113" s="1"/>
  <c r="S1684" i="113" s="1"/>
  <c r="K1454" i="113"/>
  <c r="M1454" i="113" s="1"/>
  <c r="S1454" i="113" s="1"/>
  <c r="K1219" i="113"/>
  <c r="M1219" i="113" s="1"/>
  <c r="S1219" i="113" s="1"/>
  <c r="K836" i="113"/>
  <c r="M836" i="113" s="1"/>
  <c r="O836" i="113" s="1"/>
  <c r="K1792" i="113"/>
  <c r="M1792" i="113" s="1"/>
  <c r="S1792" i="113" s="1"/>
  <c r="K1568" i="113"/>
  <c r="M1568" i="113" s="1"/>
  <c r="S1568" i="113" s="1"/>
  <c r="K1335" i="113"/>
  <c r="M1335" i="113" s="1"/>
  <c r="S1335" i="113" s="1"/>
  <c r="K1065" i="113"/>
  <c r="M1065" i="113" s="1"/>
  <c r="S1065" i="113" s="1"/>
  <c r="K535" i="113"/>
  <c r="M535" i="113" s="1"/>
  <c r="S535" i="113" s="1"/>
  <c r="K1665" i="113"/>
  <c r="M1665" i="113" s="1"/>
  <c r="S1665" i="113" s="1"/>
  <c r="K1434" i="113"/>
  <c r="M1434" i="113" s="1"/>
  <c r="S1434" i="113" s="1"/>
  <c r="K1194" i="113"/>
  <c r="M1194" i="113" s="1"/>
  <c r="S1194" i="113" s="1"/>
  <c r="K786" i="113"/>
  <c r="M786" i="113" s="1"/>
  <c r="S786" i="113" s="1"/>
  <c r="K1877" i="113"/>
  <c r="M1877" i="113" s="1"/>
  <c r="S1877" i="113" s="1"/>
  <c r="K1663" i="113"/>
  <c r="M1663" i="113" s="1"/>
  <c r="S1663" i="113" s="1"/>
  <c r="K1431" i="113"/>
  <c r="M1431" i="113" s="1"/>
  <c r="S1431" i="113" s="1"/>
  <c r="K1191" i="113"/>
  <c r="M1191" i="113" s="1"/>
  <c r="S1191" i="113" s="1"/>
  <c r="K779" i="113"/>
  <c r="M779" i="113" s="1"/>
  <c r="S779" i="113" s="1"/>
  <c r="K1171" i="113"/>
  <c r="M1171" i="113" s="1"/>
  <c r="S1171" i="113" s="1"/>
  <c r="K738" i="113"/>
  <c r="M738" i="113" s="1"/>
  <c r="S738" i="113" s="1"/>
  <c r="K1933" i="113"/>
  <c r="M1933" i="113" s="1"/>
  <c r="S1933" i="113" s="1"/>
  <c r="K1723" i="113"/>
  <c r="M1723" i="113" s="1"/>
  <c r="S1723" i="113" s="1"/>
  <c r="K1496" i="113"/>
  <c r="M1496" i="113" s="1"/>
  <c r="S1496" i="113" s="1"/>
  <c r="K1262" i="113"/>
  <c r="M1262" i="113" s="1"/>
  <c r="S1262" i="113" s="1"/>
  <c r="K923" i="113"/>
  <c r="M923" i="113" s="1"/>
  <c r="S923" i="113" s="1"/>
  <c r="K38" i="113"/>
  <c r="M38" i="113" s="1"/>
  <c r="O38" i="113" s="1"/>
  <c r="K2486" i="113"/>
  <c r="M2486" i="113" s="1"/>
  <c r="S2486" i="113" s="1"/>
  <c r="K2280" i="113"/>
  <c r="M2280" i="113" s="1"/>
  <c r="S2280" i="113" s="1"/>
  <c r="K2077" i="113"/>
  <c r="M2077" i="113" s="1"/>
  <c r="S2077" i="113" s="1"/>
  <c r="K1874" i="113"/>
  <c r="M1874" i="113" s="1"/>
  <c r="S1874" i="113" s="1"/>
  <c r="K1659" i="113"/>
  <c r="M1659" i="113" s="1"/>
  <c r="S1659" i="113" s="1"/>
  <c r="K1427" i="113"/>
  <c r="M1427" i="113" s="1"/>
  <c r="S1427" i="113" s="1"/>
  <c r="K1188" i="113"/>
  <c r="M1188" i="113" s="1"/>
  <c r="S1188" i="113" s="1"/>
  <c r="K771" i="113"/>
  <c r="M771" i="113" s="1"/>
  <c r="S771" i="113" s="1"/>
  <c r="K2090" i="113"/>
  <c r="M2090" i="113" s="1"/>
  <c r="S2090" i="113" s="1"/>
  <c r="K1888" i="113"/>
  <c r="M1888" i="113" s="1"/>
  <c r="S1888" i="113" s="1"/>
  <c r="K1673" i="113"/>
  <c r="M1673" i="113" s="1"/>
  <c r="S1673" i="113" s="1"/>
  <c r="K1444" i="113"/>
  <c r="M1444" i="113" s="1"/>
  <c r="S1444" i="113" s="1"/>
  <c r="K1206" i="113"/>
  <c r="M1206" i="113" s="1"/>
  <c r="S1206" i="113" s="1"/>
  <c r="K810" i="113"/>
  <c r="M810" i="113" s="1"/>
  <c r="S810" i="113" s="1"/>
  <c r="K2643" i="113"/>
  <c r="M2643" i="113" s="1"/>
  <c r="S2643" i="113" s="1"/>
  <c r="K2440" i="113"/>
  <c r="M2440" i="113" s="1"/>
  <c r="S2440" i="113" s="1"/>
  <c r="K2235" i="113"/>
  <c r="M2235" i="113" s="1"/>
  <c r="S2235" i="113" s="1"/>
  <c r="K2031" i="113"/>
  <c r="M2031" i="113" s="1"/>
  <c r="S2031" i="113" s="1"/>
  <c r="K1828" i="113"/>
  <c r="M1828" i="113" s="1"/>
  <c r="S1828" i="113" s="1"/>
  <c r="K1610" i="113"/>
  <c r="M1610" i="113" s="1"/>
  <c r="S1610" i="113" s="1"/>
  <c r="K1375" i="113"/>
  <c r="M1375" i="113" s="1"/>
  <c r="S1375" i="113" s="1"/>
  <c r="K1121" i="113"/>
  <c r="M1121" i="113" s="1"/>
  <c r="S1121" i="113" s="1"/>
  <c r="K651" i="113"/>
  <c r="M651" i="113" s="1"/>
  <c r="S651" i="113" s="1"/>
  <c r="K464" i="113"/>
  <c r="M464" i="113" s="1"/>
  <c r="S464" i="113" s="1"/>
  <c r="K869" i="113"/>
  <c r="M869" i="113" s="1"/>
  <c r="S869" i="113" s="1"/>
  <c r="K633" i="113"/>
  <c r="M633" i="113" s="1"/>
  <c r="S633" i="113" s="1"/>
  <c r="K269" i="113"/>
  <c r="M269" i="113" s="1"/>
  <c r="S269" i="113" s="1"/>
  <c r="K952" i="113"/>
  <c r="M952" i="113" s="1"/>
  <c r="S952" i="113" s="1"/>
  <c r="K717" i="113"/>
  <c r="M717" i="113" s="1"/>
  <c r="O717" i="113" s="1"/>
  <c r="K433" i="113"/>
  <c r="M433" i="113" s="1"/>
  <c r="S433" i="113" s="1"/>
  <c r="K1141" i="113"/>
  <c r="M1141" i="113" s="1"/>
  <c r="S1141" i="113" s="1"/>
  <c r="K916" i="113"/>
  <c r="M916" i="113" s="1"/>
  <c r="S916" i="113" s="1"/>
  <c r="K681" i="113"/>
  <c r="M681" i="113" s="1"/>
  <c r="S681" i="113" s="1"/>
  <c r="K363" i="113"/>
  <c r="M363" i="113" s="1"/>
  <c r="S363" i="113" s="1"/>
  <c r="K1172" i="113"/>
  <c r="M1172" i="113" s="1"/>
  <c r="S1172" i="113" s="1"/>
  <c r="K950" i="113"/>
  <c r="M950" i="113" s="1"/>
  <c r="S950" i="113" s="1"/>
  <c r="K713" i="113"/>
  <c r="M713" i="113" s="1"/>
  <c r="S713" i="113" s="1"/>
  <c r="K429" i="113"/>
  <c r="M429" i="113" s="1"/>
  <c r="S429" i="113" s="1"/>
  <c r="K1045" i="113"/>
  <c r="M1045" i="113" s="1"/>
  <c r="S1045" i="113" s="1"/>
  <c r="K813" i="113"/>
  <c r="M813" i="113" s="1"/>
  <c r="S813" i="113" s="1"/>
  <c r="K576" i="113"/>
  <c r="M576" i="113" s="1"/>
  <c r="S576" i="113" s="1"/>
  <c r="K157" i="113"/>
  <c r="M157" i="113" s="1"/>
  <c r="K253" i="113"/>
  <c r="M253" i="113" s="1"/>
  <c r="K1717" i="113"/>
  <c r="M1717" i="113" s="1"/>
  <c r="S1717" i="113" s="1"/>
  <c r="K1515" i="113"/>
  <c r="M1515" i="113" s="1"/>
  <c r="K1315" i="113"/>
  <c r="M1315" i="113" s="1"/>
  <c r="S1315" i="113" s="1"/>
  <c r="K1102" i="113"/>
  <c r="M1102" i="113" s="1"/>
  <c r="S1102" i="113" s="1"/>
  <c r="K877" i="113"/>
  <c r="M877" i="113" s="1"/>
  <c r="S877" i="113" s="1"/>
  <c r="K639" i="113"/>
  <c r="M639" i="113" s="1"/>
  <c r="S639" i="113" s="1"/>
  <c r="K284" i="113"/>
  <c r="M284" i="113" s="1"/>
  <c r="S284" i="113" s="1"/>
  <c r="K1008" i="113"/>
  <c r="M1008" i="113" s="1"/>
  <c r="O1008" i="113" s="1"/>
  <c r="K775" i="113"/>
  <c r="M775" i="113" s="1"/>
  <c r="S775" i="113" s="1"/>
  <c r="K530" i="113"/>
  <c r="M530" i="113" s="1"/>
  <c r="O530" i="113" s="1"/>
  <c r="K78" i="113"/>
  <c r="M78" i="113" s="1"/>
  <c r="S78" i="113" s="1"/>
  <c r="K1441" i="113"/>
  <c r="M1441" i="113" s="1"/>
  <c r="S1441" i="113" s="1"/>
  <c r="K1241" i="113"/>
  <c r="M1241" i="113" s="1"/>
  <c r="S1241" i="113" s="1"/>
  <c r="K1023" i="113"/>
  <c r="M1023" i="113" s="1"/>
  <c r="K790" i="113"/>
  <c r="M790" i="113" s="1"/>
  <c r="S790" i="113" s="1"/>
  <c r="K550" i="113"/>
  <c r="M550" i="113" s="1"/>
  <c r="S550" i="113" s="1"/>
  <c r="K109" i="113"/>
  <c r="M109" i="113" s="1"/>
  <c r="S109" i="113" s="1"/>
  <c r="K263" i="113"/>
  <c r="M263" i="113" s="1"/>
  <c r="S263" i="113" s="1"/>
  <c r="K59" i="113"/>
  <c r="M59" i="113" s="1"/>
  <c r="K364" i="113"/>
  <c r="M364" i="113" s="1"/>
  <c r="S364" i="113" s="1"/>
  <c r="K160" i="113"/>
  <c r="M160" i="113" s="1"/>
  <c r="O160" i="113" s="1"/>
  <c r="K490" i="113"/>
  <c r="M490" i="113" s="1"/>
  <c r="S490" i="113" s="1"/>
  <c r="K287" i="113"/>
  <c r="M287" i="113" s="1"/>
  <c r="S287" i="113" s="1"/>
  <c r="K83" i="113"/>
  <c r="M83" i="113" s="1"/>
  <c r="S83" i="113" s="1"/>
  <c r="K446" i="113"/>
  <c r="M446" i="113" s="1"/>
  <c r="S446" i="113" s="1"/>
  <c r="K242" i="113"/>
  <c r="M242" i="113" s="1"/>
  <c r="K39" i="113"/>
  <c r="M39" i="113" s="1"/>
  <c r="S39" i="113" s="1"/>
  <c r="K399" i="113"/>
  <c r="M399" i="113" s="1"/>
  <c r="S399" i="113" s="1"/>
  <c r="K196" i="113"/>
  <c r="M196" i="113" s="1"/>
  <c r="K6" i="113"/>
  <c r="M6" i="113" s="1"/>
  <c r="S6" i="113" s="1"/>
  <c r="K1033" i="113"/>
  <c r="M1033" i="113" s="1"/>
  <c r="S1033" i="113" s="1"/>
  <c r="K831" i="113"/>
  <c r="M831" i="113" s="1"/>
  <c r="S831" i="113" s="1"/>
  <c r="K629" i="113"/>
  <c r="M629" i="113" s="1"/>
  <c r="S629" i="113" s="1"/>
  <c r="K426" i="113"/>
  <c r="M426" i="113" s="1"/>
  <c r="S426" i="113" s="1"/>
  <c r="K223" i="113"/>
  <c r="M223" i="113" s="1"/>
  <c r="K19" i="113"/>
  <c r="M19" i="113" s="1"/>
  <c r="S19" i="113" s="1"/>
  <c r="K816" i="113"/>
  <c r="M816" i="113" s="1"/>
  <c r="S816" i="113" s="1"/>
  <c r="K613" i="113"/>
  <c r="M613" i="113" s="1"/>
  <c r="S613" i="113" s="1"/>
  <c r="K410" i="113"/>
  <c r="M410" i="113" s="1"/>
  <c r="S410" i="113" s="1"/>
  <c r="K207" i="113"/>
  <c r="M207" i="113" s="1"/>
  <c r="S207" i="113" s="1"/>
  <c r="K4" i="113"/>
  <c r="M4" i="113" s="1"/>
  <c r="O4" i="113" s="1"/>
  <c r="K336" i="113"/>
  <c r="M336" i="113" s="1"/>
  <c r="S336" i="113" s="1"/>
  <c r="K133" i="113"/>
  <c r="M133" i="113" s="1"/>
  <c r="S133" i="113" s="1"/>
  <c r="K1813" i="113"/>
  <c r="M1813" i="113" s="1"/>
  <c r="S1813" i="113" s="1"/>
  <c r="K2153" i="113"/>
  <c r="M2153" i="113" s="1"/>
  <c r="S2153" i="113" s="1"/>
  <c r="K2563" i="113"/>
  <c r="M2563" i="113" s="1"/>
  <c r="S2563" i="113" s="1"/>
  <c r="K1136" i="113"/>
  <c r="M1136" i="113" s="1"/>
  <c r="S1136" i="113" s="1"/>
  <c r="K1786" i="113"/>
  <c r="M1786" i="113" s="1"/>
  <c r="S1786" i="113" s="1"/>
  <c r="K2546" i="113"/>
  <c r="M2546" i="113" s="1"/>
  <c r="S2546" i="113" s="1"/>
  <c r="K1406" i="113"/>
  <c r="M1406" i="113" s="1"/>
  <c r="S1406" i="113" s="1"/>
  <c r="K1925" i="113"/>
  <c r="M1925" i="113" s="1"/>
  <c r="S1925" i="113" s="1"/>
  <c r="K2188" i="113"/>
  <c r="M2188" i="113" s="1"/>
  <c r="S2188" i="113" s="1"/>
  <c r="K2429" i="113"/>
  <c r="M2429" i="113" s="1"/>
  <c r="S2429" i="113" s="1"/>
  <c r="K2665" i="113"/>
  <c r="M2665" i="113" s="1"/>
  <c r="S2665" i="113" s="1"/>
  <c r="K1142" i="113"/>
  <c r="M1142" i="113" s="1"/>
  <c r="S1142" i="113" s="1"/>
  <c r="K1793" i="113"/>
  <c r="M1793" i="113" s="1"/>
  <c r="S1793" i="113" s="1"/>
  <c r="K2101" i="113"/>
  <c r="M2101" i="113" s="1"/>
  <c r="S2101" i="113" s="1"/>
  <c r="K2343" i="113"/>
  <c r="M2343" i="113" s="1"/>
  <c r="S2343" i="113" s="1"/>
  <c r="K2581" i="113"/>
  <c r="M2581" i="113" s="1"/>
  <c r="S2581" i="113" s="1"/>
  <c r="K705" i="113"/>
  <c r="M705" i="113" s="1"/>
  <c r="S705" i="113" s="1"/>
  <c r="K1647" i="113"/>
  <c r="M1647" i="113" s="1"/>
  <c r="S1647" i="113" s="1"/>
  <c r="K2028" i="113"/>
  <c r="M2028" i="113" s="1"/>
  <c r="S2028" i="113" s="1"/>
  <c r="K2275" i="113"/>
  <c r="M2275" i="113" s="1"/>
  <c r="S2275" i="113" s="1"/>
  <c r="K2516" i="113"/>
  <c r="M2516" i="113" s="1"/>
  <c r="S2516" i="113" s="1"/>
  <c r="K1906" i="113"/>
  <c r="M1906" i="113" s="1"/>
  <c r="S1906" i="113" s="1"/>
  <c r="K1416" i="113"/>
  <c r="M1416" i="113" s="1"/>
  <c r="S1416" i="113" s="1"/>
  <c r="K1929" i="113"/>
  <c r="M1929" i="113" s="1"/>
  <c r="S1929" i="113" s="1"/>
  <c r="K2192" i="113"/>
  <c r="M2192" i="113" s="1"/>
  <c r="S2192" i="113" s="1"/>
  <c r="K2432" i="113"/>
  <c r="M2432" i="113" s="1"/>
  <c r="S2432" i="113" s="1"/>
  <c r="K2668" i="113"/>
  <c r="M2668" i="113" s="1"/>
  <c r="S2668" i="113" s="1"/>
  <c r="K721" i="113"/>
  <c r="M721" i="113" s="1"/>
  <c r="S721" i="113" s="1"/>
  <c r="K1652" i="113"/>
  <c r="M1652" i="113" s="1"/>
  <c r="S1652" i="113" s="1"/>
  <c r="K2030" i="113"/>
  <c r="M2030" i="113" s="1"/>
  <c r="S2030" i="113" s="1"/>
  <c r="K2277" i="113"/>
  <c r="M2277" i="113" s="1"/>
  <c r="S2277" i="113" s="1"/>
  <c r="K2518" i="113"/>
  <c r="M2518" i="113" s="1"/>
  <c r="S2518" i="113" s="1"/>
  <c r="K980" i="113"/>
  <c r="M980" i="113" s="1"/>
  <c r="S980" i="113" s="1"/>
  <c r="K1637" i="113"/>
  <c r="M1637" i="113" s="1"/>
  <c r="S1637" i="113" s="1"/>
  <c r="K1615" i="113"/>
  <c r="M1615" i="113" s="1"/>
  <c r="S1615" i="113" s="1"/>
  <c r="K812" i="113"/>
  <c r="M812" i="113" s="1"/>
  <c r="S812" i="113" s="1"/>
  <c r="K1844" i="113"/>
  <c r="M1844" i="113" s="1"/>
  <c r="S1844" i="113" s="1"/>
  <c r="K1325" i="113"/>
  <c r="M1325" i="113" s="1"/>
  <c r="S1325" i="113" s="1"/>
  <c r="K1094" i="113"/>
  <c r="M1094" i="113" s="1"/>
  <c r="S1094" i="113" s="1"/>
  <c r="K1588" i="113"/>
  <c r="M1588" i="113" s="1"/>
  <c r="S1588" i="113" s="1"/>
  <c r="K1137" i="113"/>
  <c r="M1137" i="113" s="1"/>
  <c r="S1137" i="113" s="1"/>
  <c r="K1111" i="113"/>
  <c r="M1111" i="113" s="1"/>
  <c r="S1111" i="113" s="1"/>
  <c r="K1875" i="113"/>
  <c r="M1875" i="113" s="1"/>
  <c r="K1361" i="113"/>
  <c r="M1361" i="113" s="1"/>
  <c r="S1361" i="113" s="1"/>
  <c r="K2381" i="113"/>
  <c r="M2381" i="113" s="1"/>
  <c r="S2381" i="113" s="1"/>
  <c r="K800" i="113"/>
  <c r="M800" i="113" s="1"/>
  <c r="S800" i="113" s="1"/>
  <c r="K230" i="113"/>
  <c r="M230" i="113" s="1"/>
  <c r="K1660" i="113"/>
  <c r="M1660" i="113" s="1"/>
  <c r="S1660" i="113" s="1"/>
  <c r="K1384" i="113"/>
  <c r="M1384" i="113" s="1"/>
  <c r="S1384" i="113" s="1"/>
  <c r="K305" i="113"/>
  <c r="M305" i="113" s="1"/>
  <c r="S305" i="113" s="1"/>
  <c r="K137" i="113"/>
  <c r="M137" i="113" s="1"/>
  <c r="O137" i="113" s="1"/>
  <c r="K149" i="113"/>
  <c r="M149" i="113" s="1"/>
  <c r="K1592" i="113"/>
  <c r="M1592" i="113" s="1"/>
  <c r="S1592" i="113" s="1"/>
  <c r="K2649" i="113"/>
  <c r="M2649" i="113" s="1"/>
  <c r="S2649" i="113" s="1"/>
  <c r="K2260" i="113"/>
  <c r="M2260" i="113" s="1"/>
  <c r="S2260" i="113" s="1"/>
  <c r="K1856" i="113"/>
  <c r="M1856" i="113" s="1"/>
  <c r="S1856" i="113" s="1"/>
  <c r="K1980" i="113"/>
  <c r="M1980" i="113" s="1"/>
  <c r="S1980" i="113" s="1"/>
  <c r="K1710" i="113"/>
  <c r="M1710" i="113" s="1"/>
  <c r="S1710" i="113" s="1"/>
  <c r="K452" i="113"/>
  <c r="M452" i="113" s="1"/>
  <c r="S452" i="113" s="1"/>
  <c r="K1216" i="113"/>
  <c r="M1216" i="113" s="1"/>
  <c r="S1216" i="113" s="1"/>
  <c r="K1771" i="113"/>
  <c r="M1771" i="113" s="1"/>
  <c r="S1771" i="113" s="1"/>
  <c r="K288" i="113"/>
  <c r="M288" i="113" s="1"/>
  <c r="S288" i="113" s="1"/>
  <c r="K2179" i="113"/>
  <c r="M2179" i="113" s="1"/>
  <c r="S2179" i="113" s="1"/>
  <c r="K1989" i="113"/>
  <c r="M1989" i="113" s="1"/>
  <c r="S1989" i="113" s="1"/>
  <c r="K2542" i="113"/>
  <c r="M2542" i="113" s="1"/>
  <c r="S2542" i="113" s="1"/>
  <c r="K920" i="113"/>
  <c r="M920" i="113" s="1"/>
  <c r="S920" i="113" s="1"/>
  <c r="K198" i="113"/>
  <c r="M198" i="113" s="1"/>
  <c r="K594" i="113"/>
  <c r="M594" i="113" s="1"/>
  <c r="S594" i="113" s="1"/>
  <c r="K1616" i="113"/>
  <c r="M1616" i="113" s="1"/>
  <c r="S1616" i="113" s="1"/>
  <c r="K314" i="113"/>
  <c r="M314" i="113" s="1"/>
  <c r="S314" i="113" s="1"/>
  <c r="K346" i="113"/>
  <c r="M346" i="113" s="1"/>
  <c r="S346" i="113" s="1"/>
  <c r="K547" i="113"/>
  <c r="M547" i="113" s="1"/>
  <c r="S547" i="113" s="1"/>
  <c r="K932" i="113"/>
  <c r="M932" i="113" s="1"/>
  <c r="S932" i="113" s="1"/>
  <c r="K105" i="113"/>
  <c r="M105" i="113" s="1"/>
  <c r="K2256" i="113"/>
  <c r="M2256" i="113" s="1"/>
  <c r="S2256" i="113" s="1"/>
  <c r="K1969" i="113"/>
  <c r="M1969" i="113" s="1"/>
  <c r="S1969" i="113" s="1"/>
  <c r="K2634" i="113"/>
  <c r="M2634" i="113" s="1"/>
  <c r="S2634" i="113" s="1"/>
  <c r="K2550" i="113"/>
  <c r="M2550" i="113" s="1"/>
  <c r="S2550" i="113" s="1"/>
  <c r="K1935" i="113"/>
  <c r="M1935" i="113" s="1"/>
  <c r="S1935" i="113" s="1"/>
  <c r="K753" i="113"/>
  <c r="M753" i="113" s="1"/>
  <c r="S753" i="113" s="1"/>
  <c r="K2506" i="113"/>
  <c r="M2506" i="113" s="1"/>
  <c r="S2506" i="113" s="1"/>
  <c r="K2123" i="113"/>
  <c r="M2123" i="113" s="1"/>
  <c r="S2123" i="113" s="1"/>
  <c r="K1433" i="113"/>
  <c r="M1433" i="113" s="1"/>
  <c r="S1433" i="113" s="1"/>
  <c r="K2340" i="113"/>
  <c r="M2340" i="113" s="1"/>
  <c r="S2340" i="113" s="1"/>
  <c r="K1762" i="113"/>
  <c r="M1762" i="113" s="1"/>
  <c r="S1762" i="113" s="1"/>
  <c r="K1418" i="113"/>
  <c r="M1418" i="113" s="1"/>
  <c r="S1418" i="113" s="1"/>
  <c r="K188" i="113"/>
  <c r="M188" i="113" s="1"/>
  <c r="O188" i="113" s="1"/>
  <c r="K927" i="113"/>
  <c r="M927" i="113" s="1"/>
  <c r="S927" i="113" s="1"/>
  <c r="K573" i="113"/>
  <c r="M573" i="113" s="1"/>
  <c r="O573" i="113" s="1"/>
  <c r="K1511" i="113"/>
  <c r="M1511" i="113" s="1"/>
  <c r="S1511" i="113" s="1"/>
  <c r="K1293" i="113"/>
  <c r="M1293" i="113" s="1"/>
  <c r="S1293" i="113" s="1"/>
  <c r="K1901" i="113"/>
  <c r="M1901" i="113" s="1"/>
  <c r="S1901" i="113" s="1"/>
  <c r="K2357" i="113"/>
  <c r="M2357" i="113" s="1"/>
  <c r="S2357" i="113" s="1"/>
  <c r="K1288" i="113"/>
  <c r="M1288" i="113" s="1"/>
  <c r="S1288" i="113" s="1"/>
  <c r="K710" i="113"/>
  <c r="M710" i="113" s="1"/>
  <c r="K1725" i="113"/>
  <c r="M1725" i="113" s="1"/>
  <c r="S1725" i="113" s="1"/>
  <c r="K1785" i="113"/>
  <c r="M1785" i="113" s="1"/>
  <c r="S1785" i="113" s="1"/>
  <c r="K499" i="113"/>
  <c r="M499" i="113" s="1"/>
  <c r="S499" i="113" s="1"/>
  <c r="K1495" i="113"/>
  <c r="M1495" i="113" s="1"/>
  <c r="S1495" i="113" s="1"/>
  <c r="K1945" i="113"/>
  <c r="M1945" i="113" s="1"/>
  <c r="S1945" i="113" s="1"/>
  <c r="K2498" i="113"/>
  <c r="M2498" i="113" s="1"/>
  <c r="S2498" i="113" s="1"/>
  <c r="K1205" i="113"/>
  <c r="M1205" i="113" s="1"/>
  <c r="S1205" i="113" s="1"/>
  <c r="K404" i="113"/>
  <c r="M404" i="113" s="1"/>
  <c r="S404" i="113" s="1"/>
  <c r="K983" i="113"/>
  <c r="M983" i="113" s="1"/>
  <c r="S983" i="113" s="1"/>
  <c r="K781" i="113"/>
  <c r="M781" i="113" s="1"/>
  <c r="K386" i="113"/>
  <c r="M386" i="113" s="1"/>
  <c r="S386" i="113" s="1"/>
  <c r="K942" i="113"/>
  <c r="M942" i="113" s="1"/>
  <c r="S942" i="113" s="1"/>
  <c r="K2136" i="113"/>
  <c r="M2136" i="113" s="1"/>
  <c r="S2136" i="113" s="1"/>
  <c r="K1254" i="113"/>
  <c r="M1254" i="113" s="1"/>
  <c r="S1254" i="113" s="1"/>
  <c r="K1505" i="113"/>
  <c r="M1505" i="113" s="1"/>
  <c r="O1505" i="113" s="1"/>
  <c r="K1619" i="113"/>
  <c r="M1619" i="113" s="1"/>
  <c r="S1619" i="113" s="1"/>
  <c r="K1711" i="113"/>
  <c r="M1711" i="113" s="1"/>
  <c r="S1711" i="113" s="1"/>
  <c r="K1921" i="113"/>
  <c r="M1921" i="113" s="1"/>
  <c r="S1921" i="113" s="1"/>
  <c r="K1230" i="113"/>
  <c r="M1230" i="113" s="1"/>
  <c r="S1230" i="113" s="1"/>
  <c r="K1547" i="113"/>
  <c r="M1547" i="113" s="1"/>
  <c r="S1547" i="113" s="1"/>
  <c r="K2530" i="113"/>
  <c r="M2530" i="113" s="1"/>
  <c r="S2530" i="113" s="1"/>
  <c r="K1706" i="113"/>
  <c r="M1706" i="113" s="1"/>
  <c r="S1706" i="113" s="1"/>
  <c r="K1931" i="113"/>
  <c r="M1931" i="113" s="1"/>
  <c r="S1931" i="113" s="1"/>
  <c r="K20" i="113"/>
  <c r="M20" i="113" s="1"/>
  <c r="S20" i="113" s="1"/>
  <c r="K1657" i="113"/>
  <c r="M1657" i="113" s="1"/>
  <c r="S1657" i="113" s="1"/>
  <c r="K100" i="113"/>
  <c r="M100" i="113" s="1"/>
  <c r="K520" i="113"/>
  <c r="M520" i="113" s="1"/>
  <c r="S520" i="113" s="1"/>
  <c r="K1218" i="113"/>
  <c r="M1218" i="113" s="1"/>
  <c r="S1218" i="113" s="1"/>
  <c r="K865" i="113"/>
  <c r="M865" i="113" s="1"/>
  <c r="S865" i="113" s="1"/>
  <c r="K1558" i="113"/>
  <c r="M1558" i="113" s="1"/>
  <c r="S1558" i="113" s="1"/>
  <c r="K691" i="113"/>
  <c r="M691" i="113" s="1"/>
  <c r="O691" i="113" s="1"/>
  <c r="K181" i="113"/>
  <c r="M181" i="113" s="1"/>
  <c r="S181" i="113" s="1"/>
  <c r="K212" i="113"/>
  <c r="M212" i="113" s="1"/>
  <c r="S212" i="113" s="1"/>
  <c r="K204" i="113"/>
  <c r="M204" i="113" s="1"/>
  <c r="O204" i="113" s="1"/>
  <c r="K286" i="113"/>
  <c r="M286" i="113" s="1"/>
  <c r="S286" i="113" s="1"/>
  <c r="K239" i="113"/>
  <c r="M239" i="113" s="1"/>
  <c r="S239" i="113" s="1"/>
  <c r="K469" i="113"/>
  <c r="M469" i="113" s="1"/>
  <c r="S469" i="113" s="1"/>
  <c r="K251" i="113"/>
  <c r="M251" i="113" s="1"/>
  <c r="K2391" i="113"/>
  <c r="M2391" i="113" s="1"/>
  <c r="S2391" i="113" s="1"/>
  <c r="K1447" i="113"/>
  <c r="M1447" i="113" s="1"/>
  <c r="S1447" i="113" s="1"/>
  <c r="K1943" i="113"/>
  <c r="M1943" i="113" s="1"/>
  <c r="S1943" i="113" s="1"/>
  <c r="K2202" i="113"/>
  <c r="M2202" i="113" s="1"/>
  <c r="S2202" i="113" s="1"/>
  <c r="K2443" i="113"/>
  <c r="M2443" i="113" s="1"/>
  <c r="S2443" i="113" s="1"/>
  <c r="K1654" i="113"/>
  <c r="M1654" i="113" s="1"/>
  <c r="S1654" i="113" s="1"/>
  <c r="K1421" i="113"/>
  <c r="M1421" i="113" s="1"/>
  <c r="S1421" i="113" s="1"/>
  <c r="K1181" i="113"/>
  <c r="M1181" i="113" s="1"/>
  <c r="S1181" i="113" s="1"/>
  <c r="K760" i="113"/>
  <c r="M760" i="113" s="1"/>
  <c r="S760" i="113" s="1"/>
  <c r="K1882" i="113"/>
  <c r="M1882" i="113" s="1"/>
  <c r="S1882" i="113" s="1"/>
  <c r="K1668" i="113"/>
  <c r="M1668" i="113" s="1"/>
  <c r="S1668" i="113" s="1"/>
  <c r="K1437" i="113"/>
  <c r="M1437" i="113" s="1"/>
  <c r="S1437" i="113" s="1"/>
  <c r="K1199" i="113"/>
  <c r="M1199" i="113" s="1"/>
  <c r="S1199" i="113" s="1"/>
  <c r="K794" i="113"/>
  <c r="M794" i="113" s="1"/>
  <c r="O794" i="113" s="1"/>
  <c r="K1774" i="113"/>
  <c r="M1774" i="113" s="1"/>
  <c r="S1774" i="113" s="1"/>
  <c r="K1552" i="113"/>
  <c r="M1552" i="113" s="1"/>
  <c r="S1552" i="113" s="1"/>
  <c r="K1319" i="113"/>
  <c r="M1319" i="113" s="1"/>
  <c r="S1319" i="113" s="1"/>
  <c r="K1035" i="113"/>
  <c r="M1035" i="113" s="1"/>
  <c r="S1035" i="113" s="1"/>
  <c r="K437" i="113"/>
  <c r="M437" i="113" s="1"/>
  <c r="S437" i="113" s="1"/>
  <c r="K1650" i="113"/>
  <c r="M1650" i="113" s="1"/>
  <c r="S1650" i="113" s="1"/>
  <c r="K1417" i="113"/>
  <c r="M1417" i="113" s="1"/>
  <c r="S1417" i="113" s="1"/>
  <c r="K1175" i="113"/>
  <c r="M1175" i="113" s="1"/>
  <c r="S1175" i="113" s="1"/>
  <c r="K746" i="113"/>
  <c r="M746" i="113" s="1"/>
  <c r="S746" i="113" s="1"/>
  <c r="K1862" i="113"/>
  <c r="M1862" i="113" s="1"/>
  <c r="S1862" i="113" s="1"/>
  <c r="K1648" i="113"/>
  <c r="M1648" i="113" s="1"/>
  <c r="S1648" i="113" s="1"/>
  <c r="K1415" i="113"/>
  <c r="M1415" i="113" s="1"/>
  <c r="S1415" i="113" s="1"/>
  <c r="K1173" i="113"/>
  <c r="M1173" i="113" s="1"/>
  <c r="S1173" i="113" s="1"/>
  <c r="K742" i="113"/>
  <c r="M742" i="113" s="1"/>
  <c r="S742" i="113" s="1"/>
  <c r="K1148" i="113"/>
  <c r="M1148" i="113" s="1"/>
  <c r="S1148" i="113" s="1"/>
  <c r="K703" i="113"/>
  <c r="M703" i="113" s="1"/>
  <c r="O703" i="113" s="1"/>
  <c r="K1919" i="113"/>
  <c r="M1919" i="113" s="1"/>
  <c r="S1919" i="113" s="1"/>
  <c r="K1707" i="113"/>
  <c r="M1707" i="113" s="1"/>
  <c r="K1479" i="113"/>
  <c r="M1479" i="113" s="1"/>
  <c r="S1479" i="113" s="1"/>
  <c r="K1246" i="113"/>
  <c r="M1246" i="113" s="1"/>
  <c r="S1246" i="113" s="1"/>
  <c r="K890" i="113"/>
  <c r="M890" i="113" s="1"/>
  <c r="S890" i="113" s="1"/>
  <c r="K2674" i="113"/>
  <c r="M2674" i="113" s="1"/>
  <c r="S2674" i="113" s="1"/>
  <c r="K2471" i="113"/>
  <c r="M2471" i="113" s="1"/>
  <c r="S2471" i="113" s="1"/>
  <c r="K2266" i="113"/>
  <c r="M2266" i="113" s="1"/>
  <c r="S2266" i="113" s="1"/>
  <c r="K2062" i="113"/>
  <c r="M2062" i="113" s="1"/>
  <c r="S2062" i="113" s="1"/>
  <c r="K1859" i="113"/>
  <c r="M1859" i="113" s="1"/>
  <c r="S1859" i="113" s="1"/>
  <c r="K1643" i="113"/>
  <c r="M1643" i="113" s="1"/>
  <c r="S1643" i="113" s="1"/>
  <c r="K1410" i="113"/>
  <c r="M1410" i="113" s="1"/>
  <c r="S1410" i="113" s="1"/>
  <c r="K1169" i="113"/>
  <c r="M1169" i="113" s="1"/>
  <c r="S1169" i="113" s="1"/>
  <c r="K736" i="113"/>
  <c r="M736" i="113" s="1"/>
  <c r="S736" i="113" s="1"/>
  <c r="K2076" i="113"/>
  <c r="M2076" i="113" s="1"/>
  <c r="S2076" i="113" s="1"/>
  <c r="K1873" i="113"/>
  <c r="M1873" i="113" s="1"/>
  <c r="S1873" i="113" s="1"/>
  <c r="K1658" i="113"/>
  <c r="M1658" i="113" s="1"/>
  <c r="S1658" i="113" s="1"/>
  <c r="K1425" i="113"/>
  <c r="M1425" i="113" s="1"/>
  <c r="S1425" i="113" s="1"/>
  <c r="K1186" i="113"/>
  <c r="M1186" i="113" s="1"/>
  <c r="S1186" i="113" s="1"/>
  <c r="K769" i="113"/>
  <c r="M769" i="113" s="1"/>
  <c r="S769" i="113" s="1"/>
  <c r="K2629" i="113"/>
  <c r="M2629" i="113" s="1"/>
  <c r="S2629" i="113" s="1"/>
  <c r="K2426" i="113"/>
  <c r="M2426" i="113" s="1"/>
  <c r="S2426" i="113" s="1"/>
  <c r="K2220" i="113"/>
  <c r="M2220" i="113" s="1"/>
  <c r="S2220" i="113" s="1"/>
  <c r="K2017" i="113"/>
  <c r="M2017" i="113" s="1"/>
  <c r="S2017" i="113" s="1"/>
  <c r="K1814" i="113"/>
  <c r="M1814" i="113" s="1"/>
  <c r="S1814" i="113" s="1"/>
  <c r="K1594" i="113"/>
  <c r="M1594" i="113" s="1"/>
  <c r="S1594" i="113" s="1"/>
  <c r="K1359" i="113"/>
  <c r="M1359" i="113" s="1"/>
  <c r="S1359" i="113" s="1"/>
  <c r="K1098" i="113"/>
  <c r="M1098" i="113" s="1"/>
  <c r="S1098" i="113" s="1"/>
  <c r="K608" i="113"/>
  <c r="M608" i="113" s="1"/>
  <c r="S608" i="113" s="1"/>
  <c r="K435" i="113"/>
  <c r="M435" i="113" s="1"/>
  <c r="S435" i="113" s="1"/>
  <c r="K852" i="113"/>
  <c r="M852" i="113" s="1"/>
  <c r="S852" i="113" s="1"/>
  <c r="K617" i="113"/>
  <c r="M617" i="113" s="1"/>
  <c r="S617" i="113" s="1"/>
  <c r="K232" i="113"/>
  <c r="M232" i="113" s="1"/>
  <c r="S232" i="113" s="1"/>
  <c r="K935" i="113"/>
  <c r="M935" i="113" s="1"/>
  <c r="S935" i="113" s="1"/>
  <c r="K699" i="113"/>
  <c r="M699" i="113" s="1"/>
  <c r="S699" i="113" s="1"/>
  <c r="K401" i="113"/>
  <c r="M401" i="113" s="1"/>
  <c r="S401" i="113" s="1"/>
  <c r="K1125" i="113"/>
  <c r="M1125" i="113" s="1"/>
  <c r="S1125" i="113" s="1"/>
  <c r="K899" i="113"/>
  <c r="M899" i="113" s="1"/>
  <c r="S899" i="113" s="1"/>
  <c r="K664" i="113"/>
  <c r="M664" i="113" s="1"/>
  <c r="S664" i="113" s="1"/>
  <c r="K331" i="113"/>
  <c r="M331" i="113" s="1"/>
  <c r="S331" i="113" s="1"/>
  <c r="K1156" i="113"/>
  <c r="M1156" i="113" s="1"/>
  <c r="S1156" i="113" s="1"/>
  <c r="K933" i="113"/>
  <c r="M933" i="113" s="1"/>
  <c r="S933" i="113" s="1"/>
  <c r="K696" i="113"/>
  <c r="M696" i="113" s="1"/>
  <c r="S696" i="113" s="1"/>
  <c r="K398" i="113"/>
  <c r="M398" i="113" s="1"/>
  <c r="S398" i="113" s="1"/>
  <c r="K1029" i="113"/>
  <c r="M1029" i="113" s="1"/>
  <c r="S1029" i="113" s="1"/>
  <c r="K796" i="113"/>
  <c r="M796" i="113" s="1"/>
  <c r="S796" i="113" s="1"/>
  <c r="K559" i="113"/>
  <c r="M559" i="113" s="1"/>
  <c r="K123" i="113"/>
  <c r="M123" i="113" s="1"/>
  <c r="K217" i="113"/>
  <c r="M217" i="113" s="1"/>
  <c r="S217" i="113" s="1"/>
  <c r="K1703" i="113"/>
  <c r="M1703" i="113" s="1"/>
  <c r="S1703" i="113" s="1"/>
  <c r="K1501" i="113"/>
  <c r="M1501" i="113" s="1"/>
  <c r="S1501" i="113" s="1"/>
  <c r="K1300" i="113"/>
  <c r="M1300" i="113" s="1"/>
  <c r="S1300" i="113" s="1"/>
  <c r="K1087" i="113"/>
  <c r="M1087" i="113" s="1"/>
  <c r="S1087" i="113" s="1"/>
  <c r="K858" i="113"/>
  <c r="M858" i="113" s="1"/>
  <c r="S858" i="113" s="1"/>
  <c r="K623" i="113"/>
  <c r="M623" i="113" s="1"/>
  <c r="O623" i="113" s="1"/>
  <c r="K247" i="113"/>
  <c r="M247" i="113" s="1"/>
  <c r="S247" i="113" s="1"/>
  <c r="K993" i="113"/>
  <c r="M993" i="113" s="1"/>
  <c r="S993" i="113" s="1"/>
  <c r="K756" i="113"/>
  <c r="M756" i="113" s="1"/>
  <c r="S756" i="113" s="1"/>
  <c r="K502" i="113"/>
  <c r="M502" i="113" s="1"/>
  <c r="S502" i="113" s="1"/>
  <c r="K42" i="113"/>
  <c r="M42" i="113" s="1"/>
  <c r="K1426" i="113"/>
  <c r="M1426" i="113" s="1"/>
  <c r="S1426" i="113" s="1"/>
  <c r="K1226" i="113"/>
  <c r="M1226" i="113" s="1"/>
  <c r="S1226" i="113" s="1"/>
  <c r="K1007" i="113"/>
  <c r="M1007" i="113" s="1"/>
  <c r="S1007" i="113" s="1"/>
  <c r="K772" i="113"/>
  <c r="M772" i="113" s="1"/>
  <c r="S772" i="113" s="1"/>
  <c r="K528" i="113"/>
  <c r="M528" i="113" s="1"/>
  <c r="S528" i="113" s="1"/>
  <c r="K72" i="113"/>
  <c r="M72" i="113" s="1"/>
  <c r="K249" i="113"/>
  <c r="M249" i="113" s="1"/>
  <c r="S249" i="113" s="1"/>
  <c r="K45" i="113"/>
  <c r="M45" i="113" s="1"/>
  <c r="S45" i="113" s="1"/>
  <c r="K349" i="113"/>
  <c r="M349" i="113" s="1"/>
  <c r="S349" i="113" s="1"/>
  <c r="K146" i="113"/>
  <c r="M146" i="113" s="1"/>
  <c r="S146" i="113" s="1"/>
  <c r="K475" i="113"/>
  <c r="M475" i="113" s="1"/>
  <c r="K272" i="113"/>
  <c r="M272" i="113" s="1"/>
  <c r="S272" i="113" s="1"/>
  <c r="K69" i="113"/>
  <c r="M69" i="113" s="1"/>
  <c r="K431" i="113"/>
  <c r="M431" i="113" s="1"/>
  <c r="S431" i="113" s="1"/>
  <c r="K228" i="113"/>
  <c r="M228" i="113" s="1"/>
  <c r="K24" i="113"/>
  <c r="M24" i="113" s="1"/>
  <c r="K384" i="113"/>
  <c r="M384" i="113" s="1"/>
  <c r="S384" i="113" s="1"/>
  <c r="K182" i="113"/>
  <c r="M182" i="113" s="1"/>
  <c r="K1222" i="113"/>
  <c r="M1222" i="113" s="1"/>
  <c r="S1222" i="113" s="1"/>
  <c r="K1019" i="113"/>
  <c r="M1019" i="113" s="1"/>
  <c r="S1019" i="113" s="1"/>
  <c r="K817" i="113"/>
  <c r="M817" i="113" s="1"/>
  <c r="S817" i="113" s="1"/>
  <c r="K614" i="113"/>
  <c r="M614" i="113" s="1"/>
  <c r="O614" i="113" s="1"/>
  <c r="K411" i="113"/>
  <c r="M411" i="113" s="1"/>
  <c r="O411" i="113" s="1"/>
  <c r="K208" i="113"/>
  <c r="M208" i="113" s="1"/>
  <c r="O208" i="113" s="1"/>
  <c r="K5" i="113"/>
  <c r="M5" i="113" s="1"/>
  <c r="O5" i="113" s="1"/>
  <c r="K801" i="113"/>
  <c r="M801" i="113" s="1"/>
  <c r="S801" i="113" s="1"/>
  <c r="K599" i="113"/>
  <c r="M599" i="113" s="1"/>
  <c r="S599" i="113" s="1"/>
  <c r="K396" i="113"/>
  <c r="M396" i="113" s="1"/>
  <c r="S396" i="113" s="1"/>
  <c r="K193" i="113"/>
  <c r="M193" i="113" s="1"/>
  <c r="S193" i="113" s="1"/>
  <c r="K525" i="113"/>
  <c r="M525" i="113" s="1"/>
  <c r="S525" i="113" s="1"/>
  <c r="K322" i="113"/>
  <c r="M322" i="113" s="1"/>
  <c r="S322" i="113" s="1"/>
  <c r="K118" i="113"/>
  <c r="M118" i="113" s="1"/>
  <c r="S118" i="113" s="1"/>
  <c r="K2204" i="113"/>
  <c r="M2204" i="113" s="1"/>
  <c r="S2204" i="113" s="1"/>
  <c r="K2170" i="113"/>
  <c r="M2170" i="113" s="1"/>
  <c r="S2170" i="113" s="1"/>
  <c r="K2579" i="113"/>
  <c r="M2579" i="113" s="1"/>
  <c r="S2579" i="113" s="1"/>
  <c r="K1203" i="113"/>
  <c r="M1203" i="113" s="1"/>
  <c r="S1203" i="113" s="1"/>
  <c r="K1898" i="113"/>
  <c r="M1898" i="113" s="1"/>
  <c r="S1898" i="113" s="1"/>
  <c r="K125" i="113"/>
  <c r="M125" i="113" s="1"/>
  <c r="K1453" i="113"/>
  <c r="M1453" i="113" s="1"/>
  <c r="S1453" i="113" s="1"/>
  <c r="K1949" i="113"/>
  <c r="M1949" i="113" s="1"/>
  <c r="S1949" i="113" s="1"/>
  <c r="K2205" i="113"/>
  <c r="M2205" i="113" s="1"/>
  <c r="S2205" i="113" s="1"/>
  <c r="K2445" i="113"/>
  <c r="M2445" i="113" s="1"/>
  <c r="S2445" i="113" s="1"/>
  <c r="K141" i="113"/>
  <c r="M141" i="113" s="1"/>
  <c r="K1217" i="113"/>
  <c r="M1217" i="113" s="1"/>
  <c r="K1825" i="113"/>
  <c r="M1825" i="113" s="1"/>
  <c r="S1825" i="113" s="1"/>
  <c r="K2121" i="113"/>
  <c r="M2121" i="113" s="1"/>
  <c r="S2121" i="113" s="1"/>
  <c r="K2360" i="113"/>
  <c r="M2360" i="113" s="1"/>
  <c r="S2360" i="113" s="1"/>
  <c r="K2597" i="113"/>
  <c r="M2597" i="113" s="1"/>
  <c r="S2597" i="113" s="1"/>
  <c r="K839" i="113"/>
  <c r="M839" i="113" s="1"/>
  <c r="S839" i="113" s="1"/>
  <c r="K1685" i="113"/>
  <c r="M1685" i="113" s="1"/>
  <c r="S1685" i="113" s="1"/>
  <c r="K2049" i="113"/>
  <c r="M2049" i="113" s="1"/>
  <c r="S2049" i="113" s="1"/>
  <c r="K2292" i="113"/>
  <c r="M2292" i="113" s="1"/>
  <c r="S2292" i="113" s="1"/>
  <c r="K2533" i="113"/>
  <c r="M2533" i="113" s="1"/>
  <c r="S2533" i="113" s="1"/>
  <c r="K2305" i="113"/>
  <c r="M2305" i="113" s="1"/>
  <c r="S2305" i="113" s="1"/>
  <c r="K1464" i="113"/>
  <c r="M1464" i="113" s="1"/>
  <c r="S1464" i="113" s="1"/>
  <c r="K1953" i="113"/>
  <c r="M1953" i="113" s="1"/>
  <c r="S1953" i="113" s="1"/>
  <c r="K2210" i="113"/>
  <c r="M2210" i="113" s="1"/>
  <c r="S2210" i="113" s="1"/>
  <c r="K2448" i="113"/>
  <c r="M2448" i="113" s="1"/>
  <c r="S2448" i="113" s="1"/>
  <c r="K211" i="113"/>
  <c r="M211" i="113" s="1"/>
  <c r="K862" i="113"/>
  <c r="M862" i="113" s="1"/>
  <c r="S862" i="113" s="1"/>
  <c r="K1687" i="113"/>
  <c r="M1687" i="113" s="1"/>
  <c r="S1687" i="113" s="1"/>
  <c r="K2051" i="113"/>
  <c r="M2051" i="113" s="1"/>
  <c r="S2051" i="113" s="1"/>
  <c r="K2296" i="113"/>
  <c r="M2296" i="113" s="1"/>
  <c r="S2296" i="113" s="1"/>
  <c r="K2535" i="113"/>
  <c r="M2535" i="113" s="1"/>
  <c r="S2535" i="113" s="1"/>
  <c r="K1090" i="113"/>
  <c r="M1090" i="113" s="1"/>
  <c r="S1090" i="113" s="1"/>
  <c r="K1764" i="113"/>
  <c r="M1764" i="113" s="1"/>
  <c r="S1764" i="113" s="1"/>
  <c r="K1519" i="113"/>
  <c r="M1519" i="113" s="1"/>
  <c r="S1519" i="113" s="1"/>
  <c r="K1833" i="113"/>
  <c r="M1833" i="113" s="1"/>
  <c r="S1833" i="113" s="1"/>
  <c r="K1209" i="113"/>
  <c r="M1209" i="113" s="1"/>
  <c r="S1209" i="113" s="1"/>
  <c r="K653" i="113"/>
  <c r="M653" i="113" s="1"/>
  <c r="S653" i="113" s="1"/>
  <c r="K1560" i="113"/>
  <c r="M1560" i="113" s="1"/>
  <c r="S1560" i="113" s="1"/>
  <c r="K332" i="113"/>
  <c r="M332" i="113" s="1"/>
  <c r="S332" i="113" s="1"/>
  <c r="K466" i="113"/>
  <c r="M466" i="113" s="1"/>
  <c r="S466" i="113" s="1"/>
  <c r="K1388" i="113"/>
  <c r="M1388" i="113" s="1"/>
  <c r="S1388" i="113" s="1"/>
  <c r="K1599" i="113"/>
  <c r="M1599" i="113" s="1"/>
  <c r="S1599" i="113" s="1"/>
  <c r="K1189" i="113"/>
  <c r="M1189" i="113" s="1"/>
  <c r="S1189" i="113" s="1"/>
  <c r="K618" i="113"/>
  <c r="M618" i="113" s="1"/>
  <c r="S618" i="113" s="1"/>
  <c r="K1973" i="113"/>
  <c r="M1973" i="113" s="1"/>
  <c r="S1973" i="113" s="1"/>
  <c r="K564" i="113"/>
  <c r="M564" i="113" s="1"/>
  <c r="S564" i="113" s="1"/>
  <c r="K647" i="113"/>
  <c r="M647" i="113" s="1"/>
  <c r="S647" i="113" s="1"/>
  <c r="K1041" i="113"/>
  <c r="M1041" i="113" s="1"/>
  <c r="S1041" i="113" s="1"/>
  <c r="K1180" i="113"/>
  <c r="M1180" i="113" s="1"/>
  <c r="S1180" i="113" s="1"/>
  <c r="K229" i="113"/>
  <c r="M229" i="113" s="1"/>
  <c r="K570" i="113"/>
  <c r="M570" i="113" s="1"/>
  <c r="O570" i="113" s="1"/>
  <c r="K279" i="113"/>
  <c r="M279" i="113" s="1"/>
  <c r="S279" i="113" s="1"/>
  <c r="K2009" i="113"/>
  <c r="M2009" i="113" s="1"/>
  <c r="S2009" i="113" s="1"/>
  <c r="K1153" i="113"/>
  <c r="M1153" i="113" s="1"/>
  <c r="S1153" i="113" s="1"/>
  <c r="K2499" i="113"/>
  <c r="M2499" i="113" s="1"/>
  <c r="S2499" i="113" s="1"/>
  <c r="K1174" i="113"/>
  <c r="M1174" i="113" s="1"/>
  <c r="S1174" i="113" s="1"/>
  <c r="K2231" i="113"/>
  <c r="M2231" i="113" s="1"/>
  <c r="S2231" i="113" s="1"/>
  <c r="K2059" i="113"/>
  <c r="M2059" i="113" s="1"/>
  <c r="S2059" i="113" s="1"/>
  <c r="K1794" i="113"/>
  <c r="M1794" i="113" s="1"/>
  <c r="S1794" i="113" s="1"/>
  <c r="K827" i="113"/>
  <c r="M827" i="113" s="1"/>
  <c r="S827" i="113" s="1"/>
  <c r="K1316" i="113"/>
  <c r="M1316" i="113" s="1"/>
  <c r="S1316" i="113" s="1"/>
  <c r="K1613" i="113"/>
  <c r="M1613" i="113" s="1"/>
  <c r="S1613" i="113" s="1"/>
  <c r="K1768" i="113"/>
  <c r="M1768" i="113" s="1"/>
  <c r="S1768" i="113" s="1"/>
  <c r="K1561" i="113"/>
  <c r="M1561" i="113" s="1"/>
  <c r="S1561" i="113" s="1"/>
  <c r="K1720" i="113"/>
  <c r="M1720" i="113" s="1"/>
  <c r="S1720" i="113" s="1"/>
  <c r="K492" i="113"/>
  <c r="M492" i="113" s="1"/>
  <c r="S492" i="113" s="1"/>
  <c r="K562" i="113"/>
  <c r="M562" i="113" s="1"/>
  <c r="S562" i="113" s="1"/>
  <c r="K478" i="113"/>
  <c r="M478" i="113" s="1"/>
  <c r="S478" i="113" s="1"/>
  <c r="K43" i="113"/>
  <c r="M43" i="113" s="1"/>
  <c r="S43" i="113" s="1"/>
  <c r="K161" i="113"/>
  <c r="M161" i="113" s="1"/>
  <c r="S161" i="113" s="1"/>
  <c r="K388" i="113"/>
  <c r="M388" i="113" s="1"/>
  <c r="S388" i="113" s="1"/>
  <c r="K93" i="113"/>
  <c r="M93" i="113" s="1"/>
  <c r="S93" i="113" s="1"/>
  <c r="K715" i="113"/>
  <c r="M715" i="113" s="1"/>
  <c r="S715" i="113" s="1"/>
  <c r="K511" i="113"/>
  <c r="M511" i="113" s="1"/>
  <c r="S511" i="113" s="1"/>
  <c r="K2600" i="113"/>
  <c r="M2600" i="113" s="1"/>
  <c r="O2600" i="113" s="1"/>
  <c r="K2156" i="113"/>
  <c r="M2156" i="113" s="1"/>
  <c r="S2156" i="113" s="1"/>
  <c r="K1324" i="113"/>
  <c r="M1324" i="113" s="1"/>
  <c r="S1324" i="113" s="1"/>
  <c r="K2670" i="113"/>
  <c r="M2670" i="113" s="1"/>
  <c r="S2670" i="113" s="1"/>
  <c r="K2283" i="113"/>
  <c r="M2283" i="113" s="1"/>
  <c r="S2283" i="113" s="1"/>
  <c r="K1869" i="113"/>
  <c r="M1869" i="113" s="1"/>
  <c r="S1869" i="113" s="1"/>
  <c r="K2058" i="113"/>
  <c r="M2058" i="113" s="1"/>
  <c r="S2058" i="113" s="1"/>
  <c r="K2578" i="113"/>
  <c r="M2578" i="113" s="1"/>
  <c r="S2578" i="113" s="1"/>
  <c r="K1537" i="113"/>
  <c r="M1537" i="113" s="1"/>
  <c r="S1537" i="113" s="1"/>
  <c r="K1176" i="113"/>
  <c r="M1176" i="113" s="1"/>
  <c r="K1740" i="113"/>
  <c r="M1740" i="113" s="1"/>
  <c r="S1740" i="113" s="1"/>
  <c r="K51" i="113"/>
  <c r="M51" i="113" s="1"/>
  <c r="K2559" i="113"/>
  <c r="M2559" i="113" s="1"/>
  <c r="S2559" i="113" s="1"/>
  <c r="K1277" i="113"/>
  <c r="M1277" i="113" s="1"/>
  <c r="S1277" i="113" s="1"/>
  <c r="K256" i="113"/>
  <c r="M256" i="113" s="1"/>
  <c r="O256" i="113" s="1"/>
  <c r="K1688" i="113"/>
  <c r="M1688" i="113" s="1"/>
  <c r="S1688" i="113" s="1"/>
  <c r="K1506" i="113"/>
  <c r="M1506" i="113" s="1"/>
  <c r="S1506" i="113" s="1"/>
  <c r="K972" i="113"/>
  <c r="M972" i="113" s="1"/>
  <c r="S972" i="113" s="1"/>
  <c r="K1727" i="113"/>
  <c r="M1727" i="113" s="1"/>
  <c r="S1727" i="113" s="1"/>
  <c r="K1498" i="113"/>
  <c r="M1498" i="113" s="1"/>
  <c r="S1498" i="113" s="1"/>
  <c r="K894" i="113"/>
  <c r="M894" i="113" s="1"/>
  <c r="S894" i="113" s="1"/>
  <c r="K2544" i="113"/>
  <c r="M2544" i="113" s="1"/>
  <c r="S2544" i="113" s="1"/>
  <c r="K37" i="113"/>
  <c r="M37" i="113" s="1"/>
  <c r="K139" i="113"/>
  <c r="M139" i="113" s="1"/>
  <c r="S139" i="113" s="1"/>
  <c r="K1672" i="113"/>
  <c r="M1672" i="113" s="1"/>
  <c r="S1672" i="113" s="1"/>
  <c r="K805" i="113"/>
  <c r="M805" i="113" s="1"/>
  <c r="S805" i="113" s="1"/>
  <c r="K1017" i="113"/>
  <c r="M1017" i="113" s="1"/>
  <c r="S1017" i="113" s="1"/>
  <c r="K488" i="113"/>
  <c r="M488" i="113" s="1"/>
  <c r="S488" i="113" s="1"/>
  <c r="K92" i="113"/>
  <c r="M92" i="113" s="1"/>
  <c r="O92" i="113" s="1"/>
  <c r="K1572" i="113"/>
  <c r="M1572" i="113" s="1"/>
  <c r="S1572" i="113" s="1"/>
  <c r="K1258" i="113"/>
  <c r="M1258" i="113" s="1"/>
  <c r="S1258" i="113" s="1"/>
  <c r="K2611" i="113"/>
  <c r="M2611" i="113" s="1"/>
  <c r="S2611" i="113" s="1"/>
  <c r="K1940" i="113"/>
  <c r="M1940" i="113" s="1"/>
  <c r="S1940" i="113" s="1"/>
  <c r="K939" i="113"/>
  <c r="M939" i="113" s="1"/>
  <c r="S939" i="113" s="1"/>
  <c r="K1133" i="113"/>
  <c r="M1133" i="113" s="1"/>
  <c r="S1133" i="113" s="1"/>
  <c r="K1250" i="113"/>
  <c r="M1250" i="113" s="1"/>
  <c r="S1250" i="113" s="1"/>
  <c r="K1481" i="113"/>
  <c r="M1481" i="113" s="1"/>
  <c r="S1481" i="113" s="1"/>
  <c r="K855" i="113"/>
  <c r="M855" i="113" s="1"/>
  <c r="S855" i="113" s="1"/>
  <c r="K1312" i="113"/>
  <c r="M1312" i="113" s="1"/>
  <c r="S1312" i="113" s="1"/>
  <c r="K2120" i="113"/>
  <c r="M2120" i="113" s="1"/>
  <c r="S2120" i="113" s="1"/>
  <c r="K1245" i="113"/>
  <c r="M1245" i="113" s="1"/>
  <c r="S1245" i="113" s="1"/>
  <c r="K1493" i="113"/>
  <c r="M1493" i="113" s="1"/>
  <c r="S1493" i="113" s="1"/>
  <c r="K2278" i="113"/>
  <c r="M2278" i="113" s="1"/>
  <c r="S2278" i="113" s="1"/>
  <c r="K546" i="113"/>
  <c r="M546" i="113" s="1"/>
  <c r="S546" i="113" s="1"/>
  <c r="K766" i="113"/>
  <c r="M766" i="113" s="1"/>
  <c r="S766" i="113" s="1"/>
  <c r="K459" i="113"/>
  <c r="M459" i="113" s="1"/>
  <c r="S459" i="113" s="1"/>
  <c r="K56" i="113"/>
  <c r="M56" i="113" s="1"/>
  <c r="S56" i="113" s="1"/>
  <c r="K1761" i="113"/>
  <c r="M1761" i="113" s="1"/>
  <c r="K385" i="113"/>
  <c r="M385" i="113" s="1"/>
  <c r="S385" i="113" s="1"/>
  <c r="K1484" i="113"/>
  <c r="M1484" i="113" s="1"/>
  <c r="S1484" i="113" s="1"/>
  <c r="K604" i="113"/>
  <c r="M604" i="113" s="1"/>
  <c r="S604" i="113" s="1"/>
  <c r="K533" i="113"/>
  <c r="M533" i="113" s="1"/>
  <c r="S533" i="113" s="1"/>
  <c r="K82" i="113"/>
  <c r="M82" i="113" s="1"/>
  <c r="S82" i="113" s="1"/>
  <c r="K875" i="113"/>
  <c r="M875" i="113" s="1"/>
  <c r="S875" i="113" s="1"/>
  <c r="K1491" i="113"/>
  <c r="M1491" i="113" s="1"/>
  <c r="S1491" i="113" s="1"/>
  <c r="K1966" i="113"/>
  <c r="M1966" i="113" s="1"/>
  <c r="S1966" i="113" s="1"/>
  <c r="K2219" i="113"/>
  <c r="M2219" i="113" s="1"/>
  <c r="S2219" i="113" s="1"/>
  <c r="K2460" i="113"/>
  <c r="M2460" i="113" s="1"/>
  <c r="S2460" i="113" s="1"/>
  <c r="K1638" i="113"/>
  <c r="M1638" i="113" s="1"/>
  <c r="S1638" i="113" s="1"/>
  <c r="K1405" i="113"/>
  <c r="M1405" i="113" s="1"/>
  <c r="S1405" i="113" s="1"/>
  <c r="K1160" i="113"/>
  <c r="M1160" i="113" s="1"/>
  <c r="S1160" i="113" s="1"/>
  <c r="K720" i="113"/>
  <c r="M720" i="113" s="1"/>
  <c r="S720" i="113" s="1"/>
  <c r="K1868" i="113"/>
  <c r="M1868" i="113" s="1"/>
  <c r="S1868" i="113" s="1"/>
  <c r="K1653" i="113"/>
  <c r="M1653" i="113" s="1"/>
  <c r="S1653" i="113" s="1"/>
  <c r="K1420" i="113"/>
  <c r="M1420" i="113" s="1"/>
  <c r="S1420" i="113" s="1"/>
  <c r="K1178" i="113"/>
  <c r="M1178" i="113" s="1"/>
  <c r="S1178" i="113" s="1"/>
  <c r="K754" i="113"/>
  <c r="M754" i="113" s="1"/>
  <c r="S754" i="113" s="1"/>
  <c r="K1759" i="113"/>
  <c r="M1759" i="113" s="1"/>
  <c r="S1759" i="113" s="1"/>
  <c r="K1535" i="113"/>
  <c r="M1535" i="113" s="1"/>
  <c r="S1535" i="113" s="1"/>
  <c r="K1302" i="113"/>
  <c r="M1302" i="113" s="1"/>
  <c r="S1302" i="113" s="1"/>
  <c r="K1003" i="113"/>
  <c r="M1003" i="113" s="1"/>
  <c r="S1003" i="113" s="1"/>
  <c r="K319" i="113"/>
  <c r="M319" i="113" s="1"/>
  <c r="S319" i="113" s="1"/>
  <c r="K1634" i="113"/>
  <c r="M1634" i="113" s="1"/>
  <c r="S1634" i="113" s="1"/>
  <c r="K1401" i="113"/>
  <c r="M1401" i="113" s="1"/>
  <c r="K1154" i="113"/>
  <c r="M1154" i="113" s="1"/>
  <c r="S1154" i="113" s="1"/>
  <c r="K709" i="113"/>
  <c r="M709" i="113" s="1"/>
  <c r="S709" i="113" s="1"/>
  <c r="K1848" i="113"/>
  <c r="M1848" i="113" s="1"/>
  <c r="S1848" i="113" s="1"/>
  <c r="K1632" i="113"/>
  <c r="M1632" i="113" s="1"/>
  <c r="S1632" i="113" s="1"/>
  <c r="K1397" i="113"/>
  <c r="M1397" i="113" s="1"/>
  <c r="S1397" i="113" s="1"/>
  <c r="K1152" i="113"/>
  <c r="M1152" i="113" s="1"/>
  <c r="S1152" i="113" s="1"/>
  <c r="K704" i="113"/>
  <c r="M704" i="113" s="1"/>
  <c r="S704" i="113" s="1"/>
  <c r="K1127" i="113"/>
  <c r="M1127" i="113" s="1"/>
  <c r="S1127" i="113" s="1"/>
  <c r="K660" i="113"/>
  <c r="M660" i="113" s="1"/>
  <c r="S660" i="113" s="1"/>
  <c r="K1904" i="113"/>
  <c r="M1904" i="113" s="1"/>
  <c r="S1904" i="113" s="1"/>
  <c r="K1692" i="113"/>
  <c r="M1692" i="113" s="1"/>
  <c r="S1692" i="113" s="1"/>
  <c r="K1463" i="113"/>
  <c r="M1463" i="113" s="1"/>
  <c r="S1463" i="113" s="1"/>
  <c r="K1229" i="113"/>
  <c r="M1229" i="113" s="1"/>
  <c r="S1229" i="113" s="1"/>
  <c r="K854" i="113"/>
  <c r="M854" i="113" s="1"/>
  <c r="S854" i="113" s="1"/>
  <c r="K2660" i="113"/>
  <c r="M2660" i="113" s="1"/>
  <c r="S2660" i="113" s="1"/>
  <c r="K2457" i="113"/>
  <c r="M2457" i="113" s="1"/>
  <c r="S2457" i="113" s="1"/>
  <c r="K2251" i="113"/>
  <c r="M2251" i="113" s="1"/>
  <c r="S2251" i="113" s="1"/>
  <c r="K2048" i="113"/>
  <c r="M2048" i="113" s="1"/>
  <c r="S2048" i="113" s="1"/>
  <c r="K1845" i="113"/>
  <c r="M1845" i="113" s="1"/>
  <c r="S1845" i="113" s="1"/>
  <c r="K1628" i="113"/>
  <c r="M1628" i="113" s="1"/>
  <c r="S1628" i="113" s="1"/>
  <c r="K1394" i="113"/>
  <c r="M1394" i="113" s="1"/>
  <c r="S1394" i="113" s="1"/>
  <c r="K1145" i="113"/>
  <c r="M1145" i="113" s="1"/>
  <c r="S1145" i="113" s="1"/>
  <c r="K693" i="113"/>
  <c r="M693" i="113" s="1"/>
  <c r="S693" i="113" s="1"/>
  <c r="K2061" i="113"/>
  <c r="M2061" i="113" s="1"/>
  <c r="S2061" i="113" s="1"/>
  <c r="K1858" i="113"/>
  <c r="M1858" i="113" s="1"/>
  <c r="S1858" i="113" s="1"/>
  <c r="K1642" i="113"/>
  <c r="M1642" i="113" s="1"/>
  <c r="S1642" i="113" s="1"/>
  <c r="K1409" i="113"/>
  <c r="M1409" i="113" s="1"/>
  <c r="S1409" i="113" s="1"/>
  <c r="K1168" i="113"/>
  <c r="M1168" i="113" s="1"/>
  <c r="S1168" i="113" s="1"/>
  <c r="K727" i="113"/>
  <c r="M727" i="113" s="1"/>
  <c r="S727" i="113" s="1"/>
  <c r="K2614" i="113"/>
  <c r="M2614" i="113" s="1"/>
  <c r="S2614" i="113" s="1"/>
  <c r="K2411" i="113"/>
  <c r="M2411" i="113" s="1"/>
  <c r="S2411" i="113" s="1"/>
  <c r="K2206" i="113"/>
  <c r="M2206" i="113" s="1"/>
  <c r="S2206" i="113" s="1"/>
  <c r="K2002" i="113"/>
  <c r="M2002" i="113" s="1"/>
  <c r="S2002" i="113" s="1"/>
  <c r="K1798" i="113"/>
  <c r="M1798" i="113" s="1"/>
  <c r="S1798" i="113" s="1"/>
  <c r="K1576" i="113"/>
  <c r="M1576" i="113" s="1"/>
  <c r="S1576" i="113" s="1"/>
  <c r="K1342" i="113"/>
  <c r="M1342" i="113" s="1"/>
  <c r="S1342" i="113" s="1"/>
  <c r="K1074" i="113"/>
  <c r="M1074" i="113" s="1"/>
  <c r="S1074" i="113" s="1"/>
  <c r="K557" i="113"/>
  <c r="M557" i="113" s="1"/>
  <c r="S557" i="113" s="1"/>
  <c r="K405" i="113"/>
  <c r="M405" i="113" s="1"/>
  <c r="S405" i="113" s="1"/>
  <c r="K835" i="113"/>
  <c r="M835" i="113" s="1"/>
  <c r="S835" i="113" s="1"/>
  <c r="K598" i="113"/>
  <c r="M598" i="113" s="1"/>
  <c r="S598" i="113" s="1"/>
  <c r="K201" i="113"/>
  <c r="M201" i="113" s="1"/>
  <c r="K919" i="113"/>
  <c r="M919" i="113" s="1"/>
  <c r="O919" i="113" s="1"/>
  <c r="K682" i="113"/>
  <c r="M682" i="113" s="1"/>
  <c r="S682" i="113" s="1"/>
  <c r="K369" i="113"/>
  <c r="M369" i="113" s="1"/>
  <c r="S369" i="113" s="1"/>
  <c r="K1110" i="113"/>
  <c r="M1110" i="113" s="1"/>
  <c r="S1110" i="113" s="1"/>
  <c r="K883" i="113"/>
  <c r="M883" i="113" s="1"/>
  <c r="S883" i="113" s="1"/>
  <c r="K648" i="113"/>
  <c r="M648" i="113" s="1"/>
  <c r="S648" i="113" s="1"/>
  <c r="K298" i="113"/>
  <c r="M298" i="113" s="1"/>
  <c r="S298" i="113" s="1"/>
  <c r="K1140" i="113"/>
  <c r="M1140" i="113" s="1"/>
  <c r="S1140" i="113" s="1"/>
  <c r="K915" i="113"/>
  <c r="M915" i="113" s="1"/>
  <c r="S915" i="113" s="1"/>
  <c r="K680" i="113"/>
  <c r="M680" i="113" s="1"/>
  <c r="S680" i="113" s="1"/>
  <c r="K362" i="113"/>
  <c r="M362" i="113" s="1"/>
  <c r="S362" i="113" s="1"/>
  <c r="K1014" i="113"/>
  <c r="M1014" i="113" s="1"/>
  <c r="S1014" i="113" s="1"/>
  <c r="K780" i="113"/>
  <c r="M780" i="113" s="1"/>
  <c r="K537" i="113"/>
  <c r="M537" i="113" s="1"/>
  <c r="S537" i="113" s="1"/>
  <c r="K86" i="113"/>
  <c r="M86" i="113" s="1"/>
  <c r="K184" i="113"/>
  <c r="M184" i="113" s="1"/>
  <c r="O184" i="113" s="1"/>
  <c r="K1689" i="113"/>
  <c r="M1689" i="113" s="1"/>
  <c r="S1689" i="113" s="1"/>
  <c r="K1486" i="113"/>
  <c r="M1486" i="113" s="1"/>
  <c r="S1486" i="113" s="1"/>
  <c r="K1286" i="113"/>
  <c r="M1286" i="113" s="1"/>
  <c r="S1286" i="113" s="1"/>
  <c r="K1071" i="113"/>
  <c r="M1071" i="113" s="1"/>
  <c r="S1071" i="113" s="1"/>
  <c r="K842" i="113"/>
  <c r="M842" i="113" s="1"/>
  <c r="S842" i="113" s="1"/>
  <c r="K606" i="113"/>
  <c r="M606" i="113" s="1"/>
  <c r="S606" i="113" s="1"/>
  <c r="K216" i="113"/>
  <c r="M216" i="113" s="1"/>
  <c r="K976" i="113"/>
  <c r="M976" i="113" s="1"/>
  <c r="S976" i="113" s="1"/>
  <c r="K740" i="113"/>
  <c r="M740" i="113" s="1"/>
  <c r="S740" i="113" s="1"/>
  <c r="K473" i="113"/>
  <c r="M473" i="113" s="1"/>
  <c r="S473" i="113" s="1"/>
  <c r="K9" i="113"/>
  <c r="M9" i="113" s="1"/>
  <c r="S9" i="113" s="1"/>
  <c r="K1412" i="113"/>
  <c r="M1412" i="113" s="1"/>
  <c r="S1412" i="113" s="1"/>
  <c r="K1211" i="113"/>
  <c r="M1211" i="113" s="1"/>
  <c r="S1211" i="113" s="1"/>
  <c r="K992" i="113"/>
  <c r="M992" i="113" s="1"/>
  <c r="S992" i="113" s="1"/>
  <c r="K755" i="113"/>
  <c r="M755" i="113" s="1"/>
  <c r="S755" i="113" s="1"/>
  <c r="K501" i="113"/>
  <c r="M501" i="113" s="1"/>
  <c r="S501" i="113" s="1"/>
  <c r="K41" i="113"/>
  <c r="M41" i="113" s="1"/>
  <c r="K234" i="113"/>
  <c r="M234" i="113" s="1"/>
  <c r="S234" i="113" s="1"/>
  <c r="K31" i="113"/>
  <c r="M31" i="113" s="1"/>
  <c r="S31" i="113" s="1"/>
  <c r="K334" i="113"/>
  <c r="M334" i="113" s="1"/>
  <c r="S334" i="113" s="1"/>
  <c r="K131" i="113"/>
  <c r="M131" i="113" s="1"/>
  <c r="K461" i="113"/>
  <c r="M461" i="113" s="1"/>
  <c r="O461" i="113" s="1"/>
  <c r="K258" i="113"/>
  <c r="M258" i="113" s="1"/>
  <c r="K54" i="113"/>
  <c r="M54" i="113" s="1"/>
  <c r="S54" i="113" s="1"/>
  <c r="K416" i="113"/>
  <c r="M416" i="113" s="1"/>
  <c r="S416" i="113" s="1"/>
  <c r="K214" i="113"/>
  <c r="M214" i="113" s="1"/>
  <c r="K10" i="113"/>
  <c r="M10" i="113" s="1"/>
  <c r="K370" i="113"/>
  <c r="M370" i="113" s="1"/>
  <c r="S370" i="113" s="1"/>
  <c r="K166" i="113"/>
  <c r="M166" i="113" s="1"/>
  <c r="K1208" i="113"/>
  <c r="M1208" i="113" s="1"/>
  <c r="S1208" i="113" s="1"/>
  <c r="K1004" i="113"/>
  <c r="M1004" i="113" s="1"/>
  <c r="S1004" i="113" s="1"/>
  <c r="K802" i="113"/>
  <c r="M802" i="113" s="1"/>
  <c r="O802" i="113" s="1"/>
  <c r="K600" i="113"/>
  <c r="M600" i="113" s="1"/>
  <c r="O600" i="113" s="1"/>
  <c r="K397" i="113"/>
  <c r="M397" i="113" s="1"/>
  <c r="S397" i="113" s="1"/>
  <c r="K194" i="113"/>
  <c r="M194" i="113" s="1"/>
  <c r="S194" i="113" s="1"/>
  <c r="K989" i="113"/>
  <c r="M989" i="113" s="1"/>
  <c r="S989" i="113" s="1"/>
  <c r="K787" i="113"/>
  <c r="M787" i="113" s="1"/>
  <c r="S787" i="113" s="1"/>
  <c r="K584" i="113"/>
  <c r="M584" i="113" s="1"/>
  <c r="S584" i="113" s="1"/>
  <c r="K381" i="113"/>
  <c r="M381" i="113" s="1"/>
  <c r="S381" i="113" s="1"/>
  <c r="K178" i="113"/>
  <c r="M178" i="113" s="1"/>
  <c r="S178" i="113" s="1"/>
  <c r="K510" i="113"/>
  <c r="M510" i="113" s="1"/>
  <c r="S510" i="113" s="1"/>
  <c r="K308" i="113"/>
  <c r="M308" i="113" s="1"/>
  <c r="S308" i="113" s="1"/>
  <c r="K104" i="113"/>
  <c r="M104" i="113" s="1"/>
  <c r="S104" i="113" s="1"/>
  <c r="K2524" i="113"/>
  <c r="M2524" i="113" s="1"/>
  <c r="S2524" i="113" s="1"/>
  <c r="K2187" i="113"/>
  <c r="M2187" i="113" s="1"/>
  <c r="S2187" i="113" s="1"/>
  <c r="K2595" i="113"/>
  <c r="M2595" i="113" s="1"/>
  <c r="S2595" i="113" s="1"/>
  <c r="K1263" i="113"/>
  <c r="M1263" i="113" s="1"/>
  <c r="S1263" i="113" s="1"/>
  <c r="K2008" i="113"/>
  <c r="M2008" i="113" s="1"/>
  <c r="S2008" i="113" s="1"/>
  <c r="K1432" i="113"/>
  <c r="M1432" i="113" s="1"/>
  <c r="S1432" i="113" s="1"/>
  <c r="K1500" i="113"/>
  <c r="M1500" i="113" s="1"/>
  <c r="S1500" i="113" s="1"/>
  <c r="K1968" i="113"/>
  <c r="M1968" i="113" s="1"/>
  <c r="S1968" i="113" s="1"/>
  <c r="K2223" i="113"/>
  <c r="M2223" i="113" s="1"/>
  <c r="S2223" i="113" s="1"/>
  <c r="K2462" i="113"/>
  <c r="M2462" i="113" s="1"/>
  <c r="S2462" i="113" s="1"/>
  <c r="K541" i="113"/>
  <c r="M541" i="113" s="1"/>
  <c r="O541" i="113" s="1"/>
  <c r="K1268" i="113"/>
  <c r="M1268" i="113" s="1"/>
  <c r="S1268" i="113" s="1"/>
  <c r="K1851" i="113"/>
  <c r="M1851" i="113" s="1"/>
  <c r="S1851" i="113" s="1"/>
  <c r="K2139" i="113"/>
  <c r="M2139" i="113" s="1"/>
  <c r="S2139" i="113" s="1"/>
  <c r="K2377" i="113"/>
  <c r="M2377" i="113" s="1"/>
  <c r="S2377" i="113" s="1"/>
  <c r="K2615" i="113"/>
  <c r="M2615" i="113" s="1"/>
  <c r="S2615" i="113" s="1"/>
  <c r="K964" i="113"/>
  <c r="M964" i="113" s="1"/>
  <c r="S964" i="113" s="1"/>
  <c r="K1718" i="113"/>
  <c r="M1718" i="113" s="1"/>
  <c r="S1718" i="113" s="1"/>
  <c r="K2066" i="113"/>
  <c r="M2066" i="113" s="1"/>
  <c r="S2066" i="113" s="1"/>
  <c r="K1285" i="113"/>
  <c r="M1285" i="113" s="1"/>
  <c r="S1285" i="113" s="1"/>
  <c r="K1129" i="113"/>
  <c r="M1129" i="113" s="1"/>
  <c r="O1129" i="113" s="1"/>
  <c r="K2442" i="113"/>
  <c r="M2442" i="113" s="1"/>
  <c r="S2442" i="113" s="1"/>
  <c r="K1144" i="113"/>
  <c r="M1144" i="113" s="1"/>
  <c r="S1144" i="113" s="1"/>
  <c r="K372" i="113"/>
  <c r="M372" i="113" s="1"/>
  <c r="S372" i="113" s="1"/>
  <c r="K261" i="113"/>
  <c r="M261" i="113" s="1"/>
  <c r="K763" i="113"/>
  <c r="M763" i="113" s="1"/>
  <c r="S763" i="113" s="1"/>
  <c r="K514" i="113"/>
  <c r="M514" i="113" s="1"/>
  <c r="O514" i="113" s="1"/>
  <c r="K55" i="113"/>
  <c r="M55" i="113" s="1"/>
  <c r="S55" i="113" s="1"/>
  <c r="K151" i="113"/>
  <c r="M151" i="113" s="1"/>
  <c r="K1674" i="113"/>
  <c r="M1674" i="113" s="1"/>
  <c r="S1674" i="113" s="1"/>
  <c r="K1472" i="113"/>
  <c r="M1472" i="113" s="1"/>
  <c r="S1472" i="113" s="1"/>
  <c r="K1271" i="113"/>
  <c r="M1271" i="113" s="1"/>
  <c r="S1271" i="113" s="1"/>
  <c r="K1056" i="113"/>
  <c r="M1056" i="113" s="1"/>
  <c r="S1056" i="113" s="1"/>
  <c r="K825" i="113"/>
  <c r="M825" i="113" s="1"/>
  <c r="S825" i="113" s="1"/>
  <c r="K589" i="113"/>
  <c r="M589" i="113" s="1"/>
  <c r="S589" i="113" s="1"/>
  <c r="K183" i="113"/>
  <c r="M183" i="113" s="1"/>
  <c r="S183" i="113" s="1"/>
  <c r="K958" i="113"/>
  <c r="M958" i="113" s="1"/>
  <c r="S958" i="113" s="1"/>
  <c r="K723" i="113"/>
  <c r="M723" i="113" s="1"/>
  <c r="S723" i="113" s="1"/>
  <c r="K445" i="113"/>
  <c r="M445" i="113" s="1"/>
  <c r="S445" i="113" s="1"/>
  <c r="K1600" i="113"/>
  <c r="M1600" i="113" s="1"/>
  <c r="S1600" i="113" s="1"/>
  <c r="K1398" i="113"/>
  <c r="M1398" i="113" s="1"/>
  <c r="S1398" i="113" s="1"/>
  <c r="K1195" i="113"/>
  <c r="M1195" i="113" s="1"/>
  <c r="S1195" i="113" s="1"/>
  <c r="K973" i="113"/>
  <c r="M973" i="113" s="1"/>
  <c r="S973" i="113" s="1"/>
  <c r="K739" i="113"/>
  <c r="M739" i="113" s="1"/>
  <c r="S739" i="113" s="1"/>
  <c r="K472" i="113"/>
  <c r="M472" i="113" s="1"/>
  <c r="S472" i="113" s="1"/>
  <c r="K8" i="113"/>
  <c r="M8" i="113" s="1"/>
  <c r="S8" i="113" s="1"/>
  <c r="K220" i="113"/>
  <c r="M220" i="113" s="1"/>
  <c r="S220" i="113" s="1"/>
  <c r="K16" i="113"/>
  <c r="M16" i="113" s="1"/>
  <c r="S16" i="113" s="1"/>
  <c r="K320" i="113"/>
  <c r="M320" i="113" s="1"/>
  <c r="S320" i="113" s="1"/>
  <c r="K116" i="113"/>
  <c r="M116" i="113" s="1"/>
  <c r="S116" i="113" s="1"/>
  <c r="K447" i="113"/>
  <c r="M447" i="113" s="1"/>
  <c r="S447" i="113" s="1"/>
  <c r="K244" i="113"/>
  <c r="M244" i="113" s="1"/>
  <c r="S244" i="113" s="1"/>
  <c r="K40" i="113"/>
  <c r="M40" i="113" s="1"/>
  <c r="K402" i="113"/>
  <c r="M402" i="113" s="1"/>
  <c r="S402" i="113" s="1"/>
  <c r="K199" i="113"/>
  <c r="M199" i="113" s="1"/>
  <c r="S199" i="113" s="1"/>
  <c r="K558" i="113"/>
  <c r="M558" i="113" s="1"/>
  <c r="S558" i="113" s="1"/>
  <c r="K355" i="113"/>
  <c r="M355" i="113" s="1"/>
  <c r="S355" i="113" s="1"/>
  <c r="K152" i="113"/>
  <c r="M152" i="113" s="1"/>
  <c r="K1193" i="113"/>
  <c r="M1193" i="113" s="1"/>
  <c r="S1193" i="113" s="1"/>
  <c r="K990" i="113"/>
  <c r="M990" i="113" s="1"/>
  <c r="S990" i="113" s="1"/>
  <c r="K788" i="113"/>
  <c r="M788" i="113" s="1"/>
  <c r="S788" i="113" s="1"/>
  <c r="K585" i="113"/>
  <c r="M585" i="113" s="1"/>
  <c r="S585" i="113" s="1"/>
  <c r="K382" i="113"/>
  <c r="M382" i="113" s="1"/>
  <c r="S382" i="113" s="1"/>
  <c r="K179" i="113"/>
  <c r="M179" i="113" s="1"/>
  <c r="K974" i="113"/>
  <c r="M974" i="113" s="1"/>
  <c r="S974" i="113" s="1"/>
  <c r="K773" i="113"/>
  <c r="M773" i="113" s="1"/>
  <c r="S773" i="113" s="1"/>
  <c r="K569" i="113"/>
  <c r="M569" i="113" s="1"/>
  <c r="S569" i="113" s="1"/>
  <c r="K367" i="113"/>
  <c r="M367" i="113" s="1"/>
  <c r="S367" i="113" s="1"/>
  <c r="K163" i="113"/>
  <c r="M163" i="113" s="1"/>
  <c r="K496" i="113"/>
  <c r="M496" i="113" s="1"/>
  <c r="S496" i="113" s="1"/>
  <c r="K293" i="113"/>
  <c r="M293" i="113" s="1"/>
  <c r="S293" i="113" s="1"/>
  <c r="K89" i="113"/>
  <c r="M89" i="113" s="1"/>
  <c r="S89" i="113" s="1"/>
  <c r="K1849" i="113"/>
  <c r="M1849" i="113" s="1"/>
  <c r="S1849" i="113" s="1"/>
  <c r="K2203" i="113"/>
  <c r="M2203" i="113" s="1"/>
  <c r="S2203" i="113" s="1"/>
  <c r="K2612" i="113"/>
  <c r="M2612" i="113" s="1"/>
  <c r="S2612" i="113" s="1"/>
  <c r="K1308" i="113"/>
  <c r="M1308" i="113" s="1"/>
  <c r="S1308" i="113" s="1"/>
  <c r="K2025" i="113"/>
  <c r="M2025" i="113" s="1"/>
  <c r="S2025" i="113" s="1"/>
  <c r="K115" i="113"/>
  <c r="M115" i="113" s="1"/>
  <c r="S115" i="113" s="1"/>
  <c r="K1548" i="113"/>
  <c r="M1548" i="113" s="1"/>
  <c r="S1548" i="113" s="1"/>
  <c r="K1987" i="113"/>
  <c r="M1987" i="113" s="1"/>
  <c r="S1987" i="113" s="1"/>
  <c r="K2240" i="113"/>
  <c r="M2240" i="113" s="1"/>
  <c r="S2240" i="113" s="1"/>
  <c r="K2479" i="113"/>
  <c r="M2479" i="113" s="1"/>
  <c r="S2479" i="113" s="1"/>
  <c r="K988" i="113"/>
  <c r="M988" i="113" s="1"/>
  <c r="S988" i="113" s="1"/>
  <c r="K1317" i="113"/>
  <c r="M1317" i="113" s="1"/>
  <c r="K1878" i="113"/>
  <c r="M1878" i="113" s="1"/>
  <c r="S1878" i="113" s="1"/>
  <c r="K2155" i="113"/>
  <c r="M2155" i="113" s="1"/>
  <c r="S2155" i="113" s="1"/>
  <c r="K2394" i="113"/>
  <c r="M2394" i="113" s="1"/>
  <c r="S2394" i="113" s="1"/>
  <c r="K2633" i="113"/>
  <c r="M2633" i="113" s="1"/>
  <c r="S2633" i="113" s="1"/>
  <c r="K1072" i="113"/>
  <c r="M1072" i="113" s="1"/>
  <c r="O1072" i="113" s="1"/>
  <c r="K1757" i="113"/>
  <c r="M1757" i="113" s="1"/>
  <c r="S1757" i="113" s="1"/>
  <c r="K2084" i="113"/>
  <c r="M2084" i="113" s="1"/>
  <c r="S2084" i="113" s="1"/>
  <c r="K2328" i="113"/>
  <c r="M2328" i="113" s="1"/>
  <c r="S2328" i="113" s="1"/>
  <c r="K2566" i="113"/>
  <c r="M2566" i="113" s="1"/>
  <c r="S2566" i="113" s="1"/>
  <c r="K209" i="113"/>
  <c r="M209" i="113" s="1"/>
  <c r="K1557" i="113"/>
  <c r="M1557" i="113" s="1"/>
  <c r="S1557" i="113" s="1"/>
  <c r="K1994" i="113"/>
  <c r="M1994" i="113" s="1"/>
  <c r="S1994" i="113" s="1"/>
  <c r="K2243" i="113"/>
  <c r="M2243" i="113" s="1"/>
  <c r="S2243" i="113" s="1"/>
  <c r="K2482" i="113"/>
  <c r="M2482" i="113" s="1"/>
  <c r="S2482" i="113" s="1"/>
  <c r="K1075" i="113"/>
  <c r="M1075" i="113" s="1"/>
  <c r="S1075" i="113" s="1"/>
  <c r="K1084" i="113"/>
  <c r="M1084" i="113" s="1"/>
  <c r="S1084" i="113" s="1"/>
  <c r="K1763" i="113"/>
  <c r="M1763" i="113" s="1"/>
  <c r="S1763" i="113" s="1"/>
  <c r="K2086" i="113"/>
  <c r="M2086" i="113" s="1"/>
  <c r="S2086" i="113" s="1"/>
  <c r="K2330" i="113"/>
  <c r="M2330" i="113" s="1"/>
  <c r="S2330" i="113" s="1"/>
  <c r="K2568" i="113"/>
  <c r="M2568" i="113" s="1"/>
  <c r="S2568" i="113" s="1"/>
  <c r="K1235" i="113"/>
  <c r="M1235" i="113" s="1"/>
  <c r="S1235" i="113" s="1"/>
  <c r="K1834" i="113"/>
  <c r="M1834" i="113" s="1"/>
  <c r="S1834" i="113" s="1"/>
  <c r="K2126" i="113"/>
  <c r="M2126" i="113" s="1"/>
  <c r="S2126" i="113" s="1"/>
  <c r="K2364" i="113"/>
  <c r="M2364" i="113" s="1"/>
  <c r="S2364" i="113" s="1"/>
  <c r="K2604" i="113"/>
  <c r="M2604" i="113" s="1"/>
  <c r="S2604" i="113" s="1"/>
  <c r="K1096" i="113"/>
  <c r="M1096" i="113" s="1"/>
  <c r="K1765" i="113"/>
  <c r="M1765" i="113" s="1"/>
  <c r="S1765" i="113" s="1"/>
  <c r="K2088" i="113"/>
  <c r="M2088" i="113" s="1"/>
  <c r="S2088" i="113" s="1"/>
  <c r="K2332" i="113"/>
  <c r="M2332" i="113" s="1"/>
  <c r="S2332" i="113" s="1"/>
  <c r="K2570" i="113"/>
  <c r="M2570" i="113" s="1"/>
  <c r="S2570" i="113" s="1"/>
  <c r="K1167" i="113"/>
  <c r="M1167" i="113" s="1"/>
  <c r="S1167" i="113" s="1"/>
  <c r="K1475" i="113"/>
  <c r="M1475" i="113" s="1"/>
  <c r="S1475" i="113" s="1"/>
  <c r="K1957" i="113"/>
  <c r="M1957" i="113" s="1"/>
  <c r="S1957" i="113" s="1"/>
  <c r="K2214" i="113"/>
  <c r="M2214" i="113" s="1"/>
  <c r="S2214" i="113" s="1"/>
  <c r="K2452" i="113"/>
  <c r="M2452" i="113" s="1"/>
  <c r="S2452" i="113" s="1"/>
  <c r="K338" i="113"/>
  <c r="M338" i="113" s="1"/>
  <c r="S338" i="113" s="1"/>
  <c r="K1117" i="113"/>
  <c r="M1117" i="113" s="1"/>
  <c r="S1117" i="113" s="1"/>
  <c r="K2492" i="113"/>
  <c r="M2492" i="113" s="1"/>
  <c r="S2492" i="113" s="1"/>
  <c r="K2200" i="113"/>
  <c r="M2200" i="113" s="1"/>
  <c r="S2200" i="113" s="1"/>
  <c r="K2321" i="113"/>
  <c r="M2321" i="113" s="1"/>
  <c r="S2321" i="113" s="1"/>
  <c r="K2022" i="113"/>
  <c r="M2022" i="113" s="1"/>
  <c r="S2022" i="113" s="1"/>
  <c r="K1984" i="113"/>
  <c r="M1984" i="113" s="1"/>
  <c r="S1984" i="113" s="1"/>
  <c r="K2151" i="113"/>
  <c r="M2151" i="113" s="1"/>
  <c r="S2151" i="113" s="1"/>
  <c r="K1842" i="113"/>
  <c r="M1842" i="113" s="1"/>
  <c r="S1842" i="113" s="1"/>
  <c r="K1198" i="113"/>
  <c r="M1198" i="113" s="1"/>
  <c r="S1198" i="113" s="1"/>
  <c r="K2625" i="113"/>
  <c r="M2625" i="113" s="1"/>
  <c r="S2625" i="113" s="1"/>
  <c r="K2302" i="113"/>
  <c r="M2302" i="113" s="1"/>
  <c r="S2302" i="113" s="1"/>
  <c r="K2405" i="113"/>
  <c r="M2405" i="113" s="1"/>
  <c r="S2405" i="113" s="1"/>
  <c r="K2422" i="113"/>
  <c r="M2422" i="113" s="1"/>
  <c r="S2422" i="113" s="1"/>
  <c r="K2525" i="113"/>
  <c r="M2525" i="113" s="1"/>
  <c r="S2525" i="113" s="1"/>
  <c r="K770" i="113"/>
  <c r="M770" i="113" s="1"/>
  <c r="S770" i="113" s="1"/>
  <c r="K2662" i="113"/>
  <c r="M2662" i="113" s="1"/>
  <c r="S2662" i="113" s="1"/>
  <c r="K442" i="113"/>
  <c r="M442" i="113" s="1"/>
  <c r="S442" i="113" s="1"/>
  <c r="K1581" i="113"/>
  <c r="M1581" i="113" s="1"/>
  <c r="S1581" i="113" s="1"/>
  <c r="K1701" i="113"/>
  <c r="M1701" i="113" s="1"/>
  <c r="S1701" i="113" s="1"/>
  <c r="K1734" i="113"/>
  <c r="M1734" i="113" s="1"/>
  <c r="S1734" i="113" s="1"/>
  <c r="K1247" i="113"/>
  <c r="M1247" i="113" s="1"/>
  <c r="S1247" i="113" s="1"/>
  <c r="K2623" i="113"/>
  <c r="M2623" i="113" s="1"/>
  <c r="S2623" i="113" s="1"/>
  <c r="K678" i="113"/>
  <c r="M678" i="113" s="1"/>
  <c r="S678" i="113" s="1"/>
  <c r="K970" i="113"/>
  <c r="M970" i="113" s="1"/>
  <c r="S970" i="113" s="1"/>
  <c r="K661" i="113"/>
  <c r="M661" i="113" s="1"/>
  <c r="S661" i="113" s="1"/>
  <c r="K2237" i="113"/>
  <c r="M2237" i="113" s="1"/>
  <c r="S2237" i="113" s="1"/>
  <c r="K1377" i="113"/>
  <c r="M1377" i="113" s="1"/>
  <c r="S1377" i="113" s="1"/>
  <c r="K2599" i="113"/>
  <c r="M2599" i="113" s="1"/>
  <c r="S2599" i="113" s="1"/>
  <c r="K819" i="113"/>
  <c r="M819" i="113" s="1"/>
  <c r="S819" i="113" s="1"/>
  <c r="K1124" i="113"/>
  <c r="M1124" i="113" s="1"/>
  <c r="S1124" i="113" s="1"/>
  <c r="K2007" i="113"/>
  <c r="M2007" i="113" s="1"/>
  <c r="S2007" i="113" s="1"/>
  <c r="K1115" i="113"/>
  <c r="M1115" i="113" s="1"/>
  <c r="S1115" i="113" s="1"/>
  <c r="K1267" i="113"/>
  <c r="M1267" i="113" s="1"/>
  <c r="S1267" i="113" s="1"/>
  <c r="K1364" i="113"/>
  <c r="M1364" i="113" s="1"/>
  <c r="S1364" i="113" s="1"/>
  <c r="K1429" i="113"/>
  <c r="M1429" i="113" s="1"/>
  <c r="S1429" i="113" s="1"/>
  <c r="K2222" i="113"/>
  <c r="M2222" i="113" s="1"/>
  <c r="S2222" i="113" s="1"/>
  <c r="K1611" i="113"/>
  <c r="M1611" i="113" s="1"/>
  <c r="S1611" i="113" s="1"/>
  <c r="K1542" i="113"/>
  <c r="M1542" i="113" s="1"/>
  <c r="S1542" i="113" s="1"/>
  <c r="K884" i="113"/>
  <c r="M884" i="113" s="1"/>
  <c r="S884" i="113" s="1"/>
  <c r="K1109" i="113"/>
  <c r="M1109" i="113" s="1"/>
  <c r="S1109" i="113" s="1"/>
  <c r="K114" i="113"/>
  <c r="M114" i="113" s="1"/>
  <c r="S114" i="113" s="1"/>
  <c r="K707" i="113"/>
  <c r="M707" i="113" s="1"/>
  <c r="S707" i="113" s="1"/>
  <c r="K408" i="113"/>
  <c r="M408" i="113" s="1"/>
  <c r="S408" i="113" s="1"/>
  <c r="K544" i="113"/>
  <c r="M544" i="113" s="1"/>
  <c r="S544" i="113" s="1"/>
  <c r="K774" i="113"/>
  <c r="M774" i="113" s="1"/>
  <c r="S774" i="113" s="1"/>
  <c r="K352" i="113"/>
  <c r="M352" i="113" s="1"/>
  <c r="S352" i="113" s="1"/>
  <c r="K2043" i="113"/>
  <c r="M2043" i="113" s="1"/>
  <c r="S2043" i="113" s="1"/>
  <c r="K2172" i="113"/>
  <c r="M2172" i="113" s="1"/>
  <c r="S2172" i="113" s="1"/>
  <c r="K1605" i="113"/>
  <c r="M1605" i="113" s="1"/>
  <c r="S1605" i="113" s="1"/>
  <c r="K1797" i="113"/>
  <c r="M1797" i="113" s="1"/>
  <c r="K1281" i="113"/>
  <c r="M1281" i="113" s="1"/>
  <c r="S1281" i="113" s="1"/>
  <c r="K2348" i="113"/>
  <c r="M2348" i="113" s="1"/>
  <c r="S2348" i="113" s="1"/>
  <c r="K2470" i="113"/>
  <c r="M2470" i="113" s="1"/>
  <c r="S2470" i="113" s="1"/>
  <c r="K2093" i="113"/>
  <c r="M2093" i="113" s="1"/>
  <c r="S2093" i="113" s="1"/>
  <c r="K2216" i="113"/>
  <c r="M2216" i="113" s="1"/>
  <c r="S2216" i="113" s="1"/>
  <c r="K1780" i="113"/>
  <c r="M1780" i="113" s="1"/>
  <c r="S1780" i="113" s="1"/>
  <c r="K2541" i="113"/>
  <c r="M2541" i="113" s="1"/>
  <c r="S2541" i="113" s="1"/>
  <c r="K2369" i="113"/>
  <c r="M2369" i="113" s="1"/>
  <c r="S2369" i="113" s="1"/>
  <c r="K1536" i="113"/>
  <c r="M1536" i="113" s="1"/>
  <c r="S1536" i="113" s="1"/>
  <c r="K1983" i="113"/>
  <c r="M1983" i="113" s="1"/>
  <c r="S1983" i="113" s="1"/>
  <c r="K1667" i="113"/>
  <c r="M1667" i="113" s="1"/>
  <c r="S1667" i="113" s="1"/>
  <c r="K26" i="113"/>
  <c r="M26" i="113" s="1"/>
  <c r="K1633" i="113"/>
  <c r="M1633" i="113" s="1"/>
  <c r="S1633" i="113" s="1"/>
  <c r="K2271" i="113"/>
  <c r="M2271" i="113" s="1"/>
  <c r="S2271" i="113" s="1"/>
  <c r="K1590" i="113"/>
  <c r="M1590" i="113" s="1"/>
  <c r="S1590" i="113" s="1"/>
  <c r="K1095" i="113"/>
  <c r="M1095" i="113" s="1"/>
  <c r="K1370" i="113"/>
  <c r="M1370" i="113" s="1"/>
  <c r="S1370" i="113" s="1"/>
  <c r="K1251" i="113"/>
  <c r="M1251" i="113" s="1"/>
  <c r="S1251" i="113" s="1"/>
  <c r="K1806" i="113"/>
  <c r="M1806" i="113" s="1"/>
  <c r="S1806" i="113" s="1"/>
  <c r="K1350" i="113"/>
  <c r="M1350" i="113" s="1"/>
  <c r="S1350" i="113" s="1"/>
  <c r="K586" i="113"/>
  <c r="M586" i="113" s="1"/>
  <c r="S586" i="113" s="1"/>
  <c r="K1582" i="113"/>
  <c r="M1582" i="113" s="1"/>
  <c r="S1582" i="113" s="1"/>
  <c r="K1083" i="113"/>
  <c r="M1083" i="113" s="1"/>
  <c r="S1083" i="113" s="1"/>
  <c r="K1057" i="113"/>
  <c r="M1057" i="113" s="1"/>
  <c r="S1057" i="113" s="1"/>
  <c r="K1860" i="113"/>
  <c r="M1860" i="113" s="1"/>
  <c r="S1860" i="113" s="1"/>
  <c r="K1644" i="113"/>
  <c r="M1644" i="113" s="1"/>
  <c r="S1644" i="113" s="1"/>
  <c r="K1170" i="113"/>
  <c r="M1170" i="113" s="1"/>
  <c r="S1170" i="113" s="1"/>
  <c r="K2616" i="113"/>
  <c r="M2616" i="113" s="1"/>
  <c r="S2616" i="113" s="1"/>
  <c r="K2208" i="113"/>
  <c r="M2208" i="113" s="1"/>
  <c r="S2208" i="113" s="1"/>
  <c r="K1579" i="113"/>
  <c r="M1579" i="113" s="1"/>
  <c r="S1579" i="113" s="1"/>
  <c r="K1080" i="113"/>
  <c r="M1080" i="113" s="1"/>
  <c r="S1080" i="113" s="1"/>
  <c r="K2018" i="113"/>
  <c r="M2018" i="113" s="1"/>
  <c r="S2018" i="113" s="1"/>
  <c r="K1595" i="113"/>
  <c r="M1595" i="113" s="1"/>
  <c r="S1595" i="113" s="1"/>
  <c r="K1099" i="113"/>
  <c r="M1099" i="113" s="1"/>
  <c r="O1099" i="113" s="1"/>
  <c r="K2571" i="113"/>
  <c r="M2571" i="113" s="1"/>
  <c r="S2571" i="113" s="1"/>
  <c r="K2162" i="113"/>
  <c r="M2162" i="113" s="1"/>
  <c r="S2162" i="113" s="1"/>
  <c r="K1959" i="113"/>
  <c r="M1959" i="113" s="1"/>
  <c r="S1959" i="113" s="1"/>
  <c r="K1525" i="113"/>
  <c r="M1525" i="113" s="1"/>
  <c r="S1525" i="113" s="1"/>
  <c r="K985" i="113"/>
  <c r="M985" i="113" s="1"/>
  <c r="S985" i="113" s="1"/>
  <c r="K303" i="113"/>
  <c r="M303" i="113" s="1"/>
  <c r="K545" i="113"/>
  <c r="M545" i="113" s="1"/>
  <c r="S545" i="113" s="1"/>
  <c r="K868" i="113"/>
  <c r="M868" i="113" s="1"/>
  <c r="S868" i="113" s="1"/>
  <c r="K267" i="113"/>
  <c r="M267" i="113" s="1"/>
  <c r="S267" i="113" s="1"/>
  <c r="K833" i="113"/>
  <c r="M833" i="113" s="1"/>
  <c r="S833" i="113" s="1"/>
  <c r="K197" i="113"/>
  <c r="M197" i="113" s="1"/>
  <c r="S197" i="113" s="1"/>
  <c r="K866" i="113"/>
  <c r="M866" i="113" s="1"/>
  <c r="S866" i="113" s="1"/>
  <c r="K260" i="113"/>
  <c r="M260" i="113" s="1"/>
  <c r="S260" i="113" s="1"/>
  <c r="K728" i="113"/>
  <c r="M728" i="113" s="1"/>
  <c r="S728" i="113" s="1"/>
  <c r="K534" i="113"/>
  <c r="M534" i="113" s="1"/>
  <c r="S534" i="113" s="1"/>
  <c r="K1646" i="113"/>
  <c r="M1646" i="113" s="1"/>
  <c r="S1646" i="113" s="1"/>
  <c r="K1243" i="113"/>
  <c r="M1243" i="113" s="1"/>
  <c r="O1243" i="113" s="1"/>
  <c r="K792" i="113"/>
  <c r="M792" i="113" s="1"/>
  <c r="S792" i="113" s="1"/>
  <c r="K113" i="113"/>
  <c r="M113" i="113" s="1"/>
  <c r="S113" i="113" s="1"/>
  <c r="K690" i="113"/>
  <c r="M690" i="113" s="1"/>
  <c r="S690" i="113" s="1"/>
  <c r="K1570" i="113"/>
  <c r="M1570" i="113" s="1"/>
  <c r="S1570" i="113" s="1"/>
  <c r="K1163" i="113"/>
  <c r="M1163" i="113" s="1"/>
  <c r="S1163" i="113" s="1"/>
  <c r="K706" i="113"/>
  <c r="M706" i="113" s="1"/>
  <c r="S706" i="113" s="1"/>
  <c r="K394" i="113"/>
  <c r="M394" i="113" s="1"/>
  <c r="S394" i="113" s="1"/>
  <c r="K494" i="113"/>
  <c r="M494" i="113" s="1"/>
  <c r="S494" i="113" s="1"/>
  <c r="K291" i="113"/>
  <c r="M291" i="113" s="1"/>
  <c r="O291" i="113" s="1"/>
  <c r="K87" i="113"/>
  <c r="M87" i="113" s="1"/>
  <c r="O87" i="113" s="1"/>
  <c r="K417" i="113"/>
  <c r="M417" i="113" s="1"/>
  <c r="S417" i="113" s="1"/>
  <c r="K215" i="113"/>
  <c r="M215" i="113" s="1"/>
  <c r="S215" i="113" s="1"/>
  <c r="K11" i="113"/>
  <c r="M11" i="113" s="1"/>
  <c r="S11" i="113" s="1"/>
  <c r="K373" i="113"/>
  <c r="M373" i="113" s="1"/>
  <c r="S373" i="113" s="1"/>
  <c r="K170" i="113"/>
  <c r="M170" i="113" s="1"/>
  <c r="K529" i="113"/>
  <c r="M529" i="113" s="1"/>
  <c r="S529" i="113" s="1"/>
  <c r="K326" i="113"/>
  <c r="M326" i="113" s="1"/>
  <c r="S326" i="113" s="1"/>
  <c r="K122" i="113"/>
  <c r="M122" i="113" s="1"/>
  <c r="O122" i="113" s="1"/>
  <c r="K1164" i="113"/>
  <c r="M1164" i="113" s="1"/>
  <c r="S1164" i="113" s="1"/>
  <c r="K961" i="113"/>
  <c r="M961" i="113" s="1"/>
  <c r="S961" i="113" s="1"/>
  <c r="K759" i="113"/>
  <c r="M759" i="113" s="1"/>
  <c r="S759" i="113" s="1"/>
  <c r="K556" i="113"/>
  <c r="M556" i="113" s="1"/>
  <c r="S556" i="113" s="1"/>
  <c r="K353" i="113"/>
  <c r="M353" i="113" s="1"/>
  <c r="S353" i="113" s="1"/>
  <c r="K150" i="113"/>
  <c r="M150" i="113" s="1"/>
  <c r="K946" i="113"/>
  <c r="M946" i="113" s="1"/>
  <c r="S946" i="113" s="1"/>
  <c r="K744" i="113"/>
  <c r="M744" i="113" s="1"/>
  <c r="S744" i="113" s="1"/>
  <c r="K540" i="113"/>
  <c r="M540" i="113" s="1"/>
  <c r="S540" i="113" s="1"/>
  <c r="K337" i="113"/>
  <c r="M337" i="113" s="1"/>
  <c r="S337" i="113" s="1"/>
  <c r="K134" i="113"/>
  <c r="M134" i="113" s="1"/>
  <c r="S134" i="113" s="1"/>
  <c r="K467" i="113"/>
  <c r="M467" i="113" s="1"/>
  <c r="S467" i="113" s="1"/>
  <c r="K264" i="113"/>
  <c r="M264" i="113" s="1"/>
  <c r="S264" i="113" s="1"/>
  <c r="K60" i="113"/>
  <c r="M60" i="113" s="1"/>
  <c r="K1924" i="113"/>
  <c r="M1924" i="113" s="1"/>
  <c r="S1924" i="113" s="1"/>
  <c r="K2306" i="113"/>
  <c r="M2306" i="113" s="1"/>
  <c r="S2306" i="113" s="1"/>
  <c r="K2647" i="113"/>
  <c r="M2647" i="113" s="1"/>
  <c r="S2647" i="113" s="1"/>
  <c r="K1403" i="113"/>
  <c r="M1403" i="113" s="1"/>
  <c r="S1403" i="113" s="1"/>
  <c r="K2221" i="113"/>
  <c r="M2221" i="113" s="1"/>
  <c r="S2221" i="113" s="1"/>
  <c r="K684" i="113"/>
  <c r="M684" i="113" s="1"/>
  <c r="S684" i="113" s="1"/>
  <c r="K1639" i="113"/>
  <c r="M1639" i="113" s="1"/>
  <c r="S1639" i="113" s="1"/>
  <c r="K2026" i="113"/>
  <c r="M2026" i="113" s="1"/>
  <c r="S2026" i="113" s="1"/>
  <c r="K2273" i="113"/>
  <c r="M2273" i="113" s="1"/>
  <c r="S2273" i="113" s="1"/>
  <c r="K2512" i="113"/>
  <c r="M2512" i="113" s="1"/>
  <c r="S2512" i="113" s="1"/>
  <c r="K1865" i="113"/>
  <c r="M1865" i="113" s="1"/>
  <c r="S1865" i="113" s="1"/>
  <c r="K1407" i="113"/>
  <c r="M1407" i="113" s="1"/>
  <c r="S1407" i="113" s="1"/>
  <c r="K1927" i="113"/>
  <c r="M1927" i="113" s="1"/>
  <c r="S1927" i="113" s="1"/>
  <c r="K2189" i="113"/>
  <c r="M2189" i="113" s="1"/>
  <c r="S2189" i="113" s="1"/>
  <c r="K2430" i="113"/>
  <c r="M2430" i="113" s="1"/>
  <c r="S2430" i="113" s="1"/>
  <c r="K2666" i="113"/>
  <c r="M2666" i="113" s="1"/>
  <c r="S2666" i="113" s="1"/>
  <c r="K1221" i="113"/>
  <c r="M1221" i="113" s="1"/>
  <c r="S1221" i="113" s="1"/>
  <c r="K1826" i="113"/>
  <c r="M1826" i="113" s="1"/>
  <c r="S1826" i="113" s="1"/>
  <c r="K2122" i="113"/>
  <c r="M2122" i="113" s="1"/>
  <c r="S2122" i="113" s="1"/>
  <c r="K2361" i="113"/>
  <c r="M2361" i="113" s="1"/>
  <c r="S2361" i="113" s="1"/>
  <c r="K2598" i="113"/>
  <c r="M2598" i="113" s="1"/>
  <c r="S2598" i="113" s="1"/>
  <c r="K711" i="113"/>
  <c r="M711" i="113" s="1"/>
  <c r="S711" i="113" s="1"/>
  <c r="K1649" i="113"/>
  <c r="M1649" i="113" s="1"/>
  <c r="S1649" i="113" s="1"/>
  <c r="K2029" i="113"/>
  <c r="M2029" i="113" s="1"/>
  <c r="S2029" i="113" s="1"/>
  <c r="K2276" i="113"/>
  <c r="M2276" i="113" s="1"/>
  <c r="S2276" i="113" s="1"/>
  <c r="K2517" i="113"/>
  <c r="M2517" i="113" s="1"/>
  <c r="S2517" i="113" s="1"/>
  <c r="K1950" i="113"/>
  <c r="M1950" i="113" s="1"/>
  <c r="S1950" i="113" s="1"/>
  <c r="K1232" i="113"/>
  <c r="M1232" i="113" s="1"/>
  <c r="S1232" i="113" s="1"/>
  <c r="K1832" i="113"/>
  <c r="M1832" i="113" s="1"/>
  <c r="S1832" i="113" s="1"/>
  <c r="K2125" i="113"/>
  <c r="M2125" i="113" s="1"/>
  <c r="S2125" i="113" s="1"/>
  <c r="K2363" i="113"/>
  <c r="M2363" i="113" s="1"/>
  <c r="S2363" i="113" s="1"/>
  <c r="K2603" i="113"/>
  <c r="M2603" i="113" s="1"/>
  <c r="S2603" i="113" s="1"/>
  <c r="K1331" i="113"/>
  <c r="M1331" i="113" s="1"/>
  <c r="S1331" i="113" s="1"/>
  <c r="K1883" i="113"/>
  <c r="M1883" i="113" s="1"/>
  <c r="S1883" i="113" s="1"/>
  <c r="K2159" i="113"/>
  <c r="M2159" i="113" s="1"/>
  <c r="S2159" i="113" s="1"/>
  <c r="K2401" i="113"/>
  <c r="M2401" i="113" s="1"/>
  <c r="S2401" i="113" s="1"/>
  <c r="K2637" i="113"/>
  <c r="M2637" i="113" s="1"/>
  <c r="S2637" i="113" s="1"/>
  <c r="K1239" i="113"/>
  <c r="M1239" i="113" s="1"/>
  <c r="S1239" i="113" s="1"/>
  <c r="K1835" i="113"/>
  <c r="M1835" i="113" s="1"/>
  <c r="S1835" i="113" s="1"/>
  <c r="K2127" i="113"/>
  <c r="M2127" i="113" s="1"/>
  <c r="S2127" i="113" s="1"/>
  <c r="K2365" i="113"/>
  <c r="M2365" i="113" s="1"/>
  <c r="S2365" i="113" s="1"/>
  <c r="K2605" i="113"/>
  <c r="M2605" i="113" s="1"/>
  <c r="S2605" i="113" s="1"/>
  <c r="K325" i="113"/>
  <c r="M325" i="113" s="1"/>
  <c r="S325" i="113" s="1"/>
  <c r="K1569" i="113"/>
  <c r="M1569" i="113" s="1"/>
  <c r="S1569" i="113" s="1"/>
  <c r="K1998" i="113"/>
  <c r="M1998" i="113" s="1"/>
  <c r="S1998" i="113" s="1"/>
  <c r="K2247" i="113"/>
  <c r="M2247" i="113" s="1"/>
  <c r="S2247" i="113" s="1"/>
  <c r="K2488" i="113"/>
  <c r="M2488" i="113" s="1"/>
  <c r="S2488" i="113" s="1"/>
  <c r="K2072" i="113"/>
  <c r="M2072" i="113" s="1"/>
  <c r="S2072" i="113" s="1"/>
  <c r="K1252" i="113"/>
  <c r="M1252" i="113" s="1"/>
  <c r="S1252" i="113" s="1"/>
  <c r="K2610" i="113"/>
  <c r="M2610" i="113" s="1"/>
  <c r="S2610" i="113" s="1"/>
  <c r="K2320" i="113"/>
  <c r="M2320" i="113" s="1"/>
  <c r="S2320" i="113" s="1"/>
  <c r="K2441" i="113"/>
  <c r="M2441" i="113" s="1"/>
  <c r="S2441" i="113" s="1"/>
  <c r="K2150" i="113"/>
  <c r="M2150" i="113" s="1"/>
  <c r="S2150" i="113" s="1"/>
  <c r="K2593" i="113"/>
  <c r="M2593" i="113" s="1"/>
  <c r="S2593" i="113" s="1"/>
  <c r="K2270" i="113"/>
  <c r="M2270" i="113" s="1"/>
  <c r="S2270" i="113" s="1"/>
  <c r="K2300" i="113"/>
  <c r="M2300" i="113" s="1"/>
  <c r="S2300" i="113" s="1"/>
  <c r="K1958" i="113"/>
  <c r="M1958" i="113" s="1"/>
  <c r="S1958" i="113" s="1"/>
  <c r="K2233" i="113"/>
  <c r="M2233" i="113" s="1"/>
  <c r="S2233" i="113" s="1"/>
  <c r="K2661" i="113"/>
  <c r="M2661" i="113" s="1"/>
  <c r="S2661" i="113" s="1"/>
  <c r="K2523" i="113"/>
  <c r="M2523" i="113" s="1"/>
  <c r="S2523" i="113" s="1"/>
  <c r="K2248" i="113"/>
  <c r="M2248" i="113" s="1"/>
  <c r="S2248" i="113" s="1"/>
  <c r="K2642" i="113"/>
  <c r="M2642" i="113" s="1"/>
  <c r="S2642" i="113" s="1"/>
  <c r="K719" i="113"/>
  <c r="M719" i="113" s="1"/>
  <c r="S719" i="113" s="1"/>
  <c r="K1383" i="113"/>
  <c r="M1383" i="113" s="1"/>
  <c r="S1383" i="113" s="1"/>
  <c r="K620" i="113"/>
  <c r="M620" i="113" s="1"/>
  <c r="S620" i="113" s="1"/>
  <c r="K1830" i="113"/>
  <c r="M1830" i="113" s="1"/>
  <c r="S1830" i="113" s="1"/>
  <c r="K692" i="113"/>
  <c r="M692" i="113" s="1"/>
  <c r="S692" i="113" s="1"/>
  <c r="K1782" i="113"/>
  <c r="M1782" i="113" s="1"/>
  <c r="S1782" i="113" s="1"/>
  <c r="K580" i="113"/>
  <c r="M580" i="113" s="1"/>
  <c r="S580" i="113" s="1"/>
  <c r="K898" i="113"/>
  <c r="M898" i="113" s="1"/>
  <c r="S898" i="113" s="1"/>
  <c r="K1607" i="113"/>
  <c r="M1607" i="113" s="1"/>
  <c r="S1607" i="113" s="1"/>
  <c r="K640" i="113"/>
  <c r="M640" i="113" s="1"/>
  <c r="S640" i="113" s="1"/>
  <c r="K937" i="113"/>
  <c r="M937" i="113" s="1"/>
  <c r="O937" i="113" s="1"/>
  <c r="K1107" i="113"/>
  <c r="M1107" i="113" s="1"/>
  <c r="S1107" i="113" s="1"/>
  <c r="K2631" i="113"/>
  <c r="M2631" i="113" s="1"/>
  <c r="S2631" i="113" s="1"/>
  <c r="K1596" i="113"/>
  <c r="M1596" i="113" s="1"/>
  <c r="S1596" i="113" s="1"/>
  <c r="K1122" i="113"/>
  <c r="M1122" i="113" s="1"/>
  <c r="S1122" i="113" s="1"/>
  <c r="K1309" i="113"/>
  <c r="M1309" i="113" s="1"/>
  <c r="S1309" i="113" s="1"/>
  <c r="K299" i="113"/>
  <c r="M299" i="113" s="1"/>
  <c r="S299" i="113" s="1"/>
  <c r="K612" i="113"/>
  <c r="M612" i="113" s="1"/>
  <c r="S612" i="113" s="1"/>
  <c r="K485" i="113"/>
  <c r="M485" i="113" s="1"/>
  <c r="S485" i="113" s="1"/>
  <c r="K145" i="113"/>
  <c r="M145" i="113" s="1"/>
  <c r="S145" i="113" s="1"/>
  <c r="K444" i="113"/>
  <c r="M444" i="113" s="1"/>
  <c r="S444" i="113" s="1"/>
  <c r="K102" i="113"/>
  <c r="M102" i="113" s="1"/>
  <c r="S102" i="113" s="1"/>
  <c r="K975" i="113"/>
  <c r="M975" i="113" s="1"/>
  <c r="S975" i="113" s="1"/>
  <c r="K555" i="113"/>
  <c r="M555" i="113" s="1"/>
  <c r="O555" i="113" s="1"/>
  <c r="K1356" i="113"/>
  <c r="M1356" i="113" s="1"/>
  <c r="S1356" i="113" s="1"/>
  <c r="K1900" i="113"/>
  <c r="M1900" i="113" s="1"/>
  <c r="S1900" i="113" s="1"/>
  <c r="K2582" i="113"/>
  <c r="M2582" i="113" s="1"/>
  <c r="S2582" i="113" s="1"/>
  <c r="K1161" i="113"/>
  <c r="M1161" i="113" s="1"/>
  <c r="S1161" i="113" s="1"/>
  <c r="K2620" i="113"/>
  <c r="M2620" i="113" s="1"/>
  <c r="S2620" i="113" s="1"/>
  <c r="K2399" i="113"/>
  <c r="M2399" i="113" s="1"/>
  <c r="S2399" i="113" s="1"/>
  <c r="K2558" i="113"/>
  <c r="M2558" i="113" s="1"/>
  <c r="S2558" i="113" s="1"/>
  <c r="K2476" i="113"/>
  <c r="M2476" i="113" s="1"/>
  <c r="S2476" i="113" s="1"/>
  <c r="K2182" i="113"/>
  <c r="M2182" i="113" s="1"/>
  <c r="S2182" i="113" s="1"/>
  <c r="K2112" i="113"/>
  <c r="M2112" i="113" s="1"/>
  <c r="S2112" i="113" s="1"/>
  <c r="K2459" i="113"/>
  <c r="M2459" i="113" s="1"/>
  <c r="S2459" i="113" s="1"/>
  <c r="K2590" i="113"/>
  <c r="M2590" i="113" s="1"/>
  <c r="S2590" i="113" s="1"/>
  <c r="K1583" i="113"/>
  <c r="M1583" i="113" s="1"/>
  <c r="S1583" i="113" s="1"/>
  <c r="K1533" i="113"/>
  <c r="M1533" i="113" s="1"/>
  <c r="S1533" i="113" s="1"/>
  <c r="K1664" i="113"/>
  <c r="M1664" i="113" s="1"/>
  <c r="S1664" i="113" s="1"/>
  <c r="K1011" i="113"/>
  <c r="M1011" i="113" s="1"/>
  <c r="S1011" i="113" s="1"/>
  <c r="K667" i="113"/>
  <c r="M667" i="113" s="1"/>
  <c r="S667" i="113" s="1"/>
  <c r="K2024" i="113"/>
  <c r="M2024" i="113" s="1"/>
  <c r="S2024" i="113" s="1"/>
  <c r="K2510" i="113"/>
  <c r="M2510" i="113" s="1"/>
  <c r="S2510" i="113" s="1"/>
  <c r="K1354" i="113"/>
  <c r="M1354" i="113" s="1"/>
  <c r="S1354" i="113" s="1"/>
  <c r="K602" i="113"/>
  <c r="M602" i="113" s="1"/>
  <c r="S602" i="113" s="1"/>
  <c r="K1824" i="113"/>
  <c r="M1824" i="113" s="1"/>
  <c r="S1824" i="113" s="1"/>
  <c r="K1606" i="113"/>
  <c r="M1606" i="113" s="1"/>
  <c r="S1606" i="113" s="1"/>
  <c r="K1114" i="113"/>
  <c r="M1114" i="113" s="1"/>
  <c r="K636" i="113"/>
  <c r="M636" i="113" s="1"/>
  <c r="S636" i="113" s="1"/>
  <c r="K1712" i="113"/>
  <c r="M1712" i="113" s="1"/>
  <c r="S1712" i="113" s="1"/>
  <c r="K1485" i="113"/>
  <c r="M1485" i="113" s="1"/>
  <c r="S1485" i="113" s="1"/>
  <c r="K905" i="113"/>
  <c r="M905" i="113" s="1"/>
  <c r="O905" i="113" s="1"/>
  <c r="K1584" i="113"/>
  <c r="M1584" i="113" s="1"/>
  <c r="S1584" i="113" s="1"/>
  <c r="K1088" i="113"/>
  <c r="M1088" i="113" s="1"/>
  <c r="S1088" i="113" s="1"/>
  <c r="K1803" i="113"/>
  <c r="M1803" i="113" s="1"/>
  <c r="S1803" i="113" s="1"/>
  <c r="K1348" i="113"/>
  <c r="M1348" i="113" s="1"/>
  <c r="S1348" i="113" s="1"/>
  <c r="K575" i="113"/>
  <c r="M575" i="113" s="1"/>
  <c r="S575" i="113" s="1"/>
  <c r="K507" i="113"/>
  <c r="M507" i="113" s="1"/>
  <c r="S507" i="113" s="1"/>
  <c r="K1411" i="113"/>
  <c r="M1411" i="113" s="1"/>
  <c r="S1411" i="113" s="1"/>
  <c r="K737" i="113"/>
  <c r="M737" i="113" s="1"/>
  <c r="S737" i="113" s="1"/>
  <c r="K2413" i="113"/>
  <c r="M2413" i="113" s="1"/>
  <c r="S2413" i="113" s="1"/>
  <c r="K2005" i="113"/>
  <c r="M2005" i="113" s="1"/>
  <c r="S2005" i="113" s="1"/>
  <c r="K1800" i="113"/>
  <c r="M1800" i="113" s="1"/>
  <c r="S1800" i="113" s="1"/>
  <c r="K1345" i="113"/>
  <c r="M1345" i="113" s="1"/>
  <c r="S1345" i="113" s="1"/>
  <c r="K567" i="113"/>
  <c r="M567" i="113" s="1"/>
  <c r="S567" i="113" s="1"/>
  <c r="K1815" i="113"/>
  <c r="M1815" i="113" s="1"/>
  <c r="S1815" i="113" s="1"/>
  <c r="K1360" i="113"/>
  <c r="M1360" i="113" s="1"/>
  <c r="S1360" i="113" s="1"/>
  <c r="K609" i="113"/>
  <c r="M609" i="113" s="1"/>
  <c r="S609" i="113" s="1"/>
  <c r="K2366" i="113"/>
  <c r="M2366" i="113" s="1"/>
  <c r="S2366" i="113" s="1"/>
  <c r="K1751" i="113"/>
  <c r="M1751" i="113" s="1"/>
  <c r="S1751" i="113" s="1"/>
  <c r="K1292" i="113"/>
  <c r="M1292" i="113" s="1"/>
  <c r="S1292" i="113" s="1"/>
  <c r="K255" i="113"/>
  <c r="M255" i="113" s="1"/>
  <c r="K784" i="113"/>
  <c r="M784" i="113" s="1"/>
  <c r="S784" i="113" s="1"/>
  <c r="K99" i="113"/>
  <c r="M99" i="113" s="1"/>
  <c r="S99" i="113" s="1"/>
  <c r="K632" i="113"/>
  <c r="M632" i="113" s="1"/>
  <c r="S632" i="113" s="1"/>
  <c r="K1063" i="113"/>
  <c r="M1063" i="113" s="1"/>
  <c r="O1063" i="113" s="1"/>
  <c r="K595" i="113"/>
  <c r="M595" i="113" s="1"/>
  <c r="S595" i="113" s="1"/>
  <c r="K1093" i="113"/>
  <c r="M1093" i="113" s="1"/>
  <c r="S1093" i="113" s="1"/>
  <c r="K630" i="113"/>
  <c r="M630" i="113" s="1"/>
  <c r="S630" i="113" s="1"/>
  <c r="K965" i="113"/>
  <c r="M965" i="113" s="1"/>
  <c r="S965" i="113" s="1"/>
  <c r="K456" i="113"/>
  <c r="M456" i="113" s="1"/>
  <c r="S456" i="113" s="1"/>
  <c r="K81" i="113"/>
  <c r="M81" i="113" s="1"/>
  <c r="S81" i="113" s="1"/>
  <c r="K1443" i="113"/>
  <c r="M1443" i="113" s="1"/>
  <c r="O1443" i="113" s="1"/>
  <c r="K1025" i="113"/>
  <c r="M1025" i="113" s="1"/>
  <c r="S1025" i="113" s="1"/>
  <c r="K552" i="113"/>
  <c r="M552" i="113" s="1"/>
  <c r="S552" i="113" s="1"/>
  <c r="K925" i="113"/>
  <c r="M925" i="113" s="1"/>
  <c r="O925" i="113" s="1"/>
  <c r="K383" i="113"/>
  <c r="M383" i="113" s="1"/>
  <c r="S383" i="113" s="1"/>
  <c r="K1369" i="113"/>
  <c r="M1369" i="113" s="1"/>
  <c r="S1369" i="113" s="1"/>
  <c r="K940" i="113"/>
  <c r="M940" i="113" s="1"/>
  <c r="S940" i="113" s="1"/>
  <c r="K414" i="113"/>
  <c r="M414" i="113" s="1"/>
  <c r="S414" i="113" s="1"/>
  <c r="K191" i="113"/>
  <c r="M191" i="113" s="1"/>
  <c r="S191" i="113" s="1"/>
  <c r="K803" i="113"/>
  <c r="M803" i="113" s="1"/>
  <c r="S803" i="113" s="1"/>
  <c r="K1671" i="113"/>
  <c r="M1671" i="113" s="1"/>
  <c r="S1671" i="113" s="1"/>
  <c r="K2042" i="113"/>
  <c r="M2042" i="113" s="1"/>
  <c r="S2042" i="113" s="1"/>
  <c r="K2288" i="113"/>
  <c r="M2288" i="113" s="1"/>
  <c r="S2288" i="113" s="1"/>
  <c r="K2527" i="113"/>
  <c r="M2527" i="113" s="1"/>
  <c r="S2527" i="113" s="1"/>
  <c r="K1573" i="113"/>
  <c r="M1573" i="113" s="1"/>
  <c r="S1573" i="113" s="1"/>
  <c r="K1338" i="113"/>
  <c r="M1338" i="113" s="1"/>
  <c r="S1338" i="113" s="1"/>
  <c r="K1068" i="113"/>
  <c r="M1068" i="113" s="1"/>
  <c r="S1068" i="113" s="1"/>
  <c r="K549" i="113"/>
  <c r="M549" i="113" s="1"/>
  <c r="S549" i="113" s="1"/>
  <c r="K1809" i="113"/>
  <c r="M1809" i="113" s="1"/>
  <c r="S1809" i="113" s="1"/>
  <c r="K1589" i="113"/>
  <c r="M1589" i="113" s="1"/>
  <c r="S1589" i="113" s="1"/>
  <c r="K1353" i="113"/>
  <c r="M1353" i="113" s="1"/>
  <c r="S1353" i="113" s="1"/>
  <c r="K1092" i="113"/>
  <c r="M1092" i="113" s="1"/>
  <c r="S1092" i="113" s="1"/>
  <c r="K592" i="113"/>
  <c r="M592" i="113" s="1"/>
  <c r="S592" i="113" s="1"/>
  <c r="K1697" i="113"/>
  <c r="M1697" i="113" s="1"/>
  <c r="S1697" i="113" s="1"/>
  <c r="K1468" i="113"/>
  <c r="M1468" i="113" s="1"/>
  <c r="S1468" i="113" s="1"/>
  <c r="K1234" i="113"/>
  <c r="M1234" i="113" s="1"/>
  <c r="S1234" i="113" s="1"/>
  <c r="K870" i="113"/>
  <c r="M870" i="113" s="1"/>
  <c r="S870" i="113" s="1"/>
  <c r="K1790" i="113"/>
  <c r="M1790" i="113" s="1"/>
  <c r="S1790" i="113" s="1"/>
  <c r="K1567" i="113"/>
  <c r="M1567" i="113" s="1"/>
  <c r="S1567" i="113" s="1"/>
  <c r="K1334" i="113"/>
  <c r="M1334" i="113" s="1"/>
  <c r="S1334" i="113" s="1"/>
  <c r="K1064" i="113"/>
  <c r="M1064" i="113" s="1"/>
  <c r="S1064" i="113" s="1"/>
  <c r="K524" i="113"/>
  <c r="M524" i="113" s="1"/>
  <c r="S524" i="113" s="1"/>
  <c r="K1787" i="113"/>
  <c r="M1787" i="113" s="1"/>
  <c r="S1787" i="113" s="1"/>
  <c r="K1565" i="113"/>
  <c r="M1565" i="113" s="1"/>
  <c r="S1565" i="113" s="1"/>
  <c r="K1332" i="113"/>
  <c r="M1332" i="113" s="1"/>
  <c r="S1332" i="113" s="1"/>
  <c r="K1058" i="113"/>
  <c r="M1058" i="113" s="1"/>
  <c r="S1058" i="113" s="1"/>
  <c r="K509" i="113"/>
  <c r="M509" i="113" s="1"/>
  <c r="S509" i="113" s="1"/>
  <c r="K1026" i="113"/>
  <c r="M1026" i="113" s="1"/>
  <c r="S1026" i="113" s="1"/>
  <c r="K406" i="113"/>
  <c r="M406" i="113" s="1"/>
  <c r="S406" i="113" s="1"/>
  <c r="K1846" i="113"/>
  <c r="M1846" i="113" s="1"/>
  <c r="S1846" i="113" s="1"/>
  <c r="K1629" i="113"/>
  <c r="M1629" i="113" s="1"/>
  <c r="O1629" i="113" s="1"/>
  <c r="K1395" i="113"/>
  <c r="M1395" i="113" s="1"/>
  <c r="S1395" i="113" s="1"/>
  <c r="K1146" i="113"/>
  <c r="M1146" i="113" s="1"/>
  <c r="S1146" i="113" s="1"/>
  <c r="K694" i="113"/>
  <c r="M694" i="113" s="1"/>
  <c r="S694" i="113" s="1"/>
  <c r="K2602" i="113"/>
  <c r="M2602" i="113" s="1"/>
  <c r="S2602" i="113" s="1"/>
  <c r="K2398" i="113"/>
  <c r="M2398" i="113" s="1"/>
  <c r="S2398" i="113" s="1"/>
  <c r="K2193" i="113"/>
  <c r="M2193" i="113" s="1"/>
  <c r="S2193" i="113" s="1"/>
  <c r="K1990" i="113"/>
  <c r="M1990" i="113" s="1"/>
  <c r="S1990" i="113" s="1"/>
  <c r="K1784" i="113"/>
  <c r="M1784" i="113" s="1"/>
  <c r="S1784" i="113" s="1"/>
  <c r="K1562" i="113"/>
  <c r="M1562" i="113" s="1"/>
  <c r="S1562" i="113" s="1"/>
  <c r="K1328" i="113"/>
  <c r="M1328" i="113" s="1"/>
  <c r="S1328" i="113" s="1"/>
  <c r="K1052" i="113"/>
  <c r="M1052" i="113" s="1"/>
  <c r="S1052" i="113" s="1"/>
  <c r="K495" i="113"/>
  <c r="M495" i="113" s="1"/>
  <c r="S495" i="113" s="1"/>
  <c r="K2004" i="113"/>
  <c r="M2004" i="113" s="1"/>
  <c r="S2004" i="113" s="1"/>
  <c r="K1799" i="113"/>
  <c r="M1799" i="113" s="1"/>
  <c r="S1799" i="113" s="1"/>
  <c r="K1578" i="113"/>
  <c r="M1578" i="113" s="1"/>
  <c r="S1578" i="113" s="1"/>
  <c r="K1344" i="113"/>
  <c r="M1344" i="113" s="1"/>
  <c r="S1344" i="113" s="1"/>
  <c r="K1076" i="113"/>
  <c r="M1076" i="113" s="1"/>
  <c r="S1076" i="113" s="1"/>
  <c r="K566" i="113"/>
  <c r="M566" i="113" s="1"/>
  <c r="S566" i="113" s="1"/>
  <c r="K2557" i="113"/>
  <c r="M2557" i="113" s="1"/>
  <c r="S2557" i="113" s="1"/>
  <c r="K2351" i="113"/>
  <c r="M2351" i="113" s="1"/>
  <c r="S2351" i="113" s="1"/>
  <c r="K2147" i="113"/>
  <c r="M2147" i="113" s="1"/>
  <c r="S2147" i="113" s="1"/>
  <c r="K1944" i="113"/>
  <c r="M1944" i="113" s="1"/>
  <c r="S1944" i="113" s="1"/>
  <c r="K1735" i="113"/>
  <c r="M1735" i="113" s="1"/>
  <c r="S1735" i="113" s="1"/>
  <c r="K1509" i="113"/>
  <c r="M1509" i="113" s="1"/>
  <c r="S1509" i="113" s="1"/>
  <c r="K1275" i="113"/>
  <c r="M1275" i="113" s="1"/>
  <c r="S1275" i="113" s="1"/>
  <c r="K953" i="113"/>
  <c r="M953" i="113" s="1"/>
  <c r="S953" i="113" s="1"/>
  <c r="K138" i="113"/>
  <c r="M138" i="113" s="1"/>
  <c r="K270" i="113"/>
  <c r="M270" i="113" s="1"/>
  <c r="S270" i="113" s="1"/>
  <c r="K767" i="113"/>
  <c r="M767" i="113" s="1"/>
  <c r="S767" i="113" s="1"/>
  <c r="K521" i="113"/>
  <c r="M521" i="113" s="1"/>
  <c r="O521" i="113" s="1"/>
  <c r="K65" i="113"/>
  <c r="M65" i="113" s="1"/>
  <c r="S65" i="113" s="1"/>
  <c r="K851" i="113"/>
  <c r="M851" i="113" s="1"/>
  <c r="S851" i="113" s="1"/>
  <c r="K616" i="113"/>
  <c r="M616" i="113" s="1"/>
  <c r="S616" i="113" s="1"/>
  <c r="K231" i="113"/>
  <c r="M231" i="113" s="1"/>
  <c r="S231" i="113" s="1"/>
  <c r="K1047" i="113"/>
  <c r="M1047" i="113" s="1"/>
  <c r="S1047" i="113" s="1"/>
  <c r="K815" i="113"/>
  <c r="M815" i="113" s="1"/>
  <c r="O815" i="113" s="1"/>
  <c r="K578" i="113"/>
  <c r="M578" i="113" s="1"/>
  <c r="S578" i="113" s="1"/>
  <c r="K159" i="113"/>
  <c r="M159" i="113" s="1"/>
  <c r="K1078" i="113"/>
  <c r="M1078" i="113" s="1"/>
  <c r="S1078" i="113" s="1"/>
  <c r="K849" i="113"/>
  <c r="M849" i="113" s="1"/>
  <c r="S849" i="113" s="1"/>
  <c r="K611" i="113"/>
  <c r="M611" i="113" s="1"/>
  <c r="S611" i="113" s="1"/>
  <c r="K227" i="113"/>
  <c r="M227" i="113" s="1"/>
  <c r="K949" i="113"/>
  <c r="M949" i="113" s="1"/>
  <c r="S949" i="113" s="1"/>
  <c r="K712" i="113"/>
  <c r="M712" i="113" s="1"/>
  <c r="S712" i="113" s="1"/>
  <c r="K427" i="113"/>
  <c r="M427" i="113" s="1"/>
  <c r="S427" i="113" s="1"/>
  <c r="K506" i="113"/>
  <c r="M506" i="113" s="1"/>
  <c r="O506" i="113" s="1"/>
  <c r="K49" i="113"/>
  <c r="M49" i="113" s="1"/>
  <c r="K1631" i="113"/>
  <c r="M1631" i="113" s="1"/>
  <c r="S1631" i="113" s="1"/>
  <c r="K1428" i="113"/>
  <c r="M1428" i="113" s="1"/>
  <c r="S1428" i="113" s="1"/>
  <c r="K1228" i="113"/>
  <c r="M1228" i="113" s="1"/>
  <c r="S1228" i="113" s="1"/>
  <c r="K1009" i="113"/>
  <c r="M1009" i="113" s="1"/>
  <c r="S1009" i="113" s="1"/>
  <c r="K776" i="113"/>
  <c r="M776" i="113" s="1"/>
  <c r="S776" i="113" s="1"/>
  <c r="K531" i="113"/>
  <c r="M531" i="113" s="1"/>
  <c r="S531" i="113" s="1"/>
  <c r="K80" i="113"/>
  <c r="M80" i="113" s="1"/>
  <c r="S80" i="113" s="1"/>
  <c r="K909" i="113"/>
  <c r="M909" i="113" s="1"/>
  <c r="S909" i="113" s="1"/>
  <c r="K674" i="113"/>
  <c r="M674" i="113" s="1"/>
  <c r="S674" i="113" s="1"/>
  <c r="K347" i="113"/>
  <c r="M347" i="113" s="1"/>
  <c r="S347" i="113" s="1"/>
  <c r="K1556" i="113"/>
  <c r="M1556" i="113" s="1"/>
  <c r="S1556" i="113" s="1"/>
  <c r="K1355" i="113"/>
  <c r="M1355" i="113" s="1"/>
  <c r="S1355" i="113" s="1"/>
  <c r="K1147" i="113"/>
  <c r="M1147" i="113" s="1"/>
  <c r="S1147" i="113" s="1"/>
  <c r="K924" i="113"/>
  <c r="M924" i="113" s="1"/>
  <c r="S924" i="113" s="1"/>
  <c r="K689" i="113"/>
  <c r="M689" i="113" s="1"/>
  <c r="S689" i="113" s="1"/>
  <c r="K377" i="113"/>
  <c r="M377" i="113" s="1"/>
  <c r="S377" i="113" s="1"/>
  <c r="K379" i="113"/>
  <c r="M379" i="113" s="1"/>
  <c r="S379" i="113" s="1"/>
  <c r="K176" i="113"/>
  <c r="M176" i="113" s="1"/>
  <c r="K480" i="113"/>
  <c r="M480" i="113" s="1"/>
  <c r="S480" i="113" s="1"/>
  <c r="K276" i="113"/>
  <c r="M276" i="113" s="1"/>
  <c r="S276" i="113" s="1"/>
  <c r="K73" i="113"/>
  <c r="M73" i="113" s="1"/>
  <c r="O73" i="113" s="1"/>
  <c r="K403" i="113"/>
  <c r="M403" i="113" s="1"/>
  <c r="S403" i="113" s="1"/>
  <c r="K200" i="113"/>
  <c r="M200" i="113" s="1"/>
  <c r="S200" i="113" s="1"/>
  <c r="K561" i="113"/>
  <c r="M561" i="113" s="1"/>
  <c r="S561" i="113" s="1"/>
  <c r="K358" i="113"/>
  <c r="M358" i="113" s="1"/>
  <c r="S358" i="113" s="1"/>
  <c r="K155" i="113"/>
  <c r="M155" i="113" s="1"/>
  <c r="K515" i="113"/>
  <c r="M515" i="113" s="1"/>
  <c r="S515" i="113" s="1"/>
  <c r="K312" i="113"/>
  <c r="M312" i="113" s="1"/>
  <c r="S312" i="113" s="1"/>
  <c r="K108" i="113"/>
  <c r="M108" i="113" s="1"/>
  <c r="K1150" i="113"/>
  <c r="M1150" i="113" s="1"/>
  <c r="S1150" i="113" s="1"/>
  <c r="K947" i="113"/>
  <c r="M947" i="113" s="1"/>
  <c r="S947" i="113" s="1"/>
  <c r="K745" i="113"/>
  <c r="M745" i="113" s="1"/>
  <c r="S745" i="113" s="1"/>
  <c r="K542" i="113"/>
  <c r="M542" i="113" s="1"/>
  <c r="S542" i="113" s="1"/>
  <c r="K339" i="113"/>
  <c r="M339" i="113" s="1"/>
  <c r="S339" i="113" s="1"/>
  <c r="K135" i="113"/>
  <c r="M135" i="113" s="1"/>
  <c r="K931" i="113"/>
  <c r="M931" i="113" s="1"/>
  <c r="S931" i="113" s="1"/>
  <c r="K730" i="113"/>
  <c r="M730" i="113" s="1"/>
  <c r="O730" i="113" s="1"/>
  <c r="K526" i="113"/>
  <c r="M526" i="113" s="1"/>
  <c r="S526" i="113" s="1"/>
  <c r="K323" i="113"/>
  <c r="M323" i="113" s="1"/>
  <c r="S323" i="113" s="1"/>
  <c r="K119" i="113"/>
  <c r="M119" i="113" s="1"/>
  <c r="O119" i="113" s="1"/>
  <c r="K453" i="113"/>
  <c r="M453" i="113" s="1"/>
  <c r="S453" i="113" s="1"/>
  <c r="K250" i="113"/>
  <c r="M250" i="113" s="1"/>
  <c r="S250" i="113" s="1"/>
  <c r="K46" i="113"/>
  <c r="M46" i="113" s="1"/>
  <c r="S46" i="113" s="1"/>
  <c r="K1948" i="113"/>
  <c r="M1948" i="113" s="1"/>
  <c r="S1948" i="113" s="1"/>
  <c r="K2324" i="113"/>
  <c r="M2324" i="113" s="1"/>
  <c r="S2324" i="113" s="1"/>
  <c r="K2664" i="113"/>
  <c r="M2664" i="113" s="1"/>
  <c r="S2664" i="113" s="1"/>
  <c r="K1449" i="113"/>
  <c r="M1449" i="113" s="1"/>
  <c r="S1449" i="113" s="1"/>
  <c r="K2239" i="113"/>
  <c r="M2239" i="113" s="1"/>
  <c r="S2239" i="113" s="1"/>
  <c r="K822" i="113"/>
  <c r="M822" i="113" s="1"/>
  <c r="S822" i="113" s="1"/>
  <c r="K1679" i="113"/>
  <c r="M1679" i="113" s="1"/>
  <c r="S1679" i="113" s="1"/>
  <c r="K2044" i="113"/>
  <c r="M2044" i="113" s="1"/>
  <c r="S2044" i="113" s="1"/>
  <c r="K2290" i="113"/>
  <c r="M2290" i="113" s="1"/>
  <c r="S2290" i="113" s="1"/>
  <c r="K2531" i="113"/>
  <c r="M2531" i="113" s="1"/>
  <c r="S2531" i="113" s="1"/>
  <c r="K2252" i="113"/>
  <c r="M2252" i="113" s="1"/>
  <c r="O2252" i="113" s="1"/>
  <c r="K1457" i="113"/>
  <c r="M1457" i="113" s="1"/>
  <c r="S1457" i="113" s="1"/>
  <c r="K1951" i="113"/>
  <c r="M1951" i="113" s="1"/>
  <c r="S1951" i="113" s="1"/>
  <c r="K2207" i="113"/>
  <c r="M2207" i="113" s="1"/>
  <c r="S2207" i="113" s="1"/>
  <c r="K2446" i="113"/>
  <c r="M2446" i="113" s="1"/>
  <c r="S2446" i="113" s="1"/>
  <c r="K167" i="113"/>
  <c r="M167" i="113" s="1"/>
  <c r="O167" i="113" s="1"/>
  <c r="K1273" i="113"/>
  <c r="M1273" i="113" s="1"/>
  <c r="S1273" i="113" s="1"/>
  <c r="K1852" i="113"/>
  <c r="M1852" i="113" s="1"/>
  <c r="S1852" i="113" s="1"/>
  <c r="K2140" i="113"/>
  <c r="M2140" i="113" s="1"/>
  <c r="S2140" i="113" s="1"/>
  <c r="K2378" i="113"/>
  <c r="M2378" i="113" s="1"/>
  <c r="S2378" i="113" s="1"/>
  <c r="K2617" i="113"/>
  <c r="M2617" i="113" s="1"/>
  <c r="S2617" i="113" s="1"/>
  <c r="K843" i="113"/>
  <c r="M843" i="113" s="1"/>
  <c r="S843" i="113" s="1"/>
  <c r="K1686" i="113"/>
  <c r="M1686" i="113" s="1"/>
  <c r="S1686" i="113" s="1"/>
  <c r="K2050" i="113"/>
  <c r="M2050" i="113" s="1"/>
  <c r="S2050" i="113" s="1"/>
  <c r="K2294" i="113"/>
  <c r="M2294" i="113" s="1"/>
  <c r="S2294" i="113" s="1"/>
  <c r="K2534" i="113"/>
  <c r="M2534" i="113" s="1"/>
  <c r="S2534" i="113" s="1"/>
  <c r="K2318" i="113"/>
  <c r="M2318" i="113" s="1"/>
  <c r="S2318" i="113" s="1"/>
  <c r="K1279" i="113"/>
  <c r="M1279" i="113" s="1"/>
  <c r="S1279" i="113" s="1"/>
  <c r="K1855" i="113"/>
  <c r="M1855" i="113" s="1"/>
  <c r="S1855" i="113" s="1"/>
  <c r="K2142" i="113"/>
  <c r="M2142" i="113" s="1"/>
  <c r="S2142" i="113" s="1"/>
  <c r="K2380" i="113"/>
  <c r="M2380" i="113" s="1"/>
  <c r="S2380" i="113" s="1"/>
  <c r="K2619" i="113"/>
  <c r="M2619" i="113" s="1"/>
  <c r="S2619" i="113" s="1"/>
  <c r="K1374" i="113"/>
  <c r="M1374" i="113" s="1"/>
  <c r="S1374" i="113" s="1"/>
  <c r="K1910" i="113"/>
  <c r="M1910" i="113" s="1"/>
  <c r="S1910" i="113" s="1"/>
  <c r="K2178" i="113"/>
  <c r="M2178" i="113" s="1"/>
  <c r="S2178" i="113" s="1"/>
  <c r="K2417" i="113"/>
  <c r="M2417" i="113" s="1"/>
  <c r="S2417" i="113" s="1"/>
  <c r="K2653" i="113"/>
  <c r="M2653" i="113" s="1"/>
  <c r="S2653" i="113" s="1"/>
  <c r="K1287" i="113"/>
  <c r="M1287" i="113" s="1"/>
  <c r="S1287" i="113" s="1"/>
  <c r="K1861" i="113"/>
  <c r="M1861" i="113" s="1"/>
  <c r="S1861" i="113" s="1"/>
  <c r="K2144" i="113"/>
  <c r="M2144" i="113" s="1"/>
  <c r="S2144" i="113" s="1"/>
  <c r="K2385" i="113"/>
  <c r="M2385" i="113" s="1"/>
  <c r="S2385" i="113" s="1"/>
  <c r="K2621" i="113"/>
  <c r="M2621" i="113" s="1"/>
  <c r="S2621" i="113" s="1"/>
  <c r="K607" i="113"/>
  <c r="M607" i="113" s="1"/>
  <c r="S607" i="113" s="1"/>
  <c r="K1617" i="113"/>
  <c r="M1617" i="113" s="1"/>
  <c r="S1617" i="113" s="1"/>
  <c r="K2016" i="113"/>
  <c r="M2016" i="113" s="1"/>
  <c r="S2016" i="113" s="1"/>
  <c r="K2265" i="113"/>
  <c r="M2265" i="113" s="1"/>
  <c r="S2265" i="113" s="1"/>
  <c r="K2505" i="113"/>
  <c r="M2505" i="113" s="1"/>
  <c r="S2505" i="113" s="1"/>
  <c r="K356" i="113"/>
  <c r="M356" i="113" s="1"/>
  <c r="S356" i="113" s="1"/>
  <c r="K645" i="113"/>
  <c r="M645" i="113" s="1"/>
  <c r="S645" i="113" s="1"/>
  <c r="K2676" i="113"/>
  <c r="M2676" i="113" s="1"/>
  <c r="S2676" i="113" s="1"/>
  <c r="K2439" i="113"/>
  <c r="M2439" i="113" s="1"/>
  <c r="S2439" i="113" s="1"/>
  <c r="K2507" i="113"/>
  <c r="M2507" i="113" s="1"/>
  <c r="S2507" i="113" s="1"/>
  <c r="K2215" i="113"/>
  <c r="M2215" i="113" s="1"/>
  <c r="S2215" i="113" s="1"/>
  <c r="K2659" i="113"/>
  <c r="M2659" i="113" s="1"/>
  <c r="S2659" i="113" s="1"/>
  <c r="K2335" i="113"/>
  <c r="M2335" i="113" s="1"/>
  <c r="S2335" i="113" s="1"/>
  <c r="K2421" i="113"/>
  <c r="M2421" i="113" s="1"/>
  <c r="S2421" i="113" s="1"/>
  <c r="K2037" i="113"/>
  <c r="M2037" i="113" s="1"/>
  <c r="S2037" i="113" s="1"/>
  <c r="K2287" i="113"/>
  <c r="M2287" i="113" s="1"/>
  <c r="S2287" i="113" s="1"/>
  <c r="K361" i="113"/>
  <c r="M361" i="113" s="1"/>
  <c r="S361" i="113" s="1"/>
  <c r="K2577" i="113"/>
  <c r="M2577" i="113" s="1"/>
  <c r="S2577" i="113" s="1"/>
  <c r="K1303" i="113"/>
  <c r="M1303" i="113" s="1"/>
  <c r="S1303" i="113" s="1"/>
  <c r="K2041" i="113"/>
  <c r="M2041" i="113" s="1"/>
  <c r="S2041" i="113" s="1"/>
  <c r="K2000" i="113"/>
  <c r="M2000" i="113" s="1"/>
  <c r="S2000" i="113" s="1"/>
  <c r="K2001" i="113"/>
  <c r="M2001" i="113" s="1"/>
  <c r="S2001" i="113" s="1"/>
  <c r="K1941" i="113"/>
  <c r="M1941" i="113" s="1"/>
  <c r="S1941" i="113" s="1"/>
  <c r="K1439" i="113"/>
  <c r="M1439" i="113" s="1"/>
  <c r="S1439" i="113" s="1"/>
  <c r="K1575" i="113"/>
  <c r="M1575" i="113" s="1"/>
  <c r="S1575" i="113" s="1"/>
  <c r="K1480" i="113"/>
  <c r="M1480" i="113" s="1"/>
  <c r="S1480" i="113" s="1"/>
  <c r="K1204" i="113"/>
  <c r="M1204" i="113" s="1"/>
  <c r="S1204" i="113" s="1"/>
  <c r="K1743" i="113"/>
  <c r="M1743" i="113" s="1"/>
  <c r="S1743" i="113" s="1"/>
  <c r="K668" i="113"/>
  <c r="M668" i="113" s="1"/>
  <c r="O668" i="113" s="1"/>
  <c r="K1446" i="113"/>
  <c r="M1446" i="113" s="1"/>
  <c r="S1446" i="113" s="1"/>
  <c r="K2047" i="113"/>
  <c r="M2047" i="113" s="1"/>
  <c r="S2047" i="113" s="1"/>
  <c r="K1050" i="113"/>
  <c r="M1050" i="113" s="1"/>
  <c r="S1050" i="113" s="1"/>
  <c r="K867" i="113"/>
  <c r="M867" i="113" s="1"/>
  <c r="S867" i="113" s="1"/>
  <c r="K2255" i="113"/>
  <c r="M2255" i="113" s="1"/>
  <c r="S2255" i="113" s="1"/>
  <c r="K677" i="113"/>
  <c r="M677" i="113" s="1"/>
  <c r="K626" i="113"/>
  <c r="M626" i="113" s="1"/>
  <c r="S626" i="113" s="1"/>
  <c r="K1661" i="113"/>
  <c r="M1661" i="113" s="1"/>
  <c r="K1101" i="113"/>
  <c r="M1101" i="113" s="1"/>
  <c r="S1101" i="113" s="1"/>
  <c r="K2177" i="113"/>
  <c r="M2177" i="113" s="1"/>
  <c r="S2177" i="113" s="1"/>
  <c r="K130" i="113"/>
  <c r="M130" i="113" s="1"/>
  <c r="S130" i="113" s="1"/>
  <c r="K296" i="113"/>
  <c r="M296" i="113" s="1"/>
  <c r="S296" i="113" s="1"/>
  <c r="K809" i="113"/>
  <c r="M809" i="113" s="1"/>
  <c r="S809" i="113" s="1"/>
  <c r="K957" i="113"/>
  <c r="M957" i="113" s="1"/>
  <c r="S957" i="113" s="1"/>
  <c r="K185" i="113"/>
  <c r="M185" i="113" s="1"/>
  <c r="S185" i="113" s="1"/>
  <c r="K960" i="113"/>
  <c r="M960" i="113" s="1"/>
  <c r="S960" i="113" s="1"/>
  <c r="K2272" i="113"/>
  <c r="M2272" i="113" s="1"/>
  <c r="S2272" i="113" s="1"/>
  <c r="K1451" i="113"/>
  <c r="M1451" i="113" s="1"/>
  <c r="O1451" i="113" s="1"/>
  <c r="K554" i="113"/>
  <c r="M554" i="113" s="1"/>
  <c r="S554" i="113" s="1"/>
  <c r="K2584" i="113"/>
  <c r="M2584" i="113" s="1"/>
  <c r="S2584" i="113" s="1"/>
  <c r="K1523" i="113"/>
  <c r="M1523" i="113" s="1"/>
  <c r="S1523" i="113" s="1"/>
  <c r="K929" i="113"/>
  <c r="M929" i="113" s="1"/>
  <c r="S929" i="113" s="1"/>
  <c r="K1042" i="113"/>
  <c r="M1042" i="113" s="1"/>
  <c r="S1042" i="113" s="1"/>
  <c r="K1682" i="113"/>
  <c r="M1682" i="113" s="1"/>
  <c r="S1682" i="113" s="1"/>
  <c r="K423" i="113"/>
  <c r="M423" i="113" s="1"/>
  <c r="S423" i="113" s="1"/>
  <c r="K995" i="113"/>
  <c r="M995" i="113" s="1"/>
  <c r="S995" i="113" s="1"/>
  <c r="K2587" i="113"/>
  <c r="M2587" i="113" s="1"/>
  <c r="S2587" i="113" s="1"/>
  <c r="K390" i="113"/>
  <c r="M390" i="113" s="1"/>
  <c r="S390" i="113" s="1"/>
  <c r="K2337" i="113"/>
  <c r="M2337" i="113" s="1"/>
  <c r="S2337" i="113" s="1"/>
  <c r="K238" i="113"/>
  <c r="M238" i="113" s="1"/>
  <c r="K1031" i="113"/>
  <c r="M1031" i="113" s="1"/>
  <c r="S1031" i="113" s="1"/>
  <c r="K195" i="113"/>
  <c r="M195" i="113" s="1"/>
  <c r="O195" i="113" s="1"/>
  <c r="K994" i="113"/>
  <c r="M994" i="113" s="1"/>
  <c r="S994" i="113" s="1"/>
  <c r="K1541" i="113"/>
  <c r="M1541" i="113" s="1"/>
  <c r="S1541" i="113" s="1"/>
  <c r="K365" i="113"/>
  <c r="M365" i="113" s="1"/>
  <c r="S365" i="113" s="1"/>
  <c r="K344" i="113"/>
  <c r="M344" i="113" s="1"/>
  <c r="S344" i="113" s="1"/>
  <c r="K527" i="113"/>
  <c r="M527" i="113" s="1"/>
  <c r="S527" i="113" s="1"/>
  <c r="K438" i="113"/>
  <c r="M438" i="113" s="1"/>
  <c r="S438" i="113" s="1"/>
  <c r="K945" i="113"/>
  <c r="M945" i="113" s="1"/>
  <c r="S945" i="113" s="1"/>
  <c r="K2224" i="113"/>
  <c r="M2224" i="113" s="1"/>
  <c r="S2224" i="113" s="1"/>
  <c r="K971" i="113"/>
  <c r="M971" i="113" s="1"/>
  <c r="S971" i="113" s="1"/>
  <c r="K2158" i="113"/>
  <c r="M2158" i="113" s="1"/>
  <c r="S2158" i="113" s="1"/>
  <c r="K1885" i="113"/>
  <c r="M1885" i="113" s="1"/>
  <c r="S1885" i="113" s="1"/>
  <c r="K2036" i="113"/>
  <c r="M2036" i="113" s="1"/>
  <c r="S2036" i="113" s="1"/>
  <c r="K2269" i="113"/>
  <c r="M2269" i="113" s="1"/>
  <c r="S2269" i="113" s="1"/>
  <c r="K1818" i="113"/>
  <c r="M1818" i="113" s="1"/>
  <c r="S1818" i="113" s="1"/>
  <c r="K309" i="113"/>
  <c r="M309" i="113" s="1"/>
  <c r="K1497" i="113"/>
  <c r="M1497" i="113" s="1"/>
  <c r="S1497" i="113" s="1"/>
  <c r="K1504" i="113"/>
  <c r="M1504" i="113" s="1"/>
  <c r="S1504" i="113" s="1"/>
  <c r="K2395" i="113"/>
  <c r="M2395" i="113" s="1"/>
  <c r="S2395" i="113" s="1"/>
  <c r="K1881" i="113"/>
  <c r="M1881" i="113" s="1"/>
  <c r="S1881" i="113" s="1"/>
  <c r="K1333" i="113"/>
  <c r="M1333" i="113" s="1"/>
  <c r="S1333" i="113" s="1"/>
  <c r="K2521" i="113"/>
  <c r="M2521" i="113" s="1"/>
  <c r="S2521" i="113" s="1"/>
  <c r="K2390" i="113"/>
  <c r="M2390" i="113" s="1"/>
  <c r="S2390" i="113" s="1"/>
  <c r="K1920" i="113"/>
  <c r="M1920" i="113" s="1"/>
  <c r="S1920" i="113" s="1"/>
  <c r="K1043" i="113"/>
  <c r="M1043" i="113" s="1"/>
  <c r="S1043" i="113" s="1"/>
  <c r="K1748" i="113"/>
  <c r="M1748" i="113" s="1"/>
  <c r="S1748" i="113" s="1"/>
  <c r="K2080" i="113"/>
  <c r="M2080" i="113" s="1"/>
  <c r="S2080" i="113" s="1"/>
  <c r="K2322" i="113"/>
  <c r="M2322" i="113" s="1"/>
  <c r="S2322" i="113" s="1"/>
  <c r="K2562" i="113"/>
  <c r="M2562" i="113" s="1"/>
  <c r="S2562" i="113" s="1"/>
  <c r="K1538" i="113"/>
  <c r="M1538" i="113" s="1"/>
  <c r="S1538" i="113" s="1"/>
  <c r="K1305" i="113"/>
  <c r="M1305" i="113" s="1"/>
  <c r="S1305" i="113" s="1"/>
  <c r="K1010" i="113"/>
  <c r="M1010" i="113" s="1"/>
  <c r="S1010" i="113" s="1"/>
  <c r="K343" i="113"/>
  <c r="M343" i="113" s="1"/>
  <c r="S343" i="113" s="1"/>
  <c r="K1777" i="113"/>
  <c r="M1777" i="113" s="1"/>
  <c r="S1777" i="113" s="1"/>
  <c r="K1554" i="113"/>
  <c r="M1554" i="113" s="1"/>
  <c r="S1554" i="113" s="1"/>
  <c r="K1321" i="113"/>
  <c r="M1321" i="113" s="1"/>
  <c r="S1321" i="113" s="1"/>
  <c r="K1037" i="113"/>
  <c r="M1037" i="113" s="1"/>
  <c r="S1037" i="113" s="1"/>
  <c r="K450" i="113"/>
  <c r="M450" i="113" s="1"/>
  <c r="S450" i="113" s="1"/>
  <c r="K1666" i="113"/>
  <c r="M1666" i="113" s="1"/>
  <c r="S1666" i="113" s="1"/>
  <c r="K1435" i="113"/>
  <c r="M1435" i="113" s="1"/>
  <c r="S1435" i="113" s="1"/>
  <c r="K1196" i="113"/>
  <c r="M1196" i="113" s="1"/>
  <c r="K789" i="113"/>
  <c r="M789" i="113" s="1"/>
  <c r="S789" i="113" s="1"/>
  <c r="K1758" i="113"/>
  <c r="M1758" i="113" s="1"/>
  <c r="S1758" i="113" s="1"/>
  <c r="K1534" i="113"/>
  <c r="M1534" i="113" s="1"/>
  <c r="S1534" i="113" s="1"/>
  <c r="K1301" i="113"/>
  <c r="M1301" i="113" s="1"/>
  <c r="S1301" i="113" s="1"/>
  <c r="K1002" i="113"/>
  <c r="M1002" i="113" s="1"/>
  <c r="S1002" i="113" s="1"/>
  <c r="K311" i="113"/>
  <c r="M311" i="113" s="1"/>
  <c r="O311" i="113" s="1"/>
  <c r="K1756" i="113"/>
  <c r="M1756" i="113" s="1"/>
  <c r="S1756" i="113" s="1"/>
  <c r="K1532" i="113"/>
  <c r="M1532" i="113" s="1"/>
  <c r="S1532" i="113" s="1"/>
  <c r="K1297" i="113"/>
  <c r="M1297" i="113" s="1"/>
  <c r="S1297" i="113" s="1"/>
  <c r="K996" i="113"/>
  <c r="M996" i="113" s="1"/>
  <c r="S996" i="113" s="1"/>
  <c r="K289" i="113"/>
  <c r="M289" i="113" s="1"/>
  <c r="S289" i="113" s="1"/>
  <c r="K962" i="113"/>
  <c r="M962" i="113" s="1"/>
  <c r="S962" i="113" s="1"/>
  <c r="K172" i="113"/>
  <c r="M172" i="113" s="1"/>
  <c r="S172" i="113" s="1"/>
  <c r="K1817" i="113"/>
  <c r="M1817" i="113" s="1"/>
  <c r="S1817" i="113" s="1"/>
  <c r="K1597" i="113"/>
  <c r="M1597" i="113" s="1"/>
  <c r="S1597" i="113" s="1"/>
  <c r="K1362" i="113"/>
  <c r="M1362" i="113" s="1"/>
  <c r="S1362" i="113" s="1"/>
  <c r="K1104" i="113"/>
  <c r="M1104" i="113" s="1"/>
  <c r="S1104" i="113" s="1"/>
  <c r="K619" i="113"/>
  <c r="M619" i="113" s="1"/>
  <c r="S619" i="113" s="1"/>
  <c r="K2573" i="113"/>
  <c r="M2573" i="113" s="1"/>
  <c r="S2573" i="113" s="1"/>
  <c r="K2368" i="113"/>
  <c r="M2368" i="113" s="1"/>
  <c r="S2368" i="113" s="1"/>
  <c r="K2164" i="113"/>
  <c r="M2164" i="113" s="1"/>
  <c r="S2164" i="113" s="1"/>
  <c r="K1961" i="113"/>
  <c r="M1961" i="113" s="1"/>
  <c r="O1961" i="113" s="1"/>
  <c r="K1753" i="113"/>
  <c r="M1753" i="113" s="1"/>
  <c r="S1753" i="113" s="1"/>
  <c r="K1528" i="113"/>
  <c r="M1528" i="113" s="1"/>
  <c r="S1528" i="113" s="1"/>
  <c r="K1294" i="113"/>
  <c r="M1294" i="113" s="1"/>
  <c r="S1294" i="113" s="1"/>
  <c r="K987" i="113"/>
  <c r="M987" i="113" s="1"/>
  <c r="S987" i="113" s="1"/>
  <c r="K273" i="113"/>
  <c r="M273" i="113" s="1"/>
  <c r="S273" i="113" s="1"/>
  <c r="K1974" i="113"/>
  <c r="M1974" i="113" s="1"/>
  <c r="S1974" i="113" s="1"/>
  <c r="K1767" i="113"/>
  <c r="M1767" i="113" s="1"/>
  <c r="S1767" i="113" s="1"/>
  <c r="K1545" i="113"/>
  <c r="M1545" i="113" s="1"/>
  <c r="S1545" i="113" s="1"/>
  <c r="K1310" i="113"/>
  <c r="M1310" i="113" s="1"/>
  <c r="S1310" i="113" s="1"/>
  <c r="K1020" i="113"/>
  <c r="M1020" i="113" s="1"/>
  <c r="S1020" i="113" s="1"/>
  <c r="K376" i="113"/>
  <c r="M376" i="113" s="1"/>
  <c r="S376" i="113" s="1"/>
  <c r="K2528" i="113"/>
  <c r="M2528" i="113" s="1"/>
  <c r="S2528" i="113" s="1"/>
  <c r="K2323" i="113"/>
  <c r="M2323" i="113" s="1"/>
  <c r="S2323" i="113" s="1"/>
  <c r="K2118" i="113"/>
  <c r="M2118" i="113" s="1"/>
  <c r="S2118" i="113" s="1"/>
  <c r="K1916" i="113"/>
  <c r="M1916" i="113" s="1"/>
  <c r="S1916" i="113" s="1"/>
  <c r="K1704" i="113"/>
  <c r="M1704" i="113" s="1"/>
  <c r="S1704" i="113" s="1"/>
  <c r="K1476" i="113"/>
  <c r="M1476" i="113" s="1"/>
  <c r="S1476" i="113" s="1"/>
  <c r="K1242" i="113"/>
  <c r="M1242" i="113" s="1"/>
  <c r="S1242" i="113" s="1"/>
  <c r="K885" i="113"/>
  <c r="M885" i="113" s="1"/>
  <c r="S885" i="113" s="1"/>
  <c r="K601" i="113"/>
  <c r="M601" i="113" s="1"/>
  <c r="S601" i="113" s="1"/>
  <c r="K202" i="113"/>
  <c r="M202" i="113" s="1"/>
  <c r="K735" i="113"/>
  <c r="M735" i="113" s="1"/>
  <c r="S735" i="113" s="1"/>
  <c r="K463" i="113"/>
  <c r="M463" i="113" s="1"/>
  <c r="S463" i="113" s="1"/>
  <c r="K1049" i="113"/>
  <c r="M1049" i="113" s="1"/>
  <c r="S1049" i="113" s="1"/>
  <c r="K818" i="113"/>
  <c r="M818" i="113" s="1"/>
  <c r="S818" i="113" s="1"/>
  <c r="K579" i="113"/>
  <c r="M579" i="113" s="1"/>
  <c r="S579" i="113" s="1"/>
  <c r="K165" i="113"/>
  <c r="M165" i="113" s="1"/>
  <c r="K1016" i="113"/>
  <c r="M1016" i="113" s="1"/>
  <c r="S1016" i="113" s="1"/>
  <c r="K782" i="113"/>
  <c r="M782" i="113" s="1"/>
  <c r="S782" i="113" s="1"/>
  <c r="K539" i="113"/>
  <c r="M539" i="113" s="1"/>
  <c r="S539" i="113" s="1"/>
  <c r="K95" i="113"/>
  <c r="M95" i="113" s="1"/>
  <c r="S95" i="113" s="1"/>
  <c r="K1046" i="113"/>
  <c r="M1046" i="113" s="1"/>
  <c r="S1046" i="113" s="1"/>
  <c r="K814" i="113"/>
  <c r="M814" i="113" s="1"/>
  <c r="S814" i="113" s="1"/>
  <c r="K577" i="113"/>
  <c r="M577" i="113" s="1"/>
  <c r="S577" i="113" s="1"/>
  <c r="K158" i="113"/>
  <c r="M158" i="113" s="1"/>
  <c r="S158" i="113" s="1"/>
  <c r="K914" i="113"/>
  <c r="M914" i="113" s="1"/>
  <c r="S914" i="113" s="1"/>
  <c r="K679" i="113"/>
  <c r="M679" i="113" s="1"/>
  <c r="S679" i="113" s="1"/>
  <c r="K360" i="113"/>
  <c r="M360" i="113" s="1"/>
  <c r="S360" i="113" s="1"/>
  <c r="K449" i="113"/>
  <c r="M449" i="113" s="1"/>
  <c r="S449" i="113" s="1"/>
  <c r="K1805" i="113"/>
  <c r="M1805" i="113" s="1"/>
  <c r="S1805" i="113" s="1"/>
  <c r="K1602" i="113"/>
  <c r="M1602" i="113" s="1"/>
  <c r="S1602" i="113" s="1"/>
  <c r="K1400" i="113"/>
  <c r="M1400" i="113" s="1"/>
  <c r="S1400" i="113" s="1"/>
  <c r="K1197" i="113"/>
  <c r="M1197" i="113" s="1"/>
  <c r="S1197" i="113" s="1"/>
  <c r="K977" i="113"/>
  <c r="M977" i="113" s="1"/>
  <c r="S977" i="113" s="1"/>
  <c r="K741" i="113"/>
  <c r="M741" i="113" s="1"/>
  <c r="S741" i="113" s="1"/>
  <c r="K476" i="113"/>
  <c r="M476" i="113" s="1"/>
  <c r="S476" i="113" s="1"/>
  <c r="K12" i="113"/>
  <c r="M12" i="113" s="1"/>
  <c r="K876" i="113"/>
  <c r="M876" i="113" s="1"/>
  <c r="S876" i="113" s="1"/>
  <c r="K638" i="113"/>
  <c r="M638" i="113" s="1"/>
  <c r="S638" i="113" s="1"/>
  <c r="K282" i="113"/>
  <c r="M282" i="113" s="1"/>
  <c r="S282" i="113" s="1"/>
  <c r="K1527" i="113"/>
  <c r="M1527" i="113" s="1"/>
  <c r="S1527" i="113" s="1"/>
  <c r="K1327" i="113"/>
  <c r="M1327" i="113" s="1"/>
  <c r="S1327" i="113" s="1"/>
  <c r="K1116" i="113"/>
  <c r="M1116" i="113" s="1"/>
  <c r="S1116" i="113" s="1"/>
  <c r="K891" i="113"/>
  <c r="M891" i="113" s="1"/>
  <c r="S891" i="113" s="1"/>
  <c r="K654" i="113"/>
  <c r="M654" i="113" s="1"/>
  <c r="O654" i="113" s="1"/>
  <c r="K313" i="113"/>
  <c r="M313" i="113" s="1"/>
  <c r="S313" i="113" s="1"/>
  <c r="K350" i="113"/>
  <c r="M350" i="113" s="1"/>
  <c r="S350" i="113" s="1"/>
  <c r="K147" i="113"/>
  <c r="M147" i="113" s="1"/>
  <c r="S147" i="113" s="1"/>
  <c r="K451" i="113"/>
  <c r="M451" i="113" s="1"/>
  <c r="O451" i="113" s="1"/>
  <c r="K248" i="113"/>
  <c r="M248" i="113" s="1"/>
  <c r="S248" i="113" s="1"/>
  <c r="K44" i="113"/>
  <c r="M44" i="113" s="1"/>
  <c r="O44" i="113" s="1"/>
  <c r="K374" i="113"/>
  <c r="M374" i="113" s="1"/>
  <c r="S374" i="113" s="1"/>
  <c r="K171" i="113"/>
  <c r="M171" i="113" s="1"/>
  <c r="K532" i="113"/>
  <c r="M532" i="113" s="1"/>
  <c r="S532" i="113" s="1"/>
  <c r="K329" i="113"/>
  <c r="M329" i="113" s="1"/>
  <c r="S329" i="113" s="1"/>
  <c r="K126" i="113"/>
  <c r="M126" i="113" s="1"/>
  <c r="S126" i="113" s="1"/>
  <c r="K486" i="113"/>
  <c r="M486" i="113" s="1"/>
  <c r="S486" i="113" s="1"/>
  <c r="K283" i="113"/>
  <c r="M283" i="113" s="1"/>
  <c r="S283" i="113" s="1"/>
  <c r="K79" i="113"/>
  <c r="M79" i="113" s="1"/>
  <c r="K1120" i="113"/>
  <c r="M1120" i="113" s="1"/>
  <c r="S1120" i="113" s="1"/>
  <c r="K918" i="113"/>
  <c r="M918" i="113" s="1"/>
  <c r="S918" i="113" s="1"/>
  <c r="K716" i="113"/>
  <c r="M716" i="113" s="1"/>
  <c r="S716" i="113" s="1"/>
  <c r="K513" i="113"/>
  <c r="M513" i="113" s="1"/>
  <c r="S513" i="113" s="1"/>
  <c r="K310" i="113"/>
  <c r="M310" i="113" s="1"/>
  <c r="K106" i="113"/>
  <c r="M106" i="113" s="1"/>
  <c r="K903" i="113"/>
  <c r="M903" i="113" s="1"/>
  <c r="S903" i="113" s="1"/>
  <c r="K701" i="113"/>
  <c r="M701" i="113" s="1"/>
  <c r="S701" i="113" s="1"/>
  <c r="K497" i="113"/>
  <c r="M497" i="113" s="1"/>
  <c r="S497" i="113" s="1"/>
  <c r="K294" i="113"/>
  <c r="M294" i="113" s="1"/>
  <c r="S294" i="113" s="1"/>
  <c r="K90" i="113"/>
  <c r="M90" i="113" s="1"/>
  <c r="K424" i="113"/>
  <c r="M424" i="113" s="1"/>
  <c r="S424" i="113" s="1"/>
  <c r="K221" i="113"/>
  <c r="M221" i="113" s="1"/>
  <c r="K17" i="113"/>
  <c r="M17" i="113" s="1"/>
  <c r="K1986" i="113"/>
  <c r="M1986" i="113" s="1"/>
  <c r="S1986" i="113" s="1"/>
  <c r="K2375" i="113"/>
  <c r="M2375" i="113" s="1"/>
  <c r="S2375" i="113" s="1"/>
  <c r="K944" i="113"/>
  <c r="M944" i="113" s="1"/>
  <c r="S944" i="113" s="1"/>
  <c r="K1540" i="113"/>
  <c r="M1540" i="113" s="1"/>
  <c r="O1540" i="113" s="1"/>
  <c r="K2289" i="113"/>
  <c r="M2289" i="113" s="1"/>
  <c r="S2289" i="113" s="1"/>
  <c r="K1059" i="113"/>
  <c r="M1059" i="113" s="1"/>
  <c r="S1059" i="113" s="1"/>
  <c r="K1750" i="113"/>
  <c r="M1750" i="113" s="1"/>
  <c r="S1750" i="113" s="1"/>
  <c r="K2082" i="113"/>
  <c r="M2082" i="113" s="1"/>
  <c r="O2082" i="113" s="1"/>
  <c r="K2326" i="113"/>
  <c r="M2326" i="113" s="1"/>
  <c r="S2326" i="113" s="1"/>
  <c r="K2564" i="113"/>
  <c r="M2564" i="113" s="1"/>
  <c r="S2564" i="113" s="1"/>
  <c r="K121" i="113"/>
  <c r="M121" i="113" s="1"/>
  <c r="K1550" i="113"/>
  <c r="M1550" i="113" s="1"/>
  <c r="S1550" i="113" s="1"/>
  <c r="K1992" i="113"/>
  <c r="M1992" i="113" s="1"/>
  <c r="S1992" i="113" s="1"/>
  <c r="K2241" i="113"/>
  <c r="M2241" i="113" s="1"/>
  <c r="S2241" i="113" s="1"/>
  <c r="K2480" i="113"/>
  <c r="M2480" i="113" s="1"/>
  <c r="S2480" i="113" s="1"/>
  <c r="K1013" i="113"/>
  <c r="M1013" i="113" s="1"/>
  <c r="O1013" i="113" s="1"/>
  <c r="K1365" i="113"/>
  <c r="M1365" i="113" s="1"/>
  <c r="S1365" i="113" s="1"/>
  <c r="K1905" i="113"/>
  <c r="M1905" i="113" s="1"/>
  <c r="S1905" i="113" s="1"/>
  <c r="K2173" i="113"/>
  <c r="M2173" i="113" s="1"/>
  <c r="S2173" i="113" s="1"/>
  <c r="K2414" i="113"/>
  <c r="M2414" i="113" s="1"/>
  <c r="S2414" i="113" s="1"/>
  <c r="K2650" i="113"/>
  <c r="M2650" i="113" s="1"/>
  <c r="S2650" i="113" s="1"/>
  <c r="K1073" i="113"/>
  <c r="M1073" i="113" s="1"/>
  <c r="S1073" i="113" s="1"/>
  <c r="K1760" i="113"/>
  <c r="M1760" i="113" s="1"/>
  <c r="S1760" i="113" s="1"/>
  <c r="K2085" i="113"/>
  <c r="M2085" i="113" s="1"/>
  <c r="S2085" i="113" s="1"/>
  <c r="K2329" i="113"/>
  <c r="M2329" i="113" s="1"/>
  <c r="S2329" i="113" s="1"/>
  <c r="K2567" i="113"/>
  <c r="M2567" i="113" s="1"/>
  <c r="S2567" i="113" s="1"/>
  <c r="K243" i="113"/>
  <c r="M243" i="113" s="1"/>
  <c r="K1373" i="113"/>
  <c r="M1373" i="113" s="1"/>
  <c r="S1373" i="113" s="1"/>
  <c r="K1909" i="113"/>
  <c r="M1909" i="113" s="1"/>
  <c r="S1909" i="113" s="1"/>
  <c r="K2176" i="113"/>
  <c r="M2176" i="113" s="1"/>
  <c r="S2176" i="113" s="1"/>
  <c r="K2416" i="113"/>
  <c r="M2416" i="113" s="1"/>
  <c r="S2416" i="113" s="1"/>
  <c r="K2652" i="113"/>
  <c r="M2652" i="113" s="1"/>
  <c r="S2652" i="113" s="1"/>
  <c r="K1469" i="113"/>
  <c r="M1469" i="113" s="1"/>
  <c r="S1469" i="113" s="1"/>
  <c r="K1955" i="113"/>
  <c r="M1955" i="113" s="1"/>
  <c r="S1955" i="113" s="1"/>
  <c r="K2212" i="113"/>
  <c r="M2212" i="113" s="1"/>
  <c r="S2212" i="113" s="1"/>
  <c r="K2450" i="113"/>
  <c r="M2450" i="113" s="1"/>
  <c r="S2450" i="113" s="1"/>
  <c r="K278" i="113"/>
  <c r="M278" i="113" s="1"/>
  <c r="S278" i="113" s="1"/>
  <c r="K1380" i="113"/>
  <c r="M1380" i="113" s="1"/>
  <c r="S1380" i="113" s="1"/>
  <c r="K1911" i="113"/>
  <c r="M1911" i="113" s="1"/>
  <c r="S1911" i="113" s="1"/>
  <c r="K2180" i="113"/>
  <c r="M2180" i="113" s="1"/>
  <c r="S2180" i="113" s="1"/>
  <c r="K2419" i="113"/>
  <c r="M2419" i="113" s="1"/>
  <c r="S2419" i="113" s="1"/>
  <c r="K2654" i="113"/>
  <c r="M2654" i="113" s="1"/>
  <c r="S2654" i="113" s="1"/>
  <c r="K880" i="113"/>
  <c r="M880" i="113" s="1"/>
  <c r="S880" i="113" s="1"/>
  <c r="K1698" i="113"/>
  <c r="M1698" i="113" s="1"/>
  <c r="O1698" i="113" s="1"/>
  <c r="K2054" i="113"/>
  <c r="M2054" i="113" s="1"/>
  <c r="S2054" i="113" s="1"/>
  <c r="K2299" i="113"/>
  <c r="M2299" i="113" s="1"/>
  <c r="S2299" i="113" s="1"/>
  <c r="K2538" i="113"/>
  <c r="M2538" i="113" s="1"/>
  <c r="S2538" i="113" s="1"/>
  <c r="K635" i="113"/>
  <c r="M635" i="113" s="1"/>
  <c r="S635" i="113" s="1"/>
  <c r="K1914" i="113"/>
  <c r="M1914" i="113" s="1"/>
  <c r="S1914" i="113" s="1"/>
  <c r="K806" i="113"/>
  <c r="M806" i="113" s="1"/>
  <c r="S806" i="113" s="1"/>
  <c r="K2560" i="113"/>
  <c r="M2560" i="113" s="1"/>
  <c r="S2560" i="113" s="1"/>
  <c r="K2624" i="113"/>
  <c r="M2624" i="113" s="1"/>
  <c r="S2624" i="113" s="1"/>
  <c r="K2334" i="113"/>
  <c r="M2334" i="113" s="1"/>
  <c r="S2334" i="113" s="1"/>
  <c r="K1224" i="113"/>
  <c r="M1224" i="113" s="1"/>
  <c r="S1224" i="113" s="1"/>
  <c r="K844" i="113"/>
  <c r="M844" i="113" s="1"/>
  <c r="S844" i="113" s="1"/>
  <c r="K581" i="113"/>
  <c r="M581" i="113" s="1"/>
  <c r="S581" i="113" s="1"/>
  <c r="K169" i="113"/>
  <c r="M169" i="113" s="1"/>
  <c r="K718" i="113"/>
  <c r="M718" i="113" s="1"/>
  <c r="S718" i="113" s="1"/>
  <c r="K434" i="113"/>
  <c r="M434" i="113" s="1"/>
  <c r="S434" i="113" s="1"/>
  <c r="K1032" i="113"/>
  <c r="M1032" i="113" s="1"/>
  <c r="K799" i="113"/>
  <c r="M799" i="113" s="1"/>
  <c r="S799" i="113" s="1"/>
  <c r="K563" i="113"/>
  <c r="M563" i="113" s="1"/>
  <c r="S563" i="113" s="1"/>
  <c r="K129" i="113"/>
  <c r="M129" i="113" s="1"/>
  <c r="K1000" i="113"/>
  <c r="M1000" i="113" s="1"/>
  <c r="S1000" i="113" s="1"/>
  <c r="K765" i="113"/>
  <c r="M765" i="113" s="1"/>
  <c r="O765" i="113" s="1"/>
  <c r="K517" i="113"/>
  <c r="M517" i="113" s="1"/>
  <c r="S517" i="113" s="1"/>
  <c r="K57" i="113"/>
  <c r="M57" i="113" s="1"/>
  <c r="K1030" i="113"/>
  <c r="M1030" i="113" s="1"/>
  <c r="S1030" i="113" s="1"/>
  <c r="K797" i="113"/>
  <c r="M797" i="113" s="1"/>
  <c r="S797" i="113" s="1"/>
  <c r="K560" i="113"/>
  <c r="M560" i="113" s="1"/>
  <c r="S560" i="113" s="1"/>
  <c r="K124" i="113"/>
  <c r="M124" i="113" s="1"/>
  <c r="S124" i="113" s="1"/>
  <c r="K897" i="113"/>
  <c r="M897" i="113" s="1"/>
  <c r="O897" i="113" s="1"/>
  <c r="K662" i="113"/>
  <c r="M662" i="113" s="1"/>
  <c r="S662" i="113" s="1"/>
  <c r="K327" i="113"/>
  <c r="M327" i="113" s="1"/>
  <c r="O327" i="113" s="1"/>
  <c r="K420" i="113"/>
  <c r="M420" i="113" s="1"/>
  <c r="O420" i="113" s="1"/>
  <c r="K1791" i="113"/>
  <c r="M1791" i="113" s="1"/>
  <c r="S1791" i="113" s="1"/>
  <c r="K1587" i="113"/>
  <c r="M1587" i="113" s="1"/>
  <c r="S1587" i="113" s="1"/>
  <c r="K1386" i="113"/>
  <c r="M1386" i="113" s="1"/>
  <c r="S1386" i="113" s="1"/>
  <c r="K1182" i="113"/>
  <c r="M1182" i="113" s="1"/>
  <c r="S1182" i="113" s="1"/>
  <c r="K959" i="113"/>
  <c r="M959" i="113" s="1"/>
  <c r="S959" i="113" s="1"/>
  <c r="K724" i="113"/>
  <c r="M724" i="113" s="1"/>
  <c r="O724" i="113" s="1"/>
  <c r="K448" i="113"/>
  <c r="M448" i="113" s="1"/>
  <c r="S448" i="113" s="1"/>
  <c r="K1086" i="113"/>
  <c r="M1086" i="113" s="1"/>
  <c r="S1086" i="113" s="1"/>
  <c r="K857" i="113"/>
  <c r="M857" i="113" s="1"/>
  <c r="S857" i="113" s="1"/>
  <c r="K622" i="113"/>
  <c r="M622" i="113" s="1"/>
  <c r="S622" i="113" s="1"/>
  <c r="K246" i="113"/>
  <c r="M246" i="113" s="1"/>
  <c r="K1513" i="113"/>
  <c r="M1513" i="113" s="1"/>
  <c r="S1513" i="113" s="1"/>
  <c r="K1313" i="113"/>
  <c r="M1313" i="113" s="1"/>
  <c r="S1313" i="113" s="1"/>
  <c r="K1100" i="113"/>
  <c r="M1100" i="113" s="1"/>
  <c r="S1100" i="113" s="1"/>
  <c r="K873" i="113"/>
  <c r="M873" i="113" s="1"/>
  <c r="S873" i="113" s="1"/>
  <c r="K637" i="113"/>
  <c r="M637" i="113" s="1"/>
  <c r="S637" i="113" s="1"/>
  <c r="K275" i="113"/>
  <c r="M275" i="113" s="1"/>
  <c r="S275" i="113" s="1"/>
  <c r="K335" i="113"/>
  <c r="M335" i="113" s="1"/>
  <c r="S335" i="113" s="1"/>
  <c r="K132" i="113"/>
  <c r="M132" i="113" s="1"/>
  <c r="S132" i="113" s="1"/>
  <c r="K436" i="113"/>
  <c r="M436" i="113" s="1"/>
  <c r="S436" i="113" s="1"/>
  <c r="K233" i="113"/>
  <c r="M233" i="113" s="1"/>
  <c r="K30" i="113"/>
  <c r="M30" i="113" s="1"/>
  <c r="K359" i="113"/>
  <c r="M359" i="113" s="1"/>
  <c r="S359" i="113" s="1"/>
  <c r="K156" i="113"/>
  <c r="M156" i="113" s="1"/>
  <c r="K518" i="113"/>
  <c r="M518" i="113" s="1"/>
  <c r="O518" i="113" s="1"/>
  <c r="K315" i="113"/>
  <c r="M315" i="113" s="1"/>
  <c r="O315" i="113" s="1"/>
  <c r="K111" i="113"/>
  <c r="M111" i="113" s="1"/>
  <c r="O111" i="113" s="1"/>
  <c r="K471" i="113"/>
  <c r="M471" i="113" s="1"/>
  <c r="S471" i="113" s="1"/>
  <c r="K268" i="113"/>
  <c r="M268" i="113" s="1"/>
  <c r="S268" i="113" s="1"/>
  <c r="K64" i="113"/>
  <c r="M64" i="113" s="1"/>
  <c r="K1106" i="113"/>
  <c r="M1106" i="113" s="1"/>
  <c r="S1106" i="113" s="1"/>
  <c r="K904" i="113"/>
  <c r="M904" i="113" s="1"/>
  <c r="O904" i="113" s="1"/>
  <c r="K702" i="113"/>
  <c r="M702" i="113" s="1"/>
  <c r="S702" i="113" s="1"/>
  <c r="K498" i="113"/>
  <c r="M498" i="113" s="1"/>
  <c r="S498" i="113" s="1"/>
  <c r="K295" i="113"/>
  <c r="M295" i="113" s="1"/>
  <c r="S295" i="113" s="1"/>
  <c r="K91" i="113"/>
  <c r="M91" i="113" s="1"/>
  <c r="S91" i="113" s="1"/>
  <c r="K888" i="113"/>
  <c r="M888" i="113" s="1"/>
  <c r="S888" i="113" s="1"/>
  <c r="K686" i="113"/>
  <c r="M686" i="113" s="1"/>
  <c r="S686" i="113" s="1"/>
  <c r="K483" i="113"/>
  <c r="M483" i="113" s="1"/>
  <c r="S483" i="113" s="1"/>
  <c r="K280" i="113"/>
  <c r="M280" i="113" s="1"/>
  <c r="S280" i="113" s="1"/>
  <c r="K76" i="113"/>
  <c r="M76" i="113" s="1"/>
  <c r="S76" i="113" s="1"/>
  <c r="K409" i="113"/>
  <c r="M409" i="113" s="1"/>
  <c r="S409" i="113" s="1"/>
  <c r="K206" i="113"/>
  <c r="M206" i="113" s="1"/>
  <c r="K3" i="113"/>
  <c r="M3" i="113" s="1"/>
  <c r="K2063" i="113"/>
  <c r="M2063" i="113" s="1"/>
  <c r="S2063" i="113" s="1"/>
  <c r="K2409" i="113"/>
  <c r="M2409" i="113" s="1"/>
  <c r="S2409" i="113" s="1"/>
  <c r="K470" i="113"/>
  <c r="M470" i="113" s="1"/>
  <c r="S470" i="113" s="1"/>
  <c r="K1591" i="113"/>
  <c r="M1591" i="113" s="1"/>
  <c r="S1591" i="113" s="1"/>
  <c r="K2341" i="113"/>
  <c r="M2341" i="113" s="1"/>
  <c r="S2341" i="113" s="1"/>
  <c r="K1139" i="113"/>
  <c r="M1139" i="113" s="1"/>
  <c r="S1139" i="113" s="1"/>
  <c r="K1789" i="113"/>
  <c r="M1789" i="113" s="1"/>
  <c r="S1789" i="113" s="1"/>
  <c r="K2099" i="113"/>
  <c r="M2099" i="113" s="1"/>
  <c r="S2099" i="113" s="1"/>
  <c r="K2342" i="113"/>
  <c r="M2342" i="113" s="1"/>
  <c r="S2342" i="113" s="1"/>
  <c r="K2580" i="113"/>
  <c r="M2580" i="113" s="1"/>
  <c r="S2580" i="113" s="1"/>
  <c r="K536" i="113"/>
  <c r="M536" i="113" s="1"/>
  <c r="K1598" i="113"/>
  <c r="M1598" i="113" s="1"/>
  <c r="S1598" i="113" s="1"/>
  <c r="K2010" i="113"/>
  <c r="M2010" i="113" s="1"/>
  <c r="S2010" i="113" s="1"/>
  <c r="K2258" i="113"/>
  <c r="M2258" i="113" s="1"/>
  <c r="S2258" i="113" s="1"/>
  <c r="K2496" i="113"/>
  <c r="M2496" i="113" s="1"/>
  <c r="S2496" i="113" s="1"/>
  <c r="K1494" i="113"/>
  <c r="M1494" i="113" s="1"/>
  <c r="S1494" i="113" s="1"/>
  <c r="K1413" i="113"/>
  <c r="M1413" i="113" s="1"/>
  <c r="S1413" i="113" s="1"/>
  <c r="K1928" i="113"/>
  <c r="M1928" i="113" s="1"/>
  <c r="S1928" i="113" s="1"/>
  <c r="K2190" i="113"/>
  <c r="M2190" i="113" s="1"/>
  <c r="S2190" i="113" s="1"/>
  <c r="K2431" i="113"/>
  <c r="M2431" i="113" s="1"/>
  <c r="S2431" i="113" s="1"/>
  <c r="K2667" i="113"/>
  <c r="M2667" i="113" s="1"/>
  <c r="S2667" i="113" s="1"/>
  <c r="K1158" i="113"/>
  <c r="M1158" i="113" s="1"/>
  <c r="S1158" i="113" s="1"/>
  <c r="K1796" i="113"/>
  <c r="M1796" i="113" s="1"/>
  <c r="S1796" i="113" s="1"/>
  <c r="K2103" i="113"/>
  <c r="M2103" i="113" s="1"/>
  <c r="S2103" i="113" s="1"/>
  <c r="K2345" i="113"/>
  <c r="M2345" i="113" s="1"/>
  <c r="S2345" i="113" s="1"/>
  <c r="K2583" i="113"/>
  <c r="M2583" i="113" s="1"/>
  <c r="S2583" i="113" s="1"/>
  <c r="K644" i="113"/>
  <c r="M644" i="113" s="1"/>
  <c r="S644" i="113" s="1"/>
  <c r="K1419" i="113"/>
  <c r="M1419" i="113" s="1"/>
  <c r="S1419" i="113" s="1"/>
  <c r="K1934" i="113"/>
  <c r="M1934" i="113" s="1"/>
  <c r="S1934" i="113" s="1"/>
  <c r="K2194" i="113"/>
  <c r="M2194" i="113" s="1"/>
  <c r="S2194" i="113" s="1"/>
  <c r="K2433" i="113"/>
  <c r="M2433" i="113" s="1"/>
  <c r="S2433" i="113" s="1"/>
  <c r="K2669" i="113"/>
  <c r="M2669" i="113" s="1"/>
  <c r="S2669" i="113" s="1"/>
  <c r="K1517" i="113"/>
  <c r="M1517" i="113" s="1"/>
  <c r="S1517" i="113" s="1"/>
  <c r="K1978" i="113"/>
  <c r="M1978" i="113" s="1"/>
  <c r="S1978" i="113" s="1"/>
  <c r="K2229" i="113"/>
  <c r="M2229" i="113" s="1"/>
  <c r="S2229" i="113" s="1"/>
  <c r="K2467" i="113"/>
  <c r="M2467" i="113" s="1"/>
  <c r="S2467" i="113" s="1"/>
  <c r="K671" i="113"/>
  <c r="M671" i="113" s="1"/>
  <c r="S671" i="113" s="1"/>
  <c r="K1423" i="113"/>
  <c r="M1423" i="113" s="1"/>
  <c r="S1423" i="113" s="1"/>
  <c r="K1936" i="113"/>
  <c r="M1936" i="113" s="1"/>
  <c r="S1936" i="113" s="1"/>
  <c r="K2196" i="113"/>
  <c r="M2196" i="113" s="1"/>
  <c r="S2196" i="113" s="1"/>
  <c r="K2435" i="113"/>
  <c r="M2435" i="113" s="1"/>
  <c r="S2435" i="113" s="1"/>
  <c r="K2671" i="113"/>
  <c r="M2671" i="113" s="1"/>
  <c r="S2671" i="113" s="1"/>
  <c r="K1005" i="113"/>
  <c r="M1005" i="113" s="1"/>
  <c r="S1005" i="113" s="1"/>
  <c r="K1733" i="113"/>
  <c r="M1733" i="113" s="1"/>
  <c r="S1733" i="113" s="1"/>
  <c r="K2071" i="113"/>
  <c r="M2071" i="113" s="1"/>
  <c r="S2071" i="113" s="1"/>
  <c r="K2316" i="113"/>
  <c r="M2316" i="113" s="1"/>
  <c r="S2316" i="113" s="1"/>
  <c r="K2554" i="113"/>
  <c r="M2554" i="113" s="1"/>
  <c r="S2554" i="113" s="1"/>
  <c r="K762" i="113"/>
  <c r="M762" i="113" s="1"/>
  <c r="S762" i="113" s="1"/>
  <c r="K2006" i="113"/>
  <c r="M2006" i="113" s="1"/>
  <c r="S2006" i="113" s="1"/>
  <c r="K1236" i="113"/>
  <c r="M1236" i="113" s="1"/>
  <c r="S1236" i="113" s="1"/>
  <c r="K913" i="113"/>
  <c r="M913" i="113" s="1"/>
  <c r="S913" i="113" s="1"/>
  <c r="K2678" i="113"/>
  <c r="M2678" i="113" s="1"/>
  <c r="S2678" i="113" s="1"/>
  <c r="K2389" i="113"/>
  <c r="M2389" i="113" s="1"/>
  <c r="S2389" i="113" s="1"/>
  <c r="K2489" i="113"/>
  <c r="M2489" i="113" s="1"/>
  <c r="S2489" i="113" s="1"/>
  <c r="K2509" i="113"/>
  <c r="M2509" i="113" s="1"/>
  <c r="S2509" i="113" s="1"/>
  <c r="K1864" i="113"/>
  <c r="M1864" i="113" s="1"/>
  <c r="S1864" i="113" s="1"/>
  <c r="K2217" i="113"/>
  <c r="M2217" i="113" s="1"/>
  <c r="S2217" i="113" s="1"/>
  <c r="K2113" i="113"/>
  <c r="M2113" i="113" s="1"/>
  <c r="S2113" i="113" s="1"/>
  <c r="K1810" i="113"/>
  <c r="M1810" i="113" s="1"/>
  <c r="S1810" i="113" s="1"/>
  <c r="K2407" i="113"/>
  <c r="M2407" i="113" s="1"/>
  <c r="S2407" i="113" s="1"/>
  <c r="K2040" i="113"/>
  <c r="M2040" i="113" s="1"/>
  <c r="S2040" i="113" s="1"/>
  <c r="K2352" i="113"/>
  <c r="M2352" i="113" s="1"/>
  <c r="S2352" i="113" s="1"/>
  <c r="K2185" i="113"/>
  <c r="M2185" i="113" s="1"/>
  <c r="S2185" i="113" s="1"/>
  <c r="K2198" i="113"/>
  <c r="M2198" i="113" s="1"/>
  <c r="S2198" i="113" s="1"/>
  <c r="K1867" i="113"/>
  <c r="M1867" i="113" s="1"/>
  <c r="S1867" i="113" s="1"/>
  <c r="K1299" i="113"/>
  <c r="M1299" i="113" s="1"/>
  <c r="S1299" i="113" s="1"/>
  <c r="K1436" i="113"/>
  <c r="M1436" i="113" s="1"/>
  <c r="S1436" i="113" s="1"/>
  <c r="K1183" i="113"/>
  <c r="M1183" i="113" s="1"/>
  <c r="S1183" i="113" s="1"/>
  <c r="K2501" i="113"/>
  <c r="M2501" i="113" s="1"/>
  <c r="S2501" i="113" s="1"/>
  <c r="K1159" i="113"/>
  <c r="M1159" i="113" s="1"/>
  <c r="S1159" i="113" s="1"/>
  <c r="K203" i="113"/>
  <c r="M203" i="113" s="1"/>
  <c r="K1105" i="113"/>
  <c r="M1105" i="113" s="1"/>
  <c r="S1105" i="113" s="1"/>
  <c r="K2033" i="113"/>
  <c r="M2033" i="113" s="1"/>
  <c r="S2033" i="113" s="1"/>
  <c r="K1627" i="113"/>
  <c r="M1627" i="113" s="1"/>
  <c r="S1627" i="113" s="1"/>
  <c r="K1988" i="113"/>
  <c r="M1988" i="113" s="1"/>
  <c r="S1988" i="113" s="1"/>
  <c r="K168" i="113"/>
  <c r="M168" i="113" s="1"/>
  <c r="K663" i="113"/>
  <c r="M663" i="113" s="1"/>
  <c r="S663" i="113" s="1"/>
  <c r="K1372" i="113"/>
  <c r="M1372" i="113" s="1"/>
  <c r="S1372" i="113" s="1"/>
  <c r="K1728" i="113"/>
  <c r="M1728" i="113" s="1"/>
  <c r="S1728" i="113" s="1"/>
  <c r="K84" i="113"/>
  <c r="M84" i="113" s="1"/>
  <c r="O84" i="113" s="1"/>
  <c r="K624" i="113"/>
  <c r="M624" i="113" s="1"/>
  <c r="S624" i="113" s="1"/>
  <c r="K2428" i="113"/>
  <c r="M2428" i="113" s="1"/>
  <c r="S2428" i="113" s="1"/>
  <c r="K2032" i="113"/>
  <c r="M2032" i="113" s="1"/>
  <c r="S2032" i="113" s="1"/>
  <c r="K652" i="113"/>
  <c r="M652" i="113" s="1"/>
  <c r="S652" i="113" s="1"/>
  <c r="K375" i="113"/>
  <c r="M375" i="113" s="1"/>
  <c r="S375" i="113" s="1"/>
  <c r="K1079" i="113"/>
  <c r="M1079" i="113" s="1"/>
  <c r="S1079" i="113" s="1"/>
  <c r="K747" i="113"/>
  <c r="M747" i="113" s="1"/>
  <c r="S747" i="113" s="1"/>
  <c r="K1257" i="113"/>
  <c r="M1257" i="113" s="1"/>
  <c r="S1257" i="113" s="1"/>
  <c r="K941" i="113"/>
  <c r="M941" i="113" s="1"/>
  <c r="S941" i="113" s="1"/>
  <c r="K205" i="113"/>
  <c r="M205" i="113" s="1"/>
  <c r="K387" i="113"/>
  <c r="M387" i="113" s="1"/>
  <c r="S387" i="113" s="1"/>
  <c r="K1179" i="113"/>
  <c r="M1179" i="113" s="1"/>
  <c r="S1179" i="113" s="1"/>
  <c r="K758" i="113"/>
  <c r="M758" i="113" s="1"/>
  <c r="S758" i="113" s="1"/>
  <c r="K2630" i="113"/>
  <c r="M2630" i="113" s="1"/>
  <c r="S2630" i="113" s="1"/>
  <c r="K1363" i="113"/>
  <c r="M1363" i="113" s="1"/>
  <c r="S1363" i="113" s="1"/>
  <c r="K2344" i="113"/>
  <c r="M2344" i="113" s="1"/>
  <c r="S2344" i="113" s="1"/>
  <c r="K1577" i="113"/>
  <c r="M1577" i="113" s="1"/>
  <c r="S1577" i="113" s="1"/>
  <c r="K2143" i="113"/>
  <c r="M2143" i="113" s="1"/>
  <c r="S2143" i="113" s="1"/>
  <c r="K2588" i="113"/>
  <c r="M2588" i="113" s="1"/>
  <c r="S2588" i="113" s="1"/>
  <c r="K2267" i="113"/>
  <c r="M2267" i="113" s="1"/>
  <c r="S2267" i="113" s="1"/>
  <c r="K1555" i="113"/>
  <c r="M1555" i="113" s="1"/>
  <c r="S1555" i="113" s="1"/>
  <c r="K1571" i="113"/>
  <c r="M1571" i="113" s="1"/>
  <c r="S1571" i="113" s="1"/>
  <c r="K1452" i="113"/>
  <c r="M1452" i="113" s="1"/>
  <c r="S1452" i="113" s="1"/>
  <c r="K1034" i="113"/>
  <c r="M1034" i="113" s="1"/>
  <c r="S1034" i="113" s="1"/>
  <c r="K1379" i="113"/>
  <c r="M1379" i="113" s="1"/>
  <c r="S1379" i="113" s="1"/>
  <c r="K2384" i="113"/>
  <c r="M2384" i="113" s="1"/>
  <c r="S2384" i="113" s="1"/>
  <c r="K1021" i="113"/>
  <c r="M1021" i="113" s="1"/>
  <c r="S1021" i="113" s="1"/>
  <c r="K481" i="113"/>
  <c r="M481" i="113" s="1"/>
  <c r="O481" i="113" s="1"/>
  <c r="K1930" i="113"/>
  <c r="M1930" i="113" s="1"/>
  <c r="S1930" i="113" s="1"/>
  <c r="K14" i="113"/>
  <c r="M14" i="113" s="1"/>
  <c r="S14" i="113" s="1"/>
  <c r="K596" i="113"/>
  <c r="M596" i="113" s="1"/>
  <c r="S596" i="113" s="1"/>
  <c r="K832" i="113"/>
  <c r="M832" i="113" s="1"/>
  <c r="S832" i="113" s="1"/>
  <c r="K695" i="113"/>
  <c r="M695" i="113" s="1"/>
  <c r="O695" i="113" s="1"/>
  <c r="K1213" i="113"/>
  <c r="M1213" i="113" s="1"/>
  <c r="S1213" i="113" s="1"/>
  <c r="K655" i="113"/>
  <c r="M655" i="113" s="1"/>
  <c r="S655" i="113" s="1"/>
  <c r="K908" i="113"/>
  <c r="M908" i="113" s="1"/>
  <c r="S908" i="113" s="1"/>
  <c r="K58" i="113"/>
  <c r="M58" i="113" s="1"/>
  <c r="S58" i="113" s="1"/>
  <c r="K500" i="113"/>
  <c r="M500" i="113" s="1"/>
  <c r="S500" i="113" s="1"/>
  <c r="K731" i="113"/>
  <c r="M731" i="113" s="1"/>
  <c r="S731" i="113" s="1"/>
  <c r="K917" i="113"/>
  <c r="M917" i="113" s="1"/>
  <c r="S917" i="113" s="1"/>
  <c r="K1967" i="113"/>
  <c r="M1967" i="113" s="1"/>
  <c r="S1967" i="113" s="1"/>
  <c r="K2307" i="113"/>
  <c r="M2307" i="113" s="1"/>
  <c r="S2307" i="113" s="1"/>
  <c r="K1320" i="113"/>
  <c r="M1320" i="113" s="1"/>
  <c r="S1320" i="113" s="1"/>
  <c r="K2312" i="113"/>
  <c r="M2312" i="113" s="1"/>
  <c r="S2312" i="113" s="1"/>
  <c r="K2400" i="113"/>
  <c r="M2400" i="113" s="1"/>
  <c r="S2400" i="113" s="1"/>
  <c r="K2195" i="113"/>
  <c r="M2195" i="113" s="1"/>
  <c r="S2195" i="113" s="1"/>
  <c r="K2638" i="113"/>
  <c r="M2638" i="113" s="1"/>
  <c r="S2638" i="113" s="1"/>
  <c r="K1630" i="113"/>
  <c r="M1630" i="113" s="1"/>
  <c r="S1630" i="113" s="1"/>
  <c r="K2095" i="113"/>
  <c r="M2095" i="113" s="1"/>
  <c r="S2095" i="113" s="1"/>
  <c r="K2591" i="113"/>
  <c r="M2591" i="113" s="1"/>
  <c r="S2591" i="113" s="1"/>
  <c r="K1531" i="113"/>
  <c r="M1531" i="113" s="1"/>
  <c r="S1531" i="113" s="1"/>
  <c r="K1130" i="113"/>
  <c r="M1130" i="113" s="1"/>
  <c r="S1130" i="113" s="1"/>
  <c r="K1289" i="113"/>
  <c r="M1289" i="113" s="1"/>
  <c r="S1289" i="113" s="1"/>
  <c r="K1006" i="113"/>
  <c r="M1006" i="113" s="1"/>
  <c r="S1006" i="113" s="1"/>
  <c r="K752" i="113"/>
  <c r="M752" i="113" s="1"/>
  <c r="S752" i="113" s="1"/>
  <c r="K1282" i="113"/>
  <c r="M1282" i="113" s="1"/>
  <c r="S1282" i="113" s="1"/>
  <c r="K1280" i="113"/>
  <c r="M1280" i="113" s="1"/>
  <c r="S1280" i="113" s="1"/>
  <c r="K1580" i="113"/>
  <c r="M1580" i="113" s="1"/>
  <c r="S1580" i="113" s="1"/>
  <c r="K2149" i="113"/>
  <c r="M2149" i="113" s="1"/>
  <c r="S2149" i="113" s="1"/>
  <c r="K955" i="113"/>
  <c r="M955" i="113" s="1"/>
  <c r="S955" i="113" s="1"/>
  <c r="K1526" i="113"/>
  <c r="M1526" i="113" s="1"/>
  <c r="S1526" i="113" s="1"/>
  <c r="K2104" i="113"/>
  <c r="M2104" i="113" s="1"/>
  <c r="S2104" i="113" s="1"/>
  <c r="K1201" i="113"/>
  <c r="M1201" i="113" s="1"/>
  <c r="O1201" i="113" s="1"/>
  <c r="K1272" i="113"/>
  <c r="M1272" i="113" s="1"/>
  <c r="S1272" i="113" s="1"/>
  <c r="K1521" i="113"/>
  <c r="M1521" i="113" s="1"/>
  <c r="S1521" i="113" s="1"/>
  <c r="K1402" i="113"/>
  <c r="M1402" i="113" s="1"/>
  <c r="S1402" i="113" s="1"/>
  <c r="K936" i="113"/>
  <c r="M936" i="113" s="1"/>
  <c r="S936" i="113" s="1"/>
  <c r="K1264" i="113"/>
  <c r="M1264" i="113" s="1"/>
  <c r="S1264" i="113" s="1"/>
  <c r="K1563" i="113"/>
  <c r="M1563" i="113" s="1"/>
  <c r="S1563" i="113" s="1"/>
  <c r="K2135" i="113"/>
  <c r="M2135" i="113" s="1"/>
  <c r="S2135" i="113" s="1"/>
  <c r="K1261" i="113"/>
  <c r="M1261" i="113" s="1"/>
  <c r="S1261" i="113" s="1"/>
  <c r="K1276" i="113"/>
  <c r="M1276" i="113" s="1"/>
  <c r="S1276" i="113" s="1"/>
  <c r="K2293" i="113"/>
  <c r="M2293" i="113" s="1"/>
  <c r="S2293" i="113" s="1"/>
  <c r="K1442" i="113"/>
  <c r="M1442" i="113" s="1"/>
  <c r="S1442" i="113" s="1"/>
  <c r="K700" i="113"/>
  <c r="M700" i="113" s="1"/>
  <c r="S700" i="113" s="1"/>
  <c r="K96" i="113"/>
  <c r="M96" i="113" s="1"/>
  <c r="K749" i="113"/>
  <c r="M749" i="113" s="1"/>
  <c r="S749" i="113" s="1"/>
  <c r="K538" i="113"/>
  <c r="M538" i="113" s="1"/>
  <c r="S538" i="113" s="1"/>
  <c r="K290" i="113"/>
  <c r="M290" i="113" s="1"/>
  <c r="S290" i="113" s="1"/>
  <c r="K1775" i="113"/>
  <c r="M1775" i="113" s="1"/>
  <c r="S1775" i="113" s="1"/>
  <c r="K708" i="113"/>
  <c r="M708" i="113" s="1"/>
  <c r="S708" i="113" s="1"/>
  <c r="K418" i="113"/>
  <c r="M418" i="113" s="1"/>
  <c r="S418" i="113" s="1"/>
  <c r="K1070" i="113"/>
  <c r="M1070" i="113" s="1"/>
  <c r="S1070" i="113" s="1"/>
  <c r="K841" i="113"/>
  <c r="M841" i="113" s="1"/>
  <c r="S841" i="113" s="1"/>
  <c r="K605" i="113"/>
  <c r="M605" i="113" s="1"/>
  <c r="S605" i="113" s="1"/>
  <c r="K213" i="113"/>
  <c r="M213" i="113" s="1"/>
  <c r="K1499" i="113"/>
  <c r="M1499" i="113" s="1"/>
  <c r="S1499" i="113" s="1"/>
  <c r="K1298" i="113"/>
  <c r="M1298" i="113" s="1"/>
  <c r="S1298" i="113" s="1"/>
  <c r="K1085" i="113"/>
  <c r="M1085" i="113" s="1"/>
  <c r="O1085" i="113" s="1"/>
  <c r="K856" i="113"/>
  <c r="M856" i="113" s="1"/>
  <c r="O856" i="113" s="1"/>
  <c r="K621" i="113"/>
  <c r="M621" i="113" s="1"/>
  <c r="S621" i="113" s="1"/>
  <c r="K245" i="113"/>
  <c r="M245" i="113" s="1"/>
  <c r="K321" i="113"/>
  <c r="M321" i="113" s="1"/>
  <c r="S321" i="113" s="1"/>
  <c r="K117" i="113"/>
  <c r="M117" i="113" s="1"/>
  <c r="S117" i="113" s="1"/>
  <c r="K422" i="113"/>
  <c r="M422" i="113" s="1"/>
  <c r="O422" i="113" s="1"/>
  <c r="K219" i="113"/>
  <c r="M219" i="113" s="1"/>
  <c r="O219" i="113" s="1"/>
  <c r="K15" i="113"/>
  <c r="M15" i="113" s="1"/>
  <c r="K345" i="113"/>
  <c r="M345" i="113" s="1"/>
  <c r="S345" i="113" s="1"/>
  <c r="K142" i="113"/>
  <c r="M142" i="113" s="1"/>
  <c r="K503" i="113"/>
  <c r="M503" i="113" s="1"/>
  <c r="S503" i="113" s="1"/>
  <c r="K300" i="113"/>
  <c r="M300" i="113" s="1"/>
  <c r="S300" i="113" s="1"/>
  <c r="K97" i="113"/>
  <c r="M97" i="113" s="1"/>
  <c r="K457" i="113"/>
  <c r="M457" i="113" s="1"/>
  <c r="S457" i="113" s="1"/>
  <c r="K254" i="113"/>
  <c r="M254" i="113" s="1"/>
  <c r="S254" i="113" s="1"/>
  <c r="K50" i="113"/>
  <c r="M50" i="113" s="1"/>
  <c r="K1091" i="113"/>
  <c r="M1091" i="113" s="1"/>
  <c r="S1091" i="113" s="1"/>
  <c r="K889" i="113"/>
  <c r="M889" i="113" s="1"/>
  <c r="S889" i="113" s="1"/>
  <c r="K687" i="113"/>
  <c r="M687" i="113" s="1"/>
  <c r="S687" i="113" s="1"/>
  <c r="K484" i="113"/>
  <c r="M484" i="113" s="1"/>
  <c r="S484" i="113" s="1"/>
  <c r="K281" i="113"/>
  <c r="M281" i="113" s="1"/>
  <c r="S281" i="113" s="1"/>
  <c r="K77" i="113"/>
  <c r="M77" i="113" s="1"/>
  <c r="K874" i="113"/>
  <c r="M874" i="113" s="1"/>
  <c r="S874" i="113" s="1"/>
  <c r="K672" i="113"/>
  <c r="M672" i="113" s="1"/>
  <c r="S672" i="113" s="1"/>
  <c r="K468" i="113"/>
  <c r="M468" i="113" s="1"/>
  <c r="S468" i="113" s="1"/>
  <c r="K265" i="113"/>
  <c r="M265" i="113" s="1"/>
  <c r="S265" i="113" s="1"/>
  <c r="K61" i="113"/>
  <c r="M61" i="113" s="1"/>
  <c r="K395" i="113"/>
  <c r="M395" i="113" s="1"/>
  <c r="S395" i="113" s="1"/>
  <c r="K192" i="113"/>
  <c r="M192" i="113" s="1"/>
  <c r="O192" i="113" s="1"/>
  <c r="K94" i="113"/>
  <c r="M94" i="113" s="1"/>
  <c r="K2081" i="113"/>
  <c r="M2081" i="113" s="1"/>
  <c r="S2081" i="113" s="1"/>
  <c r="K2427" i="113"/>
  <c r="M2427" i="113" s="1"/>
  <c r="S2427" i="113" s="1"/>
  <c r="K676" i="113"/>
  <c r="M676" i="113" s="1"/>
  <c r="O676" i="113" s="1"/>
  <c r="K1636" i="113"/>
  <c r="M1636" i="113" s="1"/>
  <c r="S1636" i="113" s="1"/>
  <c r="K2392" i="113"/>
  <c r="M2392" i="113" s="1"/>
  <c r="S2392" i="113" s="1"/>
  <c r="K1214" i="113"/>
  <c r="M1214" i="113" s="1"/>
  <c r="S1214" i="113" s="1"/>
  <c r="K1823" i="113"/>
  <c r="M1823" i="113" s="1"/>
  <c r="S1823" i="113" s="1"/>
  <c r="K2117" i="113"/>
  <c r="M2117" i="113" s="1"/>
  <c r="S2117" i="113" s="1"/>
  <c r="K2359" i="113"/>
  <c r="M2359" i="113" s="1"/>
  <c r="S2359" i="113" s="1"/>
  <c r="K2596" i="113"/>
  <c r="M2596" i="113" s="1"/>
  <c r="S2596" i="113" s="1"/>
  <c r="K685" i="113"/>
  <c r="M685" i="113" s="1"/>
  <c r="S685" i="113" s="1"/>
  <c r="K1640" i="113"/>
  <c r="M1640" i="113" s="1"/>
  <c r="S1640" i="113" s="1"/>
  <c r="K2027" i="113"/>
  <c r="M2027" i="113" s="1"/>
  <c r="S2027" i="113" s="1"/>
  <c r="K2274" i="113"/>
  <c r="M2274" i="113" s="1"/>
  <c r="S2274" i="113" s="1"/>
  <c r="K2514" i="113"/>
  <c r="M2514" i="113" s="1"/>
  <c r="S2514" i="113" s="1"/>
  <c r="K1884" i="113"/>
  <c r="M1884" i="113" s="1"/>
  <c r="S1884" i="113" s="1"/>
  <c r="K1459" i="113"/>
  <c r="M1459" i="113" s="1"/>
  <c r="S1459" i="113" s="1"/>
  <c r="K1952" i="113"/>
  <c r="M1952" i="113" s="1"/>
  <c r="S1952" i="113" s="1"/>
  <c r="K2209" i="113"/>
  <c r="M2209" i="113" s="1"/>
  <c r="S2209" i="113" s="1"/>
  <c r="K2447" i="113"/>
  <c r="M2447" i="113" s="1"/>
  <c r="S2447" i="113" s="1"/>
  <c r="K180" i="113"/>
  <c r="M180" i="113" s="1"/>
  <c r="O180" i="113" s="1"/>
  <c r="K1223" i="113"/>
  <c r="M1223" i="113" s="1"/>
  <c r="S1223" i="113" s="1"/>
  <c r="K1827" i="113"/>
  <c r="M1827" i="113" s="1"/>
  <c r="S1827" i="113" s="1"/>
  <c r="K2124" i="113"/>
  <c r="M2124" i="113" s="1"/>
  <c r="S2124" i="113" s="1"/>
  <c r="K2362" i="113"/>
  <c r="M2362" i="113" s="1"/>
  <c r="S2362" i="113" s="1"/>
  <c r="K2601" i="113"/>
  <c r="M2601" i="113" s="1"/>
  <c r="S2601" i="113" s="1"/>
  <c r="K1103" i="113"/>
  <c r="M1103" i="113" s="1"/>
  <c r="S1103" i="113" s="1"/>
  <c r="K1466" i="113"/>
  <c r="M1466" i="113" s="1"/>
  <c r="S1466" i="113" s="1"/>
  <c r="K1954" i="113"/>
  <c r="M1954" i="113" s="1"/>
  <c r="S1954" i="113" s="1"/>
  <c r="K2211" i="113"/>
  <c r="M2211" i="113" s="1"/>
  <c r="S2211" i="113" s="1"/>
  <c r="K2449" i="113"/>
  <c r="M2449" i="113" s="1"/>
  <c r="S2449" i="113" s="1"/>
  <c r="K241" i="113"/>
  <c r="M241" i="113" s="1"/>
  <c r="S241" i="113" s="1"/>
  <c r="K1564" i="113"/>
  <c r="M1564" i="113" s="1"/>
  <c r="S1564" i="113" s="1"/>
  <c r="K1996" i="113"/>
  <c r="M1996" i="113" s="1"/>
  <c r="S1996" i="113" s="1"/>
  <c r="K2245" i="113"/>
  <c r="M2245" i="113" s="1"/>
  <c r="S2245" i="113" s="1"/>
  <c r="K2485" i="113"/>
  <c r="M2485" i="113" s="1"/>
  <c r="S2485" i="113" s="1"/>
  <c r="K1128" i="113"/>
  <c r="M1128" i="113" s="1"/>
  <c r="S1128" i="113" s="1"/>
  <c r="K1474" i="113"/>
  <c r="M1474" i="113" s="1"/>
  <c r="S1474" i="113" s="1"/>
  <c r="K1956" i="113"/>
  <c r="M1956" i="113" s="1"/>
  <c r="S1956" i="113" s="1"/>
  <c r="K2213" i="113"/>
  <c r="M2213" i="113" s="1"/>
  <c r="S2213" i="113" s="1"/>
  <c r="K2451" i="113"/>
  <c r="M2451" i="113" s="1"/>
  <c r="S2451" i="113" s="1"/>
  <c r="K306" i="113"/>
  <c r="M306" i="113" s="1"/>
  <c r="S306" i="113" s="1"/>
  <c r="K1097" i="113"/>
  <c r="M1097" i="113" s="1"/>
  <c r="S1097" i="113" s="1"/>
  <c r="K1770" i="113"/>
  <c r="M1770" i="113" s="1"/>
  <c r="K2092" i="113"/>
  <c r="M2092" i="113" s="1"/>
  <c r="S2092" i="113" s="1"/>
  <c r="K2333" i="113"/>
  <c r="M2333" i="113" s="1"/>
  <c r="K2572" i="113"/>
  <c r="M2572" i="113" s="1"/>
  <c r="S2572" i="113" s="1"/>
  <c r="K906" i="113"/>
  <c r="M906" i="113" s="1"/>
  <c r="S906" i="113" s="1"/>
  <c r="K2074" i="113"/>
  <c r="M2074" i="113" s="1"/>
  <c r="S2074" i="113" s="1"/>
  <c r="K2453" i="113"/>
  <c r="M2453" i="113" s="1"/>
  <c r="S2453" i="113" s="1"/>
  <c r="K1708" i="113"/>
  <c r="M1708" i="113" s="1"/>
  <c r="S1708" i="113" s="1"/>
  <c r="K67" i="113"/>
  <c r="M67" i="113" s="1"/>
  <c r="K2454" i="113"/>
  <c r="M2454" i="113" s="1"/>
  <c r="S2454" i="113" s="1"/>
  <c r="K2607" i="113"/>
  <c r="M2607" i="113" s="1"/>
  <c r="S2607" i="113" s="1"/>
  <c r="K2575" i="113"/>
  <c r="M2575" i="113" s="1"/>
  <c r="S2575" i="113" s="1"/>
  <c r="K2056" i="113"/>
  <c r="M2056" i="113" s="1"/>
  <c r="S2056" i="113" s="1"/>
  <c r="K2284" i="113"/>
  <c r="M2284" i="113" s="1"/>
  <c r="S2284" i="113" s="1"/>
  <c r="K2234" i="113"/>
  <c r="M2234" i="113" s="1"/>
  <c r="S2234" i="113" s="1"/>
  <c r="K1963" i="113"/>
  <c r="M1963" i="113" s="1"/>
  <c r="S1963" i="113" s="1"/>
  <c r="K2473" i="113"/>
  <c r="M2473" i="113" s="1"/>
  <c r="S2473" i="113" s="1"/>
  <c r="K2111" i="113"/>
  <c r="M2111" i="113" s="1"/>
  <c r="S2111" i="113" s="1"/>
  <c r="K2370" i="113"/>
  <c r="M2370" i="113" s="1"/>
  <c r="S2370" i="113" s="1"/>
  <c r="K2250" i="113"/>
  <c r="M2250" i="113" s="1"/>
  <c r="S2250" i="113" s="1"/>
  <c r="K2253" i="113"/>
  <c r="M2253" i="113" s="1"/>
  <c r="S2253" i="113" s="1"/>
  <c r="K1841" i="113"/>
  <c r="M1841" i="113" s="1"/>
  <c r="S1841" i="113" s="1"/>
  <c r="K1915" i="113"/>
  <c r="M1915" i="113" s="1"/>
  <c r="S1915" i="113" s="1"/>
  <c r="K1390" i="113"/>
  <c r="M1390" i="113" s="1"/>
  <c r="S1390" i="113" s="1"/>
  <c r="K1108" i="113"/>
  <c r="M1108" i="113" s="1"/>
  <c r="S1108" i="113" s="1"/>
  <c r="K2161" i="113"/>
  <c r="M2161" i="113" s="1"/>
  <c r="S2161" i="113" s="1"/>
  <c r="K380" i="113"/>
  <c r="M380" i="113" s="1"/>
  <c r="S380" i="113" s="1"/>
  <c r="K177" i="113"/>
  <c r="M177" i="113" s="1"/>
  <c r="K477" i="113"/>
  <c r="M477" i="113" s="1"/>
  <c r="S477" i="113" s="1"/>
  <c r="K2098" i="113"/>
  <c r="M2098" i="113" s="1"/>
  <c r="S2098" i="113" s="1"/>
  <c r="K2444" i="113"/>
  <c r="M2444" i="113" s="1"/>
  <c r="S2444" i="113" s="1"/>
  <c r="K804" i="113"/>
  <c r="M804" i="113" s="1"/>
  <c r="S804" i="113" s="1"/>
  <c r="K1677" i="113"/>
  <c r="M1677" i="113" s="1"/>
  <c r="S1677" i="113" s="1"/>
  <c r="K2461" i="113"/>
  <c r="M2461" i="113" s="1"/>
  <c r="S2461" i="113" s="1"/>
  <c r="K1265" i="113"/>
  <c r="M1265" i="113" s="1"/>
  <c r="S1265" i="113" s="1"/>
  <c r="K1850" i="113"/>
  <c r="M1850" i="113" s="1"/>
  <c r="S1850" i="113" s="1"/>
  <c r="K2138" i="113"/>
  <c r="M2138" i="113" s="1"/>
  <c r="S2138" i="113" s="1"/>
  <c r="K2376" i="113"/>
  <c r="M2376" i="113" s="1"/>
  <c r="S2376" i="113" s="1"/>
  <c r="K2613" i="113"/>
  <c r="M2613" i="113" s="1"/>
  <c r="S2613" i="113" s="1"/>
  <c r="K828" i="113"/>
  <c r="M828" i="113" s="1"/>
  <c r="S828" i="113" s="1"/>
  <c r="K1683" i="113"/>
  <c r="M1683" i="113" s="1"/>
  <c r="S1683" i="113" s="1"/>
  <c r="K2045" i="113"/>
  <c r="M2045" i="113" s="1"/>
  <c r="S2045" i="113" s="1"/>
  <c r="K2291" i="113"/>
  <c r="M2291" i="113" s="1"/>
  <c r="S2291" i="113" s="1"/>
  <c r="K2532" i="113"/>
  <c r="M2532" i="113" s="1"/>
  <c r="S2532" i="113" s="1"/>
  <c r="K2281" i="113"/>
  <c r="M2281" i="113" s="1"/>
  <c r="S2281" i="113" s="1"/>
  <c r="K1507" i="113"/>
  <c r="M1507" i="113" s="1"/>
  <c r="S1507" i="113" s="1"/>
  <c r="K1970" i="113"/>
  <c r="M1970" i="113" s="1"/>
  <c r="S1970" i="113" s="1"/>
  <c r="K2225" i="113"/>
  <c r="M2225" i="113" s="1"/>
  <c r="S2225" i="113" s="1"/>
  <c r="K2464" i="113"/>
  <c r="M2464" i="113" s="1"/>
  <c r="S2464" i="113" s="1"/>
  <c r="K597" i="113"/>
  <c r="M597" i="113" s="1"/>
  <c r="S597" i="113" s="1"/>
  <c r="K1274" i="113"/>
  <c r="M1274" i="113" s="1"/>
  <c r="S1274" i="113" s="1"/>
  <c r="K1854" i="113"/>
  <c r="M1854" i="113" s="1"/>
  <c r="S1854" i="113" s="1"/>
  <c r="K761" i="113"/>
  <c r="M761" i="113" s="1"/>
  <c r="S761" i="113" s="1"/>
  <c r="K896" i="113"/>
  <c r="M896" i="113" s="1"/>
  <c r="S896" i="113" s="1"/>
  <c r="K1838" i="113"/>
  <c r="M1838" i="113" s="1"/>
  <c r="S1838" i="113" s="1"/>
  <c r="K2458" i="113"/>
  <c r="M2458" i="113" s="1"/>
  <c r="S2458" i="113" s="1"/>
  <c r="K1812" i="113"/>
  <c r="M1812" i="113" s="1"/>
  <c r="S1812" i="113" s="1"/>
  <c r="K603" i="113"/>
  <c r="M603" i="113" s="1"/>
  <c r="S603" i="113" s="1"/>
  <c r="K1487" i="113"/>
  <c r="M1487" i="113" s="1"/>
  <c r="S1487" i="113" s="1"/>
  <c r="K1396" i="113"/>
  <c r="M1396" i="113" s="1"/>
  <c r="O1396" i="113" s="1"/>
  <c r="K2437" i="113"/>
  <c r="M2437" i="113" s="1"/>
  <c r="S2437" i="113" s="1"/>
  <c r="K1895" i="113"/>
  <c r="M1895" i="113" s="1"/>
  <c r="S1895" i="113" s="1"/>
  <c r="K1964" i="113"/>
  <c r="M1964" i="113" s="1"/>
  <c r="S1964" i="113" s="1"/>
  <c r="K743" i="113"/>
  <c r="M743" i="113" s="1"/>
  <c r="S743" i="113" s="1"/>
  <c r="K997" i="113"/>
  <c r="M997" i="113" s="1"/>
  <c r="S997" i="113" s="1"/>
  <c r="K793" i="113"/>
  <c r="M793" i="113" s="1"/>
  <c r="S793" i="113" s="1"/>
  <c r="K1922" i="113"/>
  <c r="M1922" i="113" s="1"/>
  <c r="S1922" i="113" s="1"/>
  <c r="K2286" i="113"/>
  <c r="M2286" i="113" s="1"/>
  <c r="S2286" i="113" s="1"/>
  <c r="K2087" i="113"/>
  <c r="M2087" i="113" s="1"/>
  <c r="S2087" i="113" s="1"/>
  <c r="K1036" i="113"/>
  <c r="M1036" i="113" s="1"/>
  <c r="S1036" i="113" s="1"/>
  <c r="K1891" i="113"/>
  <c r="M1891" i="113" s="1"/>
  <c r="S1891" i="113" s="1"/>
  <c r="K1593" i="113"/>
  <c r="M1593" i="113" s="1"/>
  <c r="S1593" i="113" s="1"/>
  <c r="K2586" i="113"/>
  <c r="M2586" i="113" s="1"/>
  <c r="S2586" i="113" s="1"/>
  <c r="K979" i="113"/>
  <c r="M979" i="113" s="1"/>
  <c r="S979" i="113" s="1"/>
  <c r="K1739" i="113"/>
  <c r="M1739" i="113" s="1"/>
  <c r="S1739" i="113" s="1"/>
  <c r="K2551" i="113"/>
  <c r="M2551" i="113" s="1"/>
  <c r="S2551" i="113" s="1"/>
  <c r="K2038" i="113"/>
  <c r="M2038" i="113" s="1"/>
  <c r="S2038" i="113" s="1"/>
  <c r="K2622" i="113"/>
  <c r="M2622" i="113" s="1"/>
  <c r="S2622" i="113" s="1"/>
  <c r="K2184" i="113"/>
  <c r="M2184" i="113" s="1"/>
  <c r="S2184" i="113" s="1"/>
  <c r="K2456" i="113"/>
  <c r="M2456" i="113" s="1"/>
  <c r="S2456" i="113" s="1"/>
  <c r="K2539" i="113"/>
  <c r="M2539" i="113" s="1"/>
  <c r="S2539" i="113" s="1"/>
  <c r="K2165" i="113"/>
  <c r="M2165" i="113" s="1"/>
  <c r="S2165" i="113" s="1"/>
  <c r="K1256" i="113"/>
  <c r="M1256" i="113" s="1"/>
  <c r="S1256" i="113" s="1"/>
  <c r="K2168" i="113"/>
  <c r="M2168" i="113" s="1"/>
  <c r="S2168" i="113" s="1"/>
  <c r="K1965" i="113"/>
  <c r="M1965" i="113" s="1"/>
  <c r="S1965" i="113" s="1"/>
  <c r="K2055" i="113"/>
  <c r="M2055" i="113" s="1"/>
  <c r="S2055" i="113" s="1"/>
  <c r="K2130" i="113"/>
  <c r="M2130" i="113" s="1"/>
  <c r="S2130" i="113" s="1"/>
  <c r="K2131" i="113"/>
  <c r="M2131" i="113" s="1"/>
  <c r="S2131" i="113" s="1"/>
  <c r="K1894" i="113"/>
  <c r="M1894" i="113" s="1"/>
  <c r="S1894" i="113" s="1"/>
  <c r="K1347" i="113"/>
  <c r="M1347" i="113" s="1"/>
  <c r="S1347" i="113" s="1"/>
  <c r="K1482" i="113"/>
  <c r="M1482" i="113" s="1"/>
  <c r="S1482" i="113" s="1"/>
  <c r="K1339" i="113"/>
  <c r="M1339" i="113" s="1"/>
  <c r="S1339" i="113" s="1"/>
  <c r="K2175" i="113"/>
  <c r="M2175" i="113" s="1"/>
  <c r="S2175" i="113" s="1"/>
  <c r="K1695" i="113"/>
  <c r="M1695" i="113" s="1"/>
  <c r="S1695" i="113" s="1"/>
  <c r="K1997" i="113"/>
  <c r="M1997" i="113" s="1"/>
  <c r="S1997" i="113" s="1"/>
  <c r="K1744" i="113"/>
  <c r="M1744" i="113" s="1"/>
  <c r="S1744" i="113" s="1"/>
  <c r="K2423" i="113"/>
  <c r="M2423" i="113" s="1"/>
  <c r="S2423" i="113" s="1"/>
  <c r="K1893" i="113"/>
  <c r="M1893" i="113" s="1"/>
  <c r="S1893" i="113" s="1"/>
  <c r="K1808" i="113"/>
  <c r="M1808" i="113" s="1"/>
  <c r="S1808" i="113" s="1"/>
  <c r="K1729" i="113"/>
  <c r="M1729" i="113" s="1"/>
  <c r="S1729" i="113" s="1"/>
  <c r="K1840" i="113"/>
  <c r="M1840" i="113" s="1"/>
  <c r="S1840" i="113" s="1"/>
  <c r="K583" i="113"/>
  <c r="M583" i="113" s="1"/>
  <c r="S583" i="113" s="1"/>
  <c r="K1574" i="113"/>
  <c r="M1574" i="113" s="1"/>
  <c r="S1574" i="113" s="1"/>
  <c r="K1624" i="113"/>
  <c r="M1624" i="113" s="1"/>
  <c r="S1624" i="113" s="1"/>
  <c r="K1508" i="113"/>
  <c r="M1508" i="113" s="1"/>
  <c r="S1508" i="113" s="1"/>
  <c r="K1863" i="113"/>
  <c r="M1863" i="113" s="1"/>
  <c r="S1863" i="113" s="1"/>
  <c r="K838" i="113"/>
  <c r="M838" i="113" s="1"/>
  <c r="S838" i="113" s="1"/>
  <c r="K2141" i="113"/>
  <c r="M2141" i="113" s="1"/>
  <c r="S2141" i="113" s="1"/>
  <c r="K2379" i="113"/>
  <c r="M2379" i="113" s="1"/>
  <c r="S2379" i="113" s="1"/>
  <c r="K2618" i="113"/>
  <c r="M2618" i="113" s="1"/>
  <c r="S2618" i="113" s="1"/>
  <c r="K1514" i="113"/>
  <c r="M1514" i="113" s="1"/>
  <c r="S1514" i="113" s="1"/>
  <c r="K1972" i="113"/>
  <c r="M1972" i="113" s="1"/>
  <c r="S1972" i="113" s="1"/>
  <c r="K2227" i="113"/>
  <c r="M2227" i="113" s="1"/>
  <c r="S2227" i="113" s="1"/>
  <c r="K2466" i="113"/>
  <c r="M2466" i="113" s="1"/>
  <c r="S2466" i="113" s="1"/>
  <c r="K591" i="113"/>
  <c r="M591" i="113" s="1"/>
  <c r="S591" i="113" s="1"/>
  <c r="K1609" i="113"/>
  <c r="M1609" i="113" s="1"/>
  <c r="S1609" i="113" s="1"/>
  <c r="K2014" i="113"/>
  <c r="M2014" i="113" s="1"/>
  <c r="S2014" i="113" s="1"/>
  <c r="K2262" i="113"/>
  <c r="M2262" i="113" s="1"/>
  <c r="S2262" i="113" s="1"/>
  <c r="K2503" i="113"/>
  <c r="M2503" i="113" s="1"/>
  <c r="S2503" i="113" s="1"/>
  <c r="K1622" i="113"/>
  <c r="M1622" i="113" s="1"/>
  <c r="S1622" i="113" s="1"/>
  <c r="K1979" i="113"/>
  <c r="M1979" i="113" s="1"/>
  <c r="K2230" i="113"/>
  <c r="M2230" i="113" s="1"/>
  <c r="S2230" i="113" s="1"/>
  <c r="K2468" i="113"/>
  <c r="M2468" i="113" s="1"/>
  <c r="S2468" i="113" s="1"/>
  <c r="K697" i="113"/>
  <c r="M697" i="113" s="1"/>
  <c r="S697" i="113" s="1"/>
  <c r="K2110" i="113"/>
  <c r="M2110" i="113" s="1"/>
  <c r="S2110" i="113" s="1"/>
  <c r="K2349" i="113"/>
  <c r="M2349" i="113" s="1"/>
  <c r="S2349" i="113" s="1"/>
  <c r="K2589" i="113"/>
  <c r="M2589" i="113" s="1"/>
  <c r="S2589" i="113" s="1"/>
  <c r="K1012" i="113"/>
  <c r="M1012" i="113" s="1"/>
  <c r="S1012" i="113" s="1"/>
  <c r="K2132" i="113"/>
  <c r="M2132" i="113" s="1"/>
  <c r="S2132" i="113" s="1"/>
  <c r="K1938" i="113"/>
  <c r="M1938" i="113" s="1"/>
  <c r="S1938" i="113" s="1"/>
  <c r="K441" i="113"/>
  <c r="M441" i="113" s="1"/>
  <c r="S441" i="113" s="1"/>
  <c r="K2508" i="113"/>
  <c r="M2508" i="113" s="1"/>
  <c r="S2508" i="113" s="1"/>
  <c r="K1719" i="113"/>
  <c r="M1719" i="113" s="1"/>
  <c r="S1719" i="113" s="1"/>
  <c r="K2627" i="113"/>
  <c r="M2627" i="113" s="1"/>
  <c r="S2627" i="113" s="1"/>
  <c r="K2356" i="113"/>
  <c r="M2356" i="113" s="1"/>
  <c r="S2356" i="113" s="1"/>
  <c r="K2336" i="113"/>
  <c r="M2336" i="113" s="1"/>
  <c r="S2336" i="113" s="1"/>
  <c r="K2355" i="113"/>
  <c r="M2355" i="113" s="1"/>
  <c r="S2355" i="113" s="1"/>
  <c r="K2039" i="113"/>
  <c r="M2039" i="113" s="1"/>
  <c r="S2039" i="113" s="1"/>
  <c r="K2644" i="113"/>
  <c r="M2644" i="113" s="1"/>
  <c r="S2644" i="113" s="1"/>
  <c r="K2167" i="113"/>
  <c r="M2167" i="113" s="1"/>
  <c r="S2167" i="113" s="1"/>
  <c r="K2418" i="113"/>
  <c r="M2418" i="113" s="1"/>
  <c r="S2418" i="113" s="1"/>
  <c r="K2303" i="113"/>
  <c r="M2303" i="113" s="1"/>
  <c r="S2303" i="113" s="1"/>
  <c r="K2317" i="113"/>
  <c r="M2317" i="113" s="1"/>
  <c r="S2317" i="113" s="1"/>
  <c r="K1340" i="113"/>
  <c r="M1340" i="113" s="1"/>
  <c r="S1340" i="113" s="1"/>
  <c r="K2474" i="113"/>
  <c r="M2474" i="113" s="1"/>
  <c r="S2474" i="113" s="1"/>
  <c r="K1349" i="113"/>
  <c r="M1349" i="113" s="1"/>
  <c r="S1349" i="113" s="1"/>
  <c r="K2148" i="113"/>
  <c r="M2148" i="113" s="1"/>
  <c r="S2148" i="113" s="1"/>
  <c r="K2367" i="113"/>
  <c r="M2367" i="113" s="1"/>
  <c r="S2367" i="113" s="1"/>
  <c r="K2246" i="113"/>
  <c r="M2246" i="113" s="1"/>
  <c r="S2246" i="113" s="1"/>
  <c r="K2487" i="113"/>
  <c r="M2487" i="113" s="1"/>
  <c r="S2487" i="113" s="1"/>
  <c r="K1149" i="113"/>
  <c r="M1149" i="113" s="1"/>
  <c r="S1149" i="113" s="1"/>
  <c r="K1240" i="113"/>
  <c r="M1240" i="113" s="1"/>
  <c r="S1240" i="113" s="1"/>
  <c r="K1837" i="113"/>
  <c r="M1837" i="113" s="1"/>
  <c r="S1837" i="113" s="1"/>
  <c r="K2128" i="113"/>
  <c r="M2128" i="113" s="1"/>
  <c r="S2128" i="113" s="1"/>
  <c r="K2606" i="113"/>
  <c r="M2606" i="113" s="1"/>
  <c r="S2606" i="113" s="1"/>
  <c r="K421" i="113"/>
  <c r="M421" i="113" s="1"/>
  <c r="S421" i="113" s="1"/>
  <c r="K2199" i="113"/>
  <c r="M2199" i="113" s="1"/>
  <c r="S2199" i="113" s="1"/>
  <c r="K1670" i="113"/>
  <c r="M1670" i="113" s="1"/>
  <c r="S1670" i="113" s="1"/>
  <c r="K2021" i="113"/>
  <c r="M2021" i="113" s="1"/>
  <c r="O2021" i="113" s="1"/>
  <c r="K864" i="113"/>
  <c r="M864" i="113" s="1"/>
  <c r="S864" i="113" s="1"/>
  <c r="K2574" i="113"/>
  <c r="M2574" i="113" s="1"/>
  <c r="S2574" i="113" s="1"/>
  <c r="K1119" i="113"/>
  <c r="M1119" i="113" s="1"/>
  <c r="S1119" i="113" s="1"/>
  <c r="K1821" i="113"/>
  <c r="M1821" i="113" s="1"/>
  <c r="S1821" i="113" s="1"/>
  <c r="K2003" i="113"/>
  <c r="M2003" i="113" s="1"/>
  <c r="S2003" i="113" s="1"/>
  <c r="K2404" i="113"/>
  <c r="M2404" i="113" s="1"/>
  <c r="S2404" i="113" s="1"/>
  <c r="K2656" i="113"/>
  <c r="M2656" i="113" s="1"/>
  <c r="S2656" i="113" s="1"/>
  <c r="K2096" i="113"/>
  <c r="M2096" i="113" s="1"/>
  <c r="S2096" i="113" s="1"/>
  <c r="K1440" i="113"/>
  <c r="M1440" i="113" s="1"/>
  <c r="S1440" i="113" s="1"/>
  <c r="K2371" i="113"/>
  <c r="M2371" i="113" s="1"/>
  <c r="S2371" i="113" s="1"/>
  <c r="K2372" i="113"/>
  <c r="M2372" i="113" s="1"/>
  <c r="S2372" i="113" s="1"/>
  <c r="K1779" i="113"/>
  <c r="M1779" i="113" s="1"/>
  <c r="S1779" i="113" s="1"/>
  <c r="K1866" i="113"/>
  <c r="M1866" i="113" s="1"/>
  <c r="S1866" i="113" s="1"/>
  <c r="K1296" i="113"/>
  <c r="M1296" i="113" s="1"/>
  <c r="S1296" i="113" s="1"/>
  <c r="K1700" i="113"/>
  <c r="M1700" i="113" s="1"/>
  <c r="S1700" i="113" s="1"/>
  <c r="K1778" i="113"/>
  <c r="M1778" i="113" s="1"/>
  <c r="S1778" i="113" s="1"/>
  <c r="K85" i="113"/>
  <c r="M85" i="113" s="1"/>
  <c r="S85" i="113" s="1"/>
  <c r="K1741" i="113"/>
  <c r="M1741" i="113" s="1"/>
  <c r="S1741" i="113" s="1"/>
  <c r="K1490" i="113"/>
  <c r="M1490" i="113" s="1"/>
  <c r="S1490" i="113" s="1"/>
  <c r="K2232" i="113"/>
  <c r="M2232" i="113" s="1"/>
  <c r="S2232" i="113" s="1"/>
  <c r="K2626" i="113"/>
  <c r="M2626" i="113" s="1"/>
  <c r="S2626" i="113" s="1"/>
  <c r="K1543" i="113"/>
  <c r="M1543" i="113" s="1"/>
  <c r="O1543" i="113" s="1"/>
  <c r="K1908" i="113"/>
  <c r="M1908" i="113" s="1"/>
  <c r="S1908" i="113" s="1"/>
  <c r="K2174" i="113"/>
  <c r="M2174" i="113" s="1"/>
  <c r="S2174" i="113" s="1"/>
  <c r="K2415" i="113"/>
  <c r="M2415" i="113" s="1"/>
  <c r="S2415" i="113" s="1"/>
  <c r="K2651" i="113"/>
  <c r="M2651" i="113" s="1"/>
  <c r="S2651" i="113" s="1"/>
  <c r="K1608" i="113"/>
  <c r="M1608" i="113" s="1"/>
  <c r="S1608" i="113" s="1"/>
  <c r="K2013" i="113"/>
  <c r="M2013" i="113" s="1"/>
  <c r="S2013" i="113" s="1"/>
  <c r="K2261" i="113"/>
  <c r="M2261" i="113" s="1"/>
  <c r="S2261" i="113" s="1"/>
  <c r="K2502" i="113"/>
  <c r="M2502" i="113" s="1"/>
  <c r="S2502" i="113" s="1"/>
  <c r="K871" i="113"/>
  <c r="M871" i="113" s="1"/>
  <c r="O871" i="113" s="1"/>
  <c r="K1693" i="113"/>
  <c r="M1693" i="113" s="1"/>
  <c r="S1693" i="113" s="1"/>
  <c r="K2052" i="113"/>
  <c r="M2052" i="113" s="1"/>
  <c r="S2052" i="113" s="1"/>
  <c r="K2297" i="113"/>
  <c r="M2297" i="113" s="1"/>
  <c r="S2297" i="113" s="1"/>
  <c r="K2536" i="113"/>
  <c r="M2536" i="113" s="1"/>
  <c r="S2536" i="113" s="1"/>
  <c r="K1614" i="113"/>
  <c r="M1614" i="113" s="1"/>
  <c r="S1614" i="113" s="1"/>
  <c r="K2015" i="113"/>
  <c r="M2015" i="113" s="1"/>
  <c r="S2015" i="113" s="1"/>
  <c r="K2263" i="113"/>
  <c r="M2263" i="113" s="1"/>
  <c r="S2263" i="113" s="1"/>
  <c r="K2504" i="113"/>
  <c r="M2504" i="113" s="1"/>
  <c r="S2504" i="113" s="1"/>
  <c r="K1645" i="113"/>
  <c r="M1645" i="113" s="1"/>
  <c r="S1645" i="113" s="1"/>
  <c r="K2145" i="113"/>
  <c r="M2145" i="113" s="1"/>
  <c r="S2145" i="113" s="1"/>
  <c r="K2386" i="113"/>
  <c r="M2386" i="113" s="1"/>
  <c r="S2386" i="113" s="1"/>
  <c r="K641" i="113"/>
  <c r="M641" i="113" s="1"/>
  <c r="S641" i="113" s="1"/>
  <c r="K2254" i="113"/>
  <c r="M2254" i="113" s="1"/>
  <c r="S2254" i="113" s="1"/>
  <c r="K2079" i="113"/>
  <c r="M2079" i="113" s="1"/>
  <c r="S2079" i="113" s="1"/>
  <c r="K1306" i="113"/>
  <c r="M1306" i="113" s="1"/>
  <c r="S1306" i="113" s="1"/>
  <c r="K1836" i="113"/>
  <c r="M1836" i="113" s="1"/>
  <c r="O1836" i="113" s="1"/>
  <c r="K1975" i="113"/>
  <c r="M1975" i="113" s="1"/>
  <c r="S1975" i="113" s="1"/>
  <c r="K2166" i="113"/>
  <c r="M2166" i="113" s="1"/>
  <c r="S2166" i="113" s="1"/>
  <c r="K2114" i="113"/>
  <c r="M2114" i="113" s="1"/>
  <c r="S2114" i="113" s="1"/>
  <c r="K2424" i="113"/>
  <c r="M2424" i="113" s="1"/>
  <c r="S2424" i="113" s="1"/>
  <c r="K1249" i="113"/>
  <c r="M1249" i="113" s="1"/>
  <c r="S1249" i="113" s="1"/>
  <c r="K1620" i="113"/>
  <c r="M1620" i="113" s="1"/>
  <c r="S1620" i="113" s="1"/>
  <c r="K1284" i="113"/>
  <c r="M1284" i="113" s="1"/>
  <c r="S1284" i="113" s="1"/>
  <c r="K1772" i="113"/>
  <c r="M1772" i="113" s="1"/>
  <c r="S1772" i="113" s="1"/>
  <c r="K2069" i="113"/>
  <c r="M2069" i="113" s="1"/>
  <c r="S2069" i="113" s="1"/>
  <c r="K2314" i="113"/>
  <c r="M2314" i="113" s="1"/>
  <c r="S2314" i="113" s="1"/>
  <c r="K2552" i="113"/>
  <c r="M2552" i="113" s="1"/>
  <c r="S2552" i="113" s="1"/>
  <c r="K1656" i="113"/>
  <c r="M1656" i="113" s="1"/>
  <c r="S1656" i="113" s="1"/>
  <c r="K2035" i="113"/>
  <c r="M2035" i="113" s="1"/>
  <c r="S2035" i="113" s="1"/>
  <c r="K2282" i="113"/>
  <c r="M2282" i="113" s="1"/>
  <c r="S2282" i="113" s="1"/>
  <c r="K2520" i="113"/>
  <c r="M2520" i="113" s="1"/>
  <c r="S2520" i="113" s="1"/>
  <c r="K1336" i="113"/>
  <c r="M1336" i="113" s="1"/>
  <c r="S1336" i="113" s="1"/>
  <c r="K1886" i="113"/>
  <c r="M1886" i="113" s="1"/>
  <c r="S1886" i="113" s="1"/>
  <c r="K2163" i="113"/>
  <c r="M2163" i="113" s="1"/>
  <c r="S2163" i="113" s="1"/>
  <c r="K2403" i="113"/>
  <c r="M2403" i="113" s="1"/>
  <c r="S2403" i="113" s="1"/>
  <c r="K2639" i="113"/>
  <c r="M2639" i="113" s="1"/>
  <c r="S2639" i="113" s="1"/>
  <c r="K785" i="113"/>
  <c r="M785" i="113" s="1"/>
  <c r="S785" i="113" s="1"/>
  <c r="K2319" i="113"/>
  <c r="M2319" i="113" s="1"/>
  <c r="S2319" i="113" s="1"/>
  <c r="K2020" i="113"/>
  <c r="M2020" i="113" s="1"/>
  <c r="S2020" i="113" s="1"/>
  <c r="K2228" i="113"/>
  <c r="M2228" i="113" s="1"/>
  <c r="S2228" i="113" s="1"/>
  <c r="K2675" i="113"/>
  <c r="M2675" i="113" s="1"/>
  <c r="S2675" i="113" s="1"/>
  <c r="K2522" i="113"/>
  <c r="M2522" i="113" s="1"/>
  <c r="S2522" i="113" s="1"/>
  <c r="K2540" i="113"/>
  <c r="M2540" i="113" s="1"/>
  <c r="S2540" i="113" s="1"/>
  <c r="K2183" i="113"/>
  <c r="M2183" i="113" s="1"/>
  <c r="S2183" i="113" s="1"/>
  <c r="K2350" i="113"/>
  <c r="M2350" i="113" s="1"/>
  <c r="S2350" i="113" s="1"/>
  <c r="K1981" i="113"/>
  <c r="M1981" i="113" s="1"/>
  <c r="S1981" i="113" s="1"/>
  <c r="K2490" i="113"/>
  <c r="M2490" i="113" s="1"/>
  <c r="S2490" i="113" s="1"/>
  <c r="K2491" i="113"/>
  <c r="M2491" i="113" s="1"/>
  <c r="S2491" i="113" s="1"/>
  <c r="K1702" i="113"/>
  <c r="M1702" i="113" s="1"/>
  <c r="S1702" i="113" s="1"/>
  <c r="K1811" i="113"/>
  <c r="M1811" i="113" s="1"/>
  <c r="S1811" i="113" s="1"/>
  <c r="K1184" i="113"/>
  <c r="M1184" i="113" s="1"/>
  <c r="S1184" i="113" s="1"/>
  <c r="K1524" i="113"/>
  <c r="M1524" i="113" s="1"/>
  <c r="S1524" i="113" s="1"/>
  <c r="K625" i="113"/>
  <c r="M625" i="113" s="1"/>
  <c r="O625" i="113" s="1"/>
  <c r="K1731" i="113"/>
  <c r="M1731" i="113" s="1"/>
  <c r="S1731" i="113" s="1"/>
  <c r="K1368" i="113"/>
  <c r="M1368" i="113" s="1"/>
  <c r="S1368" i="113" s="1"/>
  <c r="K2218" i="113"/>
  <c r="M2218" i="113" s="1"/>
  <c r="S2218" i="113" s="1"/>
  <c r="K2331" i="113"/>
  <c r="M2331" i="113" s="1"/>
  <c r="S2331" i="113" s="1"/>
  <c r="K2569" i="113"/>
  <c r="M2569" i="113" s="1"/>
  <c r="S2569" i="113" s="1"/>
  <c r="K879" i="113"/>
  <c r="M879" i="113" s="1"/>
  <c r="K2053" i="113"/>
  <c r="M2053" i="113" s="1"/>
  <c r="S2053" i="113" s="1"/>
  <c r="K2298" i="113"/>
  <c r="M2298" i="113" s="1"/>
  <c r="S2298" i="113" s="1"/>
  <c r="K2537" i="113"/>
  <c r="M2537" i="113" s="1"/>
  <c r="S2537" i="113" s="1"/>
  <c r="K2382" i="113"/>
  <c r="M2382" i="113" s="1"/>
  <c r="S2382" i="113" s="1"/>
  <c r="K1382" i="113"/>
  <c r="M1382" i="113" s="1"/>
  <c r="S1382" i="113" s="1"/>
  <c r="K1913" i="113"/>
  <c r="M1913" i="113" s="1"/>
  <c r="S1913" i="113" s="1"/>
  <c r="K2181" i="113"/>
  <c r="M2181" i="113" s="1"/>
  <c r="S2181" i="113" s="1"/>
  <c r="K2420" i="113"/>
  <c r="M2420" i="113" s="1"/>
  <c r="S2420" i="113" s="1"/>
  <c r="K2655" i="113"/>
  <c r="M2655" i="113" s="1"/>
  <c r="S2655" i="113" s="1"/>
  <c r="K2373" i="113"/>
  <c r="M2373" i="113" s="1"/>
  <c r="S2373" i="113" s="1"/>
  <c r="K2078" i="113"/>
  <c r="M2078" i="113" s="1"/>
  <c r="S2078" i="113" s="1"/>
  <c r="K2201" i="113"/>
  <c r="M2201" i="113" s="1"/>
  <c r="S2201" i="113" s="1"/>
  <c r="K1982" i="113"/>
  <c r="M1982" i="113" s="1"/>
  <c r="S1982" i="113" s="1"/>
  <c r="K2023" i="113"/>
  <c r="M2023" i="113" s="1"/>
  <c r="S2023" i="113" s="1"/>
  <c r="K2556" i="113"/>
  <c r="M2556" i="113" s="1"/>
  <c r="S2556" i="113" s="1"/>
  <c r="K2100" i="113"/>
  <c r="M2100" i="113" s="1"/>
  <c r="S2100" i="113" s="1"/>
  <c r="K2576" i="113"/>
  <c r="M2576" i="113" s="1"/>
  <c r="S2576" i="113" s="1"/>
  <c r="K1999" i="113"/>
  <c r="M1999" i="113" s="1"/>
  <c r="S1999" i="113" s="1"/>
  <c r="K2285" i="113"/>
  <c r="M2285" i="113" s="1"/>
  <c r="S2285" i="113" s="1"/>
  <c r="K2236" i="113"/>
  <c r="M2236" i="113" s="1"/>
  <c r="S2236" i="113" s="1"/>
  <c r="K2406" i="113"/>
  <c r="M2406" i="113" s="1"/>
  <c r="S2406" i="113" s="1"/>
  <c r="K2543" i="113"/>
  <c r="M2543" i="113" s="1"/>
  <c r="S2543" i="113" s="1"/>
  <c r="K2555" i="113"/>
  <c r="M2555" i="113" s="1"/>
  <c r="S2555" i="113" s="1"/>
  <c r="K1669" i="113"/>
  <c r="M1669" i="113" s="1"/>
  <c r="S1669" i="113" s="1"/>
  <c r="K1776" i="113"/>
  <c r="M1776" i="113" s="1"/>
  <c r="S1776" i="113" s="1"/>
  <c r="K1113" i="113"/>
  <c r="M1113" i="113" s="1"/>
  <c r="S1113" i="113" s="1"/>
  <c r="K1387" i="113"/>
  <c r="M1387" i="113" s="1"/>
  <c r="S1387" i="113" s="1"/>
  <c r="K419" i="113"/>
  <c r="M419" i="113" s="1"/>
  <c r="S419" i="113" s="1"/>
  <c r="K1430" i="113"/>
  <c r="M1430" i="113" s="1"/>
  <c r="S1430" i="113" s="1"/>
  <c r="K1290" i="113"/>
  <c r="M1290" i="113" s="1"/>
  <c r="S1290" i="113" s="1"/>
  <c r="K1177" i="113"/>
  <c r="M1177" i="113" s="1"/>
  <c r="S1177" i="113" s="1"/>
  <c r="K1942" i="113"/>
  <c r="M1942" i="113" s="1"/>
  <c r="S1942" i="113" s="1"/>
  <c r="K2057" i="113"/>
  <c r="M2057" i="113" s="1"/>
  <c r="S2057" i="113" s="1"/>
  <c r="K2311" i="113"/>
  <c r="M2311" i="113" s="1"/>
  <c r="S2311" i="113" s="1"/>
  <c r="K2549" i="113"/>
  <c r="M2549" i="113" s="1"/>
  <c r="S2549" i="113" s="1"/>
  <c r="K2657" i="113"/>
  <c r="M2657" i="113" s="1"/>
  <c r="O2657" i="113" s="1"/>
  <c r="K1971" i="113"/>
  <c r="M1971" i="113" s="1"/>
  <c r="S1971" i="113" s="1"/>
  <c r="K2226" i="113"/>
  <c r="M2226" i="113" s="1"/>
  <c r="S2226" i="113" s="1"/>
  <c r="K2465" i="113"/>
  <c r="M2465" i="113" s="1"/>
  <c r="S2465" i="113" s="1"/>
  <c r="K615" i="113"/>
  <c r="M615" i="113" s="1"/>
  <c r="S615" i="113" s="1"/>
  <c r="K1726" i="113"/>
  <c r="M1726" i="113" s="1"/>
  <c r="S1726" i="113" s="1"/>
  <c r="K2068" i="113"/>
  <c r="M2068" i="113" s="1"/>
  <c r="S2068" i="113" s="1"/>
  <c r="K2313" i="113"/>
  <c r="M2313" i="113" s="1"/>
  <c r="S2313" i="113" s="1"/>
  <c r="K1162" i="113"/>
  <c r="M1162" i="113" s="1"/>
  <c r="S1162" i="113" s="1"/>
  <c r="K1802" i="113"/>
  <c r="M1802" i="113" s="1"/>
  <c r="S1802" i="113" s="1"/>
  <c r="K2108" i="113"/>
  <c r="M2108" i="113" s="1"/>
  <c r="S2108" i="113" s="1"/>
  <c r="K2347" i="113"/>
  <c r="M2347" i="113" s="1"/>
  <c r="S2347" i="113" s="1"/>
  <c r="K2070" i="113"/>
  <c r="M2070" i="113" s="1"/>
  <c r="S2070" i="113" s="1"/>
  <c r="K2315" i="113"/>
  <c r="M2315" i="113" s="1"/>
  <c r="S2315" i="113" s="1"/>
  <c r="K2553" i="113"/>
  <c r="M2553" i="113" s="1"/>
  <c r="S2553" i="113" s="1"/>
  <c r="K729" i="113"/>
  <c r="M729" i="113" s="1"/>
  <c r="S729" i="113" s="1"/>
  <c r="K1937" i="113"/>
  <c r="M1937" i="113" s="1"/>
  <c r="S1937" i="113" s="1"/>
  <c r="K2197" i="113"/>
  <c r="M2197" i="113" s="1"/>
  <c r="S2197" i="113" s="1"/>
  <c r="K2436" i="113"/>
  <c r="M2436" i="113" s="1"/>
  <c r="S2436" i="113" s="1"/>
  <c r="K2673" i="113"/>
  <c r="M2673" i="113" s="1"/>
  <c r="S2673" i="113" s="1"/>
  <c r="K1028" i="113"/>
  <c r="M1028" i="113" s="1"/>
  <c r="S1028" i="113" s="1"/>
  <c r="K2438" i="113"/>
  <c r="M2438" i="113" s="1"/>
  <c r="S2438" i="113" s="1"/>
  <c r="K2146" i="113"/>
  <c r="M2146" i="113" s="1"/>
  <c r="S2146" i="113" s="1"/>
  <c r="K2268" i="113"/>
  <c r="M2268" i="113" s="1"/>
  <c r="S2268" i="113" s="1"/>
  <c r="K1939" i="113"/>
  <c r="M1939" i="113" s="1"/>
  <c r="S1939" i="113" s="1"/>
  <c r="K2592" i="113"/>
  <c r="M2592" i="113" s="1"/>
  <c r="S2592" i="113" s="1"/>
  <c r="K2094" i="113"/>
  <c r="M2094" i="113" s="1"/>
  <c r="S2094" i="113" s="1"/>
  <c r="K2526" i="113"/>
  <c r="M2526" i="113" s="1"/>
  <c r="S2526" i="113" s="1"/>
  <c r="K1746" i="113"/>
  <c r="M1746" i="113" s="1"/>
  <c r="S1746" i="113" s="1"/>
  <c r="K2640" i="113"/>
  <c r="M2640" i="113" s="1"/>
  <c r="S2640" i="113" s="1"/>
  <c r="K2129" i="113"/>
  <c r="M2129" i="113" s="1"/>
  <c r="S2129" i="113" s="1"/>
  <c r="K2338" i="113"/>
  <c r="M2338" i="113" s="1"/>
  <c r="S2338" i="113" s="1"/>
  <c r="K2301" i="113"/>
  <c r="M2301" i="113" s="1"/>
  <c r="S2301" i="113" s="1"/>
  <c r="K2472" i="113"/>
  <c r="M2472" i="113" s="1"/>
  <c r="S2472" i="113" s="1"/>
  <c r="K2608" i="113"/>
  <c r="M2608" i="113" s="1"/>
  <c r="S2608" i="113" s="1"/>
  <c r="K2609" i="113"/>
  <c r="M2609" i="113" s="1"/>
  <c r="S2609" i="113" s="1"/>
  <c r="K1625" i="113"/>
  <c r="M1625" i="113" s="1"/>
  <c r="S1625" i="113" s="1"/>
  <c r="K1291" i="113"/>
  <c r="M1291" i="113" s="1"/>
  <c r="K2387" i="113"/>
  <c r="M2387" i="113" s="1"/>
  <c r="S2387" i="113" s="1"/>
  <c r="K2677" i="113"/>
  <c r="M2677" i="113" s="1"/>
  <c r="S2677" i="113" s="1"/>
  <c r="K1520" i="113"/>
  <c r="M1520" i="113" s="1"/>
  <c r="S1520" i="113" s="1"/>
  <c r="K912" i="113"/>
  <c r="M912" i="113" s="1"/>
  <c r="D1" i="111"/>
  <c r="I6634" i="111"/>
  <c r="H6634" i="111"/>
  <c r="G6634" i="111"/>
  <c r="I6552" i="111"/>
  <c r="H6552" i="111"/>
  <c r="G6552" i="111"/>
  <c r="I6489" i="111"/>
  <c r="H6489" i="111"/>
  <c r="G6489" i="111"/>
  <c r="I6388" i="111"/>
  <c r="H6388" i="111"/>
  <c r="G6388" i="111"/>
  <c r="I6311" i="111"/>
  <c r="H6311" i="111"/>
  <c r="G6311" i="111"/>
  <c r="I6254" i="111"/>
  <c r="H6254" i="111"/>
  <c r="G6254" i="111"/>
  <c r="I6185" i="111"/>
  <c r="H6185" i="111"/>
  <c r="G6185" i="111"/>
  <c r="I6129" i="111"/>
  <c r="H6129" i="111"/>
  <c r="G6129" i="111"/>
  <c r="I6062" i="111"/>
  <c r="H6062" i="111"/>
  <c r="G6062" i="111"/>
  <c r="I6015" i="111"/>
  <c r="H6015" i="111"/>
  <c r="G6015" i="111"/>
  <c r="I5969" i="111"/>
  <c r="H5969" i="111"/>
  <c r="G5969" i="111"/>
  <c r="I5929" i="111"/>
  <c r="H5929" i="111"/>
  <c r="G5929" i="111"/>
  <c r="I5882" i="111"/>
  <c r="H5882" i="111"/>
  <c r="G5882" i="111"/>
  <c r="H5810" i="111"/>
  <c r="I5810" i="111" s="1"/>
  <c r="I5801" i="111"/>
  <c r="H5801" i="111"/>
  <c r="G5801" i="111"/>
  <c r="I5761" i="111"/>
  <c r="H5761" i="111"/>
  <c r="G5761" i="111"/>
  <c r="I5703" i="111"/>
  <c r="H5703" i="111"/>
  <c r="G5703" i="111"/>
  <c r="I5623" i="111"/>
  <c r="H5623" i="111"/>
  <c r="G5623" i="111"/>
  <c r="I5559" i="111"/>
  <c r="H5559" i="111"/>
  <c r="G5559" i="111"/>
  <c r="I5500" i="111"/>
  <c r="H5500" i="111"/>
  <c r="G5500" i="111"/>
  <c r="I5418" i="111"/>
  <c r="H5418" i="111"/>
  <c r="G5418" i="111"/>
  <c r="I5377" i="111"/>
  <c r="H5377" i="111"/>
  <c r="G5377" i="111"/>
  <c r="I5283" i="111"/>
  <c r="H5283" i="111"/>
  <c r="G5283" i="111"/>
  <c r="I5219" i="111"/>
  <c r="H5219" i="111"/>
  <c r="G5219" i="111"/>
  <c r="I5141" i="111"/>
  <c r="H5141" i="111"/>
  <c r="G5141" i="111"/>
  <c r="I5058" i="111"/>
  <c r="H5058" i="111"/>
  <c r="G5058" i="111"/>
  <c r="I4978" i="111"/>
  <c r="H4978" i="111"/>
  <c r="G4978" i="111"/>
  <c r="I4904" i="111"/>
  <c r="H4904" i="111"/>
  <c r="G4904" i="111"/>
  <c r="I4837" i="111"/>
  <c r="H4837" i="111"/>
  <c r="G4837" i="111"/>
  <c r="I4739" i="111"/>
  <c r="H4739" i="111"/>
  <c r="G4739" i="111"/>
  <c r="I4687" i="111"/>
  <c r="H4687" i="111"/>
  <c r="G4687" i="111"/>
  <c r="I4633" i="111"/>
  <c r="H4633" i="111"/>
  <c r="G4633" i="111"/>
  <c r="I4555" i="111"/>
  <c r="H4555" i="111"/>
  <c r="G4555" i="111"/>
  <c r="I4490" i="111"/>
  <c r="H4490" i="111"/>
  <c r="G4490" i="111"/>
  <c r="I4425" i="111"/>
  <c r="H4425" i="111"/>
  <c r="G4425" i="111"/>
  <c r="I4392" i="111"/>
  <c r="H4392" i="111"/>
  <c r="G4392" i="111"/>
  <c r="I4308" i="111"/>
  <c r="H4308" i="111"/>
  <c r="G4308" i="111"/>
  <c r="I4246" i="111"/>
  <c r="H4246" i="111"/>
  <c r="G4246" i="111"/>
  <c r="I4159" i="111"/>
  <c r="H4159" i="111"/>
  <c r="G4159" i="111"/>
  <c r="I4084" i="111"/>
  <c r="H4084" i="111"/>
  <c r="G4084" i="111"/>
  <c r="I4022" i="111"/>
  <c r="H4022" i="111"/>
  <c r="G4022" i="111"/>
  <c r="I3941" i="111"/>
  <c r="H3941" i="111"/>
  <c r="G3941" i="111"/>
  <c r="I3895" i="111"/>
  <c r="H3895" i="111"/>
  <c r="G3895" i="111"/>
  <c r="I3811" i="111"/>
  <c r="H3811" i="111"/>
  <c r="G3811" i="111"/>
  <c r="I3701" i="111"/>
  <c r="H3701" i="111"/>
  <c r="G3701" i="111"/>
  <c r="I3600" i="111"/>
  <c r="H3600" i="111"/>
  <c r="G3600" i="111"/>
  <c r="I3545" i="111"/>
  <c r="H3545" i="111"/>
  <c r="G3545" i="111"/>
  <c r="I3412" i="111"/>
  <c r="H3412" i="111"/>
  <c r="G3412" i="111"/>
  <c r="I3257" i="111"/>
  <c r="H3257" i="111"/>
  <c r="G3257" i="111"/>
  <c r="I3192" i="111"/>
  <c r="H3192" i="111"/>
  <c r="G3192" i="111"/>
  <c r="I3082" i="111"/>
  <c r="H3082" i="111"/>
  <c r="G3082" i="111"/>
  <c r="I3010" i="111"/>
  <c r="H3010" i="111"/>
  <c r="G3010" i="111"/>
  <c r="I2926" i="111"/>
  <c r="H2926" i="111"/>
  <c r="G2926" i="111"/>
  <c r="I2871" i="111"/>
  <c r="H2871" i="111"/>
  <c r="G2871" i="111"/>
  <c r="I2813" i="111"/>
  <c r="H2813" i="111"/>
  <c r="G2813" i="111"/>
  <c r="I2749" i="111"/>
  <c r="H2749" i="111"/>
  <c r="G2749" i="111"/>
  <c r="I2673" i="111"/>
  <c r="H2673" i="111"/>
  <c r="G2673" i="111"/>
  <c r="I2599" i="111"/>
  <c r="H2599" i="111"/>
  <c r="G2599" i="111"/>
  <c r="I2533" i="111"/>
  <c r="H2533" i="111"/>
  <c r="G2533" i="111"/>
  <c r="I2460" i="111"/>
  <c r="H2460" i="111"/>
  <c r="G2460" i="111"/>
  <c r="I2358" i="111"/>
  <c r="H2358" i="111"/>
  <c r="G2358" i="111"/>
  <c r="I2265" i="111"/>
  <c r="H2265" i="111"/>
  <c r="G2265" i="111"/>
  <c r="I2183" i="111"/>
  <c r="H2183" i="111"/>
  <c r="G2183" i="111"/>
  <c r="I2115" i="111"/>
  <c r="H2115" i="111"/>
  <c r="G2115" i="111"/>
  <c r="I2037" i="111"/>
  <c r="H2037" i="111"/>
  <c r="G2037" i="111"/>
  <c r="I1946" i="111"/>
  <c r="H1946" i="111"/>
  <c r="G1946" i="111"/>
  <c r="I1852" i="111"/>
  <c r="H1852" i="111"/>
  <c r="G1852" i="111"/>
  <c r="I1780" i="111"/>
  <c r="H1780" i="111"/>
  <c r="G1780" i="111"/>
  <c r="I1714" i="111"/>
  <c r="H1714" i="111"/>
  <c r="G1714" i="111"/>
  <c r="I1639" i="111"/>
  <c r="H1639" i="111"/>
  <c r="G1639" i="111"/>
  <c r="I1568" i="111"/>
  <c r="H1568" i="111"/>
  <c r="G1568" i="111"/>
  <c r="I1529" i="111"/>
  <c r="H1529" i="111"/>
  <c r="G1529" i="111"/>
  <c r="I1480" i="111"/>
  <c r="H1480" i="111"/>
  <c r="G1480" i="111"/>
  <c r="I1376" i="111"/>
  <c r="H1376" i="111"/>
  <c r="G1376" i="111"/>
  <c r="I1299" i="111"/>
  <c r="H1299" i="111"/>
  <c r="G1299" i="111"/>
  <c r="I1208" i="111"/>
  <c r="H1208" i="111"/>
  <c r="G1208" i="111"/>
  <c r="I1119" i="111"/>
  <c r="H1119" i="111"/>
  <c r="G1119" i="111"/>
  <c r="I1061" i="111"/>
  <c r="H1061" i="111"/>
  <c r="G1061" i="111"/>
  <c r="I983" i="111"/>
  <c r="H983" i="111"/>
  <c r="G983" i="111"/>
  <c r="I915" i="111"/>
  <c r="H915" i="111"/>
  <c r="G915" i="111"/>
  <c r="I860" i="111"/>
  <c r="H860" i="111"/>
  <c r="G860" i="111"/>
  <c r="I776" i="111"/>
  <c r="H776" i="111"/>
  <c r="G776" i="111"/>
  <c r="I712" i="111"/>
  <c r="H712" i="111"/>
  <c r="G712" i="111"/>
  <c r="I635" i="111"/>
  <c r="H635" i="111"/>
  <c r="G635" i="111"/>
  <c r="I554" i="111"/>
  <c r="H554" i="111"/>
  <c r="G554" i="111"/>
  <c r="I473" i="111"/>
  <c r="H473" i="111"/>
  <c r="G473" i="111"/>
  <c r="I439" i="111"/>
  <c r="H439" i="111"/>
  <c r="G439" i="111"/>
  <c r="I362" i="111"/>
  <c r="H362" i="111"/>
  <c r="G362" i="111"/>
  <c r="I319" i="111"/>
  <c r="H319" i="111"/>
  <c r="G319" i="111"/>
  <c r="I247" i="111"/>
  <c r="H247" i="111"/>
  <c r="G247" i="111"/>
  <c r="I175" i="111"/>
  <c r="H175" i="111"/>
  <c r="G175" i="111"/>
  <c r="I72" i="111"/>
  <c r="H72" i="111"/>
  <c r="G72" i="111"/>
  <c r="I2" i="111"/>
  <c r="H2" i="111"/>
  <c r="G2" i="111"/>
  <c r="D87" i="101"/>
  <c r="G6063" i="111" s="1"/>
  <c r="E5" i="101"/>
  <c r="E6" i="101"/>
  <c r="E7" i="101"/>
  <c r="E8" i="101"/>
  <c r="E9" i="101"/>
  <c r="E10" i="101"/>
  <c r="E11" i="101"/>
  <c r="E12" i="101"/>
  <c r="E13" i="101"/>
  <c r="E14" i="101"/>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D5" i="101"/>
  <c r="G73" i="111" s="1"/>
  <c r="D6" i="101"/>
  <c r="G176" i="111" s="1"/>
  <c r="D7" i="101"/>
  <c r="G248" i="111" s="1"/>
  <c r="D8" i="101"/>
  <c r="G320" i="111" s="1"/>
  <c r="D9" i="101"/>
  <c r="G363" i="111" s="1"/>
  <c r="D10" i="101"/>
  <c r="G440" i="111" s="1"/>
  <c r="D11" i="101"/>
  <c r="G474" i="111" s="1"/>
  <c r="D12" i="101"/>
  <c r="G555" i="111" s="1"/>
  <c r="D13" i="101"/>
  <c r="G636" i="111" s="1"/>
  <c r="D14" i="101"/>
  <c r="G713" i="111" s="1"/>
  <c r="D15" i="101"/>
  <c r="G777" i="111" s="1"/>
  <c r="D16" i="101"/>
  <c r="G861" i="111" s="1"/>
  <c r="D17" i="101"/>
  <c r="G916" i="111" s="1"/>
  <c r="D18" i="101"/>
  <c r="G984" i="111" s="1"/>
  <c r="D19" i="101"/>
  <c r="G1062" i="111" s="1"/>
  <c r="D20" i="101"/>
  <c r="G1120" i="111" s="1"/>
  <c r="D21" i="101"/>
  <c r="G1209" i="111" s="1"/>
  <c r="D22" i="101"/>
  <c r="G1300" i="111" s="1"/>
  <c r="D23" i="101"/>
  <c r="G1377" i="111" s="1"/>
  <c r="D24" i="101"/>
  <c r="G1481" i="111" s="1"/>
  <c r="D25" i="101"/>
  <c r="G1530" i="111" s="1"/>
  <c r="D26" i="101"/>
  <c r="G1569" i="111" s="1"/>
  <c r="D27" i="101"/>
  <c r="G1640" i="111" s="1"/>
  <c r="D28" i="101"/>
  <c r="G1715" i="111" s="1"/>
  <c r="D29" i="101"/>
  <c r="G1781" i="111" s="1"/>
  <c r="D30" i="101"/>
  <c r="G1853" i="111" s="1"/>
  <c r="D31" i="101"/>
  <c r="G1947" i="111" s="1"/>
  <c r="D32" i="101"/>
  <c r="G2038" i="111" s="1"/>
  <c r="D33" i="101"/>
  <c r="G2116" i="111" s="1"/>
  <c r="D34" i="101"/>
  <c r="G2184" i="111" s="1"/>
  <c r="D35" i="101"/>
  <c r="G2266" i="111" s="1"/>
  <c r="D36" i="101"/>
  <c r="G2359" i="111" s="1"/>
  <c r="D37" i="101"/>
  <c r="G2461" i="111" s="1"/>
  <c r="D38" i="101"/>
  <c r="G2534" i="111" s="1"/>
  <c r="D39" i="101"/>
  <c r="G2600" i="111" s="1"/>
  <c r="D40" i="101"/>
  <c r="G2674" i="111" s="1"/>
  <c r="D41" i="101"/>
  <c r="G2750" i="111" s="1"/>
  <c r="D42" i="101"/>
  <c r="G2814" i="111" s="1"/>
  <c r="D43" i="101"/>
  <c r="G2872" i="111" s="1"/>
  <c r="D44" i="101"/>
  <c r="G2927" i="111" s="1"/>
  <c r="D45" i="101"/>
  <c r="G3011" i="111" s="1"/>
  <c r="D46" i="101"/>
  <c r="G3083" i="111" s="1"/>
  <c r="D47" i="101"/>
  <c r="G3193" i="111" s="1"/>
  <c r="D48" i="101"/>
  <c r="G3258" i="111" s="1"/>
  <c r="D49" i="101"/>
  <c r="G3413" i="111" s="1"/>
  <c r="D50" i="101"/>
  <c r="G3546" i="111" s="1"/>
  <c r="D51" i="101"/>
  <c r="G3601" i="111" s="1"/>
  <c r="D52" i="101"/>
  <c r="G3702" i="111" s="1"/>
  <c r="D53" i="101"/>
  <c r="G3812" i="111" s="1"/>
  <c r="D54" i="101"/>
  <c r="G3896" i="111" s="1"/>
  <c r="D55" i="101"/>
  <c r="G3942" i="111" s="1"/>
  <c r="D56" i="101"/>
  <c r="G4023" i="111" s="1"/>
  <c r="D57" i="101"/>
  <c r="G4085" i="111" s="1"/>
  <c r="D58" i="101"/>
  <c r="G4160" i="111" s="1"/>
  <c r="D59" i="101"/>
  <c r="G4247" i="111" s="1"/>
  <c r="D60" i="101"/>
  <c r="G4309" i="111" s="1"/>
  <c r="D61" i="101"/>
  <c r="G4393" i="111" s="1"/>
  <c r="D62" i="101"/>
  <c r="G4426" i="111" s="1"/>
  <c r="D63" i="101"/>
  <c r="G4491" i="111" s="1"/>
  <c r="D64" i="101"/>
  <c r="G4556" i="111" s="1"/>
  <c r="D65" i="101"/>
  <c r="G4634" i="111" s="1"/>
  <c r="D66" i="101"/>
  <c r="G4688" i="111" s="1"/>
  <c r="D67" i="101"/>
  <c r="G4740" i="111" s="1"/>
  <c r="D68" i="101"/>
  <c r="G4838" i="111" s="1"/>
  <c r="D69" i="101"/>
  <c r="G4905" i="111" s="1"/>
  <c r="D70" i="101"/>
  <c r="G4979" i="111" s="1"/>
  <c r="D71" i="101"/>
  <c r="G5059" i="111" s="1"/>
  <c r="D72" i="101"/>
  <c r="G5142" i="111" s="1"/>
  <c r="D73" i="101"/>
  <c r="G5220" i="111" s="1"/>
  <c r="D74" i="101"/>
  <c r="G5284" i="111" s="1"/>
  <c r="D75" i="101"/>
  <c r="G5378" i="111" s="1"/>
  <c r="D76" i="101"/>
  <c r="G5419" i="111" s="1"/>
  <c r="D77" i="101"/>
  <c r="G5501" i="111" s="1"/>
  <c r="D78" i="101"/>
  <c r="G5560" i="111" s="1"/>
  <c r="D79" i="101"/>
  <c r="G5624" i="111" s="1"/>
  <c r="D80" i="101"/>
  <c r="G5704" i="111" s="1"/>
  <c r="D81" i="101"/>
  <c r="G5762" i="111" s="1"/>
  <c r="D82" i="101"/>
  <c r="G5802" i="111" s="1"/>
  <c r="D83" i="101"/>
  <c r="G5883" i="111" s="1"/>
  <c r="D84" i="101"/>
  <c r="G5930" i="111" s="1"/>
  <c r="D85" i="101"/>
  <c r="G5970" i="111" s="1"/>
  <c r="D86" i="101"/>
  <c r="G6016" i="111" s="1"/>
  <c r="D88" i="101"/>
  <c r="G6130" i="111" s="1"/>
  <c r="D89" i="101"/>
  <c r="G6186" i="111" s="1"/>
  <c r="D90" i="101"/>
  <c r="G6255" i="111" s="1"/>
  <c r="D91" i="101"/>
  <c r="G6312" i="111" s="1"/>
  <c r="D92" i="101"/>
  <c r="G6389" i="111" s="1"/>
  <c r="D93" i="101"/>
  <c r="G6490" i="111" s="1"/>
  <c r="D94" i="101"/>
  <c r="G6553" i="111" s="1"/>
  <c r="D95" i="101"/>
  <c r="G6635" i="111" s="1"/>
  <c r="S1085" i="113" l="1"/>
  <c r="T1085" i="113" s="1"/>
  <c r="W1085" i="113" s="1"/>
  <c r="Y1085" i="113" s="1"/>
  <c r="S1451" i="113"/>
  <c r="S1013" i="113"/>
  <c r="S2021" i="113"/>
  <c r="T2021" i="113" s="1"/>
  <c r="W2021" i="113" s="1"/>
  <c r="Y2021" i="113" s="1"/>
  <c r="AC2021" i="113" s="1"/>
  <c r="AG2021" i="113" s="1"/>
  <c r="S1063" i="113"/>
  <c r="T1063" i="113" s="1"/>
  <c r="W1063" i="113" s="1"/>
  <c r="Y1063" i="113" s="1"/>
  <c r="AC1063" i="113" s="1"/>
  <c r="AG1063" i="113" s="1"/>
  <c r="S794" i="113"/>
  <c r="T794" i="113" s="1"/>
  <c r="W794" i="113" s="1"/>
  <c r="Y794" i="113" s="1"/>
  <c r="AC794" i="113" s="1"/>
  <c r="AG794" i="113" s="1"/>
  <c r="S2657" i="113"/>
  <c r="S1456" i="113"/>
  <c r="T1456" i="113" s="1"/>
  <c r="W1456" i="113" s="1"/>
  <c r="Y1456" i="113" s="1"/>
  <c r="AC1456" i="113" s="1"/>
  <c r="AG1456" i="113" s="1"/>
  <c r="S1961" i="113"/>
  <c r="T1961" i="113" s="1"/>
  <c r="W1961" i="113" s="1"/>
  <c r="Y1961" i="113" s="1"/>
  <c r="AC1961" i="113" s="1"/>
  <c r="AG1961" i="113" s="1"/>
  <c r="S1099" i="113"/>
  <c r="T1099" i="113" s="1"/>
  <c r="W1099" i="113" s="1"/>
  <c r="Y1099" i="113" s="1"/>
  <c r="S717" i="113"/>
  <c r="T717" i="113" s="1"/>
  <c r="W717" i="113" s="1"/>
  <c r="Y717" i="113" s="1"/>
  <c r="S1698" i="113"/>
  <c r="T1698" i="113" s="1"/>
  <c r="W1698" i="113" s="1"/>
  <c r="Y1698" i="113" s="1"/>
  <c r="AC1698" i="113" s="1"/>
  <c r="AG1698" i="113" s="1"/>
  <c r="S291" i="113"/>
  <c r="T291" i="113" s="1"/>
  <c r="W291" i="113" s="1"/>
  <c r="Y291" i="113" s="1"/>
  <c r="AC291" i="113" s="1"/>
  <c r="AG291" i="113" s="1"/>
  <c r="S836" i="113"/>
  <c r="T836" i="113" s="1"/>
  <c r="W836" i="113" s="1"/>
  <c r="Y836" i="113" s="1"/>
  <c r="AC836" i="113" s="1"/>
  <c r="AG836" i="113" s="1"/>
  <c r="S676" i="113"/>
  <c r="T676" i="113" s="1"/>
  <c r="W676" i="113" s="1"/>
  <c r="Y676" i="113" s="1"/>
  <c r="S2600" i="113"/>
  <c r="S1381" i="113"/>
  <c r="T1381" i="113" s="1"/>
  <c r="W1381" i="113" s="1"/>
  <c r="Y1381" i="113" s="1"/>
  <c r="AC1381" i="113" s="1"/>
  <c r="AG1381" i="113" s="1"/>
  <c r="S518" i="113"/>
  <c r="T518" i="113" s="1"/>
  <c r="W518" i="113" s="1"/>
  <c r="Y518" i="113" s="1"/>
  <c r="AC518" i="113" s="1"/>
  <c r="AG518" i="113" s="1"/>
  <c r="O1797" i="113"/>
  <c r="S1797" i="113"/>
  <c r="O2497" i="113"/>
  <c r="S2497" i="113"/>
  <c r="O1896" i="113"/>
  <c r="S1896" i="113"/>
  <c r="S623" i="113"/>
  <c r="T623" i="113" s="1"/>
  <c r="W623" i="113" s="1"/>
  <c r="Y623" i="113" s="1"/>
  <c r="AC623" i="113" s="1"/>
  <c r="AG623" i="113" s="1"/>
  <c r="S937" i="113"/>
  <c r="T937" i="113" s="1"/>
  <c r="W937" i="113" s="1"/>
  <c r="Y937" i="113" s="1"/>
  <c r="AC937" i="113" s="1"/>
  <c r="AG937" i="113" s="1"/>
  <c r="S541" i="113"/>
  <c r="S703" i="113"/>
  <c r="T703" i="113" s="1"/>
  <c r="W703" i="113" s="1"/>
  <c r="Y703" i="113" s="1"/>
  <c r="AC703" i="113" s="1"/>
  <c r="AG703" i="113" s="1"/>
  <c r="S919" i="113"/>
  <c r="T919" i="113" s="1"/>
  <c r="W919" i="113" s="1"/>
  <c r="Y919" i="113" s="1"/>
  <c r="AC919" i="113" s="1"/>
  <c r="AG919" i="113" s="1"/>
  <c r="S1540" i="113"/>
  <c r="T1540" i="113" s="1"/>
  <c r="W1540" i="113" s="1"/>
  <c r="Y1540" i="113" s="1"/>
  <c r="AC1540" i="113" s="1"/>
  <c r="AG1540" i="113" s="1"/>
  <c r="S521" i="113"/>
  <c r="T521" i="113" s="1"/>
  <c r="W521" i="113" s="1"/>
  <c r="Y521" i="113" s="1"/>
  <c r="AC521" i="113" s="1"/>
  <c r="AG521" i="113" s="1"/>
  <c r="S1039" i="113"/>
  <c r="T1039" i="113" s="1"/>
  <c r="W1039" i="113" s="1"/>
  <c r="Y1039" i="113" s="1"/>
  <c r="O1522" i="113"/>
  <c r="S1522" i="113"/>
  <c r="O879" i="113"/>
  <c r="S879" i="113"/>
  <c r="O303" i="113"/>
  <c r="S303" i="113"/>
  <c r="O1317" i="113"/>
  <c r="S1317" i="113"/>
  <c r="O1217" i="113"/>
  <c r="S1217" i="113"/>
  <c r="O1875" i="113"/>
  <c r="S1875" i="113"/>
  <c r="O1515" i="113"/>
  <c r="S1515" i="113"/>
  <c r="O407" i="113"/>
  <c r="S407" i="113"/>
  <c r="O582" i="113"/>
  <c r="S582" i="113"/>
  <c r="S570" i="113"/>
  <c r="T570" i="113" s="1"/>
  <c r="W570" i="113" s="1"/>
  <c r="Y570" i="113" s="1"/>
  <c r="AC570" i="113" s="1"/>
  <c r="AG570" i="113" s="1"/>
  <c r="S274" i="113"/>
  <c r="T274" i="113" s="1"/>
  <c r="W274" i="113" s="1"/>
  <c r="Y274" i="113" s="1"/>
  <c r="AC274" i="113" s="1"/>
  <c r="AG274" i="113" s="1"/>
  <c r="S905" i="113"/>
  <c r="T905" i="113" s="1"/>
  <c r="W905" i="113" s="1"/>
  <c r="Y905" i="113" s="1"/>
  <c r="AC905" i="113" s="1"/>
  <c r="AG905" i="113" s="1"/>
  <c r="S341" i="113"/>
  <c r="T341" i="113" s="1"/>
  <c r="W341" i="113" s="1"/>
  <c r="Y341" i="113" s="1"/>
  <c r="S724" i="113"/>
  <c r="T724" i="113" s="1"/>
  <c r="W724" i="113" s="1"/>
  <c r="Y724" i="113" s="1"/>
  <c r="AC724" i="113" s="1"/>
  <c r="AG724" i="113" s="1"/>
  <c r="O1196" i="113"/>
  <c r="S1196" i="113"/>
  <c r="O1114" i="113"/>
  <c r="S1114" i="113"/>
  <c r="O1761" i="113"/>
  <c r="S1761" i="113"/>
  <c r="O559" i="113"/>
  <c r="S559" i="113"/>
  <c r="S730" i="113"/>
  <c r="T730" i="113" s="1"/>
  <c r="W730" i="113" s="1"/>
  <c r="Y730" i="113" s="1"/>
  <c r="S695" i="113"/>
  <c r="T695" i="113" s="1"/>
  <c r="W695" i="113" s="1"/>
  <c r="Y695" i="113" s="1"/>
  <c r="AC695" i="113" s="1"/>
  <c r="AG695" i="113" s="1"/>
  <c r="S926" i="113"/>
  <c r="T926" i="113" s="1"/>
  <c r="W926" i="113" s="1"/>
  <c r="Y926" i="113" s="1"/>
  <c r="AC926" i="113" s="1"/>
  <c r="AG926" i="113" s="1"/>
  <c r="S555" i="113"/>
  <c r="T555" i="113" s="1"/>
  <c r="W555" i="113" s="1"/>
  <c r="Y555" i="113" s="1"/>
  <c r="AC555" i="113" s="1"/>
  <c r="AG555" i="113" s="1"/>
  <c r="S904" i="113"/>
  <c r="T904" i="113" s="1"/>
  <c r="W904" i="113" s="1"/>
  <c r="Y904" i="113" s="1"/>
  <c r="AC904" i="113" s="1"/>
  <c r="AG904" i="113" s="1"/>
  <c r="S574" i="113"/>
  <c r="T574" i="113" s="1"/>
  <c r="W574" i="113" s="1"/>
  <c r="Y574" i="113" s="1"/>
  <c r="AC574" i="113" s="1"/>
  <c r="AG574" i="113" s="1"/>
  <c r="O309" i="113"/>
  <c r="S309" i="113"/>
  <c r="S420" i="113"/>
  <c r="T420" i="113" s="1"/>
  <c r="W420" i="113" s="1"/>
  <c r="Y420" i="113" s="1"/>
  <c r="AC420" i="113" s="1"/>
  <c r="AG420" i="113" s="1"/>
  <c r="S1505" i="113"/>
  <c r="T1505" i="113" s="1"/>
  <c r="W1505" i="113" s="1"/>
  <c r="Y1505" i="113" s="1"/>
  <c r="AC1505" i="113" s="1"/>
  <c r="AG1505" i="113" s="1"/>
  <c r="O1979" i="113"/>
  <c r="S1979" i="113"/>
  <c r="O1096" i="113"/>
  <c r="S1096" i="113"/>
  <c r="O1023" i="113"/>
  <c r="S1023" i="113"/>
  <c r="O307" i="113"/>
  <c r="S307" i="113"/>
  <c r="O277" i="113"/>
  <c r="S277" i="113"/>
  <c r="O1843" i="113"/>
  <c r="S1843" i="113"/>
  <c r="O1212" i="113"/>
  <c r="S1212" i="113"/>
  <c r="S1072" i="113"/>
  <c r="T1072" i="113" s="1"/>
  <c r="W1072" i="113" s="1"/>
  <c r="Y1072" i="113" s="1"/>
  <c r="AC1072" i="113" s="1"/>
  <c r="AG1072" i="113" s="1"/>
  <c r="S714" i="113"/>
  <c r="T714" i="113" s="1"/>
  <c r="W714" i="113" s="1"/>
  <c r="Y714" i="113" s="1"/>
  <c r="AC714" i="113" s="1"/>
  <c r="AG714" i="113" s="1"/>
  <c r="S454" i="113"/>
  <c r="T454" i="113" s="1"/>
  <c r="W454" i="113" s="1"/>
  <c r="Y454" i="113" s="1"/>
  <c r="S897" i="113"/>
  <c r="T897" i="113" s="1"/>
  <c r="W897" i="113" s="1"/>
  <c r="Y897" i="113" s="1"/>
  <c r="AC897" i="113" s="1"/>
  <c r="AG897" i="113" s="1"/>
  <c r="S1129" i="113"/>
  <c r="T1129" i="113" s="1"/>
  <c r="W1129" i="113" s="1"/>
  <c r="Y1129" i="113" s="1"/>
  <c r="S778" i="113"/>
  <c r="T778" i="113" s="1"/>
  <c r="W778" i="113" s="1"/>
  <c r="Y778" i="113" s="1"/>
  <c r="S815" i="113"/>
  <c r="T815" i="113" s="1"/>
  <c r="W815" i="113" s="1"/>
  <c r="Y815" i="113" s="1"/>
  <c r="AC815" i="113" s="1"/>
  <c r="AG815" i="113" s="1"/>
  <c r="S506" i="113"/>
  <c r="S1629" i="113"/>
  <c r="T1629" i="113" s="1"/>
  <c r="W1629" i="113" s="1"/>
  <c r="Y1629" i="113" s="1"/>
  <c r="AC1629" i="113" s="1"/>
  <c r="AG1629" i="113" s="1"/>
  <c r="O310" i="113"/>
  <c r="S310" i="113"/>
  <c r="O1736" i="113"/>
  <c r="S1736" i="113"/>
  <c r="S451" i="113"/>
  <c r="T451" i="113" s="1"/>
  <c r="W451" i="113" s="1"/>
  <c r="Y451" i="113" s="1"/>
  <c r="AC451" i="113" s="1"/>
  <c r="AG451" i="113" s="1"/>
  <c r="S668" i="113"/>
  <c r="O710" i="113"/>
  <c r="S710" i="113"/>
  <c r="O930" i="113"/>
  <c r="S930" i="113"/>
  <c r="S878" i="113"/>
  <c r="T878" i="113" s="1"/>
  <c r="W878" i="113" s="1"/>
  <c r="Y878" i="113" s="1"/>
  <c r="AC878" i="113" s="1"/>
  <c r="AG878" i="113" s="1"/>
  <c r="S654" i="113"/>
  <c r="T654" i="113" s="1"/>
  <c r="W654" i="113" s="1"/>
  <c r="Y654" i="113" s="1"/>
  <c r="AC654" i="113" s="1"/>
  <c r="AG654" i="113" s="1"/>
  <c r="S327" i="113"/>
  <c r="T327" i="113" s="1"/>
  <c r="W327" i="113" s="1"/>
  <c r="Y327" i="113" s="1"/>
  <c r="S461" i="113"/>
  <c r="T461" i="113" s="1"/>
  <c r="W461" i="113" s="1"/>
  <c r="Y461" i="113" s="1"/>
  <c r="S871" i="113"/>
  <c r="S1008" i="113"/>
  <c r="T1008" i="113" s="1"/>
  <c r="W1008" i="113" s="1"/>
  <c r="Y1008" i="113" s="1"/>
  <c r="AC1008" i="113" s="1"/>
  <c r="AG1008" i="113" s="1"/>
  <c r="S573" i="113"/>
  <c r="O1032" i="113"/>
  <c r="S1032" i="113"/>
  <c r="O475" i="113"/>
  <c r="S475" i="113"/>
  <c r="O912" i="113"/>
  <c r="S912" i="113"/>
  <c r="O1255" i="113"/>
  <c r="S1255" i="113"/>
  <c r="S856" i="113"/>
  <c r="T856" i="113" s="1"/>
  <c r="W856" i="113" s="1"/>
  <c r="Y856" i="113" s="1"/>
  <c r="AC856" i="113" s="1"/>
  <c r="AG856" i="113" s="1"/>
  <c r="S530" i="113"/>
  <c r="T530" i="113" s="1"/>
  <c r="W530" i="113" s="1"/>
  <c r="Y530" i="113" s="1"/>
  <c r="S925" i="113"/>
  <c r="S411" i="113"/>
  <c r="T411" i="113" s="1"/>
  <c r="W411" i="113" s="1"/>
  <c r="Y411" i="113" s="1"/>
  <c r="S1243" i="113"/>
  <c r="S765" i="113"/>
  <c r="S2082" i="113"/>
  <c r="T2082" i="113" s="1"/>
  <c r="W2082" i="113" s="1"/>
  <c r="Y2082" i="113" s="1"/>
  <c r="AC2082" i="113" s="1"/>
  <c r="AG2082" i="113" s="1"/>
  <c r="O2333" i="113"/>
  <c r="S2333" i="113"/>
  <c r="O781" i="113"/>
  <c r="S781" i="113"/>
  <c r="O956" i="113"/>
  <c r="S956" i="113"/>
  <c r="O1450" i="113"/>
  <c r="S1450" i="113"/>
  <c r="S734" i="113"/>
  <c r="T734" i="113" s="1"/>
  <c r="W734" i="113" s="1"/>
  <c r="Y734" i="113" s="1"/>
  <c r="AC734" i="113" s="1"/>
  <c r="AG734" i="113" s="1"/>
  <c r="S614" i="113"/>
  <c r="T614" i="113" s="1"/>
  <c r="W614" i="113" s="1"/>
  <c r="Y614" i="113" s="1"/>
  <c r="S1396" i="113"/>
  <c r="T1396" i="113" s="1"/>
  <c r="W1396" i="113" s="1"/>
  <c r="Y1396" i="113" s="1"/>
  <c r="S2252" i="113"/>
  <c r="S481" i="113"/>
  <c r="S2310" i="113"/>
  <c r="T2310" i="113" s="1"/>
  <c r="W2310" i="113" s="1"/>
  <c r="Y2310" i="113" s="1"/>
  <c r="O536" i="113"/>
  <c r="S536" i="113"/>
  <c r="O1661" i="113"/>
  <c r="S1661" i="113"/>
  <c r="O2463" i="113"/>
  <c r="S2463" i="113"/>
  <c r="S600" i="113"/>
  <c r="T600" i="113" s="1"/>
  <c r="W600" i="113" s="1"/>
  <c r="Y600" i="113" s="1"/>
  <c r="S1443" i="113"/>
  <c r="T1443" i="113" s="1"/>
  <c r="W1443" i="113" s="1"/>
  <c r="Y1443" i="113" s="1"/>
  <c r="AC1443" i="113" s="1"/>
  <c r="AG1443" i="113" s="1"/>
  <c r="S1040" i="113"/>
  <c r="S1201" i="113"/>
  <c r="T1201" i="113" s="1"/>
  <c r="W1201" i="113" s="1"/>
  <c r="Y1201" i="113" s="1"/>
  <c r="O1401" i="113"/>
  <c r="S1401" i="113"/>
  <c r="O780" i="113"/>
  <c r="S780" i="113"/>
  <c r="O1707" i="113"/>
  <c r="S1707" i="113"/>
  <c r="S934" i="113"/>
  <c r="T934" i="113" s="1"/>
  <c r="W934" i="113" s="1"/>
  <c r="Y934" i="113" s="1"/>
  <c r="AC934" i="113" s="1"/>
  <c r="AG934" i="113" s="1"/>
  <c r="O1770" i="113"/>
  <c r="S1770" i="113"/>
  <c r="O1095" i="113"/>
  <c r="S1095" i="113"/>
  <c r="S422" i="113"/>
  <c r="T422" i="113" s="1"/>
  <c r="W422" i="113" s="1"/>
  <c r="Y422" i="113" s="1"/>
  <c r="AC422" i="113" s="1"/>
  <c r="AG422" i="113" s="1"/>
  <c r="S802" i="113"/>
  <c r="T802" i="113" s="1"/>
  <c r="W802" i="113" s="1"/>
  <c r="Y802" i="113" s="1"/>
  <c r="S311" i="113"/>
  <c r="T311" i="113" s="1"/>
  <c r="W311" i="113" s="1"/>
  <c r="Y311" i="113" s="1"/>
  <c r="AC311" i="113" s="1"/>
  <c r="AG311" i="113" s="1"/>
  <c r="S1543" i="113"/>
  <c r="S691" i="113"/>
  <c r="T691" i="113" s="1"/>
  <c r="W691" i="113" s="1"/>
  <c r="Y691" i="113" s="1"/>
  <c r="O1291" i="113"/>
  <c r="S1291" i="113"/>
  <c r="O677" i="113"/>
  <c r="S677" i="113"/>
  <c r="O1176" i="113"/>
  <c r="S1176" i="113"/>
  <c r="S625" i="113"/>
  <c r="T625" i="113" s="1"/>
  <c r="W625" i="113" s="1"/>
  <c r="Y625" i="113" s="1"/>
  <c r="AC625" i="113" s="1"/>
  <c r="AG625" i="113" s="1"/>
  <c r="S514" i="113"/>
  <c r="T514" i="113" s="1"/>
  <c r="W514" i="113" s="1"/>
  <c r="Y514" i="113" s="1"/>
  <c r="AC514" i="113" s="1"/>
  <c r="AG514" i="113" s="1"/>
  <c r="S315" i="113"/>
  <c r="S1836" i="113"/>
  <c r="O263" i="113"/>
  <c r="O768" i="113"/>
  <c r="T768" i="113" s="1"/>
  <c r="W768" i="113" s="1"/>
  <c r="Y768" i="113" s="1"/>
  <c r="O2004" i="113"/>
  <c r="T2004" i="113" s="1"/>
  <c r="W2004" i="113" s="1"/>
  <c r="Y2004" i="113" s="1"/>
  <c r="AC2004" i="113" s="1"/>
  <c r="AG2004" i="113" s="1"/>
  <c r="O1234" i="113"/>
  <c r="T1234" i="113" s="1"/>
  <c r="W1234" i="113" s="1"/>
  <c r="Y1234" i="113" s="1"/>
  <c r="O1878" i="113"/>
  <c r="T1878" i="113" s="1"/>
  <c r="W1878" i="113" s="1"/>
  <c r="Y1878" i="113" s="1"/>
  <c r="AC1878" i="113" s="1"/>
  <c r="AG1878" i="113" s="1"/>
  <c r="O279" i="113"/>
  <c r="T279" i="113" s="1"/>
  <c r="W279" i="113" s="1"/>
  <c r="Y279" i="113" s="1"/>
  <c r="AC279" i="113" s="1"/>
  <c r="AG279" i="113" s="1"/>
  <c r="O1337" i="113"/>
  <c r="T1337" i="113" s="1"/>
  <c r="W1337" i="113" s="1"/>
  <c r="Y1337" i="113" s="1"/>
  <c r="AC1337" i="113" s="1"/>
  <c r="AG1337" i="113" s="1"/>
  <c r="O339" i="113"/>
  <c r="T339" i="113" s="1"/>
  <c r="W339" i="113" s="1"/>
  <c r="Y339" i="113" s="1"/>
  <c r="AC339" i="113" s="1"/>
  <c r="AG339" i="113" s="1"/>
  <c r="O543" i="113"/>
  <c r="T543" i="113" s="1"/>
  <c r="W543" i="113" s="1"/>
  <c r="Y543" i="113" s="1"/>
  <c r="AC543" i="113" s="1"/>
  <c r="AG543" i="113" s="1"/>
  <c r="O631" i="113"/>
  <c r="T631" i="113" s="1"/>
  <c r="W631" i="113" s="1"/>
  <c r="Y631" i="113" s="1"/>
  <c r="O20" i="113"/>
  <c r="T20" i="113" s="1"/>
  <c r="W20" i="113" s="1"/>
  <c r="Y20" i="113" s="1"/>
  <c r="AC20" i="113" s="1"/>
  <c r="AG20" i="113" s="1"/>
  <c r="O755" i="113"/>
  <c r="T755" i="113" s="1"/>
  <c r="W755" i="113" s="1"/>
  <c r="Y755" i="113" s="1"/>
  <c r="AC755" i="113" s="1"/>
  <c r="AG755" i="113" s="1"/>
  <c r="O449" i="113"/>
  <c r="O1003" i="113"/>
  <c r="O1715" i="113"/>
  <c r="T1715" i="113" s="1"/>
  <c r="W1715" i="113" s="1"/>
  <c r="Y1715" i="113" s="1"/>
  <c r="O1065" i="113"/>
  <c r="T1065" i="113" s="1"/>
  <c r="W1065" i="113" s="1"/>
  <c r="Y1065" i="113" s="1"/>
  <c r="AC1065" i="113" s="1"/>
  <c r="AG1065" i="113" s="1"/>
  <c r="O2122" i="113"/>
  <c r="T2122" i="113" s="1"/>
  <c r="W2122" i="113" s="1"/>
  <c r="Y2122" i="113" s="1"/>
  <c r="O1664" i="113"/>
  <c r="O2248" i="113"/>
  <c r="T2248" i="113" s="1"/>
  <c r="W2248" i="113" s="1"/>
  <c r="Y2248" i="113" s="1"/>
  <c r="AC2248" i="113" s="1"/>
  <c r="AG2248" i="113" s="1"/>
  <c r="O300" i="113"/>
  <c r="T300" i="113" s="1"/>
  <c r="W300" i="113" s="1"/>
  <c r="Y300" i="113" s="1"/>
  <c r="AC300" i="113" s="1"/>
  <c r="AG300" i="113" s="1"/>
  <c r="O1246" i="113"/>
  <c r="T1246" i="113" s="1"/>
  <c r="W1246" i="113" s="1"/>
  <c r="Y1246" i="113" s="1"/>
  <c r="AC1246" i="113" s="1"/>
  <c r="AG1246" i="113" s="1"/>
  <c r="O1473" i="113"/>
  <c r="T1473" i="113" s="1"/>
  <c r="W1473" i="113" s="1"/>
  <c r="Y1473" i="113" s="1"/>
  <c r="O558" i="113"/>
  <c r="T558" i="113" s="1"/>
  <c r="W558" i="113" s="1"/>
  <c r="Y558" i="113" s="1"/>
  <c r="O973" i="113"/>
  <c r="O1880" i="113"/>
  <c r="T1880" i="113" s="1"/>
  <c r="W1880" i="113" s="1"/>
  <c r="Y1880" i="113" s="1"/>
  <c r="AC1880" i="113" s="1"/>
  <c r="AG1880" i="113" s="1"/>
  <c r="O992" i="113"/>
  <c r="T992" i="113" s="1"/>
  <c r="W992" i="113" s="1"/>
  <c r="Y992" i="113" s="1"/>
  <c r="O1947" i="113"/>
  <c r="O1208" i="113"/>
  <c r="T1208" i="113" s="1"/>
  <c r="W1208" i="113" s="1"/>
  <c r="Y1208" i="113" s="1"/>
  <c r="O331" i="113"/>
  <c r="T331" i="113" s="1"/>
  <c r="W331" i="113" s="1"/>
  <c r="Y331" i="113" s="1"/>
  <c r="AC331" i="113" s="1"/>
  <c r="AG331" i="113" s="1"/>
  <c r="O2150" i="113"/>
  <c r="T2150" i="113" s="1"/>
  <c r="W2150" i="113" s="1"/>
  <c r="Y2150" i="113" s="1"/>
  <c r="O139" i="113"/>
  <c r="T139" i="113" s="1"/>
  <c r="W139" i="113" s="1"/>
  <c r="Y139" i="113" s="1"/>
  <c r="S195" i="113"/>
  <c r="O637" i="113"/>
  <c r="T637" i="113" s="1"/>
  <c r="W637" i="113" s="1"/>
  <c r="Y637" i="113" s="1"/>
  <c r="AC637" i="113" s="1"/>
  <c r="AG637" i="113" s="1"/>
  <c r="O1871" i="113"/>
  <c r="T1871" i="113" s="1"/>
  <c r="W1871" i="113" s="1"/>
  <c r="Y1871" i="113" s="1"/>
  <c r="AC1871" i="113" s="1"/>
  <c r="AG1871" i="113" s="1"/>
  <c r="O478" i="113"/>
  <c r="S219" i="113"/>
  <c r="T219" i="113" s="1"/>
  <c r="W219" i="113" s="1"/>
  <c r="Y219" i="113" s="1"/>
  <c r="AC219" i="113" s="1"/>
  <c r="AG219" i="113" s="1"/>
  <c r="O840" i="113"/>
  <c r="T840" i="113" s="1"/>
  <c r="W840" i="113" s="1"/>
  <c r="Y840" i="113" s="1"/>
  <c r="AC840" i="113" s="1"/>
  <c r="AG840" i="113" s="1"/>
  <c r="O1205" i="113"/>
  <c r="T1205" i="113" s="1"/>
  <c r="W1205" i="113" s="1"/>
  <c r="Y1205" i="113" s="1"/>
  <c r="AC1205" i="113" s="1"/>
  <c r="AG1205" i="113" s="1"/>
  <c r="O325" i="113"/>
  <c r="T325" i="113" s="1"/>
  <c r="W325" i="113" s="1"/>
  <c r="Y325" i="113" s="1"/>
  <c r="O63" i="113"/>
  <c r="T63" i="113" s="1"/>
  <c r="W63" i="113" s="1"/>
  <c r="Y63" i="113" s="1"/>
  <c r="AC63" i="113" s="1"/>
  <c r="AG63" i="113" s="1"/>
  <c r="O1705" i="113"/>
  <c r="O158" i="113"/>
  <c r="T158" i="113" s="1"/>
  <c r="W158" i="113" s="1"/>
  <c r="Y158" i="113" s="1"/>
  <c r="AC158" i="113" s="1"/>
  <c r="AG158" i="113" s="1"/>
  <c r="O572" i="113"/>
  <c r="T572" i="113" s="1"/>
  <c r="W572" i="113" s="1"/>
  <c r="Y572" i="113" s="1"/>
  <c r="O1960" i="113"/>
  <c r="T1960" i="113" s="1"/>
  <c r="W1960" i="113" s="1"/>
  <c r="Y1960" i="113" s="1"/>
  <c r="O583" i="113"/>
  <c r="T583" i="113" s="1"/>
  <c r="W583" i="113" s="1"/>
  <c r="Y583" i="113" s="1"/>
  <c r="AC583" i="113" s="1"/>
  <c r="AG583" i="113" s="1"/>
  <c r="O2010" i="113"/>
  <c r="T2010" i="113" s="1"/>
  <c r="W2010" i="113" s="1"/>
  <c r="Y2010" i="113" s="1"/>
  <c r="O193" i="113"/>
  <c r="T193" i="113" s="1"/>
  <c r="W193" i="113" s="1"/>
  <c r="Y193" i="113" s="1"/>
  <c r="AC193" i="113" s="1"/>
  <c r="AG193" i="113" s="1"/>
  <c r="O1513" i="113"/>
  <c r="O232" i="113"/>
  <c r="T232" i="113" s="1"/>
  <c r="W232" i="113" s="1"/>
  <c r="Y232" i="113" s="1"/>
  <c r="AC232" i="113" s="1"/>
  <c r="AG232" i="113" s="1"/>
  <c r="O1597" i="113"/>
  <c r="T1597" i="113" s="1"/>
  <c r="W1597" i="113" s="1"/>
  <c r="Y1597" i="113" s="1"/>
  <c r="AC1597" i="113" s="1"/>
  <c r="AG1597" i="113" s="1"/>
  <c r="O1667" i="113"/>
  <c r="T1667" i="113" s="1"/>
  <c r="W1667" i="113" s="1"/>
  <c r="Y1667" i="113" s="1"/>
  <c r="AC1667" i="113" s="1"/>
  <c r="AG1667" i="113" s="1"/>
  <c r="O1441" i="113"/>
  <c r="T1441" i="113" s="1"/>
  <c r="W1441" i="113" s="1"/>
  <c r="Y1441" i="113" s="1"/>
  <c r="O626" i="113"/>
  <c r="T626" i="113" s="1"/>
  <c r="W626" i="113" s="1"/>
  <c r="Y626" i="113" s="1"/>
  <c r="O1139" i="113"/>
  <c r="T1139" i="113" s="1"/>
  <c r="W1139" i="113" s="1"/>
  <c r="Y1139" i="113" s="1"/>
  <c r="AC1139" i="113" s="1"/>
  <c r="AG1139" i="113" s="1"/>
  <c r="O200" i="113"/>
  <c r="O432" i="113"/>
  <c r="T432" i="113" s="1"/>
  <c r="W432" i="113" s="1"/>
  <c r="Y432" i="113" s="1"/>
  <c r="O1751" i="113"/>
  <c r="T1751" i="113" s="1"/>
  <c r="W1751" i="113" s="1"/>
  <c r="Y1751" i="113" s="1"/>
  <c r="O1952" i="113"/>
  <c r="T1952" i="113" s="1"/>
  <c r="W1952" i="113" s="1"/>
  <c r="Y1952" i="113" s="1"/>
  <c r="AC1952" i="113" s="1"/>
  <c r="AG1952" i="113" s="1"/>
  <c r="O2036" i="113"/>
  <c r="T2036" i="113" s="1"/>
  <c r="W2036" i="113" s="1"/>
  <c r="Y2036" i="113" s="1"/>
  <c r="O790" i="113"/>
  <c r="T790" i="113" s="1"/>
  <c r="W790" i="113" s="1"/>
  <c r="Y790" i="113" s="1"/>
  <c r="AC790" i="113" s="1"/>
  <c r="AG790" i="113" s="1"/>
  <c r="O1503" i="113"/>
  <c r="T1503" i="113" s="1"/>
  <c r="W1503" i="113" s="1"/>
  <c r="Y1503" i="113" s="1"/>
  <c r="AC1503" i="113" s="1"/>
  <c r="AG1503" i="113" s="1"/>
  <c r="O396" i="113"/>
  <c r="T396" i="113" s="1"/>
  <c r="W396" i="113" s="1"/>
  <c r="Y396" i="113" s="1"/>
  <c r="O175" i="113"/>
  <c r="O1800" i="113"/>
  <c r="T1800" i="113" s="1"/>
  <c r="W1800" i="113" s="1"/>
  <c r="Y1800" i="113" s="1"/>
  <c r="AC1800" i="113" s="1"/>
  <c r="AG1800" i="113" s="1"/>
  <c r="O386" i="113"/>
  <c r="T386" i="113" s="1"/>
  <c r="W386" i="113" s="1"/>
  <c r="Y386" i="113" s="1"/>
  <c r="O2053" i="113"/>
  <c r="T2053" i="113" s="1"/>
  <c r="W2053" i="113" s="1"/>
  <c r="Y2053" i="113" s="1"/>
  <c r="O841" i="113"/>
  <c r="O1392" i="113"/>
  <c r="T1392" i="113" s="1"/>
  <c r="W1392" i="113" s="1"/>
  <c r="Y1392" i="113" s="1"/>
  <c r="O1004" i="113"/>
  <c r="T1004" i="113" s="1"/>
  <c r="W1004" i="113" s="1"/>
  <c r="Y1004" i="113" s="1"/>
  <c r="AC1004" i="113" s="1"/>
  <c r="AG1004" i="113" s="1"/>
  <c r="O667" i="113"/>
  <c r="T667" i="113" s="1"/>
  <c r="W667" i="113" s="1"/>
  <c r="Y667" i="113" s="1"/>
  <c r="AC667" i="113" s="1"/>
  <c r="AG667" i="113" s="1"/>
  <c r="O323" i="113"/>
  <c r="T323" i="113" s="1"/>
  <c r="W323" i="113" s="1"/>
  <c r="Y323" i="113" s="1"/>
  <c r="O1676" i="113"/>
  <c r="T1676" i="113" s="1"/>
  <c r="W1676" i="113" s="1"/>
  <c r="Y1676" i="113" s="1"/>
  <c r="O2139" i="113"/>
  <c r="T2139" i="113" s="1"/>
  <c r="W2139" i="113" s="1"/>
  <c r="Y2139" i="113" s="1"/>
  <c r="O1910" i="113"/>
  <c r="T1910" i="113" s="1"/>
  <c r="W1910" i="113" s="1"/>
  <c r="Y1910" i="113" s="1"/>
  <c r="AC1910" i="113" s="1"/>
  <c r="AG1910" i="113" s="1"/>
  <c r="O1994" i="113"/>
  <c r="T1994" i="113" s="1"/>
  <c r="W1994" i="113" s="1"/>
  <c r="Y1994" i="113" s="1"/>
  <c r="O2639" i="113"/>
  <c r="T2639" i="113" s="1"/>
  <c r="W2639" i="113" s="1"/>
  <c r="Y2639" i="113" s="1"/>
  <c r="O896" i="113"/>
  <c r="T896" i="113" s="1"/>
  <c r="W896" i="113" s="1"/>
  <c r="Y896" i="113" s="1"/>
  <c r="AC896" i="113" s="1"/>
  <c r="AG896" i="113" s="1"/>
  <c r="O1328" i="113"/>
  <c r="T1328" i="113" s="1"/>
  <c r="W1328" i="113" s="1"/>
  <c r="Y1328" i="113" s="1"/>
  <c r="AC1328" i="113" s="1"/>
  <c r="AG1328" i="113" s="1"/>
  <c r="O1446" i="113"/>
  <c r="T1446" i="113" s="1"/>
  <c r="W1446" i="113" s="1"/>
  <c r="Y1446" i="113" s="1"/>
  <c r="AC1446" i="113" s="1"/>
  <c r="AG1446" i="113" s="1"/>
  <c r="O1674" i="113"/>
  <c r="T1674" i="113" s="1"/>
  <c r="W1674" i="113" s="1"/>
  <c r="Y1674" i="113" s="1"/>
  <c r="O270" i="113"/>
  <c r="O2509" i="113"/>
  <c r="T2509" i="113" s="1"/>
  <c r="W2509" i="113" s="1"/>
  <c r="Y2509" i="113" s="1"/>
  <c r="AC2509" i="113" s="1"/>
  <c r="AG2509" i="113" s="1"/>
  <c r="O564" i="113"/>
  <c r="T564" i="113" s="1"/>
  <c r="W564" i="113" s="1"/>
  <c r="Y564" i="113" s="1"/>
  <c r="AC564" i="113" s="1"/>
  <c r="AG564" i="113" s="1"/>
  <c r="O1187" i="113"/>
  <c r="T1187" i="113" s="1"/>
  <c r="W1187" i="113" s="1"/>
  <c r="Y1187" i="113" s="1"/>
  <c r="O1361" i="113"/>
  <c r="T1361" i="113" s="1"/>
  <c r="W1361" i="113" s="1"/>
  <c r="Y1361" i="113" s="1"/>
  <c r="O1162" i="113"/>
  <c r="T1162" i="113" s="1"/>
  <c r="W1162" i="113" s="1"/>
  <c r="Y1162" i="113" s="1"/>
  <c r="AC1162" i="113" s="1"/>
  <c r="AG1162" i="113" s="1"/>
  <c r="O970" i="113"/>
  <c r="T970" i="113" s="1"/>
  <c r="W970" i="113" s="1"/>
  <c r="Y970" i="113" s="1"/>
  <c r="O2355" i="113"/>
  <c r="O237" i="113"/>
  <c r="O681" i="113"/>
  <c r="T681" i="113" s="1"/>
  <c r="W681" i="113" s="1"/>
  <c r="Y681" i="113" s="1"/>
  <c r="O1868" i="113"/>
  <c r="T1868" i="113" s="1"/>
  <c r="W1868" i="113" s="1"/>
  <c r="Y1868" i="113" s="1"/>
  <c r="AC1868" i="113" s="1"/>
  <c r="AG1868" i="113" s="1"/>
  <c r="O286" i="113"/>
  <c r="T286" i="113" s="1"/>
  <c r="W286" i="113" s="1"/>
  <c r="Y286" i="113" s="1"/>
  <c r="AC286" i="113" s="1"/>
  <c r="AG286" i="113" s="1"/>
  <c r="O751" i="113"/>
  <c r="T751" i="113" s="1"/>
  <c r="W751" i="113" s="1"/>
  <c r="Y751" i="113" s="1"/>
  <c r="AC751" i="113" s="1"/>
  <c r="AG751" i="113" s="1"/>
  <c r="O1118" i="113"/>
  <c r="T1118" i="113" s="1"/>
  <c r="W1118" i="113" s="1"/>
  <c r="Y1118" i="113" s="1"/>
  <c r="AC1118" i="113" s="1"/>
  <c r="AG1118" i="113" s="1"/>
  <c r="O317" i="113"/>
  <c r="T317" i="113" s="1"/>
  <c r="W317" i="113" s="1"/>
  <c r="Y317" i="113" s="1"/>
  <c r="AC317" i="113" s="1"/>
  <c r="AG317" i="113" s="1"/>
  <c r="O384" i="113"/>
  <c r="T384" i="113" s="1"/>
  <c r="W384" i="113" s="1"/>
  <c r="Y384" i="113" s="1"/>
  <c r="O627" i="113"/>
  <c r="T627" i="113" s="1"/>
  <c r="W627" i="113" s="1"/>
  <c r="Y627" i="113" s="1"/>
  <c r="AC627" i="113" s="1"/>
  <c r="AG627" i="113" s="1"/>
  <c r="S225" i="113"/>
  <c r="T225" i="113" s="1"/>
  <c r="W225" i="113" s="1"/>
  <c r="Y225" i="113" s="1"/>
  <c r="AC225" i="113" s="1"/>
  <c r="AG225" i="113" s="1"/>
  <c r="O2163" i="113"/>
  <c r="T2163" i="113" s="1"/>
  <c r="W2163" i="113" s="1"/>
  <c r="Y2163" i="113" s="1"/>
  <c r="AC2163" i="113" s="1"/>
  <c r="AG2163" i="113" s="1"/>
  <c r="O1042" i="113"/>
  <c r="T1042" i="113" s="1"/>
  <c r="W1042" i="113" s="1"/>
  <c r="Y1042" i="113" s="1"/>
  <c r="AC1042" i="113" s="1"/>
  <c r="AG1042" i="113" s="1"/>
  <c r="O1433" i="113"/>
  <c r="T1433" i="113" s="1"/>
  <c r="W1433" i="113" s="1"/>
  <c r="Y1433" i="113" s="1"/>
  <c r="AC1433" i="113" s="1"/>
  <c r="AG1433" i="113" s="1"/>
  <c r="O874" i="113"/>
  <c r="O1410" i="113"/>
  <c r="T1410" i="113" s="1"/>
  <c r="W1410" i="113" s="1"/>
  <c r="Y1410" i="113" s="1"/>
  <c r="O473" i="113"/>
  <c r="T473" i="113" s="1"/>
  <c r="W473" i="113" s="1"/>
  <c r="Y473" i="113" s="1"/>
  <c r="AC473" i="113" s="1"/>
  <c r="AG473" i="113" s="1"/>
  <c r="O2560" i="113"/>
  <c r="O36" i="113"/>
  <c r="O1713" i="113"/>
  <c r="T1713" i="113" s="1"/>
  <c r="W1713" i="113" s="1"/>
  <c r="Y1713" i="113" s="1"/>
  <c r="AC1713" i="113" s="1"/>
  <c r="AG1713" i="113" s="1"/>
  <c r="O2070" i="113"/>
  <c r="T2070" i="113" s="1"/>
  <c r="W2070" i="113" s="1"/>
  <c r="Y2070" i="113" s="1"/>
  <c r="AC2070" i="113" s="1"/>
  <c r="AG2070" i="113" s="1"/>
  <c r="O690" i="113"/>
  <c r="T690" i="113" s="1"/>
  <c r="W690" i="113" s="1"/>
  <c r="Y690" i="113" s="1"/>
  <c r="O1474" i="113"/>
  <c r="T1474" i="113" s="1"/>
  <c r="W1474" i="113" s="1"/>
  <c r="Y1474" i="113" s="1"/>
  <c r="AC1474" i="113" s="1"/>
  <c r="AG1474" i="113" s="1"/>
  <c r="O1373" i="113"/>
  <c r="T1373" i="113" s="1"/>
  <c r="W1373" i="113" s="1"/>
  <c r="Y1373" i="113" s="1"/>
  <c r="AC1373" i="113" s="1"/>
  <c r="AG1373" i="113" s="1"/>
  <c r="O629" i="113"/>
  <c r="T629" i="113" s="1"/>
  <c r="W629" i="113" s="1"/>
  <c r="Y629" i="113" s="1"/>
  <c r="O363" i="113"/>
  <c r="T363" i="113" s="1"/>
  <c r="W363" i="113" s="1"/>
  <c r="Y363" i="113" s="1"/>
  <c r="AC363" i="113" s="1"/>
  <c r="AG363" i="113" s="1"/>
  <c r="S192" i="113"/>
  <c r="T192" i="113" s="1"/>
  <c r="W192" i="113" s="1"/>
  <c r="Y192" i="113" s="1"/>
  <c r="O2191" i="113"/>
  <c r="T2191" i="113" s="1"/>
  <c r="W2191" i="113" s="1"/>
  <c r="Y2191" i="113" s="1"/>
  <c r="AC2191" i="113" s="1"/>
  <c r="AG2191" i="113" s="1"/>
  <c r="O1097" i="113"/>
  <c r="T1097" i="113" s="1"/>
  <c r="W1097" i="113" s="1"/>
  <c r="Y1097" i="113" s="1"/>
  <c r="AC1097" i="113" s="1"/>
  <c r="AG1097" i="113" s="1"/>
  <c r="O2469" i="113"/>
  <c r="T2469" i="113" s="1"/>
  <c r="W2469" i="113" s="1"/>
  <c r="Y2469" i="113" s="1"/>
  <c r="AC2469" i="113" s="1"/>
  <c r="AG2469" i="113" s="1"/>
  <c r="O702" i="113"/>
  <c r="T702" i="113" s="1"/>
  <c r="W702" i="113" s="1"/>
  <c r="Y702" i="113" s="1"/>
  <c r="AC702" i="113" s="1"/>
  <c r="AG702" i="113" s="1"/>
  <c r="O1794" i="113"/>
  <c r="T1794" i="113" s="1"/>
  <c r="W1794" i="113" s="1"/>
  <c r="Y1794" i="113" s="1"/>
  <c r="AC1794" i="113" s="1"/>
  <c r="AG1794" i="113" s="1"/>
  <c r="O700" i="113"/>
  <c r="T700" i="113" s="1"/>
  <c r="W700" i="113" s="1"/>
  <c r="Y700" i="113" s="1"/>
  <c r="O1907" i="113"/>
  <c r="T1907" i="113" s="1"/>
  <c r="W1907" i="113" s="1"/>
  <c r="Y1907" i="113" s="1"/>
  <c r="AC1907" i="113" s="1"/>
  <c r="AG1907" i="113" s="1"/>
  <c r="O8" i="113"/>
  <c r="O1918" i="113"/>
  <c r="O775" i="113"/>
  <c r="T775" i="113" s="1"/>
  <c r="W775" i="113" s="1"/>
  <c r="Y775" i="113" s="1"/>
  <c r="AC775" i="113" s="1"/>
  <c r="AG775" i="113" s="1"/>
  <c r="O500" i="113"/>
  <c r="T500" i="113" s="1"/>
  <c r="W500" i="113" s="1"/>
  <c r="Y500" i="113" s="1"/>
  <c r="AC500" i="113" s="1"/>
  <c r="AG500" i="113" s="1"/>
  <c r="O1943" i="113"/>
  <c r="T1943" i="113" s="1"/>
  <c r="W1943" i="113" s="1"/>
  <c r="Y1943" i="113" s="1"/>
  <c r="AC1943" i="113" s="1"/>
  <c r="AG1943" i="113" s="1"/>
  <c r="O1628" i="113"/>
  <c r="T1628" i="113" s="1"/>
  <c r="W1628" i="113" s="1"/>
  <c r="Y1628" i="113" s="1"/>
  <c r="AC1628" i="113" s="1"/>
  <c r="AG1628" i="113" s="1"/>
  <c r="O2458" i="113"/>
  <c r="T2458" i="113" s="1"/>
  <c r="W2458" i="113" s="1"/>
  <c r="Y2458" i="113" s="1"/>
  <c r="AC2458" i="113" s="1"/>
  <c r="AG2458" i="113" s="1"/>
  <c r="O831" i="113"/>
  <c r="O488" i="113"/>
  <c r="T488" i="113" s="1"/>
  <c r="W488" i="113" s="1"/>
  <c r="Y488" i="113" s="1"/>
  <c r="O1970" i="113"/>
  <c r="T1970" i="113" s="1"/>
  <c r="W1970" i="113" s="1"/>
  <c r="Y1970" i="113" s="1"/>
  <c r="AC1970" i="113" s="1"/>
  <c r="AG1970" i="113" s="1"/>
  <c r="O446" i="113"/>
  <c r="O114" i="113"/>
  <c r="T114" i="113" s="1"/>
  <c r="W114" i="113" s="1"/>
  <c r="Y114" i="113" s="1"/>
  <c r="O924" i="113"/>
  <c r="O1997" i="113"/>
  <c r="T1997" i="113" s="1"/>
  <c r="W1997" i="113" s="1"/>
  <c r="Y1997" i="113" s="1"/>
  <c r="O66" i="113"/>
  <c r="T66" i="113" s="1"/>
  <c r="W66" i="113" s="1"/>
  <c r="Y66" i="113" s="1"/>
  <c r="O354" i="113"/>
  <c r="T354" i="113" s="1"/>
  <c r="W354" i="113" s="1"/>
  <c r="Y354" i="113" s="1"/>
  <c r="O212" i="113"/>
  <c r="O2120" i="113"/>
  <c r="T2120" i="113" s="1"/>
  <c r="W2120" i="113" s="1"/>
  <c r="Y2120" i="113" s="1"/>
  <c r="O720" i="113"/>
  <c r="T720" i="113" s="1"/>
  <c r="W720" i="113" s="1"/>
  <c r="Y720" i="113" s="1"/>
  <c r="AC720" i="113" s="1"/>
  <c r="AG720" i="113" s="1"/>
  <c r="O2044" i="113"/>
  <c r="O2238" i="113"/>
  <c r="T2238" i="113" s="1"/>
  <c r="W2238" i="113" s="1"/>
  <c r="Y2238" i="113" s="1"/>
  <c r="AC2238" i="113" s="1"/>
  <c r="AG2238" i="113" s="1"/>
  <c r="O515" i="113"/>
  <c r="T515" i="113" s="1"/>
  <c r="W515" i="113" s="1"/>
  <c r="Y515" i="113" s="1"/>
  <c r="AC515" i="113" s="1"/>
  <c r="AG515" i="113" s="1"/>
  <c r="O1917" i="113"/>
  <c r="T1917" i="113" s="1"/>
  <c r="W1917" i="113" s="1"/>
  <c r="Y1917" i="113" s="1"/>
  <c r="AC1917" i="113" s="1"/>
  <c r="AG1917" i="113" s="1"/>
  <c r="O711" i="113"/>
  <c r="O282" i="113"/>
  <c r="O1285" i="113"/>
  <c r="T1285" i="113" s="1"/>
  <c r="W1285" i="113" s="1"/>
  <c r="Y1285" i="113" s="1"/>
  <c r="AC1285" i="113" s="1"/>
  <c r="AG1285" i="113" s="1"/>
  <c r="O1106" i="113"/>
  <c r="T1106" i="113" s="1"/>
  <c r="W1106" i="113" s="1"/>
  <c r="Y1106" i="113" s="1"/>
  <c r="O1021" i="113"/>
  <c r="O1141" i="113"/>
  <c r="T1141" i="113" s="1"/>
  <c r="W1141" i="113" s="1"/>
  <c r="Y1141" i="113" s="1"/>
  <c r="AC1141" i="113" s="1"/>
  <c r="AG1141" i="113" s="1"/>
  <c r="O118" i="113"/>
  <c r="O1080" i="113"/>
  <c r="T1080" i="113" s="1"/>
  <c r="W1080" i="113" s="1"/>
  <c r="Y1080" i="113" s="1"/>
  <c r="S87" i="113"/>
  <c r="T87" i="113" s="1"/>
  <c r="W87" i="113" s="1"/>
  <c r="Y87" i="113" s="1"/>
  <c r="AC87" i="113" s="1"/>
  <c r="AG87" i="113" s="1"/>
  <c r="O1873" i="113"/>
  <c r="T1873" i="113" s="1"/>
  <c r="W1873" i="113" s="1"/>
  <c r="Y1873" i="113" s="1"/>
  <c r="AC1873" i="113" s="1"/>
  <c r="AG1873" i="113" s="1"/>
  <c r="O2451" i="113"/>
  <c r="O1718" i="113"/>
  <c r="T1718" i="113" s="1"/>
  <c r="W1718" i="113" s="1"/>
  <c r="Y1718" i="113" s="1"/>
  <c r="AC1718" i="113" s="1"/>
  <c r="AG1718" i="113" s="1"/>
  <c r="O1177" i="113"/>
  <c r="T1177" i="113" s="1"/>
  <c r="W1177" i="113" s="1"/>
  <c r="Y1177" i="113" s="1"/>
  <c r="AC1177" i="113" s="1"/>
  <c r="AG1177" i="113" s="1"/>
  <c r="O2119" i="113"/>
  <c r="T2119" i="113" s="1"/>
  <c r="W2119" i="113" s="1"/>
  <c r="Y2119" i="113" s="1"/>
  <c r="AC2119" i="113" s="1"/>
  <c r="AG2119" i="113" s="1"/>
  <c r="O1116" i="113"/>
  <c r="T1116" i="113" s="1"/>
  <c r="W1116" i="113" s="1"/>
  <c r="Y1116" i="113" s="1"/>
  <c r="O83" i="113"/>
  <c r="T83" i="113" s="1"/>
  <c r="W83" i="113" s="1"/>
  <c r="Y83" i="113" s="1"/>
  <c r="O1512" i="113"/>
  <c r="T1512" i="113" s="1"/>
  <c r="W1512" i="113" s="1"/>
  <c r="Y1512" i="113" s="1"/>
  <c r="AC1512" i="113" s="1"/>
  <c r="AG1512" i="113" s="1"/>
  <c r="O1037" i="113"/>
  <c r="O370" i="113"/>
  <c r="T370" i="113" s="1"/>
  <c r="W370" i="113" s="1"/>
  <c r="Y370" i="113" s="1"/>
  <c r="O1394" i="113"/>
  <c r="T1394" i="113" s="1"/>
  <c r="W1394" i="113" s="1"/>
  <c r="Y1394" i="113" s="1"/>
  <c r="O472" i="113"/>
  <c r="T472" i="113" s="1"/>
  <c r="W472" i="113" s="1"/>
  <c r="Y472" i="113" s="1"/>
  <c r="AC472" i="113" s="1"/>
  <c r="AG472" i="113" s="1"/>
  <c r="O2151" i="113"/>
  <c r="O2076" i="113"/>
  <c r="O1854" i="113"/>
  <c r="T1854" i="113" s="1"/>
  <c r="W1854" i="113" s="1"/>
  <c r="Y1854" i="113" s="1"/>
  <c r="AC1854" i="113" s="1"/>
  <c r="AG1854" i="113" s="1"/>
  <c r="O1163" i="113"/>
  <c r="O1422" i="113"/>
  <c r="T1422" i="113" s="1"/>
  <c r="W1422" i="113" s="1"/>
  <c r="Y1422" i="113" s="1"/>
  <c r="AC1422" i="113" s="1"/>
  <c r="AG1422" i="113" s="1"/>
  <c r="O2019" i="113"/>
  <c r="T2019" i="113" s="1"/>
  <c r="W2019" i="113" s="1"/>
  <c r="Y2019" i="113" s="1"/>
  <c r="AC2019" i="113" s="1"/>
  <c r="AG2019" i="113" s="1"/>
  <c r="O1030" i="113"/>
  <c r="T1030" i="113" s="1"/>
  <c r="W1030" i="113" s="1"/>
  <c r="Y1030" i="113" s="1"/>
  <c r="AC1030" i="113" s="1"/>
  <c r="AG1030" i="113" s="1"/>
  <c r="O951" i="113"/>
  <c r="T951" i="113" s="1"/>
  <c r="W951" i="113" s="1"/>
  <c r="Y951" i="113" s="1"/>
  <c r="AC951" i="113" s="1"/>
  <c r="AG951" i="113" s="1"/>
  <c r="O523" i="113"/>
  <c r="T523" i="113" s="1"/>
  <c r="W523" i="113" s="1"/>
  <c r="Y523" i="113" s="1"/>
  <c r="O736" i="113"/>
  <c r="O868" i="113"/>
  <c r="O617" i="113"/>
  <c r="T617" i="113" s="1"/>
  <c r="W617" i="113" s="1"/>
  <c r="Y617" i="113" s="1"/>
  <c r="O1734" i="113"/>
  <c r="T1734" i="113" s="1"/>
  <c r="W1734" i="113" s="1"/>
  <c r="Y1734" i="113" s="1"/>
  <c r="O699" i="113"/>
  <c r="T699" i="113" s="1"/>
  <c r="W699" i="113" s="1"/>
  <c r="Y699" i="113" s="1"/>
  <c r="AC699" i="113" s="1"/>
  <c r="AG699" i="113" s="1"/>
  <c r="O2356" i="113"/>
  <c r="T2356" i="113" s="1"/>
  <c r="W2356" i="113" s="1"/>
  <c r="Y2356" i="113" s="1"/>
  <c r="O2654" i="113"/>
  <c r="T2654" i="113" s="1"/>
  <c r="W2654" i="113" s="1"/>
  <c r="Y2654" i="113" s="1"/>
  <c r="AC2654" i="113" s="1"/>
  <c r="AG2654" i="113" s="1"/>
  <c r="O2279" i="113"/>
  <c r="T2279" i="113" s="1"/>
  <c r="W2279" i="113" s="1"/>
  <c r="Y2279" i="113" s="1"/>
  <c r="O513" i="113"/>
  <c r="T513" i="113" s="1"/>
  <c r="W513" i="113" s="1"/>
  <c r="Y513" i="113" s="1"/>
  <c r="AC513" i="113" s="1"/>
  <c r="AG513" i="113" s="1"/>
  <c r="O1618" i="113"/>
  <c r="T1618" i="113" s="1"/>
  <c r="W1618" i="113" s="1"/>
  <c r="Y1618" i="113" s="1"/>
  <c r="AC1618" i="113" s="1"/>
  <c r="AG1618" i="113" s="1"/>
  <c r="O1837" i="113"/>
  <c r="T1837" i="113" s="1"/>
  <c r="W1837" i="113" s="1"/>
  <c r="Y1837" i="113" s="1"/>
  <c r="AC1837" i="113" s="1"/>
  <c r="AG1837" i="113" s="1"/>
  <c r="O2125" i="113"/>
  <c r="T2125" i="113" s="1"/>
  <c r="W2125" i="113" s="1"/>
  <c r="Y2125" i="113" s="1"/>
  <c r="O1012" i="113"/>
  <c r="T1012" i="113" s="1"/>
  <c r="W1012" i="113" s="1"/>
  <c r="Y1012" i="113" s="1"/>
  <c r="O857" i="113"/>
  <c r="T857" i="113" s="1"/>
  <c r="W857" i="113" s="1"/>
  <c r="Y857" i="113" s="1"/>
  <c r="AC857" i="113" s="1"/>
  <c r="AG857" i="113" s="1"/>
  <c r="O1233" i="113"/>
  <c r="T1233" i="113" s="1"/>
  <c r="W1233" i="113" s="1"/>
  <c r="Y1233" i="113" s="1"/>
  <c r="AC1233" i="113" s="1"/>
  <c r="AG1233" i="113" s="1"/>
  <c r="O2436" i="113"/>
  <c r="T2436" i="113" s="1"/>
  <c r="W2436" i="113" s="1"/>
  <c r="Y2436" i="113" s="1"/>
  <c r="AC2436" i="113" s="1"/>
  <c r="AG2436" i="113" s="1"/>
  <c r="O789" i="113"/>
  <c r="T789" i="113" s="1"/>
  <c r="W789" i="113" s="1"/>
  <c r="Y789" i="113" s="1"/>
  <c r="AC789" i="113" s="1"/>
  <c r="AG789" i="113" s="1"/>
  <c r="O406" i="113"/>
  <c r="T406" i="113" s="1"/>
  <c r="W406" i="113" s="1"/>
  <c r="Y406" i="113" s="1"/>
  <c r="AC406" i="113" s="1"/>
  <c r="AG406" i="113" s="1"/>
  <c r="O1938" i="113"/>
  <c r="T1938" i="113" s="1"/>
  <c r="W1938" i="113" s="1"/>
  <c r="Y1938" i="113" s="1"/>
  <c r="AC1938" i="113" s="1"/>
  <c r="AG1938" i="113" s="1"/>
  <c r="O900" i="113"/>
  <c r="T900" i="113" s="1"/>
  <c r="W900" i="113" s="1"/>
  <c r="Y900" i="113" s="1"/>
  <c r="O2561" i="113"/>
  <c r="T2561" i="113" s="1"/>
  <c r="W2561" i="113" s="1"/>
  <c r="Y2561" i="113" s="1"/>
  <c r="AC2561" i="113" s="1"/>
  <c r="AG2561" i="113" s="1"/>
  <c r="O220" i="113"/>
  <c r="T220" i="113" s="1"/>
  <c r="W220" i="113" s="1"/>
  <c r="Y220" i="113" s="1"/>
  <c r="O2429" i="113"/>
  <c r="O80" i="113"/>
  <c r="T80" i="113" s="1"/>
  <c r="W80" i="113" s="1"/>
  <c r="Y80" i="113" s="1"/>
  <c r="AC80" i="113" s="1"/>
  <c r="AG80" i="113" s="1"/>
  <c r="O2040" i="113"/>
  <c r="O1545" i="113"/>
  <c r="T1545" i="113" s="1"/>
  <c r="W1545" i="113" s="1"/>
  <c r="Y1545" i="113" s="1"/>
  <c r="AC1545" i="113" s="1"/>
  <c r="AG1545" i="113" s="1"/>
  <c r="O1051" i="113"/>
  <c r="O2015" i="113"/>
  <c r="T2015" i="113" s="1"/>
  <c r="W2015" i="113" s="1"/>
  <c r="Y2015" i="113" s="1"/>
  <c r="AC2015" i="113" s="1"/>
  <c r="AG2015" i="113" s="1"/>
  <c r="O1088" i="113"/>
  <c r="T1088" i="113" s="1"/>
  <c r="W1088" i="113" s="1"/>
  <c r="Y1088" i="113" s="1"/>
  <c r="O1059" i="113"/>
  <c r="T1059" i="113" s="1"/>
  <c r="W1059" i="113" s="1"/>
  <c r="Y1059" i="113" s="1"/>
  <c r="AC1059" i="113" s="1"/>
  <c r="AG1059" i="113" s="1"/>
  <c r="O1470" i="113"/>
  <c r="T1470" i="113" s="1"/>
  <c r="W1470" i="113" s="1"/>
  <c r="Y1470" i="113" s="1"/>
  <c r="AC1470" i="113" s="1"/>
  <c r="AG1470" i="113" s="1"/>
  <c r="O2174" i="113"/>
  <c r="T2174" i="113" s="1"/>
  <c r="W2174" i="113" s="1"/>
  <c r="Y2174" i="113" s="1"/>
  <c r="O1685" i="113"/>
  <c r="T1685" i="113" s="1"/>
  <c r="W1685" i="113" s="1"/>
  <c r="Y1685" i="113" s="1"/>
  <c r="O316" i="113"/>
  <c r="T316" i="113" s="1"/>
  <c r="W316" i="113" s="1"/>
  <c r="Y316" i="113" s="1"/>
  <c r="AC316" i="113" s="1"/>
  <c r="AG316" i="113" s="1"/>
  <c r="O1146" i="113"/>
  <c r="T1146" i="113" s="1"/>
  <c r="W1146" i="113" s="1"/>
  <c r="Y1146" i="113" s="1"/>
  <c r="AC1146" i="113" s="1"/>
  <c r="AG1146" i="113" s="1"/>
  <c r="O1135" i="113"/>
  <c r="T1135" i="113" s="1"/>
  <c r="W1135" i="113" s="1"/>
  <c r="Y1135" i="113" s="1"/>
  <c r="AC1135" i="113" s="1"/>
  <c r="AG1135" i="113" s="1"/>
  <c r="O1514" i="113"/>
  <c r="T1514" i="113" s="1"/>
  <c r="W1514" i="113" s="1"/>
  <c r="Y1514" i="113" s="1"/>
  <c r="AC1514" i="113" s="1"/>
  <c r="AG1514" i="113" s="1"/>
  <c r="O423" i="113"/>
  <c r="T423" i="113" s="1"/>
  <c r="W423" i="113" s="1"/>
  <c r="Y423" i="113" s="1"/>
  <c r="AC423" i="113" s="1"/>
  <c r="AG423" i="113" s="1"/>
  <c r="O334" i="113"/>
  <c r="T334" i="113" s="1"/>
  <c r="W334" i="113" s="1"/>
  <c r="Y334" i="113" s="1"/>
  <c r="O284" i="113"/>
  <c r="T284" i="113" s="1"/>
  <c r="W284" i="113" s="1"/>
  <c r="Y284" i="113" s="1"/>
  <c r="AC284" i="113" s="1"/>
  <c r="AG284" i="113" s="1"/>
  <c r="S160" i="113"/>
  <c r="T160" i="113" s="1"/>
  <c r="W160" i="113" s="1"/>
  <c r="Y160" i="113" s="1"/>
  <c r="AC160" i="113" s="1"/>
  <c r="AG160" i="113" s="1"/>
  <c r="O1067" i="113"/>
  <c r="O1748" i="113"/>
  <c r="T1748" i="113" s="1"/>
  <c r="W1748" i="113" s="1"/>
  <c r="Y1748" i="113" s="1"/>
  <c r="AC1748" i="113" s="1"/>
  <c r="AG1748" i="113" s="1"/>
  <c r="O1845" i="113"/>
  <c r="T1845" i="113" s="1"/>
  <c r="W1845" i="113" s="1"/>
  <c r="Y1845" i="113" s="1"/>
  <c r="AC1845" i="113" s="1"/>
  <c r="AG1845" i="113" s="1"/>
  <c r="O519" i="113"/>
  <c r="T519" i="113" s="1"/>
  <c r="W519" i="113" s="1"/>
  <c r="Y519" i="113" s="1"/>
  <c r="O1345" i="113"/>
  <c r="O2465" i="113"/>
  <c r="O597" i="113"/>
  <c r="O2196" i="113"/>
  <c r="O774" i="113"/>
  <c r="O1405" i="113"/>
  <c r="O1588" i="113"/>
  <c r="O1719" i="113"/>
  <c r="O1280" i="113"/>
  <c r="O2652" i="113"/>
  <c r="O1971" i="113"/>
  <c r="O2551" i="113"/>
  <c r="O2307" i="113"/>
  <c r="O1951" i="113"/>
  <c r="O2126" i="113"/>
  <c r="O2156" i="113"/>
  <c r="O2548" i="113"/>
  <c r="O764" i="113"/>
  <c r="O2659" i="113"/>
  <c r="O552" i="113"/>
  <c r="O728" i="113"/>
  <c r="S179" i="113"/>
  <c r="O179" i="113"/>
  <c r="O2278" i="113"/>
  <c r="O1714" i="113"/>
  <c r="T1714" i="113" s="1"/>
  <c r="W1714" i="113" s="1"/>
  <c r="Y1714" i="113" s="1"/>
  <c r="O2387" i="113"/>
  <c r="O1939" i="113"/>
  <c r="O1942" i="113"/>
  <c r="O1999" i="113"/>
  <c r="O2382" i="113"/>
  <c r="O2403" i="113"/>
  <c r="O2263" i="113"/>
  <c r="O2371" i="113"/>
  <c r="O2606" i="113"/>
  <c r="O2418" i="113"/>
  <c r="O2589" i="113"/>
  <c r="O2227" i="113"/>
  <c r="O1965" i="113"/>
  <c r="O1891" i="113"/>
  <c r="O2291" i="113"/>
  <c r="O477" i="113"/>
  <c r="O2234" i="113"/>
  <c r="O2211" i="113"/>
  <c r="O1884" i="113"/>
  <c r="O889" i="113"/>
  <c r="O290" i="113"/>
  <c r="O1521" i="113"/>
  <c r="O1452" i="113"/>
  <c r="O1988" i="113"/>
  <c r="O2554" i="113"/>
  <c r="O2190" i="113"/>
  <c r="O295" i="113"/>
  <c r="O233" i="113"/>
  <c r="S233" i="113"/>
  <c r="O1224" i="113"/>
  <c r="O2180" i="113"/>
  <c r="O2567" i="113"/>
  <c r="O1550" i="113"/>
  <c r="O424" i="113"/>
  <c r="O486" i="113"/>
  <c r="O818" i="113"/>
  <c r="O376" i="113"/>
  <c r="O2573" i="113"/>
  <c r="O1002" i="113"/>
  <c r="O1010" i="113"/>
  <c r="O1504" i="113"/>
  <c r="O1523" i="113"/>
  <c r="O2001" i="113"/>
  <c r="O2676" i="113"/>
  <c r="O2417" i="113"/>
  <c r="O843" i="113"/>
  <c r="O674" i="113"/>
  <c r="S227" i="113"/>
  <c r="O227" i="113"/>
  <c r="O1799" i="113"/>
  <c r="O870" i="113"/>
  <c r="O2288" i="113"/>
  <c r="O1584" i="113"/>
  <c r="O2661" i="113"/>
  <c r="O1998" i="113"/>
  <c r="O2363" i="113"/>
  <c r="O1221" i="113"/>
  <c r="O2647" i="113"/>
  <c r="O759" i="113"/>
  <c r="O1579" i="113"/>
  <c r="O2348" i="113"/>
  <c r="O1542" i="113"/>
  <c r="O2625" i="113"/>
  <c r="O1475" i="113"/>
  <c r="O2086" i="113"/>
  <c r="O2633" i="113"/>
  <c r="O2203" i="113"/>
  <c r="O1263" i="113"/>
  <c r="O842" i="113"/>
  <c r="O1576" i="113"/>
  <c r="O704" i="113"/>
  <c r="O1312" i="113"/>
  <c r="O1672" i="113"/>
  <c r="O1740" i="113"/>
  <c r="O388" i="113"/>
  <c r="O2231" i="113"/>
  <c r="O2597" i="113"/>
  <c r="O2170" i="113"/>
  <c r="O72" i="113"/>
  <c r="S72" i="113"/>
  <c r="O1300" i="113"/>
  <c r="O899" i="113"/>
  <c r="O2017" i="113"/>
  <c r="O1859" i="113"/>
  <c r="O1415" i="113"/>
  <c r="O1437" i="113"/>
  <c r="O1706" i="113"/>
  <c r="O404" i="113"/>
  <c r="O2256" i="113"/>
  <c r="O230" i="113"/>
  <c r="S230" i="113"/>
  <c r="O980" i="113"/>
  <c r="O2028" i="113"/>
  <c r="O1786" i="113"/>
  <c r="O426" i="113"/>
  <c r="O364" i="113"/>
  <c r="O639" i="113"/>
  <c r="O1172" i="113"/>
  <c r="O1375" i="113"/>
  <c r="O1171" i="113"/>
  <c r="O1792" i="113"/>
  <c r="O2628" i="113"/>
  <c r="O1185" i="113"/>
  <c r="O1371" i="113"/>
  <c r="S2" i="113"/>
  <c r="O2" i="113"/>
  <c r="O1783" i="113"/>
  <c r="O508" i="113"/>
  <c r="O2171" i="113"/>
  <c r="O628" i="113"/>
  <c r="O1060" i="113"/>
  <c r="S35" i="113"/>
  <c r="O35" i="113"/>
  <c r="O1690" i="113"/>
  <c r="O590" i="113"/>
  <c r="O2408" i="113"/>
  <c r="T2408" i="113" s="1"/>
  <c r="W2408" i="113" s="1"/>
  <c r="Y2408" i="113" s="1"/>
  <c r="AC2408" i="113" s="1"/>
  <c r="AG2408" i="113" s="1"/>
  <c r="O921" i="113"/>
  <c r="O1015" i="113"/>
  <c r="O2064" i="113"/>
  <c r="O1027" i="113"/>
  <c r="O1566" i="113"/>
  <c r="O2632" i="113"/>
  <c r="O236" i="113"/>
  <c r="S236" i="113"/>
  <c r="O271" i="113"/>
  <c r="O610" i="113"/>
  <c r="O333" i="113"/>
  <c r="O1244" i="113"/>
  <c r="O991" i="113"/>
  <c r="O1112" i="113"/>
  <c r="O357" i="113"/>
  <c r="O479" i="113"/>
  <c r="O89" i="113"/>
  <c r="O1346" i="113"/>
  <c r="T1346" i="113" s="1"/>
  <c r="W1346" i="113" s="1"/>
  <c r="Y1346" i="113" s="1"/>
  <c r="AC1346" i="113" s="1"/>
  <c r="AG1346" i="113" s="1"/>
  <c r="O657" i="113"/>
  <c r="T657" i="113" s="1"/>
  <c r="W657" i="113" s="1"/>
  <c r="Y657" i="113" s="1"/>
  <c r="AC657" i="113" s="1"/>
  <c r="AG657" i="113" s="1"/>
  <c r="O371" i="113"/>
  <c r="T371" i="113" s="1"/>
  <c r="W371" i="113" s="1"/>
  <c r="Y371" i="113" s="1"/>
  <c r="AC371" i="113" s="1"/>
  <c r="AG371" i="113" s="1"/>
  <c r="O2383" i="113"/>
  <c r="T2383" i="113" s="1"/>
  <c r="W2383" i="113" s="1"/>
  <c r="Y2383" i="113" s="1"/>
  <c r="AC2383" i="113" s="1"/>
  <c r="AG2383" i="113" s="1"/>
  <c r="O1268" i="113"/>
  <c r="T1268" i="113" s="1"/>
  <c r="W1268" i="113" s="1"/>
  <c r="Y1268" i="113" s="1"/>
  <c r="AC1268" i="113" s="1"/>
  <c r="AG1268" i="113" s="1"/>
  <c r="O1775" i="113"/>
  <c r="T1775" i="113" s="1"/>
  <c r="W1775" i="113" s="1"/>
  <c r="Y1775" i="113" s="1"/>
  <c r="AC1775" i="113" s="1"/>
  <c r="AG1775" i="113" s="1"/>
  <c r="O1575" i="113"/>
  <c r="T1575" i="113" s="1"/>
  <c r="W1575" i="113" s="1"/>
  <c r="Y1575" i="113" s="1"/>
  <c r="AC1575" i="113" s="1"/>
  <c r="AG1575" i="113" s="1"/>
  <c r="O14" i="113"/>
  <c r="T14" i="113" s="1"/>
  <c r="W14" i="113" s="1"/>
  <c r="Y14" i="113" s="1"/>
  <c r="O98" i="113"/>
  <c r="T98" i="113" s="1"/>
  <c r="W98" i="113" s="1"/>
  <c r="Y98" i="113" s="1"/>
  <c r="O55" i="113"/>
  <c r="T55" i="113" s="1"/>
  <c r="W55" i="113" s="1"/>
  <c r="Y55" i="113" s="1"/>
  <c r="AC55" i="113" s="1"/>
  <c r="AG55" i="113" s="1"/>
  <c r="O804" i="113"/>
  <c r="T804" i="113" s="1"/>
  <c r="W804" i="113" s="1"/>
  <c r="Y804" i="113" s="1"/>
  <c r="AC804" i="113" s="1"/>
  <c r="AG804" i="113" s="1"/>
  <c r="O854" i="113"/>
  <c r="O1302" i="113"/>
  <c r="T1302" i="113" s="1"/>
  <c r="W1302" i="113" s="1"/>
  <c r="Y1302" i="113" s="1"/>
  <c r="AC1302" i="113" s="1"/>
  <c r="AG1302" i="113" s="1"/>
  <c r="O1688" i="113"/>
  <c r="O1517" i="113"/>
  <c r="T1517" i="113" s="1"/>
  <c r="W1517" i="113" s="1"/>
  <c r="Y1517" i="113" s="1"/>
  <c r="AC1517" i="113" s="1"/>
  <c r="AG1517" i="113" s="1"/>
  <c r="O1207" i="113"/>
  <c r="T1207" i="113" s="1"/>
  <c r="W1207" i="113" s="1"/>
  <c r="Y1207" i="113" s="1"/>
  <c r="O2419" i="113"/>
  <c r="T2419" i="113" s="1"/>
  <c r="W2419" i="113" s="1"/>
  <c r="Y2419" i="113" s="1"/>
  <c r="O410" i="113"/>
  <c r="O971" i="113"/>
  <c r="T971" i="113" s="1"/>
  <c r="W971" i="113" s="1"/>
  <c r="Y971" i="113" s="1"/>
  <c r="O716" i="113"/>
  <c r="T716" i="113" s="1"/>
  <c r="W716" i="113" s="1"/>
  <c r="Y716" i="113" s="1"/>
  <c r="AC716" i="113" s="1"/>
  <c r="AG716" i="113" s="1"/>
  <c r="O448" i="113"/>
  <c r="O1266" i="113"/>
  <c r="T1266" i="113" s="1"/>
  <c r="W1266" i="113" s="1"/>
  <c r="Y1266" i="113" s="1"/>
  <c r="O1730" i="113"/>
  <c r="T1730" i="113" s="1"/>
  <c r="W1730" i="113" s="1"/>
  <c r="Y1730" i="113" s="1"/>
  <c r="AC1730" i="113" s="1"/>
  <c r="AG1730" i="113" s="1"/>
  <c r="O531" i="113"/>
  <c r="O161" i="113"/>
  <c r="T161" i="113" s="1"/>
  <c r="W161" i="113" s="1"/>
  <c r="Y161" i="113" s="1"/>
  <c r="AC161" i="113" s="1"/>
  <c r="AG161" i="113" s="1"/>
  <c r="O783" i="113"/>
  <c r="T783" i="113" s="1"/>
  <c r="W783" i="113" s="1"/>
  <c r="Y783" i="113" s="1"/>
  <c r="AC783" i="113" s="1"/>
  <c r="AG783" i="113" s="1"/>
  <c r="O916" i="113"/>
  <c r="T916" i="113" s="1"/>
  <c r="W916" i="113" s="1"/>
  <c r="Y916" i="113" s="1"/>
  <c r="AC916" i="113" s="1"/>
  <c r="AG916" i="113" s="1"/>
  <c r="O632" i="113"/>
  <c r="T632" i="113" s="1"/>
  <c r="W632" i="113" s="1"/>
  <c r="Y632" i="113" s="1"/>
  <c r="AC632" i="113" s="1"/>
  <c r="AG632" i="113" s="1"/>
  <c r="O1815" i="113"/>
  <c r="T1815" i="113" s="1"/>
  <c r="W1815" i="113" s="1"/>
  <c r="Y1815" i="113" s="1"/>
  <c r="AC1815" i="113" s="1"/>
  <c r="AG1815" i="113" s="1"/>
  <c r="O2370" i="113"/>
  <c r="T2370" i="113" s="1"/>
  <c r="W2370" i="113" s="1"/>
  <c r="Y2370" i="113" s="1"/>
  <c r="O1161" i="113"/>
  <c r="T1161" i="113" s="1"/>
  <c r="W1161" i="113" s="1"/>
  <c r="Y1161" i="113" s="1"/>
  <c r="AC1161" i="113" s="1"/>
  <c r="AG1161" i="113" s="1"/>
  <c r="O459" i="113"/>
  <c r="T459" i="113" s="1"/>
  <c r="W459" i="113" s="1"/>
  <c r="Y459" i="113" s="1"/>
  <c r="AC459" i="113" s="1"/>
  <c r="AG459" i="113" s="1"/>
  <c r="O1886" i="113"/>
  <c r="T1886" i="113" s="1"/>
  <c r="W1886" i="113" s="1"/>
  <c r="Y1886" i="113" s="1"/>
  <c r="AC1886" i="113" s="1"/>
  <c r="AG1886" i="113" s="1"/>
  <c r="O133" i="113"/>
  <c r="T133" i="113" s="1"/>
  <c r="W133" i="113" s="1"/>
  <c r="Y133" i="113" s="1"/>
  <c r="AC133" i="113" s="1"/>
  <c r="AG133" i="113" s="1"/>
  <c r="O181" i="113"/>
  <c r="T181" i="113" s="1"/>
  <c r="W181" i="113" s="1"/>
  <c r="Y181" i="113" s="1"/>
  <c r="AC181" i="113" s="1"/>
  <c r="AG181" i="113" s="1"/>
  <c r="O283" i="113"/>
  <c r="T283" i="113" s="1"/>
  <c r="W283" i="113" s="1"/>
  <c r="Y283" i="113" s="1"/>
  <c r="O1193" i="113"/>
  <c r="T1193" i="113" s="1"/>
  <c r="W1193" i="113" s="1"/>
  <c r="Y1193" i="113" s="1"/>
  <c r="O954" i="113"/>
  <c r="T954" i="113" s="1"/>
  <c r="W954" i="113" s="1"/>
  <c r="Y954" i="113" s="1"/>
  <c r="AC954" i="113" s="1"/>
  <c r="AG954" i="113" s="1"/>
  <c r="O1771" i="113"/>
  <c r="O2210" i="113"/>
  <c r="T2210" i="113" s="1"/>
  <c r="W2210" i="113" s="1"/>
  <c r="Y2210" i="113" s="1"/>
  <c r="AC2210" i="113" s="1"/>
  <c r="AG2210" i="113" s="1"/>
  <c r="O1909" i="113"/>
  <c r="T1909" i="113" s="1"/>
  <c r="W1909" i="113" s="1"/>
  <c r="Y1909" i="113" s="1"/>
  <c r="O1722" i="113"/>
  <c r="T1722" i="113" s="1"/>
  <c r="W1722" i="113" s="1"/>
  <c r="Y1722" i="113" s="1"/>
  <c r="O231" i="113"/>
  <c r="T231" i="113" s="1"/>
  <c r="W231" i="113" s="1"/>
  <c r="Y231" i="113" s="1"/>
  <c r="AC231" i="113" s="1"/>
  <c r="AG231" i="113" s="1"/>
  <c r="O302" i="113"/>
  <c r="T302" i="113" s="1"/>
  <c r="W302" i="113" s="1"/>
  <c r="Y302" i="113" s="1"/>
  <c r="AC302" i="113" s="1"/>
  <c r="AG302" i="113" s="1"/>
  <c r="O556" i="113"/>
  <c r="T556" i="113" s="1"/>
  <c r="W556" i="113" s="1"/>
  <c r="Y556" i="113" s="1"/>
  <c r="AC556" i="113" s="1"/>
  <c r="AG556" i="113" s="1"/>
  <c r="O1407" i="113"/>
  <c r="T1407" i="113" s="1"/>
  <c r="W1407" i="113" s="1"/>
  <c r="Y1407" i="113" s="1"/>
  <c r="AC1407" i="113" s="1"/>
  <c r="AG1407" i="113" s="1"/>
  <c r="O45" i="113"/>
  <c r="T45" i="113" s="1"/>
  <c r="W45" i="113" s="1"/>
  <c r="Y45" i="113" s="1"/>
  <c r="AC45" i="113" s="1"/>
  <c r="AG45" i="113" s="1"/>
  <c r="O344" i="113"/>
  <c r="T344" i="113" s="1"/>
  <c r="W344" i="113" s="1"/>
  <c r="Y344" i="113" s="1"/>
  <c r="AC344" i="113" s="1"/>
  <c r="AG344" i="113" s="1"/>
  <c r="O2105" i="113"/>
  <c r="O876" i="113"/>
  <c r="T876" i="113" s="1"/>
  <c r="W876" i="113" s="1"/>
  <c r="Y876" i="113" s="1"/>
  <c r="AC876" i="113" s="1"/>
  <c r="AG876" i="113" s="1"/>
  <c r="O1353" i="113"/>
  <c r="T1353" i="113" s="1"/>
  <c r="W1353" i="113" s="1"/>
  <c r="Y1353" i="113" s="1"/>
  <c r="AC1353" i="113" s="1"/>
  <c r="AG1353" i="113" s="1"/>
  <c r="O683" i="113"/>
  <c r="T683" i="113" s="1"/>
  <c r="W683" i="113" s="1"/>
  <c r="Y683" i="113" s="1"/>
  <c r="O551" i="113"/>
  <c r="T551" i="113" s="1"/>
  <c r="W551" i="113" s="1"/>
  <c r="Y551" i="113" s="1"/>
  <c r="O2267" i="113"/>
  <c r="O2128" i="113"/>
  <c r="T2128" i="113" s="1"/>
  <c r="W2128" i="113" s="1"/>
  <c r="Y2128" i="113" s="1"/>
  <c r="AC2128" i="113" s="1"/>
  <c r="AG2128" i="113" s="1"/>
  <c r="O134" i="113"/>
  <c r="T134" i="113" s="1"/>
  <c r="W134" i="113" s="1"/>
  <c r="Y134" i="113" s="1"/>
  <c r="AC134" i="113" s="1"/>
  <c r="AG134" i="113" s="1"/>
  <c r="O1578" i="113"/>
  <c r="T1578" i="113" s="1"/>
  <c r="W1578" i="113" s="1"/>
  <c r="Y1578" i="113" s="1"/>
  <c r="O1265" i="113"/>
  <c r="T1265" i="113" s="1"/>
  <c r="W1265" i="113" s="1"/>
  <c r="Y1265" i="113" s="1"/>
  <c r="AC1265" i="113" s="1"/>
  <c r="AG1265" i="113" s="1"/>
  <c r="O1890" i="113"/>
  <c r="T1890" i="113" s="1"/>
  <c r="W1890" i="113" s="1"/>
  <c r="Y1890" i="113" s="1"/>
  <c r="O1609" i="113"/>
  <c r="O2674" i="113"/>
  <c r="T2674" i="113" s="1"/>
  <c r="W2674" i="113" s="1"/>
  <c r="Y2674" i="113" s="1"/>
  <c r="S73" i="113"/>
  <c r="T73" i="113" s="1"/>
  <c r="W73" i="113" s="1"/>
  <c r="Y73" i="113" s="1"/>
  <c r="O2142" i="113"/>
  <c r="T2142" i="113" s="1"/>
  <c r="W2142" i="113" s="1"/>
  <c r="Y2142" i="113" s="1"/>
  <c r="AC2142" i="113" s="1"/>
  <c r="AG2142" i="113" s="1"/>
  <c r="O2502" i="113"/>
  <c r="O450" i="113"/>
  <c r="O1787" i="113"/>
  <c r="O2162" i="113"/>
  <c r="O416" i="113"/>
  <c r="O1094" i="113"/>
  <c r="O860" i="113"/>
  <c r="O1895" i="113"/>
  <c r="O2630" i="113"/>
  <c r="O944" i="113"/>
  <c r="O2318" i="113"/>
  <c r="O2399" i="113"/>
  <c r="O1995" i="113"/>
  <c r="O15" i="113"/>
  <c r="S15" i="113"/>
  <c r="O1321" i="113"/>
  <c r="O566" i="113"/>
  <c r="O946" i="113"/>
  <c r="O100" i="113"/>
  <c r="S100" i="113"/>
  <c r="O2402" i="113"/>
  <c r="O9" i="113"/>
  <c r="T9" i="113" s="1"/>
  <c r="W9" i="113" s="1"/>
  <c r="Y9" i="113" s="1"/>
  <c r="O2268" i="113"/>
  <c r="O1802" i="113"/>
  <c r="O2537" i="113"/>
  <c r="O2491" i="113"/>
  <c r="O2424" i="113"/>
  <c r="O1908" i="113"/>
  <c r="O1440" i="113"/>
  <c r="O2167" i="113"/>
  <c r="O2349" i="113"/>
  <c r="O1972" i="113"/>
  <c r="O1893" i="113"/>
  <c r="O2168" i="113"/>
  <c r="O1036" i="113"/>
  <c r="S177" i="113"/>
  <c r="O177" i="113"/>
  <c r="O2284" i="113"/>
  <c r="O1954" i="113"/>
  <c r="O2514" i="113"/>
  <c r="O245" i="113"/>
  <c r="S245" i="113"/>
  <c r="O1272" i="113"/>
  <c r="O2591" i="113"/>
  <c r="O908" i="113"/>
  <c r="O1257" i="113"/>
  <c r="O1627" i="113"/>
  <c r="O2407" i="113"/>
  <c r="O2316" i="113"/>
  <c r="O2669" i="113"/>
  <c r="O1928" i="113"/>
  <c r="O1591" i="113"/>
  <c r="O498" i="113"/>
  <c r="O57" i="113"/>
  <c r="S57" i="113"/>
  <c r="O1911" i="113"/>
  <c r="O2329" i="113"/>
  <c r="S121" i="113"/>
  <c r="O121" i="113"/>
  <c r="S90" i="113"/>
  <c r="O90" i="113"/>
  <c r="O1327" i="113"/>
  <c r="O360" i="113"/>
  <c r="O1049" i="113"/>
  <c r="O619" i="113"/>
  <c r="O1301" i="113"/>
  <c r="O2584" i="113"/>
  <c r="O2000" i="113"/>
  <c r="O645" i="113"/>
  <c r="O2178" i="113"/>
  <c r="O2617" i="113"/>
  <c r="O1679" i="113"/>
  <c r="O931" i="113"/>
  <c r="O403" i="113"/>
  <c r="O909" i="113"/>
  <c r="O611" i="113"/>
  <c r="O138" i="113"/>
  <c r="S138" i="113"/>
  <c r="O1846" i="113"/>
  <c r="O1533" i="113"/>
  <c r="O640" i="113"/>
  <c r="O2233" i="113"/>
  <c r="O1569" i="113"/>
  <c r="O2666" i="113"/>
  <c r="O2306" i="113"/>
  <c r="O961" i="113"/>
  <c r="O706" i="113"/>
  <c r="O267" i="113"/>
  <c r="O2208" i="113"/>
  <c r="O1611" i="113"/>
  <c r="O678" i="113"/>
  <c r="O1167" i="113"/>
  <c r="O1763" i="113"/>
  <c r="O2394" i="113"/>
  <c r="O1849" i="113"/>
  <c r="O1472" i="113"/>
  <c r="O964" i="113"/>
  <c r="O2595" i="113"/>
  <c r="O1071" i="113"/>
  <c r="O1798" i="113"/>
  <c r="O1178" i="113"/>
  <c r="O533" i="113"/>
  <c r="O855" i="113"/>
  <c r="O1599" i="113"/>
  <c r="O1687" i="113"/>
  <c r="O2360" i="113"/>
  <c r="O2204" i="113"/>
  <c r="O528" i="113"/>
  <c r="O1125" i="113"/>
  <c r="O2220" i="113"/>
  <c r="O2062" i="113"/>
  <c r="O1648" i="113"/>
  <c r="O1668" i="113"/>
  <c r="O927" i="113"/>
  <c r="S105" i="113"/>
  <c r="O105" i="113"/>
  <c r="O1216" i="113"/>
  <c r="O800" i="113"/>
  <c r="O2518" i="113"/>
  <c r="O1647" i="113"/>
  <c r="O1136" i="113"/>
  <c r="S59" i="113"/>
  <c r="O59" i="113"/>
  <c r="O877" i="113"/>
  <c r="O1610" i="113"/>
  <c r="O1427" i="113"/>
  <c r="O779" i="113"/>
  <c r="O1307" i="113"/>
  <c r="O2484" i="113"/>
  <c r="O881" i="113"/>
  <c r="O1879" i="113"/>
  <c r="O415" i="113"/>
  <c r="O1899" i="113"/>
  <c r="O830" i="113"/>
  <c r="O1902" i="113"/>
  <c r="O1738" i="113"/>
  <c r="O2169" i="113"/>
  <c r="S62" i="113"/>
  <c r="O62" i="113"/>
  <c r="O2134" i="113"/>
  <c r="S235" i="113"/>
  <c r="O235" i="113"/>
  <c r="O1551" i="113"/>
  <c r="O340" i="113"/>
  <c r="O2393" i="113"/>
  <c r="O439" i="113"/>
  <c r="O848" i="113"/>
  <c r="O1477" i="113"/>
  <c r="O943" i="113"/>
  <c r="O2160" i="113"/>
  <c r="O1259" i="113"/>
  <c r="S164" i="113"/>
  <c r="O164" i="113"/>
  <c r="O1393" i="113"/>
  <c r="O178" i="113"/>
  <c r="T178" i="113" s="1"/>
  <c r="W178" i="113" s="1"/>
  <c r="Y178" i="113" s="1"/>
  <c r="O254" i="113"/>
  <c r="O859" i="113"/>
  <c r="O618" i="113"/>
  <c r="T618" i="113" s="1"/>
  <c r="W618" i="113" s="1"/>
  <c r="Y618" i="113" s="1"/>
  <c r="AC618" i="113" s="1"/>
  <c r="AG618" i="113" s="1"/>
  <c r="O721" i="113"/>
  <c r="T721" i="113" s="1"/>
  <c r="W721" i="113" s="1"/>
  <c r="Y721" i="113" s="1"/>
  <c r="AC721" i="113" s="1"/>
  <c r="AG721" i="113" s="1"/>
  <c r="O1499" i="113"/>
  <c r="T1499" i="113" s="1"/>
  <c r="W1499" i="113" s="1"/>
  <c r="Y1499" i="113" s="1"/>
  <c r="AC1499" i="113" s="1"/>
  <c r="AG1499" i="113" s="1"/>
  <c r="O1980" i="113"/>
  <c r="T1980" i="113" s="1"/>
  <c r="W1980" i="113" s="1"/>
  <c r="Y1980" i="113" s="1"/>
  <c r="AC1980" i="113" s="1"/>
  <c r="AG1980" i="113" s="1"/>
  <c r="O1779" i="113"/>
  <c r="T1779" i="113" s="1"/>
  <c r="W1779" i="113" s="1"/>
  <c r="Y1779" i="113" s="1"/>
  <c r="AC1779" i="113" s="1"/>
  <c r="AG1779" i="113" s="1"/>
  <c r="S71" i="113"/>
  <c r="T71" i="113" s="1"/>
  <c r="W71" i="113" s="1"/>
  <c r="Y71" i="113" s="1"/>
  <c r="AC71" i="113" s="1"/>
  <c r="AG71" i="113" s="1"/>
  <c r="S92" i="113"/>
  <c r="O218" i="113"/>
  <c r="T218" i="113" s="1"/>
  <c r="W218" i="113" s="1"/>
  <c r="Y218" i="113" s="1"/>
  <c r="AC218" i="113" s="1"/>
  <c r="AG218" i="113" s="1"/>
  <c r="O276" i="113"/>
  <c r="O456" i="113"/>
  <c r="T456" i="113" s="1"/>
  <c r="W456" i="113" s="1"/>
  <c r="Y456" i="113" s="1"/>
  <c r="O1006" i="113"/>
  <c r="T1006" i="113" s="1"/>
  <c r="W1006" i="113" s="1"/>
  <c r="Y1006" i="113" s="1"/>
  <c r="AC1006" i="113" s="1"/>
  <c r="AG1006" i="113" s="1"/>
  <c r="O185" i="113"/>
  <c r="T185" i="113" s="1"/>
  <c r="W185" i="113" s="1"/>
  <c r="Y185" i="113" s="1"/>
  <c r="O1526" i="113"/>
  <c r="T1526" i="113" s="1"/>
  <c r="W1526" i="113" s="1"/>
  <c r="Y1526" i="113" s="1"/>
  <c r="AC1526" i="113" s="1"/>
  <c r="AG1526" i="113" s="1"/>
  <c r="O1892" i="113"/>
  <c r="O1720" i="113"/>
  <c r="T1720" i="113" s="1"/>
  <c r="W1720" i="113" s="1"/>
  <c r="Y1720" i="113" s="1"/>
  <c r="O1448" i="113"/>
  <c r="T1448" i="113" s="1"/>
  <c r="W1448" i="113" s="1"/>
  <c r="Y1448" i="113" s="1"/>
  <c r="O2155" i="113"/>
  <c r="O19" i="113"/>
  <c r="T19" i="113" s="1"/>
  <c r="W19" i="113" s="1"/>
  <c r="Y19" i="113" s="1"/>
  <c r="O1175" i="113"/>
  <c r="T1175" i="113" s="1"/>
  <c r="W1175" i="113" s="1"/>
  <c r="Y1175" i="113" s="1"/>
  <c r="AC1175" i="113" s="1"/>
  <c r="AG1175" i="113" s="1"/>
  <c r="O918" i="113"/>
  <c r="T918" i="113" s="1"/>
  <c r="W918" i="113" s="1"/>
  <c r="Y918" i="113" s="1"/>
  <c r="AC918" i="113" s="1"/>
  <c r="AG918" i="113" s="1"/>
  <c r="O680" i="113"/>
  <c r="T680" i="113" s="1"/>
  <c r="W680" i="113" s="1"/>
  <c r="Y680" i="113" s="1"/>
  <c r="AC680" i="113" s="1"/>
  <c r="AG680" i="113" s="1"/>
  <c r="O1497" i="113"/>
  <c r="T1497" i="113" s="1"/>
  <c r="W1497" i="113" s="1"/>
  <c r="Y1497" i="113" s="1"/>
  <c r="O1934" i="113"/>
  <c r="T1934" i="113" s="1"/>
  <c r="W1934" i="113" s="1"/>
  <c r="Y1934" i="113" s="1"/>
  <c r="AC1934" i="113" s="1"/>
  <c r="AG1934" i="113" s="1"/>
  <c r="O1181" i="113"/>
  <c r="T1181" i="113" s="1"/>
  <c r="W1181" i="113" s="1"/>
  <c r="Y1181" i="113" s="1"/>
  <c r="AC1181" i="113" s="1"/>
  <c r="AG1181" i="113" s="1"/>
  <c r="O1444" i="113"/>
  <c r="T1444" i="113" s="1"/>
  <c r="W1444" i="113" s="1"/>
  <c r="Y1444" i="113" s="1"/>
  <c r="AC1444" i="113" s="1"/>
  <c r="AG1444" i="113" s="1"/>
  <c r="O365" i="113"/>
  <c r="T365" i="113" s="1"/>
  <c r="W365" i="113" s="1"/>
  <c r="Y365" i="113" s="1"/>
  <c r="AC365" i="113" s="1"/>
  <c r="AG365" i="113" s="1"/>
  <c r="O984" i="113"/>
  <c r="T984" i="113" s="1"/>
  <c r="W984" i="113" s="1"/>
  <c r="Y984" i="113" s="1"/>
  <c r="O126" i="113"/>
  <c r="T126" i="113" s="1"/>
  <c r="W126" i="113" s="1"/>
  <c r="Y126" i="113" s="1"/>
  <c r="AC126" i="113" s="1"/>
  <c r="AG126" i="113" s="1"/>
  <c r="O834" i="113"/>
  <c r="T834" i="113" s="1"/>
  <c r="W834" i="113" s="1"/>
  <c r="Y834" i="113" s="1"/>
  <c r="AC834" i="113" s="1"/>
  <c r="AG834" i="113" s="1"/>
  <c r="O2018" i="113"/>
  <c r="T2018" i="113" s="1"/>
  <c r="W2018" i="113" s="1"/>
  <c r="Y2018" i="113" s="1"/>
  <c r="O2574" i="113"/>
  <c r="T2574" i="113" s="1"/>
  <c r="W2574" i="113" s="1"/>
  <c r="Y2574" i="113" s="1"/>
  <c r="AC2574" i="113" s="1"/>
  <c r="AG2574" i="113" s="1"/>
  <c r="O1409" i="113"/>
  <c r="T1409" i="113" s="1"/>
  <c r="W1409" i="113" s="1"/>
  <c r="Y1409" i="113" s="1"/>
  <c r="AC1409" i="113" s="1"/>
  <c r="AG1409" i="113" s="1"/>
  <c r="O1165" i="113"/>
  <c r="T1165" i="113" s="1"/>
  <c r="W1165" i="113" s="1"/>
  <c r="Y1165" i="113" s="1"/>
  <c r="O2088" i="113"/>
  <c r="T2088" i="113" s="1"/>
  <c r="W2088" i="113" s="1"/>
  <c r="Y2088" i="113" s="1"/>
  <c r="AC2088" i="113" s="1"/>
  <c r="AG2088" i="113" s="1"/>
  <c r="O2576" i="113"/>
  <c r="T2576" i="113" s="1"/>
  <c r="W2576" i="113" s="1"/>
  <c r="Y2576" i="113" s="1"/>
  <c r="O93" i="113"/>
  <c r="T93" i="113" s="1"/>
  <c r="W93" i="113" s="1"/>
  <c r="Y93" i="113" s="1"/>
  <c r="O544" i="113"/>
  <c r="T544" i="113" s="1"/>
  <c r="W544" i="113" s="1"/>
  <c r="Y544" i="113" s="1"/>
  <c r="O81" i="113"/>
  <c r="T81" i="113" s="1"/>
  <c r="W81" i="113" s="1"/>
  <c r="Y81" i="113" s="1"/>
  <c r="AC81" i="113" s="1"/>
  <c r="AG81" i="113" s="1"/>
  <c r="O248" i="113"/>
  <c r="T248" i="113" s="1"/>
  <c r="W248" i="113" s="1"/>
  <c r="Y248" i="113" s="1"/>
  <c r="O1976" i="113"/>
  <c r="T1976" i="113" s="1"/>
  <c r="W1976" i="113" s="1"/>
  <c r="Y1976" i="113" s="1"/>
  <c r="AC1976" i="113" s="1"/>
  <c r="AG1976" i="113" s="1"/>
  <c r="O2415" i="113"/>
  <c r="T2415" i="113" s="1"/>
  <c r="W2415" i="113" s="1"/>
  <c r="Y2415" i="113" s="1"/>
  <c r="AC2415" i="113" s="1"/>
  <c r="AG2415" i="113" s="1"/>
  <c r="O366" i="113"/>
  <c r="T366" i="113" s="1"/>
  <c r="W366" i="113" s="1"/>
  <c r="Y366" i="113" s="1"/>
  <c r="AC366" i="113" s="1"/>
  <c r="AG366" i="113" s="1"/>
  <c r="O1926" i="113"/>
  <c r="T1926" i="113" s="1"/>
  <c r="W1926" i="113" s="1"/>
  <c r="Y1926" i="113" s="1"/>
  <c r="AC1926" i="113" s="1"/>
  <c r="AG1926" i="113" s="1"/>
  <c r="O115" i="113"/>
  <c r="O560" i="113"/>
  <c r="T560" i="113" s="1"/>
  <c r="W560" i="113" s="1"/>
  <c r="Y560" i="113" s="1"/>
  <c r="AC560" i="113" s="1"/>
  <c r="AG560" i="113" s="1"/>
  <c r="O766" i="113"/>
  <c r="T766" i="113" s="1"/>
  <c r="W766" i="113" s="1"/>
  <c r="Y766" i="113" s="1"/>
  <c r="AC766" i="113" s="1"/>
  <c r="AG766" i="113" s="1"/>
  <c r="O1122" i="113"/>
  <c r="T1122" i="113" s="1"/>
  <c r="W1122" i="113" s="1"/>
  <c r="Y1122" i="113" s="1"/>
  <c r="O1940" i="113"/>
  <c r="T1940" i="113" s="1"/>
  <c r="W1940" i="113" s="1"/>
  <c r="Y1940" i="113" s="1"/>
  <c r="AC1940" i="113" s="1"/>
  <c r="AG1940" i="113" s="1"/>
  <c r="O249" i="113"/>
  <c r="T249" i="113" s="1"/>
  <c r="W249" i="113" s="1"/>
  <c r="Y249" i="113" s="1"/>
  <c r="AC249" i="113" s="1"/>
  <c r="AG249" i="113" s="1"/>
  <c r="O989" i="113"/>
  <c r="T989" i="113" s="1"/>
  <c r="W989" i="113" s="1"/>
  <c r="Y989" i="113" s="1"/>
  <c r="AC989" i="113" s="1"/>
  <c r="AG989" i="113" s="1"/>
  <c r="O2309" i="113"/>
  <c r="T2309" i="113" s="1"/>
  <c r="W2309" i="113" s="1"/>
  <c r="Y2309" i="113" s="1"/>
  <c r="AC2309" i="113" s="1"/>
  <c r="AG2309" i="113" s="1"/>
  <c r="O1270" i="113"/>
  <c r="O1711" i="113"/>
  <c r="T1711" i="113" s="1"/>
  <c r="W1711" i="113" s="1"/>
  <c r="Y1711" i="113" s="1"/>
  <c r="O885" i="113"/>
  <c r="T885" i="113" s="1"/>
  <c r="W885" i="113" s="1"/>
  <c r="Y885" i="113" s="1"/>
  <c r="O763" i="113"/>
  <c r="T763" i="113" s="1"/>
  <c r="W763" i="113" s="1"/>
  <c r="Y763" i="113" s="1"/>
  <c r="AC763" i="113" s="1"/>
  <c r="AG763" i="113" s="1"/>
  <c r="O2050" i="113"/>
  <c r="T2050" i="113" s="1"/>
  <c r="W2050" i="113" s="1"/>
  <c r="Y2050" i="113" s="1"/>
  <c r="O1092" i="113"/>
  <c r="T1092" i="113" s="1"/>
  <c r="W1092" i="113" s="1"/>
  <c r="Y1092" i="113" s="1"/>
  <c r="O337" i="113"/>
  <c r="O85" i="113"/>
  <c r="T85" i="113" s="1"/>
  <c r="W85" i="113" s="1"/>
  <c r="Y85" i="113" s="1"/>
  <c r="AC85" i="113" s="1"/>
  <c r="AG85" i="113" s="1"/>
  <c r="O761" i="113"/>
  <c r="T761" i="113" s="1"/>
  <c r="W761" i="113" s="1"/>
  <c r="Y761" i="113" s="1"/>
  <c r="AC761" i="113" s="1"/>
  <c r="AG761" i="113" s="1"/>
  <c r="O2283" i="113"/>
  <c r="T2283" i="113" s="1"/>
  <c r="W2283" i="113" s="1"/>
  <c r="Y2283" i="113" s="1"/>
  <c r="AC2283" i="113" s="1"/>
  <c r="AG2283" i="113" s="1"/>
  <c r="O1812" i="113"/>
  <c r="T1812" i="113" s="1"/>
  <c r="W1812" i="113" s="1"/>
  <c r="Y1812" i="113" s="1"/>
  <c r="AC1812" i="113" s="1"/>
  <c r="AG1812" i="113" s="1"/>
  <c r="O2442" i="113"/>
  <c r="O2530" i="113"/>
  <c r="T2530" i="113" s="1"/>
  <c r="W2530" i="113" s="1"/>
  <c r="Y2530" i="113" s="1"/>
  <c r="S259" i="113"/>
  <c r="T259" i="113" s="1"/>
  <c r="W259" i="113" s="1"/>
  <c r="Y259" i="113" s="1"/>
  <c r="AC259" i="113" s="1"/>
  <c r="AG259" i="113" s="1"/>
  <c r="O191" i="113"/>
  <c r="T191" i="113" s="1"/>
  <c r="W191" i="113" s="1"/>
  <c r="Y191" i="113" s="1"/>
  <c r="AC191" i="113" s="1"/>
  <c r="AG191" i="113" s="1"/>
  <c r="O1119" i="113"/>
  <c r="O2359" i="113"/>
  <c r="O2583" i="113"/>
  <c r="O476" i="113"/>
  <c r="O1830" i="113"/>
  <c r="S40" i="113"/>
  <c r="O40" i="113"/>
  <c r="O1561" i="113"/>
  <c r="O1241" i="113"/>
  <c r="O1553" i="113"/>
  <c r="O2373" i="113"/>
  <c r="O1964" i="113"/>
  <c r="O1436" i="113"/>
  <c r="O2621" i="113"/>
  <c r="O2364" i="113"/>
  <c r="O2655" i="113"/>
  <c r="O2245" i="113"/>
  <c r="O1991" i="113"/>
  <c r="O2386" i="113"/>
  <c r="O1996" i="113"/>
  <c r="O1796" i="113"/>
  <c r="O1252" i="113"/>
  <c r="O2328" i="113"/>
  <c r="O405" i="113"/>
  <c r="O647" i="113"/>
  <c r="O1552" i="113"/>
  <c r="O2264" i="113"/>
  <c r="O146" i="113"/>
  <c r="O224" i="113"/>
  <c r="T224" i="113" s="1"/>
  <c r="W224" i="113" s="1"/>
  <c r="Y224" i="113" s="1"/>
  <c r="AC224" i="113" s="1"/>
  <c r="AG224" i="113" s="1"/>
  <c r="O2083" i="113"/>
  <c r="T2083" i="113" s="1"/>
  <c r="W2083" i="113" s="1"/>
  <c r="Y2083" i="113" s="1"/>
  <c r="O1625" i="113"/>
  <c r="O2146" i="113"/>
  <c r="O2100" i="113"/>
  <c r="O2298" i="113"/>
  <c r="O2490" i="113"/>
  <c r="O2114" i="113"/>
  <c r="O1614" i="113"/>
  <c r="O2096" i="113"/>
  <c r="O2644" i="113"/>
  <c r="O2110" i="113"/>
  <c r="O2423" i="113"/>
  <c r="O1256" i="113"/>
  <c r="O2087" i="113"/>
  <c r="O1838" i="113"/>
  <c r="O1683" i="113"/>
  <c r="O380" i="113"/>
  <c r="O306" i="113"/>
  <c r="O1466" i="113"/>
  <c r="O2274" i="113"/>
  <c r="O94" i="113"/>
  <c r="S94" i="113"/>
  <c r="O50" i="113"/>
  <c r="S50" i="113"/>
  <c r="O621" i="113"/>
  <c r="O749" i="113"/>
  <c r="O2095" i="113"/>
  <c r="O1555" i="113"/>
  <c r="O747" i="113"/>
  <c r="O2033" i="113"/>
  <c r="O1810" i="113"/>
  <c r="O2071" i="113"/>
  <c r="O2433" i="113"/>
  <c r="O959" i="113"/>
  <c r="O517" i="113"/>
  <c r="O2624" i="113"/>
  <c r="O1380" i="113"/>
  <c r="O2085" i="113"/>
  <c r="O2564" i="113"/>
  <c r="O294" i="113"/>
  <c r="O679" i="113"/>
  <c r="O1310" i="113"/>
  <c r="O1104" i="113"/>
  <c r="O1534" i="113"/>
  <c r="O1538" i="113"/>
  <c r="O994" i="113"/>
  <c r="O554" i="113"/>
  <c r="O2255" i="113"/>
  <c r="O2041" i="113"/>
  <c r="O2378" i="113"/>
  <c r="O822" i="113"/>
  <c r="S135" i="113"/>
  <c r="O135" i="113"/>
  <c r="O849" i="113"/>
  <c r="O953" i="113"/>
  <c r="O495" i="113"/>
  <c r="O1468" i="113"/>
  <c r="O1671" i="113"/>
  <c r="O630" i="113"/>
  <c r="O1485" i="113"/>
  <c r="O1583" i="113"/>
  <c r="O975" i="113"/>
  <c r="O1607" i="113"/>
  <c r="O1958" i="113"/>
  <c r="O1832" i="113"/>
  <c r="O2430" i="113"/>
  <c r="O1164" i="113"/>
  <c r="O2271" i="113"/>
  <c r="O2222" i="113"/>
  <c r="O2623" i="113"/>
  <c r="O2570" i="113"/>
  <c r="O152" i="113"/>
  <c r="S152" i="113"/>
  <c r="O2615" i="113"/>
  <c r="O2187" i="113"/>
  <c r="S41" i="113"/>
  <c r="O41" i="113"/>
  <c r="O2002" i="113"/>
  <c r="O1420" i="113"/>
  <c r="O37" i="113"/>
  <c r="S37" i="113"/>
  <c r="O1537" i="113"/>
  <c r="O2499" i="113"/>
  <c r="O1388" i="113"/>
  <c r="O862" i="113"/>
  <c r="O2121" i="113"/>
  <c r="S182" i="113"/>
  <c r="O182" i="113"/>
  <c r="O1703" i="113"/>
  <c r="O401" i="113"/>
  <c r="O2426" i="113"/>
  <c r="T2426" i="113" s="1"/>
  <c r="W2426" i="113" s="1"/>
  <c r="Y2426" i="113" s="1"/>
  <c r="O1862" i="113"/>
  <c r="O1882" i="113"/>
  <c r="O1547" i="113"/>
  <c r="O2498" i="113"/>
  <c r="O2381" i="113"/>
  <c r="O2277" i="113"/>
  <c r="O705" i="113"/>
  <c r="O2563" i="113"/>
  <c r="O1102" i="113"/>
  <c r="O1828" i="113"/>
  <c r="O1659" i="113"/>
  <c r="O1191" i="113"/>
  <c r="O1219" i="113"/>
  <c r="O1721" i="113"/>
  <c r="O27" i="113"/>
  <c r="S27" i="113"/>
  <c r="O153" i="113"/>
  <c r="S153" i="113"/>
  <c r="O2547" i="113"/>
  <c r="O1831" i="113"/>
  <c r="O22" i="113"/>
  <c r="S22" i="113"/>
  <c r="O1358" i="113"/>
  <c r="O504" i="113"/>
  <c r="O1024" i="113"/>
  <c r="O732" i="113"/>
  <c r="O688" i="113"/>
  <c r="O1351" i="113"/>
  <c r="O1077" i="113"/>
  <c r="S136" i="113"/>
  <c r="O136" i="113"/>
  <c r="O324" i="113"/>
  <c r="O2519" i="113"/>
  <c r="O2154" i="113"/>
  <c r="O642" i="113"/>
  <c r="O571" i="113"/>
  <c r="S23" i="113"/>
  <c r="O23" i="113"/>
  <c r="O1530" i="113"/>
  <c r="O907" i="113"/>
  <c r="O516" i="113"/>
  <c r="O2115" i="113"/>
  <c r="O2636" i="113"/>
  <c r="S25" i="113"/>
  <c r="O25" i="113"/>
  <c r="O2645" i="113"/>
  <c r="O2454" i="113"/>
  <c r="T2454" i="113" s="1"/>
  <c r="W2454" i="113" s="1"/>
  <c r="Y2454" i="113" s="1"/>
  <c r="AC2454" i="113" s="1"/>
  <c r="AG2454" i="113" s="1"/>
  <c r="O381" i="113"/>
  <c r="T381" i="113" s="1"/>
  <c r="W381" i="113" s="1"/>
  <c r="Y381" i="113" s="1"/>
  <c r="AC381" i="113" s="1"/>
  <c r="AG381" i="113" s="1"/>
  <c r="O525" i="113"/>
  <c r="T525" i="113" s="1"/>
  <c r="W525" i="113" s="1"/>
  <c r="Y525" i="113" s="1"/>
  <c r="AC525" i="113" s="1"/>
  <c r="AG525" i="113" s="1"/>
  <c r="O68" i="113"/>
  <c r="T68" i="113" s="1"/>
  <c r="W68" i="113" s="1"/>
  <c r="Y68" i="113" s="1"/>
  <c r="AC68" i="113" s="1"/>
  <c r="AG68" i="113" s="1"/>
  <c r="O412" i="113"/>
  <c r="T412" i="113" s="1"/>
  <c r="W412" i="113" s="1"/>
  <c r="Y412" i="113" s="1"/>
  <c r="O1228" i="113"/>
  <c r="T1228" i="113" s="1"/>
  <c r="W1228" i="113" s="1"/>
  <c r="Y1228" i="113" s="1"/>
  <c r="O1701" i="113"/>
  <c r="T1701" i="113" s="1"/>
  <c r="W1701" i="113" s="1"/>
  <c r="Y1701" i="113" s="1"/>
  <c r="O355" i="113"/>
  <c r="T355" i="113" s="1"/>
  <c r="W355" i="113" s="1"/>
  <c r="Y355" i="113" s="1"/>
  <c r="O1983" i="113"/>
  <c r="T1983" i="113" s="1"/>
  <c r="W1983" i="113" s="1"/>
  <c r="Y1983" i="113" s="1"/>
  <c r="AC1983" i="113" s="1"/>
  <c r="AG1983" i="113" s="1"/>
  <c r="O542" i="113"/>
  <c r="T542" i="113" s="1"/>
  <c r="W542" i="113" s="1"/>
  <c r="Y542" i="113" s="1"/>
  <c r="AC542" i="113" s="1"/>
  <c r="AG542" i="113" s="1"/>
  <c r="O685" i="113"/>
  <c r="T685" i="113" s="1"/>
  <c r="W685" i="113" s="1"/>
  <c r="Y685" i="113" s="1"/>
  <c r="AC685" i="113" s="1"/>
  <c r="AG685" i="113" s="1"/>
  <c r="O349" i="113"/>
  <c r="T349" i="113" s="1"/>
  <c r="W349" i="113" s="1"/>
  <c r="Y349" i="113" s="1"/>
  <c r="AC349" i="113" s="1"/>
  <c r="AG349" i="113" s="1"/>
  <c r="O1117" i="113"/>
  <c r="O2136" i="113"/>
  <c r="T2136" i="113" s="1"/>
  <c r="W2136" i="113" s="1"/>
  <c r="Y2136" i="113" s="1"/>
  <c r="O244" i="113"/>
  <c r="T244" i="113" s="1"/>
  <c r="W244" i="113" s="1"/>
  <c r="Y244" i="113" s="1"/>
  <c r="AC244" i="113" s="1"/>
  <c r="AG244" i="113" s="1"/>
  <c r="O1924" i="113"/>
  <c r="T1924" i="113" s="1"/>
  <c r="W1924" i="113" s="1"/>
  <c r="Y1924" i="113" s="1"/>
  <c r="AC1924" i="113" s="1"/>
  <c r="AG1924" i="113" s="1"/>
  <c r="O1653" i="113"/>
  <c r="S5" i="113"/>
  <c r="T5" i="113" s="1"/>
  <c r="W5" i="113" s="1"/>
  <c r="Y5" i="113" s="1"/>
  <c r="AC5" i="113" s="1"/>
  <c r="AG5" i="113" s="1"/>
  <c r="O1281" i="113"/>
  <c r="T1281" i="113" s="1"/>
  <c r="W1281" i="113" s="1"/>
  <c r="Y1281" i="113" s="1"/>
  <c r="AC1281" i="113" s="1"/>
  <c r="AG1281" i="113" s="1"/>
  <c r="O107" i="113"/>
  <c r="T107" i="113" s="1"/>
  <c r="W107" i="113" s="1"/>
  <c r="Y107" i="113" s="1"/>
  <c r="O53" i="113"/>
  <c r="T53" i="113" s="1"/>
  <c r="W53" i="113" s="1"/>
  <c r="Y53" i="113" s="1"/>
  <c r="AC53" i="113" s="1"/>
  <c r="AG53" i="113" s="1"/>
  <c r="O1120" i="113"/>
  <c r="T1120" i="113" s="1"/>
  <c r="W1120" i="113" s="1"/>
  <c r="Y1120" i="113" s="1"/>
  <c r="AC1120" i="113" s="1"/>
  <c r="AG1120" i="113" s="1"/>
  <c r="O882" i="113"/>
  <c r="T882" i="113" s="1"/>
  <c r="W882" i="113" s="1"/>
  <c r="Y882" i="113" s="1"/>
  <c r="AC882" i="113" s="1"/>
  <c r="AG882" i="113" s="1"/>
  <c r="O1699" i="113"/>
  <c r="T1699" i="113" s="1"/>
  <c r="W1699" i="113" s="1"/>
  <c r="Y1699" i="113" s="1"/>
  <c r="O2137" i="113"/>
  <c r="T2137" i="113" s="1"/>
  <c r="W2137" i="113" s="1"/>
  <c r="Y2137" i="113" s="1"/>
  <c r="O1835" i="113"/>
  <c r="T1835" i="113" s="1"/>
  <c r="W1835" i="113" s="1"/>
  <c r="Y1835" i="113" s="1"/>
  <c r="O1650" i="113"/>
  <c r="T1650" i="113" s="1"/>
  <c r="W1650" i="113" s="1"/>
  <c r="Y1650" i="113" s="1"/>
  <c r="AC1650" i="113" s="1"/>
  <c r="AG1650" i="113" s="1"/>
  <c r="O567" i="113"/>
  <c r="O1188" i="113"/>
  <c r="T1188" i="113" s="1"/>
  <c r="W1188" i="113" s="1"/>
  <c r="Y1188" i="113" s="1"/>
  <c r="AC1188" i="113" s="1"/>
  <c r="AG1188" i="113" s="1"/>
  <c r="O474" i="113"/>
  <c r="T474" i="113" s="1"/>
  <c r="W474" i="113" s="1"/>
  <c r="Y474" i="113" s="1"/>
  <c r="O662" i="113"/>
  <c r="T662" i="113" s="1"/>
  <c r="W662" i="113" s="1"/>
  <c r="Y662" i="113" s="1"/>
  <c r="O2221" i="113"/>
  <c r="T2221" i="113" s="1"/>
  <c r="W2221" i="113" s="1"/>
  <c r="Y2221" i="113" s="1"/>
  <c r="O1054" i="113"/>
  <c r="T1054" i="113" s="1"/>
  <c r="W1054" i="113" s="1"/>
  <c r="Y1054" i="113" s="1"/>
  <c r="O1616" i="113"/>
  <c r="T1616" i="113" s="1"/>
  <c r="W1616" i="113" s="1"/>
  <c r="Y1616" i="113" s="1"/>
  <c r="O1412" i="113"/>
  <c r="T1412" i="113" s="1"/>
  <c r="W1412" i="113" s="1"/>
  <c r="Y1412" i="113" s="1"/>
  <c r="AC1412" i="113" s="1"/>
  <c r="AG1412" i="113" s="1"/>
  <c r="O1564" i="113"/>
  <c r="T1564" i="113" s="1"/>
  <c r="W1564" i="113" s="1"/>
  <c r="Y1564" i="113" s="1"/>
  <c r="O13" i="113"/>
  <c r="T13" i="113" s="1"/>
  <c r="W13" i="113" s="1"/>
  <c r="Y13" i="113" s="1"/>
  <c r="O65" i="113"/>
  <c r="T65" i="113" s="1"/>
  <c r="W65" i="113" s="1"/>
  <c r="Y65" i="113" s="1"/>
  <c r="O756" i="113"/>
  <c r="T756" i="113" s="1"/>
  <c r="W756" i="113" s="1"/>
  <c r="Y756" i="113" s="1"/>
  <c r="AC756" i="113" s="1"/>
  <c r="AG756" i="113" s="1"/>
  <c r="O460" i="113"/>
  <c r="T460" i="113" s="1"/>
  <c r="W460" i="113" s="1"/>
  <c r="Y460" i="113" s="1"/>
  <c r="O522" i="113"/>
  <c r="T522" i="113" s="1"/>
  <c r="W522" i="113" s="1"/>
  <c r="Y522" i="113" s="1"/>
  <c r="AC522" i="113" s="1"/>
  <c r="AG522" i="113" s="1"/>
  <c r="O421" i="113"/>
  <c r="T421" i="113" s="1"/>
  <c r="W421" i="113" s="1"/>
  <c r="Y421" i="113" s="1"/>
  <c r="O1359" i="113"/>
  <c r="T1359" i="113" s="1"/>
  <c r="W1359" i="113" s="1"/>
  <c r="Y1359" i="113" s="1"/>
  <c r="AC1359" i="113" s="1"/>
  <c r="AG1359" i="113" s="1"/>
  <c r="O1143" i="113"/>
  <c r="T1143" i="113" s="1"/>
  <c r="W1143" i="113" s="1"/>
  <c r="Y1143" i="113" s="1"/>
  <c r="O2129" i="113"/>
  <c r="T2129" i="113" s="1"/>
  <c r="W2129" i="113" s="1"/>
  <c r="Y2129" i="113" s="1"/>
  <c r="O58" i="113"/>
  <c r="T58" i="113" s="1"/>
  <c r="W58" i="113" s="1"/>
  <c r="Y58" i="113" s="1"/>
  <c r="AC58" i="113" s="1"/>
  <c r="AG58" i="113" s="1"/>
  <c r="O771" i="113"/>
  <c r="T771" i="113" s="1"/>
  <c r="W771" i="113" s="1"/>
  <c r="Y771" i="113" s="1"/>
  <c r="AC771" i="113" s="1"/>
  <c r="AG771" i="113" s="1"/>
  <c r="O968" i="113"/>
  <c r="T968" i="113" s="1"/>
  <c r="W968" i="113" s="1"/>
  <c r="Y968" i="113" s="1"/>
  <c r="AC968" i="113" s="1"/>
  <c r="AG968" i="113" s="1"/>
  <c r="O1790" i="113"/>
  <c r="T1790" i="113" s="1"/>
  <c r="W1790" i="113" s="1"/>
  <c r="Y1790" i="113" s="1"/>
  <c r="O2143" i="113"/>
  <c r="T2143" i="113" s="1"/>
  <c r="W2143" i="113" s="1"/>
  <c r="Y2143" i="113" s="1"/>
  <c r="O452" i="113"/>
  <c r="O817" i="113"/>
  <c r="T817" i="113" s="1"/>
  <c r="W817" i="113" s="1"/>
  <c r="Y817" i="113" s="1"/>
  <c r="O329" i="113"/>
  <c r="O1501" i="113"/>
  <c r="T1501" i="113" s="1"/>
  <c r="W1501" i="113" s="1"/>
  <c r="Y1501" i="113" s="1"/>
  <c r="O2266" i="113"/>
  <c r="O1087" i="113"/>
  <c r="T1087" i="113" s="1"/>
  <c r="W1087" i="113" s="1"/>
  <c r="Y1087" i="113" s="1"/>
  <c r="O965" i="113"/>
  <c r="T965" i="113" s="1"/>
  <c r="W965" i="113" s="1"/>
  <c r="Y965" i="113" s="1"/>
  <c r="AC965" i="113" s="1"/>
  <c r="AG965" i="113" s="1"/>
  <c r="O429" i="113"/>
  <c r="T429" i="113" s="1"/>
  <c r="W429" i="113" s="1"/>
  <c r="Y429" i="113" s="1"/>
  <c r="AC429" i="113" s="1"/>
  <c r="AG429" i="113" s="1"/>
  <c r="O1349" i="113"/>
  <c r="T1349" i="113" s="1"/>
  <c r="W1349" i="113" s="1"/>
  <c r="Y1349" i="113" s="1"/>
  <c r="AC1349" i="113" s="1"/>
  <c r="AG1349" i="113" s="1"/>
  <c r="O540" i="113"/>
  <c r="T540" i="113" s="1"/>
  <c r="W540" i="113" s="1"/>
  <c r="Y540" i="113" s="1"/>
  <c r="O116" i="113"/>
  <c r="O963" i="113"/>
  <c r="T963" i="113" s="1"/>
  <c r="W963" i="113" s="1"/>
  <c r="Y963" i="113" s="1"/>
  <c r="O2183" i="113"/>
  <c r="T2183" i="113" s="1"/>
  <c r="W2183" i="113" s="1"/>
  <c r="Y2183" i="113" s="1"/>
  <c r="O2273" i="113"/>
  <c r="T2273" i="113" s="1"/>
  <c r="W2273" i="113" s="1"/>
  <c r="Y2273" i="113" s="1"/>
  <c r="O950" i="113"/>
  <c r="T950" i="113" s="1"/>
  <c r="W950" i="113" s="1"/>
  <c r="Y950" i="113" s="1"/>
  <c r="AC950" i="113" s="1"/>
  <c r="AG950" i="113" s="1"/>
  <c r="O394" i="113"/>
  <c r="T394" i="113" s="1"/>
  <c r="W394" i="113" s="1"/>
  <c r="Y394" i="113" s="1"/>
  <c r="AC394" i="113" s="1"/>
  <c r="AG394" i="113" s="1"/>
  <c r="O2338" i="113"/>
  <c r="O2627" i="113"/>
  <c r="O503" i="113"/>
  <c r="O987" i="113"/>
  <c r="O1047" i="113"/>
  <c r="O2512" i="113"/>
  <c r="O2205" i="113"/>
  <c r="O910" i="113"/>
  <c r="O2464" i="113"/>
  <c r="O624" i="113"/>
  <c r="O784" i="113"/>
  <c r="O1582" i="113"/>
  <c r="O1949" i="113"/>
  <c r="O892" i="113"/>
  <c r="S128" i="113"/>
  <c r="O128" i="113"/>
  <c r="O2228" i="113"/>
  <c r="O2225" i="113"/>
  <c r="O1365" i="113"/>
  <c r="O296" i="113"/>
  <c r="O408" i="113"/>
  <c r="O1463" i="113"/>
  <c r="O920" i="113"/>
  <c r="S75" i="113"/>
  <c r="O75" i="113"/>
  <c r="O2437" i="113"/>
  <c r="O1967" i="113"/>
  <c r="O2176" i="113"/>
  <c r="O1064" i="113"/>
  <c r="O2598" i="113"/>
  <c r="O338" i="113"/>
  <c r="O362" i="113"/>
  <c r="O1764" i="113"/>
  <c r="O1447" i="113"/>
  <c r="O2641" i="113"/>
  <c r="O2500" i="113"/>
  <c r="O1544" i="113"/>
  <c r="O1932" i="113"/>
  <c r="O1539" i="113"/>
  <c r="O1369" i="113"/>
  <c r="S137" i="113"/>
  <c r="O76" i="113"/>
  <c r="T76" i="113" s="1"/>
  <c r="W76" i="113" s="1"/>
  <c r="Y76" i="113" s="1"/>
  <c r="AC76" i="113" s="1"/>
  <c r="AG76" i="113" s="1"/>
  <c r="O922" i="113"/>
  <c r="O1453" i="113"/>
  <c r="O2665" i="113"/>
  <c r="T2665" i="113" s="1"/>
  <c r="W2665" i="113" s="1"/>
  <c r="Y2665" i="113" s="1"/>
  <c r="AC2665" i="113" s="1"/>
  <c r="AG2665" i="113" s="1"/>
  <c r="O2609" i="113"/>
  <c r="O2438" i="113"/>
  <c r="O2313" i="113"/>
  <c r="O1430" i="113"/>
  <c r="O2556" i="113"/>
  <c r="O1981" i="113"/>
  <c r="O1336" i="113"/>
  <c r="O2166" i="113"/>
  <c r="O2536" i="113"/>
  <c r="O2656" i="113"/>
  <c r="O1240" i="113"/>
  <c r="O697" i="113"/>
  <c r="O2618" i="113"/>
  <c r="O2286" i="113"/>
  <c r="O828" i="113"/>
  <c r="O2161" i="113"/>
  <c r="O2575" i="113"/>
  <c r="O1103" i="113"/>
  <c r="S96" i="113"/>
  <c r="O96" i="113"/>
  <c r="O2104" i="113"/>
  <c r="O1630" i="113"/>
  <c r="O1213" i="113"/>
  <c r="O1079" i="113"/>
  <c r="O2113" i="113"/>
  <c r="O2194" i="113"/>
  <c r="O1494" i="113"/>
  <c r="O2409" i="113"/>
  <c r="O278" i="113"/>
  <c r="O1760" i="113"/>
  <c r="O2326" i="113"/>
  <c r="O497" i="113"/>
  <c r="O532" i="113"/>
  <c r="O914" i="113"/>
  <c r="O735" i="113"/>
  <c r="O1758" i="113"/>
  <c r="O2562" i="113"/>
  <c r="O1818" i="113"/>
  <c r="O867" i="113"/>
  <c r="O2505" i="113"/>
  <c r="O2140" i="113"/>
  <c r="O2239" i="113"/>
  <c r="O1078" i="113"/>
  <c r="O1275" i="113"/>
  <c r="O1052" i="113"/>
  <c r="O1093" i="113"/>
  <c r="O2590" i="113"/>
  <c r="O898" i="113"/>
  <c r="O2300" i="113"/>
  <c r="O2605" i="113"/>
  <c r="O1232" i="113"/>
  <c r="O2189" i="113"/>
  <c r="S60" i="113"/>
  <c r="O60" i="113"/>
  <c r="O1570" i="113"/>
  <c r="O545" i="113"/>
  <c r="O1170" i="113"/>
  <c r="O1429" i="113"/>
  <c r="O2332" i="113"/>
  <c r="O1075" i="113"/>
  <c r="S151" i="113"/>
  <c r="O151" i="113"/>
  <c r="O2377" i="113"/>
  <c r="O2524" i="113"/>
  <c r="O501" i="113"/>
  <c r="O1110" i="113"/>
  <c r="O2206" i="113"/>
  <c r="O2048" i="113"/>
  <c r="O1632" i="113"/>
  <c r="O1484" i="113"/>
  <c r="O1250" i="113"/>
  <c r="O2544" i="113"/>
  <c r="O2578" i="113"/>
  <c r="O1153" i="113"/>
  <c r="O466" i="113"/>
  <c r="S211" i="113"/>
  <c r="O211" i="113"/>
  <c r="O1825" i="113"/>
  <c r="O2629" i="113"/>
  <c r="O746" i="113"/>
  <c r="O760" i="113"/>
  <c r="O1230" i="113"/>
  <c r="O1945" i="113"/>
  <c r="O1418" i="113"/>
  <c r="O547" i="113"/>
  <c r="O1710" i="113"/>
  <c r="O2030" i="113"/>
  <c r="O2581" i="113"/>
  <c r="O2153" i="113"/>
  <c r="O1033" i="113"/>
  <c r="O1315" i="113"/>
  <c r="O2031" i="113"/>
  <c r="O1431" i="113"/>
  <c r="O1454" i="113"/>
  <c r="O673" i="113"/>
  <c r="O1478" i="113"/>
  <c r="O2354" i="113"/>
  <c r="O2358" i="113"/>
  <c r="O1549" i="113"/>
  <c r="O2259" i="113"/>
  <c r="O2529" i="113"/>
  <c r="O966" i="113"/>
  <c r="O1586" i="113"/>
  <c r="O1352" i="113"/>
  <c r="O489" i="113"/>
  <c r="O391" i="113"/>
  <c r="O2089" i="113"/>
  <c r="S140" i="113"/>
  <c r="O140" i="113"/>
  <c r="O1816" i="113"/>
  <c r="O1876" i="113"/>
  <c r="O845" i="113"/>
  <c r="O487" i="113"/>
  <c r="O1754" i="113"/>
  <c r="O1488" i="113"/>
  <c r="O733" i="113"/>
  <c r="O2308" i="113"/>
  <c r="O2067" i="113"/>
  <c r="O722" i="113"/>
  <c r="O2193" i="113"/>
  <c r="T2193" i="113" s="1"/>
  <c r="W2193" i="113" s="1"/>
  <c r="Y2193" i="113" s="1"/>
  <c r="AC2193" i="113" s="1"/>
  <c r="AG2193" i="113" s="1"/>
  <c r="O584" i="113"/>
  <c r="T584" i="113" s="1"/>
  <c r="W584" i="113" s="1"/>
  <c r="Y584" i="113" s="1"/>
  <c r="AC584" i="113" s="1"/>
  <c r="AG584" i="113" s="1"/>
  <c r="O741" i="113"/>
  <c r="T741" i="113" s="1"/>
  <c r="W741" i="113" s="1"/>
  <c r="Y741" i="113" s="1"/>
  <c r="AC741" i="113" s="1"/>
  <c r="AG741" i="113" s="1"/>
  <c r="O458" i="113"/>
  <c r="T458" i="113" s="1"/>
  <c r="W458" i="113" s="1"/>
  <c r="Y458" i="113" s="1"/>
  <c r="AC458" i="113" s="1"/>
  <c r="AG458" i="113" s="1"/>
  <c r="O651" i="113"/>
  <c r="T651" i="113" s="1"/>
  <c r="W651" i="113" s="1"/>
  <c r="Y651" i="113" s="1"/>
  <c r="AC651" i="113" s="1"/>
  <c r="AG651" i="113" s="1"/>
  <c r="O1467" i="113"/>
  <c r="T1467" i="113" s="1"/>
  <c r="W1467" i="113" s="1"/>
  <c r="Y1467" i="113" s="1"/>
  <c r="O1905" i="113"/>
  <c r="T1905" i="113" s="1"/>
  <c r="W1905" i="113" s="1"/>
  <c r="Y1905" i="113" s="1"/>
  <c r="AC1905" i="113" s="1"/>
  <c r="AG1905" i="113" s="1"/>
  <c r="O1142" i="113"/>
  <c r="T1142" i="113" s="1"/>
  <c r="W1142" i="113" s="1"/>
  <c r="Y1142" i="113" s="1"/>
  <c r="AC1142" i="113" s="1"/>
  <c r="AG1142" i="113" s="1"/>
  <c r="O463" i="113"/>
  <c r="O132" i="113"/>
  <c r="O754" i="113"/>
  <c r="O887" i="113"/>
  <c r="T887" i="113" s="1"/>
  <c r="W887" i="113" s="1"/>
  <c r="Y887" i="113" s="1"/>
  <c r="O601" i="113"/>
  <c r="T601" i="113" s="1"/>
  <c r="W601" i="113" s="1"/>
  <c r="Y601" i="113" s="1"/>
  <c r="O1372" i="113"/>
  <c r="T1372" i="113" s="1"/>
  <c r="W1372" i="113" s="1"/>
  <c r="Y1372" i="113" s="1"/>
  <c r="AC1372" i="113" s="1"/>
  <c r="AG1372" i="113" s="1"/>
  <c r="O2340" i="113"/>
  <c r="T2340" i="113" s="1"/>
  <c r="W2340" i="113" s="1"/>
  <c r="Y2340" i="113" s="1"/>
  <c r="O1123" i="113"/>
  <c r="T1123" i="113" s="1"/>
  <c r="W1123" i="113" s="1"/>
  <c r="Y1123" i="113" s="1"/>
  <c r="O272" i="113"/>
  <c r="T272" i="113" s="1"/>
  <c r="W272" i="113" s="1"/>
  <c r="Y272" i="113" s="1"/>
  <c r="AC272" i="113" s="1"/>
  <c r="AG272" i="113" s="1"/>
  <c r="O1856" i="113"/>
  <c r="T1856" i="113" s="1"/>
  <c r="W1856" i="113" s="1"/>
  <c r="Y1856" i="113" s="1"/>
  <c r="AC1856" i="113" s="1"/>
  <c r="AG1856" i="113" s="1"/>
  <c r="S208" i="113"/>
  <c r="O2653" i="113"/>
  <c r="T2653" i="113" s="1"/>
  <c r="W2653" i="113" s="1"/>
  <c r="Y2653" i="113" s="1"/>
  <c r="O21" i="113"/>
  <c r="T21" i="113" s="1"/>
  <c r="W21" i="113" s="1"/>
  <c r="Y21" i="113" s="1"/>
  <c r="AC21" i="113" s="1"/>
  <c r="AG21" i="113" s="1"/>
  <c r="O453" i="113"/>
  <c r="T453" i="113" s="1"/>
  <c r="W453" i="113" s="1"/>
  <c r="Y453" i="113" s="1"/>
  <c r="O1323" i="113"/>
  <c r="T1323" i="113" s="1"/>
  <c r="W1323" i="113" s="1"/>
  <c r="Y1323" i="113" s="1"/>
  <c r="AC1323" i="113" s="1"/>
  <c r="AG1323" i="113" s="1"/>
  <c r="O1084" i="113"/>
  <c r="T1084" i="113" s="1"/>
  <c r="W1084" i="113" s="1"/>
  <c r="Y1084" i="113" s="1"/>
  <c r="AC1084" i="113" s="1"/>
  <c r="AG1084" i="113" s="1"/>
  <c r="O1903" i="113"/>
  <c r="O2341" i="113"/>
  <c r="T2341" i="113" s="1"/>
  <c r="W2341" i="113" s="1"/>
  <c r="Y2341" i="113" s="1"/>
  <c r="AC2341" i="113" s="1"/>
  <c r="AG2341" i="113" s="1"/>
  <c r="O2039" i="113"/>
  <c r="T2039" i="113" s="1"/>
  <c r="W2039" i="113" s="1"/>
  <c r="Y2039" i="113" s="1"/>
  <c r="AC2039" i="113" s="1"/>
  <c r="AG2039" i="113" s="1"/>
  <c r="O1853" i="113"/>
  <c r="T1853" i="113" s="1"/>
  <c r="W1853" i="113" s="1"/>
  <c r="Y1853" i="113" s="1"/>
  <c r="O18" i="113"/>
  <c r="T18" i="113" s="1"/>
  <c r="W18" i="113" s="1"/>
  <c r="Y18" i="113" s="1"/>
  <c r="AC18" i="113" s="1"/>
  <c r="AG18" i="113" s="1"/>
  <c r="O1389" i="113"/>
  <c r="T1389" i="113" s="1"/>
  <c r="W1389" i="113" s="1"/>
  <c r="Y1389" i="113" s="1"/>
  <c r="O701" i="113"/>
  <c r="T701" i="113" s="1"/>
  <c r="W701" i="113" s="1"/>
  <c r="Y701" i="113" s="1"/>
  <c r="O865" i="113"/>
  <c r="T865" i="113" s="1"/>
  <c r="W865" i="113" s="1"/>
  <c r="Y865" i="113" s="1"/>
  <c r="O2427" i="113"/>
  <c r="T2427" i="113" s="1"/>
  <c r="W2427" i="113" s="1"/>
  <c r="Y2427" i="113" s="1"/>
  <c r="AC2427" i="113" s="1"/>
  <c r="AG2427" i="113" s="1"/>
  <c r="O1324" i="113"/>
  <c r="T1324" i="113" s="1"/>
  <c r="W1324" i="113" s="1"/>
  <c r="Y1324" i="113" s="1"/>
  <c r="AC1324" i="113" s="1"/>
  <c r="AG1324" i="113" s="1"/>
  <c r="O1820" i="113"/>
  <c r="T1820" i="113" s="1"/>
  <c r="W1820" i="113" s="1"/>
  <c r="Y1820" i="113" s="1"/>
  <c r="O1619" i="113"/>
  <c r="T1619" i="113" s="1"/>
  <c r="W1619" i="113" s="1"/>
  <c r="Y1619" i="113" s="1"/>
  <c r="AC1619" i="113" s="1"/>
  <c r="AG1619" i="113" s="1"/>
  <c r="O217" i="113"/>
  <c r="O269" i="113"/>
  <c r="T269" i="113" s="1"/>
  <c r="W269" i="113" s="1"/>
  <c r="Y269" i="113" s="1"/>
  <c r="O958" i="113"/>
  <c r="O689" i="113"/>
  <c r="T689" i="113" s="1"/>
  <c r="W689" i="113" s="1"/>
  <c r="Y689" i="113" s="1"/>
  <c r="AC689" i="113" s="1"/>
  <c r="AG689" i="113" s="1"/>
  <c r="O739" i="113"/>
  <c r="T739" i="113" s="1"/>
  <c r="W739" i="113" s="1"/>
  <c r="Y739" i="113" s="1"/>
  <c r="O1156" i="113"/>
  <c r="T1156" i="113" s="1"/>
  <c r="W1156" i="113" s="1"/>
  <c r="Y1156" i="113" s="1"/>
  <c r="AC1156" i="113" s="1"/>
  <c r="AG1156" i="113" s="1"/>
  <c r="O1571" i="113"/>
  <c r="T1571" i="113" s="1"/>
  <c r="W1571" i="113" s="1"/>
  <c r="Y1571" i="113" s="1"/>
  <c r="O31" i="113"/>
  <c r="T31" i="113" s="1"/>
  <c r="W31" i="113" s="1"/>
  <c r="Y31" i="113" s="1"/>
  <c r="AC31" i="113" s="1"/>
  <c r="AG31" i="113" s="1"/>
  <c r="O972" i="113"/>
  <c r="T972" i="113" s="1"/>
  <c r="W972" i="113" s="1"/>
  <c r="Y972" i="113" s="1"/>
  <c r="AC972" i="113" s="1"/>
  <c r="AG972" i="113" s="1"/>
  <c r="O1481" i="113"/>
  <c r="T1481" i="113" s="1"/>
  <c r="W1481" i="113" s="1"/>
  <c r="Y1481" i="113" s="1"/>
  <c r="O1993" i="113"/>
  <c r="T1993" i="113" s="1"/>
  <c r="W1993" i="113" s="1"/>
  <c r="Y1993" i="113" s="1"/>
  <c r="AC1993" i="113" s="1"/>
  <c r="AG1993" i="113" s="1"/>
  <c r="O1073" i="113"/>
  <c r="T1073" i="113" s="1"/>
  <c r="W1073" i="113" s="1"/>
  <c r="Y1073" i="113" s="1"/>
  <c r="O6" i="113"/>
  <c r="T6" i="113" s="1"/>
  <c r="W6" i="113" s="1"/>
  <c r="Y6" i="113" s="1"/>
  <c r="AC6" i="113" s="1"/>
  <c r="AG6" i="113" s="1"/>
  <c r="O1019" i="113"/>
  <c r="T1019" i="113" s="1"/>
  <c r="W1019" i="113" s="1"/>
  <c r="Y1019" i="113" s="1"/>
  <c r="O1137" i="113"/>
  <c r="T1137" i="113" s="1"/>
  <c r="W1137" i="113" s="1"/>
  <c r="Y1137" i="113" s="1"/>
  <c r="O1733" i="113"/>
  <c r="O1709" i="113"/>
  <c r="T1709" i="113" s="1"/>
  <c r="W1709" i="113" s="1"/>
  <c r="Y1709" i="113" s="1"/>
  <c r="O1290" i="113"/>
  <c r="T1290" i="113" s="1"/>
  <c r="W1290" i="113" s="1"/>
  <c r="Y1290" i="113" s="1"/>
  <c r="AC1290" i="113" s="1"/>
  <c r="AG1290" i="113" s="1"/>
  <c r="O782" i="113"/>
  <c r="T782" i="113" s="1"/>
  <c r="W782" i="113" s="1"/>
  <c r="Y782" i="113" s="1"/>
  <c r="O1158" i="113"/>
  <c r="T1158" i="113" s="1"/>
  <c r="W1158" i="113" s="1"/>
  <c r="Y1158" i="113" s="1"/>
  <c r="O1562" i="113"/>
  <c r="T1562" i="113" s="1"/>
  <c r="W1562" i="113" s="1"/>
  <c r="Y1562" i="113" s="1"/>
  <c r="AC1562" i="113" s="1"/>
  <c r="AG1562" i="113" s="1"/>
  <c r="O470" i="113"/>
  <c r="O88" i="113"/>
  <c r="T88" i="113" s="1"/>
  <c r="W88" i="113" s="1"/>
  <c r="Y88" i="113" s="1"/>
  <c r="AC88" i="113" s="1"/>
  <c r="AG88" i="113" s="1"/>
  <c r="O1439" i="113"/>
  <c r="T1439" i="113" s="1"/>
  <c r="W1439" i="113" s="1"/>
  <c r="Y1439" i="113" s="1"/>
  <c r="O1399" i="113"/>
  <c r="T1399" i="113" s="1"/>
  <c r="W1399" i="113" s="1"/>
  <c r="Y1399" i="113" s="1"/>
  <c r="O1737" i="113"/>
  <c r="T1737" i="113" s="1"/>
  <c r="W1737" i="113" s="1"/>
  <c r="Y1737" i="113" s="1"/>
  <c r="O356" i="113"/>
  <c r="O929" i="113"/>
  <c r="T929" i="113" s="1"/>
  <c r="W929" i="113" s="1"/>
  <c r="Y929" i="113" s="1"/>
  <c r="AC929" i="113" s="1"/>
  <c r="AG929" i="113" s="1"/>
  <c r="S204" i="113"/>
  <c r="O1776" i="113"/>
  <c r="O1339" i="113"/>
  <c r="O1276" i="113"/>
  <c r="O409" i="113"/>
  <c r="O1242" i="113"/>
  <c r="O377" i="113"/>
  <c r="O2441" i="113"/>
  <c r="O2240" i="113"/>
  <c r="O2670" i="113"/>
  <c r="O938" i="113"/>
  <c r="O2552" i="113"/>
  <c r="O2453" i="113"/>
  <c r="O1936" i="113"/>
  <c r="O1649" i="113"/>
  <c r="O1506" i="113"/>
  <c r="O1218" i="113"/>
  <c r="O1438" i="113"/>
  <c r="O2244" i="113"/>
  <c r="O864" i="113"/>
  <c r="O1014" i="113"/>
  <c r="O1288" i="113"/>
  <c r="O441" i="113"/>
  <c r="O1070" i="113"/>
  <c r="O2521" i="113"/>
  <c r="O2602" i="113"/>
  <c r="O2159" i="113"/>
  <c r="O1834" i="113"/>
  <c r="O1692" i="113"/>
  <c r="O1935" i="113"/>
  <c r="O1045" i="113"/>
  <c r="O826" i="113"/>
  <c r="S28" i="113"/>
  <c r="O28" i="113"/>
  <c r="O1132" i="113"/>
  <c r="S4" i="113"/>
  <c r="T4" i="113" s="1"/>
  <c r="W4" i="113" s="1"/>
  <c r="Y4" i="113" s="1"/>
  <c r="AC4" i="113" s="1"/>
  <c r="AG4" i="113" s="1"/>
  <c r="O1635" i="113"/>
  <c r="T1635" i="113" s="1"/>
  <c r="W1635" i="113" s="1"/>
  <c r="Y1635" i="113" s="1"/>
  <c r="O2485" i="113"/>
  <c r="T2485" i="113" s="1"/>
  <c r="W2485" i="113" s="1"/>
  <c r="Y2485" i="113" s="1"/>
  <c r="AC2485" i="113" s="1"/>
  <c r="AG2485" i="113" s="1"/>
  <c r="O2608" i="113"/>
  <c r="O1028" i="113"/>
  <c r="O2068" i="113"/>
  <c r="O419" i="113"/>
  <c r="O2350" i="113"/>
  <c r="O2520" i="113"/>
  <c r="O1975" i="113"/>
  <c r="O2297" i="113"/>
  <c r="O2232" i="113"/>
  <c r="O2404" i="113"/>
  <c r="O1149" i="113"/>
  <c r="O2468" i="113"/>
  <c r="O2379" i="113"/>
  <c r="O2539" i="113"/>
  <c r="O1922" i="113"/>
  <c r="O2613" i="113"/>
  <c r="O1108" i="113"/>
  <c r="O2607" i="113"/>
  <c r="O2213" i="113"/>
  <c r="O2601" i="113"/>
  <c r="O1640" i="113"/>
  <c r="O2638" i="113"/>
  <c r="O2588" i="113"/>
  <c r="O375" i="113"/>
  <c r="O203" i="113"/>
  <c r="S203" i="113"/>
  <c r="O2217" i="113"/>
  <c r="O1005" i="113"/>
  <c r="O2496" i="113"/>
  <c r="O275" i="113"/>
  <c r="O1386" i="113"/>
  <c r="O1000" i="113"/>
  <c r="O806" i="113"/>
  <c r="O2450" i="113"/>
  <c r="S171" i="113"/>
  <c r="O171" i="113"/>
  <c r="O202" i="113"/>
  <c r="S202" i="113"/>
  <c r="O2322" i="113"/>
  <c r="O2269" i="113"/>
  <c r="O1031" i="113"/>
  <c r="O2272" i="113"/>
  <c r="O1050" i="113"/>
  <c r="O2265" i="113"/>
  <c r="O2619" i="113"/>
  <c r="O1852" i="113"/>
  <c r="O1449" i="113"/>
  <c r="O480" i="113"/>
  <c r="O776" i="113"/>
  <c r="S159" i="113"/>
  <c r="O159" i="113"/>
  <c r="O1509" i="113"/>
  <c r="O509" i="113"/>
  <c r="O592" i="113"/>
  <c r="O595" i="113"/>
  <c r="O636" i="113"/>
  <c r="O2459" i="113"/>
  <c r="O444" i="113"/>
  <c r="O580" i="113"/>
  <c r="O2270" i="113"/>
  <c r="O2365" i="113"/>
  <c r="O1950" i="113"/>
  <c r="O1927" i="113"/>
  <c r="O264" i="113"/>
  <c r="O1644" i="113"/>
  <c r="S26" i="113"/>
  <c r="O26" i="113"/>
  <c r="O2172" i="113"/>
  <c r="O1364" i="113"/>
  <c r="O1984" i="113"/>
  <c r="O2482" i="113"/>
  <c r="O1195" i="113"/>
  <c r="O166" i="113"/>
  <c r="S166" i="113"/>
  <c r="O1689" i="113"/>
  <c r="O2411" i="113"/>
  <c r="O2251" i="113"/>
  <c r="O1848" i="113"/>
  <c r="O385" i="113"/>
  <c r="O1133" i="113"/>
  <c r="O894" i="113"/>
  <c r="O2058" i="113"/>
  <c r="O562" i="113"/>
  <c r="O332" i="113"/>
  <c r="O2448" i="113"/>
  <c r="S24" i="113"/>
  <c r="O24" i="113"/>
  <c r="O1226" i="113"/>
  <c r="S123" i="113"/>
  <c r="O123" i="113"/>
  <c r="O769" i="113"/>
  <c r="O1495" i="113"/>
  <c r="O1762" i="113"/>
  <c r="O346" i="113"/>
  <c r="O1652" i="113"/>
  <c r="O2343" i="113"/>
  <c r="O1813" i="113"/>
  <c r="O2235" i="113"/>
  <c r="O1663" i="113"/>
  <c r="O1684" i="113"/>
  <c r="O443" i="113"/>
  <c r="O2325" i="113"/>
  <c r="O565" i="113"/>
  <c r="O1801" i="113"/>
  <c r="O512" i="113"/>
  <c r="O1773" i="113"/>
  <c r="O440" i="113"/>
  <c r="O378" i="113"/>
  <c r="O656" i="113"/>
  <c r="O1190" i="113"/>
  <c r="O863" i="113"/>
  <c r="O1769" i="113"/>
  <c r="O342" i="113"/>
  <c r="O1192" i="113"/>
  <c r="O2034" i="113"/>
  <c r="O2481" i="113"/>
  <c r="O1314" i="113"/>
  <c r="S48" i="113"/>
  <c r="O48" i="113"/>
  <c r="O748" i="113"/>
  <c r="O726" i="113"/>
  <c r="O1001" i="113"/>
  <c r="O659" i="113"/>
  <c r="O1404" i="113"/>
  <c r="O1445" i="113"/>
  <c r="T1445" i="113" s="1"/>
  <c r="W1445" i="113" s="1"/>
  <c r="Y1445" i="113" s="1"/>
  <c r="O194" i="113"/>
  <c r="T194" i="113" s="1"/>
  <c r="W194" i="113" s="1"/>
  <c r="Y194" i="113" s="1"/>
  <c r="AC194" i="113" s="1"/>
  <c r="AG194" i="113" s="1"/>
  <c r="O942" i="113"/>
  <c r="O1091" i="113"/>
  <c r="T1091" i="113" s="1"/>
  <c r="W1091" i="113" s="1"/>
  <c r="Y1091" i="113" s="1"/>
  <c r="AC1091" i="113" s="1"/>
  <c r="AG1091" i="113" s="1"/>
  <c r="O853" i="113"/>
  <c r="T853" i="113" s="1"/>
  <c r="W853" i="113" s="1"/>
  <c r="Y853" i="113" s="1"/>
  <c r="AC853" i="113" s="1"/>
  <c r="AG853" i="113" s="1"/>
  <c r="O1670" i="113"/>
  <c r="T1670" i="113" s="1"/>
  <c r="W1670" i="113" s="1"/>
  <c r="Y1670" i="113" s="1"/>
  <c r="AC1670" i="113" s="1"/>
  <c r="AG1670" i="113" s="1"/>
  <c r="O2108" i="113"/>
  <c r="T2108" i="113" s="1"/>
  <c r="W2108" i="113" s="1"/>
  <c r="Y2108" i="113" s="1"/>
  <c r="O1395" i="113"/>
  <c r="T1395" i="113" s="1"/>
  <c r="W1395" i="113" s="1"/>
  <c r="Y1395" i="113" s="1"/>
  <c r="AC1395" i="113" s="1"/>
  <c r="AG1395" i="113" s="1"/>
  <c r="O1166" i="113"/>
  <c r="T1166" i="113" s="1"/>
  <c r="W1166" i="113" s="1"/>
  <c r="Y1166" i="113" s="1"/>
  <c r="S122" i="113"/>
  <c r="O335" i="113"/>
  <c r="O1089" i="113"/>
  <c r="T1089" i="113" s="1"/>
  <c r="W1089" i="113" s="1"/>
  <c r="Y1089" i="113" s="1"/>
  <c r="O805" i="113"/>
  <c r="T805" i="113" s="1"/>
  <c r="W805" i="113" s="1"/>
  <c r="Y805" i="113" s="1"/>
  <c r="AC805" i="113" s="1"/>
  <c r="AG805" i="113" s="1"/>
  <c r="O1989" i="113"/>
  <c r="T1989" i="113" s="1"/>
  <c r="W1989" i="113" s="1"/>
  <c r="Y1989" i="113" s="1"/>
  <c r="O2545" i="113"/>
  <c r="T2545" i="113" s="1"/>
  <c r="W2545" i="113" s="1"/>
  <c r="Y2545" i="113" s="1"/>
  <c r="O1379" i="113"/>
  <c r="T1379" i="113" s="1"/>
  <c r="W1379" i="113" s="1"/>
  <c r="Y1379" i="113" s="1"/>
  <c r="AC1379" i="113" s="1"/>
  <c r="AG1379" i="113" s="1"/>
  <c r="O1126" i="113"/>
  <c r="T1126" i="113" s="1"/>
  <c r="W1126" i="113" s="1"/>
  <c r="Y1126" i="113" s="1"/>
  <c r="AC1126" i="113" s="1"/>
  <c r="AG1126" i="113" s="1"/>
  <c r="O2059" i="113"/>
  <c r="T2059" i="113" s="1"/>
  <c r="W2059" i="113" s="1"/>
  <c r="Y2059" i="113" s="1"/>
  <c r="O1278" i="113"/>
  <c r="T1278" i="113" s="1"/>
  <c r="W1278" i="113" s="1"/>
  <c r="Y1278" i="113" s="1"/>
  <c r="O684" i="113"/>
  <c r="T684" i="113" s="1"/>
  <c r="W684" i="113" s="1"/>
  <c r="Y684" i="113" s="1"/>
  <c r="AC684" i="113" s="1"/>
  <c r="AG684" i="113" s="1"/>
  <c r="O369" i="113"/>
  <c r="T369" i="113" s="1"/>
  <c r="W369" i="113" s="1"/>
  <c r="Y369" i="113" s="1"/>
  <c r="O431" i="113"/>
  <c r="T431" i="113" s="1"/>
  <c r="W431" i="113" s="1"/>
  <c r="Y431" i="113" s="1"/>
  <c r="AC431" i="113" s="1"/>
  <c r="AG431" i="113" s="1"/>
  <c r="O2106" i="113"/>
  <c r="T2106" i="113" s="1"/>
  <c r="W2106" i="113" s="1"/>
  <c r="Y2106" i="113" s="1"/>
  <c r="O1269" i="113"/>
  <c r="T1269" i="113" s="1"/>
  <c r="W1269" i="113" s="1"/>
  <c r="Y1269" i="113" s="1"/>
  <c r="O1020" i="113"/>
  <c r="T1020" i="113" s="1"/>
  <c r="W1020" i="113" s="1"/>
  <c r="Y1020" i="113" s="1"/>
  <c r="O2056" i="113"/>
  <c r="O222" i="113"/>
  <c r="T222" i="113" s="1"/>
  <c r="W222" i="113" s="1"/>
  <c r="Y222" i="113" s="1"/>
  <c r="AC222" i="113" s="1"/>
  <c r="AG222" i="113" s="1"/>
  <c r="O322" i="113"/>
  <c r="O99" i="113"/>
  <c r="T99" i="113" s="1"/>
  <c r="W99" i="113" s="1"/>
  <c r="Y99" i="113" s="1"/>
  <c r="AC99" i="113" s="1"/>
  <c r="AG99" i="113" s="1"/>
  <c r="O923" i="113"/>
  <c r="T923" i="113" s="1"/>
  <c r="W923" i="113" s="1"/>
  <c r="Y923" i="113" s="1"/>
  <c r="AC923" i="113" s="1"/>
  <c r="AG923" i="113" s="1"/>
  <c r="O1541" i="113"/>
  <c r="T1541" i="113" s="1"/>
  <c r="W1541" i="113" s="1"/>
  <c r="Y1541" i="113" s="1"/>
  <c r="O2023" i="113"/>
  <c r="T2023" i="113" s="1"/>
  <c r="W2023" i="113" s="1"/>
  <c r="Y2023" i="113" s="1"/>
  <c r="O1823" i="113"/>
  <c r="O101" i="113"/>
  <c r="T101" i="113" s="1"/>
  <c r="W101" i="113" s="1"/>
  <c r="Y101" i="113" s="1"/>
  <c r="AC101" i="113" s="1"/>
  <c r="AG101" i="113" s="1"/>
  <c r="O186" i="113"/>
  <c r="T186" i="113" s="1"/>
  <c r="W186" i="113" s="1"/>
  <c r="Y186" i="113" s="1"/>
  <c r="AC186" i="113" s="1"/>
  <c r="AG186" i="113" s="1"/>
  <c r="O304" i="113"/>
  <c r="T304" i="113" s="1"/>
  <c r="W304" i="113" s="1"/>
  <c r="Y304" i="113" s="1"/>
  <c r="O891" i="113"/>
  <c r="T891" i="113" s="1"/>
  <c r="W891" i="113" s="1"/>
  <c r="Y891" i="113" s="1"/>
  <c r="AC891" i="113" s="1"/>
  <c r="AG891" i="113" s="1"/>
  <c r="O940" i="113"/>
  <c r="T940" i="113" s="1"/>
  <c r="W940" i="113" s="1"/>
  <c r="Y940" i="113" s="1"/>
  <c r="AC940" i="113" s="1"/>
  <c r="AG940" i="113" s="1"/>
  <c r="O1817" i="113"/>
  <c r="T1817" i="113" s="1"/>
  <c r="W1817" i="113" s="1"/>
  <c r="Y1817" i="113" s="1"/>
  <c r="AC1817" i="113" s="1"/>
  <c r="AG1817" i="113" s="1"/>
  <c r="O1774" i="113"/>
  <c r="T1774" i="113" s="1"/>
  <c r="W1774" i="113" s="1"/>
  <c r="Y1774" i="113" s="1"/>
  <c r="AC1774" i="113" s="1"/>
  <c r="AG1774" i="113" s="1"/>
  <c r="O1604" i="113"/>
  <c r="T1604" i="113" s="1"/>
  <c r="W1604" i="113" s="1"/>
  <c r="Y1604" i="113" s="1"/>
  <c r="AC1604" i="113" s="1"/>
  <c r="AG1604" i="113" s="1"/>
  <c r="O1316" i="113"/>
  <c r="O234" i="113"/>
  <c r="T234" i="113" s="1"/>
  <c r="W234" i="113" s="1"/>
  <c r="Y234" i="113" s="1"/>
  <c r="O326" i="113"/>
  <c r="T326" i="113" s="1"/>
  <c r="W326" i="113" s="1"/>
  <c r="Y326" i="113" s="1"/>
  <c r="AC326" i="113" s="1"/>
  <c r="AG326" i="113" s="1"/>
  <c r="O2090" i="113"/>
  <c r="T2090" i="113" s="1"/>
  <c r="W2090" i="113" s="1"/>
  <c r="Y2090" i="113" s="1"/>
  <c r="O808" i="113"/>
  <c r="T808" i="113" s="1"/>
  <c r="W808" i="113" s="1"/>
  <c r="Y808" i="113" s="1"/>
  <c r="O1335" i="113"/>
  <c r="T1335" i="113" s="1"/>
  <c r="W1335" i="113" s="1"/>
  <c r="Y1335" i="113" s="1"/>
  <c r="AC1335" i="113" s="1"/>
  <c r="AG1335" i="113" s="1"/>
  <c r="O95" i="113"/>
  <c r="T95" i="113" s="1"/>
  <c r="W95" i="113" s="1"/>
  <c r="Y95" i="113" s="1"/>
  <c r="AC95" i="113" s="1"/>
  <c r="AG95" i="113" s="1"/>
  <c r="O1222" i="113"/>
  <c r="T1222" i="113" s="1"/>
  <c r="W1222" i="113" s="1"/>
  <c r="Y1222" i="113" s="1"/>
  <c r="O1390" i="113"/>
  <c r="T1390" i="113" s="1"/>
  <c r="W1390" i="113" s="1"/>
  <c r="Y1390" i="113" s="1"/>
  <c r="AC1390" i="113" s="1"/>
  <c r="AG1390" i="113" s="1"/>
  <c r="O1182" i="113"/>
  <c r="T1182" i="113" s="1"/>
  <c r="W1182" i="113" s="1"/>
  <c r="Y1182" i="113" s="1"/>
  <c r="AC1182" i="113" s="1"/>
  <c r="AG1182" i="113" s="1"/>
  <c r="O56" i="113"/>
  <c r="T56" i="113" s="1"/>
  <c r="W56" i="113" s="1"/>
  <c r="Y56" i="113" s="1"/>
  <c r="AC56" i="113" s="1"/>
  <c r="AG56" i="113" s="1"/>
  <c r="O343" i="113"/>
  <c r="T343" i="113" s="1"/>
  <c r="W343" i="113" s="1"/>
  <c r="Y343" i="113" s="1"/>
  <c r="AC343" i="113" s="1"/>
  <c r="AG343" i="113" s="1"/>
  <c r="O1282" i="113"/>
  <c r="T1282" i="113" s="1"/>
  <c r="W1282" i="113" s="1"/>
  <c r="Y1282" i="113" s="1"/>
  <c r="AC1282" i="113" s="1"/>
  <c r="AG1282" i="113" s="1"/>
  <c r="O1408" i="113"/>
  <c r="T1408" i="113" s="1"/>
  <c r="W1408" i="113" s="1"/>
  <c r="Y1408" i="113" s="1"/>
  <c r="O1765" i="113"/>
  <c r="T1765" i="113" s="1"/>
  <c r="W1765" i="113" s="1"/>
  <c r="Y1765" i="113" s="1"/>
  <c r="AC1765" i="113" s="1"/>
  <c r="AG1765" i="113" s="1"/>
  <c r="O1100" i="113"/>
  <c r="T1100" i="113" s="1"/>
  <c r="W1100" i="113" s="1"/>
  <c r="Y1100" i="113" s="1"/>
  <c r="AC1100" i="113" s="1"/>
  <c r="AG1100" i="113" s="1"/>
  <c r="O368" i="113"/>
  <c r="O550" i="113"/>
  <c r="T550" i="113" s="1"/>
  <c r="W550" i="113" s="1"/>
  <c r="Y550" i="113" s="1"/>
  <c r="AC550" i="113" s="1"/>
  <c r="AG550" i="113" s="1"/>
  <c r="O2051" i="113"/>
  <c r="S256" i="113"/>
  <c r="T256" i="113" s="1"/>
  <c r="W256" i="113" s="1"/>
  <c r="Y256" i="113" s="1"/>
  <c r="AC256" i="113" s="1"/>
  <c r="AG256" i="113" s="1"/>
  <c r="O796" i="113"/>
  <c r="T796" i="113" s="1"/>
  <c r="W796" i="113" s="1"/>
  <c r="Y796" i="113" s="1"/>
  <c r="O2218" i="113"/>
  <c r="O1708" i="113"/>
  <c r="O1598" i="113"/>
  <c r="O1666" i="113"/>
  <c r="O1589" i="113"/>
  <c r="O2254" i="113"/>
  <c r="O1223" i="113"/>
  <c r="O1809" i="113"/>
  <c r="O2369" i="113"/>
  <c r="O1134" i="113"/>
  <c r="O2261" i="113"/>
  <c r="O2103" i="113"/>
  <c r="O539" i="113"/>
  <c r="O2610" i="113"/>
  <c r="O2566" i="113"/>
  <c r="O2116" i="113"/>
  <c r="O2543" i="113"/>
  <c r="O1728" i="113"/>
  <c r="O2375" i="113"/>
  <c r="O2144" i="113"/>
  <c r="O1350" i="113"/>
  <c r="O258" i="113"/>
  <c r="S258" i="113"/>
  <c r="O2292" i="113"/>
  <c r="O1844" i="113"/>
  <c r="O1755" i="113"/>
  <c r="O587" i="113"/>
  <c r="O2472" i="113"/>
  <c r="O2673" i="113"/>
  <c r="O1726" i="113"/>
  <c r="O1387" i="113"/>
  <c r="O1982" i="113"/>
  <c r="O2569" i="113"/>
  <c r="O2282" i="113"/>
  <c r="O2052" i="113"/>
  <c r="O1490" i="113"/>
  <c r="O2003" i="113"/>
  <c r="O2487" i="113"/>
  <c r="O2336" i="113"/>
  <c r="O2230" i="113"/>
  <c r="O2141" i="113"/>
  <c r="O1695" i="113"/>
  <c r="O2456" i="113"/>
  <c r="O793" i="113"/>
  <c r="O2376" i="113"/>
  <c r="O1956" i="113"/>
  <c r="O2362" i="113"/>
  <c r="O61" i="113"/>
  <c r="S61" i="113"/>
  <c r="S97" i="113"/>
  <c r="O97" i="113"/>
  <c r="O1298" i="113"/>
  <c r="O1442" i="113"/>
  <c r="O955" i="113"/>
  <c r="O2195" i="113"/>
  <c r="O832" i="113"/>
  <c r="O1864" i="113"/>
  <c r="O2671" i="113"/>
  <c r="O1419" i="113"/>
  <c r="O2258" i="113"/>
  <c r="S3" i="113"/>
  <c r="O3" i="113"/>
  <c r="O64" i="113"/>
  <c r="S64" i="113"/>
  <c r="S129" i="113"/>
  <c r="O129" i="113"/>
  <c r="O1914" i="113"/>
  <c r="O2650" i="113"/>
  <c r="O1750" i="113"/>
  <c r="O903" i="113"/>
  <c r="O374" i="113"/>
  <c r="O577" i="113"/>
  <c r="O1974" i="113"/>
  <c r="O2080" i="113"/>
  <c r="O238" i="113"/>
  <c r="S238" i="113"/>
  <c r="O960" i="113"/>
  <c r="O2047" i="113"/>
  <c r="O361" i="113"/>
  <c r="O2016" i="113"/>
  <c r="O2380" i="113"/>
  <c r="O1273" i="113"/>
  <c r="O2664" i="113"/>
  <c r="O745" i="113"/>
  <c r="S176" i="113"/>
  <c r="O176" i="113"/>
  <c r="O1009" i="113"/>
  <c r="O578" i="113"/>
  <c r="O1735" i="113"/>
  <c r="O1058" i="113"/>
  <c r="O2005" i="113"/>
  <c r="O2112" i="113"/>
  <c r="O1782" i="113"/>
  <c r="O2593" i="113"/>
  <c r="O2127" i="113"/>
  <c r="O467" i="113"/>
  <c r="O529" i="113"/>
  <c r="O985" i="113"/>
  <c r="O2043" i="113"/>
  <c r="O1267" i="113"/>
  <c r="O2022" i="113"/>
  <c r="O2243" i="113"/>
  <c r="O988" i="113"/>
  <c r="S163" i="113"/>
  <c r="O163" i="113"/>
  <c r="O1398" i="113"/>
  <c r="O1851" i="113"/>
  <c r="O308" i="113"/>
  <c r="O682" i="113"/>
  <c r="O2614" i="113"/>
  <c r="O2457" i="113"/>
  <c r="O709" i="113"/>
  <c r="O939" i="113"/>
  <c r="O1498" i="113"/>
  <c r="O1869" i="113"/>
  <c r="O492" i="113"/>
  <c r="O1560" i="113"/>
  <c r="S141" i="113"/>
  <c r="O141" i="113"/>
  <c r="O228" i="113"/>
  <c r="S228" i="113"/>
  <c r="O1186" i="113"/>
  <c r="O890" i="113"/>
  <c r="O1417" i="113"/>
  <c r="O1421" i="113"/>
  <c r="O499" i="113"/>
  <c r="O314" i="113"/>
  <c r="O1111" i="113"/>
  <c r="O2101" i="113"/>
  <c r="S196" i="113"/>
  <c r="O196" i="113"/>
  <c r="O1717" i="113"/>
  <c r="O433" i="113"/>
  <c r="O2440" i="113"/>
  <c r="O1877" i="113"/>
  <c r="O1897" i="113"/>
  <c r="O1022" i="113"/>
  <c r="O1887" i="113"/>
  <c r="O1516" i="113"/>
  <c r="O1376" i="113"/>
  <c r="O1601" i="113"/>
  <c r="O643" i="113"/>
  <c r="S74" i="113"/>
  <c r="O74" i="113"/>
  <c r="O893" i="113"/>
  <c r="O1626" i="113"/>
  <c r="O821" i="113"/>
  <c r="O895" i="113"/>
  <c r="O978" i="113"/>
  <c r="O1341" i="113"/>
  <c r="O2109" i="113"/>
  <c r="O1655" i="113"/>
  <c r="O2242" i="113"/>
  <c r="O2511" i="113"/>
  <c r="S252" i="113"/>
  <c r="O252" i="113"/>
  <c r="O820" i="113"/>
  <c r="O1946" i="113"/>
  <c r="O981" i="113"/>
  <c r="S47" i="113"/>
  <c r="O47" i="113"/>
  <c r="S167" i="113"/>
  <c r="O397" i="113"/>
  <c r="T397" i="113" s="1"/>
  <c r="W397" i="113" s="1"/>
  <c r="Y397" i="113" s="1"/>
  <c r="O1145" i="113"/>
  <c r="T1145" i="113" s="1"/>
  <c r="W1145" i="113" s="1"/>
  <c r="Y1145" i="113" s="1"/>
  <c r="O1294" i="113"/>
  <c r="T1294" i="113" s="1"/>
  <c r="W1294" i="113" s="1"/>
  <c r="Y1294" i="113" s="1"/>
  <c r="O1055" i="113"/>
  <c r="T1055" i="113" s="1"/>
  <c r="W1055" i="113" s="1"/>
  <c r="Y1055" i="113" s="1"/>
  <c r="O1874" i="113"/>
  <c r="T1874" i="113" s="1"/>
  <c r="W1874" i="113" s="1"/>
  <c r="Y1874" i="113" s="1"/>
  <c r="AC1874" i="113" s="1"/>
  <c r="AG1874" i="113" s="1"/>
  <c r="O2312" i="113"/>
  <c r="O1603" i="113"/>
  <c r="T1603" i="113" s="1"/>
  <c r="W1603" i="113" s="1"/>
  <c r="Y1603" i="113" s="1"/>
  <c r="AC1603" i="113" s="1"/>
  <c r="AG1603" i="113" s="1"/>
  <c r="O1413" i="113"/>
  <c r="S44" i="113"/>
  <c r="T44" i="113" s="1"/>
  <c r="W44" i="113" s="1"/>
  <c r="Y44" i="113" s="1"/>
  <c r="O538" i="113"/>
  <c r="T538" i="113" s="1"/>
  <c r="W538" i="113" s="1"/>
  <c r="Y538" i="113" s="1"/>
  <c r="O1159" i="113"/>
  <c r="T1159" i="113" s="1"/>
  <c r="W1159" i="113" s="1"/>
  <c r="Y1159" i="113" s="1"/>
  <c r="O436" i="113"/>
  <c r="T436" i="113" s="1"/>
  <c r="W436" i="113" s="1"/>
  <c r="Y436" i="113" s="1"/>
  <c r="AC436" i="113" s="1"/>
  <c r="AG436" i="113" s="1"/>
  <c r="O1007" i="113"/>
  <c r="O2192" i="113"/>
  <c r="T2192" i="113" s="1"/>
  <c r="W2192" i="113" s="1"/>
  <c r="Y2192" i="113" s="1"/>
  <c r="O933" i="113"/>
  <c r="T933" i="113" s="1"/>
  <c r="W933" i="113" s="1"/>
  <c r="Y933" i="113" s="1"/>
  <c r="AC933" i="113" s="1"/>
  <c r="AG933" i="113" s="1"/>
  <c r="O1587" i="113"/>
  <c r="T1587" i="113" s="1"/>
  <c r="W1587" i="113" s="1"/>
  <c r="Y1587" i="113" s="1"/>
  <c r="AC1587" i="113" s="1"/>
  <c r="AG1587" i="113" s="1"/>
  <c r="O1382" i="113"/>
  <c r="T1382" i="113" s="1"/>
  <c r="W1382" i="113" s="1"/>
  <c r="Y1382" i="113" s="1"/>
  <c r="O1697" i="113"/>
  <c r="T1697" i="113" s="1"/>
  <c r="W1697" i="113" s="1"/>
  <c r="Y1697" i="113" s="1"/>
  <c r="AC1697" i="113" s="1"/>
  <c r="AG1697" i="113" s="1"/>
  <c r="O144" i="113"/>
  <c r="T144" i="113" s="1"/>
  <c r="W144" i="113" s="1"/>
  <c r="Y144" i="113" s="1"/>
  <c r="AC144" i="113" s="1"/>
  <c r="AG144" i="113" s="1"/>
  <c r="O197" i="113"/>
  <c r="T197" i="113" s="1"/>
  <c r="W197" i="113" s="1"/>
  <c r="Y197" i="113" s="1"/>
  <c r="AC197" i="113" s="1"/>
  <c r="AG197" i="113" s="1"/>
  <c r="O886" i="113"/>
  <c r="T886" i="113" s="1"/>
  <c r="W886" i="113" s="1"/>
  <c r="Y886" i="113" s="1"/>
  <c r="O616" i="113"/>
  <c r="O666" i="113"/>
  <c r="T666" i="113" s="1"/>
  <c r="W666" i="113" s="1"/>
  <c r="Y666" i="113" s="1"/>
  <c r="AC666" i="113" s="1"/>
  <c r="AG666" i="113" s="1"/>
  <c r="O1053" i="113"/>
  <c r="T1053" i="113" s="1"/>
  <c r="W1053" i="113" s="1"/>
  <c r="Y1053" i="113" s="1"/>
  <c r="AC1053" i="113" s="1"/>
  <c r="AG1053" i="113" s="1"/>
  <c r="O1500" i="113"/>
  <c r="T1500" i="113" s="1"/>
  <c r="W1500" i="113" s="1"/>
  <c r="Y1500" i="113" s="1"/>
  <c r="AC1500" i="113" s="1"/>
  <c r="AG1500" i="113" s="1"/>
  <c r="O1311" i="113"/>
  <c r="O707" i="113"/>
  <c r="O2398" i="113"/>
  <c r="O425" i="113"/>
  <c r="T425" i="113" s="1"/>
  <c r="W425" i="113" s="1"/>
  <c r="Y425" i="113" s="1"/>
  <c r="O575" i="113"/>
  <c r="O731" i="113"/>
  <c r="T731" i="113" s="1"/>
  <c r="W731" i="113" s="1"/>
  <c r="Y731" i="113" s="1"/>
  <c r="AC731" i="113" s="1"/>
  <c r="AG731" i="113" s="1"/>
  <c r="O465" i="113"/>
  <c r="O1283" i="113"/>
  <c r="T1283" i="113" s="1"/>
  <c r="W1283" i="113" s="1"/>
  <c r="Y1283" i="113" s="1"/>
  <c r="AC1283" i="113" s="1"/>
  <c r="AG1283" i="113" s="1"/>
  <c r="O1744" i="113"/>
  <c r="T1744" i="113" s="1"/>
  <c r="W1744" i="113" s="1"/>
  <c r="Y1744" i="113" s="1"/>
  <c r="AC1744" i="113" s="1"/>
  <c r="AG1744" i="113" s="1"/>
  <c r="O604" i="113"/>
  <c r="O2026" i="113"/>
  <c r="O395" i="113"/>
  <c r="T395" i="113" s="1"/>
  <c r="W395" i="113" s="1"/>
  <c r="Y395" i="113" s="1"/>
  <c r="AC395" i="113" s="1"/>
  <c r="AG395" i="113" s="1"/>
  <c r="O561" i="113"/>
  <c r="T561" i="113" s="1"/>
  <c r="W561" i="113" s="1"/>
  <c r="Y561" i="113" s="1"/>
  <c r="O82" i="113"/>
  <c r="T82" i="113" s="1"/>
  <c r="W82" i="113" s="1"/>
  <c r="Y82" i="113" s="1"/>
  <c r="O2020" i="113"/>
  <c r="T2020" i="113" s="1"/>
  <c r="W2020" i="113" s="1"/>
  <c r="Y2020" i="113" s="1"/>
  <c r="AC2020" i="113" s="1"/>
  <c r="AG2020" i="113" s="1"/>
  <c r="O1807" i="113"/>
  <c r="T1807" i="113" s="1"/>
  <c r="W1807" i="113" s="1"/>
  <c r="Y1807" i="113" s="1"/>
  <c r="O1536" i="113"/>
  <c r="O437" i="113"/>
  <c r="O974" i="113"/>
  <c r="T974" i="113" s="1"/>
  <c r="W974" i="113" s="1"/>
  <c r="Y974" i="113" s="1"/>
  <c r="AC974" i="113" s="1"/>
  <c r="AG974" i="113" s="1"/>
  <c r="O2294" i="113"/>
  <c r="T2294" i="113" s="1"/>
  <c r="W2294" i="113" s="1"/>
  <c r="Y2294" i="113" s="1"/>
  <c r="AC2294" i="113" s="1"/>
  <c r="AG2294" i="113" s="1"/>
  <c r="O1253" i="113"/>
  <c r="T1253" i="113" s="1"/>
  <c r="W1253" i="113" s="1"/>
  <c r="Y1253" i="113" s="1"/>
  <c r="AC1253" i="113" s="1"/>
  <c r="AG1253" i="113" s="1"/>
  <c r="S188" i="113"/>
  <c r="O11" i="113"/>
  <c r="T11" i="113" s="1"/>
  <c r="W11" i="113" s="1"/>
  <c r="Y11" i="113" s="1"/>
  <c r="AC11" i="113" s="1"/>
  <c r="AG11" i="113" s="1"/>
  <c r="O187" i="113"/>
  <c r="T187" i="113" s="1"/>
  <c r="W187" i="113" s="1"/>
  <c r="Y187" i="113" s="1"/>
  <c r="AC187" i="113" s="1"/>
  <c r="AG187" i="113" s="1"/>
  <c r="O1642" i="113"/>
  <c r="T1642" i="113" s="1"/>
  <c r="W1642" i="113" s="1"/>
  <c r="Y1642" i="113" s="1"/>
  <c r="AC1642" i="113" s="1"/>
  <c r="AG1642" i="113" s="1"/>
  <c r="O1426" i="113"/>
  <c r="T1426" i="113" s="1"/>
  <c r="W1426" i="113" s="1"/>
  <c r="Y1426" i="113" s="1"/>
  <c r="AC1426" i="113" s="1"/>
  <c r="AG1426" i="113" s="1"/>
  <c r="O260" i="113"/>
  <c r="T260" i="113" s="1"/>
  <c r="W260" i="113" s="1"/>
  <c r="Y260" i="113" s="1"/>
  <c r="AC260" i="113" s="1"/>
  <c r="AG260" i="113" s="1"/>
  <c r="O1017" i="113"/>
  <c r="T1017" i="113" s="1"/>
  <c r="W1017" i="113" s="1"/>
  <c r="Y1017" i="113" s="1"/>
  <c r="AC1017" i="113" s="1"/>
  <c r="AG1017" i="113" s="1"/>
  <c r="O1510" i="113"/>
  <c r="T1510" i="113" s="1"/>
  <c r="W1510" i="113" s="1"/>
  <c r="Y1510" i="113" s="1"/>
  <c r="AC1510" i="113" s="1"/>
  <c r="AG1510" i="113" s="1"/>
  <c r="O1615" i="113"/>
  <c r="T1615" i="113" s="1"/>
  <c r="W1615" i="113" s="1"/>
  <c r="Y1615" i="113" s="1"/>
  <c r="AC1615" i="113" s="1"/>
  <c r="AG1615" i="113" s="1"/>
  <c r="O1987" i="113"/>
  <c r="T1987" i="113" s="1"/>
  <c r="W1987" i="113" s="1"/>
  <c r="Y1987" i="113" s="1"/>
  <c r="O1303" i="113"/>
  <c r="T1303" i="113" s="1"/>
  <c r="W1303" i="113" s="1"/>
  <c r="Y1303" i="113" s="1"/>
  <c r="AC1303" i="113" s="1"/>
  <c r="AG1303" i="113" s="1"/>
  <c r="O54" i="113"/>
  <c r="O1026" i="113"/>
  <c r="O1061" i="113"/>
  <c r="T1061" i="113" s="1"/>
  <c r="W1061" i="113" s="1"/>
  <c r="Y1061" i="113" s="1"/>
  <c r="O998" i="113"/>
  <c r="T998" i="113" s="1"/>
  <c r="W998" i="113" s="1"/>
  <c r="Y998" i="113" s="1"/>
  <c r="O2471" i="113"/>
  <c r="O2073" i="113"/>
  <c r="T2073" i="113" s="1"/>
  <c r="W2073" i="113" s="1"/>
  <c r="Y2073" i="113" s="1"/>
  <c r="O2079" i="113"/>
  <c r="O1850" i="113"/>
  <c r="O2344" i="113"/>
  <c r="O2289" i="113"/>
  <c r="O1855" i="113"/>
  <c r="O2476" i="113"/>
  <c r="O2200" i="113"/>
  <c r="O2611" i="113"/>
  <c r="O2649" i="113"/>
  <c r="O2102" i="113"/>
  <c r="O1930" i="113"/>
  <c r="O620" i="113"/>
  <c r="O2662" i="113"/>
  <c r="O1833" i="113"/>
  <c r="O2506" i="113"/>
  <c r="O602" i="113"/>
  <c r="T602" i="113" s="1"/>
  <c r="W602" i="113" s="1"/>
  <c r="Y602" i="113" s="1"/>
  <c r="AC602" i="113" s="1"/>
  <c r="AG602" i="113" s="1"/>
  <c r="O2640" i="113"/>
  <c r="O2262" i="113"/>
  <c r="O345" i="113"/>
  <c r="O2390" i="113"/>
  <c r="O2571" i="113"/>
  <c r="O753" i="113"/>
  <c r="O2013" i="113"/>
  <c r="O906" i="113"/>
  <c r="O913" i="113"/>
  <c r="O2534" i="113"/>
  <c r="O2510" i="113"/>
  <c r="O2525" i="113"/>
  <c r="O2542" i="113"/>
  <c r="O1673" i="113"/>
  <c r="O837" i="113"/>
  <c r="O1559" i="113"/>
  <c r="O670" i="113"/>
  <c r="O1638" i="113"/>
  <c r="T1638" i="113" s="1"/>
  <c r="W1638" i="113" s="1"/>
  <c r="Y1638" i="113" s="1"/>
  <c r="AC1638" i="113" s="1"/>
  <c r="AG1638" i="113" s="1"/>
  <c r="O350" i="113"/>
  <c r="O2074" i="113"/>
  <c r="T2074" i="113" s="1"/>
  <c r="W2074" i="113" s="1"/>
  <c r="Y2074" i="113" s="1"/>
  <c r="AC2074" i="113" s="1"/>
  <c r="AG2074" i="113" s="1"/>
  <c r="O328" i="113"/>
  <c r="T328" i="113" s="1"/>
  <c r="W328" i="113" s="1"/>
  <c r="Y328" i="113" s="1"/>
  <c r="AC328" i="113" s="1"/>
  <c r="AG328" i="113" s="1"/>
  <c r="O1677" i="113"/>
  <c r="T1677" i="113" s="1"/>
  <c r="W1677" i="113" s="1"/>
  <c r="Y1677" i="113" s="1"/>
  <c r="AC1677" i="113" s="1"/>
  <c r="AG1677" i="113" s="1"/>
  <c r="O612" i="113"/>
  <c r="O2188" i="113"/>
  <c r="T2188" i="113" s="1"/>
  <c r="W2188" i="113" s="1"/>
  <c r="Y2188" i="113" s="1"/>
  <c r="O2301" i="113"/>
  <c r="O615" i="113"/>
  <c r="O1113" i="113"/>
  <c r="O2201" i="113"/>
  <c r="O2331" i="113"/>
  <c r="O2540" i="113"/>
  <c r="O2035" i="113"/>
  <c r="O1306" i="113"/>
  <c r="O1693" i="113"/>
  <c r="O1741" i="113"/>
  <c r="O1821" i="113"/>
  <c r="O838" i="113"/>
  <c r="O2175" i="113"/>
  <c r="O2184" i="113"/>
  <c r="O997" i="113"/>
  <c r="O1274" i="113"/>
  <c r="O2138" i="113"/>
  <c r="O1915" i="113"/>
  <c r="O67" i="113"/>
  <c r="S67" i="113"/>
  <c r="O2124" i="113"/>
  <c r="O2596" i="113"/>
  <c r="O265" i="113"/>
  <c r="O2293" i="113"/>
  <c r="O2149" i="113"/>
  <c r="O2400" i="113"/>
  <c r="O596" i="113"/>
  <c r="O1577" i="113"/>
  <c r="O2032" i="113"/>
  <c r="O2501" i="113"/>
  <c r="O644" i="113"/>
  <c r="S206" i="113"/>
  <c r="O206" i="113"/>
  <c r="O268" i="113"/>
  <c r="O563" i="113"/>
  <c r="O2414" i="113"/>
  <c r="S106" i="113"/>
  <c r="O106" i="113"/>
  <c r="O12" i="113"/>
  <c r="S12" i="113"/>
  <c r="O814" i="113"/>
  <c r="O1435" i="113"/>
  <c r="O1885" i="113"/>
  <c r="O2337" i="113"/>
  <c r="O2287" i="113"/>
  <c r="O2324" i="113"/>
  <c r="O947" i="113"/>
  <c r="O379" i="113"/>
  <c r="O1944" i="113"/>
  <c r="O1784" i="113"/>
  <c r="O1332" i="113"/>
  <c r="O2413" i="113"/>
  <c r="O1606" i="113"/>
  <c r="O2182" i="113"/>
  <c r="O485" i="113"/>
  <c r="O692" i="113"/>
  <c r="O2276" i="113"/>
  <c r="O1865" i="113"/>
  <c r="S170" i="113"/>
  <c r="O170" i="113"/>
  <c r="O792" i="113"/>
  <c r="O1525" i="113"/>
  <c r="O1057" i="113"/>
  <c r="O352" i="113"/>
  <c r="O1115" i="113"/>
  <c r="O1581" i="113"/>
  <c r="O2321" i="113"/>
  <c r="O2479" i="113"/>
  <c r="O367" i="113"/>
  <c r="O402" i="113"/>
  <c r="O510" i="113"/>
  <c r="O10" i="113"/>
  <c r="S10" i="113"/>
  <c r="O86" i="113"/>
  <c r="S86" i="113"/>
  <c r="O727" i="113"/>
  <c r="O1160" i="113"/>
  <c r="O1727" i="113"/>
  <c r="O2445" i="113"/>
  <c r="O42" i="113"/>
  <c r="S42" i="113"/>
  <c r="O1425" i="113"/>
  <c r="O1654" i="113"/>
  <c r="O1558" i="113"/>
  <c r="O1785" i="113"/>
  <c r="O2260" i="113"/>
  <c r="O1793" i="113"/>
  <c r="O336" i="113"/>
  <c r="O399" i="113"/>
  <c r="S253" i="113"/>
  <c r="O253" i="113"/>
  <c r="O2643" i="113"/>
  <c r="O2486" i="113"/>
  <c r="O786" i="113"/>
  <c r="O795" i="113"/>
  <c r="O1977" i="113"/>
  <c r="O1742" i="113"/>
  <c r="O2304" i="113"/>
  <c r="O2494" i="113"/>
  <c r="O846" i="113"/>
  <c r="O698" i="113"/>
  <c r="O1675" i="113"/>
  <c r="O1237" i="113"/>
  <c r="O634" i="113"/>
  <c r="O824" i="113"/>
  <c r="O757" i="113"/>
  <c r="O2346" i="113"/>
  <c r="O1621" i="113"/>
  <c r="O725" i="113"/>
  <c r="O455" i="113"/>
  <c r="O675" i="113"/>
  <c r="O1202" i="113"/>
  <c r="O1227" i="113"/>
  <c r="O1210" i="113"/>
  <c r="O1870" i="113"/>
  <c r="O2075" i="113"/>
  <c r="O1081" i="113"/>
  <c r="S32" i="113"/>
  <c r="O32" i="113"/>
  <c r="O1318" i="113"/>
  <c r="O649" i="113"/>
  <c r="O2477" i="113"/>
  <c r="O2452" i="113"/>
  <c r="T2452" i="113" s="1"/>
  <c r="W2452" i="113" s="1"/>
  <c r="Y2452" i="113" s="1"/>
  <c r="AC2452" i="113" s="1"/>
  <c r="AG2452" i="113" s="1"/>
  <c r="O78" i="113"/>
  <c r="O655" i="113"/>
  <c r="T655" i="113" s="1"/>
  <c r="W655" i="113" s="1"/>
  <c r="Y655" i="113" s="1"/>
  <c r="O330" i="113"/>
  <c r="T330" i="113" s="1"/>
  <c r="W330" i="113" s="1"/>
  <c r="Y330" i="113" s="1"/>
  <c r="O393" i="113"/>
  <c r="T393" i="113" s="1"/>
  <c r="W393" i="113" s="1"/>
  <c r="Y393" i="113" s="1"/>
  <c r="O2077" i="113"/>
  <c r="T2077" i="113" s="1"/>
  <c r="W2077" i="113" s="1"/>
  <c r="Y2077" i="113" s="1"/>
  <c r="AC2077" i="113" s="1"/>
  <c r="AG2077" i="113" s="1"/>
  <c r="O2517" i="113"/>
  <c r="T2517" i="113" s="1"/>
  <c r="W2517" i="113" s="1"/>
  <c r="Y2517" i="113" s="1"/>
  <c r="O1806" i="113"/>
  <c r="T1806" i="113" s="1"/>
  <c r="W1806" i="113" s="1"/>
  <c r="Y1806" i="113" s="1"/>
  <c r="O2027" i="113"/>
  <c r="O2626" i="113"/>
  <c r="T2626" i="113" s="1"/>
  <c r="W2626" i="113" s="1"/>
  <c r="Y2626" i="113" s="1"/>
  <c r="O104" i="113"/>
  <c r="T104" i="113" s="1"/>
  <c r="W104" i="113" s="1"/>
  <c r="Y104" i="113" s="1"/>
  <c r="AC104" i="113" s="1"/>
  <c r="AG104" i="113" s="1"/>
  <c r="O1360" i="113"/>
  <c r="T1360" i="113" s="1"/>
  <c r="W1360" i="113" s="1"/>
  <c r="Y1360" i="113" s="1"/>
  <c r="AC1360" i="113" s="1"/>
  <c r="AG1360" i="113" s="1"/>
  <c r="O672" i="113"/>
  <c r="T672" i="113" s="1"/>
  <c r="W672" i="113" s="1"/>
  <c r="Y672" i="113" s="1"/>
  <c r="AC672" i="113" s="1"/>
  <c r="AG672" i="113" s="1"/>
  <c r="O835" i="113"/>
  <c r="O2397" i="113"/>
  <c r="T2397" i="113" s="1"/>
  <c r="W2397" i="113" s="1"/>
  <c r="Y2397" i="113" s="1"/>
  <c r="AC2397" i="113" s="1"/>
  <c r="AG2397" i="113" s="1"/>
  <c r="O1286" i="113"/>
  <c r="O1791" i="113"/>
  <c r="T1791" i="113" s="1"/>
  <c r="W1791" i="113" s="1"/>
  <c r="Y1791" i="113" s="1"/>
  <c r="AC1791" i="113" s="1"/>
  <c r="AG1791" i="113" s="1"/>
  <c r="O1590" i="113"/>
  <c r="T1590" i="113" s="1"/>
  <c r="W1590" i="113" s="1"/>
  <c r="Y1590" i="113" s="1"/>
  <c r="AC1590" i="113" s="1"/>
  <c r="AG1590" i="113" s="1"/>
  <c r="O2246" i="113"/>
  <c r="T2246" i="113" s="1"/>
  <c r="W2246" i="113" s="1"/>
  <c r="Y2246" i="113" s="1"/>
  <c r="AC2246" i="113" s="1"/>
  <c r="AG2246" i="113" s="1"/>
  <c r="O29" i="113"/>
  <c r="O112" i="113"/>
  <c r="T112" i="113" s="1"/>
  <c r="W112" i="113" s="1"/>
  <c r="Y112" i="113" s="1"/>
  <c r="AC112" i="113" s="1"/>
  <c r="AG112" i="113" s="1"/>
  <c r="O124" i="113"/>
  <c r="T124" i="113" s="1"/>
  <c r="W124" i="113" s="1"/>
  <c r="Y124" i="113" s="1"/>
  <c r="AC124" i="113" s="1"/>
  <c r="AG124" i="113" s="1"/>
  <c r="O819" i="113"/>
  <c r="O869" i="113"/>
  <c r="T869" i="113" s="1"/>
  <c r="W869" i="113" s="1"/>
  <c r="Y869" i="113" s="1"/>
  <c r="AC869" i="113" s="1"/>
  <c r="AG869" i="113" s="1"/>
  <c r="O1743" i="113"/>
  <c r="T1743" i="113" s="1"/>
  <c r="W1743" i="113" s="1"/>
  <c r="Y1743" i="113" s="1"/>
  <c r="O1702" i="113"/>
  <c r="T1702" i="113" s="1"/>
  <c r="W1702" i="113" s="1"/>
  <c r="Y1702" i="113" s="1"/>
  <c r="AC1702" i="113" s="1"/>
  <c r="AG1702" i="113" s="1"/>
  <c r="O1531" i="113"/>
  <c r="O1225" i="113"/>
  <c r="T1225" i="113" s="1"/>
  <c r="W1225" i="113" s="1"/>
  <c r="Y1225" i="113" s="1"/>
  <c r="AC1225" i="113" s="1"/>
  <c r="AG1225" i="113" s="1"/>
  <c r="O2132" i="113"/>
  <c r="T2132" i="113" s="1"/>
  <c r="W2132" i="113" s="1"/>
  <c r="Y2132" i="113" s="1"/>
  <c r="O34" i="113"/>
  <c r="O1189" i="113"/>
  <c r="T1189" i="113" s="1"/>
  <c r="W1189" i="113" s="1"/>
  <c r="Y1189" i="113" s="1"/>
  <c r="AC1189" i="113" s="1"/>
  <c r="AG1189" i="113" s="1"/>
  <c r="O932" i="113"/>
  <c r="O694" i="113"/>
  <c r="T694" i="113" s="1"/>
  <c r="W694" i="113" s="1"/>
  <c r="Y694" i="113" s="1"/>
  <c r="AC694" i="113" s="1"/>
  <c r="AG694" i="113" s="1"/>
  <c r="O1511" i="113"/>
  <c r="T1511" i="113" s="1"/>
  <c r="W1511" i="113" s="1"/>
  <c r="Y1511" i="113" s="1"/>
  <c r="O1948" i="113"/>
  <c r="O1198" i="113"/>
  <c r="T1198" i="113" s="1"/>
  <c r="W1198" i="113" s="1"/>
  <c r="Y1198" i="113" s="1"/>
  <c r="AC1198" i="113" s="1"/>
  <c r="AG1198" i="113" s="1"/>
  <c r="O1460" i="113"/>
  <c r="T1460" i="113" s="1"/>
  <c r="W1460" i="113" s="1"/>
  <c r="Y1460" i="113" s="1"/>
  <c r="AC1460" i="113" s="1"/>
  <c r="AG1460" i="113" s="1"/>
  <c r="O16" i="113"/>
  <c r="T16" i="113" s="1"/>
  <c r="W16" i="113" s="1"/>
  <c r="Y16" i="113" s="1"/>
  <c r="AC16" i="113" s="1"/>
  <c r="AG16" i="113" s="1"/>
  <c r="O638" i="113"/>
  <c r="T638" i="113" s="1"/>
  <c r="W638" i="113" s="1"/>
  <c r="Y638" i="113" s="1"/>
  <c r="O772" i="113"/>
  <c r="T772" i="113" s="1"/>
  <c r="W772" i="113" s="1"/>
  <c r="Y772" i="113" s="1"/>
  <c r="AC772" i="113" s="1"/>
  <c r="AG772" i="113" s="1"/>
  <c r="O1669" i="113"/>
  <c r="T1669" i="113" s="1"/>
  <c r="W1669" i="113" s="1"/>
  <c r="Y1669" i="113" s="1"/>
  <c r="AC1669" i="113" s="1"/>
  <c r="AG1669" i="113" s="1"/>
  <c r="O2223" i="113"/>
  <c r="O737" i="113"/>
  <c r="T737" i="113" s="1"/>
  <c r="W737" i="113" s="1"/>
  <c r="Y737" i="113" s="1"/>
  <c r="O2011" i="113"/>
  <c r="T2011" i="113" s="1"/>
  <c r="W2011" i="113" s="1"/>
  <c r="Y2011" i="113" s="1"/>
  <c r="AC2011" i="113" s="1"/>
  <c r="AG2011" i="113" s="1"/>
  <c r="O1739" i="113"/>
  <c r="T1739" i="113" s="1"/>
  <c r="W1739" i="113" s="1"/>
  <c r="Y1739" i="113" s="1"/>
  <c r="AC1739" i="113" s="1"/>
  <c r="AG1739" i="113" s="1"/>
  <c r="O199" i="113"/>
  <c r="T199" i="113" s="1"/>
  <c r="W199" i="113" s="1"/>
  <c r="Y199" i="113" s="1"/>
  <c r="O1486" i="113"/>
  <c r="T1486" i="113" s="1"/>
  <c r="W1486" i="113" s="1"/>
  <c r="Y1486" i="113" s="1"/>
  <c r="AC1486" i="113" s="1"/>
  <c r="AG1486" i="113" s="1"/>
  <c r="O215" i="113"/>
  <c r="O496" i="113"/>
  <c r="T496" i="113" s="1"/>
  <c r="W496" i="113" s="1"/>
  <c r="Y496" i="113" s="1"/>
  <c r="O2253" i="113"/>
  <c r="T2253" i="113" s="1"/>
  <c r="W2253" i="113" s="1"/>
  <c r="Y2253" i="113" s="1"/>
  <c r="AC2253" i="113" s="1"/>
  <c r="AG2253" i="113" s="1"/>
  <c r="O1633" i="113"/>
  <c r="O145" i="113"/>
  <c r="T145" i="113" s="1"/>
  <c r="W145" i="113" s="1"/>
  <c r="Y145" i="113" s="1"/>
  <c r="AC145" i="113" s="1"/>
  <c r="AG145" i="113" s="1"/>
  <c r="O801" i="113"/>
  <c r="T801" i="113" s="1"/>
  <c r="W801" i="113" s="1"/>
  <c r="Y801" i="113" s="1"/>
  <c r="O1712" i="113"/>
  <c r="T1712" i="113" s="1"/>
  <c r="W1712" i="113" s="1"/>
  <c r="Y1712" i="113" s="1"/>
  <c r="AC1712" i="113" s="1"/>
  <c r="AG1712" i="113" s="1"/>
  <c r="O1819" i="113"/>
  <c r="T1819" i="113" s="1"/>
  <c r="W1819" i="113" s="1"/>
  <c r="Y1819" i="113" s="1"/>
  <c r="AC1819" i="113" s="1"/>
  <c r="AG1819" i="113" s="1"/>
  <c r="O113" i="113"/>
  <c r="T113" i="113" s="1"/>
  <c r="W113" i="113" s="1"/>
  <c r="Y113" i="113" s="1"/>
  <c r="AC113" i="113" s="1"/>
  <c r="AG113" i="113" s="1"/>
  <c r="O162" i="113"/>
  <c r="T162" i="113" s="1"/>
  <c r="W162" i="113" s="1"/>
  <c r="Y162" i="113" s="1"/>
  <c r="AC162" i="113" s="1"/>
  <c r="AG162" i="113" s="1"/>
  <c r="O811" i="113"/>
  <c r="T811" i="113" s="1"/>
  <c r="W811" i="113" s="1"/>
  <c r="Y811" i="113" s="1"/>
  <c r="AC811" i="113" s="1"/>
  <c r="AG811" i="113" s="1"/>
  <c r="O1573" i="113"/>
  <c r="T1573" i="113" s="1"/>
  <c r="W1573" i="113" s="1"/>
  <c r="Y1573" i="113" s="1"/>
  <c r="AC1573" i="113" s="1"/>
  <c r="AG1573" i="113" s="1"/>
  <c r="S38" i="113"/>
  <c r="T38" i="113" s="1"/>
  <c r="W38" i="113" s="1"/>
  <c r="Y38" i="113" s="1"/>
  <c r="S111" i="113"/>
  <c r="T111" i="113" s="1"/>
  <c r="W111" i="113" s="1"/>
  <c r="Y111" i="113" s="1"/>
  <c r="S84" i="113"/>
  <c r="S119" i="113"/>
  <c r="T119" i="113" s="1"/>
  <c r="W119" i="113" s="1"/>
  <c r="Y119" i="113" s="1"/>
  <c r="O2473" i="113"/>
  <c r="T2473" i="113" s="1"/>
  <c r="W2473" i="113" s="1"/>
  <c r="Y2473" i="113" s="1"/>
  <c r="AC2473" i="113" s="1"/>
  <c r="AG2473" i="113" s="1"/>
  <c r="O2212" i="113"/>
  <c r="T2212" i="113" s="1"/>
  <c r="W2212" i="113" s="1"/>
  <c r="Y2212" i="113" s="1"/>
  <c r="AC2212" i="113" s="1"/>
  <c r="AG2212" i="113" s="1"/>
  <c r="O2197" i="113"/>
  <c r="O2522" i="113"/>
  <c r="O1622" i="113"/>
  <c r="O743" i="113"/>
  <c r="O1128" i="113"/>
  <c r="O213" i="113"/>
  <c r="S213" i="113"/>
  <c r="O2428" i="113"/>
  <c r="O1469" i="113"/>
  <c r="O962" i="113"/>
  <c r="O957" i="113"/>
  <c r="O2037" i="113"/>
  <c r="O1150" i="113"/>
  <c r="O2147" i="113"/>
  <c r="O1824" i="113"/>
  <c r="O373" i="113"/>
  <c r="O1083" i="113"/>
  <c r="O569" i="113"/>
  <c r="O261" i="113"/>
  <c r="S261" i="113"/>
  <c r="O214" i="113"/>
  <c r="S214" i="113"/>
  <c r="O1168" i="113"/>
  <c r="O1209" i="113"/>
  <c r="O69" i="113"/>
  <c r="S69" i="113"/>
  <c r="O1725" i="113"/>
  <c r="O2432" i="113"/>
  <c r="O1194" i="113"/>
  <c r="O1304" i="113"/>
  <c r="O1082" i="113"/>
  <c r="O1329" i="113"/>
  <c r="O2046" i="113"/>
  <c r="O1391" i="113"/>
  <c r="O658" i="113"/>
  <c r="O1641" i="113"/>
  <c r="O1260" i="113"/>
  <c r="S120" i="113"/>
  <c r="O120" i="113"/>
  <c r="O1766" i="113"/>
  <c r="O1464" i="113"/>
  <c r="T1464" i="113" s="1"/>
  <c r="W1464" i="113" s="1"/>
  <c r="Y1464" i="113" s="1"/>
  <c r="AC1464" i="113" s="1"/>
  <c r="AG1464" i="113" s="1"/>
  <c r="O1368" i="113"/>
  <c r="O1778" i="113"/>
  <c r="O2503" i="113"/>
  <c r="O2038" i="113"/>
  <c r="S142" i="113"/>
  <c r="O142" i="113"/>
  <c r="O2389" i="113"/>
  <c r="O2421" i="113"/>
  <c r="S108" i="113"/>
  <c r="O108" i="113"/>
  <c r="O2320" i="113"/>
  <c r="S209" i="113"/>
  <c r="O209" i="113"/>
  <c r="O773" i="113"/>
  <c r="O2462" i="113"/>
  <c r="O1229" i="113"/>
  <c r="O1768" i="113"/>
  <c r="O1254" i="113"/>
  <c r="S198" i="113"/>
  <c r="O198" i="113"/>
  <c r="S242" i="113"/>
  <c r="O242" i="113"/>
  <c r="O1206" i="113"/>
  <c r="O2339" i="113"/>
  <c r="S7" i="113"/>
  <c r="O7" i="113"/>
  <c r="O1385" i="113"/>
  <c r="O2353" i="113"/>
  <c r="O292" i="113"/>
  <c r="O1231" i="113"/>
  <c r="O1322" i="113"/>
  <c r="O1623" i="113"/>
  <c r="O1248" i="113"/>
  <c r="T1248" i="113" s="1"/>
  <c r="W1248" i="113" s="1"/>
  <c r="Y1248" i="113" s="1"/>
  <c r="AC1248" i="113" s="1"/>
  <c r="AG1248" i="113" s="1"/>
  <c r="O39" i="113"/>
  <c r="T39" i="113" s="1"/>
  <c r="W39" i="113" s="1"/>
  <c r="Y39" i="113" s="1"/>
  <c r="AC39" i="113" s="1"/>
  <c r="AG39" i="113" s="1"/>
  <c r="O1043" i="113"/>
  <c r="T1043" i="113" s="1"/>
  <c r="W1043" i="113" s="1"/>
  <c r="Y1043" i="113" s="1"/>
  <c r="O729" i="113"/>
  <c r="O1347" i="113"/>
  <c r="O2678" i="113"/>
  <c r="O2416" i="113"/>
  <c r="O977" i="113"/>
  <c r="O1528" i="113"/>
  <c r="O2224" i="113"/>
  <c r="O2335" i="113"/>
  <c r="O312" i="113"/>
  <c r="O2557" i="113"/>
  <c r="O549" i="113"/>
  <c r="O507" i="113"/>
  <c r="O2401" i="113"/>
  <c r="O2541" i="113"/>
  <c r="O770" i="113"/>
  <c r="O1548" i="113"/>
  <c r="O319" i="113"/>
  <c r="O1319" i="113"/>
  <c r="O1325" i="113"/>
  <c r="O813" i="113"/>
  <c r="O1262" i="113"/>
  <c r="O2663" i="113"/>
  <c r="O1788" i="113"/>
  <c r="O2012" i="113"/>
  <c r="S148" i="113"/>
  <c r="O148" i="113"/>
  <c r="O1732" i="113"/>
  <c r="O2455" i="113"/>
  <c r="O1912" i="113"/>
  <c r="O1465" i="113"/>
  <c r="O1985" i="113"/>
  <c r="O250" i="113"/>
  <c r="T250" i="113" s="1"/>
  <c r="W250" i="113" s="1"/>
  <c r="Y250" i="113" s="1"/>
  <c r="AC250" i="113" s="1"/>
  <c r="AG250" i="113" s="1"/>
  <c r="O665" i="113"/>
  <c r="T665" i="113" s="1"/>
  <c r="W665" i="113" s="1"/>
  <c r="Y665" i="113" s="1"/>
  <c r="AC665" i="113" s="1"/>
  <c r="AG665" i="113" s="1"/>
  <c r="O1482" i="113"/>
  <c r="T1482" i="113" s="1"/>
  <c r="W1482" i="113" s="1"/>
  <c r="Y1482" i="113" s="1"/>
  <c r="AC1482" i="113" s="1"/>
  <c r="AG1482" i="113" s="1"/>
  <c r="O2396" i="113"/>
  <c r="T2396" i="113" s="1"/>
  <c r="W2396" i="113" s="1"/>
  <c r="Y2396" i="113" s="1"/>
  <c r="AC2396" i="113" s="1"/>
  <c r="AG2396" i="113" s="1"/>
  <c r="O1476" i="113"/>
  <c r="T1476" i="113" s="1"/>
  <c r="W1476" i="113" s="1"/>
  <c r="Y1476" i="113" s="1"/>
  <c r="O1746" i="113"/>
  <c r="O2420" i="113"/>
  <c r="O1296" i="113"/>
  <c r="O2014" i="113"/>
  <c r="O77" i="113"/>
  <c r="S77" i="113"/>
  <c r="O1563" i="113"/>
  <c r="O1867" i="113"/>
  <c r="O2342" i="113"/>
  <c r="O1297" i="113"/>
  <c r="O1480" i="113"/>
  <c r="O1457" i="113"/>
  <c r="O1639" i="113"/>
  <c r="O2219" i="113"/>
  <c r="O2357" i="113"/>
  <c r="O613" i="113"/>
  <c r="O535" i="113"/>
  <c r="O351" i="113"/>
  <c r="O285" i="113"/>
  <c r="O967" i="113"/>
  <c r="O2526" i="113"/>
  <c r="O2315" i="113"/>
  <c r="O2549" i="113"/>
  <c r="O2406" i="113"/>
  <c r="O2181" i="113"/>
  <c r="O1524" i="113"/>
  <c r="O2319" i="113"/>
  <c r="O1772" i="113"/>
  <c r="O2145" i="113"/>
  <c r="O1608" i="113"/>
  <c r="O1866" i="113"/>
  <c r="O2131" i="113"/>
  <c r="O979" i="113"/>
  <c r="O1507" i="113"/>
  <c r="O2111" i="113"/>
  <c r="O2572" i="113"/>
  <c r="O2209" i="113"/>
  <c r="O2392" i="113"/>
  <c r="O281" i="113"/>
  <c r="O1264" i="113"/>
  <c r="O917" i="113"/>
  <c r="O2384" i="113"/>
  <c r="O1179" i="113"/>
  <c r="O2198" i="113"/>
  <c r="O1236" i="113"/>
  <c r="O2467" i="113"/>
  <c r="O2099" i="113"/>
  <c r="O686" i="113"/>
  <c r="S156" i="113"/>
  <c r="O156" i="113"/>
  <c r="O622" i="113"/>
  <c r="S169" i="113"/>
  <c r="O169" i="113"/>
  <c r="O2480" i="113"/>
  <c r="O1986" i="113"/>
  <c r="O313" i="113"/>
  <c r="O1400" i="113"/>
  <c r="O1016" i="113"/>
  <c r="O2118" i="113"/>
  <c r="O1532" i="113"/>
  <c r="O1554" i="113"/>
  <c r="O1333" i="113"/>
  <c r="O438" i="113"/>
  <c r="O2177" i="113"/>
  <c r="O2215" i="113"/>
  <c r="O1861" i="113"/>
  <c r="S155" i="113"/>
  <c r="O155" i="113"/>
  <c r="O427" i="113"/>
  <c r="O1076" i="113"/>
  <c r="O1334" i="113"/>
  <c r="O1338" i="113"/>
  <c r="O1348" i="113"/>
  <c r="O2024" i="113"/>
  <c r="O1596" i="113"/>
  <c r="O2642" i="113"/>
  <c r="O2072" i="113"/>
  <c r="O1883" i="113"/>
  <c r="O2361" i="113"/>
  <c r="S150" i="113"/>
  <c r="O150" i="113"/>
  <c r="O1595" i="113"/>
  <c r="O2216" i="113"/>
  <c r="O1377" i="113"/>
  <c r="O2422" i="113"/>
  <c r="O1235" i="113"/>
  <c r="O2084" i="113"/>
  <c r="O382" i="113"/>
  <c r="O589" i="113"/>
  <c r="O976" i="113"/>
  <c r="O557" i="113"/>
  <c r="O2061" i="113"/>
  <c r="O1904" i="113"/>
  <c r="O1966" i="113"/>
  <c r="O1493" i="113"/>
  <c r="O1277" i="113"/>
  <c r="O511" i="113"/>
  <c r="O827" i="113"/>
  <c r="O1090" i="113"/>
  <c r="O2049" i="113"/>
  <c r="O1898" i="113"/>
  <c r="O1169" i="113"/>
  <c r="O1148" i="113"/>
  <c r="O2391" i="113"/>
  <c r="O1901" i="113"/>
  <c r="O2550" i="113"/>
  <c r="O305" i="113"/>
  <c r="O812" i="113"/>
  <c r="O1925" i="113"/>
  <c r="O287" i="113"/>
  <c r="O464" i="113"/>
  <c r="O1888" i="113"/>
  <c r="O1723" i="113"/>
  <c r="O2186" i="113"/>
  <c r="O999" i="113"/>
  <c r="O1155" i="113"/>
  <c r="O798" i="113"/>
  <c r="O1066" i="113"/>
  <c r="S189" i="113"/>
  <c r="O189" i="113"/>
  <c r="O847" i="113"/>
  <c r="O154" i="113"/>
  <c r="S154" i="113"/>
  <c r="O1215" i="113"/>
  <c r="O1220" i="113"/>
  <c r="O2374" i="113"/>
  <c r="O1326" i="113"/>
  <c r="O240" i="113"/>
  <c r="S240" i="113"/>
  <c r="O2065" i="113"/>
  <c r="O823" i="113"/>
  <c r="O1747" i="113"/>
  <c r="O103" i="113"/>
  <c r="S103" i="113"/>
  <c r="O1330" i="113"/>
  <c r="O2097" i="113"/>
  <c r="O505" i="113"/>
  <c r="O2107" i="113"/>
  <c r="O117" i="113"/>
  <c r="T117" i="113" s="1"/>
  <c r="W117" i="113" s="1"/>
  <c r="Y117" i="113" s="1"/>
  <c r="AC117" i="113" s="1"/>
  <c r="AG117" i="113" s="1"/>
  <c r="O740" i="113"/>
  <c r="T740" i="113" s="1"/>
  <c r="W740" i="113" s="1"/>
  <c r="Y740" i="113" s="1"/>
  <c r="AC740" i="113" s="1"/>
  <c r="AG740" i="113" s="1"/>
  <c r="O873" i="113"/>
  <c r="T873" i="113" s="1"/>
  <c r="W873" i="113" s="1"/>
  <c r="Y873" i="113" s="1"/>
  <c r="O585" i="113"/>
  <c r="T585" i="113" s="1"/>
  <c r="W585" i="113" s="1"/>
  <c r="Y585" i="113" s="1"/>
  <c r="AC585" i="113" s="1"/>
  <c r="AG585" i="113" s="1"/>
  <c r="O1355" i="113"/>
  <c r="T1355" i="113" s="1"/>
  <c r="W1355" i="113" s="1"/>
  <c r="Y1355" i="113" s="1"/>
  <c r="AC1355" i="113" s="1"/>
  <c r="AG1355" i="113" s="1"/>
  <c r="O1919" i="113"/>
  <c r="O1105" i="113"/>
  <c r="T1105" i="113" s="1"/>
  <c r="W1105" i="113" s="1"/>
  <c r="Y1105" i="113" s="1"/>
  <c r="AC1105" i="113" s="1"/>
  <c r="AG1105" i="113" s="1"/>
  <c r="O70" i="113"/>
  <c r="T70" i="113" s="1"/>
  <c r="W70" i="113" s="1"/>
  <c r="Y70" i="113" s="1"/>
  <c r="O1842" i="113"/>
  <c r="O2668" i="113"/>
  <c r="T2668" i="113" s="1"/>
  <c r="W2668" i="113" s="1"/>
  <c r="Y2668" i="113" s="1"/>
  <c r="AC2668" i="113" s="1"/>
  <c r="AG2668" i="113" s="1"/>
  <c r="O434" i="113"/>
  <c r="O1309" i="113"/>
  <c r="O1069" i="113"/>
  <c r="T1069" i="113" s="1"/>
  <c r="W1069" i="113" s="1"/>
  <c r="Y1069" i="113" s="1"/>
  <c r="O1889" i="113"/>
  <c r="T1889" i="113" s="1"/>
  <c r="W1889" i="113" s="1"/>
  <c r="Y1889" i="113" s="1"/>
  <c r="AC1889" i="113" s="1"/>
  <c r="AG1889" i="113" s="1"/>
  <c r="O2327" i="113"/>
  <c r="T2327" i="113" s="1"/>
  <c r="W2327" i="113" s="1"/>
  <c r="Y2327" i="113" s="1"/>
  <c r="AC2327" i="113" s="1"/>
  <c r="AG2327" i="113" s="1"/>
  <c r="O1617" i="113"/>
  <c r="T1617" i="113" s="1"/>
  <c r="W1617" i="113" s="1"/>
  <c r="Y1617" i="113" s="1"/>
  <c r="AC1617" i="113" s="1"/>
  <c r="AG1617" i="113" s="1"/>
  <c r="O1839" i="113"/>
  <c r="O553" i="113"/>
  <c r="T553" i="113" s="1"/>
  <c r="W553" i="113" s="1"/>
  <c r="Y553" i="113" s="1"/>
  <c r="AC553" i="113" s="1"/>
  <c r="AG553" i="113" s="1"/>
  <c r="O1174" i="113"/>
  <c r="T1174" i="113" s="1"/>
  <c r="W1174" i="113" s="1"/>
  <c r="Y1174" i="113" s="1"/>
  <c r="AC1174" i="113" s="1"/>
  <c r="AG1174" i="113" s="1"/>
  <c r="O457" i="113"/>
  <c r="T457" i="113" s="1"/>
  <c r="W457" i="113" s="1"/>
  <c r="Y457" i="113" s="1"/>
  <c r="AC457" i="113" s="1"/>
  <c r="AG457" i="113" s="1"/>
  <c r="O648" i="113"/>
  <c r="T648" i="113" s="1"/>
  <c r="W648" i="113" s="1"/>
  <c r="Y648" i="113" s="1"/>
  <c r="O2207" i="113"/>
  <c r="T2207" i="113" s="1"/>
  <c r="W2207" i="113" s="1"/>
  <c r="Y2207" i="113" s="1"/>
  <c r="O996" i="113"/>
  <c r="T996" i="113" s="1"/>
  <c r="W996" i="113" s="1"/>
  <c r="Y996" i="113" s="1"/>
  <c r="AC996" i="113" s="1"/>
  <c r="AG996" i="113" s="1"/>
  <c r="O1602" i="113"/>
  <c r="T1602" i="113" s="1"/>
  <c r="W1602" i="113" s="1"/>
  <c r="Y1602" i="113" s="1"/>
  <c r="O1397" i="113"/>
  <c r="O1636" i="113"/>
  <c r="T1636" i="113" s="1"/>
  <c r="W1636" i="113" s="1"/>
  <c r="Y1636" i="113" s="1"/>
  <c r="AC1636" i="113" s="1"/>
  <c r="AG1636" i="113" s="1"/>
  <c r="O43" i="113"/>
  <c r="O127" i="113"/>
  <c r="O172" i="113"/>
  <c r="T172" i="113" s="1"/>
  <c r="W172" i="113" s="1"/>
  <c r="Y172" i="113" s="1"/>
  <c r="AC172" i="113" s="1"/>
  <c r="AG172" i="113" s="1"/>
  <c r="O833" i="113"/>
  <c r="O883" i="113"/>
  <c r="T883" i="113" s="1"/>
  <c r="W883" i="113" s="1"/>
  <c r="Y883" i="113" s="1"/>
  <c r="AC883" i="113" s="1"/>
  <c r="AG883" i="113" s="1"/>
  <c r="O1340" i="113"/>
  <c r="O1716" i="113"/>
  <c r="T1716" i="113" s="1"/>
  <c r="W1716" i="113" s="1"/>
  <c r="Y1716" i="113" s="1"/>
  <c r="AC1716" i="113" s="1"/>
  <c r="AG1716" i="113" s="1"/>
  <c r="O1546" i="113"/>
  <c r="T1546" i="113" s="1"/>
  <c r="W1546" i="113" s="1"/>
  <c r="Y1546" i="113" s="1"/>
  <c r="O2577" i="113"/>
  <c r="T2577" i="113" s="1"/>
  <c r="W2577" i="113" s="1"/>
  <c r="Y2577" i="113" s="1"/>
  <c r="O280" i="113"/>
  <c r="O398" i="113"/>
  <c r="T398" i="113" s="1"/>
  <c r="W398" i="113" s="1"/>
  <c r="Y398" i="113" s="1"/>
  <c r="O579" i="113"/>
  <c r="T579" i="113" s="1"/>
  <c r="W579" i="113" s="1"/>
  <c r="Y579" i="113" s="1"/>
  <c r="O273" i="113"/>
  <c r="T273" i="113" s="1"/>
  <c r="W273" i="113" s="1"/>
  <c r="Y273" i="113" s="1"/>
  <c r="AC273" i="113" s="1"/>
  <c r="AG273" i="113" s="1"/>
  <c r="O1098" i="113"/>
  <c r="O1600" i="113"/>
  <c r="T1600" i="113" s="1"/>
  <c r="W1600" i="113" s="1"/>
  <c r="Y1600" i="113" s="1"/>
  <c r="AC1600" i="113" s="1"/>
  <c r="AG1600" i="113" s="1"/>
  <c r="O2081" i="113"/>
  <c r="T2081" i="113" s="1"/>
  <c r="W2081" i="113" s="1"/>
  <c r="Y2081" i="113" s="1"/>
  <c r="O1881" i="113"/>
  <c r="T1881" i="113" s="1"/>
  <c r="W1881" i="113" s="1"/>
  <c r="Y1881" i="113" s="1"/>
  <c r="AC1881" i="113" s="1"/>
  <c r="AG1881" i="113" s="1"/>
  <c r="O2558" i="113"/>
  <c r="T2558" i="113" s="1"/>
  <c r="W2558" i="113" s="1"/>
  <c r="Y2558" i="113" s="1"/>
  <c r="O414" i="113"/>
  <c r="T414" i="113" s="1"/>
  <c r="W414" i="113" s="1"/>
  <c r="Y414" i="113" s="1"/>
  <c r="O241" i="113"/>
  <c r="T241" i="113" s="1"/>
  <c r="W241" i="113" s="1"/>
  <c r="Y241" i="113" s="1"/>
  <c r="O2443" i="113"/>
  <c r="T2443" i="113" s="1"/>
  <c r="W2443" i="113" s="1"/>
  <c r="Y2443" i="113" s="1"/>
  <c r="O1822" i="113"/>
  <c r="T1822" i="113" s="1"/>
  <c r="W1822" i="113" s="1"/>
  <c r="Y1822" i="113" s="1"/>
  <c r="AC1822" i="113" s="1"/>
  <c r="AG1822" i="113" s="1"/>
  <c r="O1781" i="113"/>
  <c r="T1781" i="113" s="1"/>
  <c r="W1781" i="113" s="1"/>
  <c r="Y1781" i="113" s="1"/>
  <c r="O576" i="113"/>
  <c r="T576" i="113" s="1"/>
  <c r="W576" i="113" s="1"/>
  <c r="Y576" i="113" s="1"/>
  <c r="AC576" i="113" s="1"/>
  <c r="AG576" i="113" s="1"/>
  <c r="O1140" i="113"/>
  <c r="T1140" i="113" s="1"/>
  <c r="W1140" i="113" s="1"/>
  <c r="Y1140" i="113" s="1"/>
  <c r="AC1140" i="113" s="1"/>
  <c r="AG1140" i="113" s="1"/>
  <c r="O1955" i="113"/>
  <c r="T1955" i="113" s="1"/>
  <c r="W1955" i="113" s="1"/>
  <c r="Y1955" i="113" s="1"/>
  <c r="AC1955" i="113" s="1"/>
  <c r="AG1955" i="113" s="1"/>
  <c r="O239" i="113"/>
  <c r="T239" i="113" s="1"/>
  <c r="W239" i="113" s="1"/>
  <c r="Y239" i="113" s="1"/>
  <c r="AC239" i="113" s="1"/>
  <c r="AG239" i="113" s="1"/>
  <c r="O1657" i="113"/>
  <c r="T1657" i="113" s="1"/>
  <c r="W1657" i="113" s="1"/>
  <c r="Y1657" i="113" s="1"/>
  <c r="AC1657" i="113" s="1"/>
  <c r="AG1657" i="113" s="1"/>
  <c r="O102" i="113"/>
  <c r="O816" i="113"/>
  <c r="T816" i="113" s="1"/>
  <c r="W816" i="113" s="1"/>
  <c r="Y816" i="113" s="1"/>
  <c r="O400" i="113"/>
  <c r="T400" i="113" s="1"/>
  <c r="W400" i="113" s="1"/>
  <c r="Y400" i="113" s="1"/>
  <c r="O1249" i="113"/>
  <c r="T1249" i="113" s="1"/>
  <c r="W1249" i="113" s="1"/>
  <c r="Y1249" i="113" s="1"/>
  <c r="O1383" i="113"/>
  <c r="O2585" i="113"/>
  <c r="T2585" i="113" s="1"/>
  <c r="W2585" i="113" s="1"/>
  <c r="Y2585" i="113" s="1"/>
  <c r="AC2585" i="113" s="1"/>
  <c r="AG2585" i="113" s="1"/>
  <c r="O2660" i="113"/>
  <c r="T2660" i="113" s="1"/>
  <c r="W2660" i="113" s="1"/>
  <c r="Y2660" i="113" s="1"/>
  <c r="O1492" i="113"/>
  <c r="S226" i="113"/>
  <c r="T226" i="113" s="1"/>
  <c r="W226" i="113" s="1"/>
  <c r="Y226" i="113" s="1"/>
  <c r="AC226" i="113" s="1"/>
  <c r="AG226" i="113" s="1"/>
  <c r="O2280" i="113"/>
  <c r="T2280" i="113" s="1"/>
  <c r="W2280" i="113" s="1"/>
  <c r="Y2280" i="113" s="1"/>
  <c r="AC2280" i="113" s="1"/>
  <c r="AG2280" i="113" s="1"/>
  <c r="S184" i="113"/>
  <c r="T184" i="113" s="1"/>
  <c r="W184" i="113" s="1"/>
  <c r="Y184" i="113" s="1"/>
  <c r="AC184" i="113" s="1"/>
  <c r="AG184" i="113" s="1"/>
  <c r="O1211" i="113"/>
  <c r="T1211" i="113" s="1"/>
  <c r="W1211" i="113" s="1"/>
  <c r="Y1211" i="113" s="1"/>
  <c r="AC1211" i="113" s="1"/>
  <c r="AG1211" i="113" s="1"/>
  <c r="O2078" i="113"/>
  <c r="O2367" i="113"/>
  <c r="O2622" i="113"/>
  <c r="O1841" i="113"/>
  <c r="O468" i="113"/>
  <c r="O2489" i="113"/>
  <c r="O2538" i="113"/>
  <c r="O1046" i="113"/>
  <c r="O2158" i="113"/>
  <c r="O2446" i="113"/>
  <c r="O1428" i="113"/>
  <c r="O1565" i="113"/>
  <c r="O2029" i="113"/>
  <c r="O1959" i="113"/>
  <c r="O1557" i="113"/>
  <c r="O445" i="113"/>
  <c r="O201" i="113"/>
  <c r="S201" i="113"/>
  <c r="S229" i="113"/>
  <c r="O229" i="113"/>
  <c r="O599" i="113"/>
  <c r="O502" i="113"/>
  <c r="O1658" i="113"/>
  <c r="O594" i="113"/>
  <c r="O810" i="113"/>
  <c r="O1200" i="113"/>
  <c r="O1680" i="113"/>
  <c r="O2565" i="113"/>
  <c r="O143" i="113"/>
  <c r="S143" i="113"/>
  <c r="O1367" i="113"/>
  <c r="O52" i="113"/>
  <c r="S52" i="113"/>
  <c r="O392" i="113"/>
  <c r="O1462" i="113"/>
  <c r="O861" i="113"/>
  <c r="O173" i="113"/>
  <c r="S173" i="113"/>
  <c r="O471" i="113"/>
  <c r="T471" i="113" s="1"/>
  <c r="W471" i="113" s="1"/>
  <c r="Y471" i="113" s="1"/>
  <c r="AC471" i="113" s="1"/>
  <c r="AG471" i="113" s="1"/>
  <c r="O1937" i="113"/>
  <c r="O2675" i="113"/>
  <c r="O1508" i="113"/>
  <c r="O2117" i="113"/>
  <c r="O1261" i="113"/>
  <c r="O1363" i="113"/>
  <c r="O2345" i="113"/>
  <c r="O1313" i="113"/>
  <c r="O2299" i="113"/>
  <c r="O289" i="113"/>
  <c r="O809" i="113"/>
  <c r="O1279" i="113"/>
  <c r="O1631" i="113"/>
  <c r="O2351" i="113"/>
  <c r="O383" i="113"/>
  <c r="O299" i="113"/>
  <c r="O2637" i="113"/>
  <c r="O1646" i="113"/>
  <c r="O1124" i="113"/>
  <c r="O723" i="113"/>
  <c r="O598" i="113"/>
  <c r="O2305" i="113"/>
  <c r="O2202" i="113"/>
  <c r="O1378" i="113"/>
  <c r="O568" i="113"/>
  <c r="O1529" i="113"/>
  <c r="O2249" i="113"/>
  <c r="O1678" i="113"/>
  <c r="O2478" i="113"/>
  <c r="O1857" i="113"/>
  <c r="O266" i="113"/>
  <c r="O969" i="113"/>
  <c r="O1829" i="113"/>
  <c r="O1434" i="113"/>
  <c r="T1434" i="113" s="1"/>
  <c r="W1434" i="113" s="1"/>
  <c r="Y1434" i="113" s="1"/>
  <c r="O430" i="113"/>
  <c r="T430" i="113" s="1"/>
  <c r="W430" i="113" s="1"/>
  <c r="Y430" i="113" s="1"/>
  <c r="AC430" i="113" s="1"/>
  <c r="AG430" i="113" s="1"/>
  <c r="O1239" i="113"/>
  <c r="O2314" i="113"/>
  <c r="O1700" i="113"/>
  <c r="O1624" i="113"/>
  <c r="O2250" i="113"/>
  <c r="O1299" i="113"/>
  <c r="O2580" i="113"/>
  <c r="O2385" i="113"/>
  <c r="O255" i="113"/>
  <c r="S255" i="113"/>
  <c r="O744" i="113"/>
  <c r="O586" i="113"/>
  <c r="O447" i="113"/>
  <c r="O1613" i="113"/>
  <c r="O2533" i="113"/>
  <c r="O696" i="113"/>
  <c r="O520" i="113"/>
  <c r="S149" i="113"/>
  <c r="O149" i="113"/>
  <c r="O633" i="113"/>
  <c r="O1665" i="113"/>
  <c r="O807" i="113"/>
  <c r="O462" i="113"/>
  <c r="O389" i="113"/>
  <c r="O1062" i="113"/>
  <c r="O1343" i="113"/>
  <c r="O777" i="113"/>
  <c r="O1920" i="113"/>
  <c r="T1920" i="113" s="1"/>
  <c r="W1920" i="113" s="1"/>
  <c r="Y1920" i="113" s="1"/>
  <c r="AC1920" i="113" s="1"/>
  <c r="AG1920" i="113" s="1"/>
  <c r="O548" i="113"/>
  <c r="T548" i="113" s="1"/>
  <c r="W548" i="113" s="1"/>
  <c r="Y548" i="113" s="1"/>
  <c r="AC548" i="113" s="1"/>
  <c r="AG548" i="113" s="1"/>
  <c r="O147" i="113"/>
  <c r="O902" i="113"/>
  <c r="T902" i="113" s="1"/>
  <c r="W902" i="113" s="1"/>
  <c r="Y902" i="113" s="1"/>
  <c r="AC902" i="113" s="1"/>
  <c r="AG902" i="113" s="1"/>
  <c r="O372" i="113"/>
  <c r="T372" i="113" s="1"/>
  <c r="W372" i="113" s="1"/>
  <c r="Y372" i="113" s="1"/>
  <c r="O546" i="113"/>
  <c r="O1411" i="113"/>
  <c r="T1411" i="113" s="1"/>
  <c r="W1411" i="113" s="1"/>
  <c r="Y1411" i="113" s="1"/>
  <c r="O1320" i="113"/>
  <c r="T1320" i="113" s="1"/>
  <c r="W1320" i="113" s="1"/>
  <c r="Y1320" i="113" s="1"/>
  <c r="O1258" i="113"/>
  <c r="T1258" i="113" s="1"/>
  <c r="W1258" i="113" s="1"/>
  <c r="Y1258" i="113" s="1"/>
  <c r="AC1258" i="113" s="1"/>
  <c r="AG1258" i="113" s="1"/>
  <c r="O2553" i="113"/>
  <c r="O2474" i="113"/>
  <c r="O1574" i="113"/>
  <c r="O1214" i="113"/>
  <c r="O671" i="113"/>
  <c r="O718" i="113"/>
  <c r="O1753" i="113"/>
  <c r="O945" i="113"/>
  <c r="O851" i="113"/>
  <c r="O1068" i="113"/>
  <c r="O719" i="113"/>
  <c r="O1780" i="113"/>
  <c r="O787" i="113"/>
  <c r="O1858" i="113"/>
  <c r="O125" i="113"/>
  <c r="S125" i="113"/>
  <c r="O1416" i="113"/>
  <c r="O2425" i="113"/>
  <c r="O1038" i="113"/>
  <c r="O2658" i="113"/>
  <c r="O911" i="113"/>
  <c r="O901" i="113"/>
  <c r="O1694" i="113"/>
  <c r="O1520" i="113"/>
  <c r="O2094" i="113"/>
  <c r="O2311" i="113"/>
  <c r="O2236" i="113"/>
  <c r="O1913" i="113"/>
  <c r="O1184" i="113"/>
  <c r="O1284" i="113"/>
  <c r="O1645" i="113"/>
  <c r="O2651" i="113"/>
  <c r="O2199" i="113"/>
  <c r="O2317" i="113"/>
  <c r="O591" i="113"/>
  <c r="O1840" i="113"/>
  <c r="O2130" i="113"/>
  <c r="O2586" i="113"/>
  <c r="O1487" i="113"/>
  <c r="O2281" i="113"/>
  <c r="O2444" i="113"/>
  <c r="O484" i="113"/>
  <c r="O708" i="113"/>
  <c r="O663" i="113"/>
  <c r="O2185" i="113"/>
  <c r="O2006" i="113"/>
  <c r="O2229" i="113"/>
  <c r="O2667" i="113"/>
  <c r="O1789" i="113"/>
  <c r="O888" i="113"/>
  <c r="O359" i="113"/>
  <c r="O581" i="113"/>
  <c r="O2241" i="113"/>
  <c r="S17" i="113"/>
  <c r="O17" i="113"/>
  <c r="O79" i="113"/>
  <c r="S79" i="113"/>
  <c r="O165" i="113"/>
  <c r="S165" i="113"/>
  <c r="O2164" i="113"/>
  <c r="O1756" i="113"/>
  <c r="O1777" i="113"/>
  <c r="O527" i="113"/>
  <c r="O1101" i="113"/>
  <c r="O2507" i="113"/>
  <c r="O1287" i="113"/>
  <c r="O358" i="113"/>
  <c r="O1556" i="113"/>
  <c r="O712" i="113"/>
  <c r="O1344" i="113"/>
  <c r="O2366" i="113"/>
  <c r="O2582" i="113"/>
  <c r="O2631" i="113"/>
  <c r="O2488" i="113"/>
  <c r="O1331" i="113"/>
  <c r="O353" i="113"/>
  <c r="O1251" i="113"/>
  <c r="O2093" i="113"/>
  <c r="O2237" i="113"/>
  <c r="O2405" i="113"/>
  <c r="O2214" i="113"/>
  <c r="O2568" i="113"/>
  <c r="O1757" i="113"/>
  <c r="O1308" i="113"/>
  <c r="O825" i="113"/>
  <c r="O1432" i="113"/>
  <c r="S131" i="113"/>
  <c r="O131" i="113"/>
  <c r="S216" i="113"/>
  <c r="O216" i="113"/>
  <c r="O915" i="113"/>
  <c r="O693" i="113"/>
  <c r="O660" i="113"/>
  <c r="O1535" i="113"/>
  <c r="O1491" i="113"/>
  <c r="O1245" i="113"/>
  <c r="O2559" i="113"/>
  <c r="O715" i="113"/>
  <c r="O1973" i="113"/>
  <c r="O2535" i="113"/>
  <c r="O1203" i="113"/>
  <c r="O858" i="113"/>
  <c r="O1594" i="113"/>
  <c r="O742" i="113"/>
  <c r="O251" i="113"/>
  <c r="S251" i="113"/>
  <c r="O1293" i="113"/>
  <c r="O2634" i="113"/>
  <c r="O1384" i="113"/>
  <c r="O2516" i="113"/>
  <c r="O1406" i="113"/>
  <c r="O490" i="113"/>
  <c r="O713" i="113"/>
  <c r="O1933" i="113"/>
  <c r="O1923" i="113"/>
  <c r="O1489" i="113"/>
  <c r="O1745" i="113"/>
  <c r="O1662" i="113"/>
  <c r="O482" i="113"/>
  <c r="O2648" i="113"/>
  <c r="S257" i="113"/>
  <c r="O257" i="113"/>
  <c r="O593" i="113"/>
  <c r="O1455" i="113"/>
  <c r="O1238" i="113"/>
  <c r="O1424" i="113"/>
  <c r="O2513" i="113"/>
  <c r="O1724" i="113"/>
  <c r="O1585" i="113"/>
  <c r="O1131" i="113"/>
  <c r="O2635" i="113"/>
  <c r="O318" i="113"/>
  <c r="O750" i="113"/>
  <c r="O2672" i="113"/>
  <c r="O2515" i="113"/>
  <c r="O928" i="113"/>
  <c r="O1795" i="113"/>
  <c r="O2493" i="113"/>
  <c r="O1138" i="113"/>
  <c r="O321" i="113"/>
  <c r="T321" i="113" s="1"/>
  <c r="W321" i="113" s="1"/>
  <c r="Y321" i="113" s="1"/>
  <c r="AC321" i="113" s="1"/>
  <c r="AG321" i="113" s="1"/>
  <c r="O941" i="113"/>
  <c r="O1074" i="113"/>
  <c r="T1074" i="113" s="1"/>
  <c r="W1074" i="113" s="1"/>
  <c r="Y1074" i="113" s="1"/>
  <c r="AC1074" i="113" s="1"/>
  <c r="AG1074" i="113" s="1"/>
  <c r="O791" i="113"/>
  <c r="T791" i="113" s="1"/>
  <c r="W791" i="113" s="1"/>
  <c r="Y791" i="113" s="1"/>
  <c r="AC791" i="113" s="1"/>
  <c r="AG791" i="113" s="1"/>
  <c r="O1567" i="113"/>
  <c r="T1567" i="113" s="1"/>
  <c r="W1567" i="113" s="1"/>
  <c r="Y1567" i="113" s="1"/>
  <c r="O2531" i="113"/>
  <c r="T2531" i="113" s="1"/>
  <c r="W2531" i="113" s="1"/>
  <c r="Y2531" i="113" s="1"/>
  <c r="AC2531" i="113" s="1"/>
  <c r="AG2531" i="113" s="1"/>
  <c r="O1362" i="113"/>
  <c r="O1109" i="113"/>
  <c r="T1109" i="113" s="1"/>
  <c r="W1109" i="113" s="1"/>
  <c r="Y1109" i="113" s="1"/>
  <c r="O2045" i="113"/>
  <c r="T2045" i="113" s="1"/>
  <c r="W2045" i="113" s="1"/>
  <c r="Y2045" i="113" s="1"/>
  <c r="O2435" i="113"/>
  <c r="T2435" i="113" s="1"/>
  <c r="W2435" i="113" s="1"/>
  <c r="Y2435" i="113" s="1"/>
  <c r="AC2435" i="113" s="1"/>
  <c r="AG2435" i="113" s="1"/>
  <c r="O210" i="113"/>
  <c r="O669" i="113"/>
  <c r="O348" i="113"/>
  <c r="T348" i="113" s="1"/>
  <c r="W348" i="113" s="1"/>
  <c r="Y348" i="113" s="1"/>
  <c r="O413" i="113"/>
  <c r="T413" i="113" s="1"/>
  <c r="W413" i="113" s="1"/>
  <c r="Y413" i="113" s="1"/>
  <c r="AC413" i="113" s="1"/>
  <c r="AG413" i="113" s="1"/>
  <c r="O2091" i="113"/>
  <c r="T2091" i="113" s="1"/>
  <c r="W2091" i="113" s="1"/>
  <c r="Y2091" i="113" s="1"/>
  <c r="AC2091" i="113" s="1"/>
  <c r="AG2091" i="113" s="1"/>
  <c r="O2532" i="113"/>
  <c r="T2532" i="113" s="1"/>
  <c r="W2532" i="113" s="1"/>
  <c r="Y2532" i="113" s="1"/>
  <c r="O952" i="113"/>
  <c r="T952" i="113" s="1"/>
  <c r="W952" i="113" s="1"/>
  <c r="Y952" i="113" s="1"/>
  <c r="AC952" i="113" s="1"/>
  <c r="AG952" i="113" s="1"/>
  <c r="O2042" i="113"/>
  <c r="T2042" i="113" s="1"/>
  <c r="W2042" i="113" s="1"/>
  <c r="Y2042" i="113" s="1"/>
  <c r="AC2042" i="113" s="1"/>
  <c r="AG2042" i="113" s="1"/>
  <c r="S262" i="113"/>
  <c r="T262" i="113" s="1"/>
  <c r="W262" i="113" s="1"/>
  <c r="Y262" i="113" s="1"/>
  <c r="O1906" i="113"/>
  <c r="O1374" i="113"/>
  <c r="T1374" i="113" s="1"/>
  <c r="W1374" i="113" s="1"/>
  <c r="Y1374" i="113" s="1"/>
  <c r="AC1374" i="113" s="1"/>
  <c r="AG1374" i="113" s="1"/>
  <c r="O850" i="113"/>
  <c r="T850" i="113" s="1"/>
  <c r="W850" i="113" s="1"/>
  <c r="Y850" i="113" s="1"/>
  <c r="AC850" i="113" s="1"/>
  <c r="AG850" i="113" s="1"/>
  <c r="O2412" i="113"/>
  <c r="O1305" i="113"/>
  <c r="T1305" i="113" s="1"/>
  <c r="W1305" i="113" s="1"/>
  <c r="Y1305" i="113" s="1"/>
  <c r="O1805" i="113"/>
  <c r="T1805" i="113" s="1"/>
  <c r="W1805" i="113" s="1"/>
  <c r="Y1805" i="113" s="1"/>
  <c r="AC1805" i="113" s="1"/>
  <c r="AG1805" i="113" s="1"/>
  <c r="O1605" i="113"/>
  <c r="T1605" i="113" s="1"/>
  <c r="W1605" i="113" s="1"/>
  <c r="Y1605" i="113" s="1"/>
  <c r="AC1605" i="113" s="1"/>
  <c r="AG1605" i="113" s="1"/>
  <c r="O247" i="113"/>
  <c r="O320" i="113"/>
  <c r="T320" i="113" s="1"/>
  <c r="W320" i="113" s="1"/>
  <c r="Y320" i="113" s="1"/>
  <c r="O491" i="113"/>
  <c r="T491" i="113" s="1"/>
  <c r="W491" i="113" s="1"/>
  <c r="Y491" i="113" s="1"/>
  <c r="O1035" i="113"/>
  <c r="T1035" i="113" s="1"/>
  <c r="W1035" i="113" s="1"/>
  <c r="Y1035" i="113" s="1"/>
  <c r="AC1035" i="113" s="1"/>
  <c r="AG1035" i="113" s="1"/>
  <c r="O1962" i="113"/>
  <c r="T1962" i="113" s="1"/>
  <c r="W1962" i="113" s="1"/>
  <c r="Y1962" i="113" s="1"/>
  <c r="AC1962" i="113" s="1"/>
  <c r="AG1962" i="113" s="1"/>
  <c r="O1921" i="113"/>
  <c r="T1921" i="113" s="1"/>
  <c r="W1921" i="113" s="1"/>
  <c r="Y1921" i="113" s="1"/>
  <c r="O1749" i="113"/>
  <c r="T1749" i="113" s="1"/>
  <c r="W1749" i="113" s="1"/>
  <c r="Y1749" i="113" s="1"/>
  <c r="AC1749" i="113" s="1"/>
  <c r="AG1749" i="113" s="1"/>
  <c r="O1479" i="113"/>
  <c r="O2323" i="113"/>
  <c r="T2323" i="113" s="1"/>
  <c r="W2323" i="113" s="1"/>
  <c r="Y2323" i="113" s="1"/>
  <c r="AC2323" i="113" s="1"/>
  <c r="AG2323" i="113" s="1"/>
  <c r="O483" i="113"/>
  <c r="T483" i="113" s="1"/>
  <c r="W483" i="113" s="1"/>
  <c r="Y483" i="113" s="1"/>
  <c r="AC483" i="113" s="1"/>
  <c r="AG483" i="113" s="1"/>
  <c r="O1044" i="113"/>
  <c r="T1044" i="113" s="1"/>
  <c r="W1044" i="113" s="1"/>
  <c r="Y1044" i="113" s="1"/>
  <c r="AC1044" i="113" s="1"/>
  <c r="AG1044" i="113" s="1"/>
  <c r="O788" i="113"/>
  <c r="T788" i="113" s="1"/>
  <c r="W788" i="113" s="1"/>
  <c r="Y788" i="113" s="1"/>
  <c r="O537" i="113"/>
  <c r="O1356" i="113"/>
  <c r="O1803" i="113"/>
  <c r="T1803" i="113" s="1"/>
  <c r="W1803" i="113" s="1"/>
  <c r="Y1803" i="113" s="1"/>
  <c r="AC1803" i="113" s="1"/>
  <c r="AG1803" i="113" s="1"/>
  <c r="O880" i="113"/>
  <c r="T880" i="113" s="1"/>
  <c r="W880" i="113" s="1"/>
  <c r="Y880" i="113" s="1"/>
  <c r="AC880" i="113" s="1"/>
  <c r="AG880" i="113" s="1"/>
  <c r="O1295" i="113"/>
  <c r="T1295" i="113" s="1"/>
  <c r="W1295" i="113" s="1"/>
  <c r="Y1295" i="113" s="1"/>
  <c r="AC1295" i="113" s="1"/>
  <c r="AG1295" i="113" s="1"/>
  <c r="O2303" i="113"/>
  <c r="T2303" i="113" s="1"/>
  <c r="W2303" i="113" s="1"/>
  <c r="Y2303" i="113" s="1"/>
  <c r="AC2303" i="113" s="1"/>
  <c r="AG2303" i="113" s="1"/>
  <c r="O653" i="113"/>
  <c r="T653" i="113" s="1"/>
  <c r="W653" i="113" s="1"/>
  <c r="Y653" i="113" s="1"/>
  <c r="AC653" i="113" s="1"/>
  <c r="AG653" i="113" s="1"/>
  <c r="O936" i="113"/>
  <c r="T936" i="113" s="1"/>
  <c r="W936" i="113" s="1"/>
  <c r="Y936" i="113" s="1"/>
  <c r="AC936" i="113" s="1"/>
  <c r="AG936" i="113" s="1"/>
  <c r="O428" i="113"/>
  <c r="T428" i="113" s="1"/>
  <c r="W428" i="113" s="1"/>
  <c r="Y428" i="113" s="1"/>
  <c r="O2025" i="113"/>
  <c r="T2025" i="113" s="1"/>
  <c r="W2025" i="113" s="1"/>
  <c r="Y2025" i="113" s="1"/>
  <c r="AC2025" i="113" s="1"/>
  <c r="AG2025" i="113" s="1"/>
  <c r="O130" i="113"/>
  <c r="O785" i="113"/>
  <c r="T785" i="113" s="1"/>
  <c r="W785" i="113" s="1"/>
  <c r="Y785" i="113" s="1"/>
  <c r="AC785" i="113" s="1"/>
  <c r="AG785" i="113" s="1"/>
  <c r="O982" i="113"/>
  <c r="T982" i="113" s="1"/>
  <c r="W982" i="113" s="1"/>
  <c r="Y982" i="113" s="1"/>
  <c r="AC982" i="113" s="1"/>
  <c r="AG982" i="113" s="1"/>
  <c r="O1804" i="113"/>
  <c r="T1804" i="113" s="1"/>
  <c r="W1804" i="113" s="1"/>
  <c r="Y1804" i="113" s="1"/>
  <c r="O2157" i="113"/>
  <c r="T2157" i="113" s="1"/>
  <c r="W2157" i="113" s="1"/>
  <c r="Y2157" i="113" s="1"/>
  <c r="O109" i="113"/>
  <c r="T109" i="113" s="1"/>
  <c r="W109" i="113" s="1"/>
  <c r="Y109" i="113" s="1"/>
  <c r="AC109" i="113" s="1"/>
  <c r="AG109" i="113" s="1"/>
  <c r="O935" i="113"/>
  <c r="T935" i="113" s="1"/>
  <c r="W935" i="113" s="1"/>
  <c r="Y935" i="113" s="1"/>
  <c r="O1860" i="113"/>
  <c r="T1860" i="113" s="1"/>
  <c r="W1860" i="113" s="1"/>
  <c r="Y1860" i="113" s="1"/>
  <c r="AC1860" i="113" s="1"/>
  <c r="AG1860" i="113" s="1"/>
  <c r="O1199" i="113"/>
  <c r="T1199" i="113" s="1"/>
  <c r="W1199" i="113" s="1"/>
  <c r="Y1199" i="113" s="1"/>
  <c r="O1018" i="113"/>
  <c r="T1018" i="113" s="1"/>
  <c r="W1018" i="113" s="1"/>
  <c r="Y1018" i="113" s="1"/>
  <c r="AC1018" i="113" s="1"/>
  <c r="AG1018" i="113" s="1"/>
  <c r="O641" i="113"/>
  <c r="T641" i="113" s="1"/>
  <c r="W641" i="113" s="1"/>
  <c r="Y641" i="113" s="1"/>
  <c r="O1483" i="113"/>
  <c r="T1483" i="113" s="1"/>
  <c r="W1483" i="113" s="1"/>
  <c r="Y1483" i="113" s="1"/>
  <c r="O1152" i="113"/>
  <c r="T1152" i="113" s="1"/>
  <c r="W1152" i="113" s="1"/>
  <c r="Y1152" i="113" s="1"/>
  <c r="O2334" i="113"/>
  <c r="T2334" i="113" s="1"/>
  <c r="W2334" i="113" s="1"/>
  <c r="Y2334" i="113" s="1"/>
  <c r="AC2334" i="113" s="1"/>
  <c r="AG2334" i="113" s="1"/>
  <c r="O2555" i="113"/>
  <c r="T2555" i="113" s="1"/>
  <c r="W2555" i="113" s="1"/>
  <c r="Y2555" i="113" s="1"/>
  <c r="O1656" i="113"/>
  <c r="O1863" i="113"/>
  <c r="O1827" i="113"/>
  <c r="O1580" i="113"/>
  <c r="O1183" i="113"/>
  <c r="O799" i="113"/>
  <c r="O390" i="113"/>
  <c r="O607" i="113"/>
  <c r="O1990" i="113"/>
  <c r="O2604" i="113"/>
  <c r="O1029" i="113"/>
  <c r="O2123" i="113"/>
  <c r="O157" i="113"/>
  <c r="S157" i="113"/>
  <c r="O1048" i="113"/>
  <c r="O1151" i="113"/>
  <c r="O2483" i="113"/>
  <c r="O2226" i="113"/>
  <c r="O2148" i="113"/>
  <c r="O605" i="113"/>
  <c r="O2587" i="113"/>
  <c r="O2492" i="113"/>
  <c r="O1634" i="113"/>
  <c r="O1180" i="113"/>
  <c r="O1592" i="113"/>
  <c r="O2257" i="113"/>
  <c r="O1691" i="113"/>
  <c r="O297" i="113"/>
  <c r="O1471" i="113"/>
  <c r="T1471" i="113" s="1"/>
  <c r="W1471" i="113" s="1"/>
  <c r="Y1471" i="113" s="1"/>
  <c r="AC1471" i="113" s="1"/>
  <c r="AG1471" i="113" s="1"/>
  <c r="O1731" i="113"/>
  <c r="O2508" i="113"/>
  <c r="O2461" i="113"/>
  <c r="O2135" i="113"/>
  <c r="O1423" i="113"/>
  <c r="O2054" i="113"/>
  <c r="O1704" i="113"/>
  <c r="O1204" i="113"/>
  <c r="S49" i="113"/>
  <c r="O49" i="113"/>
  <c r="O1354" i="113"/>
  <c r="O534" i="113"/>
  <c r="O2460" i="113"/>
  <c r="O1041" i="113"/>
  <c r="O608" i="113"/>
  <c r="O1929" i="113"/>
  <c r="O1357" i="113"/>
  <c r="O2295" i="113"/>
  <c r="O174" i="113"/>
  <c r="S174" i="113"/>
  <c r="O2060" i="113"/>
  <c r="O1651" i="113"/>
  <c r="O435" i="113"/>
  <c r="T435" i="113" s="1"/>
  <c r="W435" i="113" s="1"/>
  <c r="Y435" i="113" s="1"/>
  <c r="O2388" i="113"/>
  <c r="T2388" i="113" s="1"/>
  <c r="W2388" i="113" s="1"/>
  <c r="Y2388" i="113" s="1"/>
  <c r="AC2388" i="113" s="1"/>
  <c r="AG2388" i="113" s="1"/>
  <c r="O2069" i="113"/>
  <c r="O1894" i="113"/>
  <c r="O2447" i="113"/>
  <c r="O758" i="113"/>
  <c r="O246" i="113"/>
  <c r="S246" i="113"/>
  <c r="O1197" i="113"/>
  <c r="O1147" i="113"/>
  <c r="O417" i="113"/>
  <c r="O2599" i="113"/>
  <c r="O1968" i="113"/>
  <c r="O2677" i="113"/>
  <c r="O2592" i="113"/>
  <c r="O2347" i="113"/>
  <c r="O2057" i="113"/>
  <c r="O2285" i="113"/>
  <c r="O1811" i="113"/>
  <c r="O1620" i="113"/>
  <c r="O2504" i="113"/>
  <c r="O2372" i="113"/>
  <c r="O2466" i="113"/>
  <c r="O1729" i="113"/>
  <c r="O2055" i="113"/>
  <c r="O1593" i="113"/>
  <c r="O603" i="113"/>
  <c r="O2098" i="113"/>
  <c r="O1963" i="113"/>
  <c r="O2092" i="113"/>
  <c r="O2449" i="113"/>
  <c r="O1459" i="113"/>
  <c r="O687" i="113"/>
  <c r="O1402" i="113"/>
  <c r="O1130" i="113"/>
  <c r="O1034" i="113"/>
  <c r="O205" i="113"/>
  <c r="S205" i="113"/>
  <c r="O168" i="113"/>
  <c r="S168" i="113"/>
  <c r="O2352" i="113"/>
  <c r="O762" i="113"/>
  <c r="O1978" i="113"/>
  <c r="O2431" i="113"/>
  <c r="O30" i="113"/>
  <c r="S30" i="113"/>
  <c r="O1086" i="113"/>
  <c r="O797" i="113"/>
  <c r="S243" i="113"/>
  <c r="O243" i="113"/>
  <c r="O1992" i="113"/>
  <c r="O221" i="113"/>
  <c r="S221" i="113"/>
  <c r="O2528" i="113"/>
  <c r="O2368" i="113"/>
  <c r="O2395" i="113"/>
  <c r="O1941" i="113"/>
  <c r="O2439" i="113"/>
  <c r="O2290" i="113"/>
  <c r="O526" i="113"/>
  <c r="O347" i="113"/>
  <c r="O949" i="113"/>
  <c r="O767" i="113"/>
  <c r="O2527" i="113"/>
  <c r="O609" i="113"/>
  <c r="O1011" i="113"/>
  <c r="O1900" i="113"/>
  <c r="O1107" i="113"/>
  <c r="O2523" i="113"/>
  <c r="O2247" i="113"/>
  <c r="O2603" i="113"/>
  <c r="O1826" i="113"/>
  <c r="O1403" i="113"/>
  <c r="O494" i="113"/>
  <c r="O1370" i="113"/>
  <c r="O2470" i="113"/>
  <c r="O884" i="113"/>
  <c r="O661" i="113"/>
  <c r="O2302" i="113"/>
  <c r="O1957" i="113"/>
  <c r="O2330" i="113"/>
  <c r="O2612" i="113"/>
  <c r="O1056" i="113"/>
  <c r="O2066" i="113"/>
  <c r="O606" i="113"/>
  <c r="O1342" i="113"/>
  <c r="O1127" i="113"/>
  <c r="O1759" i="113"/>
  <c r="O875" i="113"/>
  <c r="O51" i="113"/>
  <c r="S51" i="113"/>
  <c r="O2296" i="113"/>
  <c r="O839" i="113"/>
  <c r="O2579" i="113"/>
  <c r="O664" i="113"/>
  <c r="O1814" i="113"/>
  <c r="O1643" i="113"/>
  <c r="O1173" i="113"/>
  <c r="O469" i="113"/>
  <c r="O1931" i="113"/>
  <c r="O983" i="113"/>
  <c r="O1969" i="113"/>
  <c r="O288" i="113"/>
  <c r="O1660" i="113"/>
  <c r="O1637" i="113"/>
  <c r="O2275" i="113"/>
  <c r="O2546" i="113"/>
  <c r="S223" i="113"/>
  <c r="O223" i="113"/>
  <c r="O1121" i="113"/>
  <c r="O738" i="113"/>
  <c r="O1847" i="113"/>
  <c r="O2594" i="113"/>
  <c r="O2434" i="113"/>
  <c r="O2133" i="113"/>
  <c r="O1612" i="113"/>
  <c r="O2410" i="113"/>
  <c r="S110" i="113"/>
  <c r="O110" i="113"/>
  <c r="O829" i="113"/>
  <c r="O650" i="113"/>
  <c r="O1461" i="113"/>
  <c r="O1681" i="113"/>
  <c r="O2646" i="113"/>
  <c r="O2152" i="113"/>
  <c r="O1872" i="113"/>
  <c r="O646" i="113"/>
  <c r="O1752" i="113"/>
  <c r="O1458" i="113"/>
  <c r="O948" i="113"/>
  <c r="S33" i="113"/>
  <c r="O33" i="113"/>
  <c r="O1696" i="113"/>
  <c r="O588" i="113"/>
  <c r="O1502" i="113"/>
  <c r="O2475" i="113"/>
  <c r="O2495" i="113"/>
  <c r="O524" i="113"/>
  <c r="T524" i="113" s="1"/>
  <c r="W524" i="113" s="1"/>
  <c r="Y524" i="113" s="1"/>
  <c r="O1144" i="113"/>
  <c r="O418" i="113"/>
  <c r="T418" i="113" s="1"/>
  <c r="W418" i="113" s="1"/>
  <c r="Y418" i="113" s="1"/>
  <c r="O993" i="113"/>
  <c r="O866" i="113"/>
  <c r="T866" i="113" s="1"/>
  <c r="W866" i="113" s="1"/>
  <c r="Y866" i="113" s="1"/>
  <c r="AC866" i="113" s="1"/>
  <c r="AG866" i="113" s="1"/>
  <c r="O1572" i="113"/>
  <c r="O1366" i="113"/>
  <c r="T1366" i="113" s="1"/>
  <c r="W1366" i="113" s="1"/>
  <c r="Y1366" i="113" s="1"/>
  <c r="AC1366" i="113" s="1"/>
  <c r="AG1366" i="113" s="1"/>
  <c r="O1767" i="113"/>
  <c r="T1767" i="113" s="1"/>
  <c r="W1767" i="113" s="1"/>
  <c r="Y1767" i="113" s="1"/>
  <c r="AC1767" i="113" s="1"/>
  <c r="AG1767" i="113" s="1"/>
  <c r="O2173" i="113"/>
  <c r="T2173" i="113" s="1"/>
  <c r="W2173" i="113" s="1"/>
  <c r="Y2173" i="113" s="1"/>
  <c r="AC2173" i="113" s="1"/>
  <c r="AG2173" i="113" s="1"/>
  <c r="O183" i="113"/>
  <c r="T183" i="113" s="1"/>
  <c r="W183" i="113" s="1"/>
  <c r="Y183" i="113" s="1"/>
  <c r="AC183" i="113" s="1"/>
  <c r="AG183" i="113" s="1"/>
  <c r="O872" i="113"/>
  <c r="T872" i="113" s="1"/>
  <c r="W872" i="113" s="1"/>
  <c r="Y872" i="113" s="1"/>
  <c r="O652" i="113"/>
  <c r="T652" i="113" s="1"/>
  <c r="W652" i="113" s="1"/>
  <c r="Y652" i="113" s="1"/>
  <c r="AC652" i="113" s="1"/>
  <c r="AG652" i="113" s="1"/>
  <c r="O995" i="113"/>
  <c r="T995" i="113" s="1"/>
  <c r="W995" i="113" s="1"/>
  <c r="Y995" i="113" s="1"/>
  <c r="AC995" i="113" s="1"/>
  <c r="AG995" i="113" s="1"/>
  <c r="O803" i="113"/>
  <c r="T803" i="113" s="1"/>
  <c r="W803" i="113" s="1"/>
  <c r="Y803" i="113" s="1"/>
  <c r="AC803" i="113" s="1"/>
  <c r="AG803" i="113" s="1"/>
  <c r="O1292" i="113"/>
  <c r="O635" i="113"/>
  <c r="T635" i="113" s="1"/>
  <c r="W635" i="113" s="1"/>
  <c r="Y635" i="113" s="1"/>
  <c r="O207" i="113"/>
  <c r="T207" i="113" s="1"/>
  <c r="W207" i="113" s="1"/>
  <c r="Y207" i="113" s="1"/>
  <c r="AC207" i="113" s="1"/>
  <c r="AG207" i="113" s="1"/>
  <c r="O301" i="113"/>
  <c r="T301" i="113" s="1"/>
  <c r="W301" i="113" s="1"/>
  <c r="Y301" i="113" s="1"/>
  <c r="AC301" i="113" s="1"/>
  <c r="AG301" i="113" s="1"/>
  <c r="O493" i="113"/>
  <c r="T493" i="113" s="1"/>
  <c r="W493" i="113" s="1"/>
  <c r="Y493" i="113" s="1"/>
  <c r="AC493" i="113" s="1"/>
  <c r="AG493" i="113" s="1"/>
  <c r="O852" i="113"/>
  <c r="T852" i="113" s="1"/>
  <c r="W852" i="113" s="1"/>
  <c r="Y852" i="113" s="1"/>
  <c r="AC852" i="113" s="1"/>
  <c r="AG852" i="113" s="1"/>
  <c r="O1527" i="113"/>
  <c r="O2009" i="113"/>
  <c r="T2009" i="113" s="1"/>
  <c r="W2009" i="113" s="1"/>
  <c r="Y2009" i="113" s="1"/>
  <c r="AC2009" i="113" s="1"/>
  <c r="AG2009" i="113" s="1"/>
  <c r="O1808" i="113"/>
  <c r="T1808" i="113" s="1"/>
  <c r="W1808" i="113" s="1"/>
  <c r="Y1808" i="113" s="1"/>
  <c r="AC1808" i="113" s="1"/>
  <c r="AG1808" i="113" s="1"/>
  <c r="O190" i="113"/>
  <c r="T190" i="113" s="1"/>
  <c r="W190" i="113" s="1"/>
  <c r="Y190" i="113" s="1"/>
  <c r="AC190" i="113" s="1"/>
  <c r="AG190" i="113" s="1"/>
  <c r="O387" i="113"/>
  <c r="T387" i="113" s="1"/>
  <c r="W387" i="113" s="1"/>
  <c r="Y387" i="113" s="1"/>
  <c r="AC387" i="113" s="1"/>
  <c r="AG387" i="113" s="1"/>
  <c r="O1154" i="113"/>
  <c r="T1154" i="113" s="1"/>
  <c r="W1154" i="113" s="1"/>
  <c r="Y1154" i="113" s="1"/>
  <c r="AC1154" i="113" s="1"/>
  <c r="AG1154" i="113" s="1"/>
  <c r="O2165" i="113"/>
  <c r="T2165" i="113" s="1"/>
  <c r="W2165" i="113" s="1"/>
  <c r="Y2165" i="113" s="1"/>
  <c r="AC2165" i="113" s="1"/>
  <c r="AG2165" i="113" s="1"/>
  <c r="O442" i="113"/>
  <c r="O1953" i="113"/>
  <c r="T1953" i="113" s="1"/>
  <c r="W1953" i="113" s="1"/>
  <c r="Y1953" i="113" s="1"/>
  <c r="O1682" i="113"/>
  <c r="T1682" i="113" s="1"/>
  <c r="W1682" i="113" s="1"/>
  <c r="Y1682" i="113" s="1"/>
  <c r="AC1682" i="113" s="1"/>
  <c r="AG1682" i="113" s="1"/>
  <c r="O1916" i="113"/>
  <c r="O91" i="113"/>
  <c r="T91" i="113" s="1"/>
  <c r="W91" i="113" s="1"/>
  <c r="Y91" i="113" s="1"/>
  <c r="O1247" i="113"/>
  <c r="T1247" i="113" s="1"/>
  <c r="W1247" i="113" s="1"/>
  <c r="Y1247" i="113" s="1"/>
  <c r="AC1247" i="113" s="1"/>
  <c r="AG1247" i="113" s="1"/>
  <c r="O990" i="113"/>
  <c r="T990" i="113" s="1"/>
  <c r="W990" i="113" s="1"/>
  <c r="Y990" i="113" s="1"/>
  <c r="AC990" i="113" s="1"/>
  <c r="AG990" i="113" s="1"/>
  <c r="O752" i="113"/>
  <c r="T752" i="113" s="1"/>
  <c r="W752" i="113" s="1"/>
  <c r="Y752" i="113" s="1"/>
  <c r="AC752" i="113" s="1"/>
  <c r="AG752" i="113" s="1"/>
  <c r="O1568" i="113"/>
  <c r="T1568" i="113" s="1"/>
  <c r="W1568" i="113" s="1"/>
  <c r="Y1568" i="113" s="1"/>
  <c r="AC1568" i="113" s="1"/>
  <c r="AG1568" i="113" s="1"/>
  <c r="O2007" i="113"/>
  <c r="O1271" i="113"/>
  <c r="T1271" i="113" s="1"/>
  <c r="W1271" i="113" s="1"/>
  <c r="Y1271" i="113" s="1"/>
  <c r="O1519" i="113"/>
  <c r="O298" i="113"/>
  <c r="T298" i="113" s="1"/>
  <c r="W298" i="113" s="1"/>
  <c r="Y298" i="113" s="1"/>
  <c r="AC298" i="113" s="1"/>
  <c r="AG298" i="113" s="1"/>
  <c r="O1157" i="113"/>
  <c r="T1157" i="113" s="1"/>
  <c r="W1157" i="113" s="1"/>
  <c r="Y1157" i="113" s="1"/>
  <c r="O1025" i="113"/>
  <c r="T1025" i="113" s="1"/>
  <c r="W1025" i="113" s="1"/>
  <c r="Y1025" i="113" s="1"/>
  <c r="AC1025" i="113" s="1"/>
  <c r="AG1025" i="113" s="1"/>
  <c r="O986" i="113"/>
  <c r="T986" i="113" s="1"/>
  <c r="W986" i="113" s="1"/>
  <c r="Y986" i="113" s="1"/>
  <c r="AC986" i="113" s="1"/>
  <c r="AG986" i="113" s="1"/>
  <c r="O1496" i="113"/>
  <c r="T1496" i="113" s="1"/>
  <c r="W1496" i="113" s="1"/>
  <c r="Y1496" i="113" s="1"/>
  <c r="AC1496" i="113" s="1"/>
  <c r="AG1496" i="113" s="1"/>
  <c r="O2008" i="113"/>
  <c r="T2008" i="113" s="1"/>
  <c r="W2008" i="113" s="1"/>
  <c r="Y2008" i="113" s="1"/>
  <c r="AC2008" i="113" s="1"/>
  <c r="AG2008" i="113" s="1"/>
  <c r="O1289" i="113"/>
  <c r="T1289" i="113" s="1"/>
  <c r="W1289" i="113" s="1"/>
  <c r="Y1289" i="113" s="1"/>
  <c r="AC1289" i="113" s="1"/>
  <c r="AG1289" i="113" s="1"/>
  <c r="O293" i="113"/>
  <c r="T293" i="113" s="1"/>
  <c r="W293" i="113" s="1"/>
  <c r="Y293" i="113" s="1"/>
  <c r="AC293" i="113" s="1"/>
  <c r="AG293" i="113" s="1"/>
  <c r="O2063" i="113"/>
  <c r="T2063" i="113" s="1"/>
  <c r="W2063" i="113" s="1"/>
  <c r="Y2063" i="113" s="1"/>
  <c r="AC2063" i="113" s="1"/>
  <c r="AG2063" i="113" s="1"/>
  <c r="O1518" i="113"/>
  <c r="T1518" i="113" s="1"/>
  <c r="W1518" i="113" s="1"/>
  <c r="Y1518" i="113" s="1"/>
  <c r="O46" i="113"/>
  <c r="T46" i="113" s="1"/>
  <c r="W46" i="113" s="1"/>
  <c r="Y46" i="113" s="1"/>
  <c r="AC46" i="113" s="1"/>
  <c r="AG46" i="113" s="1"/>
  <c r="O844" i="113"/>
  <c r="T844" i="113" s="1"/>
  <c r="W844" i="113" s="1"/>
  <c r="Y844" i="113" s="1"/>
  <c r="O1686" i="113"/>
  <c r="T1686" i="113" s="1"/>
  <c r="W1686" i="113" s="1"/>
  <c r="Y1686" i="113" s="1"/>
  <c r="AC1686" i="113" s="1"/>
  <c r="AG1686" i="113" s="1"/>
  <c r="O2616" i="113"/>
  <c r="T2616" i="113" s="1"/>
  <c r="W2616" i="113" s="1"/>
  <c r="Y2616" i="113" s="1"/>
  <c r="O2620" i="113"/>
  <c r="T2620" i="113" s="1"/>
  <c r="W2620" i="113" s="1"/>
  <c r="Y2620" i="113" s="1"/>
  <c r="AC2620" i="113" s="1"/>
  <c r="AG2620" i="113" s="1"/>
  <c r="S180" i="113"/>
  <c r="O2179" i="113"/>
  <c r="T2179" i="113" s="1"/>
  <c r="W2179" i="113" s="1"/>
  <c r="Y2179" i="113" s="1"/>
  <c r="AC2179" i="113" s="1"/>
  <c r="AG2179" i="113" s="1"/>
  <c r="I34" i="108"/>
  <c r="I33" i="108"/>
  <c r="I32" i="108"/>
  <c r="I31" i="108"/>
  <c r="I30" i="108"/>
  <c r="I29" i="108"/>
  <c r="I28" i="108"/>
  <c r="I27" i="108"/>
  <c r="I26" i="108"/>
  <c r="I25" i="108"/>
  <c r="I24" i="108"/>
  <c r="I23" i="108"/>
  <c r="AC2310" i="113" l="1"/>
  <c r="AG2310" i="113" s="1"/>
  <c r="AC844" i="113"/>
  <c r="AG844" i="113" s="1"/>
  <c r="AC1109" i="113"/>
  <c r="AG1109" i="113" s="1"/>
  <c r="AC400" i="113"/>
  <c r="AG400" i="113" s="1"/>
  <c r="AC1806" i="113"/>
  <c r="AG1806" i="113" s="1"/>
  <c r="AC44" i="113"/>
  <c r="AG44" i="113" s="1"/>
  <c r="AC2106" i="113"/>
  <c r="AG2106" i="113" s="1"/>
  <c r="AC1166" i="113"/>
  <c r="AG1166" i="113" s="1"/>
  <c r="AC1709" i="113"/>
  <c r="AG1709" i="113" s="1"/>
  <c r="AC2129" i="113"/>
  <c r="AG2129" i="113" s="1"/>
  <c r="AC662" i="113"/>
  <c r="AG662" i="113" s="1"/>
  <c r="AC1711" i="113"/>
  <c r="AG1711" i="113" s="1"/>
  <c r="AC248" i="113"/>
  <c r="AG248" i="113" s="1"/>
  <c r="AC1714" i="113"/>
  <c r="AG1714" i="113" s="1"/>
  <c r="AC523" i="113"/>
  <c r="AG523" i="113" s="1"/>
  <c r="AC83" i="113"/>
  <c r="AG83" i="113" s="1"/>
  <c r="AC681" i="113"/>
  <c r="AG681" i="113" s="1"/>
  <c r="AC2639" i="113"/>
  <c r="AG2639" i="113" s="1"/>
  <c r="AC396" i="113"/>
  <c r="AG396" i="113" s="1"/>
  <c r="AC2555" i="113"/>
  <c r="AG2555" i="113" s="1"/>
  <c r="AC816" i="113"/>
  <c r="AG816" i="113" s="1"/>
  <c r="AC2081" i="113"/>
  <c r="AG2081" i="113" s="1"/>
  <c r="AC119" i="113"/>
  <c r="AG119" i="113" s="1"/>
  <c r="AC496" i="113"/>
  <c r="AG496" i="113" s="1"/>
  <c r="AC2517" i="113"/>
  <c r="AG2517" i="113" s="1"/>
  <c r="AC304" i="113"/>
  <c r="AG304" i="113" s="1"/>
  <c r="AC269" i="113"/>
  <c r="AG269" i="113" s="1"/>
  <c r="AC1143" i="113"/>
  <c r="AG1143" i="113" s="1"/>
  <c r="AC474" i="113"/>
  <c r="AG474" i="113" s="1"/>
  <c r="AC456" i="113"/>
  <c r="AG456" i="113" s="1"/>
  <c r="AC73" i="113"/>
  <c r="AG73" i="113" s="1"/>
  <c r="AC1012" i="113"/>
  <c r="AG1012" i="113" s="1"/>
  <c r="AC1116" i="113"/>
  <c r="AG1116" i="113" s="1"/>
  <c r="AC1410" i="113"/>
  <c r="AG1410" i="113" s="1"/>
  <c r="AC1994" i="113"/>
  <c r="AG1994" i="113" s="1"/>
  <c r="AC676" i="113"/>
  <c r="AG676" i="113" s="1"/>
  <c r="AC1085" i="113"/>
  <c r="AG1085" i="113" s="1"/>
  <c r="AC1518" i="113"/>
  <c r="AG1518" i="113" s="1"/>
  <c r="AC1434" i="113"/>
  <c r="AG1434" i="113" s="1"/>
  <c r="AC1069" i="113"/>
  <c r="AG1069" i="113" s="1"/>
  <c r="AC1511" i="113"/>
  <c r="AG1511" i="113" s="1"/>
  <c r="AC2073" i="113"/>
  <c r="AG2073" i="113" s="1"/>
  <c r="AC886" i="113"/>
  <c r="AG886" i="113" s="1"/>
  <c r="AC1222" i="113"/>
  <c r="AG1222" i="113" s="1"/>
  <c r="AC369" i="113"/>
  <c r="AG369" i="113" s="1"/>
  <c r="AC2108" i="113"/>
  <c r="AG2108" i="113" s="1"/>
  <c r="AC1137" i="113"/>
  <c r="AG1137" i="113" s="1"/>
  <c r="AC544" i="113"/>
  <c r="AG544" i="113" s="1"/>
  <c r="AC2674" i="113"/>
  <c r="AG2674" i="113" s="1"/>
  <c r="AC971" i="113"/>
  <c r="AG971" i="113" s="1"/>
  <c r="AC2125" i="113"/>
  <c r="AG2125" i="113" s="1"/>
  <c r="AC488" i="113"/>
  <c r="AG488" i="113" s="1"/>
  <c r="AC2010" i="113"/>
  <c r="AG2010" i="113" s="1"/>
  <c r="AC1234" i="113"/>
  <c r="AG1234" i="113" s="1"/>
  <c r="AC691" i="113"/>
  <c r="AG691" i="113" s="1"/>
  <c r="AC1249" i="113"/>
  <c r="AG1249" i="113" s="1"/>
  <c r="AC283" i="113"/>
  <c r="AG283" i="113" s="1"/>
  <c r="AC428" i="113"/>
  <c r="AG428" i="113" s="1"/>
  <c r="AC1019" i="113"/>
  <c r="AG1019" i="113" s="1"/>
  <c r="AC2136" i="113"/>
  <c r="AG2136" i="113" s="1"/>
  <c r="AC970" i="113"/>
  <c r="AG970" i="113" s="1"/>
  <c r="AC2036" i="113"/>
  <c r="AG2036" i="113" s="1"/>
  <c r="AC139" i="113"/>
  <c r="AG139" i="113" s="1"/>
  <c r="AC1396" i="113"/>
  <c r="AG1396" i="113" s="1"/>
  <c r="AC411" i="113"/>
  <c r="AG411" i="113" s="1"/>
  <c r="AC1483" i="113"/>
  <c r="AG1483" i="113" s="1"/>
  <c r="AC38" i="113"/>
  <c r="AG38" i="113" s="1"/>
  <c r="AC2576" i="113"/>
  <c r="AG2576" i="113" s="1"/>
  <c r="AC1890" i="113"/>
  <c r="AG1890" i="113" s="1"/>
  <c r="AC2419" i="113"/>
  <c r="AG2419" i="113" s="1"/>
  <c r="AC1676" i="113"/>
  <c r="AG1676" i="113" s="1"/>
  <c r="AC1960" i="113"/>
  <c r="AG1960" i="113" s="1"/>
  <c r="AC2150" i="113"/>
  <c r="AG2150" i="113" s="1"/>
  <c r="AC768" i="113"/>
  <c r="AG768" i="113" s="1"/>
  <c r="AC1201" i="113"/>
  <c r="AG1201" i="113" s="1"/>
  <c r="AC614" i="113"/>
  <c r="AG614" i="113" s="1"/>
  <c r="AC461" i="113"/>
  <c r="AG461" i="113" s="1"/>
  <c r="AC341" i="113"/>
  <c r="AG341" i="113" s="1"/>
  <c r="AC1271" i="113"/>
  <c r="AG1271" i="113" s="1"/>
  <c r="AC1088" i="113"/>
  <c r="AG1088" i="113" s="1"/>
  <c r="AC453" i="113"/>
  <c r="AG453" i="113" s="1"/>
  <c r="AC421" i="113"/>
  <c r="AG421" i="113" s="1"/>
  <c r="AC93" i="113"/>
  <c r="AG93" i="113" s="1"/>
  <c r="AC2122" i="113"/>
  <c r="AG2122" i="113" s="1"/>
  <c r="AC199" i="113"/>
  <c r="AG199" i="113" s="1"/>
  <c r="AC330" i="113"/>
  <c r="AG330" i="113" s="1"/>
  <c r="AC2188" i="113"/>
  <c r="AG2188" i="113" s="1"/>
  <c r="AC1820" i="113"/>
  <c r="AG1820" i="113" s="1"/>
  <c r="AC435" i="113"/>
  <c r="AG435" i="113" s="1"/>
  <c r="AC655" i="113"/>
  <c r="AG655" i="113" s="1"/>
  <c r="AC1061" i="113"/>
  <c r="AG1061" i="113" s="1"/>
  <c r="AC2023" i="113"/>
  <c r="AG2023" i="113" s="1"/>
  <c r="AC2059" i="113"/>
  <c r="AG2059" i="113" s="1"/>
  <c r="AC2653" i="113"/>
  <c r="AG2653" i="113" s="1"/>
  <c r="AC460" i="113"/>
  <c r="AG460" i="113" s="1"/>
  <c r="AC1835" i="113"/>
  <c r="AG1835" i="113" s="1"/>
  <c r="AC1294" i="113"/>
  <c r="AG1294" i="113" s="1"/>
  <c r="AC1399" i="113"/>
  <c r="AG1399" i="113" s="1"/>
  <c r="AC2137" i="113"/>
  <c r="AG2137" i="113" s="1"/>
  <c r="AC2279" i="113"/>
  <c r="AG2279" i="113" s="1"/>
  <c r="AC629" i="113"/>
  <c r="AG629" i="113" s="1"/>
  <c r="AC1187" i="113"/>
  <c r="AG1187" i="113" s="1"/>
  <c r="AC1099" i="113"/>
  <c r="AG1099" i="113" s="1"/>
  <c r="AC1476" i="113"/>
  <c r="AG1476" i="113" s="1"/>
  <c r="AC538" i="113"/>
  <c r="AG538" i="113" s="1"/>
  <c r="AC885" i="113"/>
  <c r="AG885" i="113" s="1"/>
  <c r="AC1567" i="113"/>
  <c r="AG1567" i="113" s="1"/>
  <c r="AC111" i="113"/>
  <c r="AG111" i="113" s="1"/>
  <c r="AC1087" i="113"/>
  <c r="AG1087" i="113" s="1"/>
  <c r="AC1497" i="113"/>
  <c r="AG1497" i="113" s="1"/>
  <c r="AC334" i="113"/>
  <c r="AG334" i="113" s="1"/>
  <c r="AC2139" i="113"/>
  <c r="AG2139" i="113" s="1"/>
  <c r="AC1921" i="113"/>
  <c r="AG1921" i="113" s="1"/>
  <c r="AC998" i="113"/>
  <c r="AG998" i="113" s="1"/>
  <c r="AC1278" i="113"/>
  <c r="AG1278" i="113" s="1"/>
  <c r="AC192" i="113"/>
  <c r="AG192" i="113" s="1"/>
  <c r="AC91" i="113"/>
  <c r="AG91" i="113" s="1"/>
  <c r="AC641" i="113"/>
  <c r="AG641" i="113" s="1"/>
  <c r="AC579" i="113"/>
  <c r="AG579" i="113" s="1"/>
  <c r="AC1602" i="113"/>
  <c r="AG1602" i="113" s="1"/>
  <c r="AC1055" i="113"/>
  <c r="AG1055" i="113" s="1"/>
  <c r="AC808" i="113"/>
  <c r="AG808" i="113" s="1"/>
  <c r="AC1737" i="113"/>
  <c r="AG1737" i="113" s="1"/>
  <c r="AC1073" i="113"/>
  <c r="AG1073" i="113" s="1"/>
  <c r="AC1467" i="113"/>
  <c r="AG1467" i="113" s="1"/>
  <c r="AC1501" i="113"/>
  <c r="AG1501" i="113" s="1"/>
  <c r="AC2370" i="113"/>
  <c r="AG2370" i="113" s="1"/>
  <c r="AC1207" i="113"/>
  <c r="AG1207" i="113" s="1"/>
  <c r="AC1361" i="113"/>
  <c r="AG1361" i="113" s="1"/>
  <c r="AC323" i="113"/>
  <c r="AG323" i="113" s="1"/>
  <c r="AC1751" i="113"/>
  <c r="AG1751" i="113" s="1"/>
  <c r="AC572" i="113"/>
  <c r="AG572" i="113" s="1"/>
  <c r="AC1715" i="113"/>
  <c r="AG1715" i="113" s="1"/>
  <c r="AC802" i="113"/>
  <c r="AG802" i="113" s="1"/>
  <c r="AC530" i="113"/>
  <c r="AG530" i="113" s="1"/>
  <c r="AC327" i="113"/>
  <c r="AG327" i="113" s="1"/>
  <c r="AC717" i="113"/>
  <c r="AG717" i="113" s="1"/>
  <c r="AC418" i="113"/>
  <c r="AG418" i="113" s="1"/>
  <c r="AC2532" i="113"/>
  <c r="AG2532" i="113" s="1"/>
  <c r="AC398" i="113"/>
  <c r="AG398" i="113" s="1"/>
  <c r="AC1382" i="113"/>
  <c r="AG1382" i="113" s="1"/>
  <c r="AC2090" i="113"/>
  <c r="AG2090" i="113" s="1"/>
  <c r="AC1541" i="113"/>
  <c r="AG1541" i="113" s="1"/>
  <c r="AC1122" i="113"/>
  <c r="AG1122" i="113" s="1"/>
  <c r="AC1165" i="113"/>
  <c r="AG1165" i="113" s="1"/>
  <c r="AC9" i="113"/>
  <c r="AG9" i="113" s="1"/>
  <c r="AC1578" i="113"/>
  <c r="AG1578" i="113" s="1"/>
  <c r="AC220" i="113"/>
  <c r="AG220" i="113" s="1"/>
  <c r="AC432" i="113"/>
  <c r="AG432" i="113" s="1"/>
  <c r="AC1208" i="113"/>
  <c r="AG1208" i="113" s="1"/>
  <c r="AC635" i="113"/>
  <c r="AG635" i="113" s="1"/>
  <c r="AC1199" i="113"/>
  <c r="AG1199" i="113" s="1"/>
  <c r="AC491" i="113"/>
  <c r="AG491" i="113" s="1"/>
  <c r="AC2207" i="113"/>
  <c r="AG2207" i="113" s="1"/>
  <c r="AC70" i="113"/>
  <c r="AG70" i="113" s="1"/>
  <c r="AC1043" i="113"/>
  <c r="AG1043" i="113" s="1"/>
  <c r="AC737" i="113"/>
  <c r="AG737" i="113" s="1"/>
  <c r="AC2132" i="113"/>
  <c r="AG2132" i="113" s="1"/>
  <c r="AC1145" i="113"/>
  <c r="AG1145" i="113" s="1"/>
  <c r="AC1439" i="113"/>
  <c r="AG1439" i="113" s="1"/>
  <c r="AC1481" i="113"/>
  <c r="AG1481" i="113" s="1"/>
  <c r="AC865" i="113"/>
  <c r="AG865" i="113" s="1"/>
  <c r="AC817" i="113"/>
  <c r="AG817" i="113" s="1"/>
  <c r="AC65" i="113"/>
  <c r="AG65" i="113" s="1"/>
  <c r="AC1699" i="113"/>
  <c r="AG1699" i="113" s="1"/>
  <c r="AC2426" i="113"/>
  <c r="AG2426" i="113" s="1"/>
  <c r="AC19" i="113"/>
  <c r="AG19" i="113" s="1"/>
  <c r="AC1722" i="113"/>
  <c r="AG1722" i="113" s="1"/>
  <c r="AC2120" i="113"/>
  <c r="AG2120" i="113" s="1"/>
  <c r="AC600" i="113"/>
  <c r="AG600" i="113" s="1"/>
  <c r="AC778" i="113"/>
  <c r="AG778" i="113" s="1"/>
  <c r="AC2558" i="113"/>
  <c r="AG2558" i="113" s="1"/>
  <c r="AC561" i="113"/>
  <c r="AG561" i="113" s="1"/>
  <c r="AC2083" i="113"/>
  <c r="AG2083" i="113" s="1"/>
  <c r="AC178" i="113"/>
  <c r="AG178" i="113" s="1"/>
  <c r="AC1266" i="113"/>
  <c r="AG1266" i="113" s="1"/>
  <c r="AC114" i="113"/>
  <c r="AG114" i="113" s="1"/>
  <c r="AC262" i="113"/>
  <c r="AG262" i="113" s="1"/>
  <c r="AC796" i="113"/>
  <c r="AG796" i="113" s="1"/>
  <c r="AC2530" i="113"/>
  <c r="AG2530" i="113" s="1"/>
  <c r="AC2577" i="113"/>
  <c r="AG2577" i="113" s="1"/>
  <c r="AC234" i="113"/>
  <c r="AG234" i="113" s="1"/>
  <c r="AC1909" i="113"/>
  <c r="AG1909" i="113" s="1"/>
  <c r="AC2356" i="113"/>
  <c r="AG2356" i="113" s="1"/>
  <c r="AC384" i="113"/>
  <c r="AG384" i="113" s="1"/>
  <c r="AC992" i="113"/>
  <c r="AG992" i="113" s="1"/>
  <c r="AC1269" i="113"/>
  <c r="AG1269" i="113" s="1"/>
  <c r="AC887" i="113"/>
  <c r="AG887" i="113" s="1"/>
  <c r="AC2221" i="113"/>
  <c r="AG2221" i="113" s="1"/>
  <c r="AC185" i="113"/>
  <c r="AG185" i="113" s="1"/>
  <c r="AC14" i="113"/>
  <c r="AG14" i="113" s="1"/>
  <c r="AC1320" i="113"/>
  <c r="AG1320" i="113" s="1"/>
  <c r="AC425" i="113"/>
  <c r="AG425" i="113" s="1"/>
  <c r="AC1129" i="113"/>
  <c r="AG1129" i="113" s="1"/>
  <c r="AC730" i="113"/>
  <c r="AG730" i="113" s="1"/>
  <c r="AC935" i="113"/>
  <c r="AG935" i="113" s="1"/>
  <c r="AC348" i="113"/>
  <c r="AG348" i="113" s="1"/>
  <c r="AC1411" i="113"/>
  <c r="AG1411" i="113" s="1"/>
  <c r="AC1546" i="113"/>
  <c r="AG1546" i="113" s="1"/>
  <c r="AC1987" i="113"/>
  <c r="AG1987" i="113" s="1"/>
  <c r="AC2192" i="113"/>
  <c r="AG2192" i="113" s="1"/>
  <c r="AC1989" i="113"/>
  <c r="AG1989" i="113" s="1"/>
  <c r="AC1389" i="113"/>
  <c r="AG1389" i="113" s="1"/>
  <c r="AC1123" i="113"/>
  <c r="AG1123" i="113" s="1"/>
  <c r="AC2273" i="113"/>
  <c r="AG2273" i="113" s="1"/>
  <c r="AC2143" i="113"/>
  <c r="AG2143" i="113" s="1"/>
  <c r="AC1564" i="113"/>
  <c r="AG1564" i="113" s="1"/>
  <c r="AC355" i="113"/>
  <c r="AG355" i="113" s="1"/>
  <c r="AC2018" i="113"/>
  <c r="AG2018" i="113" s="1"/>
  <c r="AC1448" i="113"/>
  <c r="AG1448" i="113" s="1"/>
  <c r="AC1685" i="113"/>
  <c r="AG1685" i="113" s="1"/>
  <c r="AC354" i="113"/>
  <c r="AG354" i="113" s="1"/>
  <c r="AC690" i="113"/>
  <c r="AG690" i="113" s="1"/>
  <c r="AC626" i="113"/>
  <c r="AG626" i="113" s="1"/>
  <c r="AC325" i="113"/>
  <c r="AG325" i="113" s="1"/>
  <c r="AC524" i="113"/>
  <c r="AG524" i="113" s="1"/>
  <c r="AC1781" i="113"/>
  <c r="AG1781" i="113" s="1"/>
  <c r="AC648" i="113"/>
  <c r="AG648" i="113" s="1"/>
  <c r="AC397" i="113"/>
  <c r="AG397" i="113" s="1"/>
  <c r="AC1445" i="113"/>
  <c r="AG1445" i="113" s="1"/>
  <c r="AC1635" i="113"/>
  <c r="AG1635" i="113" s="1"/>
  <c r="AC13" i="113"/>
  <c r="AG13" i="113" s="1"/>
  <c r="AC900" i="113"/>
  <c r="AG900" i="113" s="1"/>
  <c r="AC1080" i="113"/>
  <c r="AG1080" i="113" s="1"/>
  <c r="AC1392" i="113"/>
  <c r="AG1392" i="113" s="1"/>
  <c r="AC2443" i="113"/>
  <c r="AG2443" i="113" s="1"/>
  <c r="AC1408" i="113"/>
  <c r="AG1408" i="113" s="1"/>
  <c r="AC2340" i="113"/>
  <c r="AG2340" i="113" s="1"/>
  <c r="AC2183" i="113"/>
  <c r="AG2183" i="113" s="1"/>
  <c r="AC1720" i="113"/>
  <c r="AG1720" i="113" s="1"/>
  <c r="AC551" i="113"/>
  <c r="AG551" i="113" s="1"/>
  <c r="AC2174" i="113"/>
  <c r="AG2174" i="113" s="1"/>
  <c r="AC1734" i="113"/>
  <c r="AG1734" i="113" s="1"/>
  <c r="AC1394" i="113"/>
  <c r="AG1394" i="113" s="1"/>
  <c r="AC66" i="113"/>
  <c r="AG66" i="113" s="1"/>
  <c r="AC1674" i="113"/>
  <c r="AG1674" i="113" s="1"/>
  <c r="AC2053" i="113"/>
  <c r="AG2053" i="113" s="1"/>
  <c r="AC1441" i="113"/>
  <c r="AG1441" i="113" s="1"/>
  <c r="AC631" i="113"/>
  <c r="AG631" i="113" s="1"/>
  <c r="AC454" i="113"/>
  <c r="AG454" i="113" s="1"/>
  <c r="AC2045" i="113"/>
  <c r="AG2045" i="113" s="1"/>
  <c r="AC540" i="113"/>
  <c r="AG540" i="113" s="1"/>
  <c r="AC1152" i="113"/>
  <c r="AG1152" i="113" s="1"/>
  <c r="AC393" i="113"/>
  <c r="AG393" i="113" s="1"/>
  <c r="AC1953" i="113"/>
  <c r="AG1953" i="113" s="1"/>
  <c r="AC320" i="113"/>
  <c r="AG320" i="113" s="1"/>
  <c r="AC2545" i="113"/>
  <c r="AG2545" i="113" s="1"/>
  <c r="AC701" i="113"/>
  <c r="AG701" i="113" s="1"/>
  <c r="AC2157" i="113"/>
  <c r="AG2157" i="113" s="1"/>
  <c r="AC372" i="113"/>
  <c r="AG372" i="113" s="1"/>
  <c r="AC241" i="113"/>
  <c r="AG241" i="113" s="1"/>
  <c r="AC801" i="113"/>
  <c r="AG801" i="113" s="1"/>
  <c r="AC638" i="113"/>
  <c r="AG638" i="113" s="1"/>
  <c r="AC1743" i="113"/>
  <c r="AG1743" i="113" s="1"/>
  <c r="AC1089" i="113"/>
  <c r="AG1089" i="113" s="1"/>
  <c r="AC1158" i="113"/>
  <c r="AG1158" i="113" s="1"/>
  <c r="AC1853" i="113"/>
  <c r="AG1853" i="113" s="1"/>
  <c r="AC963" i="113"/>
  <c r="AG963" i="113" s="1"/>
  <c r="AC1616" i="113"/>
  <c r="AG1616" i="113" s="1"/>
  <c r="AC107" i="113"/>
  <c r="AG107" i="113" s="1"/>
  <c r="AC1228" i="113"/>
  <c r="AG1228" i="113" s="1"/>
  <c r="AC2050" i="113"/>
  <c r="AG2050" i="113" s="1"/>
  <c r="AC683" i="113"/>
  <c r="AG683" i="113" s="1"/>
  <c r="AC519" i="113"/>
  <c r="AG519" i="113" s="1"/>
  <c r="AC617" i="113"/>
  <c r="AG617" i="113" s="1"/>
  <c r="AC370" i="113"/>
  <c r="AG370" i="113" s="1"/>
  <c r="AC1997" i="113"/>
  <c r="AG1997" i="113" s="1"/>
  <c r="AC386" i="113"/>
  <c r="AG386" i="113" s="1"/>
  <c r="AC558" i="113"/>
  <c r="AG558" i="113" s="1"/>
  <c r="AC1157" i="113"/>
  <c r="AG1157" i="113" s="1"/>
  <c r="AC2660" i="113"/>
  <c r="AG2660" i="113" s="1"/>
  <c r="AC1807" i="113"/>
  <c r="AG1807" i="113" s="1"/>
  <c r="AC1571" i="113"/>
  <c r="AG1571" i="113" s="1"/>
  <c r="AC1790" i="113"/>
  <c r="AG1790" i="113" s="1"/>
  <c r="AC1701" i="113"/>
  <c r="AG1701" i="113" s="1"/>
  <c r="AC1092" i="113"/>
  <c r="AG1092" i="113" s="1"/>
  <c r="AC2616" i="113"/>
  <c r="AG2616" i="113" s="1"/>
  <c r="AC872" i="113"/>
  <c r="AG872" i="113" s="1"/>
  <c r="AC1804" i="113"/>
  <c r="AG1804" i="113" s="1"/>
  <c r="AC788" i="113"/>
  <c r="AG788" i="113" s="1"/>
  <c r="AC1305" i="113"/>
  <c r="AG1305" i="113" s="1"/>
  <c r="AC414" i="113"/>
  <c r="AG414" i="113" s="1"/>
  <c r="AC873" i="113"/>
  <c r="AG873" i="113" s="1"/>
  <c r="AC2626" i="113"/>
  <c r="AG2626" i="113" s="1"/>
  <c r="AC82" i="113"/>
  <c r="AG82" i="113" s="1"/>
  <c r="AC1159" i="113"/>
  <c r="AG1159" i="113" s="1"/>
  <c r="AC1020" i="113"/>
  <c r="AG1020" i="113" s="1"/>
  <c r="AC782" i="113"/>
  <c r="AG782" i="113" s="1"/>
  <c r="AC739" i="113"/>
  <c r="AG739" i="113" s="1"/>
  <c r="AC601" i="113"/>
  <c r="AG601" i="113" s="1"/>
  <c r="AC1054" i="113"/>
  <c r="AG1054" i="113" s="1"/>
  <c r="AC412" i="113"/>
  <c r="AG412" i="113" s="1"/>
  <c r="AC984" i="113"/>
  <c r="AG984" i="113" s="1"/>
  <c r="AC1193" i="113"/>
  <c r="AG1193" i="113" s="1"/>
  <c r="AC98" i="113"/>
  <c r="AG98" i="113" s="1"/>
  <c r="AC1106" i="113"/>
  <c r="AG1106" i="113" s="1"/>
  <c r="AC700" i="113"/>
  <c r="AG700" i="113" s="1"/>
  <c r="AC1473" i="113"/>
  <c r="AG1473" i="113" s="1"/>
  <c r="AC1039" i="113"/>
  <c r="AG1039" i="113" s="1"/>
  <c r="T780" i="113"/>
  <c r="W780" i="113" s="1"/>
  <c r="Y780" i="113" s="1"/>
  <c r="AC780" i="113" s="1"/>
  <c r="AG780" i="113" s="1"/>
  <c r="T1906" i="113"/>
  <c r="T2252" i="113"/>
  <c r="T1543" i="113"/>
  <c r="T541" i="113"/>
  <c r="T1040" i="113"/>
  <c r="T1836" i="113"/>
  <c r="T1013" i="113"/>
  <c r="T167" i="113"/>
  <c r="T2657" i="113"/>
  <c r="Z428" i="113"/>
  <c r="Z197" i="113"/>
  <c r="Z796" i="113"/>
  <c r="Z1670" i="113"/>
  <c r="Z453" i="113"/>
  <c r="Z2136" i="113"/>
  <c r="Z1497" i="113"/>
  <c r="Z1407" i="113"/>
  <c r="Z515" i="113"/>
  <c r="Z970" i="113"/>
  <c r="Z139" i="113"/>
  <c r="Z293" i="113"/>
  <c r="Z1247" i="113"/>
  <c r="Z493" i="113"/>
  <c r="Z866" i="113"/>
  <c r="Z2388" i="113"/>
  <c r="Z1483" i="113"/>
  <c r="Z936" i="113"/>
  <c r="Z1921" i="113"/>
  <c r="Z2042" i="113"/>
  <c r="Z791" i="113"/>
  <c r="Z239" i="113"/>
  <c r="Z273" i="113"/>
  <c r="Z38" i="113"/>
  <c r="Z199" i="113"/>
  <c r="Z1590" i="113"/>
  <c r="Z330" i="113"/>
  <c r="Z2188" i="113"/>
  <c r="Z998" i="113"/>
  <c r="Z1283" i="113"/>
  <c r="Z144" i="113"/>
  <c r="Z1874" i="113"/>
  <c r="Z256" i="113"/>
  <c r="Z1335" i="113"/>
  <c r="Z1278" i="113"/>
  <c r="Z853" i="113"/>
  <c r="Z6" i="113"/>
  <c r="Z1820" i="113"/>
  <c r="Z21" i="113"/>
  <c r="Z1905" i="113"/>
  <c r="Z2665" i="113"/>
  <c r="Z522" i="113"/>
  <c r="Z1650" i="113"/>
  <c r="Z249" i="113"/>
  <c r="Z2576" i="113"/>
  <c r="Z680" i="113"/>
  <c r="Z1890" i="113"/>
  <c r="Z556" i="113"/>
  <c r="Z1161" i="113"/>
  <c r="Z2419" i="113"/>
  <c r="Z371" i="113"/>
  <c r="Z423" i="113"/>
  <c r="Z80" i="113"/>
  <c r="Z1618" i="113"/>
  <c r="Z1422" i="113"/>
  <c r="Z1718" i="113"/>
  <c r="Z2238" i="113"/>
  <c r="Z2458" i="113"/>
  <c r="Z192" i="113"/>
  <c r="Z1042" i="113"/>
  <c r="Z1162" i="113"/>
  <c r="Z1676" i="113"/>
  <c r="Z1952" i="113"/>
  <c r="Z1960" i="113"/>
  <c r="Z2150" i="113"/>
  <c r="Z1065" i="113"/>
  <c r="Z768" i="113"/>
  <c r="Z311" i="113"/>
  <c r="Z1201" i="113"/>
  <c r="Z614" i="113"/>
  <c r="Z461" i="113"/>
  <c r="Z1629" i="113"/>
  <c r="Z904" i="113"/>
  <c r="Z341" i="113"/>
  <c r="Z937" i="113"/>
  <c r="Z1698" i="113"/>
  <c r="Z752" i="113"/>
  <c r="Z2025" i="113"/>
  <c r="Z886" i="113"/>
  <c r="Z2108" i="113"/>
  <c r="Z244" i="113"/>
  <c r="Z2309" i="113"/>
  <c r="Z1886" i="113"/>
  <c r="Z1545" i="113"/>
  <c r="Z1917" i="113"/>
  <c r="Z836" i="113"/>
  <c r="Z1636" i="113"/>
  <c r="Z11" i="113"/>
  <c r="Z929" i="113"/>
  <c r="Z1289" i="113"/>
  <c r="Z91" i="113"/>
  <c r="Z301" i="113"/>
  <c r="Z435" i="113"/>
  <c r="Z641" i="113"/>
  <c r="Z653" i="113"/>
  <c r="Z1962" i="113"/>
  <c r="Z952" i="113"/>
  <c r="Z1074" i="113"/>
  <c r="Z1211" i="113"/>
  <c r="Z1955" i="113"/>
  <c r="Z579" i="113"/>
  <c r="Z1602" i="113"/>
  <c r="Z2668" i="113"/>
  <c r="Z1573" i="113"/>
  <c r="Z1739" i="113"/>
  <c r="Z1189" i="113"/>
  <c r="Z1791" i="113"/>
  <c r="Z655" i="113"/>
  <c r="Z1061" i="113"/>
  <c r="Z1253" i="113"/>
  <c r="Z1697" i="113"/>
  <c r="Z1055" i="113"/>
  <c r="Z808" i="113"/>
  <c r="Z2023" i="113"/>
  <c r="Z2059" i="113"/>
  <c r="Z1091" i="113"/>
  <c r="Z1737" i="113"/>
  <c r="Z1073" i="113"/>
  <c r="Z1324" i="113"/>
  <c r="Z2653" i="113"/>
  <c r="Z1467" i="113"/>
  <c r="Z1501" i="113"/>
  <c r="Z460" i="113"/>
  <c r="Z1835" i="113"/>
  <c r="Z349" i="113"/>
  <c r="Z1812" i="113"/>
  <c r="Z1940" i="113"/>
  <c r="Z2088" i="113"/>
  <c r="Z918" i="113"/>
  <c r="Z71" i="113"/>
  <c r="Z1265" i="113"/>
  <c r="Z302" i="113"/>
  <c r="Z2370" i="113"/>
  <c r="Z1207" i="113"/>
  <c r="Z657" i="113"/>
  <c r="Z1514" i="113"/>
  <c r="Z513" i="113"/>
  <c r="Z1628" i="113"/>
  <c r="Z363" i="113"/>
  <c r="Z2163" i="113"/>
  <c r="Z1361" i="113"/>
  <c r="Z323" i="113"/>
  <c r="Z1751" i="113"/>
  <c r="Z572" i="113"/>
  <c r="Z331" i="113"/>
  <c r="Z1715" i="113"/>
  <c r="Z802" i="113"/>
  <c r="Z734" i="113"/>
  <c r="Z530" i="113"/>
  <c r="Z327" i="113"/>
  <c r="Z555" i="113"/>
  <c r="Z905" i="113"/>
  <c r="Z623" i="113"/>
  <c r="Z717" i="113"/>
  <c r="Z1518" i="113"/>
  <c r="Z1069" i="113"/>
  <c r="Z187" i="113"/>
  <c r="Z369" i="113"/>
  <c r="Z2454" i="113"/>
  <c r="Z259" i="113"/>
  <c r="Z45" i="113"/>
  <c r="Z1030" i="113"/>
  <c r="Z488" i="113"/>
  <c r="Z2010" i="113"/>
  <c r="Z262" i="113"/>
  <c r="Z1486" i="113"/>
  <c r="Z291" i="113"/>
  <c r="Z2008" i="113"/>
  <c r="Z207" i="113"/>
  <c r="Z418" i="113"/>
  <c r="Z1018" i="113"/>
  <c r="Z2303" i="113"/>
  <c r="Z1035" i="113"/>
  <c r="Z2532" i="113"/>
  <c r="Z184" i="113"/>
  <c r="Z1140" i="113"/>
  <c r="Z398" i="113"/>
  <c r="Z996" i="113"/>
  <c r="Z811" i="113"/>
  <c r="Z2011" i="113"/>
  <c r="Z1677" i="113"/>
  <c r="Z2294" i="113"/>
  <c r="Z731" i="113"/>
  <c r="Z1382" i="113"/>
  <c r="Z1294" i="113"/>
  <c r="Z550" i="113"/>
  <c r="Z2090" i="113"/>
  <c r="Z1541" i="113"/>
  <c r="Z1126" i="113"/>
  <c r="Z1399" i="113"/>
  <c r="Z1993" i="113"/>
  <c r="Z2427" i="113"/>
  <c r="Z651" i="113"/>
  <c r="Z756" i="113"/>
  <c r="Z2137" i="113"/>
  <c r="Z685" i="113"/>
  <c r="Z2283" i="113"/>
  <c r="Z1122" i="113"/>
  <c r="Z1165" i="113"/>
  <c r="Z1175" i="113"/>
  <c r="Z1779" i="113"/>
  <c r="Z9" i="113"/>
  <c r="Z1578" i="113"/>
  <c r="Z231" i="113"/>
  <c r="Z1815" i="113"/>
  <c r="Z1517" i="113"/>
  <c r="Z1346" i="113"/>
  <c r="Z1135" i="113"/>
  <c r="Z220" i="113"/>
  <c r="Z2279" i="113"/>
  <c r="Z1854" i="113"/>
  <c r="Z1873" i="113"/>
  <c r="Z720" i="113"/>
  <c r="Z1943" i="113"/>
  <c r="Z629" i="113"/>
  <c r="Z225" i="113"/>
  <c r="Z1187" i="113"/>
  <c r="Z667" i="113"/>
  <c r="Z432" i="113"/>
  <c r="Z158" i="113"/>
  <c r="Z1208" i="113"/>
  <c r="Z422" i="113"/>
  <c r="Z1443" i="113"/>
  <c r="Z856" i="113"/>
  <c r="Z654" i="113"/>
  <c r="Z815" i="113"/>
  <c r="Z926" i="113"/>
  <c r="Z274" i="113"/>
  <c r="Z1099" i="113"/>
  <c r="Z724" i="113"/>
  <c r="Z1496" i="113"/>
  <c r="Z1682" i="113"/>
  <c r="Z635" i="113"/>
  <c r="Z1199" i="113"/>
  <c r="Z1295" i="113"/>
  <c r="Z491" i="113"/>
  <c r="Z2091" i="113"/>
  <c r="Z321" i="113"/>
  <c r="Z1258" i="113"/>
  <c r="Z2280" i="113"/>
  <c r="Z576" i="113"/>
  <c r="Z2207" i="113"/>
  <c r="Z70" i="113"/>
  <c r="Z1043" i="113"/>
  <c r="Z162" i="113"/>
  <c r="Z737" i="113"/>
  <c r="Z2132" i="113"/>
  <c r="Z2397" i="113"/>
  <c r="Z2452" i="113"/>
  <c r="Z328" i="113"/>
  <c r="Z974" i="113"/>
  <c r="Z1587" i="113"/>
  <c r="Z1145" i="113"/>
  <c r="Z326" i="113"/>
  <c r="Z923" i="113"/>
  <c r="Z1379" i="113"/>
  <c r="Z194" i="113"/>
  <c r="Z2485" i="113"/>
  <c r="Z1439" i="113"/>
  <c r="Z1481" i="113"/>
  <c r="Z865" i="113"/>
  <c r="Z1856" i="113"/>
  <c r="Z458" i="113"/>
  <c r="Z76" i="113"/>
  <c r="Z394" i="113"/>
  <c r="Z817" i="113"/>
  <c r="Z65" i="113"/>
  <c r="Z1699" i="113"/>
  <c r="Z542" i="113"/>
  <c r="Z2426" i="113"/>
  <c r="Z761" i="113"/>
  <c r="Z766" i="113"/>
  <c r="Z1409" i="113"/>
  <c r="Z19" i="113"/>
  <c r="Z1980" i="113"/>
  <c r="Z134" i="113"/>
  <c r="Z1722" i="113"/>
  <c r="Z632" i="113"/>
  <c r="Z1146" i="113"/>
  <c r="Z2561" i="113"/>
  <c r="Z2654" i="113"/>
  <c r="Z87" i="113"/>
  <c r="Z2120" i="113"/>
  <c r="Z500" i="113"/>
  <c r="Z1373" i="113"/>
  <c r="Z627" i="113"/>
  <c r="Z564" i="113"/>
  <c r="Z1004" i="113"/>
  <c r="Z600" i="113"/>
  <c r="Z878" i="113"/>
  <c r="Z778" i="113"/>
  <c r="Z695" i="113"/>
  <c r="Z570" i="113"/>
  <c r="Z1961" i="113"/>
  <c r="Z111" i="113"/>
  <c r="Z95" i="113"/>
  <c r="Z1142" i="113"/>
  <c r="Z1087" i="113"/>
  <c r="Z2530" i="113"/>
  <c r="Z218" i="113"/>
  <c r="Z1177" i="113"/>
  <c r="Z2139" i="113"/>
  <c r="Z2004" i="113"/>
  <c r="Z2179" i="113"/>
  <c r="Z986" i="113"/>
  <c r="Z1953" i="113"/>
  <c r="Z524" i="113"/>
  <c r="Z1860" i="113"/>
  <c r="Z880" i="113"/>
  <c r="Z320" i="113"/>
  <c r="Z413" i="113"/>
  <c r="Z1320" i="113"/>
  <c r="Z471" i="113"/>
  <c r="Z226" i="113"/>
  <c r="Z1781" i="113"/>
  <c r="Z2577" i="113"/>
  <c r="Z648" i="113"/>
  <c r="Z1105" i="113"/>
  <c r="Z39" i="113"/>
  <c r="Z113" i="113"/>
  <c r="Z1225" i="113"/>
  <c r="Z2074" i="113"/>
  <c r="Z1303" i="113"/>
  <c r="Z425" i="113"/>
  <c r="Z933" i="113"/>
  <c r="Z397" i="113"/>
  <c r="Z1100" i="113"/>
  <c r="Z234" i="113"/>
  <c r="Z99" i="113"/>
  <c r="Z2545" i="113"/>
  <c r="Z1445" i="113"/>
  <c r="Z1635" i="113"/>
  <c r="Z88" i="113"/>
  <c r="Z972" i="113"/>
  <c r="Z701" i="113"/>
  <c r="Z272" i="113"/>
  <c r="Z741" i="113"/>
  <c r="Z950" i="113"/>
  <c r="Z13" i="113"/>
  <c r="Z882" i="113"/>
  <c r="Z1983" i="113"/>
  <c r="Z85" i="113"/>
  <c r="Z560" i="113"/>
  <c r="Z2574" i="113"/>
  <c r="Z1499" i="113"/>
  <c r="Z2128" i="113"/>
  <c r="Z1909" i="113"/>
  <c r="Z916" i="113"/>
  <c r="Z1302" i="113"/>
  <c r="Z316" i="113"/>
  <c r="Z900" i="113"/>
  <c r="Z2356" i="113"/>
  <c r="Z1080" i="113"/>
  <c r="Z775" i="113"/>
  <c r="Z1474" i="113"/>
  <c r="Z384" i="113"/>
  <c r="Z2509" i="113"/>
  <c r="Z1392" i="113"/>
  <c r="Z1139" i="113"/>
  <c r="Z63" i="113"/>
  <c r="Z992" i="113"/>
  <c r="Z755" i="113"/>
  <c r="Z514" i="113"/>
  <c r="Z1129" i="113"/>
  <c r="Z730" i="113"/>
  <c r="Z1456" i="113"/>
  <c r="Z1600" i="113"/>
  <c r="Z1008" i="113"/>
  <c r="Z2063" i="113"/>
  <c r="Z694" i="113"/>
  <c r="Z684" i="113"/>
  <c r="Z1019" i="113"/>
  <c r="Z421" i="113"/>
  <c r="Z93" i="113"/>
  <c r="Z2383" i="113"/>
  <c r="Z334" i="113"/>
  <c r="Z2019" i="113"/>
  <c r="Z2191" i="113"/>
  <c r="Z2036" i="113"/>
  <c r="Z2122" i="113"/>
  <c r="Z411" i="113"/>
  <c r="Z1025" i="113"/>
  <c r="Z803" i="113"/>
  <c r="Z935" i="113"/>
  <c r="Z1803" i="113"/>
  <c r="Z348" i="113"/>
  <c r="Z1411" i="113"/>
  <c r="Z1822" i="113"/>
  <c r="Z1546" i="113"/>
  <c r="Z457" i="113"/>
  <c r="Z1248" i="113"/>
  <c r="Z1819" i="113"/>
  <c r="Z1669" i="113"/>
  <c r="Z672" i="113"/>
  <c r="Z1987" i="113"/>
  <c r="Z2192" i="113"/>
  <c r="Z1765" i="113"/>
  <c r="Z1989" i="113"/>
  <c r="Z4" i="113"/>
  <c r="Z31" i="113"/>
  <c r="Z1389" i="113"/>
  <c r="Z1123" i="113"/>
  <c r="Z584" i="113"/>
  <c r="Z2273" i="113"/>
  <c r="Z2143" i="113"/>
  <c r="Z1564" i="113"/>
  <c r="Z1120" i="113"/>
  <c r="Z355" i="113"/>
  <c r="Z2018" i="113"/>
  <c r="Z1448" i="113"/>
  <c r="Z721" i="113"/>
  <c r="Z2210" i="113"/>
  <c r="Z783" i="113"/>
  <c r="Z1685" i="113"/>
  <c r="Z1938" i="113"/>
  <c r="Z699" i="113"/>
  <c r="Z472" i="113"/>
  <c r="Z354" i="113"/>
  <c r="Z690" i="113"/>
  <c r="Z317" i="113"/>
  <c r="Z626" i="113"/>
  <c r="Z325" i="113"/>
  <c r="Z1880" i="113"/>
  <c r="Z20" i="113"/>
  <c r="Z625" i="113"/>
  <c r="Z897" i="113"/>
  <c r="Z691" i="113"/>
  <c r="Z990" i="113"/>
  <c r="Z574" i="113"/>
  <c r="Z1157" i="113"/>
  <c r="Z2165" i="113"/>
  <c r="Z995" i="113"/>
  <c r="Z109" i="113"/>
  <c r="Z1605" i="113"/>
  <c r="Z2660" i="113"/>
  <c r="Z2443" i="113"/>
  <c r="Z1716" i="113"/>
  <c r="Z1174" i="113"/>
  <c r="Z1355" i="113"/>
  <c r="Z1712" i="113"/>
  <c r="Z772" i="113"/>
  <c r="Z1702" i="113"/>
  <c r="Z1360" i="113"/>
  <c r="Z1638" i="113"/>
  <c r="Z1615" i="113"/>
  <c r="Z1807" i="113"/>
  <c r="Z1408" i="113"/>
  <c r="Z1604" i="113"/>
  <c r="Z222" i="113"/>
  <c r="Z805" i="113"/>
  <c r="Z1562" i="113"/>
  <c r="Z1571" i="113"/>
  <c r="Z18" i="113"/>
  <c r="Z2340" i="113"/>
  <c r="Z2193" i="113"/>
  <c r="Z2183" i="113"/>
  <c r="Z1790" i="113"/>
  <c r="Z1412" i="113"/>
  <c r="Z53" i="113"/>
  <c r="Z1701" i="113"/>
  <c r="Z1092" i="113"/>
  <c r="Z1926" i="113"/>
  <c r="Z834" i="113"/>
  <c r="Z1720" i="113"/>
  <c r="Z618" i="113"/>
  <c r="Z551" i="113"/>
  <c r="Z161" i="113"/>
  <c r="Z804" i="113"/>
  <c r="Z2408" i="113"/>
  <c r="Z2174" i="113"/>
  <c r="Z406" i="113"/>
  <c r="Z1734" i="113"/>
  <c r="Z1394" i="113"/>
  <c r="Z1141" i="113"/>
  <c r="Z66" i="113"/>
  <c r="Z2070" i="113"/>
  <c r="Z1118" i="113"/>
  <c r="Z1674" i="113"/>
  <c r="Z2053" i="113"/>
  <c r="Z1441" i="113"/>
  <c r="Z1205" i="113"/>
  <c r="Z631" i="113"/>
  <c r="Z454" i="113"/>
  <c r="Z794" i="113"/>
  <c r="Z1366" i="113"/>
  <c r="Z2531" i="113"/>
  <c r="Z1434" i="113"/>
  <c r="Z665" i="113"/>
  <c r="Z2077" i="113"/>
  <c r="Z2073" i="113"/>
  <c r="Z186" i="113"/>
  <c r="Z1137" i="113"/>
  <c r="Z965" i="113"/>
  <c r="Z1188" i="113"/>
  <c r="Z1934" i="113"/>
  <c r="Z971" i="113"/>
  <c r="Z284" i="113"/>
  <c r="Z2119" i="113"/>
  <c r="Z790" i="113"/>
  <c r="Z703" i="113"/>
  <c r="Z852" i="113"/>
  <c r="Z1152" i="113"/>
  <c r="Z250" i="113"/>
  <c r="Z2620" i="113"/>
  <c r="Z298" i="113"/>
  <c r="Z1154" i="113"/>
  <c r="Z652" i="113"/>
  <c r="Z2157" i="113"/>
  <c r="Z1805" i="113"/>
  <c r="Z372" i="113"/>
  <c r="Z2585" i="113"/>
  <c r="Z241" i="113"/>
  <c r="Z553" i="113"/>
  <c r="Z585" i="113"/>
  <c r="Z801" i="113"/>
  <c r="Z638" i="113"/>
  <c r="Z1743" i="113"/>
  <c r="Z104" i="113"/>
  <c r="Z1510" i="113"/>
  <c r="Z2020" i="113"/>
  <c r="Z436" i="113"/>
  <c r="Z1282" i="113"/>
  <c r="Z1774" i="113"/>
  <c r="Z1089" i="113"/>
  <c r="Z1158" i="113"/>
  <c r="Z1156" i="113"/>
  <c r="Z1853" i="113"/>
  <c r="Z1372" i="113"/>
  <c r="Z963" i="113"/>
  <c r="Z968" i="113"/>
  <c r="Z1616" i="113"/>
  <c r="Z107" i="113"/>
  <c r="Z1228" i="113"/>
  <c r="Z2050" i="113"/>
  <c r="Z366" i="113"/>
  <c r="Z126" i="113"/>
  <c r="Z683" i="113"/>
  <c r="Z954" i="113"/>
  <c r="Z55" i="113"/>
  <c r="Z519" i="113"/>
  <c r="Z1470" i="113"/>
  <c r="Z789" i="113"/>
  <c r="Z617" i="113"/>
  <c r="Z370" i="113"/>
  <c r="Z1997" i="113"/>
  <c r="Z1907" i="113"/>
  <c r="Z1713" i="113"/>
  <c r="Z751" i="113"/>
  <c r="Z1446" i="113"/>
  <c r="Z386" i="113"/>
  <c r="Z1667" i="113"/>
  <c r="Z840" i="113"/>
  <c r="Z558" i="113"/>
  <c r="Z543" i="113"/>
  <c r="Z934" i="113"/>
  <c r="Z714" i="113"/>
  <c r="Z1063" i="113"/>
  <c r="Z1567" i="113"/>
  <c r="Z1744" i="113"/>
  <c r="Z101" i="113"/>
  <c r="Z1619" i="113"/>
  <c r="Z989" i="113"/>
  <c r="Z459" i="113"/>
  <c r="Z1837" i="113"/>
  <c r="Z1433" i="113"/>
  <c r="Z583" i="113"/>
  <c r="Z1396" i="113"/>
  <c r="Z2616" i="113"/>
  <c r="Z387" i="113"/>
  <c r="Z872" i="113"/>
  <c r="Z1804" i="113"/>
  <c r="Z788" i="113"/>
  <c r="Z1305" i="113"/>
  <c r="Z2435" i="113"/>
  <c r="Z902" i="113"/>
  <c r="Z414" i="113"/>
  <c r="Z883" i="113"/>
  <c r="Z873" i="113"/>
  <c r="Z145" i="113"/>
  <c r="Z16" i="113"/>
  <c r="Z869" i="113"/>
  <c r="Z2626" i="113"/>
  <c r="Z1017" i="113"/>
  <c r="Z82" i="113"/>
  <c r="Z1500" i="113"/>
  <c r="Z1159" i="113"/>
  <c r="Z343" i="113"/>
  <c r="Z1817" i="113"/>
  <c r="Z1020" i="113"/>
  <c r="Z782" i="113"/>
  <c r="Z739" i="113"/>
  <c r="Z2039" i="113"/>
  <c r="Z601" i="113"/>
  <c r="Z771" i="113"/>
  <c r="Z1054" i="113"/>
  <c r="Z1281" i="113"/>
  <c r="Z412" i="113"/>
  <c r="Z763" i="113"/>
  <c r="Z2415" i="113"/>
  <c r="Z984" i="113"/>
  <c r="Z1526" i="113"/>
  <c r="Z1353" i="113"/>
  <c r="Z1193" i="113"/>
  <c r="Z1730" i="113"/>
  <c r="Z98" i="113"/>
  <c r="Z1845" i="113"/>
  <c r="Z1059" i="113"/>
  <c r="Z2436" i="113"/>
  <c r="Z1106" i="113"/>
  <c r="Z700" i="113"/>
  <c r="Z286" i="113"/>
  <c r="Z1328" i="113"/>
  <c r="Z1800" i="113"/>
  <c r="Z1597" i="113"/>
  <c r="Z219" i="113"/>
  <c r="Z1473" i="113"/>
  <c r="Z339" i="113"/>
  <c r="Z1072" i="113"/>
  <c r="Z1039" i="113"/>
  <c r="Z518" i="113"/>
  <c r="Z2021" i="113"/>
  <c r="Z1657" i="113"/>
  <c r="Z2246" i="113"/>
  <c r="Z1686" i="113"/>
  <c r="Z1271" i="113"/>
  <c r="Z190" i="113"/>
  <c r="Z183" i="113"/>
  <c r="Z982" i="113"/>
  <c r="Z1044" i="113"/>
  <c r="Z2045" i="113"/>
  <c r="Z1249" i="113"/>
  <c r="Z2558" i="113"/>
  <c r="Z1617" i="113"/>
  <c r="Z740" i="113"/>
  <c r="Z1476" i="113"/>
  <c r="Z2212" i="113"/>
  <c r="Z1460" i="113"/>
  <c r="Z260" i="113"/>
  <c r="Z561" i="113"/>
  <c r="Z1053" i="113"/>
  <c r="Z538" i="113"/>
  <c r="Z56" i="113"/>
  <c r="Z940" i="113"/>
  <c r="Z1269" i="113"/>
  <c r="Z1290" i="113"/>
  <c r="Z689" i="113"/>
  <c r="Z2341" i="113"/>
  <c r="Z887" i="113"/>
  <c r="Z540" i="113"/>
  <c r="Z58" i="113"/>
  <c r="Z2221" i="113"/>
  <c r="Z5" i="113"/>
  <c r="Z68" i="113"/>
  <c r="Z2083" i="113"/>
  <c r="Z885" i="113"/>
  <c r="Z1976" i="113"/>
  <c r="Z365" i="113"/>
  <c r="Z185" i="113"/>
  <c r="Z178" i="113"/>
  <c r="Z876" i="113"/>
  <c r="Z283" i="113"/>
  <c r="Z1266" i="113"/>
  <c r="Z14" i="113"/>
  <c r="Z1748" i="113"/>
  <c r="Z1088" i="113"/>
  <c r="Z1233" i="113"/>
  <c r="Z1512" i="113"/>
  <c r="Z1285" i="113"/>
  <c r="Z114" i="113"/>
  <c r="Z1794" i="113"/>
  <c r="Z1868" i="113"/>
  <c r="Z896" i="113"/>
  <c r="Z232" i="113"/>
  <c r="Z1246" i="113"/>
  <c r="Z1337" i="113"/>
  <c r="Z451" i="113"/>
  <c r="Z1505" i="113"/>
  <c r="Z521" i="113"/>
  <c r="Z1381" i="113"/>
  <c r="Z2334" i="113"/>
  <c r="Z1511" i="113"/>
  <c r="Z1603" i="113"/>
  <c r="Z1222" i="113"/>
  <c r="Z1323" i="113"/>
  <c r="Z1359" i="113"/>
  <c r="Z544" i="113"/>
  <c r="Z2674" i="113"/>
  <c r="Z1268" i="113"/>
  <c r="Z2125" i="113"/>
  <c r="Z1097" i="113"/>
  <c r="Z1910" i="113"/>
  <c r="Z1234" i="113"/>
  <c r="Z1749" i="113"/>
  <c r="Z844" i="113"/>
  <c r="Z1808" i="113"/>
  <c r="Z2173" i="113"/>
  <c r="Z1471" i="113"/>
  <c r="Z785" i="113"/>
  <c r="Z483" i="113"/>
  <c r="Z850" i="113"/>
  <c r="Z1109" i="113"/>
  <c r="Z548" i="113"/>
  <c r="Z400" i="113"/>
  <c r="Z1881" i="113"/>
  <c r="Z172" i="113"/>
  <c r="Z2327" i="113"/>
  <c r="Z117" i="113"/>
  <c r="Z2396" i="113"/>
  <c r="Z1464" i="113"/>
  <c r="Z2473" i="113"/>
  <c r="Z2253" i="113"/>
  <c r="Z1198" i="113"/>
  <c r="Z124" i="113"/>
  <c r="Z1806" i="113"/>
  <c r="Z602" i="113"/>
  <c r="Z1426" i="113"/>
  <c r="Z395" i="113"/>
  <c r="Z666" i="113"/>
  <c r="Z44" i="113"/>
  <c r="Z1182" i="113"/>
  <c r="Z891" i="113"/>
  <c r="Z2106" i="113"/>
  <c r="Z1166" i="113"/>
  <c r="Z1709" i="113"/>
  <c r="Z1349" i="113"/>
  <c r="Z2129" i="113"/>
  <c r="Z662" i="113"/>
  <c r="Z525" i="113"/>
  <c r="Z224" i="113"/>
  <c r="Z1711" i="113"/>
  <c r="Z248" i="113"/>
  <c r="Z1444" i="113"/>
  <c r="Z1006" i="113"/>
  <c r="Z2142" i="113"/>
  <c r="Z181" i="113"/>
  <c r="Z1575" i="113"/>
  <c r="Z1714" i="113"/>
  <c r="Z2015" i="113"/>
  <c r="Z857" i="113"/>
  <c r="Z523" i="113"/>
  <c r="Z83" i="113"/>
  <c r="Z702" i="113"/>
  <c r="Z473" i="113"/>
  <c r="Z681" i="113"/>
  <c r="Z2639" i="113"/>
  <c r="Z396" i="113"/>
  <c r="Z1871" i="113"/>
  <c r="Z300" i="113"/>
  <c r="Z279" i="113"/>
  <c r="Z2310" i="113"/>
  <c r="Z2082" i="113"/>
  <c r="Z420" i="113"/>
  <c r="Z1540" i="113"/>
  <c r="Z393" i="113"/>
  <c r="Z46" i="113"/>
  <c r="Z1568" i="113"/>
  <c r="Z2009" i="113"/>
  <c r="Z1767" i="113"/>
  <c r="Z2555" i="113"/>
  <c r="Z2323" i="113"/>
  <c r="Z1374" i="113"/>
  <c r="Z1920" i="113"/>
  <c r="Z430" i="113"/>
  <c r="Z816" i="113"/>
  <c r="Z2081" i="113"/>
  <c r="Z1889" i="113"/>
  <c r="Z1482" i="113"/>
  <c r="Z119" i="113"/>
  <c r="Z496" i="113"/>
  <c r="Z112" i="113"/>
  <c r="Z2517" i="113"/>
  <c r="Z1642" i="113"/>
  <c r="Z1390" i="113"/>
  <c r="Z304" i="113"/>
  <c r="Z431" i="113"/>
  <c r="Z1395" i="113"/>
  <c r="Z269" i="113"/>
  <c r="Z1084" i="113"/>
  <c r="Z429" i="113"/>
  <c r="Z1143" i="113"/>
  <c r="Z474" i="113"/>
  <c r="Z1924" i="113"/>
  <c r="Z381" i="113"/>
  <c r="Z191" i="113"/>
  <c r="Z81" i="113"/>
  <c r="Z1181" i="113"/>
  <c r="Z456" i="113"/>
  <c r="Z73" i="113"/>
  <c r="Z344" i="113"/>
  <c r="Z133" i="113"/>
  <c r="Z716" i="113"/>
  <c r="Z1775" i="113"/>
  <c r="Z160" i="113"/>
  <c r="Z1012" i="113"/>
  <c r="Z951" i="113"/>
  <c r="Z1116" i="113"/>
  <c r="Z1970" i="113"/>
  <c r="Z2469" i="113"/>
  <c r="Z1410" i="113"/>
  <c r="Z1994" i="113"/>
  <c r="Z1503" i="113"/>
  <c r="Z193" i="113"/>
  <c r="Z637" i="113"/>
  <c r="Z2248" i="113"/>
  <c r="Z1878" i="113"/>
  <c r="Z919" i="113"/>
  <c r="Z676" i="113"/>
  <c r="Z1085" i="113"/>
  <c r="T1032" i="113"/>
  <c r="W1032" i="113" s="1"/>
  <c r="Y1032" i="113" s="1"/>
  <c r="AC1032" i="113" s="1"/>
  <c r="AG1032" i="113" s="1"/>
  <c r="T1843" i="113"/>
  <c r="W1843" i="113" s="1"/>
  <c r="Y1843" i="113" s="1"/>
  <c r="AC1843" i="113" s="1"/>
  <c r="AG1843" i="113" s="1"/>
  <c r="T1196" i="113"/>
  <c r="W1196" i="113" s="1"/>
  <c r="Y1196" i="113" s="1"/>
  <c r="AC1196" i="113" s="1"/>
  <c r="AG1196" i="113" s="1"/>
  <c r="T1770" i="113"/>
  <c r="W1770" i="113" s="1"/>
  <c r="Y1770" i="113" s="1"/>
  <c r="AC1770" i="113" s="1"/>
  <c r="AG1770" i="113" s="1"/>
  <c r="T1096" i="113"/>
  <c r="W1096" i="113" s="1"/>
  <c r="Y1096" i="113" s="1"/>
  <c r="T1761" i="113"/>
  <c r="W1761" i="113" s="1"/>
  <c r="Y1761" i="113" s="1"/>
  <c r="AC1761" i="113" s="1"/>
  <c r="AG1761" i="113" s="1"/>
  <c r="T1450" i="113"/>
  <c r="W1450" i="113" s="1"/>
  <c r="Y1450" i="113" s="1"/>
  <c r="AC1450" i="113" s="1"/>
  <c r="AG1450" i="113" s="1"/>
  <c r="T1176" i="113"/>
  <c r="W1176" i="113" s="1"/>
  <c r="Y1176" i="113" s="1"/>
  <c r="AC1176" i="113" s="1"/>
  <c r="AG1176" i="113" s="1"/>
  <c r="T1661" i="113"/>
  <c r="W1661" i="113" s="1"/>
  <c r="Y1661" i="113" s="1"/>
  <c r="AC1661" i="113" s="1"/>
  <c r="AG1661" i="113" s="1"/>
  <c r="T781" i="113"/>
  <c r="W781" i="113" s="1"/>
  <c r="Y781" i="113" s="1"/>
  <c r="T710" i="113"/>
  <c r="W710" i="113" s="1"/>
  <c r="Y710" i="113" s="1"/>
  <c r="AC710" i="113" s="1"/>
  <c r="AG710" i="113" s="1"/>
  <c r="T407" i="113"/>
  <c r="W407" i="113" s="1"/>
  <c r="Y407" i="113" s="1"/>
  <c r="T1522" i="113"/>
  <c r="W1522" i="113" s="1"/>
  <c r="Y1522" i="113" s="1"/>
  <c r="T1212" i="113"/>
  <c r="W1212" i="113" s="1"/>
  <c r="Y1212" i="113" s="1"/>
  <c r="AC1212" i="113" s="1"/>
  <c r="AG1212" i="113" s="1"/>
  <c r="T1114" i="113"/>
  <c r="W1114" i="113" s="1"/>
  <c r="Y1114" i="113" s="1"/>
  <c r="AC1114" i="113" s="1"/>
  <c r="AG1114" i="113" s="1"/>
  <c r="T1979" i="113"/>
  <c r="W1979" i="113" s="1"/>
  <c r="Y1979" i="113" s="1"/>
  <c r="T2463" i="113"/>
  <c r="W2463" i="113" s="1"/>
  <c r="Y2463" i="113" s="1"/>
  <c r="AC2463" i="113" s="1"/>
  <c r="AG2463" i="113" s="1"/>
  <c r="T307" i="113"/>
  <c r="W307" i="113" s="1"/>
  <c r="Y307" i="113" s="1"/>
  <c r="AC307" i="113" s="1"/>
  <c r="AG307" i="113" s="1"/>
  <c r="T1023" i="113"/>
  <c r="W1023" i="113" s="1"/>
  <c r="Y1023" i="113" s="1"/>
  <c r="AC1023" i="113" s="1"/>
  <c r="AG1023" i="113" s="1"/>
  <c r="T582" i="113"/>
  <c r="T879" i="113"/>
  <c r="W879" i="113" s="1"/>
  <c r="Y879" i="113" s="1"/>
  <c r="T1255" i="113"/>
  <c r="W1255" i="113" s="1"/>
  <c r="Y1255" i="113" s="1"/>
  <c r="AC1255" i="113" s="1"/>
  <c r="AG1255" i="113" s="1"/>
  <c r="T1291" i="113"/>
  <c r="W1291" i="113" s="1"/>
  <c r="Y1291" i="113" s="1"/>
  <c r="T277" i="113"/>
  <c r="W277" i="113" s="1"/>
  <c r="Y277" i="113" s="1"/>
  <c r="AC277" i="113" s="1"/>
  <c r="AG277" i="113" s="1"/>
  <c r="T303" i="113"/>
  <c r="W303" i="113" s="1"/>
  <c r="Y303" i="113" s="1"/>
  <c r="AC303" i="113" s="1"/>
  <c r="AG303" i="113" s="1"/>
  <c r="T1896" i="113"/>
  <c r="W1896" i="113" s="1"/>
  <c r="Y1896" i="113" s="1"/>
  <c r="AC1896" i="113" s="1"/>
  <c r="AG1896" i="113" s="1"/>
  <c r="T912" i="113"/>
  <c r="W912" i="113" s="1"/>
  <c r="Y912" i="113" s="1"/>
  <c r="AC912" i="113" s="1"/>
  <c r="AG912" i="113" s="1"/>
  <c r="T559" i="113"/>
  <c r="W559" i="113" s="1"/>
  <c r="Y559" i="113" s="1"/>
  <c r="T956" i="113"/>
  <c r="W956" i="113" s="1"/>
  <c r="Y956" i="113" s="1"/>
  <c r="T930" i="113"/>
  <c r="W930" i="113" s="1"/>
  <c r="Y930" i="113" s="1"/>
  <c r="AC930" i="113" s="1"/>
  <c r="AG930" i="113" s="1"/>
  <c r="T2497" i="113"/>
  <c r="W2497" i="113" s="1"/>
  <c r="Y2497" i="113" s="1"/>
  <c r="T1736" i="113"/>
  <c r="W1736" i="113" s="1"/>
  <c r="Y1736" i="113" s="1"/>
  <c r="T1875" i="113"/>
  <c r="W1875" i="113" s="1"/>
  <c r="Y1875" i="113" s="1"/>
  <c r="AC1875" i="113" s="1"/>
  <c r="AG1875" i="113" s="1"/>
  <c r="T1401" i="113"/>
  <c r="W1401" i="113" s="1"/>
  <c r="Y1401" i="113" s="1"/>
  <c r="T310" i="113"/>
  <c r="W310" i="113" s="1"/>
  <c r="Y310" i="113" s="1"/>
  <c r="AC310" i="113" s="1"/>
  <c r="AG310" i="113" s="1"/>
  <c r="T1217" i="113"/>
  <c r="W1217" i="113" s="1"/>
  <c r="Y1217" i="113" s="1"/>
  <c r="AC1217" i="113" s="1"/>
  <c r="AG1217" i="113" s="1"/>
  <c r="T1317" i="113"/>
  <c r="W1317" i="113" s="1"/>
  <c r="Y1317" i="113" s="1"/>
  <c r="AC1317" i="113" s="1"/>
  <c r="AG1317" i="113" s="1"/>
  <c r="T1095" i="113"/>
  <c r="W1095" i="113" s="1"/>
  <c r="Y1095" i="113" s="1"/>
  <c r="T677" i="113"/>
  <c r="W677" i="113" s="1"/>
  <c r="Y677" i="113" s="1"/>
  <c r="AC677" i="113" s="1"/>
  <c r="AG677" i="113" s="1"/>
  <c r="T1707" i="113"/>
  <c r="W1707" i="113" s="1"/>
  <c r="Y1707" i="113" s="1"/>
  <c r="T536" i="113"/>
  <c r="W536" i="113" s="1"/>
  <c r="Y536" i="113" s="1"/>
  <c r="AC536" i="113" s="1"/>
  <c r="AG536" i="113" s="1"/>
  <c r="T2333" i="113"/>
  <c r="W2333" i="113" s="1"/>
  <c r="Y2333" i="113" s="1"/>
  <c r="T1515" i="113"/>
  <c r="W1515" i="113" s="1"/>
  <c r="Y1515" i="113" s="1"/>
  <c r="T236" i="113"/>
  <c r="W236" i="113" s="1"/>
  <c r="Y236" i="113" s="1"/>
  <c r="AC236" i="113" s="1"/>
  <c r="AG236" i="113" s="1"/>
  <c r="T1852" i="113"/>
  <c r="W1852" i="113" s="1"/>
  <c r="Y1852" i="113" s="1"/>
  <c r="AC1852" i="113" s="1"/>
  <c r="AG1852" i="113" s="1"/>
  <c r="T1754" i="113"/>
  <c r="W1754" i="113" s="1"/>
  <c r="Y1754" i="113" s="1"/>
  <c r="AC1754" i="113" s="1"/>
  <c r="AG1754" i="113" s="1"/>
  <c r="T155" i="113"/>
  <c r="W155" i="113" s="1"/>
  <c r="Y155" i="113" s="1"/>
  <c r="AC155" i="113" s="1"/>
  <c r="AG155" i="113" s="1"/>
  <c r="T2198" i="113"/>
  <c r="W2198" i="113" s="1"/>
  <c r="Y2198" i="113" s="1"/>
  <c r="AC2198" i="113" s="1"/>
  <c r="AG2198" i="113" s="1"/>
  <c r="T1606" i="113"/>
  <c r="W1606" i="113" s="1"/>
  <c r="Y1606" i="113" s="1"/>
  <c r="T227" i="113"/>
  <c r="W227" i="113" s="1"/>
  <c r="Y227" i="113" s="1"/>
  <c r="T2160" i="113"/>
  <c r="W2160" i="113" s="1"/>
  <c r="Y2160" i="113" s="1"/>
  <c r="T2621" i="113"/>
  <c r="W2621" i="113" s="1"/>
  <c r="Y2621" i="113" s="1"/>
  <c r="AC2621" i="113" s="1"/>
  <c r="AG2621" i="113" s="1"/>
  <c r="T1326" i="113"/>
  <c r="W1326" i="113" s="1"/>
  <c r="Y1326" i="113" s="1"/>
  <c r="T2324" i="113"/>
  <c r="W2324" i="113" s="1"/>
  <c r="Y2324" i="113" s="1"/>
  <c r="T1684" i="113"/>
  <c r="W1684" i="113" s="1"/>
  <c r="Y1684" i="113" s="1"/>
  <c r="AC1684" i="113" s="1"/>
  <c r="AG1684" i="113" s="1"/>
  <c r="T1922" i="113"/>
  <c r="W1922" i="113" s="1"/>
  <c r="Y1922" i="113" s="1"/>
  <c r="AC1922" i="113" s="1"/>
  <c r="AG1922" i="113" s="1"/>
  <c r="T439" i="113"/>
  <c r="W439" i="113" s="1"/>
  <c r="Y439" i="113" s="1"/>
  <c r="T1128" i="113"/>
  <c r="T2079" i="113"/>
  <c r="W2079" i="113" s="1"/>
  <c r="Y2079" i="113" s="1"/>
  <c r="AC2079" i="113" s="1"/>
  <c r="AG2079" i="113" s="1"/>
  <c r="T2511" i="113"/>
  <c r="W2511" i="113" s="1"/>
  <c r="Y2511" i="113" s="1"/>
  <c r="AC2511" i="113" s="1"/>
  <c r="AG2511" i="113" s="1"/>
  <c r="T1516" i="113"/>
  <c r="W1516" i="113" s="1"/>
  <c r="Y1516" i="113" s="1"/>
  <c r="T2047" i="113"/>
  <c r="W2047" i="113" s="1"/>
  <c r="Y2047" i="113" s="1"/>
  <c r="AC2047" i="113" s="1"/>
  <c r="AG2047" i="113" s="1"/>
  <c r="T793" i="113"/>
  <c r="W793" i="113" s="1"/>
  <c r="Y793" i="113" s="1"/>
  <c r="AC793" i="113" s="1"/>
  <c r="AG793" i="113" s="1"/>
  <c r="T362" i="113"/>
  <c r="W362" i="113" s="1"/>
  <c r="Y362" i="113" s="1"/>
  <c r="T35" i="113"/>
  <c r="W35" i="113" s="1"/>
  <c r="Y35" i="113" s="1"/>
  <c r="AC35" i="113" s="1"/>
  <c r="AG35" i="113" s="1"/>
  <c r="T2608" i="113"/>
  <c r="W2608" i="113" s="1"/>
  <c r="Y2608" i="113" s="1"/>
  <c r="T2669" i="113"/>
  <c r="W2669" i="113" s="1"/>
  <c r="Y2669" i="113" s="1"/>
  <c r="AC2669" i="113" s="1"/>
  <c r="AG2669" i="113" s="1"/>
  <c r="T2373" i="113"/>
  <c r="W2373" i="113" s="1"/>
  <c r="Y2373" i="113" s="1"/>
  <c r="T2462" i="113"/>
  <c r="W2462" i="113" s="1"/>
  <c r="Y2462" i="113" s="1"/>
  <c r="AC2462" i="113" s="1"/>
  <c r="AG2462" i="113" s="1"/>
  <c r="T2369" i="113"/>
  <c r="T1244" i="113"/>
  <c r="W1244" i="113" s="1"/>
  <c r="Y1244" i="113" s="1"/>
  <c r="AC1244" i="113" s="1"/>
  <c r="AG1244" i="113" s="1"/>
  <c r="T164" i="113"/>
  <c r="W164" i="113" s="1"/>
  <c r="Y164" i="113" s="1"/>
  <c r="T1149" i="113"/>
  <c r="T1336" i="113"/>
  <c r="W1336" i="113" s="1"/>
  <c r="Y1336" i="113" s="1"/>
  <c r="T2208" i="113"/>
  <c r="W2208" i="113" s="1"/>
  <c r="Y2208" i="113" s="1"/>
  <c r="AC2208" i="113" s="1"/>
  <c r="AG2208" i="113" s="1"/>
  <c r="T1869" i="113"/>
  <c r="W1869" i="113" s="1"/>
  <c r="Y1869" i="113" s="1"/>
  <c r="T1136" i="113"/>
  <c r="W1136" i="113" s="1"/>
  <c r="Y1136" i="113" s="1"/>
  <c r="T1435" i="113"/>
  <c r="W1435" i="113" s="1"/>
  <c r="Y1435" i="113" s="1"/>
  <c r="AC1435" i="113" s="1"/>
  <c r="AG1435" i="113" s="1"/>
  <c r="T1551" i="113"/>
  <c r="W1551" i="113" s="1"/>
  <c r="Y1551" i="113" s="1"/>
  <c r="T1259" i="113"/>
  <c r="W1259" i="113" s="1"/>
  <c r="Y1259" i="113" s="1"/>
  <c r="T340" i="113"/>
  <c r="W340" i="113" s="1"/>
  <c r="Y340" i="113" s="1"/>
  <c r="AC340" i="113" s="1"/>
  <c r="AG340" i="113" s="1"/>
  <c r="T1902" i="113"/>
  <c r="W1902" i="113" s="1"/>
  <c r="Y1902" i="113" s="1"/>
  <c r="T1307" i="113"/>
  <c r="W1307" i="113" s="1"/>
  <c r="Y1307" i="113" s="1"/>
  <c r="AC1307" i="113" s="1"/>
  <c r="AG1307" i="113" s="1"/>
  <c r="T1647" i="113"/>
  <c r="W1647" i="113" s="1"/>
  <c r="Y1647" i="113" s="1"/>
  <c r="AC1647" i="113" s="1"/>
  <c r="AG1647" i="113" s="1"/>
  <c r="T1648" i="113"/>
  <c r="W1648" i="113" s="1"/>
  <c r="Y1648" i="113" s="1"/>
  <c r="T1687" i="113"/>
  <c r="W1687" i="113" s="1"/>
  <c r="Y1687" i="113" s="1"/>
  <c r="T2595" i="113"/>
  <c r="W2595" i="113" s="1"/>
  <c r="Y2595" i="113" s="1"/>
  <c r="T678" i="113"/>
  <c r="W678" i="113" s="1"/>
  <c r="Y678" i="113" s="1"/>
  <c r="AC678" i="113" s="1"/>
  <c r="AG678" i="113" s="1"/>
  <c r="T2666" i="113"/>
  <c r="W2666" i="113" s="1"/>
  <c r="Y2666" i="113" s="1"/>
  <c r="T611" i="113"/>
  <c r="W611" i="113" s="1"/>
  <c r="Y611" i="113" s="1"/>
  <c r="AC611" i="113" s="1"/>
  <c r="AG611" i="113" s="1"/>
  <c r="T645" i="113"/>
  <c r="W645" i="113" s="1"/>
  <c r="Y645" i="113" s="1"/>
  <c r="T1327" i="113"/>
  <c r="W1327" i="113" s="1"/>
  <c r="Y1327" i="113" s="1"/>
  <c r="AC1327" i="113" s="1"/>
  <c r="AG1327" i="113" s="1"/>
  <c r="T1591" i="113"/>
  <c r="W1591" i="113" s="1"/>
  <c r="Y1591" i="113" s="1"/>
  <c r="AC1591" i="113" s="1"/>
  <c r="AG1591" i="113" s="1"/>
  <c r="T908" i="113"/>
  <c r="W908" i="113" s="1"/>
  <c r="Y908" i="113" s="1"/>
  <c r="AC908" i="113" s="1"/>
  <c r="AG908" i="113" s="1"/>
  <c r="T177" i="113"/>
  <c r="W177" i="113" s="1"/>
  <c r="Y177" i="113" s="1"/>
  <c r="AC177" i="113" s="1"/>
  <c r="AG177" i="113" s="1"/>
  <c r="T1440" i="113"/>
  <c r="W1440" i="113" s="1"/>
  <c r="Y1440" i="113" s="1"/>
  <c r="AC1440" i="113" s="1"/>
  <c r="AG1440" i="113" s="1"/>
  <c r="T2278" i="113"/>
  <c r="W2278" i="113" s="1"/>
  <c r="Y2278" i="113" s="1"/>
  <c r="AC2278" i="113" s="1"/>
  <c r="AG2278" i="113" s="1"/>
  <c r="T605" i="113"/>
  <c r="W605" i="113" s="1"/>
  <c r="Y605" i="113" s="1"/>
  <c r="AC605" i="113" s="1"/>
  <c r="AG605" i="113" s="1"/>
  <c r="T1183" i="113"/>
  <c r="W1183" i="113" s="1"/>
  <c r="Y1183" i="113" s="1"/>
  <c r="AC1183" i="113" s="1"/>
  <c r="AG1183" i="113" s="1"/>
  <c r="T2493" i="113"/>
  <c r="W2493" i="113" s="1"/>
  <c r="Y2493" i="113" s="1"/>
  <c r="T2635" i="113"/>
  <c r="W2635" i="113" s="1"/>
  <c r="Y2635" i="113" s="1"/>
  <c r="T1489" i="113"/>
  <c r="W1489" i="113" s="1"/>
  <c r="Y1489" i="113" s="1"/>
  <c r="AC1489" i="113" s="1"/>
  <c r="AG1489" i="113" s="1"/>
  <c r="T1203" i="113"/>
  <c r="W1203" i="113" s="1"/>
  <c r="Y1203" i="113" s="1"/>
  <c r="AC1203" i="113" s="1"/>
  <c r="AG1203" i="113" s="1"/>
  <c r="T2366" i="113"/>
  <c r="W2366" i="113" s="1"/>
  <c r="Y2366" i="113" s="1"/>
  <c r="AC2366" i="113" s="1"/>
  <c r="AG2366" i="113" s="1"/>
  <c r="T2133" i="113"/>
  <c r="W2133" i="113" s="1"/>
  <c r="Y2133" i="113" s="1"/>
  <c r="AC2133" i="113" s="1"/>
  <c r="AG2133" i="113" s="1"/>
  <c r="T235" i="113"/>
  <c r="W235" i="113" s="1"/>
  <c r="Y235" i="113" s="1"/>
  <c r="AC235" i="113" s="1"/>
  <c r="AG235" i="113" s="1"/>
  <c r="T1427" i="113"/>
  <c r="W1427" i="113" s="1"/>
  <c r="Y1427" i="113" s="1"/>
  <c r="T800" i="113"/>
  <c r="W800" i="113" s="1"/>
  <c r="Y800" i="113" s="1"/>
  <c r="AC800" i="113" s="1"/>
  <c r="AG800" i="113" s="1"/>
  <c r="T1861" i="113"/>
  <c r="W1861" i="113" s="1"/>
  <c r="Y1861" i="113" s="1"/>
  <c r="AC1861" i="113" s="1"/>
  <c r="AG1861" i="113" s="1"/>
  <c r="T2603" i="113"/>
  <c r="W2603" i="113" s="1"/>
  <c r="Y2603" i="113" s="1"/>
  <c r="T2492" i="113"/>
  <c r="W2492" i="113" s="1"/>
  <c r="Y2492" i="113" s="1"/>
  <c r="T1048" i="113"/>
  <c r="W1048" i="113" s="1"/>
  <c r="Y1048" i="113" s="1"/>
  <c r="T2546" i="113"/>
  <c r="W2546" i="113" s="1"/>
  <c r="Y2546" i="113" s="1"/>
  <c r="AC2546" i="113" s="1"/>
  <c r="AG2546" i="113" s="1"/>
  <c r="T1330" i="113"/>
  <c r="W1330" i="113" s="1"/>
  <c r="Y1330" i="113" s="1"/>
  <c r="AC1330" i="113" s="1"/>
  <c r="AG1330" i="113" s="1"/>
  <c r="T2374" i="113"/>
  <c r="W2374" i="113" s="1"/>
  <c r="Y2374" i="113" s="1"/>
  <c r="AC2374" i="113" s="1"/>
  <c r="AG2374" i="113" s="1"/>
  <c r="T287" i="113"/>
  <c r="W287" i="113" s="1"/>
  <c r="Y287" i="113" s="1"/>
  <c r="AC287" i="113" s="1"/>
  <c r="AG287" i="113" s="1"/>
  <c r="T1277" i="113"/>
  <c r="W1277" i="113" s="1"/>
  <c r="Y1277" i="113" s="1"/>
  <c r="T1595" i="113"/>
  <c r="W1595" i="113" s="1"/>
  <c r="Y1595" i="113" s="1"/>
  <c r="T622" i="113"/>
  <c r="W622" i="113" s="1"/>
  <c r="Y622" i="113" s="1"/>
  <c r="T2038" i="113"/>
  <c r="T649" i="113"/>
  <c r="W649" i="113" s="1"/>
  <c r="Y649" i="113" s="1"/>
  <c r="AC649" i="113" s="1"/>
  <c r="AG649" i="113" s="1"/>
  <c r="T2494" i="113"/>
  <c r="W2494" i="113" s="1"/>
  <c r="Y2494" i="113" s="1"/>
  <c r="AC2494" i="113" s="1"/>
  <c r="AG2494" i="113" s="1"/>
  <c r="T2321" i="113"/>
  <c r="W2321" i="113" s="1"/>
  <c r="Y2321" i="113" s="1"/>
  <c r="T2287" i="113"/>
  <c r="W2287" i="113" s="1"/>
  <c r="Y2287" i="113" s="1"/>
  <c r="T1931" i="113"/>
  <c r="W1931" i="113" s="1"/>
  <c r="Y1931" i="113" s="1"/>
  <c r="AC1931" i="113" s="1"/>
  <c r="AG1931" i="113" s="1"/>
  <c r="T1941" i="113"/>
  <c r="W1941" i="113" s="1"/>
  <c r="Y1941" i="113" s="1"/>
  <c r="AC1941" i="113" s="1"/>
  <c r="AG1941" i="113" s="1"/>
  <c r="T1363" i="113"/>
  <c r="W1363" i="113" s="1"/>
  <c r="Y1363" i="113" s="1"/>
  <c r="AC1363" i="113" s="1"/>
  <c r="AG1363" i="113" s="1"/>
  <c r="T798" i="113"/>
  <c r="W798" i="113" s="1"/>
  <c r="Y798" i="113" s="1"/>
  <c r="AC798" i="113" s="1"/>
  <c r="AG798" i="113" s="1"/>
  <c r="T1148" i="113"/>
  <c r="W1148" i="113" s="1"/>
  <c r="Y1148" i="113" s="1"/>
  <c r="AC1148" i="113" s="1"/>
  <c r="AG1148" i="113" s="1"/>
  <c r="T589" i="113"/>
  <c r="W589" i="113" s="1"/>
  <c r="Y589" i="113" s="1"/>
  <c r="T2118" i="113"/>
  <c r="W2118" i="113" s="1"/>
  <c r="Y2118" i="113" s="1"/>
  <c r="T1179" i="113"/>
  <c r="W1179" i="113" s="1"/>
  <c r="Y1179" i="113" s="1"/>
  <c r="T2145" i="113"/>
  <c r="W2145" i="113" s="1"/>
  <c r="Y2145" i="113" s="1"/>
  <c r="AC2145" i="113" s="1"/>
  <c r="AG2145" i="113" s="1"/>
  <c r="T2357" i="113"/>
  <c r="W2357" i="113" s="1"/>
  <c r="Y2357" i="113" s="1"/>
  <c r="T1206" i="113"/>
  <c r="W1206" i="113" s="1"/>
  <c r="Y1206" i="113" s="1"/>
  <c r="T1227" i="113"/>
  <c r="W1227" i="113" s="1"/>
  <c r="Y1227" i="113" s="1"/>
  <c r="T1558" i="113"/>
  <c r="W1558" i="113" s="1"/>
  <c r="Y1558" i="113" s="1"/>
  <c r="AC1558" i="113" s="1"/>
  <c r="AG1558" i="113" s="1"/>
  <c r="T170" i="113"/>
  <c r="W170" i="113" s="1"/>
  <c r="Y170" i="113" s="1"/>
  <c r="AC170" i="113" s="1"/>
  <c r="AG170" i="113" s="1"/>
  <c r="T1577" i="113"/>
  <c r="T2257" i="113"/>
  <c r="W2257" i="113" s="1"/>
  <c r="Y2257" i="113" s="1"/>
  <c r="AC2257" i="113" s="1"/>
  <c r="AG2257" i="113" s="1"/>
  <c r="T2148" i="113"/>
  <c r="W2148" i="113" s="1"/>
  <c r="Y2148" i="113" s="1"/>
  <c r="T1029" i="113"/>
  <c r="W1029" i="113" s="1"/>
  <c r="Y1029" i="113" s="1"/>
  <c r="T1580" i="113"/>
  <c r="W1580" i="113" s="1"/>
  <c r="Y1580" i="113" s="1"/>
  <c r="AC1580" i="113" s="1"/>
  <c r="AG1580" i="113" s="1"/>
  <c r="T1795" i="113"/>
  <c r="W1795" i="113" s="1"/>
  <c r="Y1795" i="113" s="1"/>
  <c r="T1131" i="113"/>
  <c r="W1131" i="113" s="1"/>
  <c r="Y1131" i="113" s="1"/>
  <c r="T593" i="113"/>
  <c r="W593" i="113" s="1"/>
  <c r="Y593" i="113" s="1"/>
  <c r="T1923" i="113"/>
  <c r="W1923" i="113" s="1"/>
  <c r="Y1923" i="113" s="1"/>
  <c r="AC1923" i="113" s="1"/>
  <c r="AG1923" i="113" s="1"/>
  <c r="T2634" i="113"/>
  <c r="W2634" i="113" s="1"/>
  <c r="Y2634" i="113" s="1"/>
  <c r="AC2634" i="113" s="1"/>
  <c r="AG2634" i="113" s="1"/>
  <c r="T2535" i="113"/>
  <c r="W2535" i="113" s="1"/>
  <c r="Y2535" i="113" s="1"/>
  <c r="T660" i="113"/>
  <c r="W660" i="113" s="1"/>
  <c r="Y660" i="113" s="1"/>
  <c r="T1308" i="113"/>
  <c r="W1308" i="113" s="1"/>
  <c r="Y1308" i="113" s="1"/>
  <c r="T1251" i="113"/>
  <c r="W1251" i="113" s="1"/>
  <c r="Y1251" i="113" s="1"/>
  <c r="AC1251" i="113" s="1"/>
  <c r="AG1251" i="113" s="1"/>
  <c r="T1344" i="113"/>
  <c r="W1344" i="113" s="1"/>
  <c r="Y1344" i="113" s="1"/>
  <c r="AC1344" i="113" s="1"/>
  <c r="AG1344" i="113" s="1"/>
  <c r="T527" i="113"/>
  <c r="W527" i="113" s="1"/>
  <c r="Y527" i="113" s="1"/>
  <c r="AC527" i="113" s="1"/>
  <c r="AG527" i="113" s="1"/>
  <c r="T2241" i="113"/>
  <c r="W2241" i="113" s="1"/>
  <c r="Y2241" i="113" s="1"/>
  <c r="T1487" i="113"/>
  <c r="W1487" i="113" s="1"/>
  <c r="Y1487" i="113" s="1"/>
  <c r="T2651" i="113"/>
  <c r="W2651" i="113" s="1"/>
  <c r="Y2651" i="113" s="1"/>
  <c r="T2094" i="113"/>
  <c r="W2094" i="113" s="1"/>
  <c r="Y2094" i="113" s="1"/>
  <c r="T2250" i="113"/>
  <c r="W2250" i="113" s="1"/>
  <c r="Y2250" i="113" s="1"/>
  <c r="AC2250" i="113" s="1"/>
  <c r="AG2250" i="113" s="1"/>
  <c r="T392" i="113"/>
  <c r="W392" i="113" s="1"/>
  <c r="Y392" i="113" s="1"/>
  <c r="AC392" i="113" s="1"/>
  <c r="AG392" i="113" s="1"/>
  <c r="T810" i="113"/>
  <c r="W810" i="113" s="1"/>
  <c r="Y810" i="113" s="1"/>
  <c r="AC810" i="113" s="1"/>
  <c r="AG810" i="113" s="1"/>
  <c r="T445" i="113"/>
  <c r="W445" i="113" s="1"/>
  <c r="Y445" i="113" s="1"/>
  <c r="AC445" i="113" s="1"/>
  <c r="AG445" i="113" s="1"/>
  <c r="T2158" i="113"/>
  <c r="W2158" i="113" s="1"/>
  <c r="Y2158" i="113" s="1"/>
  <c r="T2367" i="113"/>
  <c r="W2367" i="113" s="1"/>
  <c r="Y2367" i="113" s="1"/>
  <c r="AC2367" i="113" s="1"/>
  <c r="AG2367" i="113" s="1"/>
  <c r="T1985" i="113"/>
  <c r="W1985" i="113" s="1"/>
  <c r="Y1985" i="113" s="1"/>
  <c r="AC1985" i="113" s="1"/>
  <c r="AG1985" i="113" s="1"/>
  <c r="T1788" i="113"/>
  <c r="T1548" i="113"/>
  <c r="W1548" i="113" s="1"/>
  <c r="Y1548" i="113" s="1"/>
  <c r="AC1548" i="113" s="1"/>
  <c r="AG1548" i="113" s="1"/>
  <c r="T1391" i="113"/>
  <c r="W1391" i="113" s="1"/>
  <c r="Y1391" i="113" s="1"/>
  <c r="AC1391" i="113" s="1"/>
  <c r="AG1391" i="113" s="1"/>
  <c r="T1083" i="113"/>
  <c r="W1083" i="113" s="1"/>
  <c r="Y1083" i="113" s="1"/>
  <c r="T2522" i="113"/>
  <c r="W2522" i="113" s="1"/>
  <c r="Y2522" i="113" s="1"/>
  <c r="AC2522" i="113" s="1"/>
  <c r="AG2522" i="113" s="1"/>
  <c r="T620" i="113"/>
  <c r="W620" i="113" s="1"/>
  <c r="Y620" i="113" s="1"/>
  <c r="AC620" i="113" s="1"/>
  <c r="AG620" i="113" s="1"/>
  <c r="T1855" i="113"/>
  <c r="W1855" i="113" s="1"/>
  <c r="Y1855" i="113" s="1"/>
  <c r="T981" i="113"/>
  <c r="W981" i="113" s="1"/>
  <c r="Y981" i="113" s="1"/>
  <c r="AC981" i="113" s="1"/>
  <c r="AG981" i="113" s="1"/>
  <c r="T2109" i="113"/>
  <c r="W2109" i="113" s="1"/>
  <c r="Y2109" i="113" s="1"/>
  <c r="T74" i="113"/>
  <c r="W74" i="113" s="1"/>
  <c r="Y74" i="113" s="1"/>
  <c r="AC74" i="113" s="1"/>
  <c r="AG74" i="113" s="1"/>
  <c r="T1897" i="113"/>
  <c r="W1897" i="113" s="1"/>
  <c r="Y1897" i="113" s="1"/>
  <c r="T1111" i="113"/>
  <c r="W1111" i="113" s="1"/>
  <c r="Y1111" i="113" s="1"/>
  <c r="AC1111" i="113" s="1"/>
  <c r="AG1111" i="113" s="1"/>
  <c r="T228" i="113"/>
  <c r="W228" i="113" s="1"/>
  <c r="Y228" i="113" s="1"/>
  <c r="AC228" i="113" s="1"/>
  <c r="AG228" i="113" s="1"/>
  <c r="T709" i="113"/>
  <c r="W709" i="113" s="1"/>
  <c r="Y709" i="113" s="1"/>
  <c r="T163" i="113"/>
  <c r="W163" i="113" s="1"/>
  <c r="Y163" i="113" s="1"/>
  <c r="AC163" i="113" s="1"/>
  <c r="AG163" i="113" s="1"/>
  <c r="T529" i="113"/>
  <c r="W529" i="113" s="1"/>
  <c r="Y529" i="113" s="1"/>
  <c r="AC529" i="113" s="1"/>
  <c r="AG529" i="113" s="1"/>
  <c r="T1058" i="113"/>
  <c r="W1058" i="113" s="1"/>
  <c r="Y1058" i="113" s="1"/>
  <c r="AC1058" i="113" s="1"/>
  <c r="AG1058" i="113" s="1"/>
  <c r="T1273" i="113"/>
  <c r="W1273" i="113" s="1"/>
  <c r="Y1273" i="113" s="1"/>
  <c r="T2080" i="113"/>
  <c r="W2080" i="113" s="1"/>
  <c r="Y2080" i="113" s="1"/>
  <c r="T1914" i="113"/>
  <c r="W1914" i="113" s="1"/>
  <c r="Y1914" i="113" s="1"/>
  <c r="AC1914" i="113" s="1"/>
  <c r="AG1914" i="113" s="1"/>
  <c r="T1864" i="113"/>
  <c r="W1864" i="113" s="1"/>
  <c r="Y1864" i="113" s="1"/>
  <c r="AC1864" i="113" s="1"/>
  <c r="AG1864" i="113" s="1"/>
  <c r="T61" i="113"/>
  <c r="W61" i="113" s="1"/>
  <c r="Y61" i="113" s="1"/>
  <c r="T2500" i="113"/>
  <c r="W2500" i="113" s="1"/>
  <c r="Y2500" i="113" s="1"/>
  <c r="T2315" i="113"/>
  <c r="W2315" i="113" s="1"/>
  <c r="Y2315" i="113" s="1"/>
  <c r="AC2315" i="113" s="1"/>
  <c r="AG2315" i="113" s="1"/>
  <c r="T773" i="113"/>
  <c r="W773" i="113" s="1"/>
  <c r="Y773" i="113" s="1"/>
  <c r="AC773" i="113" s="1"/>
  <c r="AG773" i="113" s="1"/>
  <c r="T757" i="113"/>
  <c r="W757" i="113" s="1"/>
  <c r="Y757" i="113" s="1"/>
  <c r="AC757" i="113" s="1"/>
  <c r="AG757" i="113" s="1"/>
  <c r="T2643" i="113"/>
  <c r="W2643" i="113" s="1"/>
  <c r="Y2643" i="113" s="1"/>
  <c r="T727" i="113"/>
  <c r="W727" i="113" s="1"/>
  <c r="Y727" i="113" s="1"/>
  <c r="AC727" i="113" s="1"/>
  <c r="AG727" i="113" s="1"/>
  <c r="T2413" i="113"/>
  <c r="W2413" i="113" s="1"/>
  <c r="Y2413" i="113" s="1"/>
  <c r="AC2413" i="113" s="1"/>
  <c r="AG2413" i="113" s="1"/>
  <c r="T830" i="113"/>
  <c r="W830" i="113" s="1"/>
  <c r="Y830" i="113" s="1"/>
  <c r="T779" i="113"/>
  <c r="W779" i="113" s="1"/>
  <c r="Y779" i="113" s="1"/>
  <c r="AC779" i="113" s="1"/>
  <c r="AG779" i="113" s="1"/>
  <c r="T2518" i="113"/>
  <c r="W2518" i="113" s="1"/>
  <c r="Y2518" i="113" s="1"/>
  <c r="T2062" i="113"/>
  <c r="W2062" i="113" s="1"/>
  <c r="Y2062" i="113" s="1"/>
  <c r="T1599" i="113"/>
  <c r="W1599" i="113" s="1"/>
  <c r="Y1599" i="113" s="1"/>
  <c r="T964" i="113"/>
  <c r="W964" i="113" s="1"/>
  <c r="Y964" i="113" s="1"/>
  <c r="AC964" i="113" s="1"/>
  <c r="AG964" i="113" s="1"/>
  <c r="T1611" i="113"/>
  <c r="W1611" i="113" s="1"/>
  <c r="Y1611" i="113" s="1"/>
  <c r="AC1611" i="113" s="1"/>
  <c r="AG1611" i="113" s="1"/>
  <c r="T1569" i="113"/>
  <c r="W1569" i="113" s="1"/>
  <c r="Y1569" i="113" s="1"/>
  <c r="AC1569" i="113" s="1"/>
  <c r="AG1569" i="113" s="1"/>
  <c r="T2362" i="113"/>
  <c r="W2362" i="113" s="1"/>
  <c r="Y2362" i="113" s="1"/>
  <c r="AC2362" i="113" s="1"/>
  <c r="AG2362" i="113" s="1"/>
  <c r="T189" i="113"/>
  <c r="W189" i="113" s="1"/>
  <c r="Y189" i="113" s="1"/>
  <c r="AC189" i="113" s="1"/>
  <c r="AG189" i="113" s="1"/>
  <c r="T1498" i="113"/>
  <c r="W1498" i="113" s="1"/>
  <c r="Y1498" i="113" s="1"/>
  <c r="AC1498" i="113" s="1"/>
  <c r="AG1498" i="113" s="1"/>
  <c r="T960" i="113"/>
  <c r="W960" i="113" s="1"/>
  <c r="Y960" i="113" s="1"/>
  <c r="AC960" i="113" s="1"/>
  <c r="AG960" i="113" s="1"/>
  <c r="T2229" i="113"/>
  <c r="W2229" i="113" s="1"/>
  <c r="Y2229" i="113" s="1"/>
  <c r="AC2229" i="113" s="1"/>
  <c r="AG2229" i="113" s="1"/>
  <c r="T2311" i="113"/>
  <c r="W2311" i="113" s="1"/>
  <c r="Y2311" i="113" s="1"/>
  <c r="AC2311" i="113" s="1"/>
  <c r="AG2311" i="113" s="1"/>
  <c r="T1613" i="113"/>
  <c r="W1613" i="113" s="1"/>
  <c r="Y1613" i="113" s="1"/>
  <c r="T1200" i="113"/>
  <c r="W1200" i="113" s="1"/>
  <c r="Y1200" i="113" s="1"/>
  <c r="T2446" i="113"/>
  <c r="W2446" i="113" s="1"/>
  <c r="Y2446" i="113" s="1"/>
  <c r="T2622" i="113"/>
  <c r="W2622" i="113" s="1"/>
  <c r="Y2622" i="113" s="1"/>
  <c r="AC2622" i="113" s="1"/>
  <c r="AG2622" i="113" s="1"/>
  <c r="T319" i="113"/>
  <c r="W319" i="113" s="1"/>
  <c r="Y319" i="113" s="1"/>
  <c r="T658" i="113"/>
  <c r="W658" i="113" s="1"/>
  <c r="Y658" i="113" s="1"/>
  <c r="T2432" i="113"/>
  <c r="W2432" i="113" s="1"/>
  <c r="Y2432" i="113" s="1"/>
  <c r="AC2432" i="113" s="1"/>
  <c r="AG2432" i="113" s="1"/>
  <c r="T957" i="113"/>
  <c r="W957" i="113" s="1"/>
  <c r="Y957" i="113" s="1"/>
  <c r="AC957" i="113" s="1"/>
  <c r="AG957" i="113" s="1"/>
  <c r="T2662" i="113"/>
  <c r="W2662" i="113" s="1"/>
  <c r="Y2662" i="113" s="1"/>
  <c r="AC2662" i="113" s="1"/>
  <c r="AG2662" i="113" s="1"/>
  <c r="T2476" i="113"/>
  <c r="W2476" i="113" s="1"/>
  <c r="Y2476" i="113" s="1"/>
  <c r="T47" i="113"/>
  <c r="W47" i="113" s="1"/>
  <c r="Y47" i="113" s="1"/>
  <c r="T1655" i="113"/>
  <c r="W1655" i="113" s="1"/>
  <c r="Y1655" i="113" s="1"/>
  <c r="T893" i="113"/>
  <c r="W893" i="113" s="1"/>
  <c r="Y893" i="113" s="1"/>
  <c r="T1022" i="113"/>
  <c r="W1022" i="113" s="1"/>
  <c r="Y1022" i="113" s="1"/>
  <c r="AC1022" i="113" s="1"/>
  <c r="AG1022" i="113" s="1"/>
  <c r="T2101" i="113"/>
  <c r="W2101" i="113" s="1"/>
  <c r="Y2101" i="113" s="1"/>
  <c r="T1186" i="113"/>
  <c r="W1186" i="113" s="1"/>
  <c r="Y1186" i="113" s="1"/>
  <c r="T939" i="113"/>
  <c r="W939" i="113" s="1"/>
  <c r="Y939" i="113" s="1"/>
  <c r="AC939" i="113" s="1"/>
  <c r="AG939" i="113" s="1"/>
  <c r="T1398" i="113"/>
  <c r="W1398" i="113" s="1"/>
  <c r="Y1398" i="113" s="1"/>
  <c r="AC1398" i="113" s="1"/>
  <c r="AG1398" i="113" s="1"/>
  <c r="T985" i="113"/>
  <c r="W985" i="113" s="1"/>
  <c r="Y985" i="113" s="1"/>
  <c r="T2005" i="113"/>
  <c r="W2005" i="113" s="1"/>
  <c r="Y2005" i="113" s="1"/>
  <c r="AC2005" i="113" s="1"/>
  <c r="AG2005" i="113" s="1"/>
  <c r="T2664" i="113"/>
  <c r="W2664" i="113" s="1"/>
  <c r="Y2664" i="113" s="1"/>
  <c r="AC2664" i="113" s="1"/>
  <c r="AG2664" i="113" s="1"/>
  <c r="T238" i="113"/>
  <c r="W238" i="113" s="1"/>
  <c r="Y238" i="113" s="1"/>
  <c r="AC238" i="113" s="1"/>
  <c r="AG238" i="113" s="1"/>
  <c r="T2650" i="113"/>
  <c r="W2650" i="113" s="1"/>
  <c r="Y2650" i="113" s="1"/>
  <c r="T97" i="113"/>
  <c r="W97" i="113" s="1"/>
  <c r="Y97" i="113" s="1"/>
  <c r="AC97" i="113" s="1"/>
  <c r="AG97" i="113" s="1"/>
  <c r="T1695" i="113"/>
  <c r="W1695" i="113" s="1"/>
  <c r="Y1695" i="113" s="1"/>
  <c r="T2052" i="113"/>
  <c r="W2052" i="113" s="1"/>
  <c r="Y2052" i="113" s="1"/>
  <c r="T2472" i="113"/>
  <c r="W2472" i="113" s="1"/>
  <c r="Y2472" i="113" s="1"/>
  <c r="AC2472" i="113" s="1"/>
  <c r="AG2472" i="113" s="1"/>
  <c r="T1132" i="113"/>
  <c r="W1132" i="113" s="1"/>
  <c r="Y1132" i="113" s="1"/>
  <c r="AC1132" i="113" s="1"/>
  <c r="AG1132" i="113" s="1"/>
  <c r="T864" i="113"/>
  <c r="T2453" i="113"/>
  <c r="T1242" i="113"/>
  <c r="W1242" i="113" s="1"/>
  <c r="Y1242" i="113" s="1"/>
  <c r="T892" i="113"/>
  <c r="W892" i="113" s="1"/>
  <c r="Y892" i="113" s="1"/>
  <c r="AC892" i="113" s="1"/>
  <c r="AG892" i="113" s="1"/>
  <c r="T1064" i="113"/>
  <c r="W1064" i="113" s="1"/>
  <c r="Y1064" i="113" s="1"/>
  <c r="T1377" i="113"/>
  <c r="W1377" i="113" s="1"/>
  <c r="Y1377" i="113" s="1"/>
  <c r="AC1377" i="113" s="1"/>
  <c r="AG1377" i="113" s="1"/>
  <c r="T2141" i="113"/>
  <c r="W2141" i="113" s="1"/>
  <c r="Y2141" i="113" s="1"/>
  <c r="T2282" i="113"/>
  <c r="W2282" i="113" s="1"/>
  <c r="Y2282" i="113" s="1"/>
  <c r="T1949" i="113"/>
  <c r="W1949" i="113" s="1"/>
  <c r="Y1949" i="113" s="1"/>
  <c r="AC1949" i="113" s="1"/>
  <c r="AG1949" i="113" s="1"/>
  <c r="T357" i="113"/>
  <c r="W357" i="113" s="1"/>
  <c r="Y357" i="113" s="1"/>
  <c r="AC357" i="113" s="1"/>
  <c r="AG357" i="113" s="1"/>
  <c r="T2424" i="113"/>
  <c r="W2424" i="113" s="1"/>
  <c r="Y2424" i="113" s="1"/>
  <c r="AC2424" i="113" s="1"/>
  <c r="AG2424" i="113" s="1"/>
  <c r="T165" i="113"/>
  <c r="W165" i="113" s="1"/>
  <c r="Y165" i="113" s="1"/>
  <c r="AC165" i="113" s="1"/>
  <c r="AG165" i="113" s="1"/>
  <c r="T1784" i="113"/>
  <c r="W1784" i="113" s="1"/>
  <c r="Y1784" i="113" s="1"/>
  <c r="AC1784" i="113" s="1"/>
  <c r="AG1784" i="113" s="1"/>
  <c r="T587" i="113"/>
  <c r="W587" i="113" s="1"/>
  <c r="Y587" i="113" s="1"/>
  <c r="T909" i="113"/>
  <c r="W909" i="113" s="1"/>
  <c r="Y909" i="113" s="1"/>
  <c r="AC909" i="113" s="1"/>
  <c r="AG909" i="113" s="1"/>
  <c r="T2000" i="113"/>
  <c r="W2000" i="113" s="1"/>
  <c r="Y2000" i="113" s="1"/>
  <c r="AC2000" i="113" s="1"/>
  <c r="AG2000" i="113" s="1"/>
  <c r="T90" i="113"/>
  <c r="W90" i="113" s="1"/>
  <c r="Y90" i="113" s="1"/>
  <c r="T1928" i="113"/>
  <c r="W1928" i="113" s="1"/>
  <c r="Y1928" i="113" s="1"/>
  <c r="AC1928" i="113" s="1"/>
  <c r="AG1928" i="113" s="1"/>
  <c r="T2591" i="113"/>
  <c r="W2591" i="113" s="1"/>
  <c r="Y2591" i="113" s="1"/>
  <c r="AC2591" i="113" s="1"/>
  <c r="AG2591" i="113" s="1"/>
  <c r="T1036" i="113"/>
  <c r="W1036" i="113" s="1"/>
  <c r="Y1036" i="113" s="1"/>
  <c r="T1171" i="113"/>
  <c r="W1171" i="113" s="1"/>
  <c r="Y1171" i="113" s="1"/>
  <c r="T2597" i="113"/>
  <c r="W2597" i="113" s="1"/>
  <c r="Y2597" i="113" s="1"/>
  <c r="T2602" i="113"/>
  <c r="W2602" i="113" s="1"/>
  <c r="Y2602" i="113" s="1"/>
  <c r="AC2602" i="113" s="1"/>
  <c r="AG2602" i="113" s="1"/>
  <c r="T2605" i="113"/>
  <c r="W2605" i="113" s="1"/>
  <c r="Y2605" i="113" s="1"/>
  <c r="T2478" i="113"/>
  <c r="W2478" i="113" s="1"/>
  <c r="Y2478" i="113" s="1"/>
  <c r="T786" i="113"/>
  <c r="W786" i="113" s="1"/>
  <c r="Y786" i="113" s="1"/>
  <c r="AC786" i="113" s="1"/>
  <c r="AG786" i="113" s="1"/>
  <c r="T96" i="113"/>
  <c r="W96" i="113" s="1"/>
  <c r="Y96" i="113" s="1"/>
  <c r="AC96" i="113" s="1"/>
  <c r="AG96" i="113" s="1"/>
  <c r="T1190" i="113"/>
  <c r="W1190" i="113" s="1"/>
  <c r="Y1190" i="113" s="1"/>
  <c r="AC1190" i="113" s="1"/>
  <c r="AG1190" i="113" s="1"/>
  <c r="T1758" i="113"/>
  <c r="W1758" i="113" s="1"/>
  <c r="Y1758" i="113" s="1"/>
  <c r="AC1758" i="113" s="1"/>
  <c r="AG1758" i="113" s="1"/>
  <c r="T1630" i="113"/>
  <c r="W1630" i="113" s="1"/>
  <c r="Y1630" i="113" s="1"/>
  <c r="T2244" i="113"/>
  <c r="W2244" i="113" s="1"/>
  <c r="Y2244" i="113" s="1"/>
  <c r="T2552" i="113"/>
  <c r="W2552" i="113" s="1"/>
  <c r="Y2552" i="113" s="1"/>
  <c r="T409" i="113"/>
  <c r="W409" i="113" s="1"/>
  <c r="Y409" i="113" s="1"/>
  <c r="AC409" i="113" s="1"/>
  <c r="AG409" i="113" s="1"/>
  <c r="T1908" i="113"/>
  <c r="W1908" i="113" s="1"/>
  <c r="Y1908" i="113" s="1"/>
  <c r="AC1908" i="113" s="1"/>
  <c r="AG1908" i="113" s="1"/>
  <c r="T1796" i="113"/>
  <c r="W1796" i="113" s="1"/>
  <c r="Y1796" i="113" s="1"/>
  <c r="AC1796" i="113" s="1"/>
  <c r="AG1796" i="113" s="1"/>
  <c r="T2671" i="113"/>
  <c r="W2671" i="113" s="1"/>
  <c r="Y2671" i="113" s="1"/>
  <c r="T1502" i="113"/>
  <c r="W1502" i="113" s="1"/>
  <c r="Y1502" i="113" s="1"/>
  <c r="T646" i="113"/>
  <c r="W646" i="113" s="1"/>
  <c r="Y646" i="113" s="1"/>
  <c r="T829" i="113"/>
  <c r="W829" i="113" s="1"/>
  <c r="Y829" i="113" s="1"/>
  <c r="T1847" i="113"/>
  <c r="W1847" i="113" s="1"/>
  <c r="Y1847" i="113" s="1"/>
  <c r="AC1847" i="113" s="1"/>
  <c r="AG1847" i="113" s="1"/>
  <c r="T1660" i="113"/>
  <c r="W1660" i="113" s="1"/>
  <c r="Y1660" i="113" s="1"/>
  <c r="T1643" i="113"/>
  <c r="W1643" i="113" s="1"/>
  <c r="Y1643" i="113" s="1"/>
  <c r="AC1643" i="113" s="1"/>
  <c r="AG1643" i="113" s="1"/>
  <c r="T875" i="113"/>
  <c r="W875" i="113" s="1"/>
  <c r="Y875" i="113" s="1"/>
  <c r="AC875" i="113" s="1"/>
  <c r="AG875" i="113" s="1"/>
  <c r="T2612" i="113"/>
  <c r="W2612" i="113" s="1"/>
  <c r="Y2612" i="113" s="1"/>
  <c r="AC2612" i="113" s="1"/>
  <c r="AG2612" i="113" s="1"/>
  <c r="T1370" i="113"/>
  <c r="W1370" i="113" s="1"/>
  <c r="Y1370" i="113" s="1"/>
  <c r="AC1370" i="113" s="1"/>
  <c r="AG1370" i="113" s="1"/>
  <c r="T1107" i="113"/>
  <c r="W1107" i="113" s="1"/>
  <c r="Y1107" i="113" s="1"/>
  <c r="AC1107" i="113" s="1"/>
  <c r="AG1107" i="113" s="1"/>
  <c r="T347" i="113"/>
  <c r="W347" i="113" s="1"/>
  <c r="Y347" i="113" s="1"/>
  <c r="T2528" i="113"/>
  <c r="W2528" i="113" s="1"/>
  <c r="Y2528" i="113" s="1"/>
  <c r="AC2528" i="113" s="1"/>
  <c r="AG2528" i="113" s="1"/>
  <c r="T2431" i="113"/>
  <c r="W2431" i="113" s="1"/>
  <c r="Y2431" i="113" s="1"/>
  <c r="AC2431" i="113" s="1"/>
  <c r="AG2431" i="113" s="1"/>
  <c r="T1130" i="113"/>
  <c r="W1130" i="113" s="1"/>
  <c r="Y1130" i="113" s="1"/>
  <c r="T2098" i="113"/>
  <c r="W2098" i="113" s="1"/>
  <c r="Y2098" i="113" s="1"/>
  <c r="AC2098" i="113" s="1"/>
  <c r="AG2098" i="113" s="1"/>
  <c r="T2504" i="113"/>
  <c r="W2504" i="113" s="1"/>
  <c r="Y2504" i="113" s="1"/>
  <c r="AC2504" i="113" s="1"/>
  <c r="AG2504" i="113" s="1"/>
  <c r="T2677" i="113"/>
  <c r="W2677" i="113" s="1"/>
  <c r="Y2677" i="113" s="1"/>
  <c r="T758" i="113"/>
  <c r="W758" i="113" s="1"/>
  <c r="Y758" i="113" s="1"/>
  <c r="AC758" i="113" s="1"/>
  <c r="AG758" i="113" s="1"/>
  <c r="T2135" i="113"/>
  <c r="W2135" i="113" s="1"/>
  <c r="Y2135" i="113" s="1"/>
  <c r="AC2135" i="113" s="1"/>
  <c r="AG2135" i="113" s="1"/>
  <c r="T2425" i="113"/>
  <c r="W2425" i="113" s="1"/>
  <c r="Y2425" i="113" s="1"/>
  <c r="AC2425" i="113" s="1"/>
  <c r="AG2425" i="113" s="1"/>
  <c r="T1068" i="113"/>
  <c r="W1068" i="113" s="1"/>
  <c r="Y1068" i="113" s="1"/>
  <c r="T1574" i="113"/>
  <c r="W1574" i="113" s="1"/>
  <c r="Y1574" i="113" s="1"/>
  <c r="T266" i="113"/>
  <c r="W266" i="113" s="1"/>
  <c r="Y266" i="113" s="1"/>
  <c r="AC266" i="113" s="1"/>
  <c r="AG266" i="113" s="1"/>
  <c r="T1378" i="113"/>
  <c r="T2637" i="113"/>
  <c r="W2637" i="113" s="1"/>
  <c r="Y2637" i="113" s="1"/>
  <c r="AC2637" i="113" s="1"/>
  <c r="AG2637" i="113" s="1"/>
  <c r="T289" i="113"/>
  <c r="W289" i="113" s="1"/>
  <c r="Y289" i="113" s="1"/>
  <c r="AC289" i="113" s="1"/>
  <c r="AG289" i="113" s="1"/>
  <c r="T1508" i="113"/>
  <c r="W1508" i="113" s="1"/>
  <c r="Y1508" i="113" s="1"/>
  <c r="T823" i="113"/>
  <c r="W823" i="113" s="1"/>
  <c r="Y823" i="113" s="1"/>
  <c r="T154" i="113"/>
  <c r="W154" i="113" s="1"/>
  <c r="Y154" i="113" s="1"/>
  <c r="AC154" i="113" s="1"/>
  <c r="AG154" i="113" s="1"/>
  <c r="T2186" i="113"/>
  <c r="W2186" i="113" s="1"/>
  <c r="Y2186" i="113" s="1"/>
  <c r="T305" i="113"/>
  <c r="W305" i="113" s="1"/>
  <c r="Y305" i="113" s="1"/>
  <c r="AC305" i="113" s="1"/>
  <c r="AG305" i="113" s="1"/>
  <c r="T2049" i="113"/>
  <c r="W2049" i="113" s="1"/>
  <c r="Y2049" i="113" s="1"/>
  <c r="AC2049" i="113" s="1"/>
  <c r="AG2049" i="113" s="1"/>
  <c r="T1904" i="113"/>
  <c r="W1904" i="113" s="1"/>
  <c r="Y1904" i="113" s="1"/>
  <c r="T1235" i="113"/>
  <c r="W1235" i="113" s="1"/>
  <c r="Y1235" i="113" s="1"/>
  <c r="T1883" i="113"/>
  <c r="W1883" i="113" s="1"/>
  <c r="Y1883" i="113" s="1"/>
  <c r="T1334" i="113"/>
  <c r="W1334" i="113" s="1"/>
  <c r="Y1334" i="113" s="1"/>
  <c r="AC1334" i="113" s="1"/>
  <c r="AG1334" i="113" s="1"/>
  <c r="T438" i="113"/>
  <c r="W438" i="113" s="1"/>
  <c r="Y438" i="113" s="1"/>
  <c r="AC438" i="113" s="1"/>
  <c r="AG438" i="113" s="1"/>
  <c r="T313" i="113"/>
  <c r="W313" i="113" s="1"/>
  <c r="Y313" i="113" s="1"/>
  <c r="T2099" i="113"/>
  <c r="W2099" i="113" s="1"/>
  <c r="Y2099" i="113" s="1"/>
  <c r="T1264" i="113"/>
  <c r="W1264" i="113" s="1"/>
  <c r="Y1264" i="113" s="1"/>
  <c r="T979" i="113"/>
  <c r="W979" i="113" s="1"/>
  <c r="Y979" i="113" s="1"/>
  <c r="AC979" i="113" s="1"/>
  <c r="AG979" i="113" s="1"/>
  <c r="T1524" i="113"/>
  <c r="W1524" i="113" s="1"/>
  <c r="Y1524" i="113" s="1"/>
  <c r="AC1524" i="113" s="1"/>
  <c r="AG1524" i="113" s="1"/>
  <c r="T285" i="113"/>
  <c r="W285" i="113" s="1"/>
  <c r="Y285" i="113" s="1"/>
  <c r="AC285" i="113" s="1"/>
  <c r="AG285" i="113" s="1"/>
  <c r="T2014" i="113"/>
  <c r="W2014" i="113" s="1"/>
  <c r="Y2014" i="113" s="1"/>
  <c r="AC2014" i="113" s="1"/>
  <c r="AG2014" i="113" s="1"/>
  <c r="T2353" i="113"/>
  <c r="W2353" i="113" s="1"/>
  <c r="Y2353" i="113" s="1"/>
  <c r="AC2353" i="113" s="1"/>
  <c r="AG2353" i="113" s="1"/>
  <c r="T1254" i="113"/>
  <c r="W1254" i="113" s="1"/>
  <c r="Y1254" i="113" s="1"/>
  <c r="AC1254" i="113" s="1"/>
  <c r="AG1254" i="113" s="1"/>
  <c r="T108" i="113"/>
  <c r="W108" i="113" s="1"/>
  <c r="Y108" i="113" s="1"/>
  <c r="AC108" i="113" s="1"/>
  <c r="AG108" i="113" s="1"/>
  <c r="T1368" i="113"/>
  <c r="W1368" i="113" s="1"/>
  <c r="Y1368" i="113" s="1"/>
  <c r="T1081" i="113"/>
  <c r="W1081" i="113" s="1"/>
  <c r="Y1081" i="113" s="1"/>
  <c r="AC1081" i="113" s="1"/>
  <c r="AG1081" i="113" s="1"/>
  <c r="T455" i="113"/>
  <c r="W455" i="113" s="1"/>
  <c r="Y455" i="113" s="1"/>
  <c r="AC455" i="113" s="1"/>
  <c r="AG455" i="113" s="1"/>
  <c r="T1237" i="113"/>
  <c r="W1237" i="113" s="1"/>
  <c r="Y1237" i="113" s="1"/>
  <c r="AC1237" i="113" s="1"/>
  <c r="AG1237" i="113" s="1"/>
  <c r="T1977" i="113"/>
  <c r="W1977" i="113" s="1"/>
  <c r="Y1977" i="113" s="1"/>
  <c r="AC1977" i="113" s="1"/>
  <c r="AG1977" i="113" s="1"/>
  <c r="T336" i="113"/>
  <c r="W336" i="113" s="1"/>
  <c r="Y336" i="113" s="1"/>
  <c r="AC336" i="113" s="1"/>
  <c r="AG336" i="113" s="1"/>
  <c r="T42" i="113"/>
  <c r="W42" i="113" s="1"/>
  <c r="Y42" i="113" s="1"/>
  <c r="T510" i="113"/>
  <c r="W510" i="113" s="1"/>
  <c r="Y510" i="113" s="1"/>
  <c r="T352" i="113"/>
  <c r="W352" i="113" s="1"/>
  <c r="Y352" i="113" s="1"/>
  <c r="AC352" i="113" s="1"/>
  <c r="AG352" i="113" s="1"/>
  <c r="T692" i="113"/>
  <c r="W692" i="113" s="1"/>
  <c r="Y692" i="113" s="1"/>
  <c r="AC692" i="113" s="1"/>
  <c r="AG692" i="113" s="1"/>
  <c r="T1944" i="113"/>
  <c r="W1944" i="113" s="1"/>
  <c r="Y1944" i="113" s="1"/>
  <c r="T206" i="113"/>
  <c r="W206" i="113" s="1"/>
  <c r="Y206" i="113" s="1"/>
  <c r="T2149" i="113"/>
  <c r="W2149" i="113" s="1"/>
  <c r="Y2149" i="113" s="1"/>
  <c r="AC2149" i="113" s="1"/>
  <c r="AG2149" i="113" s="1"/>
  <c r="T2138" i="113"/>
  <c r="W2138" i="113" s="1"/>
  <c r="Y2138" i="113" s="1"/>
  <c r="AC2138" i="113" s="1"/>
  <c r="AG2138" i="113" s="1"/>
  <c r="T1741" i="113"/>
  <c r="W1741" i="113" s="1"/>
  <c r="Y1741" i="113" s="1"/>
  <c r="AC1741" i="113" s="1"/>
  <c r="AG1741" i="113" s="1"/>
  <c r="T1113" i="113"/>
  <c r="W1113" i="113" s="1"/>
  <c r="Y1113" i="113" s="1"/>
  <c r="AC1113" i="113" s="1"/>
  <c r="AG1113" i="113" s="1"/>
  <c r="T345" i="113"/>
  <c r="W345" i="113" s="1"/>
  <c r="Y345" i="113" s="1"/>
  <c r="AC345" i="113" s="1"/>
  <c r="AG345" i="113" s="1"/>
  <c r="T1314" i="113"/>
  <c r="W1314" i="113" s="1"/>
  <c r="Y1314" i="113" s="1"/>
  <c r="AC1314" i="113" s="1"/>
  <c r="AG1314" i="113" s="1"/>
  <c r="T565" i="113"/>
  <c r="W565" i="113" s="1"/>
  <c r="Y565" i="113" s="1"/>
  <c r="T2343" i="113"/>
  <c r="W2343" i="113" s="1"/>
  <c r="Y2343" i="113" s="1"/>
  <c r="T1226" i="113"/>
  <c r="W1226" i="113" s="1"/>
  <c r="Y1226" i="113" s="1"/>
  <c r="AC1226" i="113" s="1"/>
  <c r="AG1226" i="113" s="1"/>
  <c r="T1133" i="113"/>
  <c r="W1133" i="113" s="1"/>
  <c r="Y1133" i="113" s="1"/>
  <c r="AC1133" i="113" s="1"/>
  <c r="AG1133" i="113" s="1"/>
  <c r="T1195" i="113"/>
  <c r="W1195" i="113" s="1"/>
  <c r="Y1195" i="113" s="1"/>
  <c r="AC1195" i="113" s="1"/>
  <c r="AG1195" i="113" s="1"/>
  <c r="T264" i="113"/>
  <c r="W264" i="113" s="1"/>
  <c r="Y264" i="113" s="1"/>
  <c r="AC264" i="113" s="1"/>
  <c r="AG264" i="113" s="1"/>
  <c r="T2459" i="113"/>
  <c r="W2459" i="113" s="1"/>
  <c r="Y2459" i="113" s="1"/>
  <c r="AC2459" i="113" s="1"/>
  <c r="AG2459" i="113" s="1"/>
  <c r="T776" i="113"/>
  <c r="W776" i="113" s="1"/>
  <c r="Y776" i="113" s="1"/>
  <c r="AC776" i="113" s="1"/>
  <c r="AG776" i="113" s="1"/>
  <c r="T2272" i="113"/>
  <c r="W2272" i="113" s="1"/>
  <c r="Y2272" i="113" s="1"/>
  <c r="T203" i="113"/>
  <c r="W203" i="113" s="1"/>
  <c r="Y203" i="113" s="1"/>
  <c r="AC203" i="113" s="1"/>
  <c r="AG203" i="113" s="1"/>
  <c r="T2607" i="113"/>
  <c r="W2607" i="113" s="1"/>
  <c r="Y2607" i="113" s="1"/>
  <c r="AC2607" i="113" s="1"/>
  <c r="AG2607" i="113" s="1"/>
  <c r="T419" i="113"/>
  <c r="T2308" i="113"/>
  <c r="W2308" i="113" s="1"/>
  <c r="Y2308" i="113" s="1"/>
  <c r="AC2308" i="113" s="1"/>
  <c r="AG2308" i="113" s="1"/>
  <c r="T1816" i="113"/>
  <c r="W1816" i="113" s="1"/>
  <c r="Y1816" i="113" s="1"/>
  <c r="T966" i="113"/>
  <c r="W966" i="113" s="1"/>
  <c r="Y966" i="113" s="1"/>
  <c r="AC966" i="113" s="1"/>
  <c r="AG966" i="113" s="1"/>
  <c r="T673" i="113"/>
  <c r="W673" i="113" s="1"/>
  <c r="Y673" i="113" s="1"/>
  <c r="T2581" i="113"/>
  <c r="W2581" i="113" s="1"/>
  <c r="Y2581" i="113" s="1"/>
  <c r="AC2581" i="113" s="1"/>
  <c r="AG2581" i="113" s="1"/>
  <c r="T1078" i="113"/>
  <c r="W1078" i="113" s="1"/>
  <c r="Y1078" i="113" s="1"/>
  <c r="T2286" i="113"/>
  <c r="W2286" i="113" s="1"/>
  <c r="Y2286" i="113" s="1"/>
  <c r="T1721" i="113"/>
  <c r="W1721" i="113" s="1"/>
  <c r="Y1721" i="113" s="1"/>
  <c r="AC1721" i="113" s="1"/>
  <c r="AG1721" i="113" s="1"/>
  <c r="T2430" i="113"/>
  <c r="W2430" i="113" s="1"/>
  <c r="Y2430" i="113" s="1"/>
  <c r="AC2430" i="113" s="1"/>
  <c r="AG2430" i="113" s="1"/>
  <c r="T1380" i="113"/>
  <c r="W1380" i="113" s="1"/>
  <c r="Y1380" i="113" s="1"/>
  <c r="AC1380" i="113" s="1"/>
  <c r="AG1380" i="113" s="1"/>
  <c r="T2087" i="113"/>
  <c r="W2087" i="113" s="1"/>
  <c r="Y2087" i="113" s="1"/>
  <c r="T100" i="113"/>
  <c r="W100" i="113" s="1"/>
  <c r="Y100" i="113" s="1"/>
  <c r="AC100" i="113" s="1"/>
  <c r="AG100" i="113" s="1"/>
  <c r="T2162" i="113"/>
  <c r="W2162" i="113" s="1"/>
  <c r="Y2162" i="113" s="1"/>
  <c r="T2028" i="113"/>
  <c r="W2028" i="113" s="1"/>
  <c r="Y2028" i="113" s="1"/>
  <c r="AC2028" i="113" s="1"/>
  <c r="AG2028" i="113" s="1"/>
  <c r="T1415" i="113"/>
  <c r="W1415" i="113" s="1"/>
  <c r="Y1415" i="113" s="1"/>
  <c r="AC1415" i="113" s="1"/>
  <c r="AG1415" i="113" s="1"/>
  <c r="T619" i="113"/>
  <c r="W619" i="113" s="1"/>
  <c r="Y619" i="113" s="1"/>
  <c r="AC619" i="113" s="1"/>
  <c r="AG619" i="113" s="1"/>
  <c r="T1612" i="113"/>
  <c r="W1612" i="113" s="1"/>
  <c r="Y1612" i="113" s="1"/>
  <c r="AC1612" i="113" s="1"/>
  <c r="AG1612" i="113" s="1"/>
  <c r="T390" i="113"/>
  <c r="W390" i="113" s="1"/>
  <c r="Y390" i="113" s="1"/>
  <c r="T750" i="113"/>
  <c r="W750" i="113" s="1"/>
  <c r="Y750" i="113" s="1"/>
  <c r="T1424" i="113"/>
  <c r="W1424" i="113" s="1"/>
  <c r="Y1424" i="113" s="1"/>
  <c r="T1662" i="113"/>
  <c r="W1662" i="113" s="1"/>
  <c r="Y1662" i="113" s="1"/>
  <c r="AC1662" i="113" s="1"/>
  <c r="AG1662" i="113" s="1"/>
  <c r="T1406" i="113"/>
  <c r="W1406" i="113" s="1"/>
  <c r="Y1406" i="113" s="1"/>
  <c r="T1594" i="113"/>
  <c r="W1594" i="113" s="1"/>
  <c r="Y1594" i="113" s="1"/>
  <c r="AC1594" i="113" s="1"/>
  <c r="AG1594" i="113" s="1"/>
  <c r="T1245" i="113"/>
  <c r="W1245" i="113" s="1"/>
  <c r="Y1245" i="113" s="1"/>
  <c r="AC1245" i="113" s="1"/>
  <c r="AG1245" i="113" s="1"/>
  <c r="T131" i="113"/>
  <c r="W131" i="113" s="1"/>
  <c r="Y131" i="113" s="1"/>
  <c r="AC131" i="113" s="1"/>
  <c r="AG131" i="113" s="1"/>
  <c r="T2405" i="113"/>
  <c r="W2405" i="113" s="1"/>
  <c r="Y2405" i="113" s="1"/>
  <c r="AC2405" i="113" s="1"/>
  <c r="AG2405" i="113" s="1"/>
  <c r="T2631" i="113"/>
  <c r="W2631" i="113" s="1"/>
  <c r="Y2631" i="113" s="1"/>
  <c r="T1287" i="113"/>
  <c r="W1287" i="113" s="1"/>
  <c r="Y1287" i="113" s="1"/>
  <c r="T1789" i="113"/>
  <c r="W1789" i="113" s="1"/>
  <c r="Y1789" i="113" s="1"/>
  <c r="AC1789" i="113" s="1"/>
  <c r="AG1789" i="113" s="1"/>
  <c r="T484" i="113"/>
  <c r="W484" i="113" s="1"/>
  <c r="Y484" i="113" s="1"/>
  <c r="T591" i="113"/>
  <c r="W591" i="113" s="1"/>
  <c r="Y591" i="113" s="1"/>
  <c r="AC591" i="113" s="1"/>
  <c r="AG591" i="113" s="1"/>
  <c r="T173" i="113"/>
  <c r="W173" i="113" s="1"/>
  <c r="Y173" i="113" s="1"/>
  <c r="AC173" i="113" s="1"/>
  <c r="AG173" i="113" s="1"/>
  <c r="T2565" i="113"/>
  <c r="W2565" i="113" s="1"/>
  <c r="Y2565" i="113" s="1"/>
  <c r="AC2565" i="113" s="1"/>
  <c r="AG2565" i="113" s="1"/>
  <c r="T1565" i="113"/>
  <c r="W1565" i="113" s="1"/>
  <c r="Y1565" i="113" s="1"/>
  <c r="T468" i="113"/>
  <c r="W468" i="113" s="1"/>
  <c r="Y468" i="113" s="1"/>
  <c r="T1732" i="113"/>
  <c r="W1732" i="113" s="1"/>
  <c r="Y1732" i="113" s="1"/>
  <c r="AC1732" i="113" s="1"/>
  <c r="AG1732" i="113" s="1"/>
  <c r="T1325" i="113"/>
  <c r="W1325" i="113" s="1"/>
  <c r="Y1325" i="113" s="1"/>
  <c r="AC1325" i="113" s="1"/>
  <c r="AG1325" i="113" s="1"/>
  <c r="T507" i="113"/>
  <c r="W507" i="113" s="1"/>
  <c r="Y507" i="113" s="1"/>
  <c r="AC507" i="113" s="1"/>
  <c r="AG507" i="113" s="1"/>
  <c r="T977" i="113"/>
  <c r="W977" i="113" s="1"/>
  <c r="Y977" i="113" s="1"/>
  <c r="T1260" i="113"/>
  <c r="W1260" i="113" s="1"/>
  <c r="Y1260" i="113" s="1"/>
  <c r="AC1260" i="113" s="1"/>
  <c r="AG1260" i="113" s="1"/>
  <c r="T1304" i="113"/>
  <c r="W1304" i="113" s="1"/>
  <c r="Y1304" i="113" s="1"/>
  <c r="AC1304" i="113" s="1"/>
  <c r="AG1304" i="113" s="1"/>
  <c r="T1150" i="113"/>
  <c r="W1150" i="113" s="1"/>
  <c r="Y1150" i="113" s="1"/>
  <c r="T2506" i="113"/>
  <c r="W2506" i="113" s="1"/>
  <c r="Y2506" i="113" s="1"/>
  <c r="T821" i="113"/>
  <c r="W821" i="113" s="1"/>
  <c r="Y821" i="113" s="1"/>
  <c r="AC821" i="113" s="1"/>
  <c r="AG821" i="113" s="1"/>
  <c r="T1717" i="113"/>
  <c r="W1717" i="113" s="1"/>
  <c r="Y1717" i="113" s="1"/>
  <c r="AC1717" i="113" s="1"/>
  <c r="AG1717" i="113" s="1"/>
  <c r="T1417" i="113"/>
  <c r="W1417" i="113" s="1"/>
  <c r="Y1417" i="113" s="1"/>
  <c r="T308" i="113"/>
  <c r="W308" i="113" s="1"/>
  <c r="Y308" i="113" s="1"/>
  <c r="AC308" i="113" s="1"/>
  <c r="AG308" i="113" s="1"/>
  <c r="T1267" i="113"/>
  <c r="W1267" i="113" s="1"/>
  <c r="Y1267" i="113" s="1"/>
  <c r="AC1267" i="113" s="1"/>
  <c r="AG1267" i="113" s="1"/>
  <c r="T1782" i="113"/>
  <c r="W1782" i="113" s="1"/>
  <c r="Y1782" i="113" s="1"/>
  <c r="AC1782" i="113" s="1"/>
  <c r="AG1782" i="113" s="1"/>
  <c r="T176" i="113"/>
  <c r="W176" i="113" s="1"/>
  <c r="Y176" i="113" s="1"/>
  <c r="AC176" i="113" s="1"/>
  <c r="AG176" i="113" s="1"/>
  <c r="T903" i="113"/>
  <c r="W903" i="113" s="1"/>
  <c r="Y903" i="113" s="1"/>
  <c r="AC903" i="113" s="1"/>
  <c r="AG903" i="113" s="1"/>
  <c r="T2258" i="113"/>
  <c r="W2258" i="113" s="1"/>
  <c r="Y2258" i="113" s="1"/>
  <c r="T1442" i="113"/>
  <c r="W1442" i="113" s="1"/>
  <c r="Y1442" i="113" s="1"/>
  <c r="AC1442" i="113" s="1"/>
  <c r="AG1442" i="113" s="1"/>
  <c r="T1726" i="113"/>
  <c r="W1726" i="113" s="1"/>
  <c r="Y1726" i="113" s="1"/>
  <c r="AC1726" i="113" s="1"/>
  <c r="AG1726" i="113" s="1"/>
  <c r="T1539" i="113"/>
  <c r="W1539" i="113" s="1"/>
  <c r="Y1539" i="113" s="1"/>
  <c r="T2464" i="113"/>
  <c r="W2464" i="113" s="1"/>
  <c r="Y2464" i="113" s="1"/>
  <c r="AC2464" i="113" s="1"/>
  <c r="AG2464" i="113" s="1"/>
  <c r="T2627" i="113"/>
  <c r="W2627" i="113" s="1"/>
  <c r="Y2627" i="113" s="1"/>
  <c r="AC2627" i="113" s="1"/>
  <c r="AG2627" i="113" s="1"/>
  <c r="T2204" i="113"/>
  <c r="T1798" i="113"/>
  <c r="W1798" i="113" s="1"/>
  <c r="Y1798" i="113" s="1"/>
  <c r="AC1798" i="113" s="1"/>
  <c r="AG1798" i="113" s="1"/>
  <c r="T1763" i="113"/>
  <c r="W1763" i="113" s="1"/>
  <c r="Y1763" i="113" s="1"/>
  <c r="AC1763" i="113" s="1"/>
  <c r="AG1763" i="113" s="1"/>
  <c r="T961" i="113"/>
  <c r="W961" i="113" s="1"/>
  <c r="Y961" i="113" s="1"/>
  <c r="AC961" i="113" s="1"/>
  <c r="AG961" i="113" s="1"/>
  <c r="T1846" i="113"/>
  <c r="W1846" i="113" s="1"/>
  <c r="Y1846" i="113" s="1"/>
  <c r="AC1846" i="113" s="1"/>
  <c r="AG1846" i="113" s="1"/>
  <c r="T2617" i="113"/>
  <c r="W2617" i="113" s="1"/>
  <c r="Y2617" i="113" s="1"/>
  <c r="AC2617" i="113" s="1"/>
  <c r="AG2617" i="113" s="1"/>
  <c r="T1049" i="113"/>
  <c r="W1049" i="113" s="1"/>
  <c r="Y1049" i="113" s="1"/>
  <c r="AC1049" i="113" s="1"/>
  <c r="AG1049" i="113" s="1"/>
  <c r="T57" i="113"/>
  <c r="W57" i="113" s="1"/>
  <c r="Y57" i="113" s="1"/>
  <c r="AC57" i="113" s="1"/>
  <c r="AG57" i="113" s="1"/>
  <c r="T1627" i="113"/>
  <c r="W1627" i="113" s="1"/>
  <c r="Y1627" i="113" s="1"/>
  <c r="T1954" i="113"/>
  <c r="W1954" i="113" s="1"/>
  <c r="Y1954" i="113" s="1"/>
  <c r="T2349" i="113"/>
  <c r="W2349" i="113" s="1"/>
  <c r="Y2349" i="113" s="1"/>
  <c r="T2414" i="113"/>
  <c r="W2414" i="113" s="1"/>
  <c r="Y2414" i="113" s="1"/>
  <c r="AC2414" i="113" s="1"/>
  <c r="AG2414" i="113" s="1"/>
  <c r="T2124" i="113"/>
  <c r="W2124" i="113" s="1"/>
  <c r="Y2124" i="113" s="1"/>
  <c r="AC2124" i="113" s="1"/>
  <c r="AG2124" i="113" s="1"/>
  <c r="T2175" i="113"/>
  <c r="T2540" i="113"/>
  <c r="W2540" i="113" s="1"/>
  <c r="Y2540" i="113" s="1"/>
  <c r="AC2540" i="113" s="1"/>
  <c r="AG2540" i="113" s="1"/>
  <c r="T1809" i="113"/>
  <c r="W1809" i="113" s="1"/>
  <c r="Y1809" i="113" s="1"/>
  <c r="AC1809" i="113" s="1"/>
  <c r="AG1809" i="113" s="1"/>
  <c r="T2218" i="113"/>
  <c r="W2218" i="113" s="1"/>
  <c r="Y2218" i="113" s="1"/>
  <c r="T726" i="113"/>
  <c r="W726" i="113" s="1"/>
  <c r="Y726" i="113" s="1"/>
  <c r="AC726" i="113" s="1"/>
  <c r="AG726" i="113" s="1"/>
  <c r="T342" i="113"/>
  <c r="W342" i="113" s="1"/>
  <c r="Y342" i="113" s="1"/>
  <c r="T1773" i="113"/>
  <c r="W1773" i="113" s="1"/>
  <c r="Y1773" i="113" s="1"/>
  <c r="AC1773" i="113" s="1"/>
  <c r="AG1773" i="113" s="1"/>
  <c r="T1663" i="113"/>
  <c r="W1663" i="113" s="1"/>
  <c r="Y1663" i="113" s="1"/>
  <c r="AC1663" i="113" s="1"/>
  <c r="AG1663" i="113" s="1"/>
  <c r="T1495" i="113"/>
  <c r="W1495" i="113" s="1"/>
  <c r="Y1495" i="113" s="1"/>
  <c r="AC1495" i="113" s="1"/>
  <c r="AG1495" i="113" s="1"/>
  <c r="T562" i="113"/>
  <c r="W562" i="113" s="1"/>
  <c r="Y562" i="113" s="1"/>
  <c r="AC562" i="113" s="1"/>
  <c r="AG562" i="113" s="1"/>
  <c r="T2411" i="113"/>
  <c r="W2411" i="113" s="1"/>
  <c r="Y2411" i="113" s="1"/>
  <c r="T2172" i="113"/>
  <c r="W2172" i="113" s="1"/>
  <c r="Y2172" i="113" s="1"/>
  <c r="T2270" i="113"/>
  <c r="W2270" i="113" s="1"/>
  <c r="Y2270" i="113" s="1"/>
  <c r="T509" i="113"/>
  <c r="W509" i="113" s="1"/>
  <c r="Y509" i="113" s="1"/>
  <c r="T2619" i="113"/>
  <c r="W2619" i="113" s="1"/>
  <c r="Y2619" i="113" s="1"/>
  <c r="AC2619" i="113" s="1"/>
  <c r="AG2619" i="113" s="1"/>
  <c r="T202" i="113"/>
  <c r="W202" i="113" s="1"/>
  <c r="Y202" i="113" s="1"/>
  <c r="AC202" i="113" s="1"/>
  <c r="AG202" i="113" s="1"/>
  <c r="T2496" i="113"/>
  <c r="W2496" i="113" s="1"/>
  <c r="Y2496" i="113" s="1"/>
  <c r="AC2496" i="113" s="1"/>
  <c r="AG2496" i="113" s="1"/>
  <c r="T1640" i="113"/>
  <c r="W1640" i="113" s="1"/>
  <c r="Y1640" i="113" s="1"/>
  <c r="AC1640" i="113" s="1"/>
  <c r="AG1640" i="113" s="1"/>
  <c r="T2539" i="113"/>
  <c r="W2539" i="113" s="1"/>
  <c r="Y2539" i="113" s="1"/>
  <c r="AC2539" i="113" s="1"/>
  <c r="AG2539" i="113" s="1"/>
  <c r="T1975" i="113"/>
  <c r="T487" i="113"/>
  <c r="W487" i="113" s="1"/>
  <c r="Y487" i="113" s="1"/>
  <c r="AC487" i="113" s="1"/>
  <c r="AG487" i="113" s="1"/>
  <c r="T1315" i="113"/>
  <c r="W1315" i="113" s="1"/>
  <c r="Y1315" i="113" s="1"/>
  <c r="T1632" i="113"/>
  <c r="W1632" i="113" s="1"/>
  <c r="Y1632" i="113" s="1"/>
  <c r="AC1632" i="113" s="1"/>
  <c r="AG1632" i="113" s="1"/>
  <c r="T60" i="113"/>
  <c r="W60" i="113" s="1"/>
  <c r="Y60" i="113" s="1"/>
  <c r="AC60" i="113" s="1"/>
  <c r="AG60" i="113" s="1"/>
  <c r="T1093" i="113"/>
  <c r="W1093" i="113" s="1"/>
  <c r="Y1093" i="113" s="1"/>
  <c r="AC1093" i="113" s="1"/>
  <c r="AG1093" i="113" s="1"/>
  <c r="T867" i="113"/>
  <c r="W867" i="113" s="1"/>
  <c r="Y867" i="113" s="1"/>
  <c r="AC867" i="113" s="1"/>
  <c r="AG867" i="113" s="1"/>
  <c r="T497" i="113"/>
  <c r="W497" i="113" s="1"/>
  <c r="Y497" i="113" s="1"/>
  <c r="AC497" i="113" s="1"/>
  <c r="AG497" i="113" s="1"/>
  <c r="T2113" i="113"/>
  <c r="W2113" i="113" s="1"/>
  <c r="Y2113" i="113" s="1"/>
  <c r="T2575" i="113"/>
  <c r="W2575" i="113" s="1"/>
  <c r="Y2575" i="113" s="1"/>
  <c r="T2656" i="113"/>
  <c r="W2656" i="113" s="1"/>
  <c r="Y2656" i="113" s="1"/>
  <c r="T2313" i="113"/>
  <c r="W2313" i="113" s="1"/>
  <c r="Y2313" i="113" s="1"/>
  <c r="AC2313" i="113" s="1"/>
  <c r="AG2313" i="113" s="1"/>
  <c r="T688" i="113"/>
  <c r="W688" i="113" s="1"/>
  <c r="Y688" i="113" s="1"/>
  <c r="AC688" i="113" s="1"/>
  <c r="AG688" i="113" s="1"/>
  <c r="T2547" i="113"/>
  <c r="W2547" i="113" s="1"/>
  <c r="Y2547" i="113" s="1"/>
  <c r="T1828" i="113"/>
  <c r="W1828" i="113" s="1"/>
  <c r="Y1828" i="113" s="1"/>
  <c r="AC1828" i="113" s="1"/>
  <c r="AG1828" i="113" s="1"/>
  <c r="T1547" i="113"/>
  <c r="W1547" i="113" s="1"/>
  <c r="Y1547" i="113" s="1"/>
  <c r="AC1547" i="113" s="1"/>
  <c r="AG1547" i="113" s="1"/>
  <c r="T2002" i="113"/>
  <c r="W2002" i="113" s="1"/>
  <c r="Y2002" i="113" s="1"/>
  <c r="T975" i="113"/>
  <c r="W975" i="113" s="1"/>
  <c r="Y975" i="113" s="1"/>
  <c r="AC975" i="113" s="1"/>
  <c r="AG975" i="113" s="1"/>
  <c r="T953" i="113"/>
  <c r="W953" i="113" s="1"/>
  <c r="Y953" i="113" s="1"/>
  <c r="AC953" i="113" s="1"/>
  <c r="AG953" i="113" s="1"/>
  <c r="T554" i="113"/>
  <c r="W554" i="113" s="1"/>
  <c r="Y554" i="113" s="1"/>
  <c r="T294" i="113"/>
  <c r="W294" i="113" s="1"/>
  <c r="Y294" i="113" s="1"/>
  <c r="AC294" i="113" s="1"/>
  <c r="AG294" i="113" s="1"/>
  <c r="T2433" i="113"/>
  <c r="W2433" i="113" s="1"/>
  <c r="Y2433" i="113" s="1"/>
  <c r="T380" i="113"/>
  <c r="W380" i="113" s="1"/>
  <c r="Y380" i="113" s="1"/>
  <c r="AC380" i="113" s="1"/>
  <c r="AG380" i="113" s="1"/>
  <c r="T2644" i="113"/>
  <c r="W2644" i="113" s="1"/>
  <c r="Y2644" i="113" s="1"/>
  <c r="AC2644" i="113" s="1"/>
  <c r="AG2644" i="113" s="1"/>
  <c r="T2146" i="113"/>
  <c r="W2146" i="113" s="1"/>
  <c r="Y2146" i="113" s="1"/>
  <c r="T405" i="113"/>
  <c r="W405" i="113" s="1"/>
  <c r="Y405" i="113" s="1"/>
  <c r="T1553" i="113"/>
  <c r="W1553" i="113" s="1"/>
  <c r="Y1553" i="113" s="1"/>
  <c r="T2359" i="113"/>
  <c r="W2359" i="113" s="1"/>
  <c r="Y2359" i="113" s="1"/>
  <c r="AC2359" i="113" s="1"/>
  <c r="AG2359" i="113" s="1"/>
  <c r="T15" i="113"/>
  <c r="W15" i="113" s="1"/>
  <c r="Y15" i="113" s="1"/>
  <c r="AC15" i="113" s="1"/>
  <c r="AG15" i="113" s="1"/>
  <c r="T860" i="113"/>
  <c r="W860" i="113" s="1"/>
  <c r="Y860" i="113" s="1"/>
  <c r="AC860" i="113" s="1"/>
  <c r="AG860" i="113" s="1"/>
  <c r="T333" i="113"/>
  <c r="W333" i="113" s="1"/>
  <c r="Y333" i="113" s="1"/>
  <c r="T2064" i="113"/>
  <c r="W2064" i="113" s="1"/>
  <c r="Y2064" i="113" s="1"/>
  <c r="T1060" i="113"/>
  <c r="W1060" i="113" s="1"/>
  <c r="Y1060" i="113" s="1"/>
  <c r="AC1060" i="113" s="1"/>
  <c r="AG1060" i="113" s="1"/>
  <c r="T1185" i="113"/>
  <c r="W1185" i="113" s="1"/>
  <c r="Y1185" i="113" s="1"/>
  <c r="T364" i="113"/>
  <c r="W364" i="113" s="1"/>
  <c r="Y364" i="113" s="1"/>
  <c r="AC364" i="113" s="1"/>
  <c r="AG364" i="113" s="1"/>
  <c r="T1672" i="113"/>
  <c r="W1672" i="113" s="1"/>
  <c r="Y1672" i="113" s="1"/>
  <c r="T2633" i="113"/>
  <c r="W2633" i="113" s="1"/>
  <c r="Y2633" i="113" s="1"/>
  <c r="T759" i="113"/>
  <c r="W759" i="113" s="1"/>
  <c r="Y759" i="113" s="1"/>
  <c r="AC759" i="113" s="1"/>
  <c r="AG759" i="113" s="1"/>
  <c r="T376" i="113"/>
  <c r="W376" i="113" s="1"/>
  <c r="Y376" i="113" s="1"/>
  <c r="T1224" i="113"/>
  <c r="W1224" i="113" s="1"/>
  <c r="Y1224" i="113" s="1"/>
  <c r="AC1224" i="113" s="1"/>
  <c r="AG1224" i="113" s="1"/>
  <c r="T1521" i="113"/>
  <c r="W1521" i="113" s="1"/>
  <c r="Y1521" i="113" s="1"/>
  <c r="AC1521" i="113" s="1"/>
  <c r="AG1521" i="113" s="1"/>
  <c r="T2291" i="113"/>
  <c r="W2291" i="113" s="1"/>
  <c r="Y2291" i="113" s="1"/>
  <c r="T2371" i="113"/>
  <c r="W2371" i="113" s="1"/>
  <c r="Y2371" i="113" s="1"/>
  <c r="T2387" i="113"/>
  <c r="W2387" i="113" s="1"/>
  <c r="Y2387" i="113" s="1"/>
  <c r="AC2387" i="113" s="1"/>
  <c r="AG2387" i="113" s="1"/>
  <c r="T2652" i="113"/>
  <c r="W2652" i="113" s="1"/>
  <c r="Y2652" i="113" s="1"/>
  <c r="AC2652" i="113" s="1"/>
  <c r="AG2652" i="113" s="1"/>
  <c r="T1759" i="113"/>
  <c r="W1759" i="113" s="1"/>
  <c r="Y1759" i="113" s="1"/>
  <c r="AC1759" i="113" s="1"/>
  <c r="AG1759" i="113" s="1"/>
  <c r="T2107" i="113"/>
  <c r="W2107" i="113" s="1"/>
  <c r="Y2107" i="113" s="1"/>
  <c r="AC2107" i="113" s="1"/>
  <c r="AG2107" i="113" s="1"/>
  <c r="T2065" i="113"/>
  <c r="W2065" i="113" s="1"/>
  <c r="Y2065" i="113" s="1"/>
  <c r="AC2065" i="113" s="1"/>
  <c r="AG2065" i="113" s="1"/>
  <c r="T2061" i="113"/>
  <c r="W2061" i="113" s="1"/>
  <c r="Y2061" i="113" s="1"/>
  <c r="AC2061" i="113" s="1"/>
  <c r="AG2061" i="113" s="1"/>
  <c r="T2072" i="113"/>
  <c r="T1333" i="113"/>
  <c r="W1333" i="113" s="1"/>
  <c r="Y1333" i="113" s="1"/>
  <c r="T1986" i="113"/>
  <c r="W1986" i="113" s="1"/>
  <c r="Y1986" i="113" s="1"/>
  <c r="AC1986" i="113" s="1"/>
  <c r="AG1986" i="113" s="1"/>
  <c r="T2467" i="113"/>
  <c r="W2467" i="113" s="1"/>
  <c r="Y2467" i="113" s="1"/>
  <c r="AC2467" i="113" s="1"/>
  <c r="AG2467" i="113" s="1"/>
  <c r="T281" i="113"/>
  <c r="W281" i="113" s="1"/>
  <c r="Y281" i="113" s="1"/>
  <c r="AC281" i="113" s="1"/>
  <c r="AG281" i="113" s="1"/>
  <c r="T2181" i="113"/>
  <c r="W2181" i="113" s="1"/>
  <c r="Y2181" i="113" s="1"/>
  <c r="T351" i="113"/>
  <c r="W351" i="113" s="1"/>
  <c r="Y351" i="113" s="1"/>
  <c r="T1296" i="113"/>
  <c r="W1296" i="113" s="1"/>
  <c r="Y1296" i="113" s="1"/>
  <c r="AC1296" i="113" s="1"/>
  <c r="AG1296" i="113" s="1"/>
  <c r="T1385" i="113"/>
  <c r="W1385" i="113" s="1"/>
  <c r="Y1385" i="113" s="1"/>
  <c r="T1768" i="113"/>
  <c r="W1768" i="113" s="1"/>
  <c r="Y1768" i="113" s="1"/>
  <c r="AC1768" i="113" s="1"/>
  <c r="AG1768" i="113" s="1"/>
  <c r="T2421" i="113"/>
  <c r="W2421" i="113" s="1"/>
  <c r="Y2421" i="113" s="1"/>
  <c r="T1675" i="113"/>
  <c r="W1675" i="113" s="1"/>
  <c r="Y1675" i="113" s="1"/>
  <c r="AC1675" i="113" s="1"/>
  <c r="AG1675" i="113" s="1"/>
  <c r="T795" i="113"/>
  <c r="W795" i="113" s="1"/>
  <c r="Y795" i="113" s="1"/>
  <c r="T1793" i="113"/>
  <c r="W1793" i="113" s="1"/>
  <c r="Y1793" i="113" s="1"/>
  <c r="T2445" i="113"/>
  <c r="W2445" i="113" s="1"/>
  <c r="Y2445" i="113" s="1"/>
  <c r="AC2445" i="113" s="1"/>
  <c r="AG2445" i="113" s="1"/>
  <c r="T402" i="113"/>
  <c r="W402" i="113" s="1"/>
  <c r="Y402" i="113" s="1"/>
  <c r="AC402" i="113" s="1"/>
  <c r="AG402" i="113" s="1"/>
  <c r="T1057" i="113"/>
  <c r="W1057" i="113" s="1"/>
  <c r="Y1057" i="113" s="1"/>
  <c r="T485" i="113"/>
  <c r="W485" i="113" s="1"/>
  <c r="Y485" i="113" s="1"/>
  <c r="AC485" i="113" s="1"/>
  <c r="AG485" i="113" s="1"/>
  <c r="T379" i="113"/>
  <c r="W379" i="113" s="1"/>
  <c r="Y379" i="113" s="1"/>
  <c r="T1693" i="113"/>
  <c r="W1693" i="113" s="1"/>
  <c r="Y1693" i="113" s="1"/>
  <c r="T615" i="113"/>
  <c r="T1559" i="113"/>
  <c r="W1559" i="113" s="1"/>
  <c r="Y1559" i="113" s="1"/>
  <c r="AC1559" i="113" s="1"/>
  <c r="AG1559" i="113" s="1"/>
  <c r="T913" i="113"/>
  <c r="W913" i="113" s="1"/>
  <c r="Y913" i="113" s="1"/>
  <c r="AC913" i="113" s="1"/>
  <c r="AG913" i="113" s="1"/>
  <c r="T2262" i="113"/>
  <c r="W2262" i="113" s="1"/>
  <c r="Y2262" i="113" s="1"/>
  <c r="AC2262" i="113" s="1"/>
  <c r="AG2262" i="113" s="1"/>
  <c r="T1666" i="113"/>
  <c r="W1666" i="113" s="1"/>
  <c r="Y1666" i="113" s="1"/>
  <c r="T1404" i="113"/>
  <c r="W1404" i="113" s="1"/>
  <c r="Y1404" i="113" s="1"/>
  <c r="T2481" i="113"/>
  <c r="W2481" i="113" s="1"/>
  <c r="Y2481" i="113" s="1"/>
  <c r="AC2481" i="113" s="1"/>
  <c r="AG2481" i="113" s="1"/>
  <c r="T656" i="113"/>
  <c r="W656" i="113" s="1"/>
  <c r="Y656" i="113" s="1"/>
  <c r="AC656" i="113" s="1"/>
  <c r="AG656" i="113" s="1"/>
  <c r="T2325" i="113"/>
  <c r="W2325" i="113" s="1"/>
  <c r="Y2325" i="113" s="1"/>
  <c r="AC2325" i="113" s="1"/>
  <c r="AG2325" i="113" s="1"/>
  <c r="T1652" i="113"/>
  <c r="W1652" i="113" s="1"/>
  <c r="Y1652" i="113" s="1"/>
  <c r="AC1652" i="113" s="1"/>
  <c r="AG1652" i="113" s="1"/>
  <c r="T24" i="113"/>
  <c r="W24" i="113" s="1"/>
  <c r="Y24" i="113" s="1"/>
  <c r="T385" i="113"/>
  <c r="W385" i="113" s="1"/>
  <c r="Y385" i="113" s="1"/>
  <c r="AC385" i="113" s="1"/>
  <c r="AG385" i="113" s="1"/>
  <c r="T2482" i="113"/>
  <c r="W2482" i="113" s="1"/>
  <c r="Y2482" i="113" s="1"/>
  <c r="T1927" i="113"/>
  <c r="W1927" i="113" s="1"/>
  <c r="Y1927" i="113" s="1"/>
  <c r="AC1927" i="113" s="1"/>
  <c r="AG1927" i="113" s="1"/>
  <c r="T636" i="113"/>
  <c r="W636" i="113" s="1"/>
  <c r="Y636" i="113" s="1"/>
  <c r="T480" i="113"/>
  <c r="W480" i="113" s="1"/>
  <c r="Y480" i="113" s="1"/>
  <c r="AC480" i="113" s="1"/>
  <c r="AG480" i="113" s="1"/>
  <c r="T1031" i="113"/>
  <c r="W1031" i="113" s="1"/>
  <c r="Y1031" i="113" s="1"/>
  <c r="T1000" i="113"/>
  <c r="W1000" i="113" s="1"/>
  <c r="Y1000" i="113" s="1"/>
  <c r="AC1000" i="113" s="1"/>
  <c r="AG1000" i="113" s="1"/>
  <c r="T375" i="113"/>
  <c r="W375" i="113" s="1"/>
  <c r="Y375" i="113" s="1"/>
  <c r="T1108" i="113"/>
  <c r="W1108" i="113" s="1"/>
  <c r="Y1108" i="113" s="1"/>
  <c r="T2404" i="113"/>
  <c r="W2404" i="113" s="1"/>
  <c r="Y2404" i="113" s="1"/>
  <c r="T2068" i="113"/>
  <c r="W2068" i="113" s="1"/>
  <c r="Y2068" i="113" s="1"/>
  <c r="AC2068" i="113" s="1"/>
  <c r="AG2068" i="113" s="1"/>
  <c r="T733" i="113"/>
  <c r="W733" i="113" s="1"/>
  <c r="Y733" i="113" s="1"/>
  <c r="AC733" i="113" s="1"/>
  <c r="AG733" i="113" s="1"/>
  <c r="T2529" i="113"/>
  <c r="W2529" i="113" s="1"/>
  <c r="Y2529" i="113" s="1"/>
  <c r="AC2529" i="113" s="1"/>
  <c r="AG2529" i="113" s="1"/>
  <c r="T1454" i="113"/>
  <c r="W1454" i="113" s="1"/>
  <c r="Y1454" i="113" s="1"/>
  <c r="AC1454" i="113" s="1"/>
  <c r="AG1454" i="113" s="1"/>
  <c r="T2030" i="113"/>
  <c r="W2030" i="113" s="1"/>
  <c r="Y2030" i="113" s="1"/>
  <c r="AC2030" i="113" s="1"/>
  <c r="AG2030" i="113" s="1"/>
  <c r="T2544" i="113"/>
  <c r="W2544" i="113" s="1"/>
  <c r="Y2544" i="113" s="1"/>
  <c r="AC2544" i="113" s="1"/>
  <c r="AG2544" i="113" s="1"/>
  <c r="T735" i="113"/>
  <c r="W735" i="113" s="1"/>
  <c r="Y735" i="113" s="1"/>
  <c r="AC735" i="113" s="1"/>
  <c r="AG735" i="113" s="1"/>
  <c r="T2409" i="113"/>
  <c r="W2409" i="113" s="1"/>
  <c r="Y2409" i="113" s="1"/>
  <c r="AC2409" i="113" s="1"/>
  <c r="AG2409" i="113" s="1"/>
  <c r="T2618" i="113"/>
  <c r="W2618" i="113" s="1"/>
  <c r="Y2618" i="113" s="1"/>
  <c r="T1981" i="113"/>
  <c r="W1981" i="113" s="1"/>
  <c r="Y1981" i="113" s="1"/>
  <c r="T1530" i="113"/>
  <c r="W1530" i="113" s="1"/>
  <c r="Y1530" i="113" s="1"/>
  <c r="T401" i="113"/>
  <c r="W401" i="113" s="1"/>
  <c r="Y401" i="113" s="1"/>
  <c r="AC401" i="113" s="1"/>
  <c r="AG401" i="113" s="1"/>
  <c r="T1537" i="113"/>
  <c r="W1537" i="113" s="1"/>
  <c r="Y1537" i="113" s="1"/>
  <c r="T1671" i="113"/>
  <c r="W1671" i="113" s="1"/>
  <c r="Y1671" i="113" s="1"/>
  <c r="T747" i="113"/>
  <c r="W747" i="113" s="1"/>
  <c r="Y747" i="113" s="1"/>
  <c r="AC747" i="113" s="1"/>
  <c r="AG747" i="113" s="1"/>
  <c r="T2274" i="113"/>
  <c r="W2274" i="113" s="1"/>
  <c r="Y2274" i="113" s="1"/>
  <c r="AC2274" i="113" s="1"/>
  <c r="AG2274" i="113" s="1"/>
  <c r="T2490" i="113"/>
  <c r="W2490" i="113" s="1"/>
  <c r="Y2490" i="113" s="1"/>
  <c r="AC2490" i="113" s="1"/>
  <c r="AG2490" i="113" s="1"/>
  <c r="T2264" i="113"/>
  <c r="W2264" i="113" s="1"/>
  <c r="Y2264" i="113" s="1"/>
  <c r="AC2264" i="113" s="1"/>
  <c r="AG2264" i="113" s="1"/>
  <c r="T1996" i="113"/>
  <c r="W1996" i="113" s="1"/>
  <c r="Y1996" i="113" s="1"/>
  <c r="T1436" i="113"/>
  <c r="W1436" i="113" s="1"/>
  <c r="Y1436" i="113" s="1"/>
  <c r="AC1436" i="113" s="1"/>
  <c r="AG1436" i="113" s="1"/>
  <c r="T1830" i="113"/>
  <c r="W1830" i="113" s="1"/>
  <c r="Y1830" i="113" s="1"/>
  <c r="AC1830" i="113" s="1"/>
  <c r="AG1830" i="113" s="1"/>
  <c r="T946" i="113"/>
  <c r="W946" i="113" s="1"/>
  <c r="Y946" i="113" s="1"/>
  <c r="AC946" i="113" s="1"/>
  <c r="AG946" i="113" s="1"/>
  <c r="T1787" i="113"/>
  <c r="W1787" i="113" s="1"/>
  <c r="Y1787" i="113" s="1"/>
  <c r="AC1787" i="113" s="1"/>
  <c r="AG1787" i="113" s="1"/>
  <c r="T1112" i="113"/>
  <c r="W1112" i="113" s="1"/>
  <c r="Y1112" i="113" s="1"/>
  <c r="AC1112" i="113" s="1"/>
  <c r="AG1112" i="113" s="1"/>
  <c r="T2632" i="113"/>
  <c r="W2632" i="113" s="1"/>
  <c r="Y2632" i="113" s="1"/>
  <c r="T590" i="113"/>
  <c r="W590" i="113" s="1"/>
  <c r="Y590" i="113" s="1"/>
  <c r="AC590" i="113" s="1"/>
  <c r="AG590" i="113" s="1"/>
  <c r="T1783" i="113"/>
  <c r="W1783" i="113" s="1"/>
  <c r="Y1783" i="113" s="1"/>
  <c r="AC1783" i="113" s="1"/>
  <c r="AG1783" i="113" s="1"/>
  <c r="T1375" i="113"/>
  <c r="W1375" i="113" s="1"/>
  <c r="Y1375" i="113" s="1"/>
  <c r="T980" i="113"/>
  <c r="W980" i="113" s="1"/>
  <c r="Y980" i="113" s="1"/>
  <c r="AC980" i="113" s="1"/>
  <c r="AG980" i="113" s="1"/>
  <c r="T842" i="113"/>
  <c r="W842" i="113" s="1"/>
  <c r="Y842" i="113" s="1"/>
  <c r="AC842" i="113" s="1"/>
  <c r="AG842" i="113" s="1"/>
  <c r="T1542" i="113"/>
  <c r="W1542" i="113" s="1"/>
  <c r="Y1542" i="113" s="1"/>
  <c r="AC1542" i="113" s="1"/>
  <c r="AG1542" i="113" s="1"/>
  <c r="T1998" i="113"/>
  <c r="W1998" i="113" s="1"/>
  <c r="Y1998" i="113" s="1"/>
  <c r="AC1998" i="113" s="1"/>
  <c r="AG1998" i="113" s="1"/>
  <c r="T1550" i="113"/>
  <c r="W1550" i="113" s="1"/>
  <c r="Y1550" i="113" s="1"/>
  <c r="T2554" i="113"/>
  <c r="W2554" i="113" s="1"/>
  <c r="Y2554" i="113" s="1"/>
  <c r="AC2554" i="113" s="1"/>
  <c r="AG2554" i="113" s="1"/>
  <c r="T2589" i="113"/>
  <c r="W2589" i="113" s="1"/>
  <c r="Y2589" i="113" s="1"/>
  <c r="AC2589" i="113" s="1"/>
  <c r="AG2589" i="113" s="1"/>
  <c r="T1999" i="113"/>
  <c r="W1999" i="113" s="1"/>
  <c r="Y1999" i="113" s="1"/>
  <c r="T1405" i="113"/>
  <c r="W1405" i="113" s="1"/>
  <c r="Y1405" i="113" s="1"/>
  <c r="AC1405" i="113" s="1"/>
  <c r="AG1405" i="113" s="1"/>
  <c r="T1872" i="113"/>
  <c r="W1872" i="113" s="1"/>
  <c r="Y1872" i="113" s="1"/>
  <c r="AC1872" i="113" s="1"/>
  <c r="AG1872" i="113" s="1"/>
  <c r="T288" i="113"/>
  <c r="W288" i="113" s="1"/>
  <c r="Y288" i="113" s="1"/>
  <c r="AC288" i="113" s="1"/>
  <c r="AG288" i="113" s="1"/>
  <c r="T526" i="113"/>
  <c r="W526" i="113" s="1"/>
  <c r="Y526" i="113" s="1"/>
  <c r="T603" i="113"/>
  <c r="W603" i="113" s="1"/>
  <c r="Y603" i="113" s="1"/>
  <c r="T1416" i="113"/>
  <c r="W1416" i="113" s="1"/>
  <c r="Y1416" i="113" s="1"/>
  <c r="AC1416" i="113" s="1"/>
  <c r="AG1416" i="113" s="1"/>
  <c r="T2299" i="113"/>
  <c r="W2299" i="113" s="1"/>
  <c r="Y2299" i="113" s="1"/>
  <c r="AC2299" i="113" s="1"/>
  <c r="AG2299" i="113" s="1"/>
  <c r="T1090" i="113"/>
  <c r="W1090" i="113" s="1"/>
  <c r="Y1090" i="113" s="1"/>
  <c r="AC1090" i="113" s="1"/>
  <c r="AG1090" i="113" s="1"/>
  <c r="T814" i="113"/>
  <c r="W814" i="113" s="1"/>
  <c r="Y814" i="113" s="1"/>
  <c r="AC814" i="113" s="1"/>
  <c r="AG814" i="113" s="1"/>
  <c r="T1062" i="113"/>
  <c r="W1062" i="113" s="1"/>
  <c r="Y1062" i="113" s="1"/>
  <c r="T588" i="113"/>
  <c r="W588" i="113" s="1"/>
  <c r="Y588" i="113" s="1"/>
  <c r="AC588" i="113" s="1"/>
  <c r="AG588" i="113" s="1"/>
  <c r="T738" i="113"/>
  <c r="W738" i="113" s="1"/>
  <c r="Y738" i="113" s="1"/>
  <c r="T2330" i="113"/>
  <c r="W2330" i="113" s="1"/>
  <c r="Y2330" i="113" s="1"/>
  <c r="AC2330" i="113" s="1"/>
  <c r="AG2330" i="113" s="1"/>
  <c r="T221" i="113"/>
  <c r="W221" i="113" s="1"/>
  <c r="Y221" i="113" s="1"/>
  <c r="AC221" i="113" s="1"/>
  <c r="AG221" i="113" s="1"/>
  <c r="T2474" i="113"/>
  <c r="T299" i="113"/>
  <c r="W299" i="113" s="1"/>
  <c r="Y299" i="113" s="1"/>
  <c r="AC299" i="113" s="1"/>
  <c r="AG299" i="113" s="1"/>
  <c r="T847" i="113"/>
  <c r="W847" i="113" s="1"/>
  <c r="Y847" i="113" s="1"/>
  <c r="AC847" i="113" s="1"/>
  <c r="AG847" i="113" s="1"/>
  <c r="T1274" i="113"/>
  <c r="W1274" i="113" s="1"/>
  <c r="Y1274" i="113" s="1"/>
  <c r="AC1274" i="113" s="1"/>
  <c r="AG1274" i="113" s="1"/>
  <c r="T2422" i="113"/>
  <c r="W2422" i="113" s="1"/>
  <c r="Y2422" i="113" s="1"/>
  <c r="T2075" i="113"/>
  <c r="W2075" i="113" s="1"/>
  <c r="Y2075" i="113" s="1"/>
  <c r="AC2075" i="113" s="1"/>
  <c r="AG2075" i="113" s="1"/>
  <c r="T1076" i="113"/>
  <c r="W1076" i="113" s="1"/>
  <c r="Y1076" i="113" s="1"/>
  <c r="T2326" i="113"/>
  <c r="W2326" i="113" s="1"/>
  <c r="Y2326" i="113" s="1"/>
  <c r="T1015" i="113"/>
  <c r="W1015" i="113" s="1"/>
  <c r="Y1015" i="113" s="1"/>
  <c r="AC1015" i="113" s="1"/>
  <c r="AG1015" i="113" s="1"/>
  <c r="T628" i="113"/>
  <c r="W628" i="113" s="1"/>
  <c r="Y628" i="113" s="1"/>
  <c r="T2628" i="113"/>
  <c r="W2628" i="113" s="1"/>
  <c r="Y2628" i="113" s="1"/>
  <c r="T426" i="113"/>
  <c r="W426" i="113" s="1"/>
  <c r="Y426" i="113" s="1"/>
  <c r="T1706" i="113"/>
  <c r="W1706" i="113" s="1"/>
  <c r="Y1706" i="113" s="1"/>
  <c r="T1312" i="113"/>
  <c r="W1312" i="113" s="1"/>
  <c r="Y1312" i="113" s="1"/>
  <c r="T2086" i="113"/>
  <c r="W2086" i="113" s="1"/>
  <c r="Y2086" i="113" s="1"/>
  <c r="AC2086" i="113" s="1"/>
  <c r="AG2086" i="113" s="1"/>
  <c r="T870" i="113"/>
  <c r="W870" i="113" s="1"/>
  <c r="Y870" i="113" s="1"/>
  <c r="AC870" i="113" s="1"/>
  <c r="AG870" i="113" s="1"/>
  <c r="T2263" i="113"/>
  <c r="W2263" i="113" s="1"/>
  <c r="Y2263" i="113" s="1"/>
  <c r="T1280" i="113"/>
  <c r="W1280" i="113" s="1"/>
  <c r="Y1280" i="113" s="1"/>
  <c r="T2465" i="113"/>
  <c r="W2465" i="113" s="1"/>
  <c r="Y2465" i="113" s="1"/>
  <c r="T1620" i="113"/>
  <c r="W1620" i="113" s="1"/>
  <c r="Y1620" i="113" s="1"/>
  <c r="T725" i="113"/>
  <c r="W725" i="113" s="1"/>
  <c r="Y725" i="113" s="1"/>
  <c r="T1814" i="113"/>
  <c r="W1814" i="113" s="1"/>
  <c r="Y1814" i="113" s="1"/>
  <c r="AC1814" i="113" s="1"/>
  <c r="AG1814" i="113" s="1"/>
  <c r="T1900" i="113"/>
  <c r="W1900" i="113" s="1"/>
  <c r="Y1900" i="113" s="1"/>
  <c r="T1978" i="113"/>
  <c r="W1978" i="113" s="1"/>
  <c r="Y1978" i="113" s="1"/>
  <c r="AC1978" i="113" s="1"/>
  <c r="AG1978" i="113" s="1"/>
  <c r="T851" i="113"/>
  <c r="W851" i="113" s="1"/>
  <c r="Y851" i="113" s="1"/>
  <c r="T1857" i="113"/>
  <c r="W1857" i="113" s="1"/>
  <c r="Y1857" i="113" s="1"/>
  <c r="AC1857" i="113" s="1"/>
  <c r="AG1857" i="113" s="1"/>
  <c r="T2675" i="113"/>
  <c r="W2675" i="113" s="1"/>
  <c r="Y2675" i="113" s="1"/>
  <c r="T2550" i="113"/>
  <c r="W2550" i="113" s="1"/>
  <c r="Y2550" i="113" s="1"/>
  <c r="AC2550" i="113" s="1"/>
  <c r="AG2550" i="113" s="1"/>
  <c r="T644" i="113"/>
  <c r="T863" i="113"/>
  <c r="W863" i="113" s="1"/>
  <c r="Y863" i="113" s="1"/>
  <c r="AC863" i="113" s="1"/>
  <c r="AG863" i="113" s="1"/>
  <c r="T1275" i="113"/>
  <c r="W1275" i="113" s="1"/>
  <c r="Y1275" i="113" s="1"/>
  <c r="AC1275" i="113" s="1"/>
  <c r="AG1275" i="113" s="1"/>
  <c r="T2562" i="113"/>
  <c r="W2562" i="113" s="1"/>
  <c r="Y2562" i="113" s="1"/>
  <c r="T2447" i="113"/>
  <c r="W2447" i="113" s="1"/>
  <c r="Y2447" i="113" s="1"/>
  <c r="AC2447" i="113" s="1"/>
  <c r="AG2447" i="113" s="1"/>
  <c r="T110" i="113"/>
  <c r="W110" i="113" s="1"/>
  <c r="Y110" i="113" s="1"/>
  <c r="T494" i="113"/>
  <c r="W494" i="113" s="1"/>
  <c r="Y494" i="113" s="1"/>
  <c r="AC494" i="113" s="1"/>
  <c r="AG494" i="113" s="1"/>
  <c r="T1402" i="113"/>
  <c r="W1402" i="113" s="1"/>
  <c r="Y1402" i="113" s="1"/>
  <c r="AC1402" i="113" s="1"/>
  <c r="AG1402" i="113" s="1"/>
  <c r="T2202" i="113"/>
  <c r="W2202" i="113" s="1"/>
  <c r="Y2202" i="113" s="1"/>
  <c r="T1723" i="113"/>
  <c r="W1723" i="113" s="1"/>
  <c r="Y1723" i="113" s="1"/>
  <c r="T2293" i="113"/>
  <c r="W2293" i="113" s="1"/>
  <c r="Y2293" i="113" s="1"/>
  <c r="T1777" i="113"/>
  <c r="W1777" i="113" s="1"/>
  <c r="Y1777" i="113" s="1"/>
  <c r="AC1777" i="113" s="1"/>
  <c r="AG1777" i="113" s="1"/>
  <c r="T581" i="113"/>
  <c r="W581" i="113" s="1"/>
  <c r="Y581" i="113" s="1"/>
  <c r="AC581" i="113" s="1"/>
  <c r="AG581" i="113" s="1"/>
  <c r="T2185" i="113"/>
  <c r="W2185" i="113" s="1"/>
  <c r="Y2185" i="113" s="1"/>
  <c r="T2586" i="113"/>
  <c r="W2586" i="113" s="1"/>
  <c r="Y2586" i="113" s="1"/>
  <c r="AC2586" i="113" s="1"/>
  <c r="AG2586" i="113" s="1"/>
  <c r="T1645" i="113"/>
  <c r="T1520" i="113"/>
  <c r="W1520" i="113" s="1"/>
  <c r="Y1520" i="113" s="1"/>
  <c r="AC1520" i="113" s="1"/>
  <c r="AG1520" i="113" s="1"/>
  <c r="T777" i="113"/>
  <c r="W777" i="113" s="1"/>
  <c r="Y777" i="113" s="1"/>
  <c r="AC777" i="113" s="1"/>
  <c r="AG777" i="113" s="1"/>
  <c r="T1624" i="113"/>
  <c r="W1624" i="113" s="1"/>
  <c r="Y1624" i="113" s="1"/>
  <c r="AC1624" i="113" s="1"/>
  <c r="AG1624" i="113" s="1"/>
  <c r="T52" i="113"/>
  <c r="W52" i="113" s="1"/>
  <c r="Y52" i="113" s="1"/>
  <c r="T594" i="113"/>
  <c r="W594" i="113" s="1"/>
  <c r="Y594" i="113" s="1"/>
  <c r="T1557" i="113"/>
  <c r="W1557" i="113" s="1"/>
  <c r="Y1557" i="113" s="1"/>
  <c r="T1046" i="113"/>
  <c r="W1046" i="113" s="1"/>
  <c r="Y1046" i="113" s="1"/>
  <c r="AC1046" i="113" s="1"/>
  <c r="AG1046" i="113" s="1"/>
  <c r="T2078" i="113"/>
  <c r="W2078" i="113" s="1"/>
  <c r="Y2078" i="113" s="1"/>
  <c r="T2046" i="113"/>
  <c r="W2046" i="113" s="1"/>
  <c r="Y2046" i="113" s="1"/>
  <c r="AC2046" i="113" s="1"/>
  <c r="AG2046" i="113" s="1"/>
  <c r="T373" i="113"/>
  <c r="W373" i="113" s="1"/>
  <c r="Y373" i="113" s="1"/>
  <c r="AC373" i="113" s="1"/>
  <c r="AG373" i="113" s="1"/>
  <c r="T2197" i="113"/>
  <c r="W2197" i="113" s="1"/>
  <c r="Y2197" i="113" s="1"/>
  <c r="T1930" i="113"/>
  <c r="W1930" i="113" s="1"/>
  <c r="Y1930" i="113" s="1"/>
  <c r="AC1930" i="113" s="1"/>
  <c r="AG1930" i="113" s="1"/>
  <c r="T1946" i="113"/>
  <c r="W1946" i="113" s="1"/>
  <c r="Y1946" i="113" s="1"/>
  <c r="T1341" i="113"/>
  <c r="W1341" i="113" s="1"/>
  <c r="Y1341" i="113" s="1"/>
  <c r="T643" i="113"/>
  <c r="W643" i="113" s="1"/>
  <c r="Y643" i="113" s="1"/>
  <c r="AC643" i="113" s="1"/>
  <c r="AG643" i="113" s="1"/>
  <c r="T1877" i="113"/>
  <c r="W1877" i="113" s="1"/>
  <c r="Y1877" i="113" s="1"/>
  <c r="AC1877" i="113" s="1"/>
  <c r="AG1877" i="113" s="1"/>
  <c r="T314" i="113"/>
  <c r="W314" i="113" s="1"/>
  <c r="Y314" i="113" s="1"/>
  <c r="T141" i="113"/>
  <c r="T2457" i="113"/>
  <c r="W2457" i="113" s="1"/>
  <c r="Y2457" i="113" s="1"/>
  <c r="AC2457" i="113" s="1"/>
  <c r="AG2457" i="113" s="1"/>
  <c r="T988" i="113"/>
  <c r="T467" i="113"/>
  <c r="W467" i="113" s="1"/>
  <c r="Y467" i="113" s="1"/>
  <c r="T1735" i="113"/>
  <c r="W1735" i="113" s="1"/>
  <c r="Y1735" i="113" s="1"/>
  <c r="AC1735" i="113" s="1"/>
  <c r="AG1735" i="113" s="1"/>
  <c r="T2380" i="113"/>
  <c r="W2380" i="113" s="1"/>
  <c r="Y2380" i="113" s="1"/>
  <c r="AC2380" i="113" s="1"/>
  <c r="AG2380" i="113" s="1"/>
  <c r="T1974" i="113"/>
  <c r="W1974" i="113" s="1"/>
  <c r="Y1974" i="113" s="1"/>
  <c r="T129" i="113"/>
  <c r="W129" i="113" s="1"/>
  <c r="Y129" i="113" s="1"/>
  <c r="T832" i="113"/>
  <c r="W832" i="113" s="1"/>
  <c r="Y832" i="113" s="1"/>
  <c r="AC832" i="113" s="1"/>
  <c r="AG832" i="113" s="1"/>
  <c r="T2230" i="113"/>
  <c r="W2230" i="113" s="1"/>
  <c r="Y2230" i="113" s="1"/>
  <c r="T1755" i="113"/>
  <c r="W1755" i="113" s="1"/>
  <c r="Y1755" i="113" s="1"/>
  <c r="T2261" i="113"/>
  <c r="W2261" i="113" s="1"/>
  <c r="Y2261" i="113" s="1"/>
  <c r="T826" i="113"/>
  <c r="W826" i="113" s="1"/>
  <c r="Y826" i="113" s="1"/>
  <c r="AC826" i="113" s="1"/>
  <c r="AG826" i="113" s="1"/>
  <c r="T2521" i="113"/>
  <c r="W2521" i="113" s="1"/>
  <c r="Y2521" i="113" s="1"/>
  <c r="AC2521" i="113" s="1"/>
  <c r="AG2521" i="113" s="1"/>
  <c r="T1438" i="113"/>
  <c r="W1438" i="113" s="1"/>
  <c r="Y1438" i="113" s="1"/>
  <c r="T938" i="113"/>
  <c r="W938" i="113" s="1"/>
  <c r="Y938" i="113" s="1"/>
  <c r="AC938" i="113" s="1"/>
  <c r="AG938" i="113" s="1"/>
  <c r="T1276" i="113"/>
  <c r="W1276" i="113" s="1"/>
  <c r="Y1276" i="113" s="1"/>
  <c r="AC1276" i="113" s="1"/>
  <c r="AG1276" i="113" s="1"/>
  <c r="T296" i="113"/>
  <c r="W296" i="113" s="1"/>
  <c r="Y296" i="113" s="1"/>
  <c r="AC296" i="113" s="1"/>
  <c r="AG296" i="113" s="1"/>
  <c r="T1582" i="113"/>
  <c r="W1582" i="113" s="1"/>
  <c r="Y1582" i="113" s="1"/>
  <c r="AC1582" i="113" s="1"/>
  <c r="AG1582" i="113" s="1"/>
  <c r="T1047" i="113"/>
  <c r="W1047" i="113" s="1"/>
  <c r="Y1047" i="113" s="1"/>
  <c r="T2114" i="113"/>
  <c r="W2114" i="113" s="1"/>
  <c r="Y2114" i="113" s="1"/>
  <c r="AC2114" i="113" s="1"/>
  <c r="AG2114" i="113" s="1"/>
  <c r="T943" i="113"/>
  <c r="W943" i="113" s="1"/>
  <c r="Y943" i="113" s="1"/>
  <c r="AC943" i="113" s="1"/>
  <c r="AG943" i="113" s="1"/>
  <c r="T1899" i="113"/>
  <c r="W1899" i="113" s="1"/>
  <c r="Y1899" i="113" s="1"/>
  <c r="AC1899" i="113" s="1"/>
  <c r="AG1899" i="113" s="1"/>
  <c r="T2220" i="113"/>
  <c r="W2220" i="113" s="1"/>
  <c r="Y2220" i="113" s="1"/>
  <c r="T855" i="113"/>
  <c r="W855" i="113" s="1"/>
  <c r="Y855" i="113" s="1"/>
  <c r="AC855" i="113" s="1"/>
  <c r="AG855" i="113" s="1"/>
  <c r="T1472" i="113"/>
  <c r="W1472" i="113" s="1"/>
  <c r="Y1472" i="113" s="1"/>
  <c r="AC1472" i="113" s="1"/>
  <c r="AG1472" i="113" s="1"/>
  <c r="T2233" i="113"/>
  <c r="W2233" i="113" s="1"/>
  <c r="Y2233" i="113" s="1"/>
  <c r="AC2233" i="113" s="1"/>
  <c r="AG2233" i="113" s="1"/>
  <c r="T403" i="113"/>
  <c r="W403" i="113" s="1"/>
  <c r="Y403" i="113" s="1"/>
  <c r="T2584" i="113"/>
  <c r="W2584" i="113" s="1"/>
  <c r="Y2584" i="113" s="1"/>
  <c r="AC2584" i="113" s="1"/>
  <c r="AG2584" i="113" s="1"/>
  <c r="T121" i="113"/>
  <c r="W121" i="113" s="1"/>
  <c r="Y121" i="113" s="1"/>
  <c r="AC121" i="113" s="1"/>
  <c r="AG121" i="113" s="1"/>
  <c r="T1272" i="113"/>
  <c r="W1272" i="113" s="1"/>
  <c r="Y1272" i="113" s="1"/>
  <c r="AC1272" i="113" s="1"/>
  <c r="AG1272" i="113" s="1"/>
  <c r="T2168" i="113"/>
  <c r="W2168" i="113" s="1"/>
  <c r="Y2168" i="113" s="1"/>
  <c r="AC2168" i="113" s="1"/>
  <c r="AG2168" i="113" s="1"/>
  <c r="T1576" i="113"/>
  <c r="W1576" i="113" s="1"/>
  <c r="Y1576" i="113" s="1"/>
  <c r="AC1576" i="113" s="1"/>
  <c r="AG1576" i="113" s="1"/>
  <c r="T2190" i="113"/>
  <c r="W2190" i="113" s="1"/>
  <c r="Y2190" i="113" s="1"/>
  <c r="T1884" i="113"/>
  <c r="T2227" i="113"/>
  <c r="W2227" i="113" s="1"/>
  <c r="Y2227" i="113" s="1"/>
  <c r="T728" i="113"/>
  <c r="W728" i="113" s="1"/>
  <c r="Y728" i="113" s="1"/>
  <c r="AC728" i="113" s="1"/>
  <c r="AG728" i="113" s="1"/>
  <c r="T2475" i="113"/>
  <c r="W2475" i="113" s="1"/>
  <c r="Y2475" i="113" s="1"/>
  <c r="T1752" i="113"/>
  <c r="W1752" i="113" s="1"/>
  <c r="Y1752" i="113" s="1"/>
  <c r="AC1752" i="113" s="1"/>
  <c r="AG1752" i="113" s="1"/>
  <c r="T650" i="113"/>
  <c r="W650" i="113" s="1"/>
  <c r="Y650" i="113" s="1"/>
  <c r="AC650" i="113" s="1"/>
  <c r="AG650" i="113" s="1"/>
  <c r="T2594" i="113"/>
  <c r="W2594" i="113" s="1"/>
  <c r="Y2594" i="113" s="1"/>
  <c r="AC2594" i="113" s="1"/>
  <c r="AG2594" i="113" s="1"/>
  <c r="T1637" i="113"/>
  <c r="W1637" i="113" s="1"/>
  <c r="Y1637" i="113" s="1"/>
  <c r="T1173" i="113"/>
  <c r="W1173" i="113" s="1"/>
  <c r="Y1173" i="113" s="1"/>
  <c r="T51" i="113"/>
  <c r="W51" i="113" s="1"/>
  <c r="Y51" i="113" s="1"/>
  <c r="AC51" i="113" s="1"/>
  <c r="AG51" i="113" s="1"/>
  <c r="T1056" i="113"/>
  <c r="W1056" i="113" s="1"/>
  <c r="Y1056" i="113" s="1"/>
  <c r="AC1056" i="113" s="1"/>
  <c r="AG1056" i="113" s="1"/>
  <c r="T2470" i="113"/>
  <c r="W2470" i="113" s="1"/>
  <c r="Y2470" i="113" s="1"/>
  <c r="T2523" i="113"/>
  <c r="W2523" i="113" s="1"/>
  <c r="Y2523" i="113" s="1"/>
  <c r="T949" i="113"/>
  <c r="W949" i="113" s="1"/>
  <c r="Y949" i="113" s="1"/>
  <c r="T2368" i="113"/>
  <c r="W2368" i="113" s="1"/>
  <c r="Y2368" i="113" s="1"/>
  <c r="T30" i="113"/>
  <c r="W30" i="113" s="1"/>
  <c r="Y30" i="113" s="1"/>
  <c r="AC30" i="113" s="1"/>
  <c r="AG30" i="113" s="1"/>
  <c r="T1034" i="113"/>
  <c r="W1034" i="113" s="1"/>
  <c r="Y1034" i="113" s="1"/>
  <c r="T1963" i="113"/>
  <c r="W1963" i="113" s="1"/>
  <c r="Y1963" i="113" s="1"/>
  <c r="T2592" i="113"/>
  <c r="W2592" i="113" s="1"/>
  <c r="Y2592" i="113" s="1"/>
  <c r="AC2592" i="113" s="1"/>
  <c r="AG2592" i="113" s="1"/>
  <c r="T2060" i="113"/>
  <c r="W2060" i="113" s="1"/>
  <c r="Y2060" i="113" s="1"/>
  <c r="AC2060" i="113" s="1"/>
  <c r="AG2060" i="113" s="1"/>
  <c r="T1423" i="113"/>
  <c r="W1423" i="113" s="1"/>
  <c r="Y1423" i="113" s="1"/>
  <c r="AC1423" i="113" s="1"/>
  <c r="AG1423" i="113" s="1"/>
  <c r="T1038" i="113"/>
  <c r="W1038" i="113" s="1"/>
  <c r="Y1038" i="113" s="1"/>
  <c r="AC1038" i="113" s="1"/>
  <c r="AG1038" i="113" s="1"/>
  <c r="T719" i="113"/>
  <c r="W719" i="113" s="1"/>
  <c r="Y719" i="113" s="1"/>
  <c r="T969" i="113"/>
  <c r="W969" i="113" s="1"/>
  <c r="Y969" i="113" s="1"/>
  <c r="AC969" i="113" s="1"/>
  <c r="AG969" i="113" s="1"/>
  <c r="T568" i="113"/>
  <c r="W568" i="113" s="1"/>
  <c r="Y568" i="113" s="1"/>
  <c r="T1646" i="113"/>
  <c r="W1646" i="113" s="1"/>
  <c r="Y1646" i="113" s="1"/>
  <c r="AC1646" i="113" s="1"/>
  <c r="AG1646" i="113" s="1"/>
  <c r="T809" i="113"/>
  <c r="W809" i="113" s="1"/>
  <c r="Y809" i="113" s="1"/>
  <c r="T1747" i="113"/>
  <c r="W1747" i="113" s="1"/>
  <c r="Y1747" i="113" s="1"/>
  <c r="AC1747" i="113" s="1"/>
  <c r="AG1747" i="113" s="1"/>
  <c r="T1215" i="113"/>
  <c r="W1215" i="113" s="1"/>
  <c r="Y1215" i="113" s="1"/>
  <c r="T812" i="113"/>
  <c r="W812" i="113" s="1"/>
  <c r="Y812" i="113" s="1"/>
  <c r="AC812" i="113" s="1"/>
  <c r="AG812" i="113" s="1"/>
  <c r="T1898" i="113"/>
  <c r="W1898" i="113" s="1"/>
  <c r="Y1898" i="113" s="1"/>
  <c r="AC1898" i="113" s="1"/>
  <c r="AG1898" i="113" s="1"/>
  <c r="T1966" i="113"/>
  <c r="W1966" i="113" s="1"/>
  <c r="Y1966" i="113" s="1"/>
  <c r="AC1966" i="113" s="1"/>
  <c r="AG1966" i="113" s="1"/>
  <c r="T2361" i="113"/>
  <c r="W2361" i="113" s="1"/>
  <c r="Y2361" i="113" s="1"/>
  <c r="T1338" i="113"/>
  <c r="W1338" i="113" s="1"/>
  <c r="Y1338" i="113" s="1"/>
  <c r="AC1338" i="113" s="1"/>
  <c r="AG1338" i="113" s="1"/>
  <c r="T2177" i="113"/>
  <c r="W2177" i="113" s="1"/>
  <c r="Y2177" i="113" s="1"/>
  <c r="AC2177" i="113" s="1"/>
  <c r="AG2177" i="113" s="1"/>
  <c r="T1400" i="113"/>
  <c r="W1400" i="113" s="1"/>
  <c r="Y1400" i="113" s="1"/>
  <c r="AC1400" i="113" s="1"/>
  <c r="AG1400" i="113" s="1"/>
  <c r="T686" i="113"/>
  <c r="W686" i="113" s="1"/>
  <c r="Y686" i="113" s="1"/>
  <c r="T917" i="113"/>
  <c r="W917" i="113" s="1"/>
  <c r="Y917" i="113" s="1"/>
  <c r="AC917" i="113" s="1"/>
  <c r="AG917" i="113" s="1"/>
  <c r="T2319" i="113"/>
  <c r="W2319" i="113" s="1"/>
  <c r="Y2319" i="113" s="1"/>
  <c r="T967" i="113"/>
  <c r="W967" i="113" s="1"/>
  <c r="Y967" i="113" s="1"/>
  <c r="AC967" i="113" s="1"/>
  <c r="AG967" i="113" s="1"/>
  <c r="T292" i="113"/>
  <c r="W292" i="113" s="1"/>
  <c r="Y292" i="113" s="1"/>
  <c r="AC292" i="113" s="1"/>
  <c r="AG292" i="113" s="1"/>
  <c r="T198" i="113"/>
  <c r="W198" i="113" s="1"/>
  <c r="Y198" i="113" s="1"/>
  <c r="AC198" i="113" s="1"/>
  <c r="AG198" i="113" s="1"/>
  <c r="T2320" i="113"/>
  <c r="W2320" i="113" s="1"/>
  <c r="Y2320" i="113" s="1"/>
  <c r="AC2320" i="113" s="1"/>
  <c r="AG2320" i="113" s="1"/>
  <c r="T1778" i="113"/>
  <c r="T32" i="113"/>
  <c r="W32" i="113" s="1"/>
  <c r="Y32" i="113" s="1"/>
  <c r="AC32" i="113" s="1"/>
  <c r="AG32" i="113" s="1"/>
  <c r="T634" i="113"/>
  <c r="W634" i="113" s="1"/>
  <c r="Y634" i="113" s="1"/>
  <c r="AC634" i="113" s="1"/>
  <c r="AG634" i="113" s="1"/>
  <c r="T1742" i="113"/>
  <c r="W1742" i="113" s="1"/>
  <c r="Y1742" i="113" s="1"/>
  <c r="AC1742" i="113" s="1"/>
  <c r="AG1742" i="113" s="1"/>
  <c r="T399" i="113"/>
  <c r="W399" i="113" s="1"/>
  <c r="Y399" i="113" s="1"/>
  <c r="AC399" i="113" s="1"/>
  <c r="AG399" i="113" s="1"/>
  <c r="T1425" i="113"/>
  <c r="W1425" i="113" s="1"/>
  <c r="Y1425" i="113" s="1"/>
  <c r="AC1425" i="113" s="1"/>
  <c r="AG1425" i="113" s="1"/>
  <c r="T10" i="113"/>
  <c r="W10" i="113" s="1"/>
  <c r="Y10" i="113" s="1"/>
  <c r="AC10" i="113" s="1"/>
  <c r="AG10" i="113" s="1"/>
  <c r="T1115" i="113"/>
  <c r="W1115" i="113" s="1"/>
  <c r="Y1115" i="113" s="1"/>
  <c r="T2276" i="113"/>
  <c r="W2276" i="113" s="1"/>
  <c r="Y2276" i="113" s="1"/>
  <c r="AC2276" i="113" s="1"/>
  <c r="AG2276" i="113" s="1"/>
  <c r="T1885" i="113"/>
  <c r="W1885" i="113" s="1"/>
  <c r="Y1885" i="113" s="1"/>
  <c r="AC1885" i="113" s="1"/>
  <c r="AG1885" i="113" s="1"/>
  <c r="T268" i="113"/>
  <c r="W268" i="113" s="1"/>
  <c r="Y268" i="113" s="1"/>
  <c r="AC268" i="113" s="1"/>
  <c r="AG268" i="113" s="1"/>
  <c r="T2400" i="113"/>
  <c r="W2400" i="113" s="1"/>
  <c r="Y2400" i="113" s="1"/>
  <c r="AC2400" i="113" s="1"/>
  <c r="AG2400" i="113" s="1"/>
  <c r="T1915" i="113"/>
  <c r="W1915" i="113" s="1"/>
  <c r="Y1915" i="113" s="1"/>
  <c r="AC1915" i="113" s="1"/>
  <c r="AG1915" i="113" s="1"/>
  <c r="T2201" i="113"/>
  <c r="W2201" i="113" s="1"/>
  <c r="Y2201" i="113" s="1"/>
  <c r="AC2201" i="113" s="1"/>
  <c r="AG2201" i="113" s="1"/>
  <c r="T2390" i="113"/>
  <c r="W2390" i="113" s="1"/>
  <c r="Y2390" i="113" s="1"/>
  <c r="T2254" i="113"/>
  <c r="W2254" i="113" s="1"/>
  <c r="Y2254" i="113" s="1"/>
  <c r="AC2254" i="113" s="1"/>
  <c r="AG2254" i="113" s="1"/>
  <c r="T48" i="113"/>
  <c r="W48" i="113" s="1"/>
  <c r="Y48" i="113" s="1"/>
  <c r="T1801" i="113"/>
  <c r="W1801" i="113" s="1"/>
  <c r="Y1801" i="113" s="1"/>
  <c r="AC1801" i="113" s="1"/>
  <c r="AG1801" i="113" s="1"/>
  <c r="T123" i="113"/>
  <c r="W123" i="113" s="1"/>
  <c r="Y123" i="113" s="1"/>
  <c r="AC123" i="113" s="1"/>
  <c r="AG123" i="113" s="1"/>
  <c r="T894" i="113"/>
  <c r="W894" i="113" s="1"/>
  <c r="Y894" i="113" s="1"/>
  <c r="T166" i="113"/>
  <c r="W166" i="113" s="1"/>
  <c r="Y166" i="113" s="1"/>
  <c r="AC166" i="113" s="1"/>
  <c r="AG166" i="113" s="1"/>
  <c r="T1644" i="113"/>
  <c r="W1644" i="113" s="1"/>
  <c r="Y1644" i="113" s="1"/>
  <c r="T444" i="113"/>
  <c r="W444" i="113" s="1"/>
  <c r="Y444" i="113" s="1"/>
  <c r="AC444" i="113" s="1"/>
  <c r="AG444" i="113" s="1"/>
  <c r="T159" i="113"/>
  <c r="W159" i="113" s="1"/>
  <c r="Y159" i="113" s="1"/>
  <c r="AC159" i="113" s="1"/>
  <c r="AG159" i="113" s="1"/>
  <c r="T1050" i="113"/>
  <c r="W1050" i="113" s="1"/>
  <c r="Y1050" i="113" s="1"/>
  <c r="T2450" i="113"/>
  <c r="W2450" i="113" s="1"/>
  <c r="Y2450" i="113" s="1"/>
  <c r="AC2450" i="113" s="1"/>
  <c r="AG2450" i="113" s="1"/>
  <c r="T2217" i="113"/>
  <c r="W2217" i="113" s="1"/>
  <c r="Y2217" i="113" s="1"/>
  <c r="AC2217" i="113" s="1"/>
  <c r="AG2217" i="113" s="1"/>
  <c r="T2213" i="113"/>
  <c r="W2213" i="113" s="1"/>
  <c r="Y2213" i="113" s="1"/>
  <c r="T2350" i="113"/>
  <c r="W2350" i="113" s="1"/>
  <c r="Y2350" i="113" s="1"/>
  <c r="T2067" i="113"/>
  <c r="W2067" i="113" s="1"/>
  <c r="Y2067" i="113" s="1"/>
  <c r="T1876" i="113"/>
  <c r="W1876" i="113" s="1"/>
  <c r="Y1876" i="113" s="1"/>
  <c r="T1586" i="113"/>
  <c r="W1586" i="113" s="1"/>
  <c r="Y1586" i="113" s="1"/>
  <c r="AC1586" i="113" s="1"/>
  <c r="AG1586" i="113" s="1"/>
  <c r="T1478" i="113"/>
  <c r="W1478" i="113" s="1"/>
  <c r="Y1478" i="113" s="1"/>
  <c r="AC1478" i="113" s="1"/>
  <c r="AG1478" i="113" s="1"/>
  <c r="T2153" i="113"/>
  <c r="W2153" i="113" s="1"/>
  <c r="Y2153" i="113" s="1"/>
  <c r="T1230" i="113"/>
  <c r="W1230" i="113" s="1"/>
  <c r="Y1230" i="113" s="1"/>
  <c r="AC1230" i="113" s="1"/>
  <c r="AG1230" i="113" s="1"/>
  <c r="T2332" i="113"/>
  <c r="W2332" i="113" s="1"/>
  <c r="Y2332" i="113" s="1"/>
  <c r="AC2332" i="113" s="1"/>
  <c r="AG2332" i="113" s="1"/>
  <c r="T1232" i="113"/>
  <c r="W1232" i="113" s="1"/>
  <c r="Y1232" i="113" s="1"/>
  <c r="AC1232" i="113" s="1"/>
  <c r="AG1232" i="113" s="1"/>
  <c r="T1760" i="113"/>
  <c r="W1760" i="113" s="1"/>
  <c r="Y1760" i="113" s="1"/>
  <c r="T1213" i="113"/>
  <c r="W1213" i="113" s="1"/>
  <c r="Y1213" i="113" s="1"/>
  <c r="T828" i="113"/>
  <c r="W828" i="113" s="1"/>
  <c r="Y828" i="113" s="1"/>
  <c r="AC828" i="113" s="1"/>
  <c r="AG828" i="113" s="1"/>
  <c r="T2166" i="113"/>
  <c r="W2166" i="113" s="1"/>
  <c r="Y2166" i="113" s="1"/>
  <c r="AC2166" i="113" s="1"/>
  <c r="AG2166" i="113" s="1"/>
  <c r="T2609" i="113"/>
  <c r="W2609" i="113" s="1"/>
  <c r="Y2609" i="113" s="1"/>
  <c r="AC2609" i="113" s="1"/>
  <c r="AG2609" i="113" s="1"/>
  <c r="T516" i="113"/>
  <c r="W516" i="113" s="1"/>
  <c r="Y516" i="113" s="1"/>
  <c r="T2519" i="113"/>
  <c r="W2519" i="113" s="1"/>
  <c r="Y2519" i="113" s="1"/>
  <c r="AC2519" i="113" s="1"/>
  <c r="AG2519" i="113" s="1"/>
  <c r="T2563" i="113"/>
  <c r="W2563" i="113" s="1"/>
  <c r="Y2563" i="113" s="1"/>
  <c r="T1862" i="113"/>
  <c r="W1862" i="113" s="1"/>
  <c r="Y1862" i="113" s="1"/>
  <c r="T1810" i="113"/>
  <c r="W1810" i="113" s="1"/>
  <c r="Y1810" i="113" s="1"/>
  <c r="AC1810" i="113" s="1"/>
  <c r="AG1810" i="113" s="1"/>
  <c r="T50" i="113"/>
  <c r="W50" i="113" s="1"/>
  <c r="Y50" i="113" s="1"/>
  <c r="AC50" i="113" s="1"/>
  <c r="AG50" i="113" s="1"/>
  <c r="T1614" i="113"/>
  <c r="W1614" i="113" s="1"/>
  <c r="Y1614" i="113" s="1"/>
  <c r="AC1614" i="113" s="1"/>
  <c r="AG1614" i="113" s="1"/>
  <c r="T1252" i="113"/>
  <c r="W1252" i="113" s="1"/>
  <c r="Y1252" i="113" s="1"/>
  <c r="T2364" i="113"/>
  <c r="W2364" i="113" s="1"/>
  <c r="Y2364" i="113" s="1"/>
  <c r="T1561" i="113"/>
  <c r="W1561" i="113" s="1"/>
  <c r="Y1561" i="113" s="1"/>
  <c r="AC1561" i="113" s="1"/>
  <c r="AG1561" i="113" s="1"/>
  <c r="T2402" i="113"/>
  <c r="W2402" i="113" s="1"/>
  <c r="Y2402" i="113" s="1"/>
  <c r="AC2402" i="113" s="1"/>
  <c r="AG2402" i="113" s="1"/>
  <c r="T416" i="113"/>
  <c r="W416" i="113" s="1"/>
  <c r="Y416" i="113" s="1"/>
  <c r="AC416" i="113" s="1"/>
  <c r="AG416" i="113" s="1"/>
  <c r="T479" i="113"/>
  <c r="W479" i="113" s="1"/>
  <c r="Y479" i="113" s="1"/>
  <c r="AC479" i="113" s="1"/>
  <c r="AG479" i="113" s="1"/>
  <c r="T271" i="113"/>
  <c r="W271" i="113" s="1"/>
  <c r="Y271" i="113" s="1"/>
  <c r="AC271" i="113" s="1"/>
  <c r="AG271" i="113" s="1"/>
  <c r="T921" i="113"/>
  <c r="W921" i="113" s="1"/>
  <c r="Y921" i="113" s="1"/>
  <c r="T2171" i="113"/>
  <c r="W2171" i="113" s="1"/>
  <c r="Y2171" i="113" s="1"/>
  <c r="T1792" i="113"/>
  <c r="W1792" i="113" s="1"/>
  <c r="Y1792" i="113" s="1"/>
  <c r="T1786" i="113"/>
  <c r="W1786" i="113" s="1"/>
  <c r="Y1786" i="113" s="1"/>
  <c r="T1437" i="113"/>
  <c r="W1437" i="113" s="1"/>
  <c r="Y1437" i="113" s="1"/>
  <c r="AC1437" i="113" s="1"/>
  <c r="AG1437" i="113" s="1"/>
  <c r="T704" i="113"/>
  <c r="W704" i="113" s="1"/>
  <c r="Y704" i="113" s="1"/>
  <c r="T1523" i="113"/>
  <c r="W1523" i="113" s="1"/>
  <c r="Y1523" i="113" s="1"/>
  <c r="AC1523" i="113" s="1"/>
  <c r="AG1523" i="113" s="1"/>
  <c r="T486" i="113"/>
  <c r="W486" i="113" s="1"/>
  <c r="Y486" i="113" s="1"/>
  <c r="AC486" i="113" s="1"/>
  <c r="AG486" i="113" s="1"/>
  <c r="T295" i="113"/>
  <c r="W295" i="113" s="1"/>
  <c r="Y295" i="113" s="1"/>
  <c r="AC295" i="113" s="1"/>
  <c r="AG295" i="113" s="1"/>
  <c r="T889" i="113"/>
  <c r="W889" i="113" s="1"/>
  <c r="Y889" i="113" s="1"/>
  <c r="AC889" i="113" s="1"/>
  <c r="AG889" i="113" s="1"/>
  <c r="T1965" i="113"/>
  <c r="W1965" i="113" s="1"/>
  <c r="Y1965" i="113" s="1"/>
  <c r="T2403" i="113"/>
  <c r="W2403" i="113" s="1"/>
  <c r="Y2403" i="113" s="1"/>
  <c r="AC2403" i="113" s="1"/>
  <c r="AG2403" i="113" s="1"/>
  <c r="T760" i="113"/>
  <c r="W760" i="113" s="1"/>
  <c r="Y760" i="113" s="1"/>
  <c r="T2382" i="113"/>
  <c r="T2630" i="113"/>
  <c r="W2630" i="113" s="1"/>
  <c r="Y2630" i="113" s="1"/>
  <c r="T1802" i="113"/>
  <c r="W1802" i="113" s="1"/>
  <c r="Y1802" i="113" s="1"/>
  <c r="T2167" i="113"/>
  <c r="W2167" i="113" s="1"/>
  <c r="Y2167" i="113" s="1"/>
  <c r="T2360" i="113"/>
  <c r="W2360" i="113" s="1"/>
  <c r="Y2360" i="113" s="1"/>
  <c r="AC2360" i="113" s="1"/>
  <c r="AG2360" i="113" s="1"/>
  <c r="T1125" i="113"/>
  <c r="W1125" i="113" s="1"/>
  <c r="Y1125" i="113" s="1"/>
  <c r="AC1125" i="113" s="1"/>
  <c r="AG1125" i="113" s="1"/>
  <c r="T1935" i="113"/>
  <c r="W1935" i="113" s="1"/>
  <c r="Y1935" i="113" s="1"/>
  <c r="AC1935" i="113" s="1"/>
  <c r="AG1935" i="113" s="1"/>
  <c r="T443" i="113"/>
  <c r="W443" i="113" s="1"/>
  <c r="Y443" i="113" s="1"/>
  <c r="AC443" i="113" s="1"/>
  <c r="AG443" i="113" s="1"/>
  <c r="T1172" i="113"/>
  <c r="W1172" i="113" s="1"/>
  <c r="Y1172" i="113" s="1"/>
  <c r="T179" i="113"/>
  <c r="W179" i="113" s="1"/>
  <c r="Y179" i="113" s="1"/>
  <c r="AC179" i="113" s="1"/>
  <c r="AG179" i="113" s="1"/>
  <c r="T1592" i="113"/>
  <c r="W1592" i="113" s="1"/>
  <c r="Y1592" i="113" s="1"/>
  <c r="T2226" i="113"/>
  <c r="W2226" i="113" s="1"/>
  <c r="Y2226" i="113" s="1"/>
  <c r="AC2226" i="113" s="1"/>
  <c r="AG2226" i="113" s="1"/>
  <c r="T2604" i="113"/>
  <c r="W2604" i="113" s="1"/>
  <c r="Y2604" i="113" s="1"/>
  <c r="T928" i="113"/>
  <c r="W928" i="113" s="1"/>
  <c r="Y928" i="113" s="1"/>
  <c r="T1585" i="113"/>
  <c r="W1585" i="113" s="1"/>
  <c r="Y1585" i="113" s="1"/>
  <c r="T257" i="113"/>
  <c r="W257" i="113" s="1"/>
  <c r="Y257" i="113" s="1"/>
  <c r="AC257" i="113" s="1"/>
  <c r="AG257" i="113" s="1"/>
  <c r="T1933" i="113"/>
  <c r="W1933" i="113" s="1"/>
  <c r="Y1933" i="113" s="1"/>
  <c r="T1293" i="113"/>
  <c r="W1293" i="113" s="1"/>
  <c r="Y1293" i="113" s="1"/>
  <c r="AC1293" i="113" s="1"/>
  <c r="AG1293" i="113" s="1"/>
  <c r="T1973" i="113"/>
  <c r="W1973" i="113" s="1"/>
  <c r="Y1973" i="113" s="1"/>
  <c r="AC1973" i="113" s="1"/>
  <c r="AG1973" i="113" s="1"/>
  <c r="T693" i="113"/>
  <c r="W693" i="113" s="1"/>
  <c r="Y693" i="113" s="1"/>
  <c r="AC693" i="113" s="1"/>
  <c r="AG693" i="113" s="1"/>
  <c r="T1757" i="113"/>
  <c r="W1757" i="113" s="1"/>
  <c r="Y1757" i="113" s="1"/>
  <c r="T353" i="113"/>
  <c r="W353" i="113" s="1"/>
  <c r="Y353" i="113" s="1"/>
  <c r="AC353" i="113" s="1"/>
  <c r="AG353" i="113" s="1"/>
  <c r="T712" i="113"/>
  <c r="W712" i="113" s="1"/>
  <c r="Y712" i="113" s="1"/>
  <c r="AC712" i="113" s="1"/>
  <c r="AG712" i="113" s="1"/>
  <c r="T1180" i="113"/>
  <c r="W1180" i="113" s="1"/>
  <c r="Y1180" i="113" s="1"/>
  <c r="T1863" i="113"/>
  <c r="W1863" i="113" s="1"/>
  <c r="Y1863" i="113" s="1"/>
  <c r="AC1863" i="113" s="1"/>
  <c r="AG1863" i="113" s="1"/>
  <c r="T2515" i="113"/>
  <c r="W2515" i="113" s="1"/>
  <c r="Y2515" i="113" s="1"/>
  <c r="AC2515" i="113" s="1"/>
  <c r="AG2515" i="113" s="1"/>
  <c r="T2648" i="113"/>
  <c r="W2648" i="113" s="1"/>
  <c r="Y2648" i="113" s="1"/>
  <c r="AC2648" i="113" s="1"/>
  <c r="AG2648" i="113" s="1"/>
  <c r="T713" i="113"/>
  <c r="W713" i="113" s="1"/>
  <c r="Y713" i="113" s="1"/>
  <c r="AC713" i="113" s="1"/>
  <c r="AG713" i="113" s="1"/>
  <c r="T251" i="113"/>
  <c r="W251" i="113" s="1"/>
  <c r="Y251" i="113" s="1"/>
  <c r="AC251" i="113" s="1"/>
  <c r="AG251" i="113" s="1"/>
  <c r="T915" i="113"/>
  <c r="W915" i="113" s="1"/>
  <c r="Y915" i="113" s="1"/>
  <c r="T1331" i="113"/>
  <c r="W1331" i="113" s="1"/>
  <c r="Y1331" i="113" s="1"/>
  <c r="AC1331" i="113" s="1"/>
  <c r="AG1331" i="113" s="1"/>
  <c r="T1556" i="113"/>
  <c r="W1556" i="113" s="1"/>
  <c r="Y1556" i="113" s="1"/>
  <c r="AC1556" i="113" s="1"/>
  <c r="AG1556" i="113" s="1"/>
  <c r="T359" i="113"/>
  <c r="W359" i="113" s="1"/>
  <c r="Y359" i="113" s="1"/>
  <c r="AC359" i="113" s="1"/>
  <c r="AG359" i="113" s="1"/>
  <c r="T663" i="113"/>
  <c r="W663" i="113" s="1"/>
  <c r="Y663" i="113" s="1"/>
  <c r="T149" i="113"/>
  <c r="W149" i="113" s="1"/>
  <c r="Y149" i="113" s="1"/>
  <c r="AC149" i="113" s="1"/>
  <c r="AG149" i="113" s="1"/>
  <c r="T1700" i="113"/>
  <c r="W1700" i="113" s="1"/>
  <c r="Y1700" i="113" s="1"/>
  <c r="AC1700" i="113" s="1"/>
  <c r="AG1700" i="113" s="1"/>
  <c r="T1367" i="113"/>
  <c r="W1367" i="113" s="1"/>
  <c r="Y1367" i="113" s="1"/>
  <c r="AC1367" i="113" s="1"/>
  <c r="AG1367" i="113" s="1"/>
  <c r="T1658" i="113"/>
  <c r="W1658" i="113" s="1"/>
  <c r="Y1658" i="113" s="1"/>
  <c r="T2538" i="113"/>
  <c r="W2538" i="113" s="1"/>
  <c r="Y2538" i="113" s="1"/>
  <c r="AC2538" i="113" s="1"/>
  <c r="AG2538" i="113" s="1"/>
  <c r="T1912" i="113"/>
  <c r="W1912" i="113" s="1"/>
  <c r="Y1912" i="113" s="1"/>
  <c r="AC1912" i="113" s="1"/>
  <c r="AG1912" i="113" s="1"/>
  <c r="T1262" i="113"/>
  <c r="W1262" i="113" s="1"/>
  <c r="Y1262" i="113" s="1"/>
  <c r="AC1262" i="113" s="1"/>
  <c r="AG1262" i="113" s="1"/>
  <c r="T2224" i="113"/>
  <c r="W2224" i="113" s="1"/>
  <c r="Y2224" i="113" s="1"/>
  <c r="AC2224" i="113" s="1"/>
  <c r="AG2224" i="113" s="1"/>
  <c r="T1766" i="113"/>
  <c r="W1766" i="113" s="1"/>
  <c r="Y1766" i="113" s="1"/>
  <c r="AC1766" i="113" s="1"/>
  <c r="AG1766" i="113" s="1"/>
  <c r="T1329" i="113"/>
  <c r="W1329" i="113" s="1"/>
  <c r="Y1329" i="113" s="1"/>
  <c r="T2428" i="113"/>
  <c r="W2428" i="113" s="1"/>
  <c r="Y2428" i="113" s="1"/>
  <c r="AC2428" i="113" s="1"/>
  <c r="AG2428" i="113" s="1"/>
  <c r="T2102" i="113"/>
  <c r="W2102" i="113" s="1"/>
  <c r="Y2102" i="113" s="1"/>
  <c r="T2344" i="113"/>
  <c r="W2344" i="113" s="1"/>
  <c r="Y2344" i="113" s="1"/>
  <c r="AC2344" i="113" s="1"/>
  <c r="AG2344" i="113" s="1"/>
  <c r="T820" i="113"/>
  <c r="W820" i="113" s="1"/>
  <c r="Y820" i="113" s="1"/>
  <c r="AC820" i="113" s="1"/>
  <c r="AG820" i="113" s="1"/>
  <c r="T978" i="113"/>
  <c r="W978" i="113" s="1"/>
  <c r="Y978" i="113" s="1"/>
  <c r="AC978" i="113" s="1"/>
  <c r="AG978" i="113" s="1"/>
  <c r="T1601" i="113"/>
  <c r="W1601" i="113" s="1"/>
  <c r="Y1601" i="113" s="1"/>
  <c r="AC1601" i="113" s="1"/>
  <c r="AG1601" i="113" s="1"/>
  <c r="T2440" i="113"/>
  <c r="W2440" i="113" s="1"/>
  <c r="Y2440" i="113" s="1"/>
  <c r="AC2440" i="113" s="1"/>
  <c r="AG2440" i="113" s="1"/>
  <c r="T1560" i="113"/>
  <c r="W1560" i="113" s="1"/>
  <c r="Y1560" i="113" s="1"/>
  <c r="T2614" i="113"/>
  <c r="W2614" i="113" s="1"/>
  <c r="Y2614" i="113" s="1"/>
  <c r="AC2614" i="113" s="1"/>
  <c r="AG2614" i="113" s="1"/>
  <c r="T2243" i="113"/>
  <c r="W2243" i="113" s="1"/>
  <c r="Y2243" i="113" s="1"/>
  <c r="AC2243" i="113" s="1"/>
  <c r="AG2243" i="113" s="1"/>
  <c r="T2127" i="113"/>
  <c r="W2127" i="113" s="1"/>
  <c r="Y2127" i="113" s="1"/>
  <c r="T578" i="113"/>
  <c r="W578" i="113" s="1"/>
  <c r="Y578" i="113" s="1"/>
  <c r="AC578" i="113" s="1"/>
  <c r="AG578" i="113" s="1"/>
  <c r="T2016" i="113"/>
  <c r="W2016" i="113" s="1"/>
  <c r="Y2016" i="113" s="1"/>
  <c r="T577" i="113"/>
  <c r="W577" i="113" s="1"/>
  <c r="Y577" i="113" s="1"/>
  <c r="T2195" i="113"/>
  <c r="W2195" i="113" s="1"/>
  <c r="Y2195" i="113" s="1"/>
  <c r="T1956" i="113"/>
  <c r="W1956" i="113" s="1"/>
  <c r="Y1956" i="113" s="1"/>
  <c r="T2336" i="113"/>
  <c r="W2336" i="113" s="1"/>
  <c r="Y2336" i="113" s="1"/>
  <c r="AC2336" i="113" s="1"/>
  <c r="AG2336" i="113" s="1"/>
  <c r="T1844" i="113"/>
  <c r="W1844" i="113" s="1"/>
  <c r="Y1844" i="113" s="1"/>
  <c r="T2543" i="113"/>
  <c r="W2543" i="113" s="1"/>
  <c r="Y2543" i="113" s="1"/>
  <c r="AC2543" i="113" s="1"/>
  <c r="AG2543" i="113" s="1"/>
  <c r="T1045" i="113"/>
  <c r="W1045" i="113" s="1"/>
  <c r="Y1045" i="113" s="1"/>
  <c r="AC1045" i="113" s="1"/>
  <c r="AG1045" i="113" s="1"/>
  <c r="T1218" i="113"/>
  <c r="W1218" i="113" s="1"/>
  <c r="Y1218" i="113" s="1"/>
  <c r="AC1218" i="113" s="1"/>
  <c r="AG1218" i="113" s="1"/>
  <c r="T1339" i="113"/>
  <c r="W1339" i="113" s="1"/>
  <c r="Y1339" i="113" s="1"/>
  <c r="AC1339" i="113" s="1"/>
  <c r="AG1339" i="113" s="1"/>
  <c r="T1365" i="113"/>
  <c r="W1365" i="113" s="1"/>
  <c r="Y1365" i="113" s="1"/>
  <c r="AC1365" i="113" s="1"/>
  <c r="AG1365" i="113" s="1"/>
  <c r="T784" i="113"/>
  <c r="W784" i="113" s="1"/>
  <c r="Y784" i="113" s="1"/>
  <c r="AC784" i="113" s="1"/>
  <c r="AG784" i="113" s="1"/>
  <c r="T1477" i="113"/>
  <c r="W1477" i="113" s="1"/>
  <c r="Y1477" i="113" s="1"/>
  <c r="AC1477" i="113" s="1"/>
  <c r="AG1477" i="113" s="1"/>
  <c r="T2134" i="113"/>
  <c r="W2134" i="113" s="1"/>
  <c r="Y2134" i="113" s="1"/>
  <c r="T415" i="113"/>
  <c r="W415" i="113" s="1"/>
  <c r="Y415" i="113" s="1"/>
  <c r="AC415" i="113" s="1"/>
  <c r="AG415" i="113" s="1"/>
  <c r="T1610" i="113"/>
  <c r="W1610" i="113" s="1"/>
  <c r="Y1610" i="113" s="1"/>
  <c r="AC1610" i="113" s="1"/>
  <c r="AG1610" i="113" s="1"/>
  <c r="T1216" i="113"/>
  <c r="W1216" i="113" s="1"/>
  <c r="Y1216" i="113" s="1"/>
  <c r="AC1216" i="113" s="1"/>
  <c r="AG1216" i="113" s="1"/>
  <c r="T533" i="113"/>
  <c r="W533" i="113" s="1"/>
  <c r="Y533" i="113" s="1"/>
  <c r="T1849" i="113"/>
  <c r="W1849" i="113" s="1"/>
  <c r="Y1849" i="113" s="1"/>
  <c r="T267" i="113"/>
  <c r="W267" i="113" s="1"/>
  <c r="Y267" i="113" s="1"/>
  <c r="AC267" i="113" s="1"/>
  <c r="AG267" i="113" s="1"/>
  <c r="T640" i="113"/>
  <c r="W640" i="113" s="1"/>
  <c r="Y640" i="113" s="1"/>
  <c r="AC640" i="113" s="1"/>
  <c r="AG640" i="113" s="1"/>
  <c r="T931" i="113"/>
  <c r="W931" i="113" s="1"/>
  <c r="Y931" i="113" s="1"/>
  <c r="AC931" i="113" s="1"/>
  <c r="AG931" i="113" s="1"/>
  <c r="T1301" i="113"/>
  <c r="W1301" i="113" s="1"/>
  <c r="Y1301" i="113" s="1"/>
  <c r="T2329" i="113"/>
  <c r="W2329" i="113" s="1"/>
  <c r="Y2329" i="113" s="1"/>
  <c r="AC2329" i="113" s="1"/>
  <c r="AG2329" i="113" s="1"/>
  <c r="T2316" i="113"/>
  <c r="W2316" i="113" s="1"/>
  <c r="Y2316" i="113" s="1"/>
  <c r="AC2316" i="113" s="1"/>
  <c r="AG2316" i="113" s="1"/>
  <c r="T245" i="113"/>
  <c r="W245" i="113" s="1"/>
  <c r="Y245" i="113" s="1"/>
  <c r="AC245" i="113" s="1"/>
  <c r="AG245" i="113" s="1"/>
  <c r="T1893" i="113"/>
  <c r="W1893" i="113" s="1"/>
  <c r="Y1893" i="113" s="1"/>
  <c r="T2491" i="113"/>
  <c r="W2491" i="113" s="1"/>
  <c r="Y2491" i="113" s="1"/>
  <c r="AC2491" i="113" s="1"/>
  <c r="AG2491" i="113" s="1"/>
  <c r="T1554" i="113"/>
  <c r="W1554" i="113" s="1"/>
  <c r="Y1554" i="113" s="1"/>
  <c r="AC1554" i="113" s="1"/>
  <c r="AG1554" i="113" s="1"/>
  <c r="T33" i="113"/>
  <c r="W33" i="113" s="1"/>
  <c r="Y33" i="113" s="1"/>
  <c r="T2646" i="113"/>
  <c r="W2646" i="113" s="1"/>
  <c r="Y2646" i="113" s="1"/>
  <c r="T223" i="113"/>
  <c r="W223" i="113" s="1"/>
  <c r="Y223" i="113" s="1"/>
  <c r="AC223" i="113" s="1"/>
  <c r="AG223" i="113" s="1"/>
  <c r="T983" i="113"/>
  <c r="W983" i="113" s="1"/>
  <c r="Y983" i="113" s="1"/>
  <c r="T1342" i="113"/>
  <c r="W1342" i="113" s="1"/>
  <c r="Y1342" i="113" s="1"/>
  <c r="AC1342" i="113" s="1"/>
  <c r="AG1342" i="113" s="1"/>
  <c r="T1826" i="113"/>
  <c r="W1826" i="113" s="1"/>
  <c r="Y1826" i="113" s="1"/>
  <c r="AC1826" i="113" s="1"/>
  <c r="AG1826" i="113" s="1"/>
  <c r="T609" i="113"/>
  <c r="W609" i="113" s="1"/>
  <c r="Y609" i="113" s="1"/>
  <c r="AC609" i="113" s="1"/>
  <c r="AG609" i="113" s="1"/>
  <c r="T2069" i="113"/>
  <c r="W2069" i="113" s="1"/>
  <c r="Y2069" i="113" s="1"/>
  <c r="T1929" i="113"/>
  <c r="W1929" i="113" s="1"/>
  <c r="Y1929" i="113" s="1"/>
  <c r="AC1929" i="113" s="1"/>
  <c r="AG1929" i="113" s="1"/>
  <c r="T1731" i="113"/>
  <c r="W1731" i="113" s="1"/>
  <c r="Y1731" i="113" s="1"/>
  <c r="AC1731" i="113" s="1"/>
  <c r="AG1731" i="113" s="1"/>
  <c r="T1678" i="113"/>
  <c r="W1678" i="113" s="1"/>
  <c r="Y1678" i="113" s="1"/>
  <c r="AC1678" i="113" s="1"/>
  <c r="AG1678" i="113" s="1"/>
  <c r="T598" i="113"/>
  <c r="W598" i="113" s="1"/>
  <c r="Y598" i="113" s="1"/>
  <c r="AC598" i="113" s="1"/>
  <c r="AG598" i="113" s="1"/>
  <c r="T2097" i="113"/>
  <c r="W2097" i="113" s="1"/>
  <c r="Y2097" i="113" s="1"/>
  <c r="T1066" i="113"/>
  <c r="W1066" i="113" s="1"/>
  <c r="Y1066" i="113" s="1"/>
  <c r="AC1066" i="113" s="1"/>
  <c r="AG1066" i="113" s="1"/>
  <c r="T976" i="113"/>
  <c r="W976" i="113" s="1"/>
  <c r="Y976" i="113" s="1"/>
  <c r="AC976" i="113" s="1"/>
  <c r="AG976" i="113" s="1"/>
  <c r="T1596" i="113"/>
  <c r="W1596" i="113" s="1"/>
  <c r="Y1596" i="113" s="1"/>
  <c r="AC1596" i="113" s="1"/>
  <c r="AG1596" i="113" s="1"/>
  <c r="T1532" i="113"/>
  <c r="W1532" i="113" s="1"/>
  <c r="Y1532" i="113" s="1"/>
  <c r="T169" i="113"/>
  <c r="W169" i="113" s="1"/>
  <c r="Y169" i="113" s="1"/>
  <c r="AC169" i="113" s="1"/>
  <c r="AG169" i="113" s="1"/>
  <c r="T1608" i="113"/>
  <c r="W1608" i="113" s="1"/>
  <c r="Y1608" i="113" s="1"/>
  <c r="AC1608" i="113" s="1"/>
  <c r="AG1608" i="113" s="1"/>
  <c r="T2549" i="113"/>
  <c r="W2549" i="113" s="1"/>
  <c r="Y2549" i="113" s="1"/>
  <c r="AC2549" i="113" s="1"/>
  <c r="AG2549" i="113" s="1"/>
  <c r="T613" i="113"/>
  <c r="W613" i="113" s="1"/>
  <c r="Y613" i="113" s="1"/>
  <c r="AC613" i="113" s="1"/>
  <c r="AG613" i="113" s="1"/>
  <c r="T1746" i="113"/>
  <c r="T2339" i="113"/>
  <c r="W2339" i="113" s="1"/>
  <c r="Y2339" i="113" s="1"/>
  <c r="AC2339" i="113" s="1"/>
  <c r="AG2339" i="113" s="1"/>
  <c r="T142" i="113"/>
  <c r="W142" i="113" s="1"/>
  <c r="Y142" i="113" s="1"/>
  <c r="AC142" i="113" s="1"/>
  <c r="AG142" i="113" s="1"/>
  <c r="T2477" i="113"/>
  <c r="W2477" i="113" s="1"/>
  <c r="Y2477" i="113" s="1"/>
  <c r="AC2477" i="113" s="1"/>
  <c r="AG2477" i="113" s="1"/>
  <c r="T2346" i="113"/>
  <c r="W2346" i="113" s="1"/>
  <c r="Y2346" i="113" s="1"/>
  <c r="AC2346" i="113" s="1"/>
  <c r="AG2346" i="113" s="1"/>
  <c r="T1785" i="113"/>
  <c r="W1785" i="113" s="1"/>
  <c r="Y1785" i="113" s="1"/>
  <c r="T1160" i="113"/>
  <c r="W1160" i="113" s="1"/>
  <c r="Y1160" i="113" s="1"/>
  <c r="AC1160" i="113" s="1"/>
  <c r="AG1160" i="113" s="1"/>
  <c r="T792" i="113"/>
  <c r="W792" i="113" s="1"/>
  <c r="Y792" i="113" s="1"/>
  <c r="T106" i="113"/>
  <c r="W106" i="113" s="1"/>
  <c r="Y106" i="113" s="1"/>
  <c r="AC106" i="113" s="1"/>
  <c r="AG106" i="113" s="1"/>
  <c r="T2035" i="113"/>
  <c r="W2035" i="113" s="1"/>
  <c r="Y2035" i="113" s="1"/>
  <c r="AC2035" i="113" s="1"/>
  <c r="AG2035" i="113" s="1"/>
  <c r="T1673" i="113"/>
  <c r="W1673" i="113" s="1"/>
  <c r="Y1673" i="113" s="1"/>
  <c r="T2013" i="113"/>
  <c r="W2013" i="113" s="1"/>
  <c r="Y2013" i="113" s="1"/>
  <c r="T1708" i="113"/>
  <c r="W1708" i="113" s="1"/>
  <c r="Y1708" i="113" s="1"/>
  <c r="T1001" i="113"/>
  <c r="W1001" i="113" s="1"/>
  <c r="Y1001" i="113" s="1"/>
  <c r="AC1001" i="113" s="1"/>
  <c r="AG1001" i="113" s="1"/>
  <c r="T1192" i="113"/>
  <c r="W1192" i="113" s="1"/>
  <c r="Y1192" i="113" s="1"/>
  <c r="T1762" i="113"/>
  <c r="W1762" i="113" s="1"/>
  <c r="Y1762" i="113" s="1"/>
  <c r="AC1762" i="113" s="1"/>
  <c r="AG1762" i="113" s="1"/>
  <c r="T332" i="113"/>
  <c r="W332" i="113" s="1"/>
  <c r="Y332" i="113" s="1"/>
  <c r="T2365" i="113"/>
  <c r="W2365" i="113" s="1"/>
  <c r="Y2365" i="113" s="1"/>
  <c r="AC2365" i="113" s="1"/>
  <c r="AG2365" i="113" s="1"/>
  <c r="T592" i="113"/>
  <c r="W592" i="113" s="1"/>
  <c r="Y592" i="113" s="1"/>
  <c r="AC592" i="113" s="1"/>
  <c r="AG592" i="113" s="1"/>
  <c r="T2322" i="113"/>
  <c r="W2322" i="113" s="1"/>
  <c r="Y2322" i="113" s="1"/>
  <c r="AC2322" i="113" s="1"/>
  <c r="AG2322" i="113" s="1"/>
  <c r="T2377" i="113"/>
  <c r="W2377" i="113" s="1"/>
  <c r="Y2377" i="113" s="1"/>
  <c r="T1430" i="113"/>
  <c r="W1430" i="113" s="1"/>
  <c r="Y1430" i="113" s="1"/>
  <c r="AC1430" i="113" s="1"/>
  <c r="AG1430" i="113" s="1"/>
  <c r="T571" i="113"/>
  <c r="W571" i="113" s="1"/>
  <c r="Y571" i="113" s="1"/>
  <c r="AC571" i="113" s="1"/>
  <c r="AG571" i="113" s="1"/>
  <c r="T1659" i="113"/>
  <c r="W1659" i="113" s="1"/>
  <c r="Y1659" i="113" s="1"/>
  <c r="T2498" i="113"/>
  <c r="W2498" i="113" s="1"/>
  <c r="Y2498" i="113" s="1"/>
  <c r="T182" i="113"/>
  <c r="W182" i="113" s="1"/>
  <c r="Y182" i="113" s="1"/>
  <c r="AC182" i="113" s="1"/>
  <c r="AG182" i="113" s="1"/>
  <c r="T2255" i="113"/>
  <c r="W2255" i="113" s="1"/>
  <c r="Y2255" i="113" s="1"/>
  <c r="AC2255" i="113" s="1"/>
  <c r="AG2255" i="113" s="1"/>
  <c r="T2095" i="113"/>
  <c r="W2095" i="113" s="1"/>
  <c r="Y2095" i="113" s="1"/>
  <c r="AC2095" i="113" s="1"/>
  <c r="AG2095" i="113" s="1"/>
  <c r="T2110" i="113"/>
  <c r="W2110" i="113" s="1"/>
  <c r="Y2110" i="113" s="1"/>
  <c r="AC2110" i="113" s="1"/>
  <c r="AG2110" i="113" s="1"/>
  <c r="T2583" i="113"/>
  <c r="W2583" i="113" s="1"/>
  <c r="Y2583" i="113" s="1"/>
  <c r="T2502" i="113"/>
  <c r="W2502" i="113" s="1"/>
  <c r="Y2502" i="113" s="1"/>
  <c r="T639" i="113"/>
  <c r="W639" i="113" s="1"/>
  <c r="Y639" i="113" s="1"/>
  <c r="AC639" i="113" s="1"/>
  <c r="AG639" i="113" s="1"/>
  <c r="T899" i="113"/>
  <c r="W899" i="113" s="1"/>
  <c r="Y899" i="113" s="1"/>
  <c r="T2203" i="113"/>
  <c r="W2203" i="113" s="1"/>
  <c r="Y2203" i="113" s="1"/>
  <c r="AC2203" i="113" s="1"/>
  <c r="AG2203" i="113" s="1"/>
  <c r="T1579" i="113"/>
  <c r="W1579" i="113" s="1"/>
  <c r="Y1579" i="113" s="1"/>
  <c r="T2417" i="113"/>
  <c r="W2417" i="113" s="1"/>
  <c r="Y2417" i="113" s="1"/>
  <c r="AC2417" i="113" s="1"/>
  <c r="AG2417" i="113" s="1"/>
  <c r="T1452" i="113"/>
  <c r="W1452" i="113" s="1"/>
  <c r="Y1452" i="113" s="1"/>
  <c r="T2606" i="113"/>
  <c r="W2606" i="113" s="1"/>
  <c r="Y2606" i="113" s="1"/>
  <c r="AC2606" i="113" s="1"/>
  <c r="AG2606" i="113" s="1"/>
  <c r="T1939" i="113"/>
  <c r="W1939" i="113" s="1"/>
  <c r="Y1939" i="113" s="1"/>
  <c r="T1134" i="113"/>
  <c r="W1134" i="113" s="1"/>
  <c r="Y1134" i="113" s="1"/>
  <c r="AC1134" i="113" s="1"/>
  <c r="AG1134" i="113" s="1"/>
  <c r="T948" i="113"/>
  <c r="W948" i="113" s="1"/>
  <c r="Y948" i="113" s="1"/>
  <c r="AC948" i="113" s="1"/>
  <c r="AG948" i="113" s="1"/>
  <c r="T1681" i="113"/>
  <c r="W1681" i="113" s="1"/>
  <c r="Y1681" i="113" s="1"/>
  <c r="AC1681" i="113" s="1"/>
  <c r="AG1681" i="113" s="1"/>
  <c r="T839" i="113"/>
  <c r="W839" i="113" s="1"/>
  <c r="Y839" i="113" s="1"/>
  <c r="AC839" i="113" s="1"/>
  <c r="AG839" i="113" s="1"/>
  <c r="T606" i="113"/>
  <c r="W606" i="113" s="1"/>
  <c r="Y606" i="113" s="1"/>
  <c r="AC606" i="113" s="1"/>
  <c r="AG606" i="113" s="1"/>
  <c r="T2527" i="113"/>
  <c r="W2527" i="113" s="1"/>
  <c r="Y2527" i="113" s="1"/>
  <c r="T797" i="113"/>
  <c r="W797" i="113" s="1"/>
  <c r="Y797" i="113" s="1"/>
  <c r="AC797" i="113" s="1"/>
  <c r="AG797" i="113" s="1"/>
  <c r="T168" i="113"/>
  <c r="W168" i="113" s="1"/>
  <c r="Y168" i="113" s="1"/>
  <c r="AC168" i="113" s="1"/>
  <c r="AG168" i="113" s="1"/>
  <c r="T2449" i="113"/>
  <c r="W2449" i="113" s="1"/>
  <c r="Y2449" i="113" s="1"/>
  <c r="AC2449" i="113" s="1"/>
  <c r="AG2449" i="113" s="1"/>
  <c r="T1729" i="113"/>
  <c r="W1729" i="113" s="1"/>
  <c r="Y1729" i="113" s="1"/>
  <c r="T2057" i="113"/>
  <c r="W2057" i="113" s="1"/>
  <c r="Y2057" i="113" s="1"/>
  <c r="T1147" i="113"/>
  <c r="W1147" i="113" s="1"/>
  <c r="Y1147" i="113" s="1"/>
  <c r="AC1147" i="113" s="1"/>
  <c r="AG1147" i="113" s="1"/>
  <c r="T1704" i="113"/>
  <c r="W1704" i="113" s="1"/>
  <c r="Y1704" i="113" s="1"/>
  <c r="AC1704" i="113" s="1"/>
  <c r="AG1704" i="113" s="1"/>
  <c r="T2444" i="113"/>
  <c r="W2444" i="113" s="1"/>
  <c r="Y2444" i="113" s="1"/>
  <c r="AC2444" i="113" s="1"/>
  <c r="AG2444" i="113" s="1"/>
  <c r="T2249" i="113"/>
  <c r="W2249" i="113" s="1"/>
  <c r="Y2249" i="113" s="1"/>
  <c r="T723" i="113"/>
  <c r="W723" i="113" s="1"/>
  <c r="Y723" i="113" s="1"/>
  <c r="AC723" i="113" s="1"/>
  <c r="AG723" i="113" s="1"/>
  <c r="T1631" i="113"/>
  <c r="W1631" i="113" s="1"/>
  <c r="Y1631" i="113" s="1"/>
  <c r="AC1631" i="113" s="1"/>
  <c r="AG1631" i="113" s="1"/>
  <c r="T2024" i="113"/>
  <c r="W2024" i="113" s="1"/>
  <c r="Y2024" i="113" s="1"/>
  <c r="T2572" i="113"/>
  <c r="W2572" i="113" s="1"/>
  <c r="Y2572" i="113" s="1"/>
  <c r="T1867" i="113"/>
  <c r="W1867" i="113" s="1"/>
  <c r="Y1867" i="113" s="1"/>
  <c r="T1322" i="113"/>
  <c r="W1322" i="113" s="1"/>
  <c r="Y1322" i="113" s="1"/>
  <c r="T1151" i="113"/>
  <c r="W1151" i="113" s="1"/>
  <c r="Y1151" i="113" s="1"/>
  <c r="T2672" i="113"/>
  <c r="W2672" i="113" s="1"/>
  <c r="Y2672" i="113" s="1"/>
  <c r="AC2672" i="113" s="1"/>
  <c r="AG2672" i="113" s="1"/>
  <c r="T490" i="113"/>
  <c r="W490" i="113" s="1"/>
  <c r="Y490" i="113" s="1"/>
  <c r="AC490" i="113" s="1"/>
  <c r="AG490" i="113" s="1"/>
  <c r="T1461" i="113"/>
  <c r="W1461" i="113" s="1"/>
  <c r="Y1461" i="113" s="1"/>
  <c r="AC1461" i="113" s="1"/>
  <c r="AG1461" i="113" s="1"/>
  <c r="T205" i="113"/>
  <c r="W205" i="113" s="1"/>
  <c r="Y205" i="113" s="1"/>
  <c r="AC205" i="113" s="1"/>
  <c r="AG205" i="113" s="1"/>
  <c r="T297" i="113"/>
  <c r="W297" i="113" s="1"/>
  <c r="Y297" i="113" s="1"/>
  <c r="T2587" i="113"/>
  <c r="W2587" i="113" s="1"/>
  <c r="Y2587" i="113" s="1"/>
  <c r="T1429" i="113"/>
  <c r="W1429" i="113" s="1"/>
  <c r="Y1429" i="113" s="1"/>
  <c r="AC1429" i="113" s="1"/>
  <c r="AG1429" i="113" s="1"/>
  <c r="T742" i="113"/>
  <c r="W742" i="113" s="1"/>
  <c r="Y742" i="113" s="1"/>
  <c r="AC742" i="113" s="1"/>
  <c r="AG742" i="113" s="1"/>
  <c r="T708" i="113"/>
  <c r="W708" i="113" s="1"/>
  <c r="Y708" i="113" s="1"/>
  <c r="AC708" i="113" s="1"/>
  <c r="AG708" i="113" s="1"/>
  <c r="T1840" i="113"/>
  <c r="W1840" i="113" s="1"/>
  <c r="Y1840" i="113" s="1"/>
  <c r="AC1840" i="113" s="1"/>
  <c r="AG1840" i="113" s="1"/>
  <c r="T255" i="113"/>
  <c r="W255" i="113" s="1"/>
  <c r="Y255" i="113" s="1"/>
  <c r="T143" i="113"/>
  <c r="W143" i="113" s="1"/>
  <c r="Y143" i="113" s="1"/>
  <c r="T2489" i="113"/>
  <c r="W2489" i="113" s="1"/>
  <c r="Y2489" i="113" s="1"/>
  <c r="AC2489" i="113" s="1"/>
  <c r="AG2489" i="113" s="1"/>
  <c r="T1168" i="113"/>
  <c r="W1168" i="113" s="1"/>
  <c r="Y1168" i="113" s="1"/>
  <c r="AC1168" i="113" s="1"/>
  <c r="AG1168" i="113" s="1"/>
  <c r="T213" i="113"/>
  <c r="W213" i="113" s="1"/>
  <c r="Y213" i="113" s="1"/>
  <c r="T895" i="113"/>
  <c r="W895" i="113" s="1"/>
  <c r="Y895" i="113" s="1"/>
  <c r="AC895" i="113" s="1"/>
  <c r="AG895" i="113" s="1"/>
  <c r="T492" i="113"/>
  <c r="W492" i="113" s="1"/>
  <c r="Y492" i="113" s="1"/>
  <c r="AC492" i="113" s="1"/>
  <c r="AG492" i="113" s="1"/>
  <c r="T2593" i="113"/>
  <c r="W2593" i="113" s="1"/>
  <c r="Y2593" i="113" s="1"/>
  <c r="T2376" i="113"/>
  <c r="W2376" i="113" s="1"/>
  <c r="Y2376" i="113" s="1"/>
  <c r="AC2376" i="113" s="1"/>
  <c r="AG2376" i="113" s="1"/>
  <c r="T1506" i="113"/>
  <c r="W1506" i="113" s="1"/>
  <c r="Y1506" i="113" s="1"/>
  <c r="AC1506" i="113" s="1"/>
  <c r="AG1506" i="113" s="1"/>
  <c r="T2437" i="113"/>
  <c r="W2437" i="113" s="1"/>
  <c r="Y2437" i="113" s="1"/>
  <c r="AC2437" i="113" s="1"/>
  <c r="AG2437" i="113" s="1"/>
  <c r="T624" i="113"/>
  <c r="W624" i="113" s="1"/>
  <c r="Y624" i="113" s="1"/>
  <c r="T848" i="113"/>
  <c r="W848" i="113" s="1"/>
  <c r="Y848" i="113" s="1"/>
  <c r="AC848" i="113" s="1"/>
  <c r="AG848" i="113" s="1"/>
  <c r="T1879" i="113"/>
  <c r="W1879" i="113" s="1"/>
  <c r="Y1879" i="113" s="1"/>
  <c r="T877" i="113"/>
  <c r="W877" i="113" s="1"/>
  <c r="Y877" i="113" s="1"/>
  <c r="AC877" i="113" s="1"/>
  <c r="AG877" i="113" s="1"/>
  <c r="T528" i="113"/>
  <c r="W528" i="113" s="1"/>
  <c r="Y528" i="113" s="1"/>
  <c r="AC528" i="113" s="1"/>
  <c r="AG528" i="113" s="1"/>
  <c r="T1178" i="113"/>
  <c r="W1178" i="113" s="1"/>
  <c r="Y1178" i="113" s="1"/>
  <c r="T2394" i="113"/>
  <c r="W2394" i="113" s="1"/>
  <c r="Y2394" i="113" s="1"/>
  <c r="T706" i="113"/>
  <c r="W706" i="113" s="1"/>
  <c r="Y706" i="113" s="1"/>
  <c r="AC706" i="113" s="1"/>
  <c r="AG706" i="113" s="1"/>
  <c r="T1679" i="113"/>
  <c r="W1679" i="113" s="1"/>
  <c r="Y1679" i="113" s="1"/>
  <c r="AC1679" i="113" s="1"/>
  <c r="AG1679" i="113" s="1"/>
  <c r="T2407" i="113"/>
  <c r="W2407" i="113" s="1"/>
  <c r="Y2407" i="113" s="1"/>
  <c r="T799" i="113"/>
  <c r="W799" i="113" s="1"/>
  <c r="Y799" i="113" s="1"/>
  <c r="AC799" i="113" s="1"/>
  <c r="AG799" i="113" s="1"/>
  <c r="T1745" i="113"/>
  <c r="W1745" i="113" s="1"/>
  <c r="Y1745" i="113" s="1"/>
  <c r="AC1745" i="113" s="1"/>
  <c r="AG1745" i="113" s="1"/>
  <c r="T2516" i="113"/>
  <c r="W2516" i="113" s="1"/>
  <c r="Y2516" i="113" s="1"/>
  <c r="AC2516" i="113" s="1"/>
  <c r="AG2516" i="113" s="1"/>
  <c r="T1432" i="113"/>
  <c r="T2582" i="113"/>
  <c r="W2582" i="113" s="1"/>
  <c r="Y2582" i="113" s="1"/>
  <c r="AC2582" i="113" s="1"/>
  <c r="AG2582" i="113" s="1"/>
  <c r="T2507" i="113"/>
  <c r="W2507" i="113" s="1"/>
  <c r="Y2507" i="113" s="1"/>
  <c r="T79" i="113"/>
  <c r="W79" i="113" s="1"/>
  <c r="Y79" i="113" s="1"/>
  <c r="AC79" i="113" s="1"/>
  <c r="AG79" i="113" s="1"/>
  <c r="T2667" i="113"/>
  <c r="W2667" i="113" s="1"/>
  <c r="Y2667" i="113" s="1"/>
  <c r="T2317" i="113"/>
  <c r="W2317" i="113" s="1"/>
  <c r="Y2317" i="113" s="1"/>
  <c r="AC2317" i="113" s="1"/>
  <c r="AG2317" i="113" s="1"/>
  <c r="T1780" i="113"/>
  <c r="W1780" i="113" s="1"/>
  <c r="Y1780" i="113" s="1"/>
  <c r="AC1780" i="113" s="1"/>
  <c r="AG1780" i="113" s="1"/>
  <c r="T2533" i="113"/>
  <c r="W2533" i="113" s="1"/>
  <c r="Y2533" i="113" s="1"/>
  <c r="T1529" i="113"/>
  <c r="W1529" i="113" s="1"/>
  <c r="Y1529" i="113" s="1"/>
  <c r="T1279" i="113"/>
  <c r="W1279" i="113" s="1"/>
  <c r="Y1279" i="113" s="1"/>
  <c r="AC1279" i="113" s="1"/>
  <c r="AG1279" i="113" s="1"/>
  <c r="T861" i="113"/>
  <c r="W861" i="113" s="1"/>
  <c r="Y861" i="113" s="1"/>
  <c r="AC861" i="113" s="1"/>
  <c r="AG861" i="113" s="1"/>
  <c r="T1680" i="113"/>
  <c r="T1841" i="113"/>
  <c r="W1841" i="113" s="1"/>
  <c r="Y1841" i="113" s="1"/>
  <c r="T103" i="113"/>
  <c r="W103" i="113" s="1"/>
  <c r="Y103" i="113" s="1"/>
  <c r="AC103" i="113" s="1"/>
  <c r="AG103" i="113" s="1"/>
  <c r="T1348" i="113"/>
  <c r="W1348" i="113" s="1"/>
  <c r="Y1348" i="113" s="1"/>
  <c r="AC1348" i="113" s="1"/>
  <c r="AG1348" i="113" s="1"/>
  <c r="T2111" i="113"/>
  <c r="W2111" i="113" s="1"/>
  <c r="Y2111" i="113" s="1"/>
  <c r="T2503" i="113"/>
  <c r="W2503" i="113" s="1"/>
  <c r="Y2503" i="113" s="1"/>
  <c r="AC2503" i="113" s="1"/>
  <c r="AG2503" i="113" s="1"/>
  <c r="T1194" i="113"/>
  <c r="W1194" i="113" s="1"/>
  <c r="Y1194" i="113" s="1"/>
  <c r="T261" i="113"/>
  <c r="W261" i="113" s="1"/>
  <c r="Y261" i="113" s="1"/>
  <c r="AC261" i="113" s="1"/>
  <c r="AG261" i="113" s="1"/>
  <c r="T2037" i="113"/>
  <c r="W2037" i="113" s="1"/>
  <c r="Y2037" i="113" s="1"/>
  <c r="T743" i="113"/>
  <c r="W743" i="113" s="1"/>
  <c r="Y743" i="113" s="1"/>
  <c r="T2304" i="113"/>
  <c r="W2304" i="113" s="1"/>
  <c r="Y2304" i="113" s="1"/>
  <c r="AC2304" i="113" s="1"/>
  <c r="AG2304" i="113" s="1"/>
  <c r="T1654" i="113"/>
  <c r="W1654" i="113" s="1"/>
  <c r="Y1654" i="113" s="1"/>
  <c r="AC1654" i="113" s="1"/>
  <c r="AG1654" i="113" s="1"/>
  <c r="T2337" i="113"/>
  <c r="W2337" i="113" s="1"/>
  <c r="Y2337" i="113" s="1"/>
  <c r="AC2337" i="113" s="1"/>
  <c r="AG2337" i="113" s="1"/>
  <c r="T563" i="113"/>
  <c r="W563" i="113" s="1"/>
  <c r="Y563" i="113" s="1"/>
  <c r="AC563" i="113" s="1"/>
  <c r="AG563" i="113" s="1"/>
  <c r="T838" i="113"/>
  <c r="T2331" i="113"/>
  <c r="W2331" i="113" s="1"/>
  <c r="Y2331" i="113" s="1"/>
  <c r="AC2331" i="113" s="1"/>
  <c r="AG2331" i="113" s="1"/>
  <c r="T1833" i="113"/>
  <c r="W1833" i="113" s="1"/>
  <c r="Y1833" i="113" s="1"/>
  <c r="AC1833" i="113" s="1"/>
  <c r="AG1833" i="113" s="1"/>
  <c r="T2200" i="113"/>
  <c r="W2200" i="113" s="1"/>
  <c r="Y2200" i="113" s="1"/>
  <c r="T2242" i="113"/>
  <c r="W2242" i="113" s="1"/>
  <c r="Y2242" i="113" s="1"/>
  <c r="T1626" i="113"/>
  <c r="W1626" i="113" s="1"/>
  <c r="Y1626" i="113" s="1"/>
  <c r="AC1626" i="113" s="1"/>
  <c r="AG1626" i="113" s="1"/>
  <c r="T1887" i="113"/>
  <c r="W1887" i="113" s="1"/>
  <c r="Y1887" i="113" s="1"/>
  <c r="AC1887" i="113" s="1"/>
  <c r="AG1887" i="113" s="1"/>
  <c r="T196" i="113"/>
  <c r="W196" i="113" s="1"/>
  <c r="Y196" i="113" s="1"/>
  <c r="AC196" i="113" s="1"/>
  <c r="AG196" i="113" s="1"/>
  <c r="T890" i="113"/>
  <c r="W890" i="113" s="1"/>
  <c r="Y890" i="113" s="1"/>
  <c r="AC890" i="113" s="1"/>
  <c r="AG890" i="113" s="1"/>
  <c r="T1851" i="113"/>
  <c r="W1851" i="113" s="1"/>
  <c r="Y1851" i="113" s="1"/>
  <c r="AC1851" i="113" s="1"/>
  <c r="AG1851" i="113" s="1"/>
  <c r="T2112" i="113"/>
  <c r="W2112" i="113" s="1"/>
  <c r="Y2112" i="113" s="1"/>
  <c r="AC2112" i="113" s="1"/>
  <c r="AG2112" i="113" s="1"/>
  <c r="T1750" i="113"/>
  <c r="W1750" i="113" s="1"/>
  <c r="Y1750" i="113" s="1"/>
  <c r="T1419" i="113"/>
  <c r="W1419" i="113" s="1"/>
  <c r="Y1419" i="113" s="1"/>
  <c r="AC1419" i="113" s="1"/>
  <c r="AG1419" i="113" s="1"/>
  <c r="T1298" i="113"/>
  <c r="W1298" i="113" s="1"/>
  <c r="Y1298" i="113" s="1"/>
  <c r="T1490" i="113"/>
  <c r="W1490" i="113" s="1"/>
  <c r="Y1490" i="113" s="1"/>
  <c r="T2673" i="113"/>
  <c r="W2673" i="113" s="1"/>
  <c r="Y2673" i="113" s="1"/>
  <c r="T1350" i="113"/>
  <c r="W1350" i="113" s="1"/>
  <c r="Y1350" i="113" s="1"/>
  <c r="T2610" i="113"/>
  <c r="W2610" i="113" s="1"/>
  <c r="Y2610" i="113" s="1"/>
  <c r="T1223" i="113"/>
  <c r="W1223" i="113" s="1"/>
  <c r="Y1223" i="113" s="1"/>
  <c r="AC1223" i="113" s="1"/>
  <c r="AG1223" i="113" s="1"/>
  <c r="T1769" i="113"/>
  <c r="W1769" i="113" s="1"/>
  <c r="Y1769" i="113" s="1"/>
  <c r="T2235" i="113"/>
  <c r="W2235" i="113" s="1"/>
  <c r="Y2235" i="113" s="1"/>
  <c r="T769" i="113"/>
  <c r="W769" i="113" s="1"/>
  <c r="Y769" i="113" s="1"/>
  <c r="AC769" i="113" s="1"/>
  <c r="AG769" i="113" s="1"/>
  <c r="T26" i="113"/>
  <c r="T1005" i="113"/>
  <c r="W1005" i="113" s="1"/>
  <c r="Y1005" i="113" s="1"/>
  <c r="T1834" i="113"/>
  <c r="W1834" i="113" s="1"/>
  <c r="Y1834" i="113" s="1"/>
  <c r="T1014" i="113"/>
  <c r="W1014" i="113" s="1"/>
  <c r="Y1014" i="113" s="1"/>
  <c r="AC1014" i="113" s="1"/>
  <c r="AG1014" i="113" s="1"/>
  <c r="T1936" i="113"/>
  <c r="W1936" i="113" s="1"/>
  <c r="Y1936" i="113" s="1"/>
  <c r="AC1936" i="113" s="1"/>
  <c r="AG1936" i="113" s="1"/>
  <c r="T1033" i="113"/>
  <c r="W1033" i="113" s="1"/>
  <c r="Y1033" i="113" s="1"/>
  <c r="T466" i="113"/>
  <c r="W466" i="113" s="1"/>
  <c r="Y466" i="113" s="1"/>
  <c r="AC466" i="113" s="1"/>
  <c r="AG466" i="113" s="1"/>
  <c r="T1052" i="113"/>
  <c r="W1052" i="113" s="1"/>
  <c r="Y1052" i="113" s="1"/>
  <c r="AC1052" i="113" s="1"/>
  <c r="AG1052" i="113" s="1"/>
  <c r="T1818" i="113"/>
  <c r="W1818" i="113" s="1"/>
  <c r="Y1818" i="113" s="1"/>
  <c r="AC1818" i="113" s="1"/>
  <c r="AG1818" i="113" s="1"/>
  <c r="T2161" i="113"/>
  <c r="T2438" i="113"/>
  <c r="W2438" i="113" s="1"/>
  <c r="Y2438" i="113" s="1"/>
  <c r="AC2438" i="113" s="1"/>
  <c r="AG2438" i="113" s="1"/>
  <c r="T338" i="113"/>
  <c r="T128" i="113"/>
  <c r="W128" i="113" s="1"/>
  <c r="Y128" i="113" s="1"/>
  <c r="AC128" i="113" s="1"/>
  <c r="AG128" i="113" s="1"/>
  <c r="T910" i="113"/>
  <c r="W910" i="113" s="1"/>
  <c r="Y910" i="113" s="1"/>
  <c r="AC910" i="113" s="1"/>
  <c r="AG910" i="113" s="1"/>
  <c r="T1882" i="113"/>
  <c r="W1882" i="113" s="1"/>
  <c r="Y1882" i="113" s="1"/>
  <c r="AC1882" i="113" s="1"/>
  <c r="AG1882" i="113" s="1"/>
  <c r="T2271" i="113"/>
  <c r="W2271" i="113" s="1"/>
  <c r="Y2271" i="113" s="1"/>
  <c r="AC2271" i="113" s="1"/>
  <c r="AG2271" i="113" s="1"/>
  <c r="T2096" i="113"/>
  <c r="W2096" i="113" s="1"/>
  <c r="Y2096" i="113" s="1"/>
  <c r="AC2096" i="113" s="1"/>
  <c r="AG2096" i="113" s="1"/>
  <c r="T2655" i="113"/>
  <c r="W2655" i="113" s="1"/>
  <c r="Y2655" i="113" s="1"/>
  <c r="AC2655" i="113" s="1"/>
  <c r="AG2655" i="113" s="1"/>
  <c r="T1241" i="113"/>
  <c r="W1241" i="113" s="1"/>
  <c r="Y1241" i="113" s="1"/>
  <c r="AC1241" i="113" s="1"/>
  <c r="AG1241" i="113" s="1"/>
  <c r="T2393" i="113"/>
  <c r="W2393" i="113" s="1"/>
  <c r="Y2393" i="113" s="1"/>
  <c r="AC2393" i="113" s="1"/>
  <c r="AG2393" i="113" s="1"/>
  <c r="T1738" i="113"/>
  <c r="W1738" i="113" s="1"/>
  <c r="Y1738" i="113" s="1"/>
  <c r="AC1738" i="113" s="1"/>
  <c r="AG1738" i="113" s="1"/>
  <c r="T2484" i="113"/>
  <c r="W2484" i="113" s="1"/>
  <c r="Y2484" i="113" s="1"/>
  <c r="AC2484" i="113" s="1"/>
  <c r="AG2484" i="113" s="1"/>
  <c r="T1668" i="113"/>
  <c r="W1668" i="113" s="1"/>
  <c r="Y1668" i="113" s="1"/>
  <c r="AC1668" i="113" s="1"/>
  <c r="AG1668" i="113" s="1"/>
  <c r="T1071" i="113"/>
  <c r="W1071" i="113" s="1"/>
  <c r="Y1071" i="113" s="1"/>
  <c r="AC1071" i="113" s="1"/>
  <c r="AG1071" i="113" s="1"/>
  <c r="T1167" i="113"/>
  <c r="T2306" i="113"/>
  <c r="W2306" i="113" s="1"/>
  <c r="Y2306" i="113" s="1"/>
  <c r="AC2306" i="113" s="1"/>
  <c r="AG2306" i="113" s="1"/>
  <c r="T138" i="113"/>
  <c r="W138" i="113" s="1"/>
  <c r="Y138" i="113" s="1"/>
  <c r="AC138" i="113" s="1"/>
  <c r="AG138" i="113" s="1"/>
  <c r="T2178" i="113"/>
  <c r="W2178" i="113" s="1"/>
  <c r="Y2178" i="113" s="1"/>
  <c r="T360" i="113"/>
  <c r="W360" i="113" s="1"/>
  <c r="Y360" i="113" s="1"/>
  <c r="AC360" i="113" s="1"/>
  <c r="AG360" i="113" s="1"/>
  <c r="T498" i="113"/>
  <c r="W498" i="113" s="1"/>
  <c r="Y498" i="113" s="1"/>
  <c r="T1257" i="113"/>
  <c r="W1257" i="113" s="1"/>
  <c r="Y1257" i="113" s="1"/>
  <c r="T2284" i="113"/>
  <c r="W2284" i="113" s="1"/>
  <c r="Y2284" i="113" s="1"/>
  <c r="T2268" i="113"/>
  <c r="W2268" i="113" s="1"/>
  <c r="Y2268" i="113" s="1"/>
  <c r="T1094" i="113"/>
  <c r="W1094" i="113" s="1"/>
  <c r="Y1094" i="113" s="1"/>
  <c r="T610" i="113"/>
  <c r="W610" i="113" s="1"/>
  <c r="Y610" i="113" s="1"/>
  <c r="T2275" i="113"/>
  <c r="W2275" i="113" s="1"/>
  <c r="Y2275" i="113" s="1"/>
  <c r="T2495" i="113"/>
  <c r="W2495" i="113" s="1"/>
  <c r="Y2495" i="113" s="1"/>
  <c r="T1458" i="113"/>
  <c r="W1458" i="113" s="1"/>
  <c r="Y1458" i="113" s="1"/>
  <c r="AC1458" i="113" s="1"/>
  <c r="AG1458" i="113" s="1"/>
  <c r="T2434" i="113"/>
  <c r="W2434" i="113" s="1"/>
  <c r="Y2434" i="113" s="1"/>
  <c r="AC2434" i="113" s="1"/>
  <c r="AG2434" i="113" s="1"/>
  <c r="T469" i="113"/>
  <c r="W469" i="113" s="1"/>
  <c r="Y469" i="113" s="1"/>
  <c r="AC469" i="113" s="1"/>
  <c r="AG469" i="113" s="1"/>
  <c r="T2296" i="113"/>
  <c r="W2296" i="113" s="1"/>
  <c r="Y2296" i="113" s="1"/>
  <c r="T2066" i="113"/>
  <c r="W2066" i="113" s="1"/>
  <c r="Y2066" i="113" s="1"/>
  <c r="T884" i="113"/>
  <c r="W884" i="113" s="1"/>
  <c r="Y884" i="113" s="1"/>
  <c r="AC884" i="113" s="1"/>
  <c r="AG884" i="113" s="1"/>
  <c r="T2247" i="113"/>
  <c r="W2247" i="113" s="1"/>
  <c r="Y2247" i="113" s="1"/>
  <c r="T767" i="113"/>
  <c r="W767" i="113" s="1"/>
  <c r="Y767" i="113" s="1"/>
  <c r="T2395" i="113"/>
  <c r="W2395" i="113" s="1"/>
  <c r="Y2395" i="113" s="1"/>
  <c r="AC2395" i="113" s="1"/>
  <c r="AG2395" i="113" s="1"/>
  <c r="T1086" i="113"/>
  <c r="W1086" i="113" s="1"/>
  <c r="Y1086" i="113" s="1"/>
  <c r="AC1086" i="113" s="1"/>
  <c r="AG1086" i="113" s="1"/>
  <c r="T2092" i="113"/>
  <c r="W2092" i="113" s="1"/>
  <c r="Y2092" i="113" s="1"/>
  <c r="T2466" i="113"/>
  <c r="W2466" i="113" s="1"/>
  <c r="Y2466" i="113" s="1"/>
  <c r="AC2466" i="113" s="1"/>
  <c r="AG2466" i="113" s="1"/>
  <c r="T2347" i="113"/>
  <c r="W2347" i="113" s="1"/>
  <c r="Y2347" i="113" s="1"/>
  <c r="T1829" i="113"/>
  <c r="W1829" i="113" s="1"/>
  <c r="Y1829" i="113" s="1"/>
  <c r="AC1829" i="113" s="1"/>
  <c r="AG1829" i="113" s="1"/>
  <c r="T1124" i="113"/>
  <c r="W1124" i="113" s="1"/>
  <c r="Y1124" i="113" s="1"/>
  <c r="T1261" i="113"/>
  <c r="W1261" i="113" s="1"/>
  <c r="Y1261" i="113" s="1"/>
  <c r="AC1261" i="113" s="1"/>
  <c r="AG1261" i="113" s="1"/>
  <c r="T1220" i="113"/>
  <c r="W1220" i="113" s="1"/>
  <c r="Y1220" i="113" s="1"/>
  <c r="T1155" i="113"/>
  <c r="W1155" i="113" s="1"/>
  <c r="Y1155" i="113" s="1"/>
  <c r="AC1155" i="113" s="1"/>
  <c r="AG1155" i="113" s="1"/>
  <c r="T1925" i="113"/>
  <c r="W1925" i="113" s="1"/>
  <c r="Y1925" i="113" s="1"/>
  <c r="T1169" i="113"/>
  <c r="W1169" i="113" s="1"/>
  <c r="Y1169" i="113" s="1"/>
  <c r="AC1169" i="113" s="1"/>
  <c r="AG1169" i="113" s="1"/>
  <c r="T1493" i="113"/>
  <c r="W1493" i="113" s="1"/>
  <c r="Y1493" i="113" s="1"/>
  <c r="AC1493" i="113" s="1"/>
  <c r="AG1493" i="113" s="1"/>
  <c r="T382" i="113"/>
  <c r="W382" i="113" s="1"/>
  <c r="Y382" i="113" s="1"/>
  <c r="AC382" i="113" s="1"/>
  <c r="AG382" i="113" s="1"/>
  <c r="T150" i="113"/>
  <c r="W150" i="113" s="1"/>
  <c r="Y150" i="113" s="1"/>
  <c r="T2215" i="113"/>
  <c r="W2215" i="113" s="1"/>
  <c r="Y2215" i="113" s="1"/>
  <c r="AC2215" i="113" s="1"/>
  <c r="AG2215" i="113" s="1"/>
  <c r="T1016" i="113"/>
  <c r="W1016" i="113" s="1"/>
  <c r="Y1016" i="113" s="1"/>
  <c r="AC1016" i="113" s="1"/>
  <c r="AG1016" i="113" s="1"/>
  <c r="T156" i="113"/>
  <c r="W156" i="113" s="1"/>
  <c r="Y156" i="113" s="1"/>
  <c r="AC156" i="113" s="1"/>
  <c r="AG156" i="113" s="1"/>
  <c r="T2384" i="113"/>
  <c r="W2384" i="113" s="1"/>
  <c r="Y2384" i="113" s="1"/>
  <c r="T1772" i="113"/>
  <c r="W1772" i="113" s="1"/>
  <c r="Y1772" i="113" s="1"/>
  <c r="T2526" i="113"/>
  <c r="W2526" i="113" s="1"/>
  <c r="Y2526" i="113" s="1"/>
  <c r="AC2526" i="113" s="1"/>
  <c r="AG2526" i="113" s="1"/>
  <c r="T2219" i="113"/>
  <c r="W2219" i="113" s="1"/>
  <c r="Y2219" i="113" s="1"/>
  <c r="AC2219" i="113" s="1"/>
  <c r="AG2219" i="113" s="1"/>
  <c r="T1563" i="113"/>
  <c r="W1563" i="113" s="1"/>
  <c r="Y1563" i="113" s="1"/>
  <c r="AC1563" i="113" s="1"/>
  <c r="AG1563" i="113" s="1"/>
  <c r="T1231" i="113"/>
  <c r="W1231" i="113" s="1"/>
  <c r="Y1231" i="113" s="1"/>
  <c r="AC1231" i="113" s="1"/>
  <c r="AG1231" i="113" s="1"/>
  <c r="T242" i="113"/>
  <c r="W242" i="113" s="1"/>
  <c r="Y242" i="113" s="1"/>
  <c r="AC242" i="113" s="1"/>
  <c r="AG242" i="113" s="1"/>
  <c r="T209" i="113"/>
  <c r="W209" i="113" s="1"/>
  <c r="Y209" i="113" s="1"/>
  <c r="AC209" i="113" s="1"/>
  <c r="AG209" i="113" s="1"/>
  <c r="T1318" i="113"/>
  <c r="W1318" i="113" s="1"/>
  <c r="Y1318" i="113" s="1"/>
  <c r="AC1318" i="113" s="1"/>
  <c r="AG1318" i="113" s="1"/>
  <c r="T1202" i="113"/>
  <c r="W1202" i="113" s="1"/>
  <c r="Y1202" i="113" s="1"/>
  <c r="AC1202" i="113" s="1"/>
  <c r="AG1202" i="113" s="1"/>
  <c r="T824" i="113"/>
  <c r="W824" i="113" s="1"/>
  <c r="Y824" i="113" s="1"/>
  <c r="AC824" i="113" s="1"/>
  <c r="AG824" i="113" s="1"/>
  <c r="T253" i="113"/>
  <c r="W253" i="113" s="1"/>
  <c r="Y253" i="113" s="1"/>
  <c r="AC253" i="113" s="1"/>
  <c r="AG253" i="113" s="1"/>
  <c r="T86" i="113"/>
  <c r="W86" i="113" s="1"/>
  <c r="Y86" i="113" s="1"/>
  <c r="T1581" i="113"/>
  <c r="W1581" i="113" s="1"/>
  <c r="Y1581" i="113" s="1"/>
  <c r="T1332" i="113"/>
  <c r="W1332" i="113" s="1"/>
  <c r="Y1332" i="113" s="1"/>
  <c r="AC1332" i="113" s="1"/>
  <c r="AG1332" i="113" s="1"/>
  <c r="T596" i="113"/>
  <c r="W596" i="113" s="1"/>
  <c r="Y596" i="113" s="1"/>
  <c r="T2525" i="113"/>
  <c r="W2525" i="113" s="1"/>
  <c r="Y2525" i="113" s="1"/>
  <c r="AC2525" i="113" s="1"/>
  <c r="AG2525" i="113" s="1"/>
  <c r="T748" i="113"/>
  <c r="W748" i="113" s="1"/>
  <c r="Y748" i="113" s="1"/>
  <c r="AC748" i="113" s="1"/>
  <c r="AG748" i="113" s="1"/>
  <c r="T512" i="113"/>
  <c r="W512" i="113" s="1"/>
  <c r="Y512" i="113" s="1"/>
  <c r="T2058" i="113"/>
  <c r="W2058" i="113" s="1"/>
  <c r="Y2058" i="113" s="1"/>
  <c r="AC2058" i="113" s="1"/>
  <c r="AG2058" i="113" s="1"/>
  <c r="T1689" i="113"/>
  <c r="W1689" i="113" s="1"/>
  <c r="Y1689" i="113" s="1"/>
  <c r="AC1689" i="113" s="1"/>
  <c r="AG1689" i="113" s="1"/>
  <c r="T580" i="113"/>
  <c r="W580" i="113" s="1"/>
  <c r="Y580" i="113" s="1"/>
  <c r="T1509" i="113"/>
  <c r="W1509" i="113" s="1"/>
  <c r="Y1509" i="113" s="1"/>
  <c r="AC1509" i="113" s="1"/>
  <c r="AG1509" i="113" s="1"/>
  <c r="T2265" i="113"/>
  <c r="W2265" i="113" s="1"/>
  <c r="Y2265" i="113" s="1"/>
  <c r="T171" i="113"/>
  <c r="W171" i="113" s="1"/>
  <c r="Y171" i="113" s="1"/>
  <c r="T2601" i="113"/>
  <c r="W2601" i="113" s="1"/>
  <c r="Y2601" i="113" s="1"/>
  <c r="AC2601" i="113" s="1"/>
  <c r="AG2601" i="113" s="1"/>
  <c r="T2520" i="113"/>
  <c r="W2520" i="113" s="1"/>
  <c r="Y2520" i="113" s="1"/>
  <c r="T722" i="113"/>
  <c r="W722" i="113" s="1"/>
  <c r="Y722" i="113" s="1"/>
  <c r="T845" i="113"/>
  <c r="W845" i="113" s="1"/>
  <c r="Y845" i="113" s="1"/>
  <c r="AC845" i="113" s="1"/>
  <c r="AG845" i="113" s="1"/>
  <c r="T1352" i="113"/>
  <c r="W1352" i="113" s="1"/>
  <c r="Y1352" i="113" s="1"/>
  <c r="AC1352" i="113" s="1"/>
  <c r="AG1352" i="113" s="1"/>
  <c r="T2354" i="113"/>
  <c r="W2354" i="113" s="1"/>
  <c r="Y2354" i="113" s="1"/>
  <c r="T1945" i="113"/>
  <c r="W1945" i="113" s="1"/>
  <c r="Y1945" i="113" s="1"/>
  <c r="AC1945" i="113" s="1"/>
  <c r="AG1945" i="113" s="1"/>
  <c r="T2048" i="113"/>
  <c r="W2048" i="113" s="1"/>
  <c r="Y2048" i="113" s="1"/>
  <c r="T2536" i="113"/>
  <c r="W2536" i="113" s="1"/>
  <c r="Y2536" i="113" s="1"/>
  <c r="AC2536" i="113" s="1"/>
  <c r="AG2536" i="113" s="1"/>
  <c r="T1625" i="113"/>
  <c r="W1625" i="113" s="1"/>
  <c r="Y1625" i="113" s="1"/>
  <c r="AC1625" i="113" s="1"/>
  <c r="AG1625" i="113" s="1"/>
  <c r="T1119" i="113"/>
  <c r="W1119" i="113" s="1"/>
  <c r="Y1119" i="113" s="1"/>
  <c r="AC1119" i="113" s="1"/>
  <c r="AG1119" i="113" s="1"/>
  <c r="T1995" i="113"/>
  <c r="W1995" i="113" s="1"/>
  <c r="Y1995" i="113" s="1"/>
  <c r="AC1995" i="113" s="1"/>
  <c r="AG1995" i="113" s="1"/>
  <c r="T233" i="113"/>
  <c r="W233" i="113" s="1"/>
  <c r="Y233" i="113" s="1"/>
  <c r="AC233" i="113" s="1"/>
  <c r="AG233" i="113" s="1"/>
  <c r="T290" i="113"/>
  <c r="W290" i="113" s="1"/>
  <c r="Y290" i="113" s="1"/>
  <c r="T1891" i="113"/>
  <c r="W1891" i="113" s="1"/>
  <c r="Y1891" i="113" s="1"/>
  <c r="T1535" i="113"/>
  <c r="W1535" i="113" s="1"/>
  <c r="Y1535" i="113" s="1"/>
  <c r="AC1535" i="113" s="1"/>
  <c r="AG1535" i="113" s="1"/>
  <c r="T1101" i="113"/>
  <c r="W1101" i="113" s="1"/>
  <c r="Y1101" i="113" s="1"/>
  <c r="T1284" i="113"/>
  <c r="T1901" i="113"/>
  <c r="W1901" i="113" s="1"/>
  <c r="Y1901" i="113" s="1"/>
  <c r="AC1901" i="113" s="1"/>
  <c r="AG1901" i="113" s="1"/>
  <c r="T499" i="113"/>
  <c r="W499" i="113" s="1"/>
  <c r="Y499" i="113" s="1"/>
  <c r="AC499" i="113" s="1"/>
  <c r="AG499" i="113" s="1"/>
  <c r="T64" i="113"/>
  <c r="W64" i="113" s="1"/>
  <c r="Y64" i="113" s="1"/>
  <c r="AC64" i="113" s="1"/>
  <c r="AG64" i="113" s="1"/>
  <c r="T157" i="113"/>
  <c r="W157" i="113" s="1"/>
  <c r="Y157" i="113" s="1"/>
  <c r="T1138" i="113"/>
  <c r="W1138" i="113" s="1"/>
  <c r="Y1138" i="113" s="1"/>
  <c r="T318" i="113"/>
  <c r="W318" i="113" s="1"/>
  <c r="Y318" i="113" s="1"/>
  <c r="T1238" i="113"/>
  <c r="W1238" i="113" s="1"/>
  <c r="Y1238" i="113" s="1"/>
  <c r="AC1238" i="113" s="1"/>
  <c r="AG1238" i="113" s="1"/>
  <c r="T858" i="113"/>
  <c r="W858" i="113" s="1"/>
  <c r="Y858" i="113" s="1"/>
  <c r="T1491" i="113"/>
  <c r="W1491" i="113" s="1"/>
  <c r="Y1491" i="113" s="1"/>
  <c r="AC1491" i="113" s="1"/>
  <c r="AG1491" i="113" s="1"/>
  <c r="T2237" i="113"/>
  <c r="W2237" i="113" s="1"/>
  <c r="Y2237" i="113" s="1"/>
  <c r="T1428" i="113"/>
  <c r="W1428" i="113" s="1"/>
  <c r="Y1428" i="113" s="1"/>
  <c r="AC1428" i="113" s="1"/>
  <c r="AG1428" i="113" s="1"/>
  <c r="T1641" i="113"/>
  <c r="W1641" i="113" s="1"/>
  <c r="Y1641" i="113" s="1"/>
  <c r="T2043" i="113"/>
  <c r="W2043" i="113" s="1"/>
  <c r="Y2043" i="113" s="1"/>
  <c r="T745" i="113"/>
  <c r="W745" i="113" s="1"/>
  <c r="Y745" i="113" s="1"/>
  <c r="T1544" i="113"/>
  <c r="W1544" i="113" s="1"/>
  <c r="Y1544" i="113" s="1"/>
  <c r="AC1544" i="113" s="1"/>
  <c r="AG1544" i="113" s="1"/>
  <c r="T1813" i="113"/>
  <c r="T2372" i="113"/>
  <c r="W2372" i="113" s="1"/>
  <c r="Y2372" i="113" s="1"/>
  <c r="AC2372" i="113" s="1"/>
  <c r="AG2372" i="113" s="1"/>
  <c r="T1691" i="113"/>
  <c r="W1691" i="113" s="1"/>
  <c r="Y1691" i="113" s="1"/>
  <c r="AC1691" i="113" s="1"/>
  <c r="AG1691" i="113" s="1"/>
  <c r="T1455" i="113"/>
  <c r="W1455" i="113" s="1"/>
  <c r="Y1455" i="113" s="1"/>
  <c r="T1384" i="113"/>
  <c r="W1384" i="113" s="1"/>
  <c r="Y1384" i="113" s="1"/>
  <c r="AC1384" i="113" s="1"/>
  <c r="AG1384" i="113" s="1"/>
  <c r="T825" i="113"/>
  <c r="W825" i="113" s="1"/>
  <c r="Y825" i="113" s="1"/>
  <c r="AC825" i="113" s="1"/>
  <c r="AG825" i="113" s="1"/>
  <c r="T2093" i="113"/>
  <c r="W2093" i="113" s="1"/>
  <c r="Y2093" i="113" s="1"/>
  <c r="AC2093" i="113" s="1"/>
  <c r="AG2093" i="113" s="1"/>
  <c r="T17" i="113"/>
  <c r="W17" i="113" s="1"/>
  <c r="Y17" i="113" s="1"/>
  <c r="AC17" i="113" s="1"/>
  <c r="AG17" i="113" s="1"/>
  <c r="T2199" i="113"/>
  <c r="W2199" i="113" s="1"/>
  <c r="Y2199" i="113" s="1"/>
  <c r="T2117" i="113"/>
  <c r="W2117" i="113" s="1"/>
  <c r="Y2117" i="113" s="1"/>
  <c r="AC2117" i="113" s="1"/>
  <c r="AG2117" i="113" s="1"/>
  <c r="T1462" i="113"/>
  <c r="W1462" i="113" s="1"/>
  <c r="Y1462" i="113" s="1"/>
  <c r="T201" i="113"/>
  <c r="W201" i="113" s="1"/>
  <c r="Y201" i="113" s="1"/>
  <c r="AC201" i="113" s="1"/>
  <c r="AG201" i="113" s="1"/>
  <c r="T999" i="113"/>
  <c r="W999" i="113" s="1"/>
  <c r="Y999" i="113" s="1"/>
  <c r="AC999" i="113" s="1"/>
  <c r="AG999" i="113" s="1"/>
  <c r="T2084" i="113"/>
  <c r="W2084" i="113" s="1"/>
  <c r="Y2084" i="113" s="1"/>
  <c r="AC2084" i="113" s="1"/>
  <c r="AG2084" i="113" s="1"/>
  <c r="T1507" i="113"/>
  <c r="W1507" i="113" s="1"/>
  <c r="Y1507" i="113" s="1"/>
  <c r="AC1507" i="113" s="1"/>
  <c r="AG1507" i="113" s="1"/>
  <c r="T1821" i="113"/>
  <c r="W1821" i="113" s="1"/>
  <c r="Y1821" i="113" s="1"/>
  <c r="AC1821" i="113" s="1"/>
  <c r="AG1821" i="113" s="1"/>
  <c r="T1838" i="113"/>
  <c r="W1838" i="113" s="1"/>
  <c r="Y1838" i="113" s="1"/>
  <c r="AC1838" i="113" s="1"/>
  <c r="AG1838" i="113" s="1"/>
  <c r="T2006" i="113"/>
  <c r="W2006" i="113" s="1"/>
  <c r="Y2006" i="113" s="1"/>
  <c r="AC2006" i="113" s="1"/>
  <c r="AG2006" i="113" s="1"/>
  <c r="T2483" i="113"/>
  <c r="W2483" i="113" s="1"/>
  <c r="Y2483" i="113" s="1"/>
  <c r="T1724" i="113"/>
  <c r="W1724" i="113" s="1"/>
  <c r="Y1724" i="113" s="1"/>
  <c r="AC1724" i="113" s="1"/>
  <c r="AG1724" i="113" s="1"/>
  <c r="T715" i="113"/>
  <c r="W715" i="113" s="1"/>
  <c r="Y715" i="113" s="1"/>
  <c r="AC715" i="113" s="1"/>
  <c r="AG715" i="113" s="1"/>
  <c r="T2568" i="113"/>
  <c r="W2568" i="113" s="1"/>
  <c r="Y2568" i="113" s="1"/>
  <c r="T1756" i="113"/>
  <c r="W1756" i="113" s="1"/>
  <c r="Y1756" i="113" s="1"/>
  <c r="AC1756" i="113" s="1"/>
  <c r="AG1756" i="113" s="1"/>
  <c r="T1622" i="113"/>
  <c r="T2281" i="113"/>
  <c r="T1719" i="113"/>
  <c r="T2658" i="113"/>
  <c r="W2658" i="113" s="1"/>
  <c r="Y2658" i="113" s="1"/>
  <c r="T243" i="113"/>
  <c r="T1865" i="113"/>
  <c r="T1075" i="113"/>
  <c r="T806" i="113"/>
  <c r="T67" i="113"/>
  <c r="T675" i="113"/>
  <c r="W675" i="113" s="1"/>
  <c r="Y675" i="113" s="1"/>
  <c r="T1696" i="113"/>
  <c r="W1696" i="113" s="1"/>
  <c r="Y1696" i="113" s="1"/>
  <c r="AC1696" i="113" s="1"/>
  <c r="AG1696" i="113" s="1"/>
  <c r="T2152" i="113"/>
  <c r="W2152" i="113" s="1"/>
  <c r="Y2152" i="113" s="1"/>
  <c r="AC2152" i="113" s="1"/>
  <c r="AG2152" i="113" s="1"/>
  <c r="T2410" i="113"/>
  <c r="W2410" i="113" s="1"/>
  <c r="Y2410" i="113" s="1"/>
  <c r="AC2410" i="113" s="1"/>
  <c r="AG2410" i="113" s="1"/>
  <c r="T1121" i="113"/>
  <c r="W1121" i="113" s="1"/>
  <c r="Y1121" i="113" s="1"/>
  <c r="AC1121" i="113" s="1"/>
  <c r="AG1121" i="113" s="1"/>
  <c r="T1969" i="113"/>
  <c r="W1969" i="113" s="1"/>
  <c r="Y1969" i="113" s="1"/>
  <c r="AC1969" i="113" s="1"/>
  <c r="AG1969" i="113" s="1"/>
  <c r="T664" i="113"/>
  <c r="W664" i="113" s="1"/>
  <c r="Y664" i="113" s="1"/>
  <c r="AC664" i="113" s="1"/>
  <c r="AG664" i="113" s="1"/>
  <c r="T1127" i="113"/>
  <c r="W1127" i="113" s="1"/>
  <c r="Y1127" i="113" s="1"/>
  <c r="AC1127" i="113" s="1"/>
  <c r="AG1127" i="113" s="1"/>
  <c r="T1957" i="113"/>
  <c r="W1957" i="113" s="1"/>
  <c r="Y1957" i="113" s="1"/>
  <c r="AC1957" i="113" s="1"/>
  <c r="AG1957" i="113" s="1"/>
  <c r="T1403" i="113"/>
  <c r="W1403" i="113" s="1"/>
  <c r="Y1403" i="113" s="1"/>
  <c r="T1011" i="113"/>
  <c r="W1011" i="113" s="1"/>
  <c r="Y1011" i="113" s="1"/>
  <c r="T2290" i="113"/>
  <c r="W2290" i="113" s="1"/>
  <c r="Y2290" i="113" s="1"/>
  <c r="AC2290" i="113" s="1"/>
  <c r="AG2290" i="113" s="1"/>
  <c r="T1992" i="113"/>
  <c r="W1992" i="113" s="1"/>
  <c r="Y1992" i="113" s="1"/>
  <c r="T762" i="113"/>
  <c r="W762" i="113" s="1"/>
  <c r="Y762" i="113" s="1"/>
  <c r="AC762" i="113" s="1"/>
  <c r="AG762" i="113" s="1"/>
  <c r="T687" i="113"/>
  <c r="W687" i="113" s="1"/>
  <c r="Y687" i="113" s="1"/>
  <c r="AC687" i="113" s="1"/>
  <c r="AG687" i="113" s="1"/>
  <c r="T1593" i="113"/>
  <c r="T1811" i="113"/>
  <c r="W1811" i="113" s="1"/>
  <c r="Y1811" i="113" s="1"/>
  <c r="T2599" i="113"/>
  <c r="W2599" i="113" s="1"/>
  <c r="Y2599" i="113" s="1"/>
  <c r="AC2599" i="113" s="1"/>
  <c r="AG2599" i="113" s="1"/>
  <c r="T1894" i="113"/>
  <c r="W1894" i="113" s="1"/>
  <c r="Y1894" i="113" s="1"/>
  <c r="AC1894" i="113" s="1"/>
  <c r="AG1894" i="113" s="1"/>
  <c r="T1357" i="113"/>
  <c r="W1357" i="113" s="1"/>
  <c r="Y1357" i="113" s="1"/>
  <c r="T49" i="113"/>
  <c r="W49" i="113" s="1"/>
  <c r="Y49" i="113" s="1"/>
  <c r="T2508" i="113"/>
  <c r="W2508" i="113" s="1"/>
  <c r="Y2508" i="113" s="1"/>
  <c r="AC2508" i="113" s="1"/>
  <c r="AG2508" i="113" s="1"/>
  <c r="T1634" i="113"/>
  <c r="W1634" i="113" s="1"/>
  <c r="Y1634" i="113" s="1"/>
  <c r="T1656" i="113"/>
  <c r="W1656" i="113" s="1"/>
  <c r="Y1656" i="113" s="1"/>
  <c r="AC1656" i="113" s="1"/>
  <c r="AG1656" i="113" s="1"/>
  <c r="T2513" i="113"/>
  <c r="W2513" i="113" s="1"/>
  <c r="Y2513" i="113" s="1"/>
  <c r="T482" i="113"/>
  <c r="W482" i="113" s="1"/>
  <c r="Y482" i="113" s="1"/>
  <c r="T2559" i="113"/>
  <c r="W2559" i="113" s="1"/>
  <c r="Y2559" i="113" s="1"/>
  <c r="AC2559" i="113" s="1"/>
  <c r="AG2559" i="113" s="1"/>
  <c r="T216" i="113"/>
  <c r="W216" i="113" s="1"/>
  <c r="Y216" i="113" s="1"/>
  <c r="AC216" i="113" s="1"/>
  <c r="AG216" i="113" s="1"/>
  <c r="T2214" i="113"/>
  <c r="W2214" i="113" s="1"/>
  <c r="Y2214" i="113" s="1"/>
  <c r="AC2214" i="113" s="1"/>
  <c r="AG2214" i="113" s="1"/>
  <c r="T2488" i="113"/>
  <c r="W2488" i="113" s="1"/>
  <c r="Y2488" i="113" s="1"/>
  <c r="T358" i="113"/>
  <c r="W358" i="113" s="1"/>
  <c r="Y358" i="113" s="1"/>
  <c r="AC358" i="113" s="1"/>
  <c r="AG358" i="113" s="1"/>
  <c r="T2164" i="113"/>
  <c r="W2164" i="113" s="1"/>
  <c r="Y2164" i="113" s="1"/>
  <c r="T888" i="113"/>
  <c r="W888" i="113" s="1"/>
  <c r="Y888" i="113" s="1"/>
  <c r="AC888" i="113" s="1"/>
  <c r="AG888" i="113" s="1"/>
  <c r="T1184" i="113"/>
  <c r="W1184" i="113" s="1"/>
  <c r="Y1184" i="113" s="1"/>
  <c r="AC1184" i="113" s="1"/>
  <c r="AG1184" i="113" s="1"/>
  <c r="T125" i="113"/>
  <c r="T945" i="113"/>
  <c r="W945" i="113" s="1"/>
  <c r="Y945" i="113" s="1"/>
  <c r="AC945" i="113" s="1"/>
  <c r="AG945" i="113" s="1"/>
  <c r="T2553" i="113"/>
  <c r="W2553" i="113" s="1"/>
  <c r="Y2553" i="113" s="1"/>
  <c r="T520" i="113"/>
  <c r="W520" i="113" s="1"/>
  <c r="Y520" i="113" s="1"/>
  <c r="AC520" i="113" s="1"/>
  <c r="AG520" i="113" s="1"/>
  <c r="T2314" i="113"/>
  <c r="W2314" i="113" s="1"/>
  <c r="Y2314" i="113" s="1"/>
  <c r="T2305" i="113"/>
  <c r="T383" i="113"/>
  <c r="W383" i="113" s="1"/>
  <c r="Y383" i="113" s="1"/>
  <c r="T1313" i="113"/>
  <c r="W1313" i="113" s="1"/>
  <c r="Y1313" i="113" s="1"/>
  <c r="AC1313" i="113" s="1"/>
  <c r="AG1313" i="113" s="1"/>
  <c r="T1937" i="113"/>
  <c r="W1937" i="113" s="1"/>
  <c r="Y1937" i="113" s="1"/>
  <c r="T502" i="113"/>
  <c r="W502" i="113" s="1"/>
  <c r="Y502" i="113" s="1"/>
  <c r="T505" i="113"/>
  <c r="W505" i="113" s="1"/>
  <c r="Y505" i="113" s="1"/>
  <c r="T240" i="113"/>
  <c r="W240" i="113" s="1"/>
  <c r="Y240" i="113" s="1"/>
  <c r="AC240" i="113" s="1"/>
  <c r="AG240" i="113" s="1"/>
  <c r="T1888" i="113"/>
  <c r="W1888" i="113" s="1"/>
  <c r="Y1888" i="113" s="1"/>
  <c r="T827" i="113"/>
  <c r="W827" i="113" s="1"/>
  <c r="Y827" i="113" s="1"/>
  <c r="AC827" i="113" s="1"/>
  <c r="AG827" i="113" s="1"/>
  <c r="T557" i="113"/>
  <c r="W557" i="113" s="1"/>
  <c r="Y557" i="113" s="1"/>
  <c r="AC557" i="113" s="1"/>
  <c r="AG557" i="113" s="1"/>
  <c r="T2642" i="113"/>
  <c r="W2642" i="113" s="1"/>
  <c r="Y2642" i="113" s="1"/>
  <c r="AC2642" i="113" s="1"/>
  <c r="AG2642" i="113" s="1"/>
  <c r="T427" i="113"/>
  <c r="W427" i="113" s="1"/>
  <c r="Y427" i="113" s="1"/>
  <c r="AC427" i="113" s="1"/>
  <c r="AG427" i="113" s="1"/>
  <c r="T2480" i="113"/>
  <c r="W2480" i="113" s="1"/>
  <c r="Y2480" i="113" s="1"/>
  <c r="AC2480" i="113" s="1"/>
  <c r="AG2480" i="113" s="1"/>
  <c r="T1236" i="113"/>
  <c r="T2392" i="113"/>
  <c r="W2392" i="113" s="1"/>
  <c r="Y2392" i="113" s="1"/>
  <c r="AC2392" i="113" s="1"/>
  <c r="AG2392" i="113" s="1"/>
  <c r="T1866" i="113"/>
  <c r="W1866" i="113" s="1"/>
  <c r="Y1866" i="113" s="1"/>
  <c r="AC1866" i="113" s="1"/>
  <c r="AG1866" i="113" s="1"/>
  <c r="T2406" i="113"/>
  <c r="W2406" i="113" s="1"/>
  <c r="Y2406" i="113" s="1"/>
  <c r="T535" i="113"/>
  <c r="W535" i="113" s="1"/>
  <c r="Y535" i="113" s="1"/>
  <c r="AC535" i="113" s="1"/>
  <c r="AG535" i="113" s="1"/>
  <c r="T1297" i="113"/>
  <c r="W1297" i="113" s="1"/>
  <c r="Y1297" i="113" s="1"/>
  <c r="AC1297" i="113" s="1"/>
  <c r="AG1297" i="113" s="1"/>
  <c r="T2420" i="113"/>
  <c r="W2420" i="113" s="1"/>
  <c r="Y2420" i="113" s="1"/>
  <c r="AC2420" i="113" s="1"/>
  <c r="AG2420" i="113" s="1"/>
  <c r="T7" i="113"/>
  <c r="W7" i="113" s="1"/>
  <c r="Y7" i="113" s="1"/>
  <c r="AC7" i="113" s="1"/>
  <c r="AG7" i="113" s="1"/>
  <c r="T1229" i="113"/>
  <c r="W1229" i="113" s="1"/>
  <c r="Y1229" i="113" s="1"/>
  <c r="T2389" i="113"/>
  <c r="W2389" i="113" s="1"/>
  <c r="Y2389" i="113" s="1"/>
  <c r="AC2389" i="113" s="1"/>
  <c r="AG2389" i="113" s="1"/>
  <c r="T120" i="113"/>
  <c r="W120" i="113" s="1"/>
  <c r="Y120" i="113" s="1"/>
  <c r="AC120" i="113" s="1"/>
  <c r="AG120" i="113" s="1"/>
  <c r="T1870" i="113"/>
  <c r="W1870" i="113" s="1"/>
  <c r="Y1870" i="113" s="1"/>
  <c r="T1621" i="113"/>
  <c r="W1621" i="113" s="1"/>
  <c r="Y1621" i="113" s="1"/>
  <c r="T698" i="113"/>
  <c r="W698" i="113" s="1"/>
  <c r="Y698" i="113" s="1"/>
  <c r="AC698" i="113" s="1"/>
  <c r="AG698" i="113" s="1"/>
  <c r="T2260" i="113"/>
  <c r="W2260" i="113" s="1"/>
  <c r="Y2260" i="113" s="1"/>
  <c r="AC2260" i="113" s="1"/>
  <c r="AG2260" i="113" s="1"/>
  <c r="T1727" i="113"/>
  <c r="W1727" i="113" s="1"/>
  <c r="Y1727" i="113" s="1"/>
  <c r="AC1727" i="113" s="1"/>
  <c r="AG1727" i="113" s="1"/>
  <c r="T367" i="113"/>
  <c r="W367" i="113" s="1"/>
  <c r="Y367" i="113" s="1"/>
  <c r="AC367" i="113" s="1"/>
  <c r="AG367" i="113" s="1"/>
  <c r="T1525" i="113"/>
  <c r="W1525" i="113" s="1"/>
  <c r="Y1525" i="113" s="1"/>
  <c r="T2182" i="113"/>
  <c r="W2182" i="113" s="1"/>
  <c r="Y2182" i="113" s="1"/>
  <c r="AC2182" i="113" s="1"/>
  <c r="AG2182" i="113" s="1"/>
  <c r="T947" i="113"/>
  <c r="W947" i="113" s="1"/>
  <c r="Y947" i="113" s="1"/>
  <c r="AC947" i="113" s="1"/>
  <c r="AG947" i="113" s="1"/>
  <c r="T12" i="113"/>
  <c r="W12" i="113" s="1"/>
  <c r="Y12" i="113" s="1"/>
  <c r="AC12" i="113" s="1"/>
  <c r="AG12" i="113" s="1"/>
  <c r="T2501" i="113"/>
  <c r="T265" i="113"/>
  <c r="W265" i="113" s="1"/>
  <c r="Y265" i="113" s="1"/>
  <c r="AC265" i="113" s="1"/>
  <c r="AG265" i="113" s="1"/>
  <c r="T997" i="113"/>
  <c r="W997" i="113" s="1"/>
  <c r="Y997" i="113" s="1"/>
  <c r="AC997" i="113" s="1"/>
  <c r="AG997" i="113" s="1"/>
  <c r="T1306" i="113"/>
  <c r="T2301" i="113"/>
  <c r="W2301" i="113" s="1"/>
  <c r="Y2301" i="113" s="1"/>
  <c r="T837" i="113"/>
  <c r="W837" i="113" s="1"/>
  <c r="Y837" i="113" s="1"/>
  <c r="T906" i="113"/>
  <c r="W906" i="113" s="1"/>
  <c r="Y906" i="113" s="1"/>
  <c r="T2640" i="113"/>
  <c r="W2640" i="113" s="1"/>
  <c r="Y2640" i="113" s="1"/>
  <c r="T2649" i="113"/>
  <c r="W2649" i="113" s="1"/>
  <c r="Y2649" i="113" s="1"/>
  <c r="AC2649" i="113" s="1"/>
  <c r="AG2649" i="113" s="1"/>
  <c r="T1850" i="113"/>
  <c r="W1850" i="113" s="1"/>
  <c r="Y1850" i="113" s="1"/>
  <c r="AC1850" i="113" s="1"/>
  <c r="AG1850" i="113" s="1"/>
  <c r="T252" i="113"/>
  <c r="W252" i="113" s="1"/>
  <c r="Y252" i="113" s="1"/>
  <c r="AC252" i="113" s="1"/>
  <c r="AG252" i="113" s="1"/>
  <c r="T1376" i="113"/>
  <c r="W1376" i="113" s="1"/>
  <c r="Y1376" i="113" s="1"/>
  <c r="AC1376" i="113" s="1"/>
  <c r="AG1376" i="113" s="1"/>
  <c r="T433" i="113"/>
  <c r="W433" i="113" s="1"/>
  <c r="Y433" i="113" s="1"/>
  <c r="T1421" i="113"/>
  <c r="W1421" i="113" s="1"/>
  <c r="Y1421" i="113" s="1"/>
  <c r="AC1421" i="113" s="1"/>
  <c r="AG1421" i="113" s="1"/>
  <c r="T682" i="113"/>
  <c r="W682" i="113" s="1"/>
  <c r="Y682" i="113" s="1"/>
  <c r="AC682" i="113" s="1"/>
  <c r="AG682" i="113" s="1"/>
  <c r="T2022" i="113"/>
  <c r="W2022" i="113" s="1"/>
  <c r="Y2022" i="113" s="1"/>
  <c r="T1009" i="113"/>
  <c r="W1009" i="113" s="1"/>
  <c r="Y1009" i="113" s="1"/>
  <c r="AC1009" i="113" s="1"/>
  <c r="AG1009" i="113" s="1"/>
  <c r="T374" i="113"/>
  <c r="W374" i="113" s="1"/>
  <c r="Y374" i="113" s="1"/>
  <c r="AC374" i="113" s="1"/>
  <c r="AG374" i="113" s="1"/>
  <c r="T3" i="113"/>
  <c r="W3" i="113" s="1"/>
  <c r="Y3" i="113" s="1"/>
  <c r="T955" i="113"/>
  <c r="W955" i="113" s="1"/>
  <c r="Y955" i="113" s="1"/>
  <c r="AC955" i="113" s="1"/>
  <c r="AG955" i="113" s="1"/>
  <c r="T2487" i="113"/>
  <c r="W2487" i="113" s="1"/>
  <c r="Y2487" i="113" s="1"/>
  <c r="AC2487" i="113" s="1"/>
  <c r="AG2487" i="113" s="1"/>
  <c r="T659" i="113"/>
  <c r="W659" i="113" s="1"/>
  <c r="Y659" i="113" s="1"/>
  <c r="AC659" i="113" s="1"/>
  <c r="AG659" i="113" s="1"/>
  <c r="T2034" i="113"/>
  <c r="W2034" i="113" s="1"/>
  <c r="Y2034" i="113" s="1"/>
  <c r="T378" i="113"/>
  <c r="W378" i="113" s="1"/>
  <c r="Y378" i="113" s="1"/>
  <c r="AC378" i="113" s="1"/>
  <c r="AG378" i="113" s="1"/>
  <c r="T346" i="113"/>
  <c r="W346" i="113" s="1"/>
  <c r="Y346" i="113" s="1"/>
  <c r="T2448" i="113"/>
  <c r="W2448" i="113" s="1"/>
  <c r="Y2448" i="113" s="1"/>
  <c r="T1848" i="113"/>
  <c r="W1848" i="113" s="1"/>
  <c r="Y1848" i="113" s="1"/>
  <c r="T1984" i="113"/>
  <c r="W1984" i="113" s="1"/>
  <c r="Y1984" i="113" s="1"/>
  <c r="AC1984" i="113" s="1"/>
  <c r="AG1984" i="113" s="1"/>
  <c r="T1950" i="113"/>
  <c r="T595" i="113"/>
  <c r="W595" i="113" s="1"/>
  <c r="Y595" i="113" s="1"/>
  <c r="AC595" i="113" s="1"/>
  <c r="AG595" i="113" s="1"/>
  <c r="T1449" i="113"/>
  <c r="W1449" i="113" s="1"/>
  <c r="Y1449" i="113" s="1"/>
  <c r="AC1449" i="113" s="1"/>
  <c r="AG1449" i="113" s="1"/>
  <c r="T2269" i="113"/>
  <c r="W2269" i="113" s="1"/>
  <c r="Y2269" i="113" s="1"/>
  <c r="AC2269" i="113" s="1"/>
  <c r="AG2269" i="113" s="1"/>
  <c r="T1386" i="113"/>
  <c r="W1386" i="113" s="1"/>
  <c r="Y1386" i="113" s="1"/>
  <c r="AC1386" i="113" s="1"/>
  <c r="AG1386" i="113" s="1"/>
  <c r="T2588" i="113"/>
  <c r="W2588" i="113" s="1"/>
  <c r="Y2588" i="113" s="1"/>
  <c r="T2613" i="113"/>
  <c r="W2613" i="113" s="1"/>
  <c r="Y2613" i="113" s="1"/>
  <c r="AC2613" i="113" s="1"/>
  <c r="AG2613" i="113" s="1"/>
  <c r="T2232" i="113"/>
  <c r="W2232" i="113" s="1"/>
  <c r="Y2232" i="113" s="1"/>
  <c r="T1028" i="113"/>
  <c r="W1028" i="113" s="1"/>
  <c r="Y1028" i="113" s="1"/>
  <c r="AC1028" i="113" s="1"/>
  <c r="AG1028" i="113" s="1"/>
  <c r="T1776" i="113"/>
  <c r="W1776" i="113" s="1"/>
  <c r="Y1776" i="113" s="1"/>
  <c r="AC1776" i="113" s="1"/>
  <c r="AG1776" i="113" s="1"/>
  <c r="T1488" i="113"/>
  <c r="W1488" i="113" s="1"/>
  <c r="Y1488" i="113" s="1"/>
  <c r="AC1488" i="113" s="1"/>
  <c r="AG1488" i="113" s="1"/>
  <c r="T2089" i="113"/>
  <c r="W2089" i="113" s="1"/>
  <c r="Y2089" i="113" s="1"/>
  <c r="AC2089" i="113" s="1"/>
  <c r="AG2089" i="113" s="1"/>
  <c r="T2259" i="113"/>
  <c r="W2259" i="113" s="1"/>
  <c r="Y2259" i="113" s="1"/>
  <c r="T1431" i="113"/>
  <c r="W1431" i="113" s="1"/>
  <c r="Y1431" i="113" s="1"/>
  <c r="T1710" i="113"/>
  <c r="W1710" i="113" s="1"/>
  <c r="Y1710" i="113" s="1"/>
  <c r="AC1710" i="113" s="1"/>
  <c r="AG1710" i="113" s="1"/>
  <c r="T1250" i="113"/>
  <c r="W1250" i="113" s="1"/>
  <c r="Y1250" i="113" s="1"/>
  <c r="T2524" i="113"/>
  <c r="T898" i="113"/>
  <c r="W898" i="113" s="1"/>
  <c r="Y898" i="113" s="1"/>
  <c r="AC898" i="113" s="1"/>
  <c r="AG898" i="113" s="1"/>
  <c r="T1494" i="113"/>
  <c r="T697" i="113"/>
  <c r="T2556" i="113"/>
  <c r="T2225" i="113"/>
  <c r="W2225" i="113" s="1"/>
  <c r="Y2225" i="113" s="1"/>
  <c r="T503" i="113"/>
  <c r="W503" i="113" s="1"/>
  <c r="Y503" i="113" s="1"/>
  <c r="T2645" i="113"/>
  <c r="W2645" i="113" s="1"/>
  <c r="Y2645" i="113" s="1"/>
  <c r="T23" i="113"/>
  <c r="W23" i="113" s="1"/>
  <c r="Y23" i="113" s="1"/>
  <c r="T1191" i="113"/>
  <c r="W1191" i="113" s="1"/>
  <c r="Y1191" i="113" s="1"/>
  <c r="AC1191" i="113" s="1"/>
  <c r="AG1191" i="113" s="1"/>
  <c r="T2381" i="113"/>
  <c r="W2381" i="113" s="1"/>
  <c r="Y2381" i="113" s="1"/>
  <c r="AC2381" i="113" s="1"/>
  <c r="AG2381" i="113" s="1"/>
  <c r="T2570" i="113"/>
  <c r="W2570" i="113" s="1"/>
  <c r="Y2570" i="113" s="1"/>
  <c r="AC2570" i="113" s="1"/>
  <c r="AG2570" i="113" s="1"/>
  <c r="T1468" i="113"/>
  <c r="W1468" i="113" s="1"/>
  <c r="Y1468" i="113" s="1"/>
  <c r="AC1468" i="113" s="1"/>
  <c r="AG1468" i="113" s="1"/>
  <c r="T1310" i="113"/>
  <c r="W1310" i="113" s="1"/>
  <c r="Y1310" i="113" s="1"/>
  <c r="AC1310" i="113" s="1"/>
  <c r="AG1310" i="113" s="1"/>
  <c r="T1555" i="113"/>
  <c r="W1555" i="113" s="1"/>
  <c r="Y1555" i="113" s="1"/>
  <c r="AC1555" i="113" s="1"/>
  <c r="AG1555" i="113" s="1"/>
  <c r="T1466" i="113"/>
  <c r="W1466" i="113" s="1"/>
  <c r="Y1466" i="113" s="1"/>
  <c r="T2423" i="113"/>
  <c r="W2423" i="113" s="1"/>
  <c r="Y2423" i="113" s="1"/>
  <c r="AC2423" i="113" s="1"/>
  <c r="AG2423" i="113" s="1"/>
  <c r="T2298" i="113"/>
  <c r="W2298" i="113" s="1"/>
  <c r="Y2298" i="113" s="1"/>
  <c r="T1552" i="113"/>
  <c r="W1552" i="113" s="1"/>
  <c r="Y1552" i="113" s="1"/>
  <c r="AC1552" i="113" s="1"/>
  <c r="AG1552" i="113" s="1"/>
  <c r="T2386" i="113"/>
  <c r="W2386" i="113" s="1"/>
  <c r="Y2386" i="113" s="1"/>
  <c r="AC2386" i="113" s="1"/>
  <c r="AG2386" i="113" s="1"/>
  <c r="T1964" i="113"/>
  <c r="W1964" i="113" s="1"/>
  <c r="Y1964" i="113" s="1"/>
  <c r="AC1964" i="113" s="1"/>
  <c r="AG1964" i="113" s="1"/>
  <c r="T476" i="113"/>
  <c r="W476" i="113" s="1"/>
  <c r="Y476" i="113" s="1"/>
  <c r="AC476" i="113" s="1"/>
  <c r="AG476" i="113" s="1"/>
  <c r="T62" i="113"/>
  <c r="W62" i="113" s="1"/>
  <c r="Y62" i="113" s="1"/>
  <c r="T105" i="113"/>
  <c r="W105" i="113" s="1"/>
  <c r="Y105" i="113" s="1"/>
  <c r="AC105" i="113" s="1"/>
  <c r="AG105" i="113" s="1"/>
  <c r="T1533" i="113"/>
  <c r="W1533" i="113" s="1"/>
  <c r="Y1533" i="113" s="1"/>
  <c r="AC1533" i="113" s="1"/>
  <c r="AG1533" i="113" s="1"/>
  <c r="T1911" i="113"/>
  <c r="W1911" i="113" s="1"/>
  <c r="Y1911" i="113" s="1"/>
  <c r="T2514" i="113"/>
  <c r="W2514" i="113" s="1"/>
  <c r="Y2514" i="113" s="1"/>
  <c r="AC2514" i="113" s="1"/>
  <c r="AG2514" i="113" s="1"/>
  <c r="T1972" i="113"/>
  <c r="W1972" i="113" s="1"/>
  <c r="Y1972" i="113" s="1"/>
  <c r="T2537" i="113"/>
  <c r="W2537" i="113" s="1"/>
  <c r="Y2537" i="113" s="1"/>
  <c r="T566" i="113"/>
  <c r="W566" i="113" s="1"/>
  <c r="Y566" i="113" s="1"/>
  <c r="T450" i="113"/>
  <c r="W450" i="113" s="1"/>
  <c r="Y450" i="113" s="1"/>
  <c r="AC450" i="113" s="1"/>
  <c r="AG450" i="113" s="1"/>
  <c r="T991" i="113"/>
  <c r="W991" i="113" s="1"/>
  <c r="Y991" i="113" s="1"/>
  <c r="T1566" i="113"/>
  <c r="W1566" i="113" s="1"/>
  <c r="Y1566" i="113" s="1"/>
  <c r="AC1566" i="113" s="1"/>
  <c r="AG1566" i="113" s="1"/>
  <c r="T1690" i="113"/>
  <c r="W1690" i="113" s="1"/>
  <c r="Y1690" i="113" s="1"/>
  <c r="T1002" i="113"/>
  <c r="W1002" i="113" s="1"/>
  <c r="Y1002" i="113" s="1"/>
  <c r="AC1002" i="113" s="1"/>
  <c r="AG1002" i="113" s="1"/>
  <c r="T2567" i="113"/>
  <c r="W2567" i="113" s="1"/>
  <c r="Y2567" i="113" s="1"/>
  <c r="AC2567" i="113" s="1"/>
  <c r="AG2567" i="113" s="1"/>
  <c r="T1988" i="113"/>
  <c r="W1988" i="113" s="1"/>
  <c r="Y1988" i="113" s="1"/>
  <c r="AC1988" i="113" s="1"/>
  <c r="AG1988" i="113" s="1"/>
  <c r="T2418" i="113"/>
  <c r="T1942" i="113"/>
  <c r="W1942" i="113" s="1"/>
  <c r="Y1942" i="113" s="1"/>
  <c r="T2659" i="113"/>
  <c r="W2659" i="113" s="1"/>
  <c r="Y2659" i="113" s="1"/>
  <c r="AC2659" i="113" s="1"/>
  <c r="AG2659" i="113" s="1"/>
  <c r="T2551" i="113"/>
  <c r="W2551" i="113" s="1"/>
  <c r="Y2551" i="113" s="1"/>
  <c r="AC2551" i="113" s="1"/>
  <c r="AG2551" i="113" s="1"/>
  <c r="T901" i="113"/>
  <c r="T511" i="113"/>
  <c r="T361" i="113"/>
  <c r="T441" i="113"/>
  <c r="T2100" i="113"/>
  <c r="T2579" i="113"/>
  <c r="W2579" i="113" s="1"/>
  <c r="Y2579" i="113" s="1"/>
  <c r="AC2579" i="113" s="1"/>
  <c r="AG2579" i="113" s="1"/>
  <c r="T2302" i="113"/>
  <c r="W2302" i="113" s="1"/>
  <c r="Y2302" i="113" s="1"/>
  <c r="AC2302" i="113" s="1"/>
  <c r="AG2302" i="113" s="1"/>
  <c r="T2439" i="113"/>
  <c r="W2439" i="113" s="1"/>
  <c r="Y2439" i="113" s="1"/>
  <c r="T2352" i="113"/>
  <c r="T1459" i="113"/>
  <c r="W1459" i="113" s="1"/>
  <c r="Y1459" i="113" s="1"/>
  <c r="T2055" i="113"/>
  <c r="W2055" i="113" s="1"/>
  <c r="Y2055" i="113" s="1"/>
  <c r="T2285" i="113"/>
  <c r="W2285" i="113" s="1"/>
  <c r="Y2285" i="113" s="1"/>
  <c r="AC2285" i="113" s="1"/>
  <c r="AG2285" i="113" s="1"/>
  <c r="T2351" i="113"/>
  <c r="W2351" i="113" s="1"/>
  <c r="Y2351" i="113" s="1"/>
  <c r="AC2351" i="113" s="1"/>
  <c r="AG2351" i="113" s="1"/>
  <c r="T2345" i="113"/>
  <c r="W2345" i="113" s="1"/>
  <c r="Y2345" i="113" s="1"/>
  <c r="AC2345" i="113" s="1"/>
  <c r="AG2345" i="113" s="1"/>
  <c r="T464" i="113"/>
  <c r="W464" i="113" s="1"/>
  <c r="Y464" i="113" s="1"/>
  <c r="AC464" i="113" s="1"/>
  <c r="AG464" i="113" s="1"/>
  <c r="T2391" i="113"/>
  <c r="W2391" i="113" s="1"/>
  <c r="Y2391" i="113" s="1"/>
  <c r="AC2391" i="113" s="1"/>
  <c r="AG2391" i="113" s="1"/>
  <c r="T2216" i="113"/>
  <c r="W2216" i="113" s="1"/>
  <c r="Y2216" i="113" s="1"/>
  <c r="T2209" i="113"/>
  <c r="W2209" i="113" s="1"/>
  <c r="Y2209" i="113" s="1"/>
  <c r="T2342" i="113"/>
  <c r="W2342" i="113" s="1"/>
  <c r="Y2342" i="113" s="1"/>
  <c r="T1623" i="113"/>
  <c r="W1623" i="113" s="1"/>
  <c r="Y1623" i="113" s="1"/>
  <c r="T1210" i="113"/>
  <c r="W1210" i="113" s="1"/>
  <c r="Y1210" i="113" s="1"/>
  <c r="AC1210" i="113" s="1"/>
  <c r="AG1210" i="113" s="1"/>
  <c r="T846" i="113"/>
  <c r="W846" i="113" s="1"/>
  <c r="Y846" i="113" s="1"/>
  <c r="AC846" i="113" s="1"/>
  <c r="AG846" i="113" s="1"/>
  <c r="T2486" i="113"/>
  <c r="W2486" i="113" s="1"/>
  <c r="Y2486" i="113" s="1"/>
  <c r="AC2486" i="113" s="1"/>
  <c r="AG2486" i="113" s="1"/>
  <c r="T2479" i="113"/>
  <c r="W2479" i="113" s="1"/>
  <c r="Y2479" i="113" s="1"/>
  <c r="AC2479" i="113" s="1"/>
  <c r="AG2479" i="113" s="1"/>
  <c r="T2032" i="113"/>
  <c r="W2032" i="113" s="1"/>
  <c r="Y2032" i="113" s="1"/>
  <c r="T2596" i="113"/>
  <c r="W2596" i="113" s="1"/>
  <c r="Y2596" i="113" s="1"/>
  <c r="T2184" i="113"/>
  <c r="W2184" i="113" s="1"/>
  <c r="Y2184" i="113" s="1"/>
  <c r="AC2184" i="113" s="1"/>
  <c r="AG2184" i="113" s="1"/>
  <c r="T2003" i="113"/>
  <c r="T440" i="113"/>
  <c r="W440" i="113" s="1"/>
  <c r="Y440" i="113" s="1"/>
  <c r="T2251" i="113"/>
  <c r="W2251" i="113" s="1"/>
  <c r="Y2251" i="113" s="1"/>
  <c r="T1364" i="113"/>
  <c r="W1364" i="113" s="1"/>
  <c r="Y1364" i="113" s="1"/>
  <c r="T275" i="113"/>
  <c r="W275" i="113" s="1"/>
  <c r="Y275" i="113" s="1"/>
  <c r="AC275" i="113" s="1"/>
  <c r="AG275" i="113" s="1"/>
  <c r="T2638" i="113"/>
  <c r="W2638" i="113" s="1"/>
  <c r="Y2638" i="113" s="1"/>
  <c r="AC2638" i="113" s="1"/>
  <c r="AG2638" i="113" s="1"/>
  <c r="T2297" i="113"/>
  <c r="W2297" i="113" s="1"/>
  <c r="Y2297" i="113" s="1"/>
  <c r="AC2297" i="113" s="1"/>
  <c r="AG2297" i="113" s="1"/>
  <c r="T1649" i="113"/>
  <c r="W1649" i="113" s="1"/>
  <c r="Y1649" i="113" s="1"/>
  <c r="T2031" i="113"/>
  <c r="W2031" i="113" s="1"/>
  <c r="Y2031" i="113" s="1"/>
  <c r="T547" i="113"/>
  <c r="W547" i="113" s="1"/>
  <c r="Y547" i="113" s="1"/>
  <c r="T1484" i="113"/>
  <c r="W1484" i="113" s="1"/>
  <c r="Y1484" i="113" s="1"/>
  <c r="AC1484" i="113" s="1"/>
  <c r="AG1484" i="113" s="1"/>
  <c r="T2590" i="113"/>
  <c r="W2590" i="113" s="1"/>
  <c r="Y2590" i="113" s="1"/>
  <c r="T2505" i="113"/>
  <c r="W2505" i="113" s="1"/>
  <c r="Y2505" i="113" s="1"/>
  <c r="T2194" i="113"/>
  <c r="W2194" i="113" s="1"/>
  <c r="Y2194" i="113" s="1"/>
  <c r="AC2194" i="113" s="1"/>
  <c r="AG2194" i="113" s="1"/>
  <c r="T1103" i="113"/>
  <c r="T1240" i="113"/>
  <c r="W1240" i="113" s="1"/>
  <c r="Y1240" i="113" s="1"/>
  <c r="AC1240" i="113" s="1"/>
  <c r="AG1240" i="113" s="1"/>
  <c r="T2228" i="113"/>
  <c r="T1991" i="113"/>
  <c r="W1991" i="113" s="1"/>
  <c r="Y1991" i="113" s="1"/>
  <c r="AC1991" i="113" s="1"/>
  <c r="AG1991" i="113" s="1"/>
  <c r="T1393" i="113"/>
  <c r="W1393" i="113" s="1"/>
  <c r="Y1393" i="113" s="1"/>
  <c r="AC1393" i="113" s="1"/>
  <c r="AG1393" i="113" s="1"/>
  <c r="T2169" i="113"/>
  <c r="W2169" i="113" s="1"/>
  <c r="Y2169" i="113" s="1"/>
  <c r="T881" i="113"/>
  <c r="W881" i="113" s="1"/>
  <c r="Y881" i="113" s="1"/>
  <c r="AC881" i="113" s="1"/>
  <c r="AG881" i="113" s="1"/>
  <c r="T59" i="113"/>
  <c r="W59" i="113" s="1"/>
  <c r="Y59" i="113" s="1"/>
  <c r="AC59" i="113" s="1"/>
  <c r="AG59" i="113" s="1"/>
  <c r="T927" i="113"/>
  <c r="W927" i="113" s="1"/>
  <c r="Y927" i="113" s="1"/>
  <c r="T1895" i="113"/>
  <c r="W1895" i="113" s="1"/>
  <c r="Y1895" i="113" s="1"/>
  <c r="AC1895" i="113" s="1"/>
  <c r="AG1895" i="113" s="1"/>
  <c r="T1027" i="113"/>
  <c r="W1027" i="113" s="1"/>
  <c r="Y1027" i="113" s="1"/>
  <c r="T1371" i="113"/>
  <c r="W1371" i="113" s="1"/>
  <c r="Y1371" i="113" s="1"/>
  <c r="T2180" i="113"/>
  <c r="W2180" i="113" s="1"/>
  <c r="Y2180" i="113" s="1"/>
  <c r="AC2180" i="113" s="1"/>
  <c r="AG2180" i="113" s="1"/>
  <c r="T477" i="113"/>
  <c r="T661" i="113"/>
  <c r="W661" i="113" s="1"/>
  <c r="Y661" i="113" s="1"/>
  <c r="T2116" i="113"/>
  <c r="W2116" i="113" s="1"/>
  <c r="Y2116" i="113" s="1"/>
  <c r="AC2116" i="113" s="1"/>
  <c r="AG2116" i="113" s="1"/>
  <c r="T958" i="113"/>
  <c r="W958" i="113" s="1"/>
  <c r="Y958" i="113" s="1"/>
  <c r="AC958" i="113" s="1"/>
  <c r="AG958" i="113" s="1"/>
  <c r="T770" i="113"/>
  <c r="T215" i="113"/>
  <c r="W215" i="113" s="1"/>
  <c r="Y215" i="113" s="1"/>
  <c r="AC215" i="113" s="1"/>
  <c r="AG215" i="113" s="1"/>
  <c r="T78" i="113"/>
  <c r="W78" i="113" s="1"/>
  <c r="Y78" i="113" s="1"/>
  <c r="AC78" i="113" s="1"/>
  <c r="AG78" i="113" s="1"/>
  <c r="T2385" i="113"/>
  <c r="W2385" i="113" s="1"/>
  <c r="Y2385" i="113" s="1"/>
  <c r="T1413" i="113"/>
  <c r="W1413" i="113" s="1"/>
  <c r="Y1413" i="113" s="1"/>
  <c r="T1270" i="113"/>
  <c r="W1270" i="113" s="1"/>
  <c r="Y1270" i="113" s="1"/>
  <c r="T504" i="113"/>
  <c r="W504" i="113" s="1"/>
  <c r="Y504" i="113" s="1"/>
  <c r="AC504" i="113" s="1"/>
  <c r="AG504" i="113" s="1"/>
  <c r="T148" i="113"/>
  <c r="W148" i="113" s="1"/>
  <c r="Y148" i="113" s="1"/>
  <c r="AC148" i="113" s="1"/>
  <c r="AG148" i="113" s="1"/>
  <c r="T1703" i="113"/>
  <c r="W1703" i="113" s="1"/>
  <c r="Y1703" i="113" s="1"/>
  <c r="AC1703" i="113" s="1"/>
  <c r="AG1703" i="113" s="1"/>
  <c r="T1832" i="113"/>
  <c r="W1832" i="113" s="1"/>
  <c r="Y1832" i="113" s="1"/>
  <c r="T2678" i="113"/>
  <c r="W2678" i="113" s="1"/>
  <c r="Y2678" i="113" s="1"/>
  <c r="AC2678" i="113" s="1"/>
  <c r="AG2678" i="113" s="1"/>
  <c r="T410" i="113"/>
  <c r="W410" i="113" s="1"/>
  <c r="Y410" i="113" s="1"/>
  <c r="T1024" i="113"/>
  <c r="W1024" i="113" s="1"/>
  <c r="Y1024" i="113" s="1"/>
  <c r="AC1024" i="113" s="1"/>
  <c r="AG1024" i="113" s="1"/>
  <c r="T174" i="113"/>
  <c r="W174" i="113" s="1"/>
  <c r="Y174" i="113" s="1"/>
  <c r="AC174" i="113" s="1"/>
  <c r="AG174" i="113" s="1"/>
  <c r="T43" i="113"/>
  <c r="W43" i="113" s="1"/>
  <c r="Y43" i="113" s="1"/>
  <c r="T2378" i="113"/>
  <c r="W2378" i="113" s="1"/>
  <c r="Y2378" i="113" s="1"/>
  <c r="T315" i="113"/>
  <c r="W315" i="113" s="1"/>
  <c r="Y315" i="113" s="1"/>
  <c r="AC315" i="113" s="1"/>
  <c r="AG315" i="113" s="1"/>
  <c r="T764" i="113"/>
  <c r="W764" i="113" s="1"/>
  <c r="Y764" i="113" s="1"/>
  <c r="T705" i="113"/>
  <c r="W705" i="113" s="1"/>
  <c r="Y705" i="113" s="1"/>
  <c r="T2266" i="113"/>
  <c r="W2266" i="113" s="1"/>
  <c r="Y2266" i="113" s="1"/>
  <c r="AC2266" i="113" s="1"/>
  <c r="AG2266" i="113" s="1"/>
  <c r="T1388" i="113"/>
  <c r="W1388" i="113" s="1"/>
  <c r="Y1388" i="113" s="1"/>
  <c r="AC1388" i="113" s="1"/>
  <c r="AG1388" i="113" s="1"/>
  <c r="T1463" i="113"/>
  <c r="W1463" i="113" s="1"/>
  <c r="Y1463" i="113" s="1"/>
  <c r="AC1463" i="113" s="1"/>
  <c r="AG1463" i="113" s="1"/>
  <c r="T2126" i="113"/>
  <c r="W2126" i="113" s="1"/>
  <c r="Y2126" i="113" s="1"/>
  <c r="AC2126" i="113" s="1"/>
  <c r="AG2126" i="113" s="1"/>
  <c r="T1164" i="113"/>
  <c r="W1164" i="113" s="1"/>
  <c r="Y1164" i="113" s="1"/>
  <c r="T567" i="113"/>
  <c r="W567" i="113" s="1"/>
  <c r="Y567" i="113" s="1"/>
  <c r="AC567" i="113" s="1"/>
  <c r="AG567" i="113" s="1"/>
  <c r="T1951" i="113"/>
  <c r="W1951" i="113" s="1"/>
  <c r="Y1951" i="113" s="1"/>
  <c r="T1104" i="113"/>
  <c r="W1104" i="113" s="1"/>
  <c r="Y1104" i="113" s="1"/>
  <c r="AC1104" i="113" s="1"/>
  <c r="AG1104" i="113" s="1"/>
  <c r="T2468" i="113"/>
  <c r="W2468" i="113" s="1"/>
  <c r="Y2468" i="113" s="1"/>
  <c r="T1037" i="113"/>
  <c r="W1037" i="113" s="1"/>
  <c r="Y1037" i="113" s="1"/>
  <c r="AC1037" i="113" s="1"/>
  <c r="AG1037" i="113" s="1"/>
  <c r="T749" i="113"/>
  <c r="W749" i="113" s="1"/>
  <c r="Y749" i="113" s="1"/>
  <c r="AC749" i="113" s="1"/>
  <c r="AG749" i="113" s="1"/>
  <c r="T465" i="113"/>
  <c r="W465" i="113" s="1"/>
  <c r="Y465" i="113" s="1"/>
  <c r="AC465" i="113" s="1"/>
  <c r="AG465" i="113" s="1"/>
  <c r="T907" i="113"/>
  <c r="W907" i="113" s="1"/>
  <c r="Y907" i="113" s="1"/>
  <c r="T1067" i="113"/>
  <c r="W1067" i="113" s="1"/>
  <c r="Y1067" i="113" s="1"/>
  <c r="AC1067" i="113" s="1"/>
  <c r="AG1067" i="113" s="1"/>
  <c r="T210" i="113"/>
  <c r="W210" i="113" s="1"/>
  <c r="Y210" i="113" s="1"/>
  <c r="AC210" i="113" s="1"/>
  <c r="AG210" i="113" s="1"/>
  <c r="T932" i="113"/>
  <c r="W932" i="113" s="1"/>
  <c r="Y932" i="113" s="1"/>
  <c r="AC932" i="113" s="1"/>
  <c r="AG932" i="113" s="1"/>
  <c r="T2076" i="113"/>
  <c r="W2076" i="113" s="1"/>
  <c r="Y2076" i="113" s="1"/>
  <c r="T1453" i="113"/>
  <c r="W1453" i="113" s="1"/>
  <c r="Y1453" i="113" s="1"/>
  <c r="T2460" i="113"/>
  <c r="W2460" i="113" s="1"/>
  <c r="Y2460" i="113" s="1"/>
  <c r="T2399" i="113"/>
  <c r="T2318" i="113"/>
  <c r="T2416" i="113"/>
  <c r="W2416" i="113" s="1"/>
  <c r="Y2416" i="113" s="1"/>
  <c r="T2071" i="113"/>
  <c r="W2071" i="113" s="1"/>
  <c r="Y2071" i="113" s="1"/>
  <c r="T2131" i="113"/>
  <c r="W2131" i="113" s="1"/>
  <c r="Y2131" i="113" s="1"/>
  <c r="AC2131" i="113" s="1"/>
  <c r="AG2131" i="113" s="1"/>
  <c r="T2401" i="113"/>
  <c r="W2401" i="113" s="1"/>
  <c r="Y2401" i="113" s="1"/>
  <c r="T1534" i="113"/>
  <c r="W1534" i="113" s="1"/>
  <c r="Y1534" i="113" s="1"/>
  <c r="AC1534" i="113" s="1"/>
  <c r="AG1534" i="113" s="1"/>
  <c r="T25" i="113"/>
  <c r="W25" i="113" s="1"/>
  <c r="Y25" i="113" s="1"/>
  <c r="AC25" i="113" s="1"/>
  <c r="AG25" i="113" s="1"/>
  <c r="T2398" i="113"/>
  <c r="W2398" i="113" s="1"/>
  <c r="Y2398" i="113" s="1"/>
  <c r="AC2398" i="113" s="1"/>
  <c r="AG2398" i="113" s="1"/>
  <c r="T2564" i="113"/>
  <c r="W2564" i="113" s="1"/>
  <c r="Y2564" i="113" s="1"/>
  <c r="AC2564" i="113" s="1"/>
  <c r="AG2564" i="113" s="1"/>
  <c r="T621" i="113"/>
  <c r="W621" i="113" s="1"/>
  <c r="Y621" i="113" s="1"/>
  <c r="T389" i="113"/>
  <c r="T1839" i="113"/>
  <c r="W1839" i="113" s="1"/>
  <c r="Y1839" i="113" s="1"/>
  <c r="AC1839" i="113" s="1"/>
  <c r="AG1839" i="113" s="1"/>
  <c r="T263" i="113"/>
  <c r="W263" i="113" s="1"/>
  <c r="Y263" i="113" s="1"/>
  <c r="AC263" i="113" s="1"/>
  <c r="AG263" i="113" s="1"/>
  <c r="T204" i="113"/>
  <c r="W204" i="113" s="1"/>
  <c r="Y204" i="113" s="1"/>
  <c r="AC204" i="113" s="1"/>
  <c r="AG204" i="113" s="1"/>
  <c r="T2121" i="113"/>
  <c r="W2121" i="113" s="1"/>
  <c r="Y2121" i="113" s="1"/>
  <c r="AC2121" i="113" s="1"/>
  <c r="AG2121" i="113" s="1"/>
  <c r="T604" i="113"/>
  <c r="W604" i="113" s="1"/>
  <c r="Y604" i="113" s="1"/>
  <c r="AC604" i="113" s="1"/>
  <c r="AG604" i="113" s="1"/>
  <c r="T2571" i="113"/>
  <c r="W2571" i="113" s="1"/>
  <c r="Y2571" i="113" s="1"/>
  <c r="AC2571" i="113" s="1"/>
  <c r="AG2571" i="113" s="1"/>
  <c r="T1583" i="113"/>
  <c r="W1583" i="113" s="1"/>
  <c r="Y1583" i="113" s="1"/>
  <c r="AC1583" i="113" s="1"/>
  <c r="AG1583" i="113" s="1"/>
  <c r="T849" i="113"/>
  <c r="W849" i="113" s="1"/>
  <c r="Y849" i="113" s="1"/>
  <c r="AC849" i="113" s="1"/>
  <c r="AG849" i="113" s="1"/>
  <c r="T309" i="113"/>
  <c r="W309" i="113" s="1"/>
  <c r="Y309" i="113" s="1"/>
  <c r="T2054" i="113"/>
  <c r="W2054" i="113" s="1"/>
  <c r="Y2054" i="113" s="1"/>
  <c r="AC2054" i="113" s="1"/>
  <c r="AG2054" i="113" s="1"/>
  <c r="T1823" i="113"/>
  <c r="W1823" i="113" s="1"/>
  <c r="Y1823" i="113" s="1"/>
  <c r="T1958" i="113"/>
  <c r="W1958" i="113" s="1"/>
  <c r="Y1958" i="113" s="1"/>
  <c r="T94" i="113"/>
  <c r="T2461" i="113"/>
  <c r="W2461" i="113" s="1"/>
  <c r="Y2461" i="113" s="1"/>
  <c r="T2277" i="113"/>
  <c r="W2277" i="113" s="1"/>
  <c r="Y2277" i="113" s="1"/>
  <c r="T2499" i="113"/>
  <c r="W2499" i="113" s="1"/>
  <c r="Y2499" i="113" s="1"/>
  <c r="T925" i="113"/>
  <c r="W925" i="113" s="1"/>
  <c r="Y925" i="113" s="1"/>
  <c r="AC925" i="113" s="1"/>
  <c r="AG925" i="113" s="1"/>
  <c r="T1903" i="113"/>
  <c r="W1903" i="113" s="1"/>
  <c r="Y1903" i="113" s="1"/>
  <c r="AC1903" i="113" s="1"/>
  <c r="AG1903" i="113" s="1"/>
  <c r="T2548" i="113"/>
  <c r="W2548" i="113" s="1"/>
  <c r="Y2548" i="113" s="1"/>
  <c r="T446" i="113"/>
  <c r="W446" i="113" s="1"/>
  <c r="Y446" i="113" s="1"/>
  <c r="T1288" i="113"/>
  <c r="W1288" i="113" s="1"/>
  <c r="Y1288" i="113" s="1"/>
  <c r="AC1288" i="113" s="1"/>
  <c r="AG1288" i="113" s="1"/>
  <c r="T1286" i="113"/>
  <c r="W1286" i="113" s="1"/>
  <c r="Y1286" i="113" s="1"/>
  <c r="AC1286" i="113" s="1"/>
  <c r="AG1286" i="113" s="1"/>
  <c r="T89" i="113"/>
  <c r="W89" i="113" s="1"/>
  <c r="Y89" i="113" s="1"/>
  <c r="T2222" i="113"/>
  <c r="W2222" i="113" s="1"/>
  <c r="Y2222" i="113" s="1"/>
  <c r="AC2222" i="113" s="1"/>
  <c r="AG2222" i="113" s="1"/>
  <c r="T2041" i="113"/>
  <c r="W2041" i="113" s="1"/>
  <c r="Y2041" i="113" s="1"/>
  <c r="T1299" i="113"/>
  <c r="W1299" i="113" s="1"/>
  <c r="Y1299" i="113" s="1"/>
  <c r="T2115" i="113"/>
  <c r="W2115" i="113" s="1"/>
  <c r="Y2115" i="113" s="1"/>
  <c r="T1705" i="113"/>
  <c r="W1705" i="113" s="1"/>
  <c r="Y1705" i="113" s="1"/>
  <c r="AC1705" i="113" s="1"/>
  <c r="AG1705" i="113" s="1"/>
  <c r="T2105" i="113"/>
  <c r="W2105" i="113" s="1"/>
  <c r="Y2105" i="113" s="1"/>
  <c r="AC2105" i="113" s="1"/>
  <c r="AG2105" i="113" s="1"/>
  <c r="T1831" i="113"/>
  <c r="W1831" i="113" s="1"/>
  <c r="Y1831" i="113" s="1"/>
  <c r="AC1831" i="113" s="1"/>
  <c r="AG1831" i="113" s="1"/>
  <c r="T1665" i="113"/>
  <c r="W1665" i="113" s="1"/>
  <c r="Y1665" i="113" s="1"/>
  <c r="AC1665" i="113" s="1"/>
  <c r="AG1665" i="113" s="1"/>
  <c r="T2429" i="113"/>
  <c r="W2429" i="113" s="1"/>
  <c r="Y2429" i="113" s="1"/>
  <c r="T993" i="113"/>
  <c r="W993" i="113" s="1"/>
  <c r="Y993" i="113" s="1"/>
  <c r="AC993" i="113" s="1"/>
  <c r="AG993" i="113" s="1"/>
  <c r="T2566" i="113"/>
  <c r="W2566" i="113" s="1"/>
  <c r="Y2566" i="113" s="1"/>
  <c r="AC2566" i="113" s="1"/>
  <c r="AG2566" i="113" s="1"/>
  <c r="T1797" i="113"/>
  <c r="W1797" i="113" s="1"/>
  <c r="Y1797" i="113" s="1"/>
  <c r="AC1797" i="113" s="1"/>
  <c r="AG1797" i="113" s="1"/>
  <c r="T711" i="113"/>
  <c r="W711" i="113" s="1"/>
  <c r="Y711" i="113" s="1"/>
  <c r="T1513" i="113"/>
  <c r="W1513" i="113" s="1"/>
  <c r="Y1513" i="113" s="1"/>
  <c r="AC1513" i="113" s="1"/>
  <c r="AG1513" i="113" s="1"/>
  <c r="T841" i="113"/>
  <c r="W841" i="113" s="1"/>
  <c r="Y841" i="113" s="1"/>
  <c r="AC841" i="113" s="1"/>
  <c r="AG841" i="113" s="1"/>
  <c r="T871" i="113"/>
  <c r="W871" i="113" s="1"/>
  <c r="Y871" i="113" s="1"/>
  <c r="AC871" i="113" s="1"/>
  <c r="AG871" i="113" s="1"/>
  <c r="T1358" i="113"/>
  <c r="W1358" i="113" s="1"/>
  <c r="Y1358" i="113" s="1"/>
  <c r="AC1358" i="113" s="1"/>
  <c r="AG1358" i="113" s="1"/>
  <c r="T2663" i="113"/>
  <c r="W2663" i="113" s="1"/>
  <c r="Y2663" i="113" s="1"/>
  <c r="AC2663" i="113" s="1"/>
  <c r="AG2663" i="113" s="1"/>
  <c r="T1688" i="113"/>
  <c r="W1688" i="113" s="1"/>
  <c r="Y1688" i="113" s="1"/>
  <c r="T2223" i="113"/>
  <c r="W2223" i="113" s="1"/>
  <c r="Y2223" i="113" s="1"/>
  <c r="T1971" i="113"/>
  <c r="W1971" i="113" s="1"/>
  <c r="Y1971" i="113" s="1"/>
  <c r="AC1971" i="113" s="1"/>
  <c r="AG1971" i="113" s="1"/>
  <c r="T924" i="113"/>
  <c r="W924" i="113" s="1"/>
  <c r="Y924" i="113" s="1"/>
  <c r="AC924" i="113" s="1"/>
  <c r="AG924" i="113" s="1"/>
  <c r="T2624" i="113"/>
  <c r="W2624" i="113" s="1"/>
  <c r="Y2624" i="113" s="1"/>
  <c r="AC2624" i="113" s="1"/>
  <c r="AG2624" i="113" s="1"/>
  <c r="T633" i="113"/>
  <c r="W633" i="113" s="1"/>
  <c r="Y633" i="113" s="1"/>
  <c r="T1572" i="113"/>
  <c r="W1572" i="113" s="1"/>
  <c r="Y1572" i="113" s="1"/>
  <c r="AC1572" i="113" s="1"/>
  <c r="AG1572" i="113" s="1"/>
  <c r="T2187" i="113"/>
  <c r="W2187" i="113" s="1"/>
  <c r="Y2187" i="113" s="1"/>
  <c r="AC2187" i="113" s="1"/>
  <c r="AG2187" i="113" s="1"/>
  <c r="T1383" i="113"/>
  <c r="W1383" i="113" s="1"/>
  <c r="Y1383" i="113" s="1"/>
  <c r="T1528" i="113"/>
  <c r="W1528" i="113" s="1"/>
  <c r="Y1528" i="113" s="1"/>
  <c r="AC1528" i="113" s="1"/>
  <c r="AG1528" i="113" s="1"/>
  <c r="T2580" i="113"/>
  <c r="W2580" i="113" s="1"/>
  <c r="Y2580" i="113" s="1"/>
  <c r="AC2580" i="113" s="1"/>
  <c r="AG2580" i="113" s="1"/>
  <c r="T2012" i="113"/>
  <c r="W2012" i="113" s="1"/>
  <c r="Y2012" i="113" s="1"/>
  <c r="AC2012" i="113" s="1"/>
  <c r="AG2012" i="113" s="1"/>
  <c r="T831" i="113"/>
  <c r="W831" i="113" s="1"/>
  <c r="Y831" i="113" s="1"/>
  <c r="AC831" i="113" s="1"/>
  <c r="AG831" i="113" s="1"/>
  <c r="T1919" i="113"/>
  <c r="W1919" i="113" s="1"/>
  <c r="Y1919" i="113" s="1"/>
  <c r="AC1919" i="113" s="1"/>
  <c r="AG1919" i="113" s="1"/>
  <c r="T1420" i="113"/>
  <c r="W1420" i="113" s="1"/>
  <c r="Y1420" i="113" s="1"/>
  <c r="T2155" i="113"/>
  <c r="W2155" i="113" s="1"/>
  <c r="Y2155" i="113" s="1"/>
  <c r="T534" i="113"/>
  <c r="W534" i="113" s="1"/>
  <c r="Y534" i="113" s="1"/>
  <c r="AC534" i="113" s="1"/>
  <c r="AG534" i="113" s="1"/>
  <c r="T1354" i="113"/>
  <c r="W1354" i="113" s="1"/>
  <c r="Y1354" i="113" s="1"/>
  <c r="T312" i="113"/>
  <c r="W312" i="113" s="1"/>
  <c r="Y312" i="113" s="1"/>
  <c r="AC312" i="113" s="1"/>
  <c r="AG312" i="113" s="1"/>
  <c r="T132" i="113"/>
  <c r="W132" i="113" s="1"/>
  <c r="Y132" i="113" s="1"/>
  <c r="T306" i="113"/>
  <c r="T2557" i="113"/>
  <c r="W2557" i="113" s="1"/>
  <c r="Y2557" i="113" s="1"/>
  <c r="AC2557" i="113" s="1"/>
  <c r="AG2557" i="113" s="1"/>
  <c r="T2307" i="113"/>
  <c r="W2307" i="113" s="1"/>
  <c r="Y2307" i="113" s="1"/>
  <c r="T1051" i="113"/>
  <c r="W1051" i="113" s="1"/>
  <c r="Y1051" i="113" s="1"/>
  <c r="AC1051" i="113" s="1"/>
  <c r="AG1051" i="113" s="1"/>
  <c r="T36" i="113"/>
  <c r="W36" i="113" s="1"/>
  <c r="Y36" i="113" s="1"/>
  <c r="AC36" i="113" s="1"/>
  <c r="AG36" i="113" s="1"/>
  <c r="T75" i="113"/>
  <c r="W75" i="113" s="1"/>
  <c r="Y75" i="113" s="1"/>
  <c r="AC75" i="113" s="1"/>
  <c r="AG75" i="113" s="1"/>
  <c r="T1077" i="113"/>
  <c r="W1077" i="113" s="1"/>
  <c r="Y1077" i="113" s="1"/>
  <c r="AC1077" i="113" s="1"/>
  <c r="AG1077" i="113" s="1"/>
  <c r="T807" i="113"/>
  <c r="W807" i="113" s="1"/>
  <c r="Y807" i="113" s="1"/>
  <c r="AC807" i="113" s="1"/>
  <c r="AG807" i="113" s="1"/>
  <c r="T669" i="113"/>
  <c r="W669" i="113" s="1"/>
  <c r="Y669" i="113" s="1"/>
  <c r="T452" i="113"/>
  <c r="W452" i="113" s="1"/>
  <c r="Y452" i="113" s="1"/>
  <c r="AC452" i="113" s="1"/>
  <c r="AG452" i="113" s="1"/>
  <c r="T1319" i="113"/>
  <c r="W1319" i="113" s="1"/>
  <c r="Y1319" i="113" s="1"/>
  <c r="T118" i="113"/>
  <c r="W118" i="113" s="1"/>
  <c r="Y118" i="113" s="1"/>
  <c r="T546" i="113"/>
  <c r="W546" i="113" s="1"/>
  <c r="Y546" i="113" s="1"/>
  <c r="AC546" i="113" s="1"/>
  <c r="AG546" i="113" s="1"/>
  <c r="T2615" i="113"/>
  <c r="W2615" i="113" s="1"/>
  <c r="Y2615" i="113" s="1"/>
  <c r="T1117" i="113"/>
  <c r="W1117" i="113" s="1"/>
  <c r="Y1117" i="113" s="1"/>
  <c r="T1163" i="113"/>
  <c r="W1163" i="113" s="1"/>
  <c r="Y1163" i="113" s="1"/>
  <c r="AC1163" i="113" s="1"/>
  <c r="AG1163" i="113" s="1"/>
  <c r="T1309" i="113"/>
  <c r="W1309" i="113" s="1"/>
  <c r="Y1309" i="113" s="1"/>
  <c r="AC1309" i="113" s="1"/>
  <c r="AG1309" i="113" s="1"/>
  <c r="T822" i="113"/>
  <c r="W822" i="113" s="1"/>
  <c r="Y822" i="113" s="1"/>
  <c r="AC822" i="113" s="1"/>
  <c r="AG822" i="113" s="1"/>
  <c r="T944" i="113"/>
  <c r="T2103" i="113"/>
  <c r="W2103" i="113" s="1"/>
  <c r="Y2103" i="113" s="1"/>
  <c r="AC2103" i="113" s="1"/>
  <c r="AG2103" i="113" s="1"/>
  <c r="T1683" i="113"/>
  <c r="W1683" i="113" s="1"/>
  <c r="Y1683" i="113" s="1"/>
  <c r="AC1683" i="113" s="1"/>
  <c r="AG1683" i="113" s="1"/>
  <c r="T729" i="113"/>
  <c r="T329" i="113"/>
  <c r="W329" i="113" s="1"/>
  <c r="Y329" i="113" s="1"/>
  <c r="AC329" i="113" s="1"/>
  <c r="AG329" i="113" s="1"/>
  <c r="T1144" i="113"/>
  <c r="W1144" i="113" s="1"/>
  <c r="Y1144" i="113" s="1"/>
  <c r="T1204" i="113"/>
  <c r="T1842" i="113"/>
  <c r="W1842" i="113" s="1"/>
  <c r="Y1842" i="113" s="1"/>
  <c r="AC1842" i="113" s="1"/>
  <c r="AG1842" i="113" s="1"/>
  <c r="T463" i="113"/>
  <c r="W463" i="113" s="1"/>
  <c r="Y463" i="113" s="1"/>
  <c r="T920" i="113"/>
  <c r="W920" i="113" s="1"/>
  <c r="Y920" i="113" s="1"/>
  <c r="AC920" i="113" s="1"/>
  <c r="AG920" i="113" s="1"/>
  <c r="T1340" i="113"/>
  <c r="W1340" i="113" s="1"/>
  <c r="Y1340" i="113" s="1"/>
  <c r="T1651" i="113"/>
  <c r="W1651" i="113" s="1"/>
  <c r="Y1651" i="113" s="1"/>
  <c r="T2026" i="113"/>
  <c r="W2026" i="113" s="1"/>
  <c r="Y2026" i="113" s="1"/>
  <c r="AC2026" i="113" s="1"/>
  <c r="AG2026" i="113" s="1"/>
  <c r="T2455" i="113"/>
  <c r="W2455" i="113" s="1"/>
  <c r="Y2455" i="113" s="1"/>
  <c r="AC2455" i="113" s="1"/>
  <c r="AG2455" i="113" s="1"/>
  <c r="T1607" i="113"/>
  <c r="W1607" i="113" s="1"/>
  <c r="Y1607" i="113" s="1"/>
  <c r="T495" i="113"/>
  <c r="W495" i="113" s="1"/>
  <c r="Y495" i="113" s="1"/>
  <c r="T2085" i="113"/>
  <c r="W2085" i="113" s="1"/>
  <c r="Y2085" i="113" s="1"/>
  <c r="T41" i="113"/>
  <c r="W41" i="113" s="1"/>
  <c r="Y41" i="113" s="1"/>
  <c r="AC41" i="113" s="1"/>
  <c r="AG41" i="113" s="1"/>
  <c r="T481" i="113"/>
  <c r="W481" i="113" s="1"/>
  <c r="Y481" i="113" s="1"/>
  <c r="T408" i="113"/>
  <c r="W408" i="113" s="1"/>
  <c r="Y408" i="113" s="1"/>
  <c r="AC408" i="113" s="1"/>
  <c r="AG408" i="113" s="1"/>
  <c r="T2245" i="113"/>
  <c r="W2245" i="113" s="1"/>
  <c r="Y2245" i="113" s="1"/>
  <c r="AC2245" i="113" s="1"/>
  <c r="AG2245" i="113" s="1"/>
  <c r="T470" i="113"/>
  <c r="W470" i="113" s="1"/>
  <c r="Y470" i="113" s="1"/>
  <c r="T2636" i="113"/>
  <c r="W2636" i="113" s="1"/>
  <c r="Y2636" i="113" s="1"/>
  <c r="AC2636" i="113" s="1"/>
  <c r="AG2636" i="113" s="1"/>
  <c r="T1465" i="113"/>
  <c r="W1465" i="113" s="1"/>
  <c r="Y1465" i="113" s="1"/>
  <c r="AC1465" i="113" s="1"/>
  <c r="AG1465" i="113" s="1"/>
  <c r="T29" i="113"/>
  <c r="W29" i="113" s="1"/>
  <c r="Y29" i="113" s="1"/>
  <c r="T1351" i="113"/>
  <c r="W1351" i="113" s="1"/>
  <c r="Y1351" i="113" s="1"/>
  <c r="AC1351" i="113" s="1"/>
  <c r="AG1351" i="113" s="1"/>
  <c r="T859" i="113"/>
  <c r="W859" i="113" s="1"/>
  <c r="Y859" i="113" s="1"/>
  <c r="AC859" i="113" s="1"/>
  <c r="AG859" i="113" s="1"/>
  <c r="T753" i="113"/>
  <c r="W753" i="113" s="1"/>
  <c r="Y753" i="113" s="1"/>
  <c r="T1519" i="113"/>
  <c r="W1519" i="113" s="1"/>
  <c r="Y1519" i="113" s="1"/>
  <c r="AC1519" i="113" s="1"/>
  <c r="AG1519" i="113" s="1"/>
  <c r="T1397" i="113"/>
  <c r="W1397" i="113" s="1"/>
  <c r="Y1397" i="113" s="1"/>
  <c r="AC1397" i="113" s="1"/>
  <c r="AG1397" i="113" s="1"/>
  <c r="T324" i="113"/>
  <c r="W324" i="113" s="1"/>
  <c r="Y324" i="113" s="1"/>
  <c r="AC324" i="113" s="1"/>
  <c r="AG324" i="113" s="1"/>
  <c r="T1947" i="113"/>
  <c r="W1947" i="113" s="1"/>
  <c r="Y1947" i="113" s="1"/>
  <c r="AC1947" i="113" s="1"/>
  <c r="AG1947" i="113" s="1"/>
  <c r="T22" i="113"/>
  <c r="W22" i="113" s="1"/>
  <c r="Y22" i="113" s="1"/>
  <c r="AC22" i="113" s="1"/>
  <c r="AG22" i="113" s="1"/>
  <c r="T1219" i="113"/>
  <c r="W1219" i="113" s="1"/>
  <c r="Y1219" i="113" s="1"/>
  <c r="AC1219" i="113" s="1"/>
  <c r="AG1219" i="113" s="1"/>
  <c r="T696" i="113"/>
  <c r="W696" i="113" s="1"/>
  <c r="Y696" i="113" s="1"/>
  <c r="T1041" i="113"/>
  <c r="W1041" i="113" s="1"/>
  <c r="Y1041" i="113" s="1"/>
  <c r="AC1041" i="113" s="1"/>
  <c r="AG1041" i="113" s="1"/>
  <c r="T630" i="113"/>
  <c r="W630" i="113" s="1"/>
  <c r="Y630" i="113" s="1"/>
  <c r="AC630" i="113" s="1"/>
  <c r="AG630" i="113" s="1"/>
  <c r="T959" i="113"/>
  <c r="W959" i="113" s="1"/>
  <c r="Y959" i="113" s="1"/>
  <c r="AC959" i="113" s="1"/>
  <c r="AG959" i="113" s="1"/>
  <c r="T1892" i="113"/>
  <c r="W1892" i="113" s="1"/>
  <c r="Y1892" i="113" s="1"/>
  <c r="AC1892" i="113" s="1"/>
  <c r="AG1892" i="113" s="1"/>
  <c r="T34" i="113"/>
  <c r="W34" i="113" s="1"/>
  <c r="Y34" i="113" s="1"/>
  <c r="T153" i="113"/>
  <c r="W153" i="113" s="1"/>
  <c r="Y153" i="113" s="1"/>
  <c r="AC153" i="113" s="1"/>
  <c r="AG153" i="113" s="1"/>
  <c r="T2541" i="113"/>
  <c r="W2541" i="113" s="1"/>
  <c r="Y2541" i="113" s="1"/>
  <c r="T2379" i="113"/>
  <c r="W2379" i="113" s="1"/>
  <c r="Y2379" i="113" s="1"/>
  <c r="AC2379" i="113" s="1"/>
  <c r="AG2379" i="113" s="1"/>
  <c r="T152" i="113"/>
  <c r="W152" i="113" s="1"/>
  <c r="Y152" i="113" s="1"/>
  <c r="AC152" i="113" s="1"/>
  <c r="AG152" i="113" s="1"/>
  <c r="T2623" i="113"/>
  <c r="W2623" i="113" s="1"/>
  <c r="Y2623" i="113" s="1"/>
  <c r="AC2623" i="113" s="1"/>
  <c r="AG2623" i="113" s="1"/>
  <c r="T744" i="113"/>
  <c r="W744" i="113" s="1"/>
  <c r="Y744" i="113" s="1"/>
  <c r="AC744" i="113" s="1"/>
  <c r="AG744" i="113" s="1"/>
  <c r="T1485" i="113"/>
  <c r="W1485" i="113" s="1"/>
  <c r="Y1485" i="113" s="1"/>
  <c r="AC1485" i="113" s="1"/>
  <c r="AG1485" i="113" s="1"/>
  <c r="T356" i="113"/>
  <c r="W356" i="113" s="1"/>
  <c r="Y356" i="113" s="1"/>
  <c r="AC356" i="113" s="1"/>
  <c r="AG356" i="113" s="1"/>
  <c r="T434" i="113"/>
  <c r="W434" i="113" s="1"/>
  <c r="Y434" i="113" s="1"/>
  <c r="AC434" i="113" s="1"/>
  <c r="AG434" i="113" s="1"/>
  <c r="T1609" i="113"/>
  <c r="W1609" i="113" s="1"/>
  <c r="Y1609" i="113" s="1"/>
  <c r="T2355" i="113"/>
  <c r="W2355" i="113" s="1"/>
  <c r="Y2355" i="113" s="1"/>
  <c r="AC2355" i="113" s="1"/>
  <c r="AG2355" i="113" s="1"/>
  <c r="T874" i="113"/>
  <c r="W874" i="113" s="1"/>
  <c r="Y874" i="113" s="1"/>
  <c r="AC874" i="113" s="1"/>
  <c r="AG874" i="113" s="1"/>
  <c r="T1102" i="113"/>
  <c r="W1102" i="113" s="1"/>
  <c r="Y1102" i="113" s="1"/>
  <c r="T462" i="113"/>
  <c r="W462" i="113" s="1"/>
  <c r="Y462" i="113" s="1"/>
  <c r="AC462" i="113" s="1"/>
  <c r="AG462" i="113" s="1"/>
  <c r="T136" i="113"/>
  <c r="W136" i="113" s="1"/>
  <c r="Y136" i="113" s="1"/>
  <c r="T862" i="113"/>
  <c r="W862" i="113" s="1"/>
  <c r="Y862" i="113" s="1"/>
  <c r="AC862" i="113" s="1"/>
  <c r="AG862" i="113" s="1"/>
  <c r="T1538" i="113"/>
  <c r="W1538" i="113" s="1"/>
  <c r="Y1538" i="113" s="1"/>
  <c r="AC1538" i="113" s="1"/>
  <c r="AG1538" i="113" s="1"/>
  <c r="T994" i="113"/>
  <c r="W994" i="113" s="1"/>
  <c r="Y994" i="113" s="1"/>
  <c r="AC994" i="113" s="1"/>
  <c r="AG994" i="113" s="1"/>
  <c r="T2033" i="113"/>
  <c r="W2033" i="113" s="1"/>
  <c r="Y2033" i="113" s="1"/>
  <c r="AC2033" i="113" s="1"/>
  <c r="AG2033" i="113" s="1"/>
  <c r="T2295" i="113"/>
  <c r="W2295" i="113" s="1"/>
  <c r="Y2295" i="113" s="1"/>
  <c r="AC2295" i="113" s="1"/>
  <c r="AG2295" i="113" s="1"/>
  <c r="T27" i="113"/>
  <c r="W27" i="113" s="1"/>
  <c r="Y27" i="113" s="1"/>
  <c r="AC27" i="113" s="1"/>
  <c r="AG27" i="113" s="1"/>
  <c r="T2156" i="113"/>
  <c r="W2156" i="113" s="1"/>
  <c r="Y2156" i="113" s="1"/>
  <c r="AC2156" i="113" s="1"/>
  <c r="AG2156" i="113" s="1"/>
  <c r="T835" i="113"/>
  <c r="W835" i="113" s="1"/>
  <c r="Y835" i="113" s="1"/>
  <c r="AC835" i="113" s="1"/>
  <c r="AG835" i="113" s="1"/>
  <c r="T819" i="113"/>
  <c r="W819" i="113" s="1"/>
  <c r="Y819" i="113" s="1"/>
  <c r="AC819" i="113" s="1"/>
  <c r="AG819" i="113" s="1"/>
  <c r="T549" i="113"/>
  <c r="W549" i="113" s="1"/>
  <c r="Y549" i="113" s="1"/>
  <c r="AC549" i="113" s="1"/>
  <c r="AG549" i="113" s="1"/>
  <c r="T2335" i="113"/>
  <c r="W2335" i="113" s="1"/>
  <c r="Y2335" i="113" s="1"/>
  <c r="T679" i="113"/>
  <c r="W679" i="113" s="1"/>
  <c r="Y679" i="113" s="1"/>
  <c r="AC679" i="113" s="1"/>
  <c r="AG679" i="113" s="1"/>
  <c r="T147" i="113"/>
  <c r="W147" i="113" s="1"/>
  <c r="Y147" i="113" s="1"/>
  <c r="AC147" i="113" s="1"/>
  <c r="AG147" i="113" s="1"/>
  <c r="T1343" i="113"/>
  <c r="W1343" i="113" s="1"/>
  <c r="Y1343" i="113" s="1"/>
  <c r="T188" i="113"/>
  <c r="W188" i="113" s="1"/>
  <c r="Y188" i="113" s="1"/>
  <c r="AC188" i="113" s="1"/>
  <c r="AG188" i="113" s="1"/>
  <c r="T475" i="113"/>
  <c r="W475" i="113" s="1"/>
  <c r="Y475" i="113" s="1"/>
  <c r="T37" i="113"/>
  <c r="W37" i="113" s="1"/>
  <c r="Y37" i="113" s="1"/>
  <c r="T1527" i="113"/>
  <c r="W1527" i="113" s="1"/>
  <c r="Y1527" i="113" s="1"/>
  <c r="AC1527" i="113" s="1"/>
  <c r="AG1527" i="113" s="1"/>
  <c r="T84" i="113"/>
  <c r="W84" i="113" s="1"/>
  <c r="Y84" i="113" s="1"/>
  <c r="AC84" i="113" s="1"/>
  <c r="AG84" i="113" s="1"/>
  <c r="T2056" i="113"/>
  <c r="W2056" i="113" s="1"/>
  <c r="Y2056" i="113" s="1"/>
  <c r="AC2056" i="113" s="1"/>
  <c r="AG2056" i="113" s="1"/>
  <c r="T586" i="113"/>
  <c r="W586" i="113" s="1"/>
  <c r="Y586" i="113" s="1"/>
  <c r="T2154" i="113"/>
  <c r="W2154" i="113" s="1"/>
  <c r="Y2154" i="113" s="1"/>
  <c r="AC2154" i="113" s="1"/>
  <c r="AG2154" i="113" s="1"/>
  <c r="T608" i="113"/>
  <c r="W608" i="113" s="1"/>
  <c r="Y608" i="113" s="1"/>
  <c r="T180" i="113"/>
  <c r="T2256" i="113"/>
  <c r="W2256" i="113" s="1"/>
  <c r="Y2256" i="113" s="1"/>
  <c r="T54" i="113"/>
  <c r="W54" i="113" s="1"/>
  <c r="Y54" i="113" s="1"/>
  <c r="T539" i="113"/>
  <c r="W539" i="113" s="1"/>
  <c r="Y539" i="113" s="1"/>
  <c r="AC539" i="113" s="1"/>
  <c r="AG539" i="113" s="1"/>
  <c r="T616" i="113"/>
  <c r="W616" i="113" s="1"/>
  <c r="Y616" i="113" s="1"/>
  <c r="AC616" i="113" s="1"/>
  <c r="AG616" i="113" s="1"/>
  <c r="T517" i="113"/>
  <c r="W517" i="113" s="1"/>
  <c r="Y517" i="113" s="1"/>
  <c r="T732" i="113"/>
  <c r="W732" i="113" s="1"/>
  <c r="Y732" i="113" s="1"/>
  <c r="T447" i="113"/>
  <c r="W447" i="113" s="1"/>
  <c r="Y447" i="113" s="1"/>
  <c r="T280" i="113"/>
  <c r="W280" i="113" s="1"/>
  <c r="Y280" i="113" s="1"/>
  <c r="AC280" i="113" s="1"/>
  <c r="AG280" i="113" s="1"/>
  <c r="T1918" i="113"/>
  <c r="W1918" i="113" s="1"/>
  <c r="Y1918" i="113" s="1"/>
  <c r="T868" i="113"/>
  <c r="W868" i="113" s="1"/>
  <c r="Y868" i="113" s="1"/>
  <c r="AC868" i="113" s="1"/>
  <c r="AG868" i="113" s="1"/>
  <c r="T135" i="113"/>
  <c r="W135" i="113" s="1"/>
  <c r="Y135" i="113" s="1"/>
  <c r="AC135" i="113" s="1"/>
  <c r="AG135" i="113" s="1"/>
  <c r="T642" i="113"/>
  <c r="W642" i="113" s="1"/>
  <c r="Y642" i="113" s="1"/>
  <c r="AC642" i="113" s="1"/>
  <c r="AG642" i="113" s="1"/>
  <c r="T813" i="113"/>
  <c r="W813" i="113" s="1"/>
  <c r="Y813" i="113" s="1"/>
  <c r="AC813" i="113" s="1"/>
  <c r="AG813" i="113" s="1"/>
  <c r="T599" i="113"/>
  <c r="W599" i="113" s="1"/>
  <c r="Y599" i="113" s="1"/>
  <c r="AC599" i="113" s="1"/>
  <c r="AG599" i="113" s="1"/>
  <c r="T833" i="113"/>
  <c r="W833" i="113" s="1"/>
  <c r="Y833" i="113" s="1"/>
  <c r="AC833" i="113" s="1"/>
  <c r="AG833" i="113" s="1"/>
  <c r="T2412" i="113"/>
  <c r="W2412" i="113" s="1"/>
  <c r="Y2412" i="113" s="1"/>
  <c r="T478" i="113"/>
  <c r="W478" i="113" s="1"/>
  <c r="Y478" i="113" s="1"/>
  <c r="AC478" i="113" s="1"/>
  <c r="AG478" i="113" s="1"/>
  <c r="T1733" i="113"/>
  <c r="W1733" i="113" s="1"/>
  <c r="Y1733" i="113" s="1"/>
  <c r="AC1733" i="113" s="1"/>
  <c r="AG1733" i="113" s="1"/>
  <c r="T1070" i="113"/>
  <c r="W1070" i="113" s="1"/>
  <c r="Y1070" i="113" s="1"/>
  <c r="AC1070" i="113" s="1"/>
  <c r="AG1070" i="113" s="1"/>
  <c r="T1725" i="113"/>
  <c r="W1725" i="113" s="1"/>
  <c r="Y1725" i="113" s="1"/>
  <c r="AC1725" i="113" s="1"/>
  <c r="AG1725" i="113" s="1"/>
  <c r="T1990" i="113"/>
  <c r="W1990" i="113" s="1"/>
  <c r="Y1990" i="113" s="1"/>
  <c r="AC1990" i="113" s="1"/>
  <c r="AG1990" i="113" s="1"/>
  <c r="T1256" i="113"/>
  <c r="W1256" i="113" s="1"/>
  <c r="Y1256" i="113" s="1"/>
  <c r="T2442" i="113"/>
  <c r="W2442" i="113" s="1"/>
  <c r="Y2442" i="113" s="1"/>
  <c r="AC2442" i="113" s="1"/>
  <c r="AG2442" i="113" s="1"/>
  <c r="T1858" i="113"/>
  <c r="W1858" i="113" s="1"/>
  <c r="Y1858" i="113" s="1"/>
  <c r="T2338" i="113"/>
  <c r="W2338" i="113" s="1"/>
  <c r="Y2338" i="113" s="1"/>
  <c r="T2542" i="113"/>
  <c r="W2542" i="113" s="1"/>
  <c r="Y2542" i="113" s="1"/>
  <c r="T736" i="113"/>
  <c r="W736" i="113" s="1"/>
  <c r="Y736" i="113" s="1"/>
  <c r="AC736" i="113" s="1"/>
  <c r="AG736" i="113" s="1"/>
  <c r="T1153" i="113"/>
  <c r="W1153" i="113" s="1"/>
  <c r="Y1153" i="113" s="1"/>
  <c r="AC1153" i="113" s="1"/>
  <c r="AG1153" i="113" s="1"/>
  <c r="T1003" i="113"/>
  <c r="W1003" i="113" s="1"/>
  <c r="Y1003" i="113" s="1"/>
  <c r="AC1003" i="113" s="1"/>
  <c r="AG1003" i="113" s="1"/>
  <c r="T787" i="113"/>
  <c r="W787" i="113" s="1"/>
  <c r="Y787" i="113" s="1"/>
  <c r="AC787" i="113" s="1"/>
  <c r="AG787" i="113" s="1"/>
  <c r="T2328" i="113"/>
  <c r="W2328" i="113" s="1"/>
  <c r="Y2328" i="113" s="1"/>
  <c r="T417" i="113"/>
  <c r="W417" i="113" s="1"/>
  <c r="Y417" i="113" s="1"/>
  <c r="T102" i="113"/>
  <c r="W102" i="113" s="1"/>
  <c r="Y102" i="113" s="1"/>
  <c r="AC102" i="113" s="1"/>
  <c r="AG102" i="113" s="1"/>
  <c r="T506" i="113"/>
  <c r="W506" i="113" s="1"/>
  <c r="Y506" i="113" s="1"/>
  <c r="AC506" i="113" s="1"/>
  <c r="AG506" i="113" s="1"/>
  <c r="T2144" i="113"/>
  <c r="W2144" i="113" s="1"/>
  <c r="Y2144" i="113" s="1"/>
  <c r="AC2144" i="113" s="1"/>
  <c r="AG2144" i="113" s="1"/>
  <c r="T1753" i="113"/>
  <c r="W1753" i="113" s="1"/>
  <c r="Y1753" i="113" s="1"/>
  <c r="AC1753" i="113" s="1"/>
  <c r="AG1753" i="113" s="1"/>
  <c r="T2375" i="113"/>
  <c r="W2375" i="113" s="1"/>
  <c r="Y2375" i="113" s="1"/>
  <c r="T335" i="113"/>
  <c r="W335" i="113" s="1"/>
  <c r="Y335" i="113" s="1"/>
  <c r="AC335" i="113" s="1"/>
  <c r="AG335" i="113" s="1"/>
  <c r="T1967" i="113"/>
  <c r="W1967" i="113" s="1"/>
  <c r="Y1967" i="113" s="1"/>
  <c r="T2451" i="113"/>
  <c r="W2451" i="113" s="1"/>
  <c r="Y2451" i="113" s="1"/>
  <c r="AC2451" i="113" s="1"/>
  <c r="AG2451" i="113" s="1"/>
  <c r="T670" i="113"/>
  <c r="W670" i="113" s="1"/>
  <c r="Y670" i="113" s="1"/>
  <c r="AC670" i="113" s="1"/>
  <c r="AG670" i="113" s="1"/>
  <c r="T2123" i="113"/>
  <c r="T2017" i="113"/>
  <c r="W2017" i="113" s="1"/>
  <c r="Y2017" i="113" s="1"/>
  <c r="T2051" i="113"/>
  <c r="W2051" i="113" s="1"/>
  <c r="Y2051" i="113" s="1"/>
  <c r="T2611" i="113"/>
  <c r="W2611" i="113" s="1"/>
  <c r="Y2611" i="113" s="1"/>
  <c r="T774" i="113"/>
  <c r="W774" i="113" s="1"/>
  <c r="Y774" i="113" s="1"/>
  <c r="T2647" i="113"/>
  <c r="W2647" i="113" s="1"/>
  <c r="Y2647" i="113" s="1"/>
  <c r="AC2647" i="113" s="1"/>
  <c r="AG2647" i="113" s="1"/>
  <c r="T2661" i="113"/>
  <c r="W2661" i="113" s="1"/>
  <c r="Y2661" i="113" s="1"/>
  <c r="T2288" i="113"/>
  <c r="W2288" i="113" s="1"/>
  <c r="Y2288" i="113" s="1"/>
  <c r="AC2288" i="113" s="1"/>
  <c r="AG2288" i="113" s="1"/>
  <c r="T377" i="113"/>
  <c r="W377" i="113" s="1"/>
  <c r="Y377" i="113" s="1"/>
  <c r="T2001" i="113"/>
  <c r="W2001" i="113" s="1"/>
  <c r="Y2001" i="113" s="1"/>
  <c r="AC2001" i="113" s="1"/>
  <c r="AG2001" i="113" s="1"/>
  <c r="T2196" i="113"/>
  <c r="W2196" i="113" s="1"/>
  <c r="Y2196" i="113" s="1"/>
  <c r="AC2196" i="113" s="1"/>
  <c r="AG2196" i="113" s="1"/>
  <c r="T2234" i="113"/>
  <c r="W2234" i="113" s="1"/>
  <c r="Y2234" i="113" s="1"/>
  <c r="T122" i="113"/>
  <c r="W122" i="113" s="1"/>
  <c r="Y122" i="113" s="1"/>
  <c r="T1480" i="113"/>
  <c r="W1480" i="113" s="1"/>
  <c r="Y1480" i="113" s="1"/>
  <c r="T1916" i="113"/>
  <c r="W1916" i="113" s="1"/>
  <c r="Y1916" i="113" s="1"/>
  <c r="AC1916" i="113" s="1"/>
  <c r="AG1916" i="113" s="1"/>
  <c r="T2176" i="113"/>
  <c r="W2176" i="113" s="1"/>
  <c r="Y2176" i="113" s="1"/>
  <c r="T2456" i="113"/>
  <c r="W2456" i="113" s="1"/>
  <c r="Y2456" i="113" s="1"/>
  <c r="AC2456" i="113" s="1"/>
  <c r="AG2456" i="113" s="1"/>
  <c r="T1300" i="113"/>
  <c r="W1300" i="113" s="1"/>
  <c r="Y1300" i="113" s="1"/>
  <c r="AC1300" i="113" s="1"/>
  <c r="AG1300" i="113" s="1"/>
  <c r="T754" i="113"/>
  <c r="W754" i="113" s="1"/>
  <c r="Y754" i="113" s="1"/>
  <c r="T2512" i="113"/>
  <c r="W2512" i="113" s="1"/>
  <c r="Y2512" i="113" s="1"/>
  <c r="T1589" i="113"/>
  <c r="W1589" i="113" s="1"/>
  <c r="Y1589" i="113" s="1"/>
  <c r="AC1589" i="113" s="1"/>
  <c r="AG1589" i="113" s="1"/>
  <c r="T200" i="113"/>
  <c r="W200" i="113" s="1"/>
  <c r="Y200" i="113" s="1"/>
  <c r="AC200" i="113" s="1"/>
  <c r="AG200" i="113" s="1"/>
  <c r="T668" i="113"/>
  <c r="W668" i="113" s="1"/>
  <c r="Y668" i="113" s="1"/>
  <c r="AC668" i="113" s="1"/>
  <c r="AG668" i="113" s="1"/>
  <c r="T2600" i="113"/>
  <c r="T1588" i="113"/>
  <c r="W1588" i="113" s="1"/>
  <c r="Y1588" i="113" s="1"/>
  <c r="T537" i="113"/>
  <c r="W537" i="113" s="1"/>
  <c r="Y537" i="113" s="1"/>
  <c r="T1664" i="113"/>
  <c r="W1664" i="113" s="1"/>
  <c r="Y1664" i="113" s="1"/>
  <c r="T1347" i="113"/>
  <c r="W1347" i="113" s="1"/>
  <c r="Y1347" i="113" s="1"/>
  <c r="T1932" i="113"/>
  <c r="W1932" i="113" s="1"/>
  <c r="Y1932" i="113" s="1"/>
  <c r="T911" i="113"/>
  <c r="W911" i="113" s="1"/>
  <c r="Y911" i="113" s="1"/>
  <c r="AC911" i="113" s="1"/>
  <c r="AG911" i="113" s="1"/>
  <c r="T1457" i="113"/>
  <c r="W1457" i="113" s="1"/>
  <c r="Y1457" i="113" s="1"/>
  <c r="AC1457" i="113" s="1"/>
  <c r="AG1457" i="113" s="1"/>
  <c r="T1079" i="113"/>
  <c r="W1079" i="113" s="1"/>
  <c r="Y1079" i="113" s="1"/>
  <c r="AC1079" i="113" s="1"/>
  <c r="AG1079" i="113" s="1"/>
  <c r="T77" i="113"/>
  <c r="W77" i="113" s="1"/>
  <c r="Y77" i="113" s="1"/>
  <c r="T2363" i="113"/>
  <c r="W2363" i="113" s="1"/>
  <c r="Y2363" i="113" s="1"/>
  <c r="T962" i="113"/>
  <c r="W962" i="113" s="1"/>
  <c r="Y962" i="113" s="1"/>
  <c r="AC962" i="113" s="1"/>
  <c r="AG962" i="113" s="1"/>
  <c r="T2267" i="113"/>
  <c r="W2267" i="113" s="1"/>
  <c r="Y2267" i="113" s="1"/>
  <c r="AC2267" i="113" s="1"/>
  <c r="AG2267" i="113" s="1"/>
  <c r="T1982" i="113"/>
  <c r="W1982" i="113" s="1"/>
  <c r="Y1982" i="113" s="1"/>
  <c r="AC1982" i="113" s="1"/>
  <c r="AG1982" i="113" s="1"/>
  <c r="T127" i="113"/>
  <c r="W127" i="113" s="1"/>
  <c r="Y127" i="113" s="1"/>
  <c r="AC127" i="113" s="1"/>
  <c r="AG127" i="113" s="1"/>
  <c r="T2641" i="113"/>
  <c r="W2641" i="113" s="1"/>
  <c r="Y2641" i="113" s="1"/>
  <c r="AC2641" i="113" s="1"/>
  <c r="AG2641" i="113" s="1"/>
  <c r="T1764" i="113"/>
  <c r="W1764" i="113" s="1"/>
  <c r="Y1764" i="113" s="1"/>
  <c r="T92" i="113"/>
  <c r="W92" i="113" s="1"/>
  <c r="Y92" i="113" s="1"/>
  <c r="AC92" i="113" s="1"/>
  <c r="AG92" i="113" s="1"/>
  <c r="T2159" i="113"/>
  <c r="W2159" i="113" s="1"/>
  <c r="Y2159" i="113" s="1"/>
  <c r="AC2159" i="113" s="1"/>
  <c r="AG2159" i="113" s="1"/>
  <c r="T350" i="113"/>
  <c r="W350" i="113" s="1"/>
  <c r="Y350" i="113" s="1"/>
  <c r="AC350" i="113" s="1"/>
  <c r="AG350" i="113" s="1"/>
  <c r="T765" i="113"/>
  <c r="W765" i="113" s="1"/>
  <c r="Y765" i="113" s="1"/>
  <c r="AC765" i="113" s="1"/>
  <c r="AG765" i="113" s="1"/>
  <c r="T1214" i="113"/>
  <c r="W1214" i="113" s="1"/>
  <c r="Y1214" i="113" s="1"/>
  <c r="T1082" i="113"/>
  <c r="W1082" i="113" s="1"/>
  <c r="Y1082" i="113" s="1"/>
  <c r="T2170" i="113"/>
  <c r="W2170" i="113" s="1"/>
  <c r="Y2170" i="113" s="1"/>
  <c r="AC2170" i="113" s="1"/>
  <c r="AG2170" i="113" s="1"/>
  <c r="T2670" i="113"/>
  <c r="W2670" i="113" s="1"/>
  <c r="Y2670" i="113" s="1"/>
  <c r="T1263" i="113"/>
  <c r="W1263" i="113" s="1"/>
  <c r="Y1263" i="113" s="1"/>
  <c r="T442" i="113"/>
  <c r="W442" i="113" s="1"/>
  <c r="Y442" i="113" s="1"/>
  <c r="T1243" i="113"/>
  <c r="W1243" i="113" s="1"/>
  <c r="Y1243" i="113" s="1"/>
  <c r="T1239" i="113"/>
  <c r="W1239" i="113" s="1"/>
  <c r="Y1239" i="113" s="1"/>
  <c r="AC1239" i="113" s="1"/>
  <c r="AG1239" i="113" s="1"/>
  <c r="T1584" i="113"/>
  <c r="W1584" i="113" s="1"/>
  <c r="Y1584" i="113" s="1"/>
  <c r="AC1584" i="113" s="1"/>
  <c r="AG1584" i="113" s="1"/>
  <c r="T270" i="113"/>
  <c r="W270" i="113" s="1"/>
  <c r="Y270" i="113" s="1"/>
  <c r="AC270" i="113" s="1"/>
  <c r="AG270" i="113" s="1"/>
  <c r="T607" i="113"/>
  <c r="W607" i="113" s="1"/>
  <c r="Y607" i="113" s="1"/>
  <c r="T2573" i="113"/>
  <c r="W2573" i="113" s="1"/>
  <c r="Y2573" i="113" s="1"/>
  <c r="T448" i="113"/>
  <c r="W448" i="113" s="1"/>
  <c r="Y448" i="113" s="1"/>
  <c r="AC448" i="113" s="1"/>
  <c r="AG448" i="113" s="1"/>
  <c r="T1827" i="113"/>
  <c r="W1827" i="113" s="1"/>
  <c r="Y1827" i="113" s="1"/>
  <c r="T1321" i="113"/>
  <c r="W1321" i="113" s="1"/>
  <c r="Y1321" i="113" s="1"/>
  <c r="AC1321" i="113" s="1"/>
  <c r="AG1321" i="113" s="1"/>
  <c r="T2189" i="113"/>
  <c r="W2189" i="113" s="1"/>
  <c r="Y2189" i="113" s="1"/>
  <c r="AC2189" i="113" s="1"/>
  <c r="AG2189" i="113" s="1"/>
  <c r="T69" i="113"/>
  <c r="W69" i="113" s="1"/>
  <c r="Y69" i="113" s="1"/>
  <c r="T1799" i="113"/>
  <c r="W1799" i="113" s="1"/>
  <c r="Y1799" i="113" s="1"/>
  <c r="T2358" i="113"/>
  <c r="W2358" i="113" s="1"/>
  <c r="Y2358" i="113" s="1"/>
  <c r="AC2358" i="113" s="1"/>
  <c r="AG2358" i="113" s="1"/>
  <c r="T1447" i="113"/>
  <c r="W1447" i="113" s="1"/>
  <c r="Y1447" i="113" s="1"/>
  <c r="AC1447" i="113" s="1"/>
  <c r="AG1447" i="113" s="1"/>
  <c r="T247" i="113"/>
  <c r="W247" i="113" s="1"/>
  <c r="Y247" i="113" s="1"/>
  <c r="AC247" i="113" s="1"/>
  <c r="AG247" i="113" s="1"/>
  <c r="T211" i="113"/>
  <c r="T2578" i="113"/>
  <c r="W2578" i="113" s="1"/>
  <c r="Y2578" i="113" s="1"/>
  <c r="AC2578" i="113" s="1"/>
  <c r="AG2578" i="113" s="1"/>
  <c r="T1110" i="113"/>
  <c r="W1110" i="113" s="1"/>
  <c r="Y1110" i="113" s="1"/>
  <c r="T973" i="113"/>
  <c r="W973" i="113" s="1"/>
  <c r="Y973" i="113" s="1"/>
  <c r="AC973" i="113" s="1"/>
  <c r="AG973" i="113" s="1"/>
  <c r="T1170" i="113"/>
  <c r="W1170" i="113" s="1"/>
  <c r="Y1170" i="113" s="1"/>
  <c r="AC1170" i="113" s="1"/>
  <c r="AG1170" i="113" s="1"/>
  <c r="T2598" i="113"/>
  <c r="W2598" i="113" s="1"/>
  <c r="Y2598" i="113" s="1"/>
  <c r="T1292" i="113"/>
  <c r="W1292" i="113" s="1"/>
  <c r="Y1292" i="113" s="1"/>
  <c r="AC1292" i="113" s="1"/>
  <c r="AG1292" i="113" s="1"/>
  <c r="T195" i="113"/>
  <c r="W195" i="113" s="1"/>
  <c r="Y195" i="113" s="1"/>
  <c r="AC195" i="113" s="1"/>
  <c r="AG195" i="113" s="1"/>
  <c r="T282" i="113"/>
  <c r="W282" i="113" s="1"/>
  <c r="Y282" i="113" s="1"/>
  <c r="AC282" i="113" s="1"/>
  <c r="AG282" i="113" s="1"/>
  <c r="T718" i="113"/>
  <c r="W718" i="113" s="1"/>
  <c r="Y718" i="113" s="1"/>
  <c r="T230" i="113"/>
  <c r="W230" i="113" s="1"/>
  <c r="Y230" i="113" s="1"/>
  <c r="AC230" i="113" s="1"/>
  <c r="AG230" i="113" s="1"/>
  <c r="T437" i="113"/>
  <c r="W437" i="113" s="1"/>
  <c r="Y437" i="113" s="1"/>
  <c r="T2625" i="113"/>
  <c r="T1824" i="113"/>
  <c r="W1824" i="113" s="1"/>
  <c r="Y1824" i="113" s="1"/>
  <c r="AC1824" i="113" s="1"/>
  <c r="AG1824" i="113" s="1"/>
  <c r="T2147" i="113"/>
  <c r="W2147" i="113" s="1"/>
  <c r="Y2147" i="113" s="1"/>
  <c r="AC2147" i="113" s="1"/>
  <c r="AG2147" i="113" s="1"/>
  <c r="T843" i="113"/>
  <c r="W843" i="113" s="1"/>
  <c r="Y843" i="113" s="1"/>
  <c r="AC843" i="113" s="1"/>
  <c r="AG843" i="113" s="1"/>
  <c r="T1469" i="113"/>
  <c r="W1469" i="113" s="1"/>
  <c r="Y1469" i="113" s="1"/>
  <c r="T1531" i="113"/>
  <c r="W1531" i="113" s="1"/>
  <c r="Y1531" i="113" s="1"/>
  <c r="AC1531" i="113" s="1"/>
  <c r="AG1531" i="113" s="1"/>
  <c r="T368" i="113"/>
  <c r="W368" i="113" s="1"/>
  <c r="Y368" i="113" s="1"/>
  <c r="AC368" i="113" s="1"/>
  <c r="AG368" i="113" s="1"/>
  <c r="T746" i="113"/>
  <c r="W746" i="113" s="1"/>
  <c r="Y746" i="113" s="1"/>
  <c r="T1007" i="113"/>
  <c r="W1007" i="113" s="1"/>
  <c r="Y1007" i="113" s="1"/>
  <c r="AC1007" i="113" s="1"/>
  <c r="AG1007" i="113" s="1"/>
  <c r="T501" i="113"/>
  <c r="W501" i="113" s="1"/>
  <c r="Y501" i="113" s="1"/>
  <c r="AC501" i="113" s="1"/>
  <c r="AG501" i="113" s="1"/>
  <c r="T116" i="113"/>
  <c r="W116" i="113" s="1"/>
  <c r="Y116" i="113" s="1"/>
  <c r="AC116" i="113" s="1"/>
  <c r="AG116" i="113" s="1"/>
  <c r="T545" i="113"/>
  <c r="W545" i="113" s="1"/>
  <c r="Y545" i="113" s="1"/>
  <c r="T2140" i="113"/>
  <c r="W2140" i="113" s="1"/>
  <c r="Y2140" i="113" s="1"/>
  <c r="AC2140" i="113" s="1"/>
  <c r="AG2140" i="113" s="1"/>
  <c r="T1771" i="113"/>
  <c r="W1771" i="113" s="1"/>
  <c r="Y1771" i="113" s="1"/>
  <c r="T489" i="113"/>
  <c r="W489" i="113" s="1"/>
  <c r="Y489" i="113" s="1"/>
  <c r="T137" i="113"/>
  <c r="W137" i="113" s="1"/>
  <c r="Y137" i="113" s="1"/>
  <c r="AC137" i="113" s="1"/>
  <c r="AG137" i="113" s="1"/>
  <c r="T2471" i="113"/>
  <c r="W2471" i="113" s="1"/>
  <c r="Y2471" i="113" s="1"/>
  <c r="AC2471" i="113" s="1"/>
  <c r="AG2471" i="113" s="1"/>
  <c r="T146" i="113"/>
  <c r="W146" i="113" s="1"/>
  <c r="Y146" i="113" s="1"/>
  <c r="AC146" i="113" s="1"/>
  <c r="AG146" i="113" s="1"/>
  <c r="T647" i="113"/>
  <c r="W647" i="113" s="1"/>
  <c r="Y647" i="113" s="1"/>
  <c r="AC647" i="113" s="1"/>
  <c r="AG647" i="113" s="1"/>
  <c r="T1653" i="113"/>
  <c r="W1653" i="113" s="1"/>
  <c r="Y1653" i="113" s="1"/>
  <c r="AC1653" i="113" s="1"/>
  <c r="AG1653" i="113" s="1"/>
  <c r="T115" i="113"/>
  <c r="W115" i="113" s="1"/>
  <c r="Y115" i="113" s="1"/>
  <c r="T1570" i="113"/>
  <c r="W1570" i="113" s="1"/>
  <c r="Y1570" i="113" s="1"/>
  <c r="AC1570" i="113" s="1"/>
  <c r="AG1570" i="113" s="1"/>
  <c r="T2300" i="113"/>
  <c r="W2300" i="113" s="1"/>
  <c r="Y2300" i="113" s="1"/>
  <c r="T1026" i="113"/>
  <c r="W1026" i="113" s="1"/>
  <c r="Y1026" i="113" s="1"/>
  <c r="T2534" i="113"/>
  <c r="W2534" i="113" s="1"/>
  <c r="Y2534" i="113" s="1"/>
  <c r="T1362" i="113"/>
  <c r="W1362" i="113" s="1"/>
  <c r="Y1362" i="113" s="1"/>
  <c r="T532" i="113"/>
  <c r="W532" i="113" s="1"/>
  <c r="Y532" i="113" s="1"/>
  <c r="AC532" i="113" s="1"/>
  <c r="AG532" i="113" s="1"/>
  <c r="T1021" i="113"/>
  <c r="W1021" i="113" s="1"/>
  <c r="Y1021" i="113" s="1"/>
  <c r="AC1021" i="113" s="1"/>
  <c r="AG1021" i="113" s="1"/>
  <c r="T1859" i="113"/>
  <c r="W1859" i="113" s="1"/>
  <c r="Y1859" i="113" s="1"/>
  <c r="AC1859" i="113" s="1"/>
  <c r="AG1859" i="113" s="1"/>
  <c r="T2205" i="113"/>
  <c r="W2205" i="113" s="1"/>
  <c r="Y2205" i="113" s="1"/>
  <c r="AC2205" i="113" s="1"/>
  <c r="AG2205" i="113" s="1"/>
  <c r="T337" i="113"/>
  <c r="W337" i="113" s="1"/>
  <c r="Y337" i="113" s="1"/>
  <c r="T2441" i="113"/>
  <c r="W2441" i="113" s="1"/>
  <c r="Y2441" i="113" s="1"/>
  <c r="AC2441" i="113" s="1"/>
  <c r="AG2441" i="113" s="1"/>
  <c r="T1369" i="113"/>
  <c r="W1369" i="113" s="1"/>
  <c r="Y1369" i="113" s="1"/>
  <c r="AC1369" i="113" s="1"/>
  <c r="AG1369" i="113" s="1"/>
  <c r="T1598" i="113"/>
  <c r="W1598" i="113" s="1"/>
  <c r="Y1598" i="113" s="1"/>
  <c r="AC1598" i="113" s="1"/>
  <c r="AG1598" i="113" s="1"/>
  <c r="T1913" i="113"/>
  <c r="W1913" i="113" s="1"/>
  <c r="Y1913" i="113" s="1"/>
  <c r="AC1913" i="113" s="1"/>
  <c r="AG1913" i="113" s="1"/>
  <c r="T237" i="113"/>
  <c r="W237" i="113" s="1"/>
  <c r="Y237" i="113" s="1"/>
  <c r="AC237" i="113" s="1"/>
  <c r="AG237" i="113" s="1"/>
  <c r="T2629" i="113"/>
  <c r="W2629" i="113" s="1"/>
  <c r="Y2629" i="113" s="1"/>
  <c r="AC2629" i="113" s="1"/>
  <c r="AG2629" i="113" s="1"/>
  <c r="T1316" i="113"/>
  <c r="W1316" i="113" s="1"/>
  <c r="Y1316" i="113" s="1"/>
  <c r="AC1316" i="113" s="1"/>
  <c r="AG1316" i="113" s="1"/>
  <c r="T1692" i="113"/>
  <c r="W1692" i="113" s="1"/>
  <c r="Y1692" i="113" s="1"/>
  <c r="AC1692" i="113" s="1"/>
  <c r="AG1692" i="113" s="1"/>
  <c r="T1209" i="113"/>
  <c r="W1209" i="113" s="1"/>
  <c r="Y1209" i="113" s="1"/>
  <c r="AC1209" i="113" s="1"/>
  <c r="AG1209" i="113" s="1"/>
  <c r="T612" i="113"/>
  <c r="W612" i="113" s="1"/>
  <c r="Y612" i="113" s="1"/>
  <c r="AC612" i="113" s="1"/>
  <c r="AG612" i="113" s="1"/>
  <c r="T597" i="113"/>
  <c r="T2569" i="113"/>
  <c r="W2569" i="113" s="1"/>
  <c r="Y2569" i="113" s="1"/>
  <c r="T2510" i="113"/>
  <c r="W2510" i="113" s="1"/>
  <c r="Y2510" i="113" s="1"/>
  <c r="T2104" i="113"/>
  <c r="W2104" i="113" s="1"/>
  <c r="Y2104" i="113" s="1"/>
  <c r="T391" i="113"/>
  <c r="W391" i="113" s="1"/>
  <c r="Y391" i="113" s="1"/>
  <c r="T552" i="113"/>
  <c r="W552" i="113" s="1"/>
  <c r="Y552" i="113" s="1"/>
  <c r="T2040" i="113"/>
  <c r="W2040" i="113" s="1"/>
  <c r="Y2040" i="113" s="1"/>
  <c r="AC2040" i="113" s="1"/>
  <c r="AG2040" i="113" s="1"/>
  <c r="T1387" i="113"/>
  <c r="W1387" i="113" s="1"/>
  <c r="Y1387" i="113" s="1"/>
  <c r="AC1387" i="113" s="1"/>
  <c r="AG1387" i="113" s="1"/>
  <c r="T2" i="113"/>
  <c r="T449" i="113"/>
  <c r="W449" i="113" s="1"/>
  <c r="Y449" i="113" s="1"/>
  <c r="T1418" i="113"/>
  <c r="W1418" i="113" s="1"/>
  <c r="Y1418" i="113" s="1"/>
  <c r="T1311" i="113"/>
  <c r="W1311" i="113" s="1"/>
  <c r="Y1311" i="113" s="1"/>
  <c r="AC1311" i="113" s="1"/>
  <c r="AG1311" i="113" s="1"/>
  <c r="T140" i="113"/>
  <c r="W140" i="113" s="1"/>
  <c r="Y140" i="113" s="1"/>
  <c r="AC140" i="113" s="1"/>
  <c r="AG140" i="113" s="1"/>
  <c r="T1549" i="113"/>
  <c r="W1549" i="113" s="1"/>
  <c r="Y1549" i="113" s="1"/>
  <c r="AC1549" i="113" s="1"/>
  <c r="AG1549" i="113" s="1"/>
  <c r="T212" i="113"/>
  <c r="W212" i="113" s="1"/>
  <c r="Y212" i="113" s="1"/>
  <c r="AC212" i="113" s="1"/>
  <c r="AG212" i="113" s="1"/>
  <c r="T217" i="113"/>
  <c r="W217" i="113" s="1"/>
  <c r="Y217" i="113" s="1"/>
  <c r="AC217" i="113" s="1"/>
  <c r="AG217" i="113" s="1"/>
  <c r="T2292" i="113"/>
  <c r="W2292" i="113" s="1"/>
  <c r="Y2292" i="113" s="1"/>
  <c r="AC2292" i="113" s="1"/>
  <c r="AG2292" i="113" s="1"/>
  <c r="T2206" i="113"/>
  <c r="W2206" i="113" s="1"/>
  <c r="Y2206" i="113" s="1"/>
  <c r="T1633" i="113"/>
  <c r="W1633" i="113" s="1"/>
  <c r="Y1633" i="113" s="1"/>
  <c r="AC1633" i="113" s="1"/>
  <c r="AG1633" i="113" s="1"/>
  <c r="T1345" i="113"/>
  <c r="W1345" i="113" s="1"/>
  <c r="Y1345" i="113" s="1"/>
  <c r="AC1345" i="113" s="1"/>
  <c r="AG1345" i="113" s="1"/>
  <c r="T2239" i="113"/>
  <c r="W2239" i="113" s="1"/>
  <c r="Y2239" i="113" s="1"/>
  <c r="AC2239" i="113" s="1"/>
  <c r="AG2239" i="113" s="1"/>
  <c r="T1197" i="113"/>
  <c r="W1197" i="113" s="1"/>
  <c r="Y1197" i="113" s="1"/>
  <c r="AC1197" i="113" s="1"/>
  <c r="AG1197" i="113" s="1"/>
  <c r="T2560" i="113"/>
  <c r="W2560" i="113" s="1"/>
  <c r="Y2560" i="113" s="1"/>
  <c r="T1728" i="113"/>
  <c r="W1728" i="113" s="1"/>
  <c r="Y1728" i="113" s="1"/>
  <c r="T254" i="113"/>
  <c r="W254" i="113" s="1"/>
  <c r="Y254" i="113" s="1"/>
  <c r="AC254" i="113" s="1"/>
  <c r="AG254" i="113" s="1"/>
  <c r="T388" i="113"/>
  <c r="W388" i="113" s="1"/>
  <c r="Y388" i="113" s="1"/>
  <c r="AC388" i="113" s="1"/>
  <c r="AG388" i="113" s="1"/>
  <c r="T214" i="113"/>
  <c r="W214" i="113" s="1"/>
  <c r="Y214" i="113" s="1"/>
  <c r="AC214" i="113" s="1"/>
  <c r="AG214" i="113" s="1"/>
  <c r="T404" i="113"/>
  <c r="W404" i="113" s="1"/>
  <c r="Y404" i="113" s="1"/>
  <c r="T2231" i="113"/>
  <c r="W2231" i="113" s="1"/>
  <c r="Y2231" i="113" s="1"/>
  <c r="AC2231" i="113" s="1"/>
  <c r="AG2231" i="113" s="1"/>
  <c r="T1475" i="113"/>
  <c r="W1475" i="113" s="1"/>
  <c r="Y1475" i="113" s="1"/>
  <c r="AC1475" i="113" s="1"/>
  <c r="AG1475" i="113" s="1"/>
  <c r="T1959" i="113"/>
  <c r="W1959" i="113" s="1"/>
  <c r="Y1959" i="113" s="1"/>
  <c r="AC1959" i="113" s="1"/>
  <c r="AG1959" i="113" s="1"/>
  <c r="T2029" i="113"/>
  <c r="W2029" i="113" s="1"/>
  <c r="Y2029" i="113" s="1"/>
  <c r="T2044" i="113"/>
  <c r="W2044" i="113" s="1"/>
  <c r="Y2044" i="113" s="1"/>
  <c r="AC2044" i="113" s="1"/>
  <c r="AG2044" i="113" s="1"/>
  <c r="T2289" i="113"/>
  <c r="W2289" i="113" s="1"/>
  <c r="Y2289" i="113" s="1"/>
  <c r="AC2289" i="113" s="1"/>
  <c r="AG2289" i="113" s="1"/>
  <c r="T2312" i="113"/>
  <c r="W2312" i="113" s="1"/>
  <c r="Y2312" i="113" s="1"/>
  <c r="T2027" i="113"/>
  <c r="W2027" i="113" s="1"/>
  <c r="Y2027" i="113" s="1"/>
  <c r="T1740" i="113"/>
  <c r="W1740" i="113" s="1"/>
  <c r="Y1740" i="113" s="1"/>
  <c r="AC1740" i="113" s="1"/>
  <c r="AG1740" i="113" s="1"/>
  <c r="T8" i="113"/>
  <c r="W8" i="113" s="1"/>
  <c r="Y8" i="113" s="1"/>
  <c r="T2007" i="113"/>
  <c r="W2007" i="113" s="1"/>
  <c r="Y2007" i="113" s="1"/>
  <c r="AC2007" i="113" s="1"/>
  <c r="AG2007" i="113" s="1"/>
  <c r="T674" i="113"/>
  <c r="W674" i="113" s="1"/>
  <c r="Y674" i="113" s="1"/>
  <c r="AC674" i="113" s="1"/>
  <c r="AG674" i="113" s="1"/>
  <c r="T2676" i="113"/>
  <c r="W2676" i="113" s="1"/>
  <c r="Y2676" i="113" s="1"/>
  <c r="AC2676" i="113" s="1"/>
  <c r="AG2676" i="113" s="1"/>
  <c r="T987" i="113"/>
  <c r="W987" i="113" s="1"/>
  <c r="Y987" i="113" s="1"/>
  <c r="AC987" i="113" s="1"/>
  <c r="AG987" i="113" s="1"/>
  <c r="T2211" i="113"/>
  <c r="W2211" i="113" s="1"/>
  <c r="Y2211" i="113" s="1"/>
  <c r="T2151" i="113"/>
  <c r="W2151" i="113" s="1"/>
  <c r="Y2151" i="113" s="1"/>
  <c r="T531" i="113"/>
  <c r="W531" i="113" s="1"/>
  <c r="Y531" i="113" s="1"/>
  <c r="T671" i="113"/>
  <c r="T569" i="113"/>
  <c r="W569" i="113" s="1"/>
  <c r="Y569" i="113" s="1"/>
  <c r="AC569" i="113" s="1"/>
  <c r="AG569" i="113" s="1"/>
  <c r="T322" i="113"/>
  <c r="W322" i="113" s="1"/>
  <c r="Y322" i="113" s="1"/>
  <c r="AC322" i="113" s="1"/>
  <c r="AG322" i="113" s="1"/>
  <c r="T1968" i="113"/>
  <c r="W1968" i="113" s="1"/>
  <c r="Y1968" i="113" s="1"/>
  <c r="T573" i="113"/>
  <c r="W573" i="113" s="1"/>
  <c r="Y573" i="113" s="1"/>
  <c r="T2348" i="113"/>
  <c r="W2348" i="113" s="1"/>
  <c r="Y2348" i="113" s="1"/>
  <c r="AC2348" i="113" s="1"/>
  <c r="AG2348" i="113" s="1"/>
  <c r="T2236" i="113"/>
  <c r="W2236" i="113" s="1"/>
  <c r="Y2236" i="113" s="1"/>
  <c r="AC2236" i="113" s="1"/>
  <c r="AG2236" i="113" s="1"/>
  <c r="T1492" i="113"/>
  <c r="W1492" i="113" s="1"/>
  <c r="Y1492" i="113" s="1"/>
  <c r="AC1492" i="113" s="1"/>
  <c r="AG1492" i="113" s="1"/>
  <c r="T942" i="113"/>
  <c r="W942" i="113" s="1"/>
  <c r="Y942" i="113" s="1"/>
  <c r="T1098" i="113"/>
  <c r="W1098" i="113" s="1"/>
  <c r="Y1098" i="113" s="1"/>
  <c r="AC1098" i="113" s="1"/>
  <c r="AG1098" i="113" s="1"/>
  <c r="T1825" i="113"/>
  <c r="W1825" i="113" s="1"/>
  <c r="Y1825" i="113" s="1"/>
  <c r="T707" i="113"/>
  <c r="W707" i="113" s="1"/>
  <c r="Y707" i="113" s="1"/>
  <c r="AC707" i="113" s="1"/>
  <c r="AG707" i="113" s="1"/>
  <c r="T1639" i="113"/>
  <c r="W1639" i="113" s="1"/>
  <c r="Y1639" i="113" s="1"/>
  <c r="AC1639" i="113" s="1"/>
  <c r="AG1639" i="113" s="1"/>
  <c r="T575" i="113"/>
  <c r="W575" i="113" s="1"/>
  <c r="Y575" i="113" s="1"/>
  <c r="T276" i="113"/>
  <c r="W276" i="113" s="1"/>
  <c r="Y276" i="113" s="1"/>
  <c r="T130" i="113"/>
  <c r="W130" i="113" s="1"/>
  <c r="Y130" i="113" s="1"/>
  <c r="AC130" i="113" s="1"/>
  <c r="AG130" i="113" s="1"/>
  <c r="T914" i="113"/>
  <c r="W914" i="113" s="1"/>
  <c r="Y914" i="113" s="1"/>
  <c r="T278" i="113"/>
  <c r="T2130" i="113"/>
  <c r="W2130" i="113" s="1"/>
  <c r="Y2130" i="113" s="1"/>
  <c r="AC2130" i="113" s="1"/>
  <c r="AG2130" i="113" s="1"/>
  <c r="T922" i="113"/>
  <c r="W922" i="113" s="1"/>
  <c r="Y922" i="113" s="1"/>
  <c r="AC922" i="113" s="1"/>
  <c r="AG922" i="113" s="1"/>
  <c r="T72" i="113"/>
  <c r="W72" i="113" s="1"/>
  <c r="Y72" i="113" s="1"/>
  <c r="AC72" i="113" s="1"/>
  <c r="AG72" i="113" s="1"/>
  <c r="T229" i="113"/>
  <c r="W229" i="113" s="1"/>
  <c r="Y229" i="113" s="1"/>
  <c r="AC229" i="113" s="1"/>
  <c r="AG229" i="113" s="1"/>
  <c r="T854" i="113"/>
  <c r="W854" i="113" s="1"/>
  <c r="Y854" i="113" s="1"/>
  <c r="AC854" i="113" s="1"/>
  <c r="AG854" i="113" s="1"/>
  <c r="T2240" i="113"/>
  <c r="W2240" i="113" s="1"/>
  <c r="Y2240" i="113" s="1"/>
  <c r="T1536" i="113"/>
  <c r="W1536" i="113" s="1"/>
  <c r="Y1536" i="113" s="1"/>
  <c r="T1221" i="113"/>
  <c r="W1221" i="113" s="1"/>
  <c r="Y1221" i="113" s="1"/>
  <c r="T1356" i="113"/>
  <c r="W1356" i="113" s="1"/>
  <c r="Y1356" i="113" s="1"/>
  <c r="AC1356" i="113" s="1"/>
  <c r="AG1356" i="113" s="1"/>
  <c r="T1948" i="113"/>
  <c r="W1948" i="113" s="1"/>
  <c r="Y1948" i="113" s="1"/>
  <c r="AC1948" i="113" s="1"/>
  <c r="AG1948" i="113" s="1"/>
  <c r="T1504" i="113"/>
  <c r="W1504" i="113" s="1"/>
  <c r="Y1504" i="113" s="1"/>
  <c r="T424" i="113"/>
  <c r="W424" i="113" s="1"/>
  <c r="Y424" i="113" s="1"/>
  <c r="T941" i="113"/>
  <c r="W941" i="113" s="1"/>
  <c r="Y941" i="113" s="1"/>
  <c r="AC941" i="113" s="1"/>
  <c r="AG941" i="113" s="1"/>
  <c r="T151" i="113"/>
  <c r="W151" i="113" s="1"/>
  <c r="Y151" i="113" s="1"/>
  <c r="AC151" i="113" s="1"/>
  <c r="AG151" i="113" s="1"/>
  <c r="T1451" i="113"/>
  <c r="T1010" i="113"/>
  <c r="W1010" i="113" s="1"/>
  <c r="Y1010" i="113" s="1"/>
  <c r="AC1010" i="113" s="1"/>
  <c r="AG1010" i="113" s="1"/>
  <c r="T1479" i="113"/>
  <c r="W1479" i="113" s="1"/>
  <c r="Y1479" i="113" s="1"/>
  <c r="AC1479" i="113" s="1"/>
  <c r="AG1479" i="113" s="1"/>
  <c r="T1694" i="113"/>
  <c r="W1694" i="113" s="1"/>
  <c r="Y1694" i="113" s="1"/>
  <c r="T258" i="113"/>
  <c r="W258" i="113" s="1"/>
  <c r="Y258" i="113" s="1"/>
  <c r="AC258" i="113" s="1"/>
  <c r="AG258" i="113" s="1"/>
  <c r="T246" i="113"/>
  <c r="W246" i="113" s="1"/>
  <c r="Y246" i="113" s="1"/>
  <c r="AC246" i="113" s="1"/>
  <c r="AG246" i="113" s="1"/>
  <c r="T508" i="113"/>
  <c r="W508" i="113" s="1"/>
  <c r="Y508" i="113" s="1"/>
  <c r="AC508" i="113" s="1"/>
  <c r="AG508" i="113" s="1"/>
  <c r="T28" i="113"/>
  <c r="W28" i="113" s="1"/>
  <c r="Y28" i="113" s="1"/>
  <c r="T175" i="113"/>
  <c r="W175" i="113" s="1"/>
  <c r="Y175" i="113" s="1"/>
  <c r="AC175" i="113" s="1"/>
  <c r="AG175" i="113" s="1"/>
  <c r="T208" i="113"/>
  <c r="W208" i="113" s="1"/>
  <c r="Y208" i="113" s="1"/>
  <c r="AC208" i="113" s="1"/>
  <c r="AG208" i="113" s="1"/>
  <c r="T40" i="113"/>
  <c r="W40" i="113" s="1"/>
  <c r="Y40" i="113" s="1"/>
  <c r="AC40" i="113" s="1"/>
  <c r="AG40" i="113" s="1"/>
  <c r="T818" i="113"/>
  <c r="W818" i="113" s="1"/>
  <c r="Y818" i="113" s="1"/>
  <c r="AC818" i="113" s="1"/>
  <c r="AG818" i="113" s="1"/>
  <c r="Z780" i="113" l="1"/>
  <c r="AC37" i="113"/>
  <c r="AG37" i="113" s="1"/>
  <c r="AC2225" i="113"/>
  <c r="AG2225" i="113" s="1"/>
  <c r="AC2632" i="113"/>
  <c r="AG2632" i="113" s="1"/>
  <c r="AC2650" i="113"/>
  <c r="AG2650" i="113" s="1"/>
  <c r="AC645" i="113"/>
  <c r="AG645" i="113" s="1"/>
  <c r="AA1871" i="113"/>
  <c r="AD1871" i="113"/>
  <c r="AH1871" i="113" s="1"/>
  <c r="AA1433" i="113"/>
  <c r="AD1433" i="113"/>
  <c r="AH1433" i="113" s="1"/>
  <c r="AA694" i="113"/>
  <c r="AE694" i="113" s="1"/>
  <c r="AI694" i="113" s="1"/>
  <c r="AD694" i="113"/>
  <c r="AH694" i="113" s="1"/>
  <c r="AA2532" i="113"/>
  <c r="AD2532" i="113"/>
  <c r="AH2532" i="113" s="1"/>
  <c r="AA2136" i="113"/>
  <c r="AD2136" i="113"/>
  <c r="AH2136" i="113" s="1"/>
  <c r="AC575" i="113"/>
  <c r="AG575" i="113" s="1"/>
  <c r="AC531" i="113"/>
  <c r="AG531" i="113" s="1"/>
  <c r="AC2510" i="113"/>
  <c r="AG2510" i="113" s="1"/>
  <c r="AC1243" i="113"/>
  <c r="AG1243" i="113" s="1"/>
  <c r="AC377" i="113"/>
  <c r="AG377" i="113" s="1"/>
  <c r="AC1256" i="113"/>
  <c r="AG1256" i="113" s="1"/>
  <c r="AC2085" i="113"/>
  <c r="AG2085" i="113" s="1"/>
  <c r="AC1299" i="113"/>
  <c r="AG1299" i="113" s="1"/>
  <c r="AC1958" i="113"/>
  <c r="AG1958" i="113" s="1"/>
  <c r="AC1270" i="113"/>
  <c r="AG1270" i="113" s="1"/>
  <c r="AC927" i="113"/>
  <c r="AG927" i="113" s="1"/>
  <c r="AC2031" i="113"/>
  <c r="AG2031" i="113" s="1"/>
  <c r="AC2439" i="113"/>
  <c r="AG2439" i="113" s="1"/>
  <c r="AC503" i="113"/>
  <c r="AG503" i="113" s="1"/>
  <c r="AC2034" i="113"/>
  <c r="AG2034" i="113" s="1"/>
  <c r="AC482" i="113"/>
  <c r="AG482" i="113" s="1"/>
  <c r="AC2242" i="113"/>
  <c r="AG2242" i="113" s="1"/>
  <c r="AC2111" i="113"/>
  <c r="AG2111" i="113" s="1"/>
  <c r="AC624" i="113"/>
  <c r="AG624" i="113" s="1"/>
  <c r="AC1708" i="113"/>
  <c r="AG1708" i="113" s="1"/>
  <c r="AC1757" i="113"/>
  <c r="AG1757" i="113" s="1"/>
  <c r="AC704" i="113"/>
  <c r="AG704" i="113" s="1"/>
  <c r="AC2153" i="113"/>
  <c r="AG2153" i="113" s="1"/>
  <c r="AC894" i="113"/>
  <c r="AG894" i="113" s="1"/>
  <c r="AC2562" i="113"/>
  <c r="AG2562" i="113" s="1"/>
  <c r="AC1280" i="113"/>
  <c r="AG1280" i="113" s="1"/>
  <c r="AC526" i="113"/>
  <c r="AG526" i="113" s="1"/>
  <c r="AC375" i="113"/>
  <c r="AG375" i="113" s="1"/>
  <c r="AC1666" i="113"/>
  <c r="AG1666" i="113" s="1"/>
  <c r="AC2421" i="113"/>
  <c r="AG2421" i="113" s="1"/>
  <c r="AC2064" i="113"/>
  <c r="AG2064" i="113" s="1"/>
  <c r="AC1944" i="113"/>
  <c r="AG1944" i="113" s="1"/>
  <c r="AC2186" i="113"/>
  <c r="AG2186" i="113" s="1"/>
  <c r="AC646" i="113"/>
  <c r="AG646" i="113" s="1"/>
  <c r="AC2605" i="113"/>
  <c r="AG2605" i="113" s="1"/>
  <c r="AC2476" i="113"/>
  <c r="AG2476" i="113" s="1"/>
  <c r="AC1897" i="113"/>
  <c r="AG1897" i="113" s="1"/>
  <c r="AC2357" i="113"/>
  <c r="AG2357" i="113" s="1"/>
  <c r="AC362" i="113"/>
  <c r="AG362" i="113" s="1"/>
  <c r="AC227" i="113"/>
  <c r="AG227" i="113" s="1"/>
  <c r="AA2248" i="113"/>
  <c r="AE2248" i="113" s="1"/>
  <c r="AI2248" i="113" s="1"/>
  <c r="AD2248" i="113"/>
  <c r="AH2248" i="113" s="1"/>
  <c r="AA133" i="113"/>
  <c r="AE133" i="113" s="1"/>
  <c r="AI133" i="113" s="1"/>
  <c r="AD133" i="113"/>
  <c r="AH133" i="113" s="1"/>
  <c r="AA1395" i="113"/>
  <c r="AE1395" i="113" s="1"/>
  <c r="AI1395" i="113" s="1"/>
  <c r="AD1395" i="113"/>
  <c r="AH1395" i="113" s="1"/>
  <c r="AA1920" i="113"/>
  <c r="AD1920" i="113"/>
  <c r="AH1920" i="113" s="1"/>
  <c r="AA300" i="113"/>
  <c r="AE300" i="113" s="1"/>
  <c r="AI300" i="113" s="1"/>
  <c r="AD300" i="113"/>
  <c r="AH300" i="113" s="1"/>
  <c r="AA2142" i="113"/>
  <c r="AE2142" i="113" s="1"/>
  <c r="AI2142" i="113" s="1"/>
  <c r="AD2142" i="113"/>
  <c r="AH2142" i="113" s="1"/>
  <c r="AA1182" i="113"/>
  <c r="AD1182" i="113"/>
  <c r="AH1182" i="113" s="1"/>
  <c r="AA2327" i="113"/>
  <c r="AE2327" i="113" s="1"/>
  <c r="AI2327" i="113" s="1"/>
  <c r="AD2327" i="113"/>
  <c r="AH2327" i="113" s="1"/>
  <c r="AA1234" i="113"/>
  <c r="AE1234" i="113" s="1"/>
  <c r="AI1234" i="113" s="1"/>
  <c r="AD1234" i="113"/>
  <c r="AH1234" i="113" s="1"/>
  <c r="AA521" i="113"/>
  <c r="AD521" i="113"/>
  <c r="AH521" i="113" s="1"/>
  <c r="AA1748" i="113"/>
  <c r="AD1748" i="113"/>
  <c r="AH1748" i="113" s="1"/>
  <c r="AA58" i="113"/>
  <c r="AD58" i="113"/>
  <c r="AH58" i="113" s="1"/>
  <c r="AA2212" i="113"/>
  <c r="AE2212" i="113" s="1"/>
  <c r="AI2212" i="113" s="1"/>
  <c r="AD2212" i="113"/>
  <c r="AH2212" i="113" s="1"/>
  <c r="AA1657" i="113"/>
  <c r="AE1657" i="113" s="1"/>
  <c r="AI1657" i="113" s="1"/>
  <c r="AD1657" i="113"/>
  <c r="AH1657" i="113" s="1"/>
  <c r="AA2436" i="113"/>
  <c r="AE2436" i="113" s="1"/>
  <c r="AI2436" i="113" s="1"/>
  <c r="AD2436" i="113"/>
  <c r="AH2436" i="113" s="1"/>
  <c r="AA771" i="113"/>
  <c r="AE771" i="113" s="1"/>
  <c r="AI771" i="113" s="1"/>
  <c r="AD771" i="113"/>
  <c r="AH771" i="113" s="1"/>
  <c r="AA16" i="113"/>
  <c r="AD16" i="113"/>
  <c r="AH16" i="113" s="1"/>
  <c r="AA583" i="113"/>
  <c r="AE583" i="113" s="1"/>
  <c r="AI583" i="113" s="1"/>
  <c r="AD583" i="113"/>
  <c r="AH583" i="113" s="1"/>
  <c r="AA840" i="113"/>
  <c r="AD840" i="113"/>
  <c r="AH840" i="113" s="1"/>
  <c r="AA954" i="113"/>
  <c r="AE954" i="113" s="1"/>
  <c r="AI954" i="113" s="1"/>
  <c r="AD954" i="113"/>
  <c r="AH954" i="113" s="1"/>
  <c r="AA1089" i="113"/>
  <c r="AD1089" i="113"/>
  <c r="AH1089" i="113" s="1"/>
  <c r="AA372" i="113"/>
  <c r="AD372" i="113"/>
  <c r="AH372" i="113" s="1"/>
  <c r="AA971" i="113"/>
  <c r="AD971" i="113"/>
  <c r="AH971" i="113" s="1"/>
  <c r="AA631" i="113"/>
  <c r="AD631" i="113"/>
  <c r="AH631" i="113" s="1"/>
  <c r="AA804" i="113"/>
  <c r="AD804" i="113"/>
  <c r="AH804" i="113" s="1"/>
  <c r="AA2340" i="113"/>
  <c r="AE2340" i="113" s="1"/>
  <c r="AI2340" i="113" s="1"/>
  <c r="AD2340" i="113"/>
  <c r="AH2340" i="113" s="1"/>
  <c r="AA1712" i="113"/>
  <c r="AE1712" i="113" s="1"/>
  <c r="AI1712" i="113" s="1"/>
  <c r="AD1712" i="113"/>
  <c r="AH1712" i="113" s="1"/>
  <c r="AA691" i="113"/>
  <c r="AE691" i="113" s="1"/>
  <c r="AI691" i="113" s="1"/>
  <c r="AD691" i="113"/>
  <c r="AH691" i="113" s="1"/>
  <c r="AA783" i="113"/>
  <c r="AD783" i="113"/>
  <c r="AH783" i="113" s="1"/>
  <c r="AA4" i="113"/>
  <c r="AE4" i="113" s="1"/>
  <c r="AI4" i="113" s="1"/>
  <c r="AD4" i="113"/>
  <c r="AH4" i="113" s="1"/>
  <c r="AA1803" i="113"/>
  <c r="AE1803" i="113" s="1"/>
  <c r="AI1803" i="113" s="1"/>
  <c r="AD1803" i="113"/>
  <c r="AH1803" i="113" s="1"/>
  <c r="AA684" i="113"/>
  <c r="AE684" i="113" s="1"/>
  <c r="AI684" i="113" s="1"/>
  <c r="AD684" i="113"/>
  <c r="AH684" i="113" s="1"/>
  <c r="AA2509" i="113"/>
  <c r="AD2509" i="113"/>
  <c r="AH2509" i="113" s="1"/>
  <c r="AA560" i="113"/>
  <c r="AD560" i="113"/>
  <c r="AH560" i="113" s="1"/>
  <c r="AA99" i="113"/>
  <c r="AD99" i="113"/>
  <c r="AH99" i="113" s="1"/>
  <c r="AA1781" i="113"/>
  <c r="AD1781" i="113"/>
  <c r="AH1781" i="113" s="1"/>
  <c r="AA1177" i="113"/>
  <c r="AE1177" i="113" s="1"/>
  <c r="AI1177" i="113" s="1"/>
  <c r="AD1177" i="113"/>
  <c r="AH1177" i="113" s="1"/>
  <c r="AA564" i="113"/>
  <c r="AE564" i="113" s="1"/>
  <c r="AI564" i="113" s="1"/>
  <c r="AD564" i="113"/>
  <c r="AH564" i="113" s="1"/>
  <c r="AA1409" i="113"/>
  <c r="AE1409" i="113" s="1"/>
  <c r="AI1409" i="113" s="1"/>
  <c r="AD1409" i="113"/>
  <c r="AH1409" i="113" s="1"/>
  <c r="AA1439" i="113"/>
  <c r="AE1439" i="113" s="1"/>
  <c r="AI1439" i="113" s="1"/>
  <c r="AD1439" i="113"/>
  <c r="AH1439" i="113" s="1"/>
  <c r="AA162" i="113"/>
  <c r="AE162" i="113" s="1"/>
  <c r="AI162" i="113" s="1"/>
  <c r="AD162" i="113"/>
  <c r="AH162" i="113" s="1"/>
  <c r="AA1496" i="113"/>
  <c r="AD1496" i="113"/>
  <c r="AH1496" i="113" s="1"/>
  <c r="AA1187" i="113"/>
  <c r="AD1187" i="113"/>
  <c r="AH1187" i="113" s="1"/>
  <c r="AA1578" i="113"/>
  <c r="AD1578" i="113"/>
  <c r="AH1578" i="113" s="1"/>
  <c r="AA1126" i="113"/>
  <c r="AD1126" i="113"/>
  <c r="AH1126" i="113" s="1"/>
  <c r="AA184" i="113"/>
  <c r="AE184" i="113" s="1"/>
  <c r="AI184" i="113" s="1"/>
  <c r="AD184" i="113"/>
  <c r="AH184" i="113" s="1"/>
  <c r="AA45" i="113"/>
  <c r="AD45" i="113"/>
  <c r="AH45" i="113" s="1"/>
  <c r="AA802" i="113"/>
  <c r="AE802" i="113" s="1"/>
  <c r="AI802" i="113" s="1"/>
  <c r="AD802" i="113"/>
  <c r="AH802" i="113" s="1"/>
  <c r="AA2370" i="113"/>
  <c r="AD2370" i="113"/>
  <c r="AH2370" i="113" s="1"/>
  <c r="AA1324" i="113"/>
  <c r="AD1324" i="113"/>
  <c r="AH1324" i="113" s="1"/>
  <c r="AA1739" i="113"/>
  <c r="AD1739" i="113"/>
  <c r="AH1739" i="113" s="1"/>
  <c r="AA91" i="113"/>
  <c r="AD91" i="113"/>
  <c r="AH91" i="113" s="1"/>
  <c r="AA752" i="113"/>
  <c r="AE752" i="113" s="1"/>
  <c r="AI752" i="113" s="1"/>
  <c r="AD752" i="113"/>
  <c r="AH752" i="113" s="1"/>
  <c r="AA1952" i="113"/>
  <c r="AE1952" i="113" s="1"/>
  <c r="AI1952" i="113" s="1"/>
  <c r="AD1952" i="113"/>
  <c r="AH1952" i="113" s="1"/>
  <c r="AA1161" i="113"/>
  <c r="AD1161" i="113"/>
  <c r="AH1161" i="113" s="1"/>
  <c r="AA1278" i="113"/>
  <c r="AE1278" i="113" s="1"/>
  <c r="AI1278" i="113" s="1"/>
  <c r="AD1278" i="113"/>
  <c r="AH1278" i="113" s="1"/>
  <c r="AA791" i="113"/>
  <c r="AE791" i="113" s="1"/>
  <c r="AI791" i="113" s="1"/>
  <c r="AD791" i="113"/>
  <c r="AH791" i="113" s="1"/>
  <c r="AA1497" i="113"/>
  <c r="AD1497" i="113"/>
  <c r="AH1497" i="113" s="1"/>
  <c r="AC2211" i="113"/>
  <c r="AG2211" i="113" s="1"/>
  <c r="AC732" i="113"/>
  <c r="AG732" i="113" s="1"/>
  <c r="AC1862" i="113"/>
  <c r="AG1862" i="113" s="1"/>
  <c r="AC1341" i="113"/>
  <c r="AG1341" i="113" s="1"/>
  <c r="AC1981" i="113"/>
  <c r="AG1981" i="113" s="1"/>
  <c r="AC468" i="113"/>
  <c r="AG468" i="113" s="1"/>
  <c r="AC823" i="113"/>
  <c r="AG823" i="113" s="1"/>
  <c r="AC2597" i="113"/>
  <c r="AG2597" i="113" s="1"/>
  <c r="AC1179" i="113"/>
  <c r="AG1179" i="113" s="1"/>
  <c r="AA304" i="113"/>
  <c r="AE304" i="113" s="1"/>
  <c r="AI304" i="113" s="1"/>
  <c r="AD304" i="113"/>
  <c r="AH304" i="113" s="1"/>
  <c r="AA1097" i="113"/>
  <c r="AE1097" i="113" s="1"/>
  <c r="AI1097" i="113" s="1"/>
  <c r="AD1097" i="113"/>
  <c r="AH1097" i="113" s="1"/>
  <c r="AA887" i="113"/>
  <c r="AE887" i="113" s="1"/>
  <c r="AI887" i="113" s="1"/>
  <c r="AD887" i="113"/>
  <c r="AH887" i="113" s="1"/>
  <c r="AA1845" i="113"/>
  <c r="AE1845" i="113" s="1"/>
  <c r="AI1845" i="113" s="1"/>
  <c r="AD1845" i="113"/>
  <c r="AH1845" i="113" s="1"/>
  <c r="AA873" i="113"/>
  <c r="AD873" i="113"/>
  <c r="AH873" i="113" s="1"/>
  <c r="AA386" i="113"/>
  <c r="AD386" i="113"/>
  <c r="AH386" i="113" s="1"/>
  <c r="AA2157" i="113"/>
  <c r="AD2157" i="113"/>
  <c r="AH2157" i="113" s="1"/>
  <c r="AA551" i="113"/>
  <c r="AE551" i="113" s="1"/>
  <c r="AI551" i="113" s="1"/>
  <c r="AD551" i="113"/>
  <c r="AH551" i="113" s="1"/>
  <c r="AA1571" i="113"/>
  <c r="AE1571" i="113" s="1"/>
  <c r="AI1571" i="113" s="1"/>
  <c r="AD1571" i="113"/>
  <c r="AH1571" i="113" s="1"/>
  <c r="AA625" i="113"/>
  <c r="AE625" i="113" s="1"/>
  <c r="AI625" i="113" s="1"/>
  <c r="AD625" i="113"/>
  <c r="AH625" i="113" s="1"/>
  <c r="AA1765" i="113"/>
  <c r="AE1765" i="113" s="1"/>
  <c r="AI1765" i="113" s="1"/>
  <c r="AD1765" i="113"/>
  <c r="AH1765" i="113" s="1"/>
  <c r="AA803" i="113"/>
  <c r="AE803" i="113" s="1"/>
  <c r="AI803" i="113" s="1"/>
  <c r="AD803" i="113"/>
  <c r="AH803" i="113" s="1"/>
  <c r="AA1474" i="113"/>
  <c r="AE1474" i="113" s="1"/>
  <c r="AI1474" i="113" s="1"/>
  <c r="AD1474" i="113"/>
  <c r="AH1474" i="113" s="1"/>
  <c r="AA1983" i="113"/>
  <c r="AD1983" i="113"/>
  <c r="AH1983" i="113" s="1"/>
  <c r="AA1100" i="113"/>
  <c r="AE1100" i="113" s="1"/>
  <c r="AI1100" i="113" s="1"/>
  <c r="AD1100" i="113"/>
  <c r="AH1100" i="113" s="1"/>
  <c r="AA471" i="113"/>
  <c r="AE471" i="113" s="1"/>
  <c r="AI471" i="113" s="1"/>
  <c r="AD471" i="113"/>
  <c r="AH471" i="113" s="1"/>
  <c r="AA1373" i="113"/>
  <c r="AD1373" i="113"/>
  <c r="AH1373" i="113" s="1"/>
  <c r="AA194" i="113"/>
  <c r="AD194" i="113"/>
  <c r="AH194" i="113" s="1"/>
  <c r="AA70" i="113"/>
  <c r="AD70" i="113"/>
  <c r="AH70" i="113" s="1"/>
  <c r="AA1099" i="113"/>
  <c r="AE1099" i="113" s="1"/>
  <c r="AI1099" i="113" s="1"/>
  <c r="AD1099" i="113"/>
  <c r="AH1099" i="113" s="1"/>
  <c r="AA629" i="113"/>
  <c r="AE629" i="113" s="1"/>
  <c r="AI629" i="113" s="1"/>
  <c r="AD629" i="113"/>
  <c r="AH629" i="113" s="1"/>
  <c r="AA1779" i="113"/>
  <c r="AE1779" i="113" s="1"/>
  <c r="AI1779" i="113" s="1"/>
  <c r="AD1779" i="113"/>
  <c r="AH1779" i="113" s="1"/>
  <c r="AA1035" i="113"/>
  <c r="AD1035" i="113"/>
  <c r="AH1035" i="113" s="1"/>
  <c r="AA2454" i="113"/>
  <c r="AE2454" i="113" s="1"/>
  <c r="AI2454" i="113" s="1"/>
  <c r="AD2454" i="113"/>
  <c r="AH2454" i="113" s="1"/>
  <c r="AA331" i="113"/>
  <c r="AE331" i="113" s="1"/>
  <c r="AI331" i="113" s="1"/>
  <c r="AD331" i="113"/>
  <c r="AH331" i="113" s="1"/>
  <c r="AA1265" i="113"/>
  <c r="AD1265" i="113"/>
  <c r="AH1265" i="113" s="1"/>
  <c r="AA1737" i="113"/>
  <c r="AE1737" i="113" s="1"/>
  <c r="AI1737" i="113" s="1"/>
  <c r="AD1737" i="113"/>
  <c r="AH1737" i="113" s="1"/>
  <c r="AA2668" i="113"/>
  <c r="AD2668" i="113"/>
  <c r="AH2668" i="113" s="1"/>
  <c r="AA929" i="113"/>
  <c r="AD929" i="113"/>
  <c r="AH929" i="113" s="1"/>
  <c r="AA937" i="113"/>
  <c r="AD937" i="113"/>
  <c r="AH937" i="113" s="1"/>
  <c r="AA1162" i="113"/>
  <c r="AE1162" i="113" s="1"/>
  <c r="AI1162" i="113" s="1"/>
  <c r="AD1162" i="113"/>
  <c r="AH1162" i="113" s="1"/>
  <c r="AA1890" i="113"/>
  <c r="AE1890" i="113" s="1"/>
  <c r="AI1890" i="113" s="1"/>
  <c r="AD1890" i="113"/>
  <c r="AH1890" i="113" s="1"/>
  <c r="AA256" i="113"/>
  <c r="AE256" i="113" s="1"/>
  <c r="AI256" i="113" s="1"/>
  <c r="AD256" i="113"/>
  <c r="AH256" i="113" s="1"/>
  <c r="AA1921" i="113"/>
  <c r="AE1921" i="113" s="1"/>
  <c r="AI1921" i="113" s="1"/>
  <c r="AD1921" i="113"/>
  <c r="AH1921" i="113" s="1"/>
  <c r="AA453" i="113"/>
  <c r="AE453" i="113" s="1"/>
  <c r="AI453" i="113" s="1"/>
  <c r="AD453" i="113"/>
  <c r="AH453" i="113" s="1"/>
  <c r="AC2384" i="113"/>
  <c r="AG2384" i="113" s="1"/>
  <c r="AC2673" i="113"/>
  <c r="AG2673" i="113" s="1"/>
  <c r="AC1532" i="113"/>
  <c r="AG1532" i="113" s="1"/>
  <c r="AC533" i="113"/>
  <c r="AG533" i="113" s="1"/>
  <c r="AC1956" i="113"/>
  <c r="AG1956" i="113" s="1"/>
  <c r="AC2102" i="113"/>
  <c r="AG2102" i="113" s="1"/>
  <c r="AC2167" i="113"/>
  <c r="AG2167" i="113" s="1"/>
  <c r="AC1792" i="113"/>
  <c r="AG1792" i="113" s="1"/>
  <c r="AC2563" i="113"/>
  <c r="AG2563" i="113" s="1"/>
  <c r="AC1876" i="113"/>
  <c r="AG1876" i="113" s="1"/>
  <c r="AC48" i="113"/>
  <c r="AG48" i="113" s="1"/>
  <c r="AC2475" i="113"/>
  <c r="AG2475" i="113" s="1"/>
  <c r="AC2220" i="113"/>
  <c r="AG2220" i="113" s="1"/>
  <c r="AC2230" i="113"/>
  <c r="AG2230" i="113" s="1"/>
  <c r="AC1946" i="113"/>
  <c r="AG1946" i="113" s="1"/>
  <c r="AC2618" i="113"/>
  <c r="AG2618" i="113" s="1"/>
  <c r="AC2371" i="113"/>
  <c r="AG2371" i="113" s="1"/>
  <c r="AC342" i="113"/>
  <c r="AG342" i="113" s="1"/>
  <c r="AC1565" i="113"/>
  <c r="AG1565" i="113" s="1"/>
  <c r="AC1424" i="113"/>
  <c r="AG1424" i="113" s="1"/>
  <c r="AC1078" i="113"/>
  <c r="AG1078" i="113" s="1"/>
  <c r="AC510" i="113"/>
  <c r="AG510" i="113" s="1"/>
  <c r="AC1508" i="113"/>
  <c r="AG1508" i="113" s="1"/>
  <c r="AC1171" i="113"/>
  <c r="AG1171" i="113" s="1"/>
  <c r="AC2141" i="113"/>
  <c r="AG2141" i="113" s="1"/>
  <c r="AC61" i="113"/>
  <c r="AG61" i="113" s="1"/>
  <c r="AC1131" i="113"/>
  <c r="AG1131" i="113" s="1"/>
  <c r="AC2118" i="113"/>
  <c r="AG2118" i="113" s="1"/>
  <c r="AC1277" i="113"/>
  <c r="AG1277" i="113" s="1"/>
  <c r="AC2666" i="113"/>
  <c r="AG2666" i="113" s="1"/>
  <c r="AC1516" i="113"/>
  <c r="AG1516" i="113" s="1"/>
  <c r="AC1096" i="113"/>
  <c r="AG1096" i="113" s="1"/>
  <c r="AA1503" i="113"/>
  <c r="AD1503" i="113"/>
  <c r="AH1503" i="113" s="1"/>
  <c r="AA456" i="113"/>
  <c r="AD456" i="113"/>
  <c r="AH456" i="113" s="1"/>
  <c r="AA1390" i="113"/>
  <c r="AE1390" i="113" s="1"/>
  <c r="AI1390" i="113" s="1"/>
  <c r="AD1390" i="113"/>
  <c r="AH1390" i="113" s="1"/>
  <c r="AA2555" i="113"/>
  <c r="AD2555" i="113"/>
  <c r="AH2555" i="113" s="1"/>
  <c r="AA2639" i="113"/>
  <c r="AE2639" i="113" s="1"/>
  <c r="AI2639" i="113" s="1"/>
  <c r="AD2639" i="113"/>
  <c r="AH2639" i="113" s="1"/>
  <c r="AA248" i="113"/>
  <c r="AE248" i="113" s="1"/>
  <c r="AI248" i="113" s="1"/>
  <c r="AD248" i="113"/>
  <c r="AH248" i="113" s="1"/>
  <c r="AA395" i="113"/>
  <c r="AD395" i="113"/>
  <c r="AH395" i="113" s="1"/>
  <c r="AA400" i="113"/>
  <c r="AD400" i="113"/>
  <c r="AH400" i="113" s="1"/>
  <c r="AA2125" i="113"/>
  <c r="AD2125" i="113"/>
  <c r="AH2125" i="113" s="1"/>
  <c r="AA1337" i="113"/>
  <c r="AE1337" i="113" s="1"/>
  <c r="AI1337" i="113" s="1"/>
  <c r="AD1337" i="113"/>
  <c r="AH1337" i="113" s="1"/>
  <c r="AA283" i="113"/>
  <c r="AE283" i="113" s="1"/>
  <c r="AI283" i="113" s="1"/>
  <c r="AD283" i="113"/>
  <c r="AH283" i="113" s="1"/>
  <c r="AA2341" i="113"/>
  <c r="AE2341" i="113" s="1"/>
  <c r="AI2341" i="113" s="1"/>
  <c r="AD2341" i="113"/>
  <c r="AH2341" i="113" s="1"/>
  <c r="AA1617" i="113"/>
  <c r="AE1617" i="113" s="1"/>
  <c r="AI1617" i="113" s="1"/>
  <c r="AD1617" i="113"/>
  <c r="AH1617" i="113" s="1"/>
  <c r="AA1039" i="113"/>
  <c r="AE1039" i="113" s="1"/>
  <c r="AI1039" i="113" s="1"/>
  <c r="AD1039" i="113"/>
  <c r="AH1039" i="113" s="1"/>
  <c r="AA98" i="113"/>
  <c r="AE98" i="113" s="1"/>
  <c r="AI98" i="113" s="1"/>
  <c r="AD98" i="113"/>
  <c r="AH98" i="113" s="1"/>
  <c r="AA739" i="113"/>
  <c r="AE739" i="113" s="1"/>
  <c r="AI739" i="113" s="1"/>
  <c r="AD739" i="113"/>
  <c r="AH739" i="113" s="1"/>
  <c r="AA883" i="113"/>
  <c r="AE883" i="113" s="1"/>
  <c r="AI883" i="113" s="1"/>
  <c r="AD883" i="113"/>
  <c r="AH883" i="113" s="1"/>
  <c r="AA459" i="113"/>
  <c r="AE459" i="113" s="1"/>
  <c r="AI459" i="113" s="1"/>
  <c r="AD459" i="113"/>
  <c r="AH459" i="113" s="1"/>
  <c r="AA1446" i="113"/>
  <c r="AE1446" i="113" s="1"/>
  <c r="AI1446" i="113" s="1"/>
  <c r="AD1446" i="113"/>
  <c r="AH1446" i="113" s="1"/>
  <c r="AA366" i="113"/>
  <c r="AE366" i="113" s="1"/>
  <c r="AI366" i="113" s="1"/>
  <c r="AD366" i="113"/>
  <c r="AH366" i="113" s="1"/>
  <c r="AA436" i="113"/>
  <c r="AE436" i="113" s="1"/>
  <c r="AI436" i="113" s="1"/>
  <c r="AD436" i="113"/>
  <c r="AH436" i="113" s="1"/>
  <c r="AA652" i="113"/>
  <c r="AE652" i="113" s="1"/>
  <c r="AI652" i="113" s="1"/>
  <c r="AD652" i="113"/>
  <c r="AH652" i="113" s="1"/>
  <c r="AA965" i="113"/>
  <c r="AD965" i="113"/>
  <c r="AH965" i="113" s="1"/>
  <c r="AA2053" i="113"/>
  <c r="AE2053" i="113" s="1"/>
  <c r="AI2053" i="113" s="1"/>
  <c r="AD2053" i="113"/>
  <c r="AH2053" i="113" s="1"/>
  <c r="AA618" i="113"/>
  <c r="AE618" i="113" s="1"/>
  <c r="AI618" i="113" s="1"/>
  <c r="AD618" i="113"/>
  <c r="AH618" i="113" s="1"/>
  <c r="AA1562" i="113"/>
  <c r="AD1562" i="113"/>
  <c r="AH1562" i="113" s="1"/>
  <c r="AA1716" i="113"/>
  <c r="AE1716" i="113" s="1"/>
  <c r="AI1716" i="113" s="1"/>
  <c r="AD1716" i="113"/>
  <c r="AH1716" i="113" s="1"/>
  <c r="AA20" i="113"/>
  <c r="AE20" i="113" s="1"/>
  <c r="AI20" i="113" s="1"/>
  <c r="AD20" i="113"/>
  <c r="AH20" i="113" s="1"/>
  <c r="AA1448" i="113"/>
  <c r="AD1448" i="113"/>
  <c r="AH1448" i="113" s="1"/>
  <c r="AA2192" i="113"/>
  <c r="AD2192" i="113"/>
  <c r="AH2192" i="113" s="1"/>
  <c r="AA1025" i="113"/>
  <c r="AE1025" i="113" s="1"/>
  <c r="AI1025" i="113" s="1"/>
  <c r="AD1025" i="113"/>
  <c r="AH1025" i="113" s="1"/>
  <c r="AA1008" i="113"/>
  <c r="AE1008" i="113" s="1"/>
  <c r="AI1008" i="113" s="1"/>
  <c r="AD1008" i="113"/>
  <c r="AH1008" i="113" s="1"/>
  <c r="AA775" i="113"/>
  <c r="AD775" i="113"/>
  <c r="AH775" i="113" s="1"/>
  <c r="AA882" i="113"/>
  <c r="AE882" i="113" s="1"/>
  <c r="AI882" i="113" s="1"/>
  <c r="AD882" i="113"/>
  <c r="AH882" i="113" s="1"/>
  <c r="AA397" i="113"/>
  <c r="AE397" i="113" s="1"/>
  <c r="AI397" i="113" s="1"/>
  <c r="AD397" i="113"/>
  <c r="AH397" i="113" s="1"/>
  <c r="AA1320" i="113"/>
  <c r="AE1320" i="113" s="1"/>
  <c r="AI1320" i="113" s="1"/>
  <c r="AD1320" i="113"/>
  <c r="AH1320" i="113" s="1"/>
  <c r="AA1087" i="113"/>
  <c r="AE1087" i="113" s="1"/>
  <c r="AI1087" i="113" s="1"/>
  <c r="AD1087" i="113"/>
  <c r="AH1087" i="113" s="1"/>
  <c r="AA500" i="113"/>
  <c r="AD500" i="113"/>
  <c r="AH500" i="113" s="1"/>
  <c r="AA2426" i="113"/>
  <c r="AE2426" i="113" s="1"/>
  <c r="AI2426" i="113" s="1"/>
  <c r="AD2426" i="113"/>
  <c r="AH2426" i="113" s="1"/>
  <c r="AA1379" i="113"/>
  <c r="AE1379" i="113" s="1"/>
  <c r="AI1379" i="113" s="1"/>
  <c r="AD1379" i="113"/>
  <c r="AH1379" i="113" s="1"/>
  <c r="AA2207" i="113"/>
  <c r="AE2207" i="113" s="1"/>
  <c r="AI2207" i="113" s="1"/>
  <c r="AD2207" i="113"/>
  <c r="AH2207" i="113" s="1"/>
  <c r="AA274" i="113"/>
  <c r="AE274" i="113" s="1"/>
  <c r="AI274" i="113" s="1"/>
  <c r="AD274" i="113"/>
  <c r="AH274" i="113" s="1"/>
  <c r="AA1943" i="113"/>
  <c r="AE1943" i="113" s="1"/>
  <c r="AI1943" i="113" s="1"/>
  <c r="AD1943" i="113"/>
  <c r="AH1943" i="113" s="1"/>
  <c r="AA1175" i="113"/>
  <c r="AD1175" i="113"/>
  <c r="AH1175" i="113" s="1"/>
  <c r="AA550" i="113"/>
  <c r="AE550" i="113" s="1"/>
  <c r="AI550" i="113" s="1"/>
  <c r="AD550" i="113"/>
  <c r="AH550" i="113" s="1"/>
  <c r="AA2303" i="113"/>
  <c r="AD2303" i="113"/>
  <c r="AH2303" i="113" s="1"/>
  <c r="AA369" i="113"/>
  <c r="AD369" i="113"/>
  <c r="AH369" i="113" s="1"/>
  <c r="AA572" i="113"/>
  <c r="AD572" i="113"/>
  <c r="AH572" i="113" s="1"/>
  <c r="AA71" i="113"/>
  <c r="AE71" i="113" s="1"/>
  <c r="AI71" i="113" s="1"/>
  <c r="AD71" i="113"/>
  <c r="AH71" i="113" s="1"/>
  <c r="AA1091" i="113"/>
  <c r="AD1091" i="113"/>
  <c r="AH1091" i="113" s="1"/>
  <c r="AA1602" i="113"/>
  <c r="AD1602" i="113"/>
  <c r="AH1602" i="113" s="1"/>
  <c r="AA11" i="113"/>
  <c r="AD11" i="113"/>
  <c r="AH11" i="113" s="1"/>
  <c r="AA341" i="113"/>
  <c r="AE341" i="113" s="1"/>
  <c r="AI341" i="113" s="1"/>
  <c r="AD341" i="113"/>
  <c r="AH341" i="113" s="1"/>
  <c r="AA1042" i="113"/>
  <c r="AD1042" i="113"/>
  <c r="AH1042" i="113" s="1"/>
  <c r="AA680" i="113"/>
  <c r="AE680" i="113" s="1"/>
  <c r="AI680" i="113" s="1"/>
  <c r="AD680" i="113"/>
  <c r="AH680" i="113" s="1"/>
  <c r="AA1874" i="113"/>
  <c r="AE1874" i="113" s="1"/>
  <c r="AI1874" i="113" s="1"/>
  <c r="AD1874" i="113"/>
  <c r="AH1874" i="113" s="1"/>
  <c r="AA936" i="113"/>
  <c r="AE936" i="113" s="1"/>
  <c r="AI936" i="113" s="1"/>
  <c r="AD936" i="113"/>
  <c r="AH936" i="113" s="1"/>
  <c r="AA1670" i="113"/>
  <c r="AE1670" i="113" s="1"/>
  <c r="AI1670" i="113" s="1"/>
  <c r="AD1670" i="113"/>
  <c r="AH1670" i="113" s="1"/>
  <c r="AC442" i="113"/>
  <c r="AG442" i="113" s="1"/>
  <c r="AC495" i="113"/>
  <c r="AG495" i="113" s="1"/>
  <c r="AC705" i="113"/>
  <c r="AG705" i="113" s="1"/>
  <c r="AC1690" i="113"/>
  <c r="AG1690" i="113" s="1"/>
  <c r="AC2610" i="113"/>
  <c r="AG2610" i="113" s="1"/>
  <c r="AC2013" i="113"/>
  <c r="AG2013" i="113" s="1"/>
  <c r="AC1315" i="113"/>
  <c r="AG1315" i="113" s="1"/>
  <c r="AC1406" i="113"/>
  <c r="AG1406" i="113" s="1"/>
  <c r="AC1136" i="113"/>
  <c r="AG1136" i="113" s="1"/>
  <c r="AC879" i="113"/>
  <c r="AG879" i="113" s="1"/>
  <c r="AA1374" i="113"/>
  <c r="AE1374" i="113" s="1"/>
  <c r="AI1374" i="113" s="1"/>
  <c r="AD1374" i="113"/>
  <c r="AH1374" i="113" s="1"/>
  <c r="AA1006" i="113"/>
  <c r="AD1006" i="113"/>
  <c r="AH1006" i="113" s="1"/>
  <c r="AA1505" i="113"/>
  <c r="AE1505" i="113" s="1"/>
  <c r="AI1505" i="113" s="1"/>
  <c r="AD1505" i="113"/>
  <c r="AH1505" i="113" s="1"/>
  <c r="AA601" i="113"/>
  <c r="AE601" i="113" s="1"/>
  <c r="AI601" i="113" s="1"/>
  <c r="AD601" i="113"/>
  <c r="AH601" i="113" s="1"/>
  <c r="AA1667" i="113"/>
  <c r="AE1667" i="113" s="1"/>
  <c r="AI1667" i="113" s="1"/>
  <c r="AD1667" i="113"/>
  <c r="AH1667" i="113" s="1"/>
  <c r="AA1205" i="113"/>
  <c r="AE1205" i="113" s="1"/>
  <c r="AI1205" i="113" s="1"/>
  <c r="AD1205" i="113"/>
  <c r="AH1205" i="113" s="1"/>
  <c r="AA897" i="113"/>
  <c r="AE897" i="113" s="1"/>
  <c r="AI897" i="113" s="1"/>
  <c r="AD897" i="113"/>
  <c r="AH897" i="113" s="1"/>
  <c r="AA85" i="113"/>
  <c r="AE85" i="113" s="1"/>
  <c r="AI85" i="113" s="1"/>
  <c r="AD85" i="113"/>
  <c r="AH85" i="113" s="1"/>
  <c r="AA627" i="113"/>
  <c r="AE627" i="113" s="1"/>
  <c r="AI627" i="113" s="1"/>
  <c r="AD627" i="113"/>
  <c r="AH627" i="113" s="1"/>
  <c r="AA9" i="113"/>
  <c r="AD9" i="113"/>
  <c r="AH9" i="113" s="1"/>
  <c r="AA259" i="113"/>
  <c r="AE259" i="113" s="1"/>
  <c r="AI259" i="113" s="1"/>
  <c r="AD259" i="113"/>
  <c r="AH259" i="113" s="1"/>
  <c r="AA1573" i="113"/>
  <c r="AD1573" i="113"/>
  <c r="AH1573" i="113" s="1"/>
  <c r="AA1335" i="113"/>
  <c r="AD1335" i="113"/>
  <c r="AH1335" i="113" s="1"/>
  <c r="AC2495" i="113"/>
  <c r="AG2495" i="113" s="1"/>
  <c r="AC1939" i="113"/>
  <c r="AG1939" i="113" s="1"/>
  <c r="AC1849" i="113"/>
  <c r="AG1849" i="113" s="1"/>
  <c r="AC1786" i="113"/>
  <c r="AG1786" i="113" s="1"/>
  <c r="AC1755" i="113"/>
  <c r="AG1755" i="113" s="1"/>
  <c r="AC1130" i="113"/>
  <c r="AG1130" i="113" s="1"/>
  <c r="AC2282" i="113"/>
  <c r="AG2282" i="113" s="1"/>
  <c r="AC2500" i="113"/>
  <c r="AG2500" i="113" s="1"/>
  <c r="AC593" i="113"/>
  <c r="AG593" i="113" s="1"/>
  <c r="AC1401" i="113"/>
  <c r="AG1401" i="113" s="1"/>
  <c r="AA73" i="113"/>
  <c r="AE73" i="113" s="1"/>
  <c r="AI73" i="113" s="1"/>
  <c r="AD73" i="113"/>
  <c r="AH73" i="113" s="1"/>
  <c r="AA451" i="113"/>
  <c r="AD451" i="113"/>
  <c r="AH451" i="113" s="1"/>
  <c r="AA740" i="113"/>
  <c r="AD740" i="113"/>
  <c r="AH740" i="113" s="1"/>
  <c r="AA2039" i="113"/>
  <c r="AD2039" i="113"/>
  <c r="AH2039" i="113" s="1"/>
  <c r="AA1282" i="113"/>
  <c r="AD1282" i="113"/>
  <c r="AH1282" i="113" s="1"/>
  <c r="AA1441" i="113"/>
  <c r="AE1441" i="113" s="1"/>
  <c r="AI1441" i="113" s="1"/>
  <c r="AD1441" i="113"/>
  <c r="AH1441" i="113" s="1"/>
  <c r="AA1174" i="113"/>
  <c r="AD1174" i="113"/>
  <c r="AH1174" i="113" s="1"/>
  <c r="AA2063" i="113"/>
  <c r="AE2063" i="113" s="1"/>
  <c r="AI2063" i="113" s="1"/>
  <c r="AD2063" i="113"/>
  <c r="AH2063" i="113" s="1"/>
  <c r="AA2530" i="113"/>
  <c r="AD2530" i="113"/>
  <c r="AH2530" i="113" s="1"/>
  <c r="AA2090" i="113"/>
  <c r="AE2090" i="113" s="1"/>
  <c r="AI2090" i="113" s="1"/>
  <c r="AD2090" i="113"/>
  <c r="AH2090" i="113" s="1"/>
  <c r="AC1536" i="113"/>
  <c r="AG1536" i="113" s="1"/>
  <c r="AC1799" i="113"/>
  <c r="AG1799" i="113" s="1"/>
  <c r="AC2363" i="113"/>
  <c r="AG2363" i="113" s="1"/>
  <c r="AC2541" i="113"/>
  <c r="AG2541" i="113" s="1"/>
  <c r="AC89" i="113"/>
  <c r="AG89" i="113" s="1"/>
  <c r="AC309" i="113"/>
  <c r="AG309" i="113" s="1"/>
  <c r="AC2169" i="113"/>
  <c r="AG2169" i="113" s="1"/>
  <c r="AC2342" i="113"/>
  <c r="AG2342" i="113" s="1"/>
  <c r="AC991" i="113"/>
  <c r="AG991" i="113" s="1"/>
  <c r="AC2588" i="113"/>
  <c r="AG2588" i="113" s="1"/>
  <c r="AC837" i="113"/>
  <c r="AG837" i="113" s="1"/>
  <c r="AC1634" i="113"/>
  <c r="AG1634" i="113" s="1"/>
  <c r="AC2658" i="113"/>
  <c r="AG2658" i="113" s="1"/>
  <c r="AC745" i="113"/>
  <c r="AG745" i="113" s="1"/>
  <c r="AC2275" i="113"/>
  <c r="AG2275" i="113" s="1"/>
  <c r="AC1841" i="113"/>
  <c r="AG1841" i="113" s="1"/>
  <c r="AC2240" i="113"/>
  <c r="AG2240" i="113" s="1"/>
  <c r="AC545" i="113"/>
  <c r="AG545" i="113" s="1"/>
  <c r="AC718" i="113"/>
  <c r="AG718" i="113" s="1"/>
  <c r="AC69" i="113"/>
  <c r="AG69" i="113" s="1"/>
  <c r="AC77" i="113"/>
  <c r="AG77" i="113" s="1"/>
  <c r="AC754" i="113"/>
  <c r="AG754" i="113" s="1"/>
  <c r="AC774" i="113"/>
  <c r="AG774" i="113" s="1"/>
  <c r="AC417" i="113"/>
  <c r="AG417" i="113" s="1"/>
  <c r="AC1343" i="113"/>
  <c r="AG1343" i="113" s="1"/>
  <c r="AC136" i="113"/>
  <c r="AG136" i="113" s="1"/>
  <c r="AC2307" i="113"/>
  <c r="AG2307" i="113" s="1"/>
  <c r="AC1383" i="113"/>
  <c r="AG1383" i="113" s="1"/>
  <c r="AC711" i="113"/>
  <c r="AG711" i="113" s="1"/>
  <c r="AC2401" i="113"/>
  <c r="AG2401" i="113" s="1"/>
  <c r="AC2378" i="113"/>
  <c r="AG2378" i="113" s="1"/>
  <c r="AC2209" i="113"/>
  <c r="AG2209" i="113" s="1"/>
  <c r="AC3" i="113"/>
  <c r="AG3" i="113" s="1"/>
  <c r="AC2301" i="113"/>
  <c r="AG2301" i="113" s="1"/>
  <c r="AC1870" i="113"/>
  <c r="AG1870" i="113" s="1"/>
  <c r="AC2043" i="113"/>
  <c r="AG2043" i="113" s="1"/>
  <c r="AC1101" i="113"/>
  <c r="AG1101" i="113" s="1"/>
  <c r="AC722" i="113"/>
  <c r="AG722" i="113" s="1"/>
  <c r="AC1581" i="113"/>
  <c r="AG1581" i="113" s="1"/>
  <c r="AC610" i="113"/>
  <c r="AG610" i="113" s="1"/>
  <c r="AC1490" i="113"/>
  <c r="AG1490" i="113" s="1"/>
  <c r="AC2593" i="113"/>
  <c r="AG2593" i="113" s="1"/>
  <c r="AC1452" i="113"/>
  <c r="AG1452" i="113" s="1"/>
  <c r="AC2646" i="113"/>
  <c r="AG2646" i="113" s="1"/>
  <c r="AC2195" i="113"/>
  <c r="AG2195" i="113" s="1"/>
  <c r="AC1933" i="113"/>
  <c r="AG1933" i="113" s="1"/>
  <c r="AC1802" i="113"/>
  <c r="AG1802" i="113" s="1"/>
  <c r="AC2171" i="113"/>
  <c r="AG2171" i="113" s="1"/>
  <c r="AC2067" i="113"/>
  <c r="AG2067" i="113" s="1"/>
  <c r="AC1034" i="113"/>
  <c r="AG1034" i="113" s="1"/>
  <c r="AC2185" i="113"/>
  <c r="AG2185" i="113" s="1"/>
  <c r="AC1312" i="113"/>
  <c r="AG1312" i="113" s="1"/>
  <c r="AC1999" i="113"/>
  <c r="AG1999" i="113" s="1"/>
  <c r="AC636" i="113"/>
  <c r="AG636" i="113" s="1"/>
  <c r="AC351" i="113"/>
  <c r="AG351" i="113" s="1"/>
  <c r="AC2291" i="113"/>
  <c r="AG2291" i="113" s="1"/>
  <c r="AC2547" i="113"/>
  <c r="AG2547" i="113" s="1"/>
  <c r="AC750" i="113"/>
  <c r="AG750" i="113" s="1"/>
  <c r="AC42" i="113"/>
  <c r="AG42" i="113" s="1"/>
  <c r="AC1264" i="113"/>
  <c r="AG1264" i="113" s="1"/>
  <c r="AC1036" i="113"/>
  <c r="AG1036" i="113" s="1"/>
  <c r="AC658" i="113"/>
  <c r="AG658" i="113" s="1"/>
  <c r="AC1855" i="113"/>
  <c r="AG1855" i="113" s="1"/>
  <c r="AC2094" i="113"/>
  <c r="AG2094" i="113" s="1"/>
  <c r="AC1795" i="113"/>
  <c r="AG1795" i="113" s="1"/>
  <c r="AC589" i="113"/>
  <c r="AG589" i="113" s="1"/>
  <c r="AC1336" i="113"/>
  <c r="AG1336" i="113" s="1"/>
  <c r="AC1736" i="113"/>
  <c r="AG1736" i="113" s="1"/>
  <c r="AA1994" i="113"/>
  <c r="AD1994" i="113"/>
  <c r="AH1994" i="113" s="1"/>
  <c r="AA1181" i="113"/>
  <c r="AD1181" i="113"/>
  <c r="AH1181" i="113" s="1"/>
  <c r="AA1642" i="113"/>
  <c r="AE1642" i="113" s="1"/>
  <c r="AI1642" i="113" s="1"/>
  <c r="AD1642" i="113"/>
  <c r="AH1642" i="113" s="1"/>
  <c r="AA1767" i="113"/>
  <c r="AE1767" i="113" s="1"/>
  <c r="AI1767" i="113" s="1"/>
  <c r="AD1767" i="113"/>
  <c r="AH1767" i="113" s="1"/>
  <c r="AA681" i="113"/>
  <c r="AE681" i="113" s="1"/>
  <c r="AI681" i="113" s="1"/>
  <c r="AD681" i="113"/>
  <c r="AH681" i="113" s="1"/>
  <c r="AA1711" i="113"/>
  <c r="AE1711" i="113" s="1"/>
  <c r="AI1711" i="113" s="1"/>
  <c r="AD1711" i="113"/>
  <c r="AH1711" i="113" s="1"/>
  <c r="AA1426" i="113"/>
  <c r="AD1426" i="113"/>
  <c r="AH1426" i="113" s="1"/>
  <c r="AA548" i="113"/>
  <c r="AE548" i="113" s="1"/>
  <c r="AI548" i="113" s="1"/>
  <c r="AD548" i="113"/>
  <c r="AH548" i="113" s="1"/>
  <c r="AA1268" i="113"/>
  <c r="AD1268" i="113"/>
  <c r="AH1268" i="113" s="1"/>
  <c r="AA1246" i="113"/>
  <c r="AE1246" i="113" s="1"/>
  <c r="AI1246" i="113" s="1"/>
  <c r="AD1246" i="113"/>
  <c r="AH1246" i="113" s="1"/>
  <c r="AA876" i="113"/>
  <c r="AE876" i="113" s="1"/>
  <c r="AI876" i="113" s="1"/>
  <c r="AD876" i="113"/>
  <c r="AH876" i="113" s="1"/>
  <c r="AA689" i="113"/>
  <c r="AE689" i="113" s="1"/>
  <c r="AI689" i="113" s="1"/>
  <c r="AD689" i="113"/>
  <c r="AH689" i="113" s="1"/>
  <c r="AA2558" i="113"/>
  <c r="AE2558" i="113" s="1"/>
  <c r="AI2558" i="113" s="1"/>
  <c r="AD2558" i="113"/>
  <c r="AH2558" i="113" s="1"/>
  <c r="AA1072" i="113"/>
  <c r="AE1072" i="113" s="1"/>
  <c r="AI1072" i="113" s="1"/>
  <c r="AD1072" i="113"/>
  <c r="AH1072" i="113" s="1"/>
  <c r="AA1730" i="113"/>
  <c r="AD1730" i="113"/>
  <c r="AH1730" i="113" s="1"/>
  <c r="AA782" i="113"/>
  <c r="AE782" i="113" s="1"/>
  <c r="AI782" i="113" s="1"/>
  <c r="AD782" i="113"/>
  <c r="AH782" i="113" s="1"/>
  <c r="AA414" i="113"/>
  <c r="AD414" i="113"/>
  <c r="AH414" i="113" s="1"/>
  <c r="AA989" i="113"/>
  <c r="AE989" i="113" s="1"/>
  <c r="AI989" i="113" s="1"/>
  <c r="AD989" i="113"/>
  <c r="AH989" i="113" s="1"/>
  <c r="AA751" i="113"/>
  <c r="AE751" i="113" s="1"/>
  <c r="AI751" i="113" s="1"/>
  <c r="AD751" i="113"/>
  <c r="AH751" i="113" s="1"/>
  <c r="AA2050" i="113"/>
  <c r="AD2050" i="113"/>
  <c r="AH2050" i="113" s="1"/>
  <c r="AA2020" i="113"/>
  <c r="AD2020" i="113"/>
  <c r="AH2020" i="113" s="1"/>
  <c r="AA1154" i="113"/>
  <c r="AD1154" i="113"/>
  <c r="AH1154" i="113" s="1"/>
  <c r="AA1137" i="113"/>
  <c r="AE1137" i="113" s="1"/>
  <c r="AI1137" i="113" s="1"/>
  <c r="AD1137" i="113"/>
  <c r="AH1137" i="113" s="1"/>
  <c r="AA1674" i="113"/>
  <c r="AD1674" i="113"/>
  <c r="AH1674" i="113" s="1"/>
  <c r="AA1720" i="113"/>
  <c r="AD1720" i="113"/>
  <c r="AH1720" i="113" s="1"/>
  <c r="AA805" i="113"/>
  <c r="AE805" i="113" s="1"/>
  <c r="AI805" i="113" s="1"/>
  <c r="AD805" i="113"/>
  <c r="AH805" i="113" s="1"/>
  <c r="AA2443" i="113"/>
  <c r="AE2443" i="113" s="1"/>
  <c r="AI2443" i="113" s="1"/>
  <c r="AD2443" i="113"/>
  <c r="AH2443" i="113" s="1"/>
  <c r="AA1880" i="113"/>
  <c r="AE1880" i="113" s="1"/>
  <c r="AI1880" i="113" s="1"/>
  <c r="AD1880" i="113"/>
  <c r="AH1880" i="113" s="1"/>
  <c r="AA2018" i="113"/>
  <c r="AE2018" i="113" s="1"/>
  <c r="AI2018" i="113" s="1"/>
  <c r="AD2018" i="113"/>
  <c r="AH2018" i="113" s="1"/>
  <c r="AA1987" i="113"/>
  <c r="AE1987" i="113" s="1"/>
  <c r="AI1987" i="113" s="1"/>
  <c r="AD1987" i="113"/>
  <c r="AH1987" i="113" s="1"/>
  <c r="AA411" i="113"/>
  <c r="AE411" i="113" s="1"/>
  <c r="AI411" i="113" s="1"/>
  <c r="AD411" i="113"/>
  <c r="AH411" i="113" s="1"/>
  <c r="AA1600" i="113"/>
  <c r="AE1600" i="113" s="1"/>
  <c r="AI1600" i="113" s="1"/>
  <c r="AD1600" i="113"/>
  <c r="AH1600" i="113" s="1"/>
  <c r="AA1080" i="113"/>
  <c r="AE1080" i="113" s="1"/>
  <c r="AI1080" i="113" s="1"/>
  <c r="AD1080" i="113"/>
  <c r="AH1080" i="113" s="1"/>
  <c r="AA13" i="113"/>
  <c r="AE13" i="113" s="1"/>
  <c r="AI13" i="113" s="1"/>
  <c r="AD13" i="113"/>
  <c r="AH13" i="113" s="1"/>
  <c r="AA933" i="113"/>
  <c r="AE933" i="113" s="1"/>
  <c r="AI933" i="113" s="1"/>
  <c r="AD933" i="113"/>
  <c r="AH933" i="113" s="1"/>
  <c r="AA413" i="113"/>
  <c r="AD413" i="113"/>
  <c r="AH413" i="113" s="1"/>
  <c r="AA1142" i="113"/>
  <c r="AE1142" i="113" s="1"/>
  <c r="AI1142" i="113" s="1"/>
  <c r="AD1142" i="113"/>
  <c r="AH1142" i="113" s="1"/>
  <c r="AA2120" i="113"/>
  <c r="AD2120" i="113"/>
  <c r="AH2120" i="113" s="1"/>
  <c r="AA542" i="113"/>
  <c r="AD542" i="113"/>
  <c r="AH542" i="113" s="1"/>
  <c r="AA923" i="113"/>
  <c r="AD923" i="113"/>
  <c r="AH923" i="113" s="1"/>
  <c r="AA576" i="113"/>
  <c r="AE576" i="113" s="1"/>
  <c r="AI576" i="113" s="1"/>
  <c r="AD576" i="113"/>
  <c r="AH576" i="113" s="1"/>
  <c r="AA926" i="113"/>
  <c r="AE926" i="113" s="1"/>
  <c r="AI926" i="113" s="1"/>
  <c r="AD926" i="113"/>
  <c r="AH926" i="113" s="1"/>
  <c r="AA720" i="113"/>
  <c r="AD720" i="113"/>
  <c r="AH720" i="113" s="1"/>
  <c r="AA1165" i="113"/>
  <c r="AE1165" i="113" s="1"/>
  <c r="AI1165" i="113" s="1"/>
  <c r="AD1165" i="113"/>
  <c r="AH1165" i="113" s="1"/>
  <c r="AA1294" i="113"/>
  <c r="AD1294" i="113"/>
  <c r="AH1294" i="113" s="1"/>
  <c r="AA1018" i="113"/>
  <c r="AE1018" i="113" s="1"/>
  <c r="AI1018" i="113" s="1"/>
  <c r="AD1018" i="113"/>
  <c r="AH1018" i="113" s="1"/>
  <c r="AA187" i="113"/>
  <c r="AD187" i="113"/>
  <c r="AH187" i="113" s="1"/>
  <c r="AA1751" i="113"/>
  <c r="AE1751" i="113" s="1"/>
  <c r="AI1751" i="113" s="1"/>
  <c r="AD1751" i="113"/>
  <c r="AH1751" i="113" s="1"/>
  <c r="AA918" i="113"/>
  <c r="AE918" i="113" s="1"/>
  <c r="AI918" i="113" s="1"/>
  <c r="AD918" i="113"/>
  <c r="AH918" i="113" s="1"/>
  <c r="AA2059" i="113"/>
  <c r="AD2059" i="113"/>
  <c r="AH2059" i="113" s="1"/>
  <c r="AA579" i="113"/>
  <c r="AD579" i="113"/>
  <c r="AH579" i="113" s="1"/>
  <c r="AA1636" i="113"/>
  <c r="AD1636" i="113"/>
  <c r="AH1636" i="113" s="1"/>
  <c r="AA904" i="113"/>
  <c r="AE904" i="113" s="1"/>
  <c r="AI904" i="113" s="1"/>
  <c r="AD904" i="113"/>
  <c r="AH904" i="113" s="1"/>
  <c r="AA192" i="113"/>
  <c r="AE192" i="113" s="1"/>
  <c r="AI192" i="113" s="1"/>
  <c r="AD192" i="113"/>
  <c r="AH192" i="113" s="1"/>
  <c r="AA2576" i="113"/>
  <c r="AE2576" i="113" s="1"/>
  <c r="AI2576" i="113" s="1"/>
  <c r="AD2576" i="113"/>
  <c r="AH2576" i="113" s="1"/>
  <c r="AA144" i="113"/>
  <c r="AE144" i="113" s="1"/>
  <c r="AI144" i="113" s="1"/>
  <c r="AD144" i="113"/>
  <c r="AH144" i="113" s="1"/>
  <c r="AA1483" i="113"/>
  <c r="AE1483" i="113" s="1"/>
  <c r="AI1483" i="113" s="1"/>
  <c r="AD1483" i="113"/>
  <c r="AH1483" i="113" s="1"/>
  <c r="AA796" i="113"/>
  <c r="AE796" i="113" s="1"/>
  <c r="AI796" i="113" s="1"/>
  <c r="AD796" i="113"/>
  <c r="AH796" i="113" s="1"/>
  <c r="AC1823" i="113"/>
  <c r="AG1823" i="113" s="1"/>
  <c r="AC1413" i="113"/>
  <c r="AG1413" i="113" s="1"/>
  <c r="AC2513" i="113"/>
  <c r="AG2513" i="113" s="1"/>
  <c r="AC2354" i="113"/>
  <c r="AG2354" i="113" s="1"/>
  <c r="AC2263" i="113"/>
  <c r="AG2263" i="113" s="1"/>
  <c r="AC333" i="113"/>
  <c r="AG333" i="113" s="1"/>
  <c r="AC622" i="113"/>
  <c r="AG622" i="113" s="1"/>
  <c r="AA172" i="113"/>
  <c r="AE172" i="113" s="1"/>
  <c r="AI172" i="113" s="1"/>
  <c r="AD172" i="113"/>
  <c r="AH172" i="113" s="1"/>
  <c r="AA2021" i="113"/>
  <c r="AE2021" i="113" s="1"/>
  <c r="AI2021" i="113" s="1"/>
  <c r="AD2021" i="113"/>
  <c r="AH2021" i="113" s="1"/>
  <c r="AA1774" i="113"/>
  <c r="AE1774" i="113" s="1"/>
  <c r="AI1774" i="113" s="1"/>
  <c r="AD1774" i="113"/>
  <c r="AH1774" i="113" s="1"/>
  <c r="AA1355" i="113"/>
  <c r="AE1355" i="113" s="1"/>
  <c r="AI1355" i="113" s="1"/>
  <c r="AD1355" i="113"/>
  <c r="AH1355" i="113" s="1"/>
  <c r="AA935" i="113"/>
  <c r="AE935" i="113" s="1"/>
  <c r="AI935" i="113" s="1"/>
  <c r="AD935" i="113"/>
  <c r="AH935" i="113" s="1"/>
  <c r="AA218" i="113"/>
  <c r="AE218" i="113" s="1"/>
  <c r="AI218" i="113" s="1"/>
  <c r="AD218" i="113"/>
  <c r="AH218" i="113" s="1"/>
  <c r="AA724" i="113"/>
  <c r="AE724" i="113" s="1"/>
  <c r="AI724" i="113" s="1"/>
  <c r="AD724" i="113"/>
  <c r="AH724" i="113" s="1"/>
  <c r="AA302" i="113"/>
  <c r="AE302" i="113" s="1"/>
  <c r="AI302" i="113" s="1"/>
  <c r="AD302" i="113"/>
  <c r="AH302" i="113" s="1"/>
  <c r="AA1698" i="113"/>
  <c r="AE1698" i="113" s="1"/>
  <c r="AI1698" i="113" s="1"/>
  <c r="AD1698" i="113"/>
  <c r="AH1698" i="113" s="1"/>
  <c r="AC764" i="113"/>
  <c r="AG764" i="113" s="1"/>
  <c r="AC1772" i="113"/>
  <c r="AG1772" i="113" s="1"/>
  <c r="AC2587" i="113"/>
  <c r="AG2587" i="113" s="1"/>
  <c r="AC1673" i="113"/>
  <c r="AG1673" i="113" s="1"/>
  <c r="AC2361" i="113"/>
  <c r="AG2361" i="113" s="1"/>
  <c r="AC1031" i="113"/>
  <c r="AG1031" i="113" s="1"/>
  <c r="AC1385" i="113"/>
  <c r="AG1385" i="113" s="1"/>
  <c r="AC2286" i="113"/>
  <c r="AG2286" i="113" s="1"/>
  <c r="AC2671" i="113"/>
  <c r="AG2671" i="113" s="1"/>
  <c r="AC2109" i="113"/>
  <c r="AG2109" i="113" s="1"/>
  <c r="AA193" i="113"/>
  <c r="AE193" i="113" s="1"/>
  <c r="AI193" i="113" s="1"/>
  <c r="AD193" i="113"/>
  <c r="AH193" i="113" s="1"/>
  <c r="AA1444" i="113"/>
  <c r="AE1444" i="113" s="1"/>
  <c r="AI1444" i="113" s="1"/>
  <c r="AD1444" i="113"/>
  <c r="AH1444" i="113" s="1"/>
  <c r="AA1266" i="113"/>
  <c r="AD1266" i="113"/>
  <c r="AH1266" i="113" s="1"/>
  <c r="AA518" i="113"/>
  <c r="AD518" i="113"/>
  <c r="AH518" i="113" s="1"/>
  <c r="AA1837" i="113"/>
  <c r="AD1837" i="113"/>
  <c r="AH1837" i="113" s="1"/>
  <c r="AA1188" i="113"/>
  <c r="AD1188" i="113"/>
  <c r="AH1188" i="113" s="1"/>
  <c r="AA721" i="113"/>
  <c r="AE721" i="113" s="1"/>
  <c r="AI721" i="113" s="1"/>
  <c r="AD721" i="113"/>
  <c r="AH721" i="113" s="1"/>
  <c r="AA761" i="113"/>
  <c r="AD761" i="113"/>
  <c r="AH761" i="113" s="1"/>
  <c r="AC1825" i="113"/>
  <c r="AG1825" i="113" s="1"/>
  <c r="AC404" i="113"/>
  <c r="AG404" i="113" s="1"/>
  <c r="AC2670" i="113"/>
  <c r="AG2670" i="113" s="1"/>
  <c r="AC2512" i="113"/>
  <c r="AG2512" i="113" s="1"/>
  <c r="AC517" i="113"/>
  <c r="AG517" i="113" s="1"/>
  <c r="AC753" i="113"/>
  <c r="AG753" i="113" s="1"/>
  <c r="AC2298" i="113"/>
  <c r="AG2298" i="113" s="1"/>
  <c r="AC1621" i="113"/>
  <c r="AG1621" i="113" s="1"/>
  <c r="AC2553" i="113"/>
  <c r="AG2553" i="113" s="1"/>
  <c r="AC2347" i="113"/>
  <c r="AG2347" i="113" s="1"/>
  <c r="AC297" i="113"/>
  <c r="AG297" i="113" s="1"/>
  <c r="AC1659" i="113"/>
  <c r="AG1659" i="113" s="1"/>
  <c r="AC1963" i="113"/>
  <c r="AG1963" i="113" s="1"/>
  <c r="AC1362" i="113"/>
  <c r="AG1362" i="113" s="1"/>
  <c r="AC942" i="113"/>
  <c r="AG942" i="113" s="1"/>
  <c r="AC2534" i="113"/>
  <c r="AG2534" i="113" s="1"/>
  <c r="AC1082" i="113"/>
  <c r="AG1082" i="113" s="1"/>
  <c r="AC2611" i="113"/>
  <c r="AG2611" i="113" s="1"/>
  <c r="AC2328" i="113"/>
  <c r="AG2328" i="113" s="1"/>
  <c r="AC34" i="113"/>
  <c r="AG34" i="113" s="1"/>
  <c r="AC1651" i="113"/>
  <c r="AG1651" i="113" s="1"/>
  <c r="AC43" i="113"/>
  <c r="AG43" i="113" s="1"/>
  <c r="AC1364" i="113"/>
  <c r="AG1364" i="113" s="1"/>
  <c r="AC2216" i="113"/>
  <c r="AG2216" i="113" s="1"/>
  <c r="AC566" i="113"/>
  <c r="AG566" i="113" s="1"/>
  <c r="AC1466" i="113"/>
  <c r="AG1466" i="113" s="1"/>
  <c r="AC49" i="113"/>
  <c r="AG49" i="113" s="1"/>
  <c r="AC1462" i="113"/>
  <c r="AG1462" i="113" s="1"/>
  <c r="AC1641" i="113"/>
  <c r="AG1641" i="113" s="1"/>
  <c r="AC2520" i="113"/>
  <c r="AG2520" i="113" s="1"/>
  <c r="AC86" i="113"/>
  <c r="AG86" i="113" s="1"/>
  <c r="AC2092" i="113"/>
  <c r="AG2092" i="113" s="1"/>
  <c r="AC1094" i="113"/>
  <c r="AG1094" i="113" s="1"/>
  <c r="AC1033" i="113"/>
  <c r="AG1033" i="113" s="1"/>
  <c r="AC1298" i="113"/>
  <c r="AG1298" i="113" s="1"/>
  <c r="AC2407" i="113"/>
  <c r="AG2407" i="113" s="1"/>
  <c r="AC2057" i="113"/>
  <c r="AG2057" i="113" s="1"/>
  <c r="AC792" i="113"/>
  <c r="AG792" i="113" s="1"/>
  <c r="AC33" i="113"/>
  <c r="AG33" i="113" s="1"/>
  <c r="AC577" i="113"/>
  <c r="AG577" i="113" s="1"/>
  <c r="AC1329" i="113"/>
  <c r="AG1329" i="113" s="1"/>
  <c r="AC915" i="113"/>
  <c r="AG915" i="113" s="1"/>
  <c r="AC2630" i="113"/>
  <c r="AG2630" i="113" s="1"/>
  <c r="AC921" i="113"/>
  <c r="AG921" i="113" s="1"/>
  <c r="AC516" i="113"/>
  <c r="AG516" i="113" s="1"/>
  <c r="AC2350" i="113"/>
  <c r="AG2350" i="113" s="1"/>
  <c r="AC2390" i="113"/>
  <c r="AG2390" i="113" s="1"/>
  <c r="AC2227" i="113"/>
  <c r="AG2227" i="113" s="1"/>
  <c r="AC129" i="113"/>
  <c r="AG129" i="113" s="1"/>
  <c r="AC2197" i="113"/>
  <c r="AG2197" i="113" s="1"/>
  <c r="AC2675" i="113"/>
  <c r="AG2675" i="113" s="1"/>
  <c r="AC1706" i="113"/>
  <c r="AG1706" i="113" s="1"/>
  <c r="AC1693" i="113"/>
  <c r="AG1693" i="113" s="1"/>
  <c r="AC2181" i="113"/>
  <c r="AG2181" i="113" s="1"/>
  <c r="AC1553" i="113"/>
  <c r="AG1553" i="113" s="1"/>
  <c r="AC2218" i="113"/>
  <c r="AG2218" i="113" s="1"/>
  <c r="AC1417" i="113"/>
  <c r="AG1417" i="113" s="1"/>
  <c r="AC390" i="113"/>
  <c r="AG390" i="113" s="1"/>
  <c r="AC673" i="113"/>
  <c r="AG673" i="113" s="1"/>
  <c r="AC2343" i="113"/>
  <c r="AG2343" i="113" s="1"/>
  <c r="AC2099" i="113"/>
  <c r="AG2099" i="113" s="1"/>
  <c r="AC347" i="113"/>
  <c r="AG347" i="113" s="1"/>
  <c r="AC1064" i="113"/>
  <c r="AG1064" i="113" s="1"/>
  <c r="AC985" i="113"/>
  <c r="AG985" i="113" s="1"/>
  <c r="AC319" i="113"/>
  <c r="AG319" i="113" s="1"/>
  <c r="AC1599" i="113"/>
  <c r="AG1599" i="113" s="1"/>
  <c r="AC2651" i="113"/>
  <c r="AG2651" i="113" s="1"/>
  <c r="AC2635" i="113"/>
  <c r="AG2635" i="113" s="1"/>
  <c r="AC2595" i="113"/>
  <c r="AG2595" i="113" s="1"/>
  <c r="AC2497" i="113"/>
  <c r="AG2497" i="113" s="1"/>
  <c r="AA1410" i="113"/>
  <c r="AD1410" i="113"/>
  <c r="AH1410" i="113" s="1"/>
  <c r="AA81" i="113"/>
  <c r="AE81" i="113" s="1"/>
  <c r="AI81" i="113" s="1"/>
  <c r="AD81" i="113"/>
  <c r="AH81" i="113" s="1"/>
  <c r="AA2517" i="113"/>
  <c r="AE2517" i="113" s="1"/>
  <c r="AI2517" i="113" s="1"/>
  <c r="AD2517" i="113"/>
  <c r="AH2517" i="113" s="1"/>
  <c r="AA2009" i="113"/>
  <c r="AE2009" i="113" s="1"/>
  <c r="AI2009" i="113" s="1"/>
  <c r="AD2009" i="113"/>
  <c r="AH2009" i="113" s="1"/>
  <c r="AA473" i="113"/>
  <c r="AE473" i="113" s="1"/>
  <c r="AI473" i="113" s="1"/>
  <c r="AD473" i="113"/>
  <c r="AH473" i="113" s="1"/>
  <c r="AA224" i="113"/>
  <c r="AE224" i="113" s="1"/>
  <c r="AI224" i="113" s="1"/>
  <c r="AD224" i="113"/>
  <c r="AH224" i="113" s="1"/>
  <c r="AA602" i="113"/>
  <c r="AD602" i="113"/>
  <c r="AH602" i="113" s="1"/>
  <c r="AA1109" i="113"/>
  <c r="AE1109" i="113" s="1"/>
  <c r="AI1109" i="113" s="1"/>
  <c r="AD1109" i="113"/>
  <c r="AH1109" i="113" s="1"/>
  <c r="AA2674" i="113"/>
  <c r="AE2674" i="113" s="1"/>
  <c r="AI2674" i="113" s="1"/>
  <c r="AD2674" i="113"/>
  <c r="AH2674" i="113" s="1"/>
  <c r="AA232" i="113"/>
  <c r="AE232" i="113" s="1"/>
  <c r="AI232" i="113" s="1"/>
  <c r="AD232" i="113"/>
  <c r="AH232" i="113" s="1"/>
  <c r="AA178" i="113"/>
  <c r="AE178" i="113" s="1"/>
  <c r="AI178" i="113" s="1"/>
  <c r="AD178" i="113"/>
  <c r="AH178" i="113" s="1"/>
  <c r="AA1290" i="113"/>
  <c r="AE1290" i="113" s="1"/>
  <c r="AI1290" i="113" s="1"/>
  <c r="AD1290" i="113"/>
  <c r="AH1290" i="113" s="1"/>
  <c r="AA1249" i="113"/>
  <c r="AE1249" i="113" s="1"/>
  <c r="AI1249" i="113" s="1"/>
  <c r="AD1249" i="113"/>
  <c r="AH1249" i="113" s="1"/>
  <c r="AA339" i="113"/>
  <c r="AE339" i="113" s="1"/>
  <c r="AI339" i="113" s="1"/>
  <c r="AD339" i="113"/>
  <c r="AH339" i="113" s="1"/>
  <c r="AA1193" i="113"/>
  <c r="AE1193" i="113" s="1"/>
  <c r="AI1193" i="113" s="1"/>
  <c r="AD1193" i="113"/>
  <c r="AH1193" i="113" s="1"/>
  <c r="AA1020" i="113"/>
  <c r="AD1020" i="113"/>
  <c r="AH1020" i="113" s="1"/>
  <c r="AA902" i="113"/>
  <c r="AD902" i="113"/>
  <c r="AH902" i="113" s="1"/>
  <c r="AA1619" i="113"/>
  <c r="AE1619" i="113" s="1"/>
  <c r="AI1619" i="113" s="1"/>
  <c r="AD1619" i="113"/>
  <c r="AH1619" i="113" s="1"/>
  <c r="AA1713" i="113"/>
  <c r="AE1713" i="113" s="1"/>
  <c r="AI1713" i="113" s="1"/>
  <c r="AD1713" i="113"/>
  <c r="AH1713" i="113" s="1"/>
  <c r="AA1228" i="113"/>
  <c r="AE1228" i="113" s="1"/>
  <c r="AI1228" i="113" s="1"/>
  <c r="AD1228" i="113"/>
  <c r="AH1228" i="113" s="1"/>
  <c r="AA1510" i="113"/>
  <c r="AD1510" i="113"/>
  <c r="AH1510" i="113" s="1"/>
  <c r="AA298" i="113"/>
  <c r="AE298" i="113" s="1"/>
  <c r="AI298" i="113" s="1"/>
  <c r="AD298" i="113"/>
  <c r="AH298" i="113" s="1"/>
  <c r="AA186" i="113"/>
  <c r="AE186" i="113" s="1"/>
  <c r="AI186" i="113" s="1"/>
  <c r="AD186" i="113"/>
  <c r="AH186" i="113" s="1"/>
  <c r="AA1118" i="113"/>
  <c r="AD1118" i="113"/>
  <c r="AH1118" i="113" s="1"/>
  <c r="AA834" i="113"/>
  <c r="AE834" i="113" s="1"/>
  <c r="AI834" i="113" s="1"/>
  <c r="AD834" i="113"/>
  <c r="AH834" i="113" s="1"/>
  <c r="AA222" i="113"/>
  <c r="AD222" i="113"/>
  <c r="AH222" i="113" s="1"/>
  <c r="AA2660" i="113"/>
  <c r="AD2660" i="113"/>
  <c r="AH2660" i="113" s="1"/>
  <c r="AA325" i="113"/>
  <c r="AE325" i="113" s="1"/>
  <c r="AI325" i="113" s="1"/>
  <c r="AD325" i="113"/>
  <c r="AH325" i="113" s="1"/>
  <c r="AA355" i="113"/>
  <c r="AD355" i="113"/>
  <c r="AH355" i="113" s="1"/>
  <c r="AA672" i="113"/>
  <c r="AD672" i="113"/>
  <c r="AH672" i="113" s="1"/>
  <c r="AA2122" i="113"/>
  <c r="AD2122" i="113"/>
  <c r="AH2122" i="113" s="1"/>
  <c r="AA1456" i="113"/>
  <c r="AE1456" i="113" s="1"/>
  <c r="AI1456" i="113" s="1"/>
  <c r="AD1456" i="113"/>
  <c r="AH1456" i="113" s="1"/>
  <c r="AA2356" i="113"/>
  <c r="AD2356" i="113"/>
  <c r="AH2356" i="113" s="1"/>
  <c r="AA950" i="113"/>
  <c r="AD950" i="113"/>
  <c r="AH950" i="113" s="1"/>
  <c r="AA425" i="113"/>
  <c r="AE425" i="113" s="1"/>
  <c r="AI425" i="113" s="1"/>
  <c r="AD425" i="113"/>
  <c r="AH425" i="113" s="1"/>
  <c r="AA320" i="113"/>
  <c r="AE320" i="113" s="1"/>
  <c r="AI320" i="113" s="1"/>
  <c r="AD320" i="113"/>
  <c r="AH320" i="113" s="1"/>
  <c r="AA95" i="113"/>
  <c r="AD95" i="113"/>
  <c r="AH95" i="113" s="1"/>
  <c r="AA87" i="113"/>
  <c r="AE87" i="113" s="1"/>
  <c r="AI87" i="113" s="1"/>
  <c r="AD87" i="113"/>
  <c r="AH87" i="113" s="1"/>
  <c r="AA1699" i="113"/>
  <c r="AE1699" i="113" s="1"/>
  <c r="AI1699" i="113" s="1"/>
  <c r="AD1699" i="113"/>
  <c r="AH1699" i="113" s="1"/>
  <c r="AA326" i="113"/>
  <c r="AE326" i="113" s="1"/>
  <c r="AI326" i="113" s="1"/>
  <c r="AD326" i="113"/>
  <c r="AH326" i="113" s="1"/>
  <c r="AA2280" i="113"/>
  <c r="AE2280" i="113" s="1"/>
  <c r="AI2280" i="113" s="1"/>
  <c r="AD2280" i="113"/>
  <c r="AH2280" i="113" s="1"/>
  <c r="AA815" i="113"/>
  <c r="AE815" i="113" s="1"/>
  <c r="AI815" i="113" s="1"/>
  <c r="AD815" i="113"/>
  <c r="AH815" i="113" s="1"/>
  <c r="AA1873" i="113"/>
  <c r="AE1873" i="113" s="1"/>
  <c r="AI1873" i="113" s="1"/>
  <c r="AD1873" i="113"/>
  <c r="AH1873" i="113" s="1"/>
  <c r="AA1122" i="113"/>
  <c r="AE1122" i="113" s="1"/>
  <c r="AI1122" i="113" s="1"/>
  <c r="AD1122" i="113"/>
  <c r="AH1122" i="113" s="1"/>
  <c r="AA1382" i="113"/>
  <c r="AE1382" i="113" s="1"/>
  <c r="AI1382" i="113" s="1"/>
  <c r="AD1382" i="113"/>
  <c r="AH1382" i="113" s="1"/>
  <c r="AA418" i="113"/>
  <c r="AE418" i="113" s="1"/>
  <c r="AI418" i="113" s="1"/>
  <c r="AD418" i="113"/>
  <c r="AH418" i="113" s="1"/>
  <c r="AA1069" i="113"/>
  <c r="AD1069" i="113"/>
  <c r="AH1069" i="113" s="1"/>
  <c r="AA323" i="113"/>
  <c r="AD323" i="113"/>
  <c r="AH323" i="113" s="1"/>
  <c r="AA2088" i="113"/>
  <c r="AD2088" i="113"/>
  <c r="AH2088" i="113" s="1"/>
  <c r="AA2023" i="113"/>
  <c r="AE2023" i="113" s="1"/>
  <c r="AI2023" i="113" s="1"/>
  <c r="AD2023" i="113"/>
  <c r="AH2023" i="113" s="1"/>
  <c r="AA1955" i="113"/>
  <c r="AD1955" i="113"/>
  <c r="AH1955" i="113" s="1"/>
  <c r="AA836" i="113"/>
  <c r="AE836" i="113" s="1"/>
  <c r="AI836" i="113" s="1"/>
  <c r="AD836" i="113"/>
  <c r="AH836" i="113" s="1"/>
  <c r="AA1629" i="113"/>
  <c r="AD1629" i="113"/>
  <c r="AH1629" i="113" s="1"/>
  <c r="AA2458" i="113"/>
  <c r="AE2458" i="113" s="1"/>
  <c r="AI2458" i="113" s="1"/>
  <c r="AD2458" i="113"/>
  <c r="AH2458" i="113" s="1"/>
  <c r="AA249" i="113"/>
  <c r="AE249" i="113" s="1"/>
  <c r="AI249" i="113" s="1"/>
  <c r="AD249" i="113"/>
  <c r="AH249" i="113" s="1"/>
  <c r="AA1283" i="113"/>
  <c r="AE1283" i="113" s="1"/>
  <c r="AI1283" i="113" s="1"/>
  <c r="AD1283" i="113"/>
  <c r="AH1283" i="113" s="1"/>
  <c r="AA2388" i="113"/>
  <c r="AE2388" i="113" s="1"/>
  <c r="AI2388" i="113" s="1"/>
  <c r="AD2388" i="113"/>
  <c r="AH2388" i="113" s="1"/>
  <c r="AA197" i="113"/>
  <c r="AE197" i="113" s="1"/>
  <c r="AI197" i="113" s="1"/>
  <c r="AD197" i="113"/>
  <c r="AH197" i="113" s="1"/>
  <c r="AC447" i="113"/>
  <c r="AG447" i="113" s="1"/>
  <c r="AC2041" i="113"/>
  <c r="AG2041" i="113" s="1"/>
  <c r="AC2249" i="113"/>
  <c r="AG2249" i="113" s="1"/>
  <c r="AC1844" i="113"/>
  <c r="AG1844" i="113" s="1"/>
  <c r="AA14" i="113"/>
  <c r="AD14" i="113"/>
  <c r="AH14" i="113" s="1"/>
  <c r="AA1934" i="113"/>
  <c r="AD1934" i="113"/>
  <c r="AH1934" i="113" s="1"/>
  <c r="AA384" i="113"/>
  <c r="AD384" i="113"/>
  <c r="AH384" i="113" s="1"/>
  <c r="AA225" i="113"/>
  <c r="AE225" i="113" s="1"/>
  <c r="AI225" i="113" s="1"/>
  <c r="AD225" i="113"/>
  <c r="AH225" i="113" s="1"/>
  <c r="AA1289" i="113"/>
  <c r="AD1289" i="113"/>
  <c r="AH1289" i="113" s="1"/>
  <c r="AC2661" i="113"/>
  <c r="AG2661" i="113" s="1"/>
  <c r="AA126" i="113"/>
  <c r="AE126" i="113" s="1"/>
  <c r="AI126" i="113" s="1"/>
  <c r="AD126" i="113"/>
  <c r="AH126" i="113" s="1"/>
  <c r="AC1694" i="113"/>
  <c r="AG1694" i="113" s="1"/>
  <c r="AC1418" i="113"/>
  <c r="AG1418" i="113" s="1"/>
  <c r="AC1026" i="113"/>
  <c r="AG1026" i="113" s="1"/>
  <c r="AC1214" i="113"/>
  <c r="AG1214" i="113" s="1"/>
  <c r="AC2051" i="113"/>
  <c r="AG2051" i="113" s="1"/>
  <c r="AC2412" i="113"/>
  <c r="AG2412" i="113" s="1"/>
  <c r="AC54" i="113"/>
  <c r="AG54" i="113" s="1"/>
  <c r="AC1102" i="113"/>
  <c r="AG1102" i="113" s="1"/>
  <c r="AC29" i="113"/>
  <c r="AG29" i="113" s="1"/>
  <c r="AC1340" i="113"/>
  <c r="AG1340" i="113" s="1"/>
  <c r="AC1117" i="113"/>
  <c r="AG1117" i="113" s="1"/>
  <c r="AC446" i="113"/>
  <c r="AG446" i="113" s="1"/>
  <c r="AC2071" i="113"/>
  <c r="AG2071" i="113" s="1"/>
  <c r="AC2468" i="113"/>
  <c r="AG2468" i="113" s="1"/>
  <c r="AC2251" i="113"/>
  <c r="AG2251" i="113" s="1"/>
  <c r="AC2537" i="113"/>
  <c r="AG2537" i="113" s="1"/>
  <c r="AC1357" i="113"/>
  <c r="AG1357" i="113" s="1"/>
  <c r="AC1891" i="113"/>
  <c r="AG1891" i="113" s="1"/>
  <c r="AC2268" i="113"/>
  <c r="AG2268" i="113" s="1"/>
  <c r="AC1729" i="113"/>
  <c r="AG1729" i="113" s="1"/>
  <c r="AC1579" i="113"/>
  <c r="AG1579" i="113" s="1"/>
  <c r="AC2377" i="113"/>
  <c r="AG2377" i="113" s="1"/>
  <c r="AC2016" i="113"/>
  <c r="AG2016" i="113" s="1"/>
  <c r="AC1585" i="113"/>
  <c r="AG1585" i="113" s="1"/>
  <c r="AC2213" i="113"/>
  <c r="AG2213" i="113" s="1"/>
  <c r="AC1215" i="113"/>
  <c r="AG1215" i="113" s="1"/>
  <c r="AC2368" i="113"/>
  <c r="AG2368" i="113" s="1"/>
  <c r="AC1974" i="113"/>
  <c r="AG1974" i="113" s="1"/>
  <c r="AC426" i="113"/>
  <c r="AG426" i="113" s="1"/>
  <c r="AC738" i="113"/>
  <c r="AG738" i="113" s="1"/>
  <c r="AC2482" i="113"/>
  <c r="AG2482" i="113" s="1"/>
  <c r="AC379" i="113"/>
  <c r="AG379" i="113" s="1"/>
  <c r="AC405" i="113"/>
  <c r="AG405" i="113" s="1"/>
  <c r="AC565" i="113"/>
  <c r="AG565" i="113" s="1"/>
  <c r="AC313" i="113"/>
  <c r="AG313" i="113" s="1"/>
  <c r="AC2552" i="113"/>
  <c r="AG2552" i="113" s="1"/>
  <c r="AC2062" i="113"/>
  <c r="AG2062" i="113" s="1"/>
  <c r="AC2080" i="113"/>
  <c r="AG2080" i="113" s="1"/>
  <c r="AC1487" i="113"/>
  <c r="AG1487" i="113" s="1"/>
  <c r="AC1029" i="113"/>
  <c r="AG1029" i="113" s="1"/>
  <c r="AC2493" i="113"/>
  <c r="AG2493" i="113" s="1"/>
  <c r="AC1687" i="113"/>
  <c r="AG1687" i="113" s="1"/>
  <c r="AC164" i="113"/>
  <c r="AG164" i="113" s="1"/>
  <c r="AC1979" i="113"/>
  <c r="AG1979" i="113" s="1"/>
  <c r="AA2469" i="113"/>
  <c r="AE2469" i="113" s="1"/>
  <c r="AI2469" i="113" s="1"/>
  <c r="AD2469" i="113"/>
  <c r="AH2469" i="113" s="1"/>
  <c r="AA191" i="113"/>
  <c r="AE191" i="113" s="1"/>
  <c r="AI191" i="113" s="1"/>
  <c r="AD191" i="113"/>
  <c r="AH191" i="113" s="1"/>
  <c r="AA112" i="113"/>
  <c r="AD112" i="113"/>
  <c r="AH112" i="113" s="1"/>
  <c r="AA1568" i="113"/>
  <c r="AE1568" i="113" s="1"/>
  <c r="AI1568" i="113" s="1"/>
  <c r="AD1568" i="113"/>
  <c r="AH1568" i="113" s="1"/>
  <c r="AA702" i="113"/>
  <c r="AE702" i="113" s="1"/>
  <c r="AI702" i="113" s="1"/>
  <c r="AD702" i="113"/>
  <c r="AH702" i="113" s="1"/>
  <c r="AA525" i="113"/>
  <c r="AD525" i="113"/>
  <c r="AH525" i="113" s="1"/>
  <c r="AA1806" i="113"/>
  <c r="AE1806" i="113" s="1"/>
  <c r="AI1806" i="113" s="1"/>
  <c r="AD1806" i="113"/>
  <c r="AH1806" i="113" s="1"/>
  <c r="AA850" i="113"/>
  <c r="AE850" i="113" s="1"/>
  <c r="AI850" i="113" s="1"/>
  <c r="AD850" i="113"/>
  <c r="AH850" i="113" s="1"/>
  <c r="AA544" i="113"/>
  <c r="AD544" i="113"/>
  <c r="AH544" i="113" s="1"/>
  <c r="AA896" i="113"/>
  <c r="AD896" i="113"/>
  <c r="AH896" i="113" s="1"/>
  <c r="AA185" i="113"/>
  <c r="AE185" i="113" s="1"/>
  <c r="AI185" i="113" s="1"/>
  <c r="AD185" i="113"/>
  <c r="AH185" i="113" s="1"/>
  <c r="AA1269" i="113"/>
  <c r="AE1269" i="113" s="1"/>
  <c r="AI1269" i="113" s="1"/>
  <c r="AD1269" i="113"/>
  <c r="AH1269" i="113" s="1"/>
  <c r="AA2045" i="113"/>
  <c r="AD2045" i="113"/>
  <c r="AH2045" i="113" s="1"/>
  <c r="AA1473" i="113"/>
  <c r="AD1473" i="113"/>
  <c r="AH1473" i="113" s="1"/>
  <c r="AA1353" i="113"/>
  <c r="AE1353" i="113" s="1"/>
  <c r="AI1353" i="113" s="1"/>
  <c r="AD1353" i="113"/>
  <c r="AH1353" i="113" s="1"/>
  <c r="AA1817" i="113"/>
  <c r="AE1817" i="113" s="1"/>
  <c r="AI1817" i="113" s="1"/>
  <c r="AD1817" i="113"/>
  <c r="AH1817" i="113" s="1"/>
  <c r="AA2435" i="113"/>
  <c r="AE2435" i="113" s="1"/>
  <c r="AI2435" i="113" s="1"/>
  <c r="AD2435" i="113"/>
  <c r="AH2435" i="113" s="1"/>
  <c r="AA101" i="113"/>
  <c r="AE101" i="113" s="1"/>
  <c r="AI101" i="113" s="1"/>
  <c r="AD101" i="113"/>
  <c r="AH101" i="113" s="1"/>
  <c r="AA1907" i="113"/>
  <c r="AE1907" i="113" s="1"/>
  <c r="AI1907" i="113" s="1"/>
  <c r="AD1907" i="113"/>
  <c r="AH1907" i="113" s="1"/>
  <c r="AA107" i="113"/>
  <c r="AD107" i="113"/>
  <c r="AH107" i="113" s="1"/>
  <c r="AA104" i="113"/>
  <c r="AE104" i="113" s="1"/>
  <c r="AI104" i="113" s="1"/>
  <c r="AD104" i="113"/>
  <c r="AH104" i="113" s="1"/>
  <c r="AA2620" i="113"/>
  <c r="AD2620" i="113"/>
  <c r="AH2620" i="113" s="1"/>
  <c r="AA2073" i="113"/>
  <c r="AD2073" i="113"/>
  <c r="AH2073" i="113" s="1"/>
  <c r="AA2070" i="113"/>
  <c r="AE2070" i="113" s="1"/>
  <c r="AI2070" i="113" s="1"/>
  <c r="AD2070" i="113"/>
  <c r="AH2070" i="113" s="1"/>
  <c r="AA1926" i="113"/>
  <c r="AE1926" i="113" s="1"/>
  <c r="AI1926" i="113" s="1"/>
  <c r="AD1926" i="113"/>
  <c r="AH1926" i="113" s="1"/>
  <c r="AA1604" i="113"/>
  <c r="AD1604" i="113"/>
  <c r="AH1604" i="113" s="1"/>
  <c r="AA1605" i="113"/>
  <c r="AE1605" i="113" s="1"/>
  <c r="AI1605" i="113" s="1"/>
  <c r="AD1605" i="113"/>
  <c r="AH1605" i="113" s="1"/>
  <c r="AA626" i="113"/>
  <c r="AD626" i="113"/>
  <c r="AH626" i="113" s="1"/>
  <c r="AA1120" i="113"/>
  <c r="AE1120" i="113" s="1"/>
  <c r="AI1120" i="113" s="1"/>
  <c r="AD1120" i="113"/>
  <c r="AH1120" i="113" s="1"/>
  <c r="AA1669" i="113"/>
  <c r="AE1669" i="113" s="1"/>
  <c r="AI1669" i="113" s="1"/>
  <c r="AD1669" i="113"/>
  <c r="AH1669" i="113" s="1"/>
  <c r="AA2036" i="113"/>
  <c r="AD2036" i="113"/>
  <c r="AH2036" i="113" s="1"/>
  <c r="AA730" i="113"/>
  <c r="AE730" i="113" s="1"/>
  <c r="AI730" i="113" s="1"/>
  <c r="AD730" i="113"/>
  <c r="AH730" i="113" s="1"/>
  <c r="AA900" i="113"/>
  <c r="AE900" i="113" s="1"/>
  <c r="AI900" i="113" s="1"/>
  <c r="AD900" i="113"/>
  <c r="AH900" i="113" s="1"/>
  <c r="AA741" i="113"/>
  <c r="AD741" i="113"/>
  <c r="AH741" i="113" s="1"/>
  <c r="AA1303" i="113"/>
  <c r="AD1303" i="113"/>
  <c r="AH1303" i="113" s="1"/>
  <c r="AA880" i="113"/>
  <c r="AE880" i="113" s="1"/>
  <c r="AI880" i="113" s="1"/>
  <c r="AD880" i="113"/>
  <c r="AH880" i="113" s="1"/>
  <c r="AA111" i="113"/>
  <c r="AE111" i="113" s="1"/>
  <c r="AI111" i="113" s="1"/>
  <c r="AD111" i="113"/>
  <c r="AH111" i="113" s="1"/>
  <c r="AA2654" i="113"/>
  <c r="AE2654" i="113" s="1"/>
  <c r="AI2654" i="113" s="1"/>
  <c r="AD2654" i="113"/>
  <c r="AH2654" i="113" s="1"/>
  <c r="AA65" i="113"/>
  <c r="AE65" i="113" s="1"/>
  <c r="AI65" i="113" s="1"/>
  <c r="AD65" i="113"/>
  <c r="AH65" i="113" s="1"/>
  <c r="AA1145" i="113"/>
  <c r="AD1145" i="113"/>
  <c r="AH1145" i="113" s="1"/>
  <c r="AA1258" i="113"/>
  <c r="AD1258" i="113"/>
  <c r="AH1258" i="113" s="1"/>
  <c r="AA654" i="113"/>
  <c r="AE654" i="113" s="1"/>
  <c r="AI654" i="113" s="1"/>
  <c r="AD654" i="113"/>
  <c r="AH654" i="113" s="1"/>
  <c r="AA1854" i="113"/>
  <c r="AE1854" i="113" s="1"/>
  <c r="AI1854" i="113" s="1"/>
  <c r="AD1854" i="113"/>
  <c r="AH1854" i="113" s="1"/>
  <c r="AA2283" i="113"/>
  <c r="AE2283" i="113" s="1"/>
  <c r="AI2283" i="113" s="1"/>
  <c r="AD2283" i="113"/>
  <c r="AH2283" i="113" s="1"/>
  <c r="AA731" i="113"/>
  <c r="AE731" i="113" s="1"/>
  <c r="AI731" i="113" s="1"/>
  <c r="AD731" i="113"/>
  <c r="AH731" i="113" s="1"/>
  <c r="AA207" i="113"/>
  <c r="AE207" i="113" s="1"/>
  <c r="AI207" i="113" s="1"/>
  <c r="AD207" i="113"/>
  <c r="AH207" i="113" s="1"/>
  <c r="AA1518" i="113"/>
  <c r="AE1518" i="113" s="1"/>
  <c r="AI1518" i="113" s="1"/>
  <c r="AD1518" i="113"/>
  <c r="AH1518" i="113" s="1"/>
  <c r="AA1361" i="113"/>
  <c r="AE1361" i="113" s="1"/>
  <c r="AI1361" i="113" s="1"/>
  <c r="AD1361" i="113"/>
  <c r="AH1361" i="113" s="1"/>
  <c r="AA1940" i="113"/>
  <c r="AE1940" i="113" s="1"/>
  <c r="AI1940" i="113" s="1"/>
  <c r="AD1940" i="113"/>
  <c r="AH1940" i="113" s="1"/>
  <c r="AA808" i="113"/>
  <c r="AE808" i="113" s="1"/>
  <c r="AI808" i="113" s="1"/>
  <c r="AD808" i="113"/>
  <c r="AH808" i="113" s="1"/>
  <c r="AA1211" i="113"/>
  <c r="AE1211" i="113" s="1"/>
  <c r="AI1211" i="113" s="1"/>
  <c r="AD1211" i="113"/>
  <c r="AH1211" i="113" s="1"/>
  <c r="AA1917" i="113"/>
  <c r="AE1917" i="113" s="1"/>
  <c r="AI1917" i="113" s="1"/>
  <c r="AD1917" i="113"/>
  <c r="AH1917" i="113" s="1"/>
  <c r="AA461" i="113"/>
  <c r="AE461" i="113" s="1"/>
  <c r="AI461" i="113" s="1"/>
  <c r="AD461" i="113"/>
  <c r="AH461" i="113" s="1"/>
  <c r="AA2238" i="113"/>
  <c r="AE2238" i="113" s="1"/>
  <c r="AI2238" i="113" s="1"/>
  <c r="AD2238" i="113"/>
  <c r="AH2238" i="113" s="1"/>
  <c r="AA1650" i="113"/>
  <c r="AD1650" i="113"/>
  <c r="AH1650" i="113" s="1"/>
  <c r="AA998" i="113"/>
  <c r="AE998" i="113" s="1"/>
  <c r="AI998" i="113" s="1"/>
  <c r="AD998" i="113"/>
  <c r="AH998" i="113" s="1"/>
  <c r="AA866" i="113"/>
  <c r="AE866" i="113" s="1"/>
  <c r="AI866" i="113" s="1"/>
  <c r="AD866" i="113"/>
  <c r="AH866" i="113" s="1"/>
  <c r="AA428" i="113"/>
  <c r="AD428" i="113"/>
  <c r="AH428" i="113" s="1"/>
  <c r="AC28" i="113"/>
  <c r="AG28" i="113" s="1"/>
  <c r="AC1623" i="113"/>
  <c r="AG1623" i="113" s="1"/>
  <c r="AC8" i="113"/>
  <c r="AG8" i="113" s="1"/>
  <c r="AC1728" i="113"/>
  <c r="AG1728" i="113" s="1"/>
  <c r="AC449" i="113"/>
  <c r="AG449" i="113" s="1"/>
  <c r="AC2300" i="113"/>
  <c r="AG2300" i="113" s="1"/>
  <c r="AC1827" i="113"/>
  <c r="AG1827" i="113" s="1"/>
  <c r="AC2176" i="113"/>
  <c r="AG2176" i="113" s="1"/>
  <c r="AC2017" i="113"/>
  <c r="AG2017" i="113" s="1"/>
  <c r="AC2256" i="113"/>
  <c r="AG2256" i="113" s="1"/>
  <c r="AC2335" i="113"/>
  <c r="AG2335" i="113" s="1"/>
  <c r="AC2615" i="113"/>
  <c r="AG2615" i="113" s="1"/>
  <c r="AC132" i="113"/>
  <c r="AG132" i="113" s="1"/>
  <c r="AC633" i="113"/>
  <c r="AG633" i="113" s="1"/>
  <c r="AC2548" i="113"/>
  <c r="AG2548" i="113" s="1"/>
  <c r="AC2416" i="113"/>
  <c r="AG2416" i="113" s="1"/>
  <c r="AC440" i="113"/>
  <c r="AG440" i="113" s="1"/>
  <c r="AC1972" i="113"/>
  <c r="AG1972" i="113" s="1"/>
  <c r="AC1250" i="113"/>
  <c r="AG1250" i="113" s="1"/>
  <c r="AC2022" i="113"/>
  <c r="AG2022" i="113" s="1"/>
  <c r="AC1229" i="113"/>
  <c r="AG1229" i="113" s="1"/>
  <c r="AC1888" i="113"/>
  <c r="AG1888" i="113" s="1"/>
  <c r="AC2199" i="113"/>
  <c r="AG2199" i="113" s="1"/>
  <c r="AC2237" i="113"/>
  <c r="AG2237" i="113" s="1"/>
  <c r="AC290" i="113"/>
  <c r="AG290" i="113" s="1"/>
  <c r="AC171" i="113"/>
  <c r="AG171" i="113" s="1"/>
  <c r="AC150" i="113"/>
  <c r="AG150" i="113" s="1"/>
  <c r="AC2284" i="113"/>
  <c r="AG2284" i="113" s="1"/>
  <c r="AC1750" i="113"/>
  <c r="AG1750" i="113" s="1"/>
  <c r="AC1529" i="113"/>
  <c r="AG1529" i="113" s="1"/>
  <c r="AC213" i="113"/>
  <c r="AG213" i="113" s="1"/>
  <c r="AC1785" i="113"/>
  <c r="AG1785" i="113" s="1"/>
  <c r="AC2097" i="113"/>
  <c r="AG2097" i="113" s="1"/>
  <c r="AC2134" i="113"/>
  <c r="AG2134" i="113" s="1"/>
  <c r="AC928" i="113"/>
  <c r="AG928" i="113" s="1"/>
  <c r="AC760" i="113"/>
  <c r="AG760" i="113" s="1"/>
  <c r="AC949" i="113"/>
  <c r="AG949" i="113" s="1"/>
  <c r="AC2190" i="113"/>
  <c r="AG2190" i="113" s="1"/>
  <c r="AC1047" i="113"/>
  <c r="AG1047" i="113" s="1"/>
  <c r="AC2293" i="113"/>
  <c r="AG2293" i="113" s="1"/>
  <c r="AC851" i="113"/>
  <c r="AG851" i="113" s="1"/>
  <c r="AC2628" i="113"/>
  <c r="AG2628" i="113" s="1"/>
  <c r="AC1550" i="113"/>
  <c r="AG1550" i="113" s="1"/>
  <c r="AC1996" i="113"/>
  <c r="AG1996" i="113" s="1"/>
  <c r="AC376" i="113"/>
  <c r="AG376" i="113" s="1"/>
  <c r="AC2146" i="113"/>
  <c r="AG2146" i="113" s="1"/>
  <c r="AC2656" i="113"/>
  <c r="AG2656" i="113" s="1"/>
  <c r="AC484" i="113"/>
  <c r="AG484" i="113" s="1"/>
  <c r="AC1816" i="113"/>
  <c r="AG1816" i="113" s="1"/>
  <c r="AC2244" i="113"/>
  <c r="AG2244" i="113" s="1"/>
  <c r="AC90" i="113"/>
  <c r="AG90" i="113" s="1"/>
  <c r="AC1242" i="113"/>
  <c r="AG1242" i="113" s="1"/>
  <c r="AC2446" i="113"/>
  <c r="AG2446" i="113" s="1"/>
  <c r="AC2518" i="113"/>
  <c r="AG2518" i="113" s="1"/>
  <c r="AC1273" i="113"/>
  <c r="AG1273" i="113" s="1"/>
  <c r="AC1083" i="113"/>
  <c r="AG1083" i="113" s="1"/>
  <c r="AC2241" i="113"/>
  <c r="AG2241" i="113" s="1"/>
  <c r="AC2148" i="113"/>
  <c r="AG2148" i="113" s="1"/>
  <c r="AC1648" i="113"/>
  <c r="AG1648" i="113" s="1"/>
  <c r="AC439" i="113"/>
  <c r="AG439" i="113" s="1"/>
  <c r="AC1515" i="113"/>
  <c r="AG1515" i="113" s="1"/>
  <c r="AC956" i="113"/>
  <c r="AG956" i="113" s="1"/>
  <c r="AA1970" i="113"/>
  <c r="AE1970" i="113" s="1"/>
  <c r="AI1970" i="113" s="1"/>
  <c r="AD1970" i="113"/>
  <c r="AH1970" i="113" s="1"/>
  <c r="AA381" i="113"/>
  <c r="AD381" i="113"/>
  <c r="AH381" i="113" s="1"/>
  <c r="AA496" i="113"/>
  <c r="AE496" i="113" s="1"/>
  <c r="AI496" i="113" s="1"/>
  <c r="AD496" i="113"/>
  <c r="AH496" i="113" s="1"/>
  <c r="AA46" i="113"/>
  <c r="AD46" i="113"/>
  <c r="AH46" i="113" s="1"/>
  <c r="AA83" i="113"/>
  <c r="AE83" i="113" s="1"/>
  <c r="AI83" i="113" s="1"/>
  <c r="AD83" i="113"/>
  <c r="AH83" i="113" s="1"/>
  <c r="AA662" i="113"/>
  <c r="AD662" i="113"/>
  <c r="AH662" i="113" s="1"/>
  <c r="AA124" i="113"/>
  <c r="AD124" i="113"/>
  <c r="AH124" i="113" s="1"/>
  <c r="AA483" i="113"/>
  <c r="AD483" i="113"/>
  <c r="AH483" i="113" s="1"/>
  <c r="AA1359" i="113"/>
  <c r="AD1359" i="113"/>
  <c r="AH1359" i="113" s="1"/>
  <c r="AA1868" i="113"/>
  <c r="AE1868" i="113" s="1"/>
  <c r="AI1868" i="113" s="1"/>
  <c r="AD1868" i="113"/>
  <c r="AH1868" i="113" s="1"/>
  <c r="AA365" i="113"/>
  <c r="AD365" i="113"/>
  <c r="AH365" i="113" s="1"/>
  <c r="AA940" i="113"/>
  <c r="AE940" i="113" s="1"/>
  <c r="AI940" i="113" s="1"/>
  <c r="AD940" i="113"/>
  <c r="AH940" i="113" s="1"/>
  <c r="AA1044" i="113"/>
  <c r="AE1044" i="113" s="1"/>
  <c r="AI1044" i="113" s="1"/>
  <c r="AD1044" i="113"/>
  <c r="AH1044" i="113" s="1"/>
  <c r="AA219" i="113"/>
  <c r="AE219" i="113" s="1"/>
  <c r="AI219" i="113" s="1"/>
  <c r="AD219" i="113"/>
  <c r="AH219" i="113" s="1"/>
  <c r="AA1526" i="113"/>
  <c r="AE1526" i="113" s="1"/>
  <c r="AI1526" i="113" s="1"/>
  <c r="AD1526" i="113"/>
  <c r="AH1526" i="113" s="1"/>
  <c r="AA343" i="113"/>
  <c r="AD343" i="113"/>
  <c r="AH343" i="113" s="1"/>
  <c r="AA1305" i="113"/>
  <c r="AD1305" i="113"/>
  <c r="AH1305" i="113" s="1"/>
  <c r="AA1744" i="113"/>
  <c r="AE1744" i="113" s="1"/>
  <c r="AI1744" i="113" s="1"/>
  <c r="AD1744" i="113"/>
  <c r="AH1744" i="113" s="1"/>
  <c r="AA1997" i="113"/>
  <c r="AD1997" i="113"/>
  <c r="AH1997" i="113" s="1"/>
  <c r="AA1616" i="113"/>
  <c r="AD1616" i="113"/>
  <c r="AH1616" i="113" s="1"/>
  <c r="AA1743" i="113"/>
  <c r="AE1743" i="113" s="1"/>
  <c r="AI1743" i="113" s="1"/>
  <c r="AD1743" i="113"/>
  <c r="AH1743" i="113" s="1"/>
  <c r="AA250" i="113"/>
  <c r="AD250" i="113"/>
  <c r="AH250" i="113" s="1"/>
  <c r="AA2077" i="113"/>
  <c r="AE2077" i="113" s="1"/>
  <c r="AI2077" i="113" s="1"/>
  <c r="AD2077" i="113"/>
  <c r="AH2077" i="113" s="1"/>
  <c r="AA66" i="113"/>
  <c r="AE66" i="113" s="1"/>
  <c r="AI66" i="113" s="1"/>
  <c r="AD66" i="113"/>
  <c r="AH66" i="113" s="1"/>
  <c r="AA1092" i="113"/>
  <c r="AE1092" i="113" s="1"/>
  <c r="AI1092" i="113" s="1"/>
  <c r="AD1092" i="113"/>
  <c r="AH1092" i="113" s="1"/>
  <c r="AA1408" i="113"/>
  <c r="AD1408" i="113"/>
  <c r="AH1408" i="113" s="1"/>
  <c r="AA109" i="113"/>
  <c r="AE109" i="113" s="1"/>
  <c r="AI109" i="113" s="1"/>
  <c r="AD109" i="113"/>
  <c r="AH109" i="113" s="1"/>
  <c r="AA317" i="113"/>
  <c r="AE317" i="113" s="1"/>
  <c r="AI317" i="113" s="1"/>
  <c r="AD317" i="113"/>
  <c r="AH317" i="113" s="1"/>
  <c r="AA1564" i="113"/>
  <c r="AE1564" i="113" s="1"/>
  <c r="AI1564" i="113" s="1"/>
  <c r="AD1564" i="113"/>
  <c r="AH1564" i="113" s="1"/>
  <c r="AA1819" i="113"/>
  <c r="AE1819" i="113" s="1"/>
  <c r="AI1819" i="113" s="1"/>
  <c r="AD1819" i="113"/>
  <c r="AH1819" i="113" s="1"/>
  <c r="AA2191" i="113"/>
  <c r="AE2191" i="113" s="1"/>
  <c r="AI2191" i="113" s="1"/>
  <c r="AD2191" i="113"/>
  <c r="AH2191" i="113" s="1"/>
  <c r="AA1129" i="113"/>
  <c r="AE1129" i="113" s="1"/>
  <c r="AI1129" i="113" s="1"/>
  <c r="AD1129" i="113"/>
  <c r="AH1129" i="113" s="1"/>
  <c r="AA316" i="113"/>
  <c r="AE316" i="113" s="1"/>
  <c r="AI316" i="113" s="1"/>
  <c r="AD316" i="113"/>
  <c r="AH316" i="113" s="1"/>
  <c r="AA272" i="113"/>
  <c r="AE272" i="113" s="1"/>
  <c r="AI272" i="113" s="1"/>
  <c r="AD272" i="113"/>
  <c r="AH272" i="113" s="1"/>
  <c r="AA2074" i="113"/>
  <c r="AE2074" i="113" s="1"/>
  <c r="AI2074" i="113" s="1"/>
  <c r="AD2074" i="113"/>
  <c r="AH2074" i="113" s="1"/>
  <c r="AA1860" i="113"/>
  <c r="AD1860" i="113"/>
  <c r="AH1860" i="113" s="1"/>
  <c r="AA1961" i="113"/>
  <c r="AE1961" i="113" s="1"/>
  <c r="AI1961" i="113" s="1"/>
  <c r="AD1961" i="113"/>
  <c r="AH1961" i="113" s="1"/>
  <c r="AA2561" i="113"/>
  <c r="AE2561" i="113" s="1"/>
  <c r="AI2561" i="113" s="1"/>
  <c r="AD2561" i="113"/>
  <c r="AH2561" i="113" s="1"/>
  <c r="AA817" i="113"/>
  <c r="AE817" i="113" s="1"/>
  <c r="AI817" i="113" s="1"/>
  <c r="AD817" i="113"/>
  <c r="AH817" i="113" s="1"/>
  <c r="AA1587" i="113"/>
  <c r="AD1587" i="113"/>
  <c r="AH1587" i="113" s="1"/>
  <c r="AA321" i="113"/>
  <c r="AE321" i="113" s="1"/>
  <c r="AI321" i="113" s="1"/>
  <c r="AD321" i="113"/>
  <c r="AH321" i="113" s="1"/>
  <c r="AA856" i="113"/>
  <c r="AE856" i="113" s="1"/>
  <c r="AI856" i="113" s="1"/>
  <c r="AD856" i="113"/>
  <c r="AH856" i="113" s="1"/>
  <c r="AA2279" i="113"/>
  <c r="AD2279" i="113"/>
  <c r="AH2279" i="113" s="1"/>
  <c r="AA685" i="113"/>
  <c r="AD685" i="113"/>
  <c r="AH685" i="113" s="1"/>
  <c r="AA2294" i="113"/>
  <c r="AE2294" i="113" s="1"/>
  <c r="AI2294" i="113" s="1"/>
  <c r="AD2294" i="113"/>
  <c r="AH2294" i="113" s="1"/>
  <c r="AA2008" i="113"/>
  <c r="AE2008" i="113" s="1"/>
  <c r="AI2008" i="113" s="1"/>
  <c r="AD2008" i="113"/>
  <c r="AH2008" i="113" s="1"/>
  <c r="AA717" i="113"/>
  <c r="AE717" i="113" s="1"/>
  <c r="AI717" i="113" s="1"/>
  <c r="AD717" i="113"/>
  <c r="AH717" i="113" s="1"/>
  <c r="AA2163" i="113"/>
  <c r="AE2163" i="113" s="1"/>
  <c r="AI2163" i="113" s="1"/>
  <c r="AD2163" i="113"/>
  <c r="AH2163" i="113" s="1"/>
  <c r="AA1812" i="113"/>
  <c r="AE1812" i="113" s="1"/>
  <c r="AI1812" i="113" s="1"/>
  <c r="AD1812" i="113"/>
  <c r="AH1812" i="113" s="1"/>
  <c r="AA1055" i="113"/>
  <c r="AD1055" i="113"/>
  <c r="AH1055" i="113" s="1"/>
  <c r="AA1074" i="113"/>
  <c r="AE1074" i="113" s="1"/>
  <c r="AI1074" i="113" s="1"/>
  <c r="AD1074" i="113"/>
  <c r="AH1074" i="113" s="1"/>
  <c r="AA1545" i="113"/>
  <c r="AD1545" i="113"/>
  <c r="AH1545" i="113" s="1"/>
  <c r="AA614" i="113"/>
  <c r="AD614" i="113"/>
  <c r="AH614" i="113" s="1"/>
  <c r="AA1718" i="113"/>
  <c r="AE1718" i="113" s="1"/>
  <c r="AI1718" i="113" s="1"/>
  <c r="AD1718" i="113"/>
  <c r="AH1718" i="113" s="1"/>
  <c r="AA522" i="113"/>
  <c r="AE522" i="113" s="1"/>
  <c r="AI522" i="113" s="1"/>
  <c r="AD522" i="113"/>
  <c r="AH522" i="113" s="1"/>
  <c r="AA2188" i="113"/>
  <c r="AD2188" i="113"/>
  <c r="AH2188" i="113" s="1"/>
  <c r="AA493" i="113"/>
  <c r="AD493" i="113"/>
  <c r="AH493" i="113" s="1"/>
  <c r="AC2569" i="113"/>
  <c r="AG2569" i="113" s="1"/>
  <c r="AC596" i="113"/>
  <c r="AG596" i="113" s="1"/>
  <c r="AC1595" i="113"/>
  <c r="AG1595" i="113" s="1"/>
  <c r="AC2560" i="113"/>
  <c r="AG2560" i="113" s="1"/>
  <c r="AC746" i="113"/>
  <c r="AG746" i="113" s="1"/>
  <c r="AC2598" i="113"/>
  <c r="AG2598" i="113" s="1"/>
  <c r="AC1932" i="113"/>
  <c r="AG1932" i="113" s="1"/>
  <c r="AC463" i="113"/>
  <c r="AG463" i="113" s="1"/>
  <c r="AC2429" i="113"/>
  <c r="AG2429" i="113" s="1"/>
  <c r="AC1951" i="113"/>
  <c r="AG1951" i="113" s="1"/>
  <c r="AC410" i="113"/>
  <c r="AG410" i="113" s="1"/>
  <c r="AC661" i="113"/>
  <c r="AG661" i="113" s="1"/>
  <c r="AC2164" i="113"/>
  <c r="AG2164" i="113" s="1"/>
  <c r="AC2568" i="113"/>
  <c r="AG2568" i="113" s="1"/>
  <c r="AC2265" i="113"/>
  <c r="AG2265" i="113" s="1"/>
  <c r="AC767" i="113"/>
  <c r="AG767" i="113" s="1"/>
  <c r="AC1257" i="113"/>
  <c r="AG1257" i="113" s="1"/>
  <c r="AC1834" i="113"/>
  <c r="AG1834" i="113" s="1"/>
  <c r="AC2533" i="113"/>
  <c r="AG2533" i="113" s="1"/>
  <c r="AC2394" i="113"/>
  <c r="AG2394" i="113" s="1"/>
  <c r="AC1151" i="113"/>
  <c r="AG1151" i="113" s="1"/>
  <c r="AC899" i="113"/>
  <c r="AG899" i="113" s="1"/>
  <c r="AC1893" i="113"/>
  <c r="AG1893" i="113" s="1"/>
  <c r="AC2127" i="113"/>
  <c r="AG2127" i="113" s="1"/>
  <c r="AC2604" i="113"/>
  <c r="AG2604" i="113" s="1"/>
  <c r="AC809" i="113"/>
  <c r="AG809" i="113" s="1"/>
  <c r="AC2523" i="113"/>
  <c r="AG2523" i="113" s="1"/>
  <c r="AC2078" i="113"/>
  <c r="AG2078" i="113" s="1"/>
  <c r="AC1723" i="113"/>
  <c r="AG1723" i="113" s="1"/>
  <c r="AC628" i="113"/>
  <c r="AG628" i="113" s="1"/>
  <c r="AC1062" i="113"/>
  <c r="AG1062" i="113" s="1"/>
  <c r="AC24" i="113"/>
  <c r="AG24" i="113" s="1"/>
  <c r="AC1057" i="113"/>
  <c r="AG1057" i="113" s="1"/>
  <c r="AC2575" i="113"/>
  <c r="AG2575" i="113" s="1"/>
  <c r="AC2506" i="113"/>
  <c r="AG2506" i="113" s="1"/>
  <c r="AC1574" i="113"/>
  <c r="AG1574" i="113" s="1"/>
  <c r="AC1630" i="113"/>
  <c r="AG1630" i="113" s="1"/>
  <c r="AC1186" i="113"/>
  <c r="AG1186" i="113" s="1"/>
  <c r="AC1200" i="113"/>
  <c r="AG1200" i="113" s="1"/>
  <c r="AC1048" i="113"/>
  <c r="AG1048" i="113" s="1"/>
  <c r="AC2333" i="113"/>
  <c r="AG2333" i="113" s="1"/>
  <c r="AC559" i="113"/>
  <c r="AG559" i="113" s="1"/>
  <c r="AA1116" i="113"/>
  <c r="AE1116" i="113" s="1"/>
  <c r="AI1116" i="113" s="1"/>
  <c r="AD1116" i="113"/>
  <c r="AH1116" i="113" s="1"/>
  <c r="AA1924" i="113"/>
  <c r="AE1924" i="113" s="1"/>
  <c r="AI1924" i="113" s="1"/>
  <c r="AD1924" i="113"/>
  <c r="AH1924" i="113" s="1"/>
  <c r="AA119" i="113"/>
  <c r="AD119" i="113"/>
  <c r="AH119" i="113" s="1"/>
  <c r="AA393" i="113"/>
  <c r="AD393" i="113"/>
  <c r="AH393" i="113" s="1"/>
  <c r="AA523" i="113"/>
  <c r="AE523" i="113" s="1"/>
  <c r="AI523" i="113" s="1"/>
  <c r="AD523" i="113"/>
  <c r="AH523" i="113" s="1"/>
  <c r="AA2129" i="113"/>
  <c r="AD2129" i="113"/>
  <c r="AH2129" i="113" s="1"/>
  <c r="AA1198" i="113"/>
  <c r="AE1198" i="113" s="1"/>
  <c r="AI1198" i="113" s="1"/>
  <c r="AD1198" i="113"/>
  <c r="AH1198" i="113" s="1"/>
  <c r="AA785" i="113"/>
  <c r="AE785" i="113" s="1"/>
  <c r="AI785" i="113" s="1"/>
  <c r="AD785" i="113"/>
  <c r="AH785" i="113" s="1"/>
  <c r="AA1323" i="113"/>
  <c r="AE1323" i="113" s="1"/>
  <c r="AI1323" i="113" s="1"/>
  <c r="AD1323" i="113"/>
  <c r="AH1323" i="113" s="1"/>
  <c r="AA1794" i="113"/>
  <c r="AD1794" i="113"/>
  <c r="AH1794" i="113" s="1"/>
  <c r="AA1976" i="113"/>
  <c r="AD1976" i="113"/>
  <c r="AH1976" i="113" s="1"/>
  <c r="AA56" i="113"/>
  <c r="AE56" i="113" s="1"/>
  <c r="AI56" i="113" s="1"/>
  <c r="AD56" i="113"/>
  <c r="AH56" i="113" s="1"/>
  <c r="AA982" i="113"/>
  <c r="AE982" i="113" s="1"/>
  <c r="AI982" i="113" s="1"/>
  <c r="AD982" i="113"/>
  <c r="AH982" i="113" s="1"/>
  <c r="AA1597" i="113"/>
  <c r="AD1597" i="113"/>
  <c r="AH1597" i="113" s="1"/>
  <c r="AA984" i="113"/>
  <c r="AE984" i="113" s="1"/>
  <c r="AI984" i="113" s="1"/>
  <c r="AD984" i="113"/>
  <c r="AH984" i="113" s="1"/>
  <c r="AA1159" i="113"/>
  <c r="AD1159" i="113"/>
  <c r="AH1159" i="113" s="1"/>
  <c r="AA788" i="113"/>
  <c r="AE788" i="113" s="1"/>
  <c r="AI788" i="113" s="1"/>
  <c r="AD788" i="113"/>
  <c r="AH788" i="113" s="1"/>
  <c r="AA1567" i="113"/>
  <c r="AE1567" i="113" s="1"/>
  <c r="AI1567" i="113" s="1"/>
  <c r="AD1567" i="113"/>
  <c r="AH1567" i="113" s="1"/>
  <c r="AA370" i="113"/>
  <c r="AE370" i="113" s="1"/>
  <c r="AI370" i="113" s="1"/>
  <c r="AD370" i="113"/>
  <c r="AH370" i="113" s="1"/>
  <c r="AA968" i="113"/>
  <c r="AE968" i="113" s="1"/>
  <c r="AI968" i="113" s="1"/>
  <c r="AD968" i="113"/>
  <c r="AH968" i="113" s="1"/>
  <c r="AA638" i="113"/>
  <c r="AD638" i="113"/>
  <c r="AH638" i="113" s="1"/>
  <c r="AA1152" i="113"/>
  <c r="AD1152" i="113"/>
  <c r="AH1152" i="113" s="1"/>
  <c r="AA665" i="113"/>
  <c r="AE665" i="113" s="1"/>
  <c r="AI665" i="113" s="1"/>
  <c r="AD665" i="113"/>
  <c r="AH665" i="113" s="1"/>
  <c r="AA1141" i="113"/>
  <c r="AE1141" i="113" s="1"/>
  <c r="AI1141" i="113" s="1"/>
  <c r="AD1141" i="113"/>
  <c r="AH1141" i="113" s="1"/>
  <c r="AA1701" i="113"/>
  <c r="AD1701" i="113"/>
  <c r="AH1701" i="113" s="1"/>
  <c r="AA1807" i="113"/>
  <c r="AE1807" i="113" s="1"/>
  <c r="AI1807" i="113" s="1"/>
  <c r="AD1807" i="113"/>
  <c r="AH1807" i="113" s="1"/>
  <c r="AA995" i="113"/>
  <c r="AE995" i="113" s="1"/>
  <c r="AI995" i="113" s="1"/>
  <c r="AD995" i="113"/>
  <c r="AH995" i="113" s="1"/>
  <c r="AA690" i="113"/>
  <c r="AE690" i="113" s="1"/>
  <c r="AI690" i="113" s="1"/>
  <c r="AD690" i="113"/>
  <c r="AH690" i="113" s="1"/>
  <c r="AA2143" i="113"/>
  <c r="AD2143" i="113"/>
  <c r="AH2143" i="113" s="1"/>
  <c r="AA1248" i="113"/>
  <c r="AE1248" i="113" s="1"/>
  <c r="AI1248" i="113" s="1"/>
  <c r="AD1248" i="113"/>
  <c r="AH1248" i="113" s="1"/>
  <c r="AA2019" i="113"/>
  <c r="AD2019" i="113"/>
  <c r="AH2019" i="113" s="1"/>
  <c r="AA514" i="113"/>
  <c r="AD514" i="113"/>
  <c r="AH514" i="113" s="1"/>
  <c r="AA1302" i="113"/>
  <c r="AE1302" i="113" s="1"/>
  <c r="AI1302" i="113" s="1"/>
  <c r="AD1302" i="113"/>
  <c r="AH1302" i="113" s="1"/>
  <c r="AA701" i="113"/>
  <c r="AE701" i="113" s="1"/>
  <c r="AI701" i="113" s="1"/>
  <c r="AD701" i="113"/>
  <c r="AH701" i="113" s="1"/>
  <c r="AA1225" i="113"/>
  <c r="AE1225" i="113" s="1"/>
  <c r="AI1225" i="113" s="1"/>
  <c r="AD1225" i="113"/>
  <c r="AH1225" i="113" s="1"/>
  <c r="AA524" i="113"/>
  <c r="AE524" i="113" s="1"/>
  <c r="AI524" i="113" s="1"/>
  <c r="AD524" i="113"/>
  <c r="AH524" i="113" s="1"/>
  <c r="AA570" i="113"/>
  <c r="AD570" i="113"/>
  <c r="AH570" i="113" s="1"/>
  <c r="AA1146" i="113"/>
  <c r="AD1146" i="113"/>
  <c r="AH1146" i="113" s="1"/>
  <c r="AA394" i="113"/>
  <c r="AE394" i="113" s="1"/>
  <c r="AI394" i="113" s="1"/>
  <c r="AD394" i="113"/>
  <c r="AH394" i="113" s="1"/>
  <c r="AA974" i="113"/>
  <c r="AE974" i="113" s="1"/>
  <c r="AI974" i="113" s="1"/>
  <c r="AD974" i="113"/>
  <c r="AH974" i="113" s="1"/>
  <c r="AA2091" i="113"/>
  <c r="AE2091" i="113" s="1"/>
  <c r="AI2091" i="113" s="1"/>
  <c r="AD2091" i="113"/>
  <c r="AH2091" i="113" s="1"/>
  <c r="AA1443" i="113"/>
  <c r="AD1443" i="113"/>
  <c r="AH1443" i="113" s="1"/>
  <c r="AA220" i="113"/>
  <c r="AE220" i="113" s="1"/>
  <c r="AI220" i="113" s="1"/>
  <c r="AD220" i="113"/>
  <c r="AH220" i="113" s="1"/>
  <c r="AA2137" i="113"/>
  <c r="AE2137" i="113" s="1"/>
  <c r="AI2137" i="113" s="1"/>
  <c r="AD2137" i="113"/>
  <c r="AH2137" i="113" s="1"/>
  <c r="AA1677" i="113"/>
  <c r="AE1677" i="113" s="1"/>
  <c r="AI1677" i="113" s="1"/>
  <c r="AD1677" i="113"/>
  <c r="AH1677" i="113" s="1"/>
  <c r="AA291" i="113"/>
  <c r="AE291" i="113" s="1"/>
  <c r="AI291" i="113" s="1"/>
  <c r="AD291" i="113"/>
  <c r="AH291" i="113" s="1"/>
  <c r="AA623" i="113"/>
  <c r="AD623" i="113"/>
  <c r="AH623" i="113" s="1"/>
  <c r="AA363" i="113"/>
  <c r="AE363" i="113" s="1"/>
  <c r="AI363" i="113" s="1"/>
  <c r="AD363" i="113"/>
  <c r="AH363" i="113" s="1"/>
  <c r="AA349" i="113"/>
  <c r="AE349" i="113" s="1"/>
  <c r="AI349" i="113" s="1"/>
  <c r="AD349" i="113"/>
  <c r="AH349" i="113" s="1"/>
  <c r="AA1697" i="113"/>
  <c r="AD1697" i="113"/>
  <c r="AH1697" i="113" s="1"/>
  <c r="AA952" i="113"/>
  <c r="AE952" i="113" s="1"/>
  <c r="AI952" i="113" s="1"/>
  <c r="AD952" i="113"/>
  <c r="AH952" i="113" s="1"/>
  <c r="AA1886" i="113"/>
  <c r="AE1886" i="113" s="1"/>
  <c r="AI1886" i="113" s="1"/>
  <c r="AD1886" i="113"/>
  <c r="AH1886" i="113" s="1"/>
  <c r="AA1201" i="113"/>
  <c r="AD1201" i="113"/>
  <c r="AH1201" i="113" s="1"/>
  <c r="AA1422" i="113"/>
  <c r="AD1422" i="113"/>
  <c r="AH1422" i="113" s="1"/>
  <c r="AA2665" i="113"/>
  <c r="AD2665" i="113"/>
  <c r="AH2665" i="113" s="1"/>
  <c r="AA330" i="113"/>
  <c r="AE330" i="113" s="1"/>
  <c r="AI330" i="113" s="1"/>
  <c r="AD330" i="113"/>
  <c r="AH330" i="113" s="1"/>
  <c r="AA1247" i="113"/>
  <c r="AD1247" i="113"/>
  <c r="AH1247" i="113" s="1"/>
  <c r="AC1263" i="113"/>
  <c r="AG1263" i="113" s="1"/>
  <c r="AC907" i="113"/>
  <c r="AG907" i="113" s="1"/>
  <c r="AC1869" i="113"/>
  <c r="AG1869" i="113" s="1"/>
  <c r="AC573" i="113"/>
  <c r="AG573" i="113" s="1"/>
  <c r="AC2027" i="113"/>
  <c r="AG2027" i="113" s="1"/>
  <c r="AC115" i="113"/>
  <c r="AG115" i="113" s="1"/>
  <c r="AC2573" i="113"/>
  <c r="AG2573" i="113" s="1"/>
  <c r="AC1347" i="113"/>
  <c r="AG1347" i="113" s="1"/>
  <c r="AC1480" i="113"/>
  <c r="AG1480" i="113" s="1"/>
  <c r="AC608" i="113"/>
  <c r="AG608" i="113" s="1"/>
  <c r="AC1609" i="113"/>
  <c r="AG1609" i="113" s="1"/>
  <c r="AC470" i="113"/>
  <c r="AG470" i="113" s="1"/>
  <c r="AC118" i="113"/>
  <c r="AG118" i="113" s="1"/>
  <c r="AC1354" i="113"/>
  <c r="AG1354" i="113" s="1"/>
  <c r="AC1911" i="113"/>
  <c r="AG1911" i="113" s="1"/>
  <c r="AC1431" i="113"/>
  <c r="AG1431" i="113" s="1"/>
  <c r="AC505" i="113"/>
  <c r="AG505" i="113" s="1"/>
  <c r="AC1811" i="113"/>
  <c r="AG1811" i="113" s="1"/>
  <c r="AC858" i="113"/>
  <c r="AG858" i="113" s="1"/>
  <c r="AC2247" i="113"/>
  <c r="AG2247" i="113" s="1"/>
  <c r="AC498" i="113"/>
  <c r="AG498" i="113" s="1"/>
  <c r="AC1005" i="113"/>
  <c r="AG1005" i="113" s="1"/>
  <c r="AC743" i="113"/>
  <c r="AG743" i="113" s="1"/>
  <c r="AC1178" i="113"/>
  <c r="AG1178" i="113" s="1"/>
  <c r="AC1322" i="113"/>
  <c r="AG1322" i="113" s="1"/>
  <c r="AC1965" i="113"/>
  <c r="AG1965" i="113" s="1"/>
  <c r="AC1213" i="113"/>
  <c r="AG1213" i="113" s="1"/>
  <c r="AC1050" i="113"/>
  <c r="AG1050" i="113" s="1"/>
  <c r="AC2470" i="113"/>
  <c r="AG2470" i="113" s="1"/>
  <c r="AC467" i="113"/>
  <c r="AG467" i="113" s="1"/>
  <c r="AC2202" i="113"/>
  <c r="AG2202" i="113" s="1"/>
  <c r="AC1900" i="113"/>
  <c r="AG1900" i="113" s="1"/>
  <c r="AC1333" i="113"/>
  <c r="AG1333" i="113" s="1"/>
  <c r="AC2633" i="113"/>
  <c r="AG2633" i="113" s="1"/>
  <c r="AC2113" i="113"/>
  <c r="AG2113" i="113" s="1"/>
  <c r="AC509" i="113"/>
  <c r="AG509" i="113" s="1"/>
  <c r="AC1150" i="113"/>
  <c r="AG1150" i="113" s="1"/>
  <c r="AC1287" i="113"/>
  <c r="AG1287" i="113" s="1"/>
  <c r="AC1883" i="113"/>
  <c r="AG1883" i="113" s="1"/>
  <c r="AC1068" i="113"/>
  <c r="AG1068" i="113" s="1"/>
  <c r="AC2101" i="113"/>
  <c r="AG2101" i="113" s="1"/>
  <c r="AC1613" i="113"/>
  <c r="AG1613" i="113" s="1"/>
  <c r="AC830" i="113"/>
  <c r="AG830" i="113" s="1"/>
  <c r="AC2492" i="113"/>
  <c r="AG2492" i="113" s="1"/>
  <c r="AC1522" i="113"/>
  <c r="AG1522" i="113" s="1"/>
  <c r="AA951" i="113"/>
  <c r="AD951" i="113"/>
  <c r="AH951" i="113" s="1"/>
  <c r="AA474" i="113"/>
  <c r="AE474" i="113" s="1"/>
  <c r="AI474" i="113" s="1"/>
  <c r="AD474" i="113"/>
  <c r="AH474" i="113" s="1"/>
  <c r="AA1482" i="113"/>
  <c r="AD1482" i="113"/>
  <c r="AH1482" i="113" s="1"/>
  <c r="AA1540" i="113"/>
  <c r="AE1540" i="113" s="1"/>
  <c r="AI1540" i="113" s="1"/>
  <c r="AD1540" i="113"/>
  <c r="AH1540" i="113" s="1"/>
  <c r="AA857" i="113"/>
  <c r="AE857" i="113" s="1"/>
  <c r="AI857" i="113" s="1"/>
  <c r="AD857" i="113"/>
  <c r="AH857" i="113" s="1"/>
  <c r="AA1349" i="113"/>
  <c r="AD1349" i="113"/>
  <c r="AH1349" i="113" s="1"/>
  <c r="AA2253" i="113"/>
  <c r="AD2253" i="113"/>
  <c r="AH2253" i="113" s="1"/>
  <c r="AA1471" i="113"/>
  <c r="AD1471" i="113"/>
  <c r="AH1471" i="113" s="1"/>
  <c r="AA1222" i="113"/>
  <c r="AD1222" i="113"/>
  <c r="AH1222" i="113" s="1"/>
  <c r="AA114" i="113"/>
  <c r="AE114" i="113" s="1"/>
  <c r="AI114" i="113" s="1"/>
  <c r="AD114" i="113"/>
  <c r="AH114" i="113" s="1"/>
  <c r="AA885" i="113"/>
  <c r="AE885" i="113" s="1"/>
  <c r="AI885" i="113" s="1"/>
  <c r="AD885" i="113"/>
  <c r="AH885" i="113" s="1"/>
  <c r="AA538" i="113"/>
  <c r="AE538" i="113" s="1"/>
  <c r="AI538" i="113" s="1"/>
  <c r="AD538" i="113"/>
  <c r="AH538" i="113" s="1"/>
  <c r="AA183" i="113"/>
  <c r="AE183" i="113" s="1"/>
  <c r="AI183" i="113" s="1"/>
  <c r="AD183" i="113"/>
  <c r="AH183" i="113" s="1"/>
  <c r="AA1800" i="113"/>
  <c r="AE1800" i="113" s="1"/>
  <c r="AI1800" i="113" s="1"/>
  <c r="AD1800" i="113"/>
  <c r="AH1800" i="113" s="1"/>
  <c r="AA2415" i="113"/>
  <c r="AE2415" i="113" s="1"/>
  <c r="AI2415" i="113" s="1"/>
  <c r="AD2415" i="113"/>
  <c r="AH2415" i="113" s="1"/>
  <c r="AA1500" i="113"/>
  <c r="AE1500" i="113" s="1"/>
  <c r="AI1500" i="113" s="1"/>
  <c r="AD1500" i="113"/>
  <c r="AH1500" i="113" s="1"/>
  <c r="AA1804" i="113"/>
  <c r="AE1804" i="113" s="1"/>
  <c r="AI1804" i="113" s="1"/>
  <c r="AD1804" i="113"/>
  <c r="AH1804" i="113" s="1"/>
  <c r="AA1063" i="113"/>
  <c r="AD1063" i="113"/>
  <c r="AH1063" i="113" s="1"/>
  <c r="AA617" i="113"/>
  <c r="AD617" i="113"/>
  <c r="AH617" i="113" s="1"/>
  <c r="AA963" i="113"/>
  <c r="AE963" i="113" s="1"/>
  <c r="AI963" i="113" s="1"/>
  <c r="AD963" i="113"/>
  <c r="AH963" i="113" s="1"/>
  <c r="AA801" i="113"/>
  <c r="AE801" i="113" s="1"/>
  <c r="AI801" i="113" s="1"/>
  <c r="AD801" i="113"/>
  <c r="AH801" i="113" s="1"/>
  <c r="AA852" i="113"/>
  <c r="AD852" i="113"/>
  <c r="AH852" i="113" s="1"/>
  <c r="AA1434" i="113"/>
  <c r="AD1434" i="113"/>
  <c r="AH1434" i="113" s="1"/>
  <c r="AA1394" i="113"/>
  <c r="AD1394" i="113"/>
  <c r="AH1394" i="113" s="1"/>
  <c r="AA53" i="113"/>
  <c r="AD53" i="113"/>
  <c r="AH53" i="113" s="1"/>
  <c r="AA1615" i="113"/>
  <c r="AD1615" i="113"/>
  <c r="AH1615" i="113" s="1"/>
  <c r="AA2165" i="113"/>
  <c r="AE2165" i="113" s="1"/>
  <c r="AI2165" i="113" s="1"/>
  <c r="AD2165" i="113"/>
  <c r="AH2165" i="113" s="1"/>
  <c r="AA354" i="113"/>
  <c r="AE354" i="113" s="1"/>
  <c r="AI354" i="113" s="1"/>
  <c r="AD354" i="113"/>
  <c r="AH354" i="113" s="1"/>
  <c r="AA2273" i="113"/>
  <c r="AE2273" i="113" s="1"/>
  <c r="AI2273" i="113" s="1"/>
  <c r="AD2273" i="113"/>
  <c r="AH2273" i="113" s="1"/>
  <c r="AA457" i="113"/>
  <c r="AE457" i="113" s="1"/>
  <c r="AI457" i="113" s="1"/>
  <c r="AD457" i="113"/>
  <c r="AH457" i="113" s="1"/>
  <c r="AA334" i="113"/>
  <c r="AE334" i="113" s="1"/>
  <c r="AI334" i="113" s="1"/>
  <c r="AD334" i="113"/>
  <c r="AH334" i="113" s="1"/>
  <c r="AA755" i="113"/>
  <c r="AD755" i="113"/>
  <c r="AH755" i="113" s="1"/>
  <c r="AA916" i="113"/>
  <c r="AD916" i="113"/>
  <c r="AH916" i="113" s="1"/>
  <c r="AA972" i="113"/>
  <c r="AD972" i="113"/>
  <c r="AH972" i="113" s="1"/>
  <c r="AA113" i="113"/>
  <c r="AE113" i="113" s="1"/>
  <c r="AI113" i="113" s="1"/>
  <c r="AD113" i="113"/>
  <c r="AH113" i="113" s="1"/>
  <c r="AA1953" i="113"/>
  <c r="AD1953" i="113"/>
  <c r="AH1953" i="113" s="1"/>
  <c r="AA695" i="113"/>
  <c r="AE695" i="113" s="1"/>
  <c r="AI695" i="113" s="1"/>
  <c r="AD695" i="113"/>
  <c r="AH695" i="113" s="1"/>
  <c r="AA632" i="113"/>
  <c r="AE632" i="113" s="1"/>
  <c r="AI632" i="113" s="1"/>
  <c r="AD632" i="113"/>
  <c r="AH632" i="113" s="1"/>
  <c r="AA76" i="113"/>
  <c r="AE76" i="113" s="1"/>
  <c r="AI76" i="113" s="1"/>
  <c r="AD76" i="113"/>
  <c r="AH76" i="113" s="1"/>
  <c r="AA328" i="113"/>
  <c r="AD328" i="113"/>
  <c r="AH328" i="113" s="1"/>
  <c r="AA491" i="113"/>
  <c r="AD491" i="113"/>
  <c r="AH491" i="113" s="1"/>
  <c r="AA422" i="113"/>
  <c r="AE422" i="113" s="1"/>
  <c r="AI422" i="113" s="1"/>
  <c r="AD422" i="113"/>
  <c r="AH422" i="113" s="1"/>
  <c r="AA1135" i="113"/>
  <c r="AE1135" i="113" s="1"/>
  <c r="AI1135" i="113" s="1"/>
  <c r="AD1135" i="113"/>
  <c r="AH1135" i="113" s="1"/>
  <c r="AA756" i="113"/>
  <c r="AD756" i="113"/>
  <c r="AH756" i="113" s="1"/>
  <c r="AA2011" i="113"/>
  <c r="AE2011" i="113" s="1"/>
  <c r="AI2011" i="113" s="1"/>
  <c r="AD2011" i="113"/>
  <c r="AH2011" i="113" s="1"/>
  <c r="AA1486" i="113"/>
  <c r="AE1486" i="113" s="1"/>
  <c r="AI1486" i="113" s="1"/>
  <c r="AD1486" i="113"/>
  <c r="AH1486" i="113" s="1"/>
  <c r="AA905" i="113"/>
  <c r="AE905" i="113" s="1"/>
  <c r="AI905" i="113" s="1"/>
  <c r="AD905" i="113"/>
  <c r="AH905" i="113" s="1"/>
  <c r="AA1628" i="113"/>
  <c r="AE1628" i="113" s="1"/>
  <c r="AI1628" i="113" s="1"/>
  <c r="AD1628" i="113"/>
  <c r="AH1628" i="113" s="1"/>
  <c r="AA1835" i="113"/>
  <c r="AE1835" i="113" s="1"/>
  <c r="AI1835" i="113" s="1"/>
  <c r="AD1835" i="113"/>
  <c r="AH1835" i="113" s="1"/>
  <c r="AA1253" i="113"/>
  <c r="AE1253" i="113" s="1"/>
  <c r="AI1253" i="113" s="1"/>
  <c r="AD1253" i="113"/>
  <c r="AH1253" i="113" s="1"/>
  <c r="AA1962" i="113"/>
  <c r="AD1962" i="113"/>
  <c r="AH1962" i="113" s="1"/>
  <c r="AA2309" i="113"/>
  <c r="AD2309" i="113"/>
  <c r="AH2309" i="113" s="1"/>
  <c r="AA311" i="113"/>
  <c r="AE311" i="113" s="1"/>
  <c r="AI311" i="113" s="1"/>
  <c r="AD311" i="113"/>
  <c r="AH311" i="113" s="1"/>
  <c r="AA1618" i="113"/>
  <c r="AD1618" i="113"/>
  <c r="AH1618" i="113" s="1"/>
  <c r="AA1905" i="113"/>
  <c r="AE1905" i="113" s="1"/>
  <c r="AI1905" i="113" s="1"/>
  <c r="AD1905" i="113"/>
  <c r="AH1905" i="113" s="1"/>
  <c r="AA1590" i="113"/>
  <c r="AD1590" i="113"/>
  <c r="AH1590" i="113" s="1"/>
  <c r="AA293" i="113"/>
  <c r="AE293" i="113" s="1"/>
  <c r="AI293" i="113" s="1"/>
  <c r="AD293" i="113"/>
  <c r="AH293" i="113" s="1"/>
  <c r="AC2314" i="113"/>
  <c r="AG2314" i="113" s="1"/>
  <c r="AC663" i="113"/>
  <c r="AG663" i="113" s="1"/>
  <c r="AA637" i="113"/>
  <c r="AD637" i="113"/>
  <c r="AH637" i="113" s="1"/>
  <c r="AA1476" i="113"/>
  <c r="AD1476" i="113"/>
  <c r="AH1476" i="113" s="1"/>
  <c r="AA18" i="113"/>
  <c r="AE18" i="113" s="1"/>
  <c r="AI18" i="113" s="1"/>
  <c r="AD18" i="113"/>
  <c r="AH18" i="113" s="1"/>
  <c r="AA766" i="113"/>
  <c r="AE766" i="113" s="1"/>
  <c r="AI766" i="113" s="1"/>
  <c r="AD766" i="113"/>
  <c r="AH766" i="113" s="1"/>
  <c r="AA2042" i="113"/>
  <c r="AE2042" i="113" s="1"/>
  <c r="AI2042" i="113" s="1"/>
  <c r="AD2042" i="113"/>
  <c r="AH2042" i="113" s="1"/>
  <c r="AA1881" i="113"/>
  <c r="AE1881" i="113" s="1"/>
  <c r="AI1881" i="113" s="1"/>
  <c r="AD1881" i="113"/>
  <c r="AH1881" i="113" s="1"/>
  <c r="AC433" i="113"/>
  <c r="AG433" i="113" s="1"/>
  <c r="AC2488" i="113"/>
  <c r="AG2488" i="113" s="1"/>
  <c r="AC580" i="113"/>
  <c r="AG580" i="113" s="1"/>
  <c r="AC2037" i="113"/>
  <c r="AG2037" i="113" s="1"/>
  <c r="AC143" i="113"/>
  <c r="AG143" i="113" s="1"/>
  <c r="AC1867" i="113"/>
  <c r="AG1867" i="113" s="1"/>
  <c r="AC2527" i="113"/>
  <c r="AG2527" i="113" s="1"/>
  <c r="AC332" i="113"/>
  <c r="AG332" i="113" s="1"/>
  <c r="AC1592" i="113"/>
  <c r="AG1592" i="113" s="1"/>
  <c r="AC1760" i="113"/>
  <c r="AG1760" i="113" s="1"/>
  <c r="AC2319" i="113"/>
  <c r="AG2319" i="113" s="1"/>
  <c r="AC568" i="113"/>
  <c r="AG568" i="113" s="1"/>
  <c r="AC1557" i="113"/>
  <c r="AG1557" i="113" s="1"/>
  <c r="AC2326" i="113"/>
  <c r="AG2326" i="113" s="1"/>
  <c r="AC1672" i="113"/>
  <c r="AG1672" i="113" s="1"/>
  <c r="AC2433" i="113"/>
  <c r="AG2433" i="113" s="1"/>
  <c r="AC2270" i="113"/>
  <c r="AG2270" i="113" s="1"/>
  <c r="AC1539" i="113"/>
  <c r="AG1539" i="113" s="1"/>
  <c r="AC2631" i="113"/>
  <c r="AG2631" i="113" s="1"/>
  <c r="AC2162" i="113"/>
  <c r="AG2162" i="113" s="1"/>
  <c r="AC1368" i="113"/>
  <c r="AG1368" i="113" s="1"/>
  <c r="AC1235" i="113"/>
  <c r="AG1235" i="113" s="1"/>
  <c r="AC587" i="113"/>
  <c r="AG587" i="113" s="1"/>
  <c r="AC2287" i="113"/>
  <c r="AG2287" i="113" s="1"/>
  <c r="AC2603" i="113"/>
  <c r="AG2603" i="113" s="1"/>
  <c r="AC1902" i="113"/>
  <c r="AG1902" i="113" s="1"/>
  <c r="AC2373" i="113"/>
  <c r="AG2373" i="113" s="1"/>
  <c r="AC2324" i="113"/>
  <c r="AG2324" i="113" s="1"/>
  <c r="AC1707" i="113"/>
  <c r="AG1707" i="113" s="1"/>
  <c r="AC407" i="113"/>
  <c r="AG407" i="113" s="1"/>
  <c r="AA1085" i="113"/>
  <c r="AD1085" i="113"/>
  <c r="AH1085" i="113" s="1"/>
  <c r="AA1012" i="113"/>
  <c r="AE1012" i="113" s="1"/>
  <c r="AI1012" i="113" s="1"/>
  <c r="AD1012" i="113"/>
  <c r="AH1012" i="113" s="1"/>
  <c r="AA1143" i="113"/>
  <c r="AE1143" i="113" s="1"/>
  <c r="AI1143" i="113" s="1"/>
  <c r="AD1143" i="113"/>
  <c r="AH1143" i="113" s="1"/>
  <c r="AA1889" i="113"/>
  <c r="AE1889" i="113" s="1"/>
  <c r="AI1889" i="113" s="1"/>
  <c r="AD1889" i="113"/>
  <c r="AH1889" i="113" s="1"/>
  <c r="AA420" i="113"/>
  <c r="AD420" i="113"/>
  <c r="AH420" i="113" s="1"/>
  <c r="AA2015" i="113"/>
  <c r="AD2015" i="113"/>
  <c r="AH2015" i="113" s="1"/>
  <c r="AA1709" i="113"/>
  <c r="AD1709" i="113"/>
  <c r="AH1709" i="113" s="1"/>
  <c r="AA2473" i="113"/>
  <c r="AD2473" i="113"/>
  <c r="AH2473" i="113" s="1"/>
  <c r="AA2173" i="113"/>
  <c r="AD2173" i="113"/>
  <c r="AH2173" i="113" s="1"/>
  <c r="AA1603" i="113"/>
  <c r="AE1603" i="113" s="1"/>
  <c r="AI1603" i="113" s="1"/>
  <c r="AD1603" i="113"/>
  <c r="AH1603" i="113" s="1"/>
  <c r="AA1285" i="113"/>
  <c r="AE1285" i="113" s="1"/>
  <c r="AI1285" i="113" s="1"/>
  <c r="AD1285" i="113"/>
  <c r="AH1285" i="113" s="1"/>
  <c r="AA2083" i="113"/>
  <c r="AD2083" i="113"/>
  <c r="AH2083" i="113" s="1"/>
  <c r="AA1053" i="113"/>
  <c r="AE1053" i="113" s="1"/>
  <c r="AI1053" i="113" s="1"/>
  <c r="AD1053" i="113"/>
  <c r="AH1053" i="113" s="1"/>
  <c r="AA190" i="113"/>
  <c r="AE190" i="113" s="1"/>
  <c r="AI190" i="113" s="1"/>
  <c r="AD190" i="113"/>
  <c r="AH190" i="113" s="1"/>
  <c r="AA1328" i="113"/>
  <c r="AD1328" i="113"/>
  <c r="AH1328" i="113" s="1"/>
  <c r="AA763" i="113"/>
  <c r="AE763" i="113" s="1"/>
  <c r="AI763" i="113" s="1"/>
  <c r="AD763" i="113"/>
  <c r="AH763" i="113" s="1"/>
  <c r="AA82" i="113"/>
  <c r="AD82" i="113"/>
  <c r="AH82" i="113" s="1"/>
  <c r="AA872" i="113"/>
  <c r="AE872" i="113" s="1"/>
  <c r="AI872" i="113" s="1"/>
  <c r="AD872" i="113"/>
  <c r="AH872" i="113" s="1"/>
  <c r="AA714" i="113"/>
  <c r="AE714" i="113" s="1"/>
  <c r="AI714" i="113" s="1"/>
  <c r="AD714" i="113"/>
  <c r="AH714" i="113" s="1"/>
  <c r="AA789" i="113"/>
  <c r="AD789" i="113"/>
  <c r="AH789" i="113" s="1"/>
  <c r="AA1372" i="113"/>
  <c r="AE1372" i="113" s="1"/>
  <c r="AI1372" i="113" s="1"/>
  <c r="AD1372" i="113"/>
  <c r="AH1372" i="113" s="1"/>
  <c r="AA585" i="113"/>
  <c r="AE585" i="113" s="1"/>
  <c r="AI585" i="113" s="1"/>
  <c r="AD585" i="113"/>
  <c r="AH585" i="113" s="1"/>
  <c r="AA703" i="113"/>
  <c r="AD703" i="113"/>
  <c r="AH703" i="113" s="1"/>
  <c r="AA2531" i="113"/>
  <c r="AE2531" i="113" s="1"/>
  <c r="AI2531" i="113" s="1"/>
  <c r="AD2531" i="113"/>
  <c r="AH2531" i="113" s="1"/>
  <c r="AA1734" i="113"/>
  <c r="AD1734" i="113"/>
  <c r="AH1734" i="113" s="1"/>
  <c r="AA1412" i="113"/>
  <c r="AD1412" i="113"/>
  <c r="AH1412" i="113" s="1"/>
  <c r="AA1638" i="113"/>
  <c r="AE1638" i="113" s="1"/>
  <c r="AI1638" i="113" s="1"/>
  <c r="AD1638" i="113"/>
  <c r="AH1638" i="113" s="1"/>
  <c r="AA1157" i="113"/>
  <c r="AE1157" i="113" s="1"/>
  <c r="AI1157" i="113" s="1"/>
  <c r="AD1157" i="113"/>
  <c r="AH1157" i="113" s="1"/>
  <c r="AA472" i="113"/>
  <c r="AD472" i="113"/>
  <c r="AH472" i="113" s="1"/>
  <c r="AA584" i="113"/>
  <c r="AD584" i="113"/>
  <c r="AH584" i="113" s="1"/>
  <c r="AA1546" i="113"/>
  <c r="AD1546" i="113"/>
  <c r="AH1546" i="113" s="1"/>
  <c r="AA2383" i="113"/>
  <c r="AE2383" i="113" s="1"/>
  <c r="AI2383" i="113" s="1"/>
  <c r="AD2383" i="113"/>
  <c r="AH2383" i="113" s="1"/>
  <c r="AA992" i="113"/>
  <c r="AE992" i="113" s="1"/>
  <c r="AI992" i="113" s="1"/>
  <c r="AD992" i="113"/>
  <c r="AH992" i="113" s="1"/>
  <c r="AA1909" i="113"/>
  <c r="AD1909" i="113"/>
  <c r="AH1909" i="113" s="1"/>
  <c r="AA88" i="113"/>
  <c r="AD88" i="113"/>
  <c r="AH88" i="113" s="1"/>
  <c r="AA39" i="113"/>
  <c r="AD39" i="113"/>
  <c r="AH39" i="113" s="1"/>
  <c r="AA986" i="113"/>
  <c r="AD986" i="113"/>
  <c r="AH986" i="113" s="1"/>
  <c r="AA778" i="113"/>
  <c r="AE778" i="113" s="1"/>
  <c r="AI778" i="113" s="1"/>
  <c r="AD778" i="113"/>
  <c r="AH778" i="113" s="1"/>
  <c r="AA1722" i="113"/>
  <c r="AD1722" i="113"/>
  <c r="AH1722" i="113" s="1"/>
  <c r="AA458" i="113"/>
  <c r="AD458" i="113"/>
  <c r="AH458" i="113" s="1"/>
  <c r="AA2452" i="113"/>
  <c r="AE2452" i="113" s="1"/>
  <c r="AI2452" i="113" s="1"/>
  <c r="AD2452" i="113"/>
  <c r="AH2452" i="113" s="1"/>
  <c r="AA1295" i="113"/>
  <c r="AE1295" i="113" s="1"/>
  <c r="AI1295" i="113" s="1"/>
  <c r="AD1295" i="113"/>
  <c r="AH1295" i="113" s="1"/>
  <c r="AA1208" i="113"/>
  <c r="AD1208" i="113"/>
  <c r="AH1208" i="113" s="1"/>
  <c r="AA1346" i="113"/>
  <c r="AE1346" i="113" s="1"/>
  <c r="AI1346" i="113" s="1"/>
  <c r="AD1346" i="113"/>
  <c r="AH1346" i="113" s="1"/>
  <c r="AA651" i="113"/>
  <c r="AE651" i="113" s="1"/>
  <c r="AI651" i="113" s="1"/>
  <c r="AD651" i="113"/>
  <c r="AH651" i="113" s="1"/>
  <c r="AA811" i="113"/>
  <c r="AD811" i="113"/>
  <c r="AH811" i="113" s="1"/>
  <c r="AA262" i="113"/>
  <c r="AE262" i="113" s="1"/>
  <c r="AI262" i="113" s="1"/>
  <c r="AD262" i="113"/>
  <c r="AH262" i="113" s="1"/>
  <c r="AA555" i="113"/>
  <c r="AE555" i="113" s="1"/>
  <c r="AI555" i="113" s="1"/>
  <c r="AD555" i="113"/>
  <c r="AH555" i="113" s="1"/>
  <c r="AA513" i="113"/>
  <c r="AE513" i="113" s="1"/>
  <c r="AI513" i="113" s="1"/>
  <c r="AD513" i="113"/>
  <c r="AH513" i="113" s="1"/>
  <c r="AA460" i="113"/>
  <c r="AE460" i="113" s="1"/>
  <c r="AI460" i="113" s="1"/>
  <c r="AD460" i="113"/>
  <c r="AH460" i="113" s="1"/>
  <c r="AA1061" i="113"/>
  <c r="AD1061" i="113"/>
  <c r="AH1061" i="113" s="1"/>
  <c r="AA653" i="113"/>
  <c r="AD653" i="113"/>
  <c r="AH653" i="113" s="1"/>
  <c r="AA244" i="113"/>
  <c r="AE244" i="113" s="1"/>
  <c r="AI244" i="113" s="1"/>
  <c r="AD244" i="113"/>
  <c r="AH244" i="113" s="1"/>
  <c r="AA768" i="113"/>
  <c r="AE768" i="113" s="1"/>
  <c r="AI768" i="113" s="1"/>
  <c r="AD768" i="113"/>
  <c r="AH768" i="113" s="1"/>
  <c r="AA80" i="113"/>
  <c r="AE80" i="113" s="1"/>
  <c r="AI80" i="113" s="1"/>
  <c r="AD80" i="113"/>
  <c r="AH80" i="113" s="1"/>
  <c r="AA21" i="113"/>
  <c r="AD21" i="113"/>
  <c r="AH21" i="113" s="1"/>
  <c r="AA199" i="113"/>
  <c r="AE199" i="113" s="1"/>
  <c r="AI199" i="113" s="1"/>
  <c r="AD199" i="113"/>
  <c r="AH199" i="113" s="1"/>
  <c r="AA139" i="113"/>
  <c r="AE139" i="113" s="1"/>
  <c r="AI139" i="113" s="1"/>
  <c r="AD139" i="113"/>
  <c r="AH139" i="113" s="1"/>
  <c r="AC2002" i="113"/>
  <c r="AG2002" i="113" s="1"/>
  <c r="AC1350" i="113"/>
  <c r="AG1350" i="113" s="1"/>
  <c r="AA666" i="113"/>
  <c r="AE666" i="113" s="1"/>
  <c r="AI666" i="113" s="1"/>
  <c r="AD666" i="113"/>
  <c r="AH666" i="113" s="1"/>
  <c r="AC607" i="113"/>
  <c r="AG607" i="113" s="1"/>
  <c r="AC2596" i="113"/>
  <c r="AG2596" i="113" s="1"/>
  <c r="AC2502" i="113"/>
  <c r="AG2502" i="113" s="1"/>
  <c r="AC552" i="113"/>
  <c r="AG552" i="113" s="1"/>
  <c r="AC1469" i="113"/>
  <c r="AG1469" i="113" s="1"/>
  <c r="AC1764" i="113"/>
  <c r="AG1764" i="113" s="1"/>
  <c r="AC1967" i="113"/>
  <c r="AG1967" i="113" s="1"/>
  <c r="AC586" i="113"/>
  <c r="AG586" i="113" s="1"/>
  <c r="AC2155" i="113"/>
  <c r="AG2155" i="113" s="1"/>
  <c r="AC1371" i="113"/>
  <c r="AG1371" i="113" s="1"/>
  <c r="AC1937" i="113"/>
  <c r="AG1937" i="113" s="1"/>
  <c r="AC2483" i="113"/>
  <c r="AG2483" i="113" s="1"/>
  <c r="AC2178" i="113"/>
  <c r="AG2178" i="113" s="1"/>
  <c r="AC2667" i="113"/>
  <c r="AG2667" i="113" s="1"/>
  <c r="AC1180" i="113"/>
  <c r="AG1180" i="113" s="1"/>
  <c r="AC1660" i="113"/>
  <c r="AG1660" i="113" s="1"/>
  <c r="AC1308" i="113"/>
  <c r="AG1308" i="113" s="1"/>
  <c r="AC1326" i="113"/>
  <c r="AG1326" i="113" s="1"/>
  <c r="AA676" i="113"/>
  <c r="AE676" i="113" s="1"/>
  <c r="AI676" i="113" s="1"/>
  <c r="AD676" i="113"/>
  <c r="AH676" i="113" s="1"/>
  <c r="AA160" i="113"/>
  <c r="AE160" i="113" s="1"/>
  <c r="AI160" i="113" s="1"/>
  <c r="AD160" i="113"/>
  <c r="AH160" i="113" s="1"/>
  <c r="AA2081" i="113"/>
  <c r="AE2081" i="113" s="1"/>
  <c r="AI2081" i="113" s="1"/>
  <c r="AD2081" i="113"/>
  <c r="AH2081" i="113" s="1"/>
  <c r="AA1714" i="113"/>
  <c r="AE1714" i="113" s="1"/>
  <c r="AI1714" i="113" s="1"/>
  <c r="AD1714" i="113"/>
  <c r="AH1714" i="113" s="1"/>
  <c r="AA1166" i="113"/>
  <c r="AD1166" i="113"/>
  <c r="AH1166" i="113" s="1"/>
  <c r="AA1464" i="113"/>
  <c r="AD1464" i="113"/>
  <c r="AH1464" i="113" s="1"/>
  <c r="AA1808" i="113"/>
  <c r="AD1808" i="113"/>
  <c r="AH1808" i="113" s="1"/>
  <c r="AA1511" i="113"/>
  <c r="AE1511" i="113" s="1"/>
  <c r="AI1511" i="113" s="1"/>
  <c r="AD1511" i="113"/>
  <c r="AH1511" i="113" s="1"/>
  <c r="AA1512" i="113"/>
  <c r="AE1512" i="113" s="1"/>
  <c r="AI1512" i="113" s="1"/>
  <c r="AD1512" i="113"/>
  <c r="AH1512" i="113" s="1"/>
  <c r="AA68" i="113"/>
  <c r="AE68" i="113" s="1"/>
  <c r="AI68" i="113" s="1"/>
  <c r="AD68" i="113"/>
  <c r="AH68" i="113" s="1"/>
  <c r="AA561" i="113"/>
  <c r="AD561" i="113"/>
  <c r="AH561" i="113" s="1"/>
  <c r="AA286" i="113"/>
  <c r="AE286" i="113" s="1"/>
  <c r="AI286" i="113" s="1"/>
  <c r="AD286" i="113"/>
  <c r="AH286" i="113" s="1"/>
  <c r="AA412" i="113"/>
  <c r="AD412" i="113"/>
  <c r="AH412" i="113" s="1"/>
  <c r="AA1017" i="113"/>
  <c r="AD1017" i="113"/>
  <c r="AH1017" i="113" s="1"/>
  <c r="AA387" i="113"/>
  <c r="AE387" i="113" s="1"/>
  <c r="AI387" i="113" s="1"/>
  <c r="AD387" i="113"/>
  <c r="AH387" i="113" s="1"/>
  <c r="AA934" i="113"/>
  <c r="AE934" i="113" s="1"/>
  <c r="AI934" i="113" s="1"/>
  <c r="AD934" i="113"/>
  <c r="AH934" i="113" s="1"/>
  <c r="AA1470" i="113"/>
  <c r="AE1470" i="113" s="1"/>
  <c r="AI1470" i="113" s="1"/>
  <c r="AD1470" i="113"/>
  <c r="AH1470" i="113" s="1"/>
  <c r="AA1853" i="113"/>
  <c r="AE1853" i="113" s="1"/>
  <c r="AI1853" i="113" s="1"/>
  <c r="AD1853" i="113"/>
  <c r="AH1853" i="113" s="1"/>
  <c r="AA553" i="113"/>
  <c r="AD553" i="113"/>
  <c r="AH553" i="113" s="1"/>
  <c r="AA790" i="113"/>
  <c r="AD790" i="113"/>
  <c r="AH790" i="113" s="1"/>
  <c r="AA1366" i="113"/>
  <c r="AD1366" i="113"/>
  <c r="AH1366" i="113" s="1"/>
  <c r="AA406" i="113"/>
  <c r="AD406" i="113"/>
  <c r="AH406" i="113" s="1"/>
  <c r="AA1790" i="113"/>
  <c r="AD1790" i="113"/>
  <c r="AH1790" i="113" s="1"/>
  <c r="AA1360" i="113"/>
  <c r="AE1360" i="113" s="1"/>
  <c r="AI1360" i="113" s="1"/>
  <c r="AD1360" i="113"/>
  <c r="AH1360" i="113" s="1"/>
  <c r="AA780" i="113"/>
  <c r="AE780" i="113" s="1"/>
  <c r="AI780" i="113" s="1"/>
  <c r="AD780" i="113"/>
  <c r="AH780" i="113" s="1"/>
  <c r="AA699" i="113"/>
  <c r="AD699" i="113"/>
  <c r="AH699" i="113" s="1"/>
  <c r="AA1123" i="113"/>
  <c r="AE1123" i="113" s="1"/>
  <c r="AI1123" i="113" s="1"/>
  <c r="AD1123" i="113"/>
  <c r="AH1123" i="113" s="1"/>
  <c r="AA1822" i="113"/>
  <c r="AD1822" i="113"/>
  <c r="AH1822" i="113" s="1"/>
  <c r="AA93" i="113"/>
  <c r="AE93" i="113" s="1"/>
  <c r="AI93" i="113" s="1"/>
  <c r="AD93" i="113"/>
  <c r="AH93" i="113" s="1"/>
  <c r="AA63" i="113"/>
  <c r="AD63" i="113"/>
  <c r="AH63" i="113" s="1"/>
  <c r="AA2128" i="113"/>
  <c r="AE2128" i="113" s="1"/>
  <c r="AI2128" i="113" s="1"/>
  <c r="AD2128" i="113"/>
  <c r="AH2128" i="113" s="1"/>
  <c r="AA1635" i="113"/>
  <c r="AE1635" i="113" s="1"/>
  <c r="AI1635" i="113" s="1"/>
  <c r="AD1635" i="113"/>
  <c r="AH1635" i="113" s="1"/>
  <c r="AA1105" i="113"/>
  <c r="AD1105" i="113"/>
  <c r="AH1105" i="113" s="1"/>
  <c r="AA2179" i="113"/>
  <c r="AE2179" i="113" s="1"/>
  <c r="AI2179" i="113" s="1"/>
  <c r="AD2179" i="113"/>
  <c r="AH2179" i="113" s="1"/>
  <c r="AA878" i="113"/>
  <c r="AE878" i="113" s="1"/>
  <c r="AI878" i="113" s="1"/>
  <c r="AD878" i="113"/>
  <c r="AH878" i="113" s="1"/>
  <c r="AA134" i="113"/>
  <c r="AD134" i="113"/>
  <c r="AH134" i="113" s="1"/>
  <c r="AA1856" i="113"/>
  <c r="AE1856" i="113" s="1"/>
  <c r="AI1856" i="113" s="1"/>
  <c r="AD1856" i="113"/>
  <c r="AH1856" i="113" s="1"/>
  <c r="AA2397" i="113"/>
  <c r="AD2397" i="113"/>
  <c r="AH2397" i="113" s="1"/>
  <c r="AA1199" i="113"/>
  <c r="AE1199" i="113" s="1"/>
  <c r="AI1199" i="113" s="1"/>
  <c r="AD1199" i="113"/>
  <c r="AH1199" i="113" s="1"/>
  <c r="AA158" i="113"/>
  <c r="AE158" i="113" s="1"/>
  <c r="AI158" i="113" s="1"/>
  <c r="AD158" i="113"/>
  <c r="AH158" i="113" s="1"/>
  <c r="AA1517" i="113"/>
  <c r="AD1517" i="113"/>
  <c r="AH1517" i="113" s="1"/>
  <c r="AA2427" i="113"/>
  <c r="AE2427" i="113" s="1"/>
  <c r="AI2427" i="113" s="1"/>
  <c r="AD2427" i="113"/>
  <c r="AH2427" i="113" s="1"/>
  <c r="AA996" i="113"/>
  <c r="AE996" i="113" s="1"/>
  <c r="AI996" i="113" s="1"/>
  <c r="AD996" i="113"/>
  <c r="AH996" i="113" s="1"/>
  <c r="AA2010" i="113"/>
  <c r="AE2010" i="113" s="1"/>
  <c r="AI2010" i="113" s="1"/>
  <c r="AD2010" i="113"/>
  <c r="AH2010" i="113" s="1"/>
  <c r="AA327" i="113"/>
  <c r="AD327" i="113"/>
  <c r="AH327" i="113" s="1"/>
  <c r="AA1514" i="113"/>
  <c r="AE1514" i="113" s="1"/>
  <c r="AI1514" i="113" s="1"/>
  <c r="AD1514" i="113"/>
  <c r="AH1514" i="113" s="1"/>
  <c r="AA1501" i="113"/>
  <c r="AD1501" i="113"/>
  <c r="AH1501" i="113" s="1"/>
  <c r="AA655" i="113"/>
  <c r="AE655" i="113" s="1"/>
  <c r="AI655" i="113" s="1"/>
  <c r="AD655" i="113"/>
  <c r="AH655" i="113" s="1"/>
  <c r="AA641" i="113"/>
  <c r="AE641" i="113" s="1"/>
  <c r="AI641" i="113" s="1"/>
  <c r="AD641" i="113"/>
  <c r="AH641" i="113" s="1"/>
  <c r="AA2108" i="113"/>
  <c r="AD2108" i="113"/>
  <c r="AH2108" i="113" s="1"/>
  <c r="AA1065" i="113"/>
  <c r="AE1065" i="113" s="1"/>
  <c r="AI1065" i="113" s="1"/>
  <c r="AD1065" i="113"/>
  <c r="AH1065" i="113" s="1"/>
  <c r="AA423" i="113"/>
  <c r="AD423" i="113"/>
  <c r="AH423" i="113" s="1"/>
  <c r="AA1820" i="113"/>
  <c r="AD1820" i="113"/>
  <c r="AH1820" i="113" s="1"/>
  <c r="AC2151" i="113"/>
  <c r="AG2151" i="113" s="1"/>
  <c r="AC2640" i="113"/>
  <c r="AG2640" i="113" s="1"/>
  <c r="AC1011" i="113"/>
  <c r="AG1011" i="113" s="1"/>
  <c r="AC2200" i="113"/>
  <c r="AG2200" i="113" s="1"/>
  <c r="AC1502" i="113"/>
  <c r="AG1502" i="113" s="1"/>
  <c r="AC1606" i="113"/>
  <c r="AG1606" i="113" s="1"/>
  <c r="AA344" i="113"/>
  <c r="AE344" i="113" s="1"/>
  <c r="AI344" i="113" s="1"/>
  <c r="AD344" i="113"/>
  <c r="AH344" i="113" s="1"/>
  <c r="AA44" i="113"/>
  <c r="AD44" i="113"/>
  <c r="AH44" i="113" s="1"/>
  <c r="AA540" i="113"/>
  <c r="AD540" i="113"/>
  <c r="AH540" i="113" s="1"/>
  <c r="AA145" i="113"/>
  <c r="AD145" i="113"/>
  <c r="AH145" i="113" s="1"/>
  <c r="AA683" i="113"/>
  <c r="AD683" i="113"/>
  <c r="AH683" i="113" s="1"/>
  <c r="AA161" i="113"/>
  <c r="AE161" i="113" s="1"/>
  <c r="AI161" i="113" s="1"/>
  <c r="AD161" i="113"/>
  <c r="AH161" i="113" s="1"/>
  <c r="AA1989" i="113"/>
  <c r="AE1989" i="113" s="1"/>
  <c r="AI1989" i="113" s="1"/>
  <c r="AD1989" i="113"/>
  <c r="AH1989" i="113" s="1"/>
  <c r="AA234" i="113"/>
  <c r="AE234" i="113" s="1"/>
  <c r="AI234" i="113" s="1"/>
  <c r="AD234" i="113"/>
  <c r="AH234" i="113" s="1"/>
  <c r="AA2485" i="113"/>
  <c r="AD2485" i="113"/>
  <c r="AH2485" i="113" s="1"/>
  <c r="AA1541" i="113"/>
  <c r="AD1541" i="113"/>
  <c r="AH1541" i="113" s="1"/>
  <c r="AA1073" i="113"/>
  <c r="AE1073" i="113" s="1"/>
  <c r="AI1073" i="113" s="1"/>
  <c r="AD1073" i="113"/>
  <c r="AH1073" i="113" s="1"/>
  <c r="AA556" i="113"/>
  <c r="AD556" i="113"/>
  <c r="AH556" i="113" s="1"/>
  <c r="AC1221" i="113"/>
  <c r="AG1221" i="113" s="1"/>
  <c r="AC1771" i="113"/>
  <c r="AG1771" i="113" s="1"/>
  <c r="AC2385" i="113"/>
  <c r="AG2385" i="113" s="1"/>
  <c r="AC906" i="113"/>
  <c r="AG906" i="113" s="1"/>
  <c r="AC983" i="113"/>
  <c r="AG983" i="113" s="1"/>
  <c r="AA2323" i="113"/>
  <c r="AD2323" i="113"/>
  <c r="AH2323" i="113" s="1"/>
  <c r="AC1968" i="113"/>
  <c r="AG1968" i="113" s="1"/>
  <c r="AC122" i="113"/>
  <c r="AG122" i="113" s="1"/>
  <c r="AC2542" i="113"/>
  <c r="AG2542" i="113" s="1"/>
  <c r="AC1319" i="113"/>
  <c r="AG1319" i="113" s="1"/>
  <c r="AC1164" i="113"/>
  <c r="AG1164" i="113" s="1"/>
  <c r="AC2259" i="113"/>
  <c r="AG2259" i="113" s="1"/>
  <c r="AC914" i="113"/>
  <c r="AG914" i="113" s="1"/>
  <c r="AC2234" i="113"/>
  <c r="AG2234" i="113" s="1"/>
  <c r="AC1144" i="113"/>
  <c r="AG1144" i="113" s="1"/>
  <c r="AC2223" i="113"/>
  <c r="AG2223" i="113" s="1"/>
  <c r="AC2277" i="113"/>
  <c r="AG2277" i="113" s="1"/>
  <c r="AC2590" i="113"/>
  <c r="AG2590" i="113" s="1"/>
  <c r="AC2055" i="113"/>
  <c r="AG2055" i="113" s="1"/>
  <c r="AC2448" i="113"/>
  <c r="AG2448" i="113" s="1"/>
  <c r="AC1925" i="113"/>
  <c r="AG1925" i="113" s="1"/>
  <c r="AC255" i="113"/>
  <c r="AG255" i="113" s="1"/>
  <c r="AC1658" i="113"/>
  <c r="AG1658" i="113" s="1"/>
  <c r="AC594" i="113"/>
  <c r="AG594" i="113" s="1"/>
  <c r="AC725" i="113"/>
  <c r="AG725" i="113" s="1"/>
  <c r="AC2349" i="113"/>
  <c r="AG2349" i="113" s="1"/>
  <c r="AC1904" i="113"/>
  <c r="AG1904" i="113" s="1"/>
  <c r="AA2082" i="113"/>
  <c r="AD2082" i="113"/>
  <c r="AH2082" i="113" s="1"/>
  <c r="AA1271" i="113"/>
  <c r="AE1271" i="113" s="1"/>
  <c r="AI1271" i="113" s="1"/>
  <c r="AD1271" i="113"/>
  <c r="AH1271" i="113" s="1"/>
  <c r="AA38" i="113"/>
  <c r="AE38" i="113" s="1"/>
  <c r="AI38" i="113" s="1"/>
  <c r="AD38" i="113"/>
  <c r="AH38" i="113" s="1"/>
  <c r="AC424" i="113"/>
  <c r="AG424" i="113" s="1"/>
  <c r="AC391" i="113"/>
  <c r="AG391" i="113" s="1"/>
  <c r="AC1588" i="113"/>
  <c r="AG1588" i="113" s="1"/>
  <c r="AC1858" i="113"/>
  <c r="AG1858" i="113" s="1"/>
  <c r="AC481" i="113"/>
  <c r="AG481" i="113" s="1"/>
  <c r="AC669" i="113"/>
  <c r="AG669" i="113" s="1"/>
  <c r="AC1420" i="113"/>
  <c r="AG1420" i="113" s="1"/>
  <c r="AC1688" i="113"/>
  <c r="AG1688" i="113" s="1"/>
  <c r="AC2461" i="113"/>
  <c r="AG2461" i="113" s="1"/>
  <c r="AC2076" i="113"/>
  <c r="AG2076" i="113" s="1"/>
  <c r="AC1027" i="113"/>
  <c r="AG1027" i="113" s="1"/>
  <c r="AC1459" i="113"/>
  <c r="AG1459" i="113" s="1"/>
  <c r="AC62" i="113"/>
  <c r="AG62" i="113" s="1"/>
  <c r="AC23" i="113"/>
  <c r="AG23" i="113" s="1"/>
  <c r="AC346" i="113"/>
  <c r="AG346" i="113" s="1"/>
  <c r="AC1525" i="113"/>
  <c r="AG1525" i="113" s="1"/>
  <c r="AC2406" i="113"/>
  <c r="AG2406" i="113" s="1"/>
  <c r="AC1455" i="113"/>
  <c r="AG1455" i="113" s="1"/>
  <c r="AC1138" i="113"/>
  <c r="AG1138" i="113" s="1"/>
  <c r="AC2296" i="113"/>
  <c r="AG2296" i="113" s="1"/>
  <c r="AC2235" i="113"/>
  <c r="AG2235" i="113" s="1"/>
  <c r="AC1194" i="113"/>
  <c r="AG1194" i="113" s="1"/>
  <c r="AC1879" i="113"/>
  <c r="AG1879" i="113" s="1"/>
  <c r="AC2024" i="113"/>
  <c r="AG2024" i="113" s="1"/>
  <c r="AC1192" i="113"/>
  <c r="AG1192" i="113" s="1"/>
  <c r="AC2069" i="113"/>
  <c r="AG2069" i="113" s="1"/>
  <c r="AC1301" i="113"/>
  <c r="AG1301" i="113" s="1"/>
  <c r="AC1172" i="113"/>
  <c r="AG1172" i="113" s="1"/>
  <c r="AC1252" i="113"/>
  <c r="AG1252" i="113" s="1"/>
  <c r="AC1644" i="113"/>
  <c r="AG1644" i="113" s="1"/>
  <c r="AC1115" i="113"/>
  <c r="AG1115" i="113" s="1"/>
  <c r="AC686" i="113"/>
  <c r="AG686" i="113" s="1"/>
  <c r="AC719" i="113"/>
  <c r="AG719" i="113" s="1"/>
  <c r="AC1173" i="113"/>
  <c r="AG1173" i="113" s="1"/>
  <c r="AC1438" i="113"/>
  <c r="AG1438" i="113" s="1"/>
  <c r="AC52" i="113"/>
  <c r="AG52" i="113" s="1"/>
  <c r="AC110" i="113"/>
  <c r="AG110" i="113" s="1"/>
  <c r="AC1620" i="113"/>
  <c r="AG1620" i="113" s="1"/>
  <c r="AC1375" i="113"/>
  <c r="AG1375" i="113" s="1"/>
  <c r="AC1671" i="113"/>
  <c r="AG1671" i="113" s="1"/>
  <c r="AC2404" i="113"/>
  <c r="AG2404" i="113" s="1"/>
  <c r="AC795" i="113"/>
  <c r="AG795" i="113" s="1"/>
  <c r="AC1185" i="113"/>
  <c r="AG1185" i="113" s="1"/>
  <c r="AC554" i="113"/>
  <c r="AG554" i="113" s="1"/>
  <c r="AC2411" i="113"/>
  <c r="AG2411" i="113" s="1"/>
  <c r="AC1954" i="113"/>
  <c r="AG1954" i="113" s="1"/>
  <c r="AC977" i="113"/>
  <c r="AG977" i="113" s="1"/>
  <c r="AC2087" i="113"/>
  <c r="AG2087" i="113" s="1"/>
  <c r="AC2272" i="113"/>
  <c r="AG2272" i="113" s="1"/>
  <c r="AC2052" i="113"/>
  <c r="AG2052" i="113" s="1"/>
  <c r="AC1655" i="113"/>
  <c r="AG1655" i="113" s="1"/>
  <c r="AC2643" i="113"/>
  <c r="AG2643" i="113" s="1"/>
  <c r="AC660" i="113"/>
  <c r="AG660" i="113" s="1"/>
  <c r="AC1227" i="113"/>
  <c r="AG1227" i="113" s="1"/>
  <c r="AC1259" i="113"/>
  <c r="AG1259" i="113" s="1"/>
  <c r="AC2608" i="113"/>
  <c r="AG2608" i="113" s="1"/>
  <c r="AC1095" i="113"/>
  <c r="AG1095" i="113" s="1"/>
  <c r="AC781" i="113"/>
  <c r="AG781" i="113" s="1"/>
  <c r="AA919" i="113"/>
  <c r="AE919" i="113" s="1"/>
  <c r="AI919" i="113" s="1"/>
  <c r="AD919" i="113"/>
  <c r="AH919" i="113" s="1"/>
  <c r="AA1775" i="113"/>
  <c r="AE1775" i="113" s="1"/>
  <c r="AI1775" i="113" s="1"/>
  <c r="AD1775" i="113"/>
  <c r="AH1775" i="113" s="1"/>
  <c r="AA1084" i="113"/>
  <c r="AD1084" i="113"/>
  <c r="AH1084" i="113" s="1"/>
  <c r="AA816" i="113"/>
  <c r="AE816" i="113" s="1"/>
  <c r="AI816" i="113" s="1"/>
  <c r="AD816" i="113"/>
  <c r="AH816" i="113" s="1"/>
  <c r="AA2310" i="113"/>
  <c r="AE2310" i="113" s="1"/>
  <c r="AI2310" i="113" s="1"/>
  <c r="AD2310" i="113"/>
  <c r="AH2310" i="113" s="1"/>
  <c r="AA1575" i="113"/>
  <c r="AE1575" i="113" s="1"/>
  <c r="AI1575" i="113" s="1"/>
  <c r="AD1575" i="113"/>
  <c r="AH1575" i="113" s="1"/>
  <c r="AA2106" i="113"/>
  <c r="AD2106" i="113"/>
  <c r="AH2106" i="113" s="1"/>
  <c r="AA2396" i="113"/>
  <c r="AD2396" i="113"/>
  <c r="AH2396" i="113" s="1"/>
  <c r="AA844" i="113"/>
  <c r="AE844" i="113" s="1"/>
  <c r="AI844" i="113" s="1"/>
  <c r="AD844" i="113"/>
  <c r="AH844" i="113" s="1"/>
  <c r="AA2334" i="113"/>
  <c r="AE2334" i="113" s="1"/>
  <c r="AI2334" i="113" s="1"/>
  <c r="AD2334" i="113"/>
  <c r="AH2334" i="113" s="1"/>
  <c r="AA1233" i="113"/>
  <c r="AE1233" i="113" s="1"/>
  <c r="AI1233" i="113" s="1"/>
  <c r="AD1233" i="113"/>
  <c r="AH1233" i="113" s="1"/>
  <c r="AA5" i="113"/>
  <c r="AD5" i="113"/>
  <c r="AH5" i="113" s="1"/>
  <c r="AA260" i="113"/>
  <c r="AE260" i="113" s="1"/>
  <c r="AI260" i="113" s="1"/>
  <c r="AD260" i="113"/>
  <c r="AH260" i="113" s="1"/>
  <c r="AA1686" i="113"/>
  <c r="AE1686" i="113" s="1"/>
  <c r="AI1686" i="113" s="1"/>
  <c r="AD1686" i="113"/>
  <c r="AH1686" i="113" s="1"/>
  <c r="AA700" i="113"/>
  <c r="AE700" i="113" s="1"/>
  <c r="AI700" i="113" s="1"/>
  <c r="AD700" i="113"/>
  <c r="AH700" i="113" s="1"/>
  <c r="AA1281" i="113"/>
  <c r="AE1281" i="113" s="1"/>
  <c r="AI1281" i="113" s="1"/>
  <c r="AD1281" i="113"/>
  <c r="AH1281" i="113" s="1"/>
  <c r="AA2626" i="113"/>
  <c r="AE2626" i="113" s="1"/>
  <c r="AI2626" i="113" s="1"/>
  <c r="AD2626" i="113"/>
  <c r="AH2626" i="113" s="1"/>
  <c r="AA2616" i="113"/>
  <c r="AE2616" i="113" s="1"/>
  <c r="AI2616" i="113" s="1"/>
  <c r="AD2616" i="113"/>
  <c r="AH2616" i="113" s="1"/>
  <c r="AA543" i="113"/>
  <c r="AE543" i="113" s="1"/>
  <c r="AI543" i="113" s="1"/>
  <c r="AD543" i="113"/>
  <c r="AH543" i="113" s="1"/>
  <c r="AA519" i="113"/>
  <c r="AD519" i="113"/>
  <c r="AH519" i="113" s="1"/>
  <c r="AA1156" i="113"/>
  <c r="AE1156" i="113" s="1"/>
  <c r="AI1156" i="113" s="1"/>
  <c r="AD1156" i="113"/>
  <c r="AH1156" i="113" s="1"/>
  <c r="AA241" i="113"/>
  <c r="AE241" i="113" s="1"/>
  <c r="AI241" i="113" s="1"/>
  <c r="AD241" i="113"/>
  <c r="AH241" i="113" s="1"/>
  <c r="AA2119" i="113"/>
  <c r="AE2119" i="113" s="1"/>
  <c r="AI2119" i="113" s="1"/>
  <c r="AD2119" i="113"/>
  <c r="AH2119" i="113" s="1"/>
  <c r="AA794" i="113"/>
  <c r="AE794" i="113" s="1"/>
  <c r="AI794" i="113" s="1"/>
  <c r="AD794" i="113"/>
  <c r="AH794" i="113" s="1"/>
  <c r="AA2174" i="113"/>
  <c r="AD2174" i="113"/>
  <c r="AH2174" i="113" s="1"/>
  <c r="AA2183" i="113"/>
  <c r="AD2183" i="113"/>
  <c r="AH2183" i="113" s="1"/>
  <c r="AA1702" i="113"/>
  <c r="AE1702" i="113" s="1"/>
  <c r="AI1702" i="113" s="1"/>
  <c r="AD1702" i="113"/>
  <c r="AH1702" i="113" s="1"/>
  <c r="AA574" i="113"/>
  <c r="AD574" i="113"/>
  <c r="AH574" i="113" s="1"/>
  <c r="AA1938" i="113"/>
  <c r="AE1938" i="113" s="1"/>
  <c r="AI1938" i="113" s="1"/>
  <c r="AD1938" i="113"/>
  <c r="AH1938" i="113" s="1"/>
  <c r="AA1389" i="113"/>
  <c r="AD1389" i="113"/>
  <c r="AH1389" i="113" s="1"/>
  <c r="AA1411" i="113"/>
  <c r="AE1411" i="113" s="1"/>
  <c r="AI1411" i="113" s="1"/>
  <c r="AD1411" i="113"/>
  <c r="AH1411" i="113" s="1"/>
  <c r="AA421" i="113"/>
  <c r="AD421" i="113"/>
  <c r="AH421" i="113" s="1"/>
  <c r="AA1139" i="113"/>
  <c r="AD1139" i="113"/>
  <c r="AH1139" i="113" s="1"/>
  <c r="AA1499" i="113"/>
  <c r="AD1499" i="113"/>
  <c r="AH1499" i="113" s="1"/>
  <c r="AA1445" i="113"/>
  <c r="AD1445" i="113"/>
  <c r="AH1445" i="113" s="1"/>
  <c r="AA648" i="113"/>
  <c r="AD648" i="113"/>
  <c r="AH648" i="113" s="1"/>
  <c r="AA2004" i="113"/>
  <c r="AD2004" i="113"/>
  <c r="AH2004" i="113" s="1"/>
  <c r="AA600" i="113"/>
  <c r="AD600" i="113"/>
  <c r="AH600" i="113" s="1"/>
  <c r="AA1980" i="113"/>
  <c r="AE1980" i="113" s="1"/>
  <c r="AI1980" i="113" s="1"/>
  <c r="AD1980" i="113"/>
  <c r="AH1980" i="113" s="1"/>
  <c r="AA865" i="113"/>
  <c r="AE865" i="113" s="1"/>
  <c r="AI865" i="113" s="1"/>
  <c r="AD865" i="113"/>
  <c r="AH865" i="113" s="1"/>
  <c r="AA2132" i="113"/>
  <c r="AE2132" i="113" s="1"/>
  <c r="AI2132" i="113" s="1"/>
  <c r="AD2132" i="113"/>
  <c r="AH2132" i="113" s="1"/>
  <c r="AA635" i="113"/>
  <c r="AD635" i="113"/>
  <c r="AH635" i="113" s="1"/>
  <c r="AA432" i="113"/>
  <c r="AD432" i="113"/>
  <c r="AH432" i="113" s="1"/>
  <c r="AA1815" i="113"/>
  <c r="AD1815" i="113"/>
  <c r="AH1815" i="113" s="1"/>
  <c r="AA1993" i="113"/>
  <c r="AE1993" i="113" s="1"/>
  <c r="AI1993" i="113" s="1"/>
  <c r="AD1993" i="113"/>
  <c r="AH1993" i="113" s="1"/>
  <c r="AA398" i="113"/>
  <c r="AD398" i="113"/>
  <c r="AH398" i="113" s="1"/>
  <c r="AA488" i="113"/>
  <c r="AE488" i="113" s="1"/>
  <c r="AI488" i="113" s="1"/>
  <c r="AD488" i="113"/>
  <c r="AH488" i="113" s="1"/>
  <c r="AA530" i="113"/>
  <c r="AE530" i="113" s="1"/>
  <c r="AI530" i="113" s="1"/>
  <c r="AD530" i="113"/>
  <c r="AH530" i="113" s="1"/>
  <c r="AA657" i="113"/>
  <c r="AD657" i="113"/>
  <c r="AH657" i="113" s="1"/>
  <c r="AA1467" i="113"/>
  <c r="AE1467" i="113" s="1"/>
  <c r="AI1467" i="113" s="1"/>
  <c r="AD1467" i="113"/>
  <c r="AH1467" i="113" s="1"/>
  <c r="AA1791" i="113"/>
  <c r="AE1791" i="113" s="1"/>
  <c r="AI1791" i="113" s="1"/>
  <c r="AD1791" i="113"/>
  <c r="AH1791" i="113" s="1"/>
  <c r="AA435" i="113"/>
  <c r="AD435" i="113"/>
  <c r="AH435" i="113" s="1"/>
  <c r="AA886" i="113"/>
  <c r="AE886" i="113" s="1"/>
  <c r="AI886" i="113" s="1"/>
  <c r="AD886" i="113"/>
  <c r="AH886" i="113" s="1"/>
  <c r="AA2150" i="113"/>
  <c r="AD2150" i="113"/>
  <c r="AH2150" i="113" s="1"/>
  <c r="AA371" i="113"/>
  <c r="AD371" i="113"/>
  <c r="AH371" i="113" s="1"/>
  <c r="AA6" i="113"/>
  <c r="AE6" i="113" s="1"/>
  <c r="AI6" i="113" s="1"/>
  <c r="AD6" i="113"/>
  <c r="AH6" i="113" s="1"/>
  <c r="AA273" i="113"/>
  <c r="AE273" i="113" s="1"/>
  <c r="AI273" i="113" s="1"/>
  <c r="AD273" i="113"/>
  <c r="AH273" i="113" s="1"/>
  <c r="AA515" i="113"/>
  <c r="AE515" i="113" s="1"/>
  <c r="AI515" i="113" s="1"/>
  <c r="AD515" i="113"/>
  <c r="AH515" i="113" s="1"/>
  <c r="AC489" i="113"/>
  <c r="AG489" i="113" s="1"/>
  <c r="AC1649" i="113"/>
  <c r="AG1649" i="113" s="1"/>
  <c r="AC2232" i="113"/>
  <c r="AG2232" i="113" s="1"/>
  <c r="AC1124" i="113"/>
  <c r="AG1124" i="113" s="1"/>
  <c r="AC2261" i="113"/>
  <c r="AG2261" i="113" s="1"/>
  <c r="AC1530" i="113"/>
  <c r="AG1530" i="113" s="1"/>
  <c r="AA431" i="113"/>
  <c r="AE431" i="113" s="1"/>
  <c r="AI431" i="113" s="1"/>
  <c r="AD431" i="113"/>
  <c r="AH431" i="113" s="1"/>
  <c r="AA1910" i="113"/>
  <c r="AE1910" i="113" s="1"/>
  <c r="AI1910" i="113" s="1"/>
  <c r="AD1910" i="113"/>
  <c r="AH1910" i="113" s="1"/>
  <c r="AA1059" i="113"/>
  <c r="AE1059" i="113" s="1"/>
  <c r="AI1059" i="113" s="1"/>
  <c r="AD1059" i="113"/>
  <c r="AH1059" i="113" s="1"/>
  <c r="AA1805" i="113"/>
  <c r="AE1805" i="113" s="1"/>
  <c r="AI1805" i="113" s="1"/>
  <c r="AD1805" i="113"/>
  <c r="AH1805" i="113" s="1"/>
  <c r="AA2210" i="113"/>
  <c r="AE2210" i="113" s="1"/>
  <c r="AI2210" i="113" s="1"/>
  <c r="AD2210" i="113"/>
  <c r="AH2210" i="113" s="1"/>
  <c r="AA226" i="113"/>
  <c r="AE226" i="113" s="1"/>
  <c r="AI226" i="113" s="1"/>
  <c r="AD226" i="113"/>
  <c r="AH226" i="113" s="1"/>
  <c r="AA1043" i="113"/>
  <c r="AD1043" i="113"/>
  <c r="AH1043" i="113" s="1"/>
  <c r="AA1715" i="113"/>
  <c r="AD1715" i="113"/>
  <c r="AH1715" i="113" s="1"/>
  <c r="AA1676" i="113"/>
  <c r="AD1676" i="113"/>
  <c r="AH1676" i="113" s="1"/>
  <c r="AC437" i="113"/>
  <c r="AG437" i="113" s="1"/>
  <c r="AC475" i="113"/>
  <c r="AG475" i="113" s="1"/>
  <c r="AC1607" i="113"/>
  <c r="AG1607" i="113" s="1"/>
  <c r="AC1403" i="113"/>
  <c r="AG1403" i="113" s="1"/>
  <c r="AC2498" i="113"/>
  <c r="AG2498" i="113" s="1"/>
  <c r="AA396" i="113"/>
  <c r="AE396" i="113" s="1"/>
  <c r="AI396" i="113" s="1"/>
  <c r="AD396" i="113"/>
  <c r="AH396" i="113" s="1"/>
  <c r="AC2312" i="113"/>
  <c r="AG2312" i="113" s="1"/>
  <c r="AC1664" i="113"/>
  <c r="AG1664" i="113" s="1"/>
  <c r="AC696" i="113"/>
  <c r="AG696" i="113" s="1"/>
  <c r="AC2499" i="113"/>
  <c r="AG2499" i="113" s="1"/>
  <c r="AC2460" i="113"/>
  <c r="AG2460" i="113" s="1"/>
  <c r="AC1832" i="113"/>
  <c r="AG1832" i="113" s="1"/>
  <c r="AC2505" i="113"/>
  <c r="AG2505" i="113" s="1"/>
  <c r="AC1942" i="113"/>
  <c r="AG1942" i="113" s="1"/>
  <c r="AC1848" i="113"/>
  <c r="AG1848" i="113" s="1"/>
  <c r="AC502" i="113"/>
  <c r="AG502" i="113" s="1"/>
  <c r="AC1110" i="113"/>
  <c r="AG1110" i="113" s="1"/>
  <c r="AC537" i="113"/>
  <c r="AG537" i="113" s="1"/>
  <c r="AC2338" i="113"/>
  <c r="AG2338" i="113" s="1"/>
  <c r="AC1453" i="113"/>
  <c r="AG1453" i="113" s="1"/>
  <c r="AC2032" i="113"/>
  <c r="AG2032" i="113" s="1"/>
  <c r="AC675" i="113"/>
  <c r="AG675" i="113" s="1"/>
  <c r="AC318" i="113"/>
  <c r="AG318" i="113" s="1"/>
  <c r="AC2066" i="113"/>
  <c r="AG2066" i="113" s="1"/>
  <c r="AC2572" i="113"/>
  <c r="AG2572" i="113" s="1"/>
  <c r="AC2583" i="113"/>
  <c r="AG2583" i="113" s="1"/>
  <c r="AC1560" i="113"/>
  <c r="AG1560" i="113" s="1"/>
  <c r="AC2364" i="113"/>
  <c r="AG2364" i="113" s="1"/>
  <c r="AC1076" i="113"/>
  <c r="AG1076" i="113" s="1"/>
  <c r="AC1793" i="113"/>
  <c r="AG1793" i="113" s="1"/>
  <c r="AC2172" i="113"/>
  <c r="AG2172" i="113" s="1"/>
  <c r="AC893" i="113"/>
  <c r="AG893" i="113" s="1"/>
  <c r="AC709" i="113"/>
  <c r="AG709" i="113" s="1"/>
  <c r="AC2321" i="113"/>
  <c r="AG2321" i="113" s="1"/>
  <c r="AA429" i="113"/>
  <c r="AE429" i="113" s="1"/>
  <c r="AI429" i="113" s="1"/>
  <c r="AD429" i="113"/>
  <c r="AH429" i="113" s="1"/>
  <c r="AA970" i="113"/>
  <c r="AE970" i="113" s="1"/>
  <c r="AI970" i="113" s="1"/>
  <c r="AD970" i="113"/>
  <c r="AH970" i="113" s="1"/>
  <c r="AC1504" i="113"/>
  <c r="AG1504" i="113" s="1"/>
  <c r="AC276" i="113"/>
  <c r="AG276" i="113" s="1"/>
  <c r="AC2029" i="113"/>
  <c r="AG2029" i="113" s="1"/>
  <c r="AC2206" i="113"/>
  <c r="AG2206" i="113" s="1"/>
  <c r="AC2104" i="113"/>
  <c r="AG2104" i="113" s="1"/>
  <c r="AC337" i="113"/>
  <c r="AG337" i="113" s="1"/>
  <c r="AC2375" i="113"/>
  <c r="AG2375" i="113" s="1"/>
  <c r="AC1918" i="113"/>
  <c r="AG1918" i="113" s="1"/>
  <c r="AC2115" i="113"/>
  <c r="AG2115" i="113" s="1"/>
  <c r="AC621" i="113"/>
  <c r="AG621" i="113" s="1"/>
  <c r="AC547" i="113"/>
  <c r="AG547" i="113" s="1"/>
  <c r="AC2645" i="113"/>
  <c r="AG2645" i="113" s="1"/>
  <c r="AC383" i="113"/>
  <c r="AG383" i="113" s="1"/>
  <c r="AC1992" i="113"/>
  <c r="AG1992" i="113" s="1"/>
  <c r="AC157" i="113"/>
  <c r="AG157" i="113" s="1"/>
  <c r="AC2048" i="113"/>
  <c r="AG2048" i="113" s="1"/>
  <c r="AC512" i="113"/>
  <c r="AG512" i="113" s="1"/>
  <c r="AC1220" i="113"/>
  <c r="AG1220" i="113" s="1"/>
  <c r="AC1769" i="113"/>
  <c r="AG1769" i="113" s="1"/>
  <c r="AC2507" i="113"/>
  <c r="AG2507" i="113" s="1"/>
  <c r="AC1637" i="113"/>
  <c r="AG1637" i="113" s="1"/>
  <c r="AC403" i="113"/>
  <c r="AG403" i="113" s="1"/>
  <c r="AC314" i="113"/>
  <c r="AG314" i="113" s="1"/>
  <c r="AC2465" i="113"/>
  <c r="AG2465" i="113" s="1"/>
  <c r="AC2422" i="113"/>
  <c r="AG2422" i="113" s="1"/>
  <c r="AC603" i="113"/>
  <c r="AG603" i="113" s="1"/>
  <c r="AC1537" i="113"/>
  <c r="AG1537" i="113" s="1"/>
  <c r="AC1108" i="113"/>
  <c r="AG1108" i="113" s="1"/>
  <c r="AC1404" i="113"/>
  <c r="AG1404" i="113" s="1"/>
  <c r="AC1627" i="113"/>
  <c r="AG1627" i="113" s="1"/>
  <c r="AC2258" i="113"/>
  <c r="AG2258" i="113" s="1"/>
  <c r="AC206" i="113"/>
  <c r="AG206" i="113" s="1"/>
  <c r="AC2677" i="113"/>
  <c r="AG2677" i="113" s="1"/>
  <c r="AC829" i="113"/>
  <c r="AG829" i="113" s="1"/>
  <c r="AC2478" i="113"/>
  <c r="AG2478" i="113" s="1"/>
  <c r="AC1695" i="113"/>
  <c r="AG1695" i="113" s="1"/>
  <c r="AC47" i="113"/>
  <c r="AG47" i="113" s="1"/>
  <c r="AC2158" i="113"/>
  <c r="AG2158" i="113" s="1"/>
  <c r="AC2535" i="113"/>
  <c r="AG2535" i="113" s="1"/>
  <c r="AC1206" i="113"/>
  <c r="AG1206" i="113" s="1"/>
  <c r="AC1427" i="113"/>
  <c r="AG1427" i="113" s="1"/>
  <c r="AC1551" i="113"/>
  <c r="AG1551" i="113" s="1"/>
  <c r="AC2160" i="113"/>
  <c r="AG2160" i="113" s="1"/>
  <c r="AC1291" i="113"/>
  <c r="AG1291" i="113" s="1"/>
  <c r="AA1878" i="113"/>
  <c r="AD1878" i="113"/>
  <c r="AH1878" i="113" s="1"/>
  <c r="AA716" i="113"/>
  <c r="AE716" i="113" s="1"/>
  <c r="AI716" i="113" s="1"/>
  <c r="AD716" i="113"/>
  <c r="AH716" i="113" s="1"/>
  <c r="AA269" i="113"/>
  <c r="AE269" i="113" s="1"/>
  <c r="AI269" i="113" s="1"/>
  <c r="AD269" i="113"/>
  <c r="AH269" i="113" s="1"/>
  <c r="AA430" i="113"/>
  <c r="AD430" i="113"/>
  <c r="AH430" i="113" s="1"/>
  <c r="AA279" i="113"/>
  <c r="AE279" i="113" s="1"/>
  <c r="AI279" i="113" s="1"/>
  <c r="AD279" i="113"/>
  <c r="AH279" i="113" s="1"/>
  <c r="AA181" i="113"/>
  <c r="AE181" i="113" s="1"/>
  <c r="AI181" i="113" s="1"/>
  <c r="AD181" i="113"/>
  <c r="AH181" i="113" s="1"/>
  <c r="AA891" i="113"/>
  <c r="AE891" i="113" s="1"/>
  <c r="AI891" i="113" s="1"/>
  <c r="AD891" i="113"/>
  <c r="AH891" i="113" s="1"/>
  <c r="AA117" i="113"/>
  <c r="AE117" i="113" s="1"/>
  <c r="AI117" i="113" s="1"/>
  <c r="AD117" i="113"/>
  <c r="AH117" i="113" s="1"/>
  <c r="AA1749" i="113"/>
  <c r="AE1749" i="113" s="1"/>
  <c r="AI1749" i="113" s="1"/>
  <c r="AD1749" i="113"/>
  <c r="AH1749" i="113" s="1"/>
  <c r="AA1381" i="113"/>
  <c r="AE1381" i="113" s="1"/>
  <c r="AI1381" i="113" s="1"/>
  <c r="AD1381" i="113"/>
  <c r="AH1381" i="113" s="1"/>
  <c r="AA1088" i="113"/>
  <c r="AE1088" i="113" s="1"/>
  <c r="AI1088" i="113" s="1"/>
  <c r="AD1088" i="113"/>
  <c r="AH1088" i="113" s="1"/>
  <c r="AA2221" i="113"/>
  <c r="AE2221" i="113" s="1"/>
  <c r="AI2221" i="113" s="1"/>
  <c r="AD2221" i="113"/>
  <c r="AH2221" i="113" s="1"/>
  <c r="AA1460" i="113"/>
  <c r="AE1460" i="113" s="1"/>
  <c r="AI1460" i="113" s="1"/>
  <c r="AD1460" i="113"/>
  <c r="AH1460" i="113" s="1"/>
  <c r="AA2246" i="113"/>
  <c r="AD2246" i="113"/>
  <c r="AH2246" i="113" s="1"/>
  <c r="AA1106" i="113"/>
  <c r="AE1106" i="113" s="1"/>
  <c r="AI1106" i="113" s="1"/>
  <c r="AD1106" i="113"/>
  <c r="AH1106" i="113" s="1"/>
  <c r="AA1054" i="113"/>
  <c r="AD1054" i="113"/>
  <c r="AH1054" i="113" s="1"/>
  <c r="AA869" i="113"/>
  <c r="AE869" i="113" s="1"/>
  <c r="AI869" i="113" s="1"/>
  <c r="AD869" i="113"/>
  <c r="AH869" i="113" s="1"/>
  <c r="AA1396" i="113"/>
  <c r="AD1396" i="113"/>
  <c r="AH1396" i="113" s="1"/>
  <c r="AA558" i="113"/>
  <c r="AE558" i="113" s="1"/>
  <c r="AI558" i="113" s="1"/>
  <c r="AD558" i="113"/>
  <c r="AH558" i="113" s="1"/>
  <c r="AA55" i="113"/>
  <c r="AE55" i="113" s="1"/>
  <c r="AI55" i="113" s="1"/>
  <c r="AD55" i="113"/>
  <c r="AH55" i="113" s="1"/>
  <c r="AA1158" i="113"/>
  <c r="AE1158" i="113" s="1"/>
  <c r="AI1158" i="113" s="1"/>
  <c r="AD1158" i="113"/>
  <c r="AH1158" i="113" s="1"/>
  <c r="AA2585" i="113"/>
  <c r="AD2585" i="113"/>
  <c r="AH2585" i="113" s="1"/>
  <c r="AA284" i="113"/>
  <c r="AE284" i="113" s="1"/>
  <c r="AI284" i="113" s="1"/>
  <c r="AD284" i="113"/>
  <c r="AH284" i="113" s="1"/>
  <c r="AA454" i="113"/>
  <c r="AE454" i="113" s="1"/>
  <c r="AI454" i="113" s="1"/>
  <c r="AD454" i="113"/>
  <c r="AH454" i="113" s="1"/>
  <c r="AA2408" i="113"/>
  <c r="AD2408" i="113"/>
  <c r="AH2408" i="113" s="1"/>
  <c r="AA2193" i="113"/>
  <c r="AE2193" i="113" s="1"/>
  <c r="AI2193" i="113" s="1"/>
  <c r="AD2193" i="113"/>
  <c r="AH2193" i="113" s="1"/>
  <c r="AA772" i="113"/>
  <c r="AE772" i="113" s="1"/>
  <c r="AI772" i="113" s="1"/>
  <c r="AD772" i="113"/>
  <c r="AH772" i="113" s="1"/>
  <c r="AA990" i="113"/>
  <c r="AE990" i="113" s="1"/>
  <c r="AI990" i="113" s="1"/>
  <c r="AD990" i="113"/>
  <c r="AH990" i="113" s="1"/>
  <c r="AA1685" i="113"/>
  <c r="AD1685" i="113"/>
  <c r="AH1685" i="113" s="1"/>
  <c r="AA31" i="113"/>
  <c r="AD31" i="113"/>
  <c r="AH31" i="113" s="1"/>
  <c r="AA348" i="113"/>
  <c r="AE348" i="113" s="1"/>
  <c r="AI348" i="113" s="1"/>
  <c r="AD348" i="113"/>
  <c r="AH348" i="113" s="1"/>
  <c r="AA1019" i="113"/>
  <c r="AE1019" i="113" s="1"/>
  <c r="AI1019" i="113" s="1"/>
  <c r="AD1019" i="113"/>
  <c r="AH1019" i="113" s="1"/>
  <c r="AA1392" i="113"/>
  <c r="AD1392" i="113"/>
  <c r="AH1392" i="113" s="1"/>
  <c r="AA2574" i="113"/>
  <c r="AE2574" i="113" s="1"/>
  <c r="AI2574" i="113" s="1"/>
  <c r="AD2574" i="113"/>
  <c r="AH2574" i="113" s="1"/>
  <c r="AA2545" i="113"/>
  <c r="AE2545" i="113" s="1"/>
  <c r="AI2545" i="113" s="1"/>
  <c r="AD2545" i="113"/>
  <c r="AH2545" i="113" s="1"/>
  <c r="AA2577" i="113"/>
  <c r="AD2577" i="113"/>
  <c r="AH2577" i="113" s="1"/>
  <c r="AA2139" i="113"/>
  <c r="AD2139" i="113"/>
  <c r="AH2139" i="113" s="1"/>
  <c r="AA1004" i="113"/>
  <c r="AE1004" i="113" s="1"/>
  <c r="AI1004" i="113" s="1"/>
  <c r="AD1004" i="113"/>
  <c r="AH1004" i="113" s="1"/>
  <c r="AA19" i="113"/>
  <c r="AD19" i="113"/>
  <c r="AH19" i="113" s="1"/>
  <c r="AA1481" i="113"/>
  <c r="AE1481" i="113" s="1"/>
  <c r="AI1481" i="113" s="1"/>
  <c r="AD1481" i="113"/>
  <c r="AH1481" i="113" s="1"/>
  <c r="AA737" i="113"/>
  <c r="AE737" i="113" s="1"/>
  <c r="AI737" i="113" s="1"/>
  <c r="AD737" i="113"/>
  <c r="AH737" i="113" s="1"/>
  <c r="AA1682" i="113"/>
  <c r="AD1682" i="113"/>
  <c r="AH1682" i="113" s="1"/>
  <c r="AA667" i="113"/>
  <c r="AE667" i="113" s="1"/>
  <c r="AI667" i="113" s="1"/>
  <c r="AD667" i="113"/>
  <c r="AH667" i="113" s="1"/>
  <c r="AA231" i="113"/>
  <c r="AE231" i="113" s="1"/>
  <c r="AI231" i="113" s="1"/>
  <c r="AD231" i="113"/>
  <c r="AH231" i="113" s="1"/>
  <c r="AA1399" i="113"/>
  <c r="AD1399" i="113"/>
  <c r="AH1399" i="113" s="1"/>
  <c r="AA1140" i="113"/>
  <c r="AD1140" i="113"/>
  <c r="AH1140" i="113" s="1"/>
  <c r="AA1030" i="113"/>
  <c r="AE1030" i="113" s="1"/>
  <c r="AI1030" i="113" s="1"/>
  <c r="AD1030" i="113"/>
  <c r="AH1030" i="113" s="1"/>
  <c r="AA734" i="113"/>
  <c r="AD734" i="113"/>
  <c r="AH734" i="113" s="1"/>
  <c r="AA1207" i="113"/>
  <c r="AE1207" i="113" s="1"/>
  <c r="AI1207" i="113" s="1"/>
  <c r="AD1207" i="113"/>
  <c r="AH1207" i="113" s="1"/>
  <c r="AA2653" i="113"/>
  <c r="AD2653" i="113"/>
  <c r="AH2653" i="113" s="1"/>
  <c r="AA1189" i="113"/>
  <c r="AD1189" i="113"/>
  <c r="AH1189" i="113" s="1"/>
  <c r="AA301" i="113"/>
  <c r="AE301" i="113" s="1"/>
  <c r="AI301" i="113" s="1"/>
  <c r="AD301" i="113"/>
  <c r="AH301" i="113" s="1"/>
  <c r="AA2025" i="113"/>
  <c r="AE2025" i="113" s="1"/>
  <c r="AI2025" i="113" s="1"/>
  <c r="AD2025" i="113"/>
  <c r="AH2025" i="113" s="1"/>
  <c r="AA1960" i="113"/>
  <c r="AD1960" i="113"/>
  <c r="AH1960" i="113" s="1"/>
  <c r="AA2419" i="113"/>
  <c r="AE2419" i="113" s="1"/>
  <c r="AI2419" i="113" s="1"/>
  <c r="AD2419" i="113"/>
  <c r="AH2419" i="113" s="1"/>
  <c r="AA853" i="113"/>
  <c r="AD853" i="113"/>
  <c r="AH853" i="113" s="1"/>
  <c r="AA239" i="113"/>
  <c r="AE239" i="113" s="1"/>
  <c r="AI239" i="113" s="1"/>
  <c r="AD239" i="113"/>
  <c r="AH239" i="113" s="1"/>
  <c r="AA1407" i="113"/>
  <c r="AE1407" i="113" s="1"/>
  <c r="AI1407" i="113" s="1"/>
  <c r="AD1407" i="113"/>
  <c r="AH1407" i="113" s="1"/>
  <c r="Z818" i="113"/>
  <c r="Z843" i="113"/>
  <c r="Z1485" i="113"/>
  <c r="Z1027" i="113"/>
  <c r="Z1138" i="113"/>
  <c r="Z1115" i="113"/>
  <c r="Z424" i="113"/>
  <c r="Z1584" i="113"/>
  <c r="Z329" i="113"/>
  <c r="Z1988" i="113"/>
  <c r="Z138" i="113"/>
  <c r="Z1644" i="113"/>
  <c r="Z1488" i="113"/>
  <c r="Z1093" i="113"/>
  <c r="Z2029" i="113"/>
  <c r="Z1947" i="113"/>
  <c r="Z2486" i="113"/>
  <c r="Z1691" i="113"/>
  <c r="Z1631" i="113"/>
  <c r="Z1614" i="113"/>
  <c r="Z2447" i="113"/>
  <c r="Z953" i="113"/>
  <c r="Z2677" i="113"/>
  <c r="Z2535" i="113"/>
  <c r="Z1551" i="113"/>
  <c r="Z208" i="113"/>
  <c r="Z1948" i="113"/>
  <c r="Z575" i="113"/>
  <c r="Z531" i="113"/>
  <c r="Z1959" i="113"/>
  <c r="Z2292" i="113"/>
  <c r="Z2510" i="113"/>
  <c r="Z2205" i="113"/>
  <c r="Z137" i="113"/>
  <c r="Z1824" i="113"/>
  <c r="Z247" i="113"/>
  <c r="Z1243" i="113"/>
  <c r="Z1982" i="113"/>
  <c r="Z668" i="113"/>
  <c r="Z377" i="113"/>
  <c r="Z1753" i="113"/>
  <c r="Z1256" i="113"/>
  <c r="Z280" i="113"/>
  <c r="Z1527" i="113"/>
  <c r="Z2033" i="113"/>
  <c r="Z2623" i="113"/>
  <c r="Z324" i="113"/>
  <c r="Z2085" i="113"/>
  <c r="Z1683" i="113"/>
  <c r="Z1077" i="113"/>
  <c r="Z831" i="113"/>
  <c r="Z1358" i="113"/>
  <c r="Z1299" i="113"/>
  <c r="Z1958" i="113"/>
  <c r="Z2564" i="113"/>
  <c r="Z210" i="113"/>
  <c r="Z2266" i="113"/>
  <c r="Z1270" i="113"/>
  <c r="Z927" i="113"/>
  <c r="Z2031" i="113"/>
  <c r="Z846" i="113"/>
  <c r="Z2439" i="113"/>
  <c r="Z1002" i="113"/>
  <c r="Z1964" i="113"/>
  <c r="Z503" i="113"/>
  <c r="AD503" i="113" s="1"/>
  <c r="AH503" i="113" s="1"/>
  <c r="Z1028" i="113"/>
  <c r="Z2034" i="113"/>
  <c r="Z2649" i="113"/>
  <c r="Z1727" i="113"/>
  <c r="Z2392" i="113"/>
  <c r="Z482" i="113"/>
  <c r="Z2290" i="113"/>
  <c r="Z1821" i="113"/>
  <c r="Z2372" i="113"/>
  <c r="Z64" i="113"/>
  <c r="Z1945" i="113"/>
  <c r="Z748" i="113"/>
  <c r="Z2219" i="113"/>
  <c r="Z1261" i="113"/>
  <c r="Z2434" i="113"/>
  <c r="Z2438" i="113"/>
  <c r="Z1223" i="113"/>
  <c r="Z2242" i="113"/>
  <c r="Z2111" i="113"/>
  <c r="Z2582" i="113"/>
  <c r="Z624" i="113"/>
  <c r="Z742" i="113"/>
  <c r="Z723" i="113"/>
  <c r="Z948" i="113"/>
  <c r="Z2255" i="113"/>
  <c r="Z1708" i="113"/>
  <c r="Z2549" i="113"/>
  <c r="Z1826" i="113"/>
  <c r="Z640" i="113"/>
  <c r="Z2543" i="113"/>
  <c r="Z978" i="113"/>
  <c r="Z149" i="113"/>
  <c r="Z1757" i="113"/>
  <c r="Z1935" i="113"/>
  <c r="Z704" i="113"/>
  <c r="Z50" i="113"/>
  <c r="Z2153" i="113"/>
  <c r="Z894" i="113"/>
  <c r="Z1425" i="113"/>
  <c r="Z2177" i="113"/>
  <c r="Z1423" i="113"/>
  <c r="Z2594" i="113"/>
  <c r="Z2233" i="113"/>
  <c r="Z826" i="113"/>
  <c r="Z1877" i="113"/>
  <c r="Z777" i="113"/>
  <c r="Z2562" i="113"/>
  <c r="Z1280" i="113"/>
  <c r="Z1274" i="113"/>
  <c r="Z526" i="113"/>
  <c r="Z590" i="113"/>
  <c r="Z401" i="113"/>
  <c r="Z375" i="113"/>
  <c r="Z1666" i="113"/>
  <c r="Z2421" i="113"/>
  <c r="Z1759" i="113"/>
  <c r="Z2064" i="113"/>
  <c r="Z975" i="113"/>
  <c r="Z1632" i="113"/>
  <c r="Z1495" i="113"/>
  <c r="Z57" i="113"/>
  <c r="Z903" i="113"/>
  <c r="Z1325" i="113"/>
  <c r="Z1594" i="113"/>
  <c r="Z2430" i="113"/>
  <c r="Z2459" i="113"/>
  <c r="Z1944" i="113"/>
  <c r="Z2014" i="113"/>
  <c r="Z2186" i="113"/>
  <c r="Z2504" i="113"/>
  <c r="Z646" i="113"/>
  <c r="Z2605" i="113"/>
  <c r="Z357" i="113"/>
  <c r="Z97" i="113"/>
  <c r="Z2476" i="113"/>
  <c r="Z189" i="113"/>
  <c r="Z773" i="113"/>
  <c r="Z1897" i="113"/>
  <c r="Z445" i="113"/>
  <c r="Z2634" i="113"/>
  <c r="Z2357" i="113"/>
  <c r="Z235" i="113"/>
  <c r="Z1327" i="113"/>
  <c r="Z1435" i="113"/>
  <c r="Z362" i="113"/>
  <c r="Z227" i="113"/>
  <c r="Z1217" i="113"/>
  <c r="Z1255" i="113"/>
  <c r="Z1176" i="113"/>
  <c r="Z1455" i="113"/>
  <c r="Z1173" i="113"/>
  <c r="Z110" i="113"/>
  <c r="Z1375" i="113"/>
  <c r="Z131" i="113"/>
  <c r="Z1254" i="113"/>
  <c r="Z786" i="113"/>
  <c r="Z1655" i="113"/>
  <c r="Z228" i="113"/>
  <c r="Z2494" i="113"/>
  <c r="Z2608" i="113"/>
  <c r="Z277" i="113"/>
  <c r="Z2206" i="113"/>
  <c r="Z1239" i="113"/>
  <c r="Z41" i="113"/>
  <c r="Z2663" i="113"/>
  <c r="Z504" i="113"/>
  <c r="Z1850" i="113"/>
  <c r="Z1838" i="113"/>
  <c r="Z469" i="113"/>
  <c r="Z1681" i="113"/>
  <c r="Z1045" i="113"/>
  <c r="Z166" i="113"/>
  <c r="Z1624" i="113"/>
  <c r="Z1783" i="113"/>
  <c r="Z60" i="113"/>
  <c r="Z206" i="113"/>
  <c r="Z1111" i="113"/>
  <c r="Z175" i="113"/>
  <c r="Z1356" i="113"/>
  <c r="Z1639" i="113"/>
  <c r="Z2151" i="113"/>
  <c r="Z1475" i="113"/>
  <c r="Z217" i="113"/>
  <c r="Z2569" i="113"/>
  <c r="Z1859" i="113"/>
  <c r="Z489" i="113"/>
  <c r="Z1447" i="113"/>
  <c r="Z442" i="113"/>
  <c r="Z2267" i="113"/>
  <c r="Z200" i="113"/>
  <c r="Z2288" i="113"/>
  <c r="Z2144" i="113"/>
  <c r="Z1990" i="113"/>
  <c r="Z447" i="113"/>
  <c r="Z37" i="113"/>
  <c r="Z994" i="113"/>
  <c r="Z152" i="113"/>
  <c r="Z1397" i="113"/>
  <c r="Z495" i="113"/>
  <c r="Z2103" i="113"/>
  <c r="Z75" i="113"/>
  <c r="Z2012" i="113"/>
  <c r="Z871" i="113"/>
  <c r="Z2041" i="113"/>
  <c r="Z1823" i="113"/>
  <c r="Z2398" i="113"/>
  <c r="Z1067" i="113"/>
  <c r="Z705" i="113"/>
  <c r="Z1413" i="113"/>
  <c r="Z59" i="113"/>
  <c r="Z1649" i="113"/>
  <c r="Z1210" i="113"/>
  <c r="Z2302" i="113"/>
  <c r="Z1690" i="113"/>
  <c r="Z2386" i="113"/>
  <c r="Z2225" i="113"/>
  <c r="Z2232" i="113"/>
  <c r="Z659" i="113"/>
  <c r="Z2640" i="113"/>
  <c r="Z2260" i="113"/>
  <c r="Z2314" i="113"/>
  <c r="Z2513" i="113"/>
  <c r="Z1011" i="113"/>
  <c r="Z1507" i="113"/>
  <c r="Z499" i="113"/>
  <c r="Z2354" i="113"/>
  <c r="Z2525" i="113"/>
  <c r="Z2526" i="113"/>
  <c r="Z1124" i="113"/>
  <c r="Z1458" i="113"/>
  <c r="Z1071" i="113"/>
  <c r="Z2610" i="113"/>
  <c r="Z2200" i="113"/>
  <c r="Z1348" i="113"/>
  <c r="Z2437" i="113"/>
  <c r="Z1429" i="113"/>
  <c r="Z2249" i="113"/>
  <c r="Z1134" i="113"/>
  <c r="Z182" i="113"/>
  <c r="Z2013" i="113"/>
  <c r="Z1608" i="113"/>
  <c r="Z1342" i="113"/>
  <c r="Z267" i="113"/>
  <c r="Z1844" i="113"/>
  <c r="Z820" i="113"/>
  <c r="Z663" i="113"/>
  <c r="Z693" i="113"/>
  <c r="Z1125" i="113"/>
  <c r="Z1437" i="113"/>
  <c r="Z1810" i="113"/>
  <c r="Z1478" i="113"/>
  <c r="Z123" i="113"/>
  <c r="Z399" i="113"/>
  <c r="Z1338" i="113"/>
  <c r="Z2060" i="113"/>
  <c r="Z650" i="113"/>
  <c r="Z1472" i="113"/>
  <c r="Z2261" i="113"/>
  <c r="Z643" i="113"/>
  <c r="Z1520" i="113"/>
  <c r="Z1275" i="113"/>
  <c r="Z2263" i="113"/>
  <c r="Z847" i="113"/>
  <c r="Z288" i="113"/>
  <c r="Z2632" i="113"/>
  <c r="Z1530" i="113"/>
  <c r="Z1000" i="113"/>
  <c r="Z2262" i="113"/>
  <c r="Z1768" i="113"/>
  <c r="Z2652" i="113"/>
  <c r="Z333" i="113"/>
  <c r="Z2002" i="113"/>
  <c r="Z1315" i="113"/>
  <c r="Z1663" i="113"/>
  <c r="Z1049" i="113"/>
  <c r="Z176" i="113"/>
  <c r="Z1732" i="113"/>
  <c r="Z1406" i="113"/>
  <c r="Z1721" i="113"/>
  <c r="Z264" i="113"/>
  <c r="Z692" i="113"/>
  <c r="Z285" i="113"/>
  <c r="Z154" i="113"/>
  <c r="Z2098" i="113"/>
  <c r="Z1502" i="113"/>
  <c r="Z2602" i="113"/>
  <c r="Z1949" i="113"/>
  <c r="Z2650" i="113"/>
  <c r="Z2662" i="113"/>
  <c r="Z2362" i="113"/>
  <c r="Z2315" i="113"/>
  <c r="Z74" i="113"/>
  <c r="Z810" i="113"/>
  <c r="Z1923" i="113"/>
  <c r="Z2145" i="113"/>
  <c r="Z622" i="113"/>
  <c r="Z2133" i="113"/>
  <c r="Z645" i="113"/>
  <c r="Z1136" i="113"/>
  <c r="Z793" i="113"/>
  <c r="Z1606" i="113"/>
  <c r="Z310" i="113"/>
  <c r="Z879" i="113"/>
  <c r="Z1450" i="113"/>
  <c r="Z2006" i="113"/>
  <c r="Z719" i="113"/>
  <c r="Z2075" i="113"/>
  <c r="Z554" i="113"/>
  <c r="Z2087" i="113"/>
  <c r="Z1847" i="113"/>
  <c r="Z960" i="113"/>
  <c r="Z1227" i="113"/>
  <c r="Z1259" i="113"/>
  <c r="Z1095" i="113"/>
  <c r="Z2471" i="113"/>
  <c r="Z2375" i="113"/>
  <c r="Z621" i="113"/>
  <c r="Z2645" i="113"/>
  <c r="Z383" i="113"/>
  <c r="Z2048" i="113"/>
  <c r="Z2507" i="113"/>
  <c r="Z1001" i="113"/>
  <c r="Z443" i="113"/>
  <c r="Z1038" i="113"/>
  <c r="Z2422" i="113"/>
  <c r="Z1060" i="113"/>
  <c r="Z2353" i="113"/>
  <c r="Z47" i="113"/>
  <c r="Z1591" i="113"/>
  <c r="Z28" i="113"/>
  <c r="Z1221" i="113"/>
  <c r="Z707" i="113"/>
  <c r="Z2211" i="113"/>
  <c r="Z2231" i="113"/>
  <c r="Z212" i="113"/>
  <c r="Z1021" i="113"/>
  <c r="Z1771" i="113"/>
  <c r="Z437" i="113"/>
  <c r="Z2358" i="113"/>
  <c r="Z1263" i="113"/>
  <c r="Z962" i="113"/>
  <c r="Z1589" i="113"/>
  <c r="Z2661" i="113"/>
  <c r="Z506" i="113"/>
  <c r="Z1725" i="113"/>
  <c r="Z732" i="113"/>
  <c r="Z475" i="113"/>
  <c r="Z1538" i="113"/>
  <c r="Z2379" i="113"/>
  <c r="Z1519" i="113"/>
  <c r="Z1607" i="113"/>
  <c r="Z36" i="113"/>
  <c r="Z2580" i="113"/>
  <c r="Z841" i="113"/>
  <c r="Z2222" i="113"/>
  <c r="Z2054" i="113"/>
  <c r="Z25" i="113"/>
  <c r="Z907" i="113"/>
  <c r="Z764" i="113"/>
  <c r="Z2385" i="113"/>
  <c r="Z881" i="113"/>
  <c r="Z2297" i="113"/>
  <c r="Z1623" i="113"/>
  <c r="Z2579" i="113"/>
  <c r="Z1566" i="113"/>
  <c r="Z1552" i="113"/>
  <c r="Z2613" i="113"/>
  <c r="Z2487" i="113"/>
  <c r="Z906" i="113"/>
  <c r="Z698" i="113"/>
  <c r="Z2480" i="113"/>
  <c r="Z520" i="113"/>
  <c r="Z1656" i="113"/>
  <c r="Z1403" i="113"/>
  <c r="Z2084" i="113"/>
  <c r="Z1544" i="113"/>
  <c r="Z1901" i="113"/>
  <c r="Z1352" i="113"/>
  <c r="Z596" i="113"/>
  <c r="Z1772" i="113"/>
  <c r="Z1829" i="113"/>
  <c r="Z2495" i="113"/>
  <c r="Z1668" i="113"/>
  <c r="Z1818" i="113"/>
  <c r="Z1350" i="113"/>
  <c r="Z1833" i="113"/>
  <c r="Z103" i="113"/>
  <c r="Z2516" i="113"/>
  <c r="Z1506" i="113"/>
  <c r="Z2587" i="113"/>
  <c r="Z2444" i="113"/>
  <c r="Z1939" i="113"/>
  <c r="Z2498" i="113"/>
  <c r="Z1673" i="113"/>
  <c r="Z2065" i="113"/>
  <c r="Z84" i="113"/>
  <c r="Z1776" i="113"/>
  <c r="Z1626" i="113"/>
  <c r="Z10" i="113"/>
  <c r="Z507" i="113"/>
  <c r="Z508" i="113"/>
  <c r="Z1536" i="113"/>
  <c r="Z1825" i="113"/>
  <c r="Z987" i="113"/>
  <c r="Z404" i="113"/>
  <c r="Z1549" i="113"/>
  <c r="Z612" i="113"/>
  <c r="Z532" i="113"/>
  <c r="Z2140" i="113"/>
  <c r="Z230" i="113"/>
  <c r="Z1799" i="113"/>
  <c r="Z2670" i="113"/>
  <c r="Z2363" i="113"/>
  <c r="Z2512" i="113"/>
  <c r="Z2647" i="113"/>
  <c r="Z102" i="113"/>
  <c r="Z1070" i="113"/>
  <c r="Z517" i="113"/>
  <c r="Z188" i="113"/>
  <c r="Z862" i="113"/>
  <c r="Z2541" i="113"/>
  <c r="Z753" i="113"/>
  <c r="Z2455" i="113"/>
  <c r="Z822" i="113"/>
  <c r="Z1051" i="113"/>
  <c r="Z1528" i="113"/>
  <c r="Z1513" i="113"/>
  <c r="Z89" i="113"/>
  <c r="Z309" i="113"/>
  <c r="Z1534" i="113"/>
  <c r="Z465" i="113"/>
  <c r="Z315" i="113"/>
  <c r="Z78" i="113"/>
  <c r="Z2169" i="113"/>
  <c r="Z2638" i="113"/>
  <c r="Z2342" i="113"/>
  <c r="Z991" i="113"/>
  <c r="Z2298" i="113"/>
  <c r="Z2588" i="113"/>
  <c r="Z955" i="113"/>
  <c r="Z837" i="113"/>
  <c r="Z1621" i="113"/>
  <c r="Z427" i="113"/>
  <c r="Z2553" i="113"/>
  <c r="Z1634" i="113"/>
  <c r="Z1957" i="113"/>
  <c r="Z2658" i="113"/>
  <c r="Z999" i="113"/>
  <c r="Z745" i="113"/>
  <c r="Z845" i="113"/>
  <c r="Z1332" i="113"/>
  <c r="Z2384" i="113"/>
  <c r="Z2347" i="113"/>
  <c r="Z2275" i="113"/>
  <c r="Z2484" i="113"/>
  <c r="Z1052" i="113"/>
  <c r="Z2673" i="113"/>
  <c r="Z2331" i="113"/>
  <c r="Z1841" i="113"/>
  <c r="Z1745" i="113"/>
  <c r="Z2376" i="113"/>
  <c r="Z297" i="113"/>
  <c r="Z1704" i="113"/>
  <c r="Z2606" i="113"/>
  <c r="Z1659" i="113"/>
  <c r="Z2035" i="113"/>
  <c r="Z1532" i="113"/>
  <c r="Z223" i="113"/>
  <c r="Z533" i="113"/>
  <c r="Z1956" i="113"/>
  <c r="Z2102" i="113"/>
  <c r="Z1556" i="113"/>
  <c r="Z1293" i="113"/>
  <c r="Z2167" i="113"/>
  <c r="Z1792" i="113"/>
  <c r="Z2563" i="113"/>
  <c r="Z1876" i="113"/>
  <c r="Z48" i="113"/>
  <c r="Z634" i="113"/>
  <c r="Z2404" i="113"/>
  <c r="Z40" i="113"/>
  <c r="Z932" i="113"/>
  <c r="Z1992" i="113"/>
  <c r="Z848" i="113"/>
  <c r="Z353" i="113"/>
  <c r="Z2465" i="113"/>
  <c r="Z1627" i="113"/>
  <c r="Z829" i="113"/>
  <c r="Z1206" i="113"/>
  <c r="Z1317" i="113"/>
  <c r="Z246" i="113"/>
  <c r="Z2240" i="113"/>
  <c r="Z1098" i="113"/>
  <c r="Z2676" i="113"/>
  <c r="Z214" i="113"/>
  <c r="Z140" i="113"/>
  <c r="Z1209" i="113"/>
  <c r="Z1362" i="113"/>
  <c r="Z545" i="113"/>
  <c r="Z718" i="113"/>
  <c r="Z69" i="113"/>
  <c r="Z2170" i="113"/>
  <c r="Z77" i="113"/>
  <c r="Z754" i="113"/>
  <c r="Z774" i="113"/>
  <c r="Z417" i="113"/>
  <c r="Z1733" i="113"/>
  <c r="Z616" i="113"/>
  <c r="Z1343" i="113"/>
  <c r="Z136" i="113"/>
  <c r="Z153" i="113"/>
  <c r="Z859" i="113"/>
  <c r="Z2026" i="113"/>
  <c r="Z1309" i="113"/>
  <c r="Z2307" i="113"/>
  <c r="Z1383" i="113"/>
  <c r="Z711" i="113"/>
  <c r="Z1286" i="113"/>
  <c r="Z849" i="113"/>
  <c r="Z2401" i="113"/>
  <c r="Z749" i="113"/>
  <c r="Z2378" i="113"/>
  <c r="Z215" i="113"/>
  <c r="Z1393" i="113"/>
  <c r="Z275" i="113"/>
  <c r="Z2209" i="113"/>
  <c r="Z450" i="113"/>
  <c r="Z2423" i="113"/>
  <c r="Z1386" i="113"/>
  <c r="Z3" i="113"/>
  <c r="Z2301" i="113"/>
  <c r="Z1870" i="113"/>
  <c r="Z2642" i="113"/>
  <c r="Z945" i="113"/>
  <c r="Z2508" i="113"/>
  <c r="Z1127" i="113"/>
  <c r="Z201" i="113"/>
  <c r="Z2043" i="113"/>
  <c r="Z1101" i="113"/>
  <c r="Z722" i="113"/>
  <c r="Z1581" i="113"/>
  <c r="Z156" i="113"/>
  <c r="Z2466" i="113"/>
  <c r="Z610" i="113"/>
  <c r="Z1738" i="113"/>
  <c r="Z466" i="113"/>
  <c r="Z1490" i="113"/>
  <c r="Z799" i="113"/>
  <c r="Z2593" i="113"/>
  <c r="Z205" i="113"/>
  <c r="Z1147" i="113"/>
  <c r="Z1452" i="113"/>
  <c r="Z571" i="113"/>
  <c r="Z106" i="113"/>
  <c r="Z1596" i="113"/>
  <c r="Z2646" i="113"/>
  <c r="Z1216" i="113"/>
  <c r="Z2195" i="113"/>
  <c r="Z2428" i="113"/>
  <c r="Z1331" i="113"/>
  <c r="Z1933" i="113"/>
  <c r="Z1802" i="113"/>
  <c r="Z2171" i="113"/>
  <c r="Z2519" i="113"/>
  <c r="Z2067" i="113"/>
  <c r="Z2254" i="113"/>
  <c r="Z32" i="113"/>
  <c r="Z1898" i="113"/>
  <c r="Z1034" i="113"/>
  <c r="Z728" i="113"/>
  <c r="Z1899" i="113"/>
  <c r="Z832" i="113"/>
  <c r="Z1930" i="113"/>
  <c r="Z2185" i="113"/>
  <c r="Z2550" i="113"/>
  <c r="Z1312" i="113"/>
  <c r="Z221" i="113"/>
  <c r="Z1999" i="113"/>
  <c r="Z946" i="113"/>
  <c r="Z2409" i="113"/>
  <c r="Z636" i="113"/>
  <c r="Z351" i="113"/>
  <c r="Z2291" i="113"/>
  <c r="Z2359" i="113"/>
  <c r="Z2547" i="113"/>
  <c r="Z2539" i="113"/>
  <c r="Z726" i="113"/>
  <c r="Z961" i="113"/>
  <c r="Z308" i="113"/>
  <c r="Z2565" i="113"/>
  <c r="Z750" i="113"/>
  <c r="Z2581" i="113"/>
  <c r="Z1226" i="113"/>
  <c r="Z42" i="113"/>
  <c r="Z1264" i="113"/>
  <c r="Z289" i="113"/>
  <c r="Z2528" i="113"/>
  <c r="Z1908" i="113"/>
  <c r="Z1036" i="113"/>
  <c r="Z1377" i="113"/>
  <c r="Z2005" i="113"/>
  <c r="Z658" i="113"/>
  <c r="Z964" i="113"/>
  <c r="Z1864" i="113"/>
  <c r="Z1855" i="113"/>
  <c r="Z2094" i="113"/>
  <c r="Z1795" i="113"/>
  <c r="Z589" i="113"/>
  <c r="Z287" i="113"/>
  <c r="Z1489" i="113"/>
  <c r="Z678" i="113"/>
  <c r="Z1336" i="113"/>
  <c r="Z2511" i="113"/>
  <c r="Z1754" i="113"/>
  <c r="Z1736" i="113"/>
  <c r="Z307" i="113"/>
  <c r="Z1770" i="113"/>
  <c r="Z1185" i="113"/>
  <c r="Z276" i="113"/>
  <c r="Z2442" i="113"/>
  <c r="Z1388" i="113"/>
  <c r="Z2559" i="113"/>
  <c r="Z931" i="113"/>
  <c r="Z1637" i="113"/>
  <c r="Z1404" i="113"/>
  <c r="Z1245" i="113"/>
  <c r="Z2424" i="113"/>
  <c r="Z649" i="113"/>
  <c r="Z2160" i="113"/>
  <c r="Z258" i="113"/>
  <c r="Z854" i="113"/>
  <c r="Z942" i="113"/>
  <c r="Z674" i="113"/>
  <c r="Z388" i="113"/>
  <c r="Z1311" i="113"/>
  <c r="Z1692" i="113"/>
  <c r="Z2534" i="113"/>
  <c r="Z116" i="113"/>
  <c r="Z282" i="113"/>
  <c r="Z2189" i="113"/>
  <c r="Z1082" i="113"/>
  <c r="Z1079" i="113"/>
  <c r="Z1300" i="113"/>
  <c r="Z2611" i="113"/>
  <c r="Z2328" i="113"/>
  <c r="Z478" i="113"/>
  <c r="Z539" i="113"/>
  <c r="Z147" i="113"/>
  <c r="Z462" i="113"/>
  <c r="Z34" i="113"/>
  <c r="Z1351" i="113"/>
  <c r="Z1651" i="113"/>
  <c r="Z1163" i="113"/>
  <c r="Z2557" i="113"/>
  <c r="Z2187" i="113"/>
  <c r="Z1797" i="113"/>
  <c r="Z1288" i="113"/>
  <c r="Z1583" i="113"/>
  <c r="Z2131" i="113"/>
  <c r="Z1037" i="113"/>
  <c r="Z43" i="113"/>
  <c r="Z1991" i="113"/>
  <c r="Z1364" i="113"/>
  <c r="Z2216" i="113"/>
  <c r="Z566" i="113"/>
  <c r="Z1466" i="113"/>
  <c r="Z898" i="113"/>
  <c r="Z2269" i="113"/>
  <c r="Z374" i="113"/>
  <c r="Z120" i="113"/>
  <c r="Z557" i="113"/>
  <c r="Z49" i="113"/>
  <c r="Z664" i="113"/>
  <c r="Z1462" i="113"/>
  <c r="Z1641" i="113"/>
  <c r="Z1535" i="113"/>
  <c r="Z2520" i="113"/>
  <c r="Z86" i="113"/>
  <c r="Z1016" i="113"/>
  <c r="Z2092" i="113"/>
  <c r="Z1094" i="113"/>
  <c r="Z2393" i="113"/>
  <c r="Z1033" i="113"/>
  <c r="Z1298" i="113"/>
  <c r="Z563" i="113"/>
  <c r="Z861" i="113"/>
  <c r="Z2407" i="113"/>
  <c r="Z492" i="113"/>
  <c r="Z1461" i="113"/>
  <c r="Z2057" i="113"/>
  <c r="Z2417" i="113"/>
  <c r="Z1430" i="113"/>
  <c r="Z792" i="113"/>
  <c r="Z976" i="113"/>
  <c r="Z33" i="113"/>
  <c r="Z1610" i="113"/>
  <c r="Z577" i="113"/>
  <c r="Z1329" i="113"/>
  <c r="Z915" i="113"/>
  <c r="Z257" i="113"/>
  <c r="Z2630" i="113"/>
  <c r="Z921" i="113"/>
  <c r="Z516" i="113"/>
  <c r="Z2350" i="113"/>
  <c r="Z2390" i="113"/>
  <c r="Z812" i="113"/>
  <c r="Z30" i="113"/>
  <c r="Z2227" i="113"/>
  <c r="Z943" i="113"/>
  <c r="Z129" i="113"/>
  <c r="Z2197" i="113"/>
  <c r="Z581" i="113"/>
  <c r="Z2675" i="113"/>
  <c r="Z1706" i="113"/>
  <c r="Z2330" i="113"/>
  <c r="Z2589" i="113"/>
  <c r="Z1830" i="113"/>
  <c r="Z735" i="113"/>
  <c r="Z1927" i="113"/>
  <c r="Z1693" i="113"/>
  <c r="Z2181" i="113"/>
  <c r="Z1521" i="113"/>
  <c r="Z1553" i="113"/>
  <c r="Z688" i="113"/>
  <c r="Z1640" i="113"/>
  <c r="Z2218" i="113"/>
  <c r="Z1763" i="113"/>
  <c r="Z1417" i="113"/>
  <c r="Z173" i="113"/>
  <c r="Z390" i="113"/>
  <c r="Z673" i="113"/>
  <c r="Z2343" i="113"/>
  <c r="Z336" i="113"/>
  <c r="Z2099" i="113"/>
  <c r="Z2637" i="113"/>
  <c r="Z347" i="113"/>
  <c r="Z409" i="113"/>
  <c r="Z2591" i="113"/>
  <c r="Z1064" i="113"/>
  <c r="Z985" i="113"/>
  <c r="Z319" i="113"/>
  <c r="Z1599" i="113"/>
  <c r="Z1914" i="113"/>
  <c r="Z620" i="113"/>
  <c r="Z2651" i="113"/>
  <c r="Z1580" i="113"/>
  <c r="Z1148" i="113"/>
  <c r="Z2374" i="113"/>
  <c r="Z2635" i="113"/>
  <c r="Z2595" i="113"/>
  <c r="Z2079" i="113"/>
  <c r="Z1852" i="113"/>
  <c r="Z2497" i="113"/>
  <c r="Z2463" i="113"/>
  <c r="Z1196" i="113"/>
  <c r="Z2044" i="113"/>
  <c r="Z1858" i="113"/>
  <c r="Z1313" i="113"/>
  <c r="Z1192" i="113"/>
  <c r="Z795" i="113"/>
  <c r="Z2295" i="113"/>
  <c r="Z378" i="113"/>
  <c r="Z2503" i="113"/>
  <c r="Z1400" i="113"/>
  <c r="Z1380" i="113"/>
  <c r="Z1694" i="113"/>
  <c r="Z229" i="113"/>
  <c r="Z1492" i="113"/>
  <c r="Z2007" i="113"/>
  <c r="Z254" i="113"/>
  <c r="Z1418" i="113"/>
  <c r="Z1316" i="113"/>
  <c r="Z1026" i="113"/>
  <c r="Z501" i="113"/>
  <c r="Z195" i="113"/>
  <c r="Z1321" i="113"/>
  <c r="Z1214" i="113"/>
  <c r="Z1457" i="113"/>
  <c r="Z2456" i="113"/>
  <c r="Z2051" i="113"/>
  <c r="Z787" i="113"/>
  <c r="Z2412" i="113"/>
  <c r="Z54" i="113"/>
  <c r="Z679" i="113"/>
  <c r="Z1102" i="113"/>
  <c r="Z1892" i="113"/>
  <c r="Z29" i="113"/>
  <c r="Z1340" i="113"/>
  <c r="Z1117" i="113"/>
  <c r="Z1572" i="113"/>
  <c r="Z2566" i="113"/>
  <c r="Z446" i="113"/>
  <c r="Z2571" i="113"/>
  <c r="Z2071" i="113"/>
  <c r="Z2468" i="113"/>
  <c r="Z174" i="113"/>
  <c r="Z958" i="113"/>
  <c r="Z2251" i="113"/>
  <c r="Z2391" i="113"/>
  <c r="Z2537" i="113"/>
  <c r="Z1555" i="113"/>
  <c r="Z1449" i="113"/>
  <c r="Z1009" i="113"/>
  <c r="Z997" i="113"/>
  <c r="Z2389" i="113"/>
  <c r="Z827" i="113"/>
  <c r="Z1184" i="113"/>
  <c r="Z1357" i="113"/>
  <c r="Z1969" i="113"/>
  <c r="Z2117" i="113"/>
  <c r="Z1428" i="113"/>
  <c r="Z1891" i="113"/>
  <c r="Z2601" i="113"/>
  <c r="Z253" i="113"/>
  <c r="Z2215" i="113"/>
  <c r="Z1086" i="113"/>
  <c r="Z2268" i="113"/>
  <c r="Z1241" i="113"/>
  <c r="Z1936" i="113"/>
  <c r="Z1419" i="113"/>
  <c r="Z2337" i="113"/>
  <c r="Z1279" i="113"/>
  <c r="Z1679" i="113"/>
  <c r="Z895" i="113"/>
  <c r="Z490" i="113"/>
  <c r="Z1729" i="113"/>
  <c r="Z1579" i="113"/>
  <c r="Z2377" i="113"/>
  <c r="Z1160" i="113"/>
  <c r="Z1066" i="113"/>
  <c r="Z1554" i="113"/>
  <c r="Z415" i="113"/>
  <c r="Z2016" i="113"/>
  <c r="Z1766" i="113"/>
  <c r="Z251" i="113"/>
  <c r="Z1585" i="113"/>
  <c r="Z271" i="113"/>
  <c r="Z2609" i="113"/>
  <c r="Z2213" i="113"/>
  <c r="Z2201" i="113"/>
  <c r="Z2320" i="113"/>
  <c r="Z1215" i="113"/>
  <c r="Z2368" i="113"/>
  <c r="Z2114" i="113"/>
  <c r="Z1974" i="113"/>
  <c r="Z373" i="113"/>
  <c r="Z1777" i="113"/>
  <c r="Z1857" i="113"/>
  <c r="Z426" i="113"/>
  <c r="Z738" i="113"/>
  <c r="Z2554" i="113"/>
  <c r="Z1436" i="113"/>
  <c r="Z2544" i="113"/>
  <c r="Z2482" i="113"/>
  <c r="Z379" i="113"/>
  <c r="Z281" i="113"/>
  <c r="Z1224" i="113"/>
  <c r="Z405" i="113"/>
  <c r="Z2313" i="113"/>
  <c r="Z2496" i="113"/>
  <c r="Z1809" i="113"/>
  <c r="Z1798" i="113"/>
  <c r="Z1717" i="113"/>
  <c r="Z591" i="113"/>
  <c r="Z1612" i="113"/>
  <c r="Z966" i="113"/>
  <c r="Z565" i="113"/>
  <c r="Z1977" i="113"/>
  <c r="Z313" i="113"/>
  <c r="Z1107" i="113"/>
  <c r="Z2552" i="113"/>
  <c r="Z1928" i="113"/>
  <c r="Z892" i="113"/>
  <c r="Z1398" i="113"/>
  <c r="Z2622" i="113"/>
  <c r="Z2062" i="113"/>
  <c r="Z2080" i="113"/>
  <c r="Z2522" i="113"/>
  <c r="Z1487" i="113"/>
  <c r="Z1029" i="113"/>
  <c r="Z798" i="113"/>
  <c r="Z1330" i="113"/>
  <c r="Z2493" i="113"/>
  <c r="Z1687" i="113"/>
  <c r="Z164" i="113"/>
  <c r="Z236" i="113"/>
  <c r="Z930" i="113"/>
  <c r="Z1979" i="113"/>
  <c r="Z1843" i="113"/>
  <c r="Z2441" i="113"/>
  <c r="Z2056" i="113"/>
  <c r="Z2076" i="113"/>
  <c r="Z216" i="113"/>
  <c r="Z1301" i="113"/>
  <c r="Z1954" i="113"/>
  <c r="Z744" i="113"/>
  <c r="Z1220" i="113"/>
  <c r="Z1700" i="113"/>
  <c r="Z1675" i="113"/>
  <c r="Z757" i="113"/>
  <c r="Z1479" i="113"/>
  <c r="Z72" i="113"/>
  <c r="Z2236" i="113"/>
  <c r="Z8" i="113"/>
  <c r="Z1728" i="113"/>
  <c r="Z449" i="113"/>
  <c r="Z2629" i="113"/>
  <c r="Z2300" i="113"/>
  <c r="Z1007" i="113"/>
  <c r="Z1292" i="113"/>
  <c r="Z1827" i="113"/>
  <c r="Z765" i="113"/>
  <c r="Z911" i="113"/>
  <c r="Z2176" i="113"/>
  <c r="Z2017" i="113"/>
  <c r="Z1003" i="113"/>
  <c r="Z833" i="113"/>
  <c r="Z2256" i="113"/>
  <c r="Z2335" i="113"/>
  <c r="Z874" i="113"/>
  <c r="Z959" i="113"/>
  <c r="Z1465" i="113"/>
  <c r="Z920" i="113"/>
  <c r="Z2615" i="113"/>
  <c r="Z132" i="113"/>
  <c r="Z633" i="113"/>
  <c r="Z993" i="113"/>
  <c r="Z2548" i="113"/>
  <c r="Z604" i="113"/>
  <c r="Z2416" i="113"/>
  <c r="Z1104" i="113"/>
  <c r="Z1024" i="113"/>
  <c r="Z2116" i="113"/>
  <c r="Z1240" i="113"/>
  <c r="Z440" i="113"/>
  <c r="Z464" i="113"/>
  <c r="Z1972" i="113"/>
  <c r="Z1310" i="113"/>
  <c r="Z1250" i="113"/>
  <c r="Z595" i="113"/>
  <c r="Z2022" i="113"/>
  <c r="Z265" i="113"/>
  <c r="Z1229" i="113"/>
  <c r="Z1888" i="113"/>
  <c r="Z888" i="113"/>
  <c r="Z1894" i="113"/>
  <c r="Z1121" i="113"/>
  <c r="Z1756" i="113"/>
  <c r="Z2199" i="113"/>
  <c r="Z2237" i="113"/>
  <c r="Z290" i="113"/>
  <c r="Z171" i="113"/>
  <c r="Z824" i="113"/>
  <c r="Z150" i="113"/>
  <c r="Z2395" i="113"/>
  <c r="Z2284" i="113"/>
  <c r="Z2655" i="113"/>
  <c r="Z1014" i="113"/>
  <c r="Z1750" i="113"/>
  <c r="Z1654" i="113"/>
  <c r="Z1529" i="113"/>
  <c r="Z706" i="113"/>
  <c r="Z213" i="113"/>
  <c r="Z2672" i="113"/>
  <c r="Z2449" i="113"/>
  <c r="Z2203" i="113"/>
  <c r="Z2322" i="113"/>
  <c r="Z1785" i="113"/>
  <c r="Z2097" i="113"/>
  <c r="Z2491" i="113"/>
  <c r="Z2134" i="113"/>
  <c r="Z578" i="113"/>
  <c r="Z2224" i="113"/>
  <c r="Z713" i="113"/>
  <c r="Z928" i="113"/>
  <c r="Z760" i="113"/>
  <c r="Z479" i="113"/>
  <c r="Z2166" i="113"/>
  <c r="Z2217" i="113"/>
  <c r="Z1915" i="113"/>
  <c r="Z198" i="113"/>
  <c r="Z1747" i="113"/>
  <c r="Z949" i="113"/>
  <c r="Z2190" i="113"/>
  <c r="Z1047" i="113"/>
  <c r="Z2380" i="113"/>
  <c r="Z2046" i="113"/>
  <c r="Z2293" i="113"/>
  <c r="Z851" i="113"/>
  <c r="Z2628" i="113"/>
  <c r="Z588" i="113"/>
  <c r="Z1550" i="113"/>
  <c r="Z1996" i="113"/>
  <c r="Z2030" i="113"/>
  <c r="Z385" i="113"/>
  <c r="Z485" i="113"/>
  <c r="Z2467" i="113"/>
  <c r="Z376" i="113"/>
  <c r="Z2146" i="113"/>
  <c r="Z2656" i="113"/>
  <c r="Z202" i="113"/>
  <c r="Z2540" i="113"/>
  <c r="Z821" i="113"/>
  <c r="Z484" i="113"/>
  <c r="Z619" i="113"/>
  <c r="Z1816" i="113"/>
  <c r="Z1314" i="113"/>
  <c r="Z1237" i="113"/>
  <c r="Z438" i="113"/>
  <c r="Z266" i="113"/>
  <c r="Z1370" i="113"/>
  <c r="Z2244" i="113"/>
  <c r="Z90" i="113"/>
  <c r="Z1242" i="113"/>
  <c r="Z939" i="113"/>
  <c r="Z2446" i="113"/>
  <c r="Z2518" i="113"/>
  <c r="Z1273" i="113"/>
  <c r="Z1083" i="113"/>
  <c r="Z2241" i="113"/>
  <c r="Z2148" i="113"/>
  <c r="Z1363" i="113"/>
  <c r="Z2546" i="113"/>
  <c r="Z1183" i="113"/>
  <c r="Z1648" i="113"/>
  <c r="Z1244" i="113"/>
  <c r="Z439" i="113"/>
  <c r="Z1515" i="113"/>
  <c r="Z956" i="113"/>
  <c r="Z1114" i="113"/>
  <c r="Z1032" i="113"/>
  <c r="Z1633" i="113"/>
  <c r="Z335" i="113"/>
  <c r="Z1688" i="113"/>
  <c r="Z346" i="113"/>
  <c r="Z79" i="113"/>
  <c r="Z2481" i="113"/>
  <c r="Z2147" i="113"/>
  <c r="Z1919" i="113"/>
  <c r="Z476" i="113"/>
  <c r="Z512" i="113"/>
  <c r="Z613" i="113"/>
  <c r="Z2521" i="113"/>
  <c r="Z2107" i="113"/>
  <c r="Z776" i="113"/>
  <c r="Z1498" i="113"/>
  <c r="Z1427" i="113"/>
  <c r="Z1661" i="113"/>
  <c r="Z1010" i="113"/>
  <c r="Z922" i="113"/>
  <c r="Z2348" i="113"/>
  <c r="Z1740" i="113"/>
  <c r="Z2560" i="113"/>
  <c r="Z237" i="113"/>
  <c r="Z1570" i="113"/>
  <c r="Z746" i="113"/>
  <c r="Z2598" i="113"/>
  <c r="Z448" i="113"/>
  <c r="Z350" i="113"/>
  <c r="Z1932" i="113"/>
  <c r="Z1916" i="113"/>
  <c r="Z1153" i="113"/>
  <c r="Z599" i="113"/>
  <c r="Z549" i="113"/>
  <c r="Z2355" i="113"/>
  <c r="Z630" i="113"/>
  <c r="Z2636" i="113"/>
  <c r="Z463" i="113"/>
  <c r="Z546" i="113"/>
  <c r="Z312" i="113"/>
  <c r="Z2624" i="113"/>
  <c r="Z2429" i="113"/>
  <c r="Z1903" i="113"/>
  <c r="Z2121" i="113"/>
  <c r="Z1951" i="113"/>
  <c r="Z410" i="113"/>
  <c r="Z661" i="113"/>
  <c r="Z2345" i="113"/>
  <c r="Z2551" i="113"/>
  <c r="Z2514" i="113"/>
  <c r="Z1468" i="113"/>
  <c r="Z1710" i="113"/>
  <c r="Z682" i="113"/>
  <c r="Z7" i="113"/>
  <c r="Z240" i="113"/>
  <c r="Z2164" i="113"/>
  <c r="Z2599" i="113"/>
  <c r="Z2410" i="113"/>
  <c r="Z2568" i="113"/>
  <c r="Z17" i="113"/>
  <c r="Z1491" i="113"/>
  <c r="Z233" i="113"/>
  <c r="Z2265" i="113"/>
  <c r="Z1202" i="113"/>
  <c r="Z382" i="113"/>
  <c r="Z767" i="113"/>
  <c r="Z1257" i="113"/>
  <c r="Z2096" i="113"/>
  <c r="Z1834" i="113"/>
  <c r="Z2112" i="113"/>
  <c r="Z2304" i="113"/>
  <c r="Z2533" i="113"/>
  <c r="Z2394" i="113"/>
  <c r="Z1168" i="113"/>
  <c r="Z1151" i="113"/>
  <c r="Z168" i="113"/>
  <c r="Z899" i="113"/>
  <c r="Z592" i="113"/>
  <c r="Z2346" i="113"/>
  <c r="Z598" i="113"/>
  <c r="Z1893" i="113"/>
  <c r="Z1477" i="113"/>
  <c r="Z2127" i="113"/>
  <c r="Z1262" i="113"/>
  <c r="Z2648" i="113"/>
  <c r="Z2604" i="113"/>
  <c r="Z2403" i="113"/>
  <c r="Z416" i="113"/>
  <c r="Z828" i="113"/>
  <c r="Z2450" i="113"/>
  <c r="Z2400" i="113"/>
  <c r="Z292" i="113"/>
  <c r="Z809" i="113"/>
  <c r="Z2523" i="113"/>
  <c r="Z1576" i="113"/>
  <c r="Z1582" i="113"/>
  <c r="Z1735" i="113"/>
  <c r="Z2078" i="113"/>
  <c r="Z1723" i="113"/>
  <c r="Z1978" i="113"/>
  <c r="Z628" i="113"/>
  <c r="Z1062" i="113"/>
  <c r="Z1998" i="113"/>
  <c r="Z2264" i="113"/>
  <c r="Z1454" i="113"/>
  <c r="Z24" i="113"/>
  <c r="Z1057" i="113"/>
  <c r="Z1986" i="113"/>
  <c r="Z759" i="113"/>
  <c r="Z2644" i="113"/>
  <c r="Z2575" i="113"/>
  <c r="Z2619" i="113"/>
  <c r="Z2627" i="113"/>
  <c r="Z2506" i="113"/>
  <c r="Z1789" i="113"/>
  <c r="Z1415" i="113"/>
  <c r="Z2308" i="113"/>
  <c r="Z345" i="113"/>
  <c r="Z455" i="113"/>
  <c r="Z1334" i="113"/>
  <c r="Z1574" i="113"/>
  <c r="Z2612" i="113"/>
  <c r="Z1630" i="113"/>
  <c r="Z130" i="113"/>
  <c r="Z146" i="113"/>
  <c r="Z2196" i="113"/>
  <c r="Z481" i="113"/>
  <c r="Z2461" i="113"/>
  <c r="Z1484" i="113"/>
  <c r="Z23" i="113"/>
  <c r="Z2406" i="113"/>
  <c r="Z2536" i="113"/>
  <c r="Z1155" i="113"/>
  <c r="Z1887" i="113"/>
  <c r="Z1172" i="113"/>
  <c r="Z2411" i="113"/>
  <c r="Z127" i="113"/>
  <c r="Z547" i="113"/>
  <c r="Z1563" i="113"/>
  <c r="Z1601" i="113"/>
  <c r="Z1537" i="113"/>
  <c r="Z1695" i="113"/>
  <c r="Z2130" i="113"/>
  <c r="Z573" i="113"/>
  <c r="Z2027" i="113"/>
  <c r="Z1197" i="113"/>
  <c r="Z1387" i="113"/>
  <c r="Z1913" i="113"/>
  <c r="Z115" i="113"/>
  <c r="Z368" i="113"/>
  <c r="Z1170" i="113"/>
  <c r="Z2573" i="113"/>
  <c r="Z2159" i="113"/>
  <c r="Z1347" i="113"/>
  <c r="Z1480" i="113"/>
  <c r="Z670" i="113"/>
  <c r="Z736" i="113"/>
  <c r="Z813" i="113"/>
  <c r="Z608" i="113"/>
  <c r="Z819" i="113"/>
  <c r="Z1609" i="113"/>
  <c r="Z1041" i="113"/>
  <c r="Z470" i="113"/>
  <c r="Z1842" i="113"/>
  <c r="Z118" i="113"/>
  <c r="Z1354" i="113"/>
  <c r="Z924" i="113"/>
  <c r="Z1665" i="113"/>
  <c r="Z925" i="113"/>
  <c r="Z204" i="113"/>
  <c r="Z567" i="113"/>
  <c r="Z2678" i="113"/>
  <c r="Z2194" i="113"/>
  <c r="Z2184" i="113"/>
  <c r="Z2351" i="113"/>
  <c r="Z2659" i="113"/>
  <c r="Z1911" i="113"/>
  <c r="Z2570" i="113"/>
  <c r="Z1431" i="113"/>
  <c r="Z1984" i="113"/>
  <c r="Z1421" i="113"/>
  <c r="Z12" i="113"/>
  <c r="Z2420" i="113"/>
  <c r="Z505" i="113"/>
  <c r="Z358" i="113"/>
  <c r="Z1811" i="113"/>
  <c r="Z2152" i="113"/>
  <c r="Z715" i="113"/>
  <c r="Z2093" i="113"/>
  <c r="Z858" i="113"/>
  <c r="Z1995" i="113"/>
  <c r="Z1509" i="113"/>
  <c r="Z1318" i="113"/>
  <c r="Z1493" i="113"/>
  <c r="Z2247" i="113"/>
  <c r="Z498" i="113"/>
  <c r="Z2271" i="113"/>
  <c r="Z1005" i="113"/>
  <c r="Z1851" i="113"/>
  <c r="Z743" i="113"/>
  <c r="Z1780" i="113"/>
  <c r="Z1178" i="113"/>
  <c r="Z2489" i="113"/>
  <c r="Z1322" i="113"/>
  <c r="Z797" i="113"/>
  <c r="Z639" i="113"/>
  <c r="Z2365" i="113"/>
  <c r="Z2477" i="113"/>
  <c r="Z1678" i="113"/>
  <c r="Z245" i="113"/>
  <c r="Z784" i="113"/>
  <c r="Z2243" i="113"/>
  <c r="Z1912" i="113"/>
  <c r="Z2515" i="113"/>
  <c r="Z2226" i="113"/>
  <c r="Z1965" i="113"/>
  <c r="Z2402" i="113"/>
  <c r="Z1213" i="113"/>
  <c r="Z1050" i="113"/>
  <c r="Z268" i="113"/>
  <c r="Z967" i="113"/>
  <c r="Z1646" i="113"/>
  <c r="Z2470" i="113"/>
  <c r="Z2168" i="113"/>
  <c r="Z296" i="113"/>
  <c r="Z467" i="113"/>
  <c r="Z1046" i="113"/>
  <c r="Z2202" i="113"/>
  <c r="Z1900" i="113"/>
  <c r="Z1015" i="113"/>
  <c r="Z814" i="113"/>
  <c r="Z1542" i="113"/>
  <c r="Z2490" i="113"/>
  <c r="Z2529" i="113"/>
  <c r="Z1652" i="113"/>
  <c r="Z402" i="113"/>
  <c r="Z1333" i="113"/>
  <c r="Z2633" i="113"/>
  <c r="Z380" i="113"/>
  <c r="Z2113" i="113"/>
  <c r="Z509" i="113"/>
  <c r="Z2124" i="113"/>
  <c r="Z2464" i="113"/>
  <c r="Z1150" i="113"/>
  <c r="Z1287" i="113"/>
  <c r="Z2028" i="113"/>
  <c r="Z1113" i="113"/>
  <c r="Z1081" i="113"/>
  <c r="Z1883" i="113"/>
  <c r="Z1068" i="113"/>
  <c r="Z875" i="113"/>
  <c r="Z1758" i="113"/>
  <c r="Z909" i="113"/>
  <c r="Z2101" i="113"/>
  <c r="Z1613" i="113"/>
  <c r="Z830" i="113"/>
  <c r="Z529" i="113"/>
  <c r="Z1548" i="113"/>
  <c r="Z1344" i="113"/>
  <c r="Z1931" i="113"/>
  <c r="Z2492" i="113"/>
  <c r="Z2278" i="113"/>
  <c r="Z1307" i="113"/>
  <c r="Z2462" i="113"/>
  <c r="Z1684" i="113"/>
  <c r="Z536" i="113"/>
  <c r="Z912" i="113"/>
  <c r="Z1522" i="113"/>
  <c r="Z569" i="113"/>
  <c r="Z2578" i="113"/>
  <c r="Z1588" i="113"/>
  <c r="Z868" i="113"/>
  <c r="Z22" i="113"/>
  <c r="Z669" i="113"/>
  <c r="Z1705" i="113"/>
  <c r="Z148" i="113"/>
  <c r="Z2479" i="113"/>
  <c r="Z62" i="113"/>
  <c r="Z252" i="113"/>
  <c r="Z762" i="113"/>
  <c r="Z2058" i="113"/>
  <c r="Z2296" i="113"/>
  <c r="Z2235" i="113"/>
  <c r="Z1194" i="113"/>
  <c r="Z1840" i="113"/>
  <c r="Z839" i="113"/>
  <c r="Z2110" i="113"/>
  <c r="Z2069" i="113"/>
  <c r="Z1218" i="113"/>
  <c r="Z2440" i="113"/>
  <c r="Z712" i="113"/>
  <c r="Z486" i="113"/>
  <c r="Z1252" i="113"/>
  <c r="Z686" i="113"/>
  <c r="Z1438" i="113"/>
  <c r="Z1620" i="113"/>
  <c r="Z1671" i="113"/>
  <c r="Z977" i="113"/>
  <c r="Z2272" i="113"/>
  <c r="Z2049" i="113"/>
  <c r="Z2052" i="113"/>
  <c r="Z2367" i="113"/>
  <c r="Z800" i="113"/>
  <c r="Z2621" i="113"/>
  <c r="Z1504" i="113"/>
  <c r="Z337" i="113"/>
  <c r="Z2001" i="113"/>
  <c r="Z807" i="113"/>
  <c r="Z2567" i="113"/>
  <c r="Z1866" i="113"/>
  <c r="Z157" i="113"/>
  <c r="Z1769" i="113"/>
  <c r="Z2095" i="113"/>
  <c r="Z1523" i="113"/>
  <c r="Z403" i="113"/>
  <c r="Z603" i="113"/>
  <c r="Z562" i="113"/>
  <c r="Z305" i="113"/>
  <c r="Z2158" i="113"/>
  <c r="Z1291" i="113"/>
  <c r="Z151" i="113"/>
  <c r="Z1968" i="113"/>
  <c r="Z2312" i="113"/>
  <c r="Z2239" i="113"/>
  <c r="Z2040" i="113"/>
  <c r="Z1598" i="113"/>
  <c r="Z1653" i="113"/>
  <c r="Z1531" i="113"/>
  <c r="Z973" i="113"/>
  <c r="Z607" i="113"/>
  <c r="Z92" i="113"/>
  <c r="Z1664" i="113"/>
  <c r="Z122" i="113"/>
  <c r="Z2451" i="113"/>
  <c r="Z2542" i="113"/>
  <c r="Z642" i="113"/>
  <c r="Z2154" i="113"/>
  <c r="Z835" i="113"/>
  <c r="Z434" i="113"/>
  <c r="Z696" i="113"/>
  <c r="Z2245" i="113"/>
  <c r="Z1319" i="113"/>
  <c r="Z534" i="113"/>
  <c r="Z1971" i="113"/>
  <c r="Z1831" i="113"/>
  <c r="Z2499" i="113"/>
  <c r="Z263" i="113"/>
  <c r="Z2460" i="113"/>
  <c r="Z1164" i="113"/>
  <c r="Z1832" i="113"/>
  <c r="Z2180" i="113"/>
  <c r="Z2505" i="113"/>
  <c r="Z2596" i="113"/>
  <c r="Z2285" i="113"/>
  <c r="Z1942" i="113"/>
  <c r="Z1533" i="113"/>
  <c r="Z2381" i="113"/>
  <c r="Z2259" i="113"/>
  <c r="Z1848" i="113"/>
  <c r="Z433" i="113"/>
  <c r="Z947" i="113"/>
  <c r="Z1297" i="113"/>
  <c r="Z502" i="113"/>
  <c r="Z2488" i="113"/>
  <c r="Z1696" i="113"/>
  <c r="Z1724" i="113"/>
  <c r="Z825" i="113"/>
  <c r="Z1238" i="113"/>
  <c r="Z1119" i="113"/>
  <c r="Z580" i="113"/>
  <c r="Z209" i="113"/>
  <c r="Z1169" i="113"/>
  <c r="Z884" i="113"/>
  <c r="Z360" i="113"/>
  <c r="Z1882" i="113"/>
  <c r="Z890" i="113"/>
  <c r="Z2037" i="113"/>
  <c r="Z2317" i="113"/>
  <c r="Z528" i="113"/>
  <c r="Z143" i="113"/>
  <c r="Z1867" i="113"/>
  <c r="Z2527" i="113"/>
  <c r="Z2502" i="113"/>
  <c r="Z332" i="113"/>
  <c r="Z142" i="113"/>
  <c r="Z1731" i="113"/>
  <c r="Z2316" i="113"/>
  <c r="Z1365" i="113"/>
  <c r="Z2614" i="113"/>
  <c r="Z2538" i="113"/>
  <c r="Z1863" i="113"/>
  <c r="Z1592" i="113"/>
  <c r="Z889" i="113"/>
  <c r="Z1561" i="113"/>
  <c r="Z1760" i="113"/>
  <c r="Z159" i="113"/>
  <c r="Z1885" i="113"/>
  <c r="Z2319" i="113"/>
  <c r="Z568" i="113"/>
  <c r="Z1056" i="113"/>
  <c r="Z1272" i="113"/>
  <c r="Z1276" i="113"/>
  <c r="Z1557" i="113"/>
  <c r="Z1402" i="113"/>
  <c r="Z1814" i="113"/>
  <c r="Z2326" i="113"/>
  <c r="Z1090" i="113"/>
  <c r="Z842" i="113"/>
  <c r="Z2274" i="113"/>
  <c r="Z733" i="113"/>
  <c r="Z2325" i="113"/>
  <c r="Z2445" i="113"/>
  <c r="Z1672" i="113"/>
  <c r="Z2433" i="113"/>
  <c r="Z497" i="113"/>
  <c r="Z2270" i="113"/>
  <c r="Z2414" i="113"/>
  <c r="Z1539" i="113"/>
  <c r="Z1304" i="113"/>
  <c r="Z2631" i="113"/>
  <c r="Z2162" i="113"/>
  <c r="Z2607" i="113"/>
  <c r="Z1741" i="113"/>
  <c r="Z1368" i="113"/>
  <c r="Z1235" i="113"/>
  <c r="Z2425" i="113"/>
  <c r="Z1643" i="113"/>
  <c r="Z1190" i="113"/>
  <c r="Z587" i="113"/>
  <c r="Z1132" i="113"/>
  <c r="Z1022" i="113"/>
  <c r="Z2311" i="113"/>
  <c r="Z2413" i="113"/>
  <c r="Z163" i="113"/>
  <c r="Z1251" i="113"/>
  <c r="Z170" i="113"/>
  <c r="Z2287" i="113"/>
  <c r="Z2603" i="113"/>
  <c r="Z1440" i="113"/>
  <c r="Z1902" i="113"/>
  <c r="Z2373" i="113"/>
  <c r="Z2324" i="113"/>
  <c r="Z1707" i="113"/>
  <c r="Z1896" i="113"/>
  <c r="Z407" i="113"/>
  <c r="Z391" i="113"/>
  <c r="Z2641" i="113"/>
  <c r="Z27" i="113"/>
  <c r="Z1420" i="113"/>
  <c r="Z1463" i="113"/>
  <c r="Z1459" i="113"/>
  <c r="Z1525" i="113"/>
  <c r="Z1231" i="113"/>
  <c r="Z128" i="113"/>
  <c r="Z1879" i="113"/>
  <c r="Z2024" i="113"/>
  <c r="Z1367" i="113"/>
  <c r="Z2332" i="113"/>
  <c r="Z2584" i="113"/>
  <c r="Z52" i="113"/>
  <c r="Z1416" i="113"/>
  <c r="Z1442" i="113"/>
  <c r="Z2149" i="113"/>
  <c r="Z758" i="113"/>
  <c r="Z165" i="113"/>
  <c r="Z2643" i="113"/>
  <c r="Z660" i="113"/>
  <c r="Z908" i="113"/>
  <c r="Z781" i="113"/>
  <c r="Z2104" i="113"/>
  <c r="Z1918" i="113"/>
  <c r="Z2115" i="113"/>
  <c r="Z1895" i="113"/>
  <c r="Z367" i="113"/>
  <c r="Z2306" i="113"/>
  <c r="Z708" i="113"/>
  <c r="Z609" i="113"/>
  <c r="Z1230" i="113"/>
  <c r="Z314" i="113"/>
  <c r="Z1108" i="113"/>
  <c r="Z2258" i="113"/>
  <c r="Z2478" i="113"/>
  <c r="Z35" i="113"/>
  <c r="Z941" i="113"/>
  <c r="Z914" i="113"/>
  <c r="Z322" i="113"/>
  <c r="Z2289" i="113"/>
  <c r="Z1345" i="113"/>
  <c r="Z552" i="113"/>
  <c r="Z1369" i="113"/>
  <c r="Z647" i="113"/>
  <c r="Z1469" i="113"/>
  <c r="Z1110" i="113"/>
  <c r="Z270" i="113"/>
  <c r="Z1764" i="113"/>
  <c r="Z537" i="113"/>
  <c r="Z2234" i="113"/>
  <c r="Z1967" i="113"/>
  <c r="Z2338" i="113"/>
  <c r="Z135" i="113"/>
  <c r="Z586" i="113"/>
  <c r="Z2156" i="113"/>
  <c r="Z356" i="113"/>
  <c r="Z1219" i="113"/>
  <c r="Z408" i="113"/>
  <c r="Z1144" i="113"/>
  <c r="Z452" i="113"/>
  <c r="Z2155" i="113"/>
  <c r="Z2223" i="113"/>
  <c r="Z2105" i="113"/>
  <c r="Z2277" i="113"/>
  <c r="Z1839" i="113"/>
  <c r="Z1453" i="113"/>
  <c r="Z2126" i="113"/>
  <c r="Z1703" i="113"/>
  <c r="Z1371" i="113"/>
  <c r="Z2590" i="113"/>
  <c r="Z2032" i="113"/>
  <c r="Z2055" i="113"/>
  <c r="Z105" i="113"/>
  <c r="Z1191" i="113"/>
  <c r="Z2089" i="113"/>
  <c r="Z2448" i="113"/>
  <c r="Z1376" i="113"/>
  <c r="Z2182" i="113"/>
  <c r="Z535" i="113"/>
  <c r="Z1937" i="113"/>
  <c r="Z2214" i="113"/>
  <c r="Z687" i="113"/>
  <c r="Z675" i="113"/>
  <c r="Z2483" i="113"/>
  <c r="Z1384" i="113"/>
  <c r="Z318" i="113"/>
  <c r="Z1625" i="113"/>
  <c r="Z1689" i="113"/>
  <c r="Z242" i="113"/>
  <c r="Z1925" i="113"/>
  <c r="Z2066" i="113"/>
  <c r="Z2178" i="113"/>
  <c r="Z910" i="113"/>
  <c r="Z769" i="113"/>
  <c r="Z196" i="113"/>
  <c r="Z261" i="113"/>
  <c r="Z2667" i="113"/>
  <c r="Z877" i="113"/>
  <c r="Z255" i="113"/>
  <c r="Z2572" i="113"/>
  <c r="Z606" i="113"/>
  <c r="Z2583" i="113"/>
  <c r="Z1762" i="113"/>
  <c r="Z2339" i="113"/>
  <c r="Z1929" i="113"/>
  <c r="Z2329" i="113"/>
  <c r="Z1339" i="113"/>
  <c r="Z1560" i="113"/>
  <c r="Z1658" i="113"/>
  <c r="Z1180" i="113"/>
  <c r="Z179" i="113"/>
  <c r="Z295" i="113"/>
  <c r="Z2364" i="113"/>
  <c r="Z1232" i="113"/>
  <c r="Z444" i="113"/>
  <c r="Z2276" i="113"/>
  <c r="Z917" i="113"/>
  <c r="Z969" i="113"/>
  <c r="Z51" i="113"/>
  <c r="Z121" i="113"/>
  <c r="Z938" i="113"/>
  <c r="Z2457" i="113"/>
  <c r="Z594" i="113"/>
  <c r="Z494" i="113"/>
  <c r="Z725" i="113"/>
  <c r="Z1076" i="113"/>
  <c r="Z2299" i="113"/>
  <c r="Z980" i="113"/>
  <c r="Z747" i="113"/>
  <c r="Z2068" i="113"/>
  <c r="Z656" i="113"/>
  <c r="Z1793" i="113"/>
  <c r="Z2061" i="113"/>
  <c r="Z364" i="113"/>
  <c r="Z294" i="113"/>
  <c r="Z867" i="113"/>
  <c r="Z2172" i="113"/>
  <c r="Z2349" i="113"/>
  <c r="Z1726" i="113"/>
  <c r="Z1260" i="113"/>
  <c r="Z2405" i="113"/>
  <c r="Z100" i="113"/>
  <c r="Z203" i="113"/>
  <c r="Z2138" i="113"/>
  <c r="Z108" i="113"/>
  <c r="Z1904" i="113"/>
  <c r="Z2135" i="113"/>
  <c r="Z1660" i="113"/>
  <c r="Z96" i="113"/>
  <c r="Z1784" i="113"/>
  <c r="Z2472" i="113"/>
  <c r="Z893" i="113"/>
  <c r="Z2229" i="113"/>
  <c r="Z727" i="113"/>
  <c r="Z709" i="113"/>
  <c r="Z1985" i="113"/>
  <c r="Z1308" i="113"/>
  <c r="Z1558" i="113"/>
  <c r="Z2321" i="113"/>
  <c r="Z1861" i="113"/>
  <c r="Z177" i="113"/>
  <c r="Z340" i="113"/>
  <c r="Z2669" i="113"/>
  <c r="Z1326" i="113"/>
  <c r="Z677" i="113"/>
  <c r="Z303" i="113"/>
  <c r="Z710" i="113"/>
  <c r="Z2000" i="113"/>
  <c r="Z1186" i="113"/>
  <c r="Z1200" i="113"/>
  <c r="Z779" i="113"/>
  <c r="Z1058" i="113"/>
  <c r="Z1391" i="113"/>
  <c r="Z527" i="113"/>
  <c r="Z2257" i="113"/>
  <c r="Z1941" i="113"/>
  <c r="Z1048" i="113"/>
  <c r="Z605" i="113"/>
  <c r="Z1647" i="113"/>
  <c r="Z1922" i="113"/>
  <c r="Z2333" i="113"/>
  <c r="Z559" i="113"/>
  <c r="Z1212" i="113"/>
  <c r="Z169" i="113"/>
  <c r="Z983" i="113"/>
  <c r="Z1849" i="113"/>
  <c r="Z2336" i="113"/>
  <c r="Z2344" i="113"/>
  <c r="Z359" i="113"/>
  <c r="Z1973" i="113"/>
  <c r="Z2360" i="113"/>
  <c r="Z1786" i="113"/>
  <c r="Z1862" i="113"/>
  <c r="Z1586" i="113"/>
  <c r="Z1801" i="113"/>
  <c r="Z1742" i="113"/>
  <c r="Z2361" i="113"/>
  <c r="Z2592" i="113"/>
  <c r="Z1752" i="113"/>
  <c r="Z855" i="113"/>
  <c r="Z1755" i="113"/>
  <c r="Z1341" i="113"/>
  <c r="Z863" i="113"/>
  <c r="Z870" i="113"/>
  <c r="Z299" i="113"/>
  <c r="Z1872" i="113"/>
  <c r="Z1112" i="113"/>
  <c r="Z1981" i="113"/>
  <c r="Z1031" i="113"/>
  <c r="Z913" i="113"/>
  <c r="Z1385" i="113"/>
  <c r="Z2387" i="113"/>
  <c r="Z860" i="113"/>
  <c r="Z1547" i="113"/>
  <c r="Z487" i="113"/>
  <c r="Z1773" i="113"/>
  <c r="Z2617" i="113"/>
  <c r="Z1782" i="113"/>
  <c r="Z468" i="113"/>
  <c r="Z1662" i="113"/>
  <c r="Z2286" i="113"/>
  <c r="Z1195" i="113"/>
  <c r="Z352" i="113"/>
  <c r="Z1524" i="113"/>
  <c r="Z823" i="113"/>
  <c r="Z1130" i="113"/>
  <c r="Z2671" i="113"/>
  <c r="Z2597" i="113"/>
  <c r="Z2282" i="113"/>
  <c r="Z238" i="113"/>
  <c r="Z957" i="113"/>
  <c r="Z1569" i="113"/>
  <c r="Z2500" i="113"/>
  <c r="Z2109" i="113"/>
  <c r="Z392" i="113"/>
  <c r="Z593" i="113"/>
  <c r="Z1179" i="113"/>
  <c r="Z1595" i="113"/>
  <c r="Z2366" i="113"/>
  <c r="Z611" i="113"/>
  <c r="Z1869" i="113"/>
  <c r="Z2047" i="113"/>
  <c r="Z2198" i="113"/>
  <c r="Z1401" i="113"/>
  <c r="Z1761" i="113"/>
  <c r="Z1966" i="113"/>
  <c r="Z1963" i="113"/>
  <c r="Z2475" i="113"/>
  <c r="Z2220" i="113"/>
  <c r="Z2230" i="113"/>
  <c r="Z1946" i="113"/>
  <c r="Z2586" i="113"/>
  <c r="Z2086" i="113"/>
  <c r="Z1405" i="113"/>
  <c r="Z1787" i="113"/>
  <c r="Z2618" i="113"/>
  <c r="Z480" i="113"/>
  <c r="Z1559" i="113"/>
  <c r="Z1296" i="113"/>
  <c r="Z2371" i="113"/>
  <c r="Z15" i="113"/>
  <c r="Z1828" i="113"/>
  <c r="Z342" i="113"/>
  <c r="Z1846" i="113"/>
  <c r="Z1267" i="113"/>
  <c r="Z1565" i="113"/>
  <c r="Z1424" i="113"/>
  <c r="Z1078" i="113"/>
  <c r="Z1133" i="113"/>
  <c r="Z510" i="113"/>
  <c r="Z979" i="113"/>
  <c r="Z1508" i="113"/>
  <c r="Z2431" i="113"/>
  <c r="Z1796" i="113"/>
  <c r="Z1171" i="113"/>
  <c r="Z2141" i="113"/>
  <c r="Z2664" i="113"/>
  <c r="Z2432" i="113"/>
  <c r="Z1611" i="113"/>
  <c r="Z61" i="113"/>
  <c r="Z981" i="113"/>
  <c r="Z2250" i="113"/>
  <c r="Z1131" i="113"/>
  <c r="Z2118" i="113"/>
  <c r="Z1277" i="113"/>
  <c r="Z1203" i="113"/>
  <c r="Z2666" i="113"/>
  <c r="Z2208" i="113"/>
  <c r="Z1516" i="113"/>
  <c r="Z155" i="113"/>
  <c r="Z1875" i="113"/>
  <c r="Z1023" i="113"/>
  <c r="Z1096" i="113"/>
  <c r="U1778" i="113"/>
  <c r="V1778" i="113" s="1"/>
  <c r="W1778" i="113" s="1"/>
  <c r="U1865" i="113"/>
  <c r="V1865" i="113" s="1"/>
  <c r="W1865" i="113" s="1"/>
  <c r="U2161" i="113"/>
  <c r="V2161" i="113" s="1"/>
  <c r="W2161" i="113" s="1"/>
  <c r="U901" i="113"/>
  <c r="V901" i="113" s="1"/>
  <c r="W901" i="113" s="1"/>
  <c r="U2352" i="113"/>
  <c r="V2352" i="113" s="1"/>
  <c r="W2352" i="113" s="1"/>
  <c r="U211" i="113"/>
  <c r="V211" i="113" s="1"/>
  <c r="W211" i="113" s="1"/>
  <c r="U1013" i="113"/>
  <c r="V1013" i="113" s="1"/>
  <c r="W1013" i="113" s="1"/>
  <c r="U1451" i="113"/>
  <c r="V1451" i="113" s="1"/>
  <c r="W1451" i="113" s="1"/>
  <c r="U2369" i="113"/>
  <c r="V2369" i="113" s="1"/>
  <c r="W2369" i="113" s="1"/>
  <c r="U67" i="113"/>
  <c r="V67" i="113" s="1"/>
  <c r="W67" i="113" s="1"/>
  <c r="U671" i="113"/>
  <c r="V671" i="113" s="1"/>
  <c r="W671" i="113" s="1"/>
  <c r="U2600" i="113"/>
  <c r="V2600" i="113" s="1"/>
  <c r="W2600" i="113" s="1"/>
  <c r="U729" i="113"/>
  <c r="V729" i="113" s="1"/>
  <c r="W729" i="113" s="1"/>
  <c r="U94" i="113"/>
  <c r="V94" i="113" s="1"/>
  <c r="W94" i="113" s="1"/>
  <c r="U988" i="113"/>
  <c r="V988" i="113" s="1"/>
  <c r="W988" i="113" s="1"/>
  <c r="U1306" i="113"/>
  <c r="V1306" i="113" s="1"/>
  <c r="W1306" i="113" s="1"/>
  <c r="U1236" i="113"/>
  <c r="V1236" i="113" s="1"/>
  <c r="W1236" i="113" s="1"/>
  <c r="U1577" i="113"/>
  <c r="V1577" i="113" s="1"/>
  <c r="W1577" i="113" s="1"/>
  <c r="U2625" i="113"/>
  <c r="V2625" i="113" s="1"/>
  <c r="W2625" i="113" s="1"/>
  <c r="U2474" i="113"/>
  <c r="V2474" i="113" s="1"/>
  <c r="W2474" i="113" s="1"/>
  <c r="U1680" i="113"/>
  <c r="V1680" i="113" s="1"/>
  <c r="W1680" i="113" s="1"/>
  <c r="U2204" i="113"/>
  <c r="V2204" i="113" s="1"/>
  <c r="W2204" i="113" s="1"/>
  <c r="U864" i="113"/>
  <c r="V864" i="113" s="1"/>
  <c r="W864" i="113" s="1"/>
  <c r="U1906" i="113"/>
  <c r="V1906" i="113" s="1"/>
  <c r="W1906" i="113" s="1"/>
  <c r="U389" i="113"/>
  <c r="V389" i="113" s="1"/>
  <c r="W389" i="113" s="1"/>
  <c r="U1075" i="113"/>
  <c r="V1075" i="113" s="1"/>
  <c r="W1075" i="113" s="1"/>
  <c r="U944" i="113"/>
  <c r="V944" i="113" s="1"/>
  <c r="W944" i="113" s="1"/>
  <c r="U1788" i="113"/>
  <c r="V1788" i="113" s="1"/>
  <c r="W1788" i="113" s="1"/>
  <c r="U1543" i="113"/>
  <c r="V1543" i="113" s="1"/>
  <c r="W1543" i="113" s="1"/>
  <c r="U419" i="113"/>
  <c r="V419" i="113" s="1"/>
  <c r="W419" i="113" s="1"/>
  <c r="U1836" i="113"/>
  <c r="V1836" i="113" s="1"/>
  <c r="W1836" i="113" s="1"/>
  <c r="U1622" i="113"/>
  <c r="V1622" i="113" s="1"/>
  <c r="W1622" i="113" s="1"/>
  <c r="U597" i="113"/>
  <c r="V597" i="113" s="1"/>
  <c r="W597" i="113" s="1"/>
  <c r="U1813" i="113"/>
  <c r="V1813" i="113" s="1"/>
  <c r="W1813" i="113" s="1"/>
  <c r="U2072" i="113"/>
  <c r="V2072" i="113" s="1"/>
  <c r="W2072" i="113" s="1"/>
  <c r="U26" i="113"/>
  <c r="V26" i="113" s="1"/>
  <c r="W26" i="113" s="1"/>
  <c r="U2100" i="113"/>
  <c r="V2100" i="113" s="1"/>
  <c r="W2100" i="113" s="1"/>
  <c r="U541" i="113"/>
  <c r="V541" i="113" s="1"/>
  <c r="W541" i="113" s="1"/>
  <c r="U1103" i="113"/>
  <c r="V1103" i="113" s="1"/>
  <c r="W1103" i="113" s="1"/>
  <c r="U1975" i="113"/>
  <c r="V1975" i="113" s="1"/>
  <c r="W1975" i="113" s="1"/>
  <c r="U2228" i="113"/>
  <c r="V2228" i="113" s="1"/>
  <c r="W2228" i="113" s="1"/>
  <c r="U2657" i="113"/>
  <c r="V2657" i="113" s="1"/>
  <c r="W2657" i="113" s="1"/>
  <c r="U141" i="113"/>
  <c r="V141" i="113" s="1"/>
  <c r="W141" i="113" s="1"/>
  <c r="U1167" i="113"/>
  <c r="V1167" i="113" s="1"/>
  <c r="W1167" i="113" s="1"/>
  <c r="U697" i="113"/>
  <c r="V697" i="113" s="1"/>
  <c r="W697" i="113" s="1"/>
  <c r="U1432" i="113"/>
  <c r="V1432" i="113" s="1"/>
  <c r="W1432" i="113" s="1"/>
  <c r="U2418" i="113"/>
  <c r="V2418" i="113" s="1"/>
  <c r="W2418" i="113" s="1"/>
  <c r="U361" i="113"/>
  <c r="V361" i="113" s="1"/>
  <c r="W361" i="113" s="1"/>
  <c r="U441" i="113"/>
  <c r="V441" i="113" s="1"/>
  <c r="W441" i="113" s="1"/>
  <c r="U1149" i="113"/>
  <c r="V1149" i="113" s="1"/>
  <c r="W1149" i="113" s="1"/>
  <c r="U2524" i="113"/>
  <c r="V2524" i="113" s="1"/>
  <c r="W2524" i="113" s="1"/>
  <c r="U1645" i="113"/>
  <c r="V1645" i="113" s="1"/>
  <c r="W1645" i="113" s="1"/>
  <c r="U2175" i="113"/>
  <c r="V2175" i="113" s="1"/>
  <c r="W2175" i="113" s="1"/>
  <c r="U477" i="113"/>
  <c r="V477" i="113" s="1"/>
  <c r="W477" i="113" s="1"/>
  <c r="U2556" i="113"/>
  <c r="V2556" i="113" s="1"/>
  <c r="W2556" i="113" s="1"/>
  <c r="U1593" i="113"/>
  <c r="V1593" i="113" s="1"/>
  <c r="W1593" i="113" s="1"/>
  <c r="U644" i="113"/>
  <c r="V644" i="113" s="1"/>
  <c r="W644" i="113" s="1"/>
  <c r="U306" i="113"/>
  <c r="V306" i="113" s="1"/>
  <c r="W306" i="113" s="1"/>
  <c r="U770" i="113"/>
  <c r="V770" i="113" s="1"/>
  <c r="W770" i="113" s="1"/>
  <c r="U125" i="113"/>
  <c r="V125" i="113" s="1"/>
  <c r="W125" i="113" s="1"/>
  <c r="U1884" i="113"/>
  <c r="V1884" i="113" s="1"/>
  <c r="W1884" i="113" s="1"/>
  <c r="U1284" i="113"/>
  <c r="V1284" i="113" s="1"/>
  <c r="W1284" i="113" s="1"/>
  <c r="U2382" i="113"/>
  <c r="V2382" i="113" s="1"/>
  <c r="W2382" i="113" s="1"/>
  <c r="U2" i="113"/>
  <c r="V2" i="113" s="1"/>
  <c r="W2" i="113" s="1"/>
  <c r="U2123" i="113"/>
  <c r="V2123" i="113" s="1"/>
  <c r="W2123" i="113" s="1"/>
  <c r="U180" i="113"/>
  <c r="V180" i="113" s="1"/>
  <c r="W180" i="113" s="1"/>
  <c r="U2318" i="113"/>
  <c r="V2318" i="113" s="1"/>
  <c r="W2318" i="113" s="1"/>
  <c r="U2305" i="113"/>
  <c r="V2305" i="113" s="1"/>
  <c r="W2305" i="113" s="1"/>
  <c r="U511" i="113"/>
  <c r="V511" i="113" s="1"/>
  <c r="W511" i="113" s="1"/>
  <c r="U1746" i="113"/>
  <c r="V1746" i="113" s="1"/>
  <c r="W1746" i="113" s="1"/>
  <c r="U1950" i="113"/>
  <c r="V1950" i="113" s="1"/>
  <c r="W1950" i="113" s="1"/>
  <c r="U2003" i="113"/>
  <c r="V2003" i="113" s="1"/>
  <c r="W2003" i="113" s="1"/>
  <c r="U1719" i="113"/>
  <c r="V1719" i="113" s="1"/>
  <c r="W1719" i="113" s="1"/>
  <c r="U806" i="113"/>
  <c r="V806" i="113" s="1"/>
  <c r="W806" i="113" s="1"/>
  <c r="U2501" i="113"/>
  <c r="V2501" i="113" s="1"/>
  <c r="W2501" i="113" s="1"/>
  <c r="U278" i="113"/>
  <c r="V278" i="113" s="1"/>
  <c r="W278" i="113" s="1"/>
  <c r="U1204" i="113"/>
  <c r="V1204" i="113" s="1"/>
  <c r="W1204" i="113" s="1"/>
  <c r="U2453" i="113"/>
  <c r="V2453" i="113" s="1"/>
  <c r="W2453" i="113" s="1"/>
  <c r="U2252" i="113"/>
  <c r="V2252" i="113" s="1"/>
  <c r="W2252" i="113" s="1"/>
  <c r="U838" i="113"/>
  <c r="V838" i="113" s="1"/>
  <c r="W838" i="113" s="1"/>
  <c r="U582" i="113"/>
  <c r="V582" i="113" s="1"/>
  <c r="W582" i="113" s="1"/>
  <c r="U2038" i="113"/>
  <c r="V2038" i="113" s="1"/>
  <c r="W2038" i="113" s="1"/>
  <c r="U167" i="113"/>
  <c r="V167" i="113" s="1"/>
  <c r="W167" i="113" s="1"/>
  <c r="U2399" i="113"/>
  <c r="V2399" i="113" s="1"/>
  <c r="W2399" i="113" s="1"/>
  <c r="U1040" i="113"/>
  <c r="V1040" i="113" s="1"/>
  <c r="W1040" i="113" s="1"/>
  <c r="U1494" i="113"/>
  <c r="V1494" i="113" s="1"/>
  <c r="W1494" i="113" s="1"/>
  <c r="U1128" i="113"/>
  <c r="V1128" i="113" s="1"/>
  <c r="W1128" i="113" s="1"/>
  <c r="U338" i="113"/>
  <c r="V338" i="113" s="1"/>
  <c r="W338" i="113" s="1"/>
  <c r="U243" i="113"/>
  <c r="V243" i="113" s="1"/>
  <c r="W243" i="113" s="1"/>
  <c r="U615" i="113"/>
  <c r="V615" i="113" s="1"/>
  <c r="W615" i="113" s="1"/>
  <c r="U2281" i="113"/>
  <c r="V2281" i="113" s="1"/>
  <c r="W2281" i="113" s="1"/>
  <c r="A154" i="108"/>
  <c r="A153" i="108"/>
  <c r="A152" i="108"/>
  <c r="A151" i="108"/>
  <c r="A150" i="108"/>
  <c r="A149" i="108"/>
  <c r="A148" i="108"/>
  <c r="A147" i="108"/>
  <c r="A146" i="108"/>
  <c r="A145" i="108"/>
  <c r="A144" i="108"/>
  <c r="A143" i="108"/>
  <c r="A142" i="108"/>
  <c r="A141" i="108"/>
  <c r="A140" i="108"/>
  <c r="A139" i="108"/>
  <c r="A138" i="108"/>
  <c r="A137" i="108"/>
  <c r="A136" i="108"/>
  <c r="A135" i="108"/>
  <c r="A134" i="108"/>
  <c r="A133" i="108"/>
  <c r="A132" i="108"/>
  <c r="A131" i="108"/>
  <c r="A130" i="108"/>
  <c r="A129" i="108"/>
  <c r="A128" i="108"/>
  <c r="A127" i="108"/>
  <c r="A126" i="108"/>
  <c r="A125" i="108"/>
  <c r="A124" i="108"/>
  <c r="A123" i="108"/>
  <c r="A122" i="108"/>
  <c r="A121" i="108"/>
  <c r="A120" i="108"/>
  <c r="A119" i="108"/>
  <c r="A118" i="108"/>
  <c r="A117" i="108"/>
  <c r="A116" i="108"/>
  <c r="A115" i="108"/>
  <c r="A114" i="108"/>
  <c r="A113" i="108"/>
  <c r="A112" i="108"/>
  <c r="A111" i="108"/>
  <c r="A110" i="108"/>
  <c r="A109" i="108"/>
  <c r="A108" i="108"/>
  <c r="A107" i="108"/>
  <c r="A106" i="108"/>
  <c r="A105" i="108"/>
  <c r="A104" i="108"/>
  <c r="A103" i="108"/>
  <c r="A102" i="108"/>
  <c r="A101" i="108"/>
  <c r="A100" i="108"/>
  <c r="A99" i="108"/>
  <c r="A98" i="108"/>
  <c r="A97" i="108"/>
  <c r="A96" i="108"/>
  <c r="A95" i="108"/>
  <c r="A94" i="108"/>
  <c r="A93" i="108"/>
  <c r="A92" i="108"/>
  <c r="A91" i="108"/>
  <c r="A90" i="108"/>
  <c r="A89" i="108"/>
  <c r="A88" i="108"/>
  <c r="A87" i="108"/>
  <c r="A86" i="108"/>
  <c r="A85" i="108"/>
  <c r="A84" i="108"/>
  <c r="A83" i="108"/>
  <c r="A82" i="108"/>
  <c r="A81" i="108"/>
  <c r="A80" i="108"/>
  <c r="A79" i="108"/>
  <c r="A78" i="108"/>
  <c r="A77" i="108"/>
  <c r="A76" i="108"/>
  <c r="A75" i="108"/>
  <c r="A74" i="108"/>
  <c r="A73" i="108"/>
  <c r="A72" i="108"/>
  <c r="A71" i="108"/>
  <c r="A70" i="108"/>
  <c r="A69" i="108"/>
  <c r="A68" i="108"/>
  <c r="A67" i="108"/>
  <c r="A66" i="108"/>
  <c r="A65" i="108"/>
  <c r="A64" i="108"/>
  <c r="A63" i="108"/>
  <c r="E154" i="108"/>
  <c r="E153" i="108"/>
  <c r="E152" i="108"/>
  <c r="E151" i="108"/>
  <c r="E150" i="108"/>
  <c r="E149" i="108"/>
  <c r="E148" i="108"/>
  <c r="E147" i="108"/>
  <c r="E146" i="108"/>
  <c r="E145" i="108"/>
  <c r="E144" i="108"/>
  <c r="E143" i="108"/>
  <c r="E142" i="108"/>
  <c r="E141" i="108"/>
  <c r="E140" i="108"/>
  <c r="E139" i="108"/>
  <c r="E138" i="108"/>
  <c r="E137" i="108"/>
  <c r="E136" i="108"/>
  <c r="E135" i="108"/>
  <c r="E134" i="108"/>
  <c r="E133" i="108"/>
  <c r="E132" i="108"/>
  <c r="E131" i="108"/>
  <c r="E130" i="108"/>
  <c r="E129" i="108"/>
  <c r="E128" i="108"/>
  <c r="E127" i="108"/>
  <c r="E126" i="108"/>
  <c r="E125" i="108"/>
  <c r="E124" i="108"/>
  <c r="E123" i="108"/>
  <c r="E122" i="108"/>
  <c r="E121" i="108"/>
  <c r="E120" i="108"/>
  <c r="E119" i="108"/>
  <c r="E118" i="108"/>
  <c r="E117" i="108"/>
  <c r="E116" i="108"/>
  <c r="E115" i="108"/>
  <c r="E114" i="108"/>
  <c r="E113" i="108"/>
  <c r="E112" i="108"/>
  <c r="E111" i="108"/>
  <c r="E110" i="108"/>
  <c r="E109" i="108"/>
  <c r="E108" i="108"/>
  <c r="E107" i="108"/>
  <c r="E106" i="108"/>
  <c r="E105" i="108"/>
  <c r="E104" i="108"/>
  <c r="E103" i="108"/>
  <c r="E102" i="108"/>
  <c r="E101" i="108"/>
  <c r="E100" i="108"/>
  <c r="E99" i="108"/>
  <c r="E98" i="108"/>
  <c r="E97" i="108"/>
  <c r="E96" i="108"/>
  <c r="E95" i="108"/>
  <c r="E94" i="108"/>
  <c r="E93" i="108"/>
  <c r="E92" i="108"/>
  <c r="E91" i="108"/>
  <c r="E90" i="108"/>
  <c r="E89" i="108"/>
  <c r="E88" i="108"/>
  <c r="E87" i="108"/>
  <c r="E86" i="108"/>
  <c r="E85" i="108"/>
  <c r="E84" i="108"/>
  <c r="E83" i="108"/>
  <c r="E82" i="108"/>
  <c r="E81" i="108"/>
  <c r="E80" i="108"/>
  <c r="E79" i="108"/>
  <c r="E78" i="108"/>
  <c r="E77" i="108"/>
  <c r="E76" i="108"/>
  <c r="E75" i="108"/>
  <c r="E74" i="108"/>
  <c r="E73" i="108"/>
  <c r="E72" i="108"/>
  <c r="E71" i="108"/>
  <c r="E70" i="108"/>
  <c r="E69" i="108"/>
  <c r="E68" i="108"/>
  <c r="E67" i="108"/>
  <c r="E66" i="108"/>
  <c r="E65" i="108"/>
  <c r="E64" i="108"/>
  <c r="E4" i="101"/>
  <c r="E63" i="108" s="1"/>
  <c r="G3" i="111"/>
  <c r="G50" i="108"/>
  <c r="E50" i="108"/>
  <c r="K35" i="108"/>
  <c r="M28" i="108"/>
  <c r="M27" i="108"/>
  <c r="M26" i="108"/>
  <c r="M25" i="108"/>
  <c r="M24" i="108"/>
  <c r="M23" i="108"/>
  <c r="M34" i="108"/>
  <c r="M33" i="108"/>
  <c r="M32" i="108"/>
  <c r="M31" i="108"/>
  <c r="M30" i="108"/>
  <c r="M29" i="108"/>
  <c r="A3" i="108"/>
  <c r="A2" i="108"/>
  <c r="G5715" i="111" l="1"/>
  <c r="H5715" i="111" s="1"/>
  <c r="I5715" i="111" s="1"/>
  <c r="G5130" i="111"/>
  <c r="H5130" i="111" s="1"/>
  <c r="I5130" i="111" s="1"/>
  <c r="G939" i="111"/>
  <c r="G944" i="111"/>
  <c r="H944" i="111" s="1"/>
  <c r="I944" i="111" s="1"/>
  <c r="G1146" i="111"/>
  <c r="H1146" i="111" s="1"/>
  <c r="I1146" i="111" s="1"/>
  <c r="G811" i="111"/>
  <c r="H811" i="111" s="1"/>
  <c r="I811" i="111" s="1"/>
  <c r="G250" i="111"/>
  <c r="G514" i="111"/>
  <c r="H514" i="111" s="1"/>
  <c r="I514" i="111" s="1"/>
  <c r="G1595" i="111"/>
  <c r="G1338" i="111"/>
  <c r="H1338" i="111" s="1"/>
  <c r="I1338" i="111" s="1"/>
  <c r="G286" i="111"/>
  <c r="H286" i="111" s="1"/>
  <c r="I286" i="111" s="1"/>
  <c r="G287" i="111"/>
  <c r="G122" i="111"/>
  <c r="H122" i="111" s="1"/>
  <c r="I122" i="111" s="1"/>
  <c r="G397" i="111"/>
  <c r="H397" i="111" s="1"/>
  <c r="I397" i="111" s="1"/>
  <c r="G117" i="111"/>
  <c r="H117" i="111" s="1"/>
  <c r="I117" i="111" s="1"/>
  <c r="G1076" i="111"/>
  <c r="H1076" i="111" s="1"/>
  <c r="I1076" i="111" s="1"/>
  <c r="G89" i="111"/>
  <c r="H89" i="111" s="1"/>
  <c r="I89" i="111" s="1"/>
  <c r="G3244" i="111"/>
  <c r="G1192" i="111"/>
  <c r="G652" i="111"/>
  <c r="H652" i="111" s="1"/>
  <c r="I652" i="111" s="1"/>
  <c r="G512" i="111"/>
  <c r="H512" i="111" s="1"/>
  <c r="I512" i="111" s="1"/>
  <c r="G155" i="111"/>
  <c r="G1174" i="111"/>
  <c r="G134" i="111"/>
  <c r="G1021" i="111"/>
  <c r="H1021" i="111" s="1"/>
  <c r="I1021" i="111" s="1"/>
  <c r="G2545" i="111"/>
  <c r="H2545" i="111" s="1"/>
  <c r="I2545" i="111" s="1"/>
  <c r="G338" i="111"/>
  <c r="H338" i="111" s="1"/>
  <c r="I338" i="111" s="1"/>
  <c r="G1148" i="111"/>
  <c r="H1148" i="111" s="1"/>
  <c r="I1148" i="111" s="1"/>
  <c r="G487" i="111"/>
  <c r="G1904" i="111"/>
  <c r="H1904" i="111" s="1"/>
  <c r="I1904" i="111" s="1"/>
  <c r="G1917" i="111"/>
  <c r="G6523" i="111"/>
  <c r="H6523" i="111" s="1"/>
  <c r="I6523" i="111" s="1"/>
  <c r="G6175" i="111"/>
  <c r="H6175" i="111" s="1"/>
  <c r="I6175" i="111" s="1"/>
  <c r="G5812" i="111"/>
  <c r="H5812" i="111" s="1"/>
  <c r="I5812" i="111" s="1"/>
  <c r="G6687" i="111"/>
  <c r="H6687" i="111" s="1"/>
  <c r="I6687" i="111" s="1"/>
  <c r="G6325" i="111"/>
  <c r="H6325" i="111" s="1"/>
  <c r="I6325" i="111" s="1"/>
  <c r="G5851" i="111"/>
  <c r="H5851" i="111" s="1"/>
  <c r="I5851" i="111" s="1"/>
  <c r="G5462" i="111"/>
  <c r="H5462" i="111" s="1"/>
  <c r="I5462" i="111" s="1"/>
  <c r="G6624" i="111"/>
  <c r="H6624" i="111" s="1"/>
  <c r="I6624" i="111" s="1"/>
  <c r="G6150" i="111"/>
  <c r="H6150" i="111" s="1"/>
  <c r="I6150" i="111" s="1"/>
  <c r="G6664" i="111"/>
  <c r="H6664" i="111" s="1"/>
  <c r="I6664" i="111" s="1"/>
  <c r="G6286" i="111"/>
  <c r="H6286" i="111" s="1"/>
  <c r="I6286" i="111" s="1"/>
  <c r="G5775" i="111"/>
  <c r="H5775" i="111" s="1"/>
  <c r="I5775" i="111" s="1"/>
  <c r="G5318" i="111"/>
  <c r="H5318" i="111" s="1"/>
  <c r="I5318" i="111" s="1"/>
  <c r="G6642" i="111"/>
  <c r="H6642" i="111" s="1"/>
  <c r="I6642" i="111" s="1"/>
  <c r="G6077" i="111"/>
  <c r="G5635" i="111"/>
  <c r="H5635" i="111" s="1"/>
  <c r="I5635" i="111" s="1"/>
  <c r="G5261" i="111"/>
  <c r="G6506" i="111"/>
  <c r="H6506" i="111" s="1"/>
  <c r="I6506" i="111" s="1"/>
  <c r="G6113" i="111"/>
  <c r="H6113" i="111" s="1"/>
  <c r="I6113" i="111" s="1"/>
  <c r="G5573" i="111"/>
  <c r="H5573" i="111" s="1"/>
  <c r="I5573" i="111" s="1"/>
  <c r="G6320" i="111"/>
  <c r="H6320" i="111" s="1"/>
  <c r="I6320" i="111" s="1"/>
  <c r="G5784" i="111"/>
  <c r="H5784" i="111" s="1"/>
  <c r="I5784" i="111" s="1"/>
  <c r="G5342" i="111"/>
  <c r="G6453" i="111"/>
  <c r="H6453" i="111" s="1"/>
  <c r="I6453" i="111" s="1"/>
  <c r="G6070" i="111"/>
  <c r="H6070" i="111" s="1"/>
  <c r="I6070" i="111" s="1"/>
  <c r="G5596" i="111"/>
  <c r="G5046" i="111"/>
  <c r="H5046" i="111" s="1"/>
  <c r="I5046" i="111" s="1"/>
  <c r="G6420" i="111"/>
  <c r="H6420" i="111" s="1"/>
  <c r="I6420" i="111" s="1"/>
  <c r="G5909" i="111"/>
  <c r="H5909" i="111" s="1"/>
  <c r="I5909" i="111" s="1"/>
  <c r="G6500" i="111"/>
  <c r="H6500" i="111" s="1"/>
  <c r="I6500" i="111" s="1"/>
  <c r="G5769" i="111"/>
  <c r="H5769" i="111" s="1"/>
  <c r="I5769" i="111" s="1"/>
  <c r="G5088" i="111"/>
  <c r="H5088" i="111" s="1"/>
  <c r="I5088" i="111" s="1"/>
  <c r="G6143" i="111"/>
  <c r="H6143" i="111" s="1"/>
  <c r="I6143" i="111" s="1"/>
  <c r="G5338" i="111"/>
  <c r="G4921" i="111"/>
  <c r="H4921" i="111" s="1"/>
  <c r="I4921" i="111" s="1"/>
  <c r="G4596" i="111"/>
  <c r="H4596" i="111" s="1"/>
  <c r="I4596" i="111" s="1"/>
  <c r="G6211" i="111"/>
  <c r="H6211" i="111" s="1"/>
  <c r="I6211" i="111" s="1"/>
  <c r="G5454" i="111"/>
  <c r="H5454" i="111" s="1"/>
  <c r="I5454" i="111" s="1"/>
  <c r="G4854" i="111"/>
  <c r="H4854" i="111" s="1"/>
  <c r="I4854" i="111" s="1"/>
  <c r="G4523" i="111"/>
  <c r="H4523" i="111" s="1"/>
  <c r="I4523" i="111" s="1"/>
  <c r="G5954" i="111"/>
  <c r="H5954" i="111" s="1"/>
  <c r="I5954" i="111" s="1"/>
  <c r="G5336" i="111"/>
  <c r="H5336" i="111" s="1"/>
  <c r="I5336" i="111" s="1"/>
  <c r="G6269" i="111"/>
  <c r="H6269" i="111" s="1"/>
  <c r="I6269" i="111" s="1"/>
  <c r="G5386" i="111"/>
  <c r="H5386" i="111" s="1"/>
  <c r="I5386" i="111" s="1"/>
  <c r="G6614" i="111"/>
  <c r="G5837" i="111"/>
  <c r="H5837" i="111" s="1"/>
  <c r="I5837" i="111" s="1"/>
  <c r="G6443" i="111"/>
  <c r="H6443" i="111" s="1"/>
  <c r="I6443" i="111" s="1"/>
  <c r="G5741" i="111"/>
  <c r="H5741" i="111" s="1"/>
  <c r="I5741" i="111" s="1"/>
  <c r="G4987" i="111"/>
  <c r="H4987" i="111" s="1"/>
  <c r="I4987" i="111" s="1"/>
  <c r="G4645" i="111"/>
  <c r="H4645" i="111" s="1"/>
  <c r="I4645" i="111" s="1"/>
  <c r="G5084" i="111"/>
  <c r="H5084" i="111" s="1"/>
  <c r="I5084" i="111" s="1"/>
  <c r="G4526" i="111"/>
  <c r="G5632" i="111"/>
  <c r="H5632" i="111" s="1"/>
  <c r="I5632" i="111" s="1"/>
  <c r="G4774" i="111"/>
  <c r="H4774" i="111" s="1"/>
  <c r="I4774" i="111" s="1"/>
  <c r="G123" i="111"/>
  <c r="H123" i="111" s="1"/>
  <c r="I123" i="111" s="1"/>
  <c r="G1225" i="111"/>
  <c r="H1225" i="111" s="1"/>
  <c r="I1225" i="111" s="1"/>
  <c r="G1402" i="111"/>
  <c r="H1402" i="111" s="1"/>
  <c r="I1402" i="111" s="1"/>
  <c r="G535" i="111"/>
  <c r="G543" i="111"/>
  <c r="H543" i="111" s="1"/>
  <c r="I543" i="111" s="1"/>
  <c r="G896" i="111"/>
  <c r="H896" i="111" s="1"/>
  <c r="I896" i="111" s="1"/>
  <c r="G941" i="111"/>
  <c r="H941" i="111" s="1"/>
  <c r="I941" i="111" s="1"/>
  <c r="G1993" i="111"/>
  <c r="H1993" i="111" s="1"/>
  <c r="I1993" i="111" s="1"/>
  <c r="G673" i="111"/>
  <c r="H673" i="111" s="1"/>
  <c r="I673" i="111" s="1"/>
  <c r="G682" i="111"/>
  <c r="H682" i="111" s="1"/>
  <c r="I682" i="111" s="1"/>
  <c r="G289" i="111"/>
  <c r="H289" i="111" s="1"/>
  <c r="I289" i="111" s="1"/>
  <c r="G524" i="111"/>
  <c r="H524" i="111" s="1"/>
  <c r="I524" i="111" s="1"/>
  <c r="G279" i="111"/>
  <c r="H279" i="111" s="1"/>
  <c r="I279" i="111" s="1"/>
  <c r="G1301" i="111"/>
  <c r="G213" i="111"/>
  <c r="H213" i="111" s="1"/>
  <c r="I213" i="111" s="1"/>
  <c r="G11" i="111"/>
  <c r="G1379" i="111"/>
  <c r="G1393" i="111"/>
  <c r="H1393" i="111" s="1"/>
  <c r="I1393" i="111" s="1"/>
  <c r="G656" i="111"/>
  <c r="G277" i="111"/>
  <c r="H277" i="111" s="1"/>
  <c r="I277" i="111" s="1"/>
  <c r="G1326" i="111"/>
  <c r="H1326" i="111" s="1"/>
  <c r="I1326" i="111" s="1"/>
  <c r="G255" i="111"/>
  <c r="H255" i="111" s="1"/>
  <c r="I255" i="111" s="1"/>
  <c r="G1134" i="111"/>
  <c r="G3174" i="111"/>
  <c r="G476" i="111"/>
  <c r="G1531" i="111"/>
  <c r="G581" i="111"/>
  <c r="H581" i="111" s="1"/>
  <c r="I581" i="111" s="1"/>
  <c r="G2444" i="111"/>
  <c r="G2074" i="111"/>
  <c r="H2074" i="111" s="1"/>
  <c r="I2074" i="111" s="1"/>
  <c r="G6479" i="111"/>
  <c r="H6479" i="111" s="1"/>
  <c r="I6479" i="111" s="1"/>
  <c r="G6108" i="111"/>
  <c r="H6108" i="111" s="1"/>
  <c r="I6108" i="111" s="1"/>
  <c r="G5779" i="111"/>
  <c r="G6652" i="111"/>
  <c r="H6652" i="111" s="1"/>
  <c r="I6652" i="111" s="1"/>
  <c r="G6262" i="111"/>
  <c r="H6262" i="111" s="1"/>
  <c r="I6262" i="111" s="1"/>
  <c r="G5822" i="111"/>
  <c r="H5822" i="111" s="1"/>
  <c r="I5822" i="111" s="1"/>
  <c r="G5429" i="111"/>
  <c r="H5429" i="111" s="1"/>
  <c r="I5429" i="111" s="1"/>
  <c r="G6590" i="111"/>
  <c r="H6590" i="111" s="1"/>
  <c r="I6590" i="111" s="1"/>
  <c r="G6114" i="111"/>
  <c r="G6588" i="111"/>
  <c r="H6588" i="111" s="1"/>
  <c r="I6588" i="111" s="1"/>
  <c r="G6224" i="111"/>
  <c r="H6224" i="111" s="1"/>
  <c r="I6224" i="111" s="1"/>
  <c r="G5714" i="111"/>
  <c r="H5714" i="111" s="1"/>
  <c r="I5714" i="111" s="1"/>
  <c r="G5262" i="111"/>
  <c r="H5262" i="111" s="1"/>
  <c r="I5262" i="111" s="1"/>
  <c r="G6447" i="111"/>
  <c r="H6447" i="111" s="1"/>
  <c r="I6447" i="111" s="1"/>
  <c r="G5906" i="111"/>
  <c r="H5906" i="111" s="1"/>
  <c r="I5906" i="111" s="1"/>
  <c r="G5574" i="111"/>
  <c r="H5574" i="111" s="1"/>
  <c r="I5574" i="111" s="1"/>
  <c r="G5171" i="111"/>
  <c r="H5171" i="111" s="1"/>
  <c r="I5171" i="111" s="1"/>
  <c r="G6446" i="111"/>
  <c r="H6446" i="111" s="1"/>
  <c r="I6446" i="111" s="1"/>
  <c r="G6039" i="111"/>
  <c r="H6039" i="111" s="1"/>
  <c r="I6039" i="111" s="1"/>
  <c r="G5532" i="111"/>
  <c r="H5532" i="111" s="1"/>
  <c r="I5532" i="111" s="1"/>
  <c r="G6263" i="111"/>
  <c r="H6263" i="111" s="1"/>
  <c r="I6263" i="111" s="1"/>
  <c r="G5744" i="111"/>
  <c r="G5243" i="111"/>
  <c r="H5243" i="111" s="1"/>
  <c r="I5243" i="111" s="1"/>
  <c r="G6423" i="111"/>
  <c r="H6423" i="111" s="1"/>
  <c r="I6423" i="111" s="1"/>
  <c r="G6017" i="111"/>
  <c r="G5459" i="111"/>
  <c r="H5459" i="111" s="1"/>
  <c r="I5459" i="111" s="1"/>
  <c r="G5008" i="111"/>
  <c r="H5008" i="111" s="1"/>
  <c r="I5008" i="111" s="1"/>
  <c r="G6360" i="111"/>
  <c r="H6360" i="111" s="1"/>
  <c r="I6360" i="111" s="1"/>
  <c r="G5871" i="111"/>
  <c r="H5871" i="111" s="1"/>
  <c r="I5871" i="111" s="1"/>
  <c r="G6409" i="111"/>
  <c r="H6409" i="111" s="1"/>
  <c r="I6409" i="111" s="1"/>
  <c r="G5640" i="111"/>
  <c r="H5640" i="111" s="1"/>
  <c r="I5640" i="111" s="1"/>
  <c r="G5048" i="111"/>
  <c r="H5048" i="111" s="1"/>
  <c r="I5048" i="111" s="1"/>
  <c r="G5986" i="111"/>
  <c r="H5986" i="111" s="1"/>
  <c r="I5986" i="111" s="1"/>
  <c r="G5298" i="111"/>
  <c r="H5298" i="111" s="1"/>
  <c r="I5298" i="111" s="1"/>
  <c r="G4887" i="111"/>
  <c r="G4564" i="111"/>
  <c r="H4564" i="111" s="1"/>
  <c r="I4564" i="111" s="1"/>
  <c r="G6071" i="111"/>
  <c r="H6071" i="111" s="1"/>
  <c r="I6071" i="111" s="1"/>
  <c r="G5366" i="111"/>
  <c r="H5366" i="111" s="1"/>
  <c r="I5366" i="111" s="1"/>
  <c r="G4792" i="111"/>
  <c r="H4792" i="111" s="1"/>
  <c r="I4792" i="111" s="1"/>
  <c r="G6671" i="111"/>
  <c r="H6671" i="111" s="1"/>
  <c r="I6671" i="111" s="1"/>
  <c r="G5890" i="111"/>
  <c r="H5890" i="111" s="1"/>
  <c r="I5890" i="111" s="1"/>
  <c r="G5191" i="111"/>
  <c r="G6092" i="111"/>
  <c r="H6092" i="111" s="1"/>
  <c r="I6092" i="111" s="1"/>
  <c r="G5315" i="111"/>
  <c r="H5315" i="111" s="1"/>
  <c r="I5315" i="111" s="1"/>
  <c r="G6421" i="111"/>
  <c r="H6421" i="111" s="1"/>
  <c r="I6421" i="111" s="1"/>
  <c r="G5753" i="111"/>
  <c r="G6218" i="111"/>
  <c r="H6218" i="111" s="1"/>
  <c r="I6218" i="111" s="1"/>
  <c r="G5548" i="111"/>
  <c r="H5548" i="111" s="1"/>
  <c r="I5548" i="111" s="1"/>
  <c r="G4937" i="111"/>
  <c r="H4937" i="111" s="1"/>
  <c r="I4937" i="111" s="1"/>
  <c r="G6429" i="111"/>
  <c r="H6429" i="111" s="1"/>
  <c r="I6429" i="111" s="1"/>
  <c r="G4924" i="111"/>
  <c r="H4924" i="111" s="1"/>
  <c r="I4924" i="111" s="1"/>
  <c r="G4436" i="111"/>
  <c r="H4436" i="111" s="1"/>
  <c r="I4436" i="111" s="1"/>
  <c r="G5523" i="111"/>
  <c r="H5523" i="111" s="1"/>
  <c r="I5523" i="111" s="1"/>
  <c r="G4708" i="111"/>
  <c r="H4708" i="111" s="1"/>
  <c r="I4708" i="111" s="1"/>
  <c r="G5521" i="111"/>
  <c r="H5521" i="111" s="1"/>
  <c r="I5521" i="111" s="1"/>
  <c r="G4875" i="111"/>
  <c r="H4875" i="111" s="1"/>
  <c r="I4875" i="111" s="1"/>
  <c r="G4317" i="111"/>
  <c r="H4317" i="111" s="1"/>
  <c r="I4317" i="111" s="1"/>
  <c r="G3919" i="111"/>
  <c r="H3919" i="111" s="1"/>
  <c r="I3919" i="111" s="1"/>
  <c r="G5307" i="111"/>
  <c r="H5307" i="111" s="1"/>
  <c r="I5307" i="111" s="1"/>
  <c r="G4654" i="111"/>
  <c r="H4654" i="111" s="1"/>
  <c r="I4654" i="111" s="1"/>
  <c r="G4254" i="111"/>
  <c r="H4254" i="111" s="1"/>
  <c r="I4254" i="111" s="1"/>
  <c r="G3903" i="111"/>
  <c r="H3903" i="111" s="1"/>
  <c r="I3903" i="111" s="1"/>
  <c r="G5999" i="111"/>
  <c r="H5999" i="111" s="1"/>
  <c r="I5999" i="111" s="1"/>
  <c r="G5029" i="111"/>
  <c r="H5029" i="111" s="1"/>
  <c r="I5029" i="111" s="1"/>
  <c r="G4479" i="111"/>
  <c r="H4479" i="111" s="1"/>
  <c r="I4479" i="111" s="1"/>
  <c r="G5100" i="111"/>
  <c r="H5100" i="111" s="1"/>
  <c r="I5100" i="111" s="1"/>
  <c r="G4319" i="111"/>
  <c r="H4319" i="111" s="1"/>
  <c r="I4319" i="111" s="1"/>
  <c r="G3906" i="111"/>
  <c r="G3489" i="111"/>
  <c r="H3489" i="111" s="1"/>
  <c r="I3489" i="111" s="1"/>
  <c r="G126" i="111"/>
  <c r="H126" i="111" s="1"/>
  <c r="I126" i="111" s="1"/>
  <c r="G311" i="111"/>
  <c r="G959" i="111"/>
  <c r="G2141" i="111"/>
  <c r="H2141" i="111" s="1"/>
  <c r="I2141" i="111" s="1"/>
  <c r="G2174" i="111"/>
  <c r="H2174" i="111" s="1"/>
  <c r="I2174" i="111" s="1"/>
  <c r="G658" i="111"/>
  <c r="H658" i="111" s="1"/>
  <c r="I658" i="111" s="1"/>
  <c r="G274" i="111"/>
  <c r="H274" i="111" s="1"/>
  <c r="I274" i="111" s="1"/>
  <c r="G1435" i="111"/>
  <c r="H1435" i="111" s="1"/>
  <c r="I1435" i="111" s="1"/>
  <c r="G1794" i="111"/>
  <c r="G1500" i="111"/>
  <c r="H1500" i="111" s="1"/>
  <c r="I1500" i="111" s="1"/>
  <c r="G1825" i="111"/>
  <c r="H1825" i="111" s="1"/>
  <c r="I1825" i="111" s="1"/>
  <c r="G985" i="111"/>
  <c r="G595" i="111"/>
  <c r="H595" i="111" s="1"/>
  <c r="I595" i="111" s="1"/>
  <c r="G1249" i="111"/>
  <c r="H1249" i="111" s="1"/>
  <c r="I1249" i="111" s="1"/>
  <c r="G848" i="111"/>
  <c r="H848" i="111" s="1"/>
  <c r="I848" i="111" s="1"/>
  <c r="G376" i="111"/>
  <c r="G163" i="111"/>
  <c r="H163" i="111" s="1"/>
  <c r="I163" i="111" s="1"/>
  <c r="G3063" i="111"/>
  <c r="G1494" i="111"/>
  <c r="H1494" i="111" s="1"/>
  <c r="I1494" i="111" s="1"/>
  <c r="G667" i="111"/>
  <c r="H667" i="111" s="1"/>
  <c r="I667" i="111" s="1"/>
  <c r="G2486" i="111"/>
  <c r="H2486" i="111" s="1"/>
  <c r="I2486" i="111" s="1"/>
  <c r="G517" i="111"/>
  <c r="H517" i="111" s="1"/>
  <c r="I517" i="111" s="1"/>
  <c r="G1597" i="111"/>
  <c r="H1597" i="111" s="1"/>
  <c r="I1597" i="111" s="1"/>
  <c r="G2966" i="111"/>
  <c r="H2966" i="111" s="1"/>
  <c r="I2966" i="111" s="1"/>
  <c r="G738" i="111"/>
  <c r="H738" i="111" s="1"/>
  <c r="I738" i="111" s="1"/>
  <c r="G102" i="111"/>
  <c r="H102" i="111" s="1"/>
  <c r="I102" i="111" s="1"/>
  <c r="G847" i="111"/>
  <c r="H847" i="111" s="1"/>
  <c r="I847" i="111" s="1"/>
  <c r="G1110" i="111"/>
  <c r="G5509" i="111"/>
  <c r="H5509" i="111" s="1"/>
  <c r="I5509" i="111" s="1"/>
  <c r="G6353" i="111"/>
  <c r="H6353" i="111" s="1"/>
  <c r="I6353" i="111" s="1"/>
  <c r="G5989" i="111"/>
  <c r="H5989" i="111" s="1"/>
  <c r="I5989" i="111" s="1"/>
  <c r="G5681" i="111"/>
  <c r="G6507" i="111"/>
  <c r="H6507" i="111" s="1"/>
  <c r="I6507" i="111" s="1"/>
  <c r="G6094" i="111"/>
  <c r="H6094" i="111" s="1"/>
  <c r="I6094" i="111" s="1"/>
  <c r="G5641" i="111"/>
  <c r="H5641" i="111" s="1"/>
  <c r="I5641" i="111" s="1"/>
  <c r="G5240" i="111"/>
  <c r="G6391" i="111"/>
  <c r="G6587" i="111"/>
  <c r="H6587" i="111" s="1"/>
  <c r="I6587" i="111" s="1"/>
  <c r="G6435" i="111"/>
  <c r="G6098" i="111"/>
  <c r="G5534" i="111"/>
  <c r="H5534" i="111" s="1"/>
  <c r="I5534" i="111" s="1"/>
  <c r="G5101" i="111"/>
  <c r="H5101" i="111" s="1"/>
  <c r="I5101" i="111" s="1"/>
  <c r="G6283" i="111"/>
  <c r="H6283" i="111" s="1"/>
  <c r="I6283" i="111" s="1"/>
  <c r="G5773" i="111"/>
  <c r="H5773" i="111" s="1"/>
  <c r="I5773" i="111" s="1"/>
  <c r="G5430" i="111"/>
  <c r="H5430" i="111" s="1"/>
  <c r="I5430" i="111" s="1"/>
  <c r="G4999" i="111"/>
  <c r="H4999" i="111" s="1"/>
  <c r="I4999" i="111" s="1"/>
  <c r="G6322" i="111"/>
  <c r="H6322" i="111" s="1"/>
  <c r="I6322" i="111" s="1"/>
  <c r="G5824" i="111"/>
  <c r="H5824" i="111" s="1"/>
  <c r="I5824" i="111" s="1"/>
  <c r="G6585" i="111"/>
  <c r="H6585" i="111" s="1"/>
  <c r="I6585" i="111" s="1"/>
  <c r="G6054" i="111"/>
  <c r="H6054" i="111" s="1"/>
  <c r="I6054" i="111" s="1"/>
  <c r="G5517" i="111"/>
  <c r="H5517" i="111" s="1"/>
  <c r="I5517" i="111" s="1"/>
  <c r="G5156" i="111"/>
  <c r="H5156" i="111" s="1"/>
  <c r="I5156" i="111" s="1"/>
  <c r="G6292" i="111"/>
  <c r="H6292" i="111" s="1"/>
  <c r="I6292" i="111" s="1"/>
  <c r="G5897" i="111"/>
  <c r="H5897" i="111" s="1"/>
  <c r="I5897" i="111" s="1"/>
  <c r="G5237" i="111"/>
  <c r="H5237" i="111" s="1"/>
  <c r="I5237" i="111" s="1"/>
  <c r="G6594" i="111"/>
  <c r="H6594" i="111" s="1"/>
  <c r="I6594" i="111" s="1"/>
  <c r="G6187" i="111"/>
  <c r="G5694" i="111"/>
  <c r="H5694" i="111" s="1"/>
  <c r="I5694" i="111" s="1"/>
  <c r="G6074" i="111"/>
  <c r="H6074" i="111" s="1"/>
  <c r="I6074" i="111" s="1"/>
  <c r="G5426" i="111"/>
  <c r="H5426" i="111" s="1"/>
  <c r="I5426" i="111" s="1"/>
  <c r="G6526" i="111"/>
  <c r="H6526" i="111" s="1"/>
  <c r="I6526" i="111" s="1"/>
  <c r="G5638" i="111"/>
  <c r="H5638" i="111" s="1"/>
  <c r="I5638" i="111" s="1"/>
  <c r="G5152" i="111"/>
  <c r="H5152" i="111" s="1"/>
  <c r="I5152" i="111" s="1"/>
  <c r="G4731" i="111"/>
  <c r="H4731" i="111" s="1"/>
  <c r="I4731" i="111" s="1"/>
  <c r="G4458" i="111"/>
  <c r="G5850" i="111"/>
  <c r="H5850" i="111" s="1"/>
  <c r="I5850" i="111" s="1"/>
  <c r="G5170" i="111"/>
  <c r="H5170" i="111" s="1"/>
  <c r="I5170" i="111" s="1"/>
  <c r="G4711" i="111"/>
  <c r="H4711" i="111" s="1"/>
  <c r="I4711" i="111" s="1"/>
  <c r="G6403" i="111"/>
  <c r="H6403" i="111" s="1"/>
  <c r="I6403" i="111" s="1"/>
  <c r="G5595" i="111"/>
  <c r="H5595" i="111" s="1"/>
  <c r="I5595" i="111" s="1"/>
  <c r="G4996" i="111"/>
  <c r="H4996" i="111" s="1"/>
  <c r="I4996" i="111" s="1"/>
  <c r="G5815" i="111"/>
  <c r="G5082" i="111"/>
  <c r="H5082" i="111" s="1"/>
  <c r="I5082" i="111" s="1"/>
  <c r="G6160" i="111"/>
  <c r="H6160" i="111" s="1"/>
  <c r="I6160" i="111" s="1"/>
  <c r="G5529" i="111"/>
  <c r="H5529" i="111" s="1"/>
  <c r="I5529" i="111" s="1"/>
  <c r="G6030" i="111"/>
  <c r="H6030" i="111" s="1"/>
  <c r="I6030" i="111" s="1"/>
  <c r="G5233" i="111"/>
  <c r="H5233" i="111" s="1"/>
  <c r="I5233" i="111" s="1"/>
  <c r="G4821" i="111"/>
  <c r="G5644" i="111"/>
  <c r="H5644" i="111" s="1"/>
  <c r="I5644" i="111" s="1"/>
  <c r="G4817" i="111"/>
  <c r="G6534" i="111"/>
  <c r="G5158" i="111"/>
  <c r="H5158" i="111" s="1"/>
  <c r="I5158" i="111" s="1"/>
  <c r="G4507" i="111"/>
  <c r="H4507" i="111" s="1"/>
  <c r="I4507" i="111" s="1"/>
  <c r="G199" i="111"/>
  <c r="H199" i="111" s="1"/>
  <c r="I199" i="111" s="1"/>
  <c r="G401" i="111"/>
  <c r="H401" i="111" s="1"/>
  <c r="I401" i="111" s="1"/>
  <c r="G1034" i="111"/>
  <c r="H1034" i="111" s="1"/>
  <c r="I1034" i="111" s="1"/>
  <c r="G331" i="111"/>
  <c r="H331" i="111" s="1"/>
  <c r="I331" i="111" s="1"/>
  <c r="G256" i="111"/>
  <c r="H256" i="111" s="1"/>
  <c r="I256" i="111" s="1"/>
  <c r="G670" i="111"/>
  <c r="H670" i="111" s="1"/>
  <c r="I670" i="111" s="1"/>
  <c r="G105" i="111"/>
  <c r="H105" i="111" s="1"/>
  <c r="I105" i="111" s="1"/>
  <c r="G758" i="111"/>
  <c r="H758" i="111" s="1"/>
  <c r="I758" i="111" s="1"/>
  <c r="G1015" i="111"/>
  <c r="H1015" i="111" s="1"/>
  <c r="I1015" i="111" s="1"/>
  <c r="G1509" i="111"/>
  <c r="H1509" i="111" s="1"/>
  <c r="I1509" i="111" s="1"/>
  <c r="G986" i="111"/>
  <c r="G365" i="111"/>
  <c r="G506" i="111"/>
  <c r="G441" i="111"/>
  <c r="G574" i="111"/>
  <c r="G508" i="111"/>
  <c r="H508" i="111" s="1"/>
  <c r="I508" i="111" s="1"/>
  <c r="G2791" i="111"/>
  <c r="H2791" i="111" s="1"/>
  <c r="I2791" i="111" s="1"/>
  <c r="G872" i="111"/>
  <c r="H872" i="111" s="1"/>
  <c r="I872" i="111" s="1"/>
  <c r="G5104" i="111"/>
  <c r="H5104" i="111" s="1"/>
  <c r="I5104" i="111" s="1"/>
  <c r="G688" i="111"/>
  <c r="G225" i="111"/>
  <c r="G1537" i="111"/>
  <c r="G2551" i="111"/>
  <c r="H2551" i="111" s="1"/>
  <c r="I2551" i="111" s="1"/>
  <c r="G6278" i="111"/>
  <c r="H6278" i="111" s="1"/>
  <c r="I6278" i="111" s="1"/>
  <c r="G5896" i="111"/>
  <c r="H5896" i="111" s="1"/>
  <c r="I5896" i="111" s="1"/>
  <c r="G6667" i="111"/>
  <c r="H6667" i="111" s="1"/>
  <c r="I6667" i="111" s="1"/>
  <c r="G6156" i="111"/>
  <c r="H6156" i="111" s="1"/>
  <c r="I6156" i="111" s="1"/>
  <c r="G5600" i="111"/>
  <c r="G6661" i="111"/>
  <c r="H6661" i="111" s="1"/>
  <c r="I6661" i="111" s="1"/>
  <c r="G6101" i="111"/>
  <c r="G6448" i="111"/>
  <c r="H6448" i="111" s="1"/>
  <c r="I6448" i="111" s="1"/>
  <c r="G5990" i="111"/>
  <c r="H5990" i="111" s="1"/>
  <c r="I5990" i="111" s="1"/>
  <c r="G5333" i="111"/>
  <c r="H5333" i="111" s="1"/>
  <c r="I5333" i="111" s="1"/>
  <c r="G6341" i="111"/>
  <c r="H6341" i="111" s="1"/>
  <c r="I6341" i="111" s="1"/>
  <c r="G5748" i="111"/>
  <c r="G5350" i="111"/>
  <c r="G6466" i="111"/>
  <c r="G5987" i="111"/>
  <c r="H5987" i="111" s="1"/>
  <c r="I5987" i="111" s="1"/>
  <c r="G6504" i="111"/>
  <c r="H6504" i="111" s="1"/>
  <c r="I6504" i="111" s="1"/>
  <c r="G5884" i="111"/>
  <c r="G5222" i="111"/>
  <c r="G6313" i="111"/>
  <c r="G5720" i="111"/>
  <c r="H5720" i="111" s="1"/>
  <c r="I5720" i="111" s="1"/>
  <c r="G5066" i="111"/>
  <c r="H5066" i="111" s="1"/>
  <c r="I5066" i="111" s="1"/>
  <c r="G6328" i="111"/>
  <c r="H6328" i="111" s="1"/>
  <c r="I6328" i="111" s="1"/>
  <c r="G5669" i="111"/>
  <c r="H5669" i="111" s="1"/>
  <c r="I5669" i="111" s="1"/>
  <c r="G5899" i="111"/>
  <c r="H5899" i="111" s="1"/>
  <c r="I5899" i="111" s="1"/>
  <c r="G5069" i="111"/>
  <c r="H5069" i="111" s="1"/>
  <c r="I5069" i="111" s="1"/>
  <c r="G5735" i="111"/>
  <c r="G5103" i="111"/>
  <c r="H5103" i="111" s="1"/>
  <c r="I5103" i="111" s="1"/>
  <c r="G4642" i="111"/>
  <c r="H4642" i="111" s="1"/>
  <c r="I4642" i="111" s="1"/>
  <c r="G6041" i="111"/>
  <c r="H6041" i="111" s="1"/>
  <c r="I6041" i="111" s="1"/>
  <c r="G5248" i="111"/>
  <c r="H5248" i="111" s="1"/>
  <c r="I5248" i="111" s="1"/>
  <c r="G4656" i="111"/>
  <c r="H4656" i="111" s="1"/>
  <c r="I4656" i="111" s="1"/>
  <c r="G5983" i="111"/>
  <c r="H5983" i="111" s="1"/>
  <c r="I5983" i="111" s="1"/>
  <c r="G5129" i="111"/>
  <c r="H5129" i="111" s="1"/>
  <c r="I5129" i="111" s="1"/>
  <c r="G5721" i="111"/>
  <c r="H5721" i="111" s="1"/>
  <c r="I5721" i="111" s="1"/>
  <c r="G4968" i="111"/>
  <c r="H4968" i="111" s="1"/>
  <c r="I4968" i="111" s="1"/>
  <c r="G5813" i="111"/>
  <c r="H5813" i="111" s="1"/>
  <c r="I5813" i="111" s="1"/>
  <c r="G6086" i="111"/>
  <c r="H6086" i="111" s="1"/>
  <c r="I6086" i="111" s="1"/>
  <c r="G5159" i="111"/>
  <c r="H5159" i="111" s="1"/>
  <c r="I5159" i="111" s="1"/>
  <c r="G4704" i="111"/>
  <c r="H4704" i="111" s="1"/>
  <c r="I4704" i="111" s="1"/>
  <c r="G4906" i="111"/>
  <c r="G6668" i="111"/>
  <c r="H6668" i="111" s="1"/>
  <c r="I6668" i="111" s="1"/>
  <c r="G4876" i="111"/>
  <c r="H4876" i="111" s="1"/>
  <c r="I4876" i="111" s="1"/>
  <c r="G5743" i="111"/>
  <c r="G4940" i="111"/>
  <c r="H4940" i="111" s="1"/>
  <c r="I4940" i="111" s="1"/>
  <c r="G4346" i="111"/>
  <c r="H4346" i="111" s="1"/>
  <c r="I4346" i="111" s="1"/>
  <c r="G3904" i="111"/>
  <c r="H3904" i="111" s="1"/>
  <c r="I3904" i="111" s="1"/>
  <c r="G5182" i="111"/>
  <c r="G4587" i="111"/>
  <c r="H4587" i="111" s="1"/>
  <c r="I4587" i="111" s="1"/>
  <c r="G4133" i="111"/>
  <c r="H4133" i="111" s="1"/>
  <c r="I4133" i="111" s="1"/>
  <c r="G3785" i="111"/>
  <c r="G5668" i="111"/>
  <c r="H5668" i="111" s="1"/>
  <c r="I5668" i="111" s="1"/>
  <c r="G4765" i="111"/>
  <c r="H4765" i="111" s="1"/>
  <c r="I4765" i="111" s="1"/>
  <c r="G6475" i="111"/>
  <c r="H6475" i="111" s="1"/>
  <c r="I6475" i="111" s="1"/>
  <c r="G4502" i="111"/>
  <c r="H4502" i="111" s="1"/>
  <c r="I4502" i="111" s="1"/>
  <c r="G4025" i="111"/>
  <c r="G3580" i="111"/>
  <c r="H3580" i="111" s="1"/>
  <c r="I3580" i="111" s="1"/>
  <c r="G5941" i="111"/>
  <c r="H5941" i="111" s="1"/>
  <c r="I5941" i="111" s="1"/>
  <c r="G4566" i="111"/>
  <c r="H4566" i="111" s="1"/>
  <c r="I4566" i="111" s="1"/>
  <c r="G3964" i="111"/>
  <c r="H3964" i="111" s="1"/>
  <c r="I3964" i="111" s="1"/>
  <c r="G4918" i="111"/>
  <c r="H4918" i="111" s="1"/>
  <c r="I4918" i="111" s="1"/>
  <c r="G4287" i="111"/>
  <c r="H4287" i="111" s="1"/>
  <c r="I4287" i="111" s="1"/>
  <c r="G135" i="111"/>
  <c r="H135" i="111" s="1"/>
  <c r="I135" i="111" s="1"/>
  <c r="G945" i="111"/>
  <c r="G1084" i="111"/>
  <c r="H1084" i="111" s="1"/>
  <c r="I1084" i="111" s="1"/>
  <c r="G1690" i="111"/>
  <c r="H1690" i="111" s="1"/>
  <c r="I1690" i="111" s="1"/>
  <c r="G1090" i="111"/>
  <c r="H1090" i="111" s="1"/>
  <c r="I1090" i="111" s="1"/>
  <c r="G1792" i="111"/>
  <c r="H1792" i="111" s="1"/>
  <c r="I1792" i="111" s="1"/>
  <c r="G1100" i="111"/>
  <c r="G703" i="111"/>
  <c r="H703" i="111" s="1"/>
  <c r="I703" i="111" s="1"/>
  <c r="G276" i="111"/>
  <c r="G336" i="111"/>
  <c r="G3295" i="111"/>
  <c r="H3295" i="111" s="1"/>
  <c r="I3295" i="111" s="1"/>
  <c r="G1177" i="111"/>
  <c r="H1177" i="111" s="1"/>
  <c r="I1177" i="111" s="1"/>
  <c r="G1051" i="111"/>
  <c r="G1570" i="111"/>
  <c r="G1580" i="111"/>
  <c r="H1580" i="111" s="1"/>
  <c r="I1580" i="111" s="1"/>
  <c r="G948" i="111"/>
  <c r="H948" i="111" s="1"/>
  <c r="I948" i="111" s="1"/>
  <c r="G216" i="111"/>
  <c r="H216" i="111" s="1"/>
  <c r="I216" i="111" s="1"/>
  <c r="G1346" i="111"/>
  <c r="H1346" i="111" s="1"/>
  <c r="I1346" i="111" s="1"/>
  <c r="G101" i="111"/>
  <c r="G1036" i="111"/>
  <c r="H1036" i="111" s="1"/>
  <c r="I1036" i="111" s="1"/>
  <c r="G638" i="111"/>
  <c r="G1052" i="111"/>
  <c r="H1052" i="111" s="1"/>
  <c r="I1052" i="111" s="1"/>
  <c r="G6597" i="111"/>
  <c r="H6597" i="111" s="1"/>
  <c r="I6597" i="111" s="1"/>
  <c r="G6197" i="111"/>
  <c r="H6197" i="111" s="1"/>
  <c r="I6197" i="111" s="1"/>
  <c r="G5739" i="111"/>
  <c r="G6497" i="111"/>
  <c r="H6497" i="111" s="1"/>
  <c r="I6497" i="111" s="1"/>
  <c r="G6018" i="111"/>
  <c r="G5445" i="111"/>
  <c r="G6418" i="111"/>
  <c r="H6418" i="111" s="1"/>
  <c r="I6418" i="111" s="1"/>
  <c r="G6538" i="111"/>
  <c r="G6343" i="111"/>
  <c r="H6343" i="111" s="1"/>
  <c r="I6343" i="111" s="1"/>
  <c r="G5689" i="111"/>
  <c r="G5120" i="111"/>
  <c r="G6203" i="111"/>
  <c r="H6203" i="111" s="1"/>
  <c r="I6203" i="111" s="1"/>
  <c r="G5650" i="111"/>
  <c r="H5650" i="111" s="1"/>
  <c r="I5650" i="111" s="1"/>
  <c r="G5087" i="111"/>
  <c r="H5087" i="111" s="1"/>
  <c r="I5087" i="111" s="1"/>
  <c r="G6297" i="111"/>
  <c r="G5665" i="111"/>
  <c r="H5665" i="111" s="1"/>
  <c r="I5665" i="111" s="1"/>
  <c r="G6296" i="111"/>
  <c r="H6296" i="111" s="1"/>
  <c r="I6296" i="111" s="1"/>
  <c r="G5664" i="111"/>
  <c r="H5664" i="111" s="1"/>
  <c r="I5664" i="111" s="1"/>
  <c r="G6651" i="111"/>
  <c r="H6651" i="111" s="1"/>
  <c r="I6651" i="111" s="1"/>
  <c r="G6149" i="111"/>
  <c r="H6149" i="111" s="1"/>
  <c r="I6149" i="111" s="1"/>
  <c r="G5420" i="111"/>
  <c r="G6610" i="111"/>
  <c r="G6103" i="111"/>
  <c r="H6103" i="111" s="1"/>
  <c r="I6103" i="111" s="1"/>
  <c r="G6528" i="111"/>
  <c r="H6528" i="111" s="1"/>
  <c r="I6528" i="111" s="1"/>
  <c r="G5577" i="111"/>
  <c r="H5577" i="111" s="1"/>
  <c r="I5577" i="111" s="1"/>
  <c r="G6498" i="111"/>
  <c r="H6498" i="111" s="1"/>
  <c r="I6498" i="111" s="1"/>
  <c r="G5515" i="111"/>
  <c r="H5515" i="111" s="1"/>
  <c r="I5515" i="111" s="1"/>
  <c r="G4907" i="111"/>
  <c r="G4492" i="111"/>
  <c r="G5661" i="111"/>
  <c r="H5661" i="111" s="1"/>
  <c r="I5661" i="111" s="1"/>
  <c r="G5067" i="111"/>
  <c r="H5067" i="111" s="1"/>
  <c r="I5067" i="111" s="1"/>
  <c r="G6593" i="111"/>
  <c r="H6593" i="111" s="1"/>
  <c r="I6593" i="111" s="1"/>
  <c r="G5659" i="111"/>
  <c r="H5659" i="111" s="1"/>
  <c r="I5659" i="111" s="1"/>
  <c r="G308" i="111"/>
  <c r="G1226" i="111"/>
  <c r="H1226" i="111" s="1"/>
  <c r="I1226" i="111" s="1"/>
  <c r="G1161" i="111"/>
  <c r="H1161" i="111" s="1"/>
  <c r="I1161" i="111" s="1"/>
  <c r="G1163" i="111"/>
  <c r="G193" i="111"/>
  <c r="H193" i="111" s="1"/>
  <c r="I193" i="111" s="1"/>
  <c r="G195" i="111"/>
  <c r="H195" i="111" s="1"/>
  <c r="I195" i="111" s="1"/>
  <c r="G1343" i="111"/>
  <c r="H1343" i="111" s="1"/>
  <c r="I1343" i="111" s="1"/>
  <c r="G334" i="111"/>
  <c r="H334" i="111" s="1"/>
  <c r="I334" i="111" s="1"/>
  <c r="G525" i="111"/>
  <c r="H525" i="111" s="1"/>
  <c r="I525" i="111" s="1"/>
  <c r="G2620" i="111"/>
  <c r="H2620" i="111" s="1"/>
  <c r="I2620" i="111" s="1"/>
  <c r="G214" i="111"/>
  <c r="H214" i="111" s="1"/>
  <c r="I214" i="111" s="1"/>
  <c r="G509" i="111"/>
  <c r="G1130" i="111"/>
  <c r="H1130" i="111" s="1"/>
  <c r="I1130" i="111" s="1"/>
  <c r="G1006" i="111"/>
  <c r="H1006" i="111" s="1"/>
  <c r="I1006" i="111" s="1"/>
  <c r="G377" i="111"/>
  <c r="H377" i="111" s="1"/>
  <c r="I377" i="111" s="1"/>
  <c r="G3141" i="111"/>
  <c r="H3141" i="111" s="1"/>
  <c r="I3141" i="111" s="1"/>
  <c r="G578" i="111"/>
  <c r="H578" i="111" s="1"/>
  <c r="I578" i="111" s="1"/>
  <c r="G261" i="111"/>
  <c r="H261" i="111" s="1"/>
  <c r="I261" i="111" s="1"/>
  <c r="G2727" i="111"/>
  <c r="G6584" i="111"/>
  <c r="G6080" i="111"/>
  <c r="H6080" i="111" s="1"/>
  <c r="I6080" i="111" s="1"/>
  <c r="G5586" i="111"/>
  <c r="H5586" i="111" s="1"/>
  <c r="I5586" i="111" s="1"/>
  <c r="G6194" i="111"/>
  <c r="H6194" i="111" s="1"/>
  <c r="I6194" i="111" s="1"/>
  <c r="G5571" i="111"/>
  <c r="H5571" i="111" s="1"/>
  <c r="I5571" i="111" s="1"/>
  <c r="G6561" i="111"/>
  <c r="G6524" i="111"/>
  <c r="H6524" i="111" s="1"/>
  <c r="I6524" i="111" s="1"/>
  <c r="G6206" i="111"/>
  <c r="H6206" i="111" s="1"/>
  <c r="I6206" i="111" s="1"/>
  <c r="G5451" i="111"/>
  <c r="H5451" i="111" s="1"/>
  <c r="I5451" i="111" s="1"/>
  <c r="G6544" i="111"/>
  <c r="H6544" i="111" s="1"/>
  <c r="I6544" i="111" s="1"/>
  <c r="G5730" i="111"/>
  <c r="H5730" i="111" s="1"/>
  <c r="I5730" i="111" s="1"/>
  <c r="G5228" i="111"/>
  <c r="H5228" i="111" s="1"/>
  <c r="I5228" i="111" s="1"/>
  <c r="G6266" i="111"/>
  <c r="H6266" i="111" s="1"/>
  <c r="I6266" i="111" s="1"/>
  <c r="G5550" i="111"/>
  <c r="H5550" i="111" s="1"/>
  <c r="I5550" i="111" s="1"/>
  <c r="G6038" i="111"/>
  <c r="H6038" i="111" s="1"/>
  <c r="I6038" i="111" s="1"/>
  <c r="G5365" i="111"/>
  <c r="H5365" i="111" s="1"/>
  <c r="I5365" i="111" s="1"/>
  <c r="G6274" i="111"/>
  <c r="H6274" i="111" s="1"/>
  <c r="I6274" i="111" s="1"/>
  <c r="G5646" i="111"/>
  <c r="H5646" i="111" s="1"/>
  <c r="I5646" i="111" s="1"/>
  <c r="G6527" i="111"/>
  <c r="H6527" i="111" s="1"/>
  <c r="I6527" i="111" s="1"/>
  <c r="G5992" i="111"/>
  <c r="H5992" i="111" s="1"/>
  <c r="I5992" i="111" s="1"/>
  <c r="G6146" i="111"/>
  <c r="H6146" i="111" s="1"/>
  <c r="I6146" i="111" s="1"/>
  <c r="G5177" i="111"/>
  <c r="H5177" i="111" s="1"/>
  <c r="I5177" i="111" s="1"/>
  <c r="G5662" i="111"/>
  <c r="H5662" i="111" s="1"/>
  <c r="I5662" i="111" s="1"/>
  <c r="G4948" i="111"/>
  <c r="H4948" i="111" s="1"/>
  <c r="I4948" i="111" s="1"/>
  <c r="G4470" i="111"/>
  <c r="G5568" i="111"/>
  <c r="H5568" i="111" s="1"/>
  <c r="I5568" i="111" s="1"/>
  <c r="G4750" i="111"/>
  <c r="H4750" i="111" s="1"/>
  <c r="I4750" i="111" s="1"/>
  <c r="G6104" i="111"/>
  <c r="H6104" i="111" s="1"/>
  <c r="I6104" i="111" s="1"/>
  <c r="G5042" i="111"/>
  <c r="G5561" i="111"/>
  <c r="G6450" i="111"/>
  <c r="G5585" i="111"/>
  <c r="H5585" i="111" s="1"/>
  <c r="I5585" i="111" s="1"/>
  <c r="G5834" i="111"/>
  <c r="H5834" i="111" s="1"/>
  <c r="I5834" i="111" s="1"/>
  <c r="G4925" i="111"/>
  <c r="H4925" i="111" s="1"/>
  <c r="I4925" i="111" s="1"/>
  <c r="G5580" i="111"/>
  <c r="H5580" i="111" s="1"/>
  <c r="I5580" i="111" s="1"/>
  <c r="G4606" i="111"/>
  <c r="H4606" i="111" s="1"/>
  <c r="I4606" i="111" s="1"/>
  <c r="G5313" i="111"/>
  <c r="G4451" i="111"/>
  <c r="H4451" i="111" s="1"/>
  <c r="I4451" i="111" s="1"/>
  <c r="G5107" i="111"/>
  <c r="H5107" i="111" s="1"/>
  <c r="I5107" i="111" s="1"/>
  <c r="G4411" i="111"/>
  <c r="H4411" i="111" s="1"/>
  <c r="I4411" i="111" s="1"/>
  <c r="G3943" i="111"/>
  <c r="G5106" i="111"/>
  <c r="G1220" i="111"/>
  <c r="G1540" i="111"/>
  <c r="H1540" i="111" s="1"/>
  <c r="I1540" i="111" s="1"/>
  <c r="G1454" i="111"/>
  <c r="G726" i="111"/>
  <c r="H726" i="111" s="1"/>
  <c r="I726" i="111" s="1"/>
  <c r="G351" i="111"/>
  <c r="G353" i="111"/>
  <c r="H353" i="111" s="1"/>
  <c r="I353" i="111" s="1"/>
  <c r="G1810" i="111"/>
  <c r="H1810" i="111" s="1"/>
  <c r="I1810" i="111" s="1"/>
  <c r="G463" i="111"/>
  <c r="H463" i="111" s="1"/>
  <c r="I463" i="111" s="1"/>
  <c r="G668" i="111"/>
  <c r="H668" i="111" s="1"/>
  <c r="I668" i="111" s="1"/>
  <c r="G3222" i="111"/>
  <c r="H3222" i="111" s="1"/>
  <c r="I3222" i="111" s="1"/>
  <c r="G268" i="111"/>
  <c r="G572" i="111"/>
  <c r="H572" i="111" s="1"/>
  <c r="I572" i="111" s="1"/>
  <c r="G1399" i="111"/>
  <c r="H1399" i="111" s="1"/>
  <c r="I1399" i="111" s="1"/>
  <c r="G1073" i="111"/>
  <c r="G420" i="111"/>
  <c r="G3296" i="111"/>
  <c r="H3296" i="111" s="1"/>
  <c r="I3296" i="111" s="1"/>
  <c r="G637" i="111"/>
  <c r="G292" i="111"/>
  <c r="H292" i="111" s="1"/>
  <c r="I292" i="111" s="1"/>
  <c r="G1018" i="111"/>
  <c r="H1018" i="111" s="1"/>
  <c r="I1018" i="111" s="1"/>
  <c r="G6570" i="111"/>
  <c r="H6570" i="111" s="1"/>
  <c r="I6570" i="111" s="1"/>
  <c r="G6043" i="111"/>
  <c r="H6043" i="111" s="1"/>
  <c r="I6043" i="111" s="1"/>
  <c r="G5487" i="111"/>
  <c r="G6170" i="111"/>
  <c r="G605" i="111"/>
  <c r="H605" i="111" s="1"/>
  <c r="I605" i="111" s="1"/>
  <c r="G596" i="111"/>
  <c r="H596" i="111" s="1"/>
  <c r="I596" i="111" s="1"/>
  <c r="G75" i="111"/>
  <c r="G177" i="111"/>
  <c r="G830" i="111"/>
  <c r="H830" i="111" s="1"/>
  <c r="I830" i="111" s="1"/>
  <c r="G1004" i="111"/>
  <c r="H1004" i="111" s="1"/>
  <c r="I1004" i="111" s="1"/>
  <c r="G1906" i="111"/>
  <c r="H1906" i="111" s="1"/>
  <c r="I1906" i="111" s="1"/>
  <c r="G661" i="111"/>
  <c r="H661" i="111" s="1"/>
  <c r="I661" i="111" s="1"/>
  <c r="G808" i="111"/>
  <c r="H808" i="111" s="1"/>
  <c r="I808" i="111" s="1"/>
  <c r="G258" i="111"/>
  <c r="H258" i="111" s="1"/>
  <c r="I258" i="111" s="1"/>
  <c r="G643" i="111"/>
  <c r="H643" i="111" s="1"/>
  <c r="I643" i="111" s="1"/>
  <c r="G1491" i="111"/>
  <c r="H1491" i="111" s="1"/>
  <c r="I1491" i="111" s="1"/>
  <c r="G1905" i="111"/>
  <c r="H1905" i="111" s="1"/>
  <c r="I1905" i="111" s="1"/>
  <c r="G1432" i="111"/>
  <c r="H1432" i="111" s="1"/>
  <c r="I1432" i="111" s="1"/>
  <c r="G674" i="111"/>
  <c r="H674" i="111" s="1"/>
  <c r="I674" i="111" s="1"/>
  <c r="G2965" i="111"/>
  <c r="H2965" i="111" s="1"/>
  <c r="I2965" i="111" s="1"/>
  <c r="G843" i="111"/>
  <c r="G531" i="111"/>
  <c r="G1229" i="111"/>
  <c r="H1229" i="111" s="1"/>
  <c r="I1229" i="111" s="1"/>
  <c r="G6510" i="111"/>
  <c r="H6510" i="111" s="1"/>
  <c r="I6510" i="111" s="1"/>
  <c r="G5949" i="111"/>
  <c r="G5432" i="111"/>
  <c r="H5432" i="111" s="1"/>
  <c r="I5432" i="111" s="1"/>
  <c r="G6079" i="111"/>
  <c r="H6079" i="111" s="1"/>
  <c r="I6079" i="111" s="1"/>
  <c r="G5479" i="111"/>
  <c r="G6359" i="111"/>
  <c r="H6359" i="111" s="1"/>
  <c r="I6359" i="111" s="1"/>
  <c r="G6441" i="111"/>
  <c r="H6441" i="111" s="1"/>
  <c r="I6441" i="111" s="1"/>
  <c r="G6115" i="111"/>
  <c r="H6115" i="111" s="1"/>
  <c r="I6115" i="111" s="1"/>
  <c r="G5392" i="111"/>
  <c r="H5392" i="111" s="1"/>
  <c r="I5392" i="111" s="1"/>
  <c r="G6301" i="111"/>
  <c r="H6301" i="111" s="1"/>
  <c r="I6301" i="111" s="1"/>
  <c r="G5666" i="111"/>
  <c r="H5666" i="111" s="1"/>
  <c r="I5666" i="111" s="1"/>
  <c r="G5017" i="111"/>
  <c r="H5017" i="111" s="1"/>
  <c r="I5017" i="111" s="1"/>
  <c r="G6202" i="111"/>
  <c r="H6202" i="111" s="1"/>
  <c r="I6202" i="111" s="1"/>
  <c r="G6658" i="111"/>
  <c r="H6658" i="111" s="1"/>
  <c r="I6658" i="111" s="1"/>
  <c r="G5905" i="111"/>
  <c r="H5905" i="111" s="1"/>
  <c r="I5905" i="111" s="1"/>
  <c r="G5183" i="111"/>
  <c r="H5183" i="111" s="1"/>
  <c r="I5183" i="111" s="1"/>
  <c r="G6193" i="111"/>
  <c r="H6193" i="111" s="1"/>
  <c r="I6193" i="111" s="1"/>
  <c r="G5310" i="111"/>
  <c r="H5310" i="111" s="1"/>
  <c r="I5310" i="111" s="1"/>
  <c r="G6474" i="111"/>
  <c r="H6474" i="111" s="1"/>
  <c r="I6474" i="111" s="1"/>
  <c r="G5831" i="111"/>
  <c r="H5831" i="111" s="1"/>
  <c r="I5831" i="111" s="1"/>
  <c r="G5961" i="111"/>
  <c r="H5961" i="111" s="1"/>
  <c r="I5961" i="111" s="1"/>
  <c r="G5001" i="111"/>
  <c r="G5539" i="111"/>
  <c r="H5539" i="111" s="1"/>
  <c r="I5539" i="111" s="1"/>
  <c r="G4793" i="111"/>
  <c r="G6560" i="111"/>
  <c r="H6560" i="111" s="1"/>
  <c r="I6560" i="111" s="1"/>
  <c r="G5337" i="111"/>
  <c r="H5337" i="111" s="1"/>
  <c r="I5337" i="111" s="1"/>
  <c r="G4672" i="111"/>
  <c r="G5848" i="111"/>
  <c r="H5848" i="111" s="1"/>
  <c r="I5848" i="111" s="1"/>
  <c r="G6581" i="111"/>
  <c r="H6581" i="111" s="1"/>
  <c r="I6581" i="111" s="1"/>
  <c r="G5442" i="111"/>
  <c r="H5442" i="111" s="1"/>
  <c r="I5442" i="111" s="1"/>
  <c r="G6293" i="111"/>
  <c r="G5380" i="111"/>
  <c r="G5705" i="111"/>
  <c r="G4860" i="111"/>
  <c r="H4860" i="111" s="1"/>
  <c r="I4860" i="111" s="1"/>
  <c r="G5362" i="111"/>
  <c r="H5362" i="111" s="1"/>
  <c r="I5362" i="111" s="1"/>
  <c r="G4412" i="111"/>
  <c r="G5108" i="111"/>
  <c r="G5858" i="111"/>
  <c r="G4922" i="111"/>
  <c r="H4922" i="111" s="1"/>
  <c r="I4922" i="111" s="1"/>
  <c r="G4275" i="111"/>
  <c r="H4275" i="111" s="1"/>
  <c r="I4275" i="111" s="1"/>
  <c r="G6655" i="111"/>
  <c r="H6655" i="111" s="1"/>
  <c r="I6655" i="111" s="1"/>
  <c r="G5004" i="111"/>
  <c r="H5004" i="111" s="1"/>
  <c r="I5004" i="111" s="1"/>
  <c r="G4463" i="111"/>
  <c r="H4463" i="111" s="1"/>
  <c r="I4463" i="111" s="1"/>
  <c r="G4004" i="111"/>
  <c r="G6166" i="111"/>
  <c r="G4995" i="111"/>
  <c r="H4995" i="111" s="1"/>
  <c r="I4995" i="111" s="1"/>
  <c r="G6554" i="111"/>
  <c r="G4701" i="111"/>
  <c r="H4701" i="111" s="1"/>
  <c r="I4701" i="111" s="1"/>
  <c r="G4104" i="111"/>
  <c r="H4104" i="111" s="1"/>
  <c r="I4104" i="111" s="1"/>
  <c r="G3638" i="111"/>
  <c r="H3638" i="111" s="1"/>
  <c r="I3638" i="111" s="1"/>
  <c r="G5996" i="111"/>
  <c r="H5996" i="111" s="1"/>
  <c r="I5996" i="111" s="1"/>
  <c r="G4531" i="111"/>
  <c r="H4531" i="111" s="1"/>
  <c r="I4531" i="111" s="1"/>
  <c r="G6352" i="111"/>
  <c r="G4791" i="111"/>
  <c r="H4791" i="111" s="1"/>
  <c r="I4791" i="111" s="1"/>
  <c r="G4130" i="111"/>
  <c r="H4130" i="111" s="1"/>
  <c r="I4130" i="111" s="1"/>
  <c r="G3720" i="111"/>
  <c r="H3720" i="111" s="1"/>
  <c r="I3720" i="111" s="1"/>
  <c r="G3356" i="111"/>
  <c r="G4990" i="111"/>
  <c r="H4990" i="111" s="1"/>
  <c r="I4990" i="111" s="1"/>
  <c r="G4332" i="111"/>
  <c r="G3918" i="111"/>
  <c r="H3918" i="111" s="1"/>
  <c r="I3918" i="111" s="1"/>
  <c r="G3578" i="111"/>
  <c r="H3578" i="111" s="1"/>
  <c r="I3578" i="111" s="1"/>
  <c r="G5833" i="111"/>
  <c r="H5833" i="111" s="1"/>
  <c r="I5833" i="111" s="1"/>
  <c r="G4584" i="111"/>
  <c r="H4584" i="111" s="1"/>
  <c r="I4584" i="111" s="1"/>
  <c r="G3990" i="111"/>
  <c r="G3485" i="111"/>
  <c r="H3485" i="111" s="1"/>
  <c r="I3485" i="111" s="1"/>
  <c r="G4714" i="111"/>
  <c r="H4714" i="111" s="1"/>
  <c r="I4714" i="111" s="1"/>
  <c r="G871" i="111"/>
  <c r="H871" i="111" s="1"/>
  <c r="I871" i="111" s="1"/>
  <c r="G229" i="111"/>
  <c r="G825" i="111"/>
  <c r="H825" i="111" s="1"/>
  <c r="I825" i="111" s="1"/>
  <c r="G340" i="111"/>
  <c r="H340" i="111" s="1"/>
  <c r="I340" i="111" s="1"/>
  <c r="G1003" i="111"/>
  <c r="H1003" i="111" s="1"/>
  <c r="I1003" i="111" s="1"/>
  <c r="G1340" i="111"/>
  <c r="H1340" i="111" s="1"/>
  <c r="I1340" i="111" s="1"/>
  <c r="G493" i="111"/>
  <c r="G729" i="111"/>
  <c r="H729" i="111" s="1"/>
  <c r="I729" i="111" s="1"/>
  <c r="G863" i="111"/>
  <c r="G497" i="111"/>
  <c r="H497" i="111" s="1"/>
  <c r="I497" i="111" s="1"/>
  <c r="G850" i="111"/>
  <c r="G1863" i="111"/>
  <c r="H1863" i="111" s="1"/>
  <c r="I1863" i="111" s="1"/>
  <c r="G4597" i="111"/>
  <c r="H4597" i="111" s="1"/>
  <c r="I4597" i="111" s="1"/>
  <c r="G1495" i="111"/>
  <c r="G727" i="111"/>
  <c r="G1890" i="111"/>
  <c r="H1890" i="111" s="1"/>
  <c r="I1890" i="111" s="1"/>
  <c r="G883" i="111"/>
  <c r="H883" i="111" s="1"/>
  <c r="I883" i="111" s="1"/>
  <c r="G692" i="111"/>
  <c r="G1341" i="111"/>
  <c r="H1341" i="111" s="1"/>
  <c r="I1341" i="111" s="1"/>
  <c r="G6462" i="111"/>
  <c r="G5931" i="111"/>
  <c r="G6636" i="111"/>
  <c r="G6042" i="111"/>
  <c r="H6042" i="111" s="1"/>
  <c r="I6042" i="111" s="1"/>
  <c r="G5368" i="111"/>
  <c r="H5368" i="111" s="1"/>
  <c r="I5368" i="111" s="1"/>
  <c r="G6332" i="111"/>
  <c r="H6332" i="111" s="1"/>
  <c r="I6332" i="111" s="1"/>
  <c r="G6643" i="111"/>
  <c r="H6643" i="111" s="1"/>
  <c r="I6643" i="111" s="1"/>
  <c r="G6029" i="111"/>
  <c r="H6029" i="111" s="1"/>
  <c r="I6029" i="111" s="1"/>
  <c r="G5285" i="111"/>
  <c r="G6268" i="111"/>
  <c r="H6268" i="111" s="1"/>
  <c r="I6268" i="111" s="1"/>
  <c r="G5591" i="111"/>
  <c r="H5591" i="111" s="1"/>
  <c r="I5591" i="111" s="1"/>
  <c r="G4943" i="111"/>
  <c r="H4943" i="111" s="1"/>
  <c r="I4943" i="111" s="1"/>
  <c r="G6138" i="111"/>
  <c r="H6138" i="111" s="1"/>
  <c r="I6138" i="111" s="1"/>
  <c r="G6601" i="111"/>
  <c r="G5804" i="111"/>
  <c r="G5168" i="111"/>
  <c r="G6106" i="111"/>
  <c r="H6106" i="111" s="1"/>
  <c r="I6106" i="111" s="1"/>
  <c r="G5252" i="111"/>
  <c r="H5252" i="111" s="1"/>
  <c r="I5252" i="111" s="1"/>
  <c r="G6451" i="111"/>
  <c r="H6451" i="111" s="1"/>
  <c r="I6451" i="111" s="1"/>
  <c r="G5792" i="111"/>
  <c r="G5854" i="111"/>
  <c r="G4950" i="111"/>
  <c r="H4950" i="111" s="1"/>
  <c r="I4950" i="111" s="1"/>
  <c r="G5492" i="111"/>
  <c r="H5492" i="111" s="1"/>
  <c r="I5492" i="111" s="1"/>
  <c r="G4782" i="111"/>
  <c r="H4782" i="111" s="1"/>
  <c r="I4782" i="111" s="1"/>
  <c r="G6344" i="111"/>
  <c r="H6344" i="111" s="1"/>
  <c r="I6344" i="111" s="1"/>
  <c r="G5297" i="111"/>
  <c r="H5297" i="111" s="1"/>
  <c r="I5297" i="111" s="1"/>
  <c r="G4641" i="111"/>
  <c r="H4641" i="111" s="1"/>
  <c r="I4641" i="111" s="1"/>
  <c r="G5819" i="111"/>
  <c r="H5819" i="111" s="1"/>
  <c r="I5819" i="111" s="1"/>
  <c r="G6519" i="111"/>
  <c r="H6519" i="111" s="1"/>
  <c r="I6519" i="111" s="1"/>
  <c r="G5358" i="111"/>
  <c r="G6257" i="111"/>
  <c r="G5331" i="111"/>
  <c r="H5331" i="111" s="1"/>
  <c r="I5331" i="111" s="1"/>
  <c r="G5436" i="111"/>
  <c r="H5436" i="111" s="1"/>
  <c r="I5436" i="111" s="1"/>
  <c r="G4784" i="111"/>
  <c r="G5236" i="111"/>
  <c r="H5236" i="111" s="1"/>
  <c r="I5236" i="111" s="1"/>
  <c r="G4377" i="111"/>
  <c r="G5010" i="111"/>
  <c r="H5010" i="111" s="1"/>
  <c r="I5010" i="111" s="1"/>
  <c r="G5631" i="111"/>
  <c r="G4858" i="111"/>
  <c r="H4858" i="111" s="1"/>
  <c r="I4858" i="111" s="1"/>
  <c r="G4255" i="111"/>
  <c r="H4255" i="111" s="1"/>
  <c r="I4255" i="111" s="1"/>
  <c r="G6582" i="111"/>
  <c r="H6582" i="111" s="1"/>
  <c r="I6582" i="111" s="1"/>
  <c r="G4939" i="111"/>
  <c r="H4939" i="111" s="1"/>
  <c r="I4939" i="111" s="1"/>
  <c r="G4433" i="111"/>
  <c r="H4433" i="111" s="1"/>
  <c r="I4433" i="111" s="1"/>
  <c r="G3986" i="111"/>
  <c r="H3986" i="111" s="1"/>
  <c r="I3986" i="111" s="1"/>
  <c r="G6109" i="111"/>
  <c r="G4963" i="111"/>
  <c r="G6503" i="111"/>
  <c r="H6503" i="111" s="1"/>
  <c r="I6503" i="111" s="1"/>
  <c r="G4635" i="111"/>
  <c r="G4062" i="111"/>
  <c r="H4062" i="111" s="1"/>
  <c r="I4062" i="111" s="1"/>
  <c r="G3623" i="111"/>
  <c r="H3623" i="111" s="1"/>
  <c r="I3623" i="111" s="1"/>
  <c r="G5724" i="111"/>
  <c r="H5724" i="111" s="1"/>
  <c r="I5724" i="111" s="1"/>
  <c r="G4501" i="111"/>
  <c r="H4501" i="111" s="1"/>
  <c r="I4501" i="111" s="1"/>
  <c r="G6291" i="111"/>
  <c r="H6291" i="111" s="1"/>
  <c r="I6291" i="111" s="1"/>
  <c r="G4763" i="111"/>
  <c r="H4763" i="111" s="1"/>
  <c r="I4763" i="111" s="1"/>
  <c r="G4119" i="111"/>
  <c r="H4119" i="111" s="1"/>
  <c r="I4119" i="111" s="1"/>
  <c r="G3676" i="111"/>
  <c r="G6444" i="111"/>
  <c r="H6444" i="111" s="1"/>
  <c r="I6444" i="111" s="1"/>
  <c r="G4947" i="111"/>
  <c r="H4947" i="111" s="1"/>
  <c r="I4947" i="111" s="1"/>
  <c r="G4311" i="111"/>
  <c r="G3897" i="111"/>
  <c r="G3563" i="111"/>
  <c r="H3563" i="111" s="1"/>
  <c r="I3563" i="111" s="1"/>
  <c r="G5537" i="111"/>
  <c r="G4461" i="111"/>
  <c r="H4461" i="111" s="1"/>
  <c r="I4461" i="111" s="1"/>
  <c r="G3976" i="111"/>
  <c r="H3976" i="111" s="1"/>
  <c r="I3976" i="111" s="1"/>
  <c r="G3436" i="111"/>
  <c r="H3436" i="111" s="1"/>
  <c r="I3436" i="111" s="1"/>
  <c r="G4607" i="111"/>
  <c r="G2571" i="111"/>
  <c r="H2571" i="111" s="1"/>
  <c r="I2571" i="111" s="1"/>
  <c r="G890" i="111"/>
  <c r="G744" i="111"/>
  <c r="H744" i="111" s="1"/>
  <c r="I744" i="111" s="1"/>
  <c r="G828" i="111"/>
  <c r="H828" i="111" s="1"/>
  <c r="I828" i="111" s="1"/>
  <c r="G3136" i="111"/>
  <c r="H3136" i="111" s="1"/>
  <c r="I3136" i="111" s="1"/>
  <c r="G2911" i="111"/>
  <c r="H2911" i="111" s="1"/>
  <c r="I2911" i="111" s="1"/>
  <c r="G198" i="111"/>
  <c r="G1133" i="111"/>
  <c r="H1133" i="111" s="1"/>
  <c r="I1133" i="111" s="1"/>
  <c r="G1137" i="111"/>
  <c r="H1137" i="111" s="1"/>
  <c r="I1137" i="111" s="1"/>
  <c r="G899" i="111"/>
  <c r="G1259" i="111"/>
  <c r="G25" i="111"/>
  <c r="G120" i="111"/>
  <c r="H120" i="111" s="1"/>
  <c r="I120" i="111" s="1"/>
  <c r="G2117" i="111"/>
  <c r="G967" i="111"/>
  <c r="G2836" i="111"/>
  <c r="H2836" i="111" s="1"/>
  <c r="I2836" i="111" s="1"/>
  <c r="G1096" i="111"/>
  <c r="H1096" i="111" s="1"/>
  <c r="I1096" i="111" s="1"/>
  <c r="G797" i="111"/>
  <c r="H797" i="111" s="1"/>
  <c r="I797" i="111" s="1"/>
  <c r="G1458" i="111"/>
  <c r="G6414" i="111"/>
  <c r="G5853" i="111"/>
  <c r="H5853" i="111" s="1"/>
  <c r="I5853" i="111" s="1"/>
  <c r="G6567" i="111"/>
  <c r="H6567" i="111" s="1"/>
  <c r="I6567" i="111" s="1"/>
  <c r="G5947" i="111"/>
  <c r="H5947" i="111" s="1"/>
  <c r="I5947" i="111" s="1"/>
  <c r="G5273" i="111"/>
  <c r="H5273" i="111" s="1"/>
  <c r="I5273" i="111" s="1"/>
  <c r="G6284" i="111"/>
  <c r="H6284" i="111" s="1"/>
  <c r="I6284" i="111" s="1"/>
  <c r="G6525" i="111"/>
  <c r="H6525" i="111" s="1"/>
  <c r="I6525" i="111" s="1"/>
  <c r="G5843" i="111"/>
  <c r="H5843" i="111" s="1"/>
  <c r="I5843" i="111" s="1"/>
  <c r="G5185" i="111"/>
  <c r="H5185" i="111" s="1"/>
  <c r="I5185" i="111" s="1"/>
  <c r="G6157" i="111"/>
  <c r="G5518" i="111"/>
  <c r="H5518" i="111" s="1"/>
  <c r="I5518" i="111" s="1"/>
  <c r="G6660" i="111"/>
  <c r="H6660" i="111" s="1"/>
  <c r="I6660" i="111" s="1"/>
  <c r="G6027" i="111"/>
  <c r="H6027" i="111" s="1"/>
  <c r="I6027" i="111" s="1"/>
  <c r="G6445" i="111"/>
  <c r="H6445" i="111" s="1"/>
  <c r="I6445" i="111" s="1"/>
  <c r="G5729" i="111"/>
  <c r="H5729" i="111" s="1"/>
  <c r="I5729" i="111" s="1"/>
  <c r="G6623" i="111"/>
  <c r="H6623" i="111" s="1"/>
  <c r="I6623" i="111" s="1"/>
  <c r="G5995" i="111"/>
  <c r="H5995" i="111" s="1"/>
  <c r="I5995" i="111" s="1"/>
  <c r="G5164" i="111"/>
  <c r="H5164" i="111" s="1"/>
  <c r="I5164" i="111" s="1"/>
  <c r="G6402" i="111"/>
  <c r="H6402" i="111" s="1"/>
  <c r="I6402" i="111" s="1"/>
  <c r="G5593" i="111"/>
  <c r="H5593" i="111" s="1"/>
  <c r="I5593" i="111" s="1"/>
  <c r="G5737" i="111"/>
  <c r="H5737" i="111" s="1"/>
  <c r="I5737" i="111" s="1"/>
  <c r="G6470" i="111"/>
  <c r="G5321" i="111"/>
  <c r="H5321" i="111" s="1"/>
  <c r="I5321" i="111" s="1"/>
  <c r="G4713" i="111"/>
  <c r="H4713" i="111" s="1"/>
  <c r="I4713" i="111" s="1"/>
  <c r="G6245" i="111"/>
  <c r="H6245" i="111" s="1"/>
  <c r="I6245" i="111" s="1"/>
  <c r="G5150" i="111"/>
  <c r="H5150" i="111" s="1"/>
  <c r="I5150" i="111" s="1"/>
  <c r="G4563" i="111"/>
  <c r="H4563" i="111" s="1"/>
  <c r="I4563" i="111" s="1"/>
  <c r="G5538" i="111"/>
  <c r="H5538" i="111" s="1"/>
  <c r="I5538" i="111" s="1"/>
  <c r="G6361" i="111"/>
  <c r="H6361" i="111" s="1"/>
  <c r="I6361" i="111" s="1"/>
  <c r="G5264" i="111"/>
  <c r="H5264" i="111" s="1"/>
  <c r="I5264" i="111" s="1"/>
  <c r="G6091" i="111"/>
  <c r="H6091" i="111" s="1"/>
  <c r="I6091" i="111" s="1"/>
  <c r="G6478" i="111"/>
  <c r="H6478" i="111" s="1"/>
  <c r="I6478" i="111" s="1"/>
  <c r="G5327" i="111"/>
  <c r="H5327" i="111" s="1"/>
  <c r="I5327" i="111" s="1"/>
  <c r="G4756" i="111"/>
  <c r="G5011" i="111"/>
  <c r="H5011" i="111" s="1"/>
  <c r="I5011" i="111" s="1"/>
  <c r="G6424" i="111"/>
  <c r="H6424" i="111" s="1"/>
  <c r="I6424" i="111" s="1"/>
  <c r="G4839" i="111"/>
  <c r="G5460" i="111"/>
  <c r="H5460" i="111" s="1"/>
  <c r="I5460" i="111" s="1"/>
  <c r="G4787" i="111"/>
  <c r="G4194" i="111"/>
  <c r="H4194" i="111" s="1"/>
  <c r="I4194" i="111" s="1"/>
  <c r="G6355" i="111"/>
  <c r="H6355" i="111" s="1"/>
  <c r="I6355" i="111" s="1"/>
  <c r="G1217" i="111"/>
  <c r="H1217" i="111" s="1"/>
  <c r="I1217" i="111" s="1"/>
  <c r="G137" i="111"/>
  <c r="G44" i="111"/>
  <c r="H44" i="111" s="1"/>
  <c r="I44" i="111" s="1"/>
  <c r="G1088" i="111"/>
  <c r="H1088" i="111" s="1"/>
  <c r="I1088" i="111" s="1"/>
  <c r="G1175" i="111"/>
  <c r="H1175" i="111" s="1"/>
  <c r="I1175" i="111" s="1"/>
  <c r="G868" i="111"/>
  <c r="H868" i="111" s="1"/>
  <c r="I868" i="111" s="1"/>
  <c r="G809" i="111"/>
  <c r="H809" i="111" s="1"/>
  <c r="I809" i="111" s="1"/>
  <c r="G683" i="111"/>
  <c r="G1630" i="111"/>
  <c r="H1630" i="111" s="1"/>
  <c r="I1630" i="111" s="1"/>
  <c r="G2315" i="111"/>
  <c r="H2315" i="111" s="1"/>
  <c r="I2315" i="111" s="1"/>
  <c r="G1258" i="111"/>
  <c r="H1258" i="111" s="1"/>
  <c r="I1258" i="111" s="1"/>
  <c r="G2256" i="111"/>
  <c r="H2256" i="111" s="1"/>
  <c r="I2256" i="111" s="1"/>
  <c r="G218" i="111"/>
  <c r="G403" i="111"/>
  <c r="H403" i="111" s="1"/>
  <c r="I403" i="111" s="1"/>
  <c r="G5027" i="111"/>
  <c r="H5027" i="111" s="1"/>
  <c r="I5027" i="111" s="1"/>
  <c r="G1196" i="111"/>
  <c r="H1196" i="111" s="1"/>
  <c r="I1196" i="111" s="1"/>
  <c r="G138" i="111"/>
  <c r="H138" i="111" s="1"/>
  <c r="I138" i="111" s="1"/>
  <c r="G1891" i="111"/>
  <c r="H1891" i="111" s="1"/>
  <c r="I1891" i="111" s="1"/>
  <c r="G929" i="111"/>
  <c r="H929" i="111" s="1"/>
  <c r="I929" i="111" s="1"/>
  <c r="G1979" i="111"/>
  <c r="G6265" i="111"/>
  <c r="H6265" i="111" s="1"/>
  <c r="I6265" i="111" s="1"/>
  <c r="G5788" i="111"/>
  <c r="G6477" i="111"/>
  <c r="H6477" i="111" s="1"/>
  <c r="I6477" i="111" s="1"/>
  <c r="G5839" i="111"/>
  <c r="H5839" i="111" s="1"/>
  <c r="I5839" i="111" s="1"/>
  <c r="G5221" i="111"/>
  <c r="G6205" i="111"/>
  <c r="H6205" i="111" s="1"/>
  <c r="I6205" i="111" s="1"/>
  <c r="G6417" i="111"/>
  <c r="H6417" i="111" s="1"/>
  <c r="I6417" i="111" s="1"/>
  <c r="G5786" i="111"/>
  <c r="H5786" i="111" s="1"/>
  <c r="I5786" i="111" s="1"/>
  <c r="G5075" i="111"/>
  <c r="H5075" i="111" s="1"/>
  <c r="I5075" i="111" s="1"/>
  <c r="G6097" i="111"/>
  <c r="H6097" i="111" s="1"/>
  <c r="I6097" i="111" s="1"/>
  <c r="G5450" i="111"/>
  <c r="H5450" i="111" s="1"/>
  <c r="I5450" i="111" s="1"/>
  <c r="G6602" i="111"/>
  <c r="G5842" i="111"/>
  <c r="H5842" i="111" s="1"/>
  <c r="I5842" i="111" s="1"/>
  <c r="G6369" i="111"/>
  <c r="G5549" i="111"/>
  <c r="H5549" i="111" s="1"/>
  <c r="I5549" i="111" s="1"/>
  <c r="G6529" i="111"/>
  <c r="H6529" i="111" s="1"/>
  <c r="I6529" i="111" s="1"/>
  <c r="G5955" i="111"/>
  <c r="H5955" i="111" s="1"/>
  <c r="I5955" i="111" s="1"/>
  <c r="G5131" i="111"/>
  <c r="H5131" i="111" s="1"/>
  <c r="I5131" i="111" s="1"/>
  <c r="G6228" i="111"/>
  <c r="H6228" i="111" s="1"/>
  <c r="I6228" i="111" s="1"/>
  <c r="G6598" i="111"/>
  <c r="H6598" i="111" s="1"/>
  <c r="I6598" i="111" s="1"/>
  <c r="G5540" i="111"/>
  <c r="G6365" i="111"/>
  <c r="G5249" i="111"/>
  <c r="H5249" i="111" s="1"/>
  <c r="I5249" i="111" s="1"/>
  <c r="G4676" i="111"/>
  <c r="H4676" i="111" s="1"/>
  <c r="I4676" i="111" s="1"/>
  <c r="G5984" i="111"/>
  <c r="H5984" i="111" s="1"/>
  <c r="I5984" i="111" s="1"/>
  <c r="G5102" i="111"/>
  <c r="G6555" i="111"/>
  <c r="G5483" i="111"/>
  <c r="G6161" i="111"/>
  <c r="H6161" i="111" s="1"/>
  <c r="I6161" i="111" s="1"/>
  <c r="G5099" i="111"/>
  <c r="H5099" i="111" s="1"/>
  <c r="I5099" i="111" s="1"/>
  <c r="G5971" i="111"/>
  <c r="G6152" i="111"/>
  <c r="H6152" i="111" s="1"/>
  <c r="I6152" i="111" s="1"/>
  <c r="G5199" i="111"/>
  <c r="H5199" i="111" s="1"/>
  <c r="I5199" i="111" s="1"/>
  <c r="G4660" i="111"/>
  <c r="H4660" i="111" s="1"/>
  <c r="I4660" i="111" s="1"/>
  <c r="G4863" i="111"/>
  <c r="H4863" i="111" s="1"/>
  <c r="I4863" i="111" s="1"/>
  <c r="G6064" i="111"/>
  <c r="G4753" i="111"/>
  <c r="G5354" i="111"/>
  <c r="G4604" i="111"/>
  <c r="H4604" i="111" s="1"/>
  <c r="I4604" i="111" s="1"/>
  <c r="G4134" i="111"/>
  <c r="H4134" i="111" s="1"/>
  <c r="I4134" i="111" s="1"/>
  <c r="G5912" i="111"/>
  <c r="G4771" i="111"/>
  <c r="H4771" i="111" s="1"/>
  <c r="I4771" i="111" s="1"/>
  <c r="G4296" i="111"/>
  <c r="G3852" i="111"/>
  <c r="H3852" i="111" s="1"/>
  <c r="I3852" i="111" s="1"/>
  <c r="G5787" i="111"/>
  <c r="H5787" i="111" s="1"/>
  <c r="I5787" i="111" s="1"/>
  <c r="G4872" i="111"/>
  <c r="H4872" i="111" s="1"/>
  <c r="I4872" i="111" s="1"/>
  <c r="G6226" i="111"/>
  <c r="G4365" i="111"/>
  <c r="G3921" i="111"/>
  <c r="H3921" i="111" s="1"/>
  <c r="I3921" i="111" s="1"/>
  <c r="G3468" i="111"/>
  <c r="G5161" i="111"/>
  <c r="H5161" i="111" s="1"/>
  <c r="I5161" i="111" s="1"/>
  <c r="G4288" i="111"/>
  <c r="G5394" i="111"/>
  <c r="H5394" i="111" s="1"/>
  <c r="I5394" i="111" s="1"/>
  <c r="G4529" i="111"/>
  <c r="H4529" i="111" s="1"/>
  <c r="I4529" i="111" s="1"/>
  <c r="G4024" i="111"/>
  <c r="G3579" i="111"/>
  <c r="H3579" i="111" s="1"/>
  <c r="I3579" i="111" s="1"/>
  <c r="G5993" i="111"/>
  <c r="H5993" i="111" s="1"/>
  <c r="I5993" i="111" s="1"/>
  <c r="G4724" i="111"/>
  <c r="G4211" i="111"/>
  <c r="H4211" i="111" s="1"/>
  <c r="I4211" i="111" s="1"/>
  <c r="G3789" i="111"/>
  <c r="G3441" i="111"/>
  <c r="H3441" i="111" s="1"/>
  <c r="I3441" i="111" s="1"/>
  <c r="G4980" i="111"/>
  <c r="G4283" i="111"/>
  <c r="H4283" i="111" s="1"/>
  <c r="I4283" i="111" s="1"/>
  <c r="G3825" i="111"/>
  <c r="H3825" i="111" s="1"/>
  <c r="I3825" i="111" s="1"/>
  <c r="G5816" i="111"/>
  <c r="H5816" i="111" s="1"/>
  <c r="I5816" i="111" s="1"/>
  <c r="G4404" i="111"/>
  <c r="H4404" i="111" s="1"/>
  <c r="I4404" i="111" s="1"/>
  <c r="G1666" i="111"/>
  <c r="H1666" i="111" s="1"/>
  <c r="I1666" i="111" s="1"/>
  <c r="G488" i="111"/>
  <c r="G815" i="111"/>
  <c r="H815" i="111" s="1"/>
  <c r="I815" i="111" s="1"/>
  <c r="G309" i="111"/>
  <c r="H309" i="111" s="1"/>
  <c r="I309" i="111" s="1"/>
  <c r="G1976" i="111"/>
  <c r="H1976" i="111" s="1"/>
  <c r="I1976" i="111" s="1"/>
  <c r="G410" i="111"/>
  <c r="G196" i="111"/>
  <c r="H196" i="111" s="1"/>
  <c r="I196" i="111" s="1"/>
  <c r="G4599" i="111"/>
  <c r="G3275" i="111"/>
  <c r="H3275" i="111" s="1"/>
  <c r="I3275" i="111" s="1"/>
  <c r="G1705" i="111"/>
  <c r="H1705" i="111" s="1"/>
  <c r="I1705" i="111" s="1"/>
  <c r="G2626" i="111"/>
  <c r="H2626" i="111" s="1"/>
  <c r="I2626" i="111" s="1"/>
  <c r="G99" i="111"/>
  <c r="H99" i="111" s="1"/>
  <c r="I99" i="111" s="1"/>
  <c r="G394" i="111"/>
  <c r="H394" i="111" s="1"/>
  <c r="I394" i="111" s="1"/>
  <c r="G606" i="111"/>
  <c r="H606" i="111" s="1"/>
  <c r="I606" i="111" s="1"/>
  <c r="G31" i="111"/>
  <c r="H31" i="111" s="1"/>
  <c r="I31" i="111" s="1"/>
  <c r="G1462" i="111"/>
  <c r="G224" i="111"/>
  <c r="H224" i="111" s="1"/>
  <c r="I224" i="111" s="1"/>
  <c r="G2565" i="111"/>
  <c r="H2565" i="111" s="1"/>
  <c r="I2565" i="111" s="1"/>
  <c r="G1097" i="111"/>
  <c r="G2752" i="111"/>
  <c r="G6227" i="111"/>
  <c r="H6227" i="111" s="1"/>
  <c r="I6227" i="111" s="1"/>
  <c r="G5726" i="111"/>
  <c r="H5726" i="111" s="1"/>
  <c r="I5726" i="111" s="1"/>
  <c r="G6449" i="111"/>
  <c r="H6449" i="111" s="1"/>
  <c r="I6449" i="111" s="1"/>
  <c r="G5723" i="111"/>
  <c r="H5723" i="111" s="1"/>
  <c r="I5723" i="111" s="1"/>
  <c r="G5173" i="111"/>
  <c r="H5173" i="111" s="1"/>
  <c r="I5173" i="111" s="1"/>
  <c r="G6073" i="111"/>
  <c r="H6073" i="111" s="1"/>
  <c r="I6073" i="111" s="1"/>
  <c r="G6373" i="111"/>
  <c r="G5637" i="111"/>
  <c r="H5637" i="111" s="1"/>
  <c r="I5637" i="111" s="1"/>
  <c r="G5034" i="111"/>
  <c r="G5885" i="111"/>
  <c r="G5391" i="111"/>
  <c r="H5391" i="111" s="1"/>
  <c r="I5391" i="111" s="1"/>
  <c r="G6433" i="111"/>
  <c r="H6433" i="111" s="1"/>
  <c r="I6433" i="111" s="1"/>
  <c r="G5772" i="111"/>
  <c r="G6220" i="111"/>
  <c r="H6220" i="111" s="1"/>
  <c r="I6220" i="111" s="1"/>
  <c r="G5447" i="111"/>
  <c r="H5447" i="111" s="1"/>
  <c r="I5447" i="111" s="1"/>
  <c r="G6440" i="111"/>
  <c r="H6440" i="111" s="1"/>
  <c r="I6440" i="111" s="1"/>
  <c r="G5849" i="111"/>
  <c r="H5849" i="111" s="1"/>
  <c r="I5849" i="111" s="1"/>
  <c r="G5024" i="111"/>
  <c r="G6144" i="111"/>
  <c r="H6144" i="111" s="1"/>
  <c r="I6144" i="111" s="1"/>
  <c r="G6439" i="111"/>
  <c r="H6439" i="111" s="1"/>
  <c r="I6439" i="111" s="1"/>
  <c r="G5397" i="111"/>
  <c r="H5397" i="111" s="1"/>
  <c r="I5397" i="111" s="1"/>
  <c r="G6174" i="111"/>
  <c r="G5176" i="111"/>
  <c r="H5176" i="111" s="1"/>
  <c r="I5176" i="111" s="1"/>
  <c r="G4615" i="111"/>
  <c r="G5893" i="111"/>
  <c r="H5893" i="111" s="1"/>
  <c r="I5893" i="111" s="1"/>
  <c r="G5020" i="111"/>
  <c r="H5020" i="111" s="1"/>
  <c r="I5020" i="111" s="1"/>
  <c r="G6436" i="111"/>
  <c r="H6436" i="111" s="1"/>
  <c r="I6436" i="111" s="1"/>
  <c r="G5421" i="111"/>
  <c r="G5977" i="111"/>
  <c r="H5977" i="111" s="1"/>
  <c r="I5977" i="111" s="1"/>
  <c r="G5014" i="111"/>
  <c r="H5014" i="111" s="1"/>
  <c r="I5014" i="111" s="1"/>
  <c r="G5911" i="111"/>
  <c r="G6052" i="111"/>
  <c r="H6052" i="111" s="1"/>
  <c r="I6052" i="111" s="1"/>
  <c r="G5076" i="111"/>
  <c r="H5076" i="111" s="1"/>
  <c r="I5076" i="111" s="1"/>
  <c r="G6364" i="111"/>
  <c r="H6364" i="111" s="1"/>
  <c r="I6364" i="111" s="1"/>
  <c r="G4789" i="111"/>
  <c r="H4789" i="111" s="1"/>
  <c r="I4789" i="111" s="1"/>
  <c r="G5866" i="111"/>
  <c r="G4590" i="111"/>
  <c r="H4590" i="111" s="1"/>
  <c r="I4590" i="111" s="1"/>
  <c r="G5265" i="111"/>
  <c r="G4505" i="111"/>
  <c r="G4108" i="111"/>
  <c r="H4108" i="111" s="1"/>
  <c r="I4108" i="111" s="1"/>
  <c r="G5742" i="111"/>
  <c r="H5742" i="111" s="1"/>
  <c r="I5742" i="111" s="1"/>
  <c r="G4707" i="111"/>
  <c r="H4707" i="111" s="1"/>
  <c r="I4707" i="111" s="1"/>
  <c r="G4207" i="111"/>
  <c r="H4207" i="111" s="1"/>
  <c r="I4207" i="111" s="1"/>
  <c r="G3802" i="111"/>
  <c r="H3802" i="111" s="1"/>
  <c r="I3802" i="111" s="1"/>
  <c r="G5502" i="111"/>
  <c r="G4702" i="111"/>
  <c r="H4702" i="111" s="1"/>
  <c r="I4702" i="111" s="1"/>
  <c r="G5944" i="111"/>
  <c r="H5944" i="111" s="1"/>
  <c r="I5944" i="111" s="1"/>
  <c r="G4335" i="111"/>
  <c r="H4335" i="111" s="1"/>
  <c r="I4335" i="111" s="1"/>
  <c r="G3832" i="111"/>
  <c r="H3832" i="111" s="1"/>
  <c r="I3832" i="111" s="1"/>
  <c r="G3442" i="111"/>
  <c r="G4919" i="111"/>
  <c r="H4919" i="111" s="1"/>
  <c r="I4919" i="111" s="1"/>
  <c r="G4212" i="111"/>
  <c r="H4212" i="111" s="1"/>
  <c r="I4212" i="111" s="1"/>
  <c r="G5209" i="111"/>
  <c r="H5209" i="111" s="1"/>
  <c r="I5209" i="111" s="1"/>
  <c r="G4416" i="111"/>
  <c r="G3944" i="111"/>
  <c r="G3532" i="111"/>
  <c r="H3532" i="111" s="1"/>
  <c r="I3532" i="111" s="1"/>
  <c r="G5717" i="111"/>
  <c r="H5717" i="111" s="1"/>
  <c r="I5717" i="111" s="1"/>
  <c r="G4662" i="111"/>
  <c r="H4662" i="111" s="1"/>
  <c r="I4662" i="111" s="1"/>
  <c r="G4173" i="111"/>
  <c r="H4173" i="111" s="1"/>
  <c r="I4173" i="111" s="1"/>
  <c r="G3736" i="111"/>
  <c r="H3736" i="111" s="1"/>
  <c r="I3736" i="111" s="1"/>
  <c r="G3397" i="111"/>
  <c r="H3397" i="111" s="1"/>
  <c r="I3397" i="111" s="1"/>
  <c r="G4879" i="111"/>
  <c r="G4188" i="111"/>
  <c r="H4188" i="111" s="1"/>
  <c r="I4188" i="111" s="1"/>
  <c r="G3744" i="111"/>
  <c r="H3744" i="111" s="1"/>
  <c r="I3744" i="111" s="1"/>
  <c r="G5527" i="111"/>
  <c r="H5527" i="111" s="1"/>
  <c r="I5527" i="111" s="1"/>
  <c r="G2792" i="111"/>
  <c r="H2792" i="111" s="1"/>
  <c r="I2792" i="111" s="1"/>
  <c r="G826" i="111"/>
  <c r="H826" i="111" s="1"/>
  <c r="I826" i="111" s="1"/>
  <c r="G3475" i="111"/>
  <c r="H3475" i="111" s="1"/>
  <c r="I3475" i="111" s="1"/>
  <c r="G556" i="111"/>
  <c r="G1433" i="111"/>
  <c r="H1433" i="111" s="1"/>
  <c r="I1433" i="111" s="1"/>
  <c r="G1488" i="111"/>
  <c r="H1488" i="111" s="1"/>
  <c r="I1488" i="111" s="1"/>
  <c r="G202" i="111"/>
  <c r="G1085" i="111"/>
  <c r="H1085" i="111" s="1"/>
  <c r="I1085" i="111" s="1"/>
  <c r="G1283" i="111"/>
  <c r="G1791" i="111"/>
  <c r="H1791" i="111" s="1"/>
  <c r="I1791" i="111" s="1"/>
  <c r="G5840" i="111"/>
  <c r="H5840" i="111" s="1"/>
  <c r="I5840" i="111" s="1"/>
  <c r="G5894" i="111"/>
  <c r="H5894" i="111" s="1"/>
  <c r="I5894" i="111" s="1"/>
  <c r="G6405" i="111"/>
  <c r="H6405" i="111" s="1"/>
  <c r="I6405" i="111" s="1"/>
  <c r="G6244" i="111"/>
  <c r="H6244" i="111" s="1"/>
  <c r="I6244" i="111" s="1"/>
  <c r="G4986" i="111"/>
  <c r="H4986" i="111" s="1"/>
  <c r="I4986" i="111" s="1"/>
  <c r="G5468" i="111"/>
  <c r="H5468" i="111" s="1"/>
  <c r="I5468" i="111" s="1"/>
  <c r="G6221" i="111"/>
  <c r="H6221" i="111" s="1"/>
  <c r="I6221" i="111" s="1"/>
  <c r="G6137" i="111"/>
  <c r="H6137" i="111" s="1"/>
  <c r="I6137" i="111" s="1"/>
  <c r="G6406" i="111"/>
  <c r="H6406" i="111" s="1"/>
  <c r="I6406" i="111" s="1"/>
  <c r="G5149" i="111"/>
  <c r="H5149" i="111" s="1"/>
  <c r="I5149" i="111" s="1"/>
  <c r="G5846" i="111"/>
  <c r="G5227" i="111"/>
  <c r="H5227" i="111" s="1"/>
  <c r="I5227" i="111" s="1"/>
  <c r="G5133" i="111"/>
  <c r="H5133" i="111" s="1"/>
  <c r="I5133" i="111" s="1"/>
  <c r="G6105" i="111"/>
  <c r="H6105" i="111" s="1"/>
  <c r="I6105" i="111" s="1"/>
  <c r="G4696" i="111"/>
  <c r="H4696" i="111" s="1"/>
  <c r="I4696" i="111" s="1"/>
  <c r="G5167" i="111"/>
  <c r="H5167" i="111" s="1"/>
  <c r="I5167" i="111" s="1"/>
  <c r="G4993" i="111"/>
  <c r="H4993" i="111" s="1"/>
  <c r="I4993" i="111" s="1"/>
  <c r="G6350" i="111"/>
  <c r="H6350" i="111" s="1"/>
  <c r="I6350" i="111" s="1"/>
  <c r="G4873" i="111"/>
  <c r="H4873" i="111" s="1"/>
  <c r="I4873" i="111" s="1"/>
  <c r="G4659" i="111"/>
  <c r="G4570" i="111"/>
  <c r="H4570" i="111" s="1"/>
  <c r="I4570" i="111" s="1"/>
  <c r="G4728" i="111"/>
  <c r="H4728" i="111" s="1"/>
  <c r="I4728" i="111" s="1"/>
  <c r="G3840" i="111"/>
  <c r="H3840" i="111" s="1"/>
  <c r="I3840" i="111" s="1"/>
  <c r="G4603" i="111"/>
  <c r="H4603" i="111" s="1"/>
  <c r="I4603" i="111" s="1"/>
  <c r="G4043" i="111"/>
  <c r="G5727" i="111"/>
  <c r="H5727" i="111" s="1"/>
  <c r="I5727" i="111" s="1"/>
  <c r="G4519" i="111"/>
  <c r="H4519" i="111" s="1"/>
  <c r="I4519" i="111" s="1"/>
  <c r="G4532" i="111"/>
  <c r="H4532" i="111" s="1"/>
  <c r="I4532" i="111" s="1"/>
  <c r="G3793" i="111"/>
  <c r="H3793" i="111" s="1"/>
  <c r="I3793" i="111" s="1"/>
  <c r="G6294" i="111"/>
  <c r="H6294" i="111" s="1"/>
  <c r="I6294" i="111" s="1"/>
  <c r="G4269" i="111"/>
  <c r="H4269" i="111" s="1"/>
  <c r="I4269" i="111" s="1"/>
  <c r="G4951" i="111"/>
  <c r="G4061" i="111"/>
  <c r="H4061" i="111" s="1"/>
  <c r="I4061" i="111" s="1"/>
  <c r="G3478" i="111"/>
  <c r="H3478" i="111" s="1"/>
  <c r="I3478" i="111" s="1"/>
  <c r="G5096" i="111"/>
  <c r="H5096" i="111" s="1"/>
  <c r="I5096" i="111" s="1"/>
  <c r="G4195" i="111"/>
  <c r="H4195" i="111" s="1"/>
  <c r="I4195" i="111" s="1"/>
  <c r="G3635" i="111"/>
  <c r="H3635" i="111" s="1"/>
  <c r="I3635" i="111" s="1"/>
  <c r="G5251" i="111"/>
  <c r="H5251" i="111" s="1"/>
  <c r="I5251" i="111" s="1"/>
  <c r="G4127" i="111"/>
  <c r="H4127" i="111" s="1"/>
  <c r="I4127" i="111" s="1"/>
  <c r="G3529" i="111"/>
  <c r="H3529" i="111" s="1"/>
  <c r="I3529" i="111" s="1"/>
  <c r="G4382" i="111"/>
  <c r="H4382" i="111" s="1"/>
  <c r="I4382" i="111" s="1"/>
  <c r="G3932" i="111"/>
  <c r="G3591" i="111"/>
  <c r="H3591" i="111" s="1"/>
  <c r="I3591" i="111" s="1"/>
  <c r="G5258" i="111"/>
  <c r="H5258" i="111" s="1"/>
  <c r="I5258" i="111" s="1"/>
  <c r="G4063" i="111"/>
  <c r="G3547" i="111"/>
  <c r="G3115" i="111"/>
  <c r="H3115" i="111" s="1"/>
  <c r="I3115" i="111" s="1"/>
  <c r="G2815" i="111"/>
  <c r="G4534" i="111"/>
  <c r="H4534" i="111" s="1"/>
  <c r="I4534" i="111" s="1"/>
  <c r="G3850" i="111"/>
  <c r="H3850" i="111" s="1"/>
  <c r="I3850" i="111" s="1"/>
  <c r="G3297" i="111"/>
  <c r="H3297" i="111" s="1"/>
  <c r="I3297" i="111" s="1"/>
  <c r="G2960" i="111"/>
  <c r="H2960" i="111" s="1"/>
  <c r="I2960" i="111" s="1"/>
  <c r="G2469" i="111"/>
  <c r="H2469" i="111" s="1"/>
  <c r="I2469" i="111" s="1"/>
  <c r="G5013" i="111"/>
  <c r="H5013" i="111" s="1"/>
  <c r="I5013" i="111" s="1"/>
  <c r="G3849" i="111"/>
  <c r="H3849" i="111" s="1"/>
  <c r="I3849" i="111" s="1"/>
  <c r="G3181" i="111"/>
  <c r="H3181" i="111" s="1"/>
  <c r="I3181" i="111" s="1"/>
  <c r="G2794" i="111"/>
  <c r="H2794" i="111" s="1"/>
  <c r="I2794" i="111" s="1"/>
  <c r="G2378" i="111"/>
  <c r="H2378" i="111" s="1"/>
  <c r="I2378" i="111" s="1"/>
  <c r="G4777" i="111"/>
  <c r="H4777" i="111" s="1"/>
  <c r="I4777" i="111" s="1"/>
  <c r="G3781" i="111"/>
  <c r="G5830" i="111"/>
  <c r="H5830" i="111" s="1"/>
  <c r="I5830" i="111" s="1"/>
  <c r="G4171" i="111"/>
  <c r="H4171" i="111" s="1"/>
  <c r="I4171" i="111" s="1"/>
  <c r="G3497" i="111"/>
  <c r="G3178" i="111"/>
  <c r="H3178" i="111" s="1"/>
  <c r="I3178" i="111" s="1"/>
  <c r="G2862" i="111"/>
  <c r="H2862" i="111" s="1"/>
  <c r="I2862" i="111" s="1"/>
  <c r="G4619" i="111"/>
  <c r="G3773" i="111"/>
  <c r="G3312" i="111"/>
  <c r="G3049" i="111"/>
  <c r="H3049" i="111" s="1"/>
  <c r="I3049" i="111" s="1"/>
  <c r="G5179" i="111"/>
  <c r="H5179" i="111" s="1"/>
  <c r="I5179" i="111" s="1"/>
  <c r="G4096" i="111"/>
  <c r="H4096" i="111" s="1"/>
  <c r="I4096" i="111" s="1"/>
  <c r="G3432" i="111"/>
  <c r="H3432" i="111" s="1"/>
  <c r="I3432" i="111" s="1"/>
  <c r="G4055" i="111"/>
  <c r="H4055" i="111" s="1"/>
  <c r="I4055" i="111" s="1"/>
  <c r="G3051" i="111"/>
  <c r="H3051" i="111" s="1"/>
  <c r="I3051" i="111" s="1"/>
  <c r="G2575" i="111"/>
  <c r="H2575" i="111" s="1"/>
  <c r="I2575" i="111" s="1"/>
  <c r="G238" i="111"/>
  <c r="H238" i="111" s="1"/>
  <c r="I238" i="111" s="1"/>
  <c r="G1167" i="111"/>
  <c r="H1167" i="111" s="1"/>
  <c r="I1167" i="111" s="1"/>
  <c r="G490" i="111"/>
  <c r="H490" i="111" s="1"/>
  <c r="I490" i="111" s="1"/>
  <c r="G938" i="111"/>
  <c r="H938" i="111" s="1"/>
  <c r="I938" i="111" s="1"/>
  <c r="G2910" i="111"/>
  <c r="H2910" i="111" s="1"/>
  <c r="I2910" i="111" s="1"/>
  <c r="G16" i="111"/>
  <c r="G450" i="111"/>
  <c r="H450" i="111" s="1"/>
  <c r="I450" i="111" s="1"/>
  <c r="G1255" i="111"/>
  <c r="H1255" i="111" s="1"/>
  <c r="I1255" i="111" s="1"/>
  <c r="G2366" i="111"/>
  <c r="H2366" i="111" s="1"/>
  <c r="I2366" i="111" s="1"/>
  <c r="G2142" i="111"/>
  <c r="H2142" i="111" s="1"/>
  <c r="I2142" i="111" s="1"/>
  <c r="G5763" i="111"/>
  <c r="G5738" i="111"/>
  <c r="H5738" i="111" s="1"/>
  <c r="I5738" i="111" s="1"/>
  <c r="G6295" i="111"/>
  <c r="H6295" i="111" s="1"/>
  <c r="I6295" i="111" s="1"/>
  <c r="G6159" i="111"/>
  <c r="H6159" i="111" s="1"/>
  <c r="I6159" i="111" s="1"/>
  <c r="G6685" i="111"/>
  <c r="H6685" i="111" s="1"/>
  <c r="I6685" i="111" s="1"/>
  <c r="G5405" i="111"/>
  <c r="G6076" i="111"/>
  <c r="G6026" i="111"/>
  <c r="H6026" i="111" s="1"/>
  <c r="I6026" i="111" s="1"/>
  <c r="G6363" i="111"/>
  <c r="H6363" i="111" s="1"/>
  <c r="I6363" i="111" s="1"/>
  <c r="G5094" i="111"/>
  <c r="H5094" i="111" s="1"/>
  <c r="I5094" i="111" s="1"/>
  <c r="G5736" i="111"/>
  <c r="H5736" i="111" s="1"/>
  <c r="I5736" i="111" s="1"/>
  <c r="G5153" i="111"/>
  <c r="H5153" i="111" s="1"/>
  <c r="I5153" i="111" s="1"/>
  <c r="G5047" i="111"/>
  <c r="H5047" i="111" s="1"/>
  <c r="I5047" i="111" s="1"/>
  <c r="G5956" i="111"/>
  <c r="G4578" i="111"/>
  <c r="G5019" i="111"/>
  <c r="H5019" i="111" s="1"/>
  <c r="I5019" i="111" s="1"/>
  <c r="G4942" i="111"/>
  <c r="H4942" i="111" s="1"/>
  <c r="I4942" i="111" s="1"/>
  <c r="G6116" i="111"/>
  <c r="H6116" i="111" s="1"/>
  <c r="I6116" i="111" s="1"/>
  <c r="G4772" i="111"/>
  <c r="H4772" i="111" s="1"/>
  <c r="I4772" i="111" s="1"/>
  <c r="G4547" i="111"/>
  <c r="H4547" i="111" s="1"/>
  <c r="I4547" i="111" s="1"/>
  <c r="G4525" i="111"/>
  <c r="G4588" i="111"/>
  <c r="H4588" i="111" s="1"/>
  <c r="I4588" i="111" s="1"/>
  <c r="G6481" i="111"/>
  <c r="H6481" i="111" s="1"/>
  <c r="I6481" i="111" s="1"/>
  <c r="G4569" i="111"/>
  <c r="H4569" i="111" s="1"/>
  <c r="I4569" i="111" s="1"/>
  <c r="G3971" i="111"/>
  <c r="H3971" i="111" s="1"/>
  <c r="I3971" i="111" s="1"/>
  <c r="G5441" i="111"/>
  <c r="H5441" i="111" s="1"/>
  <c r="I5441" i="111" s="1"/>
  <c r="G4407" i="111"/>
  <c r="H4407" i="111" s="1"/>
  <c r="I4407" i="111" s="1"/>
  <c r="G4400" i="111"/>
  <c r="H4400" i="111" s="1"/>
  <c r="I4400" i="111" s="1"/>
  <c r="G3738" i="111"/>
  <c r="H3738" i="111" s="1"/>
  <c r="I3738" i="111" s="1"/>
  <c r="G5647" i="111"/>
  <c r="H5647" i="111" s="1"/>
  <c r="I5647" i="111" s="1"/>
  <c r="G4197" i="111"/>
  <c r="H4197" i="111" s="1"/>
  <c r="I4197" i="111" s="1"/>
  <c r="G4892" i="111"/>
  <c r="H4892" i="111" s="1"/>
  <c r="I4892" i="111" s="1"/>
  <c r="G4042" i="111"/>
  <c r="H4042" i="111" s="1"/>
  <c r="I4042" i="111" s="1"/>
  <c r="G3453" i="111"/>
  <c r="H3453" i="111" s="1"/>
  <c r="I3453" i="111" s="1"/>
  <c r="G4855" i="111"/>
  <c r="H4855" i="111" s="1"/>
  <c r="I4855" i="111" s="1"/>
  <c r="G4149" i="111"/>
  <c r="H4149" i="111" s="1"/>
  <c r="I4149" i="111" s="1"/>
  <c r="G3618" i="111"/>
  <c r="G5028" i="111"/>
  <c r="H5028" i="111" s="1"/>
  <c r="I5028" i="111" s="1"/>
  <c r="G4113" i="111"/>
  <c r="H4113" i="111" s="1"/>
  <c r="I4113" i="111" s="1"/>
  <c r="G3395" i="111"/>
  <c r="H3395" i="111" s="1"/>
  <c r="I3395" i="111" s="1"/>
  <c r="G4326" i="111"/>
  <c r="H4326" i="111" s="1"/>
  <c r="I4326" i="111" s="1"/>
  <c r="G3886" i="111"/>
  <c r="G3572" i="111"/>
  <c r="H3572" i="111" s="1"/>
  <c r="I3572" i="111" s="1"/>
  <c r="G5079" i="111"/>
  <c r="H5079" i="111" s="1"/>
  <c r="I5079" i="111" s="1"/>
  <c r="G4031" i="111"/>
  <c r="H4031" i="111" s="1"/>
  <c r="I4031" i="111" s="1"/>
  <c r="G3517" i="111"/>
  <c r="G3099" i="111"/>
  <c r="H3099" i="111" s="1"/>
  <c r="I3099" i="111" s="1"/>
  <c r="G2795" i="111"/>
  <c r="H2795" i="111" s="1"/>
  <c r="I2795" i="111" s="1"/>
  <c r="G4440" i="111"/>
  <c r="H4440" i="111" s="1"/>
  <c r="I4440" i="111" s="1"/>
  <c r="G3822" i="111"/>
  <c r="G3284" i="111"/>
  <c r="H3284" i="111" s="1"/>
  <c r="I3284" i="111" s="1"/>
  <c r="G2944" i="111"/>
  <c r="H2944" i="111" s="1"/>
  <c r="I2944" i="111" s="1"/>
  <c r="G2420" i="111"/>
  <c r="G4883" i="111"/>
  <c r="G3794" i="111"/>
  <c r="H3794" i="111" s="1"/>
  <c r="I3794" i="111" s="1"/>
  <c r="G3154" i="111"/>
  <c r="G2784" i="111"/>
  <c r="H2784" i="111" s="1"/>
  <c r="I2784" i="111" s="1"/>
  <c r="G2340" i="111"/>
  <c r="G4721" i="111"/>
  <c r="H4721" i="111" s="1"/>
  <c r="I4721" i="111" s="1"/>
  <c r="G3740" i="111"/>
  <c r="H3740" i="111" s="1"/>
  <c r="I3740" i="111" s="1"/>
  <c r="G5536" i="111"/>
  <c r="H5536" i="111" s="1"/>
  <c r="I5536" i="111" s="1"/>
  <c r="G4111" i="111"/>
  <c r="H4111" i="111" s="1"/>
  <c r="I4111" i="111" s="1"/>
  <c r="G3444" i="111"/>
  <c r="H3444" i="111" s="1"/>
  <c r="I3444" i="111" s="1"/>
  <c r="G3151" i="111"/>
  <c r="H3151" i="111" s="1"/>
  <c r="I3151" i="111" s="1"/>
  <c r="G2846" i="111"/>
  <c r="H2846" i="111" s="1"/>
  <c r="I2846" i="111" s="1"/>
  <c r="G4514" i="111"/>
  <c r="H4514" i="111" s="1"/>
  <c r="I4514" i="111" s="1"/>
  <c r="G3739" i="111"/>
  <c r="H3739" i="111" s="1"/>
  <c r="I3739" i="111" s="1"/>
  <c r="G3303" i="111"/>
  <c r="H3303" i="111" s="1"/>
  <c r="I3303" i="111" s="1"/>
  <c r="G3033" i="111"/>
  <c r="H3033" i="111" s="1"/>
  <c r="I3033" i="111" s="1"/>
  <c r="G5090" i="111"/>
  <c r="H5090" i="111" s="1"/>
  <c r="I5090" i="111" s="1"/>
  <c r="G4064" i="111"/>
  <c r="H4064" i="111" s="1"/>
  <c r="I4064" i="111" s="1"/>
  <c r="G3382" i="111"/>
  <c r="H3382" i="111" s="1"/>
  <c r="I3382" i="111" s="1"/>
  <c r="G3885" i="111"/>
  <c r="H3885" i="111" s="1"/>
  <c r="I3885" i="111" s="1"/>
  <c r="G2962" i="111"/>
  <c r="H2962" i="111" s="1"/>
  <c r="I2962" i="111" s="1"/>
  <c r="G2541" i="111"/>
  <c r="H2541" i="111" s="1"/>
  <c r="I2541" i="111" s="1"/>
  <c r="G875" i="111"/>
  <c r="H875" i="111" s="1"/>
  <c r="I875" i="111" s="1"/>
  <c r="G1232" i="111"/>
  <c r="H1232" i="111" s="1"/>
  <c r="I1232" i="111" s="1"/>
  <c r="G428" i="111"/>
  <c r="G233" i="111"/>
  <c r="G1254" i="111"/>
  <c r="H1254" i="111" s="1"/>
  <c r="I1254" i="111" s="1"/>
  <c r="G380" i="111"/>
  <c r="H380" i="111" s="1"/>
  <c r="I380" i="111" s="1"/>
  <c r="G904" i="111"/>
  <c r="H904" i="111" s="1"/>
  <c r="I904" i="111" s="1"/>
  <c r="G2952" i="111"/>
  <c r="H2952" i="111" s="1"/>
  <c r="I2952" i="111" s="1"/>
  <c r="G183" i="111"/>
  <c r="H183" i="111" s="1"/>
  <c r="I183" i="111" s="1"/>
  <c r="G6654" i="111"/>
  <c r="G5608" i="111"/>
  <c r="G5626" i="111"/>
  <c r="G6657" i="111"/>
  <c r="H6657" i="111" s="1"/>
  <c r="I6657" i="111" s="1"/>
  <c r="G5827" i="111"/>
  <c r="H5827" i="111" s="1"/>
  <c r="I5827" i="111" s="1"/>
  <c r="G6323" i="111"/>
  <c r="H6323" i="111" s="1"/>
  <c r="I6323" i="111" s="1"/>
  <c r="G5301" i="111"/>
  <c r="H5301" i="111" s="1"/>
  <c r="I5301" i="111" s="1"/>
  <c r="G5711" i="111"/>
  <c r="H5711" i="111" s="1"/>
  <c r="I5711" i="111" s="1"/>
  <c r="G5677" i="111"/>
  <c r="G6214" i="111"/>
  <c r="H6214" i="111" s="1"/>
  <c r="I6214" i="111" s="1"/>
  <c r="G6648" i="111"/>
  <c r="H6648" i="111" s="1"/>
  <c r="I6648" i="111" s="1"/>
  <c r="G6377" i="111"/>
  <c r="H6377" i="111" s="1"/>
  <c r="I6377" i="111" s="1"/>
  <c r="G6408" i="111"/>
  <c r="H6408" i="111" s="1"/>
  <c r="I6408" i="111" s="1"/>
  <c r="G4869" i="111"/>
  <c r="G5604" i="111"/>
  <c r="G6337" i="111"/>
  <c r="H6337" i="111" s="1"/>
  <c r="I6337" i="111" s="1"/>
  <c r="G6334" i="111"/>
  <c r="H6334" i="111" s="1"/>
  <c r="I6334" i="111" s="1"/>
  <c r="G6329" i="111"/>
  <c r="H6329" i="111" s="1"/>
  <c r="I6329" i="111" s="1"/>
  <c r="G5870" i="111"/>
  <c r="H5870" i="111" s="1"/>
  <c r="I5870" i="111" s="1"/>
  <c r="G6188" i="111"/>
  <c r="G6362" i="111"/>
  <c r="H6362" i="111" s="1"/>
  <c r="I6362" i="111" s="1"/>
  <c r="G5916" i="111"/>
  <c r="G4434" i="111"/>
  <c r="H4434" i="111" s="1"/>
  <c r="I4434" i="111" s="1"/>
  <c r="G5562" i="111"/>
  <c r="G4504" i="111"/>
  <c r="G3823" i="111"/>
  <c r="H3823" i="111" s="1"/>
  <c r="I3823" i="111" s="1"/>
  <c r="G5303" i="111"/>
  <c r="H5303" i="111" s="1"/>
  <c r="I5303" i="111" s="1"/>
  <c r="G6217" i="111"/>
  <c r="H6217" i="111" s="1"/>
  <c r="I6217" i="111" s="1"/>
  <c r="G4270" i="111"/>
  <c r="G3650" i="111"/>
  <c r="H3650" i="111" s="1"/>
  <c r="I3650" i="111" s="1"/>
  <c r="G5098" i="111"/>
  <c r="H5098" i="111" s="1"/>
  <c r="I5098" i="111" s="1"/>
  <c r="G4120" i="111"/>
  <c r="H4120" i="111" s="1"/>
  <c r="I4120" i="111" s="1"/>
  <c r="G4593" i="111"/>
  <c r="G3874" i="111"/>
  <c r="G3389" i="111"/>
  <c r="H3389" i="111" s="1"/>
  <c r="I3389" i="111" s="1"/>
  <c r="G4690" i="111"/>
  <c r="G3993" i="111"/>
  <c r="H3993" i="111" s="1"/>
  <c r="I3993" i="111" s="1"/>
  <c r="G3531" i="111"/>
  <c r="H3531" i="111" s="1"/>
  <c r="I3531" i="111" s="1"/>
  <c r="G4783" i="111"/>
  <c r="H4783" i="111" s="1"/>
  <c r="I4783" i="111" s="1"/>
  <c r="G4037" i="111"/>
  <c r="H4037" i="111" s="1"/>
  <c r="I4037" i="111" s="1"/>
  <c r="G5594" i="111"/>
  <c r="H5594" i="111" s="1"/>
  <c r="I5594" i="111" s="1"/>
  <c r="G4219" i="111"/>
  <c r="G3820" i="111"/>
  <c r="H3820" i="111" s="1"/>
  <c r="I3820" i="111" s="1"/>
  <c r="G3484" i="111"/>
  <c r="H3484" i="111" s="1"/>
  <c r="I3484" i="111" s="1"/>
  <c r="G4785" i="111"/>
  <c r="H4785" i="111" s="1"/>
  <c r="I4785" i="111" s="1"/>
  <c r="G3931" i="111"/>
  <c r="H3931" i="111" s="1"/>
  <c r="I3931" i="111" s="1"/>
  <c r="G3393" i="111"/>
  <c r="H3393" i="111" s="1"/>
  <c r="I3393" i="111" s="1"/>
  <c r="G3024" i="111"/>
  <c r="H3024" i="111" s="1"/>
  <c r="I3024" i="111" s="1"/>
  <c r="G2682" i="111"/>
  <c r="H2682" i="111" s="1"/>
  <c r="I2682" i="111" s="1"/>
  <c r="G4260" i="111"/>
  <c r="H4260" i="111" s="1"/>
  <c r="I4260" i="111" s="1"/>
  <c r="G3723" i="111"/>
  <c r="H3723" i="111" s="1"/>
  <c r="I3723" i="111" s="1"/>
  <c r="G3203" i="111"/>
  <c r="H3203" i="111" s="1"/>
  <c r="I3203" i="111" s="1"/>
  <c r="G2785" i="111"/>
  <c r="H2785" i="111" s="1"/>
  <c r="I2785" i="111" s="1"/>
  <c r="G2379" i="111"/>
  <c r="H2379" i="111" s="1"/>
  <c r="I2379" i="111" s="1"/>
  <c r="G4437" i="111"/>
  <c r="G3647" i="111"/>
  <c r="H3647" i="111" s="1"/>
  <c r="I3647" i="111" s="1"/>
  <c r="G3096" i="111"/>
  <c r="H3096" i="111" s="1"/>
  <c r="I3096" i="111" s="1"/>
  <c r="G2720" i="111"/>
  <c r="G2276" i="111"/>
  <c r="H2276" i="111" s="1"/>
  <c r="I2276" i="111" s="1"/>
  <c r="G4427" i="111"/>
  <c r="G3659" i="111"/>
  <c r="H3659" i="111" s="1"/>
  <c r="I3659" i="111" s="1"/>
  <c r="G4769" i="111"/>
  <c r="G3950" i="111"/>
  <c r="H3950" i="111" s="1"/>
  <c r="I3950" i="111" s="1"/>
  <c r="G3387" i="111"/>
  <c r="G3109" i="111"/>
  <c r="G6572" i="111"/>
  <c r="H6572" i="111" s="1"/>
  <c r="I6572" i="111" s="1"/>
  <c r="G4282" i="111"/>
  <c r="H4282" i="111" s="1"/>
  <c r="I4282" i="111" s="1"/>
  <c r="G3656" i="111"/>
  <c r="H3656" i="111" s="1"/>
  <c r="I3656" i="111" s="1"/>
  <c r="G3265" i="111"/>
  <c r="H3265" i="111" s="1"/>
  <c r="I3265" i="111" s="1"/>
  <c r="G2967" i="111"/>
  <c r="H2967" i="111" s="1"/>
  <c r="I2967" i="111" s="1"/>
  <c r="G4846" i="111"/>
  <c r="H4846" i="111" s="1"/>
  <c r="I4846" i="111" s="1"/>
  <c r="G3798" i="111"/>
  <c r="G5900" i="111"/>
  <c r="G3566" i="111"/>
  <c r="H3566" i="111" s="1"/>
  <c r="I3566" i="111" s="1"/>
  <c r="G2830" i="111"/>
  <c r="H2830" i="111" s="1"/>
  <c r="I2830" i="111" s="1"/>
  <c r="G2475" i="111"/>
  <c r="H2475" i="111" s="1"/>
  <c r="I2475" i="111" s="1"/>
  <c r="G2324" i="111"/>
  <c r="G81" i="111"/>
  <c r="G756" i="111"/>
  <c r="H756" i="111" s="1"/>
  <c r="I756" i="111" s="1"/>
  <c r="G592" i="111"/>
  <c r="H592" i="111" s="1"/>
  <c r="I592" i="111" s="1"/>
  <c r="G147" i="111"/>
  <c r="G1197" i="111"/>
  <c r="G1231" i="111"/>
  <c r="H1231" i="111" s="1"/>
  <c r="I1231" i="111" s="1"/>
  <c r="G5544" i="111"/>
  <c r="G385" i="111"/>
  <c r="H385" i="111" s="1"/>
  <c r="I385" i="111" s="1"/>
  <c r="G6530" i="111"/>
  <c r="G5448" i="111"/>
  <c r="H5448" i="111" s="1"/>
  <c r="I5448" i="111" s="1"/>
  <c r="G5535" i="111"/>
  <c r="H5535" i="111" s="1"/>
  <c r="I5535" i="111" s="1"/>
  <c r="G6618" i="111"/>
  <c r="G5732" i="111"/>
  <c r="H5732" i="111" s="1"/>
  <c r="I5732" i="111" s="1"/>
  <c r="G6223" i="111"/>
  <c r="H6223" i="111" s="1"/>
  <c r="I6223" i="111" s="1"/>
  <c r="G5116" i="111"/>
  <c r="G5649" i="111"/>
  <c r="H5649" i="111" s="1"/>
  <c r="I5649" i="111" s="1"/>
  <c r="G5466" i="111"/>
  <c r="H5466" i="111" s="1"/>
  <c r="I5466" i="111" s="1"/>
  <c r="G6036" i="111"/>
  <c r="H6036" i="111" s="1"/>
  <c r="I6036" i="111" s="1"/>
  <c r="G6512" i="111"/>
  <c r="H6512" i="111" s="1"/>
  <c r="I6512" i="111" s="1"/>
  <c r="G6347" i="111"/>
  <c r="H6347" i="111" s="1"/>
  <c r="I6347" i="111" s="1"/>
  <c r="G6280" i="111"/>
  <c r="H6280" i="111" s="1"/>
  <c r="I6280" i="111" s="1"/>
  <c r="G4751" i="111"/>
  <c r="H4751" i="111" s="1"/>
  <c r="I4751" i="111" s="1"/>
  <c r="G5514" i="111"/>
  <c r="H5514" i="111" s="1"/>
  <c r="I5514" i="111" s="1"/>
  <c r="G6275" i="111"/>
  <c r="H6275" i="111" s="1"/>
  <c r="I6275" i="111" s="1"/>
  <c r="G6037" i="111"/>
  <c r="H6037" i="111" s="1"/>
  <c r="I6037" i="111" s="1"/>
  <c r="G6120" i="111"/>
  <c r="H6120" i="111" s="1"/>
  <c r="I6120" i="111" s="1"/>
  <c r="G5803" i="111"/>
  <c r="G6065" i="111"/>
  <c r="G6024" i="111"/>
  <c r="H6024" i="111" s="1"/>
  <c r="I6024" i="111" s="1"/>
  <c r="G5567" i="111"/>
  <c r="H5567" i="111" s="1"/>
  <c r="I5567" i="111" s="1"/>
  <c r="G4356" i="111"/>
  <c r="H4356" i="111" s="1"/>
  <c r="I4356" i="111" s="1"/>
  <c r="G5511" i="111"/>
  <c r="G4410" i="111"/>
  <c r="G6649" i="111"/>
  <c r="H6649" i="111" s="1"/>
  <c r="I6649" i="111" s="1"/>
  <c r="G5260" i="111"/>
  <c r="H5260" i="111" s="1"/>
  <c r="I5260" i="111" s="1"/>
  <c r="G6155" i="111"/>
  <c r="H6155" i="111" s="1"/>
  <c r="I6155" i="111" s="1"/>
  <c r="G4213" i="111"/>
  <c r="H4213" i="111" s="1"/>
  <c r="I4213" i="111" s="1"/>
  <c r="G3568" i="111"/>
  <c r="H3568" i="111" s="1"/>
  <c r="I3568" i="111" s="1"/>
  <c r="G4894" i="111"/>
  <c r="H4894" i="111" s="1"/>
  <c r="I4894" i="111" s="1"/>
  <c r="G3995" i="111"/>
  <c r="H3995" i="111" s="1"/>
  <c r="I3995" i="111" s="1"/>
  <c r="G4558" i="111"/>
  <c r="G3847" i="111"/>
  <c r="H3847" i="111" s="1"/>
  <c r="I3847" i="111" s="1"/>
  <c r="G6349" i="111"/>
  <c r="G4557" i="111"/>
  <c r="G3980" i="111"/>
  <c r="H3980" i="111" s="1"/>
  <c r="I3980" i="111" s="1"/>
  <c r="G3501" i="111"/>
  <c r="G4759" i="111"/>
  <c r="H4759" i="111" s="1"/>
  <c r="I4759" i="111" s="1"/>
  <c r="G3958" i="111"/>
  <c r="H3958" i="111" s="1"/>
  <c r="I3958" i="111" s="1"/>
  <c r="G5435" i="111"/>
  <c r="H5435" i="111" s="1"/>
  <c r="I5435" i="111" s="1"/>
  <c r="G4185" i="111"/>
  <c r="H4185" i="111" s="1"/>
  <c r="I4185" i="111" s="1"/>
  <c r="G3797" i="111"/>
  <c r="H3797" i="111" s="1"/>
  <c r="I3797" i="111" s="1"/>
  <c r="G1544" i="111"/>
  <c r="H1544" i="111" s="1"/>
  <c r="I1544" i="111" s="1"/>
  <c r="G745" i="111"/>
  <c r="H745" i="111" s="1"/>
  <c r="I745" i="111" s="1"/>
  <c r="G1994" i="111"/>
  <c r="G802" i="111"/>
  <c r="H802" i="111" s="1"/>
  <c r="I802" i="111" s="1"/>
  <c r="G557" i="111"/>
  <c r="G2079" i="111"/>
  <c r="G1843" i="111"/>
  <c r="H1843" i="111" s="1"/>
  <c r="I1843" i="111" s="1"/>
  <c r="G2550" i="111"/>
  <c r="H2550" i="111" s="1"/>
  <c r="I2550" i="111" s="1"/>
  <c r="G739" i="111"/>
  <c r="H739" i="111" s="1"/>
  <c r="I739" i="111" s="1"/>
  <c r="G6427" i="111"/>
  <c r="G6596" i="111"/>
  <c r="H6596" i="111" s="1"/>
  <c r="I6596" i="111" s="1"/>
  <c r="G5508" i="111"/>
  <c r="H5508" i="111" s="1"/>
  <c r="I5508" i="111" s="1"/>
  <c r="G6575" i="111"/>
  <c r="H6575" i="111" s="1"/>
  <c r="I6575" i="111" s="1"/>
  <c r="G5592" i="111"/>
  <c r="H5592" i="111" s="1"/>
  <c r="I5592" i="111" s="1"/>
  <c r="G6140" i="111"/>
  <c r="H6140" i="111" s="1"/>
  <c r="I6140" i="111" s="1"/>
  <c r="G5073" i="111"/>
  <c r="H5073" i="111" s="1"/>
  <c r="I5073" i="111" s="1"/>
  <c r="G5589" i="111"/>
  <c r="H5589" i="111" s="1"/>
  <c r="I5589" i="111" s="1"/>
  <c r="G5427" i="111"/>
  <c r="H5427" i="111" s="1"/>
  <c r="I5427" i="111" s="1"/>
  <c r="G5980" i="111"/>
  <c r="H5980" i="111" s="1"/>
  <c r="I5980" i="111" s="1"/>
  <c r="G6492" i="111"/>
  <c r="G6281" i="111"/>
  <c r="H6281" i="111" s="1"/>
  <c r="I6281" i="111" s="1"/>
  <c r="G6107" i="111"/>
  <c r="H6107" i="111" s="1"/>
  <c r="I6107" i="111" s="1"/>
  <c r="G4698" i="111"/>
  <c r="H4698" i="111" s="1"/>
  <c r="I4698" i="111" s="1"/>
  <c r="G5395" i="111"/>
  <c r="H5395" i="111" s="1"/>
  <c r="I5395" i="111" s="1"/>
  <c r="G6131" i="111"/>
  <c r="G5950" i="111"/>
  <c r="H5950" i="111" s="1"/>
  <c r="I5950" i="111" s="1"/>
  <c r="G5998" i="111"/>
  <c r="H5998" i="111" s="1"/>
  <c r="I5998" i="111" s="1"/>
  <c r="G5781" i="111"/>
  <c r="H5781" i="111" s="1"/>
  <c r="I5781" i="111" s="1"/>
  <c r="G5872" i="111"/>
  <c r="G5693" i="111"/>
  <c r="H5693" i="111" s="1"/>
  <c r="I5693" i="111" s="1"/>
  <c r="G5400" i="111"/>
  <c r="G4297" i="111"/>
  <c r="H4297" i="111" s="1"/>
  <c r="I4297" i="111" s="1"/>
  <c r="G5230" i="111"/>
  <c r="H5230" i="111" s="1"/>
  <c r="I5230" i="111" s="1"/>
  <c r="G4395" i="111"/>
  <c r="G6576" i="111"/>
  <c r="H6576" i="111" s="1"/>
  <c r="I6576" i="111" s="1"/>
  <c r="G5072" i="111"/>
  <c r="G6147" i="111"/>
  <c r="H6147" i="111" s="1"/>
  <c r="I6147" i="111" s="1"/>
  <c r="G4198" i="111"/>
  <c r="H4198" i="111" s="1"/>
  <c r="I4198" i="111" s="1"/>
  <c r="G3534" i="111"/>
  <c r="G4864" i="111"/>
  <c r="H4864" i="111" s="1"/>
  <c r="I4864" i="111" s="1"/>
  <c r="G6452" i="111"/>
  <c r="H6452" i="111" s="1"/>
  <c r="I6452" i="111" s="1"/>
  <c r="G4445" i="111"/>
  <c r="H4445" i="111" s="1"/>
  <c r="I4445" i="111" s="1"/>
  <c r="G3829" i="111"/>
  <c r="H3829" i="111" s="1"/>
  <c r="I3829" i="111" s="1"/>
  <c r="G6289" i="111"/>
  <c r="H6289" i="111" s="1"/>
  <c r="I6289" i="111" s="1"/>
  <c r="G4528" i="111"/>
  <c r="H4528" i="111" s="1"/>
  <c r="I4528" i="111" s="1"/>
  <c r="G3962" i="111"/>
  <c r="H3962" i="111" s="1"/>
  <c r="I3962" i="111" s="1"/>
  <c r="G3427" i="111"/>
  <c r="H3427" i="111" s="1"/>
  <c r="I3427" i="111" s="1"/>
  <c r="G4720" i="111"/>
  <c r="H4720" i="111" s="1"/>
  <c r="I4720" i="111" s="1"/>
  <c r="G3915" i="111"/>
  <c r="G5363" i="111"/>
  <c r="H5363" i="111" s="1"/>
  <c r="I5363" i="111" s="1"/>
  <c r="G4125" i="111"/>
  <c r="H4125" i="111" s="1"/>
  <c r="I4125" i="111" s="1"/>
  <c r="G3765" i="111"/>
  <c r="G3460" i="111"/>
  <c r="H3460" i="111" s="1"/>
  <c r="I3460" i="111" s="1"/>
  <c r="G4585" i="111"/>
  <c r="H4585" i="111" s="1"/>
  <c r="I4585" i="111" s="1"/>
  <c r="G3826" i="111"/>
  <c r="H3826" i="111" s="1"/>
  <c r="I3826" i="111" s="1"/>
  <c r="G3320" i="111"/>
  <c r="G2988" i="111"/>
  <c r="G5670" i="111"/>
  <c r="H5670" i="111" s="1"/>
  <c r="I5670" i="111" s="1"/>
  <c r="G4148" i="111"/>
  <c r="H4148" i="111" s="1"/>
  <c r="I4148" i="111" s="1"/>
  <c r="G3626" i="111"/>
  <c r="H3626" i="111" s="1"/>
  <c r="I3626" i="111" s="1"/>
  <c r="G3158" i="111"/>
  <c r="G2721" i="111"/>
  <c r="H2721" i="111" s="1"/>
  <c r="I2721" i="111" s="1"/>
  <c r="G2317" i="111"/>
  <c r="H2317" i="111" s="1"/>
  <c r="I2317" i="111" s="1"/>
  <c r="G4331" i="111"/>
  <c r="H4331" i="111" s="1"/>
  <c r="I4331" i="111" s="1"/>
  <c r="G3448" i="111"/>
  <c r="H3448" i="111" s="1"/>
  <c r="I3448" i="111" s="1"/>
  <c r="G3040" i="111"/>
  <c r="H3040" i="111" s="1"/>
  <c r="I3040" i="111" s="1"/>
  <c r="G2663" i="111"/>
  <c r="H2663" i="111" s="1"/>
  <c r="I2663" i="111" s="1"/>
  <c r="G2228" i="111"/>
  <c r="H2228" i="111" s="1"/>
  <c r="I2228" i="111" s="1"/>
  <c r="G4328" i="111"/>
  <c r="H4328" i="111" s="1"/>
  <c r="I4328" i="111" s="1"/>
  <c r="G3590" i="111"/>
  <c r="H3590" i="111" s="1"/>
  <c r="I3590" i="111" s="1"/>
  <c r="G4668" i="111"/>
  <c r="G3883" i="111"/>
  <c r="H3883" i="111" s="1"/>
  <c r="I3883" i="111" s="1"/>
  <c r="G3313" i="111"/>
  <c r="H3313" i="111" s="1"/>
  <c r="I3313" i="111" s="1"/>
  <c r="G3050" i="111"/>
  <c r="H3050" i="111" s="1"/>
  <c r="I3050" i="111" s="1"/>
  <c r="G6196" i="111"/>
  <c r="H6196" i="111" s="1"/>
  <c r="I6196" i="111" s="1"/>
  <c r="G4168" i="111"/>
  <c r="H4168" i="111" s="1"/>
  <c r="I4168" i="111" s="1"/>
  <c r="G3582" i="111"/>
  <c r="G3224" i="111"/>
  <c r="H3224" i="111" s="1"/>
  <c r="I3224" i="111" s="1"/>
  <c r="G2913" i="111"/>
  <c r="G4689" i="111"/>
  <c r="G3726" i="111"/>
  <c r="H3726" i="111" s="1"/>
  <c r="I3726" i="111" s="1"/>
  <c r="G4874" i="111"/>
  <c r="H4874" i="111" s="1"/>
  <c r="I4874" i="111" s="1"/>
  <c r="G3403" i="111"/>
  <c r="H3403" i="111" s="1"/>
  <c r="I3403" i="111" s="1"/>
  <c r="G2781" i="111"/>
  <c r="H2781" i="111" s="1"/>
  <c r="I2781" i="111" s="1"/>
  <c r="G2411" i="111"/>
  <c r="H2411" i="111" s="1"/>
  <c r="I2411" i="111" s="1"/>
  <c r="G290" i="111"/>
  <c r="H290" i="111" s="1"/>
  <c r="I290" i="111" s="1"/>
  <c r="G140" i="111"/>
  <c r="H140" i="111" s="1"/>
  <c r="I140" i="111" s="1"/>
  <c r="G1322" i="111"/>
  <c r="H1322" i="111" s="1"/>
  <c r="I1322" i="111" s="1"/>
  <c r="G119" i="111"/>
  <c r="H119" i="111" s="1"/>
  <c r="I119" i="111" s="1"/>
  <c r="G2885" i="111"/>
  <c r="H2885" i="111" s="1"/>
  <c r="I2885" i="111" s="1"/>
  <c r="G2227" i="111"/>
  <c r="H2227" i="111" s="1"/>
  <c r="I2227" i="111" s="1"/>
  <c r="G273" i="111"/>
  <c r="G4601" i="111"/>
  <c r="H4601" i="111" s="1"/>
  <c r="I4601" i="111" s="1"/>
  <c r="G178" i="111"/>
  <c r="G1047" i="111"/>
  <c r="G6240" i="111"/>
  <c r="G6458" i="111"/>
  <c r="G5257" i="111"/>
  <c r="H5257" i="111" s="1"/>
  <c r="I5257" i="111" s="1"/>
  <c r="G6501" i="111"/>
  <c r="H6501" i="111" s="1"/>
  <c r="I6501" i="111" s="1"/>
  <c r="G5520" i="111"/>
  <c r="H5520" i="111" s="1"/>
  <c r="I5520" i="111" s="1"/>
  <c r="G5862" i="111"/>
  <c r="G6637" i="111"/>
  <c r="G6680" i="111"/>
  <c r="G5388" i="111"/>
  <c r="H5388" i="111" s="1"/>
  <c r="I5388" i="111" s="1"/>
  <c r="G5818" i="111"/>
  <c r="H5818" i="111" s="1"/>
  <c r="I5818" i="111" s="1"/>
  <c r="G6346" i="111"/>
  <c r="H6346" i="111" s="1"/>
  <c r="I6346" i="111" s="1"/>
  <c r="G6023" i="111"/>
  <c r="H6023" i="111" s="1"/>
  <c r="I6023" i="111" s="1"/>
  <c r="G5821" i="111"/>
  <c r="H5821" i="111" s="1"/>
  <c r="I5821" i="111" s="1"/>
  <c r="G4579" i="111"/>
  <c r="H4579" i="111" s="1"/>
  <c r="I4579" i="111" s="1"/>
  <c r="G5920" i="111"/>
  <c r="G5655" i="111"/>
  <c r="H5655" i="111" s="1"/>
  <c r="I5655" i="111" s="1"/>
  <c r="G5718" i="111"/>
  <c r="H5718" i="111" s="1"/>
  <c r="I5718" i="111" s="1"/>
  <c r="G5255" i="111"/>
  <c r="H5255" i="111" s="1"/>
  <c r="I5255" i="111" s="1"/>
  <c r="G5465" i="111"/>
  <c r="G5463" i="111"/>
  <c r="H5463" i="111" s="1"/>
  <c r="I5463" i="111" s="1"/>
  <c r="G5231" i="111"/>
  <c r="H5231" i="111" s="1"/>
  <c r="I5231" i="111" s="1"/>
  <c r="G4176" i="111"/>
  <c r="H4176" i="111" s="1"/>
  <c r="I4176" i="111" s="1"/>
  <c r="G5038" i="111"/>
  <c r="G4227" i="111"/>
  <c r="G6454" i="111"/>
  <c r="G4916" i="111"/>
  <c r="G5329" i="111"/>
  <c r="H5329" i="111" s="1"/>
  <c r="I5329" i="111" s="1"/>
  <c r="G4132" i="111"/>
  <c r="H4132" i="111" s="1"/>
  <c r="I4132" i="111" s="1"/>
  <c r="G3454" i="111"/>
  <c r="H3454" i="111" s="1"/>
  <c r="I3454" i="111" s="1"/>
  <c r="G4699" i="111"/>
  <c r="H4699" i="111" s="1"/>
  <c r="I4699" i="111" s="1"/>
  <c r="G5940" i="111"/>
  <c r="H5940" i="111" s="1"/>
  <c r="I5940" i="111" s="1"/>
  <c r="G4334" i="111"/>
  <c r="H4334" i="111" s="1"/>
  <c r="I4334" i="111" s="1"/>
  <c r="G3737" i="111"/>
  <c r="H3737" i="111" s="1"/>
  <c r="I3737" i="111" s="1"/>
  <c r="G5932" i="111"/>
  <c r="G4443" i="111"/>
  <c r="H4443" i="111" s="1"/>
  <c r="I4443" i="111" s="1"/>
  <c r="G3846" i="111"/>
  <c r="H3846" i="111" s="1"/>
  <c r="I3846" i="111" s="1"/>
  <c r="G3352" i="111"/>
  <c r="G4623" i="111"/>
  <c r="H4623" i="111" s="1"/>
  <c r="I4623" i="111" s="1"/>
  <c r="G3800" i="111"/>
  <c r="H3800" i="111" s="1"/>
  <c r="I3800" i="111" s="1"/>
  <c r="G5070" i="111"/>
  <c r="H5070" i="111" s="1"/>
  <c r="I5070" i="111" s="1"/>
  <c r="G4052" i="111"/>
  <c r="H4052" i="111" s="1"/>
  <c r="I4052" i="111" s="1"/>
  <c r="G3728" i="111"/>
  <c r="H3728" i="111" s="1"/>
  <c r="I3728" i="111" s="1"/>
  <c r="G3433" i="111"/>
  <c r="H3433" i="111" s="1"/>
  <c r="I3433" i="111" s="1"/>
  <c r="G4442" i="111"/>
  <c r="H4442" i="111" s="1"/>
  <c r="I4442" i="111" s="1"/>
  <c r="G3746" i="111"/>
  <c r="H3746" i="111" s="1"/>
  <c r="I3746" i="111" s="1"/>
  <c r="G3298" i="111"/>
  <c r="H3298" i="111" s="1"/>
  <c r="I3298" i="111" s="1"/>
  <c r="G2946" i="111"/>
  <c r="H2946" i="111" s="1"/>
  <c r="I2946" i="111" s="1"/>
  <c r="G5254" i="111"/>
  <c r="G4087" i="111"/>
  <c r="G3486" i="111"/>
  <c r="H3486" i="111" s="1"/>
  <c r="I3486" i="111" s="1"/>
  <c r="G3132" i="111"/>
  <c r="H3132" i="111" s="1"/>
  <c r="I3132" i="111" s="1"/>
  <c r="G2643" i="111"/>
  <c r="H2643" i="111" s="1"/>
  <c r="I2643" i="111" s="1"/>
  <c r="G5782" i="111"/>
  <c r="H5782" i="111" s="1"/>
  <c r="I5782" i="111" s="1"/>
  <c r="G4183" i="111"/>
  <c r="H4183" i="111" s="1"/>
  <c r="I4183" i="111" s="1"/>
  <c r="G3340" i="111"/>
  <c r="G2999" i="111"/>
  <c r="H2999" i="111" s="1"/>
  <c r="I2999" i="111" s="1"/>
  <c r="G2611" i="111"/>
  <c r="G6231" i="111"/>
  <c r="H6231" i="111" s="1"/>
  <c r="I6231" i="111" s="1"/>
  <c r="G4139" i="111"/>
  <c r="G3536" i="111"/>
  <c r="H3536" i="111" s="1"/>
  <c r="I3536" i="111" s="1"/>
  <c r="G4572" i="111"/>
  <c r="H4572" i="111" s="1"/>
  <c r="I4572" i="111" s="1"/>
  <c r="G3777" i="111"/>
  <c r="G3280" i="111"/>
  <c r="H3280" i="111" s="1"/>
  <c r="I3280" i="111" s="1"/>
  <c r="G3013" i="111"/>
  <c r="G5530" i="111"/>
  <c r="H5530" i="111" s="1"/>
  <c r="I5530" i="111" s="1"/>
  <c r="G4048" i="111"/>
  <c r="H4048" i="111" s="1"/>
  <c r="I4048" i="111" s="1"/>
  <c r="G3493" i="111"/>
  <c r="G3150" i="111"/>
  <c r="G2882" i="111"/>
  <c r="G4536" i="111"/>
  <c r="H4536" i="111" s="1"/>
  <c r="I4536" i="111" s="1"/>
  <c r="G3651" i="111"/>
  <c r="H3651" i="111" s="1"/>
  <c r="I3651" i="111" s="1"/>
  <c r="G4478" i="111"/>
  <c r="H4478" i="111" s="1"/>
  <c r="I4478" i="111" s="1"/>
  <c r="G3302" i="111"/>
  <c r="H3302" i="111" s="1"/>
  <c r="I3302" i="111" s="1"/>
  <c r="G2719" i="111"/>
  <c r="H2719" i="111" s="1"/>
  <c r="I2719" i="111" s="1"/>
  <c r="G2376" i="111"/>
  <c r="H2376" i="111" s="1"/>
  <c r="I2376" i="111" s="1"/>
  <c r="G1016" i="111"/>
  <c r="H1016" i="111" s="1"/>
  <c r="I1016" i="111" s="1"/>
  <c r="G898" i="111"/>
  <c r="G2758" i="111"/>
  <c r="G448" i="111"/>
  <c r="H448" i="111" s="1"/>
  <c r="I448" i="111" s="1"/>
  <c r="G237" i="111"/>
  <c r="H237" i="111" s="1"/>
  <c r="I237" i="111" s="1"/>
  <c r="G3858" i="111"/>
  <c r="G442" i="111"/>
  <c r="G96" i="111"/>
  <c r="H96" i="111" s="1"/>
  <c r="I96" i="111" s="1"/>
  <c r="G291" i="111"/>
  <c r="H291" i="111" s="1"/>
  <c r="I291" i="111" s="1"/>
  <c r="G1149" i="111"/>
  <c r="G6212" i="111"/>
  <c r="G6379" i="111"/>
  <c r="H6379" i="111" s="1"/>
  <c r="I6379" i="111" s="1"/>
  <c r="G5184" i="111"/>
  <c r="H5184" i="111" s="1"/>
  <c r="I5184" i="111" s="1"/>
  <c r="G6569" i="111"/>
  <c r="H6569" i="111" s="1"/>
  <c r="I6569" i="111" s="1"/>
  <c r="G5433" i="111"/>
  <c r="H5433" i="111" s="1"/>
  <c r="I5433" i="111" s="1"/>
  <c r="G5825" i="111"/>
  <c r="H5825" i="111" s="1"/>
  <c r="I5825" i="111" s="1"/>
  <c r="G6566" i="111"/>
  <c r="H6566" i="111" s="1"/>
  <c r="I6566" i="111" s="1"/>
  <c r="G6542" i="111"/>
  <c r="H6542" i="111" s="1"/>
  <c r="I6542" i="111" s="1"/>
  <c r="G5330" i="111"/>
  <c r="H5330" i="111" s="1"/>
  <c r="I5330" i="111" s="1"/>
  <c r="G5671" i="111"/>
  <c r="H5671" i="111" s="1"/>
  <c r="I5671" i="111" s="1"/>
  <c r="G6209" i="111"/>
  <c r="H6209" i="111" s="1"/>
  <c r="I6209" i="111" s="1"/>
  <c r="G5828" i="111"/>
  <c r="H5828" i="111" s="1"/>
  <c r="I5828" i="111" s="1"/>
  <c r="G5612" i="111"/>
  <c r="H5612" i="111" s="1"/>
  <c r="I5612" i="111" s="1"/>
  <c r="G4538" i="111"/>
  <c r="G5085" i="111"/>
  <c r="H5085" i="111" s="1"/>
  <c r="I5085" i="111" s="1"/>
  <c r="G5764" i="111"/>
  <c r="G5503" i="111"/>
  <c r="G5672" i="111"/>
  <c r="H5672" i="111" s="1"/>
  <c r="I5672" i="111" s="1"/>
  <c r="G5091" i="111"/>
  <c r="H5091" i="111" s="1"/>
  <c r="I5091" i="111" s="1"/>
  <c r="G5112" i="111"/>
  <c r="G5234" i="111"/>
  <c r="H5234" i="111" s="1"/>
  <c r="I5234" i="111" s="1"/>
  <c r="G5186" i="111"/>
  <c r="G4124" i="111"/>
  <c r="H4124" i="111" s="1"/>
  <c r="I4124" i="111" s="1"/>
  <c r="G4857" i="111"/>
  <c r="H4857" i="111" s="1"/>
  <c r="I4857" i="111" s="1"/>
  <c r="G4192" i="111"/>
  <c r="H4192" i="111" s="1"/>
  <c r="I4192" i="111" s="1"/>
  <c r="G6400" i="111"/>
  <c r="H6400" i="111" s="1"/>
  <c r="I6400" i="111" s="1"/>
  <c r="G4895" i="111"/>
  <c r="H4895" i="111" s="1"/>
  <c r="I4895" i="111" s="1"/>
  <c r="G4959" i="111"/>
  <c r="G4046" i="111"/>
  <c r="H4046" i="111" s="1"/>
  <c r="I4046" i="111" s="1"/>
  <c r="G3429" i="111"/>
  <c r="H3429" i="111" s="1"/>
  <c r="I3429" i="111" s="1"/>
  <c r="G4663" i="111"/>
  <c r="H4663" i="111" s="1"/>
  <c r="I4663" i="111" s="1"/>
  <c r="G5874" i="111"/>
  <c r="H5874" i="111" s="1"/>
  <c r="I5874" i="111" s="1"/>
  <c r="G4316" i="111"/>
  <c r="H4316" i="111" s="1"/>
  <c r="I4316" i="111" s="1"/>
  <c r="G3658" i="111"/>
  <c r="H3658" i="111" s="1"/>
  <c r="I3658" i="111" s="1"/>
  <c r="G5475" i="111"/>
  <c r="G4360" i="111"/>
  <c r="H4360" i="111" s="1"/>
  <c r="I4360" i="111" s="1"/>
  <c r="G3828" i="111"/>
  <c r="H3828" i="111" s="1"/>
  <c r="I3828" i="111" s="1"/>
  <c r="G6622" i="111"/>
  <c r="G4439" i="111"/>
  <c r="H4439" i="111" s="1"/>
  <c r="I4439" i="111" s="1"/>
  <c r="G3732" i="111"/>
  <c r="G5023" i="111"/>
  <c r="H5023" i="111" s="1"/>
  <c r="I5023" i="111" s="1"/>
  <c r="G4034" i="111"/>
  <c r="H4034" i="111" s="1"/>
  <c r="I4034" i="111" s="1"/>
  <c r="G3711" i="111"/>
  <c r="H3711" i="111" s="1"/>
  <c r="I3711" i="111" s="1"/>
  <c r="G3421" i="111"/>
  <c r="H3421" i="111" s="1"/>
  <c r="I3421" i="111" s="1"/>
  <c r="G4359" i="111"/>
  <c r="H4359" i="111" s="1"/>
  <c r="I4359" i="111" s="1"/>
  <c r="G3725" i="111"/>
  <c r="H3725" i="111" s="1"/>
  <c r="I3725" i="111" s="1"/>
  <c r="G3286" i="111"/>
  <c r="H3286" i="111" s="1"/>
  <c r="I3286" i="111" s="1"/>
  <c r="G2906" i="111"/>
  <c r="H2906" i="111" s="1"/>
  <c r="I2906" i="111" s="1"/>
  <c r="G5165" i="111"/>
  <c r="H5165" i="111" s="1"/>
  <c r="I5165" i="111" s="1"/>
  <c r="G4058" i="111"/>
  <c r="H4058" i="111" s="1"/>
  <c r="I4058" i="111" s="1"/>
  <c r="G3430" i="111"/>
  <c r="H3430" i="111" s="1"/>
  <c r="I3430" i="111" s="1"/>
  <c r="G3114" i="111"/>
  <c r="H3114" i="111" s="1"/>
  <c r="I3114" i="111" s="1"/>
  <c r="G2613" i="111"/>
  <c r="H2613" i="111" s="1"/>
  <c r="I2613" i="111" s="1"/>
  <c r="G5667" i="111"/>
  <c r="H5667" i="111" s="1"/>
  <c r="I5667" i="111" s="1"/>
  <c r="G4147" i="111"/>
  <c r="H4147" i="111" s="1"/>
  <c r="I4147" i="111" s="1"/>
  <c r="G3315" i="111"/>
  <c r="G2980" i="111"/>
  <c r="G2568" i="111"/>
  <c r="H2568" i="111" s="1"/>
  <c r="I2568" i="111" s="1"/>
  <c r="G5306" i="111"/>
  <c r="H5306" i="111" s="1"/>
  <c r="I5306" i="111" s="1"/>
  <c r="G4051" i="111"/>
  <c r="H4051" i="111" s="1"/>
  <c r="I4051" i="111" s="1"/>
  <c r="G3463" i="111"/>
  <c r="H3463" i="111" s="1"/>
  <c r="I3463" i="111" s="1"/>
  <c r="G4516" i="111"/>
  <c r="H4516" i="111" s="1"/>
  <c r="I4516" i="111" s="1"/>
  <c r="G3714" i="111"/>
  <c r="H3714" i="111" s="1"/>
  <c r="I3714" i="111" s="1"/>
  <c r="G3266" i="111"/>
  <c r="H3266" i="111" s="1"/>
  <c r="I3266" i="111" s="1"/>
  <c r="G2995" i="111"/>
  <c r="H2995" i="111" s="1"/>
  <c r="I2995" i="111" s="1"/>
  <c r="G5294" i="111"/>
  <c r="H5294" i="111" s="1"/>
  <c r="I5294" i="111" s="1"/>
  <c r="G3979" i="111"/>
  <c r="H3979" i="111" s="1"/>
  <c r="I3979" i="111" s="1"/>
  <c r="G3482" i="111"/>
  <c r="H3482" i="111" s="1"/>
  <c r="I3482" i="111" s="1"/>
  <c r="G3139" i="111"/>
  <c r="G2845" i="111"/>
  <c r="H2845" i="111" s="1"/>
  <c r="I2845" i="111" s="1"/>
  <c r="G4452" i="111"/>
  <c r="H4452" i="111" s="1"/>
  <c r="I4452" i="111" s="1"/>
  <c r="G3574" i="111"/>
  <c r="H3574" i="111" s="1"/>
  <c r="I3574" i="111" s="1"/>
  <c r="G4347" i="111"/>
  <c r="H4347" i="111" s="1"/>
  <c r="I4347" i="111" s="1"/>
  <c r="G3281" i="111"/>
  <c r="H3281" i="111" s="1"/>
  <c r="I3281" i="111" s="1"/>
  <c r="G2703" i="111"/>
  <c r="H2703" i="111" s="1"/>
  <c r="I2703" i="111" s="1"/>
  <c r="G210" i="111"/>
  <c r="H210" i="111" s="1"/>
  <c r="I210" i="111" s="1"/>
  <c r="G1166" i="111"/>
  <c r="H1166" i="111" s="1"/>
  <c r="I1166" i="111" s="1"/>
  <c r="G742" i="111"/>
  <c r="H742" i="111" s="1"/>
  <c r="I742" i="111" s="1"/>
  <c r="G924" i="111"/>
  <c r="H924" i="111" s="1"/>
  <c r="I924" i="111" s="1"/>
  <c r="G400" i="111"/>
  <c r="H400" i="111" s="1"/>
  <c r="I400" i="111" s="1"/>
  <c r="G98" i="111"/>
  <c r="H98" i="111" s="1"/>
  <c r="I98" i="111" s="1"/>
  <c r="G723" i="111"/>
  <c r="H723" i="111" s="1"/>
  <c r="I723" i="111" s="1"/>
  <c r="G288" i="111"/>
  <c r="H288" i="111" s="1"/>
  <c r="I288" i="111" s="1"/>
  <c r="G382" i="111"/>
  <c r="H382" i="111" s="1"/>
  <c r="I382" i="111" s="1"/>
  <c r="G2073" i="111"/>
  <c r="H2073" i="111" s="1"/>
  <c r="I2073" i="111" s="1"/>
  <c r="G6158" i="111"/>
  <c r="H6158" i="111" s="1"/>
  <c r="I6158" i="111" s="1"/>
  <c r="G6340" i="111"/>
  <c r="H6340" i="111" s="1"/>
  <c r="I6340" i="111" s="1"/>
  <c r="G6672" i="111"/>
  <c r="G6491" i="111"/>
  <c r="G5409" i="111"/>
  <c r="H5409" i="111" s="1"/>
  <c r="I5409" i="111" s="1"/>
  <c r="G5785" i="111"/>
  <c r="H5785" i="111" s="1"/>
  <c r="I5785" i="111" s="1"/>
  <c r="G6415" i="111"/>
  <c r="H6415" i="111" s="1"/>
  <c r="I6415" i="111" s="1"/>
  <c r="G6432" i="111"/>
  <c r="H6432" i="111" s="1"/>
  <c r="I6432" i="111" s="1"/>
  <c r="G5200" i="111"/>
  <c r="G5658" i="111"/>
  <c r="H5658" i="111" s="1"/>
  <c r="I5658" i="111" s="1"/>
  <c r="G6117" i="111"/>
  <c r="G5613" i="111"/>
  <c r="H5613" i="111" s="1"/>
  <c r="I5613" i="111" s="1"/>
  <c r="G5570" i="111"/>
  <c r="G4511" i="111"/>
  <c r="H4511" i="111" s="1"/>
  <c r="I4511" i="111" s="1"/>
  <c r="G4813" i="111"/>
  <c r="G5512" i="111"/>
  <c r="H5512" i="111" s="1"/>
  <c r="I5512" i="111" s="1"/>
  <c r="G5471" i="111"/>
  <c r="G5625" i="111"/>
  <c r="G5026" i="111"/>
  <c r="G4877" i="111"/>
  <c r="H4877" i="111" s="1"/>
  <c r="I4877" i="111" s="1"/>
  <c r="G5187" i="111"/>
  <c r="G5155" i="111"/>
  <c r="H5155" i="111" s="1"/>
  <c r="I5155" i="111" s="1"/>
  <c r="G4095" i="111"/>
  <c r="H4095" i="111" s="1"/>
  <c r="I4095" i="111" s="1"/>
  <c r="G4805" i="111"/>
  <c r="G4107" i="111"/>
  <c r="H4107" i="111" s="1"/>
  <c r="I4107" i="111" s="1"/>
  <c r="G6229" i="111"/>
  <c r="H6229" i="111" s="1"/>
  <c r="I6229" i="111" s="1"/>
  <c r="G4722" i="111"/>
  <c r="H4722" i="111" s="1"/>
  <c r="I4722" i="111" s="1"/>
  <c r="G4927" i="111"/>
  <c r="H4927" i="111" s="1"/>
  <c r="I4927" i="111" s="1"/>
  <c r="G3996" i="111"/>
  <c r="G3415" i="111"/>
  <c r="G4594" i="111"/>
  <c r="H4594" i="111" s="1"/>
  <c r="I4594" i="111" s="1"/>
  <c r="G5263" i="111"/>
  <c r="H5263" i="111" s="1"/>
  <c r="I5263" i="111" s="1"/>
  <c r="G4267" i="111"/>
  <c r="H4267" i="111" s="1"/>
  <c r="I4267" i="111" s="1"/>
  <c r="G3620" i="111"/>
  <c r="H3620" i="111" s="1"/>
  <c r="I3620" i="111" s="1"/>
  <c r="G5385" i="111"/>
  <c r="H5385" i="111" s="1"/>
  <c r="I5385" i="111" s="1"/>
  <c r="G4350" i="111"/>
  <c r="H4350" i="111" s="1"/>
  <c r="I4350" i="111" s="1"/>
  <c r="G3747" i="111"/>
  <c r="H3747" i="111" s="1"/>
  <c r="I3747" i="111" s="1"/>
  <c r="G6509" i="111"/>
  <c r="H6509" i="111" s="1"/>
  <c r="I6509" i="111" s="1"/>
  <c r="G4343" i="111"/>
  <c r="H4343" i="111" s="1"/>
  <c r="I4343" i="111" s="1"/>
  <c r="G3716" i="111"/>
  <c r="H3716" i="111" s="1"/>
  <c r="I3716" i="111" s="1"/>
  <c r="G4933" i="111"/>
  <c r="H4933" i="111" s="1"/>
  <c r="I4933" i="111" s="1"/>
  <c r="G4014" i="111"/>
  <c r="H4014" i="111" s="1"/>
  <c r="I4014" i="111" s="1"/>
  <c r="G3689" i="111"/>
  <c r="H3689" i="111" s="1"/>
  <c r="I3689" i="111" s="1"/>
  <c r="G6153" i="111"/>
  <c r="H6153" i="111" s="1"/>
  <c r="I6153" i="111" s="1"/>
  <c r="G4337" i="111"/>
  <c r="H4337" i="111" s="1"/>
  <c r="I4337" i="111" s="1"/>
  <c r="G3663" i="111"/>
  <c r="G3271" i="111"/>
  <c r="H3271" i="111" s="1"/>
  <c r="I3271" i="111" s="1"/>
  <c r="G2889" i="111"/>
  <c r="G5078" i="111"/>
  <c r="H5078" i="111" s="1"/>
  <c r="I5078" i="111" s="1"/>
  <c r="G4030" i="111"/>
  <c r="H4030" i="111" s="1"/>
  <c r="I4030" i="111" s="1"/>
  <c r="G3392" i="111"/>
  <c r="G3097" i="111"/>
  <c r="H3097" i="111" s="1"/>
  <c r="I3097" i="111" s="1"/>
  <c r="G2569" i="111"/>
  <c r="H2569" i="111" s="1"/>
  <c r="I2569" i="111" s="1"/>
  <c r="G5438" i="111"/>
  <c r="H5438" i="111" s="1"/>
  <c r="I5438" i="111" s="1"/>
  <c r="G4122" i="111"/>
  <c r="H4122" i="111" s="1"/>
  <c r="I4122" i="111" s="1"/>
  <c r="G3283" i="111"/>
  <c r="H3283" i="111" s="1"/>
  <c r="I3283" i="111" s="1"/>
  <c r="G2959" i="111"/>
  <c r="H2959" i="111" s="1"/>
  <c r="I2959" i="111" s="1"/>
  <c r="G2480" i="111"/>
  <c r="H2480" i="111" s="1"/>
  <c r="I2480" i="111" s="1"/>
  <c r="G4981" i="111"/>
  <c r="G3952" i="111"/>
  <c r="H3952" i="111" s="1"/>
  <c r="I3952" i="111" s="1"/>
  <c r="G6578" i="111"/>
  <c r="H6578" i="111" s="1"/>
  <c r="I6578" i="111" s="1"/>
  <c r="G4466" i="111"/>
  <c r="G3688" i="111"/>
  <c r="G3240" i="111"/>
  <c r="G2968" i="111"/>
  <c r="G4867" i="111"/>
  <c r="H4867" i="111" s="1"/>
  <c r="I4867" i="111" s="1"/>
  <c r="G3949" i="111"/>
  <c r="H3949" i="111" s="1"/>
  <c r="I3949" i="111" s="1"/>
  <c r="G3462" i="111"/>
  <c r="H3462" i="111" s="1"/>
  <c r="I3462" i="111" s="1"/>
  <c r="G3124" i="111"/>
  <c r="H3124" i="111" s="1"/>
  <c r="I3124" i="111" s="1"/>
  <c r="G2803" i="111"/>
  <c r="H2803" i="111" s="1"/>
  <c r="I2803" i="111" s="1"/>
  <c r="G4406" i="111"/>
  <c r="H4406" i="111" s="1"/>
  <c r="I4406" i="111" s="1"/>
  <c r="G3525" i="111"/>
  <c r="G4300" i="111"/>
  <c r="H4300" i="111" s="1"/>
  <c r="I4300" i="111" s="1"/>
  <c r="G3233" i="111"/>
  <c r="H3233" i="111" s="1"/>
  <c r="I3233" i="111" s="1"/>
  <c r="G2687" i="111"/>
  <c r="G2277" i="111"/>
  <c r="H2277" i="111" s="1"/>
  <c r="I2277" i="111" s="1"/>
  <c r="G1468" i="111"/>
  <c r="H1468" i="111" s="1"/>
  <c r="I1468" i="111" s="1"/>
  <c r="G1466" i="111"/>
  <c r="H1466" i="111" s="1"/>
  <c r="I1466" i="111" s="1"/>
  <c r="G271" i="111"/>
  <c r="H271" i="111" s="1"/>
  <c r="I271" i="111" s="1"/>
  <c r="G526" i="111"/>
  <c r="G5910" i="111"/>
  <c r="H5910" i="111" s="1"/>
  <c r="I5910" i="111" s="1"/>
  <c r="G6132" i="111"/>
  <c r="G5712" i="111"/>
  <c r="H5712" i="111" s="1"/>
  <c r="I5712" i="111" s="1"/>
  <c r="G6177" i="111"/>
  <c r="H6177" i="111" s="1"/>
  <c r="I6177" i="111" s="1"/>
  <c r="G6666" i="111"/>
  <c r="H6666" i="111" s="1"/>
  <c r="I6666" i="111" s="1"/>
  <c r="G5456" i="111"/>
  <c r="H5456" i="111" s="1"/>
  <c r="I5456" i="111" s="1"/>
  <c r="G4729" i="111"/>
  <c r="H4729" i="111" s="1"/>
  <c r="I4729" i="111" s="1"/>
  <c r="G6390" i="111"/>
  <c r="G4840" i="111"/>
  <c r="G4809" i="111"/>
  <c r="G4522" i="111"/>
  <c r="H4522" i="111" s="1"/>
  <c r="I4522" i="111" s="1"/>
  <c r="G4651" i="111"/>
  <c r="H4651" i="111" s="1"/>
  <c r="I4651" i="111" s="1"/>
  <c r="G3813" i="111"/>
  <c r="G4131" i="111"/>
  <c r="G3603" i="111"/>
  <c r="G4237" i="111"/>
  <c r="H4237" i="111" s="1"/>
  <c r="I4237" i="111" s="1"/>
  <c r="G4849" i="111"/>
  <c r="G4537" i="111"/>
  <c r="H4537" i="111" s="1"/>
  <c r="I4537" i="111" s="1"/>
  <c r="G3614" i="111"/>
  <c r="H3614" i="111" s="1"/>
  <c r="I3614" i="111" s="1"/>
  <c r="G4092" i="111"/>
  <c r="H4092" i="111" s="1"/>
  <c r="I4092" i="111" s="1"/>
  <c r="G3162" i="111"/>
  <c r="G4581" i="111"/>
  <c r="H4581" i="111" s="1"/>
  <c r="I4581" i="111" s="1"/>
  <c r="G3306" i="111"/>
  <c r="H3306" i="111" s="1"/>
  <c r="I3306" i="111" s="1"/>
  <c r="G2481" i="111"/>
  <c r="H2481" i="111" s="1"/>
  <c r="I2481" i="111" s="1"/>
  <c r="G3923" i="111"/>
  <c r="G2850" i="111"/>
  <c r="H2850" i="111" s="1"/>
  <c r="I2850" i="111" s="1"/>
  <c r="G4826" i="111"/>
  <c r="G5953" i="111"/>
  <c r="H5953" i="111" s="1"/>
  <c r="I5953" i="111" s="1"/>
  <c r="G3560" i="111"/>
  <c r="H3560" i="111" s="1"/>
  <c r="I3560" i="111" s="1"/>
  <c r="G2883" i="111"/>
  <c r="H2883" i="111" s="1"/>
  <c r="I2883" i="111" s="1"/>
  <c r="G3841" i="111"/>
  <c r="H3841" i="111" s="1"/>
  <c r="I3841" i="111" s="1"/>
  <c r="G3070" i="111"/>
  <c r="H3070" i="111" s="1"/>
  <c r="I3070" i="111" s="1"/>
  <c r="G4186" i="111"/>
  <c r="G4105" i="111"/>
  <c r="H4105" i="111" s="1"/>
  <c r="I4105" i="111" s="1"/>
  <c r="G2589" i="111"/>
  <c r="H2589" i="111" s="1"/>
  <c r="I2589" i="111" s="1"/>
  <c r="G5204" i="111"/>
  <c r="G3301" i="111"/>
  <c r="G2797" i="111"/>
  <c r="G2310" i="111"/>
  <c r="H2310" i="111" s="1"/>
  <c r="I2310" i="111" s="1"/>
  <c r="G6272" i="111"/>
  <c r="H6272" i="111" s="1"/>
  <c r="I6272" i="111" s="1"/>
  <c r="G3556" i="111"/>
  <c r="H3556" i="111" s="1"/>
  <c r="I3556" i="111" s="1"/>
  <c r="G2903" i="111"/>
  <c r="H2903" i="111" s="1"/>
  <c r="I2903" i="111" s="1"/>
  <c r="G2373" i="111"/>
  <c r="H2373" i="111" s="1"/>
  <c r="I2373" i="111" s="1"/>
  <c r="G1970" i="111"/>
  <c r="H1970" i="111" s="1"/>
  <c r="I1970" i="111" s="1"/>
  <c r="G3693" i="111"/>
  <c r="H3693" i="111" s="1"/>
  <c r="I3693" i="111" s="1"/>
  <c r="G2992" i="111"/>
  <c r="H2992" i="111" s="1"/>
  <c r="I2992" i="111" s="1"/>
  <c r="G2556" i="111"/>
  <c r="H2556" i="111" s="1"/>
  <c r="I2556" i="111" s="1"/>
  <c r="G2185" i="111"/>
  <c r="G1867" i="111"/>
  <c r="H1867" i="111" s="1"/>
  <c r="I1867" i="111" s="1"/>
  <c r="G4611" i="111"/>
  <c r="G3179" i="111"/>
  <c r="H3179" i="111" s="1"/>
  <c r="I3179" i="111" s="1"/>
  <c r="G2622" i="111"/>
  <c r="H2622" i="111" s="1"/>
  <c r="I2622" i="111" s="1"/>
  <c r="G2288" i="111"/>
  <c r="H2288" i="111" s="1"/>
  <c r="I2288" i="111" s="1"/>
  <c r="G3535" i="111"/>
  <c r="H3535" i="111" s="1"/>
  <c r="I3535" i="111" s="1"/>
  <c r="G2723" i="111"/>
  <c r="G3215" i="111"/>
  <c r="H3215" i="111" s="1"/>
  <c r="I3215" i="111" s="1"/>
  <c r="G2283" i="111"/>
  <c r="H2283" i="111" s="1"/>
  <c r="I2283" i="111" s="1"/>
  <c r="G1841" i="111"/>
  <c r="H1841" i="111" s="1"/>
  <c r="I1841" i="111" s="1"/>
  <c r="G1541" i="111"/>
  <c r="H1541" i="111" s="1"/>
  <c r="I1541" i="111" s="1"/>
  <c r="G1171" i="111"/>
  <c r="H1171" i="111" s="1"/>
  <c r="I1171" i="111" s="1"/>
  <c r="G3533" i="111"/>
  <c r="H3533" i="111" s="1"/>
  <c r="I3533" i="111" s="1"/>
  <c r="G2404" i="111"/>
  <c r="H2404" i="111" s="1"/>
  <c r="I2404" i="111" s="1"/>
  <c r="G1931" i="111"/>
  <c r="H1931" i="111" s="1"/>
  <c r="I1931" i="111" s="1"/>
  <c r="G1663" i="111"/>
  <c r="H1663" i="111" s="1"/>
  <c r="I1663" i="111" s="1"/>
  <c r="G3668" i="111"/>
  <c r="G2468" i="111"/>
  <c r="H2468" i="111" s="1"/>
  <c r="I2468" i="111" s="1"/>
  <c r="G1967" i="111"/>
  <c r="H1967" i="111" s="1"/>
  <c r="I1967" i="111" s="1"/>
  <c r="G1607" i="111"/>
  <c r="H1607" i="111" s="1"/>
  <c r="I1607" i="111" s="1"/>
  <c r="G2976" i="111"/>
  <c r="G2303" i="111"/>
  <c r="H2303" i="111" s="1"/>
  <c r="I2303" i="111" s="1"/>
  <c r="G1870" i="111"/>
  <c r="H1870" i="111" s="1"/>
  <c r="I1870" i="111" s="1"/>
  <c r="G1506" i="111"/>
  <c r="H1506" i="111" s="1"/>
  <c r="I1506" i="111" s="1"/>
  <c r="G3974" i="111"/>
  <c r="H3974" i="111" s="1"/>
  <c r="I3974" i="111" s="1"/>
  <c r="G2578" i="111"/>
  <c r="H2578" i="111" s="1"/>
  <c r="I2578" i="111" s="1"/>
  <c r="G1982" i="111"/>
  <c r="H1982" i="111" s="1"/>
  <c r="I1982" i="111" s="1"/>
  <c r="G1516" i="111"/>
  <c r="G3801" i="111"/>
  <c r="H3801" i="111" s="1"/>
  <c r="I3801" i="111" s="1"/>
  <c r="G2722" i="111"/>
  <c r="H2722" i="111" s="1"/>
  <c r="I2722" i="111" s="1"/>
  <c r="G2076" i="111"/>
  <c r="G1532" i="111"/>
  <c r="G3799" i="111"/>
  <c r="H3799" i="111" s="1"/>
  <c r="I3799" i="111" s="1"/>
  <c r="G1164" i="111"/>
  <c r="G61" i="111"/>
  <c r="H61" i="111" s="1"/>
  <c r="I61" i="111" s="1"/>
  <c r="G104" i="111"/>
  <c r="H104" i="111" s="1"/>
  <c r="I104" i="111" s="1"/>
  <c r="G784" i="111"/>
  <c r="H784" i="111" s="1"/>
  <c r="I784" i="111" s="1"/>
  <c r="G5706" i="111"/>
  <c r="G6513" i="111"/>
  <c r="H6513" i="111" s="1"/>
  <c r="I6513" i="111" s="1"/>
  <c r="G5685" i="111"/>
  <c r="G6001" i="111"/>
  <c r="H6001" i="111" s="1"/>
  <c r="I6001" i="111" s="1"/>
  <c r="G6438" i="111"/>
  <c r="H6438" i="111" s="1"/>
  <c r="I6438" i="111" s="1"/>
  <c r="G5275" i="111"/>
  <c r="H5275" i="111" s="1"/>
  <c r="I5275" i="111" s="1"/>
  <c r="G4510" i="111"/>
  <c r="H4510" i="111" s="1"/>
  <c r="I4510" i="111" s="1"/>
  <c r="G5943" i="111"/>
  <c r="H5943" i="111" s="1"/>
  <c r="I5943" i="111" s="1"/>
  <c r="G4775" i="111"/>
  <c r="H4775" i="111" s="1"/>
  <c r="I4775" i="111" s="1"/>
  <c r="G4464" i="111"/>
  <c r="G4344" i="111"/>
  <c r="G4600" i="111"/>
  <c r="H4600" i="111" s="1"/>
  <c r="I4600" i="111" s="1"/>
  <c r="G3722" i="111"/>
  <c r="H3722" i="111" s="1"/>
  <c r="I3722" i="111" s="1"/>
  <c r="G6215" i="111"/>
  <c r="H6215" i="111" s="1"/>
  <c r="I6215" i="111" s="1"/>
  <c r="G3565" i="111"/>
  <c r="H3565" i="111" s="1"/>
  <c r="I3565" i="111" s="1"/>
  <c r="G4117" i="111"/>
  <c r="H4117" i="111" s="1"/>
  <c r="I4117" i="111" s="1"/>
  <c r="G4653" i="111"/>
  <c r="H4653" i="111" s="1"/>
  <c r="I4653" i="111" s="1"/>
  <c r="G4457" i="111"/>
  <c r="H4457" i="111" s="1"/>
  <c r="I4457" i="111" s="1"/>
  <c r="G3521" i="111"/>
  <c r="G3991" i="111"/>
  <c r="H3991" i="111" s="1"/>
  <c r="I3991" i="111" s="1"/>
  <c r="G3059" i="111"/>
  <c r="G4403" i="111"/>
  <c r="H4403" i="111" s="1"/>
  <c r="I4403" i="111" s="1"/>
  <c r="G3269" i="111"/>
  <c r="H3269" i="111" s="1"/>
  <c r="I3269" i="111" s="1"/>
  <c r="G2409" i="111"/>
  <c r="G3743" i="111"/>
  <c r="H3743" i="111" s="1"/>
  <c r="I3743" i="111" s="1"/>
  <c r="G2770" i="111"/>
  <c r="H2770" i="111" s="1"/>
  <c r="I2770" i="111" s="1"/>
  <c r="G4677" i="111"/>
  <c r="H4677" i="111" s="1"/>
  <c r="I4677" i="111" s="1"/>
  <c r="G5295" i="111"/>
  <c r="H5295" i="111" s="1"/>
  <c r="I5295" i="111" s="1"/>
  <c r="G3423" i="111"/>
  <c r="H3423" i="111" s="1"/>
  <c r="I3423" i="111" s="1"/>
  <c r="G2828" i="111"/>
  <c r="H2828" i="111" s="1"/>
  <c r="I2828" i="111" s="1"/>
  <c r="G3713" i="111"/>
  <c r="H3713" i="111" s="1"/>
  <c r="I3713" i="111" s="1"/>
  <c r="G3012" i="111"/>
  <c r="G4033" i="111"/>
  <c r="H4033" i="111" s="1"/>
  <c r="I4033" i="111" s="1"/>
  <c r="G3742" i="111"/>
  <c r="H3742" i="111" s="1"/>
  <c r="I3742" i="111" s="1"/>
  <c r="G2515" i="111"/>
  <c r="G4970" i="111"/>
  <c r="H4970" i="111" s="1"/>
  <c r="I4970" i="111" s="1"/>
  <c r="G3232" i="111"/>
  <c r="H3232" i="111" s="1"/>
  <c r="I3232" i="111" s="1"/>
  <c r="G2779" i="111"/>
  <c r="H2779" i="111" s="1"/>
  <c r="I2779" i="111" s="1"/>
  <c r="G2294" i="111"/>
  <c r="H2294" i="111" s="1"/>
  <c r="I2294" i="111" s="1"/>
  <c r="G5316" i="111"/>
  <c r="H5316" i="111" s="1"/>
  <c r="I5316" i="111" s="1"/>
  <c r="G3509" i="111"/>
  <c r="G2879" i="111"/>
  <c r="H2879" i="111" s="1"/>
  <c r="I2879" i="111" s="1"/>
  <c r="G2309" i="111"/>
  <c r="H2309" i="111" s="1"/>
  <c r="I2309" i="111" s="1"/>
  <c r="G6411" i="111"/>
  <c r="H6411" i="111" s="1"/>
  <c r="I6411" i="111" s="1"/>
  <c r="G3645" i="111"/>
  <c r="H3645" i="111" s="1"/>
  <c r="I3645" i="111" s="1"/>
  <c r="G2956" i="111"/>
  <c r="H2956" i="111" s="1"/>
  <c r="I2956" i="111" s="1"/>
  <c r="G2536" i="111"/>
  <c r="G2157" i="111"/>
  <c r="G1826" i="111"/>
  <c r="H1826" i="111" s="1"/>
  <c r="I1826" i="111" s="1"/>
  <c r="G4517" i="111"/>
  <c r="H4517" i="111" s="1"/>
  <c r="I4517" i="111" s="1"/>
  <c r="G3147" i="111"/>
  <c r="H3147" i="111" s="1"/>
  <c r="I3147" i="111" s="1"/>
  <c r="G2602" i="111"/>
  <c r="G2267" i="111"/>
  <c r="G3480" i="111"/>
  <c r="H3480" i="111" s="1"/>
  <c r="I3480" i="111" s="1"/>
  <c r="G2691" i="111"/>
  <c r="H2691" i="111" s="1"/>
  <c r="I2691" i="111" s="1"/>
  <c r="G3121" i="111"/>
  <c r="H3121" i="111" s="1"/>
  <c r="I3121" i="111" s="1"/>
  <c r="G2252" i="111"/>
  <c r="H2252" i="111" s="1"/>
  <c r="I2252" i="111" s="1"/>
  <c r="G1820" i="111"/>
  <c r="H1820" i="111" s="1"/>
  <c r="I1820" i="111" s="1"/>
  <c r="G1521" i="111"/>
  <c r="H1521" i="111" s="1"/>
  <c r="I1521" i="111" s="1"/>
  <c r="G1155" i="111"/>
  <c r="G3445" i="111"/>
  <c r="H3445" i="111" s="1"/>
  <c r="I3445" i="111" s="1"/>
  <c r="G2344" i="111"/>
  <c r="H2344" i="111" s="1"/>
  <c r="I2344" i="111" s="1"/>
  <c r="G1913" i="111"/>
  <c r="G1647" i="111"/>
  <c r="H1647" i="111" s="1"/>
  <c r="I1647" i="111" s="1"/>
  <c r="G3530" i="111"/>
  <c r="H3530" i="111" s="1"/>
  <c r="I3530" i="111" s="1"/>
  <c r="G2436" i="111"/>
  <c r="G1930" i="111"/>
  <c r="H1930" i="111" s="1"/>
  <c r="I1930" i="111" s="1"/>
  <c r="G6335" i="111"/>
  <c r="G2892" i="111"/>
  <c r="H2892" i="111" s="1"/>
  <c r="I2892" i="111" s="1"/>
  <c r="G2280" i="111"/>
  <c r="H2280" i="111" s="1"/>
  <c r="I2280" i="111" s="1"/>
  <c r="G1835" i="111"/>
  <c r="G1472" i="111"/>
  <c r="H1472" i="111" s="1"/>
  <c r="I1472" i="111" s="1"/>
  <c r="G3438" i="111"/>
  <c r="H3438" i="111" s="1"/>
  <c r="I3438" i="111" s="1"/>
  <c r="G2553" i="111"/>
  <c r="H2553" i="111" s="1"/>
  <c r="I2553" i="111" s="1"/>
  <c r="G1964" i="111"/>
  <c r="H1964" i="111" s="1"/>
  <c r="I1964" i="111" s="1"/>
  <c r="G1470" i="111"/>
  <c r="H1470" i="111" s="1"/>
  <c r="I1470" i="111" s="1"/>
  <c r="G3703" i="111"/>
  <c r="G2654" i="111"/>
  <c r="G1997" i="111"/>
  <c r="H1997" i="111" s="1"/>
  <c r="I1997" i="111" s="1"/>
  <c r="G1501" i="111"/>
  <c r="H1501" i="111" s="1"/>
  <c r="I1501" i="111" s="1"/>
  <c r="G3633" i="111"/>
  <c r="H3633" i="111" s="1"/>
  <c r="I3633" i="111" s="1"/>
  <c r="G624" i="111"/>
  <c r="G1429" i="111"/>
  <c r="H1429" i="111" s="1"/>
  <c r="I1429" i="111" s="1"/>
  <c r="G1716" i="111"/>
  <c r="G5128" i="111"/>
  <c r="H5128" i="111" s="1"/>
  <c r="I5128" i="111" s="1"/>
  <c r="G6522" i="111"/>
  <c r="H6522" i="111" s="1"/>
  <c r="I6522" i="111" s="1"/>
  <c r="G6358" i="111"/>
  <c r="H6358" i="111" s="1"/>
  <c r="I6358" i="111" s="1"/>
  <c r="G5367" i="111"/>
  <c r="H5367" i="111" s="1"/>
  <c r="I5367" i="111" s="1"/>
  <c r="G5401" i="111"/>
  <c r="G6033" i="111"/>
  <c r="H6033" i="111" s="1"/>
  <c r="I6033" i="111" s="1"/>
  <c r="G4998" i="111"/>
  <c r="H4998" i="111" s="1"/>
  <c r="I4998" i="111" s="1"/>
  <c r="G6040" i="111"/>
  <c r="H6040" i="111" s="1"/>
  <c r="I6040" i="111" s="1"/>
  <c r="G5439" i="111"/>
  <c r="H5439" i="111" s="1"/>
  <c r="I5439" i="111" s="1"/>
  <c r="G4508" i="111"/>
  <c r="H4508" i="111" s="1"/>
  <c r="I4508" i="111" s="1"/>
  <c r="G4208" i="111"/>
  <c r="H4208" i="111" s="1"/>
  <c r="I4208" i="111" s="1"/>
  <c r="G4073" i="111"/>
  <c r="H4073" i="111" s="1"/>
  <c r="I4073" i="111" s="1"/>
  <c r="G4369" i="111"/>
  <c r="G3481" i="111"/>
  <c r="H3481" i="111" s="1"/>
  <c r="I3481" i="111" s="1"/>
  <c r="G5097" i="111"/>
  <c r="H5097" i="111" s="1"/>
  <c r="I5097" i="111" s="1"/>
  <c r="G3414" i="111"/>
  <c r="G3870" i="111"/>
  <c r="G4261" i="111"/>
  <c r="H4261" i="111" s="1"/>
  <c r="I4261" i="111" s="1"/>
  <c r="G4279" i="111"/>
  <c r="G3472" i="111"/>
  <c r="H3472" i="111" s="1"/>
  <c r="I3472" i="111" s="1"/>
  <c r="G3851" i="111"/>
  <c r="G3000" i="111"/>
  <c r="G4214" i="111"/>
  <c r="H4214" i="111" s="1"/>
  <c r="I4214" i="111" s="1"/>
  <c r="G3182" i="111"/>
  <c r="H3182" i="111" s="1"/>
  <c r="I3182" i="111" s="1"/>
  <c r="G2360" i="111"/>
  <c r="G3469" i="111"/>
  <c r="H3469" i="111" s="1"/>
  <c r="I3469" i="111" s="1"/>
  <c r="G2694" i="111"/>
  <c r="H2694" i="111" s="1"/>
  <c r="I2694" i="111" s="1"/>
  <c r="G4353" i="111"/>
  <c r="G4717" i="111"/>
  <c r="G3328" i="111"/>
  <c r="G6476" i="111"/>
  <c r="H6476" i="111" s="1"/>
  <c r="I6476" i="111" s="1"/>
  <c r="G3615" i="111"/>
  <c r="H3615" i="111" s="1"/>
  <c r="I3615" i="111" s="1"/>
  <c r="G2937" i="111"/>
  <c r="H2937" i="111" s="1"/>
  <c r="I2937" i="111" s="1"/>
  <c r="G3749" i="111"/>
  <c r="G3435" i="111"/>
  <c r="H3435" i="111" s="1"/>
  <c r="I3435" i="111" s="1"/>
  <c r="G2428" i="111"/>
  <c r="G4341" i="111"/>
  <c r="G3149" i="111"/>
  <c r="H3149" i="111" s="1"/>
  <c r="I3149" i="111" s="1"/>
  <c r="G2718" i="111"/>
  <c r="H2718" i="111" s="1"/>
  <c r="I2718" i="111" s="1"/>
  <c r="G2244" i="111"/>
  <c r="G4852" i="111"/>
  <c r="G3426" i="111"/>
  <c r="G2778" i="111"/>
  <c r="H2778" i="111" s="1"/>
  <c r="I2778" i="111" s="1"/>
  <c r="G2273" i="111"/>
  <c r="H2273" i="111" s="1"/>
  <c r="I2273" i="111" s="1"/>
  <c r="G5615" i="111"/>
  <c r="H5615" i="111" s="1"/>
  <c r="I5615" i="111" s="1"/>
  <c r="G3424" i="111"/>
  <c r="H3424" i="111" s="1"/>
  <c r="I3424" i="111" s="1"/>
  <c r="G2824" i="111"/>
  <c r="H2824" i="111" s="1"/>
  <c r="I2824" i="111" s="1"/>
  <c r="G2452" i="111"/>
  <c r="H2452" i="111" s="1"/>
  <c r="I2452" i="111" s="1"/>
  <c r="G2106" i="111"/>
  <c r="H2106" i="111" s="1"/>
  <c r="I2106" i="111" s="1"/>
  <c r="G1757" i="111"/>
  <c r="G4276" i="111"/>
  <c r="H4276" i="111" s="1"/>
  <c r="I4276" i="111" s="1"/>
  <c r="G3100" i="111"/>
  <c r="H3100" i="111" s="1"/>
  <c r="I3100" i="111" s="1"/>
  <c r="G2572" i="111"/>
  <c r="H2572" i="111" s="1"/>
  <c r="I2572" i="111" s="1"/>
  <c r="G5239" i="111"/>
  <c r="H5239" i="111" s="1"/>
  <c r="I5239" i="111" s="1"/>
  <c r="G3268" i="111"/>
  <c r="H3268" i="111" s="1"/>
  <c r="I3268" i="111" s="1"/>
  <c r="G4679" i="111"/>
  <c r="H4679" i="111" s="1"/>
  <c r="I4679" i="111" s="1"/>
  <c r="G2996" i="111"/>
  <c r="H2996" i="111" s="1"/>
  <c r="I2996" i="111" s="1"/>
  <c r="G2194" i="111"/>
  <c r="H2194" i="111" s="1"/>
  <c r="I2194" i="111" s="1"/>
  <c r="G1769" i="111"/>
  <c r="G1497" i="111"/>
  <c r="H1497" i="111" s="1"/>
  <c r="I1497" i="111" s="1"/>
  <c r="G6048" i="111"/>
  <c r="G3120" i="111"/>
  <c r="H3120" i="111" s="1"/>
  <c r="I3120" i="111" s="1"/>
  <c r="G2282" i="111"/>
  <c r="H2282" i="111" s="1"/>
  <c r="I2282" i="111" s="1"/>
  <c r="G1888" i="111"/>
  <c r="H1888" i="111" s="1"/>
  <c r="I1888" i="111" s="1"/>
  <c r="G1608" i="111"/>
  <c r="G3289" i="111"/>
  <c r="H3289" i="111" s="1"/>
  <c r="I3289" i="111" s="1"/>
  <c r="G2336" i="111"/>
  <c r="G1899" i="111"/>
  <c r="H1899" i="111" s="1"/>
  <c r="I1899" i="111" s="1"/>
  <c r="G5588" i="111"/>
  <c r="H5588" i="111" s="1"/>
  <c r="I5588" i="111" s="1"/>
  <c r="G2699" i="111"/>
  <c r="H2699" i="111" s="1"/>
  <c r="I2699" i="111" s="1"/>
  <c r="G2213" i="111"/>
  <c r="G1801" i="111"/>
  <c r="G1426" i="111"/>
  <c r="H1426" i="111" s="1"/>
  <c r="I1426" i="111" s="1"/>
  <c r="G3311" i="111"/>
  <c r="G2462" i="111"/>
  <c r="G1898" i="111"/>
  <c r="H1898" i="111" s="1"/>
  <c r="I1898" i="111" s="1"/>
  <c r="G1388" i="111"/>
  <c r="G3577" i="111"/>
  <c r="H3577" i="111" s="1"/>
  <c r="I3577" i="111" s="1"/>
  <c r="G2548" i="111"/>
  <c r="H2548" i="111" s="1"/>
  <c r="I2548" i="111" s="1"/>
  <c r="G1960" i="111"/>
  <c r="G1467" i="111"/>
  <c r="G3483" i="111"/>
  <c r="G881" i="111"/>
  <c r="G464" i="111"/>
  <c r="H464" i="111" s="1"/>
  <c r="I464" i="111" s="1"/>
  <c r="G84" i="111"/>
  <c r="H84" i="111" s="1"/>
  <c r="I84" i="111" s="1"/>
  <c r="G139" i="111"/>
  <c r="H139" i="111" s="1"/>
  <c r="I139" i="111" s="1"/>
  <c r="G6290" i="111"/>
  <c r="H6290" i="111" s="1"/>
  <c r="I6290" i="111" s="1"/>
  <c r="G6302" i="111"/>
  <c r="H6302" i="111" s="1"/>
  <c r="I6302" i="111" s="1"/>
  <c r="G5332" i="111"/>
  <c r="H5332" i="111" s="1"/>
  <c r="I5332" i="111" s="1"/>
  <c r="G6670" i="111"/>
  <c r="H6670" i="111" s="1"/>
  <c r="I6670" i="111" s="1"/>
  <c r="G5891" i="111"/>
  <c r="H5891" i="111" s="1"/>
  <c r="I5891" i="111" s="1"/>
  <c r="G4934" i="111"/>
  <c r="H4934" i="111" s="1"/>
  <c r="I4934" i="111" s="1"/>
  <c r="G5453" i="111"/>
  <c r="H5453" i="111" s="1"/>
  <c r="I5453" i="111" s="1"/>
  <c r="G6573" i="111"/>
  <c r="H6573" i="111" s="1"/>
  <c r="I6573" i="111" s="1"/>
  <c r="G4357" i="111"/>
  <c r="H4357" i="111" s="1"/>
  <c r="I4357" i="111" s="1"/>
  <c r="G4045" i="111"/>
  <c r="H4045" i="111" s="1"/>
  <c r="I4045" i="111" s="1"/>
  <c r="G4060" i="111"/>
  <c r="H4060" i="111" s="1"/>
  <c r="I4060" i="111" s="1"/>
  <c r="G6287" i="111"/>
  <c r="H6287" i="111" s="1"/>
  <c r="I6287" i="111" s="1"/>
  <c r="G3380" i="111"/>
  <c r="H3380" i="111" s="1"/>
  <c r="I3380" i="111" s="1"/>
  <c r="G4992" i="111"/>
  <c r="H4992" i="111" s="1"/>
  <c r="I4992" i="111" s="1"/>
  <c r="G3398" i="111"/>
  <c r="G3719" i="111"/>
  <c r="H3719" i="111" s="1"/>
  <c r="I3719" i="111" s="1"/>
  <c r="G4170" i="111"/>
  <c r="H4170" i="111" s="1"/>
  <c r="I4170" i="111" s="1"/>
  <c r="G4257" i="111"/>
  <c r="H4257" i="111" s="1"/>
  <c r="I4257" i="111" s="1"/>
  <c r="G3447" i="111"/>
  <c r="H3447" i="111" s="1"/>
  <c r="I3447" i="111" s="1"/>
  <c r="G3796" i="111"/>
  <c r="H3796" i="111" s="1"/>
  <c r="I3796" i="111" s="1"/>
  <c r="G2961" i="111"/>
  <c r="H2961" i="111" s="1"/>
  <c r="I2961" i="111" s="1"/>
  <c r="G4123" i="111"/>
  <c r="H4123" i="111" s="1"/>
  <c r="I4123" i="111" s="1"/>
  <c r="G3145" i="111"/>
  <c r="H3145" i="111" s="1"/>
  <c r="I3145" i="111" s="1"/>
  <c r="G2254" i="111"/>
  <c r="G3376" i="111"/>
  <c r="G2642" i="111"/>
  <c r="H2642" i="111" s="1"/>
  <c r="I2642" i="111" s="1"/>
  <c r="G4285" i="111"/>
  <c r="H4285" i="111" s="1"/>
  <c r="I4285" i="111" s="1"/>
  <c r="G4625" i="111"/>
  <c r="H4625" i="111" s="1"/>
  <c r="I4625" i="111" s="1"/>
  <c r="G3304" i="111"/>
  <c r="H3304" i="111" s="1"/>
  <c r="I3304" i="111" s="1"/>
  <c r="G6032" i="111"/>
  <c r="H6032" i="111" s="1"/>
  <c r="I6032" i="111" s="1"/>
  <c r="G3559" i="111"/>
  <c r="H3559" i="111" s="1"/>
  <c r="I3559" i="111" s="1"/>
  <c r="G2898" i="111"/>
  <c r="H2898" i="111" s="1"/>
  <c r="I2898" i="111" s="1"/>
  <c r="G3664" i="111"/>
  <c r="G3324" i="111"/>
  <c r="G2394" i="111"/>
  <c r="H2394" i="111" s="1"/>
  <c r="I2394" i="111" s="1"/>
  <c r="G4298" i="111"/>
  <c r="G3129" i="111"/>
  <c r="H3129" i="111" s="1"/>
  <c r="I3129" i="111" s="1"/>
  <c r="G2664" i="111"/>
  <c r="H2664" i="111" s="1"/>
  <c r="I2664" i="111" s="1"/>
  <c r="G2225" i="111"/>
  <c r="H2225" i="111" s="1"/>
  <c r="I2225" i="111" s="1"/>
  <c r="G4778" i="111"/>
  <c r="H4778" i="111" s="1"/>
  <c r="I4778" i="111" s="1"/>
  <c r="G3300" i="111"/>
  <c r="H3300" i="111" s="1"/>
  <c r="I3300" i="111" s="1"/>
  <c r="G2763" i="111"/>
  <c r="H2763" i="111" s="1"/>
  <c r="I2763" i="111" s="1"/>
  <c r="G2240" i="111"/>
  <c r="G4851" i="111"/>
  <c r="H4851" i="111" s="1"/>
  <c r="I4851" i="111" s="1"/>
  <c r="G3399" i="111"/>
  <c r="H3399" i="111" s="1"/>
  <c r="I3399" i="111" s="1"/>
  <c r="G2796" i="111"/>
  <c r="H2796" i="111" s="1"/>
  <c r="I2796" i="111" s="1"/>
  <c r="G2390" i="111"/>
  <c r="H2390" i="111" s="1"/>
  <c r="I2390" i="111" s="1"/>
  <c r="G2077" i="111"/>
  <c r="H2077" i="111" s="1"/>
  <c r="I2077" i="111" s="1"/>
  <c r="G1738" i="111"/>
  <c r="H1738" i="111" s="1"/>
  <c r="I1738" i="111" s="1"/>
  <c r="G4209" i="111"/>
  <c r="H4209" i="111" s="1"/>
  <c r="I4209" i="111" s="1"/>
  <c r="G3073" i="111"/>
  <c r="H3073" i="111" s="1"/>
  <c r="I3073" i="111" s="1"/>
  <c r="G2503" i="111"/>
  <c r="G5124" i="111"/>
  <c r="G3235" i="111"/>
  <c r="H3235" i="111" s="1"/>
  <c r="I3235" i="111" s="1"/>
  <c r="G4381" i="111"/>
  <c r="H4381" i="111" s="1"/>
  <c r="I4381" i="111" s="1"/>
  <c r="G2940" i="111"/>
  <c r="H2940" i="111" s="1"/>
  <c r="I2940" i="111" s="1"/>
  <c r="G2155" i="111"/>
  <c r="H2155" i="111" s="1"/>
  <c r="I2155" i="111" s="1"/>
  <c r="G1741" i="111"/>
  <c r="H1741" i="111" s="1"/>
  <c r="I1741" i="111" s="1"/>
  <c r="G1450" i="111"/>
  <c r="G5908" i="111"/>
  <c r="H5908" i="111" s="1"/>
  <c r="I5908" i="111" s="1"/>
  <c r="G3039" i="111"/>
  <c r="H3039" i="111" s="1"/>
  <c r="I3039" i="111" s="1"/>
  <c r="G2235" i="111"/>
  <c r="H2235" i="111" s="1"/>
  <c r="I2235" i="111" s="1"/>
  <c r="G1873" i="111"/>
  <c r="H1873" i="111" s="1"/>
  <c r="I1873" i="111" s="1"/>
  <c r="G1576" i="111"/>
  <c r="G3166" i="111"/>
  <c r="G2304" i="111"/>
  <c r="H2304" i="111" s="1"/>
  <c r="I2304" i="111" s="1"/>
  <c r="G1887" i="111"/>
  <c r="H1887" i="111" s="1"/>
  <c r="I1887" i="111" s="1"/>
  <c r="G4648" i="111"/>
  <c r="H4648" i="111" s="1"/>
  <c r="I4648" i="111" s="1"/>
  <c r="G2634" i="111"/>
  <c r="H2634" i="111" s="1"/>
  <c r="I2634" i="111" s="1"/>
  <c r="G2152" i="111"/>
  <c r="H2152" i="111" s="1"/>
  <c r="I2152" i="111" s="1"/>
  <c r="G1782" i="111"/>
  <c r="G1408" i="111"/>
  <c r="H1408" i="111" s="1"/>
  <c r="I1408" i="111" s="1"/>
  <c r="G3287" i="111"/>
  <c r="H3287" i="111" s="1"/>
  <c r="I3287" i="111" s="1"/>
  <c r="G2418" i="111"/>
  <c r="H2418" i="111" s="1"/>
  <c r="I2418" i="111" s="1"/>
  <c r="G1884" i="111"/>
  <c r="G1366" i="111"/>
  <c r="H1366" i="111" s="1"/>
  <c r="I1366" i="111" s="1"/>
  <c r="G3420" i="111"/>
  <c r="H3420" i="111" s="1"/>
  <c r="I3420" i="111" s="1"/>
  <c r="G2519" i="111"/>
  <c r="G1937" i="111"/>
  <c r="H1937" i="111" s="1"/>
  <c r="I1937" i="111" s="1"/>
  <c r="G1437" i="111"/>
  <c r="H1437" i="111" s="1"/>
  <c r="I1437" i="111" s="1"/>
  <c r="G3383" i="111"/>
  <c r="H3383" i="111" s="1"/>
  <c r="I3383" i="111" s="1"/>
  <c r="G991" i="111"/>
  <c r="G732" i="111"/>
  <c r="H732" i="111" s="1"/>
  <c r="I732" i="111" s="1"/>
  <c r="G757" i="111"/>
  <c r="H757" i="111" s="1"/>
  <c r="I757" i="111" s="1"/>
  <c r="G887" i="111"/>
  <c r="H887" i="111" s="1"/>
  <c r="I887" i="111" s="1"/>
  <c r="G6119" i="111"/>
  <c r="H6119" i="111" s="1"/>
  <c r="I6119" i="111" s="1"/>
  <c r="G6141" i="111"/>
  <c r="H6141" i="111" s="1"/>
  <c r="I6141" i="111" s="1"/>
  <c r="G6684" i="111"/>
  <c r="G6579" i="111"/>
  <c r="H6579" i="111" s="1"/>
  <c r="I6579" i="111" s="1"/>
  <c r="G6645" i="111"/>
  <c r="H6645" i="111" s="1"/>
  <c r="I6645" i="111" s="1"/>
  <c r="G4657" i="111"/>
  <c r="H4657" i="111" s="1"/>
  <c r="I4657" i="111" s="1"/>
  <c r="G5364" i="111"/>
  <c r="H5364" i="111" s="1"/>
  <c r="I5364" i="111" s="1"/>
  <c r="G5937" i="111"/>
  <c r="H5937" i="111" s="1"/>
  <c r="I5937" i="111" s="1"/>
  <c r="G5579" i="111"/>
  <c r="H5579" i="111" s="1"/>
  <c r="I5579" i="111" s="1"/>
  <c r="G3973" i="111"/>
  <c r="H3973" i="111" s="1"/>
  <c r="I3973" i="111" s="1"/>
  <c r="G3959" i="111"/>
  <c r="H3959" i="111" s="1"/>
  <c r="I3959" i="111" s="1"/>
  <c r="G5653" i="111"/>
  <c r="H5653" i="111" s="1"/>
  <c r="I5653" i="111" s="1"/>
  <c r="G3360" i="111"/>
  <c r="G4828" i="111"/>
  <c r="H4828" i="111" s="1"/>
  <c r="I4828" i="111" s="1"/>
  <c r="G6208" i="111"/>
  <c r="H6208" i="111" s="1"/>
  <c r="I6208" i="111" s="1"/>
  <c r="G3672" i="111"/>
  <c r="G4098" i="111"/>
  <c r="H4098" i="111" s="1"/>
  <c r="I4098" i="111" s="1"/>
  <c r="G4110" i="111"/>
  <c r="H4110" i="111" s="1"/>
  <c r="I4110" i="111" s="1"/>
  <c r="G5972" i="111"/>
  <c r="G3649" i="111"/>
  <c r="G2873" i="111"/>
  <c r="G3989" i="111"/>
  <c r="H3989" i="111" s="1"/>
  <c r="I3989" i="111" s="1"/>
  <c r="G3055" i="111"/>
  <c r="G5334" i="111"/>
  <c r="H5334" i="111" s="1"/>
  <c r="I5334" i="111" s="1"/>
  <c r="G3230" i="111"/>
  <c r="H3230" i="111" s="1"/>
  <c r="I3230" i="111" s="1"/>
  <c r="G2419" i="111"/>
  <c r="H2419" i="111" s="1"/>
  <c r="I2419" i="111" s="1"/>
  <c r="G3916" i="111"/>
  <c r="H3916" i="111" s="1"/>
  <c r="I3916" i="111" s="1"/>
  <c r="G4325" i="111"/>
  <c r="H4325" i="111" s="1"/>
  <c r="I4325" i="111" s="1"/>
  <c r="G3225" i="111"/>
  <c r="H3225" i="111" s="1"/>
  <c r="I3225" i="111" s="1"/>
  <c r="G4762" i="111"/>
  <c r="H4762" i="111" s="1"/>
  <c r="I4762" i="111" s="1"/>
  <c r="G3400" i="111"/>
  <c r="H3400" i="111" s="1"/>
  <c r="I3400" i="111" s="1"/>
  <c r="G6256" i="111"/>
  <c r="G3488" i="111"/>
  <c r="H3488" i="111" s="1"/>
  <c r="I3488" i="111" s="1"/>
  <c r="G3210" i="111"/>
  <c r="H3210" i="111" s="1"/>
  <c r="I3210" i="111" s="1"/>
  <c r="G2295" i="111"/>
  <c r="H2295" i="111" s="1"/>
  <c r="I2295" i="111" s="1"/>
  <c r="G4231" i="111"/>
  <c r="G3105" i="111"/>
  <c r="H3105" i="111" s="1"/>
  <c r="I3105" i="111" s="1"/>
  <c r="G2641" i="111"/>
  <c r="G2186" i="111"/>
  <c r="G4705" i="111"/>
  <c r="H4705" i="111" s="1"/>
  <c r="I4705" i="111" s="1"/>
  <c r="G3259" i="111"/>
  <c r="G2741" i="111"/>
  <c r="H2741" i="111" s="1"/>
  <c r="I2741" i="111" s="1"/>
  <c r="G2206" i="111"/>
  <c r="H2206" i="111" s="1"/>
  <c r="I2206" i="111" s="1"/>
  <c r="G4760" i="111"/>
  <c r="H4760" i="111" s="1"/>
  <c r="I4760" i="111" s="1"/>
  <c r="G3368" i="111"/>
  <c r="G2776" i="111"/>
  <c r="H2776" i="111" s="1"/>
  <c r="I2776" i="111" s="1"/>
  <c r="G2372" i="111"/>
  <c r="G2064" i="111"/>
  <c r="H2064" i="111" s="1"/>
  <c r="I2064" i="111" s="1"/>
  <c r="G1722" i="111"/>
  <c r="H1722" i="111" s="1"/>
  <c r="I1722" i="111" s="1"/>
  <c r="G4099" i="111"/>
  <c r="H4099" i="111" s="1"/>
  <c r="I4099" i="111" s="1"/>
  <c r="G3046" i="111"/>
  <c r="H3046" i="111" s="1"/>
  <c r="I3046" i="111" s="1"/>
  <c r="G2490" i="111"/>
  <c r="H2490" i="111" s="1"/>
  <c r="I2490" i="111" s="1"/>
  <c r="G4989" i="111"/>
  <c r="H4989" i="111" s="1"/>
  <c r="I4989" i="111" s="1"/>
  <c r="G3112" i="111"/>
  <c r="H3112" i="111" s="1"/>
  <c r="I3112" i="111" s="1"/>
  <c r="G4273" i="111"/>
  <c r="H4273" i="111" s="1"/>
  <c r="I4273" i="111" s="1"/>
  <c r="G2854" i="111"/>
  <c r="G2138" i="111"/>
  <c r="H2138" i="111" s="1"/>
  <c r="I2138" i="111" s="1"/>
  <c r="G1725" i="111"/>
  <c r="G1430" i="111"/>
  <c r="H1430" i="111" s="1"/>
  <c r="I1430" i="111" s="1"/>
  <c r="G5242" i="111"/>
  <c r="H5242" i="111" s="1"/>
  <c r="I5242" i="111" s="1"/>
  <c r="G2938" i="111"/>
  <c r="G2216" i="111"/>
  <c r="H2216" i="111" s="1"/>
  <c r="I2216" i="111" s="1"/>
  <c r="G1855" i="111"/>
  <c r="G4742" i="111"/>
  <c r="G3118" i="111"/>
  <c r="H3118" i="111" s="1"/>
  <c r="I3118" i="111" s="1"/>
  <c r="G2234" i="111"/>
  <c r="H2234" i="111" s="1"/>
  <c r="I2234" i="111" s="1"/>
  <c r="G1872" i="111"/>
  <c r="H1872" i="111" s="1"/>
  <c r="I1872" i="111" s="1"/>
  <c r="G4354" i="111"/>
  <c r="H4354" i="111" s="1"/>
  <c r="I4354" i="111" s="1"/>
  <c r="G2610" i="111"/>
  <c r="H2610" i="111" s="1"/>
  <c r="I2610" i="111" s="1"/>
  <c r="G2133" i="111"/>
  <c r="H2133" i="111" s="1"/>
  <c r="I2133" i="111" s="1"/>
  <c r="G1761" i="111"/>
  <c r="G1390" i="111"/>
  <c r="H1390" i="111" s="1"/>
  <c r="I1390" i="111" s="1"/>
  <c r="G3152" i="111"/>
  <c r="G2400" i="111"/>
  <c r="H2400" i="111" s="1"/>
  <c r="I2400" i="111" s="1"/>
  <c r="G1854" i="111"/>
  <c r="G1344" i="111"/>
  <c r="H1344" i="111" s="1"/>
  <c r="I1344" i="111" s="1"/>
  <c r="G3384" i="111"/>
  <c r="G2483" i="111"/>
  <c r="H2483" i="111" s="1"/>
  <c r="I2483" i="111" s="1"/>
  <c r="G1925" i="111"/>
  <c r="G1403" i="111"/>
  <c r="H1403" i="111" s="1"/>
  <c r="I1403" i="111" s="1"/>
  <c r="G3142" i="111"/>
  <c r="H3142" i="111" s="1"/>
  <c r="I3142" i="111" s="1"/>
  <c r="G86" i="111"/>
  <c r="H86" i="111" s="1"/>
  <c r="I86" i="111" s="1"/>
  <c r="G923" i="111"/>
  <c r="H923" i="111" s="1"/>
  <c r="I923" i="111" s="1"/>
  <c r="G814" i="111"/>
  <c r="G2566" i="111"/>
  <c r="H2566" i="111" s="1"/>
  <c r="I2566" i="111" s="1"/>
  <c r="G6035" i="111"/>
  <c r="H6035" i="111" s="1"/>
  <c r="I6035" i="111" s="1"/>
  <c r="G6007" i="111"/>
  <c r="H6007" i="111" s="1"/>
  <c r="I6007" i="111" s="1"/>
  <c r="G6396" i="111"/>
  <c r="H6396" i="111" s="1"/>
  <c r="I6396" i="111" s="1"/>
  <c r="G6518" i="111"/>
  <c r="G6563" i="111"/>
  <c r="G4446" i="111"/>
  <c r="H4446" i="111" s="1"/>
  <c r="I4446" i="111" s="1"/>
  <c r="G5319" i="111"/>
  <c r="H5319" i="111" s="1"/>
  <c r="I5319" i="111" s="1"/>
  <c r="G5903" i="111"/>
  <c r="H5903" i="111" s="1"/>
  <c r="I5903" i="111" s="1"/>
  <c r="G4861" i="111"/>
  <c r="H4861" i="111" s="1"/>
  <c r="I4861" i="111" s="1"/>
  <c r="G3853" i="111"/>
  <c r="H3853" i="111" s="1"/>
  <c r="I3853" i="111" s="1"/>
  <c r="G3882" i="111"/>
  <c r="H3882" i="111" s="1"/>
  <c r="I3882" i="111" s="1"/>
  <c r="G4866" i="111"/>
  <c r="H4866" i="111" s="1"/>
  <c r="I4866" i="111" s="1"/>
  <c r="G6378" i="111"/>
  <c r="H6378" i="111" s="1"/>
  <c r="I6378" i="111" s="1"/>
  <c r="G4695" i="111"/>
  <c r="H4695" i="111" s="1"/>
  <c r="I4695" i="111" s="1"/>
  <c r="G5324" i="111"/>
  <c r="H5324" i="111" s="1"/>
  <c r="I5324" i="111" s="1"/>
  <c r="G3657" i="111"/>
  <c r="H3657" i="111" s="1"/>
  <c r="I3657" i="111" s="1"/>
  <c r="G4069" i="111"/>
  <c r="G3988" i="111"/>
  <c r="H3988" i="111" s="1"/>
  <c r="I3988" i="111" s="1"/>
  <c r="G5470" i="111"/>
  <c r="H5470" i="111" s="1"/>
  <c r="I5470" i="111" s="1"/>
  <c r="G3627" i="111"/>
  <c r="H3627" i="111" s="1"/>
  <c r="I3627" i="111" s="1"/>
  <c r="G2851" i="111"/>
  <c r="H2851" i="111" s="1"/>
  <c r="I2851" i="111" s="1"/>
  <c r="G3961" i="111"/>
  <c r="H3961" i="111" s="1"/>
  <c r="I3961" i="111" s="1"/>
  <c r="G3042" i="111"/>
  <c r="H3042" i="111" s="1"/>
  <c r="I3042" i="111" s="1"/>
  <c r="G5245" i="111"/>
  <c r="H5245" i="111" s="1"/>
  <c r="I5245" i="111" s="1"/>
  <c r="G3216" i="111"/>
  <c r="H3216" i="111" s="1"/>
  <c r="I3216" i="111" s="1"/>
  <c r="G2408" i="111"/>
  <c r="H2408" i="111" s="1"/>
  <c r="I2408" i="111" s="1"/>
  <c r="G3884" i="111"/>
  <c r="G4284" i="111"/>
  <c r="H4284" i="111" s="1"/>
  <c r="I4284" i="111" s="1"/>
  <c r="G3213" i="111"/>
  <c r="H3213" i="111" s="1"/>
  <c r="I3213" i="111" s="1"/>
  <c r="G4716" i="111"/>
  <c r="H4716" i="111" s="1"/>
  <c r="I4716" i="111" s="1"/>
  <c r="G3386" i="111"/>
  <c r="H3386" i="111" s="1"/>
  <c r="I3386" i="111" s="1"/>
  <c r="G5981" i="111"/>
  <c r="H5981" i="111" s="1"/>
  <c r="I5981" i="111" s="1"/>
  <c r="G3471" i="111"/>
  <c r="H3471" i="111" s="1"/>
  <c r="I3471" i="111" s="1"/>
  <c r="G3133" i="111"/>
  <c r="H3133" i="111" s="1"/>
  <c r="I3133" i="111" s="1"/>
  <c r="G2248" i="111"/>
  <c r="G4054" i="111"/>
  <c r="H4054" i="111" s="1"/>
  <c r="I4054" i="111" s="1"/>
  <c r="G3048" i="111"/>
  <c r="H3048" i="111" s="1"/>
  <c r="I3048" i="111" s="1"/>
  <c r="G2588" i="111"/>
  <c r="H2588" i="111" s="1"/>
  <c r="I2588" i="111" s="1"/>
  <c r="G2161" i="111"/>
  <c r="G4460" i="111"/>
  <c r="H4460" i="111" s="1"/>
  <c r="I4460" i="111" s="1"/>
  <c r="G3228" i="111"/>
  <c r="G2717" i="111"/>
  <c r="H2717" i="111" s="1"/>
  <c r="I2717" i="111" s="1"/>
  <c r="G2145" i="111"/>
  <c r="H2145" i="111" s="1"/>
  <c r="I2145" i="111" s="1"/>
  <c r="G4520" i="111"/>
  <c r="H4520" i="111" s="1"/>
  <c r="I4520" i="111" s="1"/>
  <c r="G3314" i="111"/>
  <c r="H3314" i="111" s="1"/>
  <c r="I3314" i="111" s="1"/>
  <c r="G2761" i="111"/>
  <c r="H2761" i="111" s="1"/>
  <c r="I2761" i="111" s="1"/>
  <c r="G2348" i="111"/>
  <c r="H2348" i="111" s="1"/>
  <c r="I2348" i="111" s="1"/>
  <c r="G1998" i="111"/>
  <c r="H1998" i="111" s="1"/>
  <c r="I1998" i="111" s="1"/>
  <c r="G1699" i="111"/>
  <c r="G4039" i="111"/>
  <c r="H4039" i="111" s="1"/>
  <c r="I4039" i="111" s="1"/>
  <c r="G3018" i="111"/>
  <c r="H3018" i="111" s="1"/>
  <c r="I3018" i="111" s="1"/>
  <c r="G2472" i="111"/>
  <c r="H2472" i="111" s="1"/>
  <c r="I2472" i="111" s="1"/>
  <c r="G4182" i="111"/>
  <c r="H4182" i="111" s="1"/>
  <c r="I4182" i="111" s="1"/>
  <c r="G3031" i="111"/>
  <c r="G4180" i="111"/>
  <c r="H4180" i="111" s="1"/>
  <c r="I4180" i="111" s="1"/>
  <c r="G2773" i="111"/>
  <c r="H2773" i="111" s="1"/>
  <c r="I2773" i="111" s="1"/>
  <c r="G2049" i="111"/>
  <c r="H2049" i="111" s="1"/>
  <c r="I2049" i="111" s="1"/>
  <c r="G1703" i="111"/>
  <c r="G1412" i="111"/>
  <c r="H1412" i="111" s="1"/>
  <c r="I1412" i="111" s="1"/>
  <c r="G4912" i="111"/>
  <c r="H4912" i="111" s="1"/>
  <c r="I4912" i="111" s="1"/>
  <c r="G2895" i="111"/>
  <c r="H2895" i="111" s="1"/>
  <c r="I2895" i="111" s="1"/>
  <c r="G2192" i="111"/>
  <c r="H2192" i="111" s="1"/>
  <c r="I2192" i="111" s="1"/>
  <c r="G1840" i="111"/>
  <c r="H1840" i="111" s="1"/>
  <c r="I1840" i="111" s="1"/>
  <c r="G4650" i="111"/>
  <c r="H4650" i="111" s="1"/>
  <c r="I4650" i="111" s="1"/>
  <c r="G3037" i="111"/>
  <c r="H3037" i="111" s="1"/>
  <c r="I3037" i="111" s="1"/>
  <c r="G2215" i="111"/>
  <c r="H2215" i="111" s="1"/>
  <c r="I2215" i="111" s="1"/>
  <c r="G1839" i="111"/>
  <c r="H1839" i="111" s="1"/>
  <c r="I1839" i="111" s="1"/>
  <c r="G4248" i="111"/>
  <c r="G2579" i="111"/>
  <c r="H2579" i="111" s="1"/>
  <c r="I2579" i="111" s="1"/>
  <c r="G2105" i="111"/>
  <c r="H2105" i="111" s="1"/>
  <c r="I2105" i="111" s="1"/>
  <c r="G1691" i="111"/>
  <c r="G1367" i="111"/>
  <c r="H1367" i="111" s="1"/>
  <c r="I1367" i="111" s="1"/>
  <c r="G3030" i="111"/>
  <c r="H3030" i="111" s="1"/>
  <c r="I3030" i="111" s="1"/>
  <c r="G2367" i="111"/>
  <c r="H2367" i="111" s="1"/>
  <c r="I2367" i="111" s="1"/>
  <c r="G1800" i="111"/>
  <c r="G1329" i="111"/>
  <c r="H1329" i="111" s="1"/>
  <c r="I1329" i="111" s="1"/>
  <c r="G3309" i="111"/>
  <c r="H3309" i="111" s="1"/>
  <c r="I3309" i="111" s="1"/>
  <c r="G2415" i="111"/>
  <c r="H2415" i="111" s="1"/>
  <c r="I2415" i="111" s="1"/>
  <c r="G1882" i="111"/>
  <c r="H1882" i="111" s="1"/>
  <c r="I1882" i="111" s="1"/>
  <c r="G1384" i="111"/>
  <c r="H1384" i="111" s="1"/>
  <c r="I1384" i="111" s="1"/>
  <c r="G3067" i="111"/>
  <c r="G590" i="111"/>
  <c r="H590" i="111" s="1"/>
  <c r="I590" i="111" s="1"/>
  <c r="G748" i="111"/>
  <c r="G2449" i="111"/>
  <c r="H2449" i="111" s="1"/>
  <c r="I2449" i="111" s="1"/>
  <c r="G2601" i="111"/>
  <c r="G1145" i="111"/>
  <c r="H1145" i="111" s="1"/>
  <c r="I1145" i="111" s="1"/>
  <c r="G5673" i="111"/>
  <c r="G5576" i="111"/>
  <c r="H5576" i="111" s="1"/>
  <c r="I5576" i="111" s="1"/>
  <c r="G6356" i="111"/>
  <c r="G6331" i="111"/>
  <c r="H6331" i="111" s="1"/>
  <c r="I6331" i="111" s="1"/>
  <c r="G6044" i="111"/>
  <c r="G6595" i="111"/>
  <c r="H6595" i="111" s="1"/>
  <c r="I6595" i="111" s="1"/>
  <c r="G6626" i="111"/>
  <c r="H6626" i="111" s="1"/>
  <c r="I6626" i="111" s="1"/>
  <c r="G5399" i="111"/>
  <c r="H5399" i="111" s="1"/>
  <c r="I5399" i="111" s="1"/>
  <c r="G4788" i="111"/>
  <c r="H4788" i="111" s="1"/>
  <c r="I4788" i="111" s="1"/>
  <c r="G6118" i="111"/>
  <c r="H6118" i="111" s="1"/>
  <c r="I6118" i="111" s="1"/>
  <c r="G6515" i="111"/>
  <c r="H6515" i="111" s="1"/>
  <c r="I6515" i="111" s="1"/>
  <c r="G4768" i="111"/>
  <c r="H4768" i="111" s="1"/>
  <c r="I4768" i="111" s="1"/>
  <c r="G5398" i="111"/>
  <c r="H5398" i="111" s="1"/>
  <c r="I5398" i="111" s="1"/>
  <c r="G4361" i="111"/>
  <c r="G5208" i="111"/>
  <c r="H5208" i="111" s="1"/>
  <c r="I5208" i="111" s="1"/>
  <c r="G3602" i="111"/>
  <c r="G3843" i="111"/>
  <c r="H3843" i="111" s="1"/>
  <c r="I3843" i="111" s="1"/>
  <c r="G3968" i="111"/>
  <c r="H3968" i="111" s="1"/>
  <c r="I3968" i="111" s="1"/>
  <c r="G5346" i="111"/>
  <c r="G3571" i="111"/>
  <c r="H3571" i="111" s="1"/>
  <c r="I3571" i="111" s="1"/>
  <c r="G2834" i="111"/>
  <c r="G3927" i="111"/>
  <c r="G2984" i="111"/>
  <c r="G5162" i="111"/>
  <c r="H5162" i="111" s="1"/>
  <c r="I5162" i="111" s="1"/>
  <c r="G3201" i="111"/>
  <c r="H3201" i="111" s="1"/>
  <c r="I3201" i="111" s="1"/>
  <c r="G2396" i="111"/>
  <c r="H2396" i="111" s="1"/>
  <c r="I2396" i="111" s="1"/>
  <c r="G3844" i="111"/>
  <c r="H3844" i="111" s="1"/>
  <c r="I3844" i="111" s="1"/>
  <c r="G4206" i="111"/>
  <c r="H4206" i="111" s="1"/>
  <c r="I4206" i="111" s="1"/>
  <c r="G3194" i="111"/>
  <c r="G4664" i="111"/>
  <c r="G3364" i="111"/>
  <c r="G5582" i="111"/>
  <c r="G3451" i="111"/>
  <c r="H3451" i="111" s="1"/>
  <c r="I3451" i="111" s="1"/>
  <c r="G3106" i="111"/>
  <c r="H3106" i="111" s="1"/>
  <c r="I3106" i="111" s="1"/>
  <c r="G2226" i="111"/>
  <c r="H2226" i="111" s="1"/>
  <c r="I2226" i="111" s="1"/>
  <c r="G4000" i="111"/>
  <c r="G3025" i="111"/>
  <c r="H3025" i="111" s="1"/>
  <c r="I3025" i="111" s="1"/>
  <c r="G2557" i="111"/>
  <c r="H2557" i="111" s="1"/>
  <c r="I2557" i="111" s="1"/>
  <c r="G2129" i="111"/>
  <c r="G4340" i="111"/>
  <c r="H4340" i="111" s="1"/>
  <c r="I4340" i="111" s="1"/>
  <c r="G3209" i="111"/>
  <c r="H3209" i="111" s="1"/>
  <c r="I3209" i="111" s="1"/>
  <c r="G2685" i="111"/>
  <c r="H2685" i="111" s="1"/>
  <c r="I2685" i="111" s="1"/>
  <c r="G2127" i="111"/>
  <c r="H2127" i="111" s="1"/>
  <c r="I2127" i="111" s="1"/>
  <c r="G4338" i="111"/>
  <c r="H4338" i="111" s="1"/>
  <c r="I4338" i="111" s="1"/>
  <c r="G3277" i="111"/>
  <c r="H3277" i="111" s="1"/>
  <c r="I3277" i="111" s="1"/>
  <c r="G2702" i="111"/>
  <c r="H2702" i="111" s="1"/>
  <c r="I2702" i="111" s="1"/>
  <c r="G2320" i="111"/>
  <c r="G1984" i="111"/>
  <c r="H1984" i="111" s="1"/>
  <c r="I1984" i="111" s="1"/>
  <c r="G1683" i="111"/>
  <c r="H1683" i="111" s="1"/>
  <c r="I1683" i="111" s="1"/>
  <c r="G3977" i="111"/>
  <c r="H3977" i="111" s="1"/>
  <c r="I3977" i="111" s="1"/>
  <c r="G2953" i="111"/>
  <c r="H2953" i="111" s="1"/>
  <c r="I2953" i="111" s="1"/>
  <c r="G2450" i="111"/>
  <c r="H2450" i="111" s="1"/>
  <c r="I2450" i="111" s="1"/>
  <c r="G4126" i="111"/>
  <c r="H4126" i="111" s="1"/>
  <c r="I4126" i="111" s="1"/>
  <c r="G3001" i="111"/>
  <c r="H3001" i="111" s="1"/>
  <c r="I3001" i="111" s="1"/>
  <c r="G4114" i="111"/>
  <c r="G2706" i="111"/>
  <c r="H2706" i="111" s="1"/>
  <c r="I2706" i="111" s="1"/>
  <c r="G2005" i="111"/>
  <c r="G1681" i="111"/>
  <c r="H1681" i="111" s="1"/>
  <c r="I1681" i="111" s="1"/>
  <c r="G1394" i="111"/>
  <c r="H1394" i="111" s="1"/>
  <c r="I1394" i="111" s="1"/>
  <c r="G4747" i="111"/>
  <c r="H4747" i="111" s="1"/>
  <c r="I4747" i="111" s="1"/>
  <c r="G2848" i="111"/>
  <c r="H2848" i="111" s="1"/>
  <c r="I2848" i="111" s="1"/>
  <c r="G2154" i="111"/>
  <c r="G1819" i="111"/>
  <c r="G4355" i="111"/>
  <c r="H4355" i="111" s="1"/>
  <c r="I4355" i="111" s="1"/>
  <c r="G2935" i="111"/>
  <c r="G2153" i="111"/>
  <c r="H2153" i="111" s="1"/>
  <c r="I2153" i="111" s="1"/>
  <c r="G1803" i="111"/>
  <c r="H1803" i="111" s="1"/>
  <c r="I1803" i="111" s="1"/>
  <c r="G4008" i="111"/>
  <c r="G2559" i="111"/>
  <c r="H2559" i="111" s="1"/>
  <c r="I2559" i="111" s="1"/>
  <c r="G2045" i="111"/>
  <c r="H2045" i="111" s="1"/>
  <c r="I2045" i="111" s="1"/>
  <c r="G1677" i="111"/>
  <c r="H1677" i="111" s="1"/>
  <c r="I1677" i="111" s="1"/>
  <c r="G1345" i="111"/>
  <c r="H1345" i="111" s="1"/>
  <c r="I1345" i="111" s="1"/>
  <c r="G2972" i="111"/>
  <c r="G2232" i="111"/>
  <c r="H2232" i="111" s="1"/>
  <c r="I2232" i="111" s="1"/>
  <c r="G1753" i="111"/>
  <c r="G5002" i="111"/>
  <c r="H5002" i="111" s="1"/>
  <c r="I5002" i="111" s="1"/>
  <c r="G3272" i="111"/>
  <c r="H3272" i="111" s="1"/>
  <c r="I3272" i="111" s="1"/>
  <c r="G2361" i="111"/>
  <c r="G1797" i="111"/>
  <c r="H1797" i="111" s="1"/>
  <c r="I1797" i="111" s="1"/>
  <c r="G1363" i="111"/>
  <c r="H1363" i="111" s="1"/>
  <c r="I1363" i="111" s="1"/>
  <c r="G701" i="111"/>
  <c r="H701" i="111" s="1"/>
  <c r="I701" i="111" s="1"/>
  <c r="G1099" i="111"/>
  <c r="H1099" i="111" s="1"/>
  <c r="I1099" i="111" s="1"/>
  <c r="G2619" i="111"/>
  <c r="H2619" i="111" s="1"/>
  <c r="I2619" i="111" s="1"/>
  <c r="G333" i="111"/>
  <c r="G1397" i="111"/>
  <c r="H1397" i="111" s="1"/>
  <c r="I1397" i="111" s="1"/>
  <c r="G5652" i="111"/>
  <c r="H5652" i="111" s="1"/>
  <c r="I5652" i="111" s="1"/>
  <c r="G5246" i="111"/>
  <c r="H5246" i="111" s="1"/>
  <c r="I5246" i="111" s="1"/>
  <c r="G6236" i="111"/>
  <c r="G6230" i="111"/>
  <c r="H6230" i="111" s="1"/>
  <c r="I6230" i="111" s="1"/>
  <c r="G5457" i="111"/>
  <c r="H5457" i="111" s="1"/>
  <c r="I5457" i="111" s="1"/>
  <c r="G6277" i="111"/>
  <c r="G6426" i="111"/>
  <c r="H6426" i="111" s="1"/>
  <c r="I6426" i="111" s="1"/>
  <c r="G5005" i="111"/>
  <c r="H5005" i="111" s="1"/>
  <c r="I5005" i="111" s="1"/>
  <c r="G4605" i="111"/>
  <c r="H4605" i="111" s="1"/>
  <c r="I4605" i="111" s="1"/>
  <c r="G5847" i="111"/>
  <c r="H5847" i="111" s="1"/>
  <c r="I5847" i="111" s="1"/>
  <c r="G5952" i="111"/>
  <c r="H5952" i="111" s="1"/>
  <c r="I5952" i="111" s="1"/>
  <c r="G4567" i="111"/>
  <c r="H4567" i="111" s="1"/>
  <c r="I4567" i="111" s="1"/>
  <c r="G5328" i="111"/>
  <c r="H5328" i="111" s="1"/>
  <c r="I5328" i="111" s="1"/>
  <c r="G4174" i="111"/>
  <c r="H4174" i="111" s="1"/>
  <c r="I4174" i="111" s="1"/>
  <c r="G5143" i="111"/>
  <c r="G3548" i="111"/>
  <c r="G3691" i="111"/>
  <c r="H3691" i="111" s="1"/>
  <c r="I3691" i="111" s="1"/>
  <c r="G3953" i="111"/>
  <c r="H3953" i="111" s="1"/>
  <c r="I3953" i="111" s="1"/>
  <c r="G4945" i="111"/>
  <c r="H4945" i="111" s="1"/>
  <c r="I4945" i="111" s="1"/>
  <c r="G3487" i="111"/>
  <c r="H3487" i="111" s="1"/>
  <c r="I3487" i="111" s="1"/>
  <c r="G2787" i="111"/>
  <c r="H2787" i="111" s="1"/>
  <c r="I2787" i="111" s="1"/>
  <c r="G3795" i="111"/>
  <c r="G2888" i="111"/>
  <c r="H2888" i="111" s="1"/>
  <c r="I2888" i="111" s="1"/>
  <c r="G4576" i="111"/>
  <c r="H4576" i="111" s="1"/>
  <c r="I4576" i="111" s="1"/>
  <c r="G3144" i="111"/>
  <c r="H3144" i="111" s="1"/>
  <c r="I3144" i="111" s="1"/>
  <c r="G2306" i="111"/>
  <c r="H2306" i="111" s="1"/>
  <c r="I2306" i="111" s="1"/>
  <c r="G3717" i="111"/>
  <c r="H3717" i="111" s="1"/>
  <c r="I3717" i="111" s="1"/>
  <c r="G4049" i="111"/>
  <c r="H4049" i="111" s="1"/>
  <c r="I4049" i="111" s="1"/>
  <c r="G3140" i="111"/>
  <c r="H3140" i="111" s="1"/>
  <c r="I3140" i="111" s="1"/>
  <c r="G4462" i="111"/>
  <c r="H4462" i="111" s="1"/>
  <c r="I4462" i="111" s="1"/>
  <c r="G3292" i="111"/>
  <c r="H3292" i="111" s="1"/>
  <c r="I3292" i="111" s="1"/>
  <c r="G5025" i="111"/>
  <c r="H5025" i="111" s="1"/>
  <c r="I5025" i="111" s="1"/>
  <c r="G3299" i="111"/>
  <c r="H3299" i="111" s="1"/>
  <c r="I3299" i="111" s="1"/>
  <c r="G2934" i="111"/>
  <c r="H2934" i="111" s="1"/>
  <c r="I2934" i="111" s="1"/>
  <c r="G2207" i="111"/>
  <c r="H2207" i="111" s="1"/>
  <c r="I2207" i="111" s="1"/>
  <c r="G3653" i="111"/>
  <c r="H3653" i="111" s="1"/>
  <c r="I3653" i="111" s="1"/>
  <c r="G2993" i="111"/>
  <c r="H2993" i="111" s="1"/>
  <c r="I2993" i="111" s="1"/>
  <c r="G2492" i="111"/>
  <c r="G2078" i="111"/>
  <c r="H2078" i="111" s="1"/>
  <c r="I2078" i="111" s="1"/>
  <c r="G4281" i="111"/>
  <c r="H4281" i="111" s="1"/>
  <c r="I4281" i="111" s="1"/>
  <c r="G3180" i="111"/>
  <c r="H3180" i="111" s="1"/>
  <c r="I3180" i="111" s="1"/>
  <c r="G2640" i="111"/>
  <c r="H2640" i="111" s="1"/>
  <c r="I2640" i="111" s="1"/>
  <c r="G2091" i="111"/>
  <c r="G4278" i="111"/>
  <c r="H4278" i="111" s="1"/>
  <c r="I4278" i="111" s="1"/>
  <c r="G3227" i="111"/>
  <c r="H3227" i="111" s="1"/>
  <c r="I3227" i="111" s="1"/>
  <c r="G2684" i="111"/>
  <c r="H2684" i="111" s="1"/>
  <c r="I2684" i="111" s="1"/>
  <c r="G2308" i="111"/>
  <c r="H2308" i="111" s="1"/>
  <c r="I2308" i="111" s="1"/>
  <c r="G1969" i="111"/>
  <c r="H1969" i="111" s="1"/>
  <c r="I1969" i="111" s="1"/>
  <c r="G6606" i="111"/>
  <c r="G3734" i="111"/>
  <c r="H3734" i="111" s="1"/>
  <c r="I3734" i="111" s="1"/>
  <c r="G2901" i="111"/>
  <c r="H2901" i="111" s="1"/>
  <c r="I2901" i="111" s="1"/>
  <c r="G2406" i="111"/>
  <c r="H2406" i="111" s="1"/>
  <c r="I2406" i="111" s="1"/>
  <c r="G3955" i="111"/>
  <c r="H3955" i="111" s="1"/>
  <c r="I3955" i="111" s="1"/>
  <c r="G2941" i="111"/>
  <c r="H2941" i="111" s="1"/>
  <c r="I2941" i="111" s="1"/>
  <c r="G3910" i="111"/>
  <c r="H3910" i="111" s="1"/>
  <c r="I3910" i="111" s="1"/>
  <c r="G2676" i="111"/>
  <c r="G1991" i="111"/>
  <c r="H1991" i="111" s="1"/>
  <c r="I1991" i="111" s="1"/>
  <c r="G1665" i="111"/>
  <c r="H1665" i="111" s="1"/>
  <c r="I1665" i="111" s="1"/>
  <c r="G1351" i="111"/>
  <c r="G4661" i="111"/>
  <c r="H4661" i="111" s="1"/>
  <c r="I4661" i="111" s="1"/>
  <c r="G2772" i="111"/>
  <c r="G2136" i="111"/>
  <c r="G1804" i="111"/>
  <c r="H1804" i="111" s="1"/>
  <c r="I1804" i="111" s="1"/>
  <c r="G4249" i="111"/>
  <c r="G2894" i="111"/>
  <c r="H2894" i="111" s="1"/>
  <c r="I2894" i="111" s="1"/>
  <c r="G2135" i="111"/>
  <c r="H2135" i="111" s="1"/>
  <c r="I2135" i="111" s="1"/>
  <c r="G1783" i="111"/>
  <c r="G3898" i="111"/>
  <c r="G2489" i="111"/>
  <c r="H2489" i="111" s="1"/>
  <c r="I2489" i="111" s="1"/>
  <c r="G2027" i="111"/>
  <c r="H2027" i="111" s="1"/>
  <c r="I2027" i="111" s="1"/>
  <c r="G1660" i="111"/>
  <c r="H1660" i="111" s="1"/>
  <c r="I1660" i="111" s="1"/>
  <c r="G1331" i="111"/>
  <c r="H1331" i="111" s="1"/>
  <c r="I1331" i="111" s="1"/>
  <c r="G2886" i="111"/>
  <c r="H2886" i="111" s="1"/>
  <c r="I2886" i="111" s="1"/>
  <c r="G2212" i="111"/>
  <c r="H2212" i="111" s="1"/>
  <c r="I2212" i="111" s="1"/>
  <c r="G1737" i="111"/>
  <c r="H1737" i="111" s="1"/>
  <c r="I1737" i="111" s="1"/>
  <c r="G4493" i="111"/>
  <c r="G3143" i="111"/>
  <c r="H3143" i="111" s="1"/>
  <c r="I3143" i="111" s="1"/>
  <c r="G2318" i="111"/>
  <c r="H2318" i="111" s="1"/>
  <c r="I2318" i="111" s="1"/>
  <c r="G1748" i="111"/>
  <c r="H1748" i="111" s="1"/>
  <c r="I1748" i="111" s="1"/>
  <c r="G1342" i="111"/>
  <c r="H1342" i="111" s="1"/>
  <c r="I1342" i="111" s="1"/>
  <c r="G395" i="111"/>
  <c r="G416" i="111"/>
  <c r="G1035" i="111"/>
  <c r="H1035" i="111" s="1"/>
  <c r="I1035" i="111" s="1"/>
  <c r="G565" i="111"/>
  <c r="H565" i="111" s="1"/>
  <c r="I565" i="111" s="1"/>
  <c r="G3655" i="111"/>
  <c r="H3655" i="111" s="1"/>
  <c r="I3655" i="111" s="1"/>
  <c r="G5309" i="111"/>
  <c r="H5309" i="111" s="1"/>
  <c r="I5309" i="111" s="1"/>
  <c r="G5174" i="111"/>
  <c r="H5174" i="111" s="1"/>
  <c r="I5174" i="111" s="1"/>
  <c r="G6002" i="111"/>
  <c r="G5938" i="111"/>
  <c r="H5938" i="111" s="1"/>
  <c r="I5938" i="111" s="1"/>
  <c r="G5322" i="111"/>
  <c r="H5322" i="111" s="1"/>
  <c r="I5322" i="111" s="1"/>
  <c r="G5733" i="111"/>
  <c r="H5733" i="111" s="1"/>
  <c r="I5733" i="111" s="1"/>
  <c r="G5845" i="111"/>
  <c r="H5845" i="111" s="1"/>
  <c r="I5845" i="111" s="1"/>
  <c r="G4955" i="111"/>
  <c r="G4465" i="111"/>
  <c r="G5081" i="111"/>
  <c r="H5081" i="111" s="1"/>
  <c r="I5081" i="111" s="1"/>
  <c r="G5902" i="111"/>
  <c r="H5902" i="111" s="1"/>
  <c r="I5902" i="111" s="1"/>
  <c r="G4352" i="111"/>
  <c r="H4352" i="111" s="1"/>
  <c r="I4352" i="111" s="1"/>
  <c r="G4797" i="111"/>
  <c r="G4150" i="111"/>
  <c r="H4150" i="111" s="1"/>
  <c r="I4150" i="111" s="1"/>
  <c r="G4827" i="111"/>
  <c r="H4827" i="111" s="1"/>
  <c r="I4827" i="111" s="1"/>
  <c r="G3388" i="111"/>
  <c r="H3388" i="111" s="1"/>
  <c r="I3388" i="111" s="1"/>
  <c r="G3630" i="111"/>
  <c r="H3630" i="111" s="1"/>
  <c r="I3630" i="111" s="1"/>
  <c r="G3854" i="111"/>
  <c r="G4845" i="111"/>
  <c r="H4845" i="111" s="1"/>
  <c r="I4845" i="111" s="1"/>
  <c r="G3450" i="111"/>
  <c r="H3450" i="111" s="1"/>
  <c r="I3450" i="111" s="1"/>
  <c r="G2709" i="111"/>
  <c r="H2709" i="111" s="1"/>
  <c r="I2709" i="111" s="1"/>
  <c r="G3745" i="111"/>
  <c r="H3745" i="111" s="1"/>
  <c r="I3745" i="111" s="1"/>
  <c r="G2833" i="111"/>
  <c r="H2833" i="111" s="1"/>
  <c r="I2833" i="111" s="1"/>
  <c r="G4481" i="111"/>
  <c r="G3130" i="111"/>
  <c r="G2291" i="111"/>
  <c r="H2291" i="111" s="1"/>
  <c r="I2291" i="111" s="1"/>
  <c r="G3690" i="111"/>
  <c r="H3690" i="111" s="1"/>
  <c r="I3690" i="111" s="1"/>
  <c r="G3983" i="111"/>
  <c r="H3983" i="111" s="1"/>
  <c r="I3983" i="111" s="1"/>
  <c r="G3126" i="111"/>
  <c r="H3126" i="111" s="1"/>
  <c r="I3126" i="111" s="1"/>
  <c r="G4323" i="111"/>
  <c r="G3278" i="111"/>
  <c r="G4946" i="111"/>
  <c r="H4946" i="111" s="1"/>
  <c r="I4946" i="111" s="1"/>
  <c r="G6442" i="111"/>
  <c r="H6442" i="111" s="1"/>
  <c r="I6442" i="111" s="1"/>
  <c r="G2853" i="111"/>
  <c r="G2191" i="111"/>
  <c r="H2191" i="111" s="1"/>
  <c r="I2191" i="111" s="1"/>
  <c r="G3609" i="111"/>
  <c r="H3609" i="111" s="1"/>
  <c r="I3609" i="111" s="1"/>
  <c r="G2929" i="111"/>
  <c r="G2424" i="111"/>
  <c r="G2067" i="111"/>
  <c r="G4223" i="111"/>
  <c r="G3103" i="111"/>
  <c r="H3103" i="111" s="1"/>
  <c r="I3103" i="111" s="1"/>
  <c r="G2587" i="111"/>
  <c r="H2587" i="111" s="1"/>
  <c r="I2587" i="111" s="1"/>
  <c r="G2066" i="111"/>
  <c r="G4210" i="111"/>
  <c r="H4210" i="111" s="1"/>
  <c r="I4210" i="111" s="1"/>
  <c r="G3207" i="111"/>
  <c r="H3207" i="111" s="1"/>
  <c r="I3207" i="111" s="1"/>
  <c r="G2662" i="111"/>
  <c r="G2289" i="111"/>
  <c r="H2289" i="111" s="1"/>
  <c r="I2289" i="111" s="1"/>
  <c r="G1949" i="111"/>
  <c r="G6089" i="111"/>
  <c r="H6089" i="111" s="1"/>
  <c r="I6089" i="111" s="1"/>
  <c r="G1009" i="111"/>
  <c r="H1009" i="111" s="1"/>
  <c r="I1009" i="111" s="1"/>
  <c r="G6399" i="111"/>
  <c r="H6399" i="111" s="1"/>
  <c r="I6399" i="111" s="1"/>
  <c r="G5809" i="111"/>
  <c r="H5809" i="111" s="1"/>
  <c r="I5809" i="111" s="1"/>
  <c r="G5195" i="111"/>
  <c r="G5524" i="111"/>
  <c r="H5524" i="111" s="1"/>
  <c r="I5524" i="111" s="1"/>
  <c r="G5335" i="111"/>
  <c r="H5335" i="111" s="1"/>
  <c r="I5335" i="111" s="1"/>
  <c r="G3994" i="111"/>
  <c r="H3994" i="111" s="1"/>
  <c r="I3994" i="111" s="1"/>
  <c r="G3617" i="111"/>
  <c r="H3617" i="111" s="1"/>
  <c r="I3617" i="111" s="1"/>
  <c r="G3965" i="111"/>
  <c r="H3965" i="111" s="1"/>
  <c r="I3965" i="111" s="1"/>
  <c r="G3316" i="111"/>
  <c r="G2943" i="111"/>
  <c r="H2943" i="111" s="1"/>
  <c r="I2943" i="111" s="1"/>
  <c r="G3814" i="111"/>
  <c r="G3236" i="111"/>
  <c r="G3611" i="111"/>
  <c r="H3611" i="111" s="1"/>
  <c r="I3611" i="111" s="1"/>
  <c r="G3372" i="111"/>
  <c r="G2021" i="111"/>
  <c r="G2474" i="111"/>
  <c r="H2474" i="111" s="1"/>
  <c r="I2474" i="111" s="1"/>
  <c r="G3148" i="111"/>
  <c r="H3148" i="111" s="1"/>
  <c r="I3148" i="111" s="1"/>
  <c r="G2144" i="111"/>
  <c r="H2144" i="111" s="1"/>
  <c r="I2144" i="111" s="1"/>
  <c r="G3457" i="111"/>
  <c r="H3457" i="111" s="1"/>
  <c r="I3457" i="111" s="1"/>
  <c r="G5379" i="111"/>
  <c r="G3753" i="111"/>
  <c r="G1875" i="111"/>
  <c r="H1875" i="111" s="1"/>
  <c r="I1875" i="111" s="1"/>
  <c r="G1143" i="111"/>
  <c r="H1143" i="111" s="1"/>
  <c r="I1143" i="111" s="1"/>
  <c r="G2048" i="111"/>
  <c r="G3819" i="111"/>
  <c r="H3819" i="111" s="1"/>
  <c r="I3819" i="111" s="1"/>
  <c r="G1909" i="111"/>
  <c r="G2432" i="111"/>
  <c r="G1571" i="111"/>
  <c r="G2487" i="111"/>
  <c r="H2487" i="111" s="1"/>
  <c r="I2487" i="111" s="1"/>
  <c r="G4320" i="111"/>
  <c r="H4320" i="111" s="1"/>
  <c r="I4320" i="111" s="1"/>
  <c r="G2124" i="111"/>
  <c r="H2124" i="111" s="1"/>
  <c r="I2124" i="111" s="1"/>
  <c r="G3575" i="111"/>
  <c r="H3575" i="111" s="1"/>
  <c r="I3575" i="111" s="1"/>
  <c r="G2123" i="111"/>
  <c r="H2123" i="111" s="1"/>
  <c r="I2123" i="111" s="1"/>
  <c r="G4189" i="111"/>
  <c r="H4189" i="111" s="1"/>
  <c r="I4189" i="111" s="1"/>
  <c r="G2711" i="111"/>
  <c r="H2711" i="111" s="1"/>
  <c r="I2711" i="111" s="1"/>
  <c r="G2156" i="111"/>
  <c r="H2156" i="111" s="1"/>
  <c r="I2156" i="111" s="1"/>
  <c r="G1726" i="111"/>
  <c r="H1726" i="111" s="1"/>
  <c r="I1726" i="111" s="1"/>
  <c r="G3135" i="111"/>
  <c r="H3135" i="111" s="1"/>
  <c r="I3135" i="111" s="1"/>
  <c r="G1656" i="111"/>
  <c r="H1656" i="111" s="1"/>
  <c r="I1656" i="111" s="1"/>
  <c r="G1128" i="111"/>
  <c r="G753" i="111"/>
  <c r="H753" i="111" s="1"/>
  <c r="I753" i="111" s="1"/>
  <c r="G350" i="111"/>
  <c r="G821" i="111"/>
  <c r="H821" i="111" s="1"/>
  <c r="I821" i="111" s="1"/>
  <c r="G328" i="111"/>
  <c r="G4878" i="111"/>
  <c r="H4878" i="111" s="1"/>
  <c r="I4878" i="111" s="1"/>
  <c r="G2061" i="111"/>
  <c r="H2061" i="111" s="1"/>
  <c r="I2061" i="111" s="1"/>
  <c r="G1418" i="111"/>
  <c r="H1418" i="111" s="1"/>
  <c r="I1418" i="111" s="1"/>
  <c r="G997" i="111"/>
  <c r="H997" i="111" s="1"/>
  <c r="I997" i="111" s="1"/>
  <c r="G4200" i="111"/>
  <c r="H4200" i="111" s="1"/>
  <c r="I4200" i="111" s="1"/>
  <c r="G2058" i="111"/>
  <c r="G1334" i="111"/>
  <c r="H1334" i="111" s="1"/>
  <c r="I1334" i="111" s="1"/>
  <c r="G952" i="111"/>
  <c r="H952" i="111" s="1"/>
  <c r="I952" i="111" s="1"/>
  <c r="G602" i="111"/>
  <c r="H602" i="111" s="1"/>
  <c r="I602" i="111" s="1"/>
  <c r="G221" i="111"/>
  <c r="H221" i="111" s="1"/>
  <c r="I221" i="111" s="1"/>
  <c r="G2775" i="111"/>
  <c r="H2775" i="111" s="1"/>
  <c r="I2775" i="111" s="1"/>
  <c r="G1611" i="111"/>
  <c r="H1611" i="111" s="1"/>
  <c r="I1611" i="111" s="1"/>
  <c r="G1027" i="111"/>
  <c r="H1027" i="111" s="1"/>
  <c r="I1027" i="111" s="1"/>
  <c r="G697" i="111"/>
  <c r="H697" i="111" s="1"/>
  <c r="I697" i="111" s="1"/>
  <c r="G388" i="111"/>
  <c r="H388" i="111" s="1"/>
  <c r="I388" i="111" s="1"/>
  <c r="G2696" i="111"/>
  <c r="H2696" i="111" s="1"/>
  <c r="I2696" i="111" s="1"/>
  <c r="G1651" i="111"/>
  <c r="H1651" i="111" s="1"/>
  <c r="I1651" i="111" s="1"/>
  <c r="G1101" i="111"/>
  <c r="G763" i="111"/>
  <c r="G404" i="111"/>
  <c r="H404" i="111" s="1"/>
  <c r="I404" i="111" s="1"/>
  <c r="G4480" i="111"/>
  <c r="H4480" i="111" s="1"/>
  <c r="I4480" i="111" s="1"/>
  <c r="G1674" i="111"/>
  <c r="G1180" i="111"/>
  <c r="G889" i="111"/>
  <c r="H889" i="111" s="1"/>
  <c r="I889" i="111" s="1"/>
  <c r="G563" i="111"/>
  <c r="H563" i="111" s="1"/>
  <c r="I563" i="111" s="1"/>
  <c r="G159" i="111"/>
  <c r="G2998" i="111"/>
  <c r="H2998" i="111" s="1"/>
  <c r="I2998" i="111" s="1"/>
  <c r="G1668" i="111"/>
  <c r="H1668" i="111" s="1"/>
  <c r="I1668" i="111" s="1"/>
  <c r="G1075" i="111"/>
  <c r="H1075" i="111" s="1"/>
  <c r="I1075" i="111" s="1"/>
  <c r="G741" i="111"/>
  <c r="G379" i="111"/>
  <c r="H379" i="111" s="1"/>
  <c r="I379" i="111" s="1"/>
  <c r="G720" i="111"/>
  <c r="H720" i="111" s="1"/>
  <c r="I720" i="111" s="1"/>
  <c r="G1669" i="111"/>
  <c r="H1669" i="111" s="1"/>
  <c r="I1669" i="111" s="1"/>
  <c r="G886" i="111"/>
  <c r="H886" i="111" s="1"/>
  <c r="I886" i="111" s="1"/>
  <c r="G1878" i="111"/>
  <c r="H1878" i="111" s="1"/>
  <c r="I1878" i="111" s="1"/>
  <c r="G1211" i="111"/>
  <c r="G4129" i="111"/>
  <c r="H4129" i="111" s="1"/>
  <c r="I4129" i="111" s="1"/>
  <c r="G1216" i="111"/>
  <c r="H1216" i="111" s="1"/>
  <c r="I1216" i="111" s="1"/>
  <c r="G48" i="111"/>
  <c r="H48" i="111" s="1"/>
  <c r="I48" i="111" s="1"/>
  <c r="G46" i="111"/>
  <c r="H46" i="111" s="1"/>
  <c r="I46" i="111" s="1"/>
  <c r="G409" i="111"/>
  <c r="H409" i="111" s="1"/>
  <c r="I409" i="111" s="1"/>
  <c r="G6095" i="111"/>
  <c r="H6095" i="111" s="1"/>
  <c r="I6095" i="111" s="1"/>
  <c r="G5467" i="111"/>
  <c r="G5634" i="111"/>
  <c r="H5634" i="111" s="1"/>
  <c r="I5634" i="111" s="1"/>
  <c r="G4754" i="111"/>
  <c r="H4754" i="111" s="1"/>
  <c r="I4754" i="111" s="1"/>
  <c r="G4936" i="111"/>
  <c r="H4936" i="111" s="1"/>
  <c r="I4936" i="111" s="1"/>
  <c r="G3920" i="111"/>
  <c r="H3920" i="111" s="1"/>
  <c r="I3920" i="111" s="1"/>
  <c r="G6314" i="111"/>
  <c r="G3381" i="111"/>
  <c r="H3381" i="111" s="1"/>
  <c r="I3381" i="111" s="1"/>
  <c r="G3218" i="111"/>
  <c r="H3218" i="111" s="1"/>
  <c r="I3218" i="111" s="1"/>
  <c r="G2904" i="111"/>
  <c r="H2904" i="111" s="1"/>
  <c r="I2904" i="111" s="1"/>
  <c r="G3639" i="111"/>
  <c r="G3212" i="111"/>
  <c r="H3212" i="111" s="1"/>
  <c r="I3212" i="111" s="1"/>
  <c r="G2798" i="111"/>
  <c r="G3183" i="111"/>
  <c r="H3183" i="111" s="1"/>
  <c r="I3183" i="111" s="1"/>
  <c r="G6412" i="111"/>
  <c r="H6412" i="111" s="1"/>
  <c r="I6412" i="111" s="1"/>
  <c r="G2407" i="111"/>
  <c r="G3127" i="111"/>
  <c r="H3127" i="111" s="1"/>
  <c r="I3127" i="111" s="1"/>
  <c r="G1933" i="111"/>
  <c r="H1933" i="111" s="1"/>
  <c r="I1933" i="111" s="1"/>
  <c r="G3206" i="111"/>
  <c r="H3206" i="111" s="1"/>
  <c r="I3206" i="111" s="1"/>
  <c r="G3835" i="111"/>
  <c r="H3835" i="111" s="1"/>
  <c r="I3835" i="111" s="1"/>
  <c r="G3680" i="111"/>
  <c r="G1860" i="111"/>
  <c r="H1860" i="111" s="1"/>
  <c r="I1860" i="111" s="1"/>
  <c r="G4272" i="111"/>
  <c r="H4272" i="111" s="1"/>
  <c r="I4272" i="111" s="1"/>
  <c r="G2029" i="111"/>
  <c r="H2029" i="111" s="1"/>
  <c r="I2029" i="111" s="1"/>
  <c r="G3729" i="111"/>
  <c r="H3729" i="111" s="1"/>
  <c r="I3729" i="111" s="1"/>
  <c r="G1695" i="111"/>
  <c r="G2402" i="111"/>
  <c r="H2402" i="111" s="1"/>
  <c r="I2402" i="111" s="1"/>
  <c r="G1551" i="111"/>
  <c r="H1551" i="111" s="1"/>
  <c r="I1551" i="111" s="1"/>
  <c r="G2151" i="111"/>
  <c r="G4143" i="111"/>
  <c r="G2099" i="111"/>
  <c r="G2963" i="111"/>
  <c r="H2963" i="111" s="1"/>
  <c r="I2963" i="111" s="1"/>
  <c r="G2075" i="111"/>
  <c r="H2075" i="111" s="1"/>
  <c r="I2075" i="111" s="1"/>
  <c r="G4116" i="111"/>
  <c r="H4116" i="111" s="1"/>
  <c r="I4116" i="111" s="1"/>
  <c r="G2644" i="111"/>
  <c r="H2644" i="111" s="1"/>
  <c r="I2644" i="111" s="1"/>
  <c r="G2139" i="111"/>
  <c r="H2139" i="111" s="1"/>
  <c r="I2139" i="111" s="1"/>
  <c r="G1704" i="111"/>
  <c r="H1704" i="111" s="1"/>
  <c r="I1704" i="111" s="1"/>
  <c r="G2950" i="111"/>
  <c r="H2950" i="111" s="1"/>
  <c r="I2950" i="111" s="1"/>
  <c r="G1614" i="111"/>
  <c r="G1106" i="111"/>
  <c r="G736" i="111"/>
  <c r="H736" i="111" s="1"/>
  <c r="I736" i="111" s="1"/>
  <c r="G330" i="111"/>
  <c r="H330" i="111" s="1"/>
  <c r="I330" i="111" s="1"/>
  <c r="G791" i="111"/>
  <c r="H791" i="111" s="1"/>
  <c r="I791" i="111" s="1"/>
  <c r="G306" i="111"/>
  <c r="H306" i="111" s="1"/>
  <c r="I306" i="111" s="1"/>
  <c r="G4498" i="111"/>
  <c r="H4498" i="111" s="1"/>
  <c r="I4498" i="111" s="1"/>
  <c r="G2013" i="111"/>
  <c r="G1387" i="111"/>
  <c r="H1387" i="111" s="1"/>
  <c r="I1387" i="111" s="1"/>
  <c r="G974" i="111"/>
  <c r="H974" i="111" s="1"/>
  <c r="I974" i="111" s="1"/>
  <c r="G4074" i="111"/>
  <c r="H4074" i="111" s="1"/>
  <c r="I4074" i="111" s="1"/>
  <c r="G1963" i="111"/>
  <c r="H1963" i="111" s="1"/>
  <c r="I1963" i="111" s="1"/>
  <c r="G1310" i="111"/>
  <c r="H1310" i="111" s="1"/>
  <c r="I1310" i="111" s="1"/>
  <c r="G933" i="111"/>
  <c r="H933" i="111" s="1"/>
  <c r="I933" i="111" s="1"/>
  <c r="G586" i="111"/>
  <c r="H586" i="111" s="1"/>
  <c r="I586" i="111" s="1"/>
  <c r="G189" i="111"/>
  <c r="H189" i="111" s="1"/>
  <c r="I189" i="111" s="1"/>
  <c r="G2712" i="111"/>
  <c r="H2712" i="111" s="1"/>
  <c r="I2712" i="111" s="1"/>
  <c r="G1583" i="111"/>
  <c r="H1583" i="111" s="1"/>
  <c r="I1583" i="111" s="1"/>
  <c r="G1012" i="111"/>
  <c r="H1012" i="111" s="1"/>
  <c r="I1012" i="111" s="1"/>
  <c r="G678" i="111"/>
  <c r="H678" i="111" s="1"/>
  <c r="I678" i="111" s="1"/>
  <c r="G342" i="111"/>
  <c r="G2645" i="111"/>
  <c r="H2645" i="111" s="1"/>
  <c r="I2645" i="111" s="1"/>
  <c r="G1582" i="111"/>
  <c r="H1582" i="111" s="1"/>
  <c r="I1582" i="111" s="1"/>
  <c r="G1064" i="111"/>
  <c r="G750" i="111"/>
  <c r="H750" i="111" s="1"/>
  <c r="I750" i="111" s="1"/>
  <c r="G386" i="111"/>
  <c r="H386" i="111" s="1"/>
  <c r="I386" i="111" s="1"/>
  <c r="G3704" i="111"/>
  <c r="H3704" i="111" s="1"/>
  <c r="I3704" i="111" s="1"/>
  <c r="G1610" i="111"/>
  <c r="H1610" i="111" s="1"/>
  <c r="I1610" i="111" s="1"/>
  <c r="G1169" i="111"/>
  <c r="H1169" i="111" s="1"/>
  <c r="I1169" i="111" s="1"/>
  <c r="G874" i="111"/>
  <c r="H874" i="111" s="1"/>
  <c r="I874" i="111" s="1"/>
  <c r="G539" i="111"/>
  <c r="G141" i="111"/>
  <c r="G2909" i="111"/>
  <c r="H2909" i="111" s="1"/>
  <c r="I2909" i="111" s="1"/>
  <c r="G1598" i="111"/>
  <c r="H1598" i="111" s="1"/>
  <c r="I1598" i="111" s="1"/>
  <c r="G1033" i="111"/>
  <c r="H1033" i="111" s="1"/>
  <c r="I1033" i="111" s="1"/>
  <c r="G724" i="111"/>
  <c r="H724" i="111" s="1"/>
  <c r="I724" i="111" s="1"/>
  <c r="G83" i="111"/>
  <c r="G785" i="111"/>
  <c r="G1735" i="111"/>
  <c r="H1735" i="111" s="1"/>
  <c r="I1735" i="111" s="1"/>
  <c r="G956" i="111"/>
  <c r="H956" i="111" s="1"/>
  <c r="I956" i="111" s="1"/>
  <c r="G2025" i="111"/>
  <c r="H2025" i="111" s="1"/>
  <c r="I2025" i="111" s="1"/>
  <c r="G1316" i="111"/>
  <c r="H1316" i="111" s="1"/>
  <c r="I1316" i="111" s="1"/>
  <c r="G1319" i="111"/>
  <c r="H1319" i="111" s="1"/>
  <c r="I1319" i="111" s="1"/>
  <c r="G1246" i="111"/>
  <c r="H1246" i="111" s="1"/>
  <c r="I1246" i="111" s="1"/>
  <c r="G29" i="111"/>
  <c r="H29" i="111" s="1"/>
  <c r="I29" i="111" s="1"/>
  <c r="G26" i="111"/>
  <c r="H26" i="111" s="1"/>
  <c r="I26" i="111" s="1"/>
  <c r="G107" i="111"/>
  <c r="H107" i="111" s="1"/>
  <c r="I107" i="111" s="1"/>
  <c r="G6000" i="111"/>
  <c r="H6000" i="111" s="1"/>
  <c r="I6000" i="111" s="1"/>
  <c r="G6338" i="111"/>
  <c r="H6338" i="111" s="1"/>
  <c r="I6338" i="111" s="1"/>
  <c r="G5269" i="111"/>
  <c r="G6591" i="111"/>
  <c r="H6591" i="111" s="1"/>
  <c r="I6591" i="111" s="1"/>
  <c r="G4582" i="111"/>
  <c r="H4582" i="111" s="1"/>
  <c r="I4582" i="111" s="1"/>
  <c r="G3748" i="111"/>
  <c r="H3748" i="111" s="1"/>
  <c r="I3748" i="111" s="1"/>
  <c r="G5907" i="111"/>
  <c r="H5907" i="111" s="1"/>
  <c r="I5907" i="111" s="1"/>
  <c r="G3307" i="111"/>
  <c r="H3307" i="111" s="1"/>
  <c r="I3307" i="111" s="1"/>
  <c r="G2757" i="111"/>
  <c r="H2757" i="111" s="1"/>
  <c r="I2757" i="111" s="1"/>
  <c r="G2739" i="111"/>
  <c r="H2739" i="111" s="1"/>
  <c r="I2739" i="111" s="1"/>
  <c r="G3586" i="111"/>
  <c r="G3108" i="111"/>
  <c r="H3108" i="111" s="1"/>
  <c r="I3108" i="111" s="1"/>
  <c r="G2766" i="111"/>
  <c r="G2907" i="111"/>
  <c r="H2907" i="111" s="1"/>
  <c r="I2907" i="111" s="1"/>
  <c r="G4967" i="111"/>
  <c r="H4967" i="111" s="1"/>
  <c r="I4967" i="111" s="1"/>
  <c r="G2391" i="111"/>
  <c r="G3102" i="111"/>
  <c r="G1903" i="111"/>
  <c r="H1903" i="111" s="1"/>
  <c r="I1903" i="111" s="1"/>
  <c r="G3123" i="111"/>
  <c r="H3123" i="111" s="1"/>
  <c r="I3123" i="111" s="1"/>
  <c r="G3761" i="111"/>
  <c r="G3332" i="111"/>
  <c r="G1806" i="111"/>
  <c r="H1806" i="111" s="1"/>
  <c r="I1806" i="111" s="1"/>
  <c r="G4167" i="111"/>
  <c r="H4167" i="111" s="1"/>
  <c r="I4167" i="111" s="1"/>
  <c r="G2004" i="111"/>
  <c r="H2004" i="111" s="1"/>
  <c r="I2004" i="111" s="1"/>
  <c r="G3394" i="111"/>
  <c r="H3394" i="111" s="1"/>
  <c r="I3394" i="111" s="1"/>
  <c r="G1678" i="111"/>
  <c r="H1678" i="111" s="1"/>
  <c r="I1678" i="111" s="1"/>
  <c r="G2369" i="111"/>
  <c r="H2369" i="111" s="1"/>
  <c r="I2369" i="111" s="1"/>
  <c r="G1442" i="111"/>
  <c r="G2132" i="111"/>
  <c r="G4065" i="111"/>
  <c r="G1978" i="111"/>
  <c r="H1978" i="111" s="1"/>
  <c r="I1978" i="111" s="1"/>
  <c r="G2790" i="111"/>
  <c r="H2790" i="111" s="1"/>
  <c r="I2790" i="111" s="1"/>
  <c r="G2060" i="111"/>
  <c r="H2060" i="111" s="1"/>
  <c r="I2060" i="111" s="1"/>
  <c r="G3757" i="111"/>
  <c r="G2616" i="111"/>
  <c r="H2616" i="111" s="1"/>
  <c r="I2616" i="111" s="1"/>
  <c r="G2087" i="111"/>
  <c r="G1684" i="111"/>
  <c r="H1684" i="111" s="1"/>
  <c r="I1684" i="111" s="1"/>
  <c r="G2715" i="111"/>
  <c r="H2715" i="111" s="1"/>
  <c r="I2715" i="111" s="1"/>
  <c r="G1589" i="111"/>
  <c r="H1589" i="111" s="1"/>
  <c r="I1589" i="111" s="1"/>
  <c r="G1072" i="111"/>
  <c r="H1072" i="111" s="1"/>
  <c r="I1072" i="111" s="1"/>
  <c r="G700" i="111"/>
  <c r="H700" i="111" s="1"/>
  <c r="I700" i="111" s="1"/>
  <c r="G307" i="111"/>
  <c r="H307" i="111" s="1"/>
  <c r="I307" i="111" s="1"/>
  <c r="G735" i="111"/>
  <c r="G283" i="111"/>
  <c r="H283" i="111" s="1"/>
  <c r="I283" i="111" s="1"/>
  <c r="G4201" i="111"/>
  <c r="H4201" i="111" s="1"/>
  <c r="I4201" i="111" s="1"/>
  <c r="G1973" i="111"/>
  <c r="G1311" i="111"/>
  <c r="H1311" i="111" s="1"/>
  <c r="I1311" i="111" s="1"/>
  <c r="G953" i="111"/>
  <c r="H953" i="111" s="1"/>
  <c r="I953" i="111" s="1"/>
  <c r="G3621" i="111"/>
  <c r="G1897" i="111"/>
  <c r="H1897" i="111" s="1"/>
  <c r="I1897" i="111" s="1"/>
  <c r="G1263" i="111"/>
  <c r="G893" i="111"/>
  <c r="G569" i="111"/>
  <c r="H569" i="111" s="1"/>
  <c r="I569" i="111" s="1"/>
  <c r="G166" i="111"/>
  <c r="H166" i="111" s="1"/>
  <c r="I166" i="111" s="1"/>
  <c r="G2590" i="111"/>
  <c r="H2590" i="111" s="1"/>
  <c r="I2590" i="111" s="1"/>
  <c r="G1438" i="111"/>
  <c r="G994" i="111"/>
  <c r="H994" i="111" s="1"/>
  <c r="I994" i="111" s="1"/>
  <c r="G664" i="111"/>
  <c r="H664" i="111" s="1"/>
  <c r="I664" i="111" s="1"/>
  <c r="G322" i="111"/>
  <c r="G2471" i="111"/>
  <c r="G1436" i="111"/>
  <c r="H1436" i="111" s="1"/>
  <c r="I1436" i="111" s="1"/>
  <c r="G1038" i="111"/>
  <c r="H1038" i="111" s="1"/>
  <c r="I1038" i="111" s="1"/>
  <c r="G696" i="111"/>
  <c r="H696" i="111" s="1"/>
  <c r="I696" i="111" s="1"/>
  <c r="G341" i="111"/>
  <c r="G3474" i="111"/>
  <c r="H3474" i="111" s="1"/>
  <c r="I3474" i="111" s="1"/>
  <c r="G1579" i="111"/>
  <c r="H1579" i="111" s="1"/>
  <c r="I1579" i="111" s="1"/>
  <c r="G1152" i="111"/>
  <c r="H1152" i="111" s="1"/>
  <c r="I1152" i="111" s="1"/>
  <c r="G852" i="111"/>
  <c r="H852" i="111" s="1"/>
  <c r="I852" i="111" s="1"/>
  <c r="G515" i="111"/>
  <c r="H515" i="111" s="1"/>
  <c r="I515" i="111" s="1"/>
  <c r="G125" i="111"/>
  <c r="G2617" i="111"/>
  <c r="G1538" i="111"/>
  <c r="H1538" i="111" s="1"/>
  <c r="I1538" i="111" s="1"/>
  <c r="G1019" i="111"/>
  <c r="H1019" i="111" s="1"/>
  <c r="I1019" i="111" s="1"/>
  <c r="G702" i="111"/>
  <c r="H702" i="111" s="1"/>
  <c r="I702" i="111" s="1"/>
  <c r="G116" i="111"/>
  <c r="G817" i="111"/>
  <c r="H817" i="111" s="1"/>
  <c r="I817" i="111" s="1"/>
  <c r="G1812" i="111"/>
  <c r="H1812" i="111" s="1"/>
  <c r="I1812" i="111" s="1"/>
  <c r="G1032" i="111"/>
  <c r="H1032" i="111" s="1"/>
  <c r="I1032" i="111" s="1"/>
  <c r="G2297" i="111"/>
  <c r="H2297" i="111" s="1"/>
  <c r="I2297" i="111" s="1"/>
  <c r="G1365" i="111"/>
  <c r="H1365" i="111" s="1"/>
  <c r="I1365" i="111" s="1"/>
  <c r="G1423" i="111"/>
  <c r="H1423" i="111" s="1"/>
  <c r="I1423" i="111" s="1"/>
  <c r="G1279" i="111"/>
  <c r="G43" i="111"/>
  <c r="H43" i="111" s="1"/>
  <c r="I43" i="111" s="1"/>
  <c r="G5" i="111"/>
  <c r="G151" i="111"/>
  <c r="G5643" i="111"/>
  <c r="H5643" i="111" s="1"/>
  <c r="I5643" i="111" s="1"/>
  <c r="G6200" i="111"/>
  <c r="H6200" i="111" s="1"/>
  <c r="I6200" i="111" s="1"/>
  <c r="G4781" i="111"/>
  <c r="H4781" i="111" s="1"/>
  <c r="I4781" i="111" s="1"/>
  <c r="G5312" i="111"/>
  <c r="H5312" i="111" s="1"/>
  <c r="I5312" i="111" s="1"/>
  <c r="G4292" i="111"/>
  <c r="G3505" i="111"/>
  <c r="G5291" i="111"/>
  <c r="H5291" i="111" s="1"/>
  <c r="I5291" i="111" s="1"/>
  <c r="G3231" i="111"/>
  <c r="H3231" i="111" s="1"/>
  <c r="I3231" i="111" s="1"/>
  <c r="G2708" i="111"/>
  <c r="H2708" i="111" s="1"/>
  <c r="I2708" i="111" s="1"/>
  <c r="G2253" i="111"/>
  <c r="H2253" i="111" s="1"/>
  <c r="I2253" i="111" s="1"/>
  <c r="G3401" i="111"/>
  <c r="H3401" i="111" s="1"/>
  <c r="I3401" i="111" s="1"/>
  <c r="G3091" i="111"/>
  <c r="H3091" i="111" s="1"/>
  <c r="I3091" i="111" s="1"/>
  <c r="G2625" i="111"/>
  <c r="H2625" i="111" s="1"/>
  <c r="I2625" i="111" s="1"/>
  <c r="G2880" i="111"/>
  <c r="H2880" i="111" s="1"/>
  <c r="I2880" i="111" s="1"/>
  <c r="G3922" i="111"/>
  <c r="H3922" i="111" s="1"/>
  <c r="I3922" i="111" s="1"/>
  <c r="G2292" i="111"/>
  <c r="H2292" i="111" s="1"/>
  <c r="I2292" i="111" s="1"/>
  <c r="G3019" i="111"/>
  <c r="H3019" i="111" s="1"/>
  <c r="I3019" i="111" s="1"/>
  <c r="G1893" i="111"/>
  <c r="H1893" i="111" s="1"/>
  <c r="I1893" i="111" s="1"/>
  <c r="G2822" i="111"/>
  <c r="H2822" i="111" s="1"/>
  <c r="I2822" i="111" s="1"/>
  <c r="G3705" i="111"/>
  <c r="G3290" i="111"/>
  <c r="H3290" i="111" s="1"/>
  <c r="I3290" i="111" s="1"/>
  <c r="G1648" i="111"/>
  <c r="G3909" i="111"/>
  <c r="H3909" i="111" s="1"/>
  <c r="I3909" i="111" s="1"/>
  <c r="G1990" i="111"/>
  <c r="H1990" i="111" s="1"/>
  <c r="I1990" i="111" s="1"/>
  <c r="G2843" i="111"/>
  <c r="H2843" i="111" s="1"/>
  <c r="I2843" i="111" s="1"/>
  <c r="G1662" i="111"/>
  <c r="H1662" i="111" s="1"/>
  <c r="I1662" i="111" s="1"/>
  <c r="G2332" i="111"/>
  <c r="G6564" i="111"/>
  <c r="H6564" i="111" s="1"/>
  <c r="I6564" i="111" s="1"/>
  <c r="G2104" i="111"/>
  <c r="H2104" i="111" s="1"/>
  <c r="I2104" i="111" s="1"/>
  <c r="G3967" i="111"/>
  <c r="H3967" i="111" s="1"/>
  <c r="I3967" i="111" s="1"/>
  <c r="G1688" i="111"/>
  <c r="G2690" i="111"/>
  <c r="H2690" i="111" s="1"/>
  <c r="I2690" i="111" s="1"/>
  <c r="G2040" i="111"/>
  <c r="G3612" i="111"/>
  <c r="H3612" i="111" s="1"/>
  <c r="I3612" i="111" s="1"/>
  <c r="G2535" i="111"/>
  <c r="G2072" i="111"/>
  <c r="H2072" i="111" s="1"/>
  <c r="I2072" i="111" s="1"/>
  <c r="G1650" i="111"/>
  <c r="H1650" i="111" s="1"/>
  <c r="I1650" i="111" s="1"/>
  <c r="G2544" i="111"/>
  <c r="H2544" i="111" s="1"/>
  <c r="I2544" i="111" s="1"/>
  <c r="G1558" i="111"/>
  <c r="G1031" i="111"/>
  <c r="H1031" i="111" s="1"/>
  <c r="I1031" i="111" s="1"/>
  <c r="G681" i="111"/>
  <c r="G285" i="111"/>
  <c r="H285" i="111" s="1"/>
  <c r="I285" i="111" s="1"/>
  <c r="G699" i="111"/>
  <c r="H699" i="111" s="1"/>
  <c r="I699" i="111" s="1"/>
  <c r="G265" i="111"/>
  <c r="G3629" i="111"/>
  <c r="H3629" i="111" s="1"/>
  <c r="I3629" i="111" s="1"/>
  <c r="G1869" i="111"/>
  <c r="H1869" i="111" s="1"/>
  <c r="I1869" i="111" s="1"/>
  <c r="G1289" i="111"/>
  <c r="H1289" i="111" s="1"/>
  <c r="I1289" i="111" s="1"/>
  <c r="G935" i="111"/>
  <c r="H935" i="111" s="1"/>
  <c r="I935" i="111" s="1"/>
  <c r="G3490" i="111"/>
  <c r="H3490" i="111" s="1"/>
  <c r="I3490" i="111" s="1"/>
  <c r="G1831" i="111"/>
  <c r="G1238" i="111"/>
  <c r="H1238" i="111" s="1"/>
  <c r="I1238" i="111" s="1"/>
  <c r="G877" i="111"/>
  <c r="H877" i="111" s="1"/>
  <c r="I877" i="111" s="1"/>
  <c r="G521" i="111"/>
  <c r="G129" i="111"/>
  <c r="H129" i="111" s="1"/>
  <c r="I129" i="111" s="1"/>
  <c r="G2413" i="111"/>
  <c r="H2413" i="111" s="1"/>
  <c r="I2413" i="111" s="1"/>
  <c r="G1415" i="111"/>
  <c r="G972" i="111"/>
  <c r="H972" i="111" s="1"/>
  <c r="I972" i="111" s="1"/>
  <c r="G646" i="111"/>
  <c r="H646" i="111" s="1"/>
  <c r="I646" i="111" s="1"/>
  <c r="G220" i="111"/>
  <c r="H220" i="111" s="1"/>
  <c r="I220" i="111" s="1"/>
  <c r="G2412" i="111"/>
  <c r="G1411" i="111"/>
  <c r="H1411" i="111" s="1"/>
  <c r="I1411" i="111" s="1"/>
  <c r="G1025" i="111"/>
  <c r="H1025" i="111" s="1"/>
  <c r="I1025" i="111" s="1"/>
  <c r="G677" i="111"/>
  <c r="H677" i="111" s="1"/>
  <c r="I677" i="111" s="1"/>
  <c r="G321" i="111"/>
  <c r="G3348" i="111"/>
  <c r="G1546" i="111"/>
  <c r="H1546" i="111" s="1"/>
  <c r="I1546" i="111" s="1"/>
  <c r="G1136" i="111"/>
  <c r="H1136" i="111" s="1"/>
  <c r="I1136" i="111" s="1"/>
  <c r="G829" i="111"/>
  <c r="H829" i="111" s="1"/>
  <c r="I829" i="111" s="1"/>
  <c r="G496" i="111"/>
  <c r="H496" i="111" s="1"/>
  <c r="I496" i="111" s="1"/>
  <c r="G87" i="111"/>
  <c r="H87" i="111" s="1"/>
  <c r="I87" i="111" s="1"/>
  <c r="G2563" i="111"/>
  <c r="G1512" i="111"/>
  <c r="G1001" i="111"/>
  <c r="H1001" i="111" s="1"/>
  <c r="I1001" i="111" s="1"/>
  <c r="G671" i="111"/>
  <c r="H671" i="111" s="1"/>
  <c r="I671" i="111" s="1"/>
  <c r="G142" i="111"/>
  <c r="H142" i="111" s="1"/>
  <c r="I142" i="111" s="1"/>
  <c r="G955" i="111"/>
  <c r="H955" i="111" s="1"/>
  <c r="I955" i="111" s="1"/>
  <c r="G1876" i="111"/>
  <c r="H1876" i="111" s="1"/>
  <c r="I1876" i="111" s="1"/>
  <c r="G1093" i="111"/>
  <c r="H1093" i="111" s="1"/>
  <c r="I1093" i="111" s="1"/>
  <c r="G2385" i="111"/>
  <c r="H2385" i="111" s="1"/>
  <c r="I2385" i="111" s="1"/>
  <c r="G1421" i="111"/>
  <c r="H1421" i="111" s="1"/>
  <c r="I1421" i="111" s="1"/>
  <c r="G1514" i="111"/>
  <c r="G1424" i="111"/>
  <c r="H1424" i="111" s="1"/>
  <c r="I1424" i="111" s="1"/>
  <c r="G22" i="111"/>
  <c r="H22" i="111" s="1"/>
  <c r="I22" i="111" s="1"/>
  <c r="G57" i="111"/>
  <c r="G562" i="111"/>
  <c r="G6646" i="111"/>
  <c r="H6646" i="111" s="1"/>
  <c r="I6646" i="111" s="1"/>
  <c r="G5770" i="111"/>
  <c r="G4766" i="111"/>
  <c r="H4766" i="111" s="1"/>
  <c r="I4766" i="111" s="1"/>
  <c r="G5049" i="111"/>
  <c r="H5049" i="111" s="1"/>
  <c r="I5049" i="111" s="1"/>
  <c r="G4179" i="111"/>
  <c r="G4790" i="111"/>
  <c r="H4790" i="111" s="1"/>
  <c r="I4790" i="111" s="1"/>
  <c r="G4428" i="111"/>
  <c r="G3204" i="111"/>
  <c r="H3204" i="111" s="1"/>
  <c r="I3204" i="111" s="1"/>
  <c r="G2554" i="111"/>
  <c r="H2554" i="111" s="1"/>
  <c r="I2554" i="111" s="1"/>
  <c r="G6326" i="111"/>
  <c r="H6326" i="111" s="1"/>
  <c r="I6326" i="111" s="1"/>
  <c r="G3071" i="111"/>
  <c r="G2994" i="111"/>
  <c r="H2994" i="111" s="1"/>
  <c r="I2994" i="111" s="1"/>
  <c r="G2607" i="111"/>
  <c r="H2607" i="111" s="1"/>
  <c r="I2607" i="111" s="1"/>
  <c r="G2852" i="111"/>
  <c r="H2852" i="111" s="1"/>
  <c r="I2852" i="111" s="1"/>
  <c r="G3866" i="111"/>
  <c r="G2052" i="111"/>
  <c r="H2052" i="111" s="1"/>
  <c r="I2052" i="111" s="1"/>
  <c r="G2849" i="111"/>
  <c r="H2849" i="111" s="1"/>
  <c r="I2849" i="111" s="1"/>
  <c r="G1879" i="111"/>
  <c r="H1879" i="111" s="1"/>
  <c r="I1879" i="111" s="1"/>
  <c r="G2760" i="111"/>
  <c r="H2760" i="111" s="1"/>
  <c r="I2760" i="111" s="1"/>
  <c r="G3661" i="111"/>
  <c r="H3661" i="111" s="1"/>
  <c r="I3661" i="111" s="1"/>
  <c r="G3084" i="111"/>
  <c r="G1609" i="111"/>
  <c r="H1609" i="111" s="1"/>
  <c r="I1609" i="111" s="1"/>
  <c r="G3831" i="111"/>
  <c r="H3831" i="111" s="1"/>
  <c r="I3831" i="111" s="1"/>
  <c r="G1900" i="111"/>
  <c r="H1900" i="111" s="1"/>
  <c r="I1900" i="111" s="1"/>
  <c r="G2802" i="111"/>
  <c r="H2802" i="111" s="1"/>
  <c r="I2802" i="111" s="1"/>
  <c r="G1642" i="111"/>
  <c r="G2233" i="111"/>
  <c r="H2233" i="111" s="1"/>
  <c r="I2233" i="111" s="1"/>
  <c r="G5583" i="111"/>
  <c r="H5583" i="111" s="1"/>
  <c r="I5583" i="111" s="1"/>
  <c r="G2063" i="111"/>
  <c r="H2063" i="111" s="1"/>
  <c r="I2063" i="111" s="1"/>
  <c r="G3636" i="111"/>
  <c r="H3636" i="111" s="1"/>
  <c r="I3636" i="111" s="1"/>
  <c r="G1657" i="111"/>
  <c r="H1657" i="111" s="1"/>
  <c r="I1657" i="111" s="1"/>
  <c r="G2650" i="111"/>
  <c r="G1958" i="111"/>
  <c r="H1958" i="111" s="1"/>
  <c r="I1958" i="111" s="1"/>
  <c r="G3456" i="111"/>
  <c r="H3456" i="111" s="1"/>
  <c r="I3456" i="111" s="1"/>
  <c r="G2498" i="111"/>
  <c r="H2498" i="111" s="1"/>
  <c r="I2498" i="111" s="1"/>
  <c r="G2051" i="111"/>
  <c r="H2051" i="111" s="1"/>
  <c r="I2051" i="111" s="1"/>
  <c r="G1624" i="111"/>
  <c r="G2484" i="111"/>
  <c r="H2484" i="111" s="1"/>
  <c r="I2484" i="111" s="1"/>
  <c r="G1483" i="111"/>
  <c r="G1013" i="111"/>
  <c r="H1013" i="111" s="1"/>
  <c r="I1013" i="111" s="1"/>
  <c r="G650" i="111"/>
  <c r="H650" i="111" s="1"/>
  <c r="I650" i="111" s="1"/>
  <c r="G267" i="111"/>
  <c r="H267" i="111" s="1"/>
  <c r="I267" i="111" s="1"/>
  <c r="G680" i="111"/>
  <c r="H680" i="111" s="1"/>
  <c r="I680" i="111" s="1"/>
  <c r="G190" i="111"/>
  <c r="H190" i="111" s="1"/>
  <c r="I190" i="111" s="1"/>
  <c r="G3390" i="111"/>
  <c r="H3390" i="111" s="1"/>
  <c r="I3390" i="111" s="1"/>
  <c r="G1809" i="111"/>
  <c r="H1809" i="111" s="1"/>
  <c r="I1809" i="111" s="1"/>
  <c r="G1267" i="111"/>
  <c r="G894" i="111"/>
  <c r="H894" i="111" s="1"/>
  <c r="I894" i="111" s="1"/>
  <c r="G3385" i="111"/>
  <c r="H3385" i="111" s="1"/>
  <c r="I3385" i="111" s="1"/>
  <c r="G1798" i="111"/>
  <c r="H1798" i="111" s="1"/>
  <c r="I1798" i="111" s="1"/>
  <c r="G1223" i="111"/>
  <c r="H1223" i="111" s="1"/>
  <c r="I1223" i="111" s="1"/>
  <c r="G839" i="111"/>
  <c r="G502" i="111"/>
  <c r="H502" i="111" s="1"/>
  <c r="I502" i="111" s="1"/>
  <c r="G111" i="111"/>
  <c r="H111" i="111" s="1"/>
  <c r="I111" i="111" s="1"/>
  <c r="G2346" i="111"/>
  <c r="H2346" i="111" s="1"/>
  <c r="I2346" i="111" s="1"/>
  <c r="G1355" i="111"/>
  <c r="G951" i="111"/>
  <c r="G627" i="111"/>
  <c r="H627" i="111" s="1"/>
  <c r="I627" i="111" s="1"/>
  <c r="G110" i="111"/>
  <c r="G2328" i="111"/>
  <c r="G1328" i="111"/>
  <c r="H1328" i="111" s="1"/>
  <c r="I1328" i="111" s="1"/>
  <c r="G1010" i="111"/>
  <c r="H1010" i="111" s="1"/>
  <c r="I1010" i="111" s="1"/>
  <c r="G662" i="111"/>
  <c r="H662" i="111" s="1"/>
  <c r="I662" i="111" s="1"/>
  <c r="G301" i="111"/>
  <c r="G3090" i="111"/>
  <c r="H3090" i="111" s="1"/>
  <c r="I3090" i="111" s="1"/>
  <c r="G1515" i="111"/>
  <c r="G1121" i="111"/>
  <c r="G800" i="111"/>
  <c r="H800" i="111" s="1"/>
  <c r="I800" i="111" s="1"/>
  <c r="G475" i="111"/>
  <c r="G45" i="111"/>
  <c r="G2500" i="111"/>
  <c r="G1492" i="111"/>
  <c r="H1492" i="111" s="1"/>
  <c r="I1492" i="111" s="1"/>
  <c r="G958" i="111"/>
  <c r="H958" i="111" s="1"/>
  <c r="I958" i="111" s="1"/>
  <c r="G655" i="111"/>
  <c r="H655" i="111" s="1"/>
  <c r="I655" i="111" s="1"/>
  <c r="G211" i="111"/>
  <c r="H211" i="111" s="1"/>
  <c r="I211" i="111" s="1"/>
  <c r="G1024" i="111"/>
  <c r="H1024" i="111" s="1"/>
  <c r="I1024" i="111" s="1"/>
  <c r="G2499" i="111"/>
  <c r="H2499" i="111" s="1"/>
  <c r="I2499" i="111" s="1"/>
  <c r="G1179" i="111"/>
  <c r="H1179" i="111" s="1"/>
  <c r="I1179" i="111" s="1"/>
  <c r="G2501" i="111"/>
  <c r="H2501" i="111" s="1"/>
  <c r="I2501" i="111" s="1"/>
  <c r="G1559" i="111"/>
  <c r="H1559" i="111" s="1"/>
  <c r="I1559" i="111" s="1"/>
  <c r="G1628" i="111"/>
  <c r="H1628" i="111" s="1"/>
  <c r="I1628" i="111" s="1"/>
  <c r="G1629" i="111"/>
  <c r="H1629" i="111" s="1"/>
  <c r="I1629" i="111" s="1"/>
  <c r="G53" i="111"/>
  <c r="G40" i="111"/>
  <c r="H40" i="111" s="1"/>
  <c r="I40" i="111" s="1"/>
  <c r="G903" i="111"/>
  <c r="H903" i="111" s="1"/>
  <c r="I903" i="111" s="1"/>
  <c r="G6600" i="111"/>
  <c r="H6600" i="111" s="1"/>
  <c r="I6600" i="111" s="1"/>
  <c r="G5526" i="111"/>
  <c r="H5526" i="111" s="1"/>
  <c r="I5526" i="111" s="1"/>
  <c r="G6521" i="111"/>
  <c r="H6521" i="111" s="1"/>
  <c r="I6521" i="111" s="1"/>
  <c r="G5007" i="111"/>
  <c r="G3982" i="111"/>
  <c r="G4499" i="111"/>
  <c r="H4499" i="111" s="1"/>
  <c r="I4499" i="111" s="1"/>
  <c r="G3838" i="111"/>
  <c r="H3838" i="111" s="1"/>
  <c r="I3838" i="111" s="1"/>
  <c r="G3043" i="111"/>
  <c r="H3043" i="111" s="1"/>
  <c r="I3043" i="111" s="1"/>
  <c r="G2496" i="111"/>
  <c r="H2496" i="111" s="1"/>
  <c r="I2496" i="111" s="1"/>
  <c r="G4928" i="111"/>
  <c r="H4928" i="111" s="1"/>
  <c r="I4928" i="111" s="1"/>
  <c r="G3034" i="111"/>
  <c r="H3034" i="111" s="1"/>
  <c r="I3034" i="111" s="1"/>
  <c r="G4741" i="111"/>
  <c r="G2493" i="111"/>
  <c r="H2493" i="111" s="1"/>
  <c r="I2493" i="111" s="1"/>
  <c r="G2827" i="111"/>
  <c r="H2827" i="111" s="1"/>
  <c r="I2827" i="111" s="1"/>
  <c r="G3652" i="111"/>
  <c r="H3652" i="111" s="1"/>
  <c r="I3652" i="111" s="1"/>
  <c r="G2017" i="111"/>
  <c r="G2638" i="111"/>
  <c r="H2638" i="111" s="1"/>
  <c r="I2638" i="111" s="1"/>
  <c r="G1816" i="111"/>
  <c r="G2700" i="111"/>
  <c r="G3624" i="111"/>
  <c r="H3624" i="111" s="1"/>
  <c r="I3624" i="111" s="1"/>
  <c r="G2614" i="111"/>
  <c r="H2614" i="111" s="1"/>
  <c r="I2614" i="111" s="1"/>
  <c r="G1592" i="111"/>
  <c r="G3731" i="111"/>
  <c r="H3731" i="111" s="1"/>
  <c r="I3731" i="111" s="1"/>
  <c r="G1788" i="111"/>
  <c r="H1788" i="111" s="1"/>
  <c r="I1788" i="111" s="1"/>
  <c r="G2731" i="111"/>
  <c r="G1616" i="111"/>
  <c r="G2002" i="111"/>
  <c r="H2002" i="111" s="1"/>
  <c r="I2002" i="111" s="1"/>
  <c r="G4647" i="111"/>
  <c r="H4647" i="111" s="1"/>
  <c r="I4647" i="111" s="1"/>
  <c r="G2001" i="111"/>
  <c r="H2001" i="111" s="1"/>
  <c r="I2001" i="111" s="1"/>
  <c r="G3068" i="111"/>
  <c r="H3068" i="111" s="1"/>
  <c r="I3068" i="111" s="1"/>
  <c r="G1600" i="111"/>
  <c r="G2628" i="111"/>
  <c r="H2628" i="111" s="1"/>
  <c r="I2628" i="111" s="1"/>
  <c r="G1936" i="111"/>
  <c r="G3336" i="111"/>
  <c r="G2440" i="111"/>
  <c r="G2009" i="111"/>
  <c r="G1594" i="111"/>
  <c r="H1594" i="111" s="1"/>
  <c r="I1594" i="111" s="1"/>
  <c r="G2416" i="111"/>
  <c r="H2416" i="111" s="1"/>
  <c r="I2416" i="111" s="1"/>
  <c r="G1420" i="111"/>
  <c r="H1420" i="111" s="1"/>
  <c r="I1420" i="111" s="1"/>
  <c r="G998" i="111"/>
  <c r="H998" i="111" s="1"/>
  <c r="I998" i="111" s="1"/>
  <c r="G604" i="111"/>
  <c r="H604" i="111" s="1"/>
  <c r="I604" i="111" s="1"/>
  <c r="G249" i="111"/>
  <c r="G649" i="111"/>
  <c r="H649" i="111" s="1"/>
  <c r="I649" i="111" s="1"/>
  <c r="G145" i="111"/>
  <c r="H145" i="111" s="1"/>
  <c r="I145" i="111" s="1"/>
  <c r="G3200" i="111"/>
  <c r="H3200" i="111" s="1"/>
  <c r="I3200" i="111" s="1"/>
  <c r="G1772" i="111"/>
  <c r="H1772" i="111" s="1"/>
  <c r="I1772" i="111" s="1"/>
  <c r="G1252" i="111"/>
  <c r="H1252" i="111" s="1"/>
  <c r="I1252" i="111" s="1"/>
  <c r="G878" i="111"/>
  <c r="H878" i="111" s="1"/>
  <c r="I878" i="111" s="1"/>
  <c r="G3195" i="111"/>
  <c r="G1729" i="111"/>
  <c r="H1729" i="111" s="1"/>
  <c r="I1729" i="111" s="1"/>
  <c r="G1172" i="111"/>
  <c r="H1172" i="111" s="1"/>
  <c r="I1172" i="111" s="1"/>
  <c r="G805" i="111"/>
  <c r="H805" i="111" s="1"/>
  <c r="I805" i="111" s="1"/>
  <c r="G482" i="111"/>
  <c r="H482" i="111" s="1"/>
  <c r="I482" i="111" s="1"/>
  <c r="G93" i="111"/>
  <c r="H93" i="111" s="1"/>
  <c r="I93" i="111" s="1"/>
  <c r="G2209" i="111"/>
  <c r="H2209" i="111" s="1"/>
  <c r="I2209" i="111" s="1"/>
  <c r="G1332" i="111"/>
  <c r="H1332" i="111" s="1"/>
  <c r="I1332" i="111" s="1"/>
  <c r="G932" i="111"/>
  <c r="H932" i="111" s="1"/>
  <c r="I932" i="111" s="1"/>
  <c r="G601" i="111"/>
  <c r="H601" i="111" s="1"/>
  <c r="I601" i="111" s="1"/>
  <c r="G5030" i="111"/>
  <c r="G2201" i="111"/>
  <c r="G1307" i="111"/>
  <c r="H1307" i="111" s="1"/>
  <c r="I1307" i="111" s="1"/>
  <c r="G992" i="111"/>
  <c r="H992" i="111" s="1"/>
  <c r="I992" i="111" s="1"/>
  <c r="G625" i="111"/>
  <c r="H625" i="111" s="1"/>
  <c r="I625" i="111" s="1"/>
  <c r="G219" i="111"/>
  <c r="H219" i="111" s="1"/>
  <c r="I219" i="111" s="1"/>
  <c r="G2821" i="111"/>
  <c r="H2821" i="111" s="1"/>
  <c r="I2821" i="111" s="1"/>
  <c r="G1498" i="111"/>
  <c r="H1498" i="111" s="1"/>
  <c r="I1498" i="111" s="1"/>
  <c r="G1091" i="111"/>
  <c r="H1091" i="111" s="1"/>
  <c r="I1091" i="111" s="1"/>
  <c r="G759" i="111"/>
  <c r="G451" i="111"/>
  <c r="H451" i="111" s="1"/>
  <c r="I451" i="111" s="1"/>
  <c r="G6232" i="111"/>
  <c r="G2448" i="111"/>
  <c r="H2448" i="111" s="1"/>
  <c r="I2448" i="111" s="1"/>
  <c r="G1427" i="111"/>
  <c r="G942" i="111"/>
  <c r="H942" i="111" s="1"/>
  <c r="I942" i="111" s="1"/>
  <c r="G608" i="111"/>
  <c r="G270" i="111"/>
  <c r="H270" i="111" s="1"/>
  <c r="I270" i="111" s="1"/>
  <c r="G1151" i="111"/>
  <c r="H1151" i="111" s="1"/>
  <c r="I1151" i="111" s="1"/>
  <c r="G3069" i="111"/>
  <c r="H3069" i="111" s="1"/>
  <c r="I3069" i="111" s="1"/>
  <c r="G1243" i="111"/>
  <c r="H1243" i="111" s="1"/>
  <c r="I1243" i="111" s="1"/>
  <c r="G2681" i="111"/>
  <c r="H2681" i="111" s="1"/>
  <c r="I2681" i="111" s="1"/>
  <c r="G1672" i="111"/>
  <c r="H1672" i="111" s="1"/>
  <c r="I1672" i="111" s="1"/>
  <c r="G1675" i="111"/>
  <c r="H1675" i="111" s="1"/>
  <c r="I1675" i="111" s="1"/>
  <c r="G1689" i="111"/>
  <c r="G35" i="111"/>
  <c r="H35" i="111" s="1"/>
  <c r="I35" i="111" s="1"/>
  <c r="G17" i="111"/>
  <c r="H17" i="111" s="1"/>
  <c r="I17" i="111" s="1"/>
  <c r="G217" i="111"/>
  <c r="H217" i="111" s="1"/>
  <c r="I217" i="111" s="1"/>
  <c r="G6516" i="111"/>
  <c r="H6516" i="111" s="1"/>
  <c r="I6516" i="111" s="1"/>
  <c r="G5325" i="111"/>
  <c r="H5325" i="111" s="1"/>
  <c r="I5325" i="111" s="1"/>
  <c r="G5292" i="111"/>
  <c r="H5292" i="111" s="1"/>
  <c r="I5292" i="111" s="1"/>
  <c r="G4449" i="111"/>
  <c r="H4449" i="111" s="1"/>
  <c r="I4449" i="111" s="1"/>
  <c r="G3848" i="111"/>
  <c r="H3848" i="111" s="1"/>
  <c r="I3848" i="111" s="1"/>
  <c r="G4286" i="111"/>
  <c r="G3741" i="111"/>
  <c r="H3741" i="111" s="1"/>
  <c r="I3741" i="111" s="1"/>
  <c r="G5783" i="111"/>
  <c r="H5783" i="111" s="1"/>
  <c r="I5783" i="111" s="1"/>
  <c r="G2397" i="111"/>
  <c r="H2397" i="111" s="1"/>
  <c r="I2397" i="111" s="1"/>
  <c r="G4870" i="111"/>
  <c r="H4870" i="111" s="1"/>
  <c r="I4870" i="111" s="1"/>
  <c r="G2955" i="111"/>
  <c r="H2955" i="111" s="1"/>
  <c r="I2955" i="111" s="1"/>
  <c r="G4591" i="111"/>
  <c r="H4591" i="111" s="1"/>
  <c r="I4591" i="111" s="1"/>
  <c r="G2147" i="111"/>
  <c r="H2147" i="111" s="1"/>
  <c r="I2147" i="111" s="1"/>
  <c r="G2764" i="111"/>
  <c r="G3608" i="111"/>
  <c r="H3608" i="111" s="1"/>
  <c r="I3608" i="111" s="1"/>
  <c r="G1999" i="111"/>
  <c r="H1999" i="111" s="1"/>
  <c r="I1999" i="111" s="1"/>
  <c r="G2623" i="111"/>
  <c r="H2623" i="111" s="1"/>
  <c r="I2623" i="111" s="1"/>
  <c r="G5286" i="111"/>
  <c r="G2658" i="111"/>
  <c r="G3308" i="111"/>
  <c r="H3308" i="111" s="1"/>
  <c r="I3308" i="111" s="1"/>
  <c r="G2581" i="111"/>
  <c r="H2581" i="111" s="1"/>
  <c r="I2581" i="111" s="1"/>
  <c r="G1577" i="111"/>
  <c r="H1577" i="111" s="1"/>
  <c r="I1577" i="111" s="1"/>
  <c r="G3396" i="111"/>
  <c r="H3396" i="111" s="1"/>
  <c r="I3396" i="111" s="1"/>
  <c r="G1765" i="111"/>
  <c r="G2580" i="111"/>
  <c r="H2580" i="111" s="1"/>
  <c r="I2580" i="111" s="1"/>
  <c r="G6162" i="111"/>
  <c r="G1987" i="111"/>
  <c r="H1987" i="111" s="1"/>
  <c r="I1987" i="111" s="1"/>
  <c r="G4513" i="111"/>
  <c r="H4513" i="111" s="1"/>
  <c r="I4513" i="111" s="1"/>
  <c r="G1907" i="111"/>
  <c r="H1907" i="111" s="1"/>
  <c r="I1907" i="111" s="1"/>
  <c r="G2964" i="111"/>
  <c r="H2964" i="111" s="1"/>
  <c r="I2964" i="111" s="1"/>
  <c r="G1586" i="111"/>
  <c r="G2576" i="111"/>
  <c r="H2576" i="111" s="1"/>
  <c r="I2576" i="111" s="1"/>
  <c r="G1921" i="111"/>
  <c r="G3293" i="111"/>
  <c r="H3293" i="111" s="1"/>
  <c r="I3293" i="111" s="1"/>
  <c r="G2405" i="111"/>
  <c r="G1954" i="111"/>
  <c r="H1954" i="111" s="1"/>
  <c r="I1954" i="111" s="1"/>
  <c r="G1554" i="111"/>
  <c r="G2286" i="111"/>
  <c r="H2286" i="111" s="1"/>
  <c r="I2286" i="111" s="1"/>
  <c r="G1391" i="111"/>
  <c r="G954" i="111"/>
  <c r="H954" i="111" s="1"/>
  <c r="I954" i="111" s="1"/>
  <c r="G589" i="111"/>
  <c r="G223" i="111"/>
  <c r="H223" i="111" s="1"/>
  <c r="I223" i="111" s="1"/>
  <c r="G587" i="111"/>
  <c r="G131" i="111"/>
  <c r="H131" i="111" s="1"/>
  <c r="I131" i="111" s="1"/>
  <c r="G3053" i="111"/>
  <c r="H3053" i="111" s="1"/>
  <c r="I3053" i="111" s="1"/>
  <c r="G1731" i="111"/>
  <c r="H1731" i="111" s="1"/>
  <c r="I1731" i="111" s="1"/>
  <c r="G1240" i="111"/>
  <c r="H1240" i="111" s="1"/>
  <c r="I1240" i="111" s="1"/>
  <c r="G603" i="111"/>
  <c r="H603" i="111" s="1"/>
  <c r="I603" i="111" s="1"/>
  <c r="G3111" i="111"/>
  <c r="H3111" i="111" s="1"/>
  <c r="I3111" i="111" s="1"/>
  <c r="G1654" i="111"/>
  <c r="H1654" i="111" s="1"/>
  <c r="I1654" i="111" s="1"/>
  <c r="G1157" i="111"/>
  <c r="H1157" i="111" s="1"/>
  <c r="I1157" i="111" s="1"/>
  <c r="G790" i="111"/>
  <c r="H790" i="111" s="1"/>
  <c r="I790" i="111" s="1"/>
  <c r="G457" i="111"/>
  <c r="G405" i="111"/>
  <c r="H405" i="111" s="1"/>
  <c r="I405" i="111" s="1"/>
  <c r="G2149" i="111"/>
  <c r="H2149" i="111" s="1"/>
  <c r="I2149" i="111" s="1"/>
  <c r="G1308" i="111"/>
  <c r="H1308" i="111" s="1"/>
  <c r="I1308" i="111" s="1"/>
  <c r="G906" i="111"/>
  <c r="H906" i="111" s="1"/>
  <c r="I906" i="111" s="1"/>
  <c r="G584" i="111"/>
  <c r="H584" i="111" s="1"/>
  <c r="I584" i="111" s="1"/>
  <c r="G4322" i="111"/>
  <c r="H4322" i="111" s="1"/>
  <c r="I4322" i="111" s="1"/>
  <c r="G2095" i="111"/>
  <c r="G1287" i="111"/>
  <c r="H1287" i="111" s="1"/>
  <c r="I1287" i="111" s="1"/>
  <c r="G971" i="111"/>
  <c r="H971" i="111" s="1"/>
  <c r="I971" i="111" s="1"/>
  <c r="G599" i="111"/>
  <c r="H599" i="111" s="1"/>
  <c r="I599" i="111" s="1"/>
  <c r="G204" i="111"/>
  <c r="H204" i="111" s="1"/>
  <c r="I204" i="111" s="1"/>
  <c r="G2631" i="111"/>
  <c r="H2631" i="111" s="1"/>
  <c r="I2631" i="111" s="1"/>
  <c r="G1434" i="111"/>
  <c r="H1434" i="111" s="1"/>
  <c r="I1434" i="111" s="1"/>
  <c r="G1078" i="111"/>
  <c r="H1078" i="111" s="1"/>
  <c r="I1078" i="111" s="1"/>
  <c r="G747" i="111"/>
  <c r="H747" i="111" s="1"/>
  <c r="I747" i="111" s="1"/>
  <c r="G424" i="111"/>
  <c r="G5740" i="111"/>
  <c r="H5740" i="111" s="1"/>
  <c r="I5740" i="111" s="1"/>
  <c r="G2384" i="111"/>
  <c r="H2384" i="111" s="1"/>
  <c r="I2384" i="111" s="1"/>
  <c r="G1400" i="111"/>
  <c r="H1400" i="111" s="1"/>
  <c r="I1400" i="111" s="1"/>
  <c r="G918" i="111"/>
  <c r="G593" i="111"/>
  <c r="H593" i="111" s="1"/>
  <c r="I593" i="111" s="1"/>
  <c r="G297" i="111"/>
  <c r="G1178" i="111"/>
  <c r="H1178" i="111" s="1"/>
  <c r="I1178" i="111" s="1"/>
  <c r="G3305" i="111"/>
  <c r="H3305" i="111" s="1"/>
  <c r="I3305" i="111" s="1"/>
  <c r="G1314" i="111"/>
  <c r="H1314" i="111" s="1"/>
  <c r="I1314" i="111" s="1"/>
  <c r="G3072" i="111"/>
  <c r="H3072" i="111" s="1"/>
  <c r="I3072" i="111" s="1"/>
  <c r="G1745" i="111"/>
  <c r="H1745" i="111" s="1"/>
  <c r="I1745" i="111" s="1"/>
  <c r="G1746" i="111"/>
  <c r="H1746" i="111" s="1"/>
  <c r="I1746" i="111" s="1"/>
  <c r="G1749" i="111"/>
  <c r="G14" i="111"/>
  <c r="H14" i="111" s="1"/>
  <c r="I14" i="111" s="1"/>
  <c r="G4" i="111"/>
  <c r="G1131" i="111"/>
  <c r="H1131" i="111" s="1"/>
  <c r="I1131" i="111" s="1"/>
  <c r="G779" i="111"/>
  <c r="G6271" i="111"/>
  <c r="H6271" i="111" s="1"/>
  <c r="I6271" i="111" s="1"/>
  <c r="G5180" i="111"/>
  <c r="H5180" i="111" s="1"/>
  <c r="I5180" i="111" s="1"/>
  <c r="G5210" i="111"/>
  <c r="G4786" i="111"/>
  <c r="H4786" i="111" s="1"/>
  <c r="I4786" i="111" s="1"/>
  <c r="G3660" i="111"/>
  <c r="H3660" i="111" s="1"/>
  <c r="I3660" i="111" s="1"/>
  <c r="G4266" i="111"/>
  <c r="H4266" i="111" s="1"/>
  <c r="I4266" i="111" s="1"/>
  <c r="G3654" i="111"/>
  <c r="H3654" i="111" s="1"/>
  <c r="I3654" i="111" s="1"/>
  <c r="G5444" i="111"/>
  <c r="H5444" i="111" s="1"/>
  <c r="I5444" i="111" s="1"/>
  <c r="G4401" i="111"/>
  <c r="H4401" i="111" s="1"/>
  <c r="I4401" i="111" s="1"/>
  <c r="G4573" i="111"/>
  <c r="H4573" i="111" s="1"/>
  <c r="I4573" i="111" s="1"/>
  <c r="G2900" i="111"/>
  <c r="H2900" i="111" s="1"/>
  <c r="I2900" i="111" s="1"/>
  <c r="G4373" i="111"/>
  <c r="G2130" i="111"/>
  <c r="H2130" i="111" s="1"/>
  <c r="I2130" i="111" s="1"/>
  <c r="G2410" i="111"/>
  <c r="H2410" i="111" s="1"/>
  <c r="I2410" i="111" s="1"/>
  <c r="G3465" i="111"/>
  <c r="H3465" i="111" s="1"/>
  <c r="I3465" i="111" s="1"/>
  <c r="G1985" i="111"/>
  <c r="H1985" i="111" s="1"/>
  <c r="I1985" i="111" s="1"/>
  <c r="G2586" i="111"/>
  <c r="H2586" i="111" s="1"/>
  <c r="I2586" i="111" s="1"/>
  <c r="G5181" i="111"/>
  <c r="H5181" i="111" s="1"/>
  <c r="I5181" i="111" s="1"/>
  <c r="G2637" i="111"/>
  <c r="H2637" i="111" s="1"/>
  <c r="I2637" i="111" s="1"/>
  <c r="G2912" i="111"/>
  <c r="H2912" i="111" s="1"/>
  <c r="I2912" i="111" s="1"/>
  <c r="G2562" i="111"/>
  <c r="H2562" i="111" s="1"/>
  <c r="I2562" i="111" s="1"/>
  <c r="G1553" i="111"/>
  <c r="H1553" i="111" s="1"/>
  <c r="I1553" i="111" s="1"/>
  <c r="G2735" i="111"/>
  <c r="G1740" i="111"/>
  <c r="H1740" i="111" s="1"/>
  <c r="I1740" i="111" s="1"/>
  <c r="G2560" i="111"/>
  <c r="H2560" i="111" s="1"/>
  <c r="I2560" i="111" s="1"/>
  <c r="G3439" i="111"/>
  <c r="H3439" i="111" s="1"/>
  <c r="I3439" i="111" s="1"/>
  <c r="G1966" i="111"/>
  <c r="H1966" i="111" s="1"/>
  <c r="I1966" i="111" s="1"/>
  <c r="G4349" i="111"/>
  <c r="H4349" i="111" s="1"/>
  <c r="I4349" i="111" s="1"/>
  <c r="G1717" i="111"/>
  <c r="G2917" i="111"/>
  <c r="G1547" i="111"/>
  <c r="H1547" i="111" s="1"/>
  <c r="I1547" i="111" s="1"/>
  <c r="G2547" i="111"/>
  <c r="G1896" i="111"/>
  <c r="H1896" i="111" s="1"/>
  <c r="I1896" i="111" s="1"/>
  <c r="G3219" i="111"/>
  <c r="H3219" i="111" s="1"/>
  <c r="I3219" i="111" s="1"/>
  <c r="G2382" i="111"/>
  <c r="H2382" i="111" s="1"/>
  <c r="I2382" i="111" s="1"/>
  <c r="G1932" i="111"/>
  <c r="H1932" i="111" s="1"/>
  <c r="I1932" i="111" s="1"/>
  <c r="G1543" i="111"/>
  <c r="H1543" i="111" s="1"/>
  <c r="I1543" i="111" s="1"/>
  <c r="G2222" i="111"/>
  <c r="G1337" i="111"/>
  <c r="H1337" i="111" s="1"/>
  <c r="I1337" i="111" s="1"/>
  <c r="G936" i="111"/>
  <c r="H936" i="111" s="1"/>
  <c r="I936" i="111" s="1"/>
  <c r="G523" i="111"/>
  <c r="H523" i="111" s="1"/>
  <c r="I523" i="111" s="1"/>
  <c r="G208" i="111"/>
  <c r="H208" i="111" s="1"/>
  <c r="I208" i="111" s="1"/>
  <c r="G571" i="111"/>
  <c r="H571" i="111" s="1"/>
  <c r="I571" i="111" s="1"/>
  <c r="G370" i="111"/>
  <c r="H370" i="111" s="1"/>
  <c r="I370" i="111" s="1"/>
  <c r="G2949" i="111"/>
  <c r="H2949" i="111" s="1"/>
  <c r="I2949" i="111" s="1"/>
  <c r="G1686" i="111"/>
  <c r="G1158" i="111"/>
  <c r="H1158" i="111" s="1"/>
  <c r="I1158" i="111" s="1"/>
  <c r="G458" i="111"/>
  <c r="H458" i="111" s="1"/>
  <c r="I458" i="111" s="1"/>
  <c r="G3052" i="111"/>
  <c r="H3052" i="111" s="1"/>
  <c r="I3052" i="111" s="1"/>
  <c r="G1612" i="111"/>
  <c r="H1612" i="111" s="1"/>
  <c r="I1612" i="111" s="1"/>
  <c r="G1142" i="111"/>
  <c r="G768" i="111"/>
  <c r="H768" i="111" s="1"/>
  <c r="I768" i="111" s="1"/>
  <c r="G406" i="111"/>
  <c r="H406" i="111" s="1"/>
  <c r="I406" i="111" s="1"/>
  <c r="G187" i="111"/>
  <c r="H187" i="111" s="1"/>
  <c r="I187" i="111" s="1"/>
  <c r="G2057" i="111"/>
  <c r="H2057" i="111" s="1"/>
  <c r="I2057" i="111" s="1"/>
  <c r="G1288" i="111"/>
  <c r="H1288" i="111" s="1"/>
  <c r="I1288" i="111" s="1"/>
  <c r="G835" i="111"/>
  <c r="G568" i="111"/>
  <c r="G4036" i="111"/>
  <c r="H4036" i="111" s="1"/>
  <c r="I4036" i="111" s="1"/>
  <c r="G2000" i="111"/>
  <c r="H2000" i="111" s="1"/>
  <c r="I2000" i="111" s="1"/>
  <c r="G1250" i="111"/>
  <c r="H1250" i="111" s="1"/>
  <c r="I1250" i="111" s="1"/>
  <c r="G950" i="111"/>
  <c r="H950" i="111" s="1"/>
  <c r="I950" i="111" s="1"/>
  <c r="G583" i="111"/>
  <c r="H583" i="111" s="1"/>
  <c r="I583" i="111" s="1"/>
  <c r="G186" i="111"/>
  <c r="H186" i="111" s="1"/>
  <c r="I186" i="111" s="1"/>
  <c r="G2577" i="111"/>
  <c r="H2577" i="111" s="1"/>
  <c r="I2577" i="111" s="1"/>
  <c r="G1405" i="111"/>
  <c r="H1405" i="111" s="1"/>
  <c r="I1405" i="111" s="1"/>
  <c r="G1063" i="111"/>
  <c r="G730" i="111"/>
  <c r="H730" i="111" s="1"/>
  <c r="I730" i="111" s="1"/>
  <c r="G383" i="111"/>
  <c r="H383" i="111" s="1"/>
  <c r="I383" i="111" s="1"/>
  <c r="G4930" i="111"/>
  <c r="H4930" i="111" s="1"/>
  <c r="I4930" i="111" s="1"/>
  <c r="G2301" i="111"/>
  <c r="H2301" i="111" s="1"/>
  <c r="I2301" i="111" s="1"/>
  <c r="G1320" i="111"/>
  <c r="H1320" i="111" s="1"/>
  <c r="I1320" i="111" s="1"/>
  <c r="G897" i="111"/>
  <c r="H897" i="111" s="1"/>
  <c r="I897" i="111" s="1"/>
  <c r="G575" i="111"/>
  <c r="G337" i="111"/>
  <c r="H337" i="111" s="1"/>
  <c r="I337" i="111" s="1"/>
  <c r="G1210" i="111"/>
  <c r="G6083" i="111"/>
  <c r="H6083" i="111" s="1"/>
  <c r="I6083" i="111" s="1"/>
  <c r="G1364" i="111"/>
  <c r="H1364" i="111" s="1"/>
  <c r="I1364" i="111" s="1"/>
  <c r="G3310" i="111"/>
  <c r="H3310" i="111" s="1"/>
  <c r="I3310" i="111" s="1"/>
  <c r="G1817" i="111"/>
  <c r="H1817" i="111" s="1"/>
  <c r="I1817" i="111" s="1"/>
  <c r="G1822" i="111"/>
  <c r="H1822" i="111" s="1"/>
  <c r="I1822" i="111" s="1"/>
  <c r="G1823" i="111"/>
  <c r="H1823" i="111" s="1"/>
  <c r="I1823" i="111" s="1"/>
  <c r="G47" i="111"/>
  <c r="H47" i="111" s="1"/>
  <c r="I47" i="111" s="1"/>
  <c r="G32" i="111"/>
  <c r="H32" i="111" s="1"/>
  <c r="I32" i="111" s="1"/>
  <c r="G607" i="111"/>
  <c r="H607" i="111" s="1"/>
  <c r="I607" i="111" s="1"/>
  <c r="G827" i="111"/>
  <c r="H827" i="111" s="1"/>
  <c r="I827" i="111" s="1"/>
  <c r="G6397" i="111"/>
  <c r="H6397" i="111" s="1"/>
  <c r="I6397" i="111" s="1"/>
  <c r="G4949" i="111"/>
  <c r="G5061" i="111"/>
  <c r="G4748" i="111"/>
  <c r="H4748" i="111" s="1"/>
  <c r="I4748" i="111" s="1"/>
  <c r="G4474" i="111"/>
  <c r="G4101" i="111"/>
  <c r="H4101" i="111" s="1"/>
  <c r="I4101" i="111" s="1"/>
  <c r="G3642" i="111"/>
  <c r="H3642" i="111" s="1"/>
  <c r="I3642" i="111" s="1"/>
  <c r="G5016" i="111"/>
  <c r="H5016" i="111" s="1"/>
  <c r="I5016" i="111" s="1"/>
  <c r="G4258" i="111"/>
  <c r="H4258" i="111" s="1"/>
  <c r="I4258" i="111" s="1"/>
  <c r="G3641" i="111"/>
  <c r="H3641" i="111" s="1"/>
  <c r="I3641" i="111" s="1"/>
  <c r="G2805" i="111"/>
  <c r="H2805" i="111" s="1"/>
  <c r="I2805" i="111" s="1"/>
  <c r="G4264" i="111"/>
  <c r="H4264" i="111" s="1"/>
  <c r="I4264" i="111" s="1"/>
  <c r="G2069" i="111"/>
  <c r="G2393" i="111"/>
  <c r="H2393" i="111" s="1"/>
  <c r="I2393" i="111" s="1"/>
  <c r="G3047" i="111"/>
  <c r="G6100" i="111"/>
  <c r="H6100" i="111" s="1"/>
  <c r="I6100" i="111" s="1"/>
  <c r="G2574" i="111"/>
  <c r="H2574" i="111" s="1"/>
  <c r="I2574" i="111" s="1"/>
  <c r="G4848" i="111"/>
  <c r="H4848" i="111" s="1"/>
  <c r="I4848" i="111" s="1"/>
  <c r="G2582" i="111"/>
  <c r="G2891" i="111"/>
  <c r="H2891" i="111" s="1"/>
  <c r="I2891" i="111" s="1"/>
  <c r="G2381" i="111"/>
  <c r="H2381" i="111" s="1"/>
  <c r="I2381" i="111" s="1"/>
  <c r="G1507" i="111"/>
  <c r="H1507" i="111" s="1"/>
  <c r="I1507" i="111" s="1"/>
  <c r="G2705" i="111"/>
  <c r="H2705" i="111" s="1"/>
  <c r="I2705" i="111" s="1"/>
  <c r="G1723" i="111"/>
  <c r="H1723" i="111" s="1"/>
  <c r="I1723" i="111" s="1"/>
  <c r="G2403" i="111"/>
  <c r="H2403" i="111" s="1"/>
  <c r="I2403" i="111" s="1"/>
  <c r="G3248" i="111"/>
  <c r="H3248" i="111" s="1"/>
  <c r="I3248" i="111" s="1"/>
  <c r="G1908" i="111"/>
  <c r="H1908" i="111" s="1"/>
  <c r="I1908" i="111" s="1"/>
  <c r="G3391" i="111"/>
  <c r="H3391" i="111" s="1"/>
  <c r="I3391" i="111" s="1"/>
  <c r="G1659" i="111"/>
  <c r="H1659" i="111" s="1"/>
  <c r="I1659" i="111" s="1"/>
  <c r="G2874" i="111"/>
  <c r="G1489" i="111"/>
  <c r="H1489" i="111" s="1"/>
  <c r="I1489" i="111" s="1"/>
  <c r="G2502" i="111"/>
  <c r="H2502" i="111" s="1"/>
  <c r="I2502" i="111" s="1"/>
  <c r="G5093" i="111"/>
  <c r="G3170" i="111"/>
  <c r="G2345" i="111"/>
  <c r="H2345" i="111" s="1"/>
  <c r="I2345" i="111" s="1"/>
  <c r="G1861" i="111"/>
  <c r="H1861" i="111" s="1"/>
  <c r="I1861" i="111" s="1"/>
  <c r="G1431" i="111"/>
  <c r="H1431" i="111" s="1"/>
  <c r="I1431" i="111" s="1"/>
  <c r="G2173" i="111"/>
  <c r="H2173" i="111" s="1"/>
  <c r="I2173" i="111" s="1"/>
  <c r="G1313" i="111"/>
  <c r="H1313" i="111" s="1"/>
  <c r="I1313" i="111" s="1"/>
  <c r="G895" i="111"/>
  <c r="H895" i="111" s="1"/>
  <c r="I895" i="111" s="1"/>
  <c r="G505" i="111"/>
  <c r="H505" i="111" s="1"/>
  <c r="I505" i="111" s="1"/>
  <c r="G192" i="111"/>
  <c r="H192" i="111" s="1"/>
  <c r="I192" i="111" s="1"/>
  <c r="G522" i="111"/>
  <c r="G280" i="111"/>
  <c r="G2788" i="111"/>
  <c r="H2788" i="111" s="1"/>
  <c r="I2788" i="111" s="1"/>
  <c r="G1613" i="111"/>
  <c r="G1127" i="111"/>
  <c r="H1127" i="111" s="1"/>
  <c r="I1127" i="111" s="1"/>
  <c r="G346" i="111"/>
  <c r="G2782" i="111"/>
  <c r="H2782" i="111" s="1"/>
  <c r="I2782" i="111" s="1"/>
  <c r="G1585" i="111"/>
  <c r="H1585" i="111" s="1"/>
  <c r="I1585" i="111" s="1"/>
  <c r="G1094" i="111"/>
  <c r="H1094" i="111" s="1"/>
  <c r="I1094" i="111" s="1"/>
  <c r="G752" i="111"/>
  <c r="H752" i="111" s="1"/>
  <c r="I752" i="111" s="1"/>
  <c r="G389" i="111"/>
  <c r="G4329" i="111"/>
  <c r="H4329" i="111" s="1"/>
  <c r="I4329" i="111" s="1"/>
  <c r="G1961" i="111"/>
  <c r="H1961" i="111" s="1"/>
  <c r="I1961" i="111" s="1"/>
  <c r="G1251" i="111"/>
  <c r="H1251" i="111" s="1"/>
  <c r="I1251" i="111" s="1"/>
  <c r="G820" i="111"/>
  <c r="H820" i="111" s="1"/>
  <c r="I820" i="111" s="1"/>
  <c r="G546" i="111"/>
  <c r="H546" i="111" s="1"/>
  <c r="I546" i="111" s="1"/>
  <c r="G3477" i="111"/>
  <c r="H3477" i="111" s="1"/>
  <c r="I3477" i="111" s="1"/>
  <c r="G1957" i="111"/>
  <c r="H1957" i="111" s="1"/>
  <c r="I1957" i="111" s="1"/>
  <c r="G1235" i="111"/>
  <c r="H1235" i="111" s="1"/>
  <c r="I1235" i="111" s="1"/>
  <c r="G930" i="111"/>
  <c r="G566" i="111"/>
  <c r="H566" i="111" s="1"/>
  <c r="I566" i="111" s="1"/>
  <c r="G164" i="111"/>
  <c r="H164" i="111" s="1"/>
  <c r="I164" i="111" s="1"/>
  <c r="G2316" i="111"/>
  <c r="H2316" i="111" s="1"/>
  <c r="I2316" i="111" s="1"/>
  <c r="G1378" i="111"/>
  <c r="G1037" i="111"/>
  <c r="H1037" i="111" s="1"/>
  <c r="I1037" i="111" s="1"/>
  <c r="G676" i="111"/>
  <c r="H676" i="111" s="1"/>
  <c r="I676" i="111" s="1"/>
  <c r="G364" i="111"/>
  <c r="G4128" i="111"/>
  <c r="G2231" i="111"/>
  <c r="G1256" i="111"/>
  <c r="H1256" i="111" s="1"/>
  <c r="I1256" i="111" s="1"/>
  <c r="G884" i="111"/>
  <c r="H884" i="111" s="1"/>
  <c r="I884" i="111" s="1"/>
  <c r="G527" i="111"/>
  <c r="G411" i="111"/>
  <c r="H411" i="111" s="1"/>
  <c r="I411" i="111" s="1"/>
  <c r="G1241" i="111"/>
  <c r="H1241" i="111" s="1"/>
  <c r="I1241" i="111" s="1"/>
  <c r="G1409" i="111"/>
  <c r="H1409" i="111" s="1"/>
  <c r="I1409" i="111" s="1"/>
  <c r="G755" i="111"/>
  <c r="H755" i="111" s="1"/>
  <c r="I755" i="111" s="1"/>
  <c r="G2026" i="111"/>
  <c r="H2026" i="111" s="1"/>
  <c r="I2026" i="111" s="1"/>
  <c r="G2197" i="111"/>
  <c r="H2197" i="111" s="1"/>
  <c r="I2197" i="111" s="1"/>
  <c r="G2200" i="111"/>
  <c r="H2200" i="111" s="1"/>
  <c r="I2200" i="111" s="1"/>
  <c r="G28" i="111"/>
  <c r="H28" i="111" s="1"/>
  <c r="I28" i="111" s="1"/>
  <c r="G62" i="111"/>
  <c r="H62" i="111" s="1"/>
  <c r="I62" i="111" s="1"/>
  <c r="G799" i="111"/>
  <c r="H799" i="111" s="1"/>
  <c r="I799" i="111" s="1"/>
  <c r="G1734" i="111"/>
  <c r="G5060" i="111"/>
  <c r="G6085" i="111"/>
  <c r="H6085" i="111" s="1"/>
  <c r="I6085" i="111" s="1"/>
  <c r="G4931" i="111"/>
  <c r="H4931" i="111" s="1"/>
  <c r="I4931" i="111" s="1"/>
  <c r="G4636" i="111"/>
  <c r="G4448" i="111"/>
  <c r="H4448" i="111" s="1"/>
  <c r="I4448" i="111" s="1"/>
  <c r="G6430" i="111"/>
  <c r="H6430" i="111" s="1"/>
  <c r="I6430" i="111" s="1"/>
  <c r="G3492" i="111"/>
  <c r="H3492" i="111" s="1"/>
  <c r="I3492" i="111" s="1"/>
  <c r="G4891" i="111"/>
  <c r="H4891" i="111" s="1"/>
  <c r="I4891" i="111" s="1"/>
  <c r="G4086" i="111"/>
  <c r="G3562" i="111"/>
  <c r="H3562" i="111" s="1"/>
  <c r="I3562" i="111" s="1"/>
  <c r="G4204" i="111"/>
  <c r="H4204" i="111" s="1"/>
  <c r="I4204" i="111" s="1"/>
  <c r="G3992" i="111"/>
  <c r="H3992" i="111" s="1"/>
  <c r="I3992" i="111" s="1"/>
  <c r="G2055" i="111"/>
  <c r="H2055" i="111" s="1"/>
  <c r="I2055" i="111" s="1"/>
  <c r="G2375" i="111"/>
  <c r="H2375" i="111" s="1"/>
  <c r="I2375" i="111" s="1"/>
  <c r="G3021" i="111"/>
  <c r="H3021" i="111" s="1"/>
  <c r="I3021" i="111" s="1"/>
  <c r="G4040" i="111"/>
  <c r="H4040" i="111" s="1"/>
  <c r="I4040" i="111" s="1"/>
  <c r="G2507" i="111"/>
  <c r="G4757" i="111"/>
  <c r="H4757" i="111" s="1"/>
  <c r="I4757" i="111" s="1"/>
  <c r="G2388" i="111"/>
  <c r="H2388" i="111" s="1"/>
  <c r="I2388" i="111" s="1"/>
  <c r="G2837" i="111"/>
  <c r="H2837" i="111" s="1"/>
  <c r="I2837" i="111" s="1"/>
  <c r="G2312" i="111"/>
  <c r="H2312" i="111" s="1"/>
  <c r="I2312" i="111" s="1"/>
  <c r="G1335" i="111"/>
  <c r="H1335" i="111" s="1"/>
  <c r="I1335" i="111" s="1"/>
  <c r="G2675" i="111"/>
  <c r="G1680" i="111"/>
  <c r="H1680" i="111" s="1"/>
  <c r="I1680" i="111" s="1"/>
  <c r="G2083" i="111"/>
  <c r="G3153" i="111"/>
  <c r="H3153" i="111" s="1"/>
  <c r="I3153" i="111" s="1"/>
  <c r="G1885" i="111"/>
  <c r="H1885" i="111" s="1"/>
  <c r="I1885" i="111" s="1"/>
  <c r="G2840" i="111"/>
  <c r="H2840" i="111" s="1"/>
  <c r="I2840" i="111" s="1"/>
  <c r="G1615" i="111"/>
  <c r="H1615" i="111" s="1"/>
  <c r="I1615" i="111" s="1"/>
  <c r="G2831" i="111"/>
  <c r="H2831" i="111" s="1"/>
  <c r="I2831" i="111" s="1"/>
  <c r="G1325" i="111"/>
  <c r="H1325" i="111" s="1"/>
  <c r="I1325" i="111" s="1"/>
  <c r="G2478" i="111"/>
  <c r="H2478" i="111" s="1"/>
  <c r="I2478" i="111" s="1"/>
  <c r="G4915" i="111"/>
  <c r="H4915" i="111" s="1"/>
  <c r="I4915" i="111" s="1"/>
  <c r="G3085" i="111"/>
  <c r="G2313" i="111"/>
  <c r="G1842" i="111"/>
  <c r="H1842" i="111" s="1"/>
  <c r="I1842" i="111" s="1"/>
  <c r="G1414" i="111"/>
  <c r="H1414" i="111" s="1"/>
  <c r="I1414" i="111" s="1"/>
  <c r="G1975" i="111"/>
  <c r="H1975" i="111" s="1"/>
  <c r="I1975" i="111" s="1"/>
  <c r="G1290" i="111"/>
  <c r="H1290" i="111" s="1"/>
  <c r="I1290" i="111" s="1"/>
  <c r="G880" i="111"/>
  <c r="H880" i="111" s="1"/>
  <c r="I880" i="111" s="1"/>
  <c r="G485" i="111"/>
  <c r="G146" i="111"/>
  <c r="H146" i="111" s="1"/>
  <c r="I146" i="111" s="1"/>
  <c r="G503" i="111"/>
  <c r="H503" i="111" s="1"/>
  <c r="I503" i="111" s="1"/>
  <c r="G205" i="111"/>
  <c r="H205" i="111" s="1"/>
  <c r="I205" i="111" s="1"/>
  <c r="G2714" i="111"/>
  <c r="H2714" i="111" s="1"/>
  <c r="I2714" i="111" s="1"/>
  <c r="G1588" i="111"/>
  <c r="H1588" i="111" s="1"/>
  <c r="I1588" i="111" s="1"/>
  <c r="G1105" i="111"/>
  <c r="H1105" i="111" s="1"/>
  <c r="I1105" i="111" s="1"/>
  <c r="G222" i="111"/>
  <c r="H222" i="111" s="1"/>
  <c r="I222" i="111" s="1"/>
  <c r="G2477" i="111"/>
  <c r="H2477" i="111" s="1"/>
  <c r="I2477" i="111" s="1"/>
  <c r="G1549" i="111"/>
  <c r="H1549" i="111" s="1"/>
  <c r="I1549" i="111" s="1"/>
  <c r="G1082" i="111"/>
  <c r="H1082" i="111" s="1"/>
  <c r="I1082" i="111" s="1"/>
  <c r="G715" i="111"/>
  <c r="G371" i="111"/>
  <c r="H371" i="111" s="1"/>
  <c r="I371" i="111" s="1"/>
  <c r="G4191" i="111"/>
  <c r="H4191" i="111" s="1"/>
  <c r="I4191" i="111" s="1"/>
  <c r="G1934" i="111"/>
  <c r="H1934" i="111" s="1"/>
  <c r="I1934" i="111" s="1"/>
  <c r="G1237" i="111"/>
  <c r="H1237" i="111" s="1"/>
  <c r="I1237" i="111" s="1"/>
  <c r="G803" i="111"/>
  <c r="H803" i="111" s="1"/>
  <c r="I803" i="111" s="1"/>
  <c r="G520" i="111"/>
  <c r="G3260" i="111"/>
  <c r="G1929" i="111"/>
  <c r="H1929" i="111" s="1"/>
  <c r="I1929" i="111" s="1"/>
  <c r="G1222" i="111"/>
  <c r="H1222" i="111" s="1"/>
  <c r="I1222" i="111" s="1"/>
  <c r="G905" i="111"/>
  <c r="H905" i="111" s="1"/>
  <c r="I905" i="111" s="1"/>
  <c r="G544" i="111"/>
  <c r="H544" i="111" s="1"/>
  <c r="I544" i="111" s="1"/>
  <c r="G143" i="111"/>
  <c r="H143" i="111" s="1"/>
  <c r="I143" i="111" s="1"/>
  <c r="G2198" i="111"/>
  <c r="H2198" i="111" s="1"/>
  <c r="I2198" i="111" s="1"/>
  <c r="G1347" i="111"/>
  <c r="G1022" i="111"/>
  <c r="H1022" i="111" s="1"/>
  <c r="I1022" i="111" s="1"/>
  <c r="G659" i="111"/>
  <c r="H659" i="111" s="1"/>
  <c r="I659" i="111" s="1"/>
  <c r="G339" i="111"/>
  <c r="H339" i="111" s="1"/>
  <c r="I339" i="111" s="1"/>
  <c r="G3970" i="111"/>
  <c r="G2118" i="111"/>
  <c r="G1244" i="111"/>
  <c r="H1244" i="111" s="1"/>
  <c r="I1244" i="111" s="1"/>
  <c r="G869" i="111"/>
  <c r="H869" i="111" s="1"/>
  <c r="I869" i="111" s="1"/>
  <c r="G511" i="111"/>
  <c r="H511" i="111" s="1"/>
  <c r="I511" i="111" s="1"/>
  <c r="G453" i="111"/>
  <c r="H453" i="111" s="1"/>
  <c r="I453" i="111" s="1"/>
  <c r="G1271" i="111"/>
  <c r="G616" i="111"/>
  <c r="G1513" i="111"/>
  <c r="H1513" i="111" s="1"/>
  <c r="I1513" i="111" s="1"/>
  <c r="G824" i="111"/>
  <c r="H824" i="111" s="1"/>
  <c r="I824" i="111" s="1"/>
  <c r="G2387" i="111"/>
  <c r="H2387" i="111" s="1"/>
  <c r="I2387" i="111" s="1"/>
  <c r="G2399" i="111"/>
  <c r="H2399" i="111" s="1"/>
  <c r="I2399" i="111" s="1"/>
  <c r="G2314" i="111"/>
  <c r="H2314" i="111" s="1"/>
  <c r="I2314" i="111" s="1"/>
  <c r="G6669" i="111"/>
  <c r="H6669" i="111" s="1"/>
  <c r="I6669" i="111" s="1"/>
  <c r="G4093" i="111"/>
  <c r="H4093" i="111" s="1"/>
  <c r="I4093" i="111" s="1"/>
  <c r="G4215" i="111"/>
  <c r="G3912" i="111"/>
  <c r="H3912" i="111" s="1"/>
  <c r="I3912" i="111" s="1"/>
  <c r="G2039" i="111"/>
  <c r="G3644" i="111"/>
  <c r="H3644" i="111" s="1"/>
  <c r="I3644" i="111" s="1"/>
  <c r="G1901" i="111"/>
  <c r="H1901" i="111" s="1"/>
  <c r="I1901" i="111" s="1"/>
  <c r="G2046" i="111"/>
  <c r="H2046" i="111" s="1"/>
  <c r="I2046" i="111" s="1"/>
  <c r="G2608" i="111"/>
  <c r="H2608" i="111" s="1"/>
  <c r="I2608" i="111" s="1"/>
  <c r="G2298" i="111"/>
  <c r="H2298" i="111" s="1"/>
  <c r="I2298" i="111" s="1"/>
  <c r="G2195" i="111"/>
  <c r="H2195" i="111" s="1"/>
  <c r="I2195" i="111" s="1"/>
  <c r="G1188" i="111"/>
  <c r="G74" i="111"/>
  <c r="G1504" i="111"/>
  <c r="H1504" i="111" s="1"/>
  <c r="I1504" i="111" s="1"/>
  <c r="G2103" i="111"/>
  <c r="G305" i="111"/>
  <c r="H305" i="111" s="1"/>
  <c r="I305" i="111" s="1"/>
  <c r="G1069" i="111"/>
  <c r="H1069" i="111" s="1"/>
  <c r="I1069" i="111" s="1"/>
  <c r="G1864" i="111"/>
  <c r="H1864" i="111" s="1"/>
  <c r="I1864" i="111" s="1"/>
  <c r="G429" i="111"/>
  <c r="H429" i="111" s="1"/>
  <c r="I429" i="111" s="1"/>
  <c r="G963" i="111"/>
  <c r="G3146" i="111"/>
  <c r="H3146" i="111" s="1"/>
  <c r="I3146" i="111" s="1"/>
  <c r="G447" i="111"/>
  <c r="H447" i="111" s="1"/>
  <c r="I447" i="111" s="1"/>
  <c r="G794" i="111"/>
  <c r="H794" i="111" s="1"/>
  <c r="I794" i="111" s="1"/>
  <c r="G2693" i="111"/>
  <c r="H2693" i="111" s="1"/>
  <c r="I2693" i="111" s="1"/>
  <c r="G19" i="111"/>
  <c r="H19" i="111" s="1"/>
  <c r="I19" i="111" s="1"/>
  <c r="G2218" i="111"/>
  <c r="H2218" i="111" s="1"/>
  <c r="I2218" i="111" s="1"/>
  <c r="G3569" i="111"/>
  <c r="H3569" i="111" s="1"/>
  <c r="I3569" i="111" s="1"/>
  <c r="G6663" i="111"/>
  <c r="H6663" i="111" s="1"/>
  <c r="I6663" i="111" s="1"/>
  <c r="G5836" i="111"/>
  <c r="H5836" i="111" s="1"/>
  <c r="I5836" i="111" s="1"/>
  <c r="G4358" i="111"/>
  <c r="H4358" i="111" s="1"/>
  <c r="I4358" i="111" s="1"/>
  <c r="G3878" i="111"/>
  <c r="G2958" i="111"/>
  <c r="H2958" i="111" s="1"/>
  <c r="I2958" i="111" s="1"/>
  <c r="G3554" i="111"/>
  <c r="H3554" i="111" s="1"/>
  <c r="I3554" i="111" s="1"/>
  <c r="G1317" i="111"/>
  <c r="H1317" i="111" s="1"/>
  <c r="I1317" i="111" s="1"/>
  <c r="G2003" i="111"/>
  <c r="H2003" i="111" s="1"/>
  <c r="I2003" i="111" s="1"/>
  <c r="G1604" i="111"/>
  <c r="H1604" i="111" s="1"/>
  <c r="I1604" i="111" s="1"/>
  <c r="G2229" i="111"/>
  <c r="H2229" i="111" s="1"/>
  <c r="I2229" i="111" s="1"/>
  <c r="G1821" i="111"/>
  <c r="H1821" i="111" s="1"/>
  <c r="I1821" i="111" s="1"/>
  <c r="G1173" i="111"/>
  <c r="H1173" i="111" s="1"/>
  <c r="I1173" i="111" s="1"/>
  <c r="G484" i="111"/>
  <c r="H484" i="111" s="1"/>
  <c r="I484" i="111" s="1"/>
  <c r="G1482" i="111"/>
  <c r="G1503" i="111"/>
  <c r="H1503" i="111" s="1"/>
  <c r="I1503" i="111" s="1"/>
  <c r="G282" i="111"/>
  <c r="H282" i="111" s="1"/>
  <c r="I282" i="111" s="1"/>
  <c r="G788" i="111"/>
  <c r="H788" i="111" s="1"/>
  <c r="I788" i="111" s="1"/>
  <c r="G1795" i="111"/>
  <c r="G108" i="111"/>
  <c r="H108" i="111" s="1"/>
  <c r="I108" i="111" s="1"/>
  <c r="G947" i="111"/>
  <c r="H947" i="111" s="1"/>
  <c r="I947" i="111" s="1"/>
  <c r="G1981" i="111"/>
  <c r="H1981" i="111" s="1"/>
  <c r="I1981" i="111" s="1"/>
  <c r="G412" i="111"/>
  <c r="G1603" i="111"/>
  <c r="H1603" i="111" s="1"/>
  <c r="I1603" i="111" s="1"/>
  <c r="G3221" i="111"/>
  <c r="H3221" i="111" s="1"/>
  <c r="I3221" i="111" s="1"/>
  <c r="G23" i="111"/>
  <c r="H23" i="111" s="1"/>
  <c r="I23" i="111" s="1"/>
  <c r="G3684" i="111"/>
  <c r="G3491" i="111"/>
  <c r="H3491" i="111" s="1"/>
  <c r="I3491" i="111" s="1"/>
  <c r="G1275" i="111"/>
  <c r="G1550" i="111"/>
  <c r="H1550" i="111" s="1"/>
  <c r="I1550" i="111" s="1"/>
  <c r="G2203" i="111"/>
  <c r="H2203" i="111" s="1"/>
  <c r="I2203" i="111" s="1"/>
  <c r="G1807" i="111"/>
  <c r="H1807" i="111" s="1"/>
  <c r="I1807" i="111" s="1"/>
  <c r="G1160" i="111"/>
  <c r="H1160" i="111" s="1"/>
  <c r="I1160" i="111" s="1"/>
  <c r="G1446" i="111"/>
  <c r="G1417" i="111"/>
  <c r="H1417" i="111" s="1"/>
  <c r="I1417" i="111" s="1"/>
  <c r="G264" i="111"/>
  <c r="H264" i="111" s="1"/>
  <c r="I264" i="111" s="1"/>
  <c r="G751" i="111"/>
  <c r="G1685" i="111"/>
  <c r="H1685" i="111" s="1"/>
  <c r="I1685" i="111" s="1"/>
  <c r="G90" i="111"/>
  <c r="H90" i="111" s="1"/>
  <c r="I90" i="111" s="1"/>
  <c r="G927" i="111"/>
  <c r="H927" i="111" s="1"/>
  <c r="I927" i="111" s="1"/>
  <c r="G1881" i="111"/>
  <c r="H1881" i="111" s="1"/>
  <c r="I1881" i="111" s="1"/>
  <c r="G1671" i="111"/>
  <c r="H1671" i="111" s="1"/>
  <c r="I1671" i="111" s="1"/>
  <c r="G4135" i="111"/>
  <c r="G38" i="111"/>
  <c r="H38" i="111" s="1"/>
  <c r="I38" i="111" s="1"/>
  <c r="G1789" i="111"/>
  <c r="H1789" i="111" s="1"/>
  <c r="I1789" i="111" s="1"/>
  <c r="G1385" i="111"/>
  <c r="H1385" i="111" s="1"/>
  <c r="I1385" i="111" s="1"/>
  <c r="G733" i="111"/>
  <c r="H733" i="111" s="1"/>
  <c r="I733" i="111" s="1"/>
  <c r="G1199" i="111"/>
  <c r="H1199" i="111" s="1"/>
  <c r="I1199" i="111" s="1"/>
  <c r="G6082" i="111"/>
  <c r="H6082" i="111" s="1"/>
  <c r="I6082" i="111" s="1"/>
  <c r="G1815" i="111"/>
  <c r="H1815" i="111" s="1"/>
  <c r="I1815" i="111" s="1"/>
  <c r="G494" i="111"/>
  <c r="G1744" i="111"/>
  <c r="H1744" i="111" s="1"/>
  <c r="I1744" i="111" s="1"/>
  <c r="G577" i="111"/>
  <c r="H577" i="111" s="1"/>
  <c r="I577" i="111" s="1"/>
  <c r="G2816" i="111"/>
  <c r="G1154" i="111"/>
  <c r="H1154" i="111" s="1"/>
  <c r="I1154" i="111" s="1"/>
  <c r="G598" i="111"/>
  <c r="H598" i="111" s="1"/>
  <c r="I598" i="111" s="1"/>
  <c r="G917" i="111"/>
  <c r="G2751" i="111"/>
  <c r="G20" i="111"/>
  <c r="H20" i="111" s="1"/>
  <c r="I20" i="111" s="1"/>
  <c r="G4913" i="111"/>
  <c r="H4913" i="111" s="1"/>
  <c r="I4913" i="111" s="1"/>
  <c r="G2268" i="111"/>
  <c r="G6088" i="111"/>
  <c r="H6088" i="111" s="1"/>
  <c r="I6088" i="111" s="1"/>
  <c r="G1935" i="111"/>
  <c r="H1935" i="111" s="1"/>
  <c r="I1935" i="111" s="1"/>
  <c r="G2646" i="111"/>
  <c r="G698" i="111"/>
  <c r="G3093" i="111"/>
  <c r="H3093" i="111" s="1"/>
  <c r="I3093" i="111" s="1"/>
  <c r="G849" i="111"/>
  <c r="G2523" i="111"/>
  <c r="H2523" i="111" s="1"/>
  <c r="I2523" i="111" s="1"/>
  <c r="G4310" i="111"/>
  <c r="G2542" i="111"/>
  <c r="H2542" i="111" s="1"/>
  <c r="I2542" i="111" s="1"/>
  <c r="G812" i="111"/>
  <c r="H812" i="111" s="1"/>
  <c r="I812" i="111" s="1"/>
  <c r="G6357" i="111"/>
  <c r="H6357" i="111" s="1"/>
  <c r="I6357" i="111" s="1"/>
  <c r="G5389" i="111"/>
  <c r="H5389" i="111" s="1"/>
  <c r="I5389" i="111" s="1"/>
  <c r="G3648" i="111"/>
  <c r="H3648" i="111" s="1"/>
  <c r="I3648" i="111" s="1"/>
  <c r="G2928" i="111"/>
  <c r="G1988" i="111"/>
  <c r="H1988" i="111" s="1"/>
  <c r="I1988" i="111" s="1"/>
  <c r="G407" i="111"/>
  <c r="H407" i="111" s="1"/>
  <c r="I407" i="111" s="1"/>
  <c r="G398" i="111"/>
  <c r="H398" i="111" s="1"/>
  <c r="I398" i="111" s="1"/>
  <c r="G2417" i="111"/>
  <c r="H2417" i="111" s="1"/>
  <c r="I2417" i="111" s="1"/>
  <c r="G10" i="111"/>
  <c r="H10" i="111" s="1"/>
  <c r="I10" i="111" s="1"/>
  <c r="G1813" i="111"/>
  <c r="H1813" i="111" s="1"/>
  <c r="I1813" i="111" s="1"/>
  <c r="G500" i="111"/>
  <c r="H500" i="111" s="1"/>
  <c r="I500" i="111" s="1"/>
  <c r="G1228" i="111"/>
  <c r="H1228" i="111" s="1"/>
  <c r="I1228" i="111" s="1"/>
  <c r="G5304" i="111"/>
  <c r="H5304" i="111" s="1"/>
  <c r="I5304" i="111" s="1"/>
  <c r="G2071" i="111"/>
  <c r="H2071" i="111" s="1"/>
  <c r="I2071" i="111" s="1"/>
  <c r="G3274" i="111"/>
  <c r="H3274" i="111" s="1"/>
  <c r="I3274" i="111" s="1"/>
  <c r="G113" i="111"/>
  <c r="H113" i="111" s="1"/>
  <c r="I113" i="111" s="1"/>
  <c r="G1827" i="111"/>
  <c r="G1747" i="111"/>
  <c r="H1747" i="111" s="1"/>
  <c r="I1747" i="111" s="1"/>
  <c r="G1469" i="111"/>
  <c r="G3913" i="111"/>
  <c r="G5946" i="111"/>
  <c r="G4394" i="111"/>
  <c r="G3513" i="111"/>
  <c r="G5776" i="111"/>
  <c r="H5776" i="111" s="1"/>
  <c r="I5776" i="111" s="1"/>
  <c r="G2825" i="111"/>
  <c r="G2370" i="111"/>
  <c r="G1257" i="111"/>
  <c r="H1257" i="111" s="1"/>
  <c r="I1257" i="111" s="1"/>
  <c r="G3117" i="111"/>
  <c r="H3117" i="111" s="1"/>
  <c r="I3117" i="111" s="1"/>
  <c r="G1406" i="111"/>
  <c r="H1406" i="111" s="1"/>
  <c r="I1406" i="111" s="1"/>
  <c r="G4801" i="111"/>
  <c r="G862" i="111"/>
  <c r="G391" i="111"/>
  <c r="H391" i="111" s="1"/>
  <c r="I391" i="111" s="1"/>
  <c r="G1095" i="111"/>
  <c r="H1095" i="111" s="1"/>
  <c r="I1095" i="111" s="1"/>
  <c r="G3769" i="111"/>
  <c r="G644" i="111"/>
  <c r="H644" i="111" s="1"/>
  <c r="I644" i="111" s="1"/>
  <c r="G3581" i="111"/>
  <c r="H3581" i="111" s="1"/>
  <c r="I3581" i="111" s="1"/>
  <c r="G5852" i="111"/>
  <c r="H5852" i="111" s="1"/>
  <c r="I5852" i="111" s="1"/>
  <c r="G92" i="111"/>
  <c r="H92" i="111" s="1"/>
  <c r="I92" i="111" s="1"/>
  <c r="G259" i="111"/>
  <c r="H259" i="111" s="1"/>
  <c r="I259" i="111" s="1"/>
  <c r="G1606" i="111"/>
  <c r="G1184" i="111"/>
  <c r="G1972" i="111"/>
  <c r="H1972" i="111" s="1"/>
  <c r="I1972" i="111" s="1"/>
  <c r="G5533" i="111"/>
  <c r="H5533" i="111" s="1"/>
  <c r="I5533" i="111" s="1"/>
  <c r="G4177" i="111"/>
  <c r="H4177" i="111" s="1"/>
  <c r="I4177" i="111" s="1"/>
  <c r="G3344" i="111"/>
  <c r="G4710" i="111"/>
  <c r="H4710" i="111" s="1"/>
  <c r="I4710" i="111" s="1"/>
  <c r="G2511" i="111"/>
  <c r="G2347" i="111"/>
  <c r="G1219" i="111"/>
  <c r="H1219" i="111" s="1"/>
  <c r="I1219" i="111" s="1"/>
  <c r="G3036" i="111"/>
  <c r="H3036" i="111" s="1"/>
  <c r="I3036" i="111" s="1"/>
  <c r="G4409" i="111"/>
  <c r="H4409" i="111" s="1"/>
  <c r="I4409" i="111" s="1"/>
  <c r="G4575" i="111"/>
  <c r="H4575" i="111" s="1"/>
  <c r="I4575" i="111" s="1"/>
  <c r="G1770" i="111"/>
  <c r="H1770" i="111" s="1"/>
  <c r="I1770" i="111" s="1"/>
  <c r="G823" i="111"/>
  <c r="H823" i="111" s="1"/>
  <c r="I823" i="111" s="1"/>
  <c r="G373" i="111"/>
  <c r="H373" i="111" s="1"/>
  <c r="I373" i="111" s="1"/>
  <c r="G1070" i="111"/>
  <c r="G1359" i="111"/>
  <c r="G3094" i="111"/>
  <c r="H3094" i="111" s="1"/>
  <c r="I3094" i="111" s="1"/>
  <c r="G714" i="111"/>
  <c r="G1170" i="111"/>
  <c r="H1170" i="111" s="1"/>
  <c r="I1170" i="111" s="1"/>
  <c r="G4602" i="111"/>
  <c r="H4602" i="111" s="1"/>
  <c r="I4602" i="111" s="1"/>
  <c r="G620" i="111"/>
  <c r="G1743" i="111"/>
  <c r="H1743" i="111" s="1"/>
  <c r="I1743" i="111" s="1"/>
  <c r="G1323" i="111"/>
  <c r="H1323" i="111" s="1"/>
  <c r="I1323" i="111" s="1"/>
  <c r="G518" i="111"/>
  <c r="H518" i="111" s="1"/>
  <c r="I518" i="111" s="1"/>
  <c r="G5300" i="111"/>
  <c r="H5300" i="111" s="1"/>
  <c r="I5300" i="111" s="1"/>
  <c r="G5144" i="111"/>
  <c r="G4057" i="111"/>
  <c r="H4057" i="111" s="1"/>
  <c r="I4057" i="111" s="1"/>
  <c r="G4235" i="111"/>
  <c r="H4235" i="111" s="1"/>
  <c r="I4235" i="111" s="1"/>
  <c r="G3985" i="111"/>
  <c r="H3985" i="111" s="1"/>
  <c r="I3985" i="111" s="1"/>
  <c r="G2319" i="111"/>
  <c r="H2319" i="111" s="1"/>
  <c r="I2319" i="111" s="1"/>
  <c r="G2635" i="111"/>
  <c r="H2635" i="111" s="1"/>
  <c r="I2635" i="111" s="1"/>
  <c r="G2842" i="111"/>
  <c r="H2842" i="111" s="1"/>
  <c r="I2842" i="111" s="1"/>
  <c r="G2629" i="111"/>
  <c r="H2629" i="111" s="1"/>
  <c r="I2629" i="111" s="1"/>
  <c r="G4454" i="111"/>
  <c r="H4454" i="111" s="1"/>
  <c r="I4454" i="111" s="1"/>
  <c r="G1396" i="111"/>
  <c r="H1396" i="111" s="1"/>
  <c r="I1396" i="111" s="1"/>
  <c r="G806" i="111"/>
  <c r="G165" i="111"/>
  <c r="G1043" i="111"/>
  <c r="G1039" i="111"/>
  <c r="G3028" i="111"/>
  <c r="H3028" i="111" s="1"/>
  <c r="I3028" i="111" s="1"/>
  <c r="G1996" i="111"/>
  <c r="H1996" i="111" s="1"/>
  <c r="I1996" i="111" s="1"/>
  <c r="G612" i="111"/>
  <c r="G3557" i="111"/>
  <c r="H3557" i="111" s="1"/>
  <c r="I3557" i="111" s="1"/>
  <c r="G1641" i="111"/>
  <c r="G408" i="111"/>
  <c r="H408" i="111" s="1"/>
  <c r="I408" i="111" s="1"/>
  <c r="G973" i="111"/>
  <c r="H973" i="111" s="1"/>
  <c r="I973" i="111" s="1"/>
  <c r="G431" i="111"/>
  <c r="G1087" i="111"/>
  <c r="H1087" i="111" s="1"/>
  <c r="I1087" i="111" s="1"/>
  <c r="G1122" i="111"/>
  <c r="G6319" i="111"/>
  <c r="H6319" i="111" s="1"/>
  <c r="I6319" i="111" s="1"/>
  <c r="G3837" i="111"/>
  <c r="G3956" i="111"/>
  <c r="H3956" i="111" s="1"/>
  <c r="I3956" i="111" s="1"/>
  <c r="G5022" i="111"/>
  <c r="G4102" i="111"/>
  <c r="H4102" i="111" s="1"/>
  <c r="I4102" i="111" s="1"/>
  <c r="G3662" i="111"/>
  <c r="H3662" i="111" s="1"/>
  <c r="I3662" i="111" s="1"/>
  <c r="G4161" i="111"/>
  <c r="G3862" i="111"/>
  <c r="G2307" i="111"/>
  <c r="H2307" i="111" s="1"/>
  <c r="I2307" i="111" s="1"/>
  <c r="G2495" i="111"/>
  <c r="H2495" i="111" s="1"/>
  <c r="I2495" i="111" s="1"/>
  <c r="G2463" i="111"/>
  <c r="G2300" i="111"/>
  <c r="H2300" i="111" s="1"/>
  <c r="I2300" i="111" s="1"/>
  <c r="G4383" i="111"/>
  <c r="H4383" i="111" s="1"/>
  <c r="I4383" i="111" s="1"/>
  <c r="G4203" i="111"/>
  <c r="H4203" i="111" s="1"/>
  <c r="I4203" i="111" s="1"/>
  <c r="G793" i="111"/>
  <c r="G144" i="111"/>
  <c r="H144" i="111" s="1"/>
  <c r="I144" i="111" s="1"/>
  <c r="G1030" i="111"/>
  <c r="H1030" i="111" s="1"/>
  <c r="I1030" i="111" s="1"/>
  <c r="G1028" i="111"/>
  <c r="H1028" i="111" s="1"/>
  <c r="I1028" i="111" s="1"/>
  <c r="G2858" i="111"/>
  <c r="G481" i="111"/>
  <c r="H481" i="111" s="1"/>
  <c r="I481" i="111" s="1"/>
  <c r="G1139" i="111"/>
  <c r="H1139" i="111" s="1"/>
  <c r="I1139" i="111" s="1"/>
  <c r="G1955" i="111"/>
  <c r="H1955" i="111" s="1"/>
  <c r="I1955" i="111" s="1"/>
  <c r="G580" i="111"/>
  <c r="G1176" i="111"/>
  <c r="H1176" i="111" s="1"/>
  <c r="I1176" i="111" s="1"/>
  <c r="G653" i="111"/>
  <c r="H653" i="111" s="1"/>
  <c r="I653" i="111" s="1"/>
  <c r="G957" i="111"/>
  <c r="H957" i="111" s="1"/>
  <c r="I957" i="111" s="1"/>
  <c r="G1079" i="111"/>
  <c r="H1079" i="111" s="1"/>
  <c r="I1079" i="111" s="1"/>
  <c r="G818" i="111"/>
  <c r="H818" i="111" s="1"/>
  <c r="I818" i="111" s="1"/>
  <c r="G3138" i="111"/>
  <c r="H3138" i="111" s="1"/>
  <c r="I3138" i="111" s="1"/>
  <c r="G4893" i="111"/>
  <c r="G6199" i="111"/>
  <c r="H6199" i="111" s="1"/>
  <c r="I6199" i="111" s="1"/>
  <c r="G3402" i="111"/>
  <c r="H3402" i="111" s="1"/>
  <c r="I3402" i="111" s="1"/>
  <c r="G2236" i="111"/>
  <c r="G4162" i="111"/>
  <c r="G1591" i="111"/>
  <c r="H1591" i="111" s="1"/>
  <c r="I1591" i="111" s="1"/>
  <c r="G4723" i="111"/>
  <c r="G2897" i="111"/>
  <c r="H2897" i="111" s="1"/>
  <c r="I2897" i="111" s="1"/>
  <c r="G1902" i="111"/>
  <c r="H1902" i="111" s="1"/>
  <c r="I1902" i="111" s="1"/>
  <c r="G374" i="111"/>
  <c r="G5656" i="111"/>
  <c r="H5656" i="111" s="1"/>
  <c r="I5656" i="111" s="1"/>
  <c r="G1653" i="111"/>
  <c r="G3027" i="111"/>
  <c r="G1247" i="111"/>
  <c r="H1247" i="111" s="1"/>
  <c r="I1247" i="111" s="1"/>
  <c r="G184" i="111"/>
  <c r="H184" i="111" s="1"/>
  <c r="I184" i="111" s="1"/>
  <c r="G1601" i="111"/>
  <c r="H1601" i="111" s="1"/>
  <c r="I1601" i="111" s="1"/>
  <c r="G13" i="111"/>
  <c r="H13" i="111" s="1"/>
  <c r="I13" i="111" s="1"/>
  <c r="G2175" i="111"/>
  <c r="H2175" i="111" s="1"/>
  <c r="I2175" i="111" s="1"/>
  <c r="G4644" i="111"/>
  <c r="H4644" i="111" s="1"/>
  <c r="I4644" i="111" s="1"/>
  <c r="G2350" i="111"/>
  <c r="H2350" i="111" s="1"/>
  <c r="I2350" i="111" s="1"/>
  <c r="G4012" i="111"/>
  <c r="H4012" i="111" s="1"/>
  <c r="I4012" i="111" s="1"/>
  <c r="G4236" i="111"/>
  <c r="H4236" i="111" s="1"/>
  <c r="I4236" i="111" s="1"/>
  <c r="G2221" i="111"/>
  <c r="H2221" i="111" s="1"/>
  <c r="I2221" i="111" s="1"/>
  <c r="G665" i="111"/>
  <c r="H665" i="111" s="1"/>
  <c r="I665" i="111" s="1"/>
  <c r="G1234" i="111"/>
  <c r="H1234" i="111" s="1"/>
  <c r="I1234" i="111" s="1"/>
  <c r="G3553" i="111"/>
  <c r="H3553" i="111" s="1"/>
  <c r="I3553" i="111" s="1"/>
  <c r="G5105" i="111"/>
  <c r="H5105" i="111" s="1"/>
  <c r="I5105" i="111" s="1"/>
  <c r="G4535" i="111"/>
  <c r="H4535" i="111" s="1"/>
  <c r="I4535" i="111" s="1"/>
  <c r="G2204" i="111"/>
  <c r="H2204" i="111" s="1"/>
  <c r="I2204" i="111" s="1"/>
  <c r="G2697" i="111"/>
  <c r="H2697" i="111" s="1"/>
  <c r="I2697" i="111" s="1"/>
  <c r="G2255" i="111"/>
  <c r="G114" i="111"/>
  <c r="H114" i="111" s="1"/>
  <c r="I114" i="111" s="1"/>
  <c r="G2165" i="111"/>
  <c r="G647" i="111"/>
  <c r="H647" i="111" s="1"/>
  <c r="I647" i="111" s="1"/>
  <c r="G1198" i="111"/>
  <c r="H1198" i="111" s="1"/>
  <c r="I1198" i="111" s="1"/>
  <c r="G721" i="111"/>
  <c r="H721" i="111" s="1"/>
  <c r="I721" i="111" s="1"/>
  <c r="G37" i="111"/>
  <c r="H37" i="111" s="1"/>
  <c r="I37" i="111" s="1"/>
  <c r="G2126" i="111"/>
  <c r="H2126" i="111" s="1"/>
  <c r="I2126" i="111" s="1"/>
  <c r="G6676" i="111"/>
  <c r="G5978" i="111"/>
  <c r="H5978" i="111" s="1"/>
  <c r="I5978" i="111" s="1"/>
  <c r="G3054" i="111"/>
  <c r="H3054" i="111" s="1"/>
  <c r="I3054" i="111" s="1"/>
  <c r="G4780" i="111"/>
  <c r="H4780" i="111" s="1"/>
  <c r="I4780" i="111" s="1"/>
  <c r="G3735" i="111"/>
  <c r="H3735" i="111" s="1"/>
  <c r="I3735" i="111" s="1"/>
  <c r="G2769" i="111"/>
  <c r="H2769" i="111" s="1"/>
  <c r="I2769" i="111" s="1"/>
  <c r="G2311" i="111"/>
  <c r="H2311" i="111" s="1"/>
  <c r="I2311" i="111" s="1"/>
  <c r="G1818" i="111"/>
  <c r="H1818" i="111" s="1"/>
  <c r="I1818" i="111" s="1"/>
  <c r="G2230" i="111"/>
  <c r="H2230" i="111" s="1"/>
  <c r="I2230" i="111" s="1"/>
  <c r="G3045" i="111"/>
  <c r="H3045" i="111" s="1"/>
  <c r="I3045" i="111" s="1"/>
  <c r="G3632" i="111"/>
  <c r="H3632" i="111" s="1"/>
  <c r="I3632" i="111" s="1"/>
  <c r="G459" i="111"/>
  <c r="G128" i="111"/>
  <c r="H128" i="111" s="1"/>
  <c r="I128" i="111" s="1"/>
  <c r="G207" i="111"/>
  <c r="G995" i="111"/>
  <c r="H995" i="111" s="1"/>
  <c r="I995" i="111" s="1"/>
  <c r="G1866" i="111"/>
  <c r="H1866" i="111" s="1"/>
  <c r="I1866" i="111" s="1"/>
  <c r="G456" i="111"/>
  <c r="H456" i="111" s="1"/>
  <c r="I456" i="111" s="1"/>
  <c r="G892" i="111"/>
  <c r="H892" i="111" s="1"/>
  <c r="I892" i="111" s="1"/>
  <c r="G1824" i="111"/>
  <c r="H1824" i="111" s="1"/>
  <c r="I1824" i="111" s="1"/>
  <c r="G293" i="111"/>
  <c r="G1098" i="111"/>
  <c r="H1098" i="111" s="1"/>
  <c r="I1098" i="111" s="1"/>
  <c r="G1302" i="111"/>
  <c r="G1000" i="111"/>
  <c r="H1000" i="111" s="1"/>
  <c r="I1000" i="111" s="1"/>
  <c r="G41" i="111"/>
  <c r="H41" i="111" s="1"/>
  <c r="I41" i="111" s="1"/>
  <c r="G2148" i="111"/>
  <c r="H2148" i="111" s="1"/>
  <c r="I2148" i="111" s="1"/>
  <c r="G5469" i="111"/>
  <c r="H5469" i="111" s="1"/>
  <c r="I5469" i="111" s="1"/>
  <c r="G3466" i="111"/>
  <c r="H3466" i="111" s="1"/>
  <c r="I3466" i="111" s="1"/>
  <c r="G1620" i="111"/>
  <c r="G2947" i="111"/>
  <c r="H2947" i="111" s="1"/>
  <c r="I2947" i="111" s="1"/>
  <c r="G392" i="111"/>
  <c r="G262" i="111"/>
  <c r="H262" i="111" s="1"/>
  <c r="I262" i="111" s="1"/>
  <c r="G1728" i="111"/>
  <c r="G201" i="111"/>
  <c r="H201" i="111" s="1"/>
  <c r="I201" i="111" s="1"/>
  <c r="G1510" i="111"/>
  <c r="H1510" i="111" s="1"/>
  <c r="I1510" i="111" s="1"/>
  <c r="G34" i="111"/>
  <c r="H34" i="111" s="1"/>
  <c r="I34" i="111" s="1"/>
  <c r="G3834" i="111"/>
  <c r="H3834" i="111" s="1"/>
  <c r="I3834" i="111" s="1"/>
  <c r="G679" i="111"/>
  <c r="G2688" i="111"/>
  <c r="H2688" i="111" s="1"/>
  <c r="I2688" i="111" s="1"/>
  <c r="G4719" i="111"/>
  <c r="H4719" i="111" s="1"/>
  <c r="I4719" i="111" s="1"/>
  <c r="G4825" i="111"/>
  <c r="G2224" i="111"/>
  <c r="H2224" i="111" s="1"/>
  <c r="I2224" i="111" s="1"/>
  <c r="G2793" i="111"/>
  <c r="H2793" i="111" s="1"/>
  <c r="I2793" i="111" s="1"/>
  <c r="G2285" i="111"/>
  <c r="H2285" i="111" s="1"/>
  <c r="I2285" i="111" s="1"/>
  <c r="G132" i="111"/>
  <c r="H132" i="111" s="1"/>
  <c r="I132" i="111" s="1"/>
  <c r="G2279" i="111"/>
  <c r="H2279" i="111" s="1"/>
  <c r="I2279" i="111" s="1"/>
  <c r="G2839" i="111"/>
  <c r="H2839" i="111" s="1"/>
  <c r="I2839" i="111" s="1"/>
  <c r="G684" i="111"/>
  <c r="G63" i="111"/>
  <c r="H63" i="111" s="1"/>
  <c r="I63" i="111" s="1"/>
  <c r="G6599" i="111"/>
  <c r="H6599" i="111" s="1"/>
  <c r="I6599" i="111" s="1"/>
  <c r="G2274" i="111"/>
  <c r="H2274" i="111" s="1"/>
  <c r="I2274" i="111" s="1"/>
  <c r="G3907" i="111"/>
  <c r="H3907" i="111" s="1"/>
  <c r="I3907" i="111" s="1"/>
  <c r="G1687" i="111"/>
  <c r="H1687" i="111" s="1"/>
  <c r="I1687" i="111" s="1"/>
  <c r="G2210" i="111"/>
  <c r="H2210" i="111" s="1"/>
  <c r="I2210" i="111" s="1"/>
  <c r="G2767" i="111"/>
  <c r="H2767" i="111" s="1"/>
  <c r="I2767" i="111" s="1"/>
  <c r="G778" i="111"/>
  <c r="G3710" i="111"/>
  <c r="H3710" i="111" s="1"/>
  <c r="I3710" i="111" s="1"/>
  <c r="G80" i="111"/>
  <c r="H80" i="111" s="1"/>
  <c r="I80" i="111" s="1"/>
  <c r="G3022" i="111"/>
  <c r="H3022" i="111" s="1"/>
  <c r="I3022" i="111" s="1"/>
  <c r="G3459" i="111"/>
  <c r="H3459" i="111" s="1"/>
  <c r="I3459" i="111" s="1"/>
  <c r="G2997" i="111"/>
  <c r="G831" i="111"/>
  <c r="G5778" i="111"/>
  <c r="H5778" i="111" s="1"/>
  <c r="I5778" i="111" s="1"/>
  <c r="G1732" i="111"/>
  <c r="G1140" i="111"/>
  <c r="H1140" i="111" s="1"/>
  <c r="I1140" i="111" s="1"/>
  <c r="G926" i="111"/>
  <c r="H926" i="111" s="1"/>
  <c r="I926" i="111" s="1"/>
  <c r="G4542" i="111"/>
  <c r="G4263" i="111"/>
  <c r="H4263" i="111" s="1"/>
  <c r="I4263" i="111" s="1"/>
  <c r="G4075" i="111"/>
  <c r="G2054" i="111"/>
  <c r="H2054" i="111" s="1"/>
  <c r="I2054" i="111" s="1"/>
  <c r="G4455" i="111"/>
  <c r="H4455" i="111" s="1"/>
  <c r="I4455" i="111" s="1"/>
  <c r="G1948" i="111"/>
  <c r="G2070" i="111"/>
  <c r="H2070" i="111" s="1"/>
  <c r="I2070" i="111" s="1"/>
  <c r="G2632" i="111"/>
  <c r="H2632" i="111" s="1"/>
  <c r="I2632" i="111" s="1"/>
  <c r="G2414" i="111"/>
  <c r="H2414" i="111" s="1"/>
  <c r="I2414" i="111" s="1"/>
  <c r="G2219" i="111"/>
  <c r="H2219" i="111" s="1"/>
  <c r="I2219" i="111" s="1"/>
  <c r="G1253" i="111"/>
  <c r="H1253" i="111" s="1"/>
  <c r="I1253" i="111" s="1"/>
  <c r="G95" i="111"/>
  <c r="H95" i="111" s="1"/>
  <c r="I95" i="111" s="1"/>
  <c r="G1552" i="111"/>
  <c r="H1552" i="111" s="1"/>
  <c r="I1552" i="111" s="1"/>
  <c r="G2150" i="111"/>
  <c r="H2150" i="111" s="1"/>
  <c r="I2150" i="111" s="1"/>
  <c r="G327" i="111"/>
  <c r="G1081" i="111"/>
  <c r="G1894" i="111"/>
  <c r="G454" i="111"/>
  <c r="H454" i="111" s="1"/>
  <c r="I454" i="111" s="1"/>
  <c r="G1007" i="111"/>
  <c r="G3234" i="111"/>
  <c r="H3234" i="111" s="1"/>
  <c r="I3234" i="111" s="1"/>
  <c r="G491" i="111"/>
  <c r="H491" i="111" s="1"/>
  <c r="I491" i="111" s="1"/>
  <c r="G754" i="111"/>
  <c r="H754" i="111" s="1"/>
  <c r="I754" i="111" s="1"/>
  <c r="G2524" i="111"/>
  <c r="H2524" i="111" s="1"/>
  <c r="I2524" i="111" s="1"/>
  <c r="G49" i="111"/>
  <c r="G787" i="111"/>
  <c r="H787" i="111" s="1"/>
  <c r="I787" i="111" s="1"/>
  <c r="G796" i="111"/>
  <c r="H796" i="111" s="1"/>
  <c r="I796" i="111" s="1"/>
  <c r="G499" i="111"/>
  <c r="AA1875" i="113"/>
  <c r="AE1875" i="113" s="1"/>
  <c r="AI1875" i="113" s="1"/>
  <c r="AD1875" i="113"/>
  <c r="AH1875" i="113" s="1"/>
  <c r="AA2664" i="113"/>
  <c r="AE2664" i="113" s="1"/>
  <c r="AI2664" i="113" s="1"/>
  <c r="AD2664" i="113"/>
  <c r="AH2664" i="113" s="1"/>
  <c r="AA342" i="113"/>
  <c r="AD342" i="113"/>
  <c r="AH342" i="113" s="1"/>
  <c r="AA2220" i="113"/>
  <c r="AD2220" i="113"/>
  <c r="AH2220" i="113" s="1"/>
  <c r="AA392" i="113"/>
  <c r="AD392" i="113"/>
  <c r="AH392" i="113" s="1"/>
  <c r="AA2286" i="113"/>
  <c r="AD2286" i="113"/>
  <c r="AH2286" i="113" s="1"/>
  <c r="AA1112" i="113"/>
  <c r="AD1112" i="113"/>
  <c r="AH1112" i="113" s="1"/>
  <c r="AA1862" i="113"/>
  <c r="AE1862" i="113" s="1"/>
  <c r="AI1862" i="113" s="1"/>
  <c r="AD1862" i="113"/>
  <c r="AH1862" i="113" s="1"/>
  <c r="AA1647" i="113"/>
  <c r="AE1647" i="113" s="1"/>
  <c r="AI1647" i="113" s="1"/>
  <c r="AD1647" i="113"/>
  <c r="AH1647" i="113" s="1"/>
  <c r="AA677" i="113"/>
  <c r="AD677" i="113"/>
  <c r="AH677" i="113" s="1"/>
  <c r="AA2472" i="113"/>
  <c r="AD2472" i="113"/>
  <c r="AH2472" i="113" s="1"/>
  <c r="AA2172" i="113"/>
  <c r="AE2172" i="113" s="1"/>
  <c r="AI2172" i="113" s="1"/>
  <c r="AD2172" i="113"/>
  <c r="AH2172" i="113" s="1"/>
  <c r="AA594" i="113"/>
  <c r="AE594" i="113" s="1"/>
  <c r="AI594" i="113" s="1"/>
  <c r="AD594" i="113"/>
  <c r="AH594" i="113" s="1"/>
  <c r="AA1658" i="113"/>
  <c r="AE1658" i="113" s="1"/>
  <c r="AI1658" i="113" s="1"/>
  <c r="AD1658" i="113"/>
  <c r="AH1658" i="113" s="1"/>
  <c r="AA196" i="113"/>
  <c r="AE196" i="113" s="1"/>
  <c r="AI196" i="113" s="1"/>
  <c r="AD196" i="113"/>
  <c r="AH196" i="113" s="1"/>
  <c r="AA2214" i="113"/>
  <c r="AE2214" i="113" s="1"/>
  <c r="AI2214" i="113" s="1"/>
  <c r="AD2214" i="113"/>
  <c r="AH2214" i="113" s="1"/>
  <c r="AE1140" i="113"/>
  <c r="AI1140" i="113" s="1"/>
  <c r="AE2485" i="113"/>
  <c r="AI2485" i="113" s="1"/>
  <c r="AE1517" i="113"/>
  <c r="AI1517" i="113" s="1"/>
  <c r="AE21" i="113"/>
  <c r="AI21" i="113" s="1"/>
  <c r="AE1328" i="113"/>
  <c r="AI1328" i="113" s="1"/>
  <c r="AE2173" i="113"/>
  <c r="AI2173" i="113" s="1"/>
  <c r="AE1146" i="113"/>
  <c r="AI1146" i="113" s="1"/>
  <c r="AE1920" i="113"/>
  <c r="AI1920" i="113" s="1"/>
  <c r="AA155" i="113"/>
  <c r="AD155" i="113"/>
  <c r="AH155" i="113" s="1"/>
  <c r="AA2141" i="113"/>
  <c r="AD2141" i="113"/>
  <c r="AH2141" i="113" s="1"/>
  <c r="AA1828" i="113"/>
  <c r="AE1828" i="113" s="1"/>
  <c r="AI1828" i="113" s="1"/>
  <c r="AD1828" i="113"/>
  <c r="AH1828" i="113" s="1"/>
  <c r="AA2475" i="113"/>
  <c r="AE2475" i="113" s="1"/>
  <c r="AI2475" i="113" s="1"/>
  <c r="AD2475" i="113"/>
  <c r="AH2475" i="113" s="1"/>
  <c r="AA2109" i="113"/>
  <c r="AE2109" i="113" s="1"/>
  <c r="AI2109" i="113" s="1"/>
  <c r="AD2109" i="113"/>
  <c r="AH2109" i="113" s="1"/>
  <c r="AA1662" i="113"/>
  <c r="AE1662" i="113" s="1"/>
  <c r="AI1662" i="113" s="1"/>
  <c r="AD1662" i="113"/>
  <c r="AH1662" i="113" s="1"/>
  <c r="AA1872" i="113"/>
  <c r="AE1872" i="113" s="1"/>
  <c r="AI1872" i="113" s="1"/>
  <c r="AD1872" i="113"/>
  <c r="AH1872" i="113" s="1"/>
  <c r="AA1786" i="113"/>
  <c r="AE1786" i="113" s="1"/>
  <c r="AI1786" i="113" s="1"/>
  <c r="AD1786" i="113"/>
  <c r="AH1786" i="113" s="1"/>
  <c r="AA605" i="113"/>
  <c r="AD605" i="113"/>
  <c r="AH605" i="113" s="1"/>
  <c r="AA1326" i="113"/>
  <c r="AE1326" i="113" s="1"/>
  <c r="AI1326" i="113" s="1"/>
  <c r="AD1326" i="113"/>
  <c r="AH1326" i="113" s="1"/>
  <c r="AA1784" i="113"/>
  <c r="AE1784" i="113" s="1"/>
  <c r="AI1784" i="113" s="1"/>
  <c r="AD1784" i="113"/>
  <c r="AH1784" i="113" s="1"/>
  <c r="AA867" i="113"/>
  <c r="AD867" i="113"/>
  <c r="AH867" i="113" s="1"/>
  <c r="AA2457" i="113"/>
  <c r="AE2457" i="113" s="1"/>
  <c r="AI2457" i="113" s="1"/>
  <c r="AD2457" i="113"/>
  <c r="AH2457" i="113" s="1"/>
  <c r="AA1560" i="113"/>
  <c r="AD1560" i="113"/>
  <c r="AH1560" i="113" s="1"/>
  <c r="AA769" i="113"/>
  <c r="AD769" i="113"/>
  <c r="AH769" i="113" s="1"/>
  <c r="AA1937" i="113"/>
  <c r="AE1937" i="113" s="1"/>
  <c r="AI1937" i="113" s="1"/>
  <c r="AD1937" i="113"/>
  <c r="AH1937" i="113" s="1"/>
  <c r="AA1453" i="113"/>
  <c r="AE1453" i="113" s="1"/>
  <c r="AI1453" i="113" s="1"/>
  <c r="AD1453" i="113"/>
  <c r="AH1453" i="113" s="1"/>
  <c r="AA2338" i="113"/>
  <c r="AD2338" i="113"/>
  <c r="AH2338" i="113" s="1"/>
  <c r="AA914" i="113"/>
  <c r="AE914" i="113" s="1"/>
  <c r="AI914" i="113" s="1"/>
  <c r="AD914" i="113"/>
  <c r="AH914" i="113" s="1"/>
  <c r="AA1918" i="113"/>
  <c r="AD1918" i="113"/>
  <c r="AH1918" i="113" s="1"/>
  <c r="AA1367" i="113"/>
  <c r="AE1367" i="113" s="1"/>
  <c r="AI1367" i="113" s="1"/>
  <c r="AD1367" i="113"/>
  <c r="AH1367" i="113" s="1"/>
  <c r="AA1707" i="113"/>
  <c r="AE1707" i="113" s="1"/>
  <c r="AI1707" i="113" s="1"/>
  <c r="AD1707" i="113"/>
  <c r="AH1707" i="113" s="1"/>
  <c r="AA587" i="113"/>
  <c r="AE587" i="113" s="1"/>
  <c r="AI587" i="113" s="1"/>
  <c r="AD587" i="113"/>
  <c r="AH587" i="113" s="1"/>
  <c r="AA497" i="113"/>
  <c r="AD497" i="113"/>
  <c r="AH497" i="113" s="1"/>
  <c r="AA1272" i="113"/>
  <c r="AD1272" i="113"/>
  <c r="AH1272" i="113" s="1"/>
  <c r="AA2316" i="113"/>
  <c r="AD2316" i="113"/>
  <c r="AH2316" i="113" s="1"/>
  <c r="AA884" i="113"/>
  <c r="AE884" i="113" s="1"/>
  <c r="AI884" i="113" s="1"/>
  <c r="AD884" i="113"/>
  <c r="AH884" i="113" s="1"/>
  <c r="AA1848" i="113"/>
  <c r="AE1848" i="113" s="1"/>
  <c r="AI1848" i="113" s="1"/>
  <c r="AD1848" i="113"/>
  <c r="AH1848" i="113" s="1"/>
  <c r="AA1831" i="113"/>
  <c r="AE1831" i="113" s="1"/>
  <c r="AI1831" i="113" s="1"/>
  <c r="AD1831" i="113"/>
  <c r="AH1831" i="113" s="1"/>
  <c r="AA92" i="113"/>
  <c r="AE92" i="113" s="1"/>
  <c r="AI92" i="113" s="1"/>
  <c r="AD92" i="113"/>
  <c r="AH92" i="113" s="1"/>
  <c r="AA562" i="113"/>
  <c r="AE562" i="113" s="1"/>
  <c r="AI562" i="113" s="1"/>
  <c r="AD562" i="113"/>
  <c r="AH562" i="113" s="1"/>
  <c r="AA800" i="113"/>
  <c r="AE800" i="113" s="1"/>
  <c r="AI800" i="113" s="1"/>
  <c r="AD800" i="113"/>
  <c r="AH800" i="113" s="1"/>
  <c r="AA1218" i="113"/>
  <c r="AE1218" i="113" s="1"/>
  <c r="AI1218" i="113" s="1"/>
  <c r="AD1218" i="113"/>
  <c r="AH1218" i="113" s="1"/>
  <c r="AA1705" i="113"/>
  <c r="AE1705" i="113" s="1"/>
  <c r="AI1705" i="113" s="1"/>
  <c r="AD1705" i="113"/>
  <c r="AH1705" i="113" s="1"/>
  <c r="AA2492" i="113"/>
  <c r="AE2492" i="113" s="1"/>
  <c r="AI2492" i="113" s="1"/>
  <c r="AD2492" i="113"/>
  <c r="AH2492" i="113" s="1"/>
  <c r="AA1113" i="113"/>
  <c r="AE1113" i="113" s="1"/>
  <c r="AI1113" i="113" s="1"/>
  <c r="AD1113" i="113"/>
  <c r="AH1113" i="113" s="1"/>
  <c r="AA2490" i="113"/>
  <c r="AD2490" i="113"/>
  <c r="AH2490" i="113" s="1"/>
  <c r="AA1050" i="113"/>
  <c r="AD1050" i="113"/>
  <c r="AH1050" i="113" s="1"/>
  <c r="AA797" i="113"/>
  <c r="AD797" i="113"/>
  <c r="AH797" i="113" s="1"/>
  <c r="AA1995" i="113"/>
  <c r="AE1995" i="113" s="1"/>
  <c r="AI1995" i="113" s="1"/>
  <c r="AD1995" i="113"/>
  <c r="AH1995" i="113" s="1"/>
  <c r="AA1911" i="113"/>
  <c r="AE1911" i="113" s="1"/>
  <c r="AI1911" i="113" s="1"/>
  <c r="AD1911" i="113"/>
  <c r="AH1911" i="113" s="1"/>
  <c r="AA470" i="113"/>
  <c r="AD470" i="113"/>
  <c r="AH470" i="113" s="1"/>
  <c r="AA115" i="113"/>
  <c r="AE115" i="113" s="1"/>
  <c r="AI115" i="113" s="1"/>
  <c r="AD115" i="113"/>
  <c r="AH115" i="113" s="1"/>
  <c r="AA1172" i="113"/>
  <c r="AE1172" i="113" s="1"/>
  <c r="AI1172" i="113" s="1"/>
  <c r="AD1172" i="113"/>
  <c r="AH1172" i="113" s="1"/>
  <c r="AA1574" i="113"/>
  <c r="AD1574" i="113"/>
  <c r="AH1574" i="113" s="1"/>
  <c r="AA1057" i="113"/>
  <c r="AE1057" i="113" s="1"/>
  <c r="AI1057" i="113" s="1"/>
  <c r="AD1057" i="113"/>
  <c r="AH1057" i="113" s="1"/>
  <c r="AA809" i="113"/>
  <c r="AE809" i="113" s="1"/>
  <c r="AI809" i="113" s="1"/>
  <c r="AD809" i="113"/>
  <c r="AH809" i="113" s="1"/>
  <c r="AA2346" i="113"/>
  <c r="AE2346" i="113" s="1"/>
  <c r="AI2346" i="113" s="1"/>
  <c r="AD2346" i="113"/>
  <c r="AH2346" i="113" s="1"/>
  <c r="AA382" i="113"/>
  <c r="AE382" i="113" s="1"/>
  <c r="AI382" i="113" s="1"/>
  <c r="AD382" i="113"/>
  <c r="AH382" i="113" s="1"/>
  <c r="AA1468" i="113"/>
  <c r="AD1468" i="113"/>
  <c r="AH1468" i="113" s="1"/>
  <c r="AA2636" i="113"/>
  <c r="AE2636" i="113" s="1"/>
  <c r="AI2636" i="113" s="1"/>
  <c r="AD2636" i="113"/>
  <c r="AH2636" i="113" s="1"/>
  <c r="AA2560" i="113"/>
  <c r="AD2560" i="113"/>
  <c r="AH2560" i="113" s="1"/>
  <c r="AA1919" i="113"/>
  <c r="AE1919" i="113" s="1"/>
  <c r="AI1919" i="113" s="1"/>
  <c r="AD1919" i="113"/>
  <c r="AH1919" i="113" s="1"/>
  <c r="AA1648" i="113"/>
  <c r="AE1648" i="113" s="1"/>
  <c r="AI1648" i="113" s="1"/>
  <c r="AD1648" i="113"/>
  <c r="AH1648" i="113" s="1"/>
  <c r="AA1370" i="113"/>
  <c r="AD1370" i="113"/>
  <c r="AH1370" i="113" s="1"/>
  <c r="AA2467" i="113"/>
  <c r="AD2467" i="113"/>
  <c r="AH2467" i="113" s="1"/>
  <c r="AA949" i="113"/>
  <c r="AE949" i="113" s="1"/>
  <c r="AI949" i="113" s="1"/>
  <c r="AD949" i="113"/>
  <c r="AH949" i="113" s="1"/>
  <c r="AA2097" i="113"/>
  <c r="AD2097" i="113"/>
  <c r="AH2097" i="113" s="1"/>
  <c r="AA2395" i="113"/>
  <c r="AE2395" i="113" s="1"/>
  <c r="AI2395" i="113" s="1"/>
  <c r="AD2395" i="113"/>
  <c r="AH2395" i="113" s="1"/>
  <c r="AA2022" i="113"/>
  <c r="AD2022" i="113"/>
  <c r="AH2022" i="113" s="1"/>
  <c r="AA993" i="113"/>
  <c r="AD993" i="113"/>
  <c r="AH993" i="113" s="1"/>
  <c r="AA911" i="113"/>
  <c r="AE911" i="113" s="1"/>
  <c r="AI911" i="113" s="1"/>
  <c r="AD911" i="113"/>
  <c r="AH911" i="113" s="1"/>
  <c r="AA1675" i="113"/>
  <c r="AD1675" i="113"/>
  <c r="AH1675" i="113" s="1"/>
  <c r="AA164" i="113"/>
  <c r="AE164" i="113" s="1"/>
  <c r="AI164" i="113" s="1"/>
  <c r="AD164" i="113"/>
  <c r="AH164" i="113" s="1"/>
  <c r="AA2552" i="113"/>
  <c r="AE2552" i="113" s="1"/>
  <c r="AI2552" i="113" s="1"/>
  <c r="AD2552" i="113"/>
  <c r="AH2552" i="113" s="1"/>
  <c r="AA1224" i="113"/>
  <c r="AD1224" i="113"/>
  <c r="AH1224" i="113" s="1"/>
  <c r="AA2368" i="113"/>
  <c r="AE2368" i="113" s="1"/>
  <c r="AI2368" i="113" s="1"/>
  <c r="AD2368" i="113"/>
  <c r="AH2368" i="113" s="1"/>
  <c r="AA1160" i="113"/>
  <c r="AD1160" i="113"/>
  <c r="AH1160" i="113" s="1"/>
  <c r="AA2215" i="113"/>
  <c r="AD2215" i="113"/>
  <c r="AH2215" i="113" s="1"/>
  <c r="AA1555" i="113"/>
  <c r="AD1555" i="113"/>
  <c r="AH1555" i="113" s="1"/>
  <c r="AA29" i="113"/>
  <c r="AD29" i="113"/>
  <c r="AH29" i="113" s="1"/>
  <c r="AA1026" i="113"/>
  <c r="AD1026" i="113"/>
  <c r="AH1026" i="113" s="1"/>
  <c r="AA1192" i="113"/>
  <c r="AE1192" i="113" s="1"/>
  <c r="AI1192" i="113" s="1"/>
  <c r="AD1192" i="113"/>
  <c r="AH1192" i="113" s="1"/>
  <c r="AA2651" i="113"/>
  <c r="AE2651" i="113" s="1"/>
  <c r="AI2651" i="113" s="1"/>
  <c r="AD2651" i="113"/>
  <c r="AH2651" i="113" s="1"/>
  <c r="AA673" i="113"/>
  <c r="AE673" i="113" s="1"/>
  <c r="AI673" i="113" s="1"/>
  <c r="AD673" i="113"/>
  <c r="AH673" i="113" s="1"/>
  <c r="AA1830" i="113"/>
  <c r="AE1830" i="113" s="1"/>
  <c r="AI1830" i="113" s="1"/>
  <c r="AD1830" i="113"/>
  <c r="AH1830" i="113" s="1"/>
  <c r="AA516" i="113"/>
  <c r="AD516" i="113"/>
  <c r="AH516" i="113" s="1"/>
  <c r="AA1461" i="113"/>
  <c r="AD1461" i="113"/>
  <c r="AH1461" i="113" s="1"/>
  <c r="AA1641" i="113"/>
  <c r="AE1641" i="113" s="1"/>
  <c r="AI1641" i="113" s="1"/>
  <c r="AD1641" i="113"/>
  <c r="AH1641" i="113" s="1"/>
  <c r="AA43" i="113"/>
  <c r="AD43" i="113"/>
  <c r="AH43" i="113" s="1"/>
  <c r="AA539" i="113"/>
  <c r="AD539" i="113"/>
  <c r="AH539" i="113" s="1"/>
  <c r="AA674" i="113"/>
  <c r="AE674" i="113" s="1"/>
  <c r="AI674" i="113" s="1"/>
  <c r="AD674" i="113"/>
  <c r="AH674" i="113" s="1"/>
  <c r="AA276" i="113"/>
  <c r="AE276" i="113" s="1"/>
  <c r="AI276" i="113" s="1"/>
  <c r="AD276" i="113"/>
  <c r="AH276" i="113" s="1"/>
  <c r="AA1855" i="113"/>
  <c r="AD1855" i="113"/>
  <c r="AH1855" i="113" s="1"/>
  <c r="AA750" i="113"/>
  <c r="AE750" i="113" s="1"/>
  <c r="AI750" i="113" s="1"/>
  <c r="AD750" i="113"/>
  <c r="AH750" i="113" s="1"/>
  <c r="AA221" i="113"/>
  <c r="AE221" i="113" s="1"/>
  <c r="AI221" i="113" s="1"/>
  <c r="AD221" i="113"/>
  <c r="AH221" i="113" s="1"/>
  <c r="AA2171" i="113"/>
  <c r="AD2171" i="113"/>
  <c r="AH2171" i="113" s="1"/>
  <c r="AA2593" i="113"/>
  <c r="AE2593" i="113" s="1"/>
  <c r="AI2593" i="113" s="1"/>
  <c r="AD2593" i="113"/>
  <c r="AH2593" i="113" s="1"/>
  <c r="AA2508" i="113"/>
  <c r="AD2508" i="113"/>
  <c r="AH2508" i="113" s="1"/>
  <c r="AA749" i="113"/>
  <c r="AE749" i="113" s="1"/>
  <c r="AI749" i="113" s="1"/>
  <c r="AD749" i="113"/>
  <c r="AH749" i="113" s="1"/>
  <c r="AA1733" i="113"/>
  <c r="AE1733" i="113" s="1"/>
  <c r="AI1733" i="113" s="1"/>
  <c r="AD1733" i="113"/>
  <c r="AH1733" i="113" s="1"/>
  <c r="AA1098" i="113"/>
  <c r="AD1098" i="113"/>
  <c r="AH1098" i="113" s="1"/>
  <c r="AA634" i="113"/>
  <c r="AE634" i="113" s="1"/>
  <c r="AI634" i="113" s="1"/>
  <c r="AD634" i="113"/>
  <c r="AH634" i="113" s="1"/>
  <c r="AA1659" i="113"/>
  <c r="AE1659" i="113" s="1"/>
  <c r="AI1659" i="113" s="1"/>
  <c r="AD1659" i="113"/>
  <c r="AH1659" i="113" s="1"/>
  <c r="AA1332" i="113"/>
  <c r="AE1332" i="113" s="1"/>
  <c r="AI1332" i="113" s="1"/>
  <c r="AD1332" i="113"/>
  <c r="AH1332" i="113" s="1"/>
  <c r="AA991" i="113"/>
  <c r="AE991" i="113" s="1"/>
  <c r="AI991" i="113" s="1"/>
  <c r="AD991" i="113"/>
  <c r="AH991" i="113" s="1"/>
  <c r="AA2455" i="113"/>
  <c r="AD2455" i="113"/>
  <c r="AH2455" i="113" s="1"/>
  <c r="AA2140" i="113"/>
  <c r="AE2140" i="113" s="1"/>
  <c r="AI2140" i="113" s="1"/>
  <c r="AD2140" i="113"/>
  <c r="AH2140" i="113" s="1"/>
  <c r="AA2065" i="113"/>
  <c r="AE2065" i="113" s="1"/>
  <c r="AI2065" i="113" s="1"/>
  <c r="AD2065" i="113"/>
  <c r="AH2065" i="113" s="1"/>
  <c r="AA1829" i="113"/>
  <c r="AD1829" i="113"/>
  <c r="AH1829" i="113" s="1"/>
  <c r="AA2613" i="113"/>
  <c r="AD2613" i="113"/>
  <c r="AH2613" i="113" s="1"/>
  <c r="AA2580" i="113"/>
  <c r="AE2580" i="113" s="1"/>
  <c r="AI2580" i="113" s="1"/>
  <c r="AD2580" i="113"/>
  <c r="AH2580" i="113" s="1"/>
  <c r="AA2358" i="113"/>
  <c r="AD2358" i="113"/>
  <c r="AH2358" i="113" s="1"/>
  <c r="AA2422" i="113"/>
  <c r="AE2422" i="113" s="1"/>
  <c r="AI2422" i="113" s="1"/>
  <c r="AD2422" i="113"/>
  <c r="AH2422" i="113" s="1"/>
  <c r="AA960" i="113"/>
  <c r="AE960" i="113" s="1"/>
  <c r="AI960" i="113" s="1"/>
  <c r="AD960" i="113"/>
  <c r="AH960" i="113" s="1"/>
  <c r="AA2133" i="113"/>
  <c r="AE2133" i="113" s="1"/>
  <c r="AI2133" i="113" s="1"/>
  <c r="AD2133" i="113"/>
  <c r="AH2133" i="113" s="1"/>
  <c r="AA154" i="113"/>
  <c r="AE154" i="113" s="1"/>
  <c r="AI154" i="113" s="1"/>
  <c r="AD154" i="113"/>
  <c r="AH154" i="113" s="1"/>
  <c r="AA1768" i="113"/>
  <c r="AE1768" i="113" s="1"/>
  <c r="AI1768" i="113" s="1"/>
  <c r="AD1768" i="113"/>
  <c r="AH1768" i="113" s="1"/>
  <c r="AA2060" i="113"/>
  <c r="AE2060" i="113" s="1"/>
  <c r="AI2060" i="113" s="1"/>
  <c r="AD2060" i="113"/>
  <c r="AH2060" i="113" s="1"/>
  <c r="AA1608" i="113"/>
  <c r="AD1608" i="113"/>
  <c r="AH1608" i="113" s="1"/>
  <c r="AA2525" i="113"/>
  <c r="AD2525" i="113"/>
  <c r="AH2525" i="113" s="1"/>
  <c r="AA2302" i="113"/>
  <c r="AD2302" i="113"/>
  <c r="AH2302" i="113" s="1"/>
  <c r="AA495" i="113"/>
  <c r="AE495" i="113" s="1"/>
  <c r="AI495" i="113" s="1"/>
  <c r="AD495" i="113"/>
  <c r="AH495" i="113" s="1"/>
  <c r="AA1964" i="113"/>
  <c r="AE1964" i="113" s="1"/>
  <c r="AI1964" i="113" s="1"/>
  <c r="AD1964" i="113"/>
  <c r="AH1964" i="113" s="1"/>
  <c r="AA1077" i="113"/>
  <c r="AD1077" i="113"/>
  <c r="AH1077" i="113" s="1"/>
  <c r="AA247" i="113"/>
  <c r="AE247" i="113" s="1"/>
  <c r="AI247" i="113" s="1"/>
  <c r="AD247" i="113"/>
  <c r="AH247" i="113" s="1"/>
  <c r="AA953" i="113"/>
  <c r="AE953" i="113" s="1"/>
  <c r="AI953" i="113" s="1"/>
  <c r="AD953" i="113"/>
  <c r="AH953" i="113" s="1"/>
  <c r="AA1584" i="113"/>
  <c r="AE1584" i="113" s="1"/>
  <c r="AI1584" i="113" s="1"/>
  <c r="AD1584" i="113"/>
  <c r="AH1584" i="113" s="1"/>
  <c r="AE853" i="113"/>
  <c r="AI853" i="113" s="1"/>
  <c r="AE1189" i="113"/>
  <c r="AI1189" i="113" s="1"/>
  <c r="AE1616" i="113"/>
  <c r="AI1616" i="113" s="1"/>
  <c r="AE1983" i="113"/>
  <c r="AI1983" i="113" s="1"/>
  <c r="AE45" i="113"/>
  <c r="AI45" i="113" s="1"/>
  <c r="AE1685" i="113"/>
  <c r="AI1685" i="113" s="1"/>
  <c r="AE435" i="113"/>
  <c r="AI435" i="113" s="1"/>
  <c r="AE1061" i="113"/>
  <c r="AI1061" i="113" s="1"/>
  <c r="AA1516" i="113"/>
  <c r="AE1516" i="113" s="1"/>
  <c r="AI1516" i="113" s="1"/>
  <c r="AD1516" i="113"/>
  <c r="AH1516" i="113" s="1"/>
  <c r="AA1171" i="113"/>
  <c r="AE1171" i="113" s="1"/>
  <c r="AI1171" i="113" s="1"/>
  <c r="AD1171" i="113"/>
  <c r="AH1171" i="113" s="1"/>
  <c r="AA15" i="113"/>
  <c r="AD15" i="113"/>
  <c r="AH15" i="113" s="1"/>
  <c r="AA1963" i="113"/>
  <c r="AE1963" i="113" s="1"/>
  <c r="AI1963" i="113" s="1"/>
  <c r="AD1963" i="113"/>
  <c r="AH1963" i="113" s="1"/>
  <c r="AA2500" i="113"/>
  <c r="AE2500" i="113" s="1"/>
  <c r="AI2500" i="113" s="1"/>
  <c r="AD2500" i="113"/>
  <c r="AH2500" i="113" s="1"/>
  <c r="AA468" i="113"/>
  <c r="AE468" i="113" s="1"/>
  <c r="AI468" i="113" s="1"/>
  <c r="AD468" i="113"/>
  <c r="AH468" i="113" s="1"/>
  <c r="AA299" i="113"/>
  <c r="AD299" i="113"/>
  <c r="AH299" i="113" s="1"/>
  <c r="AA2360" i="113"/>
  <c r="AE2360" i="113" s="1"/>
  <c r="AI2360" i="113" s="1"/>
  <c r="AD2360" i="113"/>
  <c r="AH2360" i="113" s="1"/>
  <c r="AA1048" i="113"/>
  <c r="AD1048" i="113"/>
  <c r="AH1048" i="113" s="1"/>
  <c r="AA2669" i="113"/>
  <c r="AD2669" i="113"/>
  <c r="AH2669" i="113" s="1"/>
  <c r="AA96" i="113"/>
  <c r="AD96" i="113"/>
  <c r="AH96" i="113" s="1"/>
  <c r="AA294" i="113"/>
  <c r="AE294" i="113" s="1"/>
  <c r="AI294" i="113" s="1"/>
  <c r="AD294" i="113"/>
  <c r="AH294" i="113" s="1"/>
  <c r="AA938" i="113"/>
  <c r="AD938" i="113"/>
  <c r="AH938" i="113" s="1"/>
  <c r="AA1339" i="113"/>
  <c r="AE1339" i="113" s="1"/>
  <c r="AI1339" i="113" s="1"/>
  <c r="AD1339" i="113"/>
  <c r="AH1339" i="113" s="1"/>
  <c r="AA910" i="113"/>
  <c r="AD910" i="113"/>
  <c r="AH910" i="113" s="1"/>
  <c r="AA535" i="113"/>
  <c r="AD535" i="113"/>
  <c r="AH535" i="113" s="1"/>
  <c r="AA1839" i="113"/>
  <c r="AE1839" i="113" s="1"/>
  <c r="AI1839" i="113" s="1"/>
  <c r="AD1839" i="113"/>
  <c r="AH1839" i="113" s="1"/>
  <c r="AA1967" i="113"/>
  <c r="AD1967" i="113"/>
  <c r="AH1967" i="113" s="1"/>
  <c r="AA941" i="113"/>
  <c r="AE941" i="113" s="1"/>
  <c r="AI941" i="113" s="1"/>
  <c r="AD941" i="113"/>
  <c r="AH941" i="113" s="1"/>
  <c r="AA2104" i="113"/>
  <c r="AE2104" i="113" s="1"/>
  <c r="AI2104" i="113" s="1"/>
  <c r="AD2104" i="113"/>
  <c r="AH2104" i="113" s="1"/>
  <c r="AA2024" i="113"/>
  <c r="AD2024" i="113"/>
  <c r="AH2024" i="113" s="1"/>
  <c r="AA2324" i="113"/>
  <c r="AE2324" i="113" s="1"/>
  <c r="AI2324" i="113" s="1"/>
  <c r="AD2324" i="113"/>
  <c r="AH2324" i="113" s="1"/>
  <c r="AA1190" i="113"/>
  <c r="AE1190" i="113" s="1"/>
  <c r="AI1190" i="113" s="1"/>
  <c r="AD1190" i="113"/>
  <c r="AH1190" i="113" s="1"/>
  <c r="AA2433" i="113"/>
  <c r="AE2433" i="113" s="1"/>
  <c r="AI2433" i="113" s="1"/>
  <c r="AD2433" i="113"/>
  <c r="AH2433" i="113" s="1"/>
  <c r="AA1056" i="113"/>
  <c r="AD1056" i="113"/>
  <c r="AH1056" i="113" s="1"/>
  <c r="AA1731" i="113"/>
  <c r="AD1731" i="113"/>
  <c r="AH1731" i="113" s="1"/>
  <c r="AA1169" i="113"/>
  <c r="AE1169" i="113" s="1"/>
  <c r="AI1169" i="113" s="1"/>
  <c r="AD1169" i="113"/>
  <c r="AH1169" i="113" s="1"/>
  <c r="AA2259" i="113"/>
  <c r="AE2259" i="113" s="1"/>
  <c r="AI2259" i="113" s="1"/>
  <c r="AD2259" i="113"/>
  <c r="AH2259" i="113" s="1"/>
  <c r="AA1971" i="113"/>
  <c r="AE1971" i="113" s="1"/>
  <c r="AI1971" i="113" s="1"/>
  <c r="AD1971" i="113"/>
  <c r="AH1971" i="113" s="1"/>
  <c r="AA607" i="113"/>
  <c r="AE607" i="113" s="1"/>
  <c r="AI607" i="113" s="1"/>
  <c r="AD607" i="113"/>
  <c r="AH607" i="113" s="1"/>
  <c r="AA603" i="113"/>
  <c r="AD603" i="113"/>
  <c r="AH603" i="113" s="1"/>
  <c r="AA2367" i="113"/>
  <c r="AE2367" i="113" s="1"/>
  <c r="AI2367" i="113" s="1"/>
  <c r="AD2367" i="113"/>
  <c r="AH2367" i="113" s="1"/>
  <c r="AA2069" i="113"/>
  <c r="AD2069" i="113"/>
  <c r="AH2069" i="113" s="1"/>
  <c r="AA669" i="113"/>
  <c r="AE669" i="113" s="1"/>
  <c r="AI669" i="113" s="1"/>
  <c r="AD669" i="113"/>
  <c r="AH669" i="113" s="1"/>
  <c r="AA1931" i="113"/>
  <c r="AE1931" i="113" s="1"/>
  <c r="AI1931" i="113" s="1"/>
  <c r="AD1931" i="113"/>
  <c r="AH1931" i="113" s="1"/>
  <c r="AA2028" i="113"/>
  <c r="AE2028" i="113" s="1"/>
  <c r="AI2028" i="113" s="1"/>
  <c r="AD2028" i="113"/>
  <c r="AH2028" i="113" s="1"/>
  <c r="AA1542" i="113"/>
  <c r="AE1542" i="113" s="1"/>
  <c r="AI1542" i="113" s="1"/>
  <c r="AD1542" i="113"/>
  <c r="AH1542" i="113" s="1"/>
  <c r="AA1213" i="113"/>
  <c r="AE1213" i="113" s="1"/>
  <c r="AI1213" i="113" s="1"/>
  <c r="AD1213" i="113"/>
  <c r="AH1213" i="113" s="1"/>
  <c r="AA1322" i="113"/>
  <c r="AD1322" i="113"/>
  <c r="AH1322" i="113" s="1"/>
  <c r="AA858" i="113"/>
  <c r="AE858" i="113" s="1"/>
  <c r="AI858" i="113" s="1"/>
  <c r="AD858" i="113"/>
  <c r="AH858" i="113" s="1"/>
  <c r="AA2659" i="113"/>
  <c r="AE2659" i="113" s="1"/>
  <c r="AI2659" i="113" s="1"/>
  <c r="AD2659" i="113"/>
  <c r="AH2659" i="113" s="1"/>
  <c r="AA1041" i="113"/>
  <c r="AE1041" i="113" s="1"/>
  <c r="AI1041" i="113" s="1"/>
  <c r="AD1041" i="113"/>
  <c r="AH1041" i="113" s="1"/>
  <c r="AA1913" i="113"/>
  <c r="AD1913" i="113"/>
  <c r="AH1913" i="113" s="1"/>
  <c r="AA1887" i="113"/>
  <c r="AE1887" i="113" s="1"/>
  <c r="AI1887" i="113" s="1"/>
  <c r="AD1887" i="113"/>
  <c r="AH1887" i="113" s="1"/>
  <c r="AA1334" i="113"/>
  <c r="AE1334" i="113" s="1"/>
  <c r="AI1334" i="113" s="1"/>
  <c r="AD1334" i="113"/>
  <c r="AH1334" i="113" s="1"/>
  <c r="AA24" i="113"/>
  <c r="AD24" i="113"/>
  <c r="AH24" i="113" s="1"/>
  <c r="AA292" i="113"/>
  <c r="AD292" i="113"/>
  <c r="AH292" i="113" s="1"/>
  <c r="AA592" i="113"/>
  <c r="AE592" i="113" s="1"/>
  <c r="AI592" i="113" s="1"/>
  <c r="AD592" i="113"/>
  <c r="AH592" i="113" s="1"/>
  <c r="AA1202" i="113"/>
  <c r="AD1202" i="113"/>
  <c r="AH1202" i="113" s="1"/>
  <c r="AA2514" i="113"/>
  <c r="AD2514" i="113"/>
  <c r="AH2514" i="113" s="1"/>
  <c r="AA630" i="113"/>
  <c r="AD630" i="113"/>
  <c r="AH630" i="113" s="1"/>
  <c r="AA1740" i="113"/>
  <c r="AE1740" i="113" s="1"/>
  <c r="AI1740" i="113" s="1"/>
  <c r="AD1740" i="113"/>
  <c r="AH1740" i="113" s="1"/>
  <c r="AA2147" i="113"/>
  <c r="AE2147" i="113" s="1"/>
  <c r="AI2147" i="113" s="1"/>
  <c r="AD2147" i="113"/>
  <c r="AH2147" i="113" s="1"/>
  <c r="AA1183" i="113"/>
  <c r="AE1183" i="113" s="1"/>
  <c r="AI1183" i="113" s="1"/>
  <c r="AD1183" i="113"/>
  <c r="AH1183" i="113" s="1"/>
  <c r="AA266" i="113"/>
  <c r="AE266" i="113" s="1"/>
  <c r="AI266" i="113" s="1"/>
  <c r="AD266" i="113"/>
  <c r="AH266" i="113" s="1"/>
  <c r="AA485" i="113"/>
  <c r="AE485" i="113" s="1"/>
  <c r="AI485" i="113" s="1"/>
  <c r="AD485" i="113"/>
  <c r="AH485" i="113" s="1"/>
  <c r="AA1747" i="113"/>
  <c r="AE1747" i="113" s="1"/>
  <c r="AI1747" i="113" s="1"/>
  <c r="AD1747" i="113"/>
  <c r="AH1747" i="113" s="1"/>
  <c r="AA1785" i="113"/>
  <c r="AE1785" i="113" s="1"/>
  <c r="AI1785" i="113" s="1"/>
  <c r="AD1785" i="113"/>
  <c r="AH1785" i="113" s="1"/>
  <c r="AA150" i="113"/>
  <c r="AE150" i="113" s="1"/>
  <c r="AI150" i="113" s="1"/>
  <c r="AD150" i="113"/>
  <c r="AH150" i="113" s="1"/>
  <c r="AA595" i="113"/>
  <c r="AD595" i="113"/>
  <c r="AH595" i="113" s="1"/>
  <c r="AA633" i="113"/>
  <c r="AD633" i="113"/>
  <c r="AH633" i="113" s="1"/>
  <c r="AA765" i="113"/>
  <c r="AE765" i="113" s="1"/>
  <c r="AI765" i="113" s="1"/>
  <c r="AD765" i="113"/>
  <c r="AH765" i="113" s="1"/>
  <c r="AA1700" i="113"/>
  <c r="AE1700" i="113" s="1"/>
  <c r="AI1700" i="113" s="1"/>
  <c r="AD1700" i="113"/>
  <c r="AH1700" i="113" s="1"/>
  <c r="AA1687" i="113"/>
  <c r="AD1687" i="113"/>
  <c r="AH1687" i="113" s="1"/>
  <c r="AA1107" i="113"/>
  <c r="AE1107" i="113" s="1"/>
  <c r="AI1107" i="113" s="1"/>
  <c r="AD1107" i="113"/>
  <c r="AH1107" i="113" s="1"/>
  <c r="AA281" i="113"/>
  <c r="AE281" i="113" s="1"/>
  <c r="AI281" i="113" s="1"/>
  <c r="AD281" i="113"/>
  <c r="AH281" i="113" s="1"/>
  <c r="AA1215" i="113"/>
  <c r="AD1215" i="113"/>
  <c r="AH1215" i="113" s="1"/>
  <c r="AA2377" i="113"/>
  <c r="AD2377" i="113"/>
  <c r="AH2377" i="113" s="1"/>
  <c r="AA253" i="113"/>
  <c r="AE253" i="113" s="1"/>
  <c r="AI253" i="113" s="1"/>
  <c r="AD253" i="113"/>
  <c r="AH253" i="113" s="1"/>
  <c r="AA2537" i="113"/>
  <c r="AE2537" i="113" s="1"/>
  <c r="AI2537" i="113" s="1"/>
  <c r="AD2537" i="113"/>
  <c r="AH2537" i="113" s="1"/>
  <c r="AA1892" i="113"/>
  <c r="AD1892" i="113"/>
  <c r="AH1892" i="113" s="1"/>
  <c r="AA1316" i="113"/>
  <c r="AE1316" i="113" s="1"/>
  <c r="AI1316" i="113" s="1"/>
  <c r="AD1316" i="113"/>
  <c r="AH1316" i="113" s="1"/>
  <c r="AA1313" i="113"/>
  <c r="AE1313" i="113" s="1"/>
  <c r="AI1313" i="113" s="1"/>
  <c r="AD1313" i="113"/>
  <c r="AH1313" i="113" s="1"/>
  <c r="AA620" i="113"/>
  <c r="AE620" i="113" s="1"/>
  <c r="AI620" i="113" s="1"/>
  <c r="AD620" i="113"/>
  <c r="AH620" i="113" s="1"/>
  <c r="AA390" i="113"/>
  <c r="AE390" i="113" s="1"/>
  <c r="AI390" i="113" s="1"/>
  <c r="AD390" i="113"/>
  <c r="AH390" i="113" s="1"/>
  <c r="AA2589" i="113"/>
  <c r="AE2589" i="113" s="1"/>
  <c r="AI2589" i="113" s="1"/>
  <c r="AD2589" i="113"/>
  <c r="AH2589" i="113" s="1"/>
  <c r="AA921" i="113"/>
  <c r="AE921" i="113" s="1"/>
  <c r="AI921" i="113" s="1"/>
  <c r="AD921" i="113"/>
  <c r="AH921" i="113" s="1"/>
  <c r="AA492" i="113"/>
  <c r="AE492" i="113" s="1"/>
  <c r="AI492" i="113" s="1"/>
  <c r="AD492" i="113"/>
  <c r="AH492" i="113" s="1"/>
  <c r="AA1462" i="113"/>
  <c r="AD1462" i="113"/>
  <c r="AH1462" i="113" s="1"/>
  <c r="AA1037" i="113"/>
  <c r="AE1037" i="113" s="1"/>
  <c r="AI1037" i="113" s="1"/>
  <c r="AD1037" i="113"/>
  <c r="AH1037" i="113" s="1"/>
  <c r="AA478" i="113"/>
  <c r="AE478" i="113" s="1"/>
  <c r="AI478" i="113" s="1"/>
  <c r="AD478" i="113"/>
  <c r="AH478" i="113" s="1"/>
  <c r="AA942" i="113"/>
  <c r="AE942" i="113" s="1"/>
  <c r="AI942" i="113" s="1"/>
  <c r="AD942" i="113"/>
  <c r="AH942" i="113" s="1"/>
  <c r="AA1185" i="113"/>
  <c r="AE1185" i="113" s="1"/>
  <c r="AI1185" i="113" s="1"/>
  <c r="AD1185" i="113"/>
  <c r="AH1185" i="113" s="1"/>
  <c r="AA1864" i="113"/>
  <c r="AD1864" i="113"/>
  <c r="AH1864" i="113" s="1"/>
  <c r="AA2565" i="113"/>
  <c r="AD2565" i="113"/>
  <c r="AH2565" i="113" s="1"/>
  <c r="AA1312" i="113"/>
  <c r="AE1312" i="113" s="1"/>
  <c r="AI1312" i="113" s="1"/>
  <c r="AD1312" i="113"/>
  <c r="AH1312" i="113" s="1"/>
  <c r="AA1802" i="113"/>
  <c r="AD1802" i="113"/>
  <c r="AH1802" i="113" s="1"/>
  <c r="AA799" i="113"/>
  <c r="AE799" i="113" s="1"/>
  <c r="AI799" i="113" s="1"/>
  <c r="AD799" i="113"/>
  <c r="AH799" i="113" s="1"/>
  <c r="AA945" i="113"/>
  <c r="AE945" i="113" s="1"/>
  <c r="AI945" i="113" s="1"/>
  <c r="AD945" i="113"/>
  <c r="AH945" i="113" s="1"/>
  <c r="AA2401" i="113"/>
  <c r="AD2401" i="113"/>
  <c r="AH2401" i="113" s="1"/>
  <c r="AA417" i="113"/>
  <c r="AE417" i="113" s="1"/>
  <c r="AI417" i="113" s="1"/>
  <c r="AD417" i="113"/>
  <c r="AH417" i="113" s="1"/>
  <c r="AA2240" i="113"/>
  <c r="AE2240" i="113" s="1"/>
  <c r="AI2240" i="113" s="1"/>
  <c r="AD2240" i="113"/>
  <c r="AH2240" i="113" s="1"/>
  <c r="AA48" i="113"/>
  <c r="AE48" i="113" s="1"/>
  <c r="AI48" i="113" s="1"/>
  <c r="AD48" i="113"/>
  <c r="AH48" i="113" s="1"/>
  <c r="AA2606" i="113"/>
  <c r="AD2606" i="113"/>
  <c r="AH2606" i="113" s="1"/>
  <c r="AA845" i="113"/>
  <c r="AD845" i="113"/>
  <c r="AH845" i="113" s="1"/>
  <c r="AA2342" i="113"/>
  <c r="AD2342" i="113"/>
  <c r="AH2342" i="113" s="1"/>
  <c r="AA753" i="113"/>
  <c r="AE753" i="113" s="1"/>
  <c r="AI753" i="113" s="1"/>
  <c r="AD753" i="113"/>
  <c r="AH753" i="113" s="1"/>
  <c r="AA532" i="113"/>
  <c r="AD532" i="113"/>
  <c r="AH532" i="113" s="1"/>
  <c r="AA1673" i="113"/>
  <c r="AD1673" i="113"/>
  <c r="AH1673" i="113" s="1"/>
  <c r="AA1772" i="113"/>
  <c r="AE1772" i="113" s="1"/>
  <c r="AI1772" i="113" s="1"/>
  <c r="AD1772" i="113"/>
  <c r="AH1772" i="113" s="1"/>
  <c r="AA1552" i="113"/>
  <c r="AD1552" i="113"/>
  <c r="AH1552" i="113" s="1"/>
  <c r="AA36" i="113"/>
  <c r="AD36" i="113"/>
  <c r="AH36" i="113" s="1"/>
  <c r="AA437" i="113"/>
  <c r="AD437" i="113"/>
  <c r="AH437" i="113" s="1"/>
  <c r="AA1038" i="113"/>
  <c r="AE1038" i="113" s="1"/>
  <c r="AI1038" i="113" s="1"/>
  <c r="AD1038" i="113"/>
  <c r="AH1038" i="113" s="1"/>
  <c r="AA1847" i="113"/>
  <c r="AE1847" i="113" s="1"/>
  <c r="AI1847" i="113" s="1"/>
  <c r="AD1847" i="113"/>
  <c r="AH1847" i="113" s="1"/>
  <c r="AA622" i="113"/>
  <c r="AE622" i="113" s="1"/>
  <c r="AI622" i="113" s="1"/>
  <c r="AD622" i="113"/>
  <c r="AH622" i="113" s="1"/>
  <c r="AA285" i="113"/>
  <c r="AD285" i="113"/>
  <c r="AH285" i="113" s="1"/>
  <c r="AA2262" i="113"/>
  <c r="AD2262" i="113"/>
  <c r="AH2262" i="113" s="1"/>
  <c r="AA1338" i="113"/>
  <c r="AD1338" i="113"/>
  <c r="AH1338" i="113" s="1"/>
  <c r="AA2013" i="113"/>
  <c r="AE2013" i="113" s="1"/>
  <c r="AI2013" i="113" s="1"/>
  <c r="AD2013" i="113"/>
  <c r="AH2013" i="113" s="1"/>
  <c r="AA2354" i="113"/>
  <c r="AE2354" i="113" s="1"/>
  <c r="AI2354" i="113" s="1"/>
  <c r="AD2354" i="113"/>
  <c r="AH2354" i="113" s="1"/>
  <c r="AA1210" i="113"/>
  <c r="AD1210" i="113"/>
  <c r="AH1210" i="113" s="1"/>
  <c r="AA1397" i="113"/>
  <c r="AE1397" i="113" s="1"/>
  <c r="AI1397" i="113" s="1"/>
  <c r="AD1397" i="113"/>
  <c r="AH1397" i="113" s="1"/>
  <c r="AA2569" i="113"/>
  <c r="AE2569" i="113" s="1"/>
  <c r="AI2569" i="113" s="1"/>
  <c r="AD2569" i="113"/>
  <c r="AH2569" i="113" s="1"/>
  <c r="AA1681" i="113"/>
  <c r="AD1681" i="113"/>
  <c r="AH1681" i="113" s="1"/>
  <c r="AA786" i="113"/>
  <c r="AE786" i="113" s="1"/>
  <c r="AI786" i="113" s="1"/>
  <c r="AD786" i="113"/>
  <c r="AH786" i="113" s="1"/>
  <c r="AA235" i="113"/>
  <c r="AE235" i="113" s="1"/>
  <c r="AI235" i="113" s="1"/>
  <c r="AD235" i="113"/>
  <c r="AH235" i="113" s="1"/>
  <c r="AA2014" i="113"/>
  <c r="AE2014" i="113" s="1"/>
  <c r="AI2014" i="113" s="1"/>
  <c r="AD2014" i="113"/>
  <c r="AH2014" i="113" s="1"/>
  <c r="AA1666" i="113"/>
  <c r="AD1666" i="113"/>
  <c r="AH1666" i="113" s="1"/>
  <c r="AA2177" i="113"/>
  <c r="AE2177" i="113" s="1"/>
  <c r="AI2177" i="113" s="1"/>
  <c r="AD2177" i="113"/>
  <c r="AH2177" i="113" s="1"/>
  <c r="AA1708" i="113"/>
  <c r="AE1708" i="113" s="1"/>
  <c r="AI1708" i="113" s="1"/>
  <c r="AD1708" i="113"/>
  <c r="AH1708" i="113" s="1"/>
  <c r="AA748" i="113"/>
  <c r="AD748" i="113"/>
  <c r="AH748" i="113" s="1"/>
  <c r="AA1002" i="113"/>
  <c r="AE1002" i="113" s="1"/>
  <c r="AI1002" i="113" s="1"/>
  <c r="AD1002" i="113"/>
  <c r="AH1002" i="113" s="1"/>
  <c r="AA1683" i="113"/>
  <c r="AE1683" i="113" s="1"/>
  <c r="AI1683" i="113" s="1"/>
  <c r="AD1683" i="113"/>
  <c r="AH1683" i="113" s="1"/>
  <c r="AA1824" i="113"/>
  <c r="AE1824" i="113" s="1"/>
  <c r="AI1824" i="113" s="1"/>
  <c r="AD1824" i="113"/>
  <c r="AH1824" i="113" s="1"/>
  <c r="AA2447" i="113"/>
  <c r="AE2447" i="113" s="1"/>
  <c r="AI2447" i="113" s="1"/>
  <c r="AD2447" i="113"/>
  <c r="AH2447" i="113" s="1"/>
  <c r="AA424" i="113"/>
  <c r="AE424" i="113" s="1"/>
  <c r="AI424" i="113" s="1"/>
  <c r="AD424" i="113"/>
  <c r="AH424" i="113" s="1"/>
  <c r="AE1054" i="113"/>
  <c r="AI1054" i="113" s="1"/>
  <c r="AE1697" i="113"/>
  <c r="AI1697" i="113" s="1"/>
  <c r="AE1674" i="113"/>
  <c r="AI1674" i="113" s="1"/>
  <c r="AE9" i="113"/>
  <c r="AI9" i="113" s="1"/>
  <c r="AE63" i="113"/>
  <c r="AI63" i="113" s="1"/>
  <c r="AE412" i="113"/>
  <c r="AI412" i="113" s="1"/>
  <c r="AE1359" i="113"/>
  <c r="AI1359" i="113" s="1"/>
  <c r="AE145" i="113"/>
  <c r="AI145" i="113" s="1"/>
  <c r="AE553" i="113"/>
  <c r="AI553" i="113" s="1"/>
  <c r="AE1722" i="113"/>
  <c r="AI1722" i="113" s="1"/>
  <c r="AE1434" i="113"/>
  <c r="AI1434" i="113" s="1"/>
  <c r="AE1545" i="113"/>
  <c r="AI1545" i="113" s="1"/>
  <c r="AE2036" i="113"/>
  <c r="AI2036" i="113" s="1"/>
  <c r="AE1496" i="113"/>
  <c r="AI1496" i="113" s="1"/>
  <c r="AA2208" i="113"/>
  <c r="AD2208" i="113"/>
  <c r="AH2208" i="113" s="1"/>
  <c r="AA1796" i="113"/>
  <c r="AE1796" i="113" s="1"/>
  <c r="AI1796" i="113" s="1"/>
  <c r="AD1796" i="113"/>
  <c r="AH1796" i="113" s="1"/>
  <c r="AA2371" i="113"/>
  <c r="AE2371" i="113" s="1"/>
  <c r="AI2371" i="113" s="1"/>
  <c r="AD2371" i="113"/>
  <c r="AH2371" i="113" s="1"/>
  <c r="AA1966" i="113"/>
  <c r="AE1966" i="113" s="1"/>
  <c r="AI1966" i="113" s="1"/>
  <c r="AD1966" i="113"/>
  <c r="AH1966" i="113" s="1"/>
  <c r="AA1569" i="113"/>
  <c r="AD1569" i="113"/>
  <c r="AH1569" i="113" s="1"/>
  <c r="AA1782" i="113"/>
  <c r="AE1782" i="113" s="1"/>
  <c r="AI1782" i="113" s="1"/>
  <c r="AD1782" i="113"/>
  <c r="AH1782" i="113" s="1"/>
  <c r="AA870" i="113"/>
  <c r="AE870" i="113" s="1"/>
  <c r="AI870" i="113" s="1"/>
  <c r="AD870" i="113"/>
  <c r="AH870" i="113" s="1"/>
  <c r="AA1973" i="113"/>
  <c r="AE1973" i="113" s="1"/>
  <c r="AI1973" i="113" s="1"/>
  <c r="AD1973" i="113"/>
  <c r="AH1973" i="113" s="1"/>
  <c r="AA1941" i="113"/>
  <c r="AD1941" i="113"/>
  <c r="AH1941" i="113" s="1"/>
  <c r="AA340" i="113"/>
  <c r="AE340" i="113" s="1"/>
  <c r="AI340" i="113" s="1"/>
  <c r="AD340" i="113"/>
  <c r="AH340" i="113" s="1"/>
  <c r="AA1660" i="113"/>
  <c r="AE1660" i="113" s="1"/>
  <c r="AI1660" i="113" s="1"/>
  <c r="AD1660" i="113"/>
  <c r="AH1660" i="113" s="1"/>
  <c r="AA364" i="113"/>
  <c r="AD364" i="113"/>
  <c r="AH364" i="113" s="1"/>
  <c r="AA121" i="113"/>
  <c r="AE121" i="113" s="1"/>
  <c r="AI121" i="113" s="1"/>
  <c r="AD121" i="113"/>
  <c r="AH121" i="113" s="1"/>
  <c r="AA2329" i="113"/>
  <c r="AE2329" i="113" s="1"/>
  <c r="AI2329" i="113" s="1"/>
  <c r="AD2329" i="113"/>
  <c r="AH2329" i="113" s="1"/>
  <c r="AA2178" i="113"/>
  <c r="AD2178" i="113"/>
  <c r="AH2178" i="113" s="1"/>
  <c r="AA2182" i="113"/>
  <c r="AE2182" i="113" s="1"/>
  <c r="AI2182" i="113" s="1"/>
  <c r="AD2182" i="113"/>
  <c r="AH2182" i="113" s="1"/>
  <c r="AA2277" i="113"/>
  <c r="AE2277" i="113" s="1"/>
  <c r="AI2277" i="113" s="1"/>
  <c r="AD2277" i="113"/>
  <c r="AH2277" i="113" s="1"/>
  <c r="AA2234" i="113"/>
  <c r="AD2234" i="113"/>
  <c r="AH2234" i="113" s="1"/>
  <c r="AA35" i="113"/>
  <c r="AD35" i="113"/>
  <c r="AH35" i="113" s="1"/>
  <c r="AA781" i="113"/>
  <c r="AE781" i="113" s="1"/>
  <c r="AI781" i="113" s="1"/>
  <c r="AD781" i="113"/>
  <c r="AH781" i="113" s="1"/>
  <c r="AA1879" i="113"/>
  <c r="AD1879" i="113"/>
  <c r="AH1879" i="113" s="1"/>
  <c r="AA2373" i="113"/>
  <c r="AD2373" i="113"/>
  <c r="AH2373" i="113" s="1"/>
  <c r="AA1643" i="113"/>
  <c r="AD1643" i="113"/>
  <c r="AH1643" i="113" s="1"/>
  <c r="AA1672" i="113"/>
  <c r="AE1672" i="113" s="1"/>
  <c r="AI1672" i="113" s="1"/>
  <c r="AD1672" i="113"/>
  <c r="AH1672" i="113" s="1"/>
  <c r="AA568" i="113"/>
  <c r="AD568" i="113"/>
  <c r="AH568" i="113" s="1"/>
  <c r="AA142" i="113"/>
  <c r="AE142" i="113" s="1"/>
  <c r="AI142" i="113" s="1"/>
  <c r="AD142" i="113"/>
  <c r="AH142" i="113" s="1"/>
  <c r="AA209" i="113"/>
  <c r="AE209" i="113" s="1"/>
  <c r="AI209" i="113" s="1"/>
  <c r="AD209" i="113"/>
  <c r="AH209" i="113" s="1"/>
  <c r="AA2381" i="113"/>
  <c r="AE2381" i="113" s="1"/>
  <c r="AI2381" i="113" s="1"/>
  <c r="AD2381" i="113"/>
  <c r="AH2381" i="113" s="1"/>
  <c r="AA534" i="113"/>
  <c r="AE534" i="113" s="1"/>
  <c r="AI534" i="113" s="1"/>
  <c r="AD534" i="113"/>
  <c r="AH534" i="113" s="1"/>
  <c r="AA973" i="113"/>
  <c r="AE973" i="113" s="1"/>
  <c r="AI973" i="113" s="1"/>
  <c r="AD973" i="113"/>
  <c r="AH973" i="113" s="1"/>
  <c r="AA403" i="113"/>
  <c r="AE403" i="113" s="1"/>
  <c r="AI403" i="113" s="1"/>
  <c r="AD403" i="113"/>
  <c r="AH403" i="113" s="1"/>
  <c r="AA2052" i="113"/>
  <c r="AD2052" i="113"/>
  <c r="AH2052" i="113" s="1"/>
  <c r="AA2110" i="113"/>
  <c r="AD2110" i="113"/>
  <c r="AH2110" i="113" s="1"/>
  <c r="AA22" i="113"/>
  <c r="AE22" i="113" s="1"/>
  <c r="AI22" i="113" s="1"/>
  <c r="AD22" i="113"/>
  <c r="AH22" i="113" s="1"/>
  <c r="AA1344" i="113"/>
  <c r="AE1344" i="113" s="1"/>
  <c r="AI1344" i="113" s="1"/>
  <c r="AD1344" i="113"/>
  <c r="AH1344" i="113" s="1"/>
  <c r="AA1287" i="113"/>
  <c r="AE1287" i="113" s="1"/>
  <c r="AI1287" i="113" s="1"/>
  <c r="AD1287" i="113"/>
  <c r="AH1287" i="113" s="1"/>
  <c r="AA814" i="113"/>
  <c r="AE814" i="113" s="1"/>
  <c r="AI814" i="113" s="1"/>
  <c r="AD814" i="113"/>
  <c r="AH814" i="113" s="1"/>
  <c r="AA2402" i="113"/>
  <c r="AE2402" i="113" s="1"/>
  <c r="AI2402" i="113" s="1"/>
  <c r="AD2402" i="113"/>
  <c r="AH2402" i="113" s="1"/>
  <c r="AA2489" i="113"/>
  <c r="AE2489" i="113" s="1"/>
  <c r="AI2489" i="113" s="1"/>
  <c r="AD2489" i="113"/>
  <c r="AH2489" i="113" s="1"/>
  <c r="AA2093" i="113"/>
  <c r="AE2093" i="113" s="1"/>
  <c r="AI2093" i="113" s="1"/>
  <c r="AD2093" i="113"/>
  <c r="AH2093" i="113" s="1"/>
  <c r="AA2351" i="113"/>
  <c r="AD2351" i="113"/>
  <c r="AH2351" i="113" s="1"/>
  <c r="AA1609" i="113"/>
  <c r="AE1609" i="113" s="1"/>
  <c r="AI1609" i="113" s="1"/>
  <c r="AD1609" i="113"/>
  <c r="AH1609" i="113" s="1"/>
  <c r="AA1387" i="113"/>
  <c r="AD1387" i="113"/>
  <c r="AH1387" i="113" s="1"/>
  <c r="AA1155" i="113"/>
  <c r="AE1155" i="113" s="1"/>
  <c r="AI1155" i="113" s="1"/>
  <c r="AD1155" i="113"/>
  <c r="AH1155" i="113" s="1"/>
  <c r="AA455" i="113"/>
  <c r="AD455" i="113"/>
  <c r="AH455" i="113" s="1"/>
  <c r="AA1454" i="113"/>
  <c r="AD1454" i="113"/>
  <c r="AH1454" i="113" s="1"/>
  <c r="AA2400" i="113"/>
  <c r="AE2400" i="113" s="1"/>
  <c r="AI2400" i="113" s="1"/>
  <c r="AD2400" i="113"/>
  <c r="AH2400" i="113" s="1"/>
  <c r="AA899" i="113"/>
  <c r="AE899" i="113" s="1"/>
  <c r="AI899" i="113" s="1"/>
  <c r="AD899" i="113"/>
  <c r="AH899" i="113" s="1"/>
  <c r="AA2265" i="113"/>
  <c r="AD2265" i="113"/>
  <c r="AH2265" i="113" s="1"/>
  <c r="AA2551" i="113"/>
  <c r="AE2551" i="113" s="1"/>
  <c r="AI2551" i="113" s="1"/>
  <c r="AD2551" i="113"/>
  <c r="AH2551" i="113" s="1"/>
  <c r="AA2355" i="113"/>
  <c r="AE2355" i="113" s="1"/>
  <c r="AI2355" i="113" s="1"/>
  <c r="AD2355" i="113"/>
  <c r="AH2355" i="113" s="1"/>
  <c r="AA2348" i="113"/>
  <c r="AE2348" i="113" s="1"/>
  <c r="AI2348" i="113" s="1"/>
  <c r="AD2348" i="113"/>
  <c r="AH2348" i="113" s="1"/>
  <c r="AA2481" i="113"/>
  <c r="AE2481" i="113" s="1"/>
  <c r="AI2481" i="113" s="1"/>
  <c r="AD2481" i="113"/>
  <c r="AH2481" i="113" s="1"/>
  <c r="AA2546" i="113"/>
  <c r="AE2546" i="113" s="1"/>
  <c r="AI2546" i="113" s="1"/>
  <c r="AD2546" i="113"/>
  <c r="AH2546" i="113" s="1"/>
  <c r="AA438" i="113"/>
  <c r="AE438" i="113" s="1"/>
  <c r="AI438" i="113" s="1"/>
  <c r="AD438" i="113"/>
  <c r="AH438" i="113" s="1"/>
  <c r="AA385" i="113"/>
  <c r="AD385" i="113"/>
  <c r="AH385" i="113" s="1"/>
  <c r="AA198" i="113"/>
  <c r="AE198" i="113" s="1"/>
  <c r="AI198" i="113" s="1"/>
  <c r="AD198" i="113"/>
  <c r="AH198" i="113" s="1"/>
  <c r="AA2322" i="113"/>
  <c r="AE2322" i="113" s="1"/>
  <c r="AI2322" i="113" s="1"/>
  <c r="AD2322" i="113"/>
  <c r="AH2322" i="113" s="1"/>
  <c r="AA824" i="113"/>
  <c r="AE824" i="113" s="1"/>
  <c r="AI824" i="113" s="1"/>
  <c r="AD824" i="113"/>
  <c r="AH824" i="113" s="1"/>
  <c r="AA1250" i="113"/>
  <c r="AE1250" i="113" s="1"/>
  <c r="AI1250" i="113" s="1"/>
  <c r="AD1250" i="113"/>
  <c r="AH1250" i="113" s="1"/>
  <c r="AA132" i="113"/>
  <c r="AE132" i="113" s="1"/>
  <c r="AI132" i="113" s="1"/>
  <c r="AD132" i="113"/>
  <c r="AH132" i="113" s="1"/>
  <c r="AA1827" i="113"/>
  <c r="AE1827" i="113" s="1"/>
  <c r="AI1827" i="113" s="1"/>
  <c r="AD1827" i="113"/>
  <c r="AH1827" i="113" s="1"/>
  <c r="AA1220" i="113"/>
  <c r="AE1220" i="113" s="1"/>
  <c r="AI1220" i="113" s="1"/>
  <c r="AD1220" i="113"/>
  <c r="AH1220" i="113" s="1"/>
  <c r="AA2493" i="113"/>
  <c r="AE2493" i="113" s="1"/>
  <c r="AI2493" i="113" s="1"/>
  <c r="AD2493" i="113"/>
  <c r="AH2493" i="113" s="1"/>
  <c r="AA313" i="113"/>
  <c r="AD313" i="113"/>
  <c r="AH313" i="113" s="1"/>
  <c r="AA379" i="113"/>
  <c r="AD379" i="113"/>
  <c r="AH379" i="113" s="1"/>
  <c r="AA2320" i="113"/>
  <c r="AE2320" i="113" s="1"/>
  <c r="AI2320" i="113" s="1"/>
  <c r="AD2320" i="113"/>
  <c r="AH2320" i="113" s="1"/>
  <c r="AA1579" i="113"/>
  <c r="AE1579" i="113" s="1"/>
  <c r="AI1579" i="113" s="1"/>
  <c r="AD1579" i="113"/>
  <c r="AH1579" i="113" s="1"/>
  <c r="AA2601" i="113"/>
  <c r="AE2601" i="113" s="1"/>
  <c r="AI2601" i="113" s="1"/>
  <c r="AD2601" i="113"/>
  <c r="AH2601" i="113" s="1"/>
  <c r="AA2391" i="113"/>
  <c r="AE2391" i="113" s="1"/>
  <c r="AI2391" i="113" s="1"/>
  <c r="AD2391" i="113"/>
  <c r="AH2391" i="113" s="1"/>
  <c r="AA1102" i="113"/>
  <c r="AE1102" i="113" s="1"/>
  <c r="AI1102" i="113" s="1"/>
  <c r="AD1102" i="113"/>
  <c r="AH1102" i="113" s="1"/>
  <c r="AA1418" i="113"/>
  <c r="AE1418" i="113" s="1"/>
  <c r="AI1418" i="113" s="1"/>
  <c r="AD1418" i="113"/>
  <c r="AH1418" i="113" s="1"/>
  <c r="AA1858" i="113"/>
  <c r="AD1858" i="113"/>
  <c r="AH1858" i="113" s="1"/>
  <c r="AA1914" i="113"/>
  <c r="AD1914" i="113"/>
  <c r="AH1914" i="113" s="1"/>
  <c r="AA173" i="113"/>
  <c r="AD173" i="113"/>
  <c r="AH173" i="113" s="1"/>
  <c r="AA2330" i="113"/>
  <c r="AD2330" i="113"/>
  <c r="AH2330" i="113" s="1"/>
  <c r="AA2630" i="113"/>
  <c r="AD2630" i="113"/>
  <c r="AH2630" i="113" s="1"/>
  <c r="AA2407" i="113"/>
  <c r="AD2407" i="113"/>
  <c r="AH2407" i="113" s="1"/>
  <c r="AA664" i="113"/>
  <c r="AD664" i="113"/>
  <c r="AH664" i="113" s="1"/>
  <c r="AA2131" i="113"/>
  <c r="AD2131" i="113"/>
  <c r="AH2131" i="113" s="1"/>
  <c r="AA2328" i="113"/>
  <c r="AD2328" i="113"/>
  <c r="AH2328" i="113" s="1"/>
  <c r="AA854" i="113"/>
  <c r="AE854" i="113" s="1"/>
  <c r="AI854" i="113" s="1"/>
  <c r="AD854" i="113"/>
  <c r="AH854" i="113" s="1"/>
  <c r="AA1770" i="113"/>
  <c r="AE1770" i="113" s="1"/>
  <c r="AI1770" i="113" s="1"/>
  <c r="AD1770" i="113"/>
  <c r="AH1770" i="113" s="1"/>
  <c r="AA964" i="113"/>
  <c r="AE964" i="113" s="1"/>
  <c r="AI964" i="113" s="1"/>
  <c r="AD964" i="113"/>
  <c r="AH964" i="113" s="1"/>
  <c r="AA308" i="113"/>
  <c r="AD308" i="113"/>
  <c r="AH308" i="113" s="1"/>
  <c r="AA2550" i="113"/>
  <c r="AD2550" i="113"/>
  <c r="AH2550" i="113" s="1"/>
  <c r="AA1933" i="113"/>
  <c r="AE1933" i="113" s="1"/>
  <c r="AI1933" i="113" s="1"/>
  <c r="AD1933" i="113"/>
  <c r="AH1933" i="113" s="1"/>
  <c r="AA1490" i="113"/>
  <c r="AE1490" i="113" s="1"/>
  <c r="AI1490" i="113" s="1"/>
  <c r="AD1490" i="113"/>
  <c r="AH1490" i="113" s="1"/>
  <c r="AA2642" i="113"/>
  <c r="AD2642" i="113"/>
  <c r="AH2642" i="113" s="1"/>
  <c r="AA849" i="113"/>
  <c r="AE849" i="113" s="1"/>
  <c r="AI849" i="113" s="1"/>
  <c r="AD849" i="113"/>
  <c r="AH849" i="113" s="1"/>
  <c r="AA774" i="113"/>
  <c r="AE774" i="113" s="1"/>
  <c r="AI774" i="113" s="1"/>
  <c r="AD774" i="113"/>
  <c r="AH774" i="113" s="1"/>
  <c r="AA246" i="113"/>
  <c r="AE246" i="113" s="1"/>
  <c r="AI246" i="113" s="1"/>
  <c r="AD246" i="113"/>
  <c r="AH246" i="113" s="1"/>
  <c r="AA1876" i="113"/>
  <c r="AD1876" i="113"/>
  <c r="AH1876" i="113" s="1"/>
  <c r="AA1704" i="113"/>
  <c r="AE1704" i="113" s="1"/>
  <c r="AI1704" i="113" s="1"/>
  <c r="AD1704" i="113"/>
  <c r="AH1704" i="113" s="1"/>
  <c r="AA745" i="113"/>
  <c r="AE745" i="113" s="1"/>
  <c r="AI745" i="113" s="1"/>
  <c r="AD745" i="113"/>
  <c r="AH745" i="113" s="1"/>
  <c r="AA2638" i="113"/>
  <c r="AD2638" i="113"/>
  <c r="AH2638" i="113" s="1"/>
  <c r="AA2541" i="113"/>
  <c r="AE2541" i="113" s="1"/>
  <c r="AI2541" i="113" s="1"/>
  <c r="AD2541" i="113"/>
  <c r="AH2541" i="113" s="1"/>
  <c r="AA612" i="113"/>
  <c r="AD612" i="113"/>
  <c r="AH612" i="113" s="1"/>
  <c r="AA2498" i="113"/>
  <c r="AE2498" i="113" s="1"/>
  <c r="AI2498" i="113" s="1"/>
  <c r="AD2498" i="113"/>
  <c r="AH2498" i="113" s="1"/>
  <c r="AA596" i="113"/>
  <c r="AD596" i="113"/>
  <c r="AH596" i="113" s="1"/>
  <c r="AA1566" i="113"/>
  <c r="AD1566" i="113"/>
  <c r="AH1566" i="113" s="1"/>
  <c r="AA1607" i="113"/>
  <c r="AE1607" i="113" s="1"/>
  <c r="AI1607" i="113" s="1"/>
  <c r="AD1607" i="113"/>
  <c r="AH1607" i="113" s="1"/>
  <c r="AA1771" i="113"/>
  <c r="AD1771" i="113"/>
  <c r="AH1771" i="113" s="1"/>
  <c r="AA443" i="113"/>
  <c r="AE443" i="113" s="1"/>
  <c r="AI443" i="113" s="1"/>
  <c r="AD443" i="113"/>
  <c r="AH443" i="113" s="1"/>
  <c r="AA2087" i="113"/>
  <c r="AD2087" i="113"/>
  <c r="AH2087" i="113" s="1"/>
  <c r="AA2145" i="113"/>
  <c r="AD2145" i="113"/>
  <c r="AH2145" i="113" s="1"/>
  <c r="AA692" i="113"/>
  <c r="AD692" i="113"/>
  <c r="AH692" i="113" s="1"/>
  <c r="AA1000" i="113"/>
  <c r="AD1000" i="113"/>
  <c r="AH1000" i="113" s="1"/>
  <c r="AA399" i="113"/>
  <c r="AD399" i="113"/>
  <c r="AH399" i="113" s="1"/>
  <c r="AA182" i="113"/>
  <c r="AE182" i="113" s="1"/>
  <c r="AI182" i="113" s="1"/>
  <c r="AD182" i="113"/>
  <c r="AH182" i="113" s="1"/>
  <c r="AA499" i="113"/>
  <c r="AE499" i="113" s="1"/>
  <c r="AI499" i="113" s="1"/>
  <c r="AD499" i="113"/>
  <c r="AH499" i="113" s="1"/>
  <c r="AA1649" i="113"/>
  <c r="AE1649" i="113" s="1"/>
  <c r="AI1649" i="113" s="1"/>
  <c r="AD1649" i="113"/>
  <c r="AH1649" i="113" s="1"/>
  <c r="AA152" i="113"/>
  <c r="AD152" i="113"/>
  <c r="AH152" i="113" s="1"/>
  <c r="AA217" i="113"/>
  <c r="AE217" i="113" s="1"/>
  <c r="AI217" i="113" s="1"/>
  <c r="AD217" i="113"/>
  <c r="AH217" i="113" s="1"/>
  <c r="AA469" i="113"/>
  <c r="AD469" i="113"/>
  <c r="AH469" i="113" s="1"/>
  <c r="AA1254" i="113"/>
  <c r="AD1254" i="113"/>
  <c r="AH1254" i="113" s="1"/>
  <c r="AA2357" i="113"/>
  <c r="AE2357" i="113" s="1"/>
  <c r="AI2357" i="113" s="1"/>
  <c r="AD2357" i="113"/>
  <c r="AH2357" i="113" s="1"/>
  <c r="AA1944" i="113"/>
  <c r="AD1944" i="113"/>
  <c r="AH1944" i="113" s="1"/>
  <c r="AA375" i="113"/>
  <c r="AE375" i="113" s="1"/>
  <c r="AI375" i="113" s="1"/>
  <c r="AD375" i="113"/>
  <c r="AH375" i="113" s="1"/>
  <c r="AA1425" i="113"/>
  <c r="AE1425" i="113" s="1"/>
  <c r="AI1425" i="113" s="1"/>
  <c r="AD1425" i="113"/>
  <c r="AH1425" i="113" s="1"/>
  <c r="AA2255" i="113"/>
  <c r="AE2255" i="113" s="1"/>
  <c r="AI2255" i="113" s="1"/>
  <c r="AD2255" i="113"/>
  <c r="AH2255" i="113" s="1"/>
  <c r="AA1945" i="113"/>
  <c r="AE1945" i="113" s="1"/>
  <c r="AI1945" i="113" s="1"/>
  <c r="AD1945" i="113"/>
  <c r="AH1945" i="113" s="1"/>
  <c r="AA2439" i="113"/>
  <c r="AE2439" i="113" s="1"/>
  <c r="AI2439" i="113" s="1"/>
  <c r="AD2439" i="113"/>
  <c r="AH2439" i="113" s="1"/>
  <c r="AA2085" i="113"/>
  <c r="AD2085" i="113"/>
  <c r="AH2085" i="113" s="1"/>
  <c r="AA137" i="113"/>
  <c r="AE137" i="113" s="1"/>
  <c r="AI137" i="113" s="1"/>
  <c r="AD137" i="113"/>
  <c r="AH137" i="113" s="1"/>
  <c r="AA1614" i="113"/>
  <c r="AE1614" i="113" s="1"/>
  <c r="AI1614" i="113" s="1"/>
  <c r="AD1614" i="113"/>
  <c r="AH1614" i="113" s="1"/>
  <c r="AA1115" i="113"/>
  <c r="AE1115" i="113" s="1"/>
  <c r="AI1115" i="113" s="1"/>
  <c r="AD1115" i="113"/>
  <c r="AH1115" i="113" s="1"/>
  <c r="AE1399" i="113"/>
  <c r="AI1399" i="113" s="1"/>
  <c r="AE1815" i="113"/>
  <c r="AI1815" i="113" s="1"/>
  <c r="AE600" i="113"/>
  <c r="AI600" i="113" s="1"/>
  <c r="AE421" i="113"/>
  <c r="AI421" i="113" s="1"/>
  <c r="AE2183" i="113"/>
  <c r="AI2183" i="113" s="1"/>
  <c r="AE561" i="113"/>
  <c r="AI561" i="113" s="1"/>
  <c r="AE1590" i="113"/>
  <c r="AI1590" i="113" s="1"/>
  <c r="AE124" i="113"/>
  <c r="AI124" i="113" s="1"/>
  <c r="AA2666" i="113"/>
  <c r="AD2666" i="113"/>
  <c r="AH2666" i="113" s="1"/>
  <c r="AA2431" i="113"/>
  <c r="AD2431" i="113"/>
  <c r="AH2431" i="113" s="1"/>
  <c r="AA1296" i="113"/>
  <c r="AD1296" i="113"/>
  <c r="AH1296" i="113" s="1"/>
  <c r="AA1761" i="113"/>
  <c r="AE1761" i="113" s="1"/>
  <c r="AI1761" i="113" s="1"/>
  <c r="AD1761" i="113"/>
  <c r="AH1761" i="113" s="1"/>
  <c r="AA957" i="113"/>
  <c r="AE957" i="113" s="1"/>
  <c r="AI957" i="113" s="1"/>
  <c r="AD957" i="113"/>
  <c r="AH957" i="113" s="1"/>
  <c r="AA2617" i="113"/>
  <c r="AD2617" i="113"/>
  <c r="AH2617" i="113" s="1"/>
  <c r="AA863" i="113"/>
  <c r="AE863" i="113" s="1"/>
  <c r="AI863" i="113" s="1"/>
  <c r="AD863" i="113"/>
  <c r="AH863" i="113" s="1"/>
  <c r="AA359" i="113"/>
  <c r="AE359" i="113" s="1"/>
  <c r="AI359" i="113" s="1"/>
  <c r="AD359" i="113"/>
  <c r="AH359" i="113" s="1"/>
  <c r="AA2257" i="113"/>
  <c r="AE2257" i="113" s="1"/>
  <c r="AI2257" i="113" s="1"/>
  <c r="AD2257" i="113"/>
  <c r="AH2257" i="113" s="1"/>
  <c r="AA177" i="113"/>
  <c r="AE177" i="113" s="1"/>
  <c r="AI177" i="113" s="1"/>
  <c r="AD177" i="113"/>
  <c r="AH177" i="113" s="1"/>
  <c r="AA2135" i="113"/>
  <c r="AE2135" i="113" s="1"/>
  <c r="AI2135" i="113" s="1"/>
  <c r="AD2135" i="113"/>
  <c r="AH2135" i="113" s="1"/>
  <c r="AA2061" i="113"/>
  <c r="AD2061" i="113"/>
  <c r="AH2061" i="113" s="1"/>
  <c r="AA51" i="113"/>
  <c r="AE51" i="113" s="1"/>
  <c r="AI51" i="113" s="1"/>
  <c r="AD51" i="113"/>
  <c r="AH51" i="113" s="1"/>
  <c r="AA1929" i="113"/>
  <c r="AE1929" i="113" s="1"/>
  <c r="AI1929" i="113" s="1"/>
  <c r="AD1929" i="113"/>
  <c r="AH1929" i="113" s="1"/>
  <c r="AA2066" i="113"/>
  <c r="AD2066" i="113"/>
  <c r="AH2066" i="113" s="1"/>
  <c r="AA1376" i="113"/>
  <c r="AE1376" i="113" s="1"/>
  <c r="AI1376" i="113" s="1"/>
  <c r="AD1376" i="113"/>
  <c r="AH1376" i="113" s="1"/>
  <c r="AA2105" i="113"/>
  <c r="AE2105" i="113" s="1"/>
  <c r="AI2105" i="113" s="1"/>
  <c r="AD2105" i="113"/>
  <c r="AH2105" i="113" s="1"/>
  <c r="AA537" i="113"/>
  <c r="AE537" i="113" s="1"/>
  <c r="AI537" i="113" s="1"/>
  <c r="AD537" i="113"/>
  <c r="AH537" i="113" s="1"/>
  <c r="AA2478" i="113"/>
  <c r="AD2478" i="113"/>
  <c r="AH2478" i="113" s="1"/>
  <c r="AA908" i="113"/>
  <c r="AE908" i="113" s="1"/>
  <c r="AI908" i="113" s="1"/>
  <c r="AD908" i="113"/>
  <c r="AH908" i="113" s="1"/>
  <c r="AA128" i="113"/>
  <c r="AE128" i="113" s="1"/>
  <c r="AI128" i="113" s="1"/>
  <c r="AD128" i="113"/>
  <c r="AH128" i="113" s="1"/>
  <c r="AA1902" i="113"/>
  <c r="AE1902" i="113" s="1"/>
  <c r="AI1902" i="113" s="1"/>
  <c r="AD1902" i="113"/>
  <c r="AH1902" i="113" s="1"/>
  <c r="AA2425" i="113"/>
  <c r="AE2425" i="113" s="1"/>
  <c r="AI2425" i="113" s="1"/>
  <c r="AD2425" i="113"/>
  <c r="AH2425" i="113" s="1"/>
  <c r="AA2445" i="113"/>
  <c r="AD2445" i="113"/>
  <c r="AH2445" i="113" s="1"/>
  <c r="AA2319" i="113"/>
  <c r="AE2319" i="113" s="1"/>
  <c r="AI2319" i="113" s="1"/>
  <c r="AD2319" i="113"/>
  <c r="AH2319" i="113" s="1"/>
  <c r="AA332" i="113"/>
  <c r="AE332" i="113" s="1"/>
  <c r="AI332" i="113" s="1"/>
  <c r="AD332" i="113"/>
  <c r="AH332" i="113" s="1"/>
  <c r="AA580" i="113"/>
  <c r="AE580" i="113" s="1"/>
  <c r="AI580" i="113" s="1"/>
  <c r="AD580" i="113"/>
  <c r="AH580" i="113" s="1"/>
  <c r="AA1533" i="113"/>
  <c r="AE1533" i="113" s="1"/>
  <c r="AI1533" i="113" s="1"/>
  <c r="AD1533" i="113"/>
  <c r="AH1533" i="113" s="1"/>
  <c r="AA1319" i="113"/>
  <c r="AE1319" i="113" s="1"/>
  <c r="AI1319" i="113" s="1"/>
  <c r="AD1319" i="113"/>
  <c r="AH1319" i="113" s="1"/>
  <c r="AA1531" i="113"/>
  <c r="AD1531" i="113"/>
  <c r="AH1531" i="113" s="1"/>
  <c r="AA1523" i="113"/>
  <c r="AE1523" i="113" s="1"/>
  <c r="AI1523" i="113" s="1"/>
  <c r="AD1523" i="113"/>
  <c r="AH1523" i="113" s="1"/>
  <c r="AA2049" i="113"/>
  <c r="AE2049" i="113" s="1"/>
  <c r="AI2049" i="113" s="1"/>
  <c r="AD2049" i="113"/>
  <c r="AH2049" i="113" s="1"/>
  <c r="AA839" i="113"/>
  <c r="AD839" i="113"/>
  <c r="AH839" i="113" s="1"/>
  <c r="AA868" i="113"/>
  <c r="AE868" i="113" s="1"/>
  <c r="AI868" i="113" s="1"/>
  <c r="AD868" i="113"/>
  <c r="AH868" i="113" s="1"/>
  <c r="AA1548" i="113"/>
  <c r="AD1548" i="113"/>
  <c r="AH1548" i="113" s="1"/>
  <c r="AA1150" i="113"/>
  <c r="AE1150" i="113" s="1"/>
  <c r="AI1150" i="113" s="1"/>
  <c r="AD1150" i="113"/>
  <c r="AH1150" i="113" s="1"/>
  <c r="AA1015" i="113"/>
  <c r="AE1015" i="113" s="1"/>
  <c r="AI1015" i="113" s="1"/>
  <c r="AD1015" i="113"/>
  <c r="AH1015" i="113" s="1"/>
  <c r="AA1965" i="113"/>
  <c r="AE1965" i="113" s="1"/>
  <c r="AI1965" i="113" s="1"/>
  <c r="AD1965" i="113"/>
  <c r="AH1965" i="113" s="1"/>
  <c r="AA1178" i="113"/>
  <c r="AE1178" i="113" s="1"/>
  <c r="AI1178" i="113" s="1"/>
  <c r="AD1178" i="113"/>
  <c r="AH1178" i="113" s="1"/>
  <c r="AA715" i="113"/>
  <c r="AE715" i="113" s="1"/>
  <c r="AI715" i="113" s="1"/>
  <c r="AD715" i="113"/>
  <c r="AH715" i="113" s="1"/>
  <c r="AA2184" i="113"/>
  <c r="AE2184" i="113" s="1"/>
  <c r="AI2184" i="113" s="1"/>
  <c r="AD2184" i="113"/>
  <c r="AH2184" i="113" s="1"/>
  <c r="AA819" i="113"/>
  <c r="AD819" i="113"/>
  <c r="AH819" i="113" s="1"/>
  <c r="AA1197" i="113"/>
  <c r="AE1197" i="113" s="1"/>
  <c r="AI1197" i="113" s="1"/>
  <c r="AD1197" i="113"/>
  <c r="AH1197" i="113" s="1"/>
  <c r="AA2536" i="113"/>
  <c r="AD2536" i="113"/>
  <c r="AH2536" i="113" s="1"/>
  <c r="AA345" i="113"/>
  <c r="AE345" i="113" s="1"/>
  <c r="AI345" i="113" s="1"/>
  <c r="AD345" i="113"/>
  <c r="AH345" i="113" s="1"/>
  <c r="AA2264" i="113"/>
  <c r="AE2264" i="113" s="1"/>
  <c r="AI2264" i="113" s="1"/>
  <c r="AD2264" i="113"/>
  <c r="AH2264" i="113" s="1"/>
  <c r="AA2450" i="113"/>
  <c r="AD2450" i="113"/>
  <c r="AH2450" i="113" s="1"/>
  <c r="AA168" i="113"/>
  <c r="AE168" i="113" s="1"/>
  <c r="AI168" i="113" s="1"/>
  <c r="AD168" i="113"/>
  <c r="AH168" i="113" s="1"/>
  <c r="AA233" i="113"/>
  <c r="AE233" i="113" s="1"/>
  <c r="AI233" i="113" s="1"/>
  <c r="AD233" i="113"/>
  <c r="AH233" i="113" s="1"/>
  <c r="AA2345" i="113"/>
  <c r="AD2345" i="113"/>
  <c r="AH2345" i="113" s="1"/>
  <c r="AA549" i="113"/>
  <c r="AD549" i="113"/>
  <c r="AH549" i="113" s="1"/>
  <c r="AA922" i="113"/>
  <c r="AE922" i="113" s="1"/>
  <c r="AI922" i="113" s="1"/>
  <c r="AD922" i="113"/>
  <c r="AH922" i="113" s="1"/>
  <c r="AA79" i="113"/>
  <c r="AD79" i="113"/>
  <c r="AH79" i="113" s="1"/>
  <c r="AA1363" i="113"/>
  <c r="AD1363" i="113"/>
  <c r="AH1363" i="113" s="1"/>
  <c r="AA1237" i="113"/>
  <c r="AD1237" i="113"/>
  <c r="AH1237" i="113" s="1"/>
  <c r="AA2030" i="113"/>
  <c r="AE2030" i="113" s="1"/>
  <c r="AI2030" i="113" s="1"/>
  <c r="AD2030" i="113"/>
  <c r="AH2030" i="113" s="1"/>
  <c r="AA1915" i="113"/>
  <c r="AE1915" i="113" s="1"/>
  <c r="AI1915" i="113" s="1"/>
  <c r="AD1915" i="113"/>
  <c r="AH1915" i="113" s="1"/>
  <c r="AA2203" i="113"/>
  <c r="AE2203" i="113" s="1"/>
  <c r="AI2203" i="113" s="1"/>
  <c r="AD2203" i="113"/>
  <c r="AH2203" i="113" s="1"/>
  <c r="AA171" i="113"/>
  <c r="AE171" i="113" s="1"/>
  <c r="AI171" i="113" s="1"/>
  <c r="AD171" i="113"/>
  <c r="AH171" i="113" s="1"/>
  <c r="AA1310" i="113"/>
  <c r="AD1310" i="113"/>
  <c r="AH1310" i="113" s="1"/>
  <c r="AA2615" i="113"/>
  <c r="AE2615" i="113" s="1"/>
  <c r="AI2615" i="113" s="1"/>
  <c r="AD2615" i="113"/>
  <c r="AH2615" i="113" s="1"/>
  <c r="AA1292" i="113"/>
  <c r="AE1292" i="113" s="1"/>
  <c r="AI1292" i="113" s="1"/>
  <c r="AD1292" i="113"/>
  <c r="AH1292" i="113" s="1"/>
  <c r="AA744" i="113"/>
  <c r="AE744" i="113" s="1"/>
  <c r="AI744" i="113" s="1"/>
  <c r="AD744" i="113"/>
  <c r="AH744" i="113" s="1"/>
  <c r="AA1330" i="113"/>
  <c r="AE1330" i="113" s="1"/>
  <c r="AI1330" i="113" s="1"/>
  <c r="AD1330" i="113"/>
  <c r="AH1330" i="113" s="1"/>
  <c r="AA1977" i="113"/>
  <c r="AD1977" i="113"/>
  <c r="AH1977" i="113" s="1"/>
  <c r="AA2482" i="113"/>
  <c r="AE2482" i="113" s="1"/>
  <c r="AI2482" i="113" s="1"/>
  <c r="AD2482" i="113"/>
  <c r="AH2482" i="113" s="1"/>
  <c r="AA2201" i="113"/>
  <c r="AD2201" i="113"/>
  <c r="AH2201" i="113" s="1"/>
  <c r="AA1729" i="113"/>
  <c r="AE1729" i="113" s="1"/>
  <c r="AI1729" i="113" s="1"/>
  <c r="AD1729" i="113"/>
  <c r="AH1729" i="113" s="1"/>
  <c r="AA1891" i="113"/>
  <c r="AE1891" i="113" s="1"/>
  <c r="AI1891" i="113" s="1"/>
  <c r="AD1891" i="113"/>
  <c r="AH1891" i="113" s="1"/>
  <c r="AA2251" i="113"/>
  <c r="AD2251" i="113"/>
  <c r="AH2251" i="113" s="1"/>
  <c r="AA679" i="113"/>
  <c r="AE679" i="113" s="1"/>
  <c r="AI679" i="113" s="1"/>
  <c r="AD679" i="113"/>
  <c r="AH679" i="113" s="1"/>
  <c r="AA254" i="113"/>
  <c r="AE254" i="113" s="1"/>
  <c r="AI254" i="113" s="1"/>
  <c r="AD254" i="113"/>
  <c r="AH254" i="113" s="1"/>
  <c r="AA2044" i="113"/>
  <c r="AE2044" i="113" s="1"/>
  <c r="AI2044" i="113" s="1"/>
  <c r="AD2044" i="113"/>
  <c r="AH2044" i="113" s="1"/>
  <c r="AA1599" i="113"/>
  <c r="AE1599" i="113" s="1"/>
  <c r="AI1599" i="113" s="1"/>
  <c r="AD1599" i="113"/>
  <c r="AH1599" i="113" s="1"/>
  <c r="AA1417" i="113"/>
  <c r="AD1417" i="113"/>
  <c r="AH1417" i="113" s="1"/>
  <c r="AA1706" i="113"/>
  <c r="AD1706" i="113"/>
  <c r="AH1706" i="113" s="1"/>
  <c r="AA257" i="113"/>
  <c r="AD257" i="113"/>
  <c r="AH257" i="113" s="1"/>
  <c r="AA861" i="113"/>
  <c r="AD861" i="113"/>
  <c r="AH861" i="113" s="1"/>
  <c r="AA49" i="113"/>
  <c r="AD49" i="113"/>
  <c r="AH49" i="113" s="1"/>
  <c r="AA1583" i="113"/>
  <c r="AD1583" i="113"/>
  <c r="AH1583" i="113" s="1"/>
  <c r="AA2611" i="113"/>
  <c r="AE2611" i="113" s="1"/>
  <c r="AI2611" i="113" s="1"/>
  <c r="AD2611" i="113"/>
  <c r="AH2611" i="113" s="1"/>
  <c r="AA258" i="113"/>
  <c r="AE258" i="113" s="1"/>
  <c r="AI258" i="113" s="1"/>
  <c r="AD258" i="113"/>
  <c r="AH258" i="113" s="1"/>
  <c r="AA307" i="113"/>
  <c r="AE307" i="113" s="1"/>
  <c r="AI307" i="113" s="1"/>
  <c r="AD307" i="113"/>
  <c r="AH307" i="113" s="1"/>
  <c r="AA658" i="113"/>
  <c r="AD658" i="113"/>
  <c r="AH658" i="113" s="1"/>
  <c r="AA961" i="113"/>
  <c r="AE961" i="113" s="1"/>
  <c r="AI961" i="113" s="1"/>
  <c r="AD961" i="113"/>
  <c r="AH961" i="113" s="1"/>
  <c r="AA2185" i="113"/>
  <c r="AD2185" i="113"/>
  <c r="AH2185" i="113" s="1"/>
  <c r="AA1331" i="113"/>
  <c r="AD1331" i="113"/>
  <c r="AH1331" i="113" s="1"/>
  <c r="AA466" i="113"/>
  <c r="AE466" i="113" s="1"/>
  <c r="AI466" i="113" s="1"/>
  <c r="AD466" i="113"/>
  <c r="AH466" i="113" s="1"/>
  <c r="AA1870" i="113"/>
  <c r="AE1870" i="113" s="1"/>
  <c r="AI1870" i="113" s="1"/>
  <c r="AD1870" i="113"/>
  <c r="AH1870" i="113" s="1"/>
  <c r="AA1286" i="113"/>
  <c r="AD1286" i="113"/>
  <c r="AH1286" i="113" s="1"/>
  <c r="AA754" i="113"/>
  <c r="AE754" i="113" s="1"/>
  <c r="AI754" i="113" s="1"/>
  <c r="AD754" i="113"/>
  <c r="AH754" i="113" s="1"/>
  <c r="AA1317" i="113"/>
  <c r="AD1317" i="113"/>
  <c r="AH1317" i="113" s="1"/>
  <c r="AA2563" i="113"/>
  <c r="AE2563" i="113" s="1"/>
  <c r="AI2563" i="113" s="1"/>
  <c r="AD2563" i="113"/>
  <c r="AH2563" i="113" s="1"/>
  <c r="AA297" i="113"/>
  <c r="AE297" i="113" s="1"/>
  <c r="AI297" i="113" s="1"/>
  <c r="AD297" i="113"/>
  <c r="AH297" i="113" s="1"/>
  <c r="AA999" i="113"/>
  <c r="AE999" i="113" s="1"/>
  <c r="AI999" i="113" s="1"/>
  <c r="AD999" i="113"/>
  <c r="AH999" i="113" s="1"/>
  <c r="AA2169" i="113"/>
  <c r="AD2169" i="113"/>
  <c r="AH2169" i="113" s="1"/>
  <c r="AA862" i="113"/>
  <c r="AE862" i="113" s="1"/>
  <c r="AI862" i="113" s="1"/>
  <c r="AD862" i="113"/>
  <c r="AH862" i="113" s="1"/>
  <c r="AA1549" i="113"/>
  <c r="AE1549" i="113" s="1"/>
  <c r="AI1549" i="113" s="1"/>
  <c r="AD1549" i="113"/>
  <c r="AH1549" i="113" s="1"/>
  <c r="AA1939" i="113"/>
  <c r="AD1939" i="113"/>
  <c r="AH1939" i="113" s="1"/>
  <c r="AA1352" i="113"/>
  <c r="AD1352" i="113"/>
  <c r="AH1352" i="113" s="1"/>
  <c r="AA2579" i="113"/>
  <c r="AE2579" i="113" s="1"/>
  <c r="AI2579" i="113" s="1"/>
  <c r="AD2579" i="113"/>
  <c r="AH2579" i="113" s="1"/>
  <c r="AA1519" i="113"/>
  <c r="AE1519" i="113" s="1"/>
  <c r="AI1519" i="113" s="1"/>
  <c r="AD1519" i="113"/>
  <c r="AH1519" i="113" s="1"/>
  <c r="AA1021" i="113"/>
  <c r="AD1021" i="113"/>
  <c r="AH1021" i="113" s="1"/>
  <c r="AA1001" i="113"/>
  <c r="AE1001" i="113" s="1"/>
  <c r="AI1001" i="113" s="1"/>
  <c r="AD1001" i="113"/>
  <c r="AH1001" i="113" s="1"/>
  <c r="AA554" i="113"/>
  <c r="AD554" i="113"/>
  <c r="AH554" i="113" s="1"/>
  <c r="AA1923" i="113"/>
  <c r="AD1923" i="113"/>
  <c r="AH1923" i="113" s="1"/>
  <c r="AA264" i="113"/>
  <c r="AD264" i="113"/>
  <c r="AH264" i="113" s="1"/>
  <c r="AA1530" i="113"/>
  <c r="AE1530" i="113" s="1"/>
  <c r="AI1530" i="113" s="1"/>
  <c r="AD1530" i="113"/>
  <c r="AH1530" i="113" s="1"/>
  <c r="AA123" i="113"/>
  <c r="AD123" i="113"/>
  <c r="AH123" i="113" s="1"/>
  <c r="AA1134" i="113"/>
  <c r="AE1134" i="113" s="1"/>
  <c r="AI1134" i="113" s="1"/>
  <c r="AD1134" i="113"/>
  <c r="AH1134" i="113" s="1"/>
  <c r="AA1507" i="113"/>
  <c r="AE1507" i="113" s="1"/>
  <c r="AI1507" i="113" s="1"/>
  <c r="AD1507" i="113"/>
  <c r="AH1507" i="113" s="1"/>
  <c r="AA59" i="113"/>
  <c r="AE59" i="113" s="1"/>
  <c r="AI59" i="113" s="1"/>
  <c r="AD59" i="113"/>
  <c r="AH59" i="113" s="1"/>
  <c r="AA994" i="113"/>
  <c r="AE994" i="113" s="1"/>
  <c r="AI994" i="113" s="1"/>
  <c r="AD994" i="113"/>
  <c r="AH994" i="113" s="1"/>
  <c r="AA1475" i="113"/>
  <c r="AD1475" i="113"/>
  <c r="AH1475" i="113" s="1"/>
  <c r="AA1838" i="113"/>
  <c r="AE1838" i="113" s="1"/>
  <c r="AI1838" i="113" s="1"/>
  <c r="AD1838" i="113"/>
  <c r="AH1838" i="113" s="1"/>
  <c r="AA131" i="113"/>
  <c r="AD131" i="113"/>
  <c r="AH131" i="113" s="1"/>
  <c r="AA2634" i="113"/>
  <c r="AD2634" i="113"/>
  <c r="AH2634" i="113" s="1"/>
  <c r="AA2459" i="113"/>
  <c r="AE2459" i="113" s="1"/>
  <c r="AI2459" i="113" s="1"/>
  <c r="AD2459" i="113"/>
  <c r="AH2459" i="113" s="1"/>
  <c r="AA401" i="113"/>
  <c r="AE401" i="113" s="1"/>
  <c r="AI401" i="113" s="1"/>
  <c r="AD401" i="113"/>
  <c r="AH401" i="113" s="1"/>
  <c r="AA894" i="113"/>
  <c r="AE894" i="113" s="1"/>
  <c r="AI894" i="113" s="1"/>
  <c r="AD894" i="113"/>
  <c r="AH894" i="113" s="1"/>
  <c r="AA948" i="113"/>
  <c r="AE948" i="113" s="1"/>
  <c r="AI948" i="113" s="1"/>
  <c r="AD948" i="113"/>
  <c r="AH948" i="113" s="1"/>
  <c r="AA64" i="113"/>
  <c r="AD64" i="113"/>
  <c r="AH64" i="113" s="1"/>
  <c r="AA846" i="113"/>
  <c r="AD846" i="113"/>
  <c r="AH846" i="113" s="1"/>
  <c r="AA324" i="113"/>
  <c r="AE324" i="113" s="1"/>
  <c r="AI324" i="113" s="1"/>
  <c r="AD324" i="113"/>
  <c r="AH324" i="113" s="1"/>
  <c r="AA2205" i="113"/>
  <c r="AE2205" i="113" s="1"/>
  <c r="AI2205" i="113" s="1"/>
  <c r="AD2205" i="113"/>
  <c r="AH2205" i="113" s="1"/>
  <c r="AA1631" i="113"/>
  <c r="AE1631" i="113" s="1"/>
  <c r="AI1631" i="113" s="1"/>
  <c r="AD1631" i="113"/>
  <c r="AH1631" i="113" s="1"/>
  <c r="AA1138" i="113"/>
  <c r="AD1138" i="113"/>
  <c r="AH1138" i="113" s="1"/>
  <c r="AE2653" i="113"/>
  <c r="AI2653" i="113" s="1"/>
  <c r="AE5" i="113"/>
  <c r="AI5" i="113" s="1"/>
  <c r="AE44" i="113"/>
  <c r="AI44" i="113" s="1"/>
  <c r="AE986" i="113"/>
  <c r="AI986" i="113" s="1"/>
  <c r="AE672" i="113"/>
  <c r="AI672" i="113" s="1"/>
  <c r="AE923" i="113"/>
  <c r="AI923" i="113" s="1"/>
  <c r="AE1265" i="113"/>
  <c r="AI1265" i="113" s="1"/>
  <c r="AE1497" i="113"/>
  <c r="AI1497" i="113" s="1"/>
  <c r="AA1203" i="113"/>
  <c r="AD1203" i="113"/>
  <c r="AH1203" i="113" s="1"/>
  <c r="AA1508" i="113"/>
  <c r="AD1508" i="113"/>
  <c r="AH1508" i="113" s="1"/>
  <c r="AA1559" i="113"/>
  <c r="AD1559" i="113"/>
  <c r="AH1559" i="113" s="1"/>
  <c r="AA1401" i="113"/>
  <c r="AD1401" i="113"/>
  <c r="AH1401" i="113" s="1"/>
  <c r="AA238" i="113"/>
  <c r="AE238" i="113" s="1"/>
  <c r="AI238" i="113" s="1"/>
  <c r="AD238" i="113"/>
  <c r="AH238" i="113" s="1"/>
  <c r="AA1773" i="113"/>
  <c r="AD1773" i="113"/>
  <c r="AH1773" i="113" s="1"/>
  <c r="AA1341" i="113"/>
  <c r="AE1341" i="113" s="1"/>
  <c r="AI1341" i="113" s="1"/>
  <c r="AD1341" i="113"/>
  <c r="AH1341" i="113" s="1"/>
  <c r="AA2344" i="113"/>
  <c r="AD2344" i="113"/>
  <c r="AH2344" i="113" s="1"/>
  <c r="AA527" i="113"/>
  <c r="AE527" i="113" s="1"/>
  <c r="AI527" i="113" s="1"/>
  <c r="AD527" i="113"/>
  <c r="AH527" i="113" s="1"/>
  <c r="AA1861" i="113"/>
  <c r="AE1861" i="113" s="1"/>
  <c r="AI1861" i="113" s="1"/>
  <c r="AD1861" i="113"/>
  <c r="AH1861" i="113" s="1"/>
  <c r="AA1904" i="113"/>
  <c r="AE1904" i="113" s="1"/>
  <c r="AI1904" i="113" s="1"/>
  <c r="AD1904" i="113"/>
  <c r="AH1904" i="113" s="1"/>
  <c r="AA1793" i="113"/>
  <c r="AE1793" i="113" s="1"/>
  <c r="AI1793" i="113" s="1"/>
  <c r="AD1793" i="113"/>
  <c r="AH1793" i="113" s="1"/>
  <c r="AA969" i="113"/>
  <c r="AE969" i="113" s="1"/>
  <c r="AI969" i="113" s="1"/>
  <c r="AD969" i="113"/>
  <c r="AH969" i="113" s="1"/>
  <c r="AA2339" i="113"/>
  <c r="AE2339" i="113" s="1"/>
  <c r="AI2339" i="113" s="1"/>
  <c r="AD2339" i="113"/>
  <c r="AH2339" i="113" s="1"/>
  <c r="AA1925" i="113"/>
  <c r="AE1925" i="113" s="1"/>
  <c r="AI1925" i="113" s="1"/>
  <c r="AD1925" i="113"/>
  <c r="AH1925" i="113" s="1"/>
  <c r="AA2448" i="113"/>
  <c r="AE2448" i="113" s="1"/>
  <c r="AI2448" i="113" s="1"/>
  <c r="AD2448" i="113"/>
  <c r="AH2448" i="113" s="1"/>
  <c r="AA2223" i="113"/>
  <c r="AD2223" i="113"/>
  <c r="AH2223" i="113" s="1"/>
  <c r="AA1764" i="113"/>
  <c r="AE1764" i="113" s="1"/>
  <c r="AI1764" i="113" s="1"/>
  <c r="AD1764" i="113"/>
  <c r="AH1764" i="113" s="1"/>
  <c r="AA2258" i="113"/>
  <c r="AD2258" i="113"/>
  <c r="AH2258" i="113" s="1"/>
  <c r="AA660" i="113"/>
  <c r="AD660" i="113"/>
  <c r="AH660" i="113" s="1"/>
  <c r="AA1231" i="113"/>
  <c r="AD1231" i="113"/>
  <c r="AH1231" i="113" s="1"/>
  <c r="AA1440" i="113"/>
  <c r="AD1440" i="113"/>
  <c r="AH1440" i="113" s="1"/>
  <c r="AA1235" i="113"/>
  <c r="AD1235" i="113"/>
  <c r="AH1235" i="113" s="1"/>
  <c r="AA2325" i="113"/>
  <c r="AE2325" i="113" s="1"/>
  <c r="AI2325" i="113" s="1"/>
  <c r="AD2325" i="113"/>
  <c r="AH2325" i="113" s="1"/>
  <c r="AA1885" i="113"/>
  <c r="AD1885" i="113"/>
  <c r="AH1885" i="113" s="1"/>
  <c r="AA2502" i="113"/>
  <c r="AD2502" i="113"/>
  <c r="AH2502" i="113" s="1"/>
  <c r="AA1119" i="113"/>
  <c r="AD1119" i="113"/>
  <c r="AH1119" i="113" s="1"/>
  <c r="AA1942" i="113"/>
  <c r="AE1942" i="113" s="1"/>
  <c r="AI1942" i="113" s="1"/>
  <c r="AD1942" i="113"/>
  <c r="AH1942" i="113" s="1"/>
  <c r="AA2245" i="113"/>
  <c r="AE2245" i="113" s="1"/>
  <c r="AI2245" i="113" s="1"/>
  <c r="AD2245" i="113"/>
  <c r="AH2245" i="113" s="1"/>
  <c r="AA1653" i="113"/>
  <c r="AD1653" i="113"/>
  <c r="AH1653" i="113" s="1"/>
  <c r="AA2095" i="113"/>
  <c r="AE2095" i="113" s="1"/>
  <c r="AI2095" i="113" s="1"/>
  <c r="AD2095" i="113"/>
  <c r="AH2095" i="113" s="1"/>
  <c r="AA2272" i="113"/>
  <c r="AD2272" i="113"/>
  <c r="AH2272" i="113" s="1"/>
  <c r="AA1840" i="113"/>
  <c r="AE1840" i="113" s="1"/>
  <c r="AI1840" i="113" s="1"/>
  <c r="AD1840" i="113"/>
  <c r="AH1840" i="113" s="1"/>
  <c r="AA1588" i="113"/>
  <c r="AD1588" i="113"/>
  <c r="AH1588" i="113" s="1"/>
  <c r="AA529" i="113"/>
  <c r="AE529" i="113" s="1"/>
  <c r="AI529" i="113" s="1"/>
  <c r="AD529" i="113"/>
  <c r="AH529" i="113" s="1"/>
  <c r="AA2464" i="113"/>
  <c r="AE2464" i="113" s="1"/>
  <c r="AI2464" i="113" s="1"/>
  <c r="AD2464" i="113"/>
  <c r="AH2464" i="113" s="1"/>
  <c r="AA1900" i="113"/>
  <c r="AD1900" i="113"/>
  <c r="AH1900" i="113" s="1"/>
  <c r="AA2226" i="113"/>
  <c r="AE2226" i="113" s="1"/>
  <c r="AI2226" i="113" s="1"/>
  <c r="AD2226" i="113"/>
  <c r="AH2226" i="113" s="1"/>
  <c r="AA1780" i="113"/>
  <c r="AD1780" i="113"/>
  <c r="AH1780" i="113" s="1"/>
  <c r="AA2152" i="113"/>
  <c r="AD2152" i="113"/>
  <c r="AH2152" i="113" s="1"/>
  <c r="AA2194" i="113"/>
  <c r="AD2194" i="113"/>
  <c r="AH2194" i="113" s="1"/>
  <c r="AA608" i="113"/>
  <c r="AE608" i="113" s="1"/>
  <c r="AI608" i="113" s="1"/>
  <c r="AD608" i="113"/>
  <c r="AH608" i="113" s="1"/>
  <c r="AA2027" i="113"/>
  <c r="AE2027" i="113" s="1"/>
  <c r="AI2027" i="113" s="1"/>
  <c r="AD2027" i="113"/>
  <c r="AH2027" i="113" s="1"/>
  <c r="AA2406" i="113"/>
  <c r="AD2406" i="113"/>
  <c r="AH2406" i="113" s="1"/>
  <c r="AA2308" i="113"/>
  <c r="AE2308" i="113" s="1"/>
  <c r="AI2308" i="113" s="1"/>
  <c r="AD2308" i="113"/>
  <c r="AH2308" i="113" s="1"/>
  <c r="AA1998" i="113"/>
  <c r="AD1998" i="113"/>
  <c r="AH1998" i="113" s="1"/>
  <c r="AA828" i="113"/>
  <c r="AE828" i="113" s="1"/>
  <c r="AI828" i="113" s="1"/>
  <c r="AD828" i="113"/>
  <c r="AH828" i="113" s="1"/>
  <c r="AA1151" i="113"/>
  <c r="AE1151" i="113" s="1"/>
  <c r="AI1151" i="113" s="1"/>
  <c r="AD1151" i="113"/>
  <c r="AH1151" i="113" s="1"/>
  <c r="AA1491" i="113"/>
  <c r="AE1491" i="113" s="1"/>
  <c r="AI1491" i="113" s="1"/>
  <c r="AD1491" i="113"/>
  <c r="AH1491" i="113" s="1"/>
  <c r="AA661" i="113"/>
  <c r="AE661" i="113" s="1"/>
  <c r="AI661" i="113" s="1"/>
  <c r="AD661" i="113"/>
  <c r="AH661" i="113" s="1"/>
  <c r="AA599" i="113"/>
  <c r="AE599" i="113" s="1"/>
  <c r="AI599" i="113" s="1"/>
  <c r="AD599" i="113"/>
  <c r="AH599" i="113" s="1"/>
  <c r="AA1010" i="113"/>
  <c r="AE1010" i="113" s="1"/>
  <c r="AI1010" i="113" s="1"/>
  <c r="AD1010" i="113"/>
  <c r="AH1010" i="113" s="1"/>
  <c r="AA346" i="113"/>
  <c r="AD346" i="113"/>
  <c r="AH346" i="113" s="1"/>
  <c r="AA2148" i="113"/>
  <c r="AD2148" i="113"/>
  <c r="AH2148" i="113" s="1"/>
  <c r="AA1314" i="113"/>
  <c r="AD1314" i="113"/>
  <c r="AH1314" i="113" s="1"/>
  <c r="AA1996" i="113"/>
  <c r="AE1996" i="113" s="1"/>
  <c r="AI1996" i="113" s="1"/>
  <c r="AD1996" i="113"/>
  <c r="AH1996" i="113" s="1"/>
  <c r="AA2217" i="113"/>
  <c r="AE2217" i="113" s="1"/>
  <c r="AI2217" i="113" s="1"/>
  <c r="AD2217" i="113"/>
  <c r="AH2217" i="113" s="1"/>
  <c r="AA2449" i="113"/>
  <c r="AE2449" i="113" s="1"/>
  <c r="AI2449" i="113" s="1"/>
  <c r="AD2449" i="113"/>
  <c r="AH2449" i="113" s="1"/>
  <c r="AA290" i="113"/>
  <c r="AE290" i="113" s="1"/>
  <c r="AI290" i="113" s="1"/>
  <c r="AD290" i="113"/>
  <c r="AH290" i="113" s="1"/>
  <c r="AA1972" i="113"/>
  <c r="AD1972" i="113"/>
  <c r="AH1972" i="113" s="1"/>
  <c r="AA920" i="113"/>
  <c r="AE920" i="113" s="1"/>
  <c r="AI920" i="113" s="1"/>
  <c r="AD920" i="113"/>
  <c r="AH920" i="113" s="1"/>
  <c r="AA1007" i="113"/>
  <c r="AD1007" i="113"/>
  <c r="AH1007" i="113" s="1"/>
  <c r="AA1954" i="113"/>
  <c r="AE1954" i="113" s="1"/>
  <c r="AI1954" i="113" s="1"/>
  <c r="AD1954" i="113"/>
  <c r="AH1954" i="113" s="1"/>
  <c r="AA798" i="113"/>
  <c r="AD798" i="113"/>
  <c r="AH798" i="113" s="1"/>
  <c r="AA565" i="113"/>
  <c r="AD565" i="113"/>
  <c r="AH565" i="113" s="1"/>
  <c r="AA2544" i="113"/>
  <c r="AD2544" i="113"/>
  <c r="AH2544" i="113" s="1"/>
  <c r="AA2213" i="113"/>
  <c r="AD2213" i="113"/>
  <c r="AH2213" i="113" s="1"/>
  <c r="AA490" i="113"/>
  <c r="AD490" i="113"/>
  <c r="AH490" i="113" s="1"/>
  <c r="AA1428" i="113"/>
  <c r="AE1428" i="113" s="1"/>
  <c r="AI1428" i="113" s="1"/>
  <c r="AD1428" i="113"/>
  <c r="AH1428" i="113" s="1"/>
  <c r="AA958" i="113"/>
  <c r="AD958" i="113"/>
  <c r="AH958" i="113" s="1"/>
  <c r="AA54" i="113"/>
  <c r="AD54" i="113"/>
  <c r="AH54" i="113" s="1"/>
  <c r="AA2007" i="113"/>
  <c r="AE2007" i="113" s="1"/>
  <c r="AI2007" i="113" s="1"/>
  <c r="AD2007" i="113"/>
  <c r="AH2007" i="113" s="1"/>
  <c r="AA1196" i="113"/>
  <c r="AD1196" i="113"/>
  <c r="AH1196" i="113" s="1"/>
  <c r="AA319" i="113"/>
  <c r="AE319" i="113" s="1"/>
  <c r="AI319" i="113" s="1"/>
  <c r="AD319" i="113"/>
  <c r="AH319" i="113" s="1"/>
  <c r="AA1763" i="113"/>
  <c r="AE1763" i="113" s="1"/>
  <c r="AI1763" i="113" s="1"/>
  <c r="AD1763" i="113"/>
  <c r="AH1763" i="113" s="1"/>
  <c r="AA2675" i="113"/>
  <c r="AD2675" i="113"/>
  <c r="AH2675" i="113" s="1"/>
  <c r="AA915" i="113"/>
  <c r="AE915" i="113" s="1"/>
  <c r="AI915" i="113" s="1"/>
  <c r="AD915" i="113"/>
  <c r="AH915" i="113" s="1"/>
  <c r="AA563" i="113"/>
  <c r="AD563" i="113"/>
  <c r="AH563" i="113" s="1"/>
  <c r="AA557" i="113"/>
  <c r="AE557" i="113" s="1"/>
  <c r="AI557" i="113" s="1"/>
  <c r="AD557" i="113"/>
  <c r="AH557" i="113" s="1"/>
  <c r="AA1288" i="113"/>
  <c r="AE1288" i="113" s="1"/>
  <c r="AI1288" i="113" s="1"/>
  <c r="AD1288" i="113"/>
  <c r="AH1288" i="113" s="1"/>
  <c r="AA1300" i="113"/>
  <c r="AD1300" i="113"/>
  <c r="AH1300" i="113" s="1"/>
  <c r="AA2160" i="113"/>
  <c r="AD2160" i="113"/>
  <c r="AH2160" i="113" s="1"/>
  <c r="AA1736" i="113"/>
  <c r="AD1736" i="113"/>
  <c r="AH1736" i="113" s="1"/>
  <c r="AA2005" i="113"/>
  <c r="AD2005" i="113"/>
  <c r="AH2005" i="113" s="1"/>
  <c r="AA726" i="113"/>
  <c r="AE726" i="113" s="1"/>
  <c r="AI726" i="113" s="1"/>
  <c r="AD726" i="113"/>
  <c r="AH726" i="113" s="1"/>
  <c r="AA1930" i="113"/>
  <c r="AE1930" i="113" s="1"/>
  <c r="AI1930" i="113" s="1"/>
  <c r="AD1930" i="113"/>
  <c r="AH1930" i="113" s="1"/>
  <c r="AA2428" i="113"/>
  <c r="AD2428" i="113"/>
  <c r="AH2428" i="113" s="1"/>
  <c r="AA1738" i="113"/>
  <c r="AD1738" i="113"/>
  <c r="AH1738" i="113" s="1"/>
  <c r="AA2301" i="113"/>
  <c r="AE2301" i="113" s="1"/>
  <c r="AI2301" i="113" s="1"/>
  <c r="AD2301" i="113"/>
  <c r="AH2301" i="113" s="1"/>
  <c r="AA711" i="113"/>
  <c r="AD711" i="113"/>
  <c r="AH711" i="113" s="1"/>
  <c r="AA77" i="113"/>
  <c r="AE77" i="113" s="1"/>
  <c r="AI77" i="113" s="1"/>
  <c r="AD77" i="113"/>
  <c r="AH77" i="113" s="1"/>
  <c r="AA1206" i="113"/>
  <c r="AE1206" i="113" s="1"/>
  <c r="AI1206" i="113" s="1"/>
  <c r="AD1206" i="113"/>
  <c r="AH1206" i="113" s="1"/>
  <c r="AA1792" i="113"/>
  <c r="AD1792" i="113"/>
  <c r="AH1792" i="113" s="1"/>
  <c r="AA2376" i="113"/>
  <c r="AE2376" i="113" s="1"/>
  <c r="AI2376" i="113" s="1"/>
  <c r="AD2376" i="113"/>
  <c r="AH2376" i="113" s="1"/>
  <c r="AA2658" i="113"/>
  <c r="AD2658" i="113"/>
  <c r="AH2658" i="113" s="1"/>
  <c r="AA78" i="113"/>
  <c r="AE78" i="113" s="1"/>
  <c r="AI78" i="113" s="1"/>
  <c r="AD78" i="113"/>
  <c r="AH78" i="113" s="1"/>
  <c r="AA188" i="113"/>
  <c r="AE188" i="113" s="1"/>
  <c r="AI188" i="113" s="1"/>
  <c r="AD188" i="113"/>
  <c r="AH188" i="113" s="1"/>
  <c r="AA404" i="113"/>
  <c r="AE404" i="113" s="1"/>
  <c r="AI404" i="113" s="1"/>
  <c r="AD404" i="113"/>
  <c r="AH404" i="113" s="1"/>
  <c r="AA2444" i="113"/>
  <c r="AE2444" i="113" s="1"/>
  <c r="AI2444" i="113" s="1"/>
  <c r="AD2444" i="113"/>
  <c r="AH2444" i="113" s="1"/>
  <c r="AA1901" i="113"/>
  <c r="AE1901" i="113" s="1"/>
  <c r="AI1901" i="113" s="1"/>
  <c r="AD1901" i="113"/>
  <c r="AH1901" i="113" s="1"/>
  <c r="AA1623" i="113"/>
  <c r="AE1623" i="113" s="1"/>
  <c r="AI1623" i="113" s="1"/>
  <c r="AD1623" i="113"/>
  <c r="AH1623" i="113" s="1"/>
  <c r="AA2379" i="113"/>
  <c r="AD2379" i="113"/>
  <c r="AH2379" i="113" s="1"/>
  <c r="AA212" i="113"/>
  <c r="AE212" i="113" s="1"/>
  <c r="AI212" i="113" s="1"/>
  <c r="AD212" i="113"/>
  <c r="AH212" i="113" s="1"/>
  <c r="AA2507" i="113"/>
  <c r="AD2507" i="113"/>
  <c r="AH2507" i="113" s="1"/>
  <c r="AA2075" i="113"/>
  <c r="AD2075" i="113"/>
  <c r="AH2075" i="113" s="1"/>
  <c r="AA810" i="113"/>
  <c r="AE810" i="113" s="1"/>
  <c r="AI810" i="113" s="1"/>
  <c r="AD810" i="113"/>
  <c r="AH810" i="113" s="1"/>
  <c r="AA1721" i="113"/>
  <c r="AE1721" i="113" s="1"/>
  <c r="AI1721" i="113" s="1"/>
  <c r="AD1721" i="113"/>
  <c r="AH1721" i="113" s="1"/>
  <c r="AA2632" i="113"/>
  <c r="AD2632" i="113"/>
  <c r="AH2632" i="113" s="1"/>
  <c r="AA1478" i="113"/>
  <c r="AD1478" i="113"/>
  <c r="AH1478" i="113" s="1"/>
  <c r="AA2249" i="113"/>
  <c r="AD2249" i="113"/>
  <c r="AH2249" i="113" s="1"/>
  <c r="AA1011" i="113"/>
  <c r="AD1011" i="113"/>
  <c r="AH1011" i="113" s="1"/>
  <c r="AA1413" i="113"/>
  <c r="AE1413" i="113" s="1"/>
  <c r="AI1413" i="113" s="1"/>
  <c r="AD1413" i="113"/>
  <c r="AH1413" i="113" s="1"/>
  <c r="AA37" i="113"/>
  <c r="AE37" i="113" s="1"/>
  <c r="AI37" i="113" s="1"/>
  <c r="AD37" i="113"/>
  <c r="AH37" i="113" s="1"/>
  <c r="AA2151" i="113"/>
  <c r="AE2151" i="113" s="1"/>
  <c r="AI2151" i="113" s="1"/>
  <c r="AD2151" i="113"/>
  <c r="AH2151" i="113" s="1"/>
  <c r="AA1850" i="113"/>
  <c r="AD1850" i="113"/>
  <c r="AH1850" i="113" s="1"/>
  <c r="AA1375" i="113"/>
  <c r="AD1375" i="113"/>
  <c r="AH1375" i="113" s="1"/>
  <c r="AA445" i="113"/>
  <c r="AE445" i="113" s="1"/>
  <c r="AI445" i="113" s="1"/>
  <c r="AD445" i="113"/>
  <c r="AH445" i="113" s="1"/>
  <c r="AA2430" i="113"/>
  <c r="AE2430" i="113" s="1"/>
  <c r="AI2430" i="113" s="1"/>
  <c r="AD2430" i="113"/>
  <c r="AH2430" i="113" s="1"/>
  <c r="AA590" i="113"/>
  <c r="AE590" i="113" s="1"/>
  <c r="AI590" i="113" s="1"/>
  <c r="AD590" i="113"/>
  <c r="AH590" i="113" s="1"/>
  <c r="AA2153" i="113"/>
  <c r="AE2153" i="113" s="1"/>
  <c r="AI2153" i="113" s="1"/>
  <c r="AD2153" i="113"/>
  <c r="AH2153" i="113" s="1"/>
  <c r="AA723" i="113"/>
  <c r="AE723" i="113" s="1"/>
  <c r="AI723" i="113" s="1"/>
  <c r="AD723" i="113"/>
  <c r="AH723" i="113" s="1"/>
  <c r="AA2372" i="113"/>
  <c r="AD2372" i="113"/>
  <c r="AH2372" i="113" s="1"/>
  <c r="AE2004" i="113"/>
  <c r="AI2004" i="113" s="1"/>
  <c r="AE406" i="113"/>
  <c r="AI406" i="113" s="1"/>
  <c r="AE1615" i="113"/>
  <c r="AI1615" i="113" s="1"/>
  <c r="AE2143" i="113"/>
  <c r="AI2143" i="113" s="1"/>
  <c r="AE369" i="113"/>
  <c r="AI369" i="113" s="1"/>
  <c r="AE2150" i="113"/>
  <c r="AI2150" i="113" s="1"/>
  <c r="AE2083" i="113"/>
  <c r="AI2083" i="113" s="1"/>
  <c r="AE902" i="113"/>
  <c r="AI902" i="113" s="1"/>
  <c r="AE11" i="113"/>
  <c r="AI11" i="113" s="1"/>
  <c r="AA1131" i="113"/>
  <c r="AD1131" i="113"/>
  <c r="AH1131" i="113" s="1"/>
  <c r="AA1133" i="113"/>
  <c r="AD1133" i="113"/>
  <c r="AH1133" i="113" s="1"/>
  <c r="AA1787" i="113"/>
  <c r="AD1787" i="113"/>
  <c r="AH1787" i="113" s="1"/>
  <c r="AA1869" i="113"/>
  <c r="AD1869" i="113"/>
  <c r="AH1869" i="113" s="1"/>
  <c r="AA2671" i="113"/>
  <c r="AE2671" i="113" s="1"/>
  <c r="AI2671" i="113" s="1"/>
  <c r="AD2671" i="113"/>
  <c r="AH2671" i="113" s="1"/>
  <c r="AA860" i="113"/>
  <c r="AD860" i="113"/>
  <c r="AH860" i="113" s="1"/>
  <c r="AA1752" i="113"/>
  <c r="AD1752" i="113"/>
  <c r="AH1752" i="113" s="1"/>
  <c r="AA983" i="113"/>
  <c r="AE983" i="113" s="1"/>
  <c r="AI983" i="113" s="1"/>
  <c r="AD983" i="113"/>
  <c r="AH983" i="113" s="1"/>
  <c r="AA779" i="113"/>
  <c r="AE779" i="113" s="1"/>
  <c r="AI779" i="113" s="1"/>
  <c r="AD779" i="113"/>
  <c r="AH779" i="113" s="1"/>
  <c r="AA1308" i="113"/>
  <c r="AE1308" i="113" s="1"/>
  <c r="AI1308" i="113" s="1"/>
  <c r="AD1308" i="113"/>
  <c r="AH1308" i="113" s="1"/>
  <c r="AA203" i="113"/>
  <c r="AE203" i="113" s="1"/>
  <c r="AI203" i="113" s="1"/>
  <c r="AD203" i="113"/>
  <c r="AH203" i="113" s="1"/>
  <c r="AA747" i="113"/>
  <c r="AD747" i="113"/>
  <c r="AH747" i="113" s="1"/>
  <c r="AA444" i="113"/>
  <c r="AD444" i="113"/>
  <c r="AH444" i="113" s="1"/>
  <c r="AA606" i="113"/>
  <c r="AE606" i="113" s="1"/>
  <c r="AI606" i="113" s="1"/>
  <c r="AD606" i="113"/>
  <c r="AH606" i="113" s="1"/>
  <c r="AA1625" i="113"/>
  <c r="AD1625" i="113"/>
  <c r="AH1625" i="113" s="1"/>
  <c r="AA105" i="113"/>
  <c r="AE105" i="113" s="1"/>
  <c r="AI105" i="113" s="1"/>
  <c r="AD105" i="113"/>
  <c r="AH105" i="113" s="1"/>
  <c r="AA1144" i="113"/>
  <c r="AE1144" i="113" s="1"/>
  <c r="AI1144" i="113" s="1"/>
  <c r="AD1144" i="113"/>
  <c r="AH1144" i="113" s="1"/>
  <c r="AA1469" i="113"/>
  <c r="AE1469" i="113" s="1"/>
  <c r="AI1469" i="113" s="1"/>
  <c r="AD1469" i="113"/>
  <c r="AH1469" i="113" s="1"/>
  <c r="AA1230" i="113"/>
  <c r="AD1230" i="113"/>
  <c r="AH1230" i="113" s="1"/>
  <c r="AA758" i="113"/>
  <c r="AE758" i="113" s="1"/>
  <c r="AI758" i="113" s="1"/>
  <c r="AD758" i="113"/>
  <c r="AH758" i="113" s="1"/>
  <c r="AA1463" i="113"/>
  <c r="AE1463" i="113" s="1"/>
  <c r="AI1463" i="113" s="1"/>
  <c r="AD1463" i="113"/>
  <c r="AH1463" i="113" s="1"/>
  <c r="AA170" i="113"/>
  <c r="AE170" i="113" s="1"/>
  <c r="AI170" i="113" s="1"/>
  <c r="AD170" i="113"/>
  <c r="AH170" i="113" s="1"/>
  <c r="AA2607" i="113"/>
  <c r="AD2607" i="113"/>
  <c r="AH2607" i="113" s="1"/>
  <c r="AA842" i="113"/>
  <c r="AE842" i="113" s="1"/>
  <c r="AI842" i="113" s="1"/>
  <c r="AD842" i="113"/>
  <c r="AH842" i="113" s="1"/>
  <c r="AA1561" i="113"/>
  <c r="AE1561" i="113" s="1"/>
  <c r="AI1561" i="113" s="1"/>
  <c r="AD1561" i="113"/>
  <c r="AH1561" i="113" s="1"/>
  <c r="AA143" i="113"/>
  <c r="AE143" i="113" s="1"/>
  <c r="AI143" i="113" s="1"/>
  <c r="AD143" i="113"/>
  <c r="AH143" i="113" s="1"/>
  <c r="AA1724" i="113"/>
  <c r="AD1724" i="113"/>
  <c r="AH1724" i="113" s="1"/>
  <c r="AA2505" i="113"/>
  <c r="AD2505" i="113"/>
  <c r="AH2505" i="113" s="1"/>
  <c r="AA835" i="113"/>
  <c r="AE835" i="113" s="1"/>
  <c r="AI835" i="113" s="1"/>
  <c r="AD835" i="113"/>
  <c r="AH835" i="113" s="1"/>
  <c r="AA2239" i="113"/>
  <c r="AD2239" i="113"/>
  <c r="AH2239" i="113" s="1"/>
  <c r="AA1866" i="113"/>
  <c r="AE1866" i="113" s="1"/>
  <c r="AI1866" i="113" s="1"/>
  <c r="AD1866" i="113"/>
  <c r="AH1866" i="113" s="1"/>
  <c r="AA1620" i="113"/>
  <c r="AD1620" i="113"/>
  <c r="AH1620" i="113" s="1"/>
  <c r="AA2296" i="113"/>
  <c r="AE2296" i="113" s="1"/>
  <c r="AI2296" i="113" s="1"/>
  <c r="AD2296" i="113"/>
  <c r="AH2296" i="113" s="1"/>
  <c r="AA2266" i="113"/>
  <c r="AE2266" i="113" s="1"/>
  <c r="AI2266" i="113" s="1"/>
  <c r="AD2266" i="113"/>
  <c r="AH2266" i="113" s="1"/>
  <c r="AA280" i="113"/>
  <c r="AE280" i="113" s="1"/>
  <c r="AI280" i="113" s="1"/>
  <c r="AD280" i="113"/>
  <c r="AH280" i="113" s="1"/>
  <c r="AA531" i="113"/>
  <c r="AE531" i="113" s="1"/>
  <c r="AI531" i="113" s="1"/>
  <c r="AD531" i="113"/>
  <c r="AH531" i="113" s="1"/>
  <c r="AA2029" i="113"/>
  <c r="AD2029" i="113"/>
  <c r="AH2029" i="113" s="1"/>
  <c r="AA818" i="113"/>
  <c r="AD818" i="113"/>
  <c r="AH818" i="113" s="1"/>
  <c r="AE1389" i="113"/>
  <c r="AI1389" i="113" s="1"/>
  <c r="AE556" i="113"/>
  <c r="AI556" i="113" s="1"/>
  <c r="AE2397" i="113"/>
  <c r="AI2397" i="113" s="1"/>
  <c r="AE1618" i="113"/>
  <c r="AI1618" i="113" s="1"/>
  <c r="AE2253" i="113"/>
  <c r="AI2253" i="113" s="1"/>
  <c r="AE112" i="113"/>
  <c r="AI112" i="113" s="1"/>
  <c r="AE1105" i="113"/>
  <c r="AI1105" i="113" s="1"/>
  <c r="AE1443" i="113"/>
  <c r="AI1443" i="113" s="1"/>
  <c r="AE1294" i="113"/>
  <c r="AI1294" i="113" s="1"/>
  <c r="AA2250" i="113"/>
  <c r="AE2250" i="113" s="1"/>
  <c r="AI2250" i="113" s="1"/>
  <c r="AD2250" i="113"/>
  <c r="AH2250" i="113" s="1"/>
  <c r="AA1078" i="113"/>
  <c r="AD1078" i="113"/>
  <c r="AH1078" i="113" s="1"/>
  <c r="AA1405" i="113"/>
  <c r="AD1405" i="113"/>
  <c r="AH1405" i="113" s="1"/>
  <c r="AA611" i="113"/>
  <c r="AE611" i="113" s="1"/>
  <c r="AI611" i="113" s="1"/>
  <c r="AD611" i="113"/>
  <c r="AH611" i="113" s="1"/>
  <c r="AA1130" i="113"/>
  <c r="AE1130" i="113" s="1"/>
  <c r="AI1130" i="113" s="1"/>
  <c r="AD1130" i="113"/>
  <c r="AH1130" i="113" s="1"/>
  <c r="AA2387" i="113"/>
  <c r="AE2387" i="113" s="1"/>
  <c r="AI2387" i="113" s="1"/>
  <c r="AD2387" i="113"/>
  <c r="AH2387" i="113" s="1"/>
  <c r="AA2592" i="113"/>
  <c r="AD2592" i="113"/>
  <c r="AH2592" i="113" s="1"/>
  <c r="AA169" i="113"/>
  <c r="AE169" i="113" s="1"/>
  <c r="AI169" i="113" s="1"/>
  <c r="AD169" i="113"/>
  <c r="AH169" i="113" s="1"/>
  <c r="AA1200" i="113"/>
  <c r="AE1200" i="113" s="1"/>
  <c r="AI1200" i="113" s="1"/>
  <c r="AD1200" i="113"/>
  <c r="AH1200" i="113" s="1"/>
  <c r="AA1985" i="113"/>
  <c r="AE1985" i="113" s="1"/>
  <c r="AI1985" i="113" s="1"/>
  <c r="AD1985" i="113"/>
  <c r="AH1985" i="113" s="1"/>
  <c r="AA100" i="113"/>
  <c r="AE100" i="113" s="1"/>
  <c r="AI100" i="113" s="1"/>
  <c r="AD100" i="113"/>
  <c r="AH100" i="113" s="1"/>
  <c r="AA980" i="113"/>
  <c r="AE980" i="113" s="1"/>
  <c r="AI980" i="113" s="1"/>
  <c r="AD980" i="113"/>
  <c r="AH980" i="113" s="1"/>
  <c r="AA1232" i="113"/>
  <c r="AE1232" i="113" s="1"/>
  <c r="AI1232" i="113" s="1"/>
  <c r="AD1232" i="113"/>
  <c r="AH1232" i="113" s="1"/>
  <c r="AA2572" i="113"/>
  <c r="AD2572" i="113"/>
  <c r="AH2572" i="113" s="1"/>
  <c r="AA318" i="113"/>
  <c r="AD318" i="113"/>
  <c r="AH318" i="113" s="1"/>
  <c r="AA2055" i="113"/>
  <c r="AD2055" i="113"/>
  <c r="AH2055" i="113" s="1"/>
  <c r="AA408" i="113"/>
  <c r="AE408" i="113" s="1"/>
  <c r="AI408" i="113" s="1"/>
  <c r="AD408" i="113"/>
  <c r="AH408" i="113" s="1"/>
  <c r="AA647" i="113"/>
  <c r="AD647" i="113"/>
  <c r="AH647" i="113" s="1"/>
  <c r="AA609" i="113"/>
  <c r="AD609" i="113"/>
  <c r="AH609" i="113" s="1"/>
  <c r="AA2149" i="113"/>
  <c r="AE2149" i="113" s="1"/>
  <c r="AI2149" i="113" s="1"/>
  <c r="AD2149" i="113"/>
  <c r="AH2149" i="113" s="1"/>
  <c r="AA1420" i="113"/>
  <c r="AE1420" i="113" s="1"/>
  <c r="AI1420" i="113" s="1"/>
  <c r="AD1420" i="113"/>
  <c r="AH1420" i="113" s="1"/>
  <c r="AA1251" i="113"/>
  <c r="AD1251" i="113"/>
  <c r="AH1251" i="113" s="1"/>
  <c r="AA2162" i="113"/>
  <c r="AD2162" i="113"/>
  <c r="AH2162" i="113" s="1"/>
  <c r="AA1090" i="113"/>
  <c r="AE1090" i="113" s="1"/>
  <c r="AI1090" i="113" s="1"/>
  <c r="AD1090" i="113"/>
  <c r="AH1090" i="113" s="1"/>
  <c r="AA889" i="113"/>
  <c r="AD889" i="113"/>
  <c r="AH889" i="113" s="1"/>
  <c r="AA528" i="113"/>
  <c r="AD528" i="113"/>
  <c r="AH528" i="113" s="1"/>
  <c r="AA1696" i="113"/>
  <c r="AD1696" i="113"/>
  <c r="AH1696" i="113" s="1"/>
  <c r="AA2180" i="113"/>
  <c r="AD2180" i="113"/>
  <c r="AH2180" i="113" s="1"/>
  <c r="AA2154" i="113"/>
  <c r="AE2154" i="113" s="1"/>
  <c r="AI2154" i="113" s="1"/>
  <c r="AD2154" i="113"/>
  <c r="AH2154" i="113" s="1"/>
  <c r="AA2312" i="113"/>
  <c r="AD2312" i="113"/>
  <c r="AH2312" i="113" s="1"/>
  <c r="AA2567" i="113"/>
  <c r="AD2567" i="113"/>
  <c r="AH2567" i="113" s="1"/>
  <c r="AA1438" i="113"/>
  <c r="AE1438" i="113" s="1"/>
  <c r="AI1438" i="113" s="1"/>
  <c r="AD1438" i="113"/>
  <c r="AH1438" i="113" s="1"/>
  <c r="AA2058" i="113"/>
  <c r="AE2058" i="113" s="1"/>
  <c r="AI2058" i="113" s="1"/>
  <c r="AD2058" i="113"/>
  <c r="AH2058" i="113" s="1"/>
  <c r="AA912" i="113"/>
  <c r="AE912" i="113" s="1"/>
  <c r="AI912" i="113" s="1"/>
  <c r="AD912" i="113"/>
  <c r="AH912" i="113" s="1"/>
  <c r="AA909" i="113"/>
  <c r="AD909" i="113"/>
  <c r="AH909" i="113" s="1"/>
  <c r="AA380" i="113"/>
  <c r="AE380" i="113" s="1"/>
  <c r="AI380" i="113" s="1"/>
  <c r="AD380" i="113"/>
  <c r="AH380" i="113" s="1"/>
  <c r="AA296" i="113"/>
  <c r="AE296" i="113" s="1"/>
  <c r="AI296" i="113" s="1"/>
  <c r="AD296" i="113"/>
  <c r="AH296" i="113" s="1"/>
  <c r="AA784" i="113"/>
  <c r="AD784" i="113"/>
  <c r="AH784" i="113" s="1"/>
  <c r="AA2271" i="113"/>
  <c r="AE2271" i="113" s="1"/>
  <c r="AI2271" i="113" s="1"/>
  <c r="AD2271" i="113"/>
  <c r="AH2271" i="113" s="1"/>
  <c r="AA2420" i="113"/>
  <c r="AE2420" i="113" s="1"/>
  <c r="AI2420" i="113" s="1"/>
  <c r="AD2420" i="113"/>
  <c r="AH2420" i="113" s="1"/>
  <c r="AA925" i="113"/>
  <c r="AE925" i="113" s="1"/>
  <c r="AI925" i="113" s="1"/>
  <c r="AD925" i="113"/>
  <c r="AH925" i="113" s="1"/>
  <c r="AA1480" i="113"/>
  <c r="AD1480" i="113"/>
  <c r="AH1480" i="113" s="1"/>
  <c r="AA1537" i="113"/>
  <c r="AE1537" i="113" s="1"/>
  <c r="AI1537" i="113" s="1"/>
  <c r="AD1537" i="113"/>
  <c r="AH1537" i="113" s="1"/>
  <c r="AA481" i="113"/>
  <c r="AE481" i="113" s="1"/>
  <c r="AI481" i="113" s="1"/>
  <c r="AD481" i="113"/>
  <c r="AH481" i="113" s="1"/>
  <c r="AA2627" i="113"/>
  <c r="AD2627" i="113"/>
  <c r="AH2627" i="113" s="1"/>
  <c r="AA1723" i="113"/>
  <c r="AD1723" i="113"/>
  <c r="AH1723" i="113" s="1"/>
  <c r="AA2648" i="113"/>
  <c r="AD2648" i="113"/>
  <c r="AH2648" i="113" s="1"/>
  <c r="AA2304" i="113"/>
  <c r="AE2304" i="113" s="1"/>
  <c r="AI2304" i="113" s="1"/>
  <c r="AD2304" i="113"/>
  <c r="AH2304" i="113" s="1"/>
  <c r="AA2599" i="113"/>
  <c r="AD2599" i="113"/>
  <c r="AH2599" i="113" s="1"/>
  <c r="AA1903" i="113"/>
  <c r="AE1903" i="113" s="1"/>
  <c r="AI1903" i="113" s="1"/>
  <c r="AD1903" i="113"/>
  <c r="AH1903" i="113" s="1"/>
  <c r="AA350" i="113"/>
  <c r="AD350" i="113"/>
  <c r="AH350" i="113" s="1"/>
  <c r="AA776" i="113"/>
  <c r="AD776" i="113"/>
  <c r="AH776" i="113" s="1"/>
  <c r="AA1032" i="113"/>
  <c r="AE1032" i="113" s="1"/>
  <c r="AI1032" i="113" s="1"/>
  <c r="AD1032" i="113"/>
  <c r="AH1032" i="113" s="1"/>
  <c r="AA2518" i="113"/>
  <c r="AE2518" i="113" s="1"/>
  <c r="AI2518" i="113" s="1"/>
  <c r="AD2518" i="113"/>
  <c r="AH2518" i="113" s="1"/>
  <c r="AA821" i="113"/>
  <c r="AE821" i="113" s="1"/>
  <c r="AI821" i="113" s="1"/>
  <c r="AD821" i="113"/>
  <c r="AH821" i="113" s="1"/>
  <c r="AA851" i="113"/>
  <c r="AE851" i="113" s="1"/>
  <c r="AI851" i="113" s="1"/>
  <c r="AD851" i="113"/>
  <c r="AH851" i="113" s="1"/>
  <c r="AA928" i="113"/>
  <c r="AE928" i="113" s="1"/>
  <c r="AI928" i="113" s="1"/>
  <c r="AD928" i="113"/>
  <c r="AH928" i="113" s="1"/>
  <c r="AA1529" i="113"/>
  <c r="AD1529" i="113"/>
  <c r="AH1529" i="113" s="1"/>
  <c r="AA1121" i="113"/>
  <c r="AE1121" i="113" s="1"/>
  <c r="AI1121" i="113" s="1"/>
  <c r="AD1121" i="113"/>
  <c r="AH1121" i="113" s="1"/>
  <c r="AA2116" i="113"/>
  <c r="AE2116" i="113" s="1"/>
  <c r="AI2116" i="113" s="1"/>
  <c r="AD2116" i="113"/>
  <c r="AH2116" i="113" s="1"/>
  <c r="AA2335" i="113"/>
  <c r="AD2335" i="113"/>
  <c r="AH2335" i="113" s="1"/>
  <c r="AA1728" i="113"/>
  <c r="AE1728" i="113" s="1"/>
  <c r="AI1728" i="113" s="1"/>
  <c r="AD1728" i="113"/>
  <c r="AH1728" i="113" s="1"/>
  <c r="AA2056" i="113"/>
  <c r="AE2056" i="113" s="1"/>
  <c r="AI2056" i="113" s="1"/>
  <c r="AD2056" i="113"/>
  <c r="AH2056" i="113" s="1"/>
  <c r="AA2080" i="113"/>
  <c r="AD2080" i="113"/>
  <c r="AH2080" i="113" s="1"/>
  <c r="AA1717" i="113"/>
  <c r="AD1717" i="113"/>
  <c r="AH1717" i="113" s="1"/>
  <c r="AA426" i="113"/>
  <c r="AD426" i="113"/>
  <c r="AH426" i="113" s="1"/>
  <c r="AA251" i="113"/>
  <c r="AE251" i="113" s="1"/>
  <c r="AI251" i="113" s="1"/>
  <c r="AD251" i="113"/>
  <c r="AH251" i="113" s="1"/>
  <c r="AA2337" i="113"/>
  <c r="AD2337" i="113"/>
  <c r="AH2337" i="113" s="1"/>
  <c r="AA1184" i="113"/>
  <c r="AE1184" i="113" s="1"/>
  <c r="AI1184" i="113" s="1"/>
  <c r="AD1184" i="113"/>
  <c r="AH1184" i="113" s="1"/>
  <c r="AA2571" i="113"/>
  <c r="AD2571" i="113"/>
  <c r="AH2571" i="113" s="1"/>
  <c r="AA2456" i="113"/>
  <c r="AD2456" i="113"/>
  <c r="AH2456" i="113" s="1"/>
  <c r="AA1380" i="113"/>
  <c r="AD1380" i="113"/>
  <c r="AH1380" i="113" s="1"/>
  <c r="AA2079" i="113"/>
  <c r="AE2079" i="113" s="1"/>
  <c r="AI2079" i="113" s="1"/>
  <c r="AD2079" i="113"/>
  <c r="AH2079" i="113" s="1"/>
  <c r="AA409" i="113"/>
  <c r="AD409" i="113"/>
  <c r="AH409" i="113" s="1"/>
  <c r="AA1553" i="113"/>
  <c r="AE1553" i="113" s="1"/>
  <c r="AI1553" i="113" s="1"/>
  <c r="AD1553" i="113"/>
  <c r="AH1553" i="113" s="1"/>
  <c r="AA943" i="113"/>
  <c r="AD943" i="113"/>
  <c r="AH943" i="113" s="1"/>
  <c r="AA33" i="113"/>
  <c r="AE33" i="113" s="1"/>
  <c r="AI33" i="113" s="1"/>
  <c r="AD33" i="113"/>
  <c r="AH33" i="113" s="1"/>
  <c r="AA1094" i="113"/>
  <c r="AD1094" i="113"/>
  <c r="AH1094" i="113" s="1"/>
  <c r="AA898" i="113"/>
  <c r="AE898" i="113" s="1"/>
  <c r="AI898" i="113" s="1"/>
  <c r="AD898" i="113"/>
  <c r="AH898" i="113" s="1"/>
  <c r="AA1163" i="113"/>
  <c r="AE1163" i="113" s="1"/>
  <c r="AI1163" i="113" s="1"/>
  <c r="AD1163" i="113"/>
  <c r="AH1163" i="113" s="1"/>
  <c r="AA282" i="113"/>
  <c r="AE282" i="113" s="1"/>
  <c r="AI282" i="113" s="1"/>
  <c r="AD282" i="113"/>
  <c r="AH282" i="113" s="1"/>
  <c r="AA1404" i="113"/>
  <c r="AE1404" i="113" s="1"/>
  <c r="AI1404" i="113" s="1"/>
  <c r="AD1404" i="113"/>
  <c r="AH1404" i="113" s="1"/>
  <c r="AA678" i="113"/>
  <c r="AD678" i="113"/>
  <c r="AH678" i="113" s="1"/>
  <c r="AA2528" i="113"/>
  <c r="AE2528" i="113" s="1"/>
  <c r="AI2528" i="113" s="1"/>
  <c r="AD2528" i="113"/>
  <c r="AH2528" i="113" s="1"/>
  <c r="AA2291" i="113"/>
  <c r="AE2291" i="113" s="1"/>
  <c r="AI2291" i="113" s="1"/>
  <c r="AD2291" i="113"/>
  <c r="AH2291" i="113" s="1"/>
  <c r="AA1034" i="113"/>
  <c r="AE1034" i="113" s="1"/>
  <c r="AI1034" i="113" s="1"/>
  <c r="AD1034" i="113"/>
  <c r="AH1034" i="113" s="1"/>
  <c r="AA1596" i="113"/>
  <c r="AE1596" i="113" s="1"/>
  <c r="AI1596" i="113" s="1"/>
  <c r="AD1596" i="113"/>
  <c r="AH1596" i="113" s="1"/>
  <c r="AA1581" i="113"/>
  <c r="AD1581" i="113"/>
  <c r="AH1581" i="113" s="1"/>
  <c r="AA450" i="113"/>
  <c r="AE450" i="113" s="1"/>
  <c r="AI450" i="113" s="1"/>
  <c r="AD450" i="113"/>
  <c r="AH450" i="113" s="1"/>
  <c r="AA2026" i="113"/>
  <c r="AD2026" i="113"/>
  <c r="AH2026" i="113" s="1"/>
  <c r="AA545" i="113"/>
  <c r="AE545" i="113" s="1"/>
  <c r="AI545" i="113" s="1"/>
  <c r="AD545" i="113"/>
  <c r="AH545" i="113" s="1"/>
  <c r="AA353" i="113"/>
  <c r="AE353" i="113" s="1"/>
  <c r="AI353" i="113" s="1"/>
  <c r="AD353" i="113"/>
  <c r="AH353" i="113" s="1"/>
  <c r="AA2102" i="113"/>
  <c r="AE2102" i="113" s="1"/>
  <c r="AI2102" i="113" s="1"/>
  <c r="AD2102" i="113"/>
  <c r="AH2102" i="113" s="1"/>
  <c r="AA2673" i="113"/>
  <c r="AD2673" i="113"/>
  <c r="AH2673" i="113" s="1"/>
  <c r="AA427" i="113"/>
  <c r="AD427" i="113"/>
  <c r="AH427" i="113" s="1"/>
  <c r="AA309" i="113"/>
  <c r="AE309" i="113" s="1"/>
  <c r="AI309" i="113" s="1"/>
  <c r="AD309" i="113"/>
  <c r="AH309" i="113" s="1"/>
  <c r="AA2647" i="113"/>
  <c r="AD2647" i="113"/>
  <c r="AH2647" i="113" s="1"/>
  <c r="AA508" i="113"/>
  <c r="AE508" i="113" s="1"/>
  <c r="AI508" i="113" s="1"/>
  <c r="AD508" i="113"/>
  <c r="AH508" i="113" s="1"/>
  <c r="AA103" i="113"/>
  <c r="AD103" i="113"/>
  <c r="AH103" i="113" s="1"/>
  <c r="AA1656" i="113"/>
  <c r="AE1656" i="113" s="1"/>
  <c r="AI1656" i="113" s="1"/>
  <c r="AD1656" i="113"/>
  <c r="AH1656" i="113" s="1"/>
  <c r="AA764" i="113"/>
  <c r="AE764" i="113" s="1"/>
  <c r="AI764" i="113" s="1"/>
  <c r="AD764" i="113"/>
  <c r="AH764" i="113" s="1"/>
  <c r="AA1725" i="113"/>
  <c r="AD1725" i="113"/>
  <c r="AH1725" i="113" s="1"/>
  <c r="AA1221" i="113"/>
  <c r="AE1221" i="113" s="1"/>
  <c r="AI1221" i="113" s="1"/>
  <c r="AD1221" i="113"/>
  <c r="AH1221" i="113" s="1"/>
  <c r="AA621" i="113"/>
  <c r="AD621" i="113"/>
  <c r="AH621" i="113" s="1"/>
  <c r="AA879" i="113"/>
  <c r="AE879" i="113" s="1"/>
  <c r="AI879" i="113" s="1"/>
  <c r="AD879" i="113"/>
  <c r="AH879" i="113" s="1"/>
  <c r="AA2662" i="113"/>
  <c r="AD2662" i="113"/>
  <c r="AH2662" i="113" s="1"/>
  <c r="AA1049" i="113"/>
  <c r="AD1049" i="113"/>
  <c r="AH1049" i="113" s="1"/>
  <c r="AA1275" i="113"/>
  <c r="AD1275" i="113"/>
  <c r="AH1275" i="113" s="1"/>
  <c r="AA693" i="113"/>
  <c r="AD693" i="113"/>
  <c r="AH693" i="113" s="1"/>
  <c r="AA2200" i="113"/>
  <c r="AE2200" i="113" s="1"/>
  <c r="AI2200" i="113" s="1"/>
  <c r="AD2200" i="113"/>
  <c r="AH2200" i="113" s="1"/>
  <c r="AA2640" i="113"/>
  <c r="AE2640" i="113" s="1"/>
  <c r="AI2640" i="113" s="1"/>
  <c r="AD2640" i="113"/>
  <c r="AH2640" i="113" s="1"/>
  <c r="AA1823" i="113"/>
  <c r="AE1823" i="113" s="1"/>
  <c r="AI1823" i="113" s="1"/>
  <c r="AD1823" i="113"/>
  <c r="AH1823" i="113" s="1"/>
  <c r="AA2288" i="113"/>
  <c r="AD2288" i="113"/>
  <c r="AH2288" i="113" s="1"/>
  <c r="AA1111" i="113"/>
  <c r="AD1111" i="113"/>
  <c r="AH1111" i="113" s="1"/>
  <c r="AA1239" i="113"/>
  <c r="AE1239" i="113" s="1"/>
  <c r="AI1239" i="113" s="1"/>
  <c r="AD1239" i="113"/>
  <c r="AH1239" i="113" s="1"/>
  <c r="AA1176" i="113"/>
  <c r="AE1176" i="113" s="1"/>
  <c r="AI1176" i="113" s="1"/>
  <c r="AD1176" i="113"/>
  <c r="AH1176" i="113" s="1"/>
  <c r="AA2476" i="113"/>
  <c r="AE2476" i="113" s="1"/>
  <c r="AI2476" i="113" s="1"/>
  <c r="AD2476" i="113"/>
  <c r="AH2476" i="113" s="1"/>
  <c r="AA57" i="113"/>
  <c r="AE57" i="113" s="1"/>
  <c r="AI57" i="113" s="1"/>
  <c r="AD57" i="113"/>
  <c r="AH57" i="113" s="1"/>
  <c r="AA2562" i="113"/>
  <c r="AD2562" i="113"/>
  <c r="AH2562" i="113" s="1"/>
  <c r="AA1757" i="113"/>
  <c r="AD1757" i="113"/>
  <c r="AH1757" i="113" s="1"/>
  <c r="AA2111" i="113"/>
  <c r="AD2111" i="113"/>
  <c r="AH2111" i="113" s="1"/>
  <c r="AA2392" i="113"/>
  <c r="AD2392" i="113"/>
  <c r="AH2392" i="113" s="1"/>
  <c r="AA210" i="113"/>
  <c r="AE210" i="113" s="1"/>
  <c r="AI210" i="113" s="1"/>
  <c r="AD210" i="113"/>
  <c r="AH210" i="113" s="1"/>
  <c r="AA1256" i="113"/>
  <c r="AE1256" i="113" s="1"/>
  <c r="AI1256" i="113" s="1"/>
  <c r="AD1256" i="113"/>
  <c r="AH1256" i="113" s="1"/>
  <c r="AA575" i="113"/>
  <c r="AD575" i="113"/>
  <c r="AH575" i="113" s="1"/>
  <c r="AA1093" i="113"/>
  <c r="AE1093" i="113" s="1"/>
  <c r="AI1093" i="113" s="1"/>
  <c r="AD1093" i="113"/>
  <c r="AH1093" i="113" s="1"/>
  <c r="AE734" i="113"/>
  <c r="AI734" i="113" s="1"/>
  <c r="AE1715" i="113"/>
  <c r="AI1715" i="113" s="1"/>
  <c r="AE1445" i="113"/>
  <c r="AI1445" i="113" s="1"/>
  <c r="AE82" i="113"/>
  <c r="AI82" i="113" s="1"/>
  <c r="AE2015" i="113"/>
  <c r="AI2015" i="113" s="1"/>
  <c r="AE1266" i="113"/>
  <c r="AI1266" i="113" s="1"/>
  <c r="AE804" i="113"/>
  <c r="AI804" i="113" s="1"/>
  <c r="AE1676" i="113"/>
  <c r="AI1676" i="113" s="1"/>
  <c r="AE657" i="113"/>
  <c r="AI657" i="113" s="1"/>
  <c r="AA981" i="113"/>
  <c r="AE981" i="113" s="1"/>
  <c r="AI981" i="113" s="1"/>
  <c r="AD981" i="113"/>
  <c r="AH981" i="113" s="1"/>
  <c r="AA1424" i="113"/>
  <c r="AD1424" i="113"/>
  <c r="AH1424" i="113" s="1"/>
  <c r="AA2086" i="113"/>
  <c r="AE2086" i="113" s="1"/>
  <c r="AI2086" i="113" s="1"/>
  <c r="AD2086" i="113"/>
  <c r="AH2086" i="113" s="1"/>
  <c r="AA2366" i="113"/>
  <c r="AD2366" i="113"/>
  <c r="AH2366" i="113" s="1"/>
  <c r="AA823" i="113"/>
  <c r="AE823" i="113" s="1"/>
  <c r="AI823" i="113" s="1"/>
  <c r="AD823" i="113"/>
  <c r="AH823" i="113" s="1"/>
  <c r="AA1385" i="113"/>
  <c r="AE1385" i="113" s="1"/>
  <c r="AI1385" i="113" s="1"/>
  <c r="AD1385" i="113"/>
  <c r="AH1385" i="113" s="1"/>
  <c r="AA2361" i="113"/>
  <c r="AE2361" i="113" s="1"/>
  <c r="AI2361" i="113" s="1"/>
  <c r="AD2361" i="113"/>
  <c r="AH2361" i="113" s="1"/>
  <c r="AA1212" i="113"/>
  <c r="AE1212" i="113" s="1"/>
  <c r="AI1212" i="113" s="1"/>
  <c r="AD1212" i="113"/>
  <c r="AH1212" i="113" s="1"/>
  <c r="AA1186" i="113"/>
  <c r="AE1186" i="113" s="1"/>
  <c r="AI1186" i="113" s="1"/>
  <c r="AD1186" i="113"/>
  <c r="AH1186" i="113" s="1"/>
  <c r="AA709" i="113"/>
  <c r="AE709" i="113" s="1"/>
  <c r="AI709" i="113" s="1"/>
  <c r="AD709" i="113"/>
  <c r="AH709" i="113" s="1"/>
  <c r="AA2405" i="113"/>
  <c r="AE2405" i="113" s="1"/>
  <c r="AI2405" i="113" s="1"/>
  <c r="AD2405" i="113"/>
  <c r="AH2405" i="113" s="1"/>
  <c r="AA2299" i="113"/>
  <c r="AE2299" i="113" s="1"/>
  <c r="AI2299" i="113" s="1"/>
  <c r="AD2299" i="113"/>
  <c r="AH2299" i="113" s="1"/>
  <c r="AA2364" i="113"/>
  <c r="AE2364" i="113" s="1"/>
  <c r="AI2364" i="113" s="1"/>
  <c r="AD2364" i="113"/>
  <c r="AH2364" i="113" s="1"/>
  <c r="AA255" i="113"/>
  <c r="AE255" i="113" s="1"/>
  <c r="AI255" i="113" s="1"/>
  <c r="AD255" i="113"/>
  <c r="AH255" i="113" s="1"/>
  <c r="AA1384" i="113"/>
  <c r="AD1384" i="113"/>
  <c r="AH1384" i="113" s="1"/>
  <c r="AA2032" i="113"/>
  <c r="AE2032" i="113" s="1"/>
  <c r="AI2032" i="113" s="1"/>
  <c r="AD2032" i="113"/>
  <c r="AH2032" i="113" s="1"/>
  <c r="AA1219" i="113"/>
  <c r="AE1219" i="113" s="1"/>
  <c r="AI1219" i="113" s="1"/>
  <c r="AD1219" i="113"/>
  <c r="AH1219" i="113" s="1"/>
  <c r="AA1369" i="113"/>
  <c r="AE1369" i="113" s="1"/>
  <c r="AI1369" i="113" s="1"/>
  <c r="AD1369" i="113"/>
  <c r="AH1369" i="113" s="1"/>
  <c r="AA708" i="113"/>
  <c r="AE708" i="113" s="1"/>
  <c r="AI708" i="113" s="1"/>
  <c r="AD708" i="113"/>
  <c r="AH708" i="113" s="1"/>
  <c r="AA1442" i="113"/>
  <c r="AE1442" i="113" s="1"/>
  <c r="AI1442" i="113" s="1"/>
  <c r="AD1442" i="113"/>
  <c r="AH1442" i="113" s="1"/>
  <c r="AA27" i="113"/>
  <c r="AE27" i="113" s="1"/>
  <c r="AI27" i="113" s="1"/>
  <c r="AD27" i="113"/>
  <c r="AH27" i="113" s="1"/>
  <c r="AA163" i="113"/>
  <c r="AE163" i="113" s="1"/>
  <c r="AI163" i="113" s="1"/>
  <c r="AD163" i="113"/>
  <c r="AH163" i="113" s="1"/>
  <c r="AA2631" i="113"/>
  <c r="AE2631" i="113" s="1"/>
  <c r="AI2631" i="113" s="1"/>
  <c r="AD2631" i="113"/>
  <c r="AH2631" i="113" s="1"/>
  <c r="AA2326" i="113"/>
  <c r="AD2326" i="113"/>
  <c r="AH2326" i="113" s="1"/>
  <c r="AA1592" i="113"/>
  <c r="AE1592" i="113" s="1"/>
  <c r="AI1592" i="113" s="1"/>
  <c r="AD1592" i="113"/>
  <c r="AH1592" i="113" s="1"/>
  <c r="AA2317" i="113"/>
  <c r="AD2317" i="113"/>
  <c r="AH2317" i="113" s="1"/>
  <c r="AA2488" i="113"/>
  <c r="AE2488" i="113" s="1"/>
  <c r="AI2488" i="113" s="1"/>
  <c r="AD2488" i="113"/>
  <c r="AH2488" i="113" s="1"/>
  <c r="AA1832" i="113"/>
  <c r="AE1832" i="113" s="1"/>
  <c r="AI1832" i="113" s="1"/>
  <c r="AD1832" i="113"/>
  <c r="AH1832" i="113" s="1"/>
  <c r="AA642" i="113"/>
  <c r="AE642" i="113" s="1"/>
  <c r="AI642" i="113" s="1"/>
  <c r="AD642" i="113"/>
  <c r="AH642" i="113" s="1"/>
  <c r="AA1968" i="113"/>
  <c r="AE1968" i="113" s="1"/>
  <c r="AI1968" i="113" s="1"/>
  <c r="AD1968" i="113"/>
  <c r="AH1968" i="113" s="1"/>
  <c r="AA807" i="113"/>
  <c r="AE807" i="113" s="1"/>
  <c r="AI807" i="113" s="1"/>
  <c r="AD807" i="113"/>
  <c r="AH807" i="113" s="1"/>
  <c r="AA686" i="113"/>
  <c r="AE686" i="113" s="1"/>
  <c r="AI686" i="113" s="1"/>
  <c r="AD686" i="113"/>
  <c r="AH686" i="113" s="1"/>
  <c r="AA762" i="113"/>
  <c r="AD762" i="113"/>
  <c r="AH762" i="113" s="1"/>
  <c r="AA536" i="113"/>
  <c r="AE536" i="113" s="1"/>
  <c r="AI536" i="113" s="1"/>
  <c r="AD536" i="113"/>
  <c r="AH536" i="113" s="1"/>
  <c r="AA1758" i="113"/>
  <c r="AE1758" i="113" s="1"/>
  <c r="AI1758" i="113" s="1"/>
  <c r="AD1758" i="113"/>
  <c r="AH1758" i="113" s="1"/>
  <c r="AA2633" i="113"/>
  <c r="AD2633" i="113"/>
  <c r="AH2633" i="113" s="1"/>
  <c r="AA2168" i="113"/>
  <c r="AE2168" i="113" s="1"/>
  <c r="AI2168" i="113" s="1"/>
  <c r="AD2168" i="113"/>
  <c r="AH2168" i="113" s="1"/>
  <c r="AA245" i="113"/>
  <c r="AE245" i="113" s="1"/>
  <c r="AI245" i="113" s="1"/>
  <c r="AD245" i="113"/>
  <c r="AH245" i="113" s="1"/>
  <c r="AA498" i="113"/>
  <c r="AD498" i="113"/>
  <c r="AH498" i="113" s="1"/>
  <c r="AA12" i="113"/>
  <c r="AE12" i="113" s="1"/>
  <c r="AI12" i="113" s="1"/>
  <c r="AD12" i="113"/>
  <c r="AH12" i="113" s="1"/>
  <c r="AA1665" i="113"/>
  <c r="AE1665" i="113" s="1"/>
  <c r="AI1665" i="113" s="1"/>
  <c r="AD1665" i="113"/>
  <c r="AH1665" i="113" s="1"/>
  <c r="AA1347" i="113"/>
  <c r="AD1347" i="113"/>
  <c r="AH1347" i="113" s="1"/>
  <c r="AA1601" i="113"/>
  <c r="AD1601" i="113"/>
  <c r="AH1601" i="113" s="1"/>
  <c r="AA2196" i="113"/>
  <c r="AE2196" i="113" s="1"/>
  <c r="AI2196" i="113" s="1"/>
  <c r="AD2196" i="113"/>
  <c r="AH2196" i="113" s="1"/>
  <c r="AA2619" i="113"/>
  <c r="AE2619" i="113" s="1"/>
  <c r="AI2619" i="113" s="1"/>
  <c r="AD2619" i="113"/>
  <c r="AH2619" i="113" s="1"/>
  <c r="AA2078" i="113"/>
  <c r="AD2078" i="113"/>
  <c r="AH2078" i="113" s="1"/>
  <c r="AA1262" i="113"/>
  <c r="AE1262" i="113" s="1"/>
  <c r="AI1262" i="113" s="1"/>
  <c r="AD1262" i="113"/>
  <c r="AH1262" i="113" s="1"/>
  <c r="AA2112" i="113"/>
  <c r="AE2112" i="113" s="1"/>
  <c r="AI2112" i="113" s="1"/>
  <c r="AD2112" i="113"/>
  <c r="AH2112" i="113" s="1"/>
  <c r="AA2164" i="113"/>
  <c r="AD2164" i="113"/>
  <c r="AH2164" i="113" s="1"/>
  <c r="AA2429" i="113"/>
  <c r="AD2429" i="113"/>
  <c r="AH2429" i="113" s="1"/>
  <c r="AA448" i="113"/>
  <c r="AD448" i="113"/>
  <c r="AH448" i="113" s="1"/>
  <c r="AA2107" i="113"/>
  <c r="AE2107" i="113" s="1"/>
  <c r="AI2107" i="113" s="1"/>
  <c r="AD2107" i="113"/>
  <c r="AH2107" i="113" s="1"/>
  <c r="AA1114" i="113"/>
  <c r="AE1114" i="113" s="1"/>
  <c r="AI1114" i="113" s="1"/>
  <c r="AD1114" i="113"/>
  <c r="AH1114" i="113" s="1"/>
  <c r="AA2446" i="113"/>
  <c r="AD2446" i="113"/>
  <c r="AH2446" i="113" s="1"/>
  <c r="AA2540" i="113"/>
  <c r="AD2540" i="113"/>
  <c r="AH2540" i="113" s="1"/>
  <c r="AA2293" i="113"/>
  <c r="AD2293" i="113"/>
  <c r="AH2293" i="113" s="1"/>
  <c r="AA713" i="113"/>
  <c r="AD713" i="113"/>
  <c r="AH713" i="113" s="1"/>
  <c r="AA1654" i="113"/>
  <c r="AE1654" i="113" s="1"/>
  <c r="AI1654" i="113" s="1"/>
  <c r="AD1654" i="113"/>
  <c r="AH1654" i="113" s="1"/>
  <c r="AA1894" i="113"/>
  <c r="AE1894" i="113" s="1"/>
  <c r="AI1894" i="113" s="1"/>
  <c r="AD1894" i="113"/>
  <c r="AH1894" i="113" s="1"/>
  <c r="AA1024" i="113"/>
  <c r="AE1024" i="113" s="1"/>
  <c r="AI1024" i="113" s="1"/>
  <c r="AD1024" i="113"/>
  <c r="AH1024" i="113" s="1"/>
  <c r="AA2256" i="113"/>
  <c r="AD2256" i="113"/>
  <c r="AH2256" i="113" s="1"/>
  <c r="AA8" i="113"/>
  <c r="AE8" i="113" s="1"/>
  <c r="AI8" i="113" s="1"/>
  <c r="AD8" i="113"/>
  <c r="AH8" i="113" s="1"/>
  <c r="AA2441" i="113"/>
  <c r="AE2441" i="113" s="1"/>
  <c r="AI2441" i="113" s="1"/>
  <c r="AD2441" i="113"/>
  <c r="AH2441" i="113" s="1"/>
  <c r="AA2062" i="113"/>
  <c r="AE2062" i="113" s="1"/>
  <c r="AI2062" i="113" s="1"/>
  <c r="AD2062" i="113"/>
  <c r="AH2062" i="113" s="1"/>
  <c r="AA1798" i="113"/>
  <c r="AE1798" i="113" s="1"/>
  <c r="AI1798" i="113" s="1"/>
  <c r="AD1798" i="113"/>
  <c r="AH1798" i="113" s="1"/>
  <c r="AA1857" i="113"/>
  <c r="AD1857" i="113"/>
  <c r="AH1857" i="113" s="1"/>
  <c r="AA1766" i="113"/>
  <c r="AD1766" i="113"/>
  <c r="AH1766" i="113" s="1"/>
  <c r="AA1419" i="113"/>
  <c r="AD1419" i="113"/>
  <c r="AH1419" i="113" s="1"/>
  <c r="AA827" i="113"/>
  <c r="AE827" i="113" s="1"/>
  <c r="AI827" i="113" s="1"/>
  <c r="AD827" i="113"/>
  <c r="AH827" i="113" s="1"/>
  <c r="AA446" i="113"/>
  <c r="AE446" i="113" s="1"/>
  <c r="AI446" i="113" s="1"/>
  <c r="AD446" i="113"/>
  <c r="AH446" i="113" s="1"/>
  <c r="AA1457" i="113"/>
  <c r="AD1457" i="113"/>
  <c r="AH1457" i="113" s="1"/>
  <c r="AA1400" i="113"/>
  <c r="AE1400" i="113" s="1"/>
  <c r="AI1400" i="113" s="1"/>
  <c r="AD1400" i="113"/>
  <c r="AH1400" i="113" s="1"/>
  <c r="AA2595" i="113"/>
  <c r="AE2595" i="113" s="1"/>
  <c r="AI2595" i="113" s="1"/>
  <c r="AD2595" i="113"/>
  <c r="AH2595" i="113" s="1"/>
  <c r="AA347" i="113"/>
  <c r="AE347" i="113" s="1"/>
  <c r="AI347" i="113" s="1"/>
  <c r="AD347" i="113"/>
  <c r="AH347" i="113" s="1"/>
  <c r="AA1521" i="113"/>
  <c r="AE1521" i="113" s="1"/>
  <c r="AI1521" i="113" s="1"/>
  <c r="AD1521" i="113"/>
  <c r="AH1521" i="113" s="1"/>
  <c r="AA2227" i="113"/>
  <c r="AD2227" i="113"/>
  <c r="AH2227" i="113" s="1"/>
  <c r="AA976" i="113"/>
  <c r="AE976" i="113" s="1"/>
  <c r="AI976" i="113" s="1"/>
  <c r="AD976" i="113"/>
  <c r="AH976" i="113" s="1"/>
  <c r="AA2092" i="113"/>
  <c r="AD2092" i="113"/>
  <c r="AH2092" i="113" s="1"/>
  <c r="AA1466" i="113"/>
  <c r="AE1466" i="113" s="1"/>
  <c r="AI1466" i="113" s="1"/>
  <c r="AD1466" i="113"/>
  <c r="AH1466" i="113" s="1"/>
  <c r="AA1651" i="113"/>
  <c r="AE1651" i="113" s="1"/>
  <c r="AI1651" i="113" s="1"/>
  <c r="AD1651" i="113"/>
  <c r="AH1651" i="113" s="1"/>
  <c r="AA116" i="113"/>
  <c r="AE116" i="113" s="1"/>
  <c r="AI116" i="113" s="1"/>
  <c r="AD116" i="113"/>
  <c r="AH116" i="113" s="1"/>
  <c r="AA1637" i="113"/>
  <c r="AE1637" i="113" s="1"/>
  <c r="AI1637" i="113" s="1"/>
  <c r="AD1637" i="113"/>
  <c r="AH1637" i="113" s="1"/>
  <c r="AA1489" i="113"/>
  <c r="AD1489" i="113"/>
  <c r="AH1489" i="113" s="1"/>
  <c r="AA289" i="113"/>
  <c r="AE289" i="113" s="1"/>
  <c r="AI289" i="113" s="1"/>
  <c r="AD289" i="113"/>
  <c r="AH289" i="113" s="1"/>
  <c r="AA351" i="113"/>
  <c r="AD351" i="113"/>
  <c r="AH351" i="113" s="1"/>
  <c r="AA1898" i="113"/>
  <c r="AE1898" i="113" s="1"/>
  <c r="AI1898" i="113" s="1"/>
  <c r="AD1898" i="113"/>
  <c r="AH1898" i="113" s="1"/>
  <c r="AA106" i="113"/>
  <c r="AD106" i="113"/>
  <c r="AH106" i="113" s="1"/>
  <c r="AA722" i="113"/>
  <c r="AE722" i="113" s="1"/>
  <c r="AI722" i="113" s="1"/>
  <c r="AD722" i="113"/>
  <c r="AH722" i="113" s="1"/>
  <c r="AA2209" i="113"/>
  <c r="AD2209" i="113"/>
  <c r="AH2209" i="113" s="1"/>
  <c r="AA859" i="113"/>
  <c r="AE859" i="113" s="1"/>
  <c r="AI859" i="113" s="1"/>
  <c r="AD859" i="113"/>
  <c r="AH859" i="113" s="1"/>
  <c r="AA1362" i="113"/>
  <c r="AE1362" i="113" s="1"/>
  <c r="AI1362" i="113" s="1"/>
  <c r="AD1362" i="113"/>
  <c r="AH1362" i="113" s="1"/>
  <c r="AA848" i="113"/>
  <c r="AE848" i="113" s="1"/>
  <c r="AI848" i="113" s="1"/>
  <c r="AD848" i="113"/>
  <c r="AH848" i="113" s="1"/>
  <c r="AA1956" i="113"/>
  <c r="AE1956" i="113" s="1"/>
  <c r="AI1956" i="113" s="1"/>
  <c r="AD1956" i="113"/>
  <c r="AH1956" i="113" s="1"/>
  <c r="AA1052" i="113"/>
  <c r="AE1052" i="113" s="1"/>
  <c r="AI1052" i="113" s="1"/>
  <c r="AD1052" i="113"/>
  <c r="AH1052" i="113" s="1"/>
  <c r="AA1621" i="113"/>
  <c r="AE1621" i="113" s="1"/>
  <c r="AI1621" i="113" s="1"/>
  <c r="AD1621" i="113"/>
  <c r="AH1621" i="113" s="1"/>
  <c r="AA89" i="113"/>
  <c r="AE89" i="113" s="1"/>
  <c r="AI89" i="113" s="1"/>
  <c r="AD89" i="113"/>
  <c r="AH89" i="113" s="1"/>
  <c r="AA2512" i="113"/>
  <c r="AE2512" i="113" s="1"/>
  <c r="AI2512" i="113" s="1"/>
  <c r="AD2512" i="113"/>
  <c r="AH2512" i="113" s="1"/>
  <c r="AA507" i="113"/>
  <c r="AD507" i="113"/>
  <c r="AH507" i="113" s="1"/>
  <c r="AA1833" i="113"/>
  <c r="AE1833" i="113" s="1"/>
  <c r="AI1833" i="113" s="1"/>
  <c r="AD1833" i="113"/>
  <c r="AH1833" i="113" s="1"/>
  <c r="AA520" i="113"/>
  <c r="AE520" i="113" s="1"/>
  <c r="AI520" i="113" s="1"/>
  <c r="AD520" i="113"/>
  <c r="AH520" i="113" s="1"/>
  <c r="AA907" i="113"/>
  <c r="AE907" i="113" s="1"/>
  <c r="AI907" i="113" s="1"/>
  <c r="AD907" i="113"/>
  <c r="AH907" i="113" s="1"/>
  <c r="AA506" i="113"/>
  <c r="AE506" i="113" s="1"/>
  <c r="AI506" i="113" s="1"/>
  <c r="AD506" i="113"/>
  <c r="AH506" i="113" s="1"/>
  <c r="AA28" i="113"/>
  <c r="AE28" i="113" s="1"/>
  <c r="AI28" i="113" s="1"/>
  <c r="AD28" i="113"/>
  <c r="AH28" i="113" s="1"/>
  <c r="AA2375" i="113"/>
  <c r="AE2375" i="113" s="1"/>
  <c r="AI2375" i="113" s="1"/>
  <c r="AD2375" i="113"/>
  <c r="AH2375" i="113" s="1"/>
  <c r="AA310" i="113"/>
  <c r="AE310" i="113" s="1"/>
  <c r="AI310" i="113" s="1"/>
  <c r="AD310" i="113"/>
  <c r="AH310" i="113" s="1"/>
  <c r="AA2650" i="113"/>
  <c r="AE2650" i="113" s="1"/>
  <c r="AI2650" i="113" s="1"/>
  <c r="AD2650" i="113"/>
  <c r="AH2650" i="113" s="1"/>
  <c r="AA1663" i="113"/>
  <c r="AE1663" i="113" s="1"/>
  <c r="AI1663" i="113" s="1"/>
  <c r="AD1663" i="113"/>
  <c r="AH1663" i="113" s="1"/>
  <c r="AA1520" i="113"/>
  <c r="AD1520" i="113"/>
  <c r="AH1520" i="113" s="1"/>
  <c r="AA663" i="113"/>
  <c r="AD663" i="113"/>
  <c r="AH663" i="113" s="1"/>
  <c r="AA2610" i="113"/>
  <c r="AE2610" i="113" s="1"/>
  <c r="AI2610" i="113" s="1"/>
  <c r="AD2610" i="113"/>
  <c r="AH2610" i="113" s="1"/>
  <c r="AA659" i="113"/>
  <c r="AE659" i="113" s="1"/>
  <c r="AI659" i="113" s="1"/>
  <c r="AD659" i="113"/>
  <c r="AH659" i="113" s="1"/>
  <c r="AA2041" i="113"/>
  <c r="AE2041" i="113" s="1"/>
  <c r="AI2041" i="113" s="1"/>
  <c r="AD2041" i="113"/>
  <c r="AH2041" i="113" s="1"/>
  <c r="AA200" i="113"/>
  <c r="AE200" i="113" s="1"/>
  <c r="AI200" i="113" s="1"/>
  <c r="AD200" i="113"/>
  <c r="AH200" i="113" s="1"/>
  <c r="AA206" i="113"/>
  <c r="AE206" i="113" s="1"/>
  <c r="AI206" i="113" s="1"/>
  <c r="AD206" i="113"/>
  <c r="AH206" i="113" s="1"/>
  <c r="AA2206" i="113"/>
  <c r="AD2206" i="113"/>
  <c r="AH2206" i="113" s="1"/>
  <c r="AA1255" i="113"/>
  <c r="AE1255" i="113" s="1"/>
  <c r="AI1255" i="113" s="1"/>
  <c r="AD1255" i="113"/>
  <c r="AH1255" i="113" s="1"/>
  <c r="AA97" i="113"/>
  <c r="AE97" i="113" s="1"/>
  <c r="AI97" i="113" s="1"/>
  <c r="AD97" i="113"/>
  <c r="AH97" i="113" s="1"/>
  <c r="AA1495" i="113"/>
  <c r="AE1495" i="113" s="1"/>
  <c r="AI1495" i="113" s="1"/>
  <c r="AD1495" i="113"/>
  <c r="AH1495" i="113" s="1"/>
  <c r="AA777" i="113"/>
  <c r="AE777" i="113" s="1"/>
  <c r="AI777" i="113" s="1"/>
  <c r="AD777" i="113"/>
  <c r="AH777" i="113" s="1"/>
  <c r="AA149" i="113"/>
  <c r="AE149" i="113" s="1"/>
  <c r="AI149" i="113" s="1"/>
  <c r="AD149" i="113"/>
  <c r="AH149" i="113" s="1"/>
  <c r="AA2242" i="113"/>
  <c r="AE2242" i="113" s="1"/>
  <c r="AI2242" i="113" s="1"/>
  <c r="AD2242" i="113"/>
  <c r="AH2242" i="113" s="1"/>
  <c r="AA1727" i="113"/>
  <c r="AE1727" i="113" s="1"/>
  <c r="AI1727" i="113" s="1"/>
  <c r="AD1727" i="113"/>
  <c r="AH1727" i="113" s="1"/>
  <c r="AA2564" i="113"/>
  <c r="AD2564" i="113"/>
  <c r="AH2564" i="113" s="1"/>
  <c r="AA1753" i="113"/>
  <c r="AD1753" i="113"/>
  <c r="AH1753" i="113" s="1"/>
  <c r="AA1948" i="113"/>
  <c r="AD1948" i="113"/>
  <c r="AH1948" i="113" s="1"/>
  <c r="AA1488" i="113"/>
  <c r="AE1488" i="113" s="1"/>
  <c r="AI1488" i="113" s="1"/>
  <c r="AD1488" i="113"/>
  <c r="AH1488" i="113" s="1"/>
  <c r="AE31" i="113"/>
  <c r="AI31" i="113" s="1"/>
  <c r="AE1063" i="113"/>
  <c r="AI1063" i="113" s="1"/>
  <c r="AE432" i="113"/>
  <c r="AI432" i="113" s="1"/>
  <c r="AA61" i="113"/>
  <c r="AE61" i="113" s="1"/>
  <c r="AI61" i="113" s="1"/>
  <c r="AD61" i="113"/>
  <c r="AH61" i="113" s="1"/>
  <c r="AA1565" i="113"/>
  <c r="AE1565" i="113" s="1"/>
  <c r="AI1565" i="113" s="1"/>
  <c r="AD1565" i="113"/>
  <c r="AH1565" i="113" s="1"/>
  <c r="AA2586" i="113"/>
  <c r="AE2586" i="113" s="1"/>
  <c r="AI2586" i="113" s="1"/>
  <c r="AD2586" i="113"/>
  <c r="AH2586" i="113" s="1"/>
  <c r="AA1595" i="113"/>
  <c r="AE1595" i="113" s="1"/>
  <c r="AI1595" i="113" s="1"/>
  <c r="AD1595" i="113"/>
  <c r="AH1595" i="113" s="1"/>
  <c r="AA1524" i="113"/>
  <c r="AD1524" i="113"/>
  <c r="AH1524" i="113" s="1"/>
  <c r="AA913" i="113"/>
  <c r="AE913" i="113" s="1"/>
  <c r="AI913" i="113" s="1"/>
  <c r="AD913" i="113"/>
  <c r="AH913" i="113" s="1"/>
  <c r="AA1742" i="113"/>
  <c r="AE1742" i="113" s="1"/>
  <c r="AI1742" i="113" s="1"/>
  <c r="AD1742" i="113"/>
  <c r="AH1742" i="113" s="1"/>
  <c r="AA559" i="113"/>
  <c r="AE559" i="113" s="1"/>
  <c r="AI559" i="113" s="1"/>
  <c r="AD559" i="113"/>
  <c r="AH559" i="113" s="1"/>
  <c r="AA2000" i="113"/>
  <c r="AE2000" i="113" s="1"/>
  <c r="AI2000" i="113" s="1"/>
  <c r="AD2000" i="113"/>
  <c r="AH2000" i="113" s="1"/>
  <c r="AA727" i="113"/>
  <c r="AD727" i="113"/>
  <c r="AH727" i="113" s="1"/>
  <c r="AA1260" i="113"/>
  <c r="AE1260" i="113" s="1"/>
  <c r="AI1260" i="113" s="1"/>
  <c r="AD1260" i="113"/>
  <c r="AH1260" i="113" s="1"/>
  <c r="AA1076" i="113"/>
  <c r="AE1076" i="113" s="1"/>
  <c r="AI1076" i="113" s="1"/>
  <c r="AD1076" i="113"/>
  <c r="AH1076" i="113" s="1"/>
  <c r="AA295" i="113"/>
  <c r="AE295" i="113" s="1"/>
  <c r="AI295" i="113" s="1"/>
  <c r="AD295" i="113"/>
  <c r="AH295" i="113" s="1"/>
  <c r="AA877" i="113"/>
  <c r="AE877" i="113" s="1"/>
  <c r="AI877" i="113" s="1"/>
  <c r="AD877" i="113"/>
  <c r="AH877" i="113" s="1"/>
  <c r="AA2483" i="113"/>
  <c r="AD2483" i="113"/>
  <c r="AH2483" i="113" s="1"/>
  <c r="AA2590" i="113"/>
  <c r="AD2590" i="113"/>
  <c r="AH2590" i="113" s="1"/>
  <c r="AA356" i="113"/>
  <c r="AD356" i="113"/>
  <c r="AH356" i="113" s="1"/>
  <c r="AA552" i="113"/>
  <c r="AE552" i="113" s="1"/>
  <c r="AI552" i="113" s="1"/>
  <c r="AD552" i="113"/>
  <c r="AH552" i="113" s="1"/>
  <c r="AA2306" i="113"/>
  <c r="AE2306" i="113" s="1"/>
  <c r="AI2306" i="113" s="1"/>
  <c r="AD2306" i="113"/>
  <c r="AH2306" i="113" s="1"/>
  <c r="AA1416" i="113"/>
  <c r="AE1416" i="113" s="1"/>
  <c r="AI1416" i="113" s="1"/>
  <c r="AD1416" i="113"/>
  <c r="AH1416" i="113" s="1"/>
  <c r="AA2641" i="113"/>
  <c r="AD2641" i="113"/>
  <c r="AH2641" i="113" s="1"/>
  <c r="AA2413" i="113"/>
  <c r="AD2413" i="113"/>
  <c r="AH2413" i="113" s="1"/>
  <c r="AA1304" i="113"/>
  <c r="AE1304" i="113" s="1"/>
  <c r="AI1304" i="113" s="1"/>
  <c r="AD1304" i="113"/>
  <c r="AH1304" i="113" s="1"/>
  <c r="AA1814" i="113"/>
  <c r="AE1814" i="113" s="1"/>
  <c r="AI1814" i="113" s="1"/>
  <c r="AD1814" i="113"/>
  <c r="AH1814" i="113" s="1"/>
  <c r="AA1863" i="113"/>
  <c r="AE1863" i="113" s="1"/>
  <c r="AI1863" i="113" s="1"/>
  <c r="AD1863" i="113"/>
  <c r="AH1863" i="113" s="1"/>
  <c r="AA2037" i="113"/>
  <c r="AE2037" i="113" s="1"/>
  <c r="AI2037" i="113" s="1"/>
  <c r="AD2037" i="113"/>
  <c r="AH2037" i="113" s="1"/>
  <c r="AA502" i="113"/>
  <c r="AE502" i="113" s="1"/>
  <c r="AI502" i="113" s="1"/>
  <c r="AD502" i="113"/>
  <c r="AH502" i="113" s="1"/>
  <c r="AA1164" i="113"/>
  <c r="AE1164" i="113" s="1"/>
  <c r="AI1164" i="113" s="1"/>
  <c r="AD1164" i="113"/>
  <c r="AH1164" i="113" s="1"/>
  <c r="AA2542" i="113"/>
  <c r="AE2542" i="113" s="1"/>
  <c r="AI2542" i="113" s="1"/>
  <c r="AD2542" i="113"/>
  <c r="AH2542" i="113" s="1"/>
  <c r="AA151" i="113"/>
  <c r="AE151" i="113" s="1"/>
  <c r="AI151" i="113" s="1"/>
  <c r="AD151" i="113"/>
  <c r="AH151" i="113" s="1"/>
  <c r="AA2001" i="113"/>
  <c r="AE2001" i="113" s="1"/>
  <c r="AI2001" i="113" s="1"/>
  <c r="AD2001" i="113"/>
  <c r="AH2001" i="113" s="1"/>
  <c r="AA1252" i="113"/>
  <c r="AD1252" i="113"/>
  <c r="AH1252" i="113" s="1"/>
  <c r="AA252" i="113"/>
  <c r="AE252" i="113" s="1"/>
  <c r="AI252" i="113" s="1"/>
  <c r="AD252" i="113"/>
  <c r="AH252" i="113" s="1"/>
  <c r="AA1684" i="113"/>
  <c r="AE1684" i="113" s="1"/>
  <c r="AI1684" i="113" s="1"/>
  <c r="AD1684" i="113"/>
  <c r="AH1684" i="113" s="1"/>
  <c r="AA875" i="113"/>
  <c r="AE875" i="113" s="1"/>
  <c r="AI875" i="113" s="1"/>
  <c r="AD875" i="113"/>
  <c r="AH875" i="113" s="1"/>
  <c r="AA1333" i="113"/>
  <c r="AD1333" i="113"/>
  <c r="AH1333" i="113" s="1"/>
  <c r="AA2470" i="113"/>
  <c r="AE2470" i="113" s="1"/>
  <c r="AI2470" i="113" s="1"/>
  <c r="AD2470" i="113"/>
  <c r="AH2470" i="113" s="1"/>
  <c r="AA1678" i="113"/>
  <c r="AE1678" i="113" s="1"/>
  <c r="AI1678" i="113" s="1"/>
  <c r="AD1678" i="113"/>
  <c r="AH1678" i="113" s="1"/>
  <c r="AA2247" i="113"/>
  <c r="AD2247" i="113"/>
  <c r="AH2247" i="113" s="1"/>
  <c r="AA1421" i="113"/>
  <c r="AE1421" i="113" s="1"/>
  <c r="AI1421" i="113" s="1"/>
  <c r="AD1421" i="113"/>
  <c r="AH1421" i="113" s="1"/>
  <c r="AA924" i="113"/>
  <c r="AD924" i="113"/>
  <c r="AH924" i="113" s="1"/>
  <c r="AA2159" i="113"/>
  <c r="AD2159" i="113"/>
  <c r="AH2159" i="113" s="1"/>
  <c r="AA1563" i="113"/>
  <c r="AE1563" i="113" s="1"/>
  <c r="AI1563" i="113" s="1"/>
  <c r="AD1563" i="113"/>
  <c r="AH1563" i="113" s="1"/>
  <c r="AA146" i="113"/>
  <c r="AE146" i="113" s="1"/>
  <c r="AI146" i="113" s="1"/>
  <c r="AD146" i="113"/>
  <c r="AH146" i="113" s="1"/>
  <c r="AA2575" i="113"/>
  <c r="AD2575" i="113"/>
  <c r="AH2575" i="113" s="1"/>
  <c r="AA1735" i="113"/>
  <c r="AE1735" i="113" s="1"/>
  <c r="AI1735" i="113" s="1"/>
  <c r="AD1735" i="113"/>
  <c r="AH1735" i="113" s="1"/>
  <c r="AA2127" i="113"/>
  <c r="AD2127" i="113"/>
  <c r="AH2127" i="113" s="1"/>
  <c r="AA1834" i="113"/>
  <c r="AD1834" i="113"/>
  <c r="AH1834" i="113" s="1"/>
  <c r="AA240" i="113"/>
  <c r="AE240" i="113" s="1"/>
  <c r="AI240" i="113" s="1"/>
  <c r="AD240" i="113"/>
  <c r="AH240" i="113" s="1"/>
  <c r="AA2624" i="113"/>
  <c r="AE2624" i="113" s="1"/>
  <c r="AI2624" i="113" s="1"/>
  <c r="AD2624" i="113"/>
  <c r="AH2624" i="113" s="1"/>
  <c r="AA2598" i="113"/>
  <c r="AE2598" i="113" s="1"/>
  <c r="AI2598" i="113" s="1"/>
  <c r="AD2598" i="113"/>
  <c r="AH2598" i="113" s="1"/>
  <c r="AA2521" i="113"/>
  <c r="AE2521" i="113" s="1"/>
  <c r="AI2521" i="113" s="1"/>
  <c r="AD2521" i="113"/>
  <c r="AH2521" i="113" s="1"/>
  <c r="AA956" i="113"/>
  <c r="AE956" i="113" s="1"/>
  <c r="AI956" i="113" s="1"/>
  <c r="AD956" i="113"/>
  <c r="AH956" i="113" s="1"/>
  <c r="AA939" i="113"/>
  <c r="AE939" i="113" s="1"/>
  <c r="AI939" i="113" s="1"/>
  <c r="AD939" i="113"/>
  <c r="AH939" i="113" s="1"/>
  <c r="AA202" i="113"/>
  <c r="AE202" i="113" s="1"/>
  <c r="AI202" i="113" s="1"/>
  <c r="AD202" i="113"/>
  <c r="AH202" i="113" s="1"/>
  <c r="AA2046" i="113"/>
  <c r="AE2046" i="113" s="1"/>
  <c r="AI2046" i="113" s="1"/>
  <c r="AD2046" i="113"/>
  <c r="AH2046" i="113" s="1"/>
  <c r="AA2224" i="113"/>
  <c r="AE2224" i="113" s="1"/>
  <c r="AI2224" i="113" s="1"/>
  <c r="AD2224" i="113"/>
  <c r="AH2224" i="113" s="1"/>
  <c r="AA1750" i="113"/>
  <c r="AE1750" i="113" s="1"/>
  <c r="AI1750" i="113" s="1"/>
  <c r="AD1750" i="113"/>
  <c r="AH1750" i="113" s="1"/>
  <c r="AA888" i="113"/>
  <c r="AD888" i="113"/>
  <c r="AH888" i="113" s="1"/>
  <c r="AA1104" i="113"/>
  <c r="AE1104" i="113" s="1"/>
  <c r="AI1104" i="113" s="1"/>
  <c r="AD1104" i="113"/>
  <c r="AH1104" i="113" s="1"/>
  <c r="AA833" i="113"/>
  <c r="AD833" i="113"/>
  <c r="AH833" i="113" s="1"/>
  <c r="AA2236" i="113"/>
  <c r="AD2236" i="113"/>
  <c r="AH2236" i="113" s="1"/>
  <c r="AA1843" i="113"/>
  <c r="AD1843" i="113"/>
  <c r="AH1843" i="113" s="1"/>
  <c r="AA2622" i="113"/>
  <c r="AE2622" i="113" s="1"/>
  <c r="AI2622" i="113" s="1"/>
  <c r="AD2622" i="113"/>
  <c r="AH2622" i="113" s="1"/>
  <c r="AA1809" i="113"/>
  <c r="AE1809" i="113" s="1"/>
  <c r="AI1809" i="113" s="1"/>
  <c r="AD1809" i="113"/>
  <c r="AH1809" i="113" s="1"/>
  <c r="AA1777" i="113"/>
  <c r="AE1777" i="113" s="1"/>
  <c r="AI1777" i="113" s="1"/>
  <c r="AD1777" i="113"/>
  <c r="AH1777" i="113" s="1"/>
  <c r="AA2016" i="113"/>
  <c r="AE2016" i="113" s="1"/>
  <c r="AI2016" i="113" s="1"/>
  <c r="AD2016" i="113"/>
  <c r="AH2016" i="113" s="1"/>
  <c r="AA1936" i="113"/>
  <c r="AE1936" i="113" s="1"/>
  <c r="AI1936" i="113" s="1"/>
  <c r="AD1936" i="113"/>
  <c r="AH1936" i="113" s="1"/>
  <c r="AA2389" i="113"/>
  <c r="AE2389" i="113" s="1"/>
  <c r="AI2389" i="113" s="1"/>
  <c r="AD2389" i="113"/>
  <c r="AH2389" i="113" s="1"/>
  <c r="AA2566" i="113"/>
  <c r="AE2566" i="113" s="1"/>
  <c r="AI2566" i="113" s="1"/>
  <c r="AD2566" i="113"/>
  <c r="AH2566" i="113" s="1"/>
  <c r="AA1214" i="113"/>
  <c r="AE1214" i="113" s="1"/>
  <c r="AI1214" i="113" s="1"/>
  <c r="AD1214" i="113"/>
  <c r="AH1214" i="113" s="1"/>
  <c r="AA2503" i="113"/>
  <c r="AE2503" i="113" s="1"/>
  <c r="AI2503" i="113" s="1"/>
  <c r="AD2503" i="113"/>
  <c r="AH2503" i="113" s="1"/>
  <c r="AA2635" i="113"/>
  <c r="AE2635" i="113" s="1"/>
  <c r="AI2635" i="113" s="1"/>
  <c r="AD2635" i="113"/>
  <c r="AH2635" i="113" s="1"/>
  <c r="AA2637" i="113"/>
  <c r="AE2637" i="113" s="1"/>
  <c r="AI2637" i="113" s="1"/>
  <c r="AD2637" i="113"/>
  <c r="AH2637" i="113" s="1"/>
  <c r="AA2181" i="113"/>
  <c r="AE2181" i="113" s="1"/>
  <c r="AI2181" i="113" s="1"/>
  <c r="AD2181" i="113"/>
  <c r="AH2181" i="113" s="1"/>
  <c r="AA30" i="113"/>
  <c r="AD30" i="113"/>
  <c r="AH30" i="113" s="1"/>
  <c r="AA792" i="113"/>
  <c r="AE792" i="113" s="1"/>
  <c r="AI792" i="113" s="1"/>
  <c r="AD792" i="113"/>
  <c r="AH792" i="113" s="1"/>
  <c r="AA1016" i="113"/>
  <c r="AE1016" i="113" s="1"/>
  <c r="AI1016" i="113" s="1"/>
  <c r="AD1016" i="113"/>
  <c r="AH1016" i="113" s="1"/>
  <c r="AA566" i="113"/>
  <c r="AE566" i="113" s="1"/>
  <c r="AI566" i="113" s="1"/>
  <c r="AD566" i="113"/>
  <c r="AH566" i="113" s="1"/>
  <c r="AA1351" i="113"/>
  <c r="AE1351" i="113" s="1"/>
  <c r="AI1351" i="113" s="1"/>
  <c r="AD1351" i="113"/>
  <c r="AH1351" i="113" s="1"/>
  <c r="AA2534" i="113"/>
  <c r="AD2534" i="113"/>
  <c r="AH2534" i="113" s="1"/>
  <c r="AA931" i="113"/>
  <c r="AD931" i="113"/>
  <c r="AH931" i="113" s="1"/>
  <c r="AA287" i="113"/>
  <c r="AE287" i="113" s="1"/>
  <c r="AI287" i="113" s="1"/>
  <c r="AD287" i="113"/>
  <c r="AH287" i="113" s="1"/>
  <c r="AA1264" i="113"/>
  <c r="AE1264" i="113" s="1"/>
  <c r="AI1264" i="113" s="1"/>
  <c r="AD1264" i="113"/>
  <c r="AH1264" i="113" s="1"/>
  <c r="AA636" i="113"/>
  <c r="AE636" i="113" s="1"/>
  <c r="AI636" i="113" s="1"/>
  <c r="AD636" i="113"/>
  <c r="AH636" i="113" s="1"/>
  <c r="AA32" i="113"/>
  <c r="AE32" i="113" s="1"/>
  <c r="AI32" i="113" s="1"/>
  <c r="AD32" i="113"/>
  <c r="AH32" i="113" s="1"/>
  <c r="AA571" i="113"/>
  <c r="AE571" i="113" s="1"/>
  <c r="AI571" i="113" s="1"/>
  <c r="AD571" i="113"/>
  <c r="AH571" i="113" s="1"/>
  <c r="AA1101" i="113"/>
  <c r="AD1101" i="113"/>
  <c r="AH1101" i="113" s="1"/>
  <c r="AA275" i="113"/>
  <c r="AE275" i="113" s="1"/>
  <c r="AI275" i="113" s="1"/>
  <c r="AD275" i="113"/>
  <c r="AH275" i="113" s="1"/>
  <c r="AA153" i="113"/>
  <c r="AE153" i="113" s="1"/>
  <c r="AI153" i="113" s="1"/>
  <c r="AD153" i="113"/>
  <c r="AH153" i="113" s="1"/>
  <c r="AA1209" i="113"/>
  <c r="AD1209" i="113"/>
  <c r="AH1209" i="113" s="1"/>
  <c r="AA1992" i="113"/>
  <c r="AE1992" i="113" s="1"/>
  <c r="AI1992" i="113" s="1"/>
  <c r="AD1992" i="113"/>
  <c r="AH1992" i="113" s="1"/>
  <c r="AA533" i="113"/>
  <c r="AD533" i="113"/>
  <c r="AH533" i="113" s="1"/>
  <c r="AA2484" i="113"/>
  <c r="AE2484" i="113" s="1"/>
  <c r="AI2484" i="113" s="1"/>
  <c r="AD2484" i="113"/>
  <c r="AH2484" i="113" s="1"/>
  <c r="AA837" i="113"/>
  <c r="AE837" i="113" s="1"/>
  <c r="AI837" i="113" s="1"/>
  <c r="AD837" i="113"/>
  <c r="AH837" i="113" s="1"/>
  <c r="AA1513" i="113"/>
  <c r="AD1513" i="113"/>
  <c r="AH1513" i="113" s="1"/>
  <c r="AA2363" i="113"/>
  <c r="AD2363" i="113"/>
  <c r="AH2363" i="113" s="1"/>
  <c r="AA10" i="113"/>
  <c r="AD10" i="113"/>
  <c r="AH10" i="113" s="1"/>
  <c r="AA1350" i="113"/>
  <c r="AE1350" i="113" s="1"/>
  <c r="AI1350" i="113" s="1"/>
  <c r="AD1350" i="113"/>
  <c r="AH1350" i="113" s="1"/>
  <c r="AA2480" i="113"/>
  <c r="AD2480" i="113"/>
  <c r="AH2480" i="113" s="1"/>
  <c r="AA25" i="113"/>
  <c r="AD25" i="113"/>
  <c r="AH25" i="113" s="1"/>
  <c r="AA2661" i="113"/>
  <c r="AE2661" i="113" s="1"/>
  <c r="AI2661" i="113" s="1"/>
  <c r="AD2661" i="113"/>
  <c r="AH2661" i="113" s="1"/>
  <c r="AA1591" i="113"/>
  <c r="AE1591" i="113" s="1"/>
  <c r="AI1591" i="113" s="1"/>
  <c r="AD1591" i="113"/>
  <c r="AH1591" i="113" s="1"/>
  <c r="AA2471" i="113"/>
  <c r="AE2471" i="113" s="1"/>
  <c r="AI2471" i="113" s="1"/>
  <c r="AD2471" i="113"/>
  <c r="AH2471" i="113" s="1"/>
  <c r="AA1606" i="113"/>
  <c r="AE1606" i="113" s="1"/>
  <c r="AI1606" i="113" s="1"/>
  <c r="AD1606" i="113"/>
  <c r="AH1606" i="113" s="1"/>
  <c r="AA1949" i="113"/>
  <c r="AE1949" i="113" s="1"/>
  <c r="AI1949" i="113" s="1"/>
  <c r="AD1949" i="113"/>
  <c r="AH1949" i="113" s="1"/>
  <c r="AA1315" i="113"/>
  <c r="AD1315" i="113"/>
  <c r="AH1315" i="113" s="1"/>
  <c r="AA643" i="113"/>
  <c r="AD643" i="113"/>
  <c r="AH643" i="113" s="1"/>
  <c r="AA820" i="113"/>
  <c r="AE820" i="113" s="1"/>
  <c r="AI820" i="113" s="1"/>
  <c r="AD820" i="113"/>
  <c r="AH820" i="113" s="1"/>
  <c r="AA1071" i="113"/>
  <c r="AD1071" i="113"/>
  <c r="AH1071" i="113" s="1"/>
  <c r="AA2232" i="113"/>
  <c r="AD2232" i="113"/>
  <c r="AH2232" i="113" s="1"/>
  <c r="AA871" i="113"/>
  <c r="AE871" i="113" s="1"/>
  <c r="AI871" i="113" s="1"/>
  <c r="AD871" i="113"/>
  <c r="AH871" i="113" s="1"/>
  <c r="AA2267" i="113"/>
  <c r="AD2267" i="113"/>
  <c r="AH2267" i="113" s="1"/>
  <c r="AA60" i="113"/>
  <c r="AE60" i="113" s="1"/>
  <c r="AI60" i="113" s="1"/>
  <c r="AD60" i="113"/>
  <c r="AH60" i="113" s="1"/>
  <c r="AA277" i="113"/>
  <c r="AE277" i="113" s="1"/>
  <c r="AI277" i="113" s="1"/>
  <c r="AD277" i="113"/>
  <c r="AH277" i="113" s="1"/>
  <c r="AA1217" i="113"/>
  <c r="AD1217" i="113"/>
  <c r="AH1217" i="113" s="1"/>
  <c r="AA357" i="113"/>
  <c r="AD357" i="113"/>
  <c r="AH357" i="113" s="1"/>
  <c r="AA1632" i="113"/>
  <c r="AD1632" i="113"/>
  <c r="AH1632" i="113" s="1"/>
  <c r="AA1877" i="113"/>
  <c r="AE1877" i="113" s="1"/>
  <c r="AI1877" i="113" s="1"/>
  <c r="AD1877" i="113"/>
  <c r="AH1877" i="113" s="1"/>
  <c r="AA978" i="113"/>
  <c r="AE978" i="113" s="1"/>
  <c r="AI978" i="113" s="1"/>
  <c r="AD978" i="113"/>
  <c r="AH978" i="113" s="1"/>
  <c r="AA1223" i="113"/>
  <c r="AD1223" i="113"/>
  <c r="AH1223" i="113" s="1"/>
  <c r="AA2649" i="113"/>
  <c r="AE2649" i="113" s="1"/>
  <c r="AI2649" i="113" s="1"/>
  <c r="AD2649" i="113"/>
  <c r="AH2649" i="113" s="1"/>
  <c r="AE1396" i="113"/>
  <c r="AI1396" i="113" s="1"/>
  <c r="AE1909" i="113"/>
  <c r="AI1909" i="113" s="1"/>
  <c r="AE1587" i="113"/>
  <c r="AI1587" i="113" s="1"/>
  <c r="AE107" i="113"/>
  <c r="AI107" i="113" s="1"/>
  <c r="AA1522" i="113"/>
  <c r="AD1522" i="113"/>
  <c r="AH1522" i="113" s="1"/>
  <c r="AA2101" i="113"/>
  <c r="AD2101" i="113"/>
  <c r="AH2101" i="113" s="1"/>
  <c r="AA2113" i="113"/>
  <c r="AD2113" i="113"/>
  <c r="AH2113" i="113" s="1"/>
  <c r="AA467" i="113"/>
  <c r="AE467" i="113" s="1"/>
  <c r="AI467" i="113" s="1"/>
  <c r="AD467" i="113"/>
  <c r="AH467" i="113" s="1"/>
  <c r="AA2243" i="113"/>
  <c r="AE2243" i="113" s="1"/>
  <c r="AI2243" i="113" s="1"/>
  <c r="AD2243" i="113"/>
  <c r="AH2243" i="113" s="1"/>
  <c r="AA1005" i="113"/>
  <c r="AE1005" i="113" s="1"/>
  <c r="AI1005" i="113" s="1"/>
  <c r="AD1005" i="113"/>
  <c r="AH1005" i="113" s="1"/>
  <c r="AA505" i="113"/>
  <c r="AD505" i="113"/>
  <c r="AH505" i="113" s="1"/>
  <c r="AA204" i="113"/>
  <c r="AE204" i="113" s="1"/>
  <c r="AI204" i="113" s="1"/>
  <c r="AD204" i="113"/>
  <c r="AH204" i="113" s="1"/>
  <c r="AA670" i="113"/>
  <c r="AE670" i="113" s="1"/>
  <c r="AI670" i="113" s="1"/>
  <c r="AD670" i="113"/>
  <c r="AH670" i="113" s="1"/>
  <c r="AA1695" i="113"/>
  <c r="AD1695" i="113"/>
  <c r="AH1695" i="113" s="1"/>
  <c r="AA2461" i="113"/>
  <c r="AE2461" i="113" s="1"/>
  <c r="AI2461" i="113" s="1"/>
  <c r="AD2461" i="113"/>
  <c r="AH2461" i="113" s="1"/>
  <c r="AA2506" i="113"/>
  <c r="AE2506" i="113" s="1"/>
  <c r="AI2506" i="113" s="1"/>
  <c r="AD2506" i="113"/>
  <c r="AH2506" i="113" s="1"/>
  <c r="AA1978" i="113"/>
  <c r="AE1978" i="113" s="1"/>
  <c r="AI1978" i="113" s="1"/>
  <c r="AD1978" i="113"/>
  <c r="AH1978" i="113" s="1"/>
  <c r="AA2604" i="113"/>
  <c r="AE2604" i="113" s="1"/>
  <c r="AI2604" i="113" s="1"/>
  <c r="AD2604" i="113"/>
  <c r="AH2604" i="113" s="1"/>
  <c r="AA2533" i="113"/>
  <c r="AE2533" i="113" s="1"/>
  <c r="AI2533" i="113" s="1"/>
  <c r="AD2533" i="113"/>
  <c r="AH2533" i="113" s="1"/>
  <c r="AA2410" i="113"/>
  <c r="AE2410" i="113" s="1"/>
  <c r="AI2410" i="113" s="1"/>
  <c r="AD2410" i="113"/>
  <c r="AH2410" i="113" s="1"/>
  <c r="AA2121" i="113"/>
  <c r="AE2121" i="113" s="1"/>
  <c r="AI2121" i="113" s="1"/>
  <c r="AD2121" i="113"/>
  <c r="AH2121" i="113" s="1"/>
  <c r="AA1932" i="113"/>
  <c r="AD1932" i="113"/>
  <c r="AH1932" i="113" s="1"/>
  <c r="AA1498" i="113"/>
  <c r="AE1498" i="113" s="1"/>
  <c r="AI1498" i="113" s="1"/>
  <c r="AD1498" i="113"/>
  <c r="AH1498" i="113" s="1"/>
  <c r="AA1633" i="113"/>
  <c r="AE1633" i="113" s="1"/>
  <c r="AI1633" i="113" s="1"/>
  <c r="AD1633" i="113"/>
  <c r="AH1633" i="113" s="1"/>
  <c r="AA1273" i="113"/>
  <c r="AE1273" i="113" s="1"/>
  <c r="AI1273" i="113" s="1"/>
  <c r="AD1273" i="113"/>
  <c r="AH1273" i="113" s="1"/>
  <c r="AA484" i="113"/>
  <c r="AD484" i="113"/>
  <c r="AH484" i="113" s="1"/>
  <c r="AA2628" i="113"/>
  <c r="AD2628" i="113"/>
  <c r="AH2628" i="113" s="1"/>
  <c r="AA760" i="113"/>
  <c r="AE760" i="113" s="1"/>
  <c r="AI760" i="113" s="1"/>
  <c r="AD760" i="113"/>
  <c r="AH760" i="113" s="1"/>
  <c r="AA706" i="113"/>
  <c r="AD706" i="113"/>
  <c r="AH706" i="113" s="1"/>
  <c r="AA1756" i="113"/>
  <c r="AE1756" i="113" s="1"/>
  <c r="AI1756" i="113" s="1"/>
  <c r="AD1756" i="113"/>
  <c r="AH1756" i="113" s="1"/>
  <c r="AA1240" i="113"/>
  <c r="AE1240" i="113" s="1"/>
  <c r="AI1240" i="113" s="1"/>
  <c r="AD1240" i="113"/>
  <c r="AH1240" i="113" s="1"/>
  <c r="AA874" i="113"/>
  <c r="AD874" i="113"/>
  <c r="AH874" i="113" s="1"/>
  <c r="AA449" i="113"/>
  <c r="AD449" i="113"/>
  <c r="AH449" i="113" s="1"/>
  <c r="AA2076" i="113"/>
  <c r="AE2076" i="113" s="1"/>
  <c r="AI2076" i="113" s="1"/>
  <c r="AD2076" i="113"/>
  <c r="AH2076" i="113" s="1"/>
  <c r="AA2522" i="113"/>
  <c r="AD2522" i="113"/>
  <c r="AH2522" i="113" s="1"/>
  <c r="AA591" i="113"/>
  <c r="AD591" i="113"/>
  <c r="AH591" i="113" s="1"/>
  <c r="AA738" i="113"/>
  <c r="AE738" i="113" s="1"/>
  <c r="AI738" i="113" s="1"/>
  <c r="AD738" i="113"/>
  <c r="AH738" i="113" s="1"/>
  <c r="AA1585" i="113"/>
  <c r="AD1585" i="113"/>
  <c r="AH1585" i="113" s="1"/>
  <c r="AA1279" i="113"/>
  <c r="AD1279" i="113"/>
  <c r="AH1279" i="113" s="1"/>
  <c r="AA1357" i="113"/>
  <c r="AD1357" i="113"/>
  <c r="AH1357" i="113" s="1"/>
  <c r="AA2071" i="113"/>
  <c r="AD2071" i="113"/>
  <c r="AH2071" i="113" s="1"/>
  <c r="AA2051" i="113"/>
  <c r="AE2051" i="113" s="1"/>
  <c r="AI2051" i="113" s="1"/>
  <c r="AD2051" i="113"/>
  <c r="AH2051" i="113" s="1"/>
  <c r="AA1694" i="113"/>
  <c r="AE1694" i="113" s="1"/>
  <c r="AI1694" i="113" s="1"/>
  <c r="AD1694" i="113"/>
  <c r="AH1694" i="113" s="1"/>
  <c r="AA1852" i="113"/>
  <c r="AE1852" i="113" s="1"/>
  <c r="AI1852" i="113" s="1"/>
  <c r="AD1852" i="113"/>
  <c r="AH1852" i="113" s="1"/>
  <c r="AA2591" i="113"/>
  <c r="AE2591" i="113" s="1"/>
  <c r="AI2591" i="113" s="1"/>
  <c r="AD2591" i="113"/>
  <c r="AH2591" i="113" s="1"/>
  <c r="AA688" i="113"/>
  <c r="AD688" i="113"/>
  <c r="AH688" i="113" s="1"/>
  <c r="AA129" i="113"/>
  <c r="AE129" i="113" s="1"/>
  <c r="AI129" i="113" s="1"/>
  <c r="AD129" i="113"/>
  <c r="AH129" i="113" s="1"/>
  <c r="AA1610" i="113"/>
  <c r="AE1610" i="113" s="1"/>
  <c r="AI1610" i="113" s="1"/>
  <c r="AD1610" i="113"/>
  <c r="AH1610" i="113" s="1"/>
  <c r="AA2393" i="113"/>
  <c r="AE2393" i="113" s="1"/>
  <c r="AI2393" i="113" s="1"/>
  <c r="AD2393" i="113"/>
  <c r="AH2393" i="113" s="1"/>
  <c r="AA2269" i="113"/>
  <c r="AE2269" i="113" s="1"/>
  <c r="AI2269" i="113" s="1"/>
  <c r="AD2269" i="113"/>
  <c r="AH2269" i="113" s="1"/>
  <c r="AA2557" i="113"/>
  <c r="AD2557" i="113"/>
  <c r="AH2557" i="113" s="1"/>
  <c r="AA2189" i="113"/>
  <c r="AE2189" i="113" s="1"/>
  <c r="AI2189" i="113" s="1"/>
  <c r="AD2189" i="113"/>
  <c r="AH2189" i="113" s="1"/>
  <c r="AA1245" i="113"/>
  <c r="AE1245" i="113" s="1"/>
  <c r="AI1245" i="113" s="1"/>
  <c r="AD1245" i="113"/>
  <c r="AH1245" i="113" s="1"/>
  <c r="AA1336" i="113"/>
  <c r="AD1336" i="113"/>
  <c r="AH1336" i="113" s="1"/>
  <c r="AA1908" i="113"/>
  <c r="AE1908" i="113" s="1"/>
  <c r="AI1908" i="113" s="1"/>
  <c r="AD1908" i="113"/>
  <c r="AH1908" i="113" s="1"/>
  <c r="AA2359" i="113"/>
  <c r="AD2359" i="113"/>
  <c r="AH2359" i="113" s="1"/>
  <c r="AA728" i="113"/>
  <c r="AE728" i="113" s="1"/>
  <c r="AI728" i="113" s="1"/>
  <c r="AD728" i="113"/>
  <c r="AH728" i="113" s="1"/>
  <c r="AA2646" i="113"/>
  <c r="AE2646" i="113" s="1"/>
  <c r="AI2646" i="113" s="1"/>
  <c r="AD2646" i="113"/>
  <c r="AH2646" i="113" s="1"/>
  <c r="AA156" i="113"/>
  <c r="AE156" i="113" s="1"/>
  <c r="AI156" i="113" s="1"/>
  <c r="AD156" i="113"/>
  <c r="AH156" i="113" s="1"/>
  <c r="AA2423" i="113"/>
  <c r="AD2423" i="113"/>
  <c r="AH2423" i="113" s="1"/>
  <c r="AA1309" i="113"/>
  <c r="AE1309" i="113" s="1"/>
  <c r="AI1309" i="113" s="1"/>
  <c r="AD1309" i="113"/>
  <c r="AH1309" i="113" s="1"/>
  <c r="AA718" i="113"/>
  <c r="AD718" i="113"/>
  <c r="AH718" i="113" s="1"/>
  <c r="AA2465" i="113"/>
  <c r="AE2465" i="113" s="1"/>
  <c r="AI2465" i="113" s="1"/>
  <c r="AD2465" i="113"/>
  <c r="AH2465" i="113" s="1"/>
  <c r="AA1556" i="113"/>
  <c r="AE1556" i="113" s="1"/>
  <c r="AI1556" i="113" s="1"/>
  <c r="AD1556" i="113"/>
  <c r="AH1556" i="113" s="1"/>
  <c r="AA2331" i="113"/>
  <c r="AD2331" i="113"/>
  <c r="AH2331" i="113" s="1"/>
  <c r="AA2553" i="113"/>
  <c r="AE2553" i="113" s="1"/>
  <c r="AI2553" i="113" s="1"/>
  <c r="AD2553" i="113"/>
  <c r="AH2553" i="113" s="1"/>
  <c r="AA1534" i="113"/>
  <c r="AD1534" i="113"/>
  <c r="AH1534" i="113" s="1"/>
  <c r="AA102" i="113"/>
  <c r="AE102" i="113" s="1"/>
  <c r="AI102" i="113" s="1"/>
  <c r="AD102" i="113"/>
  <c r="AH102" i="113" s="1"/>
  <c r="AA1536" i="113"/>
  <c r="AD1536" i="113"/>
  <c r="AH1536" i="113" s="1"/>
  <c r="AA2516" i="113"/>
  <c r="AE2516" i="113" s="1"/>
  <c r="AI2516" i="113" s="1"/>
  <c r="AD2516" i="113"/>
  <c r="AH2516" i="113" s="1"/>
  <c r="AA1403" i="113"/>
  <c r="AD1403" i="113"/>
  <c r="AH1403" i="113" s="1"/>
  <c r="AA2385" i="113"/>
  <c r="AD2385" i="113"/>
  <c r="AH2385" i="113" s="1"/>
  <c r="AA732" i="113"/>
  <c r="AD732" i="113"/>
  <c r="AH732" i="113" s="1"/>
  <c r="AA707" i="113"/>
  <c r="AD707" i="113"/>
  <c r="AH707" i="113" s="1"/>
  <c r="AA2645" i="113"/>
  <c r="AD2645" i="113"/>
  <c r="AH2645" i="113" s="1"/>
  <c r="AA1450" i="113"/>
  <c r="AD1450" i="113"/>
  <c r="AH1450" i="113" s="1"/>
  <c r="AA2362" i="113"/>
  <c r="AE2362" i="113" s="1"/>
  <c r="AI2362" i="113" s="1"/>
  <c r="AD2362" i="113"/>
  <c r="AH2362" i="113" s="1"/>
  <c r="AA176" i="113"/>
  <c r="AE176" i="113" s="1"/>
  <c r="AI176" i="113" s="1"/>
  <c r="AD176" i="113"/>
  <c r="AH176" i="113" s="1"/>
  <c r="AA2263" i="113"/>
  <c r="AE2263" i="113" s="1"/>
  <c r="AI2263" i="113" s="1"/>
  <c r="AD2263" i="113"/>
  <c r="AH2263" i="113" s="1"/>
  <c r="AA1125" i="113"/>
  <c r="AD1125" i="113"/>
  <c r="AH1125" i="113" s="1"/>
  <c r="AA1348" i="113"/>
  <c r="AE1348" i="113" s="1"/>
  <c r="AI1348" i="113" s="1"/>
  <c r="AD1348" i="113"/>
  <c r="AH1348" i="113" s="1"/>
  <c r="AA2260" i="113"/>
  <c r="AD2260" i="113"/>
  <c r="AH2260" i="113" s="1"/>
  <c r="AA2398" i="113"/>
  <c r="AE2398" i="113" s="1"/>
  <c r="AI2398" i="113" s="1"/>
  <c r="AD2398" i="113"/>
  <c r="AH2398" i="113" s="1"/>
  <c r="AA2144" i="113"/>
  <c r="AE2144" i="113" s="1"/>
  <c r="AI2144" i="113" s="1"/>
  <c r="AD2144" i="113"/>
  <c r="AH2144" i="113" s="1"/>
  <c r="AA175" i="113"/>
  <c r="AE175" i="113" s="1"/>
  <c r="AI175" i="113" s="1"/>
  <c r="AD175" i="113"/>
  <c r="AH175" i="113" s="1"/>
  <c r="AA41" i="113"/>
  <c r="AE41" i="113" s="1"/>
  <c r="AI41" i="113" s="1"/>
  <c r="AD41" i="113"/>
  <c r="AH41" i="113" s="1"/>
  <c r="AA1455" i="113"/>
  <c r="AE1455" i="113" s="1"/>
  <c r="AI1455" i="113" s="1"/>
  <c r="AD1455" i="113"/>
  <c r="AH1455" i="113" s="1"/>
  <c r="AA189" i="113"/>
  <c r="AE189" i="113" s="1"/>
  <c r="AI189" i="113" s="1"/>
  <c r="AD189" i="113"/>
  <c r="AH189" i="113" s="1"/>
  <c r="AA903" i="113"/>
  <c r="AE903" i="113" s="1"/>
  <c r="AI903" i="113" s="1"/>
  <c r="AD903" i="113"/>
  <c r="AH903" i="113" s="1"/>
  <c r="AA1280" i="113"/>
  <c r="AD1280" i="113"/>
  <c r="AH1280" i="113" s="1"/>
  <c r="AA1935" i="113"/>
  <c r="AD1935" i="113"/>
  <c r="AH1935" i="113" s="1"/>
  <c r="AA2582" i="113"/>
  <c r="AD2582" i="113"/>
  <c r="AH2582" i="113" s="1"/>
  <c r="AA482" i="113"/>
  <c r="AE482" i="113" s="1"/>
  <c r="AI482" i="113" s="1"/>
  <c r="AD482" i="113"/>
  <c r="AH482" i="113" s="1"/>
  <c r="AA1270" i="113"/>
  <c r="AE1270" i="113" s="1"/>
  <c r="AI1270" i="113" s="1"/>
  <c r="AD1270" i="113"/>
  <c r="AH1270" i="113" s="1"/>
  <c r="AA1527" i="113"/>
  <c r="AD1527" i="113"/>
  <c r="AH1527" i="113" s="1"/>
  <c r="AA1959" i="113"/>
  <c r="AE1959" i="113" s="1"/>
  <c r="AI1959" i="113" s="1"/>
  <c r="AD1959" i="113"/>
  <c r="AH1959" i="113" s="1"/>
  <c r="AA1947" i="113"/>
  <c r="AE1947" i="113" s="1"/>
  <c r="AI1947" i="113" s="1"/>
  <c r="AD1947" i="113"/>
  <c r="AH1947" i="113" s="1"/>
  <c r="AA843" i="113"/>
  <c r="AE843" i="113" s="1"/>
  <c r="AI843" i="113" s="1"/>
  <c r="AD843" i="113"/>
  <c r="AH843" i="113" s="1"/>
  <c r="AE1960" i="113"/>
  <c r="AI1960" i="113" s="1"/>
  <c r="AE1392" i="113"/>
  <c r="AI1392" i="113" s="1"/>
  <c r="AE2585" i="113"/>
  <c r="AI2585" i="113" s="1"/>
  <c r="AE2174" i="113"/>
  <c r="AI2174" i="113" s="1"/>
  <c r="AE2106" i="113"/>
  <c r="AI2106" i="113" s="1"/>
  <c r="AE2082" i="113"/>
  <c r="AI2082" i="113" s="1"/>
  <c r="AE1822" i="113"/>
  <c r="AI1822" i="113" s="1"/>
  <c r="AE1464" i="113"/>
  <c r="AI1464" i="113" s="1"/>
  <c r="AE1208" i="113"/>
  <c r="AI1208" i="113" s="1"/>
  <c r="AE1412" i="113"/>
  <c r="AI1412" i="113" s="1"/>
  <c r="AE789" i="113"/>
  <c r="AI789" i="113" s="1"/>
  <c r="AE637" i="113"/>
  <c r="AI637" i="113" s="1"/>
  <c r="AE755" i="113"/>
  <c r="AI755" i="113" s="1"/>
  <c r="AE1422" i="113"/>
  <c r="AI1422" i="113" s="1"/>
  <c r="AE1604" i="113"/>
  <c r="AI1604" i="113" s="1"/>
  <c r="AE1473" i="113"/>
  <c r="AI1473" i="113" s="1"/>
  <c r="AE544" i="113"/>
  <c r="AI544" i="113" s="1"/>
  <c r="AE14" i="113"/>
  <c r="AI14" i="113" s="1"/>
  <c r="AE950" i="113"/>
  <c r="AI950" i="113" s="1"/>
  <c r="AE602" i="113"/>
  <c r="AI602" i="113" s="1"/>
  <c r="AE1410" i="113"/>
  <c r="AI1410" i="113" s="1"/>
  <c r="AE579" i="113"/>
  <c r="AI579" i="113" s="1"/>
  <c r="AE1730" i="113"/>
  <c r="AI1730" i="113" s="1"/>
  <c r="AE1268" i="113"/>
  <c r="AI1268" i="113" s="1"/>
  <c r="AE2125" i="113"/>
  <c r="AI2125" i="113" s="1"/>
  <c r="AE2555" i="113"/>
  <c r="AI2555" i="113" s="1"/>
  <c r="AE1187" i="113"/>
  <c r="AI1187" i="113" s="1"/>
  <c r="AE1433" i="113"/>
  <c r="AI1433" i="113" s="1"/>
  <c r="AE398" i="113"/>
  <c r="AI398" i="113" s="1"/>
  <c r="AE2323" i="113"/>
  <c r="AI2323" i="113" s="1"/>
  <c r="AE1166" i="113"/>
  <c r="AI1166" i="113" s="1"/>
  <c r="AE1546" i="113"/>
  <c r="AI1546" i="113" s="1"/>
  <c r="AE1734" i="113"/>
  <c r="AI1734" i="113" s="1"/>
  <c r="AE1201" i="113"/>
  <c r="AI1201" i="113" s="1"/>
  <c r="AE623" i="113"/>
  <c r="AI623" i="113" s="1"/>
  <c r="AE428" i="113"/>
  <c r="AI428" i="113" s="1"/>
  <c r="AE1258" i="113"/>
  <c r="AI1258" i="113" s="1"/>
  <c r="AE2045" i="113"/>
  <c r="AI2045" i="113" s="1"/>
  <c r="AE1289" i="113"/>
  <c r="AI1289" i="113" s="1"/>
  <c r="AE2356" i="113"/>
  <c r="AI2356" i="113" s="1"/>
  <c r="AE761" i="113"/>
  <c r="AI761" i="113" s="1"/>
  <c r="AE2059" i="113"/>
  <c r="AI2059" i="113" s="1"/>
  <c r="AE542" i="113"/>
  <c r="AI542" i="113" s="1"/>
  <c r="AE1282" i="113"/>
  <c r="AI1282" i="113" s="1"/>
  <c r="AE2303" i="113"/>
  <c r="AI2303" i="113" s="1"/>
  <c r="AE2192" i="113"/>
  <c r="AI2192" i="113" s="1"/>
  <c r="AE400" i="113"/>
  <c r="AI400" i="113" s="1"/>
  <c r="AE91" i="113"/>
  <c r="AI91" i="113" s="1"/>
  <c r="AE1781" i="113"/>
  <c r="AI1781" i="113" s="1"/>
  <c r="AE1871" i="113"/>
  <c r="AI1871" i="113" s="1"/>
  <c r="AA1096" i="113"/>
  <c r="AD1096" i="113"/>
  <c r="AH1096" i="113" s="1"/>
  <c r="AA1611" i="113"/>
  <c r="AD1611" i="113"/>
  <c r="AH1611" i="113" s="1"/>
  <c r="AA1267" i="113"/>
  <c r="AE1267" i="113" s="1"/>
  <c r="AI1267" i="113" s="1"/>
  <c r="AD1267" i="113"/>
  <c r="AH1267" i="113" s="1"/>
  <c r="AA1946" i="113"/>
  <c r="AD1946" i="113"/>
  <c r="AH1946" i="113" s="1"/>
  <c r="AA1179" i="113"/>
  <c r="AE1179" i="113" s="1"/>
  <c r="AI1179" i="113" s="1"/>
  <c r="AD1179" i="113"/>
  <c r="AH1179" i="113" s="1"/>
  <c r="AA352" i="113"/>
  <c r="AE352" i="113" s="1"/>
  <c r="AI352" i="113" s="1"/>
  <c r="AD352" i="113"/>
  <c r="AH352" i="113" s="1"/>
  <c r="AA1031" i="113"/>
  <c r="AE1031" i="113" s="1"/>
  <c r="AI1031" i="113" s="1"/>
  <c r="AD1031" i="113"/>
  <c r="AH1031" i="113" s="1"/>
  <c r="AA1801" i="113"/>
  <c r="AD1801" i="113"/>
  <c r="AH1801" i="113" s="1"/>
  <c r="AA2333" i="113"/>
  <c r="AE2333" i="113" s="1"/>
  <c r="AI2333" i="113" s="1"/>
  <c r="AD2333" i="113"/>
  <c r="AH2333" i="113" s="1"/>
  <c r="AA710" i="113"/>
  <c r="AE710" i="113" s="1"/>
  <c r="AI710" i="113" s="1"/>
  <c r="AD710" i="113"/>
  <c r="AH710" i="113" s="1"/>
  <c r="AA2229" i="113"/>
  <c r="AD2229" i="113"/>
  <c r="AH2229" i="113" s="1"/>
  <c r="AA1726" i="113"/>
  <c r="AE1726" i="113" s="1"/>
  <c r="AI1726" i="113" s="1"/>
  <c r="AD1726" i="113"/>
  <c r="AH1726" i="113" s="1"/>
  <c r="AA725" i="113"/>
  <c r="AE725" i="113" s="1"/>
  <c r="AI725" i="113" s="1"/>
  <c r="AD725" i="113"/>
  <c r="AH725" i="113" s="1"/>
  <c r="AA179" i="113"/>
  <c r="AE179" i="113" s="1"/>
  <c r="AI179" i="113" s="1"/>
  <c r="AD179" i="113"/>
  <c r="AH179" i="113" s="1"/>
  <c r="AA2667" i="113"/>
  <c r="AE2667" i="113" s="1"/>
  <c r="AI2667" i="113" s="1"/>
  <c r="AD2667" i="113"/>
  <c r="AH2667" i="113" s="1"/>
  <c r="AA675" i="113"/>
  <c r="AE675" i="113" s="1"/>
  <c r="AI675" i="113" s="1"/>
  <c r="AD675" i="113"/>
  <c r="AH675" i="113" s="1"/>
  <c r="AA1371" i="113"/>
  <c r="AE1371" i="113" s="1"/>
  <c r="AI1371" i="113" s="1"/>
  <c r="AD1371" i="113"/>
  <c r="AH1371" i="113" s="1"/>
  <c r="AA2156" i="113"/>
  <c r="AE2156" i="113" s="1"/>
  <c r="AI2156" i="113" s="1"/>
  <c r="AD2156" i="113"/>
  <c r="AH2156" i="113" s="1"/>
  <c r="AA1345" i="113"/>
  <c r="AD1345" i="113"/>
  <c r="AH1345" i="113" s="1"/>
  <c r="AA367" i="113"/>
  <c r="AD367" i="113"/>
  <c r="AH367" i="113" s="1"/>
  <c r="AA52" i="113"/>
  <c r="AE52" i="113" s="1"/>
  <c r="AI52" i="113" s="1"/>
  <c r="AD52" i="113"/>
  <c r="AH52" i="113" s="1"/>
  <c r="AA391" i="113"/>
  <c r="AD391" i="113"/>
  <c r="AH391" i="113" s="1"/>
  <c r="AA2311" i="113"/>
  <c r="AE2311" i="113" s="1"/>
  <c r="AI2311" i="113" s="1"/>
  <c r="AD2311" i="113"/>
  <c r="AH2311" i="113" s="1"/>
  <c r="AA1539" i="113"/>
  <c r="AE1539" i="113" s="1"/>
  <c r="AI1539" i="113" s="1"/>
  <c r="AD1539" i="113"/>
  <c r="AH1539" i="113" s="1"/>
  <c r="AA1402" i="113"/>
  <c r="AE1402" i="113" s="1"/>
  <c r="AI1402" i="113" s="1"/>
  <c r="AD1402" i="113"/>
  <c r="AH1402" i="113" s="1"/>
  <c r="AA2538" i="113"/>
  <c r="AE2538" i="113" s="1"/>
  <c r="AI2538" i="113" s="1"/>
  <c r="AD2538" i="113"/>
  <c r="AH2538" i="113" s="1"/>
  <c r="AA890" i="113"/>
  <c r="AE890" i="113" s="1"/>
  <c r="AI890" i="113" s="1"/>
  <c r="AD890" i="113"/>
  <c r="AH890" i="113" s="1"/>
  <c r="AA1297" i="113"/>
  <c r="AE1297" i="113" s="1"/>
  <c r="AI1297" i="113" s="1"/>
  <c r="AD1297" i="113"/>
  <c r="AH1297" i="113" s="1"/>
  <c r="AA2460" i="113"/>
  <c r="AD2460" i="113"/>
  <c r="AH2460" i="113" s="1"/>
  <c r="AA2451" i="113"/>
  <c r="AE2451" i="113" s="1"/>
  <c r="AI2451" i="113" s="1"/>
  <c r="AD2451" i="113"/>
  <c r="AH2451" i="113" s="1"/>
  <c r="AA1291" i="113"/>
  <c r="AD1291" i="113"/>
  <c r="AH1291" i="113" s="1"/>
  <c r="AA337" i="113"/>
  <c r="AE337" i="113" s="1"/>
  <c r="AI337" i="113" s="1"/>
  <c r="AD337" i="113"/>
  <c r="AH337" i="113" s="1"/>
  <c r="AA486" i="113"/>
  <c r="AD486" i="113"/>
  <c r="AH486" i="113" s="1"/>
  <c r="AA62" i="113"/>
  <c r="AE62" i="113" s="1"/>
  <c r="AI62" i="113" s="1"/>
  <c r="AD62" i="113"/>
  <c r="AH62" i="113" s="1"/>
  <c r="AA2462" i="113"/>
  <c r="AE2462" i="113" s="1"/>
  <c r="AI2462" i="113" s="1"/>
  <c r="AD2462" i="113"/>
  <c r="AH2462" i="113" s="1"/>
  <c r="AA1068" i="113"/>
  <c r="AD1068" i="113"/>
  <c r="AH1068" i="113" s="1"/>
  <c r="AA402" i="113"/>
  <c r="AD402" i="113"/>
  <c r="AH402" i="113" s="1"/>
  <c r="AA1646" i="113"/>
  <c r="AD1646" i="113"/>
  <c r="AH1646" i="113" s="1"/>
  <c r="AA2477" i="113"/>
  <c r="AD2477" i="113"/>
  <c r="AH2477" i="113" s="1"/>
  <c r="AA1493" i="113"/>
  <c r="AE1493" i="113" s="1"/>
  <c r="AI1493" i="113" s="1"/>
  <c r="AD1493" i="113"/>
  <c r="AH1493" i="113" s="1"/>
  <c r="AA1984" i="113"/>
  <c r="AD1984" i="113"/>
  <c r="AH1984" i="113" s="1"/>
  <c r="AA1354" i="113"/>
  <c r="AE1354" i="113" s="1"/>
  <c r="AI1354" i="113" s="1"/>
  <c r="AD1354" i="113"/>
  <c r="AH1354" i="113" s="1"/>
  <c r="AA2573" i="113"/>
  <c r="AE2573" i="113" s="1"/>
  <c r="AI2573" i="113" s="1"/>
  <c r="AD2573" i="113"/>
  <c r="AH2573" i="113" s="1"/>
  <c r="AA547" i="113"/>
  <c r="AD547" i="113"/>
  <c r="AH547" i="113" s="1"/>
  <c r="AA130" i="113"/>
  <c r="AE130" i="113" s="1"/>
  <c r="AI130" i="113" s="1"/>
  <c r="AD130" i="113"/>
  <c r="AH130" i="113" s="1"/>
  <c r="AA2644" i="113"/>
  <c r="AE2644" i="113" s="1"/>
  <c r="AI2644" i="113" s="1"/>
  <c r="AD2644" i="113"/>
  <c r="AH2644" i="113" s="1"/>
  <c r="AA1582" i="113"/>
  <c r="AE1582" i="113" s="1"/>
  <c r="AI1582" i="113" s="1"/>
  <c r="AD1582" i="113"/>
  <c r="AH1582" i="113" s="1"/>
  <c r="AA1477" i="113"/>
  <c r="AE1477" i="113" s="1"/>
  <c r="AI1477" i="113" s="1"/>
  <c r="AD1477" i="113"/>
  <c r="AH1477" i="113" s="1"/>
  <c r="AA2096" i="113"/>
  <c r="AD2096" i="113"/>
  <c r="AH2096" i="113" s="1"/>
  <c r="AA7" i="113"/>
  <c r="AE7" i="113" s="1"/>
  <c r="AI7" i="113" s="1"/>
  <c r="AD7" i="113"/>
  <c r="AH7" i="113" s="1"/>
  <c r="AA312" i="113"/>
  <c r="AE312" i="113" s="1"/>
  <c r="AI312" i="113" s="1"/>
  <c r="AD312" i="113"/>
  <c r="AH312" i="113" s="1"/>
  <c r="AA746" i="113"/>
  <c r="AE746" i="113" s="1"/>
  <c r="AI746" i="113" s="1"/>
  <c r="AD746" i="113"/>
  <c r="AH746" i="113" s="1"/>
  <c r="AA613" i="113"/>
  <c r="AE613" i="113" s="1"/>
  <c r="AI613" i="113" s="1"/>
  <c r="AD613" i="113"/>
  <c r="AH613" i="113" s="1"/>
  <c r="AA1515" i="113"/>
  <c r="AE1515" i="113" s="1"/>
  <c r="AI1515" i="113" s="1"/>
  <c r="AD1515" i="113"/>
  <c r="AH1515" i="113" s="1"/>
  <c r="AA1242" i="113"/>
  <c r="AD1242" i="113"/>
  <c r="AH1242" i="113" s="1"/>
  <c r="AA2656" i="113"/>
  <c r="AE2656" i="113" s="1"/>
  <c r="AI2656" i="113" s="1"/>
  <c r="AD2656" i="113"/>
  <c r="AH2656" i="113" s="1"/>
  <c r="AA2380" i="113"/>
  <c r="AD2380" i="113"/>
  <c r="AH2380" i="113" s="1"/>
  <c r="AA578" i="113"/>
  <c r="AE578" i="113" s="1"/>
  <c r="AI578" i="113" s="1"/>
  <c r="AD578" i="113"/>
  <c r="AH578" i="113" s="1"/>
  <c r="AA1014" i="113"/>
  <c r="AE1014" i="113" s="1"/>
  <c r="AI1014" i="113" s="1"/>
  <c r="AD1014" i="113"/>
  <c r="AH1014" i="113" s="1"/>
  <c r="AA1888" i="113"/>
  <c r="AD1888" i="113"/>
  <c r="AH1888" i="113" s="1"/>
  <c r="AA2416" i="113"/>
  <c r="AE2416" i="113" s="1"/>
  <c r="AI2416" i="113" s="1"/>
  <c r="AD2416" i="113"/>
  <c r="AH2416" i="113" s="1"/>
  <c r="AA1003" i="113"/>
  <c r="AE1003" i="113" s="1"/>
  <c r="AI1003" i="113" s="1"/>
  <c r="AD1003" i="113"/>
  <c r="AH1003" i="113" s="1"/>
  <c r="AA72" i="113"/>
  <c r="AE72" i="113" s="1"/>
  <c r="AI72" i="113" s="1"/>
  <c r="AD72" i="113"/>
  <c r="AH72" i="113" s="1"/>
  <c r="AA1979" i="113"/>
  <c r="AE1979" i="113" s="1"/>
  <c r="AI1979" i="113" s="1"/>
  <c r="AD1979" i="113"/>
  <c r="AH1979" i="113" s="1"/>
  <c r="AA1398" i="113"/>
  <c r="AD1398" i="113"/>
  <c r="AH1398" i="113" s="1"/>
  <c r="AA2496" i="113"/>
  <c r="AE2496" i="113" s="1"/>
  <c r="AI2496" i="113" s="1"/>
  <c r="AD2496" i="113"/>
  <c r="AH2496" i="113" s="1"/>
  <c r="AA373" i="113"/>
  <c r="AE373" i="113" s="1"/>
  <c r="AI373" i="113" s="1"/>
  <c r="AD373" i="113"/>
  <c r="AH373" i="113" s="1"/>
  <c r="AA415" i="113"/>
  <c r="AE415" i="113" s="1"/>
  <c r="AI415" i="113" s="1"/>
  <c r="AD415" i="113"/>
  <c r="AH415" i="113" s="1"/>
  <c r="AA1241" i="113"/>
  <c r="AE1241" i="113" s="1"/>
  <c r="AI1241" i="113" s="1"/>
  <c r="AD1241" i="113"/>
  <c r="AH1241" i="113" s="1"/>
  <c r="AA997" i="113"/>
  <c r="AE997" i="113" s="1"/>
  <c r="AI997" i="113" s="1"/>
  <c r="AD997" i="113"/>
  <c r="AH997" i="113" s="1"/>
  <c r="AA1572" i="113"/>
  <c r="AE1572" i="113" s="1"/>
  <c r="AI1572" i="113" s="1"/>
  <c r="AD1572" i="113"/>
  <c r="AH1572" i="113" s="1"/>
  <c r="AA1321" i="113"/>
  <c r="AD1321" i="113"/>
  <c r="AH1321" i="113" s="1"/>
  <c r="AA378" i="113"/>
  <c r="AD378" i="113"/>
  <c r="AH378" i="113" s="1"/>
  <c r="AA2374" i="113"/>
  <c r="AE2374" i="113" s="1"/>
  <c r="AI2374" i="113" s="1"/>
  <c r="AD2374" i="113"/>
  <c r="AH2374" i="113" s="1"/>
  <c r="AA2099" i="113"/>
  <c r="AD2099" i="113"/>
  <c r="AH2099" i="113" s="1"/>
  <c r="AA1693" i="113"/>
  <c r="AE1693" i="113" s="1"/>
  <c r="AI1693" i="113" s="1"/>
  <c r="AD1693" i="113"/>
  <c r="AH1693" i="113" s="1"/>
  <c r="AA812" i="113"/>
  <c r="AD812" i="113"/>
  <c r="AH812" i="113" s="1"/>
  <c r="AA1430" i="113"/>
  <c r="AE1430" i="113" s="1"/>
  <c r="AI1430" i="113" s="1"/>
  <c r="AD1430" i="113"/>
  <c r="AH1430" i="113" s="1"/>
  <c r="AA86" i="113"/>
  <c r="AD86" i="113"/>
  <c r="AH86" i="113" s="1"/>
  <c r="AA2216" i="113"/>
  <c r="AE2216" i="113" s="1"/>
  <c r="AI2216" i="113" s="1"/>
  <c r="AD2216" i="113"/>
  <c r="AH2216" i="113" s="1"/>
  <c r="AA34" i="113"/>
  <c r="AE34" i="113" s="1"/>
  <c r="AI34" i="113" s="1"/>
  <c r="AD34" i="113"/>
  <c r="AH34" i="113" s="1"/>
  <c r="AA1692" i="113"/>
  <c r="AD1692" i="113"/>
  <c r="AH1692" i="113" s="1"/>
  <c r="AA2559" i="113"/>
  <c r="AE2559" i="113" s="1"/>
  <c r="AI2559" i="113" s="1"/>
  <c r="AD2559" i="113"/>
  <c r="AH2559" i="113" s="1"/>
  <c r="AA589" i="113"/>
  <c r="AD589" i="113"/>
  <c r="AH589" i="113" s="1"/>
  <c r="AA42" i="113"/>
  <c r="AE42" i="113" s="1"/>
  <c r="AI42" i="113" s="1"/>
  <c r="AD42" i="113"/>
  <c r="AH42" i="113" s="1"/>
  <c r="AA2409" i="113"/>
  <c r="AD2409" i="113"/>
  <c r="AH2409" i="113" s="1"/>
  <c r="AA2254" i="113"/>
  <c r="AE2254" i="113" s="1"/>
  <c r="AI2254" i="113" s="1"/>
  <c r="AD2254" i="113"/>
  <c r="AH2254" i="113" s="1"/>
  <c r="AA1452" i="113"/>
  <c r="AE1452" i="113" s="1"/>
  <c r="AI1452" i="113" s="1"/>
  <c r="AD1452" i="113"/>
  <c r="AH1452" i="113" s="1"/>
  <c r="AA2043" i="113"/>
  <c r="AD2043" i="113"/>
  <c r="AH2043" i="113" s="1"/>
  <c r="AA1393" i="113"/>
  <c r="AE1393" i="113" s="1"/>
  <c r="AI1393" i="113" s="1"/>
  <c r="AD1393" i="113"/>
  <c r="AH1393" i="113" s="1"/>
  <c r="AA136" i="113"/>
  <c r="AE136" i="113" s="1"/>
  <c r="AI136" i="113" s="1"/>
  <c r="AD136" i="113"/>
  <c r="AH136" i="113" s="1"/>
  <c r="AA140" i="113"/>
  <c r="AE140" i="113" s="1"/>
  <c r="AI140" i="113" s="1"/>
  <c r="AD140" i="113"/>
  <c r="AH140" i="113" s="1"/>
  <c r="AA932" i="113"/>
  <c r="AE932" i="113" s="1"/>
  <c r="AI932" i="113" s="1"/>
  <c r="AD932" i="113"/>
  <c r="AH932" i="113" s="1"/>
  <c r="AA223" i="113"/>
  <c r="AE223" i="113" s="1"/>
  <c r="AI223" i="113" s="1"/>
  <c r="AD223" i="113"/>
  <c r="AH223" i="113" s="1"/>
  <c r="AA2275" i="113"/>
  <c r="AE2275" i="113" s="1"/>
  <c r="AI2275" i="113" s="1"/>
  <c r="AD2275" i="113"/>
  <c r="AH2275" i="113" s="1"/>
  <c r="AA955" i="113"/>
  <c r="AE955" i="113" s="1"/>
  <c r="AI955" i="113" s="1"/>
  <c r="AD955" i="113"/>
  <c r="AH955" i="113" s="1"/>
  <c r="AA1528" i="113"/>
  <c r="AE1528" i="113" s="1"/>
  <c r="AI1528" i="113" s="1"/>
  <c r="AD1528" i="113"/>
  <c r="AH1528" i="113" s="1"/>
  <c r="AA2670" i="113"/>
  <c r="AD2670" i="113"/>
  <c r="AH2670" i="113" s="1"/>
  <c r="AA1626" i="113"/>
  <c r="AE1626" i="113" s="1"/>
  <c r="AI1626" i="113" s="1"/>
  <c r="AD1626" i="113"/>
  <c r="AH1626" i="113" s="1"/>
  <c r="AA1818" i="113"/>
  <c r="AE1818" i="113" s="1"/>
  <c r="AI1818" i="113" s="1"/>
  <c r="AD1818" i="113"/>
  <c r="AH1818" i="113" s="1"/>
  <c r="AA698" i="113"/>
  <c r="AD698" i="113"/>
  <c r="AH698" i="113" s="1"/>
  <c r="AA2054" i="113"/>
  <c r="AD2054" i="113"/>
  <c r="AH2054" i="113" s="1"/>
  <c r="AA1589" i="113"/>
  <c r="AE1589" i="113" s="1"/>
  <c r="AI1589" i="113" s="1"/>
  <c r="AD1589" i="113"/>
  <c r="AH1589" i="113" s="1"/>
  <c r="AA47" i="113"/>
  <c r="AE47" i="113" s="1"/>
  <c r="AI47" i="113" s="1"/>
  <c r="AD47" i="113"/>
  <c r="AH47" i="113" s="1"/>
  <c r="AA1095" i="113"/>
  <c r="AE1095" i="113" s="1"/>
  <c r="AI1095" i="113" s="1"/>
  <c r="AD1095" i="113"/>
  <c r="AH1095" i="113" s="1"/>
  <c r="AA793" i="113"/>
  <c r="AE793" i="113" s="1"/>
  <c r="AI793" i="113" s="1"/>
  <c r="AD793" i="113"/>
  <c r="AH793" i="113" s="1"/>
  <c r="AA2602" i="113"/>
  <c r="AD2602" i="113"/>
  <c r="AH2602" i="113" s="1"/>
  <c r="AA2002" i="113"/>
  <c r="AE2002" i="113" s="1"/>
  <c r="AI2002" i="113" s="1"/>
  <c r="AD2002" i="113"/>
  <c r="AH2002" i="113" s="1"/>
  <c r="AA2261" i="113"/>
  <c r="AD2261" i="113"/>
  <c r="AH2261" i="113" s="1"/>
  <c r="AA1844" i="113"/>
  <c r="AE1844" i="113" s="1"/>
  <c r="AI1844" i="113" s="1"/>
  <c r="AD1844" i="113"/>
  <c r="AH1844" i="113" s="1"/>
  <c r="AA1458" i="113"/>
  <c r="AE1458" i="113" s="1"/>
  <c r="AI1458" i="113" s="1"/>
  <c r="AD1458" i="113"/>
  <c r="AH1458" i="113" s="1"/>
  <c r="AA2225" i="113"/>
  <c r="AD2225" i="113"/>
  <c r="AH2225" i="113" s="1"/>
  <c r="AA2012" i="113"/>
  <c r="AD2012" i="113"/>
  <c r="AH2012" i="113" s="1"/>
  <c r="AA442" i="113"/>
  <c r="AD442" i="113"/>
  <c r="AH442" i="113" s="1"/>
  <c r="AA1783" i="113"/>
  <c r="AE1783" i="113" s="1"/>
  <c r="AI1783" i="113" s="1"/>
  <c r="AD1783" i="113"/>
  <c r="AH1783" i="113" s="1"/>
  <c r="AA2608" i="113"/>
  <c r="AE2608" i="113" s="1"/>
  <c r="AI2608" i="113" s="1"/>
  <c r="AD2608" i="113"/>
  <c r="AH2608" i="113" s="1"/>
  <c r="AA227" i="113"/>
  <c r="AE227" i="113" s="1"/>
  <c r="AI227" i="113" s="1"/>
  <c r="AD227" i="113"/>
  <c r="AH227" i="113" s="1"/>
  <c r="AA2605" i="113"/>
  <c r="AD2605" i="113"/>
  <c r="AH2605" i="113" s="1"/>
  <c r="AA975" i="113"/>
  <c r="AE975" i="113" s="1"/>
  <c r="AI975" i="113" s="1"/>
  <c r="AD975" i="113"/>
  <c r="AH975" i="113" s="1"/>
  <c r="AA826" i="113"/>
  <c r="AD826" i="113"/>
  <c r="AH826" i="113" s="1"/>
  <c r="AA2543" i="113"/>
  <c r="AD2543" i="113"/>
  <c r="AH2543" i="113" s="1"/>
  <c r="AA2438" i="113"/>
  <c r="AE2438" i="113" s="1"/>
  <c r="AI2438" i="113" s="1"/>
  <c r="AD2438" i="113"/>
  <c r="AH2438" i="113" s="1"/>
  <c r="AA2034" i="113"/>
  <c r="AD2034" i="113"/>
  <c r="AH2034" i="113" s="1"/>
  <c r="AA1958" i="113"/>
  <c r="AE1958" i="113" s="1"/>
  <c r="AI1958" i="113" s="1"/>
  <c r="AD1958" i="113"/>
  <c r="AH1958" i="113" s="1"/>
  <c r="AA377" i="113"/>
  <c r="AD377" i="113"/>
  <c r="AH377" i="113" s="1"/>
  <c r="AA208" i="113"/>
  <c r="AD208" i="113"/>
  <c r="AH208" i="113" s="1"/>
  <c r="AA1644" i="113"/>
  <c r="AD1644" i="113"/>
  <c r="AH1644" i="113" s="1"/>
  <c r="AE1682" i="113"/>
  <c r="AI1682" i="113" s="1"/>
  <c r="AE2139" i="113"/>
  <c r="AI2139" i="113" s="1"/>
  <c r="AE430" i="113"/>
  <c r="AI430" i="113" s="1"/>
  <c r="AE1366" i="113"/>
  <c r="AI1366" i="113" s="1"/>
  <c r="AE39" i="113"/>
  <c r="AI39" i="113" s="1"/>
  <c r="AE2473" i="113"/>
  <c r="AI2473" i="113" s="1"/>
  <c r="AE1953" i="113"/>
  <c r="AI1953" i="113" s="1"/>
  <c r="AE2129" i="113"/>
  <c r="AI2129" i="113" s="1"/>
  <c r="AE250" i="113"/>
  <c r="AI250" i="113" s="1"/>
  <c r="AE1305" i="113"/>
  <c r="AI1305" i="113" s="1"/>
  <c r="AE662" i="113"/>
  <c r="AI662" i="113" s="1"/>
  <c r="AE2088" i="113"/>
  <c r="AI2088" i="113" s="1"/>
  <c r="AE1020" i="113"/>
  <c r="AI1020" i="113" s="1"/>
  <c r="AE1181" i="113"/>
  <c r="AI1181" i="113" s="1"/>
  <c r="AE1006" i="113"/>
  <c r="AI1006" i="113" s="1"/>
  <c r="AE631" i="113"/>
  <c r="AI631" i="113" s="1"/>
  <c r="AA1023" i="113"/>
  <c r="AE1023" i="113" s="1"/>
  <c r="AI1023" i="113" s="1"/>
  <c r="AD1023" i="113"/>
  <c r="AH1023" i="113" s="1"/>
  <c r="AA2432" i="113"/>
  <c r="AE2432" i="113" s="1"/>
  <c r="AI2432" i="113" s="1"/>
  <c r="AD2432" i="113"/>
  <c r="AH2432" i="113" s="1"/>
  <c r="AA1846" i="113"/>
  <c r="AD1846" i="113"/>
  <c r="AH1846" i="113" s="1"/>
  <c r="AA2230" i="113"/>
  <c r="AE2230" i="113" s="1"/>
  <c r="AI2230" i="113" s="1"/>
  <c r="AD2230" i="113"/>
  <c r="AH2230" i="113" s="1"/>
  <c r="AA593" i="113"/>
  <c r="AD593" i="113"/>
  <c r="AH593" i="113" s="1"/>
  <c r="AA1195" i="113"/>
  <c r="AD1195" i="113"/>
  <c r="AH1195" i="113" s="1"/>
  <c r="AA1981" i="113"/>
  <c r="AD1981" i="113"/>
  <c r="AH1981" i="113" s="1"/>
  <c r="AA1586" i="113"/>
  <c r="AE1586" i="113" s="1"/>
  <c r="AI1586" i="113" s="1"/>
  <c r="AD1586" i="113"/>
  <c r="AH1586" i="113" s="1"/>
  <c r="AA1922" i="113"/>
  <c r="AE1922" i="113" s="1"/>
  <c r="AI1922" i="113" s="1"/>
  <c r="AD1922" i="113"/>
  <c r="AH1922" i="113" s="1"/>
  <c r="AA303" i="113"/>
  <c r="AE303" i="113" s="1"/>
  <c r="AI303" i="113" s="1"/>
  <c r="AD303" i="113"/>
  <c r="AH303" i="113" s="1"/>
  <c r="AA893" i="113"/>
  <c r="AE893" i="113" s="1"/>
  <c r="AI893" i="113" s="1"/>
  <c r="AD893" i="113"/>
  <c r="AH893" i="113" s="1"/>
  <c r="AA2349" i="113"/>
  <c r="AD2349" i="113"/>
  <c r="AH2349" i="113" s="1"/>
  <c r="AA494" i="113"/>
  <c r="AE494" i="113" s="1"/>
  <c r="AI494" i="113" s="1"/>
  <c r="AD494" i="113"/>
  <c r="AH494" i="113" s="1"/>
  <c r="AA1180" i="113"/>
  <c r="AD1180" i="113"/>
  <c r="AH1180" i="113" s="1"/>
  <c r="AA261" i="113"/>
  <c r="AE261" i="113" s="1"/>
  <c r="AI261" i="113" s="1"/>
  <c r="AD261" i="113"/>
  <c r="AH261" i="113" s="1"/>
  <c r="AA687" i="113"/>
  <c r="AE687" i="113" s="1"/>
  <c r="AI687" i="113" s="1"/>
  <c r="AD687" i="113"/>
  <c r="AH687" i="113" s="1"/>
  <c r="AA1703" i="113"/>
  <c r="AD1703" i="113"/>
  <c r="AH1703" i="113" s="1"/>
  <c r="AA586" i="113"/>
  <c r="AD586" i="113"/>
  <c r="AH586" i="113" s="1"/>
  <c r="AA2289" i="113"/>
  <c r="AD2289" i="113"/>
  <c r="AH2289" i="113" s="1"/>
  <c r="AA1895" i="113"/>
  <c r="AE1895" i="113" s="1"/>
  <c r="AI1895" i="113" s="1"/>
  <c r="AD1895" i="113"/>
  <c r="AH1895" i="113" s="1"/>
  <c r="AA2584" i="113"/>
  <c r="AE2584" i="113" s="1"/>
  <c r="AI2584" i="113" s="1"/>
  <c r="AD2584" i="113"/>
  <c r="AH2584" i="113" s="1"/>
  <c r="AA407" i="113"/>
  <c r="AD407" i="113"/>
  <c r="AH407" i="113" s="1"/>
  <c r="AA1022" i="113"/>
  <c r="AD1022" i="113"/>
  <c r="AH1022" i="113" s="1"/>
  <c r="AA2414" i="113"/>
  <c r="AE2414" i="113" s="1"/>
  <c r="AI2414" i="113" s="1"/>
  <c r="AD2414" i="113"/>
  <c r="AH2414" i="113" s="1"/>
  <c r="AA1557" i="113"/>
  <c r="AD1557" i="113"/>
  <c r="AH1557" i="113" s="1"/>
  <c r="AA2614" i="113"/>
  <c r="AE2614" i="113" s="1"/>
  <c r="AI2614" i="113" s="1"/>
  <c r="AD2614" i="113"/>
  <c r="AH2614" i="113" s="1"/>
  <c r="AA1882" i="113"/>
  <c r="AE1882" i="113" s="1"/>
  <c r="AI1882" i="113" s="1"/>
  <c r="AD1882" i="113"/>
  <c r="AH1882" i="113" s="1"/>
  <c r="AA947" i="113"/>
  <c r="AE947" i="113" s="1"/>
  <c r="AI947" i="113" s="1"/>
  <c r="AD947" i="113"/>
  <c r="AH947" i="113" s="1"/>
  <c r="AA263" i="113"/>
  <c r="AE263" i="113" s="1"/>
  <c r="AI263" i="113" s="1"/>
  <c r="AD263" i="113"/>
  <c r="AH263" i="113" s="1"/>
  <c r="AA122" i="113"/>
  <c r="AE122" i="113" s="1"/>
  <c r="AI122" i="113" s="1"/>
  <c r="AD122" i="113"/>
  <c r="AH122" i="113" s="1"/>
  <c r="AA2158" i="113"/>
  <c r="AE2158" i="113" s="1"/>
  <c r="AI2158" i="113" s="1"/>
  <c r="AD2158" i="113"/>
  <c r="AH2158" i="113" s="1"/>
  <c r="AA1504" i="113"/>
  <c r="AE1504" i="113" s="1"/>
  <c r="AI1504" i="113" s="1"/>
  <c r="AD1504" i="113"/>
  <c r="AH1504" i="113" s="1"/>
  <c r="AA712" i="113"/>
  <c r="AE712" i="113" s="1"/>
  <c r="AI712" i="113" s="1"/>
  <c r="AD712" i="113"/>
  <c r="AH712" i="113" s="1"/>
  <c r="AA2479" i="113"/>
  <c r="AE2479" i="113" s="1"/>
  <c r="AI2479" i="113" s="1"/>
  <c r="AD2479" i="113"/>
  <c r="AH2479" i="113" s="1"/>
  <c r="AA1307" i="113"/>
  <c r="AD1307" i="113"/>
  <c r="AH1307" i="113" s="1"/>
  <c r="AA1883" i="113"/>
  <c r="AE1883" i="113" s="1"/>
  <c r="AI1883" i="113" s="1"/>
  <c r="AD1883" i="113"/>
  <c r="AH1883" i="113" s="1"/>
  <c r="AA1652" i="113"/>
  <c r="AE1652" i="113" s="1"/>
  <c r="AI1652" i="113" s="1"/>
  <c r="AD1652" i="113"/>
  <c r="AH1652" i="113" s="1"/>
  <c r="AA967" i="113"/>
  <c r="AE967" i="113" s="1"/>
  <c r="AI967" i="113" s="1"/>
  <c r="AD967" i="113"/>
  <c r="AH967" i="113" s="1"/>
  <c r="AA2365" i="113"/>
  <c r="AD2365" i="113"/>
  <c r="AH2365" i="113" s="1"/>
  <c r="AA1318" i="113"/>
  <c r="AE1318" i="113" s="1"/>
  <c r="AI1318" i="113" s="1"/>
  <c r="AD1318" i="113"/>
  <c r="AH1318" i="113" s="1"/>
  <c r="AA1431" i="113"/>
  <c r="AD1431" i="113"/>
  <c r="AH1431" i="113" s="1"/>
  <c r="AA118" i="113"/>
  <c r="AE118" i="113" s="1"/>
  <c r="AI118" i="113" s="1"/>
  <c r="AD118" i="113"/>
  <c r="AH118" i="113" s="1"/>
  <c r="AA1170" i="113"/>
  <c r="AE1170" i="113" s="1"/>
  <c r="AI1170" i="113" s="1"/>
  <c r="AD1170" i="113"/>
  <c r="AH1170" i="113" s="1"/>
  <c r="AA127" i="113"/>
  <c r="AE127" i="113" s="1"/>
  <c r="AI127" i="113" s="1"/>
  <c r="AD127" i="113"/>
  <c r="AH127" i="113" s="1"/>
  <c r="AA1630" i="113"/>
  <c r="AD1630" i="113"/>
  <c r="AH1630" i="113" s="1"/>
  <c r="AA759" i="113"/>
  <c r="AE759" i="113" s="1"/>
  <c r="AI759" i="113" s="1"/>
  <c r="AD759" i="113"/>
  <c r="AH759" i="113" s="1"/>
  <c r="AA1576" i="113"/>
  <c r="AD1576" i="113"/>
  <c r="AH1576" i="113" s="1"/>
  <c r="AA1893" i="113"/>
  <c r="AE1893" i="113" s="1"/>
  <c r="AI1893" i="113" s="1"/>
  <c r="AD1893" i="113"/>
  <c r="AH1893" i="113" s="1"/>
  <c r="AA1257" i="113"/>
  <c r="AE1257" i="113" s="1"/>
  <c r="AI1257" i="113" s="1"/>
  <c r="AD1257" i="113"/>
  <c r="AH1257" i="113" s="1"/>
  <c r="AA682" i="113"/>
  <c r="AE682" i="113" s="1"/>
  <c r="AI682" i="113" s="1"/>
  <c r="AD682" i="113"/>
  <c r="AH682" i="113" s="1"/>
  <c r="AA546" i="113"/>
  <c r="AD546" i="113"/>
  <c r="AH546" i="113" s="1"/>
  <c r="AA1570" i="113"/>
  <c r="AE1570" i="113" s="1"/>
  <c r="AI1570" i="113" s="1"/>
  <c r="AD1570" i="113"/>
  <c r="AH1570" i="113" s="1"/>
  <c r="AA512" i="113"/>
  <c r="AD512" i="113"/>
  <c r="AH512" i="113" s="1"/>
  <c r="AA439" i="113"/>
  <c r="AD439" i="113"/>
  <c r="AH439" i="113" s="1"/>
  <c r="AA90" i="113"/>
  <c r="AE90" i="113" s="1"/>
  <c r="AI90" i="113" s="1"/>
  <c r="AD90" i="113"/>
  <c r="AH90" i="113" s="1"/>
  <c r="AA2146" i="113"/>
  <c r="AE2146" i="113" s="1"/>
  <c r="AI2146" i="113" s="1"/>
  <c r="AD2146" i="113"/>
  <c r="AH2146" i="113" s="1"/>
  <c r="AA1047" i="113"/>
  <c r="AD1047" i="113"/>
  <c r="AH1047" i="113" s="1"/>
  <c r="AA2134" i="113"/>
  <c r="AD2134" i="113"/>
  <c r="AH2134" i="113" s="1"/>
  <c r="AA2655" i="113"/>
  <c r="AD2655" i="113"/>
  <c r="AH2655" i="113" s="1"/>
  <c r="AA1229" i="113"/>
  <c r="AD1229" i="113"/>
  <c r="AH1229" i="113" s="1"/>
  <c r="AA604" i="113"/>
  <c r="AE604" i="113" s="1"/>
  <c r="AI604" i="113" s="1"/>
  <c r="AD604" i="113"/>
  <c r="AH604" i="113" s="1"/>
  <c r="AA2017" i="113"/>
  <c r="AE2017" i="113" s="1"/>
  <c r="AI2017" i="113" s="1"/>
  <c r="AD2017" i="113"/>
  <c r="AH2017" i="113" s="1"/>
  <c r="AA1479" i="113"/>
  <c r="AE1479" i="113" s="1"/>
  <c r="AI1479" i="113" s="1"/>
  <c r="AD1479" i="113"/>
  <c r="AH1479" i="113" s="1"/>
  <c r="AA930" i="113"/>
  <c r="AD930" i="113"/>
  <c r="AH930" i="113" s="1"/>
  <c r="AA892" i="113"/>
  <c r="AE892" i="113" s="1"/>
  <c r="AI892" i="113" s="1"/>
  <c r="AD892" i="113"/>
  <c r="AH892" i="113" s="1"/>
  <c r="AA2313" i="113"/>
  <c r="AE2313" i="113" s="1"/>
  <c r="AI2313" i="113" s="1"/>
  <c r="AD2313" i="113"/>
  <c r="AH2313" i="113" s="1"/>
  <c r="AA1974" i="113"/>
  <c r="AD1974" i="113"/>
  <c r="AH1974" i="113" s="1"/>
  <c r="AA1554" i="113"/>
  <c r="AE1554" i="113" s="1"/>
  <c r="AI1554" i="113" s="1"/>
  <c r="AD1554" i="113"/>
  <c r="AH1554" i="113" s="1"/>
  <c r="AA2268" i="113"/>
  <c r="AE2268" i="113" s="1"/>
  <c r="AI2268" i="113" s="1"/>
  <c r="AD2268" i="113"/>
  <c r="AH2268" i="113" s="1"/>
  <c r="AA1009" i="113"/>
  <c r="AE1009" i="113" s="1"/>
  <c r="AI1009" i="113" s="1"/>
  <c r="AD1009" i="113"/>
  <c r="AH1009" i="113" s="1"/>
  <c r="AA1117" i="113"/>
  <c r="AD1117" i="113"/>
  <c r="AH1117" i="113" s="1"/>
  <c r="AA195" i="113"/>
  <c r="AE195" i="113" s="1"/>
  <c r="AI195" i="113" s="1"/>
  <c r="AD195" i="113"/>
  <c r="AH195" i="113" s="1"/>
  <c r="AA2295" i="113"/>
  <c r="AD2295" i="113"/>
  <c r="AH2295" i="113" s="1"/>
  <c r="AA1148" i="113"/>
  <c r="AE1148" i="113" s="1"/>
  <c r="AI1148" i="113" s="1"/>
  <c r="AD1148" i="113"/>
  <c r="AH1148" i="113" s="1"/>
  <c r="AA336" i="113"/>
  <c r="AD336" i="113"/>
  <c r="AH336" i="113" s="1"/>
  <c r="AA1927" i="113"/>
  <c r="AD1927" i="113"/>
  <c r="AH1927" i="113" s="1"/>
  <c r="AA2390" i="113"/>
  <c r="AE2390" i="113" s="1"/>
  <c r="AI2390" i="113" s="1"/>
  <c r="AD2390" i="113"/>
  <c r="AH2390" i="113" s="1"/>
  <c r="AA2417" i="113"/>
  <c r="AE2417" i="113" s="1"/>
  <c r="AI2417" i="113" s="1"/>
  <c r="AD2417" i="113"/>
  <c r="AH2417" i="113" s="1"/>
  <c r="AA2520" i="113"/>
  <c r="AD2520" i="113"/>
  <c r="AH2520" i="113" s="1"/>
  <c r="AA1364" i="113"/>
  <c r="AE1364" i="113" s="1"/>
  <c r="AI1364" i="113" s="1"/>
  <c r="AD1364" i="113"/>
  <c r="AH1364" i="113" s="1"/>
  <c r="AA462" i="113"/>
  <c r="AD462" i="113"/>
  <c r="AH462" i="113" s="1"/>
  <c r="AA1311" i="113"/>
  <c r="AE1311" i="113" s="1"/>
  <c r="AI1311" i="113" s="1"/>
  <c r="AD1311" i="113"/>
  <c r="AH1311" i="113" s="1"/>
  <c r="AA1388" i="113"/>
  <c r="AE1388" i="113" s="1"/>
  <c r="AI1388" i="113" s="1"/>
  <c r="AD1388" i="113"/>
  <c r="AH1388" i="113" s="1"/>
  <c r="AA1795" i="113"/>
  <c r="AE1795" i="113" s="1"/>
  <c r="AI1795" i="113" s="1"/>
  <c r="AD1795" i="113"/>
  <c r="AH1795" i="113" s="1"/>
  <c r="AA1226" i="113"/>
  <c r="AE1226" i="113" s="1"/>
  <c r="AI1226" i="113" s="1"/>
  <c r="AD1226" i="113"/>
  <c r="AH1226" i="113" s="1"/>
  <c r="AA946" i="113"/>
  <c r="AE946" i="113" s="1"/>
  <c r="AI946" i="113" s="1"/>
  <c r="AD946" i="113"/>
  <c r="AH946" i="113" s="1"/>
  <c r="AA2067" i="113"/>
  <c r="AD2067" i="113"/>
  <c r="AH2067" i="113" s="1"/>
  <c r="AA1147" i="113"/>
  <c r="AD1147" i="113"/>
  <c r="AH1147" i="113" s="1"/>
  <c r="AA201" i="113"/>
  <c r="AD201" i="113"/>
  <c r="AH201" i="113" s="1"/>
  <c r="AA215" i="113"/>
  <c r="AD215" i="113"/>
  <c r="AH215" i="113" s="1"/>
  <c r="AA1343" i="113"/>
  <c r="AD1343" i="113"/>
  <c r="AH1343" i="113" s="1"/>
  <c r="AA214" i="113"/>
  <c r="AE214" i="113" s="1"/>
  <c r="AI214" i="113" s="1"/>
  <c r="AD214" i="113"/>
  <c r="AH214" i="113" s="1"/>
  <c r="AA40" i="113"/>
  <c r="AD40" i="113"/>
  <c r="AH40" i="113" s="1"/>
  <c r="AA1532" i="113"/>
  <c r="AD1532" i="113"/>
  <c r="AH1532" i="113" s="1"/>
  <c r="AA2347" i="113"/>
  <c r="AD2347" i="113"/>
  <c r="AH2347" i="113" s="1"/>
  <c r="AA2588" i="113"/>
  <c r="AD2588" i="113"/>
  <c r="AH2588" i="113" s="1"/>
  <c r="AA1051" i="113"/>
  <c r="AE1051" i="113" s="1"/>
  <c r="AI1051" i="113" s="1"/>
  <c r="AD1051" i="113"/>
  <c r="AH1051" i="113" s="1"/>
  <c r="AA1799" i="113"/>
  <c r="AE1799" i="113" s="1"/>
  <c r="AI1799" i="113" s="1"/>
  <c r="AD1799" i="113"/>
  <c r="AH1799" i="113" s="1"/>
  <c r="AA1776" i="113"/>
  <c r="AE1776" i="113" s="1"/>
  <c r="AI1776" i="113" s="1"/>
  <c r="AD1776" i="113"/>
  <c r="AH1776" i="113" s="1"/>
  <c r="AA1668" i="113"/>
  <c r="AD1668" i="113"/>
  <c r="AH1668" i="113" s="1"/>
  <c r="AA906" i="113"/>
  <c r="AE906" i="113" s="1"/>
  <c r="AI906" i="113" s="1"/>
  <c r="AD906" i="113"/>
  <c r="AH906" i="113" s="1"/>
  <c r="AA2222" i="113"/>
  <c r="AD2222" i="113"/>
  <c r="AH2222" i="113" s="1"/>
  <c r="AA962" i="113"/>
  <c r="AE962" i="113" s="1"/>
  <c r="AI962" i="113" s="1"/>
  <c r="AD962" i="113"/>
  <c r="AH962" i="113" s="1"/>
  <c r="AA2353" i="113"/>
  <c r="AE2353" i="113" s="1"/>
  <c r="AI2353" i="113" s="1"/>
  <c r="AD2353" i="113"/>
  <c r="AH2353" i="113" s="1"/>
  <c r="AA1259" i="113"/>
  <c r="AE1259" i="113" s="1"/>
  <c r="AI1259" i="113" s="1"/>
  <c r="AD1259" i="113"/>
  <c r="AH1259" i="113" s="1"/>
  <c r="AA1136" i="113"/>
  <c r="AE1136" i="113" s="1"/>
  <c r="AI1136" i="113" s="1"/>
  <c r="AD1136" i="113"/>
  <c r="AH1136" i="113" s="1"/>
  <c r="AA1502" i="113"/>
  <c r="AE1502" i="113" s="1"/>
  <c r="AI1502" i="113" s="1"/>
  <c r="AD1502" i="113"/>
  <c r="AH1502" i="113" s="1"/>
  <c r="AA333" i="113"/>
  <c r="AE333" i="113" s="1"/>
  <c r="AI333" i="113" s="1"/>
  <c r="AD333" i="113"/>
  <c r="AH333" i="113" s="1"/>
  <c r="AA1472" i="113"/>
  <c r="AE1472" i="113" s="1"/>
  <c r="AI1472" i="113" s="1"/>
  <c r="AD1472" i="113"/>
  <c r="AH1472" i="113" s="1"/>
  <c r="AA267" i="113"/>
  <c r="AE267" i="113" s="1"/>
  <c r="AI267" i="113" s="1"/>
  <c r="AD267" i="113"/>
  <c r="AH267" i="113" s="1"/>
  <c r="AA1124" i="113"/>
  <c r="AD1124" i="113"/>
  <c r="AH1124" i="113" s="1"/>
  <c r="AA2386" i="113"/>
  <c r="AE2386" i="113" s="1"/>
  <c r="AI2386" i="113" s="1"/>
  <c r="AD2386" i="113"/>
  <c r="AH2386" i="113" s="1"/>
  <c r="AA75" i="113"/>
  <c r="AD75" i="113"/>
  <c r="AH75" i="113" s="1"/>
  <c r="AA1447" i="113"/>
  <c r="AD1447" i="113"/>
  <c r="AH1447" i="113" s="1"/>
  <c r="AA1624" i="113"/>
  <c r="AE1624" i="113" s="1"/>
  <c r="AI1624" i="113" s="1"/>
  <c r="AD1624" i="113"/>
  <c r="AH1624" i="113" s="1"/>
  <c r="AA2494" i="113"/>
  <c r="AD2494" i="113"/>
  <c r="AH2494" i="113" s="1"/>
  <c r="AA362" i="113"/>
  <c r="AE362" i="113" s="1"/>
  <c r="AI362" i="113" s="1"/>
  <c r="AD362" i="113"/>
  <c r="AH362" i="113" s="1"/>
  <c r="AA646" i="113"/>
  <c r="AE646" i="113" s="1"/>
  <c r="AI646" i="113" s="1"/>
  <c r="AD646" i="113"/>
  <c r="AH646" i="113" s="1"/>
  <c r="AA2064" i="113"/>
  <c r="AD2064" i="113"/>
  <c r="AH2064" i="113" s="1"/>
  <c r="AA2233" i="113"/>
  <c r="AE2233" i="113" s="1"/>
  <c r="AI2233" i="113" s="1"/>
  <c r="AD2233" i="113"/>
  <c r="AH2233" i="113" s="1"/>
  <c r="AA640" i="113"/>
  <c r="AE640" i="113" s="1"/>
  <c r="AI640" i="113" s="1"/>
  <c r="AD640" i="113"/>
  <c r="AH640" i="113" s="1"/>
  <c r="AA2434" i="113"/>
  <c r="AD2434" i="113"/>
  <c r="AH2434" i="113" s="1"/>
  <c r="AA1028" i="113"/>
  <c r="AD1028" i="113"/>
  <c r="AH1028" i="113" s="1"/>
  <c r="AA1299" i="113"/>
  <c r="AE1299" i="113" s="1"/>
  <c r="AI1299" i="113" s="1"/>
  <c r="AD1299" i="113"/>
  <c r="AH1299" i="113" s="1"/>
  <c r="AA668" i="113"/>
  <c r="AD668" i="113"/>
  <c r="AH668" i="113" s="1"/>
  <c r="AA1551" i="113"/>
  <c r="AE1551" i="113" s="1"/>
  <c r="AI1551" i="113" s="1"/>
  <c r="AD1551" i="113"/>
  <c r="AH1551" i="113" s="1"/>
  <c r="AA138" i="113"/>
  <c r="AD138" i="113"/>
  <c r="AH138" i="113" s="1"/>
  <c r="AE1499" i="113"/>
  <c r="AI1499" i="113" s="1"/>
  <c r="AE1820" i="113"/>
  <c r="AI1820" i="113" s="1"/>
  <c r="AE653" i="113"/>
  <c r="AI653" i="113" s="1"/>
  <c r="AE584" i="113"/>
  <c r="AI584" i="113" s="1"/>
  <c r="AE491" i="113"/>
  <c r="AI491" i="113" s="1"/>
  <c r="AE53" i="113"/>
  <c r="AI53" i="113" s="1"/>
  <c r="AE1222" i="113"/>
  <c r="AI1222" i="113" s="1"/>
  <c r="AE1482" i="113"/>
  <c r="AI1482" i="113" s="1"/>
  <c r="AE1152" i="113"/>
  <c r="AI1152" i="113" s="1"/>
  <c r="AE493" i="113"/>
  <c r="AI493" i="113" s="1"/>
  <c r="AE685" i="113"/>
  <c r="AI685" i="113" s="1"/>
  <c r="AE365" i="113"/>
  <c r="AI365" i="113" s="1"/>
  <c r="AE1303" i="113"/>
  <c r="AI1303" i="113" s="1"/>
  <c r="AE95" i="113"/>
  <c r="AI95" i="113" s="1"/>
  <c r="AE2660" i="113"/>
  <c r="AI2660" i="113" s="1"/>
  <c r="AE1426" i="113"/>
  <c r="AI1426" i="113" s="1"/>
  <c r="AE1602" i="113"/>
  <c r="AI1602" i="113" s="1"/>
  <c r="AE395" i="113"/>
  <c r="AI395" i="113" s="1"/>
  <c r="AE937" i="113"/>
  <c r="AI937" i="113" s="1"/>
  <c r="AE70" i="113"/>
  <c r="AI70" i="113" s="1"/>
  <c r="AE99" i="113"/>
  <c r="AI99" i="113" s="1"/>
  <c r="AE783" i="113"/>
  <c r="AI783" i="113" s="1"/>
  <c r="AE840" i="113"/>
  <c r="AI840" i="113" s="1"/>
  <c r="AA2126" i="113"/>
  <c r="AE2126" i="113" s="1"/>
  <c r="AI2126" i="113" s="1"/>
  <c r="AD2126" i="113"/>
  <c r="AH2126" i="113" s="1"/>
  <c r="AA135" i="113"/>
  <c r="AE135" i="113" s="1"/>
  <c r="AI135" i="113" s="1"/>
  <c r="AD135" i="113"/>
  <c r="AH135" i="113" s="1"/>
  <c r="AA322" i="113"/>
  <c r="AD322" i="113"/>
  <c r="AH322" i="113" s="1"/>
  <c r="AA2115" i="113"/>
  <c r="AD2115" i="113"/>
  <c r="AH2115" i="113" s="1"/>
  <c r="AA2332" i="113"/>
  <c r="AE2332" i="113" s="1"/>
  <c r="AI2332" i="113" s="1"/>
  <c r="AD2332" i="113"/>
  <c r="AH2332" i="113" s="1"/>
  <c r="AA1896" i="113"/>
  <c r="AE1896" i="113" s="1"/>
  <c r="AI1896" i="113" s="1"/>
  <c r="AD1896" i="113"/>
  <c r="AH1896" i="113" s="1"/>
  <c r="AA1132" i="113"/>
  <c r="AD1132" i="113"/>
  <c r="AH1132" i="113" s="1"/>
  <c r="AA2270" i="113"/>
  <c r="AD2270" i="113"/>
  <c r="AH2270" i="113" s="1"/>
  <c r="AA1276" i="113"/>
  <c r="AE1276" i="113" s="1"/>
  <c r="AI1276" i="113" s="1"/>
  <c r="AD1276" i="113"/>
  <c r="AH1276" i="113" s="1"/>
  <c r="AA1365" i="113"/>
  <c r="AE1365" i="113" s="1"/>
  <c r="AI1365" i="113" s="1"/>
  <c r="AD1365" i="113"/>
  <c r="AH1365" i="113" s="1"/>
  <c r="AA360" i="113"/>
  <c r="AD360" i="113"/>
  <c r="AH360" i="113" s="1"/>
  <c r="AA433" i="113"/>
  <c r="AE433" i="113" s="1"/>
  <c r="AI433" i="113" s="1"/>
  <c r="AD433" i="113"/>
  <c r="AH433" i="113" s="1"/>
  <c r="AA2499" i="113"/>
  <c r="AD2499" i="113"/>
  <c r="AH2499" i="113" s="1"/>
  <c r="AA1664" i="113"/>
  <c r="AE1664" i="113" s="1"/>
  <c r="AI1664" i="113" s="1"/>
  <c r="AD1664" i="113"/>
  <c r="AH1664" i="113" s="1"/>
  <c r="AA305" i="113"/>
  <c r="AE305" i="113" s="1"/>
  <c r="AI305" i="113" s="1"/>
  <c r="AD305" i="113"/>
  <c r="AH305" i="113" s="1"/>
  <c r="AA2621" i="113"/>
  <c r="AE2621" i="113" s="1"/>
  <c r="AI2621" i="113" s="1"/>
  <c r="AD2621" i="113"/>
  <c r="AH2621" i="113" s="1"/>
  <c r="AA2440" i="113"/>
  <c r="AE2440" i="113" s="1"/>
  <c r="AI2440" i="113" s="1"/>
  <c r="AD2440" i="113"/>
  <c r="AH2440" i="113" s="1"/>
  <c r="AA148" i="113"/>
  <c r="AD148" i="113"/>
  <c r="AH148" i="113" s="1"/>
  <c r="AA2278" i="113"/>
  <c r="AE2278" i="113" s="1"/>
  <c r="AI2278" i="113" s="1"/>
  <c r="AD2278" i="113"/>
  <c r="AH2278" i="113" s="1"/>
  <c r="AA1081" i="113"/>
  <c r="AE1081" i="113" s="1"/>
  <c r="AI1081" i="113" s="1"/>
  <c r="AD1081" i="113"/>
  <c r="AH1081" i="113" s="1"/>
  <c r="AA2529" i="113"/>
  <c r="AD2529" i="113"/>
  <c r="AH2529" i="113" s="1"/>
  <c r="AA268" i="113"/>
  <c r="AE268" i="113" s="1"/>
  <c r="AI268" i="113" s="1"/>
  <c r="AD268" i="113"/>
  <c r="AH268" i="113" s="1"/>
  <c r="AA639" i="113"/>
  <c r="AE639" i="113" s="1"/>
  <c r="AI639" i="113" s="1"/>
  <c r="AD639" i="113"/>
  <c r="AH639" i="113" s="1"/>
  <c r="AA1509" i="113"/>
  <c r="AE1509" i="113" s="1"/>
  <c r="AI1509" i="113" s="1"/>
  <c r="AD1509" i="113"/>
  <c r="AH1509" i="113" s="1"/>
  <c r="AA2570" i="113"/>
  <c r="AD2570" i="113"/>
  <c r="AH2570" i="113" s="1"/>
  <c r="AA1842" i="113"/>
  <c r="AE1842" i="113" s="1"/>
  <c r="AI1842" i="113" s="1"/>
  <c r="AD1842" i="113"/>
  <c r="AH1842" i="113" s="1"/>
  <c r="AA368" i="113"/>
  <c r="AE368" i="113" s="1"/>
  <c r="AI368" i="113" s="1"/>
  <c r="AD368" i="113"/>
  <c r="AH368" i="113" s="1"/>
  <c r="AA2411" i="113"/>
  <c r="AD2411" i="113"/>
  <c r="AH2411" i="113" s="1"/>
  <c r="AA2612" i="113"/>
  <c r="AD2612" i="113"/>
  <c r="AH2612" i="113" s="1"/>
  <c r="AA1986" i="113"/>
  <c r="AE1986" i="113" s="1"/>
  <c r="AI1986" i="113" s="1"/>
  <c r="AD1986" i="113"/>
  <c r="AH1986" i="113" s="1"/>
  <c r="AA2523" i="113"/>
  <c r="AE2523" i="113" s="1"/>
  <c r="AI2523" i="113" s="1"/>
  <c r="AD2523" i="113"/>
  <c r="AH2523" i="113" s="1"/>
  <c r="AA598" i="113"/>
  <c r="AD598" i="113"/>
  <c r="AH598" i="113" s="1"/>
  <c r="AA767" i="113"/>
  <c r="AE767" i="113" s="1"/>
  <c r="AI767" i="113" s="1"/>
  <c r="AD767" i="113"/>
  <c r="AH767" i="113" s="1"/>
  <c r="AA1710" i="113"/>
  <c r="AD1710" i="113"/>
  <c r="AH1710" i="113" s="1"/>
  <c r="AA463" i="113"/>
  <c r="AD463" i="113"/>
  <c r="AH463" i="113" s="1"/>
  <c r="AA237" i="113"/>
  <c r="AE237" i="113" s="1"/>
  <c r="AI237" i="113" s="1"/>
  <c r="AD237" i="113"/>
  <c r="AH237" i="113" s="1"/>
  <c r="AA476" i="113"/>
  <c r="AD476" i="113"/>
  <c r="AH476" i="113" s="1"/>
  <c r="AA1244" i="113"/>
  <c r="AD1244" i="113"/>
  <c r="AH1244" i="113" s="1"/>
  <c r="AA2244" i="113"/>
  <c r="AD2244" i="113"/>
  <c r="AH2244" i="113" s="1"/>
  <c r="AA376" i="113"/>
  <c r="AE376" i="113" s="1"/>
  <c r="AI376" i="113" s="1"/>
  <c r="AD376" i="113"/>
  <c r="AH376" i="113" s="1"/>
  <c r="AA2190" i="113"/>
  <c r="AD2190" i="113"/>
  <c r="AH2190" i="113" s="1"/>
  <c r="AA2491" i="113"/>
  <c r="AE2491" i="113" s="1"/>
  <c r="AI2491" i="113" s="1"/>
  <c r="AD2491" i="113"/>
  <c r="AH2491" i="113" s="1"/>
  <c r="AA2284" i="113"/>
  <c r="AD2284" i="113"/>
  <c r="AH2284" i="113" s="1"/>
  <c r="AA265" i="113"/>
  <c r="AE265" i="113" s="1"/>
  <c r="AI265" i="113" s="1"/>
  <c r="AD265" i="113"/>
  <c r="AH265" i="113" s="1"/>
  <c r="AA2548" i="113"/>
  <c r="AE2548" i="113" s="1"/>
  <c r="AI2548" i="113" s="1"/>
  <c r="AD2548" i="113"/>
  <c r="AH2548" i="113" s="1"/>
  <c r="AA2176" i="113"/>
  <c r="AD2176" i="113"/>
  <c r="AH2176" i="113" s="1"/>
  <c r="AA757" i="113"/>
  <c r="AE757" i="113" s="1"/>
  <c r="AI757" i="113" s="1"/>
  <c r="AD757" i="113"/>
  <c r="AH757" i="113" s="1"/>
  <c r="AA236" i="113"/>
  <c r="AD236" i="113"/>
  <c r="AH236" i="113" s="1"/>
  <c r="AA1928" i="113"/>
  <c r="AE1928" i="113" s="1"/>
  <c r="AI1928" i="113" s="1"/>
  <c r="AD1928" i="113"/>
  <c r="AH1928" i="113" s="1"/>
  <c r="AA405" i="113"/>
  <c r="AD405" i="113"/>
  <c r="AH405" i="113" s="1"/>
  <c r="AA2114" i="113"/>
  <c r="AE2114" i="113" s="1"/>
  <c r="AI2114" i="113" s="1"/>
  <c r="AD2114" i="113"/>
  <c r="AH2114" i="113" s="1"/>
  <c r="AA1066" i="113"/>
  <c r="AD1066" i="113"/>
  <c r="AH1066" i="113" s="1"/>
  <c r="AA1086" i="113"/>
  <c r="AE1086" i="113" s="1"/>
  <c r="AI1086" i="113" s="1"/>
  <c r="AD1086" i="113"/>
  <c r="AH1086" i="113" s="1"/>
  <c r="AA1449" i="113"/>
  <c r="AE1449" i="113" s="1"/>
  <c r="AI1449" i="113" s="1"/>
  <c r="AD1449" i="113"/>
  <c r="AH1449" i="113" s="1"/>
  <c r="AA1340" i="113"/>
  <c r="AD1340" i="113"/>
  <c r="AH1340" i="113" s="1"/>
  <c r="AA501" i="113"/>
  <c r="AE501" i="113" s="1"/>
  <c r="AI501" i="113" s="1"/>
  <c r="AD501" i="113"/>
  <c r="AH501" i="113" s="1"/>
  <c r="AA795" i="113"/>
  <c r="AE795" i="113" s="1"/>
  <c r="AI795" i="113" s="1"/>
  <c r="AD795" i="113"/>
  <c r="AH795" i="113" s="1"/>
  <c r="AA1580" i="113"/>
  <c r="AD1580" i="113"/>
  <c r="AH1580" i="113" s="1"/>
  <c r="AA2343" i="113"/>
  <c r="AE2343" i="113" s="1"/>
  <c r="AI2343" i="113" s="1"/>
  <c r="AD2343" i="113"/>
  <c r="AH2343" i="113" s="1"/>
  <c r="AA735" i="113"/>
  <c r="AD735" i="113"/>
  <c r="AH735" i="113" s="1"/>
  <c r="AA2350" i="113"/>
  <c r="AE2350" i="113" s="1"/>
  <c r="AI2350" i="113" s="1"/>
  <c r="AD2350" i="113"/>
  <c r="AH2350" i="113" s="1"/>
  <c r="AA2057" i="113"/>
  <c r="AD2057" i="113"/>
  <c r="AH2057" i="113" s="1"/>
  <c r="AA1535" i="113"/>
  <c r="AE1535" i="113" s="1"/>
  <c r="AI1535" i="113" s="1"/>
  <c r="AD1535" i="113"/>
  <c r="AH1535" i="113" s="1"/>
  <c r="AA1991" i="113"/>
  <c r="AD1991" i="113"/>
  <c r="AH1991" i="113" s="1"/>
  <c r="AA147" i="113"/>
  <c r="AE147" i="113" s="1"/>
  <c r="AI147" i="113" s="1"/>
  <c r="AD147" i="113"/>
  <c r="AH147" i="113" s="1"/>
  <c r="AA388" i="113"/>
  <c r="AD388" i="113"/>
  <c r="AH388" i="113" s="1"/>
  <c r="AA2442" i="113"/>
  <c r="AE2442" i="113" s="1"/>
  <c r="AI2442" i="113" s="1"/>
  <c r="AD2442" i="113"/>
  <c r="AH2442" i="113" s="1"/>
  <c r="AA2094" i="113"/>
  <c r="AD2094" i="113"/>
  <c r="AH2094" i="113" s="1"/>
  <c r="AA2581" i="113"/>
  <c r="AE2581" i="113" s="1"/>
  <c r="AI2581" i="113" s="1"/>
  <c r="AD2581" i="113"/>
  <c r="AH2581" i="113" s="1"/>
  <c r="AA1999" i="113"/>
  <c r="AD1999" i="113"/>
  <c r="AH1999" i="113" s="1"/>
  <c r="AA2519" i="113"/>
  <c r="AD2519" i="113"/>
  <c r="AH2519" i="113" s="1"/>
  <c r="AA205" i="113"/>
  <c r="AE205" i="113" s="1"/>
  <c r="AI205" i="113" s="1"/>
  <c r="AD205" i="113"/>
  <c r="AH205" i="113" s="1"/>
  <c r="AA1127" i="113"/>
  <c r="AE1127" i="113" s="1"/>
  <c r="AI1127" i="113" s="1"/>
  <c r="AD1127" i="113"/>
  <c r="AH1127" i="113" s="1"/>
  <c r="AA2378" i="113"/>
  <c r="AE2378" i="113" s="1"/>
  <c r="AI2378" i="113" s="1"/>
  <c r="AD2378" i="113"/>
  <c r="AH2378" i="113" s="1"/>
  <c r="AA616" i="113"/>
  <c r="AD616" i="113"/>
  <c r="AH616" i="113" s="1"/>
  <c r="AA2676" i="113"/>
  <c r="AD2676" i="113"/>
  <c r="AH2676" i="113" s="1"/>
  <c r="AA2404" i="113"/>
  <c r="AD2404" i="113"/>
  <c r="AH2404" i="113" s="1"/>
  <c r="AA2035" i="113"/>
  <c r="AE2035" i="113" s="1"/>
  <c r="AI2035" i="113" s="1"/>
  <c r="AD2035" i="113"/>
  <c r="AH2035" i="113" s="1"/>
  <c r="AA2384" i="113"/>
  <c r="AE2384" i="113" s="1"/>
  <c r="AI2384" i="113" s="1"/>
  <c r="AD2384" i="113"/>
  <c r="AH2384" i="113" s="1"/>
  <c r="AA2298" i="113"/>
  <c r="AE2298" i="113" s="1"/>
  <c r="AI2298" i="113" s="1"/>
  <c r="AD2298" i="113"/>
  <c r="AH2298" i="113" s="1"/>
  <c r="AA822" i="113"/>
  <c r="AE822" i="113" s="1"/>
  <c r="AI822" i="113" s="1"/>
  <c r="AD822" i="113"/>
  <c r="AH822" i="113" s="1"/>
  <c r="AA230" i="113"/>
  <c r="AE230" i="113" s="1"/>
  <c r="AI230" i="113" s="1"/>
  <c r="AD230" i="113"/>
  <c r="AH230" i="113" s="1"/>
  <c r="AA84" i="113"/>
  <c r="AE84" i="113" s="1"/>
  <c r="AI84" i="113" s="1"/>
  <c r="AD84" i="113"/>
  <c r="AH84" i="113" s="1"/>
  <c r="AA2495" i="113"/>
  <c r="AD2495" i="113"/>
  <c r="AH2495" i="113" s="1"/>
  <c r="AA2487" i="113"/>
  <c r="AE2487" i="113" s="1"/>
  <c r="AI2487" i="113" s="1"/>
  <c r="AD2487" i="113"/>
  <c r="AH2487" i="113" s="1"/>
  <c r="AA841" i="113"/>
  <c r="AE841" i="113" s="1"/>
  <c r="AI841" i="113" s="1"/>
  <c r="AD841" i="113"/>
  <c r="AH841" i="113" s="1"/>
  <c r="AA1263" i="113"/>
  <c r="AD1263" i="113"/>
  <c r="AH1263" i="113" s="1"/>
  <c r="AA1060" i="113"/>
  <c r="AE1060" i="113" s="1"/>
  <c r="AI1060" i="113" s="1"/>
  <c r="AD1060" i="113"/>
  <c r="AH1060" i="113" s="1"/>
  <c r="AA1227" i="113"/>
  <c r="AE1227" i="113" s="1"/>
  <c r="AI1227" i="113" s="1"/>
  <c r="AD1227" i="113"/>
  <c r="AH1227" i="113" s="1"/>
  <c r="AA645" i="113"/>
  <c r="AE645" i="113" s="1"/>
  <c r="AI645" i="113" s="1"/>
  <c r="AD645" i="113"/>
  <c r="AH645" i="113" s="1"/>
  <c r="AA2098" i="113"/>
  <c r="AE2098" i="113" s="1"/>
  <c r="AI2098" i="113" s="1"/>
  <c r="AD2098" i="113"/>
  <c r="AH2098" i="113" s="1"/>
  <c r="AA2652" i="113"/>
  <c r="AE2652" i="113" s="1"/>
  <c r="AI2652" i="113" s="1"/>
  <c r="AD2652" i="113"/>
  <c r="AH2652" i="113" s="1"/>
  <c r="AA650" i="113"/>
  <c r="AD650" i="113"/>
  <c r="AH650" i="113" s="1"/>
  <c r="AA1342" i="113"/>
  <c r="AD1342" i="113"/>
  <c r="AH1342" i="113" s="1"/>
  <c r="AA2526" i="113"/>
  <c r="AE2526" i="113" s="1"/>
  <c r="AI2526" i="113" s="1"/>
  <c r="AD2526" i="113"/>
  <c r="AH2526" i="113" s="1"/>
  <c r="AA1690" i="113"/>
  <c r="AD1690" i="113"/>
  <c r="AH1690" i="113" s="1"/>
  <c r="AA2103" i="113"/>
  <c r="AD2103" i="113"/>
  <c r="AH2103" i="113" s="1"/>
  <c r="AA489" i="113"/>
  <c r="AE489" i="113" s="1"/>
  <c r="AI489" i="113" s="1"/>
  <c r="AD489" i="113"/>
  <c r="AH489" i="113" s="1"/>
  <c r="AA166" i="113"/>
  <c r="AD166" i="113"/>
  <c r="AH166" i="113" s="1"/>
  <c r="AA228" i="113"/>
  <c r="AE228" i="113" s="1"/>
  <c r="AI228" i="113" s="1"/>
  <c r="AD228" i="113"/>
  <c r="AH228" i="113" s="1"/>
  <c r="AA1435" i="113"/>
  <c r="AE1435" i="113" s="1"/>
  <c r="AI1435" i="113" s="1"/>
  <c r="AD1435" i="113"/>
  <c r="AH1435" i="113" s="1"/>
  <c r="AA2504" i="113"/>
  <c r="AD2504" i="113"/>
  <c r="AH2504" i="113" s="1"/>
  <c r="AA1759" i="113"/>
  <c r="AD1759" i="113"/>
  <c r="AH1759" i="113" s="1"/>
  <c r="AA2594" i="113"/>
  <c r="AE2594" i="113" s="1"/>
  <c r="AI2594" i="113" s="1"/>
  <c r="AD2594" i="113"/>
  <c r="AH2594" i="113" s="1"/>
  <c r="AA1826" i="113"/>
  <c r="AE1826" i="113" s="1"/>
  <c r="AI1826" i="113" s="1"/>
  <c r="AD1826" i="113"/>
  <c r="AH1826" i="113" s="1"/>
  <c r="AA1261" i="113"/>
  <c r="AD1261" i="113"/>
  <c r="AH1261" i="113" s="1"/>
  <c r="AA503" i="113"/>
  <c r="AE503" i="113" s="1"/>
  <c r="AI503" i="113" s="1"/>
  <c r="AA1358" i="113"/>
  <c r="AE1358" i="113" s="1"/>
  <c r="AI1358" i="113" s="1"/>
  <c r="AD1358" i="113"/>
  <c r="AH1358" i="113" s="1"/>
  <c r="AA1982" i="113"/>
  <c r="AE1982" i="113" s="1"/>
  <c r="AI1982" i="113" s="1"/>
  <c r="AD1982" i="113"/>
  <c r="AH1982" i="113" s="1"/>
  <c r="AA2535" i="113"/>
  <c r="AD2535" i="113"/>
  <c r="AH2535" i="113" s="1"/>
  <c r="AA1988" i="113"/>
  <c r="AE1988" i="113" s="1"/>
  <c r="AI1988" i="113" s="1"/>
  <c r="AD1988" i="113"/>
  <c r="AH1988" i="113" s="1"/>
  <c r="AE2246" i="113"/>
  <c r="AI2246" i="113" s="1"/>
  <c r="AE574" i="113"/>
  <c r="AI574" i="113" s="1"/>
  <c r="AE1541" i="113"/>
  <c r="AI1541" i="113" s="1"/>
  <c r="AE683" i="113"/>
  <c r="AI683" i="113" s="1"/>
  <c r="AE134" i="113"/>
  <c r="AI134" i="113" s="1"/>
  <c r="AE699" i="113"/>
  <c r="AI699" i="113" s="1"/>
  <c r="AE88" i="113"/>
  <c r="AI88" i="113" s="1"/>
  <c r="AE1247" i="113"/>
  <c r="AI1247" i="113" s="1"/>
  <c r="AE1976" i="113"/>
  <c r="AI1976" i="113" s="1"/>
  <c r="AE1055" i="113"/>
  <c r="AI1055" i="113" s="1"/>
  <c r="AE1145" i="113"/>
  <c r="AI1145" i="113" s="1"/>
  <c r="AE323" i="113"/>
  <c r="AI323" i="113" s="1"/>
  <c r="AE1510" i="113"/>
  <c r="AI1510" i="113" s="1"/>
  <c r="AE2120" i="113"/>
  <c r="AI2120" i="113" s="1"/>
  <c r="AE2039" i="113"/>
  <c r="AI2039" i="113" s="1"/>
  <c r="AE1448" i="113"/>
  <c r="AI1448" i="113" s="1"/>
  <c r="AE456" i="113"/>
  <c r="AI456" i="113" s="1"/>
  <c r="AE2157" i="113"/>
  <c r="AI2157" i="113" s="1"/>
  <c r="AE1739" i="113"/>
  <c r="AI1739" i="113" s="1"/>
  <c r="AE2136" i="113"/>
  <c r="AI2136" i="113" s="1"/>
  <c r="AA1859" i="113"/>
  <c r="AE1859" i="113" s="1"/>
  <c r="AI1859" i="113" s="1"/>
  <c r="AD1859" i="113"/>
  <c r="AH1859" i="113" s="1"/>
  <c r="AA1045" i="113"/>
  <c r="AE1045" i="113" s="1"/>
  <c r="AI1045" i="113" s="1"/>
  <c r="AD1045" i="113"/>
  <c r="AH1045" i="113" s="1"/>
  <c r="AA1655" i="113"/>
  <c r="AE1655" i="113" s="1"/>
  <c r="AI1655" i="113" s="1"/>
  <c r="AD1655" i="113"/>
  <c r="AH1655" i="113" s="1"/>
  <c r="AA1327" i="113"/>
  <c r="AE1327" i="113" s="1"/>
  <c r="AI1327" i="113" s="1"/>
  <c r="AD1327" i="113"/>
  <c r="AH1327" i="113" s="1"/>
  <c r="AA2186" i="113"/>
  <c r="AE2186" i="113" s="1"/>
  <c r="AI2186" i="113" s="1"/>
  <c r="AD2186" i="113"/>
  <c r="AH2186" i="113" s="1"/>
  <c r="AA2421" i="113"/>
  <c r="AE2421" i="113" s="1"/>
  <c r="AI2421" i="113" s="1"/>
  <c r="AD2421" i="113"/>
  <c r="AH2421" i="113" s="1"/>
  <c r="AA1423" i="113"/>
  <c r="AE1423" i="113" s="1"/>
  <c r="AI1423" i="113" s="1"/>
  <c r="AD1423" i="113"/>
  <c r="AH1423" i="113" s="1"/>
  <c r="AA2549" i="113"/>
  <c r="AD2549" i="113"/>
  <c r="AH2549" i="113" s="1"/>
  <c r="AA2219" i="113"/>
  <c r="AE2219" i="113" s="1"/>
  <c r="AI2219" i="113" s="1"/>
  <c r="AD2219" i="113"/>
  <c r="AH2219" i="113" s="1"/>
  <c r="AA831" i="113"/>
  <c r="AD831" i="113"/>
  <c r="AH831" i="113" s="1"/>
  <c r="AA1243" i="113"/>
  <c r="AE1243" i="113" s="1"/>
  <c r="AI1243" i="113" s="1"/>
  <c r="AD1243" i="113"/>
  <c r="AH1243" i="113" s="1"/>
  <c r="AA2677" i="113"/>
  <c r="AE2677" i="113" s="1"/>
  <c r="AI2677" i="113" s="1"/>
  <c r="AD2677" i="113"/>
  <c r="AH2677" i="113" s="1"/>
  <c r="AA329" i="113"/>
  <c r="AD329" i="113"/>
  <c r="AH329" i="113" s="1"/>
  <c r="AE2577" i="113"/>
  <c r="AI2577" i="113" s="1"/>
  <c r="AE2408" i="113"/>
  <c r="AI2408" i="113" s="1"/>
  <c r="AE371" i="113"/>
  <c r="AI371" i="113" s="1"/>
  <c r="AE1139" i="113"/>
  <c r="AI1139" i="113" s="1"/>
  <c r="AE423" i="113"/>
  <c r="AI423" i="113" s="1"/>
  <c r="AE1501" i="113"/>
  <c r="AI1501" i="113" s="1"/>
  <c r="AE790" i="113"/>
  <c r="AI790" i="113" s="1"/>
  <c r="AE1017" i="113"/>
  <c r="AI1017" i="113" s="1"/>
  <c r="AE811" i="113"/>
  <c r="AI811" i="113" s="1"/>
  <c r="AE458" i="113"/>
  <c r="AI458" i="113" s="1"/>
  <c r="AE472" i="113"/>
  <c r="AI472" i="113" s="1"/>
  <c r="AE703" i="113"/>
  <c r="AI703" i="113" s="1"/>
  <c r="AE1709" i="113"/>
  <c r="AI1709" i="113" s="1"/>
  <c r="AE2309" i="113"/>
  <c r="AI2309" i="113" s="1"/>
  <c r="AE328" i="113"/>
  <c r="AI328" i="113" s="1"/>
  <c r="AE1394" i="113"/>
  <c r="AI1394" i="113" s="1"/>
  <c r="AE617" i="113"/>
  <c r="AI617" i="113" s="1"/>
  <c r="AE1471" i="113"/>
  <c r="AI1471" i="113" s="1"/>
  <c r="AE638" i="113"/>
  <c r="AI638" i="113" s="1"/>
  <c r="AE1159" i="113"/>
  <c r="AI1159" i="113" s="1"/>
  <c r="AE2188" i="113"/>
  <c r="AI2188" i="113" s="1"/>
  <c r="AE1408" i="113"/>
  <c r="AI1408" i="113" s="1"/>
  <c r="AE343" i="113"/>
  <c r="AI343" i="113" s="1"/>
  <c r="AE2073" i="113"/>
  <c r="AI2073" i="113" s="1"/>
  <c r="AE1188" i="113"/>
  <c r="AI1188" i="113" s="1"/>
  <c r="AE720" i="113"/>
  <c r="AI720" i="113" s="1"/>
  <c r="AE1154" i="113"/>
  <c r="AI1154" i="113" s="1"/>
  <c r="AE1994" i="113"/>
  <c r="AI1994" i="113" s="1"/>
  <c r="AE500" i="113"/>
  <c r="AI500" i="113" s="1"/>
  <c r="AE965" i="113"/>
  <c r="AI965" i="113" s="1"/>
  <c r="AE560" i="113"/>
  <c r="AI560" i="113" s="1"/>
  <c r="AE971" i="113"/>
  <c r="AI971" i="113" s="1"/>
  <c r="AE1182" i="113"/>
  <c r="AI1182" i="113" s="1"/>
  <c r="AE514" i="113"/>
  <c r="AI514" i="113" s="1"/>
  <c r="AE2279" i="113"/>
  <c r="AI2279" i="113" s="1"/>
  <c r="AE741" i="113"/>
  <c r="AI741" i="113" s="1"/>
  <c r="AE525" i="113"/>
  <c r="AI525" i="113" s="1"/>
  <c r="AE384" i="113"/>
  <c r="AI384" i="113" s="1"/>
  <c r="AE1629" i="113"/>
  <c r="AI1629" i="113" s="1"/>
  <c r="AE1069" i="113"/>
  <c r="AI1069" i="113" s="1"/>
  <c r="AE2122" i="113"/>
  <c r="AI2122" i="113" s="1"/>
  <c r="AE222" i="113"/>
  <c r="AI222" i="113" s="1"/>
  <c r="AE414" i="113"/>
  <c r="AI414" i="113" s="1"/>
  <c r="AE2530" i="113"/>
  <c r="AI2530" i="113" s="1"/>
  <c r="AE1335" i="113"/>
  <c r="AI1335" i="113" s="1"/>
  <c r="AE1091" i="113"/>
  <c r="AI1091" i="113" s="1"/>
  <c r="AE1175" i="113"/>
  <c r="AI1175" i="113" s="1"/>
  <c r="AE775" i="113"/>
  <c r="AI775" i="113" s="1"/>
  <c r="AE1503" i="113"/>
  <c r="AI1503" i="113" s="1"/>
  <c r="AE929" i="113"/>
  <c r="AI929" i="113" s="1"/>
  <c r="AE194" i="113"/>
  <c r="AI194" i="113" s="1"/>
  <c r="AE1324" i="113"/>
  <c r="AI1324" i="113" s="1"/>
  <c r="AE1126" i="113"/>
  <c r="AI1126" i="113" s="1"/>
  <c r="AE58" i="113"/>
  <c r="AI58" i="113" s="1"/>
  <c r="AE1085" i="113"/>
  <c r="AI1085" i="113" s="1"/>
  <c r="AE1962" i="113"/>
  <c r="AI1962" i="113" s="1"/>
  <c r="AE972" i="113"/>
  <c r="AI972" i="113" s="1"/>
  <c r="AE1794" i="113"/>
  <c r="AI1794" i="113" s="1"/>
  <c r="AE393" i="113"/>
  <c r="AI393" i="113" s="1"/>
  <c r="AE46" i="113"/>
  <c r="AI46" i="113" s="1"/>
  <c r="AE626" i="113"/>
  <c r="AI626" i="113" s="1"/>
  <c r="AE2620" i="113"/>
  <c r="AI2620" i="113" s="1"/>
  <c r="AE740" i="113"/>
  <c r="AI740" i="113" s="1"/>
  <c r="AE1035" i="113"/>
  <c r="AI1035" i="113" s="1"/>
  <c r="AE386" i="113"/>
  <c r="AI386" i="113" s="1"/>
  <c r="AE2532" i="113"/>
  <c r="AI2532" i="113" s="1"/>
  <c r="AE1837" i="113"/>
  <c r="AI1837" i="113" s="1"/>
  <c r="AE187" i="113"/>
  <c r="AI187" i="113" s="1"/>
  <c r="AE2020" i="113"/>
  <c r="AI2020" i="113" s="1"/>
  <c r="AE1573" i="113"/>
  <c r="AI1573" i="113" s="1"/>
  <c r="AE1042" i="113"/>
  <c r="AI1042" i="113" s="1"/>
  <c r="AE1373" i="113"/>
  <c r="AI1373" i="113" s="1"/>
  <c r="AE1161" i="113"/>
  <c r="AI1161" i="113" s="1"/>
  <c r="AE2509" i="113"/>
  <c r="AI2509" i="113" s="1"/>
  <c r="AE372" i="113"/>
  <c r="AI372" i="113" s="1"/>
  <c r="AE16" i="113"/>
  <c r="AI16" i="113" s="1"/>
  <c r="AE2396" i="113"/>
  <c r="AI2396" i="113" s="1"/>
  <c r="AE1084" i="113"/>
  <c r="AI1084" i="113" s="1"/>
  <c r="AE1808" i="113"/>
  <c r="AI1808" i="113" s="1"/>
  <c r="AE951" i="113"/>
  <c r="AI951" i="113" s="1"/>
  <c r="AE2019" i="113"/>
  <c r="AI2019" i="113" s="1"/>
  <c r="AE1860" i="113"/>
  <c r="AI1860" i="113" s="1"/>
  <c r="AE1650" i="113"/>
  <c r="AI1650" i="113" s="1"/>
  <c r="AE1934" i="113"/>
  <c r="AI1934" i="113" s="1"/>
  <c r="AE413" i="113"/>
  <c r="AI413" i="113" s="1"/>
  <c r="AE451" i="113"/>
  <c r="AI451" i="113" s="1"/>
  <c r="AE2668" i="113"/>
  <c r="AI2668" i="113" s="1"/>
  <c r="AE2370" i="113"/>
  <c r="AI2370" i="113" s="1"/>
  <c r="AE1578" i="113"/>
  <c r="AI1578" i="113" s="1"/>
  <c r="AE1748" i="113"/>
  <c r="AI1748" i="113" s="1"/>
  <c r="AA1277" i="113"/>
  <c r="AD1277" i="113"/>
  <c r="AH1277" i="113" s="1"/>
  <c r="AA979" i="113"/>
  <c r="AD979" i="113"/>
  <c r="AH979" i="113" s="1"/>
  <c r="AA480" i="113"/>
  <c r="AE480" i="113" s="1"/>
  <c r="AI480" i="113" s="1"/>
  <c r="AD480" i="113"/>
  <c r="AH480" i="113" s="1"/>
  <c r="AA2198" i="113"/>
  <c r="AE2198" i="113" s="1"/>
  <c r="AI2198" i="113" s="1"/>
  <c r="AD2198" i="113"/>
  <c r="AH2198" i="113" s="1"/>
  <c r="AA2282" i="113"/>
  <c r="AD2282" i="113"/>
  <c r="AH2282" i="113" s="1"/>
  <c r="AA487" i="113"/>
  <c r="AE487" i="113" s="1"/>
  <c r="AI487" i="113" s="1"/>
  <c r="AD487" i="113"/>
  <c r="AH487" i="113" s="1"/>
  <c r="AA1755" i="113"/>
  <c r="AE1755" i="113" s="1"/>
  <c r="AI1755" i="113" s="1"/>
  <c r="AD1755" i="113"/>
  <c r="AH1755" i="113" s="1"/>
  <c r="AA2336" i="113"/>
  <c r="AE2336" i="113" s="1"/>
  <c r="AI2336" i="113" s="1"/>
  <c r="AD2336" i="113"/>
  <c r="AH2336" i="113" s="1"/>
  <c r="AA1391" i="113"/>
  <c r="AD1391" i="113"/>
  <c r="AH1391" i="113" s="1"/>
  <c r="AA2321" i="113"/>
  <c r="AD2321" i="113"/>
  <c r="AH2321" i="113" s="1"/>
  <c r="AA108" i="113"/>
  <c r="AE108" i="113" s="1"/>
  <c r="AI108" i="113" s="1"/>
  <c r="AD108" i="113"/>
  <c r="AH108" i="113" s="1"/>
  <c r="AA656" i="113"/>
  <c r="AE656" i="113" s="1"/>
  <c r="AI656" i="113" s="1"/>
  <c r="AD656" i="113"/>
  <c r="AH656" i="113" s="1"/>
  <c r="AA917" i="113"/>
  <c r="AD917" i="113"/>
  <c r="AH917" i="113" s="1"/>
  <c r="AA1762" i="113"/>
  <c r="AD1762" i="113"/>
  <c r="AH1762" i="113" s="1"/>
  <c r="AA242" i="113"/>
  <c r="AE242" i="113" s="1"/>
  <c r="AI242" i="113" s="1"/>
  <c r="AD242" i="113"/>
  <c r="AH242" i="113" s="1"/>
  <c r="AA2089" i="113"/>
  <c r="AD2089" i="113"/>
  <c r="AH2089" i="113" s="1"/>
  <c r="AA2155" i="113"/>
  <c r="AD2155" i="113"/>
  <c r="AH2155" i="113" s="1"/>
  <c r="AA270" i="113"/>
  <c r="AE270" i="113" s="1"/>
  <c r="AI270" i="113" s="1"/>
  <c r="AD270" i="113"/>
  <c r="AH270" i="113" s="1"/>
  <c r="AA1108" i="113"/>
  <c r="AD1108" i="113"/>
  <c r="AH1108" i="113" s="1"/>
  <c r="AA2643" i="113"/>
  <c r="AE2643" i="113" s="1"/>
  <c r="AI2643" i="113" s="1"/>
  <c r="AD2643" i="113"/>
  <c r="AH2643" i="113" s="1"/>
  <c r="AA1525" i="113"/>
  <c r="AE1525" i="113" s="1"/>
  <c r="AI1525" i="113" s="1"/>
  <c r="AD1525" i="113"/>
  <c r="AH1525" i="113" s="1"/>
  <c r="AA2603" i="113"/>
  <c r="AD2603" i="113"/>
  <c r="AH2603" i="113" s="1"/>
  <c r="AA1368" i="113"/>
  <c r="AD1368" i="113"/>
  <c r="AH1368" i="113" s="1"/>
  <c r="AA733" i="113"/>
  <c r="AE733" i="113" s="1"/>
  <c r="AI733" i="113" s="1"/>
  <c r="AD733" i="113"/>
  <c r="AH733" i="113" s="1"/>
  <c r="AA159" i="113"/>
  <c r="AD159" i="113"/>
  <c r="AH159" i="113" s="1"/>
  <c r="AA2527" i="113"/>
  <c r="AE2527" i="113" s="1"/>
  <c r="AI2527" i="113" s="1"/>
  <c r="AD2527" i="113"/>
  <c r="AH2527" i="113" s="1"/>
  <c r="AA1238" i="113"/>
  <c r="AE1238" i="113" s="1"/>
  <c r="AI1238" i="113" s="1"/>
  <c r="AD1238" i="113"/>
  <c r="AH1238" i="113" s="1"/>
  <c r="AA2285" i="113"/>
  <c r="AE2285" i="113" s="1"/>
  <c r="AI2285" i="113" s="1"/>
  <c r="AD2285" i="113"/>
  <c r="AH2285" i="113" s="1"/>
  <c r="AA696" i="113"/>
  <c r="AE696" i="113" s="1"/>
  <c r="AI696" i="113" s="1"/>
  <c r="AD696" i="113"/>
  <c r="AH696" i="113" s="1"/>
  <c r="AA1598" i="113"/>
  <c r="AE1598" i="113" s="1"/>
  <c r="AI1598" i="113" s="1"/>
  <c r="AD1598" i="113"/>
  <c r="AH1598" i="113" s="1"/>
  <c r="AA1769" i="113"/>
  <c r="AD1769" i="113"/>
  <c r="AH1769" i="113" s="1"/>
  <c r="AA977" i="113"/>
  <c r="AE977" i="113" s="1"/>
  <c r="AI977" i="113" s="1"/>
  <c r="AD977" i="113"/>
  <c r="AH977" i="113" s="1"/>
  <c r="AA1194" i="113"/>
  <c r="AD1194" i="113"/>
  <c r="AH1194" i="113" s="1"/>
  <c r="AA2578" i="113"/>
  <c r="AD2578" i="113"/>
  <c r="AH2578" i="113" s="1"/>
  <c r="AA830" i="113"/>
  <c r="AE830" i="113" s="1"/>
  <c r="AI830" i="113" s="1"/>
  <c r="AD830" i="113"/>
  <c r="AH830" i="113" s="1"/>
  <c r="AA2124" i="113"/>
  <c r="AD2124" i="113"/>
  <c r="AH2124" i="113" s="1"/>
  <c r="AA2202" i="113"/>
  <c r="AE2202" i="113" s="1"/>
  <c r="AI2202" i="113" s="1"/>
  <c r="AD2202" i="113"/>
  <c r="AH2202" i="113" s="1"/>
  <c r="AA2515" i="113"/>
  <c r="AD2515" i="113"/>
  <c r="AH2515" i="113" s="1"/>
  <c r="AA743" i="113"/>
  <c r="AE743" i="113" s="1"/>
  <c r="AI743" i="113" s="1"/>
  <c r="AD743" i="113"/>
  <c r="AH743" i="113" s="1"/>
  <c r="AA1811" i="113"/>
  <c r="AD1811" i="113"/>
  <c r="AH1811" i="113" s="1"/>
  <c r="AA2678" i="113"/>
  <c r="AE2678" i="113" s="1"/>
  <c r="AI2678" i="113" s="1"/>
  <c r="AD2678" i="113"/>
  <c r="AH2678" i="113" s="1"/>
  <c r="AA813" i="113"/>
  <c r="AE813" i="113" s="1"/>
  <c r="AI813" i="113" s="1"/>
  <c r="AD813" i="113"/>
  <c r="AH813" i="113" s="1"/>
  <c r="AA573" i="113"/>
  <c r="AE573" i="113" s="1"/>
  <c r="AI573" i="113" s="1"/>
  <c r="AD573" i="113"/>
  <c r="AH573" i="113" s="1"/>
  <c r="AA23" i="113"/>
  <c r="AE23" i="113" s="1"/>
  <c r="AI23" i="113" s="1"/>
  <c r="AD23" i="113"/>
  <c r="AH23" i="113" s="1"/>
  <c r="AA1415" i="113"/>
  <c r="AD1415" i="113"/>
  <c r="AH1415" i="113" s="1"/>
  <c r="AA1062" i="113"/>
  <c r="AD1062" i="113"/>
  <c r="AH1062" i="113" s="1"/>
  <c r="AA416" i="113"/>
  <c r="AD416" i="113"/>
  <c r="AH416" i="113" s="1"/>
  <c r="AA1168" i="113"/>
  <c r="AD1168" i="113"/>
  <c r="AH1168" i="113" s="1"/>
  <c r="AA17" i="113"/>
  <c r="AE17" i="113" s="1"/>
  <c r="AI17" i="113" s="1"/>
  <c r="AD17" i="113"/>
  <c r="AH17" i="113" s="1"/>
  <c r="AA410" i="113"/>
  <c r="AE410" i="113" s="1"/>
  <c r="AI410" i="113" s="1"/>
  <c r="AD410" i="113"/>
  <c r="AH410" i="113" s="1"/>
  <c r="AA1153" i="113"/>
  <c r="AD1153" i="113"/>
  <c r="AH1153" i="113" s="1"/>
  <c r="AA1661" i="113"/>
  <c r="AD1661" i="113"/>
  <c r="AH1661" i="113" s="1"/>
  <c r="AA1688" i="113"/>
  <c r="AE1688" i="113" s="1"/>
  <c r="AI1688" i="113" s="1"/>
  <c r="AD1688" i="113"/>
  <c r="AH1688" i="113" s="1"/>
  <c r="AA2241" i="113"/>
  <c r="AE2241" i="113" s="1"/>
  <c r="AI2241" i="113" s="1"/>
  <c r="AD2241" i="113"/>
  <c r="AH2241" i="113" s="1"/>
  <c r="AA1816" i="113"/>
  <c r="AD1816" i="113"/>
  <c r="AH1816" i="113" s="1"/>
  <c r="AA1550" i="113"/>
  <c r="AD1550" i="113"/>
  <c r="AH1550" i="113" s="1"/>
  <c r="AA2166" i="113"/>
  <c r="AD2166" i="113"/>
  <c r="AH2166" i="113" s="1"/>
  <c r="AA2672" i="113"/>
  <c r="AE2672" i="113" s="1"/>
  <c r="AI2672" i="113" s="1"/>
  <c r="AD2672" i="113"/>
  <c r="AH2672" i="113" s="1"/>
  <c r="AA2237" i="113"/>
  <c r="AE2237" i="113" s="1"/>
  <c r="AI2237" i="113" s="1"/>
  <c r="AD2237" i="113"/>
  <c r="AH2237" i="113" s="1"/>
  <c r="AA464" i="113"/>
  <c r="AE464" i="113" s="1"/>
  <c r="AI464" i="113" s="1"/>
  <c r="AD464" i="113"/>
  <c r="AH464" i="113" s="1"/>
  <c r="AA1465" i="113"/>
  <c r="AE1465" i="113" s="1"/>
  <c r="AI1465" i="113" s="1"/>
  <c r="AD1465" i="113"/>
  <c r="AH1465" i="113" s="1"/>
  <c r="AA2300" i="113"/>
  <c r="AD2300" i="113"/>
  <c r="AH2300" i="113" s="1"/>
  <c r="AA1301" i="113"/>
  <c r="AD1301" i="113"/>
  <c r="AH1301" i="113" s="1"/>
  <c r="AA1029" i="113"/>
  <c r="AD1029" i="113"/>
  <c r="AH1029" i="113" s="1"/>
  <c r="AA966" i="113"/>
  <c r="AE966" i="113" s="1"/>
  <c r="AI966" i="113" s="1"/>
  <c r="AD966" i="113"/>
  <c r="AH966" i="113" s="1"/>
  <c r="AA1436" i="113"/>
  <c r="AD1436" i="113"/>
  <c r="AH1436" i="113" s="1"/>
  <c r="AA2609" i="113"/>
  <c r="AE2609" i="113" s="1"/>
  <c r="AI2609" i="113" s="1"/>
  <c r="AD2609" i="113"/>
  <c r="AH2609" i="113" s="1"/>
  <c r="AA895" i="113"/>
  <c r="AD895" i="113"/>
  <c r="AH895" i="113" s="1"/>
  <c r="AA2117" i="113"/>
  <c r="AD2117" i="113"/>
  <c r="AH2117" i="113" s="1"/>
  <c r="AA174" i="113"/>
  <c r="AE174" i="113" s="1"/>
  <c r="AI174" i="113" s="1"/>
  <c r="AD174" i="113"/>
  <c r="AH174" i="113" s="1"/>
  <c r="AA2412" i="113"/>
  <c r="AE2412" i="113" s="1"/>
  <c r="AI2412" i="113" s="1"/>
  <c r="AD2412" i="113"/>
  <c r="AH2412" i="113" s="1"/>
  <c r="AA1492" i="113"/>
  <c r="AD1492" i="113"/>
  <c r="AH1492" i="113" s="1"/>
  <c r="AA2463" i="113"/>
  <c r="AD2463" i="113"/>
  <c r="AH2463" i="113" s="1"/>
  <c r="AA985" i="113"/>
  <c r="AE985" i="113" s="1"/>
  <c r="AI985" i="113" s="1"/>
  <c r="AD985" i="113"/>
  <c r="AH985" i="113" s="1"/>
  <c r="AA2218" i="113"/>
  <c r="AD2218" i="113"/>
  <c r="AH2218" i="113" s="1"/>
  <c r="AA581" i="113"/>
  <c r="AD581" i="113"/>
  <c r="AH581" i="113" s="1"/>
  <c r="AA1329" i="113"/>
  <c r="AE1329" i="113" s="1"/>
  <c r="AI1329" i="113" s="1"/>
  <c r="AD1329" i="113"/>
  <c r="AH1329" i="113" s="1"/>
  <c r="AA1298" i="113"/>
  <c r="AD1298" i="113"/>
  <c r="AH1298" i="113" s="1"/>
  <c r="AA120" i="113"/>
  <c r="AD120" i="113"/>
  <c r="AH120" i="113" s="1"/>
  <c r="AA1797" i="113"/>
  <c r="AE1797" i="113" s="1"/>
  <c r="AI1797" i="113" s="1"/>
  <c r="AD1797" i="113"/>
  <c r="AH1797" i="113" s="1"/>
  <c r="AA1079" i="113"/>
  <c r="AE1079" i="113" s="1"/>
  <c r="AI1079" i="113" s="1"/>
  <c r="AD1079" i="113"/>
  <c r="AH1079" i="113" s="1"/>
  <c r="AA649" i="113"/>
  <c r="AE649" i="113" s="1"/>
  <c r="AI649" i="113" s="1"/>
  <c r="AD649" i="113"/>
  <c r="AH649" i="113" s="1"/>
  <c r="AA1754" i="113"/>
  <c r="AE1754" i="113" s="1"/>
  <c r="AI1754" i="113" s="1"/>
  <c r="AD1754" i="113"/>
  <c r="AH1754" i="113" s="1"/>
  <c r="AA1377" i="113"/>
  <c r="AD1377" i="113"/>
  <c r="AH1377" i="113" s="1"/>
  <c r="AA2539" i="113"/>
  <c r="AE2539" i="113" s="1"/>
  <c r="AI2539" i="113" s="1"/>
  <c r="AD2539" i="113"/>
  <c r="AH2539" i="113" s="1"/>
  <c r="AA832" i="113"/>
  <c r="AD832" i="113"/>
  <c r="AH832" i="113" s="1"/>
  <c r="AA2195" i="113"/>
  <c r="AD2195" i="113"/>
  <c r="AH2195" i="113" s="1"/>
  <c r="AA610" i="113"/>
  <c r="AD610" i="113"/>
  <c r="AH610" i="113" s="1"/>
  <c r="AA3" i="113"/>
  <c r="AE3" i="113" s="1"/>
  <c r="AI3" i="113" s="1"/>
  <c r="AD3" i="113"/>
  <c r="AH3" i="113" s="1"/>
  <c r="AA1383" i="113"/>
  <c r="AE1383" i="113" s="1"/>
  <c r="AI1383" i="113" s="1"/>
  <c r="AD1383" i="113"/>
  <c r="AH1383" i="113" s="1"/>
  <c r="AA2170" i="113"/>
  <c r="AE2170" i="113" s="1"/>
  <c r="AI2170" i="113" s="1"/>
  <c r="AD2170" i="113"/>
  <c r="AH2170" i="113" s="1"/>
  <c r="AA829" i="113"/>
  <c r="AE829" i="113" s="1"/>
  <c r="AI829" i="113" s="1"/>
  <c r="AD829" i="113"/>
  <c r="AH829" i="113" s="1"/>
  <c r="AA2167" i="113"/>
  <c r="AE2167" i="113" s="1"/>
  <c r="AI2167" i="113" s="1"/>
  <c r="AD2167" i="113"/>
  <c r="AH2167" i="113" s="1"/>
  <c r="AA1745" i="113"/>
  <c r="AD1745" i="113"/>
  <c r="AH1745" i="113" s="1"/>
  <c r="AA1957" i="113"/>
  <c r="AE1957" i="113" s="1"/>
  <c r="AI1957" i="113" s="1"/>
  <c r="AD1957" i="113"/>
  <c r="AH1957" i="113" s="1"/>
  <c r="AA315" i="113"/>
  <c r="AD315" i="113"/>
  <c r="AH315" i="113" s="1"/>
  <c r="AA517" i="113"/>
  <c r="AE517" i="113" s="1"/>
  <c r="AI517" i="113" s="1"/>
  <c r="AD517" i="113"/>
  <c r="AH517" i="113" s="1"/>
  <c r="AA987" i="113"/>
  <c r="AD987" i="113"/>
  <c r="AH987" i="113" s="1"/>
  <c r="AA2587" i="113"/>
  <c r="AE2587" i="113" s="1"/>
  <c r="AI2587" i="113" s="1"/>
  <c r="AD2587" i="113"/>
  <c r="AH2587" i="113" s="1"/>
  <c r="AA1544" i="113"/>
  <c r="AE1544" i="113" s="1"/>
  <c r="AI1544" i="113" s="1"/>
  <c r="AD1544" i="113"/>
  <c r="AH1544" i="113" s="1"/>
  <c r="AA2297" i="113"/>
  <c r="AD2297" i="113"/>
  <c r="AH2297" i="113" s="1"/>
  <c r="AA1538" i="113"/>
  <c r="AD1538" i="113"/>
  <c r="AH1538" i="113" s="1"/>
  <c r="AA2231" i="113"/>
  <c r="AE2231" i="113" s="1"/>
  <c r="AI2231" i="113" s="1"/>
  <c r="AD2231" i="113"/>
  <c r="AH2231" i="113" s="1"/>
  <c r="AA2048" i="113"/>
  <c r="AE2048" i="113" s="1"/>
  <c r="AI2048" i="113" s="1"/>
  <c r="AD2048" i="113"/>
  <c r="AH2048" i="113" s="1"/>
  <c r="AA719" i="113"/>
  <c r="AD719" i="113"/>
  <c r="AH719" i="113" s="1"/>
  <c r="AA74" i="113"/>
  <c r="AD74" i="113"/>
  <c r="AH74" i="113" s="1"/>
  <c r="AA1406" i="113"/>
  <c r="AD1406" i="113"/>
  <c r="AH1406" i="113" s="1"/>
  <c r="AA288" i="113"/>
  <c r="AE288" i="113" s="1"/>
  <c r="AI288" i="113" s="1"/>
  <c r="AD288" i="113"/>
  <c r="AH288" i="113" s="1"/>
  <c r="AA1810" i="113"/>
  <c r="AE1810" i="113" s="1"/>
  <c r="AI1810" i="113" s="1"/>
  <c r="AD1810" i="113"/>
  <c r="AH1810" i="113" s="1"/>
  <c r="AA1429" i="113"/>
  <c r="AD1429" i="113"/>
  <c r="AH1429" i="113" s="1"/>
  <c r="AA2513" i="113"/>
  <c r="AE2513" i="113" s="1"/>
  <c r="AI2513" i="113" s="1"/>
  <c r="AD2513" i="113"/>
  <c r="AH2513" i="113" s="1"/>
  <c r="AA705" i="113"/>
  <c r="AE705" i="113" s="1"/>
  <c r="AI705" i="113" s="1"/>
  <c r="AD705" i="113"/>
  <c r="AH705" i="113" s="1"/>
  <c r="AA447" i="113"/>
  <c r="AE447" i="113" s="1"/>
  <c r="AI447" i="113" s="1"/>
  <c r="AD447" i="113"/>
  <c r="AH447" i="113" s="1"/>
  <c r="AA1639" i="113"/>
  <c r="AD1639" i="113"/>
  <c r="AH1639" i="113" s="1"/>
  <c r="AA504" i="113"/>
  <c r="AD504" i="113"/>
  <c r="AH504" i="113" s="1"/>
  <c r="AA110" i="113"/>
  <c r="AE110" i="113" s="1"/>
  <c r="AI110" i="113" s="1"/>
  <c r="AD110" i="113"/>
  <c r="AH110" i="113" s="1"/>
  <c r="AA1897" i="113"/>
  <c r="AD1897" i="113"/>
  <c r="AH1897" i="113" s="1"/>
  <c r="AA1594" i="113"/>
  <c r="AD1594" i="113"/>
  <c r="AH1594" i="113" s="1"/>
  <c r="AA526" i="113"/>
  <c r="AD526" i="113"/>
  <c r="AH526" i="113" s="1"/>
  <c r="AA50" i="113"/>
  <c r="AE50" i="113" s="1"/>
  <c r="AI50" i="113" s="1"/>
  <c r="AD50" i="113"/>
  <c r="AH50" i="113" s="1"/>
  <c r="AA742" i="113"/>
  <c r="AE742" i="113" s="1"/>
  <c r="AI742" i="113" s="1"/>
  <c r="AD742" i="113"/>
  <c r="AH742" i="113" s="1"/>
  <c r="AA1821" i="113"/>
  <c r="AE1821" i="113" s="1"/>
  <c r="AI1821" i="113" s="1"/>
  <c r="AD1821" i="113"/>
  <c r="AH1821" i="113" s="1"/>
  <c r="AA2031" i="113"/>
  <c r="AD2031" i="113"/>
  <c r="AH2031" i="113" s="1"/>
  <c r="AA2623" i="113"/>
  <c r="AD2623" i="113"/>
  <c r="AH2623" i="113" s="1"/>
  <c r="AA2510" i="113"/>
  <c r="AE2510" i="113" s="1"/>
  <c r="AI2510" i="113" s="1"/>
  <c r="AD2510" i="113"/>
  <c r="AH2510" i="113" s="1"/>
  <c r="AA1691" i="113"/>
  <c r="AE1691" i="113" s="1"/>
  <c r="AI1691" i="113" s="1"/>
  <c r="AD1691" i="113"/>
  <c r="AH1691" i="113" s="1"/>
  <c r="AA1027" i="113"/>
  <c r="AE1027" i="113" s="1"/>
  <c r="AI1027" i="113" s="1"/>
  <c r="AD1027" i="113"/>
  <c r="AH1027" i="113" s="1"/>
  <c r="AE519" i="113"/>
  <c r="AI519" i="113" s="1"/>
  <c r="AE540" i="113"/>
  <c r="AI540" i="113" s="1"/>
  <c r="AE2108" i="113"/>
  <c r="AI2108" i="113" s="1"/>
  <c r="AE327" i="113"/>
  <c r="AI327" i="113" s="1"/>
  <c r="AE1476" i="113"/>
  <c r="AI1476" i="113" s="1"/>
  <c r="AE756" i="113"/>
  <c r="AI756" i="113" s="1"/>
  <c r="AE916" i="113"/>
  <c r="AI916" i="113" s="1"/>
  <c r="AE2665" i="113"/>
  <c r="AI2665" i="113" s="1"/>
  <c r="AE570" i="113"/>
  <c r="AI570" i="113" s="1"/>
  <c r="AE1701" i="113"/>
  <c r="AI1701" i="113" s="1"/>
  <c r="AE119" i="113"/>
  <c r="AI119" i="113" s="1"/>
  <c r="AE896" i="113"/>
  <c r="AI896" i="113" s="1"/>
  <c r="AE1955" i="113"/>
  <c r="AI1955" i="113" s="1"/>
  <c r="AE1118" i="113"/>
  <c r="AI1118" i="113" s="1"/>
  <c r="AE1636" i="113"/>
  <c r="AI1636" i="113" s="1"/>
  <c r="AE1720" i="113"/>
  <c r="AI1720" i="113" s="1"/>
  <c r="AE1174" i="113"/>
  <c r="AI1174" i="113" s="1"/>
  <c r="AE572" i="113"/>
  <c r="AI572" i="113" s="1"/>
  <c r="AE873" i="113"/>
  <c r="AI873" i="113" s="1"/>
  <c r="AA2118" i="113"/>
  <c r="AE2118" i="113" s="1"/>
  <c r="AI2118" i="113" s="1"/>
  <c r="AD2118" i="113"/>
  <c r="AH2118" i="113" s="1"/>
  <c r="AA510" i="113"/>
  <c r="AE510" i="113" s="1"/>
  <c r="AI510" i="113" s="1"/>
  <c r="AD510" i="113"/>
  <c r="AH510" i="113" s="1"/>
  <c r="AA2618" i="113"/>
  <c r="AD2618" i="113"/>
  <c r="AH2618" i="113" s="1"/>
  <c r="AA2047" i="113"/>
  <c r="AD2047" i="113"/>
  <c r="AH2047" i="113" s="1"/>
  <c r="AA2597" i="113"/>
  <c r="AD2597" i="113"/>
  <c r="AH2597" i="113" s="1"/>
  <c r="AA1547" i="113"/>
  <c r="AE1547" i="113" s="1"/>
  <c r="AI1547" i="113" s="1"/>
  <c r="AD1547" i="113"/>
  <c r="AH1547" i="113" s="1"/>
  <c r="AA855" i="113"/>
  <c r="AE855" i="113" s="1"/>
  <c r="AI855" i="113" s="1"/>
  <c r="AD855" i="113"/>
  <c r="AH855" i="113" s="1"/>
  <c r="AA1849" i="113"/>
  <c r="AE1849" i="113" s="1"/>
  <c r="AI1849" i="113" s="1"/>
  <c r="AD1849" i="113"/>
  <c r="AH1849" i="113" s="1"/>
  <c r="AA1058" i="113"/>
  <c r="AE1058" i="113" s="1"/>
  <c r="AI1058" i="113" s="1"/>
  <c r="AD1058" i="113"/>
  <c r="AH1058" i="113" s="1"/>
  <c r="AA1558" i="113"/>
  <c r="AE1558" i="113" s="1"/>
  <c r="AI1558" i="113" s="1"/>
  <c r="AD1558" i="113"/>
  <c r="AH1558" i="113" s="1"/>
  <c r="AA2138" i="113"/>
  <c r="AD2138" i="113"/>
  <c r="AH2138" i="113" s="1"/>
  <c r="AA2068" i="113"/>
  <c r="AD2068" i="113"/>
  <c r="AH2068" i="113" s="1"/>
  <c r="AA2276" i="113"/>
  <c r="AE2276" i="113" s="1"/>
  <c r="AI2276" i="113" s="1"/>
  <c r="AD2276" i="113"/>
  <c r="AH2276" i="113" s="1"/>
  <c r="AA2583" i="113"/>
  <c r="AE2583" i="113" s="1"/>
  <c r="AI2583" i="113" s="1"/>
  <c r="AD2583" i="113"/>
  <c r="AH2583" i="113" s="1"/>
  <c r="AA1689" i="113"/>
  <c r="AD1689" i="113"/>
  <c r="AH1689" i="113" s="1"/>
  <c r="AA1191" i="113"/>
  <c r="AE1191" i="113" s="1"/>
  <c r="AI1191" i="113" s="1"/>
  <c r="AD1191" i="113"/>
  <c r="AH1191" i="113" s="1"/>
  <c r="AA452" i="113"/>
  <c r="AE452" i="113" s="1"/>
  <c r="AI452" i="113" s="1"/>
  <c r="AD452" i="113"/>
  <c r="AH452" i="113" s="1"/>
  <c r="AA1110" i="113"/>
  <c r="AD1110" i="113"/>
  <c r="AH1110" i="113" s="1"/>
  <c r="AA314" i="113"/>
  <c r="AD314" i="113"/>
  <c r="AH314" i="113" s="1"/>
  <c r="AA165" i="113"/>
  <c r="AE165" i="113" s="1"/>
  <c r="AI165" i="113" s="1"/>
  <c r="AD165" i="113"/>
  <c r="AH165" i="113" s="1"/>
  <c r="AA1459" i="113"/>
  <c r="AE1459" i="113" s="1"/>
  <c r="AI1459" i="113" s="1"/>
  <c r="AD1459" i="113"/>
  <c r="AH1459" i="113" s="1"/>
  <c r="AA2287" i="113"/>
  <c r="AE2287" i="113" s="1"/>
  <c r="AI2287" i="113" s="1"/>
  <c r="AD2287" i="113"/>
  <c r="AH2287" i="113" s="1"/>
  <c r="AA1741" i="113"/>
  <c r="AE1741" i="113" s="1"/>
  <c r="AI1741" i="113" s="1"/>
  <c r="AD1741" i="113"/>
  <c r="AH1741" i="113" s="1"/>
  <c r="AA2274" i="113"/>
  <c r="AD2274" i="113"/>
  <c r="AH2274" i="113" s="1"/>
  <c r="AA1760" i="113"/>
  <c r="AD1760" i="113"/>
  <c r="AH1760" i="113" s="1"/>
  <c r="AA1867" i="113"/>
  <c r="AD1867" i="113"/>
  <c r="AH1867" i="113" s="1"/>
  <c r="AA825" i="113"/>
  <c r="AD825" i="113"/>
  <c r="AH825" i="113" s="1"/>
  <c r="AA2596" i="113"/>
  <c r="AE2596" i="113" s="1"/>
  <c r="AI2596" i="113" s="1"/>
  <c r="AD2596" i="113"/>
  <c r="AH2596" i="113" s="1"/>
  <c r="AA434" i="113"/>
  <c r="AD434" i="113"/>
  <c r="AH434" i="113" s="1"/>
  <c r="AA2040" i="113"/>
  <c r="AD2040" i="113"/>
  <c r="AH2040" i="113" s="1"/>
  <c r="AA157" i="113"/>
  <c r="AE157" i="113" s="1"/>
  <c r="AI157" i="113" s="1"/>
  <c r="AD157" i="113"/>
  <c r="AH157" i="113" s="1"/>
  <c r="AA1671" i="113"/>
  <c r="AD1671" i="113"/>
  <c r="AH1671" i="113" s="1"/>
  <c r="AA2235" i="113"/>
  <c r="AE2235" i="113" s="1"/>
  <c r="AI2235" i="113" s="1"/>
  <c r="AD2235" i="113"/>
  <c r="AH2235" i="113" s="1"/>
  <c r="AA569" i="113"/>
  <c r="AE569" i="113" s="1"/>
  <c r="AI569" i="113" s="1"/>
  <c r="AD569" i="113"/>
  <c r="AH569" i="113" s="1"/>
  <c r="AA1613" i="113"/>
  <c r="AD1613" i="113"/>
  <c r="AH1613" i="113" s="1"/>
  <c r="AA509" i="113"/>
  <c r="AE509" i="113" s="1"/>
  <c r="AI509" i="113" s="1"/>
  <c r="AD509" i="113"/>
  <c r="AH509" i="113" s="1"/>
  <c r="AA1046" i="113"/>
  <c r="AE1046" i="113" s="1"/>
  <c r="AI1046" i="113" s="1"/>
  <c r="AD1046" i="113"/>
  <c r="AH1046" i="113" s="1"/>
  <c r="AA1912" i="113"/>
  <c r="AE1912" i="113" s="1"/>
  <c r="AI1912" i="113" s="1"/>
  <c r="AD1912" i="113"/>
  <c r="AH1912" i="113" s="1"/>
  <c r="AA1851" i="113"/>
  <c r="AD1851" i="113"/>
  <c r="AH1851" i="113" s="1"/>
  <c r="AA358" i="113"/>
  <c r="AE358" i="113" s="1"/>
  <c r="AI358" i="113" s="1"/>
  <c r="AD358" i="113"/>
  <c r="AH358" i="113" s="1"/>
  <c r="AA567" i="113"/>
  <c r="AD567" i="113"/>
  <c r="AH567" i="113" s="1"/>
  <c r="AA736" i="113"/>
  <c r="AE736" i="113" s="1"/>
  <c r="AI736" i="113" s="1"/>
  <c r="AD736" i="113"/>
  <c r="AH736" i="113" s="1"/>
  <c r="AA2130" i="113"/>
  <c r="AE2130" i="113" s="1"/>
  <c r="AI2130" i="113" s="1"/>
  <c r="AD2130" i="113"/>
  <c r="AH2130" i="113" s="1"/>
  <c r="AA1484" i="113"/>
  <c r="AE1484" i="113" s="1"/>
  <c r="AI1484" i="113" s="1"/>
  <c r="AD1484" i="113"/>
  <c r="AH1484" i="113" s="1"/>
  <c r="AA1789" i="113"/>
  <c r="AE1789" i="113" s="1"/>
  <c r="AI1789" i="113" s="1"/>
  <c r="AD1789" i="113"/>
  <c r="AH1789" i="113" s="1"/>
  <c r="AA628" i="113"/>
  <c r="AD628" i="113"/>
  <c r="AH628" i="113" s="1"/>
  <c r="AA2403" i="113"/>
  <c r="AE2403" i="113" s="1"/>
  <c r="AI2403" i="113" s="1"/>
  <c r="AD2403" i="113"/>
  <c r="AH2403" i="113" s="1"/>
  <c r="AA2394" i="113"/>
  <c r="AE2394" i="113" s="1"/>
  <c r="AI2394" i="113" s="1"/>
  <c r="AD2394" i="113"/>
  <c r="AH2394" i="113" s="1"/>
  <c r="AA2568" i="113"/>
  <c r="AE2568" i="113" s="1"/>
  <c r="AI2568" i="113" s="1"/>
  <c r="AD2568" i="113"/>
  <c r="AH2568" i="113" s="1"/>
  <c r="AA1951" i="113"/>
  <c r="AD1951" i="113"/>
  <c r="AH1951" i="113" s="1"/>
  <c r="AA1916" i="113"/>
  <c r="AE1916" i="113" s="1"/>
  <c r="AI1916" i="113" s="1"/>
  <c r="AD1916" i="113"/>
  <c r="AH1916" i="113" s="1"/>
  <c r="AA1427" i="113"/>
  <c r="AE1427" i="113" s="1"/>
  <c r="AI1427" i="113" s="1"/>
  <c r="AD1427" i="113"/>
  <c r="AH1427" i="113" s="1"/>
  <c r="AA335" i="113"/>
  <c r="AD335" i="113"/>
  <c r="AH335" i="113" s="1"/>
  <c r="AA1083" i="113"/>
  <c r="AE1083" i="113" s="1"/>
  <c r="AI1083" i="113" s="1"/>
  <c r="AD1083" i="113"/>
  <c r="AH1083" i="113" s="1"/>
  <c r="AA619" i="113"/>
  <c r="AD619" i="113"/>
  <c r="AH619" i="113" s="1"/>
  <c r="AA588" i="113"/>
  <c r="AD588" i="113"/>
  <c r="AH588" i="113" s="1"/>
  <c r="AA479" i="113"/>
  <c r="AD479" i="113"/>
  <c r="AH479" i="113" s="1"/>
  <c r="AA213" i="113"/>
  <c r="AE213" i="113" s="1"/>
  <c r="AI213" i="113" s="1"/>
  <c r="AD213" i="113"/>
  <c r="AH213" i="113" s="1"/>
  <c r="AA2199" i="113"/>
  <c r="AD2199" i="113"/>
  <c r="AH2199" i="113" s="1"/>
  <c r="AA440" i="113"/>
  <c r="AE440" i="113" s="1"/>
  <c r="AI440" i="113" s="1"/>
  <c r="AD440" i="113"/>
  <c r="AH440" i="113" s="1"/>
  <c r="AA959" i="113"/>
  <c r="AD959" i="113"/>
  <c r="AH959" i="113" s="1"/>
  <c r="AA2629" i="113"/>
  <c r="AE2629" i="113" s="1"/>
  <c r="AI2629" i="113" s="1"/>
  <c r="AD2629" i="113"/>
  <c r="AH2629" i="113" s="1"/>
  <c r="AA216" i="113"/>
  <c r="AE216" i="113" s="1"/>
  <c r="AI216" i="113" s="1"/>
  <c r="AD216" i="113"/>
  <c r="AH216" i="113" s="1"/>
  <c r="AA1487" i="113"/>
  <c r="AE1487" i="113" s="1"/>
  <c r="AI1487" i="113" s="1"/>
  <c r="AD1487" i="113"/>
  <c r="AH1487" i="113" s="1"/>
  <c r="AA1612" i="113"/>
  <c r="AE1612" i="113" s="1"/>
  <c r="AI1612" i="113" s="1"/>
  <c r="AD1612" i="113"/>
  <c r="AH1612" i="113" s="1"/>
  <c r="AA2554" i="113"/>
  <c r="AE2554" i="113" s="1"/>
  <c r="AI2554" i="113" s="1"/>
  <c r="AD2554" i="113"/>
  <c r="AH2554" i="113" s="1"/>
  <c r="AA271" i="113"/>
  <c r="AD271" i="113"/>
  <c r="AH271" i="113" s="1"/>
  <c r="AA1679" i="113"/>
  <c r="AE1679" i="113" s="1"/>
  <c r="AI1679" i="113" s="1"/>
  <c r="AD1679" i="113"/>
  <c r="AH1679" i="113" s="1"/>
  <c r="AA1969" i="113"/>
  <c r="AD1969" i="113"/>
  <c r="AH1969" i="113" s="1"/>
  <c r="AA2468" i="113"/>
  <c r="AE2468" i="113" s="1"/>
  <c r="AI2468" i="113" s="1"/>
  <c r="AD2468" i="113"/>
  <c r="AH2468" i="113" s="1"/>
  <c r="AA787" i="113"/>
  <c r="AE787" i="113" s="1"/>
  <c r="AI787" i="113" s="1"/>
  <c r="AD787" i="113"/>
  <c r="AH787" i="113" s="1"/>
  <c r="AA229" i="113"/>
  <c r="AD229" i="113"/>
  <c r="AH229" i="113" s="1"/>
  <c r="AA2497" i="113"/>
  <c r="AE2497" i="113" s="1"/>
  <c r="AI2497" i="113" s="1"/>
  <c r="AD2497" i="113"/>
  <c r="AH2497" i="113" s="1"/>
  <c r="AA1064" i="113"/>
  <c r="AD1064" i="113"/>
  <c r="AH1064" i="113" s="1"/>
  <c r="AA1640" i="113"/>
  <c r="AE1640" i="113" s="1"/>
  <c r="AI1640" i="113" s="1"/>
  <c r="AD1640" i="113"/>
  <c r="AH1640" i="113" s="1"/>
  <c r="AA2197" i="113"/>
  <c r="AD2197" i="113"/>
  <c r="AH2197" i="113" s="1"/>
  <c r="AA577" i="113"/>
  <c r="AD577" i="113"/>
  <c r="AH577" i="113" s="1"/>
  <c r="AA1033" i="113"/>
  <c r="AD1033" i="113"/>
  <c r="AH1033" i="113" s="1"/>
  <c r="AA374" i="113"/>
  <c r="AD374" i="113"/>
  <c r="AH374" i="113" s="1"/>
  <c r="AA2187" i="113"/>
  <c r="AD2187" i="113"/>
  <c r="AH2187" i="113" s="1"/>
  <c r="AA1082" i="113"/>
  <c r="AD1082" i="113"/>
  <c r="AH1082" i="113" s="1"/>
  <c r="AA2424" i="113"/>
  <c r="AE2424" i="113" s="1"/>
  <c r="AI2424" i="113" s="1"/>
  <c r="AD2424" i="113"/>
  <c r="AH2424" i="113" s="1"/>
  <c r="AA2511" i="113"/>
  <c r="AE2511" i="113" s="1"/>
  <c r="AI2511" i="113" s="1"/>
  <c r="AD2511" i="113"/>
  <c r="AH2511" i="113" s="1"/>
  <c r="AA1036" i="113"/>
  <c r="AD1036" i="113"/>
  <c r="AH1036" i="113" s="1"/>
  <c r="AA2547" i="113"/>
  <c r="AD2547" i="113"/>
  <c r="AH2547" i="113" s="1"/>
  <c r="AA1899" i="113"/>
  <c r="AD1899" i="113"/>
  <c r="AH1899" i="113" s="1"/>
  <c r="AA1216" i="113"/>
  <c r="AD1216" i="113"/>
  <c r="AH1216" i="113" s="1"/>
  <c r="AA2466" i="113"/>
  <c r="AE2466" i="113" s="1"/>
  <c r="AI2466" i="113" s="1"/>
  <c r="AD2466" i="113"/>
  <c r="AH2466" i="113" s="1"/>
  <c r="AA1386" i="113"/>
  <c r="AE1386" i="113" s="1"/>
  <c r="AI1386" i="113" s="1"/>
  <c r="AD1386" i="113"/>
  <c r="AH1386" i="113" s="1"/>
  <c r="AA2307" i="113"/>
  <c r="AD2307" i="113"/>
  <c r="AH2307" i="113" s="1"/>
  <c r="AA69" i="113"/>
  <c r="AE69" i="113" s="1"/>
  <c r="AI69" i="113" s="1"/>
  <c r="AD69" i="113"/>
  <c r="AH69" i="113" s="1"/>
  <c r="AA1627" i="113"/>
  <c r="AE1627" i="113" s="1"/>
  <c r="AI1627" i="113" s="1"/>
  <c r="AD1627" i="113"/>
  <c r="AH1627" i="113" s="1"/>
  <c r="AA1293" i="113"/>
  <c r="AD1293" i="113"/>
  <c r="AH1293" i="113" s="1"/>
  <c r="AA1841" i="113"/>
  <c r="AE1841" i="113" s="1"/>
  <c r="AI1841" i="113" s="1"/>
  <c r="AD1841" i="113"/>
  <c r="AH1841" i="113" s="1"/>
  <c r="AA1634" i="113"/>
  <c r="AE1634" i="113" s="1"/>
  <c r="AI1634" i="113" s="1"/>
  <c r="AD1634" i="113"/>
  <c r="AH1634" i="113" s="1"/>
  <c r="AA465" i="113"/>
  <c r="AD465" i="113"/>
  <c r="AH465" i="113" s="1"/>
  <c r="AA1070" i="113"/>
  <c r="AD1070" i="113"/>
  <c r="AH1070" i="113" s="1"/>
  <c r="AA1825" i="113"/>
  <c r="AD1825" i="113"/>
  <c r="AH1825" i="113" s="1"/>
  <c r="AA1506" i="113"/>
  <c r="AD1506" i="113"/>
  <c r="AH1506" i="113" s="1"/>
  <c r="AA2084" i="113"/>
  <c r="AE2084" i="113" s="1"/>
  <c r="AI2084" i="113" s="1"/>
  <c r="AD2084" i="113"/>
  <c r="AH2084" i="113" s="1"/>
  <c r="AA881" i="113"/>
  <c r="AD881" i="113"/>
  <c r="AH881" i="113" s="1"/>
  <c r="AA475" i="113"/>
  <c r="AE475" i="113" s="1"/>
  <c r="AI475" i="113" s="1"/>
  <c r="AD475" i="113"/>
  <c r="AH475" i="113" s="1"/>
  <c r="AA2211" i="113"/>
  <c r="AD2211" i="113"/>
  <c r="AH2211" i="113" s="1"/>
  <c r="AA383" i="113"/>
  <c r="AE383" i="113" s="1"/>
  <c r="AI383" i="113" s="1"/>
  <c r="AD383" i="113"/>
  <c r="AH383" i="113" s="1"/>
  <c r="AA2006" i="113"/>
  <c r="AE2006" i="113" s="1"/>
  <c r="AI2006" i="113" s="1"/>
  <c r="AD2006" i="113"/>
  <c r="AH2006" i="113" s="1"/>
  <c r="AA2315" i="113"/>
  <c r="AE2315" i="113" s="1"/>
  <c r="AI2315" i="113" s="1"/>
  <c r="AD2315" i="113"/>
  <c r="AH2315" i="113" s="1"/>
  <c r="AA1732" i="113"/>
  <c r="AE1732" i="113" s="1"/>
  <c r="AI1732" i="113" s="1"/>
  <c r="AD1732" i="113"/>
  <c r="AH1732" i="113" s="1"/>
  <c r="AA847" i="113"/>
  <c r="AE847" i="113" s="1"/>
  <c r="AI847" i="113" s="1"/>
  <c r="AD847" i="113"/>
  <c r="AH847" i="113" s="1"/>
  <c r="AA1437" i="113"/>
  <c r="AE1437" i="113" s="1"/>
  <c r="AI1437" i="113" s="1"/>
  <c r="AD1437" i="113"/>
  <c r="AH1437" i="113" s="1"/>
  <c r="AA2437" i="113"/>
  <c r="AE2437" i="113" s="1"/>
  <c r="AI2437" i="113" s="1"/>
  <c r="AD2437" i="113"/>
  <c r="AH2437" i="113" s="1"/>
  <c r="AA2314" i="113"/>
  <c r="AD2314" i="113"/>
  <c r="AH2314" i="113" s="1"/>
  <c r="AA1067" i="113"/>
  <c r="AE1067" i="113" s="1"/>
  <c r="AI1067" i="113" s="1"/>
  <c r="AD1067" i="113"/>
  <c r="AH1067" i="113" s="1"/>
  <c r="AA1990" i="113"/>
  <c r="AE1990" i="113" s="1"/>
  <c r="AI1990" i="113" s="1"/>
  <c r="AD1990" i="113"/>
  <c r="AH1990" i="113" s="1"/>
  <c r="AA1356" i="113"/>
  <c r="AD1356" i="113"/>
  <c r="AH1356" i="113" s="1"/>
  <c r="AA2663" i="113"/>
  <c r="AD2663" i="113"/>
  <c r="AH2663" i="113" s="1"/>
  <c r="AA1173" i="113"/>
  <c r="AD1173" i="113"/>
  <c r="AH1173" i="113" s="1"/>
  <c r="AA773" i="113"/>
  <c r="AE773" i="113" s="1"/>
  <c r="AI773" i="113" s="1"/>
  <c r="AD773" i="113"/>
  <c r="AH773" i="113" s="1"/>
  <c r="AA1325" i="113"/>
  <c r="AE1325" i="113" s="1"/>
  <c r="AI1325" i="113" s="1"/>
  <c r="AD1325" i="113"/>
  <c r="AH1325" i="113" s="1"/>
  <c r="AA1274" i="113"/>
  <c r="AE1274" i="113" s="1"/>
  <c r="AI1274" i="113" s="1"/>
  <c r="AD1274" i="113"/>
  <c r="AH1274" i="113" s="1"/>
  <c r="AA704" i="113"/>
  <c r="AE704" i="113" s="1"/>
  <c r="AI704" i="113" s="1"/>
  <c r="AD704" i="113"/>
  <c r="AH704" i="113" s="1"/>
  <c r="AA624" i="113"/>
  <c r="AD624" i="113"/>
  <c r="AH624" i="113" s="1"/>
  <c r="AA2290" i="113"/>
  <c r="AE2290" i="113" s="1"/>
  <c r="AI2290" i="113" s="1"/>
  <c r="AD2290" i="113"/>
  <c r="AH2290" i="113" s="1"/>
  <c r="AA927" i="113"/>
  <c r="AE927" i="113" s="1"/>
  <c r="AI927" i="113" s="1"/>
  <c r="AD927" i="113"/>
  <c r="AH927" i="113" s="1"/>
  <c r="AA2033" i="113"/>
  <c r="AD2033" i="113"/>
  <c r="AH2033" i="113" s="1"/>
  <c r="AA2292" i="113"/>
  <c r="AE2292" i="113" s="1"/>
  <c r="AI2292" i="113" s="1"/>
  <c r="AD2292" i="113"/>
  <c r="AH2292" i="113" s="1"/>
  <c r="AA2486" i="113"/>
  <c r="AE2486" i="113" s="1"/>
  <c r="AI2486" i="113" s="1"/>
  <c r="AD2486" i="113"/>
  <c r="AH2486" i="113" s="1"/>
  <c r="AA1485" i="113"/>
  <c r="AD1485" i="113"/>
  <c r="AH1485" i="113" s="1"/>
  <c r="AE19" i="113"/>
  <c r="AI19" i="113" s="1"/>
  <c r="AE1878" i="113"/>
  <c r="AI1878" i="113" s="1"/>
  <c r="AE1043" i="113"/>
  <c r="AI1043" i="113" s="1"/>
  <c r="AE635" i="113"/>
  <c r="AI635" i="113" s="1"/>
  <c r="AE648" i="113"/>
  <c r="AI648" i="113" s="1"/>
  <c r="AE1790" i="113"/>
  <c r="AI1790" i="113" s="1"/>
  <c r="AE420" i="113"/>
  <c r="AI420" i="113" s="1"/>
  <c r="AE852" i="113"/>
  <c r="AI852" i="113" s="1"/>
  <c r="AE1349" i="113"/>
  <c r="AI1349" i="113" s="1"/>
  <c r="AE1597" i="113"/>
  <c r="AI1597" i="113" s="1"/>
  <c r="AE614" i="113"/>
  <c r="AI614" i="113" s="1"/>
  <c r="AE1997" i="113"/>
  <c r="AI1997" i="113" s="1"/>
  <c r="AE483" i="113"/>
  <c r="AI483" i="113" s="1"/>
  <c r="AE381" i="113"/>
  <c r="AI381" i="113" s="1"/>
  <c r="AE355" i="113"/>
  <c r="AI355" i="113" s="1"/>
  <c r="AE518" i="113"/>
  <c r="AI518" i="113" s="1"/>
  <c r="AE2050" i="113"/>
  <c r="AI2050" i="113" s="1"/>
  <c r="AE1562" i="113"/>
  <c r="AI1562" i="113" s="1"/>
  <c r="AE1089" i="113"/>
  <c r="AI1089" i="113" s="1"/>
  <c r="AE521" i="113"/>
  <c r="AI521" i="113" s="1"/>
  <c r="X2161" i="113"/>
  <c r="Y2161" i="113"/>
  <c r="X770" i="113"/>
  <c r="Y770" i="113"/>
  <c r="X1236" i="113"/>
  <c r="Y1236" i="113"/>
  <c r="X1494" i="113"/>
  <c r="Y1494" i="113"/>
  <c r="X2003" i="113"/>
  <c r="Y2003" i="113"/>
  <c r="X306" i="113"/>
  <c r="Y306" i="113"/>
  <c r="X1167" i="113"/>
  <c r="Y1167" i="113"/>
  <c r="X419" i="113"/>
  <c r="Y419" i="113"/>
  <c r="X1306" i="113"/>
  <c r="Y1306" i="113"/>
  <c r="X1865" i="113"/>
  <c r="Y1865" i="113"/>
  <c r="X806" i="113"/>
  <c r="Y806" i="113"/>
  <c r="X1950" i="113"/>
  <c r="Y1950" i="113"/>
  <c r="X644" i="113"/>
  <c r="Y644" i="113"/>
  <c r="X141" i="113"/>
  <c r="Y141" i="113"/>
  <c r="X1543" i="113"/>
  <c r="Y1543" i="113"/>
  <c r="X988" i="113"/>
  <c r="Y988" i="113"/>
  <c r="X1778" i="113"/>
  <c r="Y1778" i="113"/>
  <c r="X338" i="113"/>
  <c r="Y338" i="113"/>
  <c r="X1746" i="113"/>
  <c r="Y1746" i="113"/>
  <c r="X1593" i="113"/>
  <c r="Y1593" i="113"/>
  <c r="X2657" i="113"/>
  <c r="Y2657" i="113"/>
  <c r="X1788" i="113"/>
  <c r="Y1788" i="113"/>
  <c r="X94" i="113"/>
  <c r="Y94" i="113"/>
  <c r="X511" i="113"/>
  <c r="Y511" i="113"/>
  <c r="X2556" i="113"/>
  <c r="Y2556" i="113"/>
  <c r="X2228" i="113"/>
  <c r="Y2228" i="113"/>
  <c r="X944" i="113"/>
  <c r="Y944" i="113"/>
  <c r="X729" i="113"/>
  <c r="Y729" i="113"/>
  <c r="X1719" i="113"/>
  <c r="Y1719" i="113"/>
  <c r="X167" i="113"/>
  <c r="Y167" i="113"/>
  <c r="X2305" i="113"/>
  <c r="Y2305" i="113"/>
  <c r="X477" i="113"/>
  <c r="Y477" i="113"/>
  <c r="X1975" i="113"/>
  <c r="Y1975" i="113"/>
  <c r="X1075" i="113"/>
  <c r="Y1075" i="113"/>
  <c r="X2600" i="113"/>
  <c r="Y2600" i="113"/>
  <c r="X125" i="113"/>
  <c r="Y125" i="113"/>
  <c r="X2399" i="113"/>
  <c r="Y2399" i="113"/>
  <c r="X2175" i="113"/>
  <c r="Y2175" i="113"/>
  <c r="X1103" i="113"/>
  <c r="Y1103" i="113"/>
  <c r="X389" i="113"/>
  <c r="Y389" i="113"/>
  <c r="X671" i="113"/>
  <c r="Y671" i="113"/>
  <c r="X243" i="113"/>
  <c r="Y243" i="113"/>
  <c r="X1836" i="113"/>
  <c r="Y1836" i="113"/>
  <c r="X582" i="113"/>
  <c r="Y582" i="113"/>
  <c r="X838" i="113"/>
  <c r="Y838" i="113"/>
  <c r="X180" i="113"/>
  <c r="Y180" i="113"/>
  <c r="X1645" i="113"/>
  <c r="Y1645" i="113"/>
  <c r="X541" i="113"/>
  <c r="Y541" i="113"/>
  <c r="X1906" i="113"/>
  <c r="Y1906" i="113"/>
  <c r="X67" i="113"/>
  <c r="Y67" i="113"/>
  <c r="X1128" i="113"/>
  <c r="Y1128" i="113"/>
  <c r="X1040" i="113"/>
  <c r="Y1040" i="113"/>
  <c r="X2318" i="113"/>
  <c r="Y2318" i="113"/>
  <c r="X2252" i="113"/>
  <c r="Y2252" i="113"/>
  <c r="X2123" i="113"/>
  <c r="Y2123" i="113"/>
  <c r="X2524" i="113"/>
  <c r="Y2524" i="113"/>
  <c r="X2100" i="113"/>
  <c r="Y2100" i="113"/>
  <c r="X864" i="113"/>
  <c r="Y864" i="113"/>
  <c r="X2369" i="113"/>
  <c r="Y2369" i="113"/>
  <c r="X697" i="113"/>
  <c r="Y697" i="113"/>
  <c r="X2038" i="113"/>
  <c r="Y2038" i="113"/>
  <c r="X2453" i="113"/>
  <c r="Y2453" i="113"/>
  <c r="X2" i="113"/>
  <c r="Y2" i="113"/>
  <c r="X1149" i="113"/>
  <c r="Y1149" i="113"/>
  <c r="X26" i="113"/>
  <c r="Y26" i="113"/>
  <c r="X2204" i="113"/>
  <c r="Y2204" i="113"/>
  <c r="X1451" i="113"/>
  <c r="Y1451" i="113"/>
  <c r="X2281" i="113"/>
  <c r="Y2281" i="113"/>
  <c r="X1204" i="113"/>
  <c r="Y1204" i="113"/>
  <c r="X2382" i="113"/>
  <c r="Y2382" i="113"/>
  <c r="X441" i="113"/>
  <c r="Y441" i="113"/>
  <c r="X2072" i="113"/>
  <c r="Y2072" i="113"/>
  <c r="X1680" i="113"/>
  <c r="Y1680" i="113"/>
  <c r="X1013" i="113"/>
  <c r="Y1013" i="113"/>
  <c r="X615" i="113"/>
  <c r="Y615" i="113"/>
  <c r="X278" i="113"/>
  <c r="Y278" i="113"/>
  <c r="X1284" i="113"/>
  <c r="Y1284" i="113"/>
  <c r="X361" i="113"/>
  <c r="Y361" i="113"/>
  <c r="X1813" i="113"/>
  <c r="Y1813" i="113"/>
  <c r="X2474" i="113"/>
  <c r="Y2474" i="113"/>
  <c r="X211" i="113"/>
  <c r="Y211" i="113"/>
  <c r="X2501" i="113"/>
  <c r="Y2501" i="113"/>
  <c r="X1884" i="113"/>
  <c r="Y1884" i="113"/>
  <c r="X2418" i="113"/>
  <c r="Y2418" i="113"/>
  <c r="X597" i="113"/>
  <c r="Y597" i="113"/>
  <c r="X2625" i="113"/>
  <c r="Y2625" i="113"/>
  <c r="X2352" i="113"/>
  <c r="Y2352" i="113"/>
  <c r="X1432" i="113"/>
  <c r="Y1432" i="113"/>
  <c r="X1622" i="113"/>
  <c r="Y1622" i="113"/>
  <c r="X1577" i="113"/>
  <c r="Y1577" i="113"/>
  <c r="X901" i="113"/>
  <c r="Y901" i="113"/>
  <c r="I50" i="108"/>
  <c r="K50" i="108" s="1"/>
  <c r="C63" i="108"/>
  <c r="G63" i="108" s="1"/>
  <c r="I63" i="108" s="1"/>
  <c r="P4" i="110"/>
  <c r="E2" i="101"/>
  <c r="E155" i="108"/>
  <c r="M35" i="108"/>
  <c r="I35" i="108"/>
  <c r="G64" i="111" l="1"/>
  <c r="H64" i="111" s="1"/>
  <c r="I64" i="111" s="1"/>
  <c r="G1706" i="111"/>
  <c r="H1706" i="111" s="1"/>
  <c r="I1706" i="111" s="1"/>
  <c r="H1695" i="111"/>
  <c r="I1695" i="111" s="1"/>
  <c r="G1697" i="111"/>
  <c r="H1697" i="111" s="1"/>
  <c r="I1697" i="111" s="1"/>
  <c r="H5706" i="111"/>
  <c r="I5706" i="111" s="1"/>
  <c r="G5708" i="111"/>
  <c r="G5709" i="111" s="1"/>
  <c r="H3139" i="111"/>
  <c r="I3139" i="111" s="1"/>
  <c r="H6131" i="111"/>
  <c r="H6179" i="111" s="1"/>
  <c r="G6179" i="111"/>
  <c r="H4437" i="111"/>
  <c r="I4437" i="111" s="1"/>
  <c r="H5540" i="111"/>
  <c r="I5540" i="111" s="1"/>
  <c r="G5542" i="111"/>
  <c r="G5543" i="111" s="1"/>
  <c r="G694" i="111"/>
  <c r="H694" i="111" s="1"/>
  <c r="I694" i="111" s="1"/>
  <c r="H692" i="111"/>
  <c r="I692" i="111" s="1"/>
  <c r="G5691" i="111"/>
  <c r="H5691" i="111" s="1"/>
  <c r="I5691" i="111" s="1"/>
  <c r="H5689" i="111"/>
  <c r="I5689" i="111" s="1"/>
  <c r="H6077" i="111"/>
  <c r="I6077" i="111" s="1"/>
  <c r="G3004" i="111"/>
  <c r="H2928" i="111"/>
  <c r="G3238" i="111"/>
  <c r="G3239" i="111" s="1"/>
  <c r="H3239" i="111" s="1"/>
  <c r="I3239" i="111" s="1"/>
  <c r="H3236" i="111"/>
  <c r="I3236" i="111" s="1"/>
  <c r="G2363" i="111"/>
  <c r="H2361" i="111"/>
  <c r="I2361" i="111" s="1"/>
  <c r="H6427" i="111"/>
  <c r="I6427" i="111" s="1"/>
  <c r="H939" i="111"/>
  <c r="I939" i="111" s="1"/>
  <c r="H1007" i="111"/>
  <c r="I1007" i="111" s="1"/>
  <c r="H374" i="111"/>
  <c r="I374" i="111" s="1"/>
  <c r="H3970" i="111"/>
  <c r="I3970" i="111" s="1"/>
  <c r="H3336" i="111"/>
  <c r="I3336" i="111" s="1"/>
  <c r="G3338" i="111"/>
  <c r="G3186" i="111"/>
  <c r="H3084" i="111"/>
  <c r="H3186" i="111" s="1"/>
  <c r="H1648" i="111"/>
  <c r="I1648" i="111" s="1"/>
  <c r="H1263" i="111"/>
  <c r="I1263" i="111" s="1"/>
  <c r="G1265" i="111"/>
  <c r="G1291" i="111"/>
  <c r="H1291" i="111" s="1"/>
  <c r="I1291" i="111" s="1"/>
  <c r="H6277" i="111"/>
  <c r="I6277" i="111" s="1"/>
  <c r="H2834" i="111"/>
  <c r="I2834" i="111"/>
  <c r="H2641" i="111"/>
  <c r="I2641" i="111" s="1"/>
  <c r="H5124" i="111"/>
  <c r="I5124" i="111" s="1"/>
  <c r="G5126" i="111"/>
  <c r="H5126" i="111" s="1"/>
  <c r="I5126" i="111" s="1"/>
  <c r="G4371" i="111"/>
  <c r="H4371" i="111" s="1"/>
  <c r="I4371" i="111" s="1"/>
  <c r="H4369" i="111"/>
  <c r="I4369" i="111" s="1"/>
  <c r="G149" i="111"/>
  <c r="H147" i="111"/>
  <c r="I147" i="111" s="1"/>
  <c r="H5911" i="111"/>
  <c r="I5911" i="111" s="1"/>
  <c r="G5277" i="111"/>
  <c r="H5221" i="111"/>
  <c r="H6157" i="111"/>
  <c r="I6157" i="111" s="1"/>
  <c r="G231" i="111"/>
  <c r="H229" i="111"/>
  <c r="I229" i="111" s="1"/>
  <c r="G232" i="111"/>
  <c r="H232" i="111" s="1"/>
  <c r="I232" i="111" s="1"/>
  <c r="G239" i="111"/>
  <c r="H239" i="111" s="1"/>
  <c r="I239" i="111" s="1"/>
  <c r="H843" i="111"/>
  <c r="I843" i="111" s="1"/>
  <c r="G845" i="111"/>
  <c r="G6612" i="111"/>
  <c r="H6610" i="111"/>
  <c r="I6610" i="111" s="1"/>
  <c r="G6248" i="111"/>
  <c r="H6187" i="111"/>
  <c r="H6248" i="111" s="1"/>
  <c r="G854" i="111"/>
  <c r="H778" i="111"/>
  <c r="I778" i="111" s="1"/>
  <c r="H4801" i="111"/>
  <c r="I4801" i="111" s="1"/>
  <c r="G4803" i="111"/>
  <c r="H4803" i="111" s="1"/>
  <c r="I4803" i="111" s="1"/>
  <c r="H2103" i="111"/>
  <c r="I2103" i="111" s="1"/>
  <c r="H485" i="111"/>
  <c r="I485" i="111" s="1"/>
  <c r="H4128" i="111"/>
  <c r="I4128" i="111" s="1"/>
  <c r="H568" i="111"/>
  <c r="I568" i="111" s="1"/>
  <c r="H2917" i="111"/>
  <c r="I2917" i="111" s="1"/>
  <c r="G2918" i="111"/>
  <c r="H2918" i="111" s="1"/>
  <c r="I2918" i="111" s="1"/>
  <c r="G2097" i="111"/>
  <c r="H2095" i="111"/>
  <c r="I2095" i="111" s="1"/>
  <c r="H5286" i="111"/>
  <c r="I5286" i="111" s="1"/>
  <c r="G5288" i="111"/>
  <c r="H1936" i="111"/>
  <c r="I1936" i="111" s="1"/>
  <c r="H2700" i="111"/>
  <c r="I2700" i="111" s="1"/>
  <c r="H3982" i="111"/>
  <c r="I3982" i="111" s="1"/>
  <c r="G2591" i="111"/>
  <c r="H2591" i="111" s="1"/>
  <c r="I2591" i="111" s="1"/>
  <c r="H2535" i="111"/>
  <c r="I2535" i="111" s="1"/>
  <c r="I2593" i="111" s="1"/>
  <c r="G2593" i="111"/>
  <c r="H341" i="111"/>
  <c r="I341" i="111" s="1"/>
  <c r="G2089" i="111"/>
  <c r="H2089" i="111" s="1"/>
  <c r="I2089" i="111" s="1"/>
  <c r="H2087" i="111"/>
  <c r="I2087" i="111" s="1"/>
  <c r="G1213" i="111"/>
  <c r="H1211" i="111"/>
  <c r="I1211" i="111" s="1"/>
  <c r="H1674" i="111"/>
  <c r="I1674" i="111" s="1"/>
  <c r="H2048" i="111"/>
  <c r="I2048" i="111" s="1"/>
  <c r="H2662" i="111"/>
  <c r="I2662" i="111" s="1"/>
  <c r="G3856" i="111"/>
  <c r="G3857" i="111" s="1"/>
  <c r="H3854" i="111"/>
  <c r="I3854" i="111" s="1"/>
  <c r="H2772" i="111"/>
  <c r="I2772" i="111" s="1"/>
  <c r="H2154" i="111"/>
  <c r="I2154" i="111" s="1"/>
  <c r="G1927" i="111"/>
  <c r="H1927" i="111" s="1"/>
  <c r="I1927" i="111" s="1"/>
  <c r="H1925" i="111"/>
  <c r="I1925" i="111" s="1"/>
  <c r="G3057" i="111"/>
  <c r="G3058" i="111" s="1"/>
  <c r="H3058" i="111" s="1"/>
  <c r="I3058" i="111" s="1"/>
  <c r="H3055" i="111"/>
  <c r="I3055" i="111" s="1"/>
  <c r="H2503" i="111"/>
  <c r="I2503" i="111" s="1"/>
  <c r="G2505" i="111"/>
  <c r="H2254" i="111"/>
  <c r="I2254" i="111" s="1"/>
  <c r="H3483" i="111"/>
  <c r="I3483" i="111" s="1"/>
  <c r="H2244" i="111"/>
  <c r="I2244" i="111" s="1"/>
  <c r="G2246" i="111"/>
  <c r="H624" i="111"/>
  <c r="I624" i="111" s="1"/>
  <c r="H6335" i="111"/>
  <c r="I6335" i="111" s="1"/>
  <c r="H2976" i="111"/>
  <c r="I2976" i="111" s="1"/>
  <c r="G2978" i="111"/>
  <c r="H2978" i="111" s="1"/>
  <c r="I2978" i="111" s="1"/>
  <c r="G2725" i="111"/>
  <c r="G2726" i="111" s="1"/>
  <c r="H2726" i="111" s="1"/>
  <c r="I2726" i="111" s="1"/>
  <c r="H2723" i="111"/>
  <c r="I2723" i="111" s="1"/>
  <c r="H4826" i="111"/>
  <c r="I4826" i="111" s="1"/>
  <c r="H3813" i="111"/>
  <c r="G3889" i="111"/>
  <c r="G2970" i="111"/>
  <c r="G2971" i="111" s="1"/>
  <c r="H2971" i="111" s="1"/>
  <c r="H2968" i="111"/>
  <c r="I2968" i="111" s="1"/>
  <c r="H3392" i="111"/>
  <c r="I3392" i="111" s="1"/>
  <c r="H5200" i="111"/>
  <c r="I5200" i="111" s="1"/>
  <c r="G5202" i="111"/>
  <c r="H5202" i="111" s="1"/>
  <c r="I5202" i="111" s="1"/>
  <c r="H6622" i="111"/>
  <c r="I6622" i="111" s="1"/>
  <c r="G3860" i="111"/>
  <c r="H3860" i="111" s="1"/>
  <c r="I3860" i="111" s="1"/>
  <c r="H3858" i="111"/>
  <c r="I3858" i="111" s="1"/>
  <c r="G3887" i="111"/>
  <c r="H3887" i="111" s="1"/>
  <c r="I3887" i="111" s="1"/>
  <c r="H3493" i="111"/>
  <c r="I3493" i="111" s="1"/>
  <c r="G3495" i="111"/>
  <c r="G3496" i="111" s="1"/>
  <c r="H3496" i="111" s="1"/>
  <c r="I3496" i="111" s="1"/>
  <c r="G6456" i="111"/>
  <c r="G6457" i="111" s="1"/>
  <c r="H6457" i="111" s="1"/>
  <c r="I6457" i="111" s="1"/>
  <c r="H6454" i="111"/>
  <c r="I6454" i="111" s="1"/>
  <c r="H273" i="111"/>
  <c r="I273" i="111" s="1"/>
  <c r="H5072" i="111"/>
  <c r="I5072" i="111" s="1"/>
  <c r="H5562" i="111"/>
  <c r="I5562" i="111" s="1"/>
  <c r="G5564" i="111"/>
  <c r="H16" i="111"/>
  <c r="I16" i="111" s="1"/>
  <c r="G3775" i="111"/>
  <c r="H3773" i="111"/>
  <c r="I3773" i="111" s="1"/>
  <c r="H4043" i="111"/>
  <c r="I4043" i="111" s="1"/>
  <c r="H5846" i="111"/>
  <c r="I5846" i="111" s="1"/>
  <c r="H202" i="111"/>
  <c r="I202" i="111" s="1"/>
  <c r="H4599" i="111"/>
  <c r="I4599" i="111" s="1"/>
  <c r="H3789" i="111"/>
  <c r="I3789" i="111" s="1"/>
  <c r="G3791" i="111"/>
  <c r="H3791" i="111" s="1"/>
  <c r="I3791" i="111" s="1"/>
  <c r="G4898" i="111"/>
  <c r="H4839" i="111"/>
  <c r="G2177" i="111"/>
  <c r="H2117" i="111"/>
  <c r="H2177" i="111" s="1"/>
  <c r="G4609" i="111"/>
  <c r="G4610" i="111" s="1"/>
  <c r="H4607" i="111"/>
  <c r="I4607" i="111" s="1"/>
  <c r="H5631" i="111"/>
  <c r="I5631" i="111" s="1"/>
  <c r="H727" i="111"/>
  <c r="I727" i="111" s="1"/>
  <c r="H6352" i="111"/>
  <c r="I6352" i="111" s="1"/>
  <c r="H268" i="111"/>
  <c r="I268" i="111" s="1"/>
  <c r="G4472" i="111"/>
  <c r="G4473" i="111" s="1"/>
  <c r="H4473" i="111" s="1"/>
  <c r="I4473" i="111" s="1"/>
  <c r="H4470" i="111"/>
  <c r="I4470" i="111" s="1"/>
  <c r="G4482" i="111"/>
  <c r="H4482" i="111" s="1"/>
  <c r="I4482" i="111" s="1"/>
  <c r="G5494" i="111"/>
  <c r="H5420" i="111"/>
  <c r="H5494" i="111" s="1"/>
  <c r="H574" i="111"/>
  <c r="I574" i="111" s="1"/>
  <c r="H1110" i="111"/>
  <c r="I1110" i="111" s="1"/>
  <c r="G1111" i="111"/>
  <c r="H1111" i="111" s="1"/>
  <c r="I1111" i="111" s="1"/>
  <c r="G2446" i="111"/>
  <c r="H2444" i="111"/>
  <c r="I2444" i="111" s="1"/>
  <c r="H1301" i="111"/>
  <c r="G1370" i="111"/>
  <c r="H5596" i="111"/>
  <c r="I5596" i="111" s="1"/>
  <c r="G5598" i="111"/>
  <c r="H487" i="111"/>
  <c r="I487" i="111" s="1"/>
  <c r="H392" i="111"/>
  <c r="I392" i="111" s="1"/>
  <c r="G1448" i="111"/>
  <c r="H1446" i="111"/>
  <c r="I1446" i="111" s="1"/>
  <c r="H520" i="111"/>
  <c r="I520" i="111" s="1"/>
  <c r="H2405" i="111"/>
  <c r="I2405" i="111" s="1"/>
  <c r="G1626" i="111"/>
  <c r="G1627" i="111" s="1"/>
  <c r="H1624" i="111"/>
  <c r="I1624" i="111" s="1"/>
  <c r="H1106" i="111"/>
  <c r="I1106" i="111" s="1"/>
  <c r="G1108" i="111"/>
  <c r="H1108" i="111" s="1"/>
  <c r="I1108" i="111" s="1"/>
  <c r="G1049" i="111"/>
  <c r="H1049" i="111" s="1"/>
  <c r="I1049" i="111" s="1"/>
  <c r="H1047" i="111"/>
  <c r="I1047" i="111" s="1"/>
  <c r="H5106" i="111"/>
  <c r="I5106" i="111" s="1"/>
  <c r="H3878" i="111"/>
  <c r="I3878" i="111" s="1"/>
  <c r="G3880" i="111"/>
  <c r="G303" i="111"/>
  <c r="H301" i="111"/>
  <c r="I301" i="111" s="1"/>
  <c r="H3639" i="111"/>
  <c r="I3639" i="111" s="1"/>
  <c r="H1128" i="111"/>
  <c r="I1128" i="111" s="1"/>
  <c r="H2853" i="111"/>
  <c r="I2853" i="111" s="1"/>
  <c r="G2188" i="111"/>
  <c r="G2189" i="111" s="1"/>
  <c r="H2189" i="111" s="1"/>
  <c r="I2189" i="111" s="1"/>
  <c r="H2186" i="111"/>
  <c r="I2186" i="111" s="1"/>
  <c r="H3765" i="111"/>
  <c r="I3765" i="111" s="1"/>
  <c r="G3767" i="111"/>
  <c r="G241" i="111"/>
  <c r="H177" i="111"/>
  <c r="I177" i="111" s="1"/>
  <c r="H207" i="111"/>
  <c r="I207" i="111" s="1"/>
  <c r="H2463" i="111"/>
  <c r="I2463" i="111" s="1"/>
  <c r="G2465" i="111"/>
  <c r="G2466" i="111" s="1"/>
  <c r="H1734" i="111"/>
  <c r="I1734" i="111" s="1"/>
  <c r="G1923" i="111"/>
  <c r="H1921" i="111"/>
  <c r="I1921" i="111" s="1"/>
  <c r="G355" i="111"/>
  <c r="H321" i="111"/>
  <c r="I321" i="111" s="1"/>
  <c r="I355" i="111" s="1"/>
  <c r="G4495" i="111"/>
  <c r="G4496" i="111" s="1"/>
  <c r="H4496" i="111" s="1"/>
  <c r="I4496" i="111" s="1"/>
  <c r="H4493" i="111"/>
  <c r="I4493" i="111" s="1"/>
  <c r="H1894" i="111"/>
  <c r="I1894" i="111" s="1"/>
  <c r="H4075" i="111"/>
  <c r="I4075" i="111" s="1"/>
  <c r="H4825" i="111"/>
  <c r="I4825" i="111" s="1"/>
  <c r="G461" i="111"/>
  <c r="H459" i="111"/>
  <c r="I459" i="111" s="1"/>
  <c r="H580" i="111"/>
  <c r="I580" i="111" s="1"/>
  <c r="H1641" i="111"/>
  <c r="G1708" i="111"/>
  <c r="H1359" i="111"/>
  <c r="I1359" i="111" s="1"/>
  <c r="G1361" i="111"/>
  <c r="H1361" i="111" s="1"/>
  <c r="I1361" i="111" s="1"/>
  <c r="H2751" i="111"/>
  <c r="G2807" i="111"/>
  <c r="G2804" i="111"/>
  <c r="H2804" i="111" s="1"/>
  <c r="I2804" i="111" s="1"/>
  <c r="G433" i="111"/>
  <c r="H364" i="111"/>
  <c r="H2069" i="111"/>
  <c r="I2069" i="111" s="1"/>
  <c r="G837" i="111"/>
  <c r="H837" i="111" s="1"/>
  <c r="I837" i="111" s="1"/>
  <c r="H835" i="111"/>
  <c r="I835" i="111" s="1"/>
  <c r="G851" i="111"/>
  <c r="H851" i="111" s="1"/>
  <c r="I851" i="111" s="1"/>
  <c r="G1719" i="111"/>
  <c r="G1720" i="111" s="1"/>
  <c r="H1720" i="111" s="1"/>
  <c r="I1720" i="111" s="1"/>
  <c r="H1717" i="111"/>
  <c r="I1717" i="111" s="1"/>
  <c r="G920" i="111"/>
  <c r="G921" i="111" s="1"/>
  <c r="H921" i="111" s="1"/>
  <c r="I921" i="111" s="1"/>
  <c r="H918" i="111"/>
  <c r="I918" i="111" s="1"/>
  <c r="H1586" i="111"/>
  <c r="I1586" i="111" s="1"/>
  <c r="H608" i="111"/>
  <c r="I608" i="111" s="1"/>
  <c r="G610" i="111"/>
  <c r="H2201" i="111"/>
  <c r="I2201" i="111" s="1"/>
  <c r="H1816" i="111"/>
  <c r="I1816" i="111" s="1"/>
  <c r="H5007" i="111"/>
  <c r="I5007" i="111" s="1"/>
  <c r="G1269" i="111"/>
  <c r="H1269" i="111" s="1"/>
  <c r="I1269" i="111" s="1"/>
  <c r="H1267" i="111"/>
  <c r="I1267" i="111" s="1"/>
  <c r="H4179" i="111"/>
  <c r="I4179" i="111" s="1"/>
  <c r="G3707" i="111"/>
  <c r="H3705" i="111"/>
  <c r="I3705" i="111" s="1"/>
  <c r="H3505" i="111"/>
  <c r="I3505" i="111" s="1"/>
  <c r="G3507" i="111"/>
  <c r="H3507" i="111" s="1"/>
  <c r="I3507" i="111" s="1"/>
  <c r="H3621" i="111"/>
  <c r="I3621" i="111" s="1"/>
  <c r="H3332" i="111"/>
  <c r="I3332" i="111" s="1"/>
  <c r="G3334" i="111"/>
  <c r="H3334" i="111" s="1"/>
  <c r="I3334" i="111" s="1"/>
  <c r="H3316" i="111"/>
  <c r="I3316" i="111" s="1"/>
  <c r="G3318" i="111"/>
  <c r="H3278" i="111"/>
  <c r="I3278" i="111" s="1"/>
  <c r="H6002" i="111"/>
  <c r="I6002" i="111" s="1"/>
  <c r="G6004" i="111"/>
  <c r="G1755" i="111"/>
  <c r="H1753" i="111"/>
  <c r="I1753" i="111" s="1"/>
  <c r="G1771" i="111"/>
  <c r="H1771" i="111" s="1"/>
  <c r="I1771" i="111" s="1"/>
  <c r="G2322" i="111"/>
  <c r="G2323" i="111" s="1"/>
  <c r="H2320" i="111"/>
  <c r="I2320" i="111" s="1"/>
  <c r="G5348" i="111"/>
  <c r="H5348" i="111" s="1"/>
  <c r="I5348" i="111" s="1"/>
  <c r="H5346" i="111"/>
  <c r="I5346" i="111" s="1"/>
  <c r="H6044" i="111"/>
  <c r="I6044" i="111" s="1"/>
  <c r="G6046" i="111"/>
  <c r="H1699" i="111"/>
  <c r="I1699" i="111" s="1"/>
  <c r="G1701" i="111"/>
  <c r="H1701" i="111" s="1"/>
  <c r="I1701" i="111" s="1"/>
  <c r="G2250" i="111"/>
  <c r="H2250" i="111" s="1"/>
  <c r="I2250" i="111" s="1"/>
  <c r="H2248" i="111"/>
  <c r="I2248" i="111" s="1"/>
  <c r="H4742" i="111"/>
  <c r="I4742" i="111" s="1"/>
  <c r="G4744" i="111"/>
  <c r="G4745" i="111" s="1"/>
  <c r="H4745" i="111" s="1"/>
  <c r="I4745" i="111" s="1"/>
  <c r="H4231" i="111"/>
  <c r="I4231" i="111" s="1"/>
  <c r="G4233" i="111"/>
  <c r="H4233" i="111" s="1"/>
  <c r="I4233" i="111" s="1"/>
  <c r="G3168" i="111"/>
  <c r="H3168" i="111" s="1"/>
  <c r="I3168" i="111" s="1"/>
  <c r="H3166" i="111"/>
  <c r="I3166" i="111" s="1"/>
  <c r="H1467" i="111"/>
  <c r="I1467" i="111" s="1"/>
  <c r="G2338" i="111"/>
  <c r="G2339" i="111" s="1"/>
  <c r="H2339" i="111" s="1"/>
  <c r="I2339" i="111" s="1"/>
  <c r="H2336" i="111"/>
  <c r="I2336" i="111" s="1"/>
  <c r="G2454" i="111"/>
  <c r="H2360" i="111"/>
  <c r="G2352" i="111"/>
  <c r="H2267" i="111"/>
  <c r="H4344" i="111"/>
  <c r="I4344" i="111" s="1"/>
  <c r="H1164" i="111"/>
  <c r="I1164" i="111" s="1"/>
  <c r="G3242" i="111"/>
  <c r="G3243" i="111" s="1"/>
  <c r="H3243" i="111" s="1"/>
  <c r="I3243" i="111" s="1"/>
  <c r="H3240" i="111"/>
  <c r="I3240" i="111" s="1"/>
  <c r="G3249" i="111"/>
  <c r="H3249" i="111" s="1"/>
  <c r="I3249" i="111" s="1"/>
  <c r="H4227" i="111"/>
  <c r="I4227" i="111" s="1"/>
  <c r="G4229" i="111"/>
  <c r="H3582" i="111"/>
  <c r="I3582" i="111" s="1"/>
  <c r="G3584" i="111"/>
  <c r="H3915" i="111"/>
  <c r="I3915" i="111" s="1"/>
  <c r="G4627" i="111"/>
  <c r="H4557" i="111"/>
  <c r="H3109" i="111"/>
  <c r="I3109" i="111" s="1"/>
  <c r="G5679" i="111"/>
  <c r="H5679" i="111" s="1"/>
  <c r="I5679" i="111" s="1"/>
  <c r="H5677" i="111"/>
  <c r="I5677" i="111" s="1"/>
  <c r="G5695" i="111"/>
  <c r="H5695" i="111" s="1"/>
  <c r="I5695" i="111" s="1"/>
  <c r="H233" i="111"/>
  <c r="I233" i="111" s="1"/>
  <c r="G235" i="111"/>
  <c r="G236" i="111" s="1"/>
  <c r="H3618" i="111"/>
  <c r="I3618" i="111" s="1"/>
  <c r="G4621" i="111"/>
  <c r="H4621" i="111" s="1"/>
  <c r="I4621" i="111" s="1"/>
  <c r="H4619" i="111"/>
  <c r="I4619" i="111" s="1"/>
  <c r="H5971" i="111"/>
  <c r="G6009" i="111"/>
  <c r="G6006" i="111"/>
  <c r="H6006" i="111" s="1"/>
  <c r="I6006" i="111" s="1"/>
  <c r="G6472" i="111"/>
  <c r="H6472" i="111" s="1"/>
  <c r="I6472" i="111" s="1"/>
  <c r="H6470" i="111"/>
  <c r="I6470" i="111" s="1"/>
  <c r="H5285" i="111"/>
  <c r="G5371" i="111"/>
  <c r="H1495" i="111"/>
  <c r="I1495" i="111" s="1"/>
  <c r="G5860" i="111"/>
  <c r="H5860" i="111" s="1"/>
  <c r="I5860" i="111" s="1"/>
  <c r="H5858" i="111"/>
  <c r="I5858" i="111" s="1"/>
  <c r="G5873" i="111"/>
  <c r="H5873" i="111" s="1"/>
  <c r="I5873" i="111" s="1"/>
  <c r="H4793" i="111"/>
  <c r="I4793" i="111" s="1"/>
  <c r="G4795" i="111"/>
  <c r="H308" i="111"/>
  <c r="I308" i="111" s="1"/>
  <c r="H5445" i="111"/>
  <c r="I5445" i="111" s="1"/>
  <c r="G1633" i="111"/>
  <c r="H1570" i="111"/>
  <c r="I1570" i="111" s="1"/>
  <c r="I1633" i="111" s="1"/>
  <c r="H5182" i="111"/>
  <c r="I5182" i="111" s="1"/>
  <c r="G6382" i="111"/>
  <c r="H6313" i="111"/>
  <c r="H6382" i="111" s="1"/>
  <c r="G5602" i="111"/>
  <c r="H5600" i="111"/>
  <c r="I5600" i="111" s="1"/>
  <c r="G5614" i="111"/>
  <c r="H5614" i="111" s="1"/>
  <c r="I5614" i="111" s="1"/>
  <c r="G467" i="111"/>
  <c r="G465" i="111"/>
  <c r="H465" i="111" s="1"/>
  <c r="I465" i="111" s="1"/>
  <c r="H441" i="111"/>
  <c r="I441" i="111" s="1"/>
  <c r="H3906" i="111"/>
  <c r="I3906" i="111" s="1"/>
  <c r="H2511" i="111"/>
  <c r="I2511" i="111" s="1"/>
  <c r="G2513" i="111"/>
  <c r="H2513" i="111" s="1"/>
  <c r="I2513" i="111" s="1"/>
  <c r="H2935" i="111"/>
  <c r="I2935" i="111" s="1"/>
  <c r="H1835" i="111"/>
  <c r="I1835" i="111" s="1"/>
  <c r="G1837" i="111"/>
  <c r="H1837" i="111" s="1"/>
  <c r="I1837" i="111" s="1"/>
  <c r="G1381" i="111"/>
  <c r="G1382" i="111" s="1"/>
  <c r="H1382" i="111" s="1"/>
  <c r="I1382" i="111" s="1"/>
  <c r="H1379" i="111"/>
  <c r="I1379" i="111" s="1"/>
  <c r="G2031" i="111"/>
  <c r="H1948" i="111"/>
  <c r="H2031" i="111" s="1"/>
  <c r="G6686" i="111"/>
  <c r="H6686" i="111" s="1"/>
  <c r="I6686" i="111" s="1"/>
  <c r="G6678" i="111"/>
  <c r="H6676" i="111"/>
  <c r="I6676" i="111" s="1"/>
  <c r="G5135" i="111"/>
  <c r="H5060" i="111"/>
  <c r="H5135" i="111" s="1"/>
  <c r="H575" i="111"/>
  <c r="I575" i="111" s="1"/>
  <c r="H3195" i="111"/>
  <c r="I3195" i="111" s="1"/>
  <c r="G3197" i="111"/>
  <c r="G3198" i="111"/>
  <c r="H893" i="111"/>
  <c r="I893" i="111" s="1"/>
  <c r="H6606" i="111"/>
  <c r="I6606" i="111" s="1"/>
  <c r="G6625" i="111"/>
  <c r="H6625" i="111" s="1"/>
  <c r="I6625" i="111" s="1"/>
  <c r="G6608" i="111"/>
  <c r="G6609" i="111" s="1"/>
  <c r="H6609" i="111" s="1"/>
  <c r="I6609" i="111" s="1"/>
  <c r="G3346" i="111"/>
  <c r="H3346" i="111" s="1"/>
  <c r="I3346" i="111" s="1"/>
  <c r="H3344" i="111"/>
  <c r="I3344" i="111" s="1"/>
  <c r="H5210" i="111"/>
  <c r="I5210" i="111" s="1"/>
  <c r="G4430" i="111"/>
  <c r="G4431" i="111" s="1"/>
  <c r="H4428" i="111"/>
  <c r="I4428" i="111" s="1"/>
  <c r="G1833" i="111"/>
  <c r="H1831" i="111"/>
  <c r="I1831" i="111" s="1"/>
  <c r="G1844" i="111"/>
  <c r="H1844" i="111" s="1"/>
  <c r="I1844" i="111" s="1"/>
  <c r="H2136" i="111"/>
  <c r="I2136" i="111" s="1"/>
  <c r="H1819" i="111"/>
  <c r="I1819" i="111" s="1"/>
  <c r="H1081" i="111"/>
  <c r="I1081" i="111" s="1"/>
  <c r="H4723" i="111"/>
  <c r="I4723" i="111" s="1"/>
  <c r="H3862" i="111"/>
  <c r="I3862" i="111" s="1"/>
  <c r="G3864" i="111"/>
  <c r="H1070" i="111"/>
  <c r="I1070" i="111" s="1"/>
  <c r="H917" i="111"/>
  <c r="G977" i="111"/>
  <c r="G4137" i="111"/>
  <c r="H4135" i="111"/>
  <c r="I4135" i="111" s="1"/>
  <c r="G1277" i="111"/>
  <c r="H1277" i="111" s="1"/>
  <c r="I1277" i="111" s="1"/>
  <c r="H1275" i="111"/>
  <c r="I1275" i="111" s="1"/>
  <c r="H1482" i="111"/>
  <c r="H1523" i="111" s="1"/>
  <c r="G1520" i="111"/>
  <c r="H1520" i="111" s="1"/>
  <c r="I1520" i="111" s="1"/>
  <c r="G1523" i="111"/>
  <c r="G169" i="111"/>
  <c r="H74" i="111"/>
  <c r="H169" i="111" s="1"/>
  <c r="H2083" i="111"/>
  <c r="I2083" i="111" s="1"/>
  <c r="G2085" i="111"/>
  <c r="H2085" i="111" s="1"/>
  <c r="I2085" i="111" s="1"/>
  <c r="G2107" i="111"/>
  <c r="H2107" i="111" s="1"/>
  <c r="I2107" i="111" s="1"/>
  <c r="H779" i="111"/>
  <c r="I779" i="111" s="1"/>
  <c r="G781" i="111"/>
  <c r="H5030" i="111"/>
  <c r="I5030" i="111" s="1"/>
  <c r="G5032" i="111"/>
  <c r="G5033" i="111" s="1"/>
  <c r="H5033" i="111" s="1"/>
  <c r="I5033" i="111" s="1"/>
  <c r="H1600" i="111"/>
  <c r="I1600" i="111" s="1"/>
  <c r="H2328" i="111"/>
  <c r="I2328" i="111" s="1"/>
  <c r="G2330" i="111"/>
  <c r="H2330" i="111" s="1"/>
  <c r="I2330" i="111" s="1"/>
  <c r="H2650" i="111"/>
  <c r="I2650" i="111" s="1"/>
  <c r="G2652" i="111"/>
  <c r="G2665" i="111"/>
  <c r="H2665" i="111" s="1"/>
  <c r="I2665" i="111" s="1"/>
  <c r="G2042" i="111"/>
  <c r="G2043" i="111" s="1"/>
  <c r="H2043" i="111" s="1"/>
  <c r="I2043" i="111" s="1"/>
  <c r="H2040" i="111"/>
  <c r="I2040" i="111" s="1"/>
  <c r="G4299" i="111"/>
  <c r="H4299" i="111" s="1"/>
  <c r="I4299" i="111" s="1"/>
  <c r="H4292" i="111"/>
  <c r="I4292" i="111" s="1"/>
  <c r="G4294" i="111"/>
  <c r="G4295" i="111" s="1"/>
  <c r="G3759" i="111"/>
  <c r="H3757" i="111"/>
  <c r="I3757" i="111" s="1"/>
  <c r="H3761" i="111"/>
  <c r="I3761" i="111" s="1"/>
  <c r="G3763" i="111"/>
  <c r="G3682" i="111"/>
  <c r="H3682" i="111" s="1"/>
  <c r="I3682" i="111" s="1"/>
  <c r="H3680" i="111"/>
  <c r="I3680" i="111" s="1"/>
  <c r="G6316" i="111"/>
  <c r="G6317" i="111" s="1"/>
  <c r="H6317" i="111" s="1"/>
  <c r="I6317" i="111" s="1"/>
  <c r="H6314" i="111"/>
  <c r="I6314" i="111" s="1"/>
  <c r="H2058" i="111"/>
  <c r="I2058" i="111" s="1"/>
  <c r="H4323" i="111"/>
  <c r="I4323" i="111" s="1"/>
  <c r="G1368" i="111"/>
  <c r="H1368" i="111" s="1"/>
  <c r="I1368" i="111" s="1"/>
  <c r="H1351" i="111"/>
  <c r="I1351" i="111" s="1"/>
  <c r="G1353" i="111"/>
  <c r="H1353" i="111" s="1"/>
  <c r="I1353" i="111" s="1"/>
  <c r="G6238" i="111"/>
  <c r="H6238" i="111" s="1"/>
  <c r="I6238" i="111" s="1"/>
  <c r="G6246" i="111"/>
  <c r="H6246" i="111" s="1"/>
  <c r="I6246" i="111" s="1"/>
  <c r="H6236" i="111"/>
  <c r="I6236" i="111" s="1"/>
  <c r="H5582" i="111"/>
  <c r="I5582" i="111" s="1"/>
  <c r="H3384" i="111"/>
  <c r="I3384" i="111" s="1"/>
  <c r="H1855" i="111"/>
  <c r="I1855" i="111" s="1"/>
  <c r="G1857" i="111"/>
  <c r="H2873" i="111"/>
  <c r="I2873" i="111" s="1"/>
  <c r="I2920" i="111" s="1"/>
  <c r="G2920" i="111"/>
  <c r="H2519" i="111"/>
  <c r="I2519" i="111" s="1"/>
  <c r="G2521" i="111"/>
  <c r="H2521" i="111" s="1"/>
  <c r="I2521" i="111" s="1"/>
  <c r="H1576" i="111"/>
  <c r="I1576" i="111" s="1"/>
  <c r="H4298" i="111"/>
  <c r="I4298" i="111" s="1"/>
  <c r="H1960" i="111"/>
  <c r="I1960" i="111" s="1"/>
  <c r="G2438" i="111"/>
  <c r="H2438" i="111" s="1"/>
  <c r="I2438" i="111" s="1"/>
  <c r="H2436" i="111"/>
  <c r="I2436" i="111" s="1"/>
  <c r="G2604" i="111"/>
  <c r="H2602" i="111"/>
  <c r="I2602" i="111" s="1"/>
  <c r="H2409" i="111"/>
  <c r="I2409" i="111" s="1"/>
  <c r="H4464" i="111"/>
  <c r="I4464" i="111" s="1"/>
  <c r="G3925" i="111"/>
  <c r="H3923" i="111"/>
  <c r="I3923" i="111" s="1"/>
  <c r="H3688" i="111"/>
  <c r="I3688" i="111" s="1"/>
  <c r="H5187" i="111"/>
  <c r="I5187" i="111" s="1"/>
  <c r="G5189" i="111"/>
  <c r="G5190" i="111" s="1"/>
  <c r="H5190" i="111" s="1"/>
  <c r="I5190" i="111" s="1"/>
  <c r="H5186" i="111"/>
  <c r="I5186" i="111" s="1"/>
  <c r="H3352" i="111"/>
  <c r="I3352" i="111" s="1"/>
  <c r="G3354" i="111"/>
  <c r="H5038" i="111"/>
  <c r="I5038" i="111" s="1"/>
  <c r="G5040" i="111"/>
  <c r="H4395" i="111"/>
  <c r="I4395" i="111" s="1"/>
  <c r="G4397" i="111"/>
  <c r="G4398" i="111" s="1"/>
  <c r="H4398" i="111" s="1"/>
  <c r="I4398" i="111" s="1"/>
  <c r="H6492" i="111"/>
  <c r="I6492" i="111" s="1"/>
  <c r="G6494" i="111"/>
  <c r="H2079" i="111"/>
  <c r="I2079" i="111" s="1"/>
  <c r="G2081" i="111"/>
  <c r="G2082" i="111" s="1"/>
  <c r="H2082" i="111" s="1"/>
  <c r="I2082" i="111" s="1"/>
  <c r="H6349" i="111"/>
  <c r="I6349" i="111"/>
  <c r="H5116" i="111"/>
  <c r="I5116" i="111" s="1"/>
  <c r="G5118" i="111"/>
  <c r="H81" i="111"/>
  <c r="I81" i="111" s="1"/>
  <c r="H3387" i="111"/>
  <c r="I3387" i="111" s="1"/>
  <c r="H4690" i="111"/>
  <c r="I4690" i="111" s="1"/>
  <c r="G4692" i="111"/>
  <c r="G4693" i="111" s="1"/>
  <c r="H5916" i="111"/>
  <c r="I5916" i="111" s="1"/>
  <c r="G5918" i="111"/>
  <c r="H5918" i="111" s="1"/>
  <c r="I5918" i="111" s="1"/>
  <c r="G5921" i="111"/>
  <c r="H5921" i="111" s="1"/>
  <c r="I5921" i="111" s="1"/>
  <c r="H428" i="111"/>
  <c r="I428" i="111" s="1"/>
  <c r="H3822" i="111"/>
  <c r="I3822" i="111" s="1"/>
  <c r="G5423" i="111"/>
  <c r="G5424" i="111" s="1"/>
  <c r="H5424" i="111" s="1"/>
  <c r="I5424" i="111" s="1"/>
  <c r="H5421" i="111"/>
  <c r="I5421" i="111" s="1"/>
  <c r="H2752" i="111"/>
  <c r="I2752" i="111" s="1"/>
  <c r="G2754" i="111"/>
  <c r="H410" i="111"/>
  <c r="I410" i="111" s="1"/>
  <c r="H4724" i="111"/>
  <c r="I4724" i="111" s="1"/>
  <c r="G4726" i="111"/>
  <c r="H5788" i="111"/>
  <c r="I5788" i="111" s="1"/>
  <c r="G5790" i="111"/>
  <c r="G5791" i="111" s="1"/>
  <c r="H5791" i="111" s="1"/>
  <c r="I5791" i="111" s="1"/>
  <c r="H683" i="111"/>
  <c r="I683" i="111" s="1"/>
  <c r="H25" i="111"/>
  <c r="I25" i="111" s="1"/>
  <c r="G4379" i="111"/>
  <c r="G4380" i="111" s="1"/>
  <c r="H4377" i="111"/>
  <c r="I4377" i="111" s="1"/>
  <c r="G5110" i="111"/>
  <c r="G5111" i="111" s="1"/>
  <c r="H5111" i="111" s="1"/>
  <c r="I5111" i="111" s="1"/>
  <c r="H5108" i="111"/>
  <c r="I5108" i="111" s="1"/>
  <c r="G6172" i="111"/>
  <c r="H6170" i="111"/>
  <c r="I6170" i="111" s="1"/>
  <c r="H5313" i="111"/>
  <c r="I5313" i="111" s="1"/>
  <c r="G6020" i="111"/>
  <c r="G6021" i="111" s="1"/>
  <c r="H6021" i="111" s="1"/>
  <c r="I6021" i="111" s="1"/>
  <c r="H6018" i="111"/>
  <c r="I6018" i="111" s="1"/>
  <c r="H1051" i="111"/>
  <c r="I1051" i="111" s="1"/>
  <c r="G5224" i="111"/>
  <c r="H5222" i="111"/>
  <c r="I5222" i="111" s="1"/>
  <c r="H506" i="111"/>
  <c r="I506" i="111" s="1"/>
  <c r="H6098" i="111"/>
  <c r="I6098" i="111" s="1"/>
  <c r="G1055" i="111"/>
  <c r="H985" i="111"/>
  <c r="I985" i="111" s="1"/>
  <c r="I1055" i="111" s="1"/>
  <c r="G6056" i="111"/>
  <c r="H6017" i="111"/>
  <c r="I6017" i="111" s="1"/>
  <c r="G1560" i="111"/>
  <c r="H1560" i="111" s="1"/>
  <c r="I1560" i="111" s="1"/>
  <c r="G1562" i="111"/>
  <c r="H1531" i="111"/>
  <c r="I1531" i="111" s="1"/>
  <c r="H4526" i="111"/>
  <c r="I4526" i="111" s="1"/>
  <c r="H3795" i="111"/>
  <c r="I3795" i="111" s="1"/>
  <c r="H3932" i="111"/>
  <c r="I3932" i="111" s="1"/>
  <c r="H1073" i="111"/>
  <c r="I1073" i="111" s="1"/>
  <c r="G2729" i="111"/>
  <c r="H2729" i="111" s="1"/>
  <c r="I2729" i="111" s="1"/>
  <c r="H2727" i="111"/>
  <c r="I2727" i="111" s="1"/>
  <c r="G2740" i="111"/>
  <c r="H2740" i="111" s="1"/>
  <c r="I2740" i="111" s="1"/>
  <c r="H1795" i="111"/>
  <c r="I1795" i="111" s="1"/>
  <c r="H1716" i="111"/>
  <c r="H1774" i="111" s="1"/>
  <c r="G1774" i="111"/>
  <c r="H6117" i="111"/>
  <c r="I6117" i="111" s="1"/>
  <c r="H2882" i="111"/>
  <c r="I2882" i="111" s="1"/>
  <c r="H1197" i="111"/>
  <c r="I1197" i="111" s="1"/>
  <c r="H4883" i="111"/>
  <c r="I4883" i="111" s="1"/>
  <c r="G4896" i="111"/>
  <c r="H4896" i="111" s="1"/>
  <c r="I4896" i="111" s="1"/>
  <c r="G4885" i="111"/>
  <c r="G4367" i="111"/>
  <c r="H4367" i="111" s="1"/>
  <c r="I4367" i="111" s="1"/>
  <c r="H4365" i="111"/>
  <c r="I4365" i="111" s="1"/>
  <c r="G4384" i="111"/>
  <c r="H4384" i="111" s="1"/>
  <c r="I4384" i="111" s="1"/>
  <c r="H311" i="111"/>
  <c r="I311" i="111" s="1"/>
  <c r="H3376" i="111"/>
  <c r="I3376" i="111" s="1"/>
  <c r="G3378" i="111"/>
  <c r="H3378" i="111" s="1"/>
  <c r="I3378" i="111" s="1"/>
  <c r="H526" i="111"/>
  <c r="I526" i="111" s="1"/>
  <c r="G4807" i="111"/>
  <c r="H4807" i="111" s="1"/>
  <c r="I4807" i="111" s="1"/>
  <c r="H4805" i="111"/>
  <c r="I4805" i="111" s="1"/>
  <c r="H442" i="111"/>
  <c r="I442" i="111" s="1"/>
  <c r="G444" i="111"/>
  <c r="H5511" i="111"/>
  <c r="I5511" i="111" s="1"/>
  <c r="G2422" i="111"/>
  <c r="H2420" i="111"/>
  <c r="I2420" i="111" s="1"/>
  <c r="H3312" i="111"/>
  <c r="I3312" i="111" s="1"/>
  <c r="G5553" i="111"/>
  <c r="H5502" i="111"/>
  <c r="H5553" i="111" s="1"/>
  <c r="G969" i="111"/>
  <c r="H967" i="111"/>
  <c r="I967" i="111" s="1"/>
  <c r="G77" i="111"/>
  <c r="G78" i="111" s="1"/>
  <c r="H75" i="111"/>
  <c r="I75" i="111" s="1"/>
  <c r="G6540" i="111"/>
  <c r="H6540" i="111" s="1"/>
  <c r="I6540" i="111" s="1"/>
  <c r="H6538" i="111"/>
  <c r="I6538" i="111" s="1"/>
  <c r="H945" i="111"/>
  <c r="I945" i="111" s="1"/>
  <c r="H6101" i="111"/>
  <c r="I6101" i="111" s="1"/>
  <c r="H5191" i="111"/>
  <c r="I5191" i="111" s="1"/>
  <c r="G5211" i="111"/>
  <c r="H5211" i="111" s="1"/>
  <c r="I5211" i="111" s="1"/>
  <c r="G5193" i="111"/>
  <c r="H5193" i="111" s="1"/>
  <c r="I5193" i="111" s="1"/>
  <c r="H327" i="111"/>
  <c r="I327" i="111" s="1"/>
  <c r="G4544" i="111"/>
  <c r="H4544" i="111" s="1"/>
  <c r="I4544" i="111" s="1"/>
  <c r="H4542" i="111"/>
  <c r="I4542" i="111" s="1"/>
  <c r="G4546" i="111"/>
  <c r="H4546" i="111" s="1"/>
  <c r="I4546" i="111" s="1"/>
  <c r="G4240" i="111"/>
  <c r="H4161" i="111"/>
  <c r="G614" i="111"/>
  <c r="H614" i="111" s="1"/>
  <c r="I614" i="111" s="1"/>
  <c r="G626" i="111"/>
  <c r="H626" i="111" s="1"/>
  <c r="I626" i="111" s="1"/>
  <c r="H612" i="111"/>
  <c r="I612" i="111" s="1"/>
  <c r="G1200" i="111"/>
  <c r="H1200" i="111" s="1"/>
  <c r="I1200" i="111" s="1"/>
  <c r="G1186" i="111"/>
  <c r="H1186" i="111" s="1"/>
  <c r="I1186" i="111" s="1"/>
  <c r="H1184" i="111"/>
  <c r="I1184" i="111" s="1"/>
  <c r="H1188" i="111"/>
  <c r="I1188" i="111" s="1"/>
  <c r="G1190" i="111"/>
  <c r="H1347" i="111"/>
  <c r="I1347" i="111" s="1"/>
  <c r="G1349" i="111"/>
  <c r="G1350" i="111" s="1"/>
  <c r="H1350" i="111" s="1"/>
  <c r="I1350" i="111" s="1"/>
  <c r="G717" i="111"/>
  <c r="G718" i="111" s="1"/>
  <c r="H715" i="111"/>
  <c r="I715" i="111" s="1"/>
  <c r="H389" i="111"/>
  <c r="I389" i="111" s="1"/>
  <c r="H587" i="111"/>
  <c r="I587" i="111" s="1"/>
  <c r="H1427" i="111"/>
  <c r="I1427" i="111" s="1"/>
  <c r="G2019" i="111"/>
  <c r="H2019" i="111" s="1"/>
  <c r="I2019" i="111" s="1"/>
  <c r="H2017" i="111"/>
  <c r="I2017" i="111" s="1"/>
  <c r="H110" i="111"/>
  <c r="I110" i="111" s="1"/>
  <c r="H2412" i="111"/>
  <c r="I2412" i="111" s="1"/>
  <c r="H116" i="111"/>
  <c r="I116" i="111" s="1"/>
  <c r="H785" i="111"/>
  <c r="I785" i="111" s="1"/>
  <c r="H1064" i="111"/>
  <c r="I1064" i="111" s="1"/>
  <c r="G1066" i="111"/>
  <c r="G1067" i="111" s="1"/>
  <c r="H1067" i="111" s="1"/>
  <c r="I1067" i="111" s="1"/>
  <c r="G767" i="111"/>
  <c r="H767" i="111" s="1"/>
  <c r="I767" i="111" s="1"/>
  <c r="H763" i="111"/>
  <c r="I763" i="111" s="1"/>
  <c r="G765" i="111"/>
  <c r="H765" i="111" s="1"/>
  <c r="I765" i="111" s="1"/>
  <c r="H3753" i="111"/>
  <c r="I3753" i="111" s="1"/>
  <c r="G3755" i="111"/>
  <c r="G3803" i="111"/>
  <c r="H3803" i="111" s="1"/>
  <c r="I3803" i="111" s="1"/>
  <c r="H2066" i="111"/>
  <c r="I2066" i="111" s="1"/>
  <c r="H3548" i="111"/>
  <c r="I3548" i="111" s="1"/>
  <c r="G3550" i="111"/>
  <c r="H2972" i="111"/>
  <c r="I2972" i="111" s="1"/>
  <c r="G2974" i="111"/>
  <c r="G3002" i="111"/>
  <c r="H3002" i="111" s="1"/>
  <c r="I3002" i="111" s="1"/>
  <c r="H3364" i="111"/>
  <c r="I3364" i="111" s="1"/>
  <c r="G3366" i="111"/>
  <c r="H6356" i="111"/>
  <c r="I6356" i="111" s="1"/>
  <c r="H1800" i="111"/>
  <c r="I1800" i="111" s="1"/>
  <c r="H6563" i="111"/>
  <c r="I6563" i="111" s="1"/>
  <c r="H3649" i="111"/>
  <c r="I3649" i="111" s="1"/>
  <c r="H1608" i="111"/>
  <c r="I1608" i="111" s="1"/>
  <c r="H4341" i="111"/>
  <c r="I4341" i="111" s="1"/>
  <c r="H1532" i="111"/>
  <c r="I1532" i="111" s="1"/>
  <c r="G1534" i="111"/>
  <c r="H2797" i="111"/>
  <c r="I2797" i="111" s="1"/>
  <c r="G4811" i="111"/>
  <c r="H4811" i="111" s="1"/>
  <c r="I4811" i="111" s="1"/>
  <c r="H4809" i="111"/>
  <c r="I4809" i="111" s="1"/>
  <c r="G4468" i="111"/>
  <c r="G4469" i="111" s="1"/>
  <c r="H4466" i="111"/>
  <c r="I4466" i="111" s="1"/>
  <c r="H2889" i="111"/>
  <c r="I2889" i="111" s="1"/>
  <c r="G5491" i="111"/>
  <c r="H5491" i="111" s="1"/>
  <c r="I5491" i="111" s="1"/>
  <c r="G5477" i="111"/>
  <c r="H5477" i="111" s="1"/>
  <c r="I5477" i="111" s="1"/>
  <c r="H5475" i="111"/>
  <c r="I5475" i="111" s="1"/>
  <c r="H2758" i="111"/>
  <c r="I2758" i="111" s="1"/>
  <c r="G3015" i="111"/>
  <c r="G3016" i="111" s="1"/>
  <c r="H3013" i="111"/>
  <c r="I3013" i="111" s="1"/>
  <c r="H6680" i="111"/>
  <c r="I6680" i="111" s="1"/>
  <c r="G6682" i="111"/>
  <c r="H6682" i="111" s="1"/>
  <c r="I6682" i="111" s="1"/>
  <c r="G3160" i="111"/>
  <c r="H3158" i="111"/>
  <c r="I3158" i="111" s="1"/>
  <c r="G3184" i="111"/>
  <c r="H3184" i="111" s="1"/>
  <c r="I3184" i="111" s="1"/>
  <c r="G559" i="111"/>
  <c r="G560" i="111" s="1"/>
  <c r="H560" i="111" s="1"/>
  <c r="I560" i="111" s="1"/>
  <c r="H557" i="111"/>
  <c r="I557" i="111" s="1"/>
  <c r="H6065" i="111"/>
  <c r="I6065" i="111" s="1"/>
  <c r="G6067" i="111"/>
  <c r="G2326" i="111"/>
  <c r="H2326" i="111" s="1"/>
  <c r="I2326" i="111" s="1"/>
  <c r="H2324" i="111"/>
  <c r="I2324" i="111" s="1"/>
  <c r="G2349" i="111"/>
  <c r="H2349" i="111" s="1"/>
  <c r="I2349" i="111" s="1"/>
  <c r="H4525" i="111"/>
  <c r="I4525" i="111" s="1"/>
  <c r="H6076" i="111"/>
  <c r="I6076" i="111" s="1"/>
  <c r="G629" i="111"/>
  <c r="H556" i="111"/>
  <c r="I556" i="111" s="1"/>
  <c r="I629" i="111" s="1"/>
  <c r="H3944" i="111"/>
  <c r="I3944" i="111" s="1"/>
  <c r="G3946" i="111"/>
  <c r="G3947" i="111" s="1"/>
  <c r="H5772" i="111"/>
  <c r="I5772" i="111" s="1"/>
  <c r="H1097" i="111"/>
  <c r="I1097" i="111" s="1"/>
  <c r="H4296" i="111"/>
  <c r="I4296" i="111" s="1"/>
  <c r="H4756" i="111"/>
  <c r="I4756" i="111" s="1"/>
  <c r="G1261" i="111"/>
  <c r="G1262" i="111" s="1"/>
  <c r="H1262" i="111" s="1"/>
  <c r="I1262" i="111" s="1"/>
  <c r="H1259" i="111"/>
  <c r="I1259" i="111" s="1"/>
  <c r="H5854" i="111"/>
  <c r="I5854" i="111" s="1"/>
  <c r="G5856" i="111"/>
  <c r="H3990" i="111"/>
  <c r="I3990" i="111" s="1"/>
  <c r="H4412" i="111"/>
  <c r="I4412" i="111" s="1"/>
  <c r="G4414" i="111"/>
  <c r="G4415" i="111" s="1"/>
  <c r="H5001" i="111"/>
  <c r="I5001" i="111" s="1"/>
  <c r="H5487" i="111"/>
  <c r="I5487" i="111" s="1"/>
  <c r="G5489" i="111"/>
  <c r="H5489" i="111" s="1"/>
  <c r="I5489" i="111" s="1"/>
  <c r="G5923" i="111"/>
  <c r="H5884" i="111"/>
  <c r="H5923" i="111" s="1"/>
  <c r="G367" i="111"/>
  <c r="H365" i="111"/>
  <c r="I365" i="111" s="1"/>
  <c r="G6536" i="111"/>
  <c r="H6534" i="111"/>
  <c r="I6534" i="111" s="1"/>
  <c r="G6543" i="111"/>
  <c r="H6543" i="111" s="1"/>
  <c r="I6543" i="111" s="1"/>
  <c r="H6435" i="111"/>
  <c r="I6435" i="111" s="1"/>
  <c r="G478" i="111"/>
  <c r="G479" i="111" s="1"/>
  <c r="H479" i="111" s="1"/>
  <c r="I479" i="111" s="1"/>
  <c r="H476" i="111"/>
  <c r="I476" i="111" s="1"/>
  <c r="H5342" i="111"/>
  <c r="I5342" i="111" s="1"/>
  <c r="G5344" i="111"/>
  <c r="H5344" i="111" s="1"/>
  <c r="I5344" i="111" s="1"/>
  <c r="G5369" i="111"/>
  <c r="H5369" i="111" s="1"/>
  <c r="I5369" i="111" s="1"/>
  <c r="H287" i="111"/>
  <c r="I287" i="111" s="1"/>
  <c r="G5063" i="111"/>
  <c r="G5064" i="111" s="1"/>
  <c r="H5061" i="111"/>
  <c r="I5061" i="111" s="1"/>
  <c r="G3588" i="111"/>
  <c r="H3588" i="111" s="1"/>
  <c r="I3588" i="111" s="1"/>
  <c r="H3586" i="111"/>
  <c r="I3586" i="111" s="1"/>
  <c r="G3592" i="111"/>
  <c r="H3592" i="111" s="1"/>
  <c r="I3592" i="111" s="1"/>
  <c r="G1951" i="111"/>
  <c r="H1949" i="111"/>
  <c r="I1949" i="111" s="1"/>
  <c r="H3603" i="111"/>
  <c r="I3603" i="111" s="1"/>
  <c r="G3605" i="111"/>
  <c r="G3606" i="111" s="1"/>
  <c r="G1285" i="111"/>
  <c r="H1285" i="111" s="1"/>
  <c r="I1285" i="111" s="1"/>
  <c r="H1283" i="111"/>
  <c r="I1283" i="111" s="1"/>
  <c r="G5052" i="111"/>
  <c r="H4980" i="111"/>
  <c r="G1622" i="111"/>
  <c r="H1622" i="111" s="1"/>
  <c r="I1622" i="111" s="1"/>
  <c r="H1620" i="111"/>
  <c r="I1620" i="111" s="1"/>
  <c r="G1631" i="111"/>
  <c r="H1631" i="111" s="1"/>
  <c r="I1631" i="111" s="1"/>
  <c r="H1827" i="111"/>
  <c r="I1827" i="111" s="1"/>
  <c r="G1829" i="111"/>
  <c r="G1830" i="111" s="1"/>
  <c r="H2231" i="111"/>
  <c r="I2231" i="111" s="1"/>
  <c r="H1180" i="111"/>
  <c r="I1180" i="111" s="1"/>
  <c r="G1182" i="111"/>
  <c r="G1183" i="111" s="1"/>
  <c r="H1183" i="111" s="1"/>
  <c r="I1183" i="111" s="1"/>
  <c r="H679" i="111"/>
  <c r="I679" i="111" s="1"/>
  <c r="H2165" i="111"/>
  <c r="I2165" i="111" s="1"/>
  <c r="G2167" i="111"/>
  <c r="G4164" i="111"/>
  <c r="G4165" i="111" s="1"/>
  <c r="H4165" i="111" s="1"/>
  <c r="I4165" i="111" s="1"/>
  <c r="H4162" i="111"/>
  <c r="I4162" i="111" s="1"/>
  <c r="H1606" i="111"/>
  <c r="I1606" i="111" s="1"/>
  <c r="H2370" i="111"/>
  <c r="I2370" i="111" s="1"/>
  <c r="G4386" i="111"/>
  <c r="H4310" i="111"/>
  <c r="I4310" i="111" s="1"/>
  <c r="I4386" i="111" s="1"/>
  <c r="G3686" i="111"/>
  <c r="H3686" i="111" s="1"/>
  <c r="I3686" i="111" s="1"/>
  <c r="H3684" i="111"/>
  <c r="I3684" i="111" s="1"/>
  <c r="G2743" i="111"/>
  <c r="H2675" i="111"/>
  <c r="H4086" i="111"/>
  <c r="G4153" i="111"/>
  <c r="G1474" i="111"/>
  <c r="H1378" i="111"/>
  <c r="G4375" i="111"/>
  <c r="H4375" i="111" s="1"/>
  <c r="I4375" i="111" s="1"/>
  <c r="H4373" i="111"/>
  <c r="I4373" i="111" s="1"/>
  <c r="G66" i="111"/>
  <c r="H4" i="111"/>
  <c r="H66" i="111" s="1"/>
  <c r="H2764" i="111"/>
  <c r="I2764" i="111" s="1"/>
  <c r="H5770" i="111"/>
  <c r="I5770" i="111" s="1"/>
  <c r="H1688" i="111"/>
  <c r="I1688" i="111" s="1"/>
  <c r="H2471" i="111"/>
  <c r="I2471" i="111" s="1"/>
  <c r="H1973" i="111"/>
  <c r="I1973" i="111" s="1"/>
  <c r="H83" i="111"/>
  <c r="I83" i="111" s="1"/>
  <c r="G1103" i="111"/>
  <c r="G1104" i="111" s="1"/>
  <c r="H1104" i="111" s="1"/>
  <c r="H1101" i="111"/>
  <c r="I1101" i="111" s="1"/>
  <c r="G5412" i="111"/>
  <c r="H5379" i="111"/>
  <c r="H2091" i="111"/>
  <c r="I2091" i="111" s="1"/>
  <c r="G2093" i="111"/>
  <c r="H2093" i="111" s="1"/>
  <c r="I2093" i="111" s="1"/>
  <c r="H5143" i="111"/>
  <c r="H5213" i="111" s="1"/>
  <c r="G5213" i="111"/>
  <c r="G4666" i="111"/>
  <c r="G4667" i="111" s="1"/>
  <c r="H4664" i="111"/>
  <c r="I4664" i="111" s="1"/>
  <c r="G3695" i="111"/>
  <c r="H3602" i="111"/>
  <c r="H6518" i="111"/>
  <c r="I6518" i="111" s="1"/>
  <c r="H1854" i="111"/>
  <c r="H1940" i="111" s="1"/>
  <c r="G1940" i="111"/>
  <c r="H2938" i="111"/>
  <c r="I2938" i="111" s="1"/>
  <c r="H2372" i="111"/>
  <c r="I2372" i="111" s="1"/>
  <c r="G5974" i="111"/>
  <c r="G5975" i="111" s="1"/>
  <c r="H5975" i="111" s="1"/>
  <c r="I5975" i="111" s="1"/>
  <c r="H5972" i="111"/>
  <c r="I5972" i="111" s="1"/>
  <c r="H3324" i="111"/>
  <c r="I3324" i="111" s="1"/>
  <c r="G3326" i="111"/>
  <c r="H3326" i="111" s="1"/>
  <c r="I3326" i="111" s="1"/>
  <c r="H1757" i="111"/>
  <c r="I1757" i="111" s="1"/>
  <c r="G1759" i="111"/>
  <c r="G2430" i="111"/>
  <c r="H2430" i="111" s="1"/>
  <c r="I2430" i="111" s="1"/>
  <c r="H2428" i="111"/>
  <c r="I2428" i="111" s="1"/>
  <c r="H3000" i="111"/>
  <c r="I3000" i="111" s="1"/>
  <c r="G2656" i="111"/>
  <c r="H2656" i="111" s="1"/>
  <c r="I2656" i="111" s="1"/>
  <c r="H2654" i="111"/>
  <c r="I2654" i="111" s="1"/>
  <c r="H2076" i="111"/>
  <c r="I2076" i="111" s="1"/>
  <c r="H3668" i="111"/>
  <c r="I3668" i="111" s="1"/>
  <c r="G3670" i="111"/>
  <c r="G3692" i="111"/>
  <c r="H3692" i="111" s="1"/>
  <c r="I3692" i="111" s="1"/>
  <c r="H3301" i="111"/>
  <c r="I3301" i="111" s="1"/>
  <c r="H4840" i="111"/>
  <c r="I4840" i="111" s="1"/>
  <c r="G4842" i="111"/>
  <c r="G4843" i="111" s="1"/>
  <c r="H2687" i="111"/>
  <c r="I2687" i="111" s="1"/>
  <c r="H5026" i="111"/>
  <c r="I5026" i="111" s="1"/>
  <c r="H5112" i="111"/>
  <c r="I5112" i="111" s="1"/>
  <c r="G5114" i="111"/>
  <c r="G5132" i="111"/>
  <c r="H5132" i="111" s="1"/>
  <c r="I5132" i="111" s="1"/>
  <c r="H898" i="111"/>
  <c r="I898" i="111" s="1"/>
  <c r="H4087" i="111"/>
  <c r="I4087" i="111" s="1"/>
  <c r="G4089" i="111"/>
  <c r="G6639" i="111"/>
  <c r="H6637" i="111"/>
  <c r="I6637" i="111" s="1"/>
  <c r="H4558" i="111"/>
  <c r="I4558" i="111" s="1"/>
  <c r="G4560" i="111"/>
  <c r="G5876" i="111"/>
  <c r="H5803" i="111"/>
  <c r="H4769" i="111"/>
  <c r="I4769" i="111" s="1"/>
  <c r="G3876" i="111"/>
  <c r="H3876" i="111" s="1"/>
  <c r="I3876" i="111" s="1"/>
  <c r="H3874" i="111"/>
  <c r="I3874" i="111" s="1"/>
  <c r="G6190" i="111"/>
  <c r="H6188" i="111"/>
  <c r="I6188" i="111" s="1"/>
  <c r="G5410" i="111"/>
  <c r="H5410" i="111" s="1"/>
  <c r="I5410" i="111" s="1"/>
  <c r="H5405" i="111"/>
  <c r="I5405" i="111" s="1"/>
  <c r="G5407" i="111"/>
  <c r="G5408" i="111" s="1"/>
  <c r="G3537" i="111"/>
  <c r="H3537" i="111" s="1"/>
  <c r="I3537" i="111" s="1"/>
  <c r="H3497" i="111"/>
  <c r="I3497" i="111" s="1"/>
  <c r="G3499" i="111"/>
  <c r="H3499" i="111" s="1"/>
  <c r="I3499" i="111" s="1"/>
  <c r="H4416" i="111"/>
  <c r="I4416" i="111" s="1"/>
  <c r="G4417" i="111"/>
  <c r="H4417" i="111" s="1"/>
  <c r="I4417" i="111" s="1"/>
  <c r="G5485" i="111"/>
  <c r="H5485" i="111" s="1"/>
  <c r="I5485" i="111" s="1"/>
  <c r="H5483" i="111"/>
  <c r="I5483" i="111" s="1"/>
  <c r="H6369" i="111"/>
  <c r="I6369" i="111" s="1"/>
  <c r="G6380" i="111"/>
  <c r="H6380" i="111" s="1"/>
  <c r="I6380" i="111" s="1"/>
  <c r="G6371" i="111"/>
  <c r="H6371" i="111" s="1"/>
  <c r="I6371" i="111" s="1"/>
  <c r="H1979" i="111"/>
  <c r="I1979" i="111" s="1"/>
  <c r="H899" i="111"/>
  <c r="I899" i="111" s="1"/>
  <c r="G901" i="111"/>
  <c r="H5537" i="111"/>
  <c r="I5537" i="111" s="1"/>
  <c r="G4681" i="111"/>
  <c r="H4635" i="111"/>
  <c r="I4635" i="111" s="1"/>
  <c r="I4681" i="111" s="1"/>
  <c r="H4784" i="111"/>
  <c r="I4784" i="111" s="1"/>
  <c r="H5792" i="111"/>
  <c r="I5792" i="111" s="1"/>
  <c r="G5793" i="111"/>
  <c r="H5793" i="111" s="1"/>
  <c r="I5793" i="111" s="1"/>
  <c r="H850" i="111"/>
  <c r="I850" i="111" s="1"/>
  <c r="H509" i="111"/>
  <c r="I509" i="111" s="1"/>
  <c r="H5739" i="111"/>
  <c r="I5739" i="111" s="1"/>
  <c r="G988" i="111"/>
  <c r="G989" i="111" s="1"/>
  <c r="H986" i="111"/>
  <c r="I986" i="111" s="1"/>
  <c r="G4819" i="111"/>
  <c r="H4819" i="111" s="1"/>
  <c r="I4819" i="111" s="1"/>
  <c r="H4817" i="111"/>
  <c r="I4817" i="111" s="1"/>
  <c r="H6114" i="111"/>
  <c r="I6114" i="111" s="1"/>
  <c r="G3176" i="111"/>
  <c r="H3176" i="111" s="1"/>
  <c r="I3176" i="111" s="1"/>
  <c r="H3174" i="111"/>
  <c r="I3174" i="111" s="1"/>
  <c r="G2876" i="111"/>
  <c r="G2877" i="111" s="1"/>
  <c r="H2877" i="111" s="1"/>
  <c r="I2877" i="111" s="1"/>
  <c r="H2874" i="111"/>
  <c r="I2874" i="111" s="1"/>
  <c r="H4000" i="111"/>
  <c r="I4000" i="111" s="1"/>
  <c r="G4013" i="111"/>
  <c r="H4013" i="111" s="1"/>
  <c r="I4013" i="111" s="1"/>
  <c r="G4002" i="111"/>
  <c r="H4410" i="111"/>
  <c r="I4410" i="111" s="1"/>
  <c r="H890" i="111"/>
  <c r="I890" i="111" s="1"/>
  <c r="H3785" i="111"/>
  <c r="I3785" i="111" s="1"/>
  <c r="G3787" i="111"/>
  <c r="H5815" i="111"/>
  <c r="I5815" i="111" s="1"/>
  <c r="H376" i="111"/>
  <c r="I376" i="111" s="1"/>
  <c r="H714" i="111"/>
  <c r="H770" i="111" s="1"/>
  <c r="G770" i="111"/>
  <c r="H499" i="111"/>
  <c r="I499" i="111" s="1"/>
  <c r="H1302" i="111"/>
  <c r="I1302" i="111" s="1"/>
  <c r="G1304" i="111"/>
  <c r="G2238" i="111"/>
  <c r="H2236" i="111"/>
  <c r="I2236" i="111" s="1"/>
  <c r="G2863" i="111"/>
  <c r="H2863" i="111" s="1"/>
  <c r="I2863" i="111" s="1"/>
  <c r="H2858" i="111"/>
  <c r="I2858" i="111" s="1"/>
  <c r="G2860" i="111"/>
  <c r="G2861" i="111" s="1"/>
  <c r="H2861" i="111" s="1"/>
  <c r="I2861" i="111" s="1"/>
  <c r="H5144" i="111"/>
  <c r="I5144" i="111" s="1"/>
  <c r="G5146" i="111"/>
  <c r="G5147" i="111" s="1"/>
  <c r="H5147" i="111" s="1"/>
  <c r="I5147" i="111" s="1"/>
  <c r="H2825" i="111"/>
  <c r="I2825" i="111" s="1"/>
  <c r="H2816" i="111"/>
  <c r="I2816" i="111" s="1"/>
  <c r="G2818" i="111"/>
  <c r="H1063" i="111"/>
  <c r="H1113" i="111" s="1"/>
  <c r="G1113" i="111"/>
  <c r="H424" i="111"/>
  <c r="I424" i="111" s="1"/>
  <c r="G426" i="111"/>
  <c r="H589" i="111"/>
  <c r="I589" i="111" s="1"/>
  <c r="G6234" i="111"/>
  <c r="G6235" i="111" s="1"/>
  <c r="H6235" i="111" s="1"/>
  <c r="H6232" i="111"/>
  <c r="I6232" i="111" s="1"/>
  <c r="G313" i="111"/>
  <c r="H249" i="111"/>
  <c r="H2500" i="111"/>
  <c r="I2500" i="111" s="1"/>
  <c r="H951" i="111"/>
  <c r="I951" i="111" s="1"/>
  <c r="H3866" i="111"/>
  <c r="I3866" i="111" s="1"/>
  <c r="G3868" i="111"/>
  <c r="H1512" i="111"/>
  <c r="I1512" i="111" s="1"/>
  <c r="H265" i="111"/>
  <c r="I265" i="111" s="1"/>
  <c r="G324" i="111"/>
  <c r="G325" i="111" s="1"/>
  <c r="H322" i="111"/>
  <c r="I322" i="111" s="1"/>
  <c r="H3102" i="111"/>
  <c r="I3102" i="111" s="1"/>
  <c r="H5269" i="111"/>
  <c r="I5269" i="111" s="1"/>
  <c r="G5274" i="111"/>
  <c r="H5274" i="111" s="1"/>
  <c r="I5274" i="111" s="1"/>
  <c r="G5271" i="111"/>
  <c r="H2013" i="111"/>
  <c r="I2013" i="111" s="1"/>
  <c r="G2015" i="111"/>
  <c r="H2015" i="111" s="1"/>
  <c r="I2015" i="111" s="1"/>
  <c r="H4797" i="111"/>
  <c r="I4797" i="111" s="1"/>
  <c r="G4799" i="111"/>
  <c r="H4799" i="111" s="1"/>
  <c r="I4799" i="111" s="1"/>
  <c r="G4829" i="111"/>
  <c r="H4829" i="111" s="1"/>
  <c r="I4829" i="111" s="1"/>
  <c r="H2676" i="111"/>
  <c r="I2676" i="111" s="1"/>
  <c r="G2678" i="111"/>
  <c r="H2005" i="111"/>
  <c r="I2005" i="111" s="1"/>
  <c r="G2007" i="111"/>
  <c r="G2008" i="111" s="1"/>
  <c r="H2008" i="111" s="1"/>
  <c r="I2008" i="111" s="1"/>
  <c r="H3194" i="111"/>
  <c r="G3251" i="111"/>
  <c r="G5675" i="111"/>
  <c r="G5676" i="111" s="1"/>
  <c r="H5676" i="111" s="1"/>
  <c r="I5676" i="111" s="1"/>
  <c r="H5673" i="111"/>
  <c r="I5673" i="111" s="1"/>
  <c r="H4069" i="111"/>
  <c r="I4069" i="111" s="1"/>
  <c r="G4071" i="111"/>
  <c r="G4076" i="111"/>
  <c r="H4076" i="111" s="1"/>
  <c r="I4076" i="111" s="1"/>
  <c r="G6305" i="111"/>
  <c r="H6256" i="111"/>
  <c r="G6303" i="111"/>
  <c r="H6303" i="111" s="1"/>
  <c r="I6303" i="111" s="1"/>
  <c r="H1884" i="111"/>
  <c r="I1884" i="111" s="1"/>
  <c r="G3666" i="111"/>
  <c r="G3667" i="111" s="1"/>
  <c r="H3667" i="111" s="1"/>
  <c r="I3667" i="111" s="1"/>
  <c r="H3664" i="111"/>
  <c r="I3664" i="111" s="1"/>
  <c r="H1388" i="111"/>
  <c r="I1388" i="111" s="1"/>
  <c r="H3851" i="111"/>
  <c r="I3851" i="111" s="1"/>
  <c r="G3805" i="111"/>
  <c r="H3703" i="111"/>
  <c r="G1938" i="111"/>
  <c r="H1938" i="111" s="1"/>
  <c r="I1938" i="111" s="1"/>
  <c r="H1913" i="111"/>
  <c r="I1913" i="111" s="1"/>
  <c r="G1915" i="111"/>
  <c r="H1915" i="111" s="1"/>
  <c r="I1915" i="111" s="1"/>
  <c r="H2515" i="111"/>
  <c r="I2515" i="111" s="1"/>
  <c r="G2517" i="111"/>
  <c r="H2517" i="111" s="1"/>
  <c r="I2517" i="111" s="1"/>
  <c r="G3061" i="111"/>
  <c r="G3062" i="111" s="1"/>
  <c r="H3062" i="111" s="1"/>
  <c r="I3062" i="111" s="1"/>
  <c r="H3059" i="111"/>
  <c r="I3059" i="111" s="1"/>
  <c r="G3074" i="111"/>
  <c r="H3074" i="111" s="1"/>
  <c r="I3074" i="111" s="1"/>
  <c r="H4611" i="111"/>
  <c r="I4611" i="111" s="1"/>
  <c r="G4613" i="111"/>
  <c r="G4624" i="111"/>
  <c r="H4624" i="111" s="1"/>
  <c r="I4624" i="111" s="1"/>
  <c r="G5206" i="111"/>
  <c r="H5204" i="111"/>
  <c r="I5204" i="111" s="1"/>
  <c r="G6483" i="111"/>
  <c r="H6390" i="111"/>
  <c r="H3663" i="111"/>
  <c r="I3663" i="111" s="1"/>
  <c r="H5625" i="111"/>
  <c r="H5697" i="111" s="1"/>
  <c r="G5697" i="111"/>
  <c r="H6491" i="111"/>
  <c r="I6491" i="111" s="1"/>
  <c r="I6546" i="111" s="1"/>
  <c r="G6546" i="111"/>
  <c r="G3779" i="111"/>
  <c r="H3779" i="111" s="1"/>
  <c r="I3779" i="111" s="1"/>
  <c r="H3777" i="111"/>
  <c r="I3777" i="111" s="1"/>
  <c r="H5254" i="111"/>
  <c r="I5254" i="111" s="1"/>
  <c r="H5932" i="111"/>
  <c r="I5932" i="111" s="1"/>
  <c r="G5934" i="111"/>
  <c r="H5862" i="111"/>
  <c r="I5862" i="111" s="1"/>
  <c r="G5864" i="111"/>
  <c r="H5864" i="111" s="1"/>
  <c r="I5864" i="111" s="1"/>
  <c r="H5400" i="111"/>
  <c r="I5400" i="111" s="1"/>
  <c r="H1994" i="111"/>
  <c r="I1994" i="111" s="1"/>
  <c r="H6618" i="111"/>
  <c r="I6618" i="111" s="1"/>
  <c r="G6620" i="111"/>
  <c r="H6620" i="111" s="1"/>
  <c r="I6620" i="111" s="1"/>
  <c r="H4593" i="111"/>
  <c r="I4593" i="111" s="1"/>
  <c r="H2815" i="111"/>
  <c r="H2865" i="111" s="1"/>
  <c r="G2865" i="111"/>
  <c r="H4659" i="111"/>
  <c r="I4659" i="111" s="1"/>
  <c r="H4505" i="111"/>
  <c r="I4505" i="111" s="1"/>
  <c r="H4024" i="111"/>
  <c r="I4024" i="111" s="1"/>
  <c r="I4078" i="111" s="1"/>
  <c r="G4078" i="111"/>
  <c r="H5912" i="111"/>
  <c r="I5912" i="111" s="1"/>
  <c r="G5914" i="111"/>
  <c r="G5915" i="111" s="1"/>
  <c r="H5915" i="111" s="1"/>
  <c r="I5915" i="111" s="1"/>
  <c r="G6557" i="111"/>
  <c r="G6558" i="111" s="1"/>
  <c r="H6558" i="111" s="1"/>
  <c r="I6558" i="111" s="1"/>
  <c r="H6555" i="111"/>
  <c r="I6555" i="111" s="1"/>
  <c r="H6561" i="111"/>
  <c r="I6561" i="111" s="1"/>
  <c r="H336" i="111"/>
  <c r="I336" i="111" s="1"/>
  <c r="H5743" i="111"/>
  <c r="I5743" i="111" s="1"/>
  <c r="H4458" i="111"/>
  <c r="I4458" i="111" s="1"/>
  <c r="H6391" i="111"/>
  <c r="I6391" i="111" s="1"/>
  <c r="G6393" i="111"/>
  <c r="G6394" i="111" s="1"/>
  <c r="H6394" i="111" s="1"/>
  <c r="I6394" i="111" s="1"/>
  <c r="H1794" i="111"/>
  <c r="I1794" i="111" s="1"/>
  <c r="G5746" i="111"/>
  <c r="H5744" i="111"/>
  <c r="I5744" i="111" s="1"/>
  <c r="H1134" i="111"/>
  <c r="I1134" i="111" s="1"/>
  <c r="H134" i="111"/>
  <c r="I134" i="111" s="1"/>
  <c r="H1592" i="111"/>
  <c r="I1592" i="111" s="1"/>
  <c r="G2163" i="111"/>
  <c r="G2169" i="111"/>
  <c r="H2161" i="111"/>
  <c r="I2161" i="111" s="1"/>
  <c r="H4717" i="111"/>
  <c r="I4717" i="111" s="1"/>
  <c r="H3534" i="111"/>
  <c r="I3534" i="111" s="1"/>
  <c r="H2547" i="111"/>
  <c r="I2547" i="111" s="1"/>
  <c r="H2440" i="111"/>
  <c r="I2440" i="111" s="1"/>
  <c r="G2442" i="111"/>
  <c r="H2442" i="111" s="1"/>
  <c r="I2442" i="111" s="1"/>
  <c r="H1614" i="111"/>
  <c r="I1614" i="111" s="1"/>
  <c r="H3426" i="111"/>
  <c r="I3426" i="111" s="1"/>
  <c r="H178" i="111"/>
  <c r="I178" i="111" s="1"/>
  <c r="G180" i="111"/>
  <c r="H1917" i="111"/>
  <c r="I1917" i="111" s="1"/>
  <c r="G1919" i="111"/>
  <c r="H1919" i="111" s="1"/>
  <c r="I1919" i="111" s="1"/>
  <c r="H3047" i="111"/>
  <c r="I3047" i="111" s="1"/>
  <c r="H3814" i="111"/>
  <c r="I3814" i="111" s="1"/>
  <c r="G3816" i="111"/>
  <c r="G3817" i="111" s="1"/>
  <c r="H1732" i="111"/>
  <c r="I1732" i="111" s="1"/>
  <c r="H2255" i="111"/>
  <c r="I2255" i="111" s="1"/>
  <c r="H5022" i="111"/>
  <c r="I5022" i="111" s="1"/>
  <c r="G1041" i="111"/>
  <c r="G1042" i="111" s="1"/>
  <c r="H1042" i="111" s="1"/>
  <c r="I1042" i="111" s="1"/>
  <c r="H1039" i="111"/>
  <c r="I1039" i="111" s="1"/>
  <c r="H849" i="111"/>
  <c r="I849" i="111" s="1"/>
  <c r="G618" i="111"/>
  <c r="H616" i="111"/>
  <c r="I616" i="111" s="1"/>
  <c r="H2313" i="111"/>
  <c r="I2313" i="111" s="1"/>
  <c r="H2222" i="111"/>
  <c r="I2222" i="111" s="1"/>
  <c r="H1749" i="111"/>
  <c r="I1749" i="111" s="1"/>
  <c r="G1751" i="111"/>
  <c r="G1752" i="111" s="1"/>
  <c r="H1752" i="111" s="1"/>
  <c r="I1752" i="111" s="1"/>
  <c r="H6162" i="111"/>
  <c r="I6162" i="111" s="1"/>
  <c r="G6164" i="111"/>
  <c r="G6165" i="111" s="1"/>
  <c r="H6165" i="111" s="1"/>
  <c r="I6165" i="111" s="1"/>
  <c r="H45" i="111"/>
  <c r="I45" i="111" s="1"/>
  <c r="H1355" i="111"/>
  <c r="I1355" i="111" s="1"/>
  <c r="G1357" i="111"/>
  <c r="H1357" i="111" s="1"/>
  <c r="I1357" i="111" s="1"/>
  <c r="H562" i="111"/>
  <c r="I562" i="111" s="1"/>
  <c r="H2563" i="111"/>
  <c r="I2563" i="111" s="1"/>
  <c r="H4065" i="111"/>
  <c r="I4065" i="111" s="1"/>
  <c r="G4067" i="111"/>
  <c r="G4068" i="111" s="1"/>
  <c r="H4068" i="111" s="1"/>
  <c r="I4068" i="111" s="1"/>
  <c r="H2391" i="111"/>
  <c r="I2391" i="111" s="1"/>
  <c r="G344" i="111"/>
  <c r="G345" i="111" s="1"/>
  <c r="H342" i="111"/>
  <c r="I342" i="111" s="1"/>
  <c r="H2099" i="111"/>
  <c r="I2099" i="111" s="1"/>
  <c r="G2101" i="111"/>
  <c r="H2101" i="111" s="1"/>
  <c r="I2101" i="111" s="1"/>
  <c r="H741" i="111"/>
  <c r="I741" i="111" s="1"/>
  <c r="G4225" i="111"/>
  <c r="H4225" i="111" s="1"/>
  <c r="I4225" i="111" s="1"/>
  <c r="H4223" i="111"/>
  <c r="I4223" i="111" s="1"/>
  <c r="H333" i="111"/>
  <c r="I333" i="111" s="1"/>
  <c r="H4361" i="111"/>
  <c r="I4361" i="111" s="1"/>
  <c r="G4363" i="111"/>
  <c r="G4364" i="111" s="1"/>
  <c r="H4364" i="111" s="1"/>
  <c r="I4364" i="111" s="1"/>
  <c r="H1703" i="111"/>
  <c r="I1703" i="111" s="1"/>
  <c r="H3152" i="111"/>
  <c r="I3152" i="111" s="1"/>
  <c r="G3370" i="111"/>
  <c r="H3368" i="111"/>
  <c r="I3368" i="111" s="1"/>
  <c r="H6684" i="111"/>
  <c r="I6684" i="111" s="1"/>
  <c r="H3749" i="111"/>
  <c r="I3749" i="111" s="1"/>
  <c r="G3751" i="111"/>
  <c r="G3752" i="111" s="1"/>
  <c r="H3752" i="111" s="1"/>
  <c r="I3752" i="111" s="1"/>
  <c r="G2159" i="111"/>
  <c r="G2160" i="111" s="1"/>
  <c r="H2157" i="111"/>
  <c r="I2157" i="111" s="1"/>
  <c r="H3162" i="111"/>
  <c r="I3162" i="111" s="1"/>
  <c r="G3164" i="111"/>
  <c r="H3164" i="111" s="1"/>
  <c r="I3164" i="111" s="1"/>
  <c r="H4981" i="111"/>
  <c r="I4981" i="111" s="1"/>
  <c r="G4983" i="111"/>
  <c r="G5473" i="111"/>
  <c r="G5474" i="111" s="1"/>
  <c r="H5471" i="111"/>
  <c r="I5471" i="111" s="1"/>
  <c r="H6672" i="111"/>
  <c r="I6672" i="111" s="1"/>
  <c r="G6674" i="111"/>
  <c r="H5465" i="111"/>
  <c r="I5465" i="111" s="1"/>
  <c r="H4427" i="111"/>
  <c r="H4484" i="111" s="1"/>
  <c r="G4484" i="111"/>
  <c r="H3517" i="111"/>
  <c r="I3517" i="111" s="1"/>
  <c r="G3519" i="111"/>
  <c r="G5267" i="111"/>
  <c r="H5265" i="111"/>
  <c r="I5265" i="111" s="1"/>
  <c r="G4617" i="111"/>
  <c r="H4617" i="111" s="1"/>
  <c r="I4617" i="111" s="1"/>
  <c r="H4615" i="111"/>
  <c r="I4615" i="111" s="1"/>
  <c r="H5885" i="111"/>
  <c r="I5885" i="111" s="1"/>
  <c r="G5887" i="111"/>
  <c r="G5888" i="111" s="1"/>
  <c r="G1464" i="111"/>
  <c r="H1462" i="111"/>
  <c r="I1462" i="111" s="1"/>
  <c r="H488" i="111"/>
  <c r="I488" i="111" s="1"/>
  <c r="H5102" i="111"/>
  <c r="I5102" i="111" s="1"/>
  <c r="H6602" i="111"/>
  <c r="I6602" i="111" s="1"/>
  <c r="G6604" i="111"/>
  <c r="G6605" i="111" s="1"/>
  <c r="H6605" i="111" s="1"/>
  <c r="I6605" i="111" s="1"/>
  <c r="G3935" i="111"/>
  <c r="H3897" i="111"/>
  <c r="I3897" i="111" s="1"/>
  <c r="H4963" i="111"/>
  <c r="I4963" i="111" s="1"/>
  <c r="G4965" i="111"/>
  <c r="G865" i="111"/>
  <c r="G866" i="111" s="1"/>
  <c r="H863" i="111"/>
  <c r="I863" i="111" s="1"/>
  <c r="G6628" i="111"/>
  <c r="H6554" i="111"/>
  <c r="H6628" i="111" s="1"/>
  <c r="G5755" i="111"/>
  <c r="H5705" i="111"/>
  <c r="G5481" i="111"/>
  <c r="H5481" i="111" s="1"/>
  <c r="I5481" i="111" s="1"/>
  <c r="H5479" i="111"/>
  <c r="I5479" i="111" s="1"/>
  <c r="H351" i="111"/>
  <c r="I351" i="111" s="1"/>
  <c r="G352" i="111"/>
  <c r="H352" i="111" s="1"/>
  <c r="I352" i="111" s="1"/>
  <c r="G4549" i="111"/>
  <c r="H4492" i="111"/>
  <c r="H6297" i="111"/>
  <c r="I6297" i="111" s="1"/>
  <c r="G6299" i="111"/>
  <c r="H276" i="111"/>
  <c r="I276" i="111" s="1"/>
  <c r="G6468" i="111"/>
  <c r="H6468" i="111" s="1"/>
  <c r="I6468" i="111" s="1"/>
  <c r="H6466" i="111"/>
  <c r="I6466" i="111" s="1"/>
  <c r="G4823" i="111"/>
  <c r="G4824" i="111" s="1"/>
  <c r="H4824" i="111" s="1"/>
  <c r="I4824" i="111" s="1"/>
  <c r="H4821" i="111"/>
  <c r="I4821" i="111" s="1"/>
  <c r="H5240" i="111"/>
  <c r="I5240" i="111" s="1"/>
  <c r="H4887" i="111"/>
  <c r="I4887" i="111" s="1"/>
  <c r="G4889" i="111"/>
  <c r="H4889" i="111" s="1"/>
  <c r="I4889" i="111" s="1"/>
  <c r="H5338" i="111"/>
  <c r="I5338" i="111" s="1"/>
  <c r="G5340" i="111"/>
  <c r="G5341" i="111" s="1"/>
  <c r="H1174" i="111"/>
  <c r="I1174" i="111" s="1"/>
  <c r="H1595" i="111"/>
  <c r="I1595" i="111" s="1"/>
  <c r="H1653" i="111"/>
  <c r="I1653" i="111" s="1"/>
  <c r="H218" i="111"/>
  <c r="I218" i="111" s="1"/>
  <c r="G961" i="111"/>
  <c r="G962" i="111" s="1"/>
  <c r="H962" i="111" s="1"/>
  <c r="I962" i="111" s="1"/>
  <c r="H959" i="111"/>
  <c r="I959" i="111" s="1"/>
  <c r="G2270" i="111"/>
  <c r="G2271" i="111" s="1"/>
  <c r="H2271" i="111" s="1"/>
  <c r="I2271" i="111" s="1"/>
  <c r="H2268" i="111"/>
  <c r="I2268" i="111" s="1"/>
  <c r="H280" i="111"/>
  <c r="I280" i="111" s="1"/>
  <c r="G1911" i="111"/>
  <c r="G1912" i="111" s="1"/>
  <c r="H1912" i="111" s="1"/>
  <c r="I1912" i="111" s="1"/>
  <c r="H1909" i="111"/>
  <c r="I1909" i="111" s="1"/>
  <c r="H991" i="111"/>
  <c r="I991" i="111" s="1"/>
  <c r="H4353" i="111"/>
  <c r="I4353" i="111" s="1"/>
  <c r="H5024" i="111"/>
  <c r="I5024" i="111" s="1"/>
  <c r="H3943" i="111"/>
  <c r="H4016" i="111" s="1"/>
  <c r="G4016" i="111"/>
  <c r="G907" i="111"/>
  <c r="H907" i="111" s="1"/>
  <c r="I907" i="111" s="1"/>
  <c r="G909" i="111"/>
  <c r="H862" i="111"/>
  <c r="I862" i="111" s="1"/>
  <c r="H522" i="111"/>
  <c r="I522" i="111" s="1"/>
  <c r="H881" i="111"/>
  <c r="I881" i="111" s="1"/>
  <c r="H4852" i="111"/>
  <c r="I4852" i="111" s="1"/>
  <c r="H3509" i="111"/>
  <c r="I3509" i="111" s="1"/>
  <c r="G3511" i="111"/>
  <c r="H3511" i="111" s="1"/>
  <c r="I3511" i="111" s="1"/>
  <c r="H4131" i="111"/>
  <c r="I4131" i="111" s="1"/>
  <c r="H3150" i="111"/>
  <c r="I3150" i="111" s="1"/>
  <c r="H4916" i="111"/>
  <c r="I4916" i="111" s="1"/>
  <c r="H2913" i="111"/>
  <c r="I2913" i="111" s="1"/>
  <c r="G2915" i="111"/>
  <c r="H3501" i="111"/>
  <c r="I3501" i="111" s="1"/>
  <c r="G3503" i="111"/>
  <c r="H4504" i="111"/>
  <c r="I4504" i="111" s="1"/>
  <c r="H6226" i="111"/>
  <c r="I6226" i="111" s="1"/>
  <c r="G295" i="111"/>
  <c r="H293" i="111"/>
  <c r="I293" i="111" s="1"/>
  <c r="H1043" i="111"/>
  <c r="I1043" i="111" s="1"/>
  <c r="G1053" i="111"/>
  <c r="H1053" i="111" s="1"/>
  <c r="I1053" i="111" s="1"/>
  <c r="G1045" i="111"/>
  <c r="G1046" i="111" s="1"/>
  <c r="H1046" i="111" s="1"/>
  <c r="I1046" i="111" s="1"/>
  <c r="H3513" i="111"/>
  <c r="I3513" i="111" s="1"/>
  <c r="G3515" i="111"/>
  <c r="H3515" i="111" s="1"/>
  <c r="I3515" i="111" s="1"/>
  <c r="H1271" i="111"/>
  <c r="I1271" i="111" s="1"/>
  <c r="G1273" i="111"/>
  <c r="H1273" i="111" s="1"/>
  <c r="I1273" i="111" s="1"/>
  <c r="G3087" i="111"/>
  <c r="G3088" i="111" s="1"/>
  <c r="H3085" i="111"/>
  <c r="I3085" i="111" s="1"/>
  <c r="H1142" i="111"/>
  <c r="I1142" i="111" s="1"/>
  <c r="H2735" i="111"/>
  <c r="I2735" i="111" s="1"/>
  <c r="G2737" i="111"/>
  <c r="H2737" i="111" s="1"/>
  <c r="I2737" i="111" s="1"/>
  <c r="H457" i="111"/>
  <c r="I457" i="111" s="1"/>
  <c r="H1391" i="111"/>
  <c r="I1391" i="111" s="1"/>
  <c r="H1689" i="111"/>
  <c r="I1689" i="111" s="1"/>
  <c r="H759" i="111"/>
  <c r="I759" i="111" s="1"/>
  <c r="G761" i="111"/>
  <c r="G762" i="111" s="1"/>
  <c r="H762" i="111" s="1"/>
  <c r="I762" i="111" s="1"/>
  <c r="G1618" i="111"/>
  <c r="G1619" i="111" s="1"/>
  <c r="H1619" i="111" s="1"/>
  <c r="I1619" i="111" s="1"/>
  <c r="H1616" i="111"/>
  <c r="I1616" i="111" s="1"/>
  <c r="H4741" i="111"/>
  <c r="H4831" i="111" s="1"/>
  <c r="G4831" i="111"/>
  <c r="H53" i="111"/>
  <c r="I53" i="111" s="1"/>
  <c r="G55" i="111"/>
  <c r="G548" i="111"/>
  <c r="H475" i="111"/>
  <c r="G59" i="111"/>
  <c r="H59" i="111" s="1"/>
  <c r="I59" i="111" s="1"/>
  <c r="H57" i="111"/>
  <c r="I57" i="111" s="1"/>
  <c r="H1415" i="111"/>
  <c r="I1415" i="111" s="1"/>
  <c r="G153" i="111"/>
  <c r="G167" i="111"/>
  <c r="H167" i="111" s="1"/>
  <c r="I167" i="111" s="1"/>
  <c r="H151" i="111"/>
  <c r="I151" i="111" s="1"/>
  <c r="H2617" i="111"/>
  <c r="I2617" i="111" s="1"/>
  <c r="H735" i="111"/>
  <c r="I735" i="111" s="1"/>
  <c r="H2132" i="111"/>
  <c r="I2132" i="111" s="1"/>
  <c r="H4143" i="111"/>
  <c r="I4143" i="111" s="1"/>
  <c r="G4145" i="111"/>
  <c r="H4145" i="111" s="1"/>
  <c r="I4145" i="111" s="1"/>
  <c r="H2407" i="111"/>
  <c r="I2407" i="111" s="1"/>
  <c r="H5467" i="111"/>
  <c r="I5467" i="111" s="1"/>
  <c r="H5195" i="111"/>
  <c r="I5195" i="111" s="1"/>
  <c r="G5197" i="111"/>
  <c r="H5197" i="111" s="1"/>
  <c r="I5197" i="111" s="1"/>
  <c r="H2067" i="111"/>
  <c r="I2067" i="111" s="1"/>
  <c r="H3130" i="111"/>
  <c r="I3130" i="111" s="1"/>
  <c r="G418" i="111"/>
  <c r="H418" i="111" s="1"/>
  <c r="I418" i="111" s="1"/>
  <c r="H416" i="111"/>
  <c r="I416" i="111" s="1"/>
  <c r="G430" i="111"/>
  <c r="H430" i="111" s="1"/>
  <c r="I430" i="111" s="1"/>
  <c r="G3900" i="111"/>
  <c r="H3898" i="111"/>
  <c r="I3898" i="111" s="1"/>
  <c r="H4114" i="111"/>
  <c r="I4114" i="111" s="1"/>
  <c r="G2667" i="111"/>
  <c r="H2601" i="111"/>
  <c r="G1693" i="111"/>
  <c r="G1694" i="111" s="1"/>
  <c r="H1694" i="111" s="1"/>
  <c r="I1694" i="111" s="1"/>
  <c r="H1691" i="111"/>
  <c r="I1691" i="111" s="1"/>
  <c r="H1725" i="111"/>
  <c r="I1725" i="111" s="1"/>
  <c r="H3672" i="111"/>
  <c r="I3672" i="111" s="1"/>
  <c r="G3674" i="111"/>
  <c r="G1452" i="111"/>
  <c r="H1452" i="111" s="1"/>
  <c r="I1452" i="111" s="1"/>
  <c r="H1450" i="111"/>
  <c r="I1450" i="111" s="1"/>
  <c r="H2462" i="111"/>
  <c r="H2527" i="111" s="1"/>
  <c r="G2527" i="111"/>
  <c r="H6048" i="111"/>
  <c r="I6048" i="111" s="1"/>
  <c r="G6053" i="111"/>
  <c r="H6053" i="111" s="1"/>
  <c r="I6053" i="111" s="1"/>
  <c r="G6050" i="111"/>
  <c r="H4279" i="111"/>
  <c r="I4279" i="111" s="1"/>
  <c r="G5403" i="111"/>
  <c r="H5401" i="111"/>
  <c r="I5401" i="111" s="1"/>
  <c r="G2538" i="111"/>
  <c r="H2536" i="111"/>
  <c r="I2536" i="111" s="1"/>
  <c r="G3523" i="111"/>
  <c r="H3523" i="111" s="1"/>
  <c r="I3523" i="111" s="1"/>
  <c r="H3521" i="111"/>
  <c r="I3521" i="111" s="1"/>
  <c r="G1518" i="111"/>
  <c r="H1516" i="111"/>
  <c r="I1516" i="111" s="1"/>
  <c r="G1519" i="111"/>
  <c r="H1519" i="111" s="1"/>
  <c r="I1519" i="111" s="1"/>
  <c r="H2185" i="111"/>
  <c r="G2259" i="111"/>
  <c r="H3525" i="111"/>
  <c r="I3525" i="111" s="1"/>
  <c r="G3527" i="111"/>
  <c r="H3415" i="111"/>
  <c r="I3415" i="111" s="1"/>
  <c r="G3417" i="111"/>
  <c r="G3418" i="111" s="1"/>
  <c r="H3418" i="111" s="1"/>
  <c r="I3418" i="111" s="1"/>
  <c r="G5505" i="111"/>
  <c r="H5503" i="111"/>
  <c r="I5503" i="111" s="1"/>
  <c r="G4670" i="111"/>
  <c r="H4668" i="111"/>
  <c r="I4668" i="111" s="1"/>
  <c r="G4678" i="111"/>
  <c r="H4678" i="111" s="1"/>
  <c r="I4678" i="111" s="1"/>
  <c r="G2990" i="111"/>
  <c r="H2990" i="111" s="1"/>
  <c r="I2990" i="111" s="1"/>
  <c r="H2988" i="111"/>
  <c r="I2988" i="111" s="1"/>
  <c r="H5872" i="111"/>
  <c r="I5872" i="111" s="1"/>
  <c r="H5900" i="111"/>
  <c r="I5900" i="111" s="1"/>
  <c r="G5628" i="111"/>
  <c r="G5629" i="111" s="1"/>
  <c r="H5629" i="111" s="1"/>
  <c r="I5629" i="111" s="1"/>
  <c r="H5626" i="111"/>
  <c r="I5626" i="111" s="1"/>
  <c r="G3783" i="111"/>
  <c r="H3783" i="111" s="1"/>
  <c r="I3783" i="111" s="1"/>
  <c r="H3781" i="111"/>
  <c r="I3781" i="111" s="1"/>
  <c r="G3784" i="111"/>
  <c r="H3784" i="111" s="1"/>
  <c r="I3784" i="111" s="1"/>
  <c r="G3594" i="111"/>
  <c r="H3547" i="111"/>
  <c r="H4951" i="111"/>
  <c r="I4951" i="111" s="1"/>
  <c r="G4953" i="111"/>
  <c r="G4954" i="111" s="1"/>
  <c r="H4954" i="111" s="1"/>
  <c r="I4954" i="111" s="1"/>
  <c r="H5034" i="111"/>
  <c r="I5034" i="111" s="1"/>
  <c r="G5036" i="111"/>
  <c r="H5036" i="111" s="1"/>
  <c r="I5036" i="111" s="1"/>
  <c r="G5050" i="111"/>
  <c r="H5050" i="111" s="1"/>
  <c r="I5050" i="111" s="1"/>
  <c r="H198" i="111"/>
  <c r="I198" i="111" s="1"/>
  <c r="H4311" i="111"/>
  <c r="I4311" i="111" s="1"/>
  <c r="G4313" i="111"/>
  <c r="G4314" i="111" s="1"/>
  <c r="H4314" i="111" s="1"/>
  <c r="I4314" i="111" s="1"/>
  <c r="G6111" i="111"/>
  <c r="H6109" i="111"/>
  <c r="I6109" i="111" s="1"/>
  <c r="H6257" i="111"/>
  <c r="I6257" i="111" s="1"/>
  <c r="G6259" i="111"/>
  <c r="G6260" i="111" s="1"/>
  <c r="H6636" i="111"/>
  <c r="G6689" i="111"/>
  <c r="G5382" i="111"/>
  <c r="G5383" i="111" s="1"/>
  <c r="H5380" i="111"/>
  <c r="I5380" i="111" s="1"/>
  <c r="G4909" i="111"/>
  <c r="G4910" i="111" s="1"/>
  <c r="H4910" i="111" s="1"/>
  <c r="I4910" i="111" s="1"/>
  <c r="H4907" i="111"/>
  <c r="I4907" i="111" s="1"/>
  <c r="G4027" i="111"/>
  <c r="H4025" i="111"/>
  <c r="I4025" i="111" s="1"/>
  <c r="H5350" i="111"/>
  <c r="I5350" i="111" s="1"/>
  <c r="G5352" i="111"/>
  <c r="H5352" i="111" s="1"/>
  <c r="I5352" i="111" s="1"/>
  <c r="H1537" i="111"/>
  <c r="I1537" i="111" s="1"/>
  <c r="H155" i="111"/>
  <c r="I155" i="111" s="1"/>
  <c r="G157" i="111"/>
  <c r="G2028" i="111"/>
  <c r="H2028" i="111" s="1"/>
  <c r="I2028" i="111" s="1"/>
  <c r="G2011" i="111"/>
  <c r="H2009" i="111"/>
  <c r="I2009" i="111" s="1"/>
  <c r="G2986" i="111"/>
  <c r="H2984" i="111"/>
  <c r="I2984" i="111" s="1"/>
  <c r="H2213" i="111"/>
  <c r="I2213" i="111" s="1"/>
  <c r="H6132" i="111"/>
  <c r="I6132" i="111" s="1"/>
  <c r="G6134" i="111"/>
  <c r="H3244" i="111"/>
  <c r="I3244" i="111" s="1"/>
  <c r="G3246" i="111"/>
  <c r="G4217" i="111"/>
  <c r="G4218" i="111" s="1"/>
  <c r="H4218" i="111" s="1"/>
  <c r="I4218" i="111" s="1"/>
  <c r="H4215" i="111"/>
  <c r="I4215" i="111" s="1"/>
  <c r="H1686" i="111"/>
  <c r="I1686" i="111" s="1"/>
  <c r="G3342" i="111"/>
  <c r="H3340" i="111"/>
  <c r="I3340" i="111" s="1"/>
  <c r="H4672" i="111"/>
  <c r="I4672" i="111" s="1"/>
  <c r="G4674" i="111"/>
  <c r="G299" i="111"/>
  <c r="H297" i="111"/>
  <c r="I297" i="111" s="1"/>
  <c r="G310" i="111"/>
  <c r="H310" i="111" s="1"/>
  <c r="I310" i="111" s="1"/>
  <c r="G51" i="111"/>
  <c r="G52" i="111" s="1"/>
  <c r="H52" i="111" s="1"/>
  <c r="I52" i="111" s="1"/>
  <c r="H49" i="111"/>
  <c r="I49" i="111" s="1"/>
  <c r="H831" i="111"/>
  <c r="I831" i="111" s="1"/>
  <c r="G833" i="111"/>
  <c r="G834" i="111" s="1"/>
  <c r="H834" i="111" s="1"/>
  <c r="I834" i="111" s="1"/>
  <c r="H684" i="111"/>
  <c r="I684" i="111" s="1"/>
  <c r="G686" i="111"/>
  <c r="H4893" i="111"/>
  <c r="I4893" i="111" s="1"/>
  <c r="H3837" i="111"/>
  <c r="I3837" i="111" s="1"/>
  <c r="H165" i="111"/>
  <c r="I165" i="111" s="1"/>
  <c r="G4419" i="111"/>
  <c r="H4394" i="111"/>
  <c r="H698" i="111"/>
  <c r="I698" i="111" s="1"/>
  <c r="H494" i="111"/>
  <c r="I494" i="111" s="1"/>
  <c r="H751" i="111"/>
  <c r="I751" i="111" s="1"/>
  <c r="H412" i="111"/>
  <c r="I412" i="111" s="1"/>
  <c r="G414" i="111"/>
  <c r="H930" i="111"/>
  <c r="I930" i="111" s="1"/>
  <c r="H346" i="111"/>
  <c r="I346" i="111" s="1"/>
  <c r="G348" i="111"/>
  <c r="G349" i="111" s="1"/>
  <c r="H349" i="111" s="1"/>
  <c r="I349" i="111" s="1"/>
  <c r="G3172" i="111"/>
  <c r="H3170" i="111"/>
  <c r="I3170" i="111" s="1"/>
  <c r="G1767" i="111"/>
  <c r="H1765" i="111"/>
  <c r="I1765" i="111" s="1"/>
  <c r="H2731" i="111"/>
  <c r="I2731" i="111" s="1"/>
  <c r="G2733" i="111"/>
  <c r="G1644" i="111"/>
  <c r="H1642" i="111"/>
  <c r="I1642" i="111" s="1"/>
  <c r="H681" i="111"/>
  <c r="I681" i="111" s="1"/>
  <c r="G2334" i="111"/>
  <c r="H2332" i="111"/>
  <c r="I2332" i="111" s="1"/>
  <c r="G7" i="111"/>
  <c r="G8" i="111" s="1"/>
  <c r="H8" i="111" s="1"/>
  <c r="I8" i="111" s="1"/>
  <c r="H5" i="111"/>
  <c r="I5" i="111" s="1"/>
  <c r="H125" i="111"/>
  <c r="I125" i="111" s="1"/>
  <c r="G1440" i="111"/>
  <c r="G1441" i="111" s="1"/>
  <c r="H1441" i="111" s="1"/>
  <c r="I1441" i="111" s="1"/>
  <c r="H1438" i="111"/>
  <c r="I1438" i="111" s="1"/>
  <c r="G1444" i="111"/>
  <c r="H1444" i="111" s="1"/>
  <c r="I1444" i="111" s="1"/>
  <c r="H1442" i="111"/>
  <c r="I1442" i="111" s="1"/>
  <c r="G1471" i="111"/>
  <c r="H1471" i="111" s="1"/>
  <c r="I1471" i="111" s="1"/>
  <c r="H2151" i="111"/>
  <c r="I2151" i="111" s="1"/>
  <c r="H328" i="111"/>
  <c r="I328" i="111" s="1"/>
  <c r="G2426" i="111"/>
  <c r="G2451" i="111"/>
  <c r="H2451" i="111" s="1"/>
  <c r="I2451" i="111" s="1"/>
  <c r="H2424" i="111"/>
  <c r="I2424" i="111" s="1"/>
  <c r="H4481" i="111"/>
  <c r="I4481" i="111" s="1"/>
  <c r="H395" i="111"/>
  <c r="I395" i="111" s="1"/>
  <c r="G1785" i="111"/>
  <c r="G1786" i="111" s="1"/>
  <c r="H1786" i="111" s="1"/>
  <c r="I1786" i="111" s="1"/>
  <c r="H1783" i="111"/>
  <c r="I1783" i="111" s="1"/>
  <c r="G4010" i="111"/>
  <c r="H4010" i="111" s="1"/>
  <c r="I4010" i="111" s="1"/>
  <c r="H4008" i="111"/>
  <c r="I4008" i="111" s="1"/>
  <c r="G1763" i="111"/>
  <c r="G1764" i="111" s="1"/>
  <c r="H1764" i="111" s="1"/>
  <c r="I1764" i="111" s="1"/>
  <c r="H1761" i="111"/>
  <c r="I1761" i="111" s="1"/>
  <c r="H3311" i="111"/>
  <c r="I3311" i="111" s="1"/>
  <c r="H1155" i="111"/>
  <c r="I1155" i="111" s="1"/>
  <c r="G3076" i="111"/>
  <c r="H3012" i="111"/>
  <c r="H4186" i="111"/>
  <c r="I4186" i="111" s="1"/>
  <c r="G3998" i="111"/>
  <c r="G3999" i="111" s="1"/>
  <c r="H3999" i="111" s="1"/>
  <c r="I3999" i="111" s="1"/>
  <c r="H3996" i="111"/>
  <c r="I3996" i="111" s="1"/>
  <c r="G4815" i="111"/>
  <c r="H4815" i="111" s="1"/>
  <c r="I4815" i="111" s="1"/>
  <c r="H4813" i="111"/>
  <c r="I4813" i="111" s="1"/>
  <c r="G5766" i="111"/>
  <c r="G5767" i="111" s="1"/>
  <c r="H5764" i="111"/>
  <c r="I5764" i="111" s="1"/>
  <c r="H4139" i="111"/>
  <c r="I4139" i="111" s="1"/>
  <c r="G4151" i="111"/>
  <c r="H4151" i="111" s="1"/>
  <c r="I4151" i="111" s="1"/>
  <c r="G4141" i="111"/>
  <c r="H4141" i="111" s="1"/>
  <c r="I4141" i="111" s="1"/>
  <c r="G3404" i="111"/>
  <c r="H3404" i="111" s="1"/>
  <c r="I3404" i="111" s="1"/>
  <c r="H3320" i="111"/>
  <c r="I3320" i="111" s="1"/>
  <c r="G3322" i="111"/>
  <c r="H3322" i="111" s="1"/>
  <c r="I3322" i="111" s="1"/>
  <c r="H6530" i="111"/>
  <c r="I6530" i="111" s="1"/>
  <c r="G6532" i="111"/>
  <c r="G6533" i="111" s="1"/>
  <c r="H6533" i="111" s="1"/>
  <c r="I6533" i="111" s="1"/>
  <c r="H3798" i="111"/>
  <c r="I3798" i="111" s="1"/>
  <c r="H2720" i="111"/>
  <c r="I2720" i="111" s="1"/>
  <c r="G5610" i="111"/>
  <c r="H5608" i="111"/>
  <c r="I5608" i="111" s="1"/>
  <c r="G2342" i="111"/>
  <c r="H2342" i="111" s="1"/>
  <c r="I2342" i="111" s="1"/>
  <c r="H2340" i="111"/>
  <c r="I2340" i="111" s="1"/>
  <c r="H4063" i="111"/>
  <c r="I4063" i="111"/>
  <c r="H3442" i="111"/>
  <c r="I3442" i="111" s="1"/>
  <c r="H5866" i="111"/>
  <c r="I5866" i="111" s="1"/>
  <c r="G5868" i="111"/>
  <c r="H6174" i="111"/>
  <c r="I6174" i="111" s="1"/>
  <c r="G4290" i="111"/>
  <c r="G4291" i="111" s="1"/>
  <c r="H4291" i="111" s="1"/>
  <c r="I4291" i="111" s="1"/>
  <c r="H4288" i="111"/>
  <c r="I4288" i="111" s="1"/>
  <c r="G5356" i="111"/>
  <c r="H5356" i="111" s="1"/>
  <c r="I5356" i="111" s="1"/>
  <c r="H5354" i="111"/>
  <c r="I5354" i="111" s="1"/>
  <c r="H137" i="111"/>
  <c r="I137" i="111" s="1"/>
  <c r="H6414" i="111"/>
  <c r="I6414" i="111" s="1"/>
  <c r="G5360" i="111"/>
  <c r="H5360" i="111" s="1"/>
  <c r="I5360" i="111" s="1"/>
  <c r="H5358" i="111"/>
  <c r="I5358" i="111" s="1"/>
  <c r="H5168" i="111"/>
  <c r="I5168" i="111"/>
  <c r="G5960" i="111"/>
  <c r="H5960" i="111" s="1"/>
  <c r="I5960" i="111" s="1"/>
  <c r="H5931" i="111"/>
  <c r="H5963" i="111" s="1"/>
  <c r="G5963" i="111"/>
  <c r="H493" i="111"/>
  <c r="I493" i="111" s="1"/>
  <c r="H4332" i="111"/>
  <c r="I4332" i="111" s="1"/>
  <c r="G6176" i="111"/>
  <c r="H6176" i="111" s="1"/>
  <c r="I6176" i="111" s="1"/>
  <c r="G6168" i="111"/>
  <c r="H6168" i="111" s="1"/>
  <c r="I6168" i="111" s="1"/>
  <c r="H6166" i="111"/>
  <c r="I6166" i="111" s="1"/>
  <c r="H6293" i="111"/>
  <c r="I6293" i="111" s="1"/>
  <c r="G706" i="111"/>
  <c r="H637" i="111"/>
  <c r="H1454" i="111"/>
  <c r="I1454" i="111" s="1"/>
  <c r="G1456" i="111"/>
  <c r="H6450" i="111"/>
  <c r="I6450" i="111" s="1"/>
  <c r="G640" i="111"/>
  <c r="G641" i="111" s="1"/>
  <c r="H638" i="111"/>
  <c r="I638" i="111" s="1"/>
  <c r="H1100" i="111"/>
  <c r="I1100" i="111" s="1"/>
  <c r="G4972" i="111"/>
  <c r="H4906" i="111"/>
  <c r="I4906" i="111" s="1"/>
  <c r="I4972" i="111" s="1"/>
  <c r="H5735" i="111"/>
  <c r="I5735" i="111" s="1"/>
  <c r="G5752" i="111"/>
  <c r="H5752" i="111" s="1"/>
  <c r="I5752" i="111" s="1"/>
  <c r="H5748" i="111"/>
  <c r="I5748" i="111" s="1"/>
  <c r="G5750" i="111"/>
  <c r="H5750" i="111" s="1"/>
  <c r="I5750" i="111" s="1"/>
  <c r="G227" i="111"/>
  <c r="G228" i="111" s="1"/>
  <c r="H225" i="111"/>
  <c r="I225" i="111" s="1"/>
  <c r="H250" i="111"/>
  <c r="I250" i="111" s="1"/>
  <c r="G252" i="111"/>
  <c r="G4251" i="111"/>
  <c r="G4252" i="111" s="1"/>
  <c r="H4249" i="111"/>
  <c r="I4249" i="111" s="1"/>
  <c r="G2120" i="111"/>
  <c r="G2121" i="111" s="1"/>
  <c r="H2118" i="111"/>
  <c r="I2118" i="111" s="1"/>
  <c r="H4949" i="111"/>
  <c r="I4949" i="111" s="1"/>
  <c r="H4286" i="111"/>
  <c r="I4286" i="111" s="1"/>
  <c r="H3732" i="111"/>
  <c r="I3732" i="111" s="1"/>
  <c r="H4689" i="111"/>
  <c r="I4689" i="111" s="1"/>
  <c r="I4733" i="111" s="1"/>
  <c r="G4730" i="111"/>
  <c r="H4730" i="111" s="1"/>
  <c r="I4730" i="111" s="1"/>
  <c r="G4733" i="111"/>
  <c r="H4787" i="111"/>
  <c r="I4787" i="111" s="1"/>
  <c r="G533" i="111"/>
  <c r="H533" i="111" s="1"/>
  <c r="I533" i="111" s="1"/>
  <c r="H531" i="111"/>
  <c r="I531" i="111" s="1"/>
  <c r="G545" i="111"/>
  <c r="H545" i="111" s="1"/>
  <c r="I545" i="111" s="1"/>
  <c r="H1163" i="111"/>
  <c r="I1163" i="111" s="1"/>
  <c r="H11" i="111"/>
  <c r="I11" i="111" s="1"/>
  <c r="H2658" i="111"/>
  <c r="I2658" i="111" s="1"/>
  <c r="G2660" i="111"/>
  <c r="H2997" i="111"/>
  <c r="I2997" i="111" s="1"/>
  <c r="H1728" i="111"/>
  <c r="I1728" i="111" s="1"/>
  <c r="H793" i="111"/>
  <c r="I793" i="111" s="1"/>
  <c r="H806" i="111"/>
  <c r="I806" i="111" s="1"/>
  <c r="H5946" i="111"/>
  <c r="I5946" i="111" s="1"/>
  <c r="H2646" i="111"/>
  <c r="I2646" i="111" s="1"/>
  <c r="G2648" i="111"/>
  <c r="G965" i="111"/>
  <c r="H963" i="111"/>
  <c r="I963" i="111" s="1"/>
  <c r="G975" i="111"/>
  <c r="H975" i="111" s="1"/>
  <c r="I975" i="111" s="1"/>
  <c r="G4638" i="111"/>
  <c r="G4639" i="111" s="1"/>
  <c r="H4636" i="111"/>
  <c r="I4636" i="111" s="1"/>
  <c r="H5093" i="111"/>
  <c r="I5093" i="111" s="1"/>
  <c r="H2582" i="111"/>
  <c r="I2582" i="111" s="1"/>
  <c r="G2584" i="111"/>
  <c r="G2585" i="111" s="1"/>
  <c r="H2585" i="111" s="1"/>
  <c r="I2585" i="111" s="1"/>
  <c r="H4474" i="111"/>
  <c r="I4474" i="111" s="1"/>
  <c r="G4476" i="111"/>
  <c r="H4476" i="111" s="1"/>
  <c r="I4476" i="111" s="1"/>
  <c r="G1556" i="111"/>
  <c r="G1557" i="111" s="1"/>
  <c r="H1557" i="111" s="1"/>
  <c r="I1557" i="111" s="1"/>
  <c r="H1554" i="111"/>
  <c r="I1554" i="111" s="1"/>
  <c r="G1202" i="111"/>
  <c r="H1121" i="111"/>
  <c r="G1485" i="111"/>
  <c r="G1486" i="111" s="1"/>
  <c r="H1483" i="111"/>
  <c r="I1483" i="111" s="1"/>
  <c r="H3071" i="111"/>
  <c r="I3071" i="111" s="1"/>
  <c r="H2766" i="111"/>
  <c r="I2766" i="111" s="1"/>
  <c r="H141" i="111"/>
  <c r="I141" i="111" s="1"/>
  <c r="H2021" i="111"/>
  <c r="I2021" i="111" s="1"/>
  <c r="G2023" i="111"/>
  <c r="H2929" i="111"/>
  <c r="I2929" i="111" s="1"/>
  <c r="G2931" i="111"/>
  <c r="G2932" i="111" s="1"/>
  <c r="H2932" i="111" s="1"/>
  <c r="I2932" i="111" s="1"/>
  <c r="H4465" i="111"/>
  <c r="K4465" i="111" s="1"/>
  <c r="H2492" i="111"/>
  <c r="I2492" i="111" s="1"/>
  <c r="H2129" i="111"/>
  <c r="I2129" i="111" s="1"/>
  <c r="H748" i="111"/>
  <c r="I748" i="111" s="1"/>
  <c r="H3228" i="111"/>
  <c r="I3228" i="111" s="1"/>
  <c r="H3884" i="111"/>
  <c r="I3884" i="111" s="1"/>
  <c r="H814" i="111"/>
  <c r="I814" i="111" s="1"/>
  <c r="G2856" i="111"/>
  <c r="G2857" i="111" s="1"/>
  <c r="H2857" i="111" s="1"/>
  <c r="I2857" i="111" s="1"/>
  <c r="H2854" i="111"/>
  <c r="I2854" i="111" s="1"/>
  <c r="H1782" i="111"/>
  <c r="H1846" i="111" s="1"/>
  <c r="G1846" i="111"/>
  <c r="G2242" i="111"/>
  <c r="G2243" i="111" s="1"/>
  <c r="H2243" i="111" s="1"/>
  <c r="I2243" i="111" s="1"/>
  <c r="H2240" i="111"/>
  <c r="I2240" i="111" s="1"/>
  <c r="G2257" i="111"/>
  <c r="H2257" i="111" s="1"/>
  <c r="I2257" i="111" s="1"/>
  <c r="H3398" i="111"/>
  <c r="I3398" i="111" s="1"/>
  <c r="H1769" i="111"/>
  <c r="I1769" i="111" s="1"/>
  <c r="H3870" i="111"/>
  <c r="I3870" i="111" s="1"/>
  <c r="G3872" i="111"/>
  <c r="H3872" i="111" s="1"/>
  <c r="I3872" i="111" s="1"/>
  <c r="H5685" i="111"/>
  <c r="I5685" i="111" s="1"/>
  <c r="G5687" i="111"/>
  <c r="H2980" i="111"/>
  <c r="I2980" i="111" s="1"/>
  <c r="G2982" i="111"/>
  <c r="H6212" i="111"/>
  <c r="I6212" i="111" s="1"/>
  <c r="G6480" i="111"/>
  <c r="H6480" i="111" s="1"/>
  <c r="I6480" i="111" s="1"/>
  <c r="G6460" i="111"/>
  <c r="H6460" i="111" s="1"/>
  <c r="I6460" i="111" s="1"/>
  <c r="H6458" i="111"/>
  <c r="I6458" i="111" s="1"/>
  <c r="H4270" i="111"/>
  <c r="I4270" i="111" s="1"/>
  <c r="H5604" i="111"/>
  <c r="I5604" i="111" s="1"/>
  <c r="G5606" i="111"/>
  <c r="H6654" i="111"/>
  <c r="I6654" i="111" s="1"/>
  <c r="H4578" i="111"/>
  <c r="I4578" i="111" s="1"/>
  <c r="G5795" i="111"/>
  <c r="H5763" i="111"/>
  <c r="H5795" i="111" s="1"/>
  <c r="H6373" i="111"/>
  <c r="I6373" i="111" s="1"/>
  <c r="G6375" i="111"/>
  <c r="H4753" i="111"/>
  <c r="I4753" i="111" s="1"/>
  <c r="H1458" i="111"/>
  <c r="I1458" i="111" s="1"/>
  <c r="G1460" i="111"/>
  <c r="G5806" i="111"/>
  <c r="G5807" i="111" s="1"/>
  <c r="H5807" i="111" s="1"/>
  <c r="I5807" i="111" s="1"/>
  <c r="H5804" i="111"/>
  <c r="I5804" i="111" s="1"/>
  <c r="G6464" i="111"/>
  <c r="G6465" i="111" s="1"/>
  <c r="H6462" i="111"/>
  <c r="I6462" i="111" s="1"/>
  <c r="H4004" i="111"/>
  <c r="I4004" i="111" s="1"/>
  <c r="G4006" i="111"/>
  <c r="H4006" i="111" s="1"/>
  <c r="I4006" i="111" s="1"/>
  <c r="H5949" i="111"/>
  <c r="I5949" i="111"/>
  <c r="G5617" i="111"/>
  <c r="H5561" i="111"/>
  <c r="G690" i="111"/>
  <c r="H690" i="111" s="1"/>
  <c r="I690" i="111" s="1"/>
  <c r="G704" i="111"/>
  <c r="H704" i="111" s="1"/>
  <c r="I704" i="111" s="1"/>
  <c r="H688" i="111"/>
  <c r="I688" i="111" s="1"/>
  <c r="H5753" i="111"/>
  <c r="I5753" i="111" s="1"/>
  <c r="H656" i="111"/>
  <c r="I656" i="111" s="1"/>
  <c r="G6616" i="111"/>
  <c r="H6616" i="111" s="1"/>
  <c r="I6616" i="111" s="1"/>
  <c r="H6614" i="111"/>
  <c r="I6614" i="111" s="1"/>
  <c r="H5261" i="111"/>
  <c r="I5261" i="111" s="1"/>
  <c r="H1469" i="111"/>
  <c r="I1469" i="111" s="1"/>
  <c r="H2432" i="111"/>
  <c r="I2432" i="111" s="1"/>
  <c r="G2434" i="111"/>
  <c r="H3067" i="111"/>
  <c r="I3067" i="111" s="1"/>
  <c r="H431" i="111"/>
  <c r="I431" i="111" s="1"/>
  <c r="G3350" i="111"/>
  <c r="H3348" i="111"/>
  <c r="I3348" i="111" s="1"/>
  <c r="G3929" i="111"/>
  <c r="H3929" i="111" s="1"/>
  <c r="I3929" i="111" s="1"/>
  <c r="H3927" i="111"/>
  <c r="I3927" i="111" s="1"/>
  <c r="G3933" i="111"/>
  <c r="H3933" i="111" s="1"/>
  <c r="I3933" i="111" s="1"/>
  <c r="H3027" i="111"/>
  <c r="I3027" i="111" s="1"/>
  <c r="G1124" i="111"/>
  <c r="G1125" i="111" s="1"/>
  <c r="H1122" i="111"/>
  <c r="I1122" i="111" s="1"/>
  <c r="G622" i="111"/>
  <c r="H622" i="111" s="1"/>
  <c r="I622" i="111" s="1"/>
  <c r="H620" i="111"/>
  <c r="I620" i="111" s="1"/>
  <c r="H2347" i="111"/>
  <c r="I2347" i="111" s="1"/>
  <c r="H3769" i="111"/>
  <c r="I3769" i="111" s="1"/>
  <c r="G3771" i="111"/>
  <c r="H3771" i="111" s="1"/>
  <c r="I3771" i="111" s="1"/>
  <c r="H3913" i="111"/>
  <c r="I3913" i="111" s="1"/>
  <c r="H2039" i="111"/>
  <c r="H2109" i="111" s="1"/>
  <c r="G2109" i="111"/>
  <c r="G3262" i="111"/>
  <c r="G3263" i="111" s="1"/>
  <c r="H3260" i="111"/>
  <c r="I3260" i="111" s="1"/>
  <c r="H2507" i="111"/>
  <c r="I2507" i="111" s="1"/>
  <c r="G2509" i="111"/>
  <c r="H2509" i="111" s="1"/>
  <c r="I2509" i="111" s="1"/>
  <c r="G2525" i="111"/>
  <c r="H2525" i="111" s="1"/>
  <c r="I2525" i="111" s="1"/>
  <c r="H527" i="111"/>
  <c r="I527" i="111" s="1"/>
  <c r="G529" i="111"/>
  <c r="H1613" i="111"/>
  <c r="I1613" i="111" s="1"/>
  <c r="H1210" i="111"/>
  <c r="H1293" i="111" s="1"/>
  <c r="G1293" i="111"/>
  <c r="H1515" i="111"/>
  <c r="I1515" i="111" s="1"/>
  <c r="G841" i="111"/>
  <c r="H839" i="111"/>
  <c r="I839" i="111" s="1"/>
  <c r="H1514" i="111"/>
  <c r="I1514" i="111" s="1"/>
  <c r="H521" i="111"/>
  <c r="I521" i="111" s="1"/>
  <c r="H1558" i="111"/>
  <c r="I1558" i="111" s="1"/>
  <c r="G1281" i="111"/>
  <c r="H1281" i="111" s="1"/>
  <c r="I1281" i="111" s="1"/>
  <c r="H1279" i="111"/>
  <c r="I1279" i="111" s="1"/>
  <c r="H539" i="111"/>
  <c r="I539" i="111" s="1"/>
  <c r="G541" i="111"/>
  <c r="H541" i="111" s="1"/>
  <c r="I541" i="111" s="1"/>
  <c r="H2798" i="111"/>
  <c r="I2798" i="111" s="1"/>
  <c r="G2800" i="111"/>
  <c r="H159" i="111"/>
  <c r="I159" i="111" s="1"/>
  <c r="G161" i="111"/>
  <c r="H161" i="111" s="1"/>
  <c r="I161" i="111" s="1"/>
  <c r="H350" i="111"/>
  <c r="I350" i="111" s="1"/>
  <c r="H1571" i="111"/>
  <c r="I1571" i="111" s="1"/>
  <c r="G1573" i="111"/>
  <c r="H3372" i="111"/>
  <c r="I3372" i="111" s="1"/>
  <c r="G3374" i="111"/>
  <c r="H3374" i="111" s="1"/>
  <c r="I3374" i="111" s="1"/>
  <c r="H4955" i="111"/>
  <c r="I4955" i="111" s="1"/>
  <c r="G4957" i="111"/>
  <c r="G4969" i="111"/>
  <c r="H4969" i="111" s="1"/>
  <c r="I4969" i="111" s="1"/>
  <c r="G4302" i="111"/>
  <c r="H4248" i="111"/>
  <c r="H3031" i="111"/>
  <c r="I3031" i="111" s="1"/>
  <c r="H3259" i="111"/>
  <c r="H3406" i="111" s="1"/>
  <c r="G3406" i="111"/>
  <c r="H3360" i="111"/>
  <c r="I3360" i="111" s="1"/>
  <c r="G3362" i="111"/>
  <c r="H3362" i="111" s="1"/>
  <c r="I3362" i="111" s="1"/>
  <c r="H1801" i="111"/>
  <c r="I1801" i="111" s="1"/>
  <c r="G3330" i="111"/>
  <c r="H3330" i="111" s="1"/>
  <c r="I3330" i="111" s="1"/>
  <c r="H3328" i="111"/>
  <c r="I3328" i="111" s="1"/>
  <c r="G3539" i="111"/>
  <c r="H3414" i="111"/>
  <c r="H3539" i="111" s="1"/>
  <c r="H4849" i="111"/>
  <c r="I4849" i="111" s="1"/>
  <c r="H5570" i="111"/>
  <c r="I5570" i="111" s="1"/>
  <c r="H3315" i="111"/>
  <c r="I3315" i="111" s="1"/>
  <c r="H4959" i="111"/>
  <c r="I4959" i="111" s="1"/>
  <c r="G4961" i="111"/>
  <c r="H4961" i="111" s="1"/>
  <c r="I4961" i="111" s="1"/>
  <c r="G4540" i="111"/>
  <c r="H4538" i="111"/>
  <c r="I4538" i="111" s="1"/>
  <c r="H1149" i="111"/>
  <c r="I1149" i="111" s="1"/>
  <c r="H2611" i="111"/>
  <c r="I2611" i="111" s="1"/>
  <c r="H5920" i="111"/>
  <c r="I5920" i="111" s="1"/>
  <c r="G6242" i="111"/>
  <c r="H6242" i="111" s="1"/>
  <c r="I6242" i="111" s="1"/>
  <c r="H6240" i="111"/>
  <c r="I6240" i="111" s="1"/>
  <c r="G5546" i="111"/>
  <c r="G5547" i="111" s="1"/>
  <c r="H5547" i="111" s="1"/>
  <c r="I5547" i="111" s="1"/>
  <c r="H5544" i="111"/>
  <c r="I5544" i="111" s="1"/>
  <c r="G5551" i="111"/>
  <c r="H5551" i="111" s="1"/>
  <c r="I5551" i="111" s="1"/>
  <c r="G4221" i="111"/>
  <c r="G4238" i="111"/>
  <c r="H4238" i="111" s="1"/>
  <c r="I4238" i="111" s="1"/>
  <c r="H4219" i="111"/>
  <c r="I4219" i="111" s="1"/>
  <c r="H4869" i="111"/>
  <c r="I4869" i="111" s="1"/>
  <c r="G3156" i="111"/>
  <c r="G3157" i="111" s="1"/>
  <c r="H3157" i="111" s="1"/>
  <c r="I3157" i="111" s="1"/>
  <c r="H3154" i="111"/>
  <c r="I3154" i="111" s="1"/>
  <c r="H3886" i="111"/>
  <c r="I3886" i="111" s="1"/>
  <c r="H5956" i="111"/>
  <c r="I5956" i="111" s="1"/>
  <c r="G5958" i="111"/>
  <c r="G5959" i="111" s="1"/>
  <c r="H5959" i="111" s="1"/>
  <c r="I5959" i="111" s="1"/>
  <c r="G4881" i="111"/>
  <c r="G4882" i="111" s="1"/>
  <c r="H4882" i="111" s="1"/>
  <c r="I4882" i="111" s="1"/>
  <c r="H4879" i="111"/>
  <c r="I4879" i="111" s="1"/>
  <c r="H3468" i="111"/>
  <c r="I3468" i="111" s="1"/>
  <c r="G6123" i="111"/>
  <c r="H6064" i="111"/>
  <c r="G6121" i="111"/>
  <c r="H6121" i="111" s="1"/>
  <c r="I6121" i="111" s="1"/>
  <c r="H6365" i="111"/>
  <c r="I6365" i="111" s="1"/>
  <c r="G6367" i="111"/>
  <c r="G3678" i="111"/>
  <c r="H3678" i="111" s="1"/>
  <c r="I3678" i="111" s="1"/>
  <c r="H3676" i="111"/>
  <c r="I3676" i="111" s="1"/>
  <c r="H6601" i="111"/>
  <c r="I6601" i="111" s="1"/>
  <c r="G3358" i="111"/>
  <c r="H3358" i="111" s="1"/>
  <c r="I3358" i="111" s="1"/>
  <c r="H3356" i="111"/>
  <c r="I3356" i="111" s="1"/>
  <c r="G422" i="111"/>
  <c r="H422" i="111" s="1"/>
  <c r="I422" i="111" s="1"/>
  <c r="H420" i="111"/>
  <c r="I420" i="111" s="1"/>
  <c r="H1220" i="111"/>
  <c r="I1220" i="111" s="1"/>
  <c r="H5042" i="111"/>
  <c r="I5042" i="111" s="1"/>
  <c r="G5044" i="111"/>
  <c r="H5044" i="111" s="1"/>
  <c r="I5044" i="111" s="1"/>
  <c r="H6584" i="111"/>
  <c r="I6584" i="111" s="1"/>
  <c r="H5120" i="111"/>
  <c r="I5120" i="111" s="1"/>
  <c r="G5122" i="111"/>
  <c r="H101" i="111"/>
  <c r="I101" i="111" s="1"/>
  <c r="H5681" i="111"/>
  <c r="I5681" i="111" s="1"/>
  <c r="G5683" i="111"/>
  <c r="H5683" i="111" s="1"/>
  <c r="I5683" i="111" s="1"/>
  <c r="G3065" i="111"/>
  <c r="H3065" i="111" s="1"/>
  <c r="I3065" i="111" s="1"/>
  <c r="H3063" i="111"/>
  <c r="I3063" i="111" s="1"/>
  <c r="H5779" i="111"/>
  <c r="I5779" i="111" s="1"/>
  <c r="G537" i="111"/>
  <c r="H535" i="111"/>
  <c r="I535" i="111" s="1"/>
  <c r="H1192" i="111"/>
  <c r="I1192" i="111" s="1"/>
  <c r="G1194" i="111"/>
  <c r="H1194" i="111" s="1"/>
  <c r="I1194" i="111" s="1"/>
  <c r="AE229" i="113"/>
  <c r="AI229" i="113" s="1"/>
  <c r="AE2274" i="113"/>
  <c r="AI2274" i="113" s="1"/>
  <c r="AE1897" i="113"/>
  <c r="AI1897" i="113" s="1"/>
  <c r="AE719" i="113"/>
  <c r="AI719" i="113" s="1"/>
  <c r="AE1301" i="113"/>
  <c r="AI1301" i="113" s="1"/>
  <c r="AE1368" i="113"/>
  <c r="AI1368" i="113" s="1"/>
  <c r="AE166" i="113"/>
  <c r="AI166" i="113" s="1"/>
  <c r="AE650" i="113"/>
  <c r="AI650" i="113" s="1"/>
  <c r="AE405" i="113"/>
  <c r="AI405" i="113" s="1"/>
  <c r="AE1668" i="113"/>
  <c r="AI1668" i="113" s="1"/>
  <c r="AE1532" i="113"/>
  <c r="AI1532" i="113" s="1"/>
  <c r="AE826" i="113"/>
  <c r="AI826" i="113" s="1"/>
  <c r="AE2164" i="113"/>
  <c r="AI2164" i="113" s="1"/>
  <c r="AE1583" i="113"/>
  <c r="AI1583" i="113" s="1"/>
  <c r="AC361" i="113"/>
  <c r="AG361" i="113" s="1"/>
  <c r="AC1149" i="113"/>
  <c r="AG1149" i="113" s="1"/>
  <c r="AC67" i="113"/>
  <c r="AG67" i="113" s="1"/>
  <c r="AC1788" i="113"/>
  <c r="AG1788" i="113" s="1"/>
  <c r="AC2161" i="113"/>
  <c r="AG2161" i="113" s="1"/>
  <c r="AE577" i="113"/>
  <c r="AI577" i="113" s="1"/>
  <c r="AE434" i="113"/>
  <c r="AI434" i="113" s="1"/>
  <c r="AE2068" i="113"/>
  <c r="AI2068" i="113" s="1"/>
  <c r="AE2155" i="113"/>
  <c r="AI2155" i="113" s="1"/>
  <c r="AE2570" i="113"/>
  <c r="AI2570" i="113" s="1"/>
  <c r="AE1431" i="113"/>
  <c r="AI1431" i="113" s="1"/>
  <c r="AE2012" i="113"/>
  <c r="AI2012" i="113" s="1"/>
  <c r="AE698" i="113"/>
  <c r="AI698" i="113" s="1"/>
  <c r="AE2562" i="113"/>
  <c r="AI2562" i="113" s="1"/>
  <c r="AE2199" i="113"/>
  <c r="AI2199" i="113" s="1"/>
  <c r="AE335" i="113"/>
  <c r="AI335" i="113" s="1"/>
  <c r="AE2603" i="113"/>
  <c r="AI2603" i="113" s="1"/>
  <c r="AE2282" i="113"/>
  <c r="AI2282" i="113" s="1"/>
  <c r="AE831" i="113"/>
  <c r="AI831" i="113" s="1"/>
  <c r="AE2094" i="113"/>
  <c r="AI2094" i="113" s="1"/>
  <c r="AE336" i="113"/>
  <c r="AI336" i="113" s="1"/>
  <c r="AE1692" i="113"/>
  <c r="AI1692" i="113" s="1"/>
  <c r="AE643" i="113"/>
  <c r="AI643" i="113" s="1"/>
  <c r="AE1529" i="113"/>
  <c r="AI1529" i="113" s="1"/>
  <c r="AE1531" i="113"/>
  <c r="AI1531" i="113" s="1"/>
  <c r="AC901" i="113"/>
  <c r="AG901" i="113" s="1"/>
  <c r="AC2418" i="113"/>
  <c r="AG2418" i="113" s="1"/>
  <c r="AC1284" i="113"/>
  <c r="AG1284" i="113" s="1"/>
  <c r="AC2382" i="113"/>
  <c r="AG2382" i="113" s="1"/>
  <c r="AC2" i="113"/>
  <c r="AG2" i="113" s="1"/>
  <c r="AC2524" i="113"/>
  <c r="AG2524" i="113" s="1"/>
  <c r="AC1906" i="113"/>
  <c r="AG1906" i="113" s="1"/>
  <c r="AC243" i="113"/>
  <c r="AG243" i="113" s="1"/>
  <c r="AC2600" i="113"/>
  <c r="AG2600" i="113" s="1"/>
  <c r="AC729" i="113"/>
  <c r="AG729" i="113" s="1"/>
  <c r="AC2657" i="113"/>
  <c r="AG2657" i="113" s="1"/>
  <c r="AC141" i="113"/>
  <c r="AG141" i="113" s="1"/>
  <c r="AC1167" i="113"/>
  <c r="AG1167" i="113" s="1"/>
  <c r="AE2033" i="113"/>
  <c r="AI2033" i="113" s="1"/>
  <c r="AE895" i="113"/>
  <c r="AI895" i="113" s="1"/>
  <c r="AE2236" i="113"/>
  <c r="AI2236" i="113" s="1"/>
  <c r="AE1405" i="113"/>
  <c r="AI1405" i="113" s="1"/>
  <c r="AE1293" i="113"/>
  <c r="AI1293" i="113" s="1"/>
  <c r="AE2197" i="113"/>
  <c r="AI2197" i="113" s="1"/>
  <c r="AE2138" i="113"/>
  <c r="AI2138" i="113" s="1"/>
  <c r="AE2597" i="113"/>
  <c r="AI2597" i="113" s="1"/>
  <c r="AE504" i="113"/>
  <c r="AI504" i="113" s="1"/>
  <c r="AE2463" i="113"/>
  <c r="AI2463" i="113" s="1"/>
  <c r="AE2089" i="113"/>
  <c r="AI2089" i="113" s="1"/>
  <c r="AE2605" i="113"/>
  <c r="AI2605" i="113" s="1"/>
  <c r="AE2099" i="113"/>
  <c r="AI2099" i="113" s="1"/>
  <c r="AE2380" i="113"/>
  <c r="AI2380" i="113" s="1"/>
  <c r="AE1857" i="113"/>
  <c r="AI1857" i="113" s="1"/>
  <c r="AE2446" i="113"/>
  <c r="AI2446" i="113" s="1"/>
  <c r="AE2148" i="113"/>
  <c r="AI2148" i="113" s="1"/>
  <c r="AE2085" i="113"/>
  <c r="AI2085" i="113" s="1"/>
  <c r="AE1944" i="113"/>
  <c r="AI1944" i="113" s="1"/>
  <c r="AE2472" i="113"/>
  <c r="AI2472" i="113" s="1"/>
  <c r="AE1576" i="113"/>
  <c r="AI1576" i="113" s="1"/>
  <c r="AC1577" i="113"/>
  <c r="AG1577" i="113" s="1"/>
  <c r="AC1884" i="113"/>
  <c r="AG1884" i="113" s="1"/>
  <c r="AC278" i="113"/>
  <c r="AG278" i="113" s="1"/>
  <c r="AC1204" i="113"/>
  <c r="AG1204" i="113" s="1"/>
  <c r="AC2453" i="113"/>
  <c r="AG2453" i="113" s="1"/>
  <c r="AC2123" i="113"/>
  <c r="AG2123" i="113" s="1"/>
  <c r="AC541" i="113"/>
  <c r="AG541" i="113" s="1"/>
  <c r="AC671" i="113"/>
  <c r="AG671" i="113" s="1"/>
  <c r="AC1075" i="113"/>
  <c r="AG1075" i="113" s="1"/>
  <c r="AC944" i="113"/>
  <c r="AG944" i="113" s="1"/>
  <c r="AC1593" i="113"/>
  <c r="AG1593" i="113" s="1"/>
  <c r="AC644" i="113"/>
  <c r="AG644" i="113" s="1"/>
  <c r="AC306" i="113"/>
  <c r="AG306" i="113" s="1"/>
  <c r="AE2314" i="113"/>
  <c r="AI2314" i="113" s="1"/>
  <c r="AE1506" i="113"/>
  <c r="AI1506" i="113" s="1"/>
  <c r="AE1216" i="113"/>
  <c r="AI1216" i="113" s="1"/>
  <c r="AE628" i="113"/>
  <c r="AI628" i="113" s="1"/>
  <c r="AE1298" i="113"/>
  <c r="AI1298" i="113" s="1"/>
  <c r="AE2103" i="113"/>
  <c r="AI2103" i="113" s="1"/>
  <c r="AE2190" i="113"/>
  <c r="AI2190" i="113" s="1"/>
  <c r="AE2115" i="113"/>
  <c r="AI2115" i="113" s="1"/>
  <c r="AE1974" i="113"/>
  <c r="AI1974" i="113" s="1"/>
  <c r="AE486" i="113"/>
  <c r="AI486" i="113" s="1"/>
  <c r="AE2423" i="113"/>
  <c r="AI2423" i="113" s="1"/>
  <c r="AE2480" i="113"/>
  <c r="AI2480" i="113" s="1"/>
  <c r="AE409" i="113"/>
  <c r="AI409" i="113" s="1"/>
  <c r="AE1235" i="113"/>
  <c r="AI1235" i="113" s="1"/>
  <c r="AE2550" i="113"/>
  <c r="AI2550" i="113" s="1"/>
  <c r="AE36" i="113"/>
  <c r="AI36" i="113" s="1"/>
  <c r="AE2613" i="113"/>
  <c r="AI2613" i="113" s="1"/>
  <c r="AC597" i="113"/>
  <c r="AG597" i="113" s="1"/>
  <c r="AC441" i="113"/>
  <c r="AG441" i="113" s="1"/>
  <c r="AC2100" i="113"/>
  <c r="AG2100" i="113" s="1"/>
  <c r="AC1836" i="113"/>
  <c r="AG1836" i="113" s="1"/>
  <c r="AC1543" i="113"/>
  <c r="AG1543" i="113" s="1"/>
  <c r="AE881" i="113"/>
  <c r="AI881" i="113" s="1"/>
  <c r="AE987" i="113"/>
  <c r="AI987" i="113" s="1"/>
  <c r="AE832" i="113"/>
  <c r="AI832" i="113" s="1"/>
  <c r="AE2582" i="113"/>
  <c r="AI2582" i="113" s="1"/>
  <c r="AE2575" i="113"/>
  <c r="AI2575" i="113" s="1"/>
  <c r="AE2445" i="113"/>
  <c r="AI2445" i="113" s="1"/>
  <c r="AE2328" i="113"/>
  <c r="AI2328" i="113" s="1"/>
  <c r="AE2286" i="113"/>
  <c r="AI2286" i="113" s="1"/>
  <c r="AE1173" i="113"/>
  <c r="AI1173" i="113" s="1"/>
  <c r="AE825" i="113"/>
  <c r="AI825" i="113" s="1"/>
  <c r="AE1377" i="113"/>
  <c r="AI1377" i="113" s="1"/>
  <c r="AE2504" i="113"/>
  <c r="AI2504" i="113" s="1"/>
  <c r="AE388" i="113"/>
  <c r="AI388" i="113" s="1"/>
  <c r="AE2494" i="113"/>
  <c r="AI2494" i="113" s="1"/>
  <c r="AE1343" i="113"/>
  <c r="AI1343" i="113" s="1"/>
  <c r="AE2295" i="113"/>
  <c r="AI2295" i="113" s="1"/>
  <c r="AE2034" i="113"/>
  <c r="AI2034" i="113" s="1"/>
  <c r="AE1336" i="113"/>
  <c r="AI1336" i="113" s="1"/>
  <c r="AE2572" i="113"/>
  <c r="AI2572" i="113" s="1"/>
  <c r="AE2632" i="113"/>
  <c r="AI2632" i="113" s="1"/>
  <c r="AE2262" i="113"/>
  <c r="AI2262" i="113" s="1"/>
  <c r="AE24" i="113"/>
  <c r="AI24" i="113" s="1"/>
  <c r="AC1622" i="113"/>
  <c r="AG1622" i="113" s="1"/>
  <c r="AC2501" i="113"/>
  <c r="AG2501" i="113" s="1"/>
  <c r="AC615" i="113"/>
  <c r="AG615" i="113" s="1"/>
  <c r="AC2281" i="113"/>
  <c r="AG2281" i="113" s="1"/>
  <c r="AC2038" i="113"/>
  <c r="AG2038" i="113" s="1"/>
  <c r="AC2252" i="113"/>
  <c r="AG2252" i="113" s="1"/>
  <c r="AC1645" i="113"/>
  <c r="AG1645" i="113" s="1"/>
  <c r="AC389" i="113"/>
  <c r="AG389" i="113" s="1"/>
  <c r="AC1975" i="113"/>
  <c r="AG1975" i="113" s="1"/>
  <c r="AC2228" i="113"/>
  <c r="AG2228" i="113" s="1"/>
  <c r="AC1746" i="113"/>
  <c r="AG1746" i="113" s="1"/>
  <c r="AC1950" i="113"/>
  <c r="AG1950" i="113" s="1"/>
  <c r="AC2003" i="113"/>
  <c r="AG2003" i="113" s="1"/>
  <c r="AE1825" i="113"/>
  <c r="AI1825" i="113" s="1"/>
  <c r="AE479" i="113"/>
  <c r="AI479" i="113" s="1"/>
  <c r="AE1671" i="113"/>
  <c r="AI1671" i="113" s="1"/>
  <c r="AE1639" i="113"/>
  <c r="AI1639" i="113" s="1"/>
  <c r="AE1436" i="113"/>
  <c r="AI1436" i="113" s="1"/>
  <c r="AE1168" i="113"/>
  <c r="AI1168" i="113" s="1"/>
  <c r="AE1391" i="113"/>
  <c r="AI1391" i="113" s="1"/>
  <c r="AE138" i="113"/>
  <c r="AI138" i="113" s="1"/>
  <c r="AE2409" i="113"/>
  <c r="AI2409" i="113" s="1"/>
  <c r="AE547" i="113"/>
  <c r="AI547" i="113" s="1"/>
  <c r="AE1457" i="113"/>
  <c r="AI1457" i="113" s="1"/>
  <c r="AE79" i="113"/>
  <c r="AI79" i="113" s="1"/>
  <c r="AC419" i="113"/>
  <c r="AG419" i="113" s="1"/>
  <c r="AE512" i="113"/>
  <c r="AI512" i="113" s="1"/>
  <c r="AE2187" i="113"/>
  <c r="AI2187" i="113" s="1"/>
  <c r="AE1064" i="113"/>
  <c r="AI1064" i="113" s="1"/>
  <c r="AE2124" i="113"/>
  <c r="AI2124" i="113" s="1"/>
  <c r="AE329" i="113"/>
  <c r="AI329" i="113" s="1"/>
  <c r="AE2519" i="113"/>
  <c r="AI2519" i="113" s="1"/>
  <c r="AE2176" i="113"/>
  <c r="AI2176" i="113" s="1"/>
  <c r="AE1710" i="113"/>
  <c r="AI1710" i="113" s="1"/>
  <c r="AE322" i="113"/>
  <c r="AI322" i="113" s="1"/>
  <c r="AE2289" i="113"/>
  <c r="AI2289" i="113" s="1"/>
  <c r="AE378" i="113"/>
  <c r="AI378" i="113" s="1"/>
  <c r="AE1242" i="113"/>
  <c r="AI1242" i="113" s="1"/>
  <c r="AE2331" i="113"/>
  <c r="AI2331" i="113" s="1"/>
  <c r="AE1357" i="113"/>
  <c r="AI1357" i="113" s="1"/>
  <c r="AE2450" i="113"/>
  <c r="AI2450" i="113" s="1"/>
  <c r="AE313" i="113"/>
  <c r="AI313" i="113" s="1"/>
  <c r="AE2467" i="113"/>
  <c r="AI2467" i="113" s="1"/>
  <c r="AE1468" i="113"/>
  <c r="AI1468" i="113" s="1"/>
  <c r="AC1719" i="113"/>
  <c r="AG1719" i="113" s="1"/>
  <c r="AE476" i="113"/>
  <c r="AI476" i="113" s="1"/>
  <c r="AE692" i="113"/>
  <c r="AI692" i="113" s="1"/>
  <c r="AE2297" i="113"/>
  <c r="AI2297" i="113" s="1"/>
  <c r="AC1432" i="113"/>
  <c r="AG1432" i="113" s="1"/>
  <c r="AC211" i="113"/>
  <c r="AG211" i="113" s="1"/>
  <c r="AC1013" i="113"/>
  <c r="AG1013" i="113" s="1"/>
  <c r="AC1451" i="113"/>
  <c r="AG1451" i="113" s="1"/>
  <c r="AC697" i="113"/>
  <c r="AG697" i="113" s="1"/>
  <c r="AC2318" i="113"/>
  <c r="AG2318" i="113" s="1"/>
  <c r="AC180" i="113"/>
  <c r="AG180" i="113" s="1"/>
  <c r="AC1103" i="113"/>
  <c r="AG1103" i="113" s="1"/>
  <c r="AC477" i="113"/>
  <c r="AG477" i="113" s="1"/>
  <c r="AC2556" i="113"/>
  <c r="AG2556" i="113" s="1"/>
  <c r="AC338" i="113"/>
  <c r="AG338" i="113" s="1"/>
  <c r="AC806" i="113"/>
  <c r="AG806" i="113" s="1"/>
  <c r="AC1494" i="113"/>
  <c r="AG1494" i="113" s="1"/>
  <c r="AE624" i="113"/>
  <c r="AI624" i="113" s="1"/>
  <c r="AE2663" i="113"/>
  <c r="AI2663" i="113" s="1"/>
  <c r="AE1951" i="113"/>
  <c r="AI1951" i="113" s="1"/>
  <c r="AE1867" i="113"/>
  <c r="AI1867" i="113" s="1"/>
  <c r="AE2618" i="113"/>
  <c r="AI2618" i="113" s="1"/>
  <c r="AE1108" i="113"/>
  <c r="AI1108" i="113" s="1"/>
  <c r="AE1762" i="113"/>
  <c r="AI1762" i="113" s="1"/>
  <c r="AE2404" i="113"/>
  <c r="AI2404" i="113" s="1"/>
  <c r="AE215" i="113"/>
  <c r="AI215" i="113" s="1"/>
  <c r="AE367" i="113"/>
  <c r="AI367" i="113" s="1"/>
  <c r="AE688" i="113"/>
  <c r="AI688" i="113" s="1"/>
  <c r="AE1424" i="113"/>
  <c r="AI1424" i="113" s="1"/>
  <c r="AE528" i="113"/>
  <c r="AI528" i="113" s="1"/>
  <c r="AE2675" i="113"/>
  <c r="AI2675" i="113" s="1"/>
  <c r="AE1923" i="113"/>
  <c r="AI1923" i="113" s="1"/>
  <c r="AE2211" i="113"/>
  <c r="AI2211" i="113" s="1"/>
  <c r="AE1070" i="113"/>
  <c r="AI1070" i="113" s="1"/>
  <c r="AE2547" i="113"/>
  <c r="AI2547" i="113" s="1"/>
  <c r="AE526" i="113"/>
  <c r="AI526" i="113" s="1"/>
  <c r="AE1745" i="113"/>
  <c r="AI1745" i="113" s="1"/>
  <c r="AE610" i="113"/>
  <c r="AI610" i="113" s="1"/>
  <c r="AE1580" i="113"/>
  <c r="AI1580" i="113" s="1"/>
  <c r="AE1066" i="113"/>
  <c r="AI1066" i="113" s="1"/>
  <c r="AE2529" i="113"/>
  <c r="AI2529" i="113" s="1"/>
  <c r="AE2270" i="113"/>
  <c r="AI2270" i="113" s="1"/>
  <c r="AE1447" i="113"/>
  <c r="AI1447" i="113" s="1"/>
  <c r="AE586" i="113"/>
  <c r="AI586" i="113" s="1"/>
  <c r="AE1888" i="113"/>
  <c r="AI1888" i="113" s="1"/>
  <c r="AE1801" i="113"/>
  <c r="AI1801" i="113" s="1"/>
  <c r="AE1695" i="113"/>
  <c r="AI1695" i="113" s="1"/>
  <c r="AE958" i="113"/>
  <c r="AI958" i="113" s="1"/>
  <c r="AE2634" i="113"/>
  <c r="AI2634" i="113" s="1"/>
  <c r="AE1687" i="113"/>
  <c r="AI1687" i="113" s="1"/>
  <c r="AE630" i="113"/>
  <c r="AI630" i="113" s="1"/>
  <c r="AE1967" i="113"/>
  <c r="AI1967" i="113" s="1"/>
  <c r="AC2352" i="113"/>
  <c r="AG2352" i="113" s="1"/>
  <c r="AC2474" i="113"/>
  <c r="AG2474" i="113" s="1"/>
  <c r="AC1680" i="113"/>
  <c r="AG1680" i="113" s="1"/>
  <c r="AC2204" i="113"/>
  <c r="AG2204" i="113" s="1"/>
  <c r="AC2369" i="113"/>
  <c r="AG2369" i="113" s="1"/>
  <c r="AC1040" i="113"/>
  <c r="AG1040" i="113" s="1"/>
  <c r="AC838" i="113"/>
  <c r="AG838" i="113" s="1"/>
  <c r="AC2175" i="113"/>
  <c r="AG2175" i="113" s="1"/>
  <c r="AC2305" i="113"/>
  <c r="AG2305" i="113" s="1"/>
  <c r="AC511" i="113"/>
  <c r="AG511" i="113" s="1"/>
  <c r="AC1778" i="113"/>
  <c r="AG1778" i="113" s="1"/>
  <c r="AC1865" i="113"/>
  <c r="AG1865" i="113" s="1"/>
  <c r="AC1236" i="113"/>
  <c r="AG1236" i="113" s="1"/>
  <c r="AE2623" i="113"/>
  <c r="AI2623" i="113" s="1"/>
  <c r="AE74" i="113"/>
  <c r="AI74" i="113" s="1"/>
  <c r="AE1999" i="113"/>
  <c r="AI1999" i="113" s="1"/>
  <c r="AE1991" i="113"/>
  <c r="AI1991" i="113" s="1"/>
  <c r="AE2244" i="113"/>
  <c r="AI2244" i="113" s="1"/>
  <c r="AE2347" i="113"/>
  <c r="AI2347" i="113" s="1"/>
  <c r="AE201" i="113"/>
  <c r="AI201" i="113" s="1"/>
  <c r="AE1117" i="113"/>
  <c r="AI1117" i="113" s="1"/>
  <c r="AE1644" i="113"/>
  <c r="AI1644" i="113" s="1"/>
  <c r="AE2543" i="113"/>
  <c r="AI2543" i="113" s="1"/>
  <c r="AE589" i="113"/>
  <c r="AI589" i="113" s="1"/>
  <c r="AE402" i="113"/>
  <c r="AI402" i="113" s="1"/>
  <c r="AE1345" i="113"/>
  <c r="AI1345" i="113" s="1"/>
  <c r="AE1209" i="113"/>
  <c r="AI1209" i="113" s="1"/>
  <c r="AE1725" i="113"/>
  <c r="AI1725" i="113" s="1"/>
  <c r="AE2029" i="113"/>
  <c r="AI2029" i="113" s="1"/>
  <c r="AE867" i="113"/>
  <c r="AI867" i="113" s="1"/>
  <c r="AE2284" i="113"/>
  <c r="AI2284" i="113" s="1"/>
  <c r="AE1356" i="113"/>
  <c r="AI1356" i="113" s="1"/>
  <c r="AE314" i="113"/>
  <c r="AI314" i="113" s="1"/>
  <c r="AE2195" i="113"/>
  <c r="AI2195" i="113" s="1"/>
  <c r="AE2218" i="113"/>
  <c r="AI2218" i="113" s="1"/>
  <c r="AE1811" i="113"/>
  <c r="AI1811" i="113" s="1"/>
  <c r="AE917" i="113"/>
  <c r="AI917" i="113" s="1"/>
  <c r="AE1261" i="113"/>
  <c r="AI1261" i="113" s="1"/>
  <c r="AE1342" i="113"/>
  <c r="AI1342" i="113" s="1"/>
  <c r="AE2676" i="113"/>
  <c r="AI2676" i="113" s="1"/>
  <c r="AE1703" i="113"/>
  <c r="AI1703" i="113" s="1"/>
  <c r="AE2054" i="113"/>
  <c r="AI2054" i="113" s="1"/>
  <c r="AE484" i="113"/>
  <c r="AI484" i="113" s="1"/>
  <c r="AC125" i="113"/>
  <c r="AG125" i="113" s="1"/>
  <c r="AE1110" i="113"/>
  <c r="AI1110" i="113" s="1"/>
  <c r="AE1307" i="113"/>
  <c r="AI1307" i="113" s="1"/>
  <c r="AE2307" i="113"/>
  <c r="AI2307" i="113" s="1"/>
  <c r="AE2166" i="113"/>
  <c r="AI2166" i="113" s="1"/>
  <c r="AE1153" i="113"/>
  <c r="AI1153" i="113" s="1"/>
  <c r="AE1263" i="113"/>
  <c r="AI1263" i="113" s="1"/>
  <c r="AE598" i="113"/>
  <c r="AI598" i="113" s="1"/>
  <c r="AE1927" i="113"/>
  <c r="AI1927" i="113" s="1"/>
  <c r="AE1022" i="113"/>
  <c r="AI1022" i="113" s="1"/>
  <c r="AE1195" i="113"/>
  <c r="AI1195" i="113" s="1"/>
  <c r="AE442" i="113"/>
  <c r="AI442" i="113" s="1"/>
  <c r="AE1398" i="113"/>
  <c r="AI1398" i="113" s="1"/>
  <c r="AE1068" i="113"/>
  <c r="AI1068" i="113" s="1"/>
  <c r="AE2363" i="113"/>
  <c r="AI2363" i="113" s="1"/>
  <c r="AE1417" i="113"/>
  <c r="AI1417" i="113" s="1"/>
  <c r="AE2478" i="113"/>
  <c r="AI2478" i="113" s="1"/>
  <c r="AE2330" i="113"/>
  <c r="AI2330" i="113" s="1"/>
  <c r="AE1969" i="113"/>
  <c r="AI1969" i="113" s="1"/>
  <c r="AE1613" i="113"/>
  <c r="AI1613" i="113" s="1"/>
  <c r="AE2031" i="113"/>
  <c r="AI2031" i="113" s="1"/>
  <c r="AE315" i="113"/>
  <c r="AI315" i="113" s="1"/>
  <c r="AE1661" i="113"/>
  <c r="AI1661" i="113" s="1"/>
  <c r="AE1062" i="113"/>
  <c r="AI1062" i="113" s="1"/>
  <c r="AE1759" i="113"/>
  <c r="AI1759" i="113" s="1"/>
  <c r="AE2057" i="113"/>
  <c r="AI2057" i="113" s="1"/>
  <c r="AE2612" i="113"/>
  <c r="AI2612" i="113" s="1"/>
  <c r="AE148" i="113"/>
  <c r="AI148" i="113" s="1"/>
  <c r="AE668" i="113"/>
  <c r="AI668" i="113" s="1"/>
  <c r="AE1147" i="113"/>
  <c r="AI1147" i="113" s="1"/>
  <c r="AE1229" i="113"/>
  <c r="AI1229" i="113" s="1"/>
  <c r="AE812" i="113"/>
  <c r="AI812" i="113" s="1"/>
  <c r="AE2477" i="113"/>
  <c r="AI2477" i="113" s="1"/>
  <c r="AE391" i="113"/>
  <c r="AI391" i="113" s="1"/>
  <c r="AE2229" i="113"/>
  <c r="AI2229" i="113" s="1"/>
  <c r="AE2260" i="113"/>
  <c r="AI2260" i="113" s="1"/>
  <c r="AE1450" i="113"/>
  <c r="AI1450" i="113" s="1"/>
  <c r="AE1403" i="113"/>
  <c r="AI1403" i="113" s="1"/>
  <c r="AE874" i="113"/>
  <c r="AI874" i="113" s="1"/>
  <c r="AE356" i="113"/>
  <c r="AI356" i="113" s="1"/>
  <c r="AE1524" i="113"/>
  <c r="AI1524" i="113" s="1"/>
  <c r="AE2540" i="113"/>
  <c r="AI2540" i="113" s="1"/>
  <c r="AE1601" i="113"/>
  <c r="AI1601" i="113" s="1"/>
  <c r="AE2317" i="113"/>
  <c r="AI2317" i="113" s="1"/>
  <c r="AE1275" i="113"/>
  <c r="AI1275" i="113" s="1"/>
  <c r="AE2647" i="113"/>
  <c r="AI2647" i="113" s="1"/>
  <c r="AE2080" i="113"/>
  <c r="AI2080" i="113" s="1"/>
  <c r="AE1620" i="113"/>
  <c r="AI1620" i="113" s="1"/>
  <c r="AE860" i="113"/>
  <c r="AI860" i="113" s="1"/>
  <c r="AE1131" i="113"/>
  <c r="AI1131" i="113" s="1"/>
  <c r="AE2428" i="113"/>
  <c r="AI2428" i="113" s="1"/>
  <c r="AE2160" i="113"/>
  <c r="AI2160" i="113" s="1"/>
  <c r="AE565" i="113"/>
  <c r="AI565" i="113" s="1"/>
  <c r="AE1508" i="113"/>
  <c r="AI1508" i="113" s="1"/>
  <c r="AE264" i="113"/>
  <c r="AI264" i="113" s="1"/>
  <c r="AE2251" i="113"/>
  <c r="AI2251" i="113" s="1"/>
  <c r="AE1977" i="113"/>
  <c r="AI1977" i="113" s="1"/>
  <c r="AE2431" i="113"/>
  <c r="AI2431" i="113" s="1"/>
  <c r="AE152" i="113"/>
  <c r="AI152" i="113" s="1"/>
  <c r="AE2265" i="113"/>
  <c r="AI2265" i="113" s="1"/>
  <c r="AE2052" i="113"/>
  <c r="AI2052" i="113" s="1"/>
  <c r="AE1879" i="113"/>
  <c r="AI1879" i="113" s="1"/>
  <c r="AE2178" i="113"/>
  <c r="AI2178" i="113" s="1"/>
  <c r="AE1666" i="113"/>
  <c r="AI1666" i="113" s="1"/>
  <c r="AE1338" i="113"/>
  <c r="AI1338" i="113" s="1"/>
  <c r="AE437" i="113"/>
  <c r="AI437" i="113" s="1"/>
  <c r="AE43" i="113"/>
  <c r="AI43" i="113" s="1"/>
  <c r="AE1160" i="113"/>
  <c r="AI1160" i="113" s="1"/>
  <c r="AE1574" i="113"/>
  <c r="AI1574" i="113" s="1"/>
  <c r="AC2625" i="113"/>
  <c r="AG2625" i="113" s="1"/>
  <c r="AC1813" i="113"/>
  <c r="AG1813" i="113" s="1"/>
  <c r="AC2072" i="113"/>
  <c r="AG2072" i="113" s="1"/>
  <c r="AC26" i="113"/>
  <c r="AG26" i="113" s="1"/>
  <c r="AC864" i="113"/>
  <c r="AG864" i="113" s="1"/>
  <c r="AC1128" i="113"/>
  <c r="AG1128" i="113" s="1"/>
  <c r="AC582" i="113"/>
  <c r="AG582" i="113" s="1"/>
  <c r="AC2399" i="113"/>
  <c r="AG2399" i="113" s="1"/>
  <c r="AC167" i="113"/>
  <c r="AG167" i="113" s="1"/>
  <c r="AC94" i="113"/>
  <c r="AG94" i="113" s="1"/>
  <c r="AC988" i="113"/>
  <c r="AG988" i="113" s="1"/>
  <c r="AC1306" i="113"/>
  <c r="AG1306" i="113" s="1"/>
  <c r="AC770" i="113"/>
  <c r="AG770" i="113" s="1"/>
  <c r="AE374" i="113"/>
  <c r="AI374" i="113" s="1"/>
  <c r="AE1415" i="113"/>
  <c r="AI1415" i="113" s="1"/>
  <c r="AE2578" i="113"/>
  <c r="AI2578" i="113" s="1"/>
  <c r="AE979" i="113"/>
  <c r="AI979" i="113" s="1"/>
  <c r="AE2411" i="113"/>
  <c r="AI2411" i="113" s="1"/>
  <c r="AE2064" i="113"/>
  <c r="AI2064" i="113" s="1"/>
  <c r="AE2067" i="113"/>
  <c r="AI2067" i="113" s="1"/>
  <c r="AE462" i="113"/>
  <c r="AI462" i="113" s="1"/>
  <c r="AE2655" i="113"/>
  <c r="AI2655" i="113" s="1"/>
  <c r="AE1646" i="113"/>
  <c r="AI1646" i="113" s="1"/>
  <c r="AE2645" i="113"/>
  <c r="AI2645" i="113" s="1"/>
  <c r="AE1632" i="113"/>
  <c r="AI1632" i="113" s="1"/>
  <c r="AE2267" i="113"/>
  <c r="AI2267" i="113" s="1"/>
  <c r="AE2413" i="113"/>
  <c r="AI2413" i="113" s="1"/>
  <c r="AE2590" i="113"/>
  <c r="AI2590" i="113" s="1"/>
  <c r="AE106" i="113"/>
  <c r="AI106" i="113" s="1"/>
  <c r="AE1347" i="113"/>
  <c r="AI1347" i="113" s="1"/>
  <c r="AE2633" i="113"/>
  <c r="AI2633" i="113" s="1"/>
  <c r="AE1049" i="113"/>
  <c r="AI1049" i="113" s="1"/>
  <c r="AE2337" i="113"/>
  <c r="AI2337" i="113" s="1"/>
  <c r="AE2648" i="113"/>
  <c r="AI2648" i="113" s="1"/>
  <c r="AE1480" i="113"/>
  <c r="AI1480" i="113" s="1"/>
  <c r="AE2567" i="113"/>
  <c r="AI2567" i="113" s="1"/>
  <c r="AE1625" i="113"/>
  <c r="AI1625" i="113" s="1"/>
  <c r="AE1300" i="113"/>
  <c r="AI1300" i="113" s="1"/>
  <c r="AE798" i="113"/>
  <c r="AI798" i="113" s="1"/>
  <c r="AE1900" i="113"/>
  <c r="AI1900" i="113" s="1"/>
  <c r="AE2272" i="113"/>
  <c r="AI2272" i="113" s="1"/>
  <c r="AE1203" i="113"/>
  <c r="AI1203" i="113" s="1"/>
  <c r="AE846" i="113"/>
  <c r="AI846" i="113" s="1"/>
  <c r="AE1352" i="113"/>
  <c r="AI1352" i="113" s="1"/>
  <c r="AE1286" i="113"/>
  <c r="AI1286" i="113" s="1"/>
  <c r="AE1548" i="113"/>
  <c r="AI1548" i="113" s="1"/>
  <c r="AE2666" i="113"/>
  <c r="AI2666" i="113" s="1"/>
  <c r="AE2638" i="113"/>
  <c r="AI2638" i="113" s="1"/>
  <c r="AE1941" i="113"/>
  <c r="AI1941" i="113" s="1"/>
  <c r="AE797" i="113"/>
  <c r="AI797" i="113" s="1"/>
  <c r="AE1036" i="113"/>
  <c r="AI1036" i="113" s="1"/>
  <c r="AE588" i="113"/>
  <c r="AI588" i="113" s="1"/>
  <c r="AE1851" i="113"/>
  <c r="AI1851" i="113" s="1"/>
  <c r="AE1492" i="113"/>
  <c r="AI1492" i="113" s="1"/>
  <c r="AE2300" i="113"/>
  <c r="AI2300" i="113" s="1"/>
  <c r="AE1550" i="113"/>
  <c r="AI1550" i="113" s="1"/>
  <c r="AE1690" i="113"/>
  <c r="AI1690" i="113" s="1"/>
  <c r="AE2495" i="113"/>
  <c r="AI2495" i="113" s="1"/>
  <c r="AE1340" i="113"/>
  <c r="AI1340" i="113" s="1"/>
  <c r="AE1244" i="113"/>
  <c r="AI1244" i="113" s="1"/>
  <c r="AE360" i="113"/>
  <c r="AI360" i="113" s="1"/>
  <c r="AE75" i="113"/>
  <c r="AI75" i="113" s="1"/>
  <c r="AE2222" i="113"/>
  <c r="AI2222" i="113" s="1"/>
  <c r="AE930" i="113"/>
  <c r="AI930" i="113" s="1"/>
  <c r="AE439" i="113"/>
  <c r="AI439" i="113" s="1"/>
  <c r="AE1180" i="113"/>
  <c r="AI1180" i="113" s="1"/>
  <c r="AE1846" i="113"/>
  <c r="AI1846" i="113" s="1"/>
  <c r="AE208" i="113"/>
  <c r="AI208" i="113" s="1"/>
  <c r="AE2261" i="113"/>
  <c r="AI2261" i="113" s="1"/>
  <c r="AE2670" i="113"/>
  <c r="AI2670" i="113" s="1"/>
  <c r="AE2096" i="113"/>
  <c r="AI2096" i="113" s="1"/>
  <c r="AE1946" i="113"/>
  <c r="AI1946" i="113" s="1"/>
  <c r="AE2071" i="113"/>
  <c r="AI2071" i="113" s="1"/>
  <c r="AE591" i="113"/>
  <c r="AI591" i="113" s="1"/>
  <c r="AE1315" i="113"/>
  <c r="AI1315" i="113" s="1"/>
  <c r="AE1513" i="113"/>
  <c r="AI1513" i="113" s="1"/>
  <c r="AE2247" i="113"/>
  <c r="AI2247" i="113" s="1"/>
  <c r="AE727" i="113"/>
  <c r="AI727" i="113" s="1"/>
  <c r="AE507" i="113"/>
  <c r="AI507" i="113" s="1"/>
  <c r="AE2227" i="113"/>
  <c r="AI2227" i="113" s="1"/>
  <c r="AE2026" i="113"/>
  <c r="AI2026" i="113" s="1"/>
  <c r="AE776" i="113"/>
  <c r="AI776" i="113" s="1"/>
  <c r="AE889" i="113"/>
  <c r="AI889" i="113" s="1"/>
  <c r="AE609" i="113"/>
  <c r="AI609" i="113" s="1"/>
  <c r="AE1078" i="113"/>
  <c r="AI1078" i="113" s="1"/>
  <c r="AE2239" i="113"/>
  <c r="AI2239" i="113" s="1"/>
  <c r="AE2379" i="113"/>
  <c r="AI2379" i="113" s="1"/>
  <c r="AE346" i="113"/>
  <c r="AI346" i="113" s="1"/>
  <c r="AE1119" i="113"/>
  <c r="AI1119" i="113" s="1"/>
  <c r="AE1440" i="113"/>
  <c r="AI1440" i="113" s="1"/>
  <c r="AE2223" i="113"/>
  <c r="AI2223" i="113" s="1"/>
  <c r="AE1773" i="113"/>
  <c r="AI1773" i="113" s="1"/>
  <c r="AE658" i="113"/>
  <c r="AI658" i="113" s="1"/>
  <c r="AE49" i="113"/>
  <c r="AI49" i="113" s="1"/>
  <c r="AE1566" i="113"/>
  <c r="AI1566" i="113" s="1"/>
  <c r="AE308" i="113"/>
  <c r="AI308" i="113" s="1"/>
  <c r="AE2131" i="113"/>
  <c r="AI2131" i="113" s="1"/>
  <c r="AE173" i="113"/>
  <c r="AI173" i="113" s="1"/>
  <c r="AE1552" i="113"/>
  <c r="AI1552" i="113" s="1"/>
  <c r="AE2342" i="113"/>
  <c r="AI2342" i="113" s="1"/>
  <c r="AE2565" i="113"/>
  <c r="AI2565" i="113" s="1"/>
  <c r="AE96" i="113"/>
  <c r="AI96" i="113" s="1"/>
  <c r="AE2508" i="113"/>
  <c r="AI2508" i="113" s="1"/>
  <c r="AE1855" i="113"/>
  <c r="AI1855" i="113" s="1"/>
  <c r="AE993" i="113"/>
  <c r="AI993" i="113" s="1"/>
  <c r="AE677" i="113"/>
  <c r="AI677" i="113" s="1"/>
  <c r="AE392" i="113"/>
  <c r="AI392" i="113" s="1"/>
  <c r="AE1935" i="113"/>
  <c r="AI1935" i="113" s="1"/>
  <c r="AE1125" i="113"/>
  <c r="AI1125" i="113" s="1"/>
  <c r="AE707" i="113"/>
  <c r="AI707" i="113" s="1"/>
  <c r="AE1536" i="113"/>
  <c r="AI1536" i="113" s="1"/>
  <c r="AE2113" i="113"/>
  <c r="AI2113" i="113" s="1"/>
  <c r="AE25" i="113"/>
  <c r="AI25" i="113" s="1"/>
  <c r="AE833" i="113"/>
  <c r="AI833" i="113" s="1"/>
  <c r="AE2326" i="113"/>
  <c r="AI2326" i="113" s="1"/>
  <c r="AE2662" i="113"/>
  <c r="AI2662" i="113" s="1"/>
  <c r="AE427" i="113"/>
  <c r="AI427" i="113" s="1"/>
  <c r="AE1094" i="113"/>
  <c r="AI1094" i="113" s="1"/>
  <c r="AE1723" i="113"/>
  <c r="AI1723" i="113" s="1"/>
  <c r="AE2312" i="113"/>
  <c r="AI2312" i="113" s="1"/>
  <c r="AE2592" i="113"/>
  <c r="AI2592" i="113" s="1"/>
  <c r="AE1869" i="113"/>
  <c r="AI1869" i="113" s="1"/>
  <c r="AE64" i="113"/>
  <c r="AI64" i="113" s="1"/>
  <c r="AE131" i="113"/>
  <c r="AI131" i="113" s="1"/>
  <c r="AE554" i="113"/>
  <c r="AI554" i="113" s="1"/>
  <c r="AE2061" i="113"/>
  <c r="AI2061" i="113" s="1"/>
  <c r="AE2617" i="113"/>
  <c r="AI2617" i="113" s="1"/>
  <c r="AE1254" i="113"/>
  <c r="AI1254" i="113" s="1"/>
  <c r="AE2145" i="113"/>
  <c r="AI2145" i="113" s="1"/>
  <c r="AE2351" i="113"/>
  <c r="AI2351" i="113" s="1"/>
  <c r="AE568" i="113"/>
  <c r="AI568" i="113" s="1"/>
  <c r="AE35" i="113"/>
  <c r="AI35" i="113" s="1"/>
  <c r="AE285" i="113"/>
  <c r="AI285" i="113" s="1"/>
  <c r="AE2401" i="113"/>
  <c r="AI2401" i="113" s="1"/>
  <c r="AE2377" i="113"/>
  <c r="AI2377" i="113" s="1"/>
  <c r="AE2514" i="113"/>
  <c r="AI2514" i="113" s="1"/>
  <c r="AE535" i="113"/>
  <c r="AI535" i="113" s="1"/>
  <c r="AE2302" i="113"/>
  <c r="AI2302" i="113" s="1"/>
  <c r="AE1829" i="113"/>
  <c r="AI1829" i="113" s="1"/>
  <c r="AE1461" i="113"/>
  <c r="AI1461" i="113" s="1"/>
  <c r="AE1026" i="113"/>
  <c r="AI1026" i="113" s="1"/>
  <c r="AE1224" i="113"/>
  <c r="AI1224" i="113" s="1"/>
  <c r="AE1370" i="113"/>
  <c r="AI1370" i="113" s="1"/>
  <c r="AE1050" i="113"/>
  <c r="AI1050" i="113" s="1"/>
  <c r="AE1485" i="113"/>
  <c r="AI1485" i="113" s="1"/>
  <c r="AE1033" i="113"/>
  <c r="AI1033" i="113" s="1"/>
  <c r="AE271" i="113"/>
  <c r="AI271" i="113" s="1"/>
  <c r="AE959" i="113"/>
  <c r="AI959" i="113" s="1"/>
  <c r="AE619" i="113"/>
  <c r="AI619" i="113" s="1"/>
  <c r="AE1429" i="113"/>
  <c r="AI1429" i="113" s="1"/>
  <c r="AE581" i="113"/>
  <c r="AI581" i="113" s="1"/>
  <c r="AE1816" i="113"/>
  <c r="AI1816" i="113" s="1"/>
  <c r="AE2515" i="113"/>
  <c r="AI2515" i="113" s="1"/>
  <c r="AE1194" i="113"/>
  <c r="AI1194" i="113" s="1"/>
  <c r="AE1277" i="113"/>
  <c r="AI1277" i="113" s="1"/>
  <c r="AE2549" i="113"/>
  <c r="AI2549" i="113" s="1"/>
  <c r="AE735" i="113"/>
  <c r="AI735" i="113" s="1"/>
  <c r="AE236" i="113"/>
  <c r="AI236" i="113" s="1"/>
  <c r="AE1028" i="113"/>
  <c r="AI1028" i="113" s="1"/>
  <c r="AE2588" i="113"/>
  <c r="AI2588" i="113" s="1"/>
  <c r="AE2134" i="113"/>
  <c r="AI2134" i="113" s="1"/>
  <c r="AE1557" i="113"/>
  <c r="AI1557" i="113" s="1"/>
  <c r="AE377" i="113"/>
  <c r="AI377" i="113" s="1"/>
  <c r="AE1291" i="113"/>
  <c r="AI1291" i="113" s="1"/>
  <c r="AE2522" i="113"/>
  <c r="AI2522" i="113" s="1"/>
  <c r="AE706" i="113"/>
  <c r="AI706" i="113" s="1"/>
  <c r="AE357" i="113"/>
  <c r="AI357" i="113" s="1"/>
  <c r="AE2641" i="113"/>
  <c r="AI2641" i="113" s="1"/>
  <c r="AE2483" i="113"/>
  <c r="AI2483" i="113" s="1"/>
  <c r="AE2206" i="113"/>
  <c r="AI2206" i="113" s="1"/>
  <c r="AE2392" i="113"/>
  <c r="AI2392" i="113" s="1"/>
  <c r="AE678" i="113"/>
  <c r="AI678" i="113" s="1"/>
  <c r="AE909" i="113"/>
  <c r="AI909" i="113" s="1"/>
  <c r="AE647" i="113"/>
  <c r="AI647" i="113" s="1"/>
  <c r="AE1230" i="113"/>
  <c r="AI1230" i="113" s="1"/>
  <c r="AE711" i="113"/>
  <c r="AI711" i="113" s="1"/>
  <c r="AE2194" i="113"/>
  <c r="AI2194" i="113" s="1"/>
  <c r="AE2502" i="113"/>
  <c r="AI2502" i="113" s="1"/>
  <c r="AE1939" i="113"/>
  <c r="AI1939" i="113" s="1"/>
  <c r="AE549" i="113"/>
  <c r="AI549" i="113" s="1"/>
  <c r="AE664" i="113"/>
  <c r="AI664" i="113" s="1"/>
  <c r="AE1914" i="113"/>
  <c r="AI1914" i="113" s="1"/>
  <c r="AE1454" i="113"/>
  <c r="AI1454" i="113" s="1"/>
  <c r="AE748" i="113"/>
  <c r="AI748" i="113" s="1"/>
  <c r="AE1210" i="113"/>
  <c r="AI1210" i="113" s="1"/>
  <c r="AE1462" i="113"/>
  <c r="AI1462" i="113" s="1"/>
  <c r="AE1322" i="113"/>
  <c r="AI1322" i="113" s="1"/>
  <c r="AE2069" i="113"/>
  <c r="AI2069" i="113" s="1"/>
  <c r="AE2669" i="113"/>
  <c r="AI2669" i="113" s="1"/>
  <c r="AE2022" i="113"/>
  <c r="AI2022" i="113" s="1"/>
  <c r="AE769" i="113"/>
  <c r="AI769" i="113" s="1"/>
  <c r="AE2673" i="113"/>
  <c r="AI2673" i="113" s="1"/>
  <c r="AE1380" i="113"/>
  <c r="AI1380" i="113" s="1"/>
  <c r="AE2335" i="113"/>
  <c r="AI2335" i="113" s="1"/>
  <c r="AE350" i="113"/>
  <c r="AI350" i="113" s="1"/>
  <c r="AE444" i="113"/>
  <c r="AI444" i="113" s="1"/>
  <c r="AE2372" i="113"/>
  <c r="AI2372" i="113" s="1"/>
  <c r="AE1375" i="113"/>
  <c r="AI1375" i="113" s="1"/>
  <c r="AE2658" i="113"/>
  <c r="AI2658" i="113" s="1"/>
  <c r="AE490" i="113"/>
  <c r="AI490" i="113" s="1"/>
  <c r="AE1231" i="113"/>
  <c r="AI1231" i="113" s="1"/>
  <c r="AE861" i="113"/>
  <c r="AI861" i="113" s="1"/>
  <c r="AE596" i="113"/>
  <c r="AI596" i="113" s="1"/>
  <c r="AE2642" i="113"/>
  <c r="AI2642" i="113" s="1"/>
  <c r="AE2234" i="113"/>
  <c r="AI2234" i="113" s="1"/>
  <c r="AE2208" i="113"/>
  <c r="AI2208" i="113" s="1"/>
  <c r="AE845" i="113"/>
  <c r="AI845" i="113" s="1"/>
  <c r="AE1864" i="113"/>
  <c r="AI1864" i="113" s="1"/>
  <c r="AE1202" i="113"/>
  <c r="AI1202" i="113" s="1"/>
  <c r="AE516" i="113"/>
  <c r="AI516" i="113" s="1"/>
  <c r="AE29" i="113"/>
  <c r="AI29" i="113" s="1"/>
  <c r="AE2316" i="113"/>
  <c r="AI2316" i="113" s="1"/>
  <c r="AE2220" i="113"/>
  <c r="AI2220" i="113" s="1"/>
  <c r="AE1527" i="113"/>
  <c r="AI1527" i="113" s="1"/>
  <c r="AE1280" i="113"/>
  <c r="AI1280" i="113" s="1"/>
  <c r="AE732" i="113"/>
  <c r="AI732" i="113" s="1"/>
  <c r="AE2101" i="113"/>
  <c r="AI2101" i="113" s="1"/>
  <c r="AE2232" i="113"/>
  <c r="AI2232" i="113" s="1"/>
  <c r="AE1252" i="113"/>
  <c r="AI1252" i="113" s="1"/>
  <c r="AE1948" i="113"/>
  <c r="AI1948" i="113" s="1"/>
  <c r="AE663" i="113"/>
  <c r="AI663" i="113" s="1"/>
  <c r="AE351" i="113"/>
  <c r="AI351" i="113" s="1"/>
  <c r="AE713" i="113"/>
  <c r="AI713" i="113" s="1"/>
  <c r="AE2078" i="113"/>
  <c r="AI2078" i="113" s="1"/>
  <c r="AE426" i="113"/>
  <c r="AI426" i="113" s="1"/>
  <c r="AE2627" i="113"/>
  <c r="AI2627" i="113" s="1"/>
  <c r="AE2162" i="113"/>
  <c r="AI2162" i="113" s="1"/>
  <c r="AE1787" i="113"/>
  <c r="AI1787" i="113" s="1"/>
  <c r="AE1011" i="113"/>
  <c r="AI1011" i="113" s="1"/>
  <c r="AE1196" i="113"/>
  <c r="AI1196" i="113" s="1"/>
  <c r="AE1007" i="113"/>
  <c r="AI1007" i="113" s="1"/>
  <c r="AE1998" i="113"/>
  <c r="AI1998" i="113" s="1"/>
  <c r="AE1138" i="113"/>
  <c r="AI1138" i="113" s="1"/>
  <c r="AE123" i="113"/>
  <c r="AI123" i="113" s="1"/>
  <c r="AE2201" i="113"/>
  <c r="AI2201" i="113" s="1"/>
  <c r="AE2345" i="113"/>
  <c r="AI2345" i="113" s="1"/>
  <c r="AE2536" i="113"/>
  <c r="AI2536" i="113" s="1"/>
  <c r="AE469" i="113"/>
  <c r="AI469" i="113" s="1"/>
  <c r="AE2087" i="113"/>
  <c r="AI2087" i="113" s="1"/>
  <c r="AE1215" i="113"/>
  <c r="AI1215" i="113" s="1"/>
  <c r="AE633" i="113"/>
  <c r="AI633" i="113" s="1"/>
  <c r="AE2024" i="113"/>
  <c r="AI2024" i="113" s="1"/>
  <c r="AE910" i="113"/>
  <c r="AI910" i="113" s="1"/>
  <c r="AE1048" i="113"/>
  <c r="AI1048" i="113" s="1"/>
  <c r="AE2525" i="113"/>
  <c r="AI2525" i="113" s="1"/>
  <c r="AE2490" i="113"/>
  <c r="AI2490" i="113" s="1"/>
  <c r="AE1918" i="113"/>
  <c r="AI1918" i="113" s="1"/>
  <c r="AE605" i="113"/>
  <c r="AI605" i="113" s="1"/>
  <c r="AE2434" i="113"/>
  <c r="AI2434" i="113" s="1"/>
  <c r="AE1124" i="113"/>
  <c r="AI1124" i="113" s="1"/>
  <c r="AE2520" i="113"/>
  <c r="AI2520" i="113" s="1"/>
  <c r="AE1047" i="113"/>
  <c r="AI1047" i="113" s="1"/>
  <c r="AE2349" i="113"/>
  <c r="AI2349" i="113" s="1"/>
  <c r="AE1981" i="113"/>
  <c r="AI1981" i="113" s="1"/>
  <c r="AE2602" i="113"/>
  <c r="AI2602" i="113" s="1"/>
  <c r="AE86" i="113"/>
  <c r="AI86" i="113" s="1"/>
  <c r="AE1984" i="113"/>
  <c r="AI1984" i="113" s="1"/>
  <c r="AE1611" i="113"/>
  <c r="AI1611" i="113" s="1"/>
  <c r="AE505" i="113"/>
  <c r="AI505" i="113" s="1"/>
  <c r="AE1223" i="113"/>
  <c r="AI1223" i="113" s="1"/>
  <c r="AE1217" i="113"/>
  <c r="AI1217" i="113" s="1"/>
  <c r="AE931" i="113"/>
  <c r="AI931" i="113" s="1"/>
  <c r="AE1419" i="113"/>
  <c r="AI1419" i="113" s="1"/>
  <c r="AE448" i="113"/>
  <c r="AI448" i="113" s="1"/>
  <c r="AE2111" i="113"/>
  <c r="AI2111" i="113" s="1"/>
  <c r="AE1581" i="113"/>
  <c r="AI1581" i="113" s="1"/>
  <c r="AE2005" i="113"/>
  <c r="AI2005" i="113" s="1"/>
  <c r="AE563" i="113"/>
  <c r="AI563" i="113" s="1"/>
  <c r="AE2152" i="113"/>
  <c r="AI2152" i="113" s="1"/>
  <c r="AE1653" i="113"/>
  <c r="AI1653" i="113" s="1"/>
  <c r="AE1885" i="113"/>
  <c r="AI1885" i="113" s="1"/>
  <c r="AE660" i="113"/>
  <c r="AI660" i="113" s="1"/>
  <c r="AE1401" i="113"/>
  <c r="AI1401" i="113" s="1"/>
  <c r="AE1475" i="113"/>
  <c r="AI1475" i="113" s="1"/>
  <c r="AE1331" i="113"/>
  <c r="AI1331" i="113" s="1"/>
  <c r="AE1237" i="113"/>
  <c r="AI1237" i="113" s="1"/>
  <c r="AE839" i="113"/>
  <c r="AI839" i="113" s="1"/>
  <c r="AE2407" i="113"/>
  <c r="AI2407" i="113" s="1"/>
  <c r="AE1858" i="113"/>
  <c r="AI1858" i="113" s="1"/>
  <c r="AE455" i="113"/>
  <c r="AI455" i="113" s="1"/>
  <c r="AE1643" i="113"/>
  <c r="AI1643" i="113" s="1"/>
  <c r="AE364" i="113"/>
  <c r="AI364" i="113" s="1"/>
  <c r="AE1673" i="113"/>
  <c r="AI1673" i="113" s="1"/>
  <c r="AE2606" i="113"/>
  <c r="AI2606" i="113" s="1"/>
  <c r="AE1731" i="113"/>
  <c r="AI1731" i="113" s="1"/>
  <c r="AE15" i="113"/>
  <c r="AI15" i="113" s="1"/>
  <c r="AE1555" i="113"/>
  <c r="AI1555" i="113" s="1"/>
  <c r="AE470" i="113"/>
  <c r="AI470" i="113" s="1"/>
  <c r="AE1560" i="113"/>
  <c r="AI1560" i="113" s="1"/>
  <c r="AE342" i="113"/>
  <c r="AI342" i="113" s="1"/>
  <c r="AE718" i="113"/>
  <c r="AI718" i="113" s="1"/>
  <c r="AE2557" i="113"/>
  <c r="AI2557" i="113" s="1"/>
  <c r="AE1279" i="113"/>
  <c r="AI1279" i="113" s="1"/>
  <c r="AE1071" i="113"/>
  <c r="AI1071" i="113" s="1"/>
  <c r="AE1101" i="113"/>
  <c r="AI1101" i="113" s="1"/>
  <c r="AE30" i="113"/>
  <c r="AI30" i="113" s="1"/>
  <c r="AE888" i="113"/>
  <c r="AI888" i="113" s="1"/>
  <c r="AE1834" i="113"/>
  <c r="AI1834" i="113" s="1"/>
  <c r="AE2159" i="113"/>
  <c r="AI2159" i="113" s="1"/>
  <c r="AE1753" i="113"/>
  <c r="AI1753" i="113" s="1"/>
  <c r="AE1520" i="113"/>
  <c r="AI1520" i="113" s="1"/>
  <c r="AE498" i="113"/>
  <c r="AI498" i="113" s="1"/>
  <c r="AE621" i="113"/>
  <c r="AI621" i="113" s="1"/>
  <c r="AE103" i="113"/>
  <c r="AI103" i="113" s="1"/>
  <c r="AE2456" i="113"/>
  <c r="AI2456" i="113" s="1"/>
  <c r="AE2180" i="113"/>
  <c r="AI2180" i="113" s="1"/>
  <c r="AE2055" i="113"/>
  <c r="AI2055" i="113" s="1"/>
  <c r="AE2505" i="113"/>
  <c r="AI2505" i="113" s="1"/>
  <c r="AE2607" i="113"/>
  <c r="AI2607" i="113" s="1"/>
  <c r="AE747" i="113"/>
  <c r="AI747" i="113" s="1"/>
  <c r="AE1850" i="113"/>
  <c r="AI1850" i="113" s="1"/>
  <c r="AE2249" i="113"/>
  <c r="AI2249" i="113" s="1"/>
  <c r="AE2075" i="113"/>
  <c r="AI2075" i="113" s="1"/>
  <c r="AE2213" i="113"/>
  <c r="AI2213" i="113" s="1"/>
  <c r="AE257" i="113"/>
  <c r="AI257" i="113" s="1"/>
  <c r="AE399" i="113"/>
  <c r="AI399" i="113" s="1"/>
  <c r="AE595" i="113"/>
  <c r="AI595" i="113" s="1"/>
  <c r="AE1913" i="113"/>
  <c r="AI1913" i="113" s="1"/>
  <c r="AE1608" i="113"/>
  <c r="AI1608" i="113" s="1"/>
  <c r="AE2171" i="113"/>
  <c r="AI2171" i="113" s="1"/>
  <c r="AE1272" i="113"/>
  <c r="AI1272" i="113" s="1"/>
  <c r="AE2141" i="113"/>
  <c r="AI2141" i="113" s="1"/>
  <c r="AE2385" i="113"/>
  <c r="AI2385" i="113" s="1"/>
  <c r="AE1534" i="113"/>
  <c r="AI1534" i="113" s="1"/>
  <c r="AE2359" i="113"/>
  <c r="AI2359" i="113" s="1"/>
  <c r="AE449" i="113"/>
  <c r="AI449" i="113" s="1"/>
  <c r="AE1932" i="113"/>
  <c r="AI1932" i="113" s="1"/>
  <c r="AE1522" i="113"/>
  <c r="AI1522" i="113" s="1"/>
  <c r="AE2293" i="113"/>
  <c r="AI2293" i="113" s="1"/>
  <c r="AE762" i="113"/>
  <c r="AI762" i="113" s="1"/>
  <c r="AE2366" i="113"/>
  <c r="AI2366" i="113" s="1"/>
  <c r="AE1111" i="113"/>
  <c r="AI1111" i="113" s="1"/>
  <c r="AE693" i="113"/>
  <c r="AI693" i="113" s="1"/>
  <c r="AE943" i="113"/>
  <c r="AI943" i="113" s="1"/>
  <c r="AE1717" i="113"/>
  <c r="AI1717" i="113" s="1"/>
  <c r="AE2599" i="113"/>
  <c r="AI2599" i="113" s="1"/>
  <c r="AE1251" i="113"/>
  <c r="AI1251" i="113" s="1"/>
  <c r="AE1752" i="113"/>
  <c r="AI1752" i="113" s="1"/>
  <c r="AE1133" i="113"/>
  <c r="AI1133" i="113" s="1"/>
  <c r="AE1738" i="113"/>
  <c r="AI1738" i="113" s="1"/>
  <c r="AE1559" i="113"/>
  <c r="AI1559" i="113" s="1"/>
  <c r="AE1021" i="113"/>
  <c r="AI1021" i="113" s="1"/>
  <c r="AE1317" i="113"/>
  <c r="AI1317" i="113" s="1"/>
  <c r="AE1310" i="113"/>
  <c r="AI1310" i="113" s="1"/>
  <c r="AE2066" i="113"/>
  <c r="AI2066" i="113" s="1"/>
  <c r="AE612" i="113"/>
  <c r="AI612" i="113" s="1"/>
  <c r="AE1876" i="113"/>
  <c r="AI1876" i="113" s="1"/>
  <c r="AE2110" i="113"/>
  <c r="AI2110" i="113" s="1"/>
  <c r="AE2373" i="113"/>
  <c r="AI2373" i="113" s="1"/>
  <c r="AE1681" i="113"/>
  <c r="AI1681" i="113" s="1"/>
  <c r="AE1892" i="113"/>
  <c r="AI1892" i="113" s="1"/>
  <c r="AE603" i="113"/>
  <c r="AI603" i="113" s="1"/>
  <c r="AE2358" i="113"/>
  <c r="AI2358" i="113" s="1"/>
  <c r="AE1098" i="113"/>
  <c r="AI1098" i="113" s="1"/>
  <c r="AE2097" i="113"/>
  <c r="AI2097" i="113" s="1"/>
  <c r="AE465" i="113"/>
  <c r="AI465" i="113" s="1"/>
  <c r="AE1899" i="113"/>
  <c r="AI1899" i="113" s="1"/>
  <c r="AE1082" i="113"/>
  <c r="AI1082" i="113" s="1"/>
  <c r="AE1594" i="113"/>
  <c r="AI1594" i="113" s="1"/>
  <c r="AE1538" i="113"/>
  <c r="AI1538" i="113" s="1"/>
  <c r="AE120" i="113"/>
  <c r="AI120" i="113" s="1"/>
  <c r="AE1029" i="113"/>
  <c r="AI1029" i="113" s="1"/>
  <c r="AE416" i="113"/>
  <c r="AI416" i="113" s="1"/>
  <c r="AE1769" i="113"/>
  <c r="AI1769" i="113" s="1"/>
  <c r="AE2321" i="113"/>
  <c r="AI2321" i="113" s="1"/>
  <c r="AE616" i="113"/>
  <c r="AI616" i="113" s="1"/>
  <c r="AE546" i="113"/>
  <c r="AI546" i="113" s="1"/>
  <c r="AE1630" i="113"/>
  <c r="AI1630" i="113" s="1"/>
  <c r="AE2365" i="113"/>
  <c r="AI2365" i="113" s="1"/>
  <c r="AE2225" i="113"/>
  <c r="AI2225" i="113" s="1"/>
  <c r="AE2043" i="113"/>
  <c r="AI2043" i="113" s="1"/>
  <c r="AE2460" i="113"/>
  <c r="AI2460" i="113" s="1"/>
  <c r="AE1096" i="113"/>
  <c r="AI1096" i="113" s="1"/>
  <c r="AE2628" i="113"/>
  <c r="AI2628" i="113" s="1"/>
  <c r="AE533" i="113"/>
  <c r="AI533" i="113" s="1"/>
  <c r="AE2534" i="113"/>
  <c r="AI2534" i="113" s="1"/>
  <c r="AE2127" i="113"/>
  <c r="AI2127" i="113" s="1"/>
  <c r="AE1333" i="113"/>
  <c r="AI1333" i="113" s="1"/>
  <c r="AE2564" i="113"/>
  <c r="AI2564" i="113" s="1"/>
  <c r="AE2092" i="113"/>
  <c r="AI2092" i="113" s="1"/>
  <c r="AE1766" i="113"/>
  <c r="AI1766" i="113" s="1"/>
  <c r="AE2429" i="113"/>
  <c r="AI2429" i="113" s="1"/>
  <c r="AE1384" i="113"/>
  <c r="AI1384" i="113" s="1"/>
  <c r="AE1757" i="113"/>
  <c r="AI1757" i="113" s="1"/>
  <c r="AE2571" i="113"/>
  <c r="AI2571" i="113" s="1"/>
  <c r="AE784" i="113"/>
  <c r="AI784" i="113" s="1"/>
  <c r="AE318" i="113"/>
  <c r="AI318" i="113" s="1"/>
  <c r="AE2507" i="113"/>
  <c r="AI2507" i="113" s="1"/>
  <c r="AE1792" i="113"/>
  <c r="AI1792" i="113" s="1"/>
  <c r="AE1736" i="113"/>
  <c r="AI1736" i="113" s="1"/>
  <c r="AE2544" i="113"/>
  <c r="AI2544" i="113" s="1"/>
  <c r="AE1314" i="113"/>
  <c r="AI1314" i="113" s="1"/>
  <c r="AE1780" i="113"/>
  <c r="AI1780" i="113" s="1"/>
  <c r="AE1588" i="113"/>
  <c r="AI1588" i="113" s="1"/>
  <c r="AE2258" i="113"/>
  <c r="AI2258" i="113" s="1"/>
  <c r="AE2344" i="113"/>
  <c r="AI2344" i="113" s="1"/>
  <c r="AE2185" i="113"/>
  <c r="AI2185" i="113" s="1"/>
  <c r="AE1706" i="113"/>
  <c r="AI1706" i="113" s="1"/>
  <c r="AE1363" i="113"/>
  <c r="AI1363" i="113" s="1"/>
  <c r="AE1296" i="113"/>
  <c r="AI1296" i="113" s="1"/>
  <c r="AE2630" i="113"/>
  <c r="AI2630" i="113" s="1"/>
  <c r="AE1569" i="113"/>
  <c r="AI1569" i="113" s="1"/>
  <c r="AE532" i="113"/>
  <c r="AI532" i="113" s="1"/>
  <c r="AE1802" i="113"/>
  <c r="AI1802" i="113" s="1"/>
  <c r="AE1056" i="113"/>
  <c r="AI1056" i="113" s="1"/>
  <c r="AE1077" i="113"/>
  <c r="AI1077" i="113" s="1"/>
  <c r="AE2455" i="113"/>
  <c r="AI2455" i="113" s="1"/>
  <c r="AE539" i="113"/>
  <c r="AI539" i="113" s="1"/>
  <c r="AE2215" i="113"/>
  <c r="AI2215" i="113" s="1"/>
  <c r="AE2560" i="113"/>
  <c r="AI2560" i="113" s="1"/>
  <c r="AE155" i="113"/>
  <c r="AI155" i="113" s="1"/>
  <c r="AE1112" i="113"/>
  <c r="AI1112" i="113" s="1"/>
  <c r="AE567" i="113"/>
  <c r="AI567" i="113" s="1"/>
  <c r="AE2040" i="113"/>
  <c r="AI2040" i="113" s="1"/>
  <c r="AE1760" i="113"/>
  <c r="AI1760" i="113" s="1"/>
  <c r="AE1689" i="113"/>
  <c r="AI1689" i="113" s="1"/>
  <c r="AE2047" i="113"/>
  <c r="AI2047" i="113" s="1"/>
  <c r="AE1406" i="113"/>
  <c r="AI1406" i="113" s="1"/>
  <c r="AE2117" i="113"/>
  <c r="AI2117" i="113" s="1"/>
  <c r="AE159" i="113"/>
  <c r="AI159" i="113" s="1"/>
  <c r="AE2535" i="113"/>
  <c r="AI2535" i="113" s="1"/>
  <c r="AE463" i="113"/>
  <c r="AI463" i="113" s="1"/>
  <c r="AE2499" i="113"/>
  <c r="AI2499" i="113" s="1"/>
  <c r="AE1132" i="113"/>
  <c r="AI1132" i="113" s="1"/>
  <c r="AE40" i="113"/>
  <c r="AI40" i="113" s="1"/>
  <c r="AE407" i="113"/>
  <c r="AI407" i="113" s="1"/>
  <c r="AE593" i="113"/>
  <c r="AI593" i="113" s="1"/>
  <c r="AE1321" i="113"/>
  <c r="AI1321" i="113" s="1"/>
  <c r="AE1585" i="113"/>
  <c r="AI1585" i="113" s="1"/>
  <c r="AE10" i="113"/>
  <c r="AI10" i="113" s="1"/>
  <c r="AE1843" i="113"/>
  <c r="AI1843" i="113" s="1"/>
  <c r="AE924" i="113"/>
  <c r="AI924" i="113" s="1"/>
  <c r="AE2209" i="113"/>
  <c r="AI2209" i="113" s="1"/>
  <c r="AE1489" i="113"/>
  <c r="AI1489" i="113" s="1"/>
  <c r="AE2256" i="113"/>
  <c r="AI2256" i="113" s="1"/>
  <c r="AE575" i="113"/>
  <c r="AI575" i="113" s="1"/>
  <c r="AE2288" i="113"/>
  <c r="AI2288" i="113" s="1"/>
  <c r="AE1696" i="113"/>
  <c r="AI1696" i="113" s="1"/>
  <c r="AE818" i="113"/>
  <c r="AI818" i="113" s="1"/>
  <c r="AE1724" i="113"/>
  <c r="AI1724" i="113" s="1"/>
  <c r="AE1478" i="113"/>
  <c r="AI1478" i="113" s="1"/>
  <c r="AE54" i="113"/>
  <c r="AI54" i="113" s="1"/>
  <c r="AE1972" i="113"/>
  <c r="AI1972" i="113" s="1"/>
  <c r="AE2406" i="113"/>
  <c r="AI2406" i="113" s="1"/>
  <c r="AE2169" i="113"/>
  <c r="AI2169" i="113" s="1"/>
  <c r="AE819" i="113"/>
  <c r="AI819" i="113" s="1"/>
  <c r="AE1000" i="113"/>
  <c r="AI1000" i="113" s="1"/>
  <c r="AE1771" i="113"/>
  <c r="AI1771" i="113" s="1"/>
  <c r="AE379" i="113"/>
  <c r="AI379" i="113" s="1"/>
  <c r="AE385" i="113"/>
  <c r="AI385" i="113" s="1"/>
  <c r="AE1387" i="113"/>
  <c r="AI1387" i="113" s="1"/>
  <c r="AE292" i="113"/>
  <c r="AI292" i="113" s="1"/>
  <c r="AE938" i="113"/>
  <c r="AI938" i="113" s="1"/>
  <c r="AE299" i="113"/>
  <c r="AI299" i="113" s="1"/>
  <c r="AE1675" i="113"/>
  <c r="AI1675" i="113" s="1"/>
  <c r="AE497" i="113"/>
  <c r="AI497" i="113" s="1"/>
  <c r="AE2338" i="113"/>
  <c r="AI2338" i="113" s="1"/>
  <c r="Z1577" i="113"/>
  <c r="Z1884" i="113"/>
  <c r="Z278" i="113"/>
  <c r="Z1204" i="113"/>
  <c r="Z2453" i="113"/>
  <c r="Z2123" i="113"/>
  <c r="Z541" i="113"/>
  <c r="Z671" i="113"/>
  <c r="Z1075" i="113"/>
  <c r="Z944" i="113"/>
  <c r="Z1593" i="113"/>
  <c r="Z644" i="113"/>
  <c r="Z306" i="113"/>
  <c r="Z1284" i="113"/>
  <c r="Z2" i="113"/>
  <c r="Z1906" i="113"/>
  <c r="Z243" i="113"/>
  <c r="Z2600" i="113"/>
  <c r="Z729" i="113"/>
  <c r="Z1622" i="113"/>
  <c r="Z2501" i="113"/>
  <c r="Z615" i="113"/>
  <c r="Z2281" i="113"/>
  <c r="Z2038" i="113"/>
  <c r="Z2252" i="113"/>
  <c r="Z1645" i="113"/>
  <c r="Z389" i="113"/>
  <c r="Z1975" i="113"/>
  <c r="Z2228" i="113"/>
  <c r="Z1746" i="113"/>
  <c r="Z1950" i="113"/>
  <c r="Z2003" i="113"/>
  <c r="Z2418" i="113"/>
  <c r="Z2657" i="113"/>
  <c r="Z1432" i="113"/>
  <c r="Z211" i="113"/>
  <c r="Z1013" i="113"/>
  <c r="Z1451" i="113"/>
  <c r="Z697" i="113"/>
  <c r="Z2318" i="113"/>
  <c r="Z180" i="113"/>
  <c r="Z1103" i="113"/>
  <c r="Z477" i="113"/>
  <c r="Z2556" i="113"/>
  <c r="Z338" i="113"/>
  <c r="Z806" i="113"/>
  <c r="Z1494" i="113"/>
  <c r="Z2352" i="113"/>
  <c r="Z2474" i="113"/>
  <c r="Z1680" i="113"/>
  <c r="Z2204" i="113"/>
  <c r="Z2369" i="113"/>
  <c r="Z1040" i="113"/>
  <c r="Z838" i="113"/>
  <c r="Z2175" i="113"/>
  <c r="Z2305" i="113"/>
  <c r="Z511" i="113"/>
  <c r="Z1778" i="113"/>
  <c r="Z1865" i="113"/>
  <c r="Z1236" i="113"/>
  <c r="Z1167" i="113"/>
  <c r="Z2625" i="113"/>
  <c r="Z1813" i="113"/>
  <c r="Z2072" i="113"/>
  <c r="Z26" i="113"/>
  <c r="Z864" i="113"/>
  <c r="Z1128" i="113"/>
  <c r="Z582" i="113"/>
  <c r="Z2399" i="113"/>
  <c r="Z167" i="113"/>
  <c r="Z94" i="113"/>
  <c r="Z988" i="113"/>
  <c r="Z1306" i="113"/>
  <c r="Z770" i="113"/>
  <c r="Z901" i="113"/>
  <c r="Z2382" i="113"/>
  <c r="Z2524" i="113"/>
  <c r="Z141" i="113"/>
  <c r="Z597" i="113"/>
  <c r="Z361" i="113"/>
  <c r="Z441" i="113"/>
  <c r="Z1149" i="113"/>
  <c r="Z2100" i="113"/>
  <c r="Z67" i="113"/>
  <c r="Z1836" i="113"/>
  <c r="Z125" i="113"/>
  <c r="Z1719" i="113"/>
  <c r="Z1788" i="113"/>
  <c r="Z1543" i="113"/>
  <c r="Z419" i="113"/>
  <c r="Z2161" i="113"/>
  <c r="F2" i="98"/>
  <c r="F2" i="97"/>
  <c r="F2" i="96"/>
  <c r="F2" i="95"/>
  <c r="F2" i="94"/>
  <c r="F2" i="93"/>
  <c r="F2" i="92"/>
  <c r="F2" i="91"/>
  <c r="F2" i="90"/>
  <c r="F2" i="89"/>
  <c r="F2" i="88"/>
  <c r="F2" i="87"/>
  <c r="F2" i="86"/>
  <c r="F2" i="85"/>
  <c r="F2" i="84"/>
  <c r="F2" i="83"/>
  <c r="F2" i="82"/>
  <c r="F2" i="81"/>
  <c r="F2" i="80"/>
  <c r="F2" i="79"/>
  <c r="F2" i="78"/>
  <c r="F2" i="77"/>
  <c r="F2" i="76"/>
  <c r="F2" i="75"/>
  <c r="F2" i="74"/>
  <c r="F2" i="73"/>
  <c r="F2" i="72"/>
  <c r="F2" i="71"/>
  <c r="F2" i="70"/>
  <c r="F2" i="69"/>
  <c r="F2" i="68"/>
  <c r="F2" i="67"/>
  <c r="F2" i="66"/>
  <c r="F2" i="65"/>
  <c r="F2" i="64"/>
  <c r="F2" i="63"/>
  <c r="F2" i="62"/>
  <c r="F2" i="61"/>
  <c r="F2" i="60"/>
  <c r="F2" i="59"/>
  <c r="F2" i="58"/>
  <c r="F2" i="57"/>
  <c r="F2" i="56"/>
  <c r="F2" i="55"/>
  <c r="F2" i="54"/>
  <c r="F2" i="53"/>
  <c r="F2" i="52"/>
  <c r="F2" i="51"/>
  <c r="F2" i="50"/>
  <c r="F2" i="49"/>
  <c r="F2" i="48"/>
  <c r="F2" i="47"/>
  <c r="F2" i="46"/>
  <c r="F2" i="45"/>
  <c r="F2" i="44"/>
  <c r="F2" i="43"/>
  <c r="F2" i="42"/>
  <c r="F2" i="32"/>
  <c r="F2" i="40"/>
  <c r="F2" i="39"/>
  <c r="F2" i="38"/>
  <c r="F2" i="37"/>
  <c r="F2" i="36"/>
  <c r="F2" i="35"/>
  <c r="F2" i="34"/>
  <c r="F2" i="33"/>
  <c r="F2" i="41"/>
  <c r="F2" i="31"/>
  <c r="F2" i="30"/>
  <c r="F2" i="29"/>
  <c r="F2" i="28"/>
  <c r="F2" i="27"/>
  <c r="F2" i="26"/>
  <c r="F2" i="25"/>
  <c r="F2" i="24"/>
  <c r="F2" i="23"/>
  <c r="F2" i="22"/>
  <c r="F2" i="21"/>
  <c r="F2" i="20"/>
  <c r="F2" i="19"/>
  <c r="F2" i="18"/>
  <c r="F2" i="17"/>
  <c r="F2" i="16"/>
  <c r="F2" i="15"/>
  <c r="F2" i="14"/>
  <c r="F2" i="13"/>
  <c r="F2" i="12"/>
  <c r="F2" i="11"/>
  <c r="F2" i="10"/>
  <c r="F2" i="9"/>
  <c r="F2" i="99"/>
  <c r="E2" i="98"/>
  <c r="E2" i="97"/>
  <c r="E2" i="96"/>
  <c r="E2" i="95"/>
  <c r="E2" i="94"/>
  <c r="E2" i="93"/>
  <c r="E2" i="92"/>
  <c r="E2" i="91"/>
  <c r="E2" i="90"/>
  <c r="E2" i="89"/>
  <c r="E2" i="88"/>
  <c r="E2" i="87"/>
  <c r="E2" i="86"/>
  <c r="E2" i="85"/>
  <c r="E2" i="84"/>
  <c r="E2" i="83"/>
  <c r="E2" i="82"/>
  <c r="E2" i="81"/>
  <c r="E2" i="80"/>
  <c r="E2" i="79"/>
  <c r="E2" i="78"/>
  <c r="E2" i="77"/>
  <c r="E2" i="76"/>
  <c r="E2" i="75"/>
  <c r="E2" i="74"/>
  <c r="E2" i="73"/>
  <c r="E2" i="72"/>
  <c r="E2" i="71"/>
  <c r="E2" i="70"/>
  <c r="E2" i="69"/>
  <c r="E2" i="68"/>
  <c r="E2" i="67"/>
  <c r="E2" i="66"/>
  <c r="E2" i="65"/>
  <c r="E2" i="64"/>
  <c r="E2" i="63"/>
  <c r="E2" i="62"/>
  <c r="E2" i="61"/>
  <c r="E2" i="60"/>
  <c r="E2" i="59"/>
  <c r="E2" i="58"/>
  <c r="E2" i="57"/>
  <c r="E2" i="56"/>
  <c r="E2" i="55"/>
  <c r="E2" i="54"/>
  <c r="E2" i="53"/>
  <c r="E2" i="52"/>
  <c r="E2" i="51"/>
  <c r="E2" i="50"/>
  <c r="E2" i="49"/>
  <c r="E2" i="48"/>
  <c r="E2" i="47"/>
  <c r="E2" i="46"/>
  <c r="E2" i="45"/>
  <c r="E2" i="44"/>
  <c r="E2" i="43"/>
  <c r="E2" i="42"/>
  <c r="E2" i="32"/>
  <c r="E2" i="40"/>
  <c r="E2" i="39"/>
  <c r="E2" i="38"/>
  <c r="E2" i="37"/>
  <c r="E2" i="36"/>
  <c r="E2" i="35"/>
  <c r="E2" i="34"/>
  <c r="E2" i="33"/>
  <c r="E2" i="41"/>
  <c r="E2" i="31"/>
  <c r="E2" i="30"/>
  <c r="E2" i="29"/>
  <c r="E2" i="28"/>
  <c r="E2" i="27"/>
  <c r="E2" i="26"/>
  <c r="E2" i="25"/>
  <c r="E2" i="24"/>
  <c r="E2" i="23"/>
  <c r="E2" i="22"/>
  <c r="E2" i="21"/>
  <c r="E2" i="20"/>
  <c r="E2" i="19"/>
  <c r="E2" i="18"/>
  <c r="E2" i="17"/>
  <c r="E2" i="16"/>
  <c r="E2" i="15"/>
  <c r="E2" i="14"/>
  <c r="E2" i="13"/>
  <c r="E2" i="12"/>
  <c r="E2" i="11"/>
  <c r="E2" i="10"/>
  <c r="E2" i="9"/>
  <c r="E2" i="99"/>
  <c r="D2" i="98"/>
  <c r="D2" i="97"/>
  <c r="D2" i="96"/>
  <c r="D2" i="95"/>
  <c r="D2" i="94"/>
  <c r="D2" i="93"/>
  <c r="D2" i="92"/>
  <c r="D2" i="91"/>
  <c r="D2" i="90"/>
  <c r="D2" i="89"/>
  <c r="D2" i="88"/>
  <c r="D2" i="87"/>
  <c r="D2" i="86"/>
  <c r="D2" i="85"/>
  <c r="D2" i="84"/>
  <c r="D2" i="83"/>
  <c r="D2" i="82"/>
  <c r="D2" i="81"/>
  <c r="D2" i="80"/>
  <c r="D2" i="79"/>
  <c r="D2" i="78"/>
  <c r="D2" i="77"/>
  <c r="D2" i="76"/>
  <c r="D2" i="75"/>
  <c r="D2" i="74"/>
  <c r="D2" i="73"/>
  <c r="D2" i="72"/>
  <c r="D2" i="71"/>
  <c r="D2" i="70"/>
  <c r="D2" i="69"/>
  <c r="D2" i="68"/>
  <c r="D2" i="67"/>
  <c r="D2" i="66"/>
  <c r="D2" i="65"/>
  <c r="D2" i="64"/>
  <c r="D2" i="63"/>
  <c r="D2" i="62"/>
  <c r="D2" i="61"/>
  <c r="D2" i="60"/>
  <c r="D2" i="59"/>
  <c r="D2" i="58"/>
  <c r="D2" i="57"/>
  <c r="D2" i="56"/>
  <c r="D2" i="55"/>
  <c r="D2" i="54"/>
  <c r="D2" i="53"/>
  <c r="D2" i="52"/>
  <c r="D2" i="51"/>
  <c r="D2" i="50"/>
  <c r="D2" i="49"/>
  <c r="D2" i="48"/>
  <c r="D2" i="47"/>
  <c r="D2" i="46"/>
  <c r="D2" i="45"/>
  <c r="D2" i="44"/>
  <c r="D2" i="43"/>
  <c r="D2" i="42"/>
  <c r="D2" i="32"/>
  <c r="D2" i="40"/>
  <c r="D2" i="39"/>
  <c r="D2" i="38"/>
  <c r="D2" i="37"/>
  <c r="D2" i="36"/>
  <c r="D2" i="35"/>
  <c r="D2" i="34"/>
  <c r="D2" i="33"/>
  <c r="D2" i="41"/>
  <c r="D2" i="31"/>
  <c r="D2" i="30"/>
  <c r="D2" i="29"/>
  <c r="D2" i="28"/>
  <c r="D2" i="27"/>
  <c r="D2" i="26"/>
  <c r="D2" i="25"/>
  <c r="D2" i="24"/>
  <c r="D2" i="23"/>
  <c r="D2" i="22"/>
  <c r="D2" i="21"/>
  <c r="D2" i="20"/>
  <c r="D2" i="19"/>
  <c r="D2" i="18"/>
  <c r="D2" i="17"/>
  <c r="D2" i="16"/>
  <c r="D2" i="15"/>
  <c r="D2" i="14"/>
  <c r="D2" i="13"/>
  <c r="D2" i="12"/>
  <c r="D2" i="11"/>
  <c r="D2" i="10"/>
  <c r="D2" i="9"/>
  <c r="D2" i="99"/>
  <c r="F2" i="100"/>
  <c r="E2" i="100"/>
  <c r="D2" i="100"/>
  <c r="C2" i="101"/>
  <c r="G3679" i="111" l="1"/>
  <c r="H3679" i="111" s="1"/>
  <c r="I3679" i="111" s="1"/>
  <c r="G4368" i="111"/>
  <c r="H4368" i="111" s="1"/>
  <c r="I4368" i="111" s="1"/>
  <c r="I6313" i="111"/>
  <c r="I6382" i="111" s="1"/>
  <c r="G5680" i="111"/>
  <c r="H5680" i="111" s="1"/>
  <c r="I5680" i="111" s="1"/>
  <c r="G1838" i="111"/>
  <c r="H1838" i="111" s="1"/>
  <c r="I1838" i="111" s="1"/>
  <c r="G3687" i="111"/>
  <c r="H3687" i="111" s="1"/>
  <c r="I3687" i="111" s="1"/>
  <c r="G6541" i="111"/>
  <c r="H6541" i="111" s="1"/>
  <c r="I6541" i="111" s="1"/>
  <c r="G60" i="111"/>
  <c r="H60" i="111" s="1"/>
  <c r="I60" i="111" s="1"/>
  <c r="H1830" i="111"/>
  <c r="I1830" i="111" s="1"/>
  <c r="H5543" i="111"/>
  <c r="I5543" i="111" s="1"/>
  <c r="G3066" i="111"/>
  <c r="H3066" i="111" s="1"/>
  <c r="I3066" i="111" s="1"/>
  <c r="G5345" i="111"/>
  <c r="H5345" i="111" s="1"/>
  <c r="I5345" i="111" s="1"/>
  <c r="G1109" i="111"/>
  <c r="H1109" i="111" s="1"/>
  <c r="I1109" i="111" s="1"/>
  <c r="I5143" i="111"/>
  <c r="I5213" i="111" s="1"/>
  <c r="G6469" i="111"/>
  <c r="H6469" i="111" s="1"/>
  <c r="I6469" i="111" s="1"/>
  <c r="G1928" i="111"/>
  <c r="H1928" i="111" s="1"/>
  <c r="I1928" i="111" s="1"/>
  <c r="I1948" i="111"/>
  <c r="I2031" i="111" s="1"/>
  <c r="G5203" i="111"/>
  <c r="H5203" i="111" s="1"/>
  <c r="I5203" i="111" s="1"/>
  <c r="H3088" i="111"/>
  <c r="I3088" i="111" s="1"/>
  <c r="H718" i="111"/>
  <c r="I718" i="111" s="1"/>
  <c r="G3165" i="111"/>
  <c r="H3165" i="111" s="1"/>
  <c r="I3165" i="111" s="1"/>
  <c r="G1916" i="111"/>
  <c r="H1916" i="111" s="1"/>
  <c r="I1916" i="111" s="1"/>
  <c r="G3177" i="111"/>
  <c r="H3177" i="111" s="1"/>
  <c r="I3177" i="111" s="1"/>
  <c r="G3780" i="111"/>
  <c r="H3780" i="111" s="1"/>
  <c r="I3780" i="111" s="1"/>
  <c r="I5060" i="111"/>
  <c r="I5135" i="111" s="1"/>
  <c r="G4812" i="111"/>
  <c r="H4812" i="111" s="1"/>
  <c r="I4812" i="111" s="1"/>
  <c r="G6473" i="111"/>
  <c r="H6473" i="111" s="1"/>
  <c r="I6473" i="111" s="1"/>
  <c r="G5692" i="111"/>
  <c r="H5692" i="111" s="1"/>
  <c r="I5692" i="111" s="1"/>
  <c r="G3589" i="111"/>
  <c r="H3589" i="111" s="1"/>
  <c r="I3589" i="111" s="1"/>
  <c r="G3347" i="111"/>
  <c r="H3347" i="111" s="1"/>
  <c r="I3347" i="111" s="1"/>
  <c r="G2251" i="111"/>
  <c r="H2251" i="111" s="1"/>
  <c r="I2251" i="111" s="1"/>
  <c r="G1270" i="111"/>
  <c r="H1270" i="111" s="1"/>
  <c r="I1270" i="111" s="1"/>
  <c r="G1698" i="111"/>
  <c r="H1698" i="111" s="1"/>
  <c r="I1698" i="111" s="1"/>
  <c r="G419" i="111"/>
  <c r="H419" i="111" s="1"/>
  <c r="I419" i="111" s="1"/>
  <c r="I5763" i="111"/>
  <c r="I5795" i="111" s="1"/>
  <c r="G2518" i="111"/>
  <c r="H2518" i="111" s="1"/>
  <c r="I2518" i="111" s="1"/>
  <c r="G3683" i="111"/>
  <c r="H3683" i="111" s="1"/>
  <c r="I3683" i="111" s="1"/>
  <c r="G1702" i="111"/>
  <c r="H1702" i="111" s="1"/>
  <c r="I1702" i="111" s="1"/>
  <c r="G4804" i="111"/>
  <c r="H4804" i="111" s="1"/>
  <c r="I4804" i="111" s="1"/>
  <c r="G4618" i="111"/>
  <c r="H4618" i="111" s="1"/>
  <c r="I4618" i="111" s="1"/>
  <c r="G4800" i="111"/>
  <c r="H4800" i="111" s="1"/>
  <c r="I4800" i="111" s="1"/>
  <c r="G2431" i="111"/>
  <c r="H2431" i="111" s="1"/>
  <c r="I2431" i="111" s="1"/>
  <c r="G2439" i="111"/>
  <c r="H2439" i="111" s="1"/>
  <c r="I2439" i="111" s="1"/>
  <c r="I1482" i="111"/>
  <c r="I1523" i="111" s="1"/>
  <c r="H3947" i="111"/>
  <c r="I3947" i="111" s="1"/>
  <c r="H4843" i="111"/>
  <c r="I4843" i="111" s="1"/>
  <c r="H6260" i="111"/>
  <c r="I6260" i="111" s="1"/>
  <c r="G2443" i="111"/>
  <c r="H2443" i="111" s="1"/>
  <c r="I2443" i="111" s="1"/>
  <c r="I2815" i="111"/>
  <c r="I2865" i="111" s="1"/>
  <c r="G3500" i="111"/>
  <c r="H3500" i="111" s="1"/>
  <c r="I3500" i="111" s="1"/>
  <c r="G766" i="111"/>
  <c r="H766" i="111" s="1"/>
  <c r="I766" i="111" s="1"/>
  <c r="I6131" i="111"/>
  <c r="I6179" i="111" s="1"/>
  <c r="G4962" i="111"/>
  <c r="H4962" i="111" s="1"/>
  <c r="I4962" i="111" s="1"/>
  <c r="I1782" i="111"/>
  <c r="I1846" i="111" s="1"/>
  <c r="G3323" i="111"/>
  <c r="H3323" i="111" s="1"/>
  <c r="I3323" i="111" s="1"/>
  <c r="I6554" i="111"/>
  <c r="I6628" i="111" s="1"/>
  <c r="I4427" i="111"/>
  <c r="I4484" i="111" s="1"/>
  <c r="G6239" i="111"/>
  <c r="H6239" i="111" s="1"/>
  <c r="I6239" i="111" s="1"/>
  <c r="G1274" i="111"/>
  <c r="H1274" i="111" s="1"/>
  <c r="I1274" i="111" s="1"/>
  <c r="I1063" i="111"/>
  <c r="I1113" i="111" s="1"/>
  <c r="G2020" i="111"/>
  <c r="H2020" i="111" s="1"/>
  <c r="I2020" i="111" s="1"/>
  <c r="G1187" i="111"/>
  <c r="H1187" i="111" s="1"/>
  <c r="I1187" i="111" s="1"/>
  <c r="I5502" i="111"/>
  <c r="I5553" i="111" s="1"/>
  <c r="G3379" i="111"/>
  <c r="H3379" i="111" s="1"/>
  <c r="I3379" i="111" s="1"/>
  <c r="G3169" i="111"/>
  <c r="H3169" i="111" s="1"/>
  <c r="I3169" i="111" s="1"/>
  <c r="G5361" i="111"/>
  <c r="H5361" i="111" s="1"/>
  <c r="I5361" i="111" s="1"/>
  <c r="G4477" i="111"/>
  <c r="H4477" i="111" s="1"/>
  <c r="I4477" i="111" s="1"/>
  <c r="G4142" i="111"/>
  <c r="G5353" i="111"/>
  <c r="H5353" i="111" s="1"/>
  <c r="I5353" i="111" s="1"/>
  <c r="G4146" i="111"/>
  <c r="H4146" i="111" s="1"/>
  <c r="I4146" i="111" s="1"/>
  <c r="G3516" i="111"/>
  <c r="H3516" i="111" s="1"/>
  <c r="G4890" i="111"/>
  <c r="H4890" i="111" s="1"/>
  <c r="I4890" i="111" s="1"/>
  <c r="G1358" i="111"/>
  <c r="H1358" i="111" s="1"/>
  <c r="I1358" i="111" s="1"/>
  <c r="G1920" i="111"/>
  <c r="H1920" i="111" s="1"/>
  <c r="I1920" i="111" s="1"/>
  <c r="I1716" i="111"/>
  <c r="I1774" i="111" s="1"/>
  <c r="G4234" i="111"/>
  <c r="H4234" i="111" s="1"/>
  <c r="I4234" i="111" s="1"/>
  <c r="G3335" i="111"/>
  <c r="H3335" i="111" s="1"/>
  <c r="I3335" i="111" s="1"/>
  <c r="G1050" i="111"/>
  <c r="H1050" i="111" s="1"/>
  <c r="I1050" i="111" s="1"/>
  <c r="G2090" i="111"/>
  <c r="H2090" i="111" s="1"/>
  <c r="I2090" i="111" s="1"/>
  <c r="G6243" i="111"/>
  <c r="H6243" i="111" s="1"/>
  <c r="I6243" i="111" s="1"/>
  <c r="G542" i="111"/>
  <c r="H542" i="111" s="1"/>
  <c r="I542" i="111" s="1"/>
  <c r="G1453" i="111"/>
  <c r="H1453" i="111" s="1"/>
  <c r="I1453" i="111" s="1"/>
  <c r="G2102" i="111"/>
  <c r="H2102" i="111" s="1"/>
  <c r="I2102" i="111" s="1"/>
  <c r="G6372" i="111"/>
  <c r="H6372" i="111" s="1"/>
  <c r="I6372" i="111" s="1"/>
  <c r="G3327" i="111"/>
  <c r="H3327" i="111" s="1"/>
  <c r="I3327" i="111" s="1"/>
  <c r="G1623" i="111"/>
  <c r="H1623" i="111" s="1"/>
  <c r="I1623" i="111" s="1"/>
  <c r="G5349" i="111"/>
  <c r="H5349" i="111" s="1"/>
  <c r="I5349" i="111" s="1"/>
  <c r="G838" i="111"/>
  <c r="H838" i="111" s="1"/>
  <c r="I838" i="111" s="1"/>
  <c r="I5420" i="111"/>
  <c r="I5494" i="111" s="1"/>
  <c r="I2971" i="111"/>
  <c r="I3943" i="111"/>
  <c r="I4016" i="111" s="1"/>
  <c r="G5045" i="111"/>
  <c r="H5045" i="111" s="1"/>
  <c r="I5045" i="111" s="1"/>
  <c r="G3375" i="111"/>
  <c r="H3375" i="111" s="1"/>
  <c r="I3375" i="111" s="1"/>
  <c r="G2738" i="111"/>
  <c r="H2738" i="111" s="1"/>
  <c r="G3508" i="111"/>
  <c r="H3508" i="111" s="1"/>
  <c r="I3508" i="111" s="1"/>
  <c r="I2117" i="111"/>
  <c r="I2177" i="111" s="1"/>
  <c r="I5931" i="111"/>
  <c r="I5963" i="111" s="1"/>
  <c r="G5482" i="111"/>
  <c r="H5482" i="111" s="1"/>
  <c r="I5482" i="111" s="1"/>
  <c r="G3877" i="111"/>
  <c r="H3877" i="111" s="1"/>
  <c r="G2086" i="111"/>
  <c r="H2086" i="111" s="1"/>
  <c r="I2086" i="111" s="1"/>
  <c r="G4372" i="111"/>
  <c r="H4372" i="111" s="1"/>
  <c r="I4372" i="111" s="1"/>
  <c r="G2510" i="111"/>
  <c r="G623" i="111"/>
  <c r="H623" i="111" s="1"/>
  <c r="I623" i="111" s="1"/>
  <c r="G5751" i="111"/>
  <c r="H5751" i="111" s="1"/>
  <c r="I5751" i="111" s="1"/>
  <c r="G4011" i="111"/>
  <c r="H4011" i="111" s="1"/>
  <c r="I4011" i="111" s="1"/>
  <c r="I5884" i="111"/>
  <c r="I5923" i="111" s="1"/>
  <c r="H5383" i="111"/>
  <c r="I5383" i="111" s="1"/>
  <c r="H1125" i="111"/>
  <c r="I1125" i="111" s="1"/>
  <c r="H236" i="111"/>
  <c r="I236" i="111" s="1"/>
  <c r="I241" i="111"/>
  <c r="H5341" i="111"/>
  <c r="I5341" i="111" s="1"/>
  <c r="H2160" i="111"/>
  <c r="I2160" i="111" s="1"/>
  <c r="I1562" i="111"/>
  <c r="I909" i="111"/>
  <c r="I467" i="111"/>
  <c r="I854" i="111"/>
  <c r="H4469" i="111"/>
  <c r="I4469" i="111" s="1"/>
  <c r="H5888" i="111"/>
  <c r="I5888" i="111" s="1"/>
  <c r="I6056" i="111"/>
  <c r="H4295" i="111"/>
  <c r="I4295" i="111" s="1"/>
  <c r="H4693" i="111"/>
  <c r="I4693" i="111" s="1"/>
  <c r="H641" i="111"/>
  <c r="I641" i="111" s="1"/>
  <c r="H4667" i="111"/>
  <c r="I4667" i="111" s="1"/>
  <c r="H5064" i="111"/>
  <c r="I5064" i="111" s="1"/>
  <c r="H4431" i="111"/>
  <c r="I4431" i="111" s="1"/>
  <c r="H1486" i="111"/>
  <c r="I1486" i="111" s="1"/>
  <c r="H228" i="111"/>
  <c r="I228" i="111" s="1"/>
  <c r="H345" i="111"/>
  <c r="I345" i="111" s="1"/>
  <c r="G354" i="111"/>
  <c r="H2323" i="111"/>
  <c r="I2323" i="111" s="1"/>
  <c r="H6465" i="111"/>
  <c r="I6465" i="111" s="1"/>
  <c r="H965" i="111"/>
  <c r="I965" i="111" s="1"/>
  <c r="H2259" i="111"/>
  <c r="G56" i="111"/>
  <c r="H56" i="111" s="1"/>
  <c r="I56" i="111" s="1"/>
  <c r="H55" i="111"/>
  <c r="I55" i="111" s="1"/>
  <c r="G3520" i="111"/>
  <c r="H3520" i="111" s="1"/>
  <c r="I3520" i="111" s="1"/>
  <c r="H3519" i="111"/>
  <c r="I3519" i="111" s="1"/>
  <c r="G2168" i="111"/>
  <c r="H2168" i="111" s="1"/>
  <c r="I2168" i="111" s="1"/>
  <c r="H2167" i="111"/>
  <c r="I2167" i="111" s="1"/>
  <c r="G2668" i="111"/>
  <c r="H2604" i="111"/>
  <c r="H2668" i="111" s="1"/>
  <c r="H6464" i="111"/>
  <c r="I6464" i="111" s="1"/>
  <c r="G2987" i="111"/>
  <c r="H2987" i="111" s="1"/>
  <c r="I2987" i="111" s="1"/>
  <c r="H2986" i="111"/>
  <c r="I2986" i="111" s="1"/>
  <c r="H4313" i="111"/>
  <c r="H4387" i="111" s="1"/>
  <c r="G4387" i="111"/>
  <c r="H1693" i="111"/>
  <c r="G1710" i="111"/>
  <c r="H866" i="111"/>
  <c r="I866" i="111" s="1"/>
  <c r="H3817" i="111"/>
  <c r="I3817" i="111" s="1"/>
  <c r="H324" i="111"/>
  <c r="H356" i="111" s="1"/>
  <c r="G356" i="111"/>
  <c r="G5115" i="111"/>
  <c r="H5115" i="111" s="1"/>
  <c r="I5115" i="111" s="1"/>
  <c r="H5114" i="111"/>
  <c r="I5114" i="111" s="1"/>
  <c r="H5110" i="111"/>
  <c r="I5110" i="111" s="1"/>
  <c r="G5137" i="111"/>
  <c r="H2920" i="111"/>
  <c r="G3760" i="111"/>
  <c r="H3760" i="111" s="1"/>
  <c r="I3760" i="111" s="1"/>
  <c r="H3759" i="111"/>
  <c r="I3759" i="111" s="1"/>
  <c r="G3865" i="111"/>
  <c r="H3865" i="111" s="1"/>
  <c r="I3865" i="111" s="1"/>
  <c r="H3864" i="111"/>
  <c r="I3864" i="111" s="1"/>
  <c r="I2267" i="111"/>
  <c r="I2352" i="111" s="1"/>
  <c r="H2352" i="111"/>
  <c r="H920" i="111"/>
  <c r="H978" i="111" s="1"/>
  <c r="G978" i="111"/>
  <c r="G6368" i="111"/>
  <c r="H6368" i="111" s="1"/>
  <c r="I6368" i="111" s="1"/>
  <c r="H6367" i="111"/>
  <c r="G6384" i="111"/>
  <c r="G3363" i="111"/>
  <c r="H3363" i="111" s="1"/>
  <c r="I3363" i="111" s="1"/>
  <c r="H3262" i="111"/>
  <c r="G3407" i="111"/>
  <c r="G5688" i="111"/>
  <c r="H5688" i="111" s="1"/>
  <c r="I5688" i="111" s="1"/>
  <c r="H5687" i="111"/>
  <c r="I5687" i="111" s="1"/>
  <c r="G2661" i="111"/>
  <c r="H2661" i="111" s="1"/>
  <c r="I2661" i="111" s="1"/>
  <c r="H2660" i="111"/>
  <c r="I2660" i="111" s="1"/>
  <c r="G253" i="111"/>
  <c r="H253" i="111" s="1"/>
  <c r="I253" i="111" s="1"/>
  <c r="H252" i="111"/>
  <c r="H314" i="111" s="1"/>
  <c r="G314" i="111"/>
  <c r="G6169" i="111"/>
  <c r="H6169" i="111" s="1"/>
  <c r="I6169" i="111" s="1"/>
  <c r="H1440" i="111"/>
  <c r="G1476" i="111"/>
  <c r="G2734" i="111"/>
  <c r="H2734" i="111" s="1"/>
  <c r="I2734" i="111" s="1"/>
  <c r="H2733" i="111"/>
  <c r="G3343" i="111"/>
  <c r="H3343" i="111" s="1"/>
  <c r="I3343" i="111" s="1"/>
  <c r="H3342" i="111"/>
  <c r="I3342" i="111" s="1"/>
  <c r="G4973" i="111"/>
  <c r="H4909" i="111"/>
  <c r="H4973" i="111" s="1"/>
  <c r="G4671" i="111"/>
  <c r="H4671" i="111" s="1"/>
  <c r="I4671" i="111" s="1"/>
  <c r="H4670" i="111"/>
  <c r="I4670" i="111" s="1"/>
  <c r="I2601" i="111"/>
  <c r="H2667" i="111"/>
  <c r="G5198" i="111"/>
  <c r="H5198" i="111" s="1"/>
  <c r="I5198" i="111" s="1"/>
  <c r="I4741" i="111"/>
  <c r="G2916" i="111"/>
  <c r="H2916" i="111" s="1"/>
  <c r="I2916" i="111" s="1"/>
  <c r="G2922" i="111"/>
  <c r="H2915" i="111"/>
  <c r="H2922" i="111" s="1"/>
  <c r="H865" i="111"/>
  <c r="H910" i="111" s="1"/>
  <c r="G910" i="111"/>
  <c r="G3890" i="111"/>
  <c r="H3816" i="111"/>
  <c r="H3890" i="111" s="1"/>
  <c r="H4078" i="111"/>
  <c r="G4614" i="111"/>
  <c r="H4614" i="111" s="1"/>
  <c r="I4614" i="111" s="1"/>
  <c r="H4613" i="111"/>
  <c r="I4613" i="111" s="1"/>
  <c r="G4072" i="111"/>
  <c r="H4072" i="111" s="1"/>
  <c r="I4072" i="111" s="1"/>
  <c r="H4071" i="111"/>
  <c r="I4071" i="111" s="1"/>
  <c r="I714" i="111"/>
  <c r="I770" i="111" s="1"/>
  <c r="H988" i="111"/>
  <c r="H1056" i="111" s="1"/>
  <c r="G1056" i="111"/>
  <c r="I3602" i="111"/>
  <c r="H3695" i="111"/>
  <c r="I4" i="111"/>
  <c r="G6683" i="111"/>
  <c r="H6683" i="111" s="1"/>
  <c r="I6683" i="111" s="1"/>
  <c r="G2975" i="111"/>
  <c r="H2974" i="111"/>
  <c r="I2974" i="111" s="1"/>
  <c r="G445" i="111"/>
  <c r="H445" i="111" s="1"/>
  <c r="I445" i="111" s="1"/>
  <c r="H444" i="111"/>
  <c r="H468" i="111" s="1"/>
  <c r="G468" i="111"/>
  <c r="H4380" i="111"/>
  <c r="I4380" i="111" s="1"/>
  <c r="G6495" i="111"/>
  <c r="G6547" i="111"/>
  <c r="H6494" i="111"/>
  <c r="H6547" i="111" s="1"/>
  <c r="I6494" i="111"/>
  <c r="H5189" i="111"/>
  <c r="G5215" i="111"/>
  <c r="G1858" i="111"/>
  <c r="H1858" i="111" s="1"/>
  <c r="I1858" i="111" s="1"/>
  <c r="G1941" i="111"/>
  <c r="H1857" i="111"/>
  <c r="G1834" i="111"/>
  <c r="H1834" i="111" s="1"/>
  <c r="I1834" i="111" s="1"/>
  <c r="H1833" i="111"/>
  <c r="I1833" i="111" s="1"/>
  <c r="G5289" i="111"/>
  <c r="H5289" i="111" s="1"/>
  <c r="I5289" i="111" s="1"/>
  <c r="H5288" i="111"/>
  <c r="H5372" i="111" s="1"/>
  <c r="G5372" i="111"/>
  <c r="G5965" i="111"/>
  <c r="H5958" i="111"/>
  <c r="H5965" i="111" s="1"/>
  <c r="I5958" i="111"/>
  <c r="I5965" i="111" s="1"/>
  <c r="G842" i="111"/>
  <c r="H842" i="111" s="1"/>
  <c r="I842" i="111" s="1"/>
  <c r="H841" i="111"/>
  <c r="I841" i="111" s="1"/>
  <c r="G4003" i="111"/>
  <c r="H4003" i="111" s="1"/>
  <c r="I4003" i="111" s="1"/>
  <c r="H4002" i="111"/>
  <c r="I4002" i="111" s="1"/>
  <c r="H4681" i="111"/>
  <c r="G1191" i="111"/>
  <c r="H1191" i="111" s="1"/>
  <c r="I1191" i="111" s="1"/>
  <c r="H1190" i="111"/>
  <c r="I1190" i="111" s="1"/>
  <c r="G3319" i="111"/>
  <c r="G3408" i="111"/>
  <c r="H3318" i="111"/>
  <c r="H1923" i="111"/>
  <c r="I1923" i="111" s="1"/>
  <c r="G1449" i="111"/>
  <c r="H1449" i="111" s="1"/>
  <c r="I1449" i="111" s="1"/>
  <c r="H1448" i="111"/>
  <c r="I1448" i="111" s="1"/>
  <c r="G846" i="111"/>
  <c r="H846" i="111" s="1"/>
  <c r="I846" i="111" s="1"/>
  <c r="H845" i="111"/>
  <c r="I845" i="111" s="1"/>
  <c r="G1266" i="111"/>
  <c r="H1266" i="111" s="1"/>
  <c r="I1266" i="111" s="1"/>
  <c r="H1265" i="111"/>
  <c r="I1265" i="111" s="1"/>
  <c r="I1210" i="111"/>
  <c r="I2039" i="111"/>
  <c r="G2435" i="111"/>
  <c r="H2435" i="111" s="1"/>
  <c r="I2435" i="111" s="1"/>
  <c r="H2434" i="111"/>
  <c r="I2434" i="111" s="1"/>
  <c r="G2595" i="111"/>
  <c r="H2584" i="111"/>
  <c r="H2595" i="111" s="1"/>
  <c r="H4733" i="111"/>
  <c r="G5869" i="111"/>
  <c r="H5869" i="111" s="1"/>
  <c r="I5869" i="111" s="1"/>
  <c r="H5868" i="111"/>
  <c r="I5868" i="111" s="1"/>
  <c r="G5796" i="111"/>
  <c r="H5766" i="111"/>
  <c r="I5766" i="111" s="1"/>
  <c r="G5794" i="111"/>
  <c r="G2012" i="111"/>
  <c r="H2012" i="111" s="1"/>
  <c r="I2012" i="111" s="1"/>
  <c r="H2011" i="111"/>
  <c r="I2011" i="111" s="1"/>
  <c r="G1525" i="111"/>
  <c r="H1518" i="111"/>
  <c r="H1525" i="111" s="1"/>
  <c r="G619" i="111"/>
  <c r="H619" i="111" s="1"/>
  <c r="I619" i="111" s="1"/>
  <c r="H618" i="111"/>
  <c r="I618" i="111" s="1"/>
  <c r="G6250" i="111"/>
  <c r="H6234" i="111"/>
  <c r="H6250" i="111" s="1"/>
  <c r="G5214" i="111"/>
  <c r="H5146" i="111"/>
  <c r="H1103" i="111"/>
  <c r="H1115" i="111" s="1"/>
  <c r="G1115" i="111"/>
  <c r="I4980" i="111"/>
  <c r="I5052" i="111" s="1"/>
  <c r="H5052" i="111"/>
  <c r="H4415" i="111"/>
  <c r="H1066" i="111"/>
  <c r="G1114" i="111"/>
  <c r="H78" i="111"/>
  <c r="I78" i="111" s="1"/>
  <c r="H1562" i="111"/>
  <c r="G5225" i="111"/>
  <c r="H5225" i="111" s="1"/>
  <c r="I5225" i="111" s="1"/>
  <c r="G5278" i="111"/>
  <c r="H5224" i="111"/>
  <c r="I5224" i="111" s="1"/>
  <c r="I5278" i="111" s="1"/>
  <c r="G2755" i="111"/>
  <c r="H2754" i="111"/>
  <c r="H2808" i="111" s="1"/>
  <c r="G2808" i="111"/>
  <c r="H4692" i="111"/>
  <c r="H4734" i="111" s="1"/>
  <c r="G4734" i="111"/>
  <c r="G4304" i="111"/>
  <c r="H4294" i="111"/>
  <c r="I4294" i="111" s="1"/>
  <c r="H3198" i="111"/>
  <c r="I3198" i="111" s="1"/>
  <c r="G3585" i="111"/>
  <c r="H3585" i="111" s="1"/>
  <c r="I3585" i="111" s="1"/>
  <c r="G3596" i="111"/>
  <c r="H3584" i="111"/>
  <c r="H3596" i="111" s="1"/>
  <c r="I2360" i="111"/>
  <c r="H2454" i="111"/>
  <c r="I2751" i="111"/>
  <c r="H2807" i="111"/>
  <c r="H2466" i="111"/>
  <c r="I2466" i="111" s="1"/>
  <c r="H4610" i="111"/>
  <c r="I4610" i="111" s="1"/>
  <c r="H2725" i="111"/>
  <c r="I2725" i="111" s="1"/>
  <c r="G2745" i="111"/>
  <c r="H3857" i="111"/>
  <c r="I3857" i="111" s="1"/>
  <c r="H5709" i="111"/>
  <c r="I5709" i="111" s="1"/>
  <c r="G2649" i="111"/>
  <c r="G2669" i="111"/>
  <c r="H2648" i="111"/>
  <c r="H4972" i="111"/>
  <c r="G6051" i="111"/>
  <c r="H6051" i="111" s="1"/>
  <c r="I6051" i="111" s="1"/>
  <c r="H6050" i="111"/>
  <c r="I6050" i="111" s="1"/>
  <c r="G3504" i="111"/>
  <c r="H3504" i="111" s="1"/>
  <c r="I3504" i="111" s="1"/>
  <c r="H3503" i="111"/>
  <c r="I3503" i="111" s="1"/>
  <c r="H2163" i="111"/>
  <c r="I2163" i="111" s="1"/>
  <c r="H5546" i="111"/>
  <c r="I5546" i="111" s="1"/>
  <c r="H2242" i="111"/>
  <c r="I2242" i="111"/>
  <c r="H4251" i="111"/>
  <c r="H4303" i="111" s="1"/>
  <c r="G4303" i="111"/>
  <c r="G4301" i="111"/>
  <c r="H5767" i="111"/>
  <c r="I5767" i="111" s="1"/>
  <c r="G687" i="111"/>
  <c r="H687" i="111" s="1"/>
  <c r="I687" i="111" s="1"/>
  <c r="G708" i="111"/>
  <c r="H686" i="111"/>
  <c r="H708" i="111" s="1"/>
  <c r="H961" i="111"/>
  <c r="G979" i="111"/>
  <c r="I4492" i="111"/>
  <c r="I4549" i="111" s="1"/>
  <c r="H4549" i="111"/>
  <c r="H989" i="111"/>
  <c r="I989" i="111" s="1"/>
  <c r="H3670" i="111"/>
  <c r="I3670" i="111" s="1"/>
  <c r="G549" i="111"/>
  <c r="H478" i="111"/>
  <c r="H549" i="111" s="1"/>
  <c r="G3161" i="111"/>
  <c r="H3161" i="111" s="1"/>
  <c r="I3161" i="111" s="1"/>
  <c r="H3160" i="111"/>
  <c r="I3160" i="111" s="1"/>
  <c r="H2188" i="111"/>
  <c r="H2260" i="111" s="1"/>
  <c r="G2260" i="111"/>
  <c r="I1104" i="111"/>
  <c r="G5684" i="111"/>
  <c r="G1282" i="111"/>
  <c r="H1282" i="111" s="1"/>
  <c r="I1282" i="111" s="1"/>
  <c r="G1203" i="111"/>
  <c r="H1124" i="111"/>
  <c r="H1203" i="111" s="1"/>
  <c r="G691" i="111"/>
  <c r="H691" i="111" s="1"/>
  <c r="I691" i="111" s="1"/>
  <c r="G5877" i="111"/>
  <c r="H5806" i="111"/>
  <c r="H5877" i="111" s="1"/>
  <c r="G5607" i="111"/>
  <c r="H5606" i="111"/>
  <c r="I5606" i="111" s="1"/>
  <c r="G3873" i="111"/>
  <c r="H3873" i="111" s="1"/>
  <c r="I3873" i="111" s="1"/>
  <c r="G4816" i="111"/>
  <c r="H4816" i="111" s="1"/>
  <c r="I4816" i="111" s="1"/>
  <c r="H833" i="111"/>
  <c r="G856" i="111"/>
  <c r="G5506" i="111"/>
  <c r="H5505" i="111"/>
  <c r="G5554" i="111"/>
  <c r="G3524" i="111"/>
  <c r="H3524" i="111" s="1"/>
  <c r="I3524" i="111" s="1"/>
  <c r="I2462" i="111"/>
  <c r="I2527" i="111" s="1"/>
  <c r="H1045" i="111"/>
  <c r="I1045" i="111" s="1"/>
  <c r="G4966" i="111"/>
  <c r="H4965" i="111"/>
  <c r="I4965" i="111" s="1"/>
  <c r="G1465" i="111"/>
  <c r="H1465" i="111" s="1"/>
  <c r="I1465" i="111" s="1"/>
  <c r="H1464" i="111"/>
  <c r="I1464" i="111" s="1"/>
  <c r="H6546" i="111"/>
  <c r="G2016" i="111"/>
  <c r="H2016" i="111" s="1"/>
  <c r="I2016" i="111" s="1"/>
  <c r="G902" i="111"/>
  <c r="H902" i="111" s="1"/>
  <c r="I902" i="111" s="1"/>
  <c r="G911" i="111"/>
  <c r="H901" i="111"/>
  <c r="H911" i="111" s="1"/>
  <c r="I5803" i="111"/>
  <c r="I5876" i="111" s="1"/>
  <c r="H5876" i="111"/>
  <c r="H4386" i="111"/>
  <c r="G4421" i="111"/>
  <c r="H4414" i="111"/>
  <c r="H4421" i="111" s="1"/>
  <c r="G3551" i="111"/>
  <c r="H3551" i="111" s="1"/>
  <c r="I3551" i="111" s="1"/>
  <c r="H3550" i="111"/>
  <c r="H3595" i="111" s="1"/>
  <c r="G3595" i="111"/>
  <c r="G170" i="111"/>
  <c r="H77" i="111"/>
  <c r="H170" i="111" s="1"/>
  <c r="G4808" i="111"/>
  <c r="H4808" i="111" s="1"/>
  <c r="I4808" i="111" s="1"/>
  <c r="G4886" i="111"/>
  <c r="H4886" i="111" s="1"/>
  <c r="I4886" i="111" s="1"/>
  <c r="H4885" i="111"/>
  <c r="I4885" i="111" s="1"/>
  <c r="G2730" i="111"/>
  <c r="H2730" i="111" s="1"/>
  <c r="I2730" i="111" s="1"/>
  <c r="H4379" i="111"/>
  <c r="I4379" i="111" s="1"/>
  <c r="G5054" i="111"/>
  <c r="H5032" i="111"/>
  <c r="H3197" i="111"/>
  <c r="H3252" i="111" s="1"/>
  <c r="G3252" i="111"/>
  <c r="H1633" i="111"/>
  <c r="H4744" i="111"/>
  <c r="I4744" i="111" s="1"/>
  <c r="I4832" i="111" s="1"/>
  <c r="G4832" i="111"/>
  <c r="G1775" i="111"/>
  <c r="H1719" i="111"/>
  <c r="I1719" i="111" s="1"/>
  <c r="I1775" i="111" s="1"/>
  <c r="G1362" i="111"/>
  <c r="H1362" i="111" s="1"/>
  <c r="I1362" i="111" s="1"/>
  <c r="G2528" i="111"/>
  <c r="H2465" i="111"/>
  <c r="I2465" i="111" s="1"/>
  <c r="I2528" i="111" s="1"/>
  <c r="G2979" i="111"/>
  <c r="H2979" i="111" s="1"/>
  <c r="I2979" i="111" s="1"/>
  <c r="G5127" i="111"/>
  <c r="H5127" i="111" s="1"/>
  <c r="I5127" i="111" s="1"/>
  <c r="H5708" i="111"/>
  <c r="H5756" i="111" s="1"/>
  <c r="G5756" i="111"/>
  <c r="I5379" i="111"/>
  <c r="I5412" i="111" s="1"/>
  <c r="H5412" i="111"/>
  <c r="I3703" i="111"/>
  <c r="H3805" i="111"/>
  <c r="G423" i="111"/>
  <c r="H423" i="111" s="1"/>
  <c r="I423" i="111" s="1"/>
  <c r="I3259" i="111"/>
  <c r="G1574" i="111"/>
  <c r="H1574" i="111" s="1"/>
  <c r="I1574" i="111" s="1"/>
  <c r="G1634" i="111"/>
  <c r="H1573" i="111"/>
  <c r="G1461" i="111"/>
  <c r="H1461" i="111" s="1"/>
  <c r="I1461" i="111" s="1"/>
  <c r="H1460" i="111"/>
  <c r="I1460" i="111" s="1"/>
  <c r="H6532" i="111"/>
  <c r="I6532" i="111" s="1"/>
  <c r="G6548" i="111"/>
  <c r="G2427" i="111"/>
  <c r="H2427" i="111" s="1"/>
  <c r="I2427" i="111" s="1"/>
  <c r="H2426" i="111"/>
  <c r="I2426" i="111" s="1"/>
  <c r="G1768" i="111"/>
  <c r="H1768" i="111" s="1"/>
  <c r="I1768" i="111" s="1"/>
  <c r="H1767" i="111"/>
  <c r="I1767" i="111" s="1"/>
  <c r="G158" i="111"/>
  <c r="H158" i="111" s="1"/>
  <c r="I158" i="111" s="1"/>
  <c r="H157" i="111"/>
  <c r="I157" i="111" s="1"/>
  <c r="G5413" i="111"/>
  <c r="H5382" i="111"/>
  <c r="H5413" i="111" s="1"/>
  <c r="G5037" i="111"/>
  <c r="G4388" i="111"/>
  <c r="H4363" i="111"/>
  <c r="H344" i="111"/>
  <c r="I344" i="111" s="1"/>
  <c r="G5865" i="111"/>
  <c r="I5625" i="111"/>
  <c r="H2876" i="111"/>
  <c r="G2921" i="111"/>
  <c r="G2657" i="111"/>
  <c r="H2657" i="111" s="1"/>
  <c r="I2657" i="111" s="1"/>
  <c r="G4376" i="111"/>
  <c r="H4376" i="111" s="1"/>
  <c r="I4376" i="111" s="1"/>
  <c r="G1204" i="111"/>
  <c r="H1182" i="111"/>
  <c r="G2327" i="111"/>
  <c r="H2327" i="111" s="1"/>
  <c r="I2327" i="111" s="1"/>
  <c r="G4486" i="111"/>
  <c r="H4468" i="111"/>
  <c r="I4468" i="111" s="1"/>
  <c r="G5194" i="111"/>
  <c r="H5194" i="111" s="1"/>
  <c r="I5194" i="111" s="1"/>
  <c r="G4420" i="111"/>
  <c r="H4397" i="111"/>
  <c r="H4420" i="111" s="1"/>
  <c r="G4418" i="111"/>
  <c r="G1278" i="111"/>
  <c r="H1278" i="111" s="1"/>
  <c r="I1278" i="111" s="1"/>
  <c r="G4485" i="111"/>
  <c r="H4430" i="111"/>
  <c r="H4485" i="111" s="1"/>
  <c r="H467" i="111"/>
  <c r="I5285" i="111"/>
  <c r="I5371" i="111" s="1"/>
  <c r="H5371" i="111"/>
  <c r="G243" i="111"/>
  <c r="H235" i="111"/>
  <c r="I235" i="111" s="1"/>
  <c r="G4230" i="111"/>
  <c r="H4230" i="111" s="1"/>
  <c r="I4230" i="111" s="1"/>
  <c r="H4229" i="111"/>
  <c r="I4229" i="111" s="1"/>
  <c r="G5599" i="111"/>
  <c r="H5599" i="111" s="1"/>
  <c r="I5599" i="111" s="1"/>
  <c r="H5598" i="111"/>
  <c r="G5619" i="111"/>
  <c r="H4609" i="111"/>
  <c r="G4629" i="111"/>
  <c r="G2506" i="111"/>
  <c r="H2506" i="111" s="1"/>
  <c r="I2506" i="111" s="1"/>
  <c r="H2505" i="111"/>
  <c r="G2529" i="111"/>
  <c r="H3856" i="111"/>
  <c r="I3856" i="111" s="1"/>
  <c r="G3891" i="111"/>
  <c r="G2098" i="111"/>
  <c r="H2097" i="111"/>
  <c r="I2097" i="111" s="1"/>
  <c r="H231" i="111"/>
  <c r="I231" i="111" s="1"/>
  <c r="I3084" i="111"/>
  <c r="I3186" i="111" s="1"/>
  <c r="G695" i="111"/>
  <c r="H695" i="111" s="1"/>
  <c r="I695" i="111" s="1"/>
  <c r="H6111" i="111"/>
  <c r="H6125" i="111" s="1"/>
  <c r="G6125" i="111"/>
  <c r="G5207" i="111"/>
  <c r="H5207" i="111" s="1"/>
  <c r="I5207" i="111" s="1"/>
  <c r="H5206" i="111"/>
  <c r="I5206" i="111" s="1"/>
  <c r="G2423" i="111"/>
  <c r="H2423" i="111" s="1"/>
  <c r="I2423" i="111" s="1"/>
  <c r="G2456" i="111"/>
  <c r="H2422" i="111"/>
  <c r="I2422" i="111" s="1"/>
  <c r="H5564" i="111"/>
  <c r="I5564" i="111" s="1"/>
  <c r="I5618" i="111" s="1"/>
  <c r="G5618" i="111"/>
  <c r="H6612" i="111"/>
  <c r="I6612" i="111" s="1"/>
  <c r="I6235" i="111"/>
  <c r="I6064" i="111"/>
  <c r="H6123" i="111"/>
  <c r="H3156" i="111"/>
  <c r="G3188" i="111"/>
  <c r="I5561" i="111"/>
  <c r="H5617" i="111"/>
  <c r="I4465" i="111"/>
  <c r="H227" i="111"/>
  <c r="G707" i="111"/>
  <c r="H640" i="111"/>
  <c r="H707" i="111" s="1"/>
  <c r="H1763" i="111"/>
  <c r="I1763" i="111" s="1"/>
  <c r="G5698" i="111"/>
  <c r="H5628" i="111"/>
  <c r="G3540" i="111"/>
  <c r="H3417" i="111"/>
  <c r="H3540" i="111" s="1"/>
  <c r="G154" i="111"/>
  <c r="H154" i="111" s="1"/>
  <c r="I154" i="111" s="1"/>
  <c r="H153" i="111"/>
  <c r="I153" i="111" s="1"/>
  <c r="H5887" i="111"/>
  <c r="H5924" i="111" s="1"/>
  <c r="G5924" i="111"/>
  <c r="H2159" i="111"/>
  <c r="H5675" i="111"/>
  <c r="G5699" i="111"/>
  <c r="G3869" i="111"/>
  <c r="H3869" i="111" s="1"/>
  <c r="I3869" i="111" s="1"/>
  <c r="H3868" i="111"/>
  <c r="I3868" i="111" s="1"/>
  <c r="G427" i="111"/>
  <c r="H427" i="111" s="1"/>
  <c r="I427" i="111" s="1"/>
  <c r="H426" i="111"/>
  <c r="I426" i="111" s="1"/>
  <c r="H2860" i="111"/>
  <c r="I2860" i="111" s="1"/>
  <c r="G4561" i="111"/>
  <c r="H4561" i="111" s="1"/>
  <c r="I4561" i="111" s="1"/>
  <c r="H4560" i="111"/>
  <c r="H4628" i="111" s="1"/>
  <c r="G4628" i="111"/>
  <c r="G6010" i="111"/>
  <c r="H5974" i="111"/>
  <c r="H6010" i="111" s="1"/>
  <c r="H4666" i="111"/>
  <c r="G4683" i="111"/>
  <c r="G1286" i="111"/>
  <c r="H1286" i="111" s="1"/>
  <c r="I1286" i="111" s="1"/>
  <c r="H5063" i="111"/>
  <c r="H5136" i="111" s="1"/>
  <c r="G5136" i="111"/>
  <c r="G6537" i="111"/>
  <c r="H6537" i="111" s="1"/>
  <c r="I6537" i="111" s="1"/>
  <c r="H6536" i="111"/>
  <c r="I6536" i="111" s="1"/>
  <c r="G970" i="111"/>
  <c r="H970" i="111" s="1"/>
  <c r="I970" i="111" s="1"/>
  <c r="H969" i="111"/>
  <c r="I969" i="111" s="1"/>
  <c r="G782" i="111"/>
  <c r="H782" i="111" s="1"/>
  <c r="I782" i="111" s="1"/>
  <c r="H781" i="111"/>
  <c r="H855" i="111" s="1"/>
  <c r="G855" i="111"/>
  <c r="G1475" i="111"/>
  <c r="H1381" i="111"/>
  <c r="I1381" i="111" s="1"/>
  <c r="I1475" i="111" s="1"/>
  <c r="H2322" i="111"/>
  <c r="G2354" i="111"/>
  <c r="H1627" i="111"/>
  <c r="I1627" i="111" s="1"/>
  <c r="H854" i="111"/>
  <c r="G4958" i="111"/>
  <c r="H4958" i="111" s="1"/>
  <c r="I4958" i="111" s="1"/>
  <c r="H4957" i="111"/>
  <c r="I4957" i="111" s="1"/>
  <c r="G415" i="111"/>
  <c r="H415" i="111" s="1"/>
  <c r="I415" i="111" s="1"/>
  <c r="H414" i="111"/>
  <c r="G435" i="111"/>
  <c r="G6300" i="111"/>
  <c r="H6300" i="111" s="1"/>
  <c r="I6300" i="111" s="1"/>
  <c r="G6307" i="111"/>
  <c r="H6299" i="111"/>
  <c r="H6307" i="111" s="1"/>
  <c r="G4984" i="111"/>
  <c r="H4984" i="111" s="1"/>
  <c r="I4984" i="111" s="1"/>
  <c r="G5053" i="111"/>
  <c r="H4983" i="111"/>
  <c r="H5053" i="111" s="1"/>
  <c r="H325" i="111"/>
  <c r="I325" i="111" s="1"/>
  <c r="G1563" i="111"/>
  <c r="H1534" i="111"/>
  <c r="H1563" i="111" s="1"/>
  <c r="G2983" i="111"/>
  <c r="H2983" i="111" s="1"/>
  <c r="I2983" i="111" s="1"/>
  <c r="H2982" i="111"/>
  <c r="I2982" i="111" s="1"/>
  <c r="G1294" i="111"/>
  <c r="H1213" i="111"/>
  <c r="I1213" i="111" s="1"/>
  <c r="I1294" i="111" s="1"/>
  <c r="H2856" i="111"/>
  <c r="G2867" i="111"/>
  <c r="G1524" i="111"/>
  <c r="H1485" i="111"/>
  <c r="H1524" i="111" s="1"/>
  <c r="G1522" i="111"/>
  <c r="H4639" i="111"/>
  <c r="I4639" i="111" s="1"/>
  <c r="H7" i="111"/>
  <c r="H67" i="111" s="1"/>
  <c r="G67" i="111"/>
  <c r="G3173" i="111"/>
  <c r="H3173" i="111" s="1"/>
  <c r="I3173" i="111" s="1"/>
  <c r="H3172" i="111"/>
  <c r="I3172" i="111" s="1"/>
  <c r="I4394" i="111"/>
  <c r="H4419" i="111"/>
  <c r="H4217" i="111"/>
  <c r="I4217" i="111" s="1"/>
  <c r="G4242" i="111"/>
  <c r="I6636" i="111"/>
  <c r="I6689" i="111" s="1"/>
  <c r="H6689" i="111"/>
  <c r="G3901" i="111"/>
  <c r="H3901" i="111" s="1"/>
  <c r="I3901" i="111" s="1"/>
  <c r="H3900" i="111"/>
  <c r="H3936" i="111" s="1"/>
  <c r="G3936" i="111"/>
  <c r="H1618" i="111"/>
  <c r="G1635" i="111"/>
  <c r="H909" i="111"/>
  <c r="H1911" i="111"/>
  <c r="I1911" i="111" s="1"/>
  <c r="G1942" i="111"/>
  <c r="H4823" i="111"/>
  <c r="I4823" i="111" s="1"/>
  <c r="I3935" i="111"/>
  <c r="H6164" i="111"/>
  <c r="I6164" i="111" s="1"/>
  <c r="G6181" i="111"/>
  <c r="H3061" i="111"/>
  <c r="G5272" i="111"/>
  <c r="H5271" i="111"/>
  <c r="I5271" i="111" s="1"/>
  <c r="H5408" i="111"/>
  <c r="H3016" i="111"/>
  <c r="I3016" i="111" s="1"/>
  <c r="H6056" i="111"/>
  <c r="G5495" i="111"/>
  <c r="H5423" i="111"/>
  <c r="I5423" i="111" s="1"/>
  <c r="G3926" i="111"/>
  <c r="H3926" i="111" s="1"/>
  <c r="I3926" i="111" s="1"/>
  <c r="G3937" i="111"/>
  <c r="H3925" i="111"/>
  <c r="H3937" i="111" s="1"/>
  <c r="H2338" i="111"/>
  <c r="I2338" i="111" s="1"/>
  <c r="H6456" i="111"/>
  <c r="G6485" i="111"/>
  <c r="G2364" i="111"/>
  <c r="G2455" i="111"/>
  <c r="H2363" i="111"/>
  <c r="H2455" i="111" s="1"/>
  <c r="I3547" i="111"/>
  <c r="H3594" i="111"/>
  <c r="G5279" i="111"/>
  <c r="H5267" i="111"/>
  <c r="G2032" i="111"/>
  <c r="H1951" i="111"/>
  <c r="I1951" i="111" s="1"/>
  <c r="I2032" i="111" s="1"/>
  <c r="H461" i="111"/>
  <c r="H469" i="111" s="1"/>
  <c r="G469" i="111"/>
  <c r="G1195" i="111"/>
  <c r="G3359" i="111"/>
  <c r="H3359" i="111" s="1"/>
  <c r="I3359" i="111" s="1"/>
  <c r="I3414" i="111"/>
  <c r="I3539" i="111" s="1"/>
  <c r="G530" i="111"/>
  <c r="G550" i="111"/>
  <c r="H529" i="111"/>
  <c r="I529" i="111" s="1"/>
  <c r="G3772" i="111"/>
  <c r="H3772" i="111" s="1"/>
  <c r="I3772" i="111" s="1"/>
  <c r="G3930" i="111"/>
  <c r="H3930" i="111" s="1"/>
  <c r="I3930" i="111" s="1"/>
  <c r="G6461" i="111"/>
  <c r="I1121" i="111"/>
  <c r="I1202" i="111" s="1"/>
  <c r="H1202" i="111"/>
  <c r="G3247" i="111"/>
  <c r="H3247" i="111" s="1"/>
  <c r="I3247" i="111" s="1"/>
  <c r="H3246" i="111"/>
  <c r="I3246" i="111" s="1"/>
  <c r="G3528" i="111"/>
  <c r="H3528" i="111" s="1"/>
  <c r="I3528" i="111" s="1"/>
  <c r="H3527" i="111"/>
  <c r="I3527" i="111" s="1"/>
  <c r="G2539" i="111"/>
  <c r="H2539" i="111" s="1"/>
  <c r="I2539" i="111" s="1"/>
  <c r="H2538" i="111"/>
  <c r="H2594" i="111" s="1"/>
  <c r="G2594" i="111"/>
  <c r="G296" i="111"/>
  <c r="H296" i="111" s="1"/>
  <c r="I296" i="111" s="1"/>
  <c r="H295" i="111"/>
  <c r="G315" i="111"/>
  <c r="H3935" i="111"/>
  <c r="G6675" i="111"/>
  <c r="H6675" i="111" s="1"/>
  <c r="I6675" i="111" s="1"/>
  <c r="G6691" i="111"/>
  <c r="H6674" i="111"/>
  <c r="H3751" i="111"/>
  <c r="I3751" i="111" s="1"/>
  <c r="G3807" i="111"/>
  <c r="H1041" i="111"/>
  <c r="I1041" i="111" s="1"/>
  <c r="G1057" i="111"/>
  <c r="G5747" i="111"/>
  <c r="H5747" i="111" s="1"/>
  <c r="I5747" i="111" s="1"/>
  <c r="H5746" i="111"/>
  <c r="G5757" i="111"/>
  <c r="I3194" i="111"/>
  <c r="H3251" i="111"/>
  <c r="G3788" i="111"/>
  <c r="H3787" i="111"/>
  <c r="I3787" i="111" s="1"/>
  <c r="H5407" i="111"/>
  <c r="I5407" i="111" s="1"/>
  <c r="G4899" i="111"/>
  <c r="H4842" i="111"/>
  <c r="H4899" i="111" s="1"/>
  <c r="I1378" i="111"/>
  <c r="I1474" i="111" s="1"/>
  <c r="H1474" i="111"/>
  <c r="H3606" i="111"/>
  <c r="I3606" i="111" s="1"/>
  <c r="G368" i="111"/>
  <c r="H368" i="111" s="1"/>
  <c r="I368" i="111" s="1"/>
  <c r="G434" i="111"/>
  <c r="H367" i="111"/>
  <c r="H434" i="111" s="1"/>
  <c r="G5857" i="111"/>
  <c r="H5857" i="111" s="1"/>
  <c r="I5857" i="111" s="1"/>
  <c r="H5856" i="111"/>
  <c r="G5878" i="111"/>
  <c r="H3946" i="111"/>
  <c r="I3946" i="111" s="1"/>
  <c r="I4017" i="111" s="1"/>
  <c r="G4017" i="111"/>
  <c r="G6068" i="111"/>
  <c r="H6068" i="111" s="1"/>
  <c r="I6068" i="111" s="1"/>
  <c r="G6124" i="111"/>
  <c r="H6067" i="111"/>
  <c r="I6067" i="111" s="1"/>
  <c r="I6124" i="111" s="1"/>
  <c r="H3015" i="111"/>
  <c r="I3015" i="111"/>
  <c r="I3077" i="111" s="1"/>
  <c r="G3077" i="111"/>
  <c r="G615" i="111"/>
  <c r="H615" i="111" s="1"/>
  <c r="I615" i="111" s="1"/>
  <c r="H6020" i="111"/>
  <c r="G6057" i="111"/>
  <c r="G5041" i="111"/>
  <c r="H5041" i="111" s="1"/>
  <c r="I5041" i="111" s="1"/>
  <c r="H5040" i="111"/>
  <c r="I5040" i="111" s="1"/>
  <c r="H6316" i="111"/>
  <c r="G6383" i="111"/>
  <c r="G2110" i="111"/>
  <c r="H2042" i="111"/>
  <c r="I2042" i="111" s="1"/>
  <c r="I2110" i="111" s="1"/>
  <c r="I1641" i="111"/>
  <c r="H1708" i="111"/>
  <c r="G4550" i="111"/>
  <c r="H4495" i="111"/>
  <c r="H4550" i="111" s="1"/>
  <c r="H1626" i="111"/>
  <c r="I1626" i="111" s="1"/>
  <c r="I1301" i="111"/>
  <c r="H1370" i="111"/>
  <c r="H4472" i="111"/>
  <c r="I4472" i="111" s="1"/>
  <c r="H2593" i="111"/>
  <c r="I6187" i="111"/>
  <c r="I6248" i="111" s="1"/>
  <c r="I5221" i="111"/>
  <c r="I5277" i="111" s="1"/>
  <c r="H5277" i="111"/>
  <c r="G3339" i="111"/>
  <c r="H3339" i="111" s="1"/>
  <c r="I3339" i="111" s="1"/>
  <c r="H3338" i="111"/>
  <c r="I3338" i="111" s="1"/>
  <c r="H5542" i="111"/>
  <c r="G5555" i="111"/>
  <c r="I5542" i="111"/>
  <c r="H2169" i="111"/>
  <c r="I2169" i="111" s="1"/>
  <c r="G2171" i="111"/>
  <c r="G2172" i="111" s="1"/>
  <c r="H2172" i="111" s="1"/>
  <c r="I2172" i="111" s="1"/>
  <c r="I249" i="111"/>
  <c r="H313" i="111"/>
  <c r="G1760" i="111"/>
  <c r="H1760" i="111" s="1"/>
  <c r="I1760" i="111" s="1"/>
  <c r="H1759" i="111"/>
  <c r="I1759" i="111" s="1"/>
  <c r="I4557" i="111"/>
  <c r="H4627" i="111"/>
  <c r="H3263" i="111"/>
  <c r="I3263" i="111" s="1"/>
  <c r="H1644" i="111"/>
  <c r="H1709" i="111" s="1"/>
  <c r="G1709" i="111"/>
  <c r="G5123" i="111"/>
  <c r="H5123" i="111" s="1"/>
  <c r="I5123" i="111" s="1"/>
  <c r="H5122" i="111"/>
  <c r="I5122" i="111" s="1"/>
  <c r="G162" i="111"/>
  <c r="G6376" i="111"/>
  <c r="H6376" i="111" s="1"/>
  <c r="I6376" i="111" s="1"/>
  <c r="H6375" i="111"/>
  <c r="I6375" i="111" s="1"/>
  <c r="H2931" i="111"/>
  <c r="H3005" i="111" s="1"/>
  <c r="G3005" i="111"/>
  <c r="G4682" i="111"/>
  <c r="H4638" i="111"/>
  <c r="H4682" i="111" s="1"/>
  <c r="G1457" i="111"/>
  <c r="H1457" i="111" s="1"/>
  <c r="I1457" i="111" s="1"/>
  <c r="H1456" i="111"/>
  <c r="I1456" i="111" s="1"/>
  <c r="G5357" i="111"/>
  <c r="H5357" i="111" s="1"/>
  <c r="I5357" i="111" s="1"/>
  <c r="H3998" i="111"/>
  <c r="G4018" i="111"/>
  <c r="G2335" i="111"/>
  <c r="H2335" i="111" s="1"/>
  <c r="I2335" i="111" s="1"/>
  <c r="H2334" i="111"/>
  <c r="I2334" i="111" s="1"/>
  <c r="G357" i="111"/>
  <c r="H348" i="111"/>
  <c r="I348" i="111" s="1"/>
  <c r="G68" i="111"/>
  <c r="H51" i="111"/>
  <c r="I51" i="111" s="1"/>
  <c r="H6259" i="111"/>
  <c r="H6306" i="111" s="1"/>
  <c r="G6306" i="111"/>
  <c r="G3675" i="111"/>
  <c r="H3675" i="111" s="1"/>
  <c r="I3675" i="111" s="1"/>
  <c r="H3674" i="111"/>
  <c r="I3674" i="111" s="1"/>
  <c r="H761" i="111"/>
  <c r="H772" i="111" s="1"/>
  <c r="G772" i="111"/>
  <c r="I5705" i="111"/>
  <c r="I5755" i="111" s="1"/>
  <c r="H5755" i="111"/>
  <c r="G4226" i="111"/>
  <c r="H4067" i="111"/>
  <c r="G4080" i="111"/>
  <c r="G181" i="111"/>
  <c r="H181" i="111" s="1"/>
  <c r="I181" i="111" s="1"/>
  <c r="H180" i="111"/>
  <c r="H242" i="111" s="1"/>
  <c r="G242" i="111"/>
  <c r="G5935" i="111"/>
  <c r="H5935" i="111" s="1"/>
  <c r="I5935" i="111" s="1"/>
  <c r="G5964" i="111"/>
  <c r="H5934" i="111"/>
  <c r="I5934" i="111" s="1"/>
  <c r="H3666" i="111"/>
  <c r="G3697" i="111"/>
  <c r="G6640" i="111"/>
  <c r="H6640" i="111" s="1"/>
  <c r="I6640" i="111" s="1"/>
  <c r="H6639" i="111"/>
  <c r="H6690" i="111" s="1"/>
  <c r="G6690" i="111"/>
  <c r="G3696" i="111"/>
  <c r="H3605" i="111"/>
  <c r="H3696" i="111" s="1"/>
  <c r="G3756" i="111"/>
  <c r="H3756" i="111" s="1"/>
  <c r="I3756" i="111" s="1"/>
  <c r="H3755" i="111"/>
  <c r="I3755" i="111" s="1"/>
  <c r="G5119" i="111"/>
  <c r="H5119" i="111" s="1"/>
  <c r="I5119" i="111" s="1"/>
  <c r="H5118" i="111"/>
  <c r="I5118" i="111" s="1"/>
  <c r="G4138" i="111"/>
  <c r="H4138" i="111" s="1"/>
  <c r="I4138" i="111" s="1"/>
  <c r="G4155" i="111"/>
  <c r="H4137" i="111"/>
  <c r="H4155" i="111" s="1"/>
  <c r="G1756" i="111"/>
  <c r="H1756" i="111" s="1"/>
  <c r="I1756" i="111" s="1"/>
  <c r="H1755" i="111"/>
  <c r="I1755" i="111" s="1"/>
  <c r="G611" i="111"/>
  <c r="H610" i="111"/>
  <c r="G631" i="111"/>
  <c r="H241" i="111"/>
  <c r="G304" i="111"/>
  <c r="H304" i="111" s="1"/>
  <c r="I304" i="111" s="1"/>
  <c r="H303" i="111"/>
  <c r="I303" i="111" s="1"/>
  <c r="I4839" i="111"/>
  <c r="I4898" i="111" s="1"/>
  <c r="H4898" i="111"/>
  <c r="G3776" i="111"/>
  <c r="H3776" i="111" s="1"/>
  <c r="I3776" i="111" s="1"/>
  <c r="H3775" i="111"/>
  <c r="I3775" i="111" s="1"/>
  <c r="H3495" i="111"/>
  <c r="G3541" i="111"/>
  <c r="H3057" i="111"/>
  <c r="I3057" i="111" s="1"/>
  <c r="G3078" i="111"/>
  <c r="H4252" i="111"/>
  <c r="G5611" i="111"/>
  <c r="H5611" i="111" s="1"/>
  <c r="I5611" i="111" s="1"/>
  <c r="H5610" i="111"/>
  <c r="I5610" i="111" s="1"/>
  <c r="G4675" i="111"/>
  <c r="H4675" i="111" s="1"/>
  <c r="I4675" i="111" s="1"/>
  <c r="H4674" i="111"/>
  <c r="I4674" i="111" s="1"/>
  <c r="G4028" i="111"/>
  <c r="H4028" i="111" s="1"/>
  <c r="I4028" i="111" s="1"/>
  <c r="H4027" i="111"/>
  <c r="H4079" i="111" s="1"/>
  <c r="G4079" i="111"/>
  <c r="G3371" i="111"/>
  <c r="H3371" i="111" s="1"/>
  <c r="I3371" i="111" s="1"/>
  <c r="H3370" i="111"/>
  <c r="I3370" i="111" s="1"/>
  <c r="I6256" i="111"/>
  <c r="I6305" i="111" s="1"/>
  <c r="H6305" i="111"/>
  <c r="G3367" i="111"/>
  <c r="H3367" i="111" s="1"/>
  <c r="I3367" i="111" s="1"/>
  <c r="H3366" i="111"/>
  <c r="I3366" i="111" s="1"/>
  <c r="G4727" i="111"/>
  <c r="H4727" i="111" s="1"/>
  <c r="I4727" i="111" s="1"/>
  <c r="H4726" i="111"/>
  <c r="H4735" i="111" s="1"/>
  <c r="G4735" i="111"/>
  <c r="H6678" i="111"/>
  <c r="I6678" i="111" s="1"/>
  <c r="H6046" i="111"/>
  <c r="G6058" i="111"/>
  <c r="H4290" i="111"/>
  <c r="I4248" i="111"/>
  <c r="H4302" i="111"/>
  <c r="G6617" i="111"/>
  <c r="H6617" i="111" s="1"/>
  <c r="I6617" i="111" s="1"/>
  <c r="G4007" i="111"/>
  <c r="H4007" i="111" s="1"/>
  <c r="I4007" i="111" s="1"/>
  <c r="G534" i="111"/>
  <c r="H534" i="111" s="1"/>
  <c r="I534" i="111" s="1"/>
  <c r="H2121" i="111"/>
  <c r="I2121" i="111" s="1"/>
  <c r="G2343" i="111"/>
  <c r="H2343" i="111" s="1"/>
  <c r="I2343" i="111" s="1"/>
  <c r="G1445" i="111"/>
  <c r="H1445" i="111" s="1"/>
  <c r="I1445" i="111" s="1"/>
  <c r="G6135" i="111"/>
  <c r="G6180" i="111"/>
  <c r="H6134" i="111"/>
  <c r="H6180" i="111" s="1"/>
  <c r="H4953" i="111"/>
  <c r="G4974" i="111"/>
  <c r="G5404" i="111"/>
  <c r="H5404" i="111" s="1"/>
  <c r="I5404" i="111" s="1"/>
  <c r="H5403" i="111"/>
  <c r="I5403" i="111" s="1"/>
  <c r="G5414" i="111"/>
  <c r="H3087" i="111"/>
  <c r="H3187" i="111" s="1"/>
  <c r="G3187" i="111"/>
  <c r="G3512" i="111"/>
  <c r="H3512" i="111" s="1"/>
  <c r="I3512" i="111" s="1"/>
  <c r="H1751" i="111"/>
  <c r="I1751" i="111" s="1"/>
  <c r="G1776" i="111"/>
  <c r="H6557" i="111"/>
  <c r="G6629" i="111"/>
  <c r="I6390" i="111"/>
  <c r="I6483" i="111" s="1"/>
  <c r="H6483" i="111"/>
  <c r="H2007" i="111"/>
  <c r="I2007" i="111" s="1"/>
  <c r="G2033" i="111"/>
  <c r="G2239" i="111"/>
  <c r="H2239" i="111" s="1"/>
  <c r="I2239" i="111" s="1"/>
  <c r="H2238" i="111"/>
  <c r="G2261" i="111"/>
  <c r="G4090" i="111"/>
  <c r="H4090" i="111" s="1"/>
  <c r="I4090" i="111" s="1"/>
  <c r="G4154" i="111"/>
  <c r="H4089" i="111"/>
  <c r="H4154" i="111" s="1"/>
  <c r="G2094" i="111"/>
  <c r="H2094" i="111" s="1"/>
  <c r="I2094" i="111" s="1"/>
  <c r="H717" i="111"/>
  <c r="I717" i="111" s="1"/>
  <c r="I771" i="111" s="1"/>
  <c r="G771" i="111"/>
  <c r="G769" i="111"/>
  <c r="I4161" i="111"/>
  <c r="H4240" i="111"/>
  <c r="H1055" i="111"/>
  <c r="G5797" i="111"/>
  <c r="H5790" i="111"/>
  <c r="H5797" i="111" s="1"/>
  <c r="G2522" i="111"/>
  <c r="H2522" i="111" s="1"/>
  <c r="I2522" i="111" s="1"/>
  <c r="G2653" i="111"/>
  <c r="H2653" i="111" s="1"/>
  <c r="I2653" i="111" s="1"/>
  <c r="H2652" i="111"/>
  <c r="I2652" i="111" s="1"/>
  <c r="G5603" i="111"/>
  <c r="H5603" i="111" s="1"/>
  <c r="I5603" i="111" s="1"/>
  <c r="H5602" i="111"/>
  <c r="I5602" i="111" s="1"/>
  <c r="G4796" i="111"/>
  <c r="H4796" i="111" s="1"/>
  <c r="I4796" i="111" s="1"/>
  <c r="G4833" i="111"/>
  <c r="H4795" i="111"/>
  <c r="H3242" i="111"/>
  <c r="I3242" i="111" s="1"/>
  <c r="G6005" i="111"/>
  <c r="H6005" i="111" s="1"/>
  <c r="I6005" i="111" s="1"/>
  <c r="H6004" i="111"/>
  <c r="H6011" i="111" s="1"/>
  <c r="G6011" i="111"/>
  <c r="H355" i="111"/>
  <c r="G3881" i="111"/>
  <c r="H3881" i="111" s="1"/>
  <c r="I3881" i="111" s="1"/>
  <c r="H3880" i="111"/>
  <c r="I3880" i="111" s="1"/>
  <c r="G2447" i="111"/>
  <c r="H2447" i="111" s="1"/>
  <c r="I2447" i="111" s="1"/>
  <c r="H2446" i="111"/>
  <c r="I2446" i="111" s="1"/>
  <c r="G3006" i="111"/>
  <c r="H2970" i="111"/>
  <c r="H3238" i="111"/>
  <c r="I3238" i="111" s="1"/>
  <c r="G3253" i="111"/>
  <c r="H2081" i="111"/>
  <c r="G2111" i="111"/>
  <c r="H149" i="111"/>
  <c r="G171" i="111"/>
  <c r="G4222" i="111"/>
  <c r="H4222" i="111" s="1"/>
  <c r="I4222" i="111" s="1"/>
  <c r="H4221" i="111"/>
  <c r="I4221" i="111" s="1"/>
  <c r="G3331" i="111"/>
  <c r="H3331" i="111" s="1"/>
  <c r="I3331" i="111" s="1"/>
  <c r="G2024" i="111"/>
  <c r="H2024" i="111" s="1"/>
  <c r="I2024" i="111" s="1"/>
  <c r="H2023" i="111"/>
  <c r="I2023" i="111" s="1"/>
  <c r="G6112" i="111"/>
  <c r="H6112" i="111" s="1"/>
  <c r="I6112" i="111" s="1"/>
  <c r="G2991" i="111"/>
  <c r="H2991" i="111" s="1"/>
  <c r="I2991" i="111" s="1"/>
  <c r="I2185" i="111"/>
  <c r="G5373" i="111"/>
  <c r="H5340" i="111"/>
  <c r="H5373" i="111" s="1"/>
  <c r="G6630" i="111"/>
  <c r="H6604" i="111"/>
  <c r="I6604" i="111" s="1"/>
  <c r="G5268" i="111"/>
  <c r="H5474" i="111"/>
  <c r="I5474" i="111" s="1"/>
  <c r="G2164" i="111"/>
  <c r="H2164" i="111" s="1"/>
  <c r="I2164" i="111" s="1"/>
  <c r="G1305" i="111"/>
  <c r="H1305" i="111" s="1"/>
  <c r="I1305" i="111" s="1"/>
  <c r="H1304" i="111"/>
  <c r="G1371" i="111"/>
  <c r="G4820" i="111"/>
  <c r="H4820" i="111" s="1"/>
  <c r="I4820" i="111" s="1"/>
  <c r="I1854" i="111"/>
  <c r="I4086" i="111"/>
  <c r="I4153" i="111" s="1"/>
  <c r="H4153" i="111"/>
  <c r="H1829" i="111"/>
  <c r="G1848" i="111"/>
  <c r="G1952" i="111"/>
  <c r="G5478" i="111"/>
  <c r="H5478" i="111" s="1"/>
  <c r="I5478" i="111" s="1"/>
  <c r="G1535" i="111"/>
  <c r="H1535" i="111" s="1"/>
  <c r="I1535" i="111" s="1"/>
  <c r="G3355" i="111"/>
  <c r="H3355" i="111" s="1"/>
  <c r="I3355" i="111" s="1"/>
  <c r="H3354" i="111"/>
  <c r="I3354" i="111" s="1"/>
  <c r="G6679" i="111"/>
  <c r="H6679" i="111" s="1"/>
  <c r="I6679" i="111" s="1"/>
  <c r="I5971" i="111"/>
  <c r="H6009" i="111"/>
  <c r="G3708" i="111"/>
  <c r="H3708" i="111" s="1"/>
  <c r="I3708" i="111" s="1"/>
  <c r="H3707" i="111"/>
  <c r="H3806" i="111" s="1"/>
  <c r="G3806" i="111"/>
  <c r="G462" i="111"/>
  <c r="G3768" i="111"/>
  <c r="H3768" i="111" s="1"/>
  <c r="I3768" i="111" s="1"/>
  <c r="H3767" i="111"/>
  <c r="I3767" i="111" s="1"/>
  <c r="G3792" i="111"/>
  <c r="H3792" i="111" s="1"/>
  <c r="I3792" i="111" s="1"/>
  <c r="G3861" i="111"/>
  <c r="H3861" i="111" s="1"/>
  <c r="I3861" i="111" s="1"/>
  <c r="G6613" i="111"/>
  <c r="H6613" i="111" s="1"/>
  <c r="I6613" i="111" s="1"/>
  <c r="I2928" i="111"/>
  <c r="I3004" i="111" s="1"/>
  <c r="H3004" i="111"/>
  <c r="G538" i="111"/>
  <c r="H538" i="111" s="1"/>
  <c r="I538" i="111" s="1"/>
  <c r="H537" i="111"/>
  <c r="I537" i="111" s="1"/>
  <c r="H4881" i="111"/>
  <c r="G4900" i="111"/>
  <c r="G4541" i="111"/>
  <c r="H4541" i="111" s="1"/>
  <c r="I4541" i="111" s="1"/>
  <c r="H4540" i="111"/>
  <c r="G4551" i="111"/>
  <c r="G2801" i="111"/>
  <c r="H2801" i="111" s="1"/>
  <c r="I2801" i="111" s="1"/>
  <c r="H2800" i="111"/>
  <c r="H2809" i="111" s="1"/>
  <c r="G2809" i="111"/>
  <c r="G3351" i="111"/>
  <c r="H3351" i="111" s="1"/>
  <c r="I3351" i="111" s="1"/>
  <c r="H3350" i="111"/>
  <c r="I3350" i="111" s="1"/>
  <c r="H1556" i="111"/>
  <c r="H1564" i="111" s="1"/>
  <c r="G1564" i="111"/>
  <c r="G966" i="111"/>
  <c r="H966" i="111" s="1"/>
  <c r="I966" i="111" s="1"/>
  <c r="H2120" i="111"/>
  <c r="H2178" i="111" s="1"/>
  <c r="G2178" i="111"/>
  <c r="I637" i="111"/>
  <c r="H706" i="111"/>
  <c r="I3012" i="111"/>
  <c r="H3076" i="111"/>
  <c r="G1847" i="111"/>
  <c r="H1785" i="111"/>
  <c r="H1847" i="111" s="1"/>
  <c r="G1645" i="111"/>
  <c r="H1645" i="111" s="1"/>
  <c r="I1645" i="111" s="1"/>
  <c r="G300" i="111"/>
  <c r="H300" i="111" s="1"/>
  <c r="I300" i="111" s="1"/>
  <c r="H299" i="111"/>
  <c r="I299" i="111" s="1"/>
  <c r="I475" i="111"/>
  <c r="H548" i="111"/>
  <c r="H2270" i="111"/>
  <c r="H2353" i="111" s="1"/>
  <c r="G2353" i="111"/>
  <c r="H5473" i="111"/>
  <c r="H5496" i="111" s="1"/>
  <c r="G5496" i="111"/>
  <c r="H6393" i="111"/>
  <c r="I6393" i="111" s="1"/>
  <c r="I6484" i="111" s="1"/>
  <c r="G6484" i="111"/>
  <c r="G5925" i="111"/>
  <c r="H5914" i="111"/>
  <c r="H5925" i="111" s="1"/>
  <c r="G6621" i="111"/>
  <c r="H6621" i="111" s="1"/>
  <c r="I6621" i="111" s="1"/>
  <c r="G2679" i="111"/>
  <c r="H2679" i="111" s="1"/>
  <c r="I2679" i="111" s="1"/>
  <c r="G2744" i="111"/>
  <c r="H2678" i="111"/>
  <c r="H2744" i="111" s="1"/>
  <c r="G2819" i="111"/>
  <c r="H2819" i="111" s="1"/>
  <c r="I2819" i="111" s="1"/>
  <c r="G2866" i="111"/>
  <c r="H2818" i="111"/>
  <c r="I2818" i="111" s="1"/>
  <c r="G5486" i="111"/>
  <c r="H5486" i="111" s="1"/>
  <c r="I5486" i="111" s="1"/>
  <c r="G6191" i="111"/>
  <c r="H6191" i="111" s="1"/>
  <c r="I6191" i="111" s="1"/>
  <c r="H6190" i="111"/>
  <c r="H6249" i="111" s="1"/>
  <c r="G6249" i="111"/>
  <c r="G3671" i="111"/>
  <c r="H3671" i="111" s="1"/>
  <c r="I3671" i="111" s="1"/>
  <c r="I2675" i="111"/>
  <c r="I2743" i="111" s="1"/>
  <c r="H2743" i="111"/>
  <c r="H4164" i="111"/>
  <c r="I4164" i="111" s="1"/>
  <c r="I4241" i="111" s="1"/>
  <c r="G4241" i="111"/>
  <c r="G5490" i="111"/>
  <c r="H5490" i="111" s="1"/>
  <c r="I5490" i="111" s="1"/>
  <c r="H1261" i="111"/>
  <c r="G1295" i="111"/>
  <c r="H629" i="111"/>
  <c r="G630" i="111"/>
  <c r="H559" i="111"/>
  <c r="H630" i="111" s="1"/>
  <c r="H1349" i="111"/>
  <c r="H1372" i="111" s="1"/>
  <c r="G1372" i="111"/>
  <c r="G4545" i="111"/>
  <c r="G6173" i="111"/>
  <c r="H6173" i="111" s="1"/>
  <c r="I6173" i="111" s="1"/>
  <c r="H6172" i="111"/>
  <c r="I6172" i="111" s="1"/>
  <c r="G5919" i="111"/>
  <c r="H5919" i="111" s="1"/>
  <c r="I5919" i="111" s="1"/>
  <c r="G2605" i="111"/>
  <c r="H2605" i="111" s="1"/>
  <c r="I2605" i="111" s="1"/>
  <c r="G1354" i="111"/>
  <c r="H1354" i="111" s="1"/>
  <c r="I1354" i="111" s="1"/>
  <c r="G3764" i="111"/>
  <c r="H3764" i="111" s="1"/>
  <c r="I3764" i="111" s="1"/>
  <c r="H3763" i="111"/>
  <c r="I3763" i="111" s="1"/>
  <c r="G2331" i="111"/>
  <c r="H2331" i="111" s="1"/>
  <c r="I2331" i="111" s="1"/>
  <c r="I74" i="111"/>
  <c r="I917" i="111"/>
  <c r="H977" i="111"/>
  <c r="H6608" i="111"/>
  <c r="I6608" i="111" s="1"/>
  <c r="G2514" i="111"/>
  <c r="H2514" i="111" s="1"/>
  <c r="I2514" i="111" s="1"/>
  <c r="G5861" i="111"/>
  <c r="H5861" i="111" s="1"/>
  <c r="I5861" i="111" s="1"/>
  <c r="G4622" i="111"/>
  <c r="H4622" i="111" s="1"/>
  <c r="I4622" i="111" s="1"/>
  <c r="G6047" i="111"/>
  <c r="H6047" i="111" s="1"/>
  <c r="I6047" i="111" s="1"/>
  <c r="I364" i="111"/>
  <c r="H433" i="111"/>
  <c r="G1924" i="111"/>
  <c r="G5565" i="111"/>
  <c r="H5565" i="111" s="1"/>
  <c r="I5565" i="111" s="1"/>
  <c r="I3813" i="111"/>
  <c r="I3889" i="111" s="1"/>
  <c r="H3889" i="111"/>
  <c r="G2247" i="111"/>
  <c r="H2247" i="111" s="1"/>
  <c r="I2247" i="111" s="1"/>
  <c r="H2246" i="111"/>
  <c r="I2246" i="111" s="1"/>
  <c r="G1214" i="111"/>
  <c r="H1214" i="111" s="1"/>
  <c r="I1214" i="111" s="1"/>
  <c r="G150" i="111"/>
  <c r="H150" i="111" s="1"/>
  <c r="I150" i="111" s="1"/>
  <c r="AA2305" i="113"/>
  <c r="AE2305" i="113" s="1"/>
  <c r="AI2305" i="113" s="1"/>
  <c r="AD2305" i="113"/>
  <c r="AH2305" i="113" s="1"/>
  <c r="AA2399" i="113"/>
  <c r="AE2399" i="113" s="1"/>
  <c r="AI2399" i="113" s="1"/>
  <c r="AD2399" i="113"/>
  <c r="AH2399" i="113" s="1"/>
  <c r="AA1149" i="113"/>
  <c r="AE1149" i="113" s="1"/>
  <c r="AI1149" i="113" s="1"/>
  <c r="AD1149" i="113"/>
  <c r="AH1149" i="113" s="1"/>
  <c r="AA582" i="113"/>
  <c r="AD582" i="113"/>
  <c r="AH582" i="113" s="1"/>
  <c r="AA838" i="113"/>
  <c r="AE838" i="113" s="1"/>
  <c r="AI838" i="113" s="1"/>
  <c r="AD838" i="113"/>
  <c r="AH838" i="113" s="1"/>
  <c r="AA2318" i="113"/>
  <c r="AE2318" i="113" s="1"/>
  <c r="AI2318" i="113" s="1"/>
  <c r="AD2318" i="113"/>
  <c r="AH2318" i="113" s="1"/>
  <c r="AA1645" i="113"/>
  <c r="AE1645" i="113" s="1"/>
  <c r="AI1645" i="113" s="1"/>
  <c r="AD1645" i="113"/>
  <c r="AH1645" i="113" s="1"/>
  <c r="AA644" i="113"/>
  <c r="AE644" i="113" s="1"/>
  <c r="AI644" i="113" s="1"/>
  <c r="AD644" i="113"/>
  <c r="AH644" i="113" s="1"/>
  <c r="AA1128" i="113"/>
  <c r="AE1128" i="113" s="1"/>
  <c r="AI1128" i="113" s="1"/>
  <c r="AD1128" i="113"/>
  <c r="AH1128" i="113" s="1"/>
  <c r="AA306" i="113"/>
  <c r="AD306" i="113"/>
  <c r="AH306" i="113" s="1"/>
  <c r="AA697" i="113"/>
  <c r="AE697" i="113" s="1"/>
  <c r="AI697" i="113" s="1"/>
  <c r="AD697" i="113"/>
  <c r="AH697" i="113" s="1"/>
  <c r="AA1975" i="113"/>
  <c r="AE1975" i="113" s="1"/>
  <c r="AI1975" i="113" s="1"/>
  <c r="AD1975" i="113"/>
  <c r="AH1975" i="113" s="1"/>
  <c r="AA2252" i="113"/>
  <c r="AE2252" i="113" s="1"/>
  <c r="AI2252" i="113" s="1"/>
  <c r="AD2252" i="113"/>
  <c r="AH2252" i="113" s="1"/>
  <c r="AA441" i="113"/>
  <c r="AD441" i="113"/>
  <c r="AH441" i="113" s="1"/>
  <c r="AA1040" i="113"/>
  <c r="AD1040" i="113"/>
  <c r="AH1040" i="113" s="1"/>
  <c r="AA1593" i="113"/>
  <c r="AE1593" i="113" s="1"/>
  <c r="AI1593" i="113" s="1"/>
  <c r="AD1593" i="113"/>
  <c r="AH1593" i="113" s="1"/>
  <c r="AA361" i="113"/>
  <c r="AE361" i="113" s="1"/>
  <c r="AI361" i="113" s="1"/>
  <c r="AD361" i="113"/>
  <c r="AH361" i="113" s="1"/>
  <c r="AA864" i="113"/>
  <c r="AE864" i="113" s="1"/>
  <c r="AI864" i="113" s="1"/>
  <c r="AD864" i="113"/>
  <c r="AH864" i="113" s="1"/>
  <c r="AA2369" i="113"/>
  <c r="AE2369" i="113" s="1"/>
  <c r="AI2369" i="113" s="1"/>
  <c r="AD2369" i="113"/>
  <c r="AH2369" i="113" s="1"/>
  <c r="AA1451" i="113"/>
  <c r="AE1451" i="113" s="1"/>
  <c r="AI1451" i="113" s="1"/>
  <c r="AD1451" i="113"/>
  <c r="AH1451" i="113" s="1"/>
  <c r="AA2038" i="113"/>
  <c r="AD2038" i="113"/>
  <c r="AH2038" i="113" s="1"/>
  <c r="AA944" i="113"/>
  <c r="AD944" i="113"/>
  <c r="AH944" i="113" s="1"/>
  <c r="AA597" i="113"/>
  <c r="AE597" i="113" s="1"/>
  <c r="AI597" i="113" s="1"/>
  <c r="AD597" i="113"/>
  <c r="AH597" i="113" s="1"/>
  <c r="AA26" i="113"/>
  <c r="AD26" i="113"/>
  <c r="AH26" i="113" s="1"/>
  <c r="AA2204" i="113"/>
  <c r="AD2204" i="113"/>
  <c r="AH2204" i="113" s="1"/>
  <c r="AA1013" i="113"/>
  <c r="AD1013" i="113"/>
  <c r="AH1013" i="113" s="1"/>
  <c r="AA2281" i="113"/>
  <c r="AD2281" i="113"/>
  <c r="AH2281" i="113" s="1"/>
  <c r="AA1075" i="113"/>
  <c r="AD1075" i="113"/>
  <c r="AH1075" i="113" s="1"/>
  <c r="AA141" i="113"/>
  <c r="AD141" i="113"/>
  <c r="AH141" i="113" s="1"/>
  <c r="AA2072" i="113"/>
  <c r="AE2072" i="113" s="1"/>
  <c r="AI2072" i="113" s="1"/>
  <c r="AD2072" i="113"/>
  <c r="AH2072" i="113" s="1"/>
  <c r="AA1680" i="113"/>
  <c r="AE1680" i="113" s="1"/>
  <c r="AI1680" i="113" s="1"/>
  <c r="AD1680" i="113"/>
  <c r="AH1680" i="113" s="1"/>
  <c r="AA211" i="113"/>
  <c r="AE211" i="113" s="1"/>
  <c r="AI211" i="113" s="1"/>
  <c r="AD211" i="113"/>
  <c r="AH211" i="113" s="1"/>
  <c r="AA615" i="113"/>
  <c r="AE615" i="113" s="1"/>
  <c r="AI615" i="113" s="1"/>
  <c r="AD615" i="113"/>
  <c r="AH615" i="113" s="1"/>
  <c r="AA671" i="113"/>
  <c r="AD671" i="113"/>
  <c r="AH671" i="113" s="1"/>
  <c r="AA2175" i="113"/>
  <c r="AE2175" i="113" s="1"/>
  <c r="AI2175" i="113" s="1"/>
  <c r="AD2175" i="113"/>
  <c r="AH2175" i="113" s="1"/>
  <c r="AA2161" i="113"/>
  <c r="AE2161" i="113" s="1"/>
  <c r="AI2161" i="113" s="1"/>
  <c r="AD2161" i="113"/>
  <c r="AH2161" i="113" s="1"/>
  <c r="AA2524" i="113"/>
  <c r="AE2524" i="113" s="1"/>
  <c r="AI2524" i="113" s="1"/>
  <c r="AD2524" i="113"/>
  <c r="AH2524" i="113" s="1"/>
  <c r="AA1813" i="113"/>
  <c r="AE1813" i="113" s="1"/>
  <c r="AI1813" i="113" s="1"/>
  <c r="AD1813" i="113"/>
  <c r="AH1813" i="113" s="1"/>
  <c r="AA2474" i="113"/>
  <c r="AE2474" i="113" s="1"/>
  <c r="AI2474" i="113" s="1"/>
  <c r="AD2474" i="113"/>
  <c r="AH2474" i="113" s="1"/>
  <c r="AA1432" i="113"/>
  <c r="AE1432" i="113" s="1"/>
  <c r="AI1432" i="113" s="1"/>
  <c r="AD1432" i="113"/>
  <c r="AH1432" i="113" s="1"/>
  <c r="AA2501" i="113"/>
  <c r="AD2501" i="113"/>
  <c r="AH2501" i="113" s="1"/>
  <c r="AA541" i="113"/>
  <c r="AE541" i="113" s="1"/>
  <c r="AI541" i="113" s="1"/>
  <c r="AD541" i="113"/>
  <c r="AH541" i="113" s="1"/>
  <c r="AA389" i="113"/>
  <c r="AE389" i="113" s="1"/>
  <c r="AI389" i="113" s="1"/>
  <c r="AD389" i="113"/>
  <c r="AH389" i="113" s="1"/>
  <c r="AA180" i="113"/>
  <c r="AD180" i="113"/>
  <c r="AH180" i="113" s="1"/>
  <c r="AA67" i="113"/>
  <c r="AD67" i="113"/>
  <c r="AH67" i="113" s="1"/>
  <c r="AA167" i="113"/>
  <c r="AE167" i="113" s="1"/>
  <c r="AI167" i="113" s="1"/>
  <c r="AD167" i="113"/>
  <c r="AH167" i="113" s="1"/>
  <c r="AA1103" i="113"/>
  <c r="AD1103" i="113"/>
  <c r="AH1103" i="113" s="1"/>
  <c r="AA1284" i="113"/>
  <c r="AD1284" i="113"/>
  <c r="AH1284" i="113" s="1"/>
  <c r="AA419" i="113"/>
  <c r="AE419" i="113" s="1"/>
  <c r="AI419" i="113" s="1"/>
  <c r="AD419" i="113"/>
  <c r="AH419" i="113" s="1"/>
  <c r="AA2382" i="113"/>
  <c r="AD2382" i="113"/>
  <c r="AH2382" i="113" s="1"/>
  <c r="AA2625" i="113"/>
  <c r="AE2625" i="113" s="1"/>
  <c r="AI2625" i="113" s="1"/>
  <c r="AD2625" i="113"/>
  <c r="AH2625" i="113" s="1"/>
  <c r="AA2352" i="113"/>
  <c r="AD2352" i="113"/>
  <c r="AH2352" i="113" s="1"/>
  <c r="AA2657" i="113"/>
  <c r="AE2657" i="113" s="1"/>
  <c r="AI2657" i="113" s="1"/>
  <c r="AD2657" i="113"/>
  <c r="AH2657" i="113" s="1"/>
  <c r="AA1622" i="113"/>
  <c r="AD1622" i="113"/>
  <c r="AH1622" i="113" s="1"/>
  <c r="AA2123" i="113"/>
  <c r="AE2123" i="113" s="1"/>
  <c r="AI2123" i="113" s="1"/>
  <c r="AD2123" i="113"/>
  <c r="AH2123" i="113" s="1"/>
  <c r="AA1543" i="113"/>
  <c r="AD1543" i="113"/>
  <c r="AH1543" i="113" s="1"/>
  <c r="AA901" i="113"/>
  <c r="AE901" i="113" s="1"/>
  <c r="AI901" i="113" s="1"/>
  <c r="AD901" i="113"/>
  <c r="AH901" i="113" s="1"/>
  <c r="AA1167" i="113"/>
  <c r="AD1167" i="113"/>
  <c r="AH1167" i="113" s="1"/>
  <c r="AA1494" i="113"/>
  <c r="AE1494" i="113" s="1"/>
  <c r="AI1494" i="113" s="1"/>
  <c r="AD1494" i="113"/>
  <c r="AH1494" i="113" s="1"/>
  <c r="AA2418" i="113"/>
  <c r="AD2418" i="113"/>
  <c r="AH2418" i="113" s="1"/>
  <c r="AA729" i="113"/>
  <c r="AE729" i="113" s="1"/>
  <c r="AI729" i="113" s="1"/>
  <c r="AD729" i="113"/>
  <c r="AH729" i="113" s="1"/>
  <c r="AA2453" i="113"/>
  <c r="AD2453" i="113"/>
  <c r="AH2453" i="113" s="1"/>
  <c r="AA1788" i="113"/>
  <c r="AE1788" i="113" s="1"/>
  <c r="AI1788" i="113" s="1"/>
  <c r="AD1788" i="113"/>
  <c r="AH1788" i="113" s="1"/>
  <c r="AA770" i="113"/>
  <c r="AD770" i="113"/>
  <c r="AH770" i="113" s="1"/>
  <c r="AA1236" i="113"/>
  <c r="AD1236" i="113"/>
  <c r="AH1236" i="113" s="1"/>
  <c r="AA806" i="113"/>
  <c r="AE806" i="113" s="1"/>
  <c r="AI806" i="113" s="1"/>
  <c r="AD806" i="113"/>
  <c r="AH806" i="113" s="1"/>
  <c r="AA2003" i="113"/>
  <c r="AE2003" i="113" s="1"/>
  <c r="AI2003" i="113" s="1"/>
  <c r="AD2003" i="113"/>
  <c r="AH2003" i="113" s="1"/>
  <c r="AA2600" i="113"/>
  <c r="AD2600" i="113"/>
  <c r="AH2600" i="113" s="1"/>
  <c r="AA1204" i="113"/>
  <c r="AE1204" i="113" s="1"/>
  <c r="AI1204" i="113" s="1"/>
  <c r="AD1204" i="113"/>
  <c r="AH1204" i="113" s="1"/>
  <c r="AA2100" i="113"/>
  <c r="AE2100" i="113" s="1"/>
  <c r="AI2100" i="113" s="1"/>
  <c r="AD2100" i="113"/>
  <c r="AH2100" i="113" s="1"/>
  <c r="AA1950" i="113"/>
  <c r="AE1950" i="113" s="1"/>
  <c r="AI1950" i="113" s="1"/>
  <c r="AD1950" i="113"/>
  <c r="AH1950" i="113" s="1"/>
  <c r="AA1719" i="113"/>
  <c r="AE1719" i="113" s="1"/>
  <c r="AI1719" i="113" s="1"/>
  <c r="AD1719" i="113"/>
  <c r="AH1719" i="113" s="1"/>
  <c r="AA1306" i="113"/>
  <c r="AE1306" i="113" s="1"/>
  <c r="AI1306" i="113" s="1"/>
  <c r="AD1306" i="113"/>
  <c r="AH1306" i="113" s="1"/>
  <c r="AA1865" i="113"/>
  <c r="AE1865" i="113" s="1"/>
  <c r="AI1865" i="113" s="1"/>
  <c r="AD1865" i="113"/>
  <c r="AH1865" i="113" s="1"/>
  <c r="AA338" i="113"/>
  <c r="AE338" i="113" s="1"/>
  <c r="AI338" i="113" s="1"/>
  <c r="AD338" i="113"/>
  <c r="AH338" i="113" s="1"/>
  <c r="AA243" i="113"/>
  <c r="AD243" i="113"/>
  <c r="AH243" i="113" s="1"/>
  <c r="AA278" i="113"/>
  <c r="AD278" i="113"/>
  <c r="AH278" i="113" s="1"/>
  <c r="AA125" i="113"/>
  <c r="AE125" i="113" s="1"/>
  <c r="AI125" i="113" s="1"/>
  <c r="AD125" i="113"/>
  <c r="AH125" i="113" s="1"/>
  <c r="AA988" i="113"/>
  <c r="AE988" i="113" s="1"/>
  <c r="AI988" i="113" s="1"/>
  <c r="AD988" i="113"/>
  <c r="AH988" i="113" s="1"/>
  <c r="AA1778" i="113"/>
  <c r="AD1778" i="113"/>
  <c r="AH1778" i="113" s="1"/>
  <c r="AA2556" i="113"/>
  <c r="AE2556" i="113" s="1"/>
  <c r="AI2556" i="113" s="1"/>
  <c r="AD2556" i="113"/>
  <c r="AH2556" i="113" s="1"/>
  <c r="AA1746" i="113"/>
  <c r="AE1746" i="113" s="1"/>
  <c r="AI1746" i="113" s="1"/>
  <c r="AD1746" i="113"/>
  <c r="AH1746" i="113" s="1"/>
  <c r="AA1906" i="113"/>
  <c r="AD1906" i="113"/>
  <c r="AH1906" i="113" s="1"/>
  <c r="AA1884" i="113"/>
  <c r="AE1884" i="113" s="1"/>
  <c r="AI1884" i="113" s="1"/>
  <c r="AD1884" i="113"/>
  <c r="AH1884" i="113" s="1"/>
  <c r="AA1836" i="113"/>
  <c r="AD1836" i="113"/>
  <c r="AH1836" i="113" s="1"/>
  <c r="AA94" i="113"/>
  <c r="AE94" i="113" s="1"/>
  <c r="AI94" i="113" s="1"/>
  <c r="AD94" i="113"/>
  <c r="AH94" i="113" s="1"/>
  <c r="AA511" i="113"/>
  <c r="AD511" i="113"/>
  <c r="AH511" i="113" s="1"/>
  <c r="AA477" i="113"/>
  <c r="AD477" i="113"/>
  <c r="AH477" i="113" s="1"/>
  <c r="AA2228" i="113"/>
  <c r="AE2228" i="113" s="1"/>
  <c r="AI2228" i="113" s="1"/>
  <c r="AD2228" i="113"/>
  <c r="AH2228" i="113" s="1"/>
  <c r="AA2" i="113"/>
  <c r="AD2" i="113"/>
  <c r="AH2" i="113" s="1"/>
  <c r="AA1577" i="113"/>
  <c r="AE1577" i="113" s="1"/>
  <c r="AI1577" i="113" s="1"/>
  <c r="AD1577" i="113"/>
  <c r="AH1577" i="113" s="1"/>
  <c r="C66" i="108"/>
  <c r="G66" i="108" s="1"/>
  <c r="I66" i="108" s="1"/>
  <c r="P7" i="110"/>
  <c r="C70" i="108"/>
  <c r="G70" i="108" s="1"/>
  <c r="I70" i="108" s="1"/>
  <c r="P11" i="110"/>
  <c r="C74" i="108"/>
  <c r="G74" i="108" s="1"/>
  <c r="I74" i="108" s="1"/>
  <c r="P15" i="110"/>
  <c r="C78" i="108"/>
  <c r="G78" i="108" s="1"/>
  <c r="I78" i="108" s="1"/>
  <c r="P19" i="110"/>
  <c r="C82" i="108"/>
  <c r="G82" i="108" s="1"/>
  <c r="I82" i="108" s="1"/>
  <c r="P23" i="110"/>
  <c r="C86" i="108"/>
  <c r="G86" i="108" s="1"/>
  <c r="I86" i="108" s="1"/>
  <c r="P27" i="110"/>
  <c r="C94" i="108"/>
  <c r="G94" i="108" s="1"/>
  <c r="I94" i="108" s="1"/>
  <c r="P35" i="110"/>
  <c r="C98" i="108"/>
  <c r="G98" i="108" s="1"/>
  <c r="I98" i="108" s="1"/>
  <c r="P39" i="110"/>
  <c r="C102" i="108"/>
  <c r="G102" i="108" s="1"/>
  <c r="I102" i="108" s="1"/>
  <c r="P43" i="110"/>
  <c r="C106" i="108"/>
  <c r="G106" i="108" s="1"/>
  <c r="I106" i="108" s="1"/>
  <c r="P47" i="110"/>
  <c r="C110" i="108"/>
  <c r="G110" i="108" s="1"/>
  <c r="I110" i="108" s="1"/>
  <c r="P51" i="110"/>
  <c r="C114" i="108"/>
  <c r="G114" i="108" s="1"/>
  <c r="I114" i="108" s="1"/>
  <c r="P55" i="110"/>
  <c r="C118" i="108"/>
  <c r="G118" i="108" s="1"/>
  <c r="I118" i="108" s="1"/>
  <c r="P59" i="110"/>
  <c r="C122" i="108"/>
  <c r="G122" i="108" s="1"/>
  <c r="I122" i="108" s="1"/>
  <c r="P63" i="110"/>
  <c r="C126" i="108"/>
  <c r="G126" i="108" s="1"/>
  <c r="I126" i="108" s="1"/>
  <c r="P67" i="110"/>
  <c r="C130" i="108"/>
  <c r="G130" i="108" s="1"/>
  <c r="I130" i="108" s="1"/>
  <c r="P71" i="110"/>
  <c r="C134" i="108"/>
  <c r="G134" i="108" s="1"/>
  <c r="I134" i="108" s="1"/>
  <c r="P75" i="110"/>
  <c r="C138" i="108"/>
  <c r="G138" i="108" s="1"/>
  <c r="I138" i="108" s="1"/>
  <c r="P79" i="110"/>
  <c r="C142" i="108"/>
  <c r="G142" i="108" s="1"/>
  <c r="I142" i="108" s="1"/>
  <c r="P83" i="110"/>
  <c r="C146" i="108"/>
  <c r="G146" i="108" s="1"/>
  <c r="I146" i="108" s="1"/>
  <c r="P87" i="110"/>
  <c r="C150" i="108"/>
  <c r="G150" i="108" s="1"/>
  <c r="I150" i="108" s="1"/>
  <c r="P91" i="110"/>
  <c r="C67" i="108"/>
  <c r="G67" i="108" s="1"/>
  <c r="I67" i="108" s="1"/>
  <c r="P8" i="110"/>
  <c r="C71" i="108"/>
  <c r="G71" i="108" s="1"/>
  <c r="I71" i="108" s="1"/>
  <c r="P12" i="110"/>
  <c r="C75" i="108"/>
  <c r="G75" i="108" s="1"/>
  <c r="I75" i="108" s="1"/>
  <c r="P16" i="110"/>
  <c r="C79" i="108"/>
  <c r="G79" i="108" s="1"/>
  <c r="I79" i="108" s="1"/>
  <c r="P20" i="110"/>
  <c r="C83" i="108"/>
  <c r="G83" i="108" s="1"/>
  <c r="I83" i="108" s="1"/>
  <c r="P24" i="110"/>
  <c r="C87" i="108"/>
  <c r="G87" i="108" s="1"/>
  <c r="I87" i="108" s="1"/>
  <c r="P28" i="110"/>
  <c r="C91" i="108"/>
  <c r="G91" i="108" s="1"/>
  <c r="I91" i="108" s="1"/>
  <c r="P32" i="110"/>
  <c r="C95" i="108"/>
  <c r="G95" i="108" s="1"/>
  <c r="I95" i="108" s="1"/>
  <c r="P36" i="110"/>
  <c r="C99" i="108"/>
  <c r="G99" i="108" s="1"/>
  <c r="I99" i="108" s="1"/>
  <c r="P40" i="110"/>
  <c r="C103" i="108"/>
  <c r="G103" i="108" s="1"/>
  <c r="I103" i="108" s="1"/>
  <c r="P44" i="110"/>
  <c r="C107" i="108"/>
  <c r="G107" i="108" s="1"/>
  <c r="I107" i="108" s="1"/>
  <c r="P48" i="110"/>
  <c r="C111" i="108"/>
  <c r="G111" i="108" s="1"/>
  <c r="I111" i="108" s="1"/>
  <c r="P52" i="110"/>
  <c r="C115" i="108"/>
  <c r="G115" i="108" s="1"/>
  <c r="I115" i="108" s="1"/>
  <c r="P56" i="110"/>
  <c r="C119" i="108"/>
  <c r="G119" i="108" s="1"/>
  <c r="I119" i="108" s="1"/>
  <c r="P60" i="110"/>
  <c r="C123" i="108"/>
  <c r="G123" i="108" s="1"/>
  <c r="I123" i="108" s="1"/>
  <c r="P64" i="110"/>
  <c r="C127" i="108"/>
  <c r="G127" i="108" s="1"/>
  <c r="I127" i="108" s="1"/>
  <c r="P68" i="110"/>
  <c r="C131" i="108"/>
  <c r="G131" i="108" s="1"/>
  <c r="I131" i="108" s="1"/>
  <c r="P72" i="110"/>
  <c r="C135" i="108"/>
  <c r="G135" i="108" s="1"/>
  <c r="I135" i="108" s="1"/>
  <c r="P76" i="110"/>
  <c r="C139" i="108"/>
  <c r="G139" i="108" s="1"/>
  <c r="I139" i="108" s="1"/>
  <c r="P80" i="110"/>
  <c r="C143" i="108"/>
  <c r="G143" i="108" s="1"/>
  <c r="I143" i="108" s="1"/>
  <c r="P84" i="110"/>
  <c r="C147" i="108"/>
  <c r="G147" i="108" s="1"/>
  <c r="I147" i="108" s="1"/>
  <c r="P88" i="110"/>
  <c r="C151" i="108"/>
  <c r="G151" i="108" s="1"/>
  <c r="I151" i="108" s="1"/>
  <c r="P92" i="110"/>
  <c r="C72" i="108"/>
  <c r="G72" i="108" s="1"/>
  <c r="I72" i="108" s="1"/>
  <c r="P13" i="110"/>
  <c r="C112" i="108"/>
  <c r="G112" i="108" s="1"/>
  <c r="I112" i="108" s="1"/>
  <c r="P53" i="110"/>
  <c r="C64" i="108"/>
  <c r="G64" i="108" s="1"/>
  <c r="I64" i="108" s="1"/>
  <c r="P5" i="110"/>
  <c r="C68" i="108"/>
  <c r="G68" i="108" s="1"/>
  <c r="I68" i="108" s="1"/>
  <c r="P9" i="110"/>
  <c r="C76" i="108"/>
  <c r="G76" i="108" s="1"/>
  <c r="I76" i="108" s="1"/>
  <c r="P17" i="110"/>
  <c r="C80" i="108"/>
  <c r="G80" i="108" s="1"/>
  <c r="I80" i="108" s="1"/>
  <c r="P21" i="110"/>
  <c r="C84" i="108"/>
  <c r="G84" i="108" s="1"/>
  <c r="I84" i="108" s="1"/>
  <c r="P25" i="110"/>
  <c r="C88" i="108"/>
  <c r="G88" i="108" s="1"/>
  <c r="I88" i="108" s="1"/>
  <c r="P29" i="110"/>
  <c r="C92" i="108"/>
  <c r="G92" i="108" s="1"/>
  <c r="I92" i="108" s="1"/>
  <c r="P33" i="110"/>
  <c r="C96" i="108"/>
  <c r="G96" i="108" s="1"/>
  <c r="I96" i="108" s="1"/>
  <c r="P37" i="110"/>
  <c r="C100" i="108"/>
  <c r="G100" i="108" s="1"/>
  <c r="I100" i="108" s="1"/>
  <c r="P41" i="110"/>
  <c r="C104" i="108"/>
  <c r="G104" i="108" s="1"/>
  <c r="I104" i="108" s="1"/>
  <c r="P45" i="110"/>
  <c r="C108" i="108"/>
  <c r="G108" i="108" s="1"/>
  <c r="I108" i="108" s="1"/>
  <c r="P49" i="110"/>
  <c r="C116" i="108"/>
  <c r="G116" i="108" s="1"/>
  <c r="I116" i="108" s="1"/>
  <c r="P57" i="110"/>
  <c r="C120" i="108"/>
  <c r="G120" i="108" s="1"/>
  <c r="I120" i="108" s="1"/>
  <c r="P61" i="110"/>
  <c r="C124" i="108"/>
  <c r="G124" i="108" s="1"/>
  <c r="I124" i="108" s="1"/>
  <c r="P65" i="110"/>
  <c r="C128" i="108"/>
  <c r="G128" i="108" s="1"/>
  <c r="I128" i="108" s="1"/>
  <c r="P69" i="110"/>
  <c r="C132" i="108"/>
  <c r="G132" i="108" s="1"/>
  <c r="I132" i="108" s="1"/>
  <c r="P73" i="110"/>
  <c r="C136" i="108"/>
  <c r="G136" i="108" s="1"/>
  <c r="I136" i="108" s="1"/>
  <c r="P77" i="110"/>
  <c r="C140" i="108"/>
  <c r="G140" i="108" s="1"/>
  <c r="I140" i="108" s="1"/>
  <c r="P81" i="110"/>
  <c r="C144" i="108"/>
  <c r="G144" i="108" s="1"/>
  <c r="I144" i="108" s="1"/>
  <c r="P85" i="110"/>
  <c r="C148" i="108"/>
  <c r="G148" i="108" s="1"/>
  <c r="I148" i="108" s="1"/>
  <c r="P89" i="110"/>
  <c r="C152" i="108"/>
  <c r="G152" i="108" s="1"/>
  <c r="I152" i="108" s="1"/>
  <c r="P93" i="110"/>
  <c r="C65" i="108"/>
  <c r="G65" i="108" s="1"/>
  <c r="I65" i="108" s="1"/>
  <c r="P6" i="110"/>
  <c r="C69" i="108"/>
  <c r="G69" i="108" s="1"/>
  <c r="I69" i="108" s="1"/>
  <c r="P10" i="110"/>
  <c r="C73" i="108"/>
  <c r="G73" i="108" s="1"/>
  <c r="I73" i="108" s="1"/>
  <c r="P14" i="110"/>
  <c r="C77" i="108"/>
  <c r="G77" i="108" s="1"/>
  <c r="I77" i="108" s="1"/>
  <c r="P18" i="110"/>
  <c r="C81" i="108"/>
  <c r="G81" i="108" s="1"/>
  <c r="I81" i="108" s="1"/>
  <c r="P22" i="110"/>
  <c r="C85" i="108"/>
  <c r="G85" i="108" s="1"/>
  <c r="I85" i="108" s="1"/>
  <c r="P26" i="110"/>
  <c r="C89" i="108"/>
  <c r="G89" i="108" s="1"/>
  <c r="I89" i="108" s="1"/>
  <c r="P30" i="110"/>
  <c r="C93" i="108"/>
  <c r="G93" i="108" s="1"/>
  <c r="I93" i="108" s="1"/>
  <c r="P34" i="110"/>
  <c r="C97" i="108"/>
  <c r="G97" i="108" s="1"/>
  <c r="I97" i="108" s="1"/>
  <c r="P38" i="110"/>
  <c r="C101" i="108"/>
  <c r="G101" i="108" s="1"/>
  <c r="I101" i="108" s="1"/>
  <c r="P42" i="110"/>
  <c r="C105" i="108"/>
  <c r="G105" i="108" s="1"/>
  <c r="I105" i="108" s="1"/>
  <c r="P46" i="110"/>
  <c r="C109" i="108"/>
  <c r="G109" i="108" s="1"/>
  <c r="I109" i="108" s="1"/>
  <c r="P50" i="110"/>
  <c r="C113" i="108"/>
  <c r="G113" i="108" s="1"/>
  <c r="I113" i="108" s="1"/>
  <c r="P54" i="110"/>
  <c r="C117" i="108"/>
  <c r="G117" i="108" s="1"/>
  <c r="I117" i="108" s="1"/>
  <c r="P58" i="110"/>
  <c r="C121" i="108"/>
  <c r="G121" i="108" s="1"/>
  <c r="I121" i="108" s="1"/>
  <c r="P62" i="110"/>
  <c r="C125" i="108"/>
  <c r="G125" i="108" s="1"/>
  <c r="I125" i="108" s="1"/>
  <c r="P66" i="110"/>
  <c r="C129" i="108"/>
  <c r="G129" i="108" s="1"/>
  <c r="I129" i="108" s="1"/>
  <c r="P70" i="110"/>
  <c r="C133" i="108"/>
  <c r="G133" i="108" s="1"/>
  <c r="I133" i="108" s="1"/>
  <c r="P74" i="110"/>
  <c r="C137" i="108"/>
  <c r="G137" i="108" s="1"/>
  <c r="I137" i="108" s="1"/>
  <c r="P78" i="110"/>
  <c r="C141" i="108"/>
  <c r="G141" i="108" s="1"/>
  <c r="I141" i="108" s="1"/>
  <c r="P82" i="110"/>
  <c r="C145" i="108"/>
  <c r="G145" i="108" s="1"/>
  <c r="I145" i="108" s="1"/>
  <c r="P86" i="110"/>
  <c r="C149" i="108"/>
  <c r="G149" i="108" s="1"/>
  <c r="I149" i="108" s="1"/>
  <c r="P90" i="110"/>
  <c r="C153" i="108"/>
  <c r="G153" i="108" s="1"/>
  <c r="I153" i="108" s="1"/>
  <c r="P94" i="110"/>
  <c r="C90" i="108"/>
  <c r="G90" i="108" s="1"/>
  <c r="I90" i="108" s="1"/>
  <c r="P31" i="110"/>
  <c r="P95" i="110"/>
  <c r="D3" i="100"/>
  <c r="I4089" i="111" l="1"/>
  <c r="I4154" i="111" s="1"/>
  <c r="I4726" i="111"/>
  <c r="I4735" i="111" s="1"/>
  <c r="H4418" i="111"/>
  <c r="H4422" i="111" s="1"/>
  <c r="G3075" i="111"/>
  <c r="G1201" i="111"/>
  <c r="G1205" i="111" s="1"/>
  <c r="G1845" i="111"/>
  <c r="H5555" i="111"/>
  <c r="I559" i="111"/>
  <c r="I630" i="111" s="1"/>
  <c r="I4415" i="111"/>
  <c r="H4833" i="111"/>
  <c r="G6545" i="111"/>
  <c r="G6482" i="111"/>
  <c r="G6486" i="111" s="1"/>
  <c r="G1112" i="111"/>
  <c r="G1116" i="111" s="1"/>
  <c r="H1112" i="111"/>
  <c r="G2919" i="111"/>
  <c r="G2923" i="111" s="1"/>
  <c r="H4304" i="111"/>
  <c r="G65" i="111"/>
  <c r="G69" i="111" s="1"/>
  <c r="H2592" i="111"/>
  <c r="H2596" i="111" s="1"/>
  <c r="I2538" i="111"/>
  <c r="I2594" i="111" s="1"/>
  <c r="I1485" i="111"/>
  <c r="I1524" i="111" s="1"/>
  <c r="I2584" i="111"/>
  <c r="I2595" i="111" s="1"/>
  <c r="I444" i="111"/>
  <c r="I468" i="111" s="1"/>
  <c r="I6181" i="111"/>
  <c r="H631" i="111"/>
  <c r="H2745" i="111"/>
  <c r="I4795" i="111"/>
  <c r="I4833" i="111" s="1"/>
  <c r="I3877" i="111"/>
  <c r="G1526" i="111"/>
  <c r="I4397" i="111"/>
  <c r="I4420" i="111" s="1"/>
  <c r="H3188" i="111"/>
  <c r="H4080" i="111"/>
  <c r="I461" i="111"/>
  <c r="I469" i="111" s="1"/>
  <c r="I3516" i="111"/>
  <c r="I901" i="111"/>
  <c r="I911" i="111" s="1"/>
  <c r="I2754" i="111"/>
  <c r="I2808" i="111" s="1"/>
  <c r="G4015" i="111"/>
  <c r="G4019" i="111" s="1"/>
  <c r="G2108" i="111"/>
  <c r="G2112" i="111" s="1"/>
  <c r="H4974" i="111"/>
  <c r="I640" i="111"/>
  <c r="I707" i="111" s="1"/>
  <c r="I77" i="111"/>
  <c r="I170" i="111" s="1"/>
  <c r="H856" i="111"/>
  <c r="I6234" i="111"/>
  <c r="I6250" i="111" s="1"/>
  <c r="G4077" i="111"/>
  <c r="G4081" i="111" s="1"/>
  <c r="G5962" i="111"/>
  <c r="G5966" i="111" s="1"/>
  <c r="G1707" i="111"/>
  <c r="G1711" i="111" s="1"/>
  <c r="I5974" i="111"/>
  <c r="I6010" i="111" s="1"/>
  <c r="I2270" i="111"/>
  <c r="I2353" i="111" s="1"/>
  <c r="I1644" i="111"/>
  <c r="I1709" i="111" s="1"/>
  <c r="I781" i="111"/>
  <c r="I855" i="111" s="1"/>
  <c r="H3185" i="111"/>
  <c r="G240" i="111"/>
  <c r="G244" i="111" s="1"/>
  <c r="I4842" i="111"/>
  <c r="I4899" i="111" s="1"/>
  <c r="G547" i="111"/>
  <c r="G551" i="111" s="1"/>
  <c r="I3197" i="111"/>
  <c r="I3252" i="111" s="1"/>
  <c r="G4732" i="111"/>
  <c r="G4736" i="111" s="1"/>
  <c r="G4897" i="111"/>
  <c r="G4901" i="111" s="1"/>
  <c r="G2592" i="111"/>
  <c r="G2596" i="111" s="1"/>
  <c r="I3816" i="111"/>
  <c r="I3890" i="111" s="1"/>
  <c r="I4909" i="111"/>
  <c r="I4973" i="111" s="1"/>
  <c r="H1635" i="111"/>
  <c r="H4301" i="111"/>
  <c r="H4305" i="111" s="1"/>
  <c r="I4067" i="111"/>
  <c r="I4080" i="111" s="1"/>
  <c r="I3900" i="111"/>
  <c r="I3936" i="111" s="1"/>
  <c r="I7" i="111"/>
  <c r="I67" i="111" s="1"/>
  <c r="I6548" i="111"/>
  <c r="I4414" i="111"/>
  <c r="I4421" i="111" s="1"/>
  <c r="I5806" i="111"/>
  <c r="I5877" i="111" s="1"/>
  <c r="I1103" i="111"/>
  <c r="I1115" i="111" s="1"/>
  <c r="G1773" i="111"/>
  <c r="G1777" i="111" s="1"/>
  <c r="G5276" i="111"/>
  <c r="G5280" i="111" s="1"/>
  <c r="I6004" i="111"/>
  <c r="I6011" i="111" s="1"/>
  <c r="I1785" i="111"/>
  <c r="I1847" i="111" s="1"/>
  <c r="I5790" i="111"/>
  <c r="I5797" i="111" s="1"/>
  <c r="I4313" i="111"/>
  <c r="I4387" i="111" s="1"/>
  <c r="I6190" i="111"/>
  <c r="I6249" i="111" s="1"/>
  <c r="I5914" i="111"/>
  <c r="I5925" i="111" s="1"/>
  <c r="G2258" i="111"/>
  <c r="G2262" i="111" s="1"/>
  <c r="I610" i="111"/>
  <c r="I631" i="111" s="1"/>
  <c r="G6304" i="111"/>
  <c r="G6308" i="111" s="1"/>
  <c r="I5708" i="111"/>
  <c r="I5756" i="111" s="1"/>
  <c r="I833" i="111"/>
  <c r="I856" i="111" s="1"/>
  <c r="I1518" i="111"/>
  <c r="I1525" i="111" s="1"/>
  <c r="I1556" i="111"/>
  <c r="I1564" i="111" s="1"/>
  <c r="H3253" i="111"/>
  <c r="I2033" i="111"/>
  <c r="I68" i="111"/>
  <c r="G4680" i="111"/>
  <c r="G4684" i="111" s="1"/>
  <c r="I5555" i="111"/>
  <c r="I550" i="111"/>
  <c r="I4983" i="111"/>
  <c r="I5053" i="111" s="1"/>
  <c r="I3417" i="111"/>
  <c r="I3540" i="111" s="1"/>
  <c r="H4486" i="111"/>
  <c r="I2188" i="111"/>
  <c r="I2260" i="111" s="1"/>
  <c r="G705" i="111"/>
  <c r="G709" i="111" s="1"/>
  <c r="I4290" i="111"/>
  <c r="I4304" i="111" s="1"/>
  <c r="I4638" i="111"/>
  <c r="I4682" i="111" s="1"/>
  <c r="I4495" i="111"/>
  <c r="I4550" i="111" s="1"/>
  <c r="G2453" i="111"/>
  <c r="G2457" i="111" s="1"/>
  <c r="G466" i="111"/>
  <c r="G470" i="111" s="1"/>
  <c r="I4486" i="111"/>
  <c r="G1939" i="111"/>
  <c r="G1943" i="111" s="1"/>
  <c r="G773" i="111"/>
  <c r="I5414" i="111"/>
  <c r="H976" i="111"/>
  <c r="G5134" i="111"/>
  <c r="G5138" i="111" s="1"/>
  <c r="H4142" i="111"/>
  <c r="I4142" i="111" s="1"/>
  <c r="H432" i="111"/>
  <c r="G2864" i="111"/>
  <c r="G2868" i="111" s="1"/>
  <c r="G6627" i="111"/>
  <c r="G6631" i="111" s="1"/>
  <c r="I6134" i="111"/>
  <c r="I6180" i="111" s="1"/>
  <c r="H5414" i="111"/>
  <c r="H2867" i="111"/>
  <c r="I4430" i="111"/>
  <c r="I4485" i="111" s="1"/>
  <c r="H1204" i="111"/>
  <c r="H354" i="111"/>
  <c r="I2800" i="111"/>
  <c r="I2809" i="111" s="1"/>
  <c r="H6055" i="111"/>
  <c r="I4137" i="111"/>
  <c r="I4155" i="111" s="1"/>
  <c r="H5754" i="111"/>
  <c r="I2931" i="111"/>
  <c r="I3005" i="111" s="1"/>
  <c r="H1707" i="111"/>
  <c r="G3079" i="111"/>
  <c r="I367" i="111"/>
  <c r="I434" i="111" s="1"/>
  <c r="G1292" i="111"/>
  <c r="G1296" i="111" s="1"/>
  <c r="I6299" i="111"/>
  <c r="I6307" i="111" s="1"/>
  <c r="I6111" i="111"/>
  <c r="I6125" i="111" s="1"/>
  <c r="G4483" i="111"/>
  <c r="G4487" i="111" s="1"/>
  <c r="H4077" i="111"/>
  <c r="I920" i="111"/>
  <c r="I978" i="111" s="1"/>
  <c r="G4239" i="111"/>
  <c r="G4243" i="111" s="1"/>
  <c r="G6381" i="111"/>
  <c r="G6385" i="111" s="1"/>
  <c r="I4692" i="111"/>
  <c r="I4734" i="111" s="1"/>
  <c r="I2604" i="111"/>
  <c r="I2668" i="111" s="1"/>
  <c r="G853" i="111"/>
  <c r="G857" i="111" s="1"/>
  <c r="G6122" i="111"/>
  <c r="G6126" i="111" s="1"/>
  <c r="H3078" i="111"/>
  <c r="G5922" i="111"/>
  <c r="G5926" i="111" s="1"/>
  <c r="G4422" i="111"/>
  <c r="H3888" i="111"/>
  <c r="I1349" i="111"/>
  <c r="I1372" i="111" s="1"/>
  <c r="I2120" i="111"/>
  <c r="I2178" i="111" s="1"/>
  <c r="H1848" i="111"/>
  <c r="H240" i="111"/>
  <c r="H312" i="111"/>
  <c r="I5887" i="111"/>
  <c r="I5924" i="111" s="1"/>
  <c r="H2919" i="111"/>
  <c r="I4251" i="111"/>
  <c r="I4303" i="111" s="1"/>
  <c r="G5370" i="111"/>
  <c r="G5374" i="111" s="1"/>
  <c r="G1054" i="111"/>
  <c r="G1058" i="111" s="1"/>
  <c r="I865" i="111"/>
  <c r="I910" i="111" s="1"/>
  <c r="H2510" i="111"/>
  <c r="I2510" i="111" s="1"/>
  <c r="I6630" i="111"/>
  <c r="G432" i="111"/>
  <c r="G436" i="111" s="1"/>
  <c r="I4252" i="111"/>
  <c r="I180" i="111"/>
  <c r="I242" i="111" s="1"/>
  <c r="I4560" i="111"/>
  <c r="I4628" i="111" s="1"/>
  <c r="H243" i="111"/>
  <c r="I3584" i="111"/>
  <c r="I3596" i="111" s="1"/>
  <c r="G2742" i="111"/>
  <c r="G2746" i="111" s="1"/>
  <c r="I988" i="111"/>
  <c r="I1056" i="111" s="1"/>
  <c r="I5964" i="111"/>
  <c r="I5962" i="111"/>
  <c r="H5495" i="111"/>
  <c r="H5493" i="111"/>
  <c r="H5278" i="111"/>
  <c r="G6549" i="111"/>
  <c r="I66" i="111"/>
  <c r="H2866" i="111"/>
  <c r="H2864" i="111"/>
  <c r="G3185" i="111"/>
  <c r="G3189" i="111" s="1"/>
  <c r="H1952" i="111"/>
  <c r="H2030" i="111" s="1"/>
  <c r="I1776" i="111"/>
  <c r="H3538" i="111"/>
  <c r="H4226" i="111"/>
  <c r="H4239" i="111" s="1"/>
  <c r="H3807" i="111"/>
  <c r="H2364" i="111"/>
  <c r="I2364" i="111" s="1"/>
  <c r="H6181" i="111"/>
  <c r="H1294" i="111"/>
  <c r="H1292" i="111"/>
  <c r="I4363" i="111"/>
  <c r="I4388" i="111" s="1"/>
  <c r="H4388" i="111"/>
  <c r="I3318" i="111"/>
  <c r="I3408" i="111" s="1"/>
  <c r="H3408" i="111"/>
  <c r="I6547" i="111"/>
  <c r="H3694" i="111"/>
  <c r="I1440" i="111"/>
  <c r="I1476" i="111" s="1"/>
  <c r="H1476" i="111"/>
  <c r="H5134" i="111"/>
  <c r="H5922" i="111"/>
  <c r="H5926" i="111" s="1"/>
  <c r="I433" i="111"/>
  <c r="H5506" i="111"/>
  <c r="I5506" i="111" s="1"/>
  <c r="G5552" i="111"/>
  <c r="G5556" i="111" s="1"/>
  <c r="H3407" i="111"/>
  <c r="H6484" i="111"/>
  <c r="I4881" i="111"/>
  <c r="I4900" i="111" s="1"/>
  <c r="H4900" i="111"/>
  <c r="G3804" i="111"/>
  <c r="G3808" i="111" s="1"/>
  <c r="I1829" i="111"/>
  <c r="H5268" i="111"/>
  <c r="I5268" i="111" s="1"/>
  <c r="I3253" i="111"/>
  <c r="I3666" i="111"/>
  <c r="I3697" i="111" s="1"/>
  <c r="H3697" i="111"/>
  <c r="H68" i="111"/>
  <c r="H65" i="111"/>
  <c r="H2171" i="111"/>
  <c r="H2176" i="111" s="1"/>
  <c r="H3077" i="111"/>
  <c r="H3075" i="111"/>
  <c r="I6674" i="111"/>
  <c r="I6691" i="111" s="1"/>
  <c r="H6691" i="111"/>
  <c r="H550" i="111"/>
  <c r="H2032" i="111"/>
  <c r="I2322" i="111"/>
  <c r="I2354" i="111" s="1"/>
  <c r="H2354" i="111"/>
  <c r="I5063" i="111"/>
  <c r="I5136" i="111" s="1"/>
  <c r="I2505" i="111"/>
  <c r="H2529" i="111"/>
  <c r="H6548" i="111"/>
  <c r="G5754" i="111"/>
  <c r="G5758" i="111" s="1"/>
  <c r="H5684" i="111"/>
  <c r="H5696" i="111" s="1"/>
  <c r="I5684" i="111"/>
  <c r="I5288" i="111"/>
  <c r="I5372" i="111" s="1"/>
  <c r="G3888" i="111"/>
  <c r="G3892" i="111" s="1"/>
  <c r="I2667" i="111"/>
  <c r="G6247" i="111"/>
  <c r="G6251" i="111" s="1"/>
  <c r="G3934" i="111"/>
  <c r="G3938" i="111" s="1"/>
  <c r="H5370" i="111"/>
  <c r="H5374" i="111" s="1"/>
  <c r="I5856" i="111"/>
  <c r="I5878" i="111" s="1"/>
  <c r="H5878" i="111"/>
  <c r="G5493" i="111"/>
  <c r="G5497" i="111" s="1"/>
  <c r="I2159" i="111"/>
  <c r="I5032" i="111"/>
  <c r="I5054" i="111" s="1"/>
  <c r="H5054" i="111"/>
  <c r="I2866" i="111"/>
  <c r="I5495" i="111"/>
  <c r="I3805" i="111"/>
  <c r="H6629" i="111"/>
  <c r="H6627" i="111"/>
  <c r="I313" i="111"/>
  <c r="H1775" i="111"/>
  <c r="H1773" i="111"/>
  <c r="H4545" i="111"/>
  <c r="H4548" i="111" s="1"/>
  <c r="I5473" i="111"/>
  <c r="I5496" i="111" s="1"/>
  <c r="G1849" i="111"/>
  <c r="I3707" i="111"/>
  <c r="I3806" i="111" s="1"/>
  <c r="H1054" i="111"/>
  <c r="H1776" i="111"/>
  <c r="H6135" i="111"/>
  <c r="I6135" i="111" s="1"/>
  <c r="H611" i="111"/>
  <c r="H628" i="111" s="1"/>
  <c r="H632" i="111" s="1"/>
  <c r="G628" i="111"/>
  <c r="G632" i="111" s="1"/>
  <c r="H1369" i="111"/>
  <c r="H2110" i="111"/>
  <c r="H3788" i="111"/>
  <c r="I3788" i="111" s="1"/>
  <c r="I6456" i="111"/>
  <c r="I6485" i="111" s="1"/>
  <c r="H6485" i="111"/>
  <c r="G1473" i="111"/>
  <c r="G1477" i="111" s="1"/>
  <c r="I1182" i="111"/>
  <c r="I1204" i="111" s="1"/>
  <c r="G908" i="111"/>
  <c r="G912" i="111" s="1"/>
  <c r="G4830" i="111"/>
  <c r="G4834" i="111" s="1"/>
  <c r="I1773" i="111"/>
  <c r="G4305" i="111"/>
  <c r="H1561" i="111"/>
  <c r="H1565" i="111" s="1"/>
  <c r="G5212" i="111"/>
  <c r="G5216" i="111" s="1"/>
  <c r="I2109" i="111"/>
  <c r="H3319" i="111"/>
  <c r="H3405" i="111" s="1"/>
  <c r="I3695" i="111"/>
  <c r="I252" i="111"/>
  <c r="I314" i="111" s="1"/>
  <c r="H2351" i="111"/>
  <c r="H3891" i="111"/>
  <c r="H4241" i="111"/>
  <c r="G312" i="111"/>
  <c r="G316" i="111" s="1"/>
  <c r="H6630" i="111"/>
  <c r="I2970" i="111"/>
  <c r="I3006" i="111" s="1"/>
  <c r="H3006" i="111"/>
  <c r="I2238" i="111"/>
  <c r="H2261" i="111"/>
  <c r="I357" i="111"/>
  <c r="H3250" i="111"/>
  <c r="H530" i="111"/>
  <c r="H547" i="111" s="1"/>
  <c r="H6688" i="111"/>
  <c r="H5037" i="111"/>
  <c r="H5051" i="111" s="1"/>
  <c r="H4385" i="111"/>
  <c r="I5146" i="111"/>
  <c r="H5214" i="111"/>
  <c r="H5212" i="111"/>
  <c r="G5798" i="111"/>
  <c r="I1293" i="111"/>
  <c r="H6495" i="111"/>
  <c r="H6545" i="111" s="1"/>
  <c r="I5137" i="111"/>
  <c r="I1693" i="111"/>
  <c r="I1710" i="111" s="1"/>
  <c r="H1710" i="111"/>
  <c r="G358" i="111"/>
  <c r="H4483" i="111"/>
  <c r="I4302" i="111"/>
  <c r="G4626" i="111"/>
  <c r="G4630" i="111" s="1"/>
  <c r="G2666" i="111"/>
  <c r="G2670" i="111" s="1"/>
  <c r="I2678" i="111"/>
  <c r="I2744" i="111" s="1"/>
  <c r="I3087" i="111"/>
  <c r="I3187" i="111" s="1"/>
  <c r="I6046" i="111"/>
  <c r="I6058" i="111" s="1"/>
  <c r="H6058" i="111"/>
  <c r="I4027" i="111"/>
  <c r="I3495" i="111"/>
  <c r="I3541" i="111" s="1"/>
  <c r="H3541" i="111"/>
  <c r="I3605" i="111"/>
  <c r="I3696" i="111" s="1"/>
  <c r="H5964" i="111"/>
  <c r="H5962" i="111"/>
  <c r="I761" i="111"/>
  <c r="I772" i="111" s="1"/>
  <c r="H357" i="111"/>
  <c r="I1370" i="111"/>
  <c r="H6124" i="111"/>
  <c r="H6122" i="111"/>
  <c r="I5267" i="111"/>
  <c r="I5279" i="111" s="1"/>
  <c r="H5279" i="111"/>
  <c r="G1561" i="111"/>
  <c r="G1565" i="111" s="1"/>
  <c r="H1475" i="111"/>
  <c r="H1473" i="111"/>
  <c r="I227" i="111"/>
  <c r="I4609" i="111"/>
  <c r="I4629" i="111" s="1"/>
  <c r="H4629" i="111"/>
  <c r="I5382" i="111"/>
  <c r="I5413" i="111" s="1"/>
  <c r="I1573" i="111"/>
  <c r="I1634" i="111" s="1"/>
  <c r="H1634" i="111"/>
  <c r="H4832" i="111"/>
  <c r="H4830" i="111"/>
  <c r="H4966" i="111"/>
  <c r="I4966" i="111" s="1"/>
  <c r="H5607" i="111"/>
  <c r="H5616" i="111" s="1"/>
  <c r="I2648" i="111"/>
  <c r="I2669" i="111" s="1"/>
  <c r="H2669" i="111"/>
  <c r="I5796" i="111"/>
  <c r="G4971" i="111"/>
  <c r="G4975" i="111" s="1"/>
  <c r="I6367" i="111"/>
  <c r="I6384" i="111" s="1"/>
  <c r="H6384" i="111"/>
  <c r="G4385" i="111"/>
  <c r="G4389" i="111" s="1"/>
  <c r="G1632" i="111"/>
  <c r="G1636" i="111" s="1"/>
  <c r="I548" i="111"/>
  <c r="H5698" i="111"/>
  <c r="G4152" i="111"/>
  <c r="G4156" i="111" s="1"/>
  <c r="I3807" i="111"/>
  <c r="G2351" i="111"/>
  <c r="G2355" i="111" s="1"/>
  <c r="I5340" i="111"/>
  <c r="I5373" i="111" s="1"/>
  <c r="I4240" i="111"/>
  <c r="G3694" i="111"/>
  <c r="G3698" i="111" s="1"/>
  <c r="I6316" i="111"/>
  <c r="I6383" i="111" s="1"/>
  <c r="H6383" i="111"/>
  <c r="H6381" i="111"/>
  <c r="I3251" i="111"/>
  <c r="H6304" i="111"/>
  <c r="H6308" i="111" s="1"/>
  <c r="H4897" i="111"/>
  <c r="I1534" i="111"/>
  <c r="G5616" i="111"/>
  <c r="G5620" i="111" s="1"/>
  <c r="H1632" i="111"/>
  <c r="I1057" i="111"/>
  <c r="G5875" i="111"/>
  <c r="G5879" i="111" s="1"/>
  <c r="I2807" i="111"/>
  <c r="H5796" i="111"/>
  <c r="H5794" i="111"/>
  <c r="H4680" i="111"/>
  <c r="H5137" i="111"/>
  <c r="I4831" i="111"/>
  <c r="I977" i="111"/>
  <c r="H6008" i="111"/>
  <c r="H6012" i="111" s="1"/>
  <c r="I1940" i="111"/>
  <c r="H4626" i="111"/>
  <c r="H3934" i="111"/>
  <c r="H3938" i="111" s="1"/>
  <c r="H1195" i="111"/>
  <c r="H1201" i="111" s="1"/>
  <c r="H3593" i="111"/>
  <c r="H3597" i="111" s="1"/>
  <c r="H5411" i="111"/>
  <c r="I5408" i="111"/>
  <c r="I1942" i="111"/>
  <c r="I4242" i="111"/>
  <c r="I414" i="111"/>
  <c r="I435" i="111" s="1"/>
  <c r="H435" i="111"/>
  <c r="I4666" i="111"/>
  <c r="I4683" i="111" s="1"/>
  <c r="H4683" i="111"/>
  <c r="G3538" i="111"/>
  <c r="G3542" i="111" s="1"/>
  <c r="I5598" i="111"/>
  <c r="I5619" i="111" s="1"/>
  <c r="H5619" i="111"/>
  <c r="H1057" i="111"/>
  <c r="H2649" i="111"/>
  <c r="H2666" i="111" s="1"/>
  <c r="I4540" i="111"/>
  <c r="I4551" i="111" s="1"/>
  <c r="H4551" i="111"/>
  <c r="I3891" i="111"/>
  <c r="H462" i="111"/>
  <c r="H466" i="111" s="1"/>
  <c r="H470" i="111" s="1"/>
  <c r="I169" i="111"/>
  <c r="I3076" i="111"/>
  <c r="H2033" i="111"/>
  <c r="G2030" i="111"/>
  <c r="G2034" i="111" s="1"/>
  <c r="G4548" i="111"/>
  <c r="G4552" i="111" s="1"/>
  <c r="I5746" i="111"/>
  <c r="I5757" i="111" s="1"/>
  <c r="H5757" i="111"/>
  <c r="I3925" i="111"/>
  <c r="I3937" i="111" s="1"/>
  <c r="G5411" i="111"/>
  <c r="G5415" i="111" s="1"/>
  <c r="H1942" i="111"/>
  <c r="G6008" i="111"/>
  <c r="G6012" i="111" s="1"/>
  <c r="I3406" i="111"/>
  <c r="G2526" i="111"/>
  <c r="G2530" i="111" s="1"/>
  <c r="G3250" i="111"/>
  <c r="G3254" i="111" s="1"/>
  <c r="I2915" i="111"/>
  <c r="I2922" i="111" s="1"/>
  <c r="G3405" i="111"/>
  <c r="G3409" i="111" s="1"/>
  <c r="I6123" i="111"/>
  <c r="H1924" i="111"/>
  <c r="H1939" i="111" s="1"/>
  <c r="H705" i="111"/>
  <c r="H709" i="111" s="1"/>
  <c r="I6009" i="111"/>
  <c r="G1369" i="111"/>
  <c r="G1373" i="111" s="1"/>
  <c r="I2259" i="111"/>
  <c r="H1845" i="111"/>
  <c r="G168" i="111"/>
  <c r="G172" i="111" s="1"/>
  <c r="H162" i="111"/>
  <c r="I4627" i="111"/>
  <c r="G6055" i="111"/>
  <c r="G6059" i="111" s="1"/>
  <c r="I3594" i="111"/>
  <c r="H908" i="111"/>
  <c r="H912" i="111" s="1"/>
  <c r="H4242" i="111"/>
  <c r="I5617" i="111"/>
  <c r="H5618" i="111"/>
  <c r="I2454" i="111"/>
  <c r="I1066" i="111"/>
  <c r="I1114" i="111" s="1"/>
  <c r="H1114" i="111"/>
  <c r="I1857" i="111"/>
  <c r="I1941" i="111" s="1"/>
  <c r="H1941" i="111"/>
  <c r="H6247" i="111"/>
  <c r="H6251" i="111" s="1"/>
  <c r="H1522" i="111"/>
  <c r="H1526" i="111" s="1"/>
  <c r="G6178" i="111"/>
  <c r="G6182" i="111" s="1"/>
  <c r="G976" i="111"/>
  <c r="G980" i="111" s="1"/>
  <c r="H771" i="111"/>
  <c r="H769" i="111"/>
  <c r="G6688" i="111"/>
  <c r="G6692" i="111" s="1"/>
  <c r="I3998" i="111"/>
  <c r="I4018" i="111" s="1"/>
  <c r="H4018" i="111"/>
  <c r="H4017" i="111"/>
  <c r="H4015" i="111"/>
  <c r="I295" i="111"/>
  <c r="I315" i="111" s="1"/>
  <c r="H315" i="111"/>
  <c r="H5272" i="111"/>
  <c r="I5272" i="111" s="1"/>
  <c r="I5675" i="111"/>
  <c r="I5699" i="111" s="1"/>
  <c r="H5699" i="111"/>
  <c r="G5696" i="111"/>
  <c r="G5700" i="111" s="1"/>
  <c r="I2456" i="111"/>
  <c r="I2876" i="111"/>
  <c r="H2921" i="111"/>
  <c r="H2528" i="111"/>
  <c r="G3593" i="111"/>
  <c r="G3597" i="111" s="1"/>
  <c r="I961" i="111"/>
  <c r="I979" i="111" s="1"/>
  <c r="H979" i="111"/>
  <c r="H4732" i="111"/>
  <c r="H4736" i="111" s="1"/>
  <c r="I324" i="111"/>
  <c r="I356" i="111" s="1"/>
  <c r="H2258" i="111"/>
  <c r="I4419" i="111"/>
  <c r="H5865" i="111"/>
  <c r="H5875" i="111" s="1"/>
  <c r="H2975" i="111"/>
  <c r="G3003" i="111"/>
  <c r="G3007" i="111" s="1"/>
  <c r="I1261" i="111"/>
  <c r="I1295" i="111" s="1"/>
  <c r="H1295" i="111"/>
  <c r="I2081" i="111"/>
  <c r="I2111" i="111" s="1"/>
  <c r="H2111" i="111"/>
  <c r="I5189" i="111"/>
  <c r="I5215" i="111" s="1"/>
  <c r="H5215" i="111"/>
  <c r="G2176" i="111"/>
  <c r="I1708" i="111"/>
  <c r="I706" i="111"/>
  <c r="I1304" i="111"/>
  <c r="I1371" i="111" s="1"/>
  <c r="H1371" i="111"/>
  <c r="I149" i="111"/>
  <c r="I171" i="111" s="1"/>
  <c r="H171" i="111"/>
  <c r="I6557" i="111"/>
  <c r="I4953" i="111"/>
  <c r="I6639" i="111"/>
  <c r="I6690" i="111" s="1"/>
  <c r="I6259" i="111"/>
  <c r="I6020" i="111"/>
  <c r="H6057" i="111"/>
  <c r="H6461" i="111"/>
  <c r="H6482" i="111" s="1"/>
  <c r="I2363" i="111"/>
  <c r="I2455" i="111" s="1"/>
  <c r="I3061" i="111"/>
  <c r="I3078" i="111" s="1"/>
  <c r="I1618" i="111"/>
  <c r="I1635" i="111" s="1"/>
  <c r="I2856" i="111"/>
  <c r="I2864" i="111" s="1"/>
  <c r="G5051" i="111"/>
  <c r="G5055" i="111" s="1"/>
  <c r="H853" i="111"/>
  <c r="G2179" i="111"/>
  <c r="I5628" i="111"/>
  <c r="I5698" i="111" s="1"/>
  <c r="I3156" i="111"/>
  <c r="I3188" i="111" s="1"/>
  <c r="H2456" i="111"/>
  <c r="H2098" i="111"/>
  <c r="H2108" i="111" s="1"/>
  <c r="I5697" i="111"/>
  <c r="I3550" i="111"/>
  <c r="I3595" i="111" s="1"/>
  <c r="I5505" i="111"/>
  <c r="H5554" i="111"/>
  <c r="I1124" i="111"/>
  <c r="I1203" i="111" s="1"/>
  <c r="I478" i="111"/>
  <c r="I549" i="111" s="1"/>
  <c r="I686" i="111"/>
  <c r="I708" i="111" s="1"/>
  <c r="H2755" i="111"/>
  <c r="G2806" i="111"/>
  <c r="G2810" i="111" s="1"/>
  <c r="H2742" i="111"/>
  <c r="H2746" i="111" s="1"/>
  <c r="I2738" i="111"/>
  <c r="I2733" i="111"/>
  <c r="I2745" i="111" s="1"/>
  <c r="I3262" i="111"/>
  <c r="I3407" i="111" s="1"/>
  <c r="AE2453" i="113"/>
  <c r="AI2453" i="113" s="1"/>
  <c r="AE671" i="113"/>
  <c r="AI671" i="113" s="1"/>
  <c r="AE1075" i="113"/>
  <c r="AI1075" i="113" s="1"/>
  <c r="AE944" i="113"/>
  <c r="AI944" i="113" s="1"/>
  <c r="AE2038" i="113"/>
  <c r="AI2038" i="113" s="1"/>
  <c r="AE1906" i="113"/>
  <c r="AI1906" i="113" s="1"/>
  <c r="AE582" i="113"/>
  <c r="AI582" i="113" s="1"/>
  <c r="AE278" i="113"/>
  <c r="AI278" i="113" s="1"/>
  <c r="AE1103" i="113"/>
  <c r="AI1103" i="113" s="1"/>
  <c r="AE141" i="113"/>
  <c r="AI141" i="113" s="1"/>
  <c r="AE2501" i="113"/>
  <c r="AI2501" i="113" s="1"/>
  <c r="AE2" i="113"/>
  <c r="AI2" i="113" s="1"/>
  <c r="AE1836" i="113"/>
  <c r="AI1836" i="113" s="1"/>
  <c r="AE1543" i="113"/>
  <c r="AI1543" i="113" s="1"/>
  <c r="AE2382" i="113"/>
  <c r="AI2382" i="113" s="1"/>
  <c r="AE67" i="113"/>
  <c r="AI67" i="113" s="1"/>
  <c r="AE2281" i="113"/>
  <c r="AI2281" i="113" s="1"/>
  <c r="AE2418" i="113"/>
  <c r="AI2418" i="113" s="1"/>
  <c r="AE180" i="113"/>
  <c r="AI180" i="113" s="1"/>
  <c r="AE1013" i="113"/>
  <c r="AI1013" i="113" s="1"/>
  <c r="AE1040" i="113"/>
  <c r="AI1040" i="113" s="1"/>
  <c r="AE306" i="113"/>
  <c r="AI306" i="113" s="1"/>
  <c r="AE477" i="113"/>
  <c r="AI477" i="113" s="1"/>
  <c r="AE1622" i="113"/>
  <c r="AI1622" i="113" s="1"/>
  <c r="AE1236" i="113"/>
  <c r="AI1236" i="113" s="1"/>
  <c r="AE1284" i="113"/>
  <c r="AI1284" i="113" s="1"/>
  <c r="AE2204" i="113"/>
  <c r="AI2204" i="113" s="1"/>
  <c r="AE441" i="113"/>
  <c r="AI441" i="113" s="1"/>
  <c r="AE511" i="113"/>
  <c r="AI511" i="113" s="1"/>
  <c r="AE1167" i="113"/>
  <c r="AI1167" i="113" s="1"/>
  <c r="AE243" i="113"/>
  <c r="AI243" i="113" s="1"/>
  <c r="AE770" i="113"/>
  <c r="AI770" i="113" s="1"/>
  <c r="AE26" i="113"/>
  <c r="AI26" i="113" s="1"/>
  <c r="AE2352" i="113"/>
  <c r="AI2352" i="113" s="1"/>
  <c r="AE1778" i="113"/>
  <c r="AI1778" i="113" s="1"/>
  <c r="AE2600" i="113"/>
  <c r="AI2600" i="113" s="1"/>
  <c r="P97" i="110"/>
  <c r="D2" i="101"/>
  <c r="C154" i="108"/>
  <c r="D63" i="100"/>
  <c r="E63" i="100" s="1"/>
  <c r="F63" i="100" s="1"/>
  <c r="D5" i="100"/>
  <c r="D10" i="100"/>
  <c r="D22" i="100"/>
  <c r="D34" i="100"/>
  <c r="D13" i="100"/>
  <c r="D19" i="100"/>
  <c r="D25" i="100"/>
  <c r="D31" i="100"/>
  <c r="D37" i="100"/>
  <c r="D43" i="100"/>
  <c r="D47" i="100"/>
  <c r="D57" i="100"/>
  <c r="D62" i="100"/>
  <c r="D11" i="100"/>
  <c r="D17" i="100"/>
  <c r="D23" i="100"/>
  <c r="D29" i="100"/>
  <c r="D35" i="100"/>
  <c r="D41" i="100"/>
  <c r="D46" i="100"/>
  <c r="D61" i="100"/>
  <c r="D49" i="100"/>
  <c r="D51" i="100" s="1"/>
  <c r="D4" i="100"/>
  <c r="D16" i="100"/>
  <c r="D28" i="100"/>
  <c r="D40" i="100"/>
  <c r="D45" i="100"/>
  <c r="D14" i="100"/>
  <c r="D20" i="100"/>
  <c r="D26" i="100"/>
  <c r="D32" i="100"/>
  <c r="D38" i="100"/>
  <c r="D44" i="100"/>
  <c r="D48" i="100"/>
  <c r="D53" i="100"/>
  <c r="D55" i="100" s="1"/>
  <c r="I6122" i="111" l="1"/>
  <c r="I4830" i="111"/>
  <c r="I6247" i="111"/>
  <c r="I6251" i="111" s="1"/>
  <c r="H2526" i="111"/>
  <c r="I1924" i="111"/>
  <c r="H3892" i="111"/>
  <c r="H2923" i="111"/>
  <c r="H551" i="111"/>
  <c r="I1473" i="111"/>
  <c r="I1477" i="111" s="1"/>
  <c r="I4732" i="111"/>
  <c r="I4736" i="111" s="1"/>
  <c r="H857" i="111"/>
  <c r="I4152" i="111"/>
  <c r="I4156" i="111" s="1"/>
  <c r="H1116" i="111"/>
  <c r="H3189" i="111"/>
  <c r="I2592" i="111"/>
  <c r="I2596" i="111" s="1"/>
  <c r="I4418" i="111"/>
  <c r="I4422" i="111" s="1"/>
  <c r="H5758" i="111"/>
  <c r="H3804" i="111"/>
  <c r="H3808" i="111" s="1"/>
  <c r="H5552" i="111"/>
  <c r="H5556" i="111" s="1"/>
  <c r="H4901" i="111"/>
  <c r="H6692" i="111"/>
  <c r="H1849" i="111"/>
  <c r="I4483" i="111"/>
  <c r="I4487" i="111" s="1"/>
  <c r="H6385" i="111"/>
  <c r="I5794" i="111"/>
  <c r="I5798" i="111" s="1"/>
  <c r="I2258" i="111"/>
  <c r="I6178" i="111"/>
  <c r="I6182" i="111" s="1"/>
  <c r="H5700" i="111"/>
  <c r="I65" i="111"/>
  <c r="H4081" i="111"/>
  <c r="H980" i="111"/>
  <c r="I908" i="111"/>
  <c r="I912" i="111" s="1"/>
  <c r="H2453" i="111"/>
  <c r="H2457" i="111" s="1"/>
  <c r="H3079" i="111"/>
  <c r="I3888" i="111"/>
  <c r="I3892" i="111" s="1"/>
  <c r="I1522" i="111"/>
  <c r="I1526" i="111" s="1"/>
  <c r="H6178" i="111"/>
  <c r="H6182" i="111" s="1"/>
  <c r="H4152" i="111"/>
  <c r="H4156" i="111" s="1"/>
  <c r="H773" i="111"/>
  <c r="I6008" i="111"/>
  <c r="I6012" i="111" s="1"/>
  <c r="H5879" i="111"/>
  <c r="H316" i="111"/>
  <c r="I69" i="111"/>
  <c r="I5922" i="111"/>
  <c r="I5926" i="111" s="1"/>
  <c r="I3250" i="111"/>
  <c r="H6486" i="111"/>
  <c r="I853" i="111"/>
  <c r="I857" i="111" s="1"/>
  <c r="H358" i="111"/>
  <c r="H69" i="111"/>
  <c r="H4684" i="111"/>
  <c r="H2112" i="111"/>
  <c r="I1632" i="111"/>
  <c r="I1636" i="111" s="1"/>
  <c r="H3409" i="111"/>
  <c r="I5966" i="111"/>
  <c r="H1711" i="111"/>
  <c r="H436" i="111"/>
  <c r="I2742" i="111"/>
  <c r="I2746" i="111" s="1"/>
  <c r="H1205" i="111"/>
  <c r="I6495" i="111"/>
  <c r="I6545" i="111" s="1"/>
  <c r="I2351" i="111"/>
  <c r="I2355" i="111" s="1"/>
  <c r="H6549" i="111"/>
  <c r="I1952" i="111"/>
  <c r="I2030" i="111" s="1"/>
  <c r="I2034" i="111" s="1"/>
  <c r="I5493" i="111"/>
  <c r="I5497" i="111" s="1"/>
  <c r="H2034" i="111"/>
  <c r="I3075" i="111"/>
  <c r="I3079" i="111" s="1"/>
  <c r="I4897" i="111"/>
  <c r="I4901" i="111" s="1"/>
  <c r="H4487" i="111"/>
  <c r="H5055" i="111"/>
  <c r="H3542" i="111"/>
  <c r="I2867" i="111"/>
  <c r="I2868" i="111" s="1"/>
  <c r="H3254" i="111"/>
  <c r="I3694" i="111"/>
  <c r="I3698" i="111" s="1"/>
  <c r="I3593" i="111"/>
  <c r="I3597" i="111" s="1"/>
  <c r="I3254" i="111"/>
  <c r="H1943" i="111"/>
  <c r="I5607" i="111"/>
  <c r="I5616" i="111" s="1"/>
  <c r="I5620" i="111" s="1"/>
  <c r="I3319" i="111"/>
  <c r="I3405" i="111" s="1"/>
  <c r="I3409" i="111" s="1"/>
  <c r="H2868" i="111"/>
  <c r="H244" i="111"/>
  <c r="I1707" i="111"/>
  <c r="I1711" i="111" s="1"/>
  <c r="H5415" i="111"/>
  <c r="H5798" i="111"/>
  <c r="H4834" i="111"/>
  <c r="H6126" i="111"/>
  <c r="H2670" i="111"/>
  <c r="H6059" i="111"/>
  <c r="I5865" i="111"/>
  <c r="I5875" i="111" s="1"/>
  <c r="I5879" i="111" s="1"/>
  <c r="I2453" i="111"/>
  <c r="I2457" i="111" s="1"/>
  <c r="I1195" i="111"/>
  <c r="I1201" i="111" s="1"/>
  <c r="I1205" i="111" s="1"/>
  <c r="I6381" i="111"/>
  <c r="I6385" i="111" s="1"/>
  <c r="H5216" i="111"/>
  <c r="I1054" i="111"/>
  <c r="I1058" i="111" s="1"/>
  <c r="I611" i="111"/>
  <c r="I628" i="111" s="1"/>
  <c r="I632" i="111" s="1"/>
  <c r="I6549" i="111"/>
  <c r="I4301" i="111"/>
  <c r="I4305" i="111" s="1"/>
  <c r="H1636" i="111"/>
  <c r="I4385" i="111"/>
  <c r="I4389" i="111" s="1"/>
  <c r="H5966" i="111"/>
  <c r="H4389" i="111"/>
  <c r="H5276" i="111"/>
  <c r="H5280" i="111" s="1"/>
  <c r="H4243" i="111"/>
  <c r="I2098" i="111"/>
  <c r="I2108" i="111" s="1"/>
  <c r="I2112" i="111" s="1"/>
  <c r="I2649" i="111"/>
  <c r="I2666" i="111" s="1"/>
  <c r="I2670" i="111" s="1"/>
  <c r="I4834" i="111"/>
  <c r="I3804" i="111"/>
  <c r="I3808" i="111" s="1"/>
  <c r="I4226" i="111"/>
  <c r="I4239" i="111" s="1"/>
  <c r="I4243" i="111" s="1"/>
  <c r="H5497" i="111"/>
  <c r="I2975" i="111"/>
  <c r="I3003" i="111" s="1"/>
  <c r="I3007" i="111" s="1"/>
  <c r="H3003" i="111"/>
  <c r="H3007" i="111" s="1"/>
  <c r="I5214" i="111"/>
  <c r="I5212" i="111"/>
  <c r="I243" i="111"/>
  <c r="I240" i="111"/>
  <c r="I1112" i="111"/>
  <c r="I1116" i="111" s="1"/>
  <c r="I3934" i="111"/>
  <c r="I3938" i="111" s="1"/>
  <c r="I6057" i="111"/>
  <c r="I6055" i="111"/>
  <c r="I2755" i="111"/>
  <c r="I2806" i="111" s="1"/>
  <c r="I2810" i="111" s="1"/>
  <c r="H2806" i="111"/>
  <c r="H2810" i="111" s="1"/>
  <c r="I4974" i="111"/>
  <c r="I4971" i="111"/>
  <c r="G2180" i="111"/>
  <c r="I6126" i="111"/>
  <c r="H4630" i="111"/>
  <c r="I432" i="111"/>
  <c r="I436" i="111" s="1"/>
  <c r="I6629" i="111"/>
  <c r="I6627" i="111"/>
  <c r="I4626" i="111"/>
  <c r="I4630" i="111" s="1"/>
  <c r="I462" i="111"/>
  <c r="I466" i="111" s="1"/>
  <c r="I470" i="111" s="1"/>
  <c r="I3185" i="111"/>
  <c r="I3189" i="111" s="1"/>
  <c r="H1477" i="111"/>
  <c r="I5037" i="111"/>
  <c r="I5051" i="111" s="1"/>
  <c r="I5055" i="111" s="1"/>
  <c r="I4545" i="111"/>
  <c r="I4548" i="111" s="1"/>
  <c r="I4552" i="111" s="1"/>
  <c r="I2921" i="111"/>
  <c r="I2919" i="111"/>
  <c r="H2262" i="111"/>
  <c r="I1939" i="111"/>
  <c r="I1943" i="111" s="1"/>
  <c r="I4680" i="111"/>
  <c r="I4684" i="111" s="1"/>
  <c r="H4552" i="111"/>
  <c r="I5276" i="111"/>
  <c r="I5280" i="111" s="1"/>
  <c r="I5370" i="111"/>
  <c r="I5374" i="111" s="1"/>
  <c r="I3538" i="111"/>
  <c r="I3542" i="111" s="1"/>
  <c r="I5754" i="111"/>
  <c r="I5758" i="111" s="1"/>
  <c r="I162" i="111"/>
  <c r="I168" i="111" s="1"/>
  <c r="I172" i="111" s="1"/>
  <c r="H168" i="111"/>
  <c r="H172" i="111" s="1"/>
  <c r="I4079" i="111"/>
  <c r="I4077" i="111"/>
  <c r="H4971" i="111"/>
  <c r="H4975" i="111" s="1"/>
  <c r="H1777" i="111"/>
  <c r="H2179" i="111"/>
  <c r="H2180" i="111" s="1"/>
  <c r="H1296" i="111"/>
  <c r="I5554" i="111"/>
  <c r="I5552" i="111"/>
  <c r="I4015" i="111"/>
  <c r="I4019" i="111" s="1"/>
  <c r="H5620" i="111"/>
  <c r="I530" i="111"/>
  <c r="I547" i="111" s="1"/>
  <c r="I551" i="111" s="1"/>
  <c r="I2261" i="111"/>
  <c r="H1373" i="111"/>
  <c r="I1848" i="111"/>
  <c r="I1845" i="111"/>
  <c r="H5138" i="111"/>
  <c r="H1058" i="111"/>
  <c r="I976" i="111"/>
  <c r="I980" i="111" s="1"/>
  <c r="I1777" i="111"/>
  <c r="I312" i="111"/>
  <c r="I316" i="111" s="1"/>
  <c r="I769" i="111"/>
  <c r="I773" i="111" s="1"/>
  <c r="I705" i="111"/>
  <c r="I709" i="111" s="1"/>
  <c r="I5696" i="111"/>
  <c r="I5700" i="111" s="1"/>
  <c r="H4019" i="111"/>
  <c r="I5134" i="111"/>
  <c r="I5138" i="111" s="1"/>
  <c r="I1292" i="111"/>
  <c r="I1296" i="111" s="1"/>
  <c r="H2355" i="111"/>
  <c r="H6631" i="111"/>
  <c r="H3698" i="111"/>
  <c r="I6306" i="111"/>
  <c r="I6304" i="111"/>
  <c r="I6308" i="111" s="1"/>
  <c r="I6461" i="111"/>
  <c r="I6482" i="111" s="1"/>
  <c r="I6486" i="111" s="1"/>
  <c r="H2530" i="111"/>
  <c r="I5411" i="111"/>
  <c r="I5415" i="111" s="1"/>
  <c r="I354" i="111"/>
  <c r="I358" i="111" s="1"/>
  <c r="I1563" i="111"/>
  <c r="I1561" i="111"/>
  <c r="I1369" i="111"/>
  <c r="I1373" i="111" s="1"/>
  <c r="I2529" i="111"/>
  <c r="I2526" i="111"/>
  <c r="I2171" i="111"/>
  <c r="I6688" i="111"/>
  <c r="I6692" i="111" s="1"/>
  <c r="G154" i="108"/>
  <c r="I154" i="108" s="1"/>
  <c r="C155" i="108"/>
  <c r="G155" i="108" s="1"/>
  <c r="I155" i="108" s="1"/>
  <c r="E32" i="100"/>
  <c r="F32" i="100" s="1"/>
  <c r="E16" i="100"/>
  <c r="F16" i="100" s="1"/>
  <c r="E62" i="100"/>
  <c r="F62" i="100" s="1"/>
  <c r="E44" i="100"/>
  <c r="F44" i="100" s="1"/>
  <c r="E20" i="100"/>
  <c r="F20" i="100" s="1"/>
  <c r="E40" i="100"/>
  <c r="F40" i="100" s="1"/>
  <c r="E49" i="100"/>
  <c r="F49" i="100" s="1"/>
  <c r="D52" i="100"/>
  <c r="E35" i="100"/>
  <c r="F35" i="100" s="1"/>
  <c r="E11" i="100"/>
  <c r="F11" i="100" s="1"/>
  <c r="E47" i="100"/>
  <c r="F47" i="100" s="1"/>
  <c r="E25" i="100"/>
  <c r="F25" i="100" s="1"/>
  <c r="E22" i="100"/>
  <c r="F22" i="100" s="1"/>
  <c r="E38" i="100"/>
  <c r="F38" i="100" s="1"/>
  <c r="E14" i="100"/>
  <c r="F14" i="100" s="1"/>
  <c r="E28" i="100"/>
  <c r="F28" i="100" s="1"/>
  <c r="E61" i="100"/>
  <c r="F61" i="100" s="1"/>
  <c r="E29" i="100"/>
  <c r="F29" i="100" s="1"/>
  <c r="D7" i="100"/>
  <c r="D8" i="100" s="1"/>
  <c r="E5" i="100"/>
  <c r="F5" i="100" s="1"/>
  <c r="E43" i="100"/>
  <c r="F43" i="100" s="1"/>
  <c r="E19" i="100"/>
  <c r="F19" i="100" s="1"/>
  <c r="E10" i="100"/>
  <c r="F10" i="100" s="1"/>
  <c r="E53" i="100"/>
  <c r="F53" i="100" s="1"/>
  <c r="D64" i="100"/>
  <c r="E46" i="100"/>
  <c r="F46" i="100" s="1"/>
  <c r="E23" i="100"/>
  <c r="F23" i="100" s="1"/>
  <c r="E37" i="100"/>
  <c r="F37" i="100" s="1"/>
  <c r="E13" i="100"/>
  <c r="F13" i="100" s="1"/>
  <c r="E48" i="100"/>
  <c r="F48" i="100" s="1"/>
  <c r="E26" i="100"/>
  <c r="F26" i="100" s="1"/>
  <c r="E45" i="100"/>
  <c r="F45" i="100" s="1"/>
  <c r="E4" i="100"/>
  <c r="D66" i="100"/>
  <c r="E41" i="100"/>
  <c r="F41" i="100" s="1"/>
  <c r="E17" i="100"/>
  <c r="F17" i="100" s="1"/>
  <c r="D59" i="100"/>
  <c r="D60" i="100" s="1"/>
  <c r="E57" i="100"/>
  <c r="F57" i="100" s="1"/>
  <c r="E31" i="100"/>
  <c r="F31" i="100" s="1"/>
  <c r="E34" i="100"/>
  <c r="F34" i="100" s="1"/>
  <c r="I2262" i="111" l="1"/>
  <c r="I244" i="111"/>
  <c r="I6059" i="111"/>
  <c r="I5556" i="111"/>
  <c r="I6631" i="111"/>
  <c r="I5216" i="111"/>
  <c r="I2923" i="111"/>
  <c r="I2530" i="111"/>
  <c r="I1565" i="111"/>
  <c r="I4975" i="111"/>
  <c r="I1849" i="111"/>
  <c r="I4081" i="111"/>
  <c r="I2179" i="111"/>
  <c r="I2176" i="111"/>
  <c r="I2180" i="111" s="1"/>
  <c r="C4" i="110"/>
  <c r="I4" i="110" s="1"/>
  <c r="E66" i="100"/>
  <c r="D68" i="100"/>
  <c r="F4" i="100"/>
  <c r="E8" i="100"/>
  <c r="F8" i="100" s="1"/>
  <c r="E55" i="100"/>
  <c r="F55" i="100" s="1"/>
  <c r="E52" i="100"/>
  <c r="F52" i="100" s="1"/>
  <c r="E60" i="100"/>
  <c r="F60" i="100" s="1"/>
  <c r="D56" i="100"/>
  <c r="E64" i="100"/>
  <c r="F64" i="100" s="1"/>
  <c r="D67" i="100"/>
  <c r="E7" i="100"/>
  <c r="E59" i="100"/>
  <c r="F59" i="100" s="1"/>
  <c r="E51" i="100"/>
  <c r="F51" i="100" s="1"/>
  <c r="D3" i="71"/>
  <c r="D60" i="71" s="1"/>
  <c r="D3" i="72"/>
  <c r="D41" i="72" s="1"/>
  <c r="D3" i="73"/>
  <c r="D54" i="73" s="1"/>
  <c r="D3" i="74"/>
  <c r="D81" i="74" s="1"/>
  <c r="D3" i="75"/>
  <c r="D57" i="75" s="1"/>
  <c r="D3" i="76"/>
  <c r="D60" i="76" s="1"/>
  <c r="D3" i="77"/>
  <c r="D50" i="77" s="1"/>
  <c r="D3" i="78"/>
  <c r="D34" i="78" s="1"/>
  <c r="E34" i="78" s="1"/>
  <c r="D3" i="79"/>
  <c r="D13" i="79" s="1"/>
  <c r="D3" i="80"/>
  <c r="D43" i="80" s="1"/>
  <c r="E43" i="80" s="1"/>
  <c r="F43" i="80" s="1"/>
  <c r="D3" i="94"/>
  <c r="D26" i="94" s="1"/>
  <c r="E26" i="94" s="1"/>
  <c r="D3" i="93"/>
  <c r="D75" i="93" s="1"/>
  <c r="E75" i="93" s="1"/>
  <c r="D3" i="92"/>
  <c r="D32" i="92" s="1"/>
  <c r="D3" i="91"/>
  <c r="D29" i="91" s="1"/>
  <c r="D3" i="95"/>
  <c r="D3" i="9"/>
  <c r="D53" i="9" s="1"/>
  <c r="D3" i="10"/>
  <c r="D74" i="10" s="1"/>
  <c r="D3" i="11"/>
  <c r="D43" i="11" s="1"/>
  <c r="D3" i="12"/>
  <c r="D93" i="12" s="1"/>
  <c r="D3" i="13"/>
  <c r="D69" i="13" s="1"/>
  <c r="D3" i="14"/>
  <c r="D49" i="14" s="1"/>
  <c r="D3" i="15"/>
  <c r="D61" i="15" s="1"/>
  <c r="D3" i="16"/>
  <c r="D48" i="16" s="1"/>
  <c r="D3" i="17"/>
  <c r="D25" i="17" s="1"/>
  <c r="E25" i="17" s="1"/>
  <c r="D3" i="18"/>
  <c r="D39" i="18" s="1"/>
  <c r="D3" i="19"/>
  <c r="D33" i="19" s="1"/>
  <c r="D3" i="20"/>
  <c r="D3" i="21"/>
  <c r="D32" i="21" s="1"/>
  <c r="D3" i="22"/>
  <c r="D3" i="23"/>
  <c r="D27" i="23" s="1"/>
  <c r="D3" i="24"/>
  <c r="D52" i="24" s="1"/>
  <c r="D3" i="25"/>
  <c r="D47" i="25" s="1"/>
  <c r="E47" i="25" s="1"/>
  <c r="F47" i="25" s="1"/>
  <c r="D3" i="26"/>
  <c r="D36" i="26" s="1"/>
  <c r="E36" i="26" s="1"/>
  <c r="F36" i="26" s="1"/>
  <c r="D3" i="27"/>
  <c r="D51" i="27" s="1"/>
  <c r="D3" i="28"/>
  <c r="D37" i="28" s="1"/>
  <c r="E37" i="28" s="1"/>
  <c r="F37" i="28" s="1"/>
  <c r="D3" i="29"/>
  <c r="D20" i="29" s="1"/>
  <c r="D3" i="30"/>
  <c r="D86" i="30" s="1"/>
  <c r="E86" i="30" s="1"/>
  <c r="F86" i="30" s="1"/>
  <c r="D3" i="31"/>
  <c r="D56" i="31" s="1"/>
  <c r="D3" i="41"/>
  <c r="D70" i="41" s="1"/>
  <c r="D3" i="33"/>
  <c r="D74" i="33" s="1"/>
  <c r="D3" i="34"/>
  <c r="D72" i="34" s="1"/>
  <c r="E72" i="34" s="1"/>
  <c r="F72" i="34" s="1"/>
  <c r="D3" i="35"/>
  <c r="D38" i="35" s="1"/>
  <c r="D3" i="36"/>
  <c r="D39" i="36" s="1"/>
  <c r="E39" i="36" s="1"/>
  <c r="F39" i="36" s="1"/>
  <c r="D3" i="37"/>
  <c r="D90" i="37" s="1"/>
  <c r="D3" i="38"/>
  <c r="D44" i="38" s="1"/>
  <c r="D3" i="39"/>
  <c r="D46" i="39" s="1"/>
  <c r="D3" i="40"/>
  <c r="D70" i="40" s="1"/>
  <c r="D3" i="32"/>
  <c r="D47" i="32" s="1"/>
  <c r="D3" i="42"/>
  <c r="D57" i="42" s="1"/>
  <c r="D3" i="43"/>
  <c r="D20" i="43" s="1"/>
  <c r="D3" i="44"/>
  <c r="D76" i="44" s="1"/>
  <c r="D3" i="45"/>
  <c r="D3" i="46"/>
  <c r="D79" i="46" s="1"/>
  <c r="D3" i="47"/>
  <c r="D67" i="47" s="1"/>
  <c r="D3" i="48"/>
  <c r="D54" i="48" s="1"/>
  <c r="D3" i="49"/>
  <c r="D46" i="49" s="1"/>
  <c r="D3" i="50"/>
  <c r="D25" i="50" s="1"/>
  <c r="E25" i="50" s="1"/>
  <c r="D3" i="51"/>
  <c r="D3" i="52"/>
  <c r="D102" i="52" s="1"/>
  <c r="D3" i="53"/>
  <c r="D93" i="53" s="1"/>
  <c r="D3" i="54"/>
  <c r="D47" i="54" s="1"/>
  <c r="D3" i="55"/>
  <c r="D124" i="55" s="1"/>
  <c r="D3" i="56"/>
  <c r="D129" i="56" s="1"/>
  <c r="D3" i="57"/>
  <c r="D50" i="57" s="1"/>
  <c r="D3" i="58"/>
  <c r="D102" i="58" s="1"/>
  <c r="D3" i="59"/>
  <c r="D64" i="59" s="1"/>
  <c r="D3" i="60"/>
  <c r="D76" i="60" s="1"/>
  <c r="D3" i="61"/>
  <c r="D22" i="61" s="1"/>
  <c r="D3" i="62"/>
  <c r="D40" i="62" s="1"/>
  <c r="D3" i="63"/>
  <c r="D55" i="63" s="1"/>
  <c r="D3" i="64"/>
  <c r="D56" i="64" s="1"/>
  <c r="D3" i="65"/>
  <c r="D66" i="65" s="1"/>
  <c r="D3" i="66"/>
  <c r="D58" i="66" s="1"/>
  <c r="D3" i="67"/>
  <c r="D65" i="67" s="1"/>
  <c r="D3" i="68"/>
  <c r="D94" i="68" s="1"/>
  <c r="D3" i="69"/>
  <c r="D3" i="70"/>
  <c r="D25" i="70" s="1"/>
  <c r="E25" i="70" s="1"/>
  <c r="D3" i="81"/>
  <c r="D96" i="81" s="1"/>
  <c r="D3" i="82"/>
  <c r="D70" i="82" s="1"/>
  <c r="D3" i="83"/>
  <c r="D83" i="83" s="1"/>
  <c r="E83" i="83" s="1"/>
  <c r="D3" i="84"/>
  <c r="D43" i="84" s="1"/>
  <c r="D3" i="85"/>
  <c r="D41" i="85" s="1"/>
  <c r="D3" i="86"/>
  <c r="D46" i="86" s="1"/>
  <c r="D3" i="87"/>
  <c r="D26" i="87" s="1"/>
  <c r="E26" i="87" s="1"/>
  <c r="D3" i="88"/>
  <c r="D47" i="88" s="1"/>
  <c r="D3" i="89"/>
  <c r="D65" i="89" s="1"/>
  <c r="D67" i="89" s="1"/>
  <c r="D3" i="90"/>
  <c r="D49" i="90" s="1"/>
  <c r="D3" i="96"/>
  <c r="D3" i="97"/>
  <c r="D47" i="97" s="1"/>
  <c r="E47" i="97" s="1"/>
  <c r="D3" i="98"/>
  <c r="D19" i="98" s="1"/>
  <c r="D3" i="99"/>
  <c r="D73" i="22" l="1"/>
  <c r="D11" i="22"/>
  <c r="F66" i="100"/>
  <c r="E67" i="100"/>
  <c r="D4" i="110"/>
  <c r="J4" i="110" s="1"/>
  <c r="D46" i="78"/>
  <c r="E46" i="78" s="1"/>
  <c r="D53" i="99"/>
  <c r="E53" i="99" s="1"/>
  <c r="F53" i="99" s="1"/>
  <c r="D5" i="99"/>
  <c r="E5" i="99" s="1"/>
  <c r="F5" i="99" s="1"/>
  <c r="D22" i="71"/>
  <c r="D41" i="71"/>
  <c r="E41" i="71" s="1"/>
  <c r="D4" i="78"/>
  <c r="E4" i="78" s="1"/>
  <c r="D13" i="78"/>
  <c r="E13" i="78" s="1"/>
  <c r="F13" i="78" s="1"/>
  <c r="D14" i="78"/>
  <c r="E14" i="78" s="1"/>
  <c r="F14" i="78" s="1"/>
  <c r="D40" i="78"/>
  <c r="E40" i="78" s="1"/>
  <c r="D19" i="21"/>
  <c r="E19" i="21" s="1"/>
  <c r="F19" i="21" s="1"/>
  <c r="D13" i="21"/>
  <c r="E13" i="21" s="1"/>
  <c r="F13" i="21" s="1"/>
  <c r="D14" i="75"/>
  <c r="D43" i="73"/>
  <c r="E43" i="73" s="1"/>
  <c r="F43" i="73" s="1"/>
  <c r="D13" i="62"/>
  <c r="E13" i="62" s="1"/>
  <c r="D40" i="71"/>
  <c r="E40" i="71" s="1"/>
  <c r="F40" i="71" s="1"/>
  <c r="D34" i="33"/>
  <c r="D40" i="41"/>
  <c r="E40" i="41" s="1"/>
  <c r="F40" i="41" s="1"/>
  <c r="D62" i="71"/>
  <c r="E62" i="71" s="1"/>
  <c r="F62" i="71" s="1"/>
  <c r="D20" i="71"/>
  <c r="E20" i="71" s="1"/>
  <c r="D19" i="71"/>
  <c r="E19" i="71" s="1"/>
  <c r="F19" i="71" s="1"/>
  <c r="D36" i="71"/>
  <c r="E36" i="71" s="1"/>
  <c r="F36" i="71" s="1"/>
  <c r="D27" i="79"/>
  <c r="E27" i="79" s="1"/>
  <c r="F27" i="79" s="1"/>
  <c r="D31" i="31"/>
  <c r="E31" i="31" s="1"/>
  <c r="D4" i="71"/>
  <c r="E4" i="71" s="1"/>
  <c r="D26" i="71"/>
  <c r="E26" i="71" s="1"/>
  <c r="D44" i="71"/>
  <c r="E44" i="71" s="1"/>
  <c r="F44" i="71" s="1"/>
  <c r="D10" i="71"/>
  <c r="E10" i="71" s="1"/>
  <c r="F10" i="71" s="1"/>
  <c r="D28" i="71"/>
  <c r="E28" i="71" s="1"/>
  <c r="F28" i="71" s="1"/>
  <c r="D32" i="72"/>
  <c r="E32" i="72" s="1"/>
  <c r="F32" i="72" s="1"/>
  <c r="D13" i="71"/>
  <c r="E13" i="71" s="1"/>
  <c r="D31" i="71"/>
  <c r="E31" i="71" s="1"/>
  <c r="D25" i="73"/>
  <c r="E25" i="73" s="1"/>
  <c r="F25" i="73" s="1"/>
  <c r="D62" i="78"/>
  <c r="E62" i="78" s="1"/>
  <c r="F62" i="78" s="1"/>
  <c r="D14" i="71"/>
  <c r="E14" i="71" s="1"/>
  <c r="D32" i="71"/>
  <c r="E32" i="71" s="1"/>
  <c r="D23" i="79"/>
  <c r="E23" i="79" s="1"/>
  <c r="F23" i="79" s="1"/>
  <c r="D13" i="70"/>
  <c r="E13" i="70" s="1"/>
  <c r="D26" i="63"/>
  <c r="E26" i="63" s="1"/>
  <c r="D16" i="71"/>
  <c r="E16" i="71" s="1"/>
  <c r="F16" i="71" s="1"/>
  <c r="D34" i="71"/>
  <c r="E34" i="71" s="1"/>
  <c r="F34" i="71" s="1"/>
  <c r="D52" i="71"/>
  <c r="D54" i="71" s="1"/>
  <c r="D55" i="71" s="1"/>
  <c r="D34" i="29"/>
  <c r="E34" i="29" s="1"/>
  <c r="D38" i="71"/>
  <c r="E38" i="71" s="1"/>
  <c r="F38" i="71" s="1"/>
  <c r="D25" i="72"/>
  <c r="E25" i="72" s="1"/>
  <c r="F25" i="72" s="1"/>
  <c r="D26" i="79"/>
  <c r="E26" i="79" s="1"/>
  <c r="D56" i="72"/>
  <c r="E56" i="72" s="1"/>
  <c r="D26" i="15"/>
  <c r="E26" i="15" s="1"/>
  <c r="F26" i="15" s="1"/>
  <c r="D36" i="72"/>
  <c r="E36" i="72" s="1"/>
  <c r="F36" i="72" s="1"/>
  <c r="D14" i="80"/>
  <c r="E14" i="80" s="1"/>
  <c r="F14" i="80" s="1"/>
  <c r="D40" i="72"/>
  <c r="E40" i="72" s="1"/>
  <c r="F40" i="72" s="1"/>
  <c r="D19" i="80"/>
  <c r="E19" i="80" s="1"/>
  <c r="D23" i="91"/>
  <c r="D44" i="72"/>
  <c r="E44" i="72" s="1"/>
  <c r="F44" i="72" s="1"/>
  <c r="D31" i="80"/>
  <c r="E31" i="80" s="1"/>
  <c r="F31" i="80" s="1"/>
  <c r="D69" i="72"/>
  <c r="E69" i="72" s="1"/>
  <c r="D60" i="72"/>
  <c r="D62" i="72" s="1"/>
  <c r="E62" i="72" s="1"/>
  <c r="F62" i="72" s="1"/>
  <c r="D37" i="80"/>
  <c r="E37" i="80" s="1"/>
  <c r="F37" i="80" s="1"/>
  <c r="D19" i="72"/>
  <c r="E19" i="72" s="1"/>
  <c r="F19" i="72" s="1"/>
  <c r="D70" i="72"/>
  <c r="E70" i="72" s="1"/>
  <c r="F70" i="72" s="1"/>
  <c r="D37" i="82"/>
  <c r="D38" i="17"/>
  <c r="E38" i="17" s="1"/>
  <c r="F38" i="17" s="1"/>
  <c r="D28" i="11"/>
  <c r="E28" i="11" s="1"/>
  <c r="F28" i="11" s="1"/>
  <c r="D20" i="72"/>
  <c r="E20" i="72" s="1"/>
  <c r="F20" i="72" s="1"/>
  <c r="D10" i="83"/>
  <c r="E10" i="83" s="1"/>
  <c r="F10" i="83" s="1"/>
  <c r="D50" i="98"/>
  <c r="E50" i="98" s="1"/>
  <c r="F50" i="98" s="1"/>
  <c r="D39" i="87"/>
  <c r="E39" i="87" s="1"/>
  <c r="F39" i="87" s="1"/>
  <c r="D43" i="83"/>
  <c r="E43" i="83" s="1"/>
  <c r="F43" i="83" s="1"/>
  <c r="D48" i="35"/>
  <c r="E48" i="35" s="1"/>
  <c r="F48" i="35" s="1"/>
  <c r="D73" i="33"/>
  <c r="E73" i="33" s="1"/>
  <c r="F73" i="33" s="1"/>
  <c r="D31" i="72"/>
  <c r="E31" i="72" s="1"/>
  <c r="F31" i="72" s="1"/>
  <c r="D71" i="72"/>
  <c r="E71" i="72" s="1"/>
  <c r="F71" i="72" s="1"/>
  <c r="D28" i="78"/>
  <c r="E28" i="78" s="1"/>
  <c r="F28" i="78" s="1"/>
  <c r="D20" i="80"/>
  <c r="E20" i="80" s="1"/>
  <c r="F20" i="80" s="1"/>
  <c r="D13" i="44"/>
  <c r="E13" i="44" s="1"/>
  <c r="D77" i="83"/>
  <c r="D79" i="83" s="1"/>
  <c r="E79" i="83" s="1"/>
  <c r="F79" i="83" s="1"/>
  <c r="D14" i="44"/>
  <c r="E14" i="44" s="1"/>
  <c r="F14" i="44" s="1"/>
  <c r="D19" i="33"/>
  <c r="E19" i="33" s="1"/>
  <c r="F19" i="33" s="1"/>
  <c r="D14" i="85"/>
  <c r="E14" i="85" s="1"/>
  <c r="F14" i="85" s="1"/>
  <c r="D13" i="82"/>
  <c r="E13" i="82" s="1"/>
  <c r="D34" i="63"/>
  <c r="E34" i="63" s="1"/>
  <c r="D34" i="82"/>
  <c r="E34" i="82" s="1"/>
  <c r="F34" i="82" s="1"/>
  <c r="D14" i="56"/>
  <c r="E14" i="56" s="1"/>
  <c r="F14" i="56" s="1"/>
  <c r="D32" i="49"/>
  <c r="E32" i="49" s="1"/>
  <c r="D25" i="36"/>
  <c r="E25" i="36" s="1"/>
  <c r="D28" i="33"/>
  <c r="E28" i="33" s="1"/>
  <c r="F28" i="33" s="1"/>
  <c r="D14" i="31"/>
  <c r="D20" i="15"/>
  <c r="D13" i="11"/>
  <c r="E13" i="11" s="1"/>
  <c r="F13" i="11" s="1"/>
  <c r="D13" i="72"/>
  <c r="E13" i="72" s="1"/>
  <c r="F13" i="72" s="1"/>
  <c r="D53" i="77"/>
  <c r="E53" i="77" s="1"/>
  <c r="D50" i="78"/>
  <c r="E50" i="78" s="1"/>
  <c r="F50" i="78" s="1"/>
  <c r="D13" i="35"/>
  <c r="E13" i="35" s="1"/>
  <c r="D47" i="33"/>
  <c r="E47" i="33" s="1"/>
  <c r="D38" i="31"/>
  <c r="D44" i="15"/>
  <c r="E44" i="15" s="1"/>
  <c r="F44" i="15" s="1"/>
  <c r="D67" i="82"/>
  <c r="E67" i="82" s="1"/>
  <c r="D14" i="87"/>
  <c r="E14" i="87" s="1"/>
  <c r="D34" i="83"/>
  <c r="E34" i="83" s="1"/>
  <c r="F34" i="83" s="1"/>
  <c r="D14" i="65"/>
  <c r="E14" i="65" s="1"/>
  <c r="F14" i="65" s="1"/>
  <c r="D19" i="35"/>
  <c r="E19" i="35" s="1"/>
  <c r="D56" i="33"/>
  <c r="E56" i="33" s="1"/>
  <c r="D48" i="15"/>
  <c r="E48" i="15" s="1"/>
  <c r="F48" i="15" s="1"/>
  <c r="F7" i="100"/>
  <c r="D37" i="52"/>
  <c r="E37" i="52" s="1"/>
  <c r="F37" i="52" s="1"/>
  <c r="D25" i="98"/>
  <c r="E25" i="98" s="1"/>
  <c r="D73" i="89"/>
  <c r="E73" i="89" s="1"/>
  <c r="F73" i="89" s="1"/>
  <c r="D22" i="83"/>
  <c r="E22" i="83" s="1"/>
  <c r="F22" i="83" s="1"/>
  <c r="D61" i="69"/>
  <c r="E61" i="69" s="1"/>
  <c r="D11" i="69"/>
  <c r="D38" i="65"/>
  <c r="D14" i="63"/>
  <c r="E14" i="63" s="1"/>
  <c r="D109" i="56"/>
  <c r="D111" i="56" s="1"/>
  <c r="E111" i="56" s="1"/>
  <c r="D43" i="51"/>
  <c r="E43" i="51" s="1"/>
  <c r="F43" i="51" s="1"/>
  <c r="D11" i="51"/>
  <c r="D63" i="44"/>
  <c r="E63" i="44" s="1"/>
  <c r="F63" i="44" s="1"/>
  <c r="D46" i="38"/>
  <c r="E46" i="38" s="1"/>
  <c r="F46" i="38" s="1"/>
  <c r="D19" i="29"/>
  <c r="E19" i="29" s="1"/>
  <c r="D10" i="21"/>
  <c r="E10" i="21" s="1"/>
  <c r="F10" i="21" s="1"/>
  <c r="D59" i="17"/>
  <c r="E59" i="17" s="1"/>
  <c r="F59" i="17" s="1"/>
  <c r="D11" i="17"/>
  <c r="D48" i="77"/>
  <c r="E48" i="77" s="1"/>
  <c r="D10" i="64"/>
  <c r="E10" i="64" s="1"/>
  <c r="F10" i="64" s="1"/>
  <c r="D68" i="77"/>
  <c r="E68" i="77" s="1"/>
  <c r="D19" i="97"/>
  <c r="D54" i="84"/>
  <c r="E54" i="84" s="1"/>
  <c r="F54" i="84" s="1"/>
  <c r="D45" i="83"/>
  <c r="E45" i="83" s="1"/>
  <c r="F45" i="83" s="1"/>
  <c r="D28" i="64"/>
  <c r="E28" i="64" s="1"/>
  <c r="F28" i="64" s="1"/>
  <c r="D38" i="63"/>
  <c r="E38" i="63" s="1"/>
  <c r="D25" i="55"/>
  <c r="E25" i="55" s="1"/>
  <c r="F25" i="55" s="1"/>
  <c r="D6" i="52"/>
  <c r="E6" i="52" s="1"/>
  <c r="D29" i="50"/>
  <c r="E29" i="50" s="1"/>
  <c r="D22" i="37"/>
  <c r="E22" i="37" s="1"/>
  <c r="F22" i="37" s="1"/>
  <c r="D14" i="28"/>
  <c r="E14" i="28" s="1"/>
  <c r="D13" i="23"/>
  <c r="E13" i="23" s="1"/>
  <c r="D27" i="21"/>
  <c r="E27" i="21" s="1"/>
  <c r="F27" i="21" s="1"/>
  <c r="D60" i="17"/>
  <c r="E60" i="17" s="1"/>
  <c r="D13" i="14"/>
  <c r="E13" i="14" s="1"/>
  <c r="D41" i="11"/>
  <c r="E41" i="11" s="1"/>
  <c r="D26" i="93"/>
  <c r="E26" i="93" s="1"/>
  <c r="F26" i="93" s="1"/>
  <c r="D10" i="77"/>
  <c r="E10" i="77" s="1"/>
  <c r="F10" i="77" s="1"/>
  <c r="D13" i="88"/>
  <c r="E13" i="88" s="1"/>
  <c r="D5" i="84"/>
  <c r="E5" i="84" s="1"/>
  <c r="D32" i="68"/>
  <c r="E32" i="68" s="1"/>
  <c r="F32" i="68" s="1"/>
  <c r="D4" i="55"/>
  <c r="D129" i="55" s="1"/>
  <c r="D20" i="97"/>
  <c r="E20" i="97" s="1"/>
  <c r="F20" i="97" s="1"/>
  <c r="D62" i="84"/>
  <c r="E62" i="84" s="1"/>
  <c r="F62" i="84" s="1"/>
  <c r="D53" i="83"/>
  <c r="E53" i="83" s="1"/>
  <c r="F53" i="83" s="1"/>
  <c r="D34" i="64"/>
  <c r="E34" i="64" s="1"/>
  <c r="F34" i="64" s="1"/>
  <c r="D48" i="63"/>
  <c r="E48" i="63" s="1"/>
  <c r="D40" i="55"/>
  <c r="E40" i="55" s="1"/>
  <c r="F40" i="55" s="1"/>
  <c r="D20" i="52"/>
  <c r="E20" i="52" s="1"/>
  <c r="F20" i="52" s="1"/>
  <c r="D49" i="37"/>
  <c r="E49" i="37" s="1"/>
  <c r="F49" i="37" s="1"/>
  <c r="D10" i="41"/>
  <c r="E10" i="41" s="1"/>
  <c r="F10" i="41" s="1"/>
  <c r="D20" i="30"/>
  <c r="E20" i="30" s="1"/>
  <c r="D20" i="28"/>
  <c r="E20" i="28" s="1"/>
  <c r="D14" i="23"/>
  <c r="D31" i="21"/>
  <c r="E31" i="21" s="1"/>
  <c r="F31" i="21" s="1"/>
  <c r="D14" i="14"/>
  <c r="E14" i="14" s="1"/>
  <c r="F14" i="14" s="1"/>
  <c r="D20" i="77"/>
  <c r="E20" i="77" s="1"/>
  <c r="F20" i="77" s="1"/>
  <c r="D13" i="37"/>
  <c r="E13" i="37" s="1"/>
  <c r="F13" i="37" s="1"/>
  <c r="D29" i="96"/>
  <c r="E29" i="96" s="1"/>
  <c r="F29" i="96" s="1"/>
  <c r="D10" i="96"/>
  <c r="D69" i="83"/>
  <c r="E69" i="83" s="1"/>
  <c r="F69" i="83" s="1"/>
  <c r="D60" i="64"/>
  <c r="E60" i="64" s="1"/>
  <c r="D56" i="55"/>
  <c r="E56" i="55" s="1"/>
  <c r="D24" i="52"/>
  <c r="E24" i="52" s="1"/>
  <c r="D16" i="49"/>
  <c r="E16" i="49" s="1"/>
  <c r="F16" i="49" s="1"/>
  <c r="D34" i="41"/>
  <c r="E34" i="41" s="1"/>
  <c r="F34" i="41" s="1"/>
  <c r="D77" i="30"/>
  <c r="E77" i="30" s="1"/>
  <c r="F77" i="30" s="1"/>
  <c r="D51" i="28"/>
  <c r="E51" i="28" s="1"/>
  <c r="F51" i="28" s="1"/>
  <c r="D33" i="23"/>
  <c r="E33" i="23" s="1"/>
  <c r="D27" i="20"/>
  <c r="D11" i="20"/>
  <c r="D31" i="14"/>
  <c r="E31" i="14" s="1"/>
  <c r="D26" i="77"/>
  <c r="E26" i="77" s="1"/>
  <c r="D72" i="55"/>
  <c r="E72" i="55" s="1"/>
  <c r="F72" i="55" s="1"/>
  <c r="D71" i="95"/>
  <c r="E71" i="95" s="1"/>
  <c r="F71" i="95" s="1"/>
  <c r="D11" i="95"/>
  <c r="D37" i="77"/>
  <c r="E37" i="77" s="1"/>
  <c r="D19" i="83"/>
  <c r="D44" i="70"/>
  <c r="E44" i="70" s="1"/>
  <c r="F44" i="70" s="1"/>
  <c r="D31" i="65"/>
  <c r="E31" i="65" s="1"/>
  <c r="D10" i="63"/>
  <c r="E10" i="63" s="1"/>
  <c r="D37" i="62"/>
  <c r="E37" i="62" s="1"/>
  <c r="D26" i="56"/>
  <c r="D123" i="55"/>
  <c r="E123" i="55" s="1"/>
  <c r="F123" i="55" s="1"/>
  <c r="D45" i="52"/>
  <c r="E45" i="52" s="1"/>
  <c r="F45" i="52" s="1"/>
  <c r="D49" i="49"/>
  <c r="E49" i="49" s="1"/>
  <c r="F49" i="49" s="1"/>
  <c r="D38" i="44"/>
  <c r="E38" i="44" s="1"/>
  <c r="F38" i="44" s="1"/>
  <c r="D25" i="38"/>
  <c r="E25" i="38" s="1"/>
  <c r="D13" i="29"/>
  <c r="E13" i="29" s="1"/>
  <c r="D43" i="77"/>
  <c r="E43" i="77" s="1"/>
  <c r="E68" i="100"/>
  <c r="E4" i="110" s="1"/>
  <c r="K4" i="110" s="1"/>
  <c r="E56" i="100"/>
  <c r="E65" i="100" s="1"/>
  <c r="D65" i="100"/>
  <c r="D69" i="100" s="1"/>
  <c r="F68" i="100"/>
  <c r="D34" i="90"/>
  <c r="E34" i="90" s="1"/>
  <c r="F34" i="90" s="1"/>
  <c r="D43" i="89"/>
  <c r="E43" i="89" s="1"/>
  <c r="F43" i="89" s="1"/>
  <c r="D38" i="87"/>
  <c r="E38" i="87" s="1"/>
  <c r="D4" i="83"/>
  <c r="D87" i="83" s="1"/>
  <c r="D31" i="83"/>
  <c r="E31" i="83" s="1"/>
  <c r="F31" i="83" s="1"/>
  <c r="D51" i="83"/>
  <c r="E51" i="83" s="1"/>
  <c r="F51" i="83" s="1"/>
  <c r="D10" i="82"/>
  <c r="E10" i="82" s="1"/>
  <c r="F10" i="82" s="1"/>
  <c r="D62" i="82"/>
  <c r="E62" i="82" s="1"/>
  <c r="D77" i="69"/>
  <c r="E77" i="69" s="1"/>
  <c r="D50" i="64"/>
  <c r="E50" i="64" s="1"/>
  <c r="F50" i="64" s="1"/>
  <c r="D22" i="63"/>
  <c r="E22" i="63" s="1"/>
  <c r="F22" i="63" s="1"/>
  <c r="D45" i="63"/>
  <c r="E45" i="63" s="1"/>
  <c r="D31" i="62"/>
  <c r="E31" i="62" s="1"/>
  <c r="D31" i="61"/>
  <c r="E31" i="61" s="1"/>
  <c r="F31" i="61" s="1"/>
  <c r="D28" i="57"/>
  <c r="E28" i="57" s="1"/>
  <c r="F28" i="57" s="1"/>
  <c r="D97" i="56"/>
  <c r="E97" i="56" s="1"/>
  <c r="F97" i="56" s="1"/>
  <c r="D19" i="55"/>
  <c r="E19" i="55" s="1"/>
  <c r="F19" i="55" s="1"/>
  <c r="D50" i="55"/>
  <c r="E50" i="55" s="1"/>
  <c r="D78" i="55"/>
  <c r="E78" i="55" s="1"/>
  <c r="F78" i="55" s="1"/>
  <c r="D36" i="52"/>
  <c r="E36" i="52" s="1"/>
  <c r="D14" i="51"/>
  <c r="E14" i="51" s="1"/>
  <c r="D38" i="51"/>
  <c r="E38" i="51" s="1"/>
  <c r="D37" i="44"/>
  <c r="E37" i="44" s="1"/>
  <c r="D37" i="38"/>
  <c r="D37" i="37"/>
  <c r="E37" i="37" s="1"/>
  <c r="F37" i="37" s="1"/>
  <c r="D13" i="33"/>
  <c r="E13" i="33" s="1"/>
  <c r="F13" i="33" s="1"/>
  <c r="D43" i="33"/>
  <c r="E43" i="33" s="1"/>
  <c r="D4" i="41"/>
  <c r="D74" i="41" s="1"/>
  <c r="D52" i="31"/>
  <c r="E52" i="31" s="1"/>
  <c r="D38" i="30"/>
  <c r="E38" i="30" s="1"/>
  <c r="D46" i="28"/>
  <c r="E46" i="28" s="1"/>
  <c r="F46" i="28" s="1"/>
  <c r="D26" i="24"/>
  <c r="E26" i="24" s="1"/>
  <c r="D28" i="23"/>
  <c r="E28" i="23" s="1"/>
  <c r="D26" i="21"/>
  <c r="E26" i="21" s="1"/>
  <c r="D14" i="17"/>
  <c r="E14" i="17" s="1"/>
  <c r="D53" i="17"/>
  <c r="E53" i="17" s="1"/>
  <c r="F53" i="17" s="1"/>
  <c r="D42" i="14"/>
  <c r="E42" i="14" s="1"/>
  <c r="F42" i="14" s="1"/>
  <c r="D26" i="11"/>
  <c r="E26" i="11" s="1"/>
  <c r="D50" i="93"/>
  <c r="E50" i="93" s="1"/>
  <c r="F50" i="93" s="1"/>
  <c r="D44" i="61"/>
  <c r="D46" i="61" s="1"/>
  <c r="D47" i="61" s="1"/>
  <c r="D37" i="57"/>
  <c r="E37" i="57" s="1"/>
  <c r="F37" i="57" s="1"/>
  <c r="D82" i="55"/>
  <c r="D19" i="51"/>
  <c r="E19" i="51" s="1"/>
  <c r="F19" i="51" s="1"/>
  <c r="D41" i="51"/>
  <c r="E41" i="51" s="1"/>
  <c r="F41" i="51" s="1"/>
  <c r="D44" i="30"/>
  <c r="E44" i="30" s="1"/>
  <c r="D31" i="24"/>
  <c r="E31" i="24" s="1"/>
  <c r="F31" i="24" s="1"/>
  <c r="D14" i="93"/>
  <c r="E14" i="93" s="1"/>
  <c r="F14" i="93" s="1"/>
  <c r="D64" i="93"/>
  <c r="D66" i="93" s="1"/>
  <c r="D67" i="93" s="1"/>
  <c r="D51" i="98"/>
  <c r="E51" i="98" s="1"/>
  <c r="F51" i="98" s="1"/>
  <c r="D10" i="90"/>
  <c r="E10" i="90" s="1"/>
  <c r="D42" i="90"/>
  <c r="E42" i="90" s="1"/>
  <c r="F42" i="90" s="1"/>
  <c r="D46" i="87"/>
  <c r="E46" i="87" s="1"/>
  <c r="D19" i="84"/>
  <c r="E19" i="84" s="1"/>
  <c r="F19" i="84" s="1"/>
  <c r="D13" i="83"/>
  <c r="E13" i="83" s="1"/>
  <c r="F13" i="83" s="1"/>
  <c r="D37" i="83"/>
  <c r="E37" i="83" s="1"/>
  <c r="F37" i="83" s="1"/>
  <c r="D57" i="83"/>
  <c r="D59" i="83" s="1"/>
  <c r="E59" i="83" s="1"/>
  <c r="F59" i="83" s="1"/>
  <c r="D22" i="82"/>
  <c r="E22" i="82" s="1"/>
  <c r="F22" i="82" s="1"/>
  <c r="D14" i="68"/>
  <c r="E14" i="68" s="1"/>
  <c r="F14" i="68" s="1"/>
  <c r="D19" i="65"/>
  <c r="E19" i="65" s="1"/>
  <c r="D16" i="64"/>
  <c r="E16" i="64" s="1"/>
  <c r="F16" i="64" s="1"/>
  <c r="D70" i="64"/>
  <c r="E70" i="64" s="1"/>
  <c r="F70" i="64" s="1"/>
  <c r="D28" i="63"/>
  <c r="E28" i="63" s="1"/>
  <c r="D49" i="63"/>
  <c r="E49" i="63" s="1"/>
  <c r="F49" i="63" s="1"/>
  <c r="D38" i="62"/>
  <c r="E38" i="62" s="1"/>
  <c r="D43" i="57"/>
  <c r="E43" i="57" s="1"/>
  <c r="D136" i="56"/>
  <c r="E136" i="56" s="1"/>
  <c r="D26" i="55"/>
  <c r="E26" i="55" s="1"/>
  <c r="D58" i="55"/>
  <c r="E58" i="55" s="1"/>
  <c r="F58" i="55" s="1"/>
  <c r="D87" i="55"/>
  <c r="D89" i="55" s="1"/>
  <c r="D12" i="52"/>
  <c r="E12" i="52" s="1"/>
  <c r="D41" i="52"/>
  <c r="E41" i="52" s="1"/>
  <c r="F41" i="52" s="1"/>
  <c r="D20" i="51"/>
  <c r="E20" i="51" s="1"/>
  <c r="D42" i="51"/>
  <c r="E42" i="51" s="1"/>
  <c r="D48" i="44"/>
  <c r="E48" i="44" s="1"/>
  <c r="D53" i="37"/>
  <c r="E53" i="37" s="1"/>
  <c r="F53" i="37" s="1"/>
  <c r="D20" i="35"/>
  <c r="E20" i="35" s="1"/>
  <c r="F20" i="35" s="1"/>
  <c r="D20" i="33"/>
  <c r="E20" i="33" s="1"/>
  <c r="D48" i="33"/>
  <c r="E48" i="33" s="1"/>
  <c r="F48" i="33" s="1"/>
  <c r="D16" i="41"/>
  <c r="E16" i="41" s="1"/>
  <c r="F16" i="41" s="1"/>
  <c r="D19" i="31"/>
  <c r="E19" i="31" s="1"/>
  <c r="D4" i="30"/>
  <c r="D90" i="30" s="1"/>
  <c r="D52" i="30"/>
  <c r="E52" i="30" s="1"/>
  <c r="F52" i="30" s="1"/>
  <c r="D37" i="24"/>
  <c r="E37" i="24" s="1"/>
  <c r="D34" i="11"/>
  <c r="E34" i="11" s="1"/>
  <c r="F34" i="11" s="1"/>
  <c r="D19" i="93"/>
  <c r="E19" i="93" s="1"/>
  <c r="F19" i="93" s="1"/>
  <c r="D37" i="90"/>
  <c r="E37" i="90" s="1"/>
  <c r="F37" i="90" s="1"/>
  <c r="D13" i="90"/>
  <c r="E13" i="90" s="1"/>
  <c r="F13" i="90" s="1"/>
  <c r="D43" i="90"/>
  <c r="E43" i="90" s="1"/>
  <c r="F43" i="90" s="1"/>
  <c r="D31" i="84"/>
  <c r="E31" i="84" s="1"/>
  <c r="F31" i="84" s="1"/>
  <c r="D16" i="83"/>
  <c r="E16" i="83" s="1"/>
  <c r="F16" i="83" s="1"/>
  <c r="D40" i="83"/>
  <c r="E40" i="83" s="1"/>
  <c r="F40" i="83" s="1"/>
  <c r="D61" i="83"/>
  <c r="D63" i="83" s="1"/>
  <c r="E63" i="83" s="1"/>
  <c r="F63" i="83" s="1"/>
  <c r="D25" i="82"/>
  <c r="E25" i="82" s="1"/>
  <c r="F25" i="82" s="1"/>
  <c r="D25" i="68"/>
  <c r="E25" i="68" s="1"/>
  <c r="D26" i="65"/>
  <c r="E26" i="65" s="1"/>
  <c r="F26" i="65" s="1"/>
  <c r="D22" i="64"/>
  <c r="E22" i="64" s="1"/>
  <c r="F22" i="64" s="1"/>
  <c r="D32" i="63"/>
  <c r="E32" i="63" s="1"/>
  <c r="D56" i="63"/>
  <c r="E56" i="63" s="1"/>
  <c r="F56" i="63" s="1"/>
  <c r="D42" i="62"/>
  <c r="E42" i="62" s="1"/>
  <c r="F42" i="62" s="1"/>
  <c r="D143" i="56"/>
  <c r="E143" i="56" s="1"/>
  <c r="D32" i="55"/>
  <c r="E32" i="55" s="1"/>
  <c r="D64" i="55"/>
  <c r="E64" i="55" s="1"/>
  <c r="F64" i="55" s="1"/>
  <c r="D103" i="55"/>
  <c r="D105" i="55" s="1"/>
  <c r="D14" i="52"/>
  <c r="E14" i="52" s="1"/>
  <c r="F14" i="52" s="1"/>
  <c r="D44" i="52"/>
  <c r="E44" i="52" s="1"/>
  <c r="D25" i="51"/>
  <c r="E25" i="51" s="1"/>
  <c r="F25" i="51" s="1"/>
  <c r="D53" i="51"/>
  <c r="E53" i="51" s="1"/>
  <c r="D49" i="44"/>
  <c r="E49" i="44" s="1"/>
  <c r="F49" i="44" s="1"/>
  <c r="D14" i="38"/>
  <c r="E14" i="38" s="1"/>
  <c r="D10" i="37"/>
  <c r="E10" i="37" s="1"/>
  <c r="F10" i="37" s="1"/>
  <c r="D89" i="37"/>
  <c r="E89" i="37" s="1"/>
  <c r="F89" i="37" s="1"/>
  <c r="D26" i="33"/>
  <c r="E26" i="33" s="1"/>
  <c r="D52" i="33"/>
  <c r="D54" i="33" s="1"/>
  <c r="D28" i="41"/>
  <c r="D26" i="31"/>
  <c r="D13" i="30"/>
  <c r="E13" i="30" s="1"/>
  <c r="F13" i="30" s="1"/>
  <c r="D56" i="30"/>
  <c r="E56" i="30" s="1"/>
  <c r="F56" i="30" s="1"/>
  <c r="D40" i="24"/>
  <c r="E40" i="24" s="1"/>
  <c r="F40" i="24" s="1"/>
  <c r="D36" i="21"/>
  <c r="D38" i="21" s="1"/>
  <c r="D39" i="21" s="1"/>
  <c r="D31" i="17"/>
  <c r="E31" i="17" s="1"/>
  <c r="D20" i="14"/>
  <c r="E20" i="14" s="1"/>
  <c r="D36" i="11"/>
  <c r="E36" i="11" s="1"/>
  <c r="F36" i="11" s="1"/>
  <c r="D19" i="90"/>
  <c r="E19" i="90" s="1"/>
  <c r="F19" i="90" s="1"/>
  <c r="D47" i="90"/>
  <c r="E47" i="90" s="1"/>
  <c r="F47" i="90" s="1"/>
  <c r="D31" i="68"/>
  <c r="E31" i="68" s="1"/>
  <c r="D47" i="62"/>
  <c r="E47" i="62" s="1"/>
  <c r="D34" i="55"/>
  <c r="E34" i="55" s="1"/>
  <c r="F34" i="55" s="1"/>
  <c r="D67" i="55"/>
  <c r="E67" i="55" s="1"/>
  <c r="F67" i="55" s="1"/>
  <c r="D122" i="55"/>
  <c r="E122" i="55" s="1"/>
  <c r="D26" i="51"/>
  <c r="E26" i="51" s="1"/>
  <c r="D61" i="51"/>
  <c r="E61" i="51" s="1"/>
  <c r="F61" i="51" s="1"/>
  <c r="D14" i="30"/>
  <c r="E14" i="30" s="1"/>
  <c r="D57" i="30"/>
  <c r="E57" i="30" s="1"/>
  <c r="D32" i="17"/>
  <c r="E32" i="17" s="1"/>
  <c r="F32" i="17" s="1"/>
  <c r="D10" i="11"/>
  <c r="E10" i="11" s="1"/>
  <c r="F10" i="11" s="1"/>
  <c r="D40" i="11"/>
  <c r="E40" i="11" s="1"/>
  <c r="F40" i="11" s="1"/>
  <c r="D17" i="91"/>
  <c r="E17" i="91" s="1"/>
  <c r="F17" i="91" s="1"/>
  <c r="D31" i="93"/>
  <c r="D54" i="77"/>
  <c r="D56" i="77" s="1"/>
  <c r="E56" i="77" s="1"/>
  <c r="D31" i="51"/>
  <c r="E31" i="51" s="1"/>
  <c r="F31" i="51" s="1"/>
  <c r="D74" i="51"/>
  <c r="E74" i="51" s="1"/>
  <c r="F74" i="51" s="1"/>
  <c r="D37" i="93"/>
  <c r="E37" i="93" s="1"/>
  <c r="F37" i="93" s="1"/>
  <c r="D48" i="90"/>
  <c r="E48" i="90" s="1"/>
  <c r="F48" i="90" s="1"/>
  <c r="D38" i="97"/>
  <c r="E38" i="97" s="1"/>
  <c r="D26" i="90"/>
  <c r="E26" i="90" s="1"/>
  <c r="F26" i="90" s="1"/>
  <c r="D16" i="87"/>
  <c r="E16" i="87" s="1"/>
  <c r="F16" i="87" s="1"/>
  <c r="D31" i="85"/>
  <c r="E31" i="85" s="1"/>
  <c r="F31" i="85" s="1"/>
  <c r="D82" i="84"/>
  <c r="E82" i="84" s="1"/>
  <c r="F82" i="84" s="1"/>
  <c r="D25" i="83"/>
  <c r="E25" i="83" s="1"/>
  <c r="F25" i="83" s="1"/>
  <c r="D47" i="83"/>
  <c r="E47" i="83" s="1"/>
  <c r="F47" i="83" s="1"/>
  <c r="D84" i="83"/>
  <c r="E84" i="83" s="1"/>
  <c r="F84" i="83" s="1"/>
  <c r="D45" i="82"/>
  <c r="E45" i="82" s="1"/>
  <c r="F45" i="82" s="1"/>
  <c r="D43" i="65"/>
  <c r="E43" i="65" s="1"/>
  <c r="D40" i="64"/>
  <c r="E40" i="64" s="1"/>
  <c r="F40" i="64" s="1"/>
  <c r="D16" i="63"/>
  <c r="E16" i="63" s="1"/>
  <c r="D40" i="63"/>
  <c r="E40" i="63" s="1"/>
  <c r="F40" i="63" s="1"/>
  <c r="D14" i="62"/>
  <c r="E14" i="62" s="1"/>
  <c r="D14" i="61"/>
  <c r="E14" i="61" s="1"/>
  <c r="D13" i="57"/>
  <c r="E13" i="57" s="1"/>
  <c r="F13" i="57" s="1"/>
  <c r="D47" i="56"/>
  <c r="E47" i="56" s="1"/>
  <c r="F47" i="56" s="1"/>
  <c r="D10" i="55"/>
  <c r="E10" i="55" s="1"/>
  <c r="F10" i="55" s="1"/>
  <c r="D43" i="55"/>
  <c r="E43" i="55" s="1"/>
  <c r="F43" i="55" s="1"/>
  <c r="D73" i="55"/>
  <c r="E73" i="55" s="1"/>
  <c r="D26" i="52"/>
  <c r="D4" i="51"/>
  <c r="D80" i="51" s="1"/>
  <c r="D32" i="51"/>
  <c r="E32" i="51" s="1"/>
  <c r="D77" i="51"/>
  <c r="E77" i="51" s="1"/>
  <c r="D65" i="49"/>
  <c r="E65" i="49" s="1"/>
  <c r="D25" i="44"/>
  <c r="E25" i="44" s="1"/>
  <c r="D31" i="38"/>
  <c r="E31" i="38" s="1"/>
  <c r="D25" i="37"/>
  <c r="E25" i="37" s="1"/>
  <c r="F25" i="37" s="1"/>
  <c r="D48" i="36"/>
  <c r="D50" i="36" s="1"/>
  <c r="E50" i="36" s="1"/>
  <c r="F50" i="36" s="1"/>
  <c r="D37" i="33"/>
  <c r="E37" i="33" s="1"/>
  <c r="F37" i="33" s="1"/>
  <c r="D75" i="33"/>
  <c r="E75" i="33" s="1"/>
  <c r="F75" i="33" s="1"/>
  <c r="D48" i="41"/>
  <c r="D50" i="41" s="1"/>
  <c r="E50" i="41" s="1"/>
  <c r="D43" i="31"/>
  <c r="E43" i="31" s="1"/>
  <c r="D31" i="30"/>
  <c r="E31" i="30" s="1"/>
  <c r="F31" i="30" s="1"/>
  <c r="D84" i="30"/>
  <c r="D31" i="28"/>
  <c r="E31" i="28" s="1"/>
  <c r="F31" i="28" s="1"/>
  <c r="D14" i="24"/>
  <c r="E14" i="24" s="1"/>
  <c r="D43" i="17"/>
  <c r="E43" i="17" s="1"/>
  <c r="D37" i="14"/>
  <c r="E37" i="14" s="1"/>
  <c r="D19" i="11"/>
  <c r="E19" i="11" s="1"/>
  <c r="F19" i="11" s="1"/>
  <c r="D51" i="11"/>
  <c r="E51" i="11" s="1"/>
  <c r="D70" i="91"/>
  <c r="E70" i="91" s="1"/>
  <c r="F70" i="91" s="1"/>
  <c r="D38" i="93"/>
  <c r="D20" i="90"/>
  <c r="E20" i="90" s="1"/>
  <c r="F20" i="90" s="1"/>
  <c r="D56" i="97"/>
  <c r="D58" i="97" s="1"/>
  <c r="E58" i="97" s="1"/>
  <c r="F58" i="97" s="1"/>
  <c r="D28" i="90"/>
  <c r="E28" i="90" s="1"/>
  <c r="D19" i="89"/>
  <c r="E19" i="89" s="1"/>
  <c r="F19" i="89" s="1"/>
  <c r="D28" i="83"/>
  <c r="E28" i="83" s="1"/>
  <c r="F28" i="83" s="1"/>
  <c r="D49" i="83"/>
  <c r="E49" i="83" s="1"/>
  <c r="F49" i="83" s="1"/>
  <c r="D47" i="82"/>
  <c r="E47" i="82" s="1"/>
  <c r="F47" i="82" s="1"/>
  <c r="D48" i="65"/>
  <c r="E48" i="65" s="1"/>
  <c r="F48" i="65" s="1"/>
  <c r="D46" i="64"/>
  <c r="E46" i="64" s="1"/>
  <c r="F46" i="64" s="1"/>
  <c r="D20" i="63"/>
  <c r="E20" i="63" s="1"/>
  <c r="D44" i="63"/>
  <c r="E44" i="63" s="1"/>
  <c r="D20" i="62"/>
  <c r="E20" i="62" s="1"/>
  <c r="F20" i="62" s="1"/>
  <c r="D20" i="57"/>
  <c r="E20" i="57" s="1"/>
  <c r="D49" i="56"/>
  <c r="D16" i="55"/>
  <c r="E16" i="55" s="1"/>
  <c r="F16" i="55" s="1"/>
  <c r="D49" i="55"/>
  <c r="E49" i="55" s="1"/>
  <c r="F49" i="55" s="1"/>
  <c r="D77" i="55"/>
  <c r="E77" i="55" s="1"/>
  <c r="D32" i="52"/>
  <c r="E32" i="52" s="1"/>
  <c r="F32" i="52" s="1"/>
  <c r="D13" i="51"/>
  <c r="E13" i="51" s="1"/>
  <c r="F13" i="51" s="1"/>
  <c r="D37" i="51"/>
  <c r="E37" i="51" s="1"/>
  <c r="F37" i="51" s="1"/>
  <c r="D26" i="44"/>
  <c r="E26" i="44" s="1"/>
  <c r="F26" i="44" s="1"/>
  <c r="D32" i="38"/>
  <c r="D34" i="37"/>
  <c r="E34" i="37" s="1"/>
  <c r="F34" i="37" s="1"/>
  <c r="D10" i="33"/>
  <c r="E10" i="33" s="1"/>
  <c r="F10" i="33" s="1"/>
  <c r="D42" i="33"/>
  <c r="E42" i="33" s="1"/>
  <c r="F42" i="33" s="1"/>
  <c r="D69" i="41"/>
  <c r="E69" i="41" s="1"/>
  <c r="F69" i="41" s="1"/>
  <c r="D48" i="31"/>
  <c r="E48" i="31" s="1"/>
  <c r="F48" i="31" s="1"/>
  <c r="D37" i="30"/>
  <c r="E37" i="30" s="1"/>
  <c r="F37" i="30" s="1"/>
  <c r="D19" i="24"/>
  <c r="E19" i="24" s="1"/>
  <c r="F19" i="24" s="1"/>
  <c r="D20" i="23"/>
  <c r="E20" i="23" s="1"/>
  <c r="F20" i="23" s="1"/>
  <c r="D20" i="21"/>
  <c r="E20" i="21" s="1"/>
  <c r="D48" i="17"/>
  <c r="E48" i="17" s="1"/>
  <c r="F48" i="17" s="1"/>
  <c r="D38" i="14"/>
  <c r="E38" i="14" s="1"/>
  <c r="F38" i="14" s="1"/>
  <c r="D20" i="11"/>
  <c r="E20" i="11" s="1"/>
  <c r="D55" i="11"/>
  <c r="E55" i="11" s="1"/>
  <c r="F55" i="11" s="1"/>
  <c r="D49" i="93"/>
  <c r="E49" i="93" s="1"/>
  <c r="F49" i="93" s="1"/>
  <c r="D93" i="99"/>
  <c r="E93" i="99" s="1"/>
  <c r="F93" i="99" s="1"/>
  <c r="D50" i="99"/>
  <c r="E50" i="99" s="1"/>
  <c r="D16" i="99"/>
  <c r="E16" i="99" s="1"/>
  <c r="F16" i="99" s="1"/>
  <c r="D73" i="99"/>
  <c r="D40" i="99"/>
  <c r="D28" i="89"/>
  <c r="E28" i="89" s="1"/>
  <c r="F28" i="89" s="1"/>
  <c r="D51" i="89"/>
  <c r="E51" i="89" s="1"/>
  <c r="F51" i="89" s="1"/>
  <c r="D39" i="85"/>
  <c r="E39" i="85" s="1"/>
  <c r="F39" i="85" s="1"/>
  <c r="D46" i="85"/>
  <c r="E46" i="85" s="1"/>
  <c r="F46" i="85" s="1"/>
  <c r="D38" i="85"/>
  <c r="E38" i="85" s="1"/>
  <c r="F38" i="85" s="1"/>
  <c r="D32" i="85"/>
  <c r="E32" i="85" s="1"/>
  <c r="F32" i="85" s="1"/>
  <c r="D26" i="85"/>
  <c r="D19" i="85"/>
  <c r="E19" i="85" s="1"/>
  <c r="F19" i="85" s="1"/>
  <c r="D13" i="85"/>
  <c r="D42" i="85"/>
  <c r="D44" i="85" s="1"/>
  <c r="D37" i="85"/>
  <c r="E37" i="85" s="1"/>
  <c r="F37" i="85" s="1"/>
  <c r="D25" i="85"/>
  <c r="E25" i="85" s="1"/>
  <c r="F25" i="85" s="1"/>
  <c r="D16" i="85"/>
  <c r="E16" i="85" s="1"/>
  <c r="F16" i="85" s="1"/>
  <c r="D10" i="85"/>
  <c r="E10" i="85" s="1"/>
  <c r="F10" i="85" s="1"/>
  <c r="D34" i="85"/>
  <c r="E34" i="85" s="1"/>
  <c r="F34" i="85" s="1"/>
  <c r="D26" i="99"/>
  <c r="E26" i="99" s="1"/>
  <c r="D60" i="98"/>
  <c r="E60" i="98" s="1"/>
  <c r="F60" i="98" s="1"/>
  <c r="D47" i="98"/>
  <c r="E47" i="98" s="1"/>
  <c r="F47" i="98" s="1"/>
  <c r="D31" i="98"/>
  <c r="E31" i="98" s="1"/>
  <c r="F31" i="98" s="1"/>
  <c r="D17" i="98"/>
  <c r="E17" i="98" s="1"/>
  <c r="F17" i="98" s="1"/>
  <c r="D56" i="98"/>
  <c r="D58" i="98" s="1"/>
  <c r="D59" i="98" s="1"/>
  <c r="D43" i="98"/>
  <c r="E43" i="98" s="1"/>
  <c r="F43" i="98" s="1"/>
  <c r="D29" i="98"/>
  <c r="D13" i="98"/>
  <c r="E13" i="98" s="1"/>
  <c r="D37" i="98"/>
  <c r="E37" i="98" s="1"/>
  <c r="D46" i="97"/>
  <c r="E46" i="97" s="1"/>
  <c r="F46" i="97" s="1"/>
  <c r="D66" i="97"/>
  <c r="E66" i="97" s="1"/>
  <c r="F66" i="97" s="1"/>
  <c r="D4" i="89"/>
  <c r="D80" i="89" s="1"/>
  <c r="D31" i="89"/>
  <c r="E31" i="89" s="1"/>
  <c r="F31" i="89" s="1"/>
  <c r="D4" i="85"/>
  <c r="E4" i="85" s="1"/>
  <c r="D36" i="85"/>
  <c r="E36" i="85" s="1"/>
  <c r="F36" i="85" s="1"/>
  <c r="D84" i="69"/>
  <c r="E84" i="69" s="1"/>
  <c r="F84" i="69" s="1"/>
  <c r="D65" i="69"/>
  <c r="D31" i="69"/>
  <c r="E31" i="69" s="1"/>
  <c r="F31" i="69" s="1"/>
  <c r="D83" i="69"/>
  <c r="E83" i="69" s="1"/>
  <c r="F83" i="69" s="1"/>
  <c r="D73" i="69"/>
  <c r="D75" i="69" s="1"/>
  <c r="D76" i="69" s="1"/>
  <c r="D57" i="69"/>
  <c r="D59" i="69" s="1"/>
  <c r="D53" i="69"/>
  <c r="D49" i="69"/>
  <c r="D45" i="69"/>
  <c r="D40" i="69"/>
  <c r="D34" i="69"/>
  <c r="D28" i="69"/>
  <c r="D22" i="69"/>
  <c r="D16" i="69"/>
  <c r="D10" i="69"/>
  <c r="D51" i="69"/>
  <c r="E51" i="69" s="1"/>
  <c r="F51" i="69" s="1"/>
  <c r="D25" i="69"/>
  <c r="E25" i="69" s="1"/>
  <c r="F25" i="69" s="1"/>
  <c r="D13" i="69"/>
  <c r="E13" i="69" s="1"/>
  <c r="F13" i="69" s="1"/>
  <c r="D82" i="69"/>
  <c r="E82" i="69" s="1"/>
  <c r="D56" i="69"/>
  <c r="E56" i="69" s="1"/>
  <c r="D52" i="69"/>
  <c r="E52" i="69" s="1"/>
  <c r="D48" i="69"/>
  <c r="E48" i="69" s="1"/>
  <c r="D44" i="69"/>
  <c r="E44" i="69" s="1"/>
  <c r="D38" i="69"/>
  <c r="E38" i="69" s="1"/>
  <c r="D32" i="69"/>
  <c r="E32" i="69" s="1"/>
  <c r="D26" i="69"/>
  <c r="E26" i="69" s="1"/>
  <c r="D20" i="69"/>
  <c r="E20" i="69" s="1"/>
  <c r="D14" i="69"/>
  <c r="E14" i="69" s="1"/>
  <c r="D87" i="69"/>
  <c r="E87" i="69" s="1"/>
  <c r="F87" i="69" s="1"/>
  <c r="D81" i="69"/>
  <c r="E81" i="69" s="1"/>
  <c r="F81" i="69" s="1"/>
  <c r="D55" i="69"/>
  <c r="E55" i="69" s="1"/>
  <c r="F55" i="69" s="1"/>
  <c r="D47" i="69"/>
  <c r="E47" i="69" s="1"/>
  <c r="F47" i="69" s="1"/>
  <c r="D43" i="69"/>
  <c r="E43" i="69" s="1"/>
  <c r="F43" i="69" s="1"/>
  <c r="D37" i="69"/>
  <c r="E37" i="69" s="1"/>
  <c r="F37" i="69" s="1"/>
  <c r="D19" i="69"/>
  <c r="E19" i="69" s="1"/>
  <c r="F19" i="69" s="1"/>
  <c r="D4" i="69"/>
  <c r="D85" i="69"/>
  <c r="E85" i="69" s="1"/>
  <c r="F85" i="69" s="1"/>
  <c r="D29" i="99"/>
  <c r="E29" i="99" s="1"/>
  <c r="F29" i="99" s="1"/>
  <c r="D5" i="98"/>
  <c r="D41" i="98"/>
  <c r="D13" i="97"/>
  <c r="E13" i="97" s="1"/>
  <c r="F13" i="97" s="1"/>
  <c r="D31" i="97"/>
  <c r="E31" i="97" s="1"/>
  <c r="F31" i="97" s="1"/>
  <c r="D16" i="89"/>
  <c r="E16" i="89" s="1"/>
  <c r="F16" i="89" s="1"/>
  <c r="D40" i="89"/>
  <c r="E40" i="89" s="1"/>
  <c r="F40" i="89" s="1"/>
  <c r="D60" i="87"/>
  <c r="E60" i="87" s="1"/>
  <c r="F60" i="87" s="1"/>
  <c r="D43" i="87"/>
  <c r="E43" i="87" s="1"/>
  <c r="F43" i="87" s="1"/>
  <c r="D34" i="87"/>
  <c r="D22" i="87"/>
  <c r="D10" i="87"/>
  <c r="E10" i="87" s="1"/>
  <c r="F10" i="87" s="1"/>
  <c r="D61" i="87"/>
  <c r="E61" i="87" s="1"/>
  <c r="D42" i="87"/>
  <c r="E42" i="87" s="1"/>
  <c r="D32" i="87"/>
  <c r="E32" i="87" s="1"/>
  <c r="D20" i="87"/>
  <c r="E20" i="87" s="1"/>
  <c r="D4" i="87"/>
  <c r="D64" i="87" s="1"/>
  <c r="D28" i="87"/>
  <c r="E28" i="87" s="1"/>
  <c r="F28" i="87" s="1"/>
  <c r="D58" i="87"/>
  <c r="E58" i="87" s="1"/>
  <c r="F58" i="87" s="1"/>
  <c r="D28" i="85"/>
  <c r="E28" i="85" s="1"/>
  <c r="F28" i="85" s="1"/>
  <c r="D40" i="85"/>
  <c r="E40" i="85" s="1"/>
  <c r="F40" i="85" s="1"/>
  <c r="D41" i="61"/>
  <c r="E41" i="61" s="1"/>
  <c r="F41" i="61" s="1"/>
  <c r="D40" i="61"/>
  <c r="E40" i="61" s="1"/>
  <c r="F40" i="61" s="1"/>
  <c r="D32" i="61"/>
  <c r="E32" i="61" s="1"/>
  <c r="D16" i="61"/>
  <c r="E16" i="61" s="1"/>
  <c r="F16" i="61" s="1"/>
  <c r="D43" i="61"/>
  <c r="E43" i="61" s="1"/>
  <c r="D37" i="61"/>
  <c r="E37" i="61" s="1"/>
  <c r="F37" i="61" s="1"/>
  <c r="D28" i="61"/>
  <c r="E28" i="61" s="1"/>
  <c r="F28" i="61" s="1"/>
  <c r="D20" i="61"/>
  <c r="E20" i="61" s="1"/>
  <c r="D13" i="61"/>
  <c r="E13" i="61" s="1"/>
  <c r="F13" i="61" s="1"/>
  <c r="D48" i="61"/>
  <c r="E48" i="61" s="1"/>
  <c r="D25" i="61"/>
  <c r="E25" i="61" s="1"/>
  <c r="F25" i="61" s="1"/>
  <c r="D4" i="61"/>
  <c r="D51" i="61" s="1"/>
  <c r="D42" i="61"/>
  <c r="E42" i="61" s="1"/>
  <c r="F42" i="61" s="1"/>
  <c r="D34" i="61"/>
  <c r="E34" i="61" s="1"/>
  <c r="F34" i="61" s="1"/>
  <c r="D26" i="61"/>
  <c r="E26" i="61" s="1"/>
  <c r="D19" i="61"/>
  <c r="E19" i="61" s="1"/>
  <c r="F19" i="61" s="1"/>
  <c r="D10" i="61"/>
  <c r="E10" i="61" s="1"/>
  <c r="F10" i="61" s="1"/>
  <c r="D38" i="61"/>
  <c r="E38" i="61" s="1"/>
  <c r="D74" i="70"/>
  <c r="E74" i="70" s="1"/>
  <c r="F74" i="70" s="1"/>
  <c r="D37" i="70"/>
  <c r="E37" i="70" s="1"/>
  <c r="D52" i="70"/>
  <c r="E52" i="70" s="1"/>
  <c r="F52" i="70" s="1"/>
  <c r="D43" i="70"/>
  <c r="E43" i="70" s="1"/>
  <c r="D31" i="70"/>
  <c r="E31" i="70" s="1"/>
  <c r="D19" i="70"/>
  <c r="E19" i="70" s="1"/>
  <c r="D47" i="70"/>
  <c r="E47" i="70" s="1"/>
  <c r="D48" i="70"/>
  <c r="E48" i="70" s="1"/>
  <c r="F48" i="70" s="1"/>
  <c r="D38" i="70"/>
  <c r="E38" i="70" s="1"/>
  <c r="F38" i="70" s="1"/>
  <c r="D26" i="70"/>
  <c r="E26" i="70" s="1"/>
  <c r="F26" i="70" s="1"/>
  <c r="D14" i="70"/>
  <c r="E14" i="70" s="1"/>
  <c r="F14" i="70" s="1"/>
  <c r="D32" i="70"/>
  <c r="E32" i="70" s="1"/>
  <c r="F32" i="70" s="1"/>
  <c r="D20" i="85"/>
  <c r="E20" i="85" s="1"/>
  <c r="F20" i="85" s="1"/>
  <c r="D47" i="85"/>
  <c r="D49" i="85" s="1"/>
  <c r="E49" i="85" s="1"/>
  <c r="F49" i="85" s="1"/>
  <c r="D64" i="99"/>
  <c r="E64" i="99" s="1"/>
  <c r="F64" i="99" s="1"/>
  <c r="D76" i="89"/>
  <c r="E76" i="89" s="1"/>
  <c r="F76" i="89" s="1"/>
  <c r="D57" i="89"/>
  <c r="E57" i="89" s="1"/>
  <c r="F57" i="89" s="1"/>
  <c r="D49" i="89"/>
  <c r="E49" i="89" s="1"/>
  <c r="F49" i="89" s="1"/>
  <c r="D37" i="89"/>
  <c r="E37" i="89" s="1"/>
  <c r="F37" i="89" s="1"/>
  <c r="D25" i="89"/>
  <c r="E25" i="89" s="1"/>
  <c r="F25" i="89" s="1"/>
  <c r="D13" i="89"/>
  <c r="E13" i="89" s="1"/>
  <c r="F13" i="89" s="1"/>
  <c r="D75" i="89"/>
  <c r="E75" i="89" s="1"/>
  <c r="F75" i="89" s="1"/>
  <c r="D55" i="89"/>
  <c r="E55" i="89" s="1"/>
  <c r="F55" i="89" s="1"/>
  <c r="D46" i="89"/>
  <c r="E46" i="89" s="1"/>
  <c r="F46" i="89" s="1"/>
  <c r="D34" i="89"/>
  <c r="E34" i="89" s="1"/>
  <c r="F34" i="89" s="1"/>
  <c r="D22" i="89"/>
  <c r="E22" i="89" s="1"/>
  <c r="F22" i="89" s="1"/>
  <c r="D10" i="89"/>
  <c r="E10" i="89" s="1"/>
  <c r="F10" i="89" s="1"/>
  <c r="E57" i="83"/>
  <c r="D63" i="97"/>
  <c r="E63" i="97" s="1"/>
  <c r="D62" i="97"/>
  <c r="E62" i="97" s="1"/>
  <c r="F62" i="97" s="1"/>
  <c r="D52" i="97"/>
  <c r="D54" i="97" s="1"/>
  <c r="D55" i="97" s="1"/>
  <c r="D43" i="97"/>
  <c r="E43" i="97" s="1"/>
  <c r="F43" i="97" s="1"/>
  <c r="D37" i="97"/>
  <c r="E37" i="97" s="1"/>
  <c r="F37" i="97" s="1"/>
  <c r="D26" i="97"/>
  <c r="E26" i="97" s="1"/>
  <c r="D61" i="97"/>
  <c r="E61" i="97" s="1"/>
  <c r="F61" i="97" s="1"/>
  <c r="D42" i="97"/>
  <c r="E42" i="97" s="1"/>
  <c r="F42" i="97" s="1"/>
  <c r="D32" i="97"/>
  <c r="E32" i="97" s="1"/>
  <c r="D25" i="97"/>
  <c r="E25" i="97" s="1"/>
  <c r="F25" i="97" s="1"/>
  <c r="D14" i="97"/>
  <c r="E14" i="97" s="1"/>
  <c r="D53" i="89"/>
  <c r="E53" i="89" s="1"/>
  <c r="F53" i="89" s="1"/>
  <c r="D22" i="85"/>
  <c r="E22" i="85" s="1"/>
  <c r="F22" i="85" s="1"/>
  <c r="D51" i="85"/>
  <c r="E51" i="85" s="1"/>
  <c r="F51" i="85" s="1"/>
  <c r="F83" i="83"/>
  <c r="D20" i="70"/>
  <c r="D14" i="90"/>
  <c r="E14" i="90" s="1"/>
  <c r="F14" i="90" s="1"/>
  <c r="D22" i="90"/>
  <c r="E22" i="90" s="1"/>
  <c r="D31" i="90"/>
  <c r="E31" i="90" s="1"/>
  <c r="F31" i="90" s="1"/>
  <c r="D38" i="90"/>
  <c r="E38" i="90" s="1"/>
  <c r="F38" i="90" s="1"/>
  <c r="D44" i="90"/>
  <c r="E44" i="90" s="1"/>
  <c r="F44" i="90" s="1"/>
  <c r="D53" i="90"/>
  <c r="E53" i="90" s="1"/>
  <c r="D14" i="83"/>
  <c r="D20" i="83"/>
  <c r="D26" i="83"/>
  <c r="D32" i="83"/>
  <c r="D38" i="83"/>
  <c r="D44" i="83"/>
  <c r="D48" i="83"/>
  <c r="D52" i="83"/>
  <c r="D73" i="83"/>
  <c r="D82" i="83"/>
  <c r="E82" i="83" s="1"/>
  <c r="F82" i="83" s="1"/>
  <c r="D16" i="82"/>
  <c r="E16" i="82" s="1"/>
  <c r="F16" i="82" s="1"/>
  <c r="D28" i="82"/>
  <c r="E28" i="82" s="1"/>
  <c r="F28" i="82" s="1"/>
  <c r="D40" i="82"/>
  <c r="E40" i="82" s="1"/>
  <c r="F40" i="82" s="1"/>
  <c r="D49" i="82"/>
  <c r="E49" i="82" s="1"/>
  <c r="F49" i="82" s="1"/>
  <c r="D69" i="82"/>
  <c r="E69" i="82" s="1"/>
  <c r="F69" i="82" s="1"/>
  <c r="D19" i="68"/>
  <c r="E19" i="68" s="1"/>
  <c r="D26" i="68"/>
  <c r="D20" i="65"/>
  <c r="E20" i="65" s="1"/>
  <c r="F20" i="65" s="1"/>
  <c r="D32" i="65"/>
  <c r="E32" i="65" s="1"/>
  <c r="F32" i="65" s="1"/>
  <c r="D44" i="65"/>
  <c r="E44" i="65" s="1"/>
  <c r="F44" i="65" s="1"/>
  <c r="D4" i="64"/>
  <c r="D13" i="64"/>
  <c r="E13" i="64" s="1"/>
  <c r="F13" i="64" s="1"/>
  <c r="D19" i="64"/>
  <c r="E19" i="64" s="1"/>
  <c r="F19" i="64" s="1"/>
  <c r="D25" i="64"/>
  <c r="E25" i="64" s="1"/>
  <c r="F25" i="64" s="1"/>
  <c r="D31" i="64"/>
  <c r="E31" i="64" s="1"/>
  <c r="F31" i="64" s="1"/>
  <c r="D37" i="64"/>
  <c r="E37" i="64" s="1"/>
  <c r="F37" i="64" s="1"/>
  <c r="D43" i="64"/>
  <c r="E43" i="64" s="1"/>
  <c r="F43" i="64" s="1"/>
  <c r="D48" i="64"/>
  <c r="E48" i="64" s="1"/>
  <c r="F48" i="64" s="1"/>
  <c r="D52" i="64"/>
  <c r="D64" i="64"/>
  <c r="E64" i="64" s="1"/>
  <c r="D58" i="63"/>
  <c r="E58" i="63" s="1"/>
  <c r="F58" i="63" s="1"/>
  <c r="D25" i="62"/>
  <c r="E25" i="62" s="1"/>
  <c r="D32" i="62"/>
  <c r="D4" i="57"/>
  <c r="D61" i="57" s="1"/>
  <c r="D16" i="57"/>
  <c r="E16" i="57" s="1"/>
  <c r="F16" i="57" s="1"/>
  <c r="D25" i="57"/>
  <c r="E25" i="57" s="1"/>
  <c r="F25" i="57" s="1"/>
  <c r="D32" i="57"/>
  <c r="E32" i="57" s="1"/>
  <c r="D40" i="57"/>
  <c r="E40" i="57" s="1"/>
  <c r="F40" i="57" s="1"/>
  <c r="D46" i="57"/>
  <c r="D58" i="57"/>
  <c r="E58" i="57" s="1"/>
  <c r="D29" i="56"/>
  <c r="E29" i="56" s="1"/>
  <c r="F29" i="56" s="1"/>
  <c r="D56" i="56"/>
  <c r="E56" i="56" s="1"/>
  <c r="F56" i="56" s="1"/>
  <c r="D127" i="56"/>
  <c r="E127" i="56" s="1"/>
  <c r="D145" i="56"/>
  <c r="E145" i="56" s="1"/>
  <c r="F145" i="56" s="1"/>
  <c r="D13" i="55"/>
  <c r="E13" i="55" s="1"/>
  <c r="F13" i="55" s="1"/>
  <c r="D20" i="55"/>
  <c r="E20" i="55" s="1"/>
  <c r="D28" i="55"/>
  <c r="E28" i="55" s="1"/>
  <c r="F28" i="55" s="1"/>
  <c r="D37" i="55"/>
  <c r="E37" i="55" s="1"/>
  <c r="F37" i="55" s="1"/>
  <c r="D44" i="55"/>
  <c r="E44" i="55" s="1"/>
  <c r="D52" i="55"/>
  <c r="E52" i="55" s="1"/>
  <c r="F52" i="55" s="1"/>
  <c r="D61" i="55"/>
  <c r="E61" i="55" s="1"/>
  <c r="F61" i="55" s="1"/>
  <c r="D68" i="55"/>
  <c r="E68" i="55" s="1"/>
  <c r="D74" i="55"/>
  <c r="E74" i="55" s="1"/>
  <c r="F74" i="55" s="1"/>
  <c r="D80" i="55"/>
  <c r="E80" i="55" s="1"/>
  <c r="F80" i="55" s="1"/>
  <c r="D91" i="55"/>
  <c r="E91" i="55" s="1"/>
  <c r="D107" i="55"/>
  <c r="E107" i="55" s="1"/>
  <c r="D119" i="55"/>
  <c r="E119" i="55" s="1"/>
  <c r="F119" i="55" s="1"/>
  <c r="D125" i="55"/>
  <c r="E125" i="55" s="1"/>
  <c r="F125" i="55" s="1"/>
  <c r="D18" i="52"/>
  <c r="E18" i="52" s="1"/>
  <c r="D30" i="52"/>
  <c r="E30" i="52" s="1"/>
  <c r="D40" i="52"/>
  <c r="E40" i="52" s="1"/>
  <c r="D49" i="52"/>
  <c r="E49" i="52" s="1"/>
  <c r="F49" i="52" s="1"/>
  <c r="D10" i="51"/>
  <c r="D16" i="51"/>
  <c r="D22" i="51"/>
  <c r="D28" i="51"/>
  <c r="D34" i="51"/>
  <c r="D39" i="51"/>
  <c r="D38" i="50"/>
  <c r="E38" i="50" s="1"/>
  <c r="F38" i="50" s="1"/>
  <c r="D39" i="50"/>
  <c r="E39" i="50" s="1"/>
  <c r="D19" i="50"/>
  <c r="E19" i="50" s="1"/>
  <c r="D34" i="50"/>
  <c r="E34" i="50" s="1"/>
  <c r="D13" i="50"/>
  <c r="E13" i="50" s="1"/>
  <c r="D4" i="49"/>
  <c r="D77" i="49" s="1"/>
  <c r="D25" i="49"/>
  <c r="E25" i="49" s="1"/>
  <c r="F25" i="49" s="1"/>
  <c r="D40" i="49"/>
  <c r="E40" i="49" s="1"/>
  <c r="F40" i="49" s="1"/>
  <c r="D54" i="49"/>
  <c r="E54" i="49" s="1"/>
  <c r="D75" i="49"/>
  <c r="E75" i="49" s="1"/>
  <c r="F75" i="49" s="1"/>
  <c r="D54" i="45"/>
  <c r="E54" i="45" s="1"/>
  <c r="F54" i="45" s="1"/>
  <c r="D13" i="45"/>
  <c r="E13" i="45" s="1"/>
  <c r="D13" i="36"/>
  <c r="E13" i="36" s="1"/>
  <c r="D37" i="36"/>
  <c r="E37" i="36" s="1"/>
  <c r="D66" i="35"/>
  <c r="E66" i="35" s="1"/>
  <c r="F66" i="35" s="1"/>
  <c r="D53" i="35"/>
  <c r="D55" i="35" s="1"/>
  <c r="D43" i="35"/>
  <c r="E43" i="35" s="1"/>
  <c r="D31" i="35"/>
  <c r="E31" i="35" s="1"/>
  <c r="D68" i="35"/>
  <c r="E68" i="35" s="1"/>
  <c r="F68" i="35" s="1"/>
  <c r="D47" i="35"/>
  <c r="E47" i="35" s="1"/>
  <c r="D37" i="35"/>
  <c r="E37" i="35" s="1"/>
  <c r="D25" i="35"/>
  <c r="E25" i="35" s="1"/>
  <c r="D57" i="35"/>
  <c r="E57" i="35" s="1"/>
  <c r="D44" i="35"/>
  <c r="E44" i="35" s="1"/>
  <c r="F44" i="35" s="1"/>
  <c r="D32" i="35"/>
  <c r="E32" i="35" s="1"/>
  <c r="F32" i="35" s="1"/>
  <c r="D14" i="35"/>
  <c r="D26" i="35"/>
  <c r="E26" i="35" s="1"/>
  <c r="F26" i="35" s="1"/>
  <c r="D58" i="34"/>
  <c r="E58" i="34" s="1"/>
  <c r="D4" i="90"/>
  <c r="E4" i="90" s="1"/>
  <c r="C14" i="110" s="1"/>
  <c r="I14" i="110" s="1"/>
  <c r="D16" i="90"/>
  <c r="E16" i="90" s="1"/>
  <c r="F16" i="90" s="1"/>
  <c r="D25" i="90"/>
  <c r="E25" i="90" s="1"/>
  <c r="F25" i="90" s="1"/>
  <c r="D32" i="90"/>
  <c r="E32" i="90" s="1"/>
  <c r="F32" i="90" s="1"/>
  <c r="D40" i="90"/>
  <c r="E40" i="90" s="1"/>
  <c r="F40" i="90" s="1"/>
  <c r="D46" i="90"/>
  <c r="E46" i="90" s="1"/>
  <c r="F46" i="90" s="1"/>
  <c r="D58" i="90"/>
  <c r="E58" i="90" s="1"/>
  <c r="F58" i="90" s="1"/>
  <c r="D4" i="82"/>
  <c r="D73" i="82" s="1"/>
  <c r="D19" i="82"/>
  <c r="E19" i="82" s="1"/>
  <c r="F19" i="82" s="1"/>
  <c r="D31" i="82"/>
  <c r="E31" i="82" s="1"/>
  <c r="D43" i="82"/>
  <c r="E43" i="82" s="1"/>
  <c r="D54" i="82"/>
  <c r="D56" i="82" s="1"/>
  <c r="E56" i="82" s="1"/>
  <c r="F56" i="82" s="1"/>
  <c r="D13" i="68"/>
  <c r="E13" i="68" s="1"/>
  <c r="D20" i="68"/>
  <c r="D37" i="68"/>
  <c r="E37" i="68" s="1"/>
  <c r="D13" i="65"/>
  <c r="E13" i="65" s="1"/>
  <c r="D25" i="65"/>
  <c r="E25" i="65" s="1"/>
  <c r="D37" i="65"/>
  <c r="E37" i="65" s="1"/>
  <c r="D47" i="65"/>
  <c r="E47" i="65" s="1"/>
  <c r="D14" i="64"/>
  <c r="E14" i="64" s="1"/>
  <c r="D20" i="64"/>
  <c r="E20" i="64" s="1"/>
  <c r="D26" i="64"/>
  <c r="E26" i="64" s="1"/>
  <c r="D32" i="64"/>
  <c r="E32" i="64" s="1"/>
  <c r="D38" i="64"/>
  <c r="E38" i="64" s="1"/>
  <c r="D44" i="64"/>
  <c r="E44" i="64" s="1"/>
  <c r="D49" i="64"/>
  <c r="E49" i="64" s="1"/>
  <c r="D68" i="64"/>
  <c r="E68" i="64" s="1"/>
  <c r="F68" i="64" s="1"/>
  <c r="D4" i="63"/>
  <c r="D13" i="63"/>
  <c r="E13" i="63" s="1"/>
  <c r="F13" i="63" s="1"/>
  <c r="D19" i="63"/>
  <c r="E19" i="63" s="1"/>
  <c r="F19" i="63" s="1"/>
  <c r="D25" i="63"/>
  <c r="E25" i="63" s="1"/>
  <c r="F25" i="63" s="1"/>
  <c r="D31" i="63"/>
  <c r="E31" i="63" s="1"/>
  <c r="F31" i="63" s="1"/>
  <c r="D37" i="63"/>
  <c r="E37" i="63" s="1"/>
  <c r="F37" i="63" s="1"/>
  <c r="D43" i="63"/>
  <c r="E43" i="63" s="1"/>
  <c r="F43" i="63" s="1"/>
  <c r="D47" i="63"/>
  <c r="E47" i="63" s="1"/>
  <c r="F47" i="63" s="1"/>
  <c r="D51" i="63"/>
  <c r="D19" i="62"/>
  <c r="E19" i="62" s="1"/>
  <c r="D26" i="62"/>
  <c r="D41" i="62"/>
  <c r="E41" i="62" s="1"/>
  <c r="D51" i="62"/>
  <c r="E51" i="62" s="1"/>
  <c r="D10" i="57"/>
  <c r="E10" i="57" s="1"/>
  <c r="F10" i="57" s="1"/>
  <c r="D19" i="57"/>
  <c r="E19" i="57" s="1"/>
  <c r="F19" i="57" s="1"/>
  <c r="D26" i="57"/>
  <c r="E26" i="57" s="1"/>
  <c r="D34" i="57"/>
  <c r="E34" i="57" s="1"/>
  <c r="F34" i="57" s="1"/>
  <c r="D42" i="57"/>
  <c r="E42" i="57" s="1"/>
  <c r="F42" i="57" s="1"/>
  <c r="D40" i="56"/>
  <c r="E40" i="56" s="1"/>
  <c r="F40" i="56" s="1"/>
  <c r="D85" i="56"/>
  <c r="E85" i="56" s="1"/>
  <c r="D14" i="55"/>
  <c r="E14" i="55" s="1"/>
  <c r="D22" i="55"/>
  <c r="E22" i="55" s="1"/>
  <c r="F22" i="55" s="1"/>
  <c r="D31" i="55"/>
  <c r="E31" i="55" s="1"/>
  <c r="F31" i="55" s="1"/>
  <c r="D38" i="55"/>
  <c r="E38" i="55" s="1"/>
  <c r="D46" i="55"/>
  <c r="E46" i="55" s="1"/>
  <c r="F46" i="55" s="1"/>
  <c r="D55" i="55"/>
  <c r="E55" i="55" s="1"/>
  <c r="F55" i="55" s="1"/>
  <c r="D62" i="55"/>
  <c r="E62" i="55" s="1"/>
  <c r="D70" i="55"/>
  <c r="E70" i="55" s="1"/>
  <c r="F70" i="55" s="1"/>
  <c r="D76" i="55"/>
  <c r="E76" i="55" s="1"/>
  <c r="F76" i="55" s="1"/>
  <c r="D81" i="55"/>
  <c r="E81" i="55" s="1"/>
  <c r="D95" i="55"/>
  <c r="D111" i="55"/>
  <c r="D121" i="55"/>
  <c r="E121" i="55" s="1"/>
  <c r="F121" i="55" s="1"/>
  <c r="D126" i="55"/>
  <c r="E126" i="55" s="1"/>
  <c r="D75" i="51"/>
  <c r="E75" i="51" s="1"/>
  <c r="F75" i="51" s="1"/>
  <c r="D76" i="51"/>
  <c r="E76" i="51" s="1"/>
  <c r="F76" i="51" s="1"/>
  <c r="D57" i="51"/>
  <c r="E57" i="51" s="1"/>
  <c r="D45" i="51"/>
  <c r="D69" i="51"/>
  <c r="E69" i="51" s="1"/>
  <c r="D73" i="51"/>
  <c r="E73" i="51" s="1"/>
  <c r="D14" i="49"/>
  <c r="E14" i="49" s="1"/>
  <c r="D31" i="49"/>
  <c r="E31" i="49" s="1"/>
  <c r="F31" i="49" s="1"/>
  <c r="D16" i="36"/>
  <c r="E16" i="36" s="1"/>
  <c r="F16" i="36" s="1"/>
  <c r="E32" i="38"/>
  <c r="F32" i="38" s="1"/>
  <c r="F10" i="63"/>
  <c r="D14" i="57"/>
  <c r="E14" i="57" s="1"/>
  <c r="D22" i="57"/>
  <c r="E22" i="57" s="1"/>
  <c r="F22" i="57" s="1"/>
  <c r="D31" i="57"/>
  <c r="E31" i="57" s="1"/>
  <c r="F31" i="57" s="1"/>
  <c r="D38" i="57"/>
  <c r="E38" i="57" s="1"/>
  <c r="D44" i="57"/>
  <c r="E44" i="57" s="1"/>
  <c r="F44" i="57" s="1"/>
  <c r="D54" i="57"/>
  <c r="D61" i="49"/>
  <c r="D63" i="49" s="1"/>
  <c r="D69" i="49"/>
  <c r="E69" i="49" s="1"/>
  <c r="D57" i="49"/>
  <c r="D51" i="49"/>
  <c r="E51" i="49" s="1"/>
  <c r="F51" i="49" s="1"/>
  <c r="D44" i="49"/>
  <c r="E44" i="49" s="1"/>
  <c r="D37" i="49"/>
  <c r="E37" i="49" s="1"/>
  <c r="F37" i="49" s="1"/>
  <c r="D28" i="49"/>
  <c r="E28" i="49" s="1"/>
  <c r="F28" i="49" s="1"/>
  <c r="D20" i="49"/>
  <c r="E20" i="49" s="1"/>
  <c r="D13" i="49"/>
  <c r="E13" i="49" s="1"/>
  <c r="F13" i="49" s="1"/>
  <c r="D55" i="49"/>
  <c r="E55" i="49" s="1"/>
  <c r="F55" i="49" s="1"/>
  <c r="D50" i="49"/>
  <c r="E50" i="49" s="1"/>
  <c r="D43" i="49"/>
  <c r="E43" i="49" s="1"/>
  <c r="F43" i="49" s="1"/>
  <c r="D34" i="49"/>
  <c r="E34" i="49" s="1"/>
  <c r="F34" i="49" s="1"/>
  <c r="D26" i="49"/>
  <c r="E26" i="49" s="1"/>
  <c r="D19" i="49"/>
  <c r="E19" i="49" s="1"/>
  <c r="F19" i="49" s="1"/>
  <c r="D10" i="49"/>
  <c r="E10" i="49" s="1"/>
  <c r="F10" i="49" s="1"/>
  <c r="D22" i="49"/>
  <c r="E22" i="49" s="1"/>
  <c r="F22" i="49" s="1"/>
  <c r="D38" i="49"/>
  <c r="E38" i="49" s="1"/>
  <c r="D53" i="49"/>
  <c r="E53" i="49" s="1"/>
  <c r="F53" i="49" s="1"/>
  <c r="D73" i="49"/>
  <c r="E73" i="49" s="1"/>
  <c r="F73" i="49" s="1"/>
  <c r="D59" i="36"/>
  <c r="E59" i="36" s="1"/>
  <c r="F59" i="36" s="1"/>
  <c r="D60" i="36"/>
  <c r="E60" i="36" s="1"/>
  <c r="D43" i="36"/>
  <c r="E43" i="36" s="1"/>
  <c r="F43" i="36" s="1"/>
  <c r="D34" i="36"/>
  <c r="E34" i="36" s="1"/>
  <c r="F34" i="36" s="1"/>
  <c r="D22" i="36"/>
  <c r="E22" i="36" s="1"/>
  <c r="F22" i="36" s="1"/>
  <c r="D10" i="36"/>
  <c r="E10" i="36" s="1"/>
  <c r="F10" i="36" s="1"/>
  <c r="D58" i="36"/>
  <c r="E58" i="36" s="1"/>
  <c r="F58" i="36" s="1"/>
  <c r="D41" i="36"/>
  <c r="E41" i="36" s="1"/>
  <c r="D31" i="36"/>
  <c r="E31" i="36" s="1"/>
  <c r="D19" i="36"/>
  <c r="E19" i="36" s="1"/>
  <c r="D4" i="36"/>
  <c r="D63" i="36" s="1"/>
  <c r="D28" i="36"/>
  <c r="E28" i="36" s="1"/>
  <c r="F28" i="36" s="1"/>
  <c r="D56" i="36"/>
  <c r="E56" i="36" s="1"/>
  <c r="D71" i="34"/>
  <c r="E71" i="34" s="1"/>
  <c r="F71" i="34" s="1"/>
  <c r="D73" i="34"/>
  <c r="E73" i="34" s="1"/>
  <c r="D62" i="34"/>
  <c r="D52" i="34"/>
  <c r="E52" i="34" s="1"/>
  <c r="F52" i="34" s="1"/>
  <c r="D48" i="34"/>
  <c r="E48" i="34" s="1"/>
  <c r="F48" i="34" s="1"/>
  <c r="D43" i="34"/>
  <c r="E43" i="34" s="1"/>
  <c r="F43" i="34" s="1"/>
  <c r="D37" i="34"/>
  <c r="E37" i="34" s="1"/>
  <c r="F37" i="34" s="1"/>
  <c r="D31" i="34"/>
  <c r="E31" i="34" s="1"/>
  <c r="F31" i="34" s="1"/>
  <c r="D25" i="34"/>
  <c r="E25" i="34" s="1"/>
  <c r="F25" i="34" s="1"/>
  <c r="D19" i="34"/>
  <c r="E19" i="34" s="1"/>
  <c r="F19" i="34" s="1"/>
  <c r="D13" i="34"/>
  <c r="E13" i="34" s="1"/>
  <c r="F13" i="34" s="1"/>
  <c r="D4" i="34"/>
  <c r="D70" i="34"/>
  <c r="E70" i="34" s="1"/>
  <c r="F70" i="34" s="1"/>
  <c r="D54" i="34"/>
  <c r="D56" i="34" s="1"/>
  <c r="D50" i="34"/>
  <c r="D46" i="34"/>
  <c r="D40" i="34"/>
  <c r="D34" i="34"/>
  <c r="D28" i="34"/>
  <c r="D22" i="34"/>
  <c r="D16" i="34"/>
  <c r="D10" i="34"/>
  <c r="D53" i="34"/>
  <c r="E53" i="34" s="1"/>
  <c r="D49" i="34"/>
  <c r="E49" i="34" s="1"/>
  <c r="D44" i="34"/>
  <c r="E44" i="34" s="1"/>
  <c r="D38" i="34"/>
  <c r="E38" i="34" s="1"/>
  <c r="D32" i="34"/>
  <c r="E32" i="34" s="1"/>
  <c r="D26" i="34"/>
  <c r="E26" i="34" s="1"/>
  <c r="D20" i="34"/>
  <c r="E20" i="34" s="1"/>
  <c r="D14" i="34"/>
  <c r="E14" i="34" s="1"/>
  <c r="E20" i="29"/>
  <c r="F20" i="29" s="1"/>
  <c r="D19" i="44"/>
  <c r="E19" i="44" s="1"/>
  <c r="D31" i="44"/>
  <c r="E31" i="44" s="1"/>
  <c r="D43" i="44"/>
  <c r="E43" i="44" s="1"/>
  <c r="D52" i="44"/>
  <c r="E52" i="44" s="1"/>
  <c r="D19" i="38"/>
  <c r="E19" i="38" s="1"/>
  <c r="D26" i="38"/>
  <c r="D16" i="37"/>
  <c r="E16" i="37" s="1"/>
  <c r="F16" i="37" s="1"/>
  <c r="D28" i="37"/>
  <c r="E28" i="37" s="1"/>
  <c r="F28" i="37" s="1"/>
  <c r="D40" i="37"/>
  <c r="E40" i="37" s="1"/>
  <c r="F40" i="37" s="1"/>
  <c r="D68" i="37"/>
  <c r="D70" i="37" s="1"/>
  <c r="E70" i="37" s="1"/>
  <c r="F70" i="37" s="1"/>
  <c r="D14" i="33"/>
  <c r="E14" i="33" s="1"/>
  <c r="D22" i="33"/>
  <c r="E22" i="33" s="1"/>
  <c r="F22" i="33" s="1"/>
  <c r="D31" i="33"/>
  <c r="E31" i="33" s="1"/>
  <c r="F31" i="33" s="1"/>
  <c r="D38" i="33"/>
  <c r="E38" i="33" s="1"/>
  <c r="D44" i="33"/>
  <c r="E44" i="33" s="1"/>
  <c r="F44" i="33" s="1"/>
  <c r="D50" i="33"/>
  <c r="E50" i="33" s="1"/>
  <c r="F50" i="33" s="1"/>
  <c r="D68" i="33"/>
  <c r="D70" i="33" s="1"/>
  <c r="D77" i="33"/>
  <c r="E77" i="33" s="1"/>
  <c r="F77" i="33" s="1"/>
  <c r="D20" i="31"/>
  <c r="E20" i="31" s="1"/>
  <c r="F20" i="31" s="1"/>
  <c r="D32" i="31"/>
  <c r="E32" i="31" s="1"/>
  <c r="F32" i="31" s="1"/>
  <c r="D44" i="31"/>
  <c r="E44" i="31" s="1"/>
  <c r="F44" i="31" s="1"/>
  <c r="D58" i="31"/>
  <c r="E58" i="31" s="1"/>
  <c r="F58" i="31" s="1"/>
  <c r="D10" i="30"/>
  <c r="D25" i="30"/>
  <c r="E25" i="30" s="1"/>
  <c r="F25" i="30" s="1"/>
  <c r="D32" i="30"/>
  <c r="E32" i="30" s="1"/>
  <c r="D48" i="30"/>
  <c r="E48" i="30" s="1"/>
  <c r="F48" i="30" s="1"/>
  <c r="D53" i="30"/>
  <c r="E53" i="30" s="1"/>
  <c r="D67" i="28"/>
  <c r="D69" i="28" s="1"/>
  <c r="D70" i="28" s="1"/>
  <c r="D76" i="28"/>
  <c r="E76" i="28" s="1"/>
  <c r="F76" i="28" s="1"/>
  <c r="D63" i="28"/>
  <c r="D54" i="28"/>
  <c r="E54" i="28" s="1"/>
  <c r="D49" i="28"/>
  <c r="E49" i="28" s="1"/>
  <c r="F49" i="28" s="1"/>
  <c r="D40" i="28"/>
  <c r="E40" i="28" s="1"/>
  <c r="F40" i="28" s="1"/>
  <c r="D32" i="28"/>
  <c r="E32" i="28" s="1"/>
  <c r="D25" i="28"/>
  <c r="E25" i="28" s="1"/>
  <c r="F25" i="28" s="1"/>
  <c r="D16" i="28"/>
  <c r="E16" i="28" s="1"/>
  <c r="F16" i="28" s="1"/>
  <c r="D4" i="28"/>
  <c r="D78" i="28" s="1"/>
  <c r="D55" i="28"/>
  <c r="D57" i="28" s="1"/>
  <c r="D50" i="28"/>
  <c r="E50" i="28" s="1"/>
  <c r="D43" i="28"/>
  <c r="E43" i="28" s="1"/>
  <c r="F43" i="28" s="1"/>
  <c r="D34" i="28"/>
  <c r="E34" i="28" s="1"/>
  <c r="F34" i="28" s="1"/>
  <c r="D26" i="28"/>
  <c r="E26" i="28" s="1"/>
  <c r="D19" i="28"/>
  <c r="E19" i="28" s="1"/>
  <c r="F19" i="28" s="1"/>
  <c r="D10" i="28"/>
  <c r="E10" i="28" s="1"/>
  <c r="F10" i="28" s="1"/>
  <c r="D22" i="28"/>
  <c r="E22" i="28" s="1"/>
  <c r="F22" i="28" s="1"/>
  <c r="D38" i="28"/>
  <c r="E38" i="28" s="1"/>
  <c r="D53" i="28"/>
  <c r="E53" i="28" s="1"/>
  <c r="F53" i="28" s="1"/>
  <c r="D71" i="28"/>
  <c r="E71" i="28" s="1"/>
  <c r="F71" i="28" s="1"/>
  <c r="D51" i="26"/>
  <c r="D72" i="25"/>
  <c r="E72" i="25" s="1"/>
  <c r="F72" i="25" s="1"/>
  <c r="D20" i="44"/>
  <c r="E20" i="44" s="1"/>
  <c r="F20" i="44" s="1"/>
  <c r="D32" i="44"/>
  <c r="E32" i="44" s="1"/>
  <c r="F32" i="44" s="1"/>
  <c r="D44" i="44"/>
  <c r="E44" i="44" s="1"/>
  <c r="F44" i="44" s="1"/>
  <c r="D53" i="44"/>
  <c r="E53" i="44" s="1"/>
  <c r="F53" i="44" s="1"/>
  <c r="D13" i="38"/>
  <c r="E13" i="38" s="1"/>
  <c r="D20" i="38"/>
  <c r="D36" i="38"/>
  <c r="E36" i="38" s="1"/>
  <c r="D4" i="37"/>
  <c r="D94" i="37" s="1"/>
  <c r="D19" i="37"/>
  <c r="E19" i="37" s="1"/>
  <c r="F19" i="37" s="1"/>
  <c r="D31" i="37"/>
  <c r="E31" i="37" s="1"/>
  <c r="F31" i="37" s="1"/>
  <c r="D45" i="37"/>
  <c r="E45" i="37" s="1"/>
  <c r="F45" i="37" s="1"/>
  <c r="D84" i="37"/>
  <c r="D86" i="37" s="1"/>
  <c r="E86" i="37" s="1"/>
  <c r="F86" i="37" s="1"/>
  <c r="D4" i="33"/>
  <c r="D79" i="33" s="1"/>
  <c r="D16" i="33"/>
  <c r="E16" i="33" s="1"/>
  <c r="F16" i="33" s="1"/>
  <c r="D25" i="33"/>
  <c r="E25" i="33" s="1"/>
  <c r="F25" i="33" s="1"/>
  <c r="D32" i="33"/>
  <c r="E32" i="33" s="1"/>
  <c r="D40" i="33"/>
  <c r="E40" i="33" s="1"/>
  <c r="F40" i="33" s="1"/>
  <c r="D46" i="33"/>
  <c r="E46" i="33" s="1"/>
  <c r="F46" i="33" s="1"/>
  <c r="D51" i="33"/>
  <c r="E51" i="33" s="1"/>
  <c r="D60" i="33"/>
  <c r="D72" i="33"/>
  <c r="E72" i="33" s="1"/>
  <c r="D22" i="41"/>
  <c r="E22" i="41" s="1"/>
  <c r="F22" i="41" s="1"/>
  <c r="D44" i="41"/>
  <c r="E44" i="41" s="1"/>
  <c r="F44" i="41" s="1"/>
  <c r="D13" i="31"/>
  <c r="E13" i="31" s="1"/>
  <c r="D25" i="31"/>
  <c r="E25" i="31" s="1"/>
  <c r="D37" i="31"/>
  <c r="E37" i="31" s="1"/>
  <c r="D47" i="31"/>
  <c r="E47" i="31" s="1"/>
  <c r="D85" i="30"/>
  <c r="E85" i="30" s="1"/>
  <c r="F85" i="30" s="1"/>
  <c r="D87" i="30"/>
  <c r="E87" i="30" s="1"/>
  <c r="D83" i="30"/>
  <c r="E83" i="30" s="1"/>
  <c r="D73" i="30"/>
  <c r="E73" i="30" s="1"/>
  <c r="D61" i="30"/>
  <c r="D54" i="30"/>
  <c r="D50" i="30"/>
  <c r="D46" i="30"/>
  <c r="D40" i="30"/>
  <c r="D34" i="30"/>
  <c r="D28" i="30"/>
  <c r="D22" i="30"/>
  <c r="D16" i="30"/>
  <c r="D19" i="30"/>
  <c r="E19" i="30" s="1"/>
  <c r="F19" i="30" s="1"/>
  <c r="D26" i="30"/>
  <c r="E26" i="30" s="1"/>
  <c r="D43" i="30"/>
  <c r="E43" i="30" s="1"/>
  <c r="F43" i="30" s="1"/>
  <c r="D49" i="30"/>
  <c r="E49" i="30" s="1"/>
  <c r="D69" i="30"/>
  <c r="E69" i="30" s="1"/>
  <c r="D82" i="30"/>
  <c r="E82" i="30" s="1"/>
  <c r="F82" i="30" s="1"/>
  <c r="D23" i="29"/>
  <c r="E23" i="29" s="1"/>
  <c r="F23" i="29" s="1"/>
  <c r="D30" i="29"/>
  <c r="E30" i="29" s="1"/>
  <c r="D14" i="29"/>
  <c r="D24" i="29"/>
  <c r="E24" i="29" s="1"/>
  <c r="D25" i="29"/>
  <c r="D13" i="28"/>
  <c r="E13" i="28" s="1"/>
  <c r="F13" i="28" s="1"/>
  <c r="D28" i="28"/>
  <c r="E28" i="28" s="1"/>
  <c r="F28" i="28" s="1"/>
  <c r="D44" i="28"/>
  <c r="E44" i="28" s="1"/>
  <c r="D59" i="28"/>
  <c r="D13" i="26"/>
  <c r="E13" i="26" s="1"/>
  <c r="F13" i="26" s="1"/>
  <c r="D25" i="26"/>
  <c r="E25" i="26" s="1"/>
  <c r="F25" i="26" s="1"/>
  <c r="D13" i="25"/>
  <c r="E13" i="25" s="1"/>
  <c r="F13" i="25" s="1"/>
  <c r="D25" i="25"/>
  <c r="E25" i="25" s="1"/>
  <c r="F25" i="25" s="1"/>
  <c r="D37" i="25"/>
  <c r="E37" i="25" s="1"/>
  <c r="F37" i="25" s="1"/>
  <c r="D55" i="26"/>
  <c r="E55" i="26" s="1"/>
  <c r="F55" i="26" s="1"/>
  <c r="D56" i="26"/>
  <c r="E56" i="26" s="1"/>
  <c r="F56" i="26" s="1"/>
  <c r="D37" i="26"/>
  <c r="E37" i="26" s="1"/>
  <c r="D32" i="26"/>
  <c r="E32" i="26" s="1"/>
  <c r="D26" i="26"/>
  <c r="E26" i="26" s="1"/>
  <c r="D20" i="26"/>
  <c r="E20" i="26" s="1"/>
  <c r="D14" i="26"/>
  <c r="E14" i="26" s="1"/>
  <c r="D58" i="26"/>
  <c r="E58" i="26" s="1"/>
  <c r="F58" i="26" s="1"/>
  <c r="D47" i="26"/>
  <c r="E47" i="26" s="1"/>
  <c r="D38" i="26"/>
  <c r="D34" i="26"/>
  <c r="D28" i="26"/>
  <c r="D22" i="26"/>
  <c r="D16" i="26"/>
  <c r="D10" i="26"/>
  <c r="D60" i="25"/>
  <c r="E60" i="25" s="1"/>
  <c r="F60" i="25" s="1"/>
  <c r="D52" i="25"/>
  <c r="E52" i="25" s="1"/>
  <c r="D48" i="25"/>
  <c r="E48" i="25" s="1"/>
  <c r="D44" i="25"/>
  <c r="E44" i="25" s="1"/>
  <c r="D38" i="25"/>
  <c r="E38" i="25" s="1"/>
  <c r="D32" i="25"/>
  <c r="E32" i="25" s="1"/>
  <c r="D26" i="25"/>
  <c r="E26" i="25" s="1"/>
  <c r="D20" i="25"/>
  <c r="E20" i="25" s="1"/>
  <c r="D14" i="25"/>
  <c r="E14" i="25" s="1"/>
  <c r="D73" i="25"/>
  <c r="E73" i="25" s="1"/>
  <c r="D64" i="25"/>
  <c r="E64" i="25" s="1"/>
  <c r="D51" i="25"/>
  <c r="E51" i="25" s="1"/>
  <c r="F51" i="25" s="1"/>
  <c r="D68" i="25"/>
  <c r="E68" i="25" s="1"/>
  <c r="D56" i="25"/>
  <c r="D49" i="25"/>
  <c r="D45" i="25"/>
  <c r="D40" i="25"/>
  <c r="D34" i="25"/>
  <c r="D28" i="25"/>
  <c r="D22" i="25"/>
  <c r="D16" i="25"/>
  <c r="D10" i="25"/>
  <c r="E84" i="30"/>
  <c r="F84" i="30" s="1"/>
  <c r="D4" i="26"/>
  <c r="D19" i="26"/>
  <c r="E19" i="26" s="1"/>
  <c r="F19" i="26" s="1"/>
  <c r="D31" i="26"/>
  <c r="E31" i="26" s="1"/>
  <c r="F31" i="26" s="1"/>
  <c r="D43" i="26"/>
  <c r="E43" i="26" s="1"/>
  <c r="D4" i="25"/>
  <c r="D19" i="25"/>
  <c r="E19" i="25" s="1"/>
  <c r="F19" i="25" s="1"/>
  <c r="D31" i="25"/>
  <c r="E31" i="25" s="1"/>
  <c r="F31" i="25" s="1"/>
  <c r="D43" i="25"/>
  <c r="E43" i="25" s="1"/>
  <c r="F43" i="25" s="1"/>
  <c r="D13" i="24"/>
  <c r="E13" i="24" s="1"/>
  <c r="F13" i="24" s="1"/>
  <c r="D25" i="24"/>
  <c r="E25" i="24" s="1"/>
  <c r="F25" i="24" s="1"/>
  <c r="D36" i="24"/>
  <c r="E36" i="24" s="1"/>
  <c r="F36" i="24" s="1"/>
  <c r="D19" i="23"/>
  <c r="E19" i="23" s="1"/>
  <c r="D25" i="23"/>
  <c r="D4" i="21"/>
  <c r="D43" i="21" s="1"/>
  <c r="D16" i="21"/>
  <c r="E16" i="21" s="1"/>
  <c r="F16" i="21" s="1"/>
  <c r="D25" i="21"/>
  <c r="E25" i="21" s="1"/>
  <c r="F25" i="21" s="1"/>
  <c r="D30" i="21"/>
  <c r="E30" i="21" s="1"/>
  <c r="D13" i="17"/>
  <c r="E13" i="17" s="1"/>
  <c r="D20" i="17"/>
  <c r="D37" i="17"/>
  <c r="E37" i="17" s="1"/>
  <c r="D47" i="17"/>
  <c r="E47" i="17" s="1"/>
  <c r="D57" i="17"/>
  <c r="E57" i="17" s="1"/>
  <c r="F57" i="17" s="1"/>
  <c r="D14" i="15"/>
  <c r="E14" i="15" s="1"/>
  <c r="F14" i="15" s="1"/>
  <c r="D38" i="15"/>
  <c r="E38" i="15" s="1"/>
  <c r="F38" i="15" s="1"/>
  <c r="D19" i="14"/>
  <c r="E19" i="14" s="1"/>
  <c r="D26" i="14"/>
  <c r="D41" i="14"/>
  <c r="E41" i="14" s="1"/>
  <c r="D50" i="14"/>
  <c r="E50" i="14" s="1"/>
  <c r="D4" i="11"/>
  <c r="D59" i="11" s="1"/>
  <c r="D16" i="11"/>
  <c r="E16" i="11" s="1"/>
  <c r="F16" i="11" s="1"/>
  <c r="D25" i="11"/>
  <c r="E25" i="11" s="1"/>
  <c r="F25" i="11" s="1"/>
  <c r="D32" i="11"/>
  <c r="E32" i="11" s="1"/>
  <c r="D38" i="11"/>
  <c r="E38" i="11" s="1"/>
  <c r="F38" i="11" s="1"/>
  <c r="D47" i="11"/>
  <c r="E47" i="11" s="1"/>
  <c r="D5" i="91"/>
  <c r="E5" i="91" s="1"/>
  <c r="F5" i="91" s="1"/>
  <c r="D63" i="91"/>
  <c r="E63" i="91" s="1"/>
  <c r="F63" i="91" s="1"/>
  <c r="D13" i="93"/>
  <c r="E13" i="93" s="1"/>
  <c r="F13" i="93" s="1"/>
  <c r="D25" i="93"/>
  <c r="E25" i="93" s="1"/>
  <c r="F25" i="93" s="1"/>
  <c r="D44" i="93"/>
  <c r="E44" i="93" s="1"/>
  <c r="F44" i="93" s="1"/>
  <c r="D54" i="93"/>
  <c r="E54" i="93" s="1"/>
  <c r="D73" i="93"/>
  <c r="E73" i="93" s="1"/>
  <c r="F73" i="93" s="1"/>
  <c r="D14" i="94"/>
  <c r="E14" i="94" s="1"/>
  <c r="F26" i="94"/>
  <c r="D4" i="80"/>
  <c r="E4" i="80" s="1"/>
  <c r="D28" i="80"/>
  <c r="E28" i="80" s="1"/>
  <c r="D69" i="73"/>
  <c r="E69" i="73" s="1"/>
  <c r="F69" i="73" s="1"/>
  <c r="D59" i="73"/>
  <c r="E59" i="73" s="1"/>
  <c r="D19" i="94"/>
  <c r="E19" i="94" s="1"/>
  <c r="F19" i="94" s="1"/>
  <c r="D20" i="24"/>
  <c r="E20" i="24" s="1"/>
  <c r="D32" i="24"/>
  <c r="E32" i="24" s="1"/>
  <c r="D41" i="24"/>
  <c r="E41" i="24" s="1"/>
  <c r="E14" i="23"/>
  <c r="F14" i="23" s="1"/>
  <c r="D24" i="23"/>
  <c r="E24" i="23" s="1"/>
  <c r="D29" i="23"/>
  <c r="E29" i="23" s="1"/>
  <c r="D14" i="21"/>
  <c r="E14" i="21" s="1"/>
  <c r="D22" i="21"/>
  <c r="E22" i="21" s="1"/>
  <c r="F22" i="21" s="1"/>
  <c r="D29" i="21"/>
  <c r="E29" i="21" s="1"/>
  <c r="F29" i="21" s="1"/>
  <c r="D40" i="21"/>
  <c r="E40" i="21" s="1"/>
  <c r="D19" i="17"/>
  <c r="E19" i="17" s="1"/>
  <c r="D26" i="17"/>
  <c r="D44" i="17"/>
  <c r="E44" i="17" s="1"/>
  <c r="F44" i="17" s="1"/>
  <c r="D56" i="17"/>
  <c r="E56" i="17" s="1"/>
  <c r="D32" i="15"/>
  <c r="E32" i="15" s="1"/>
  <c r="F32" i="15" s="1"/>
  <c r="D53" i="15"/>
  <c r="D55" i="15" s="1"/>
  <c r="D25" i="14"/>
  <c r="E25" i="14" s="1"/>
  <c r="D32" i="14"/>
  <c r="D45" i="14"/>
  <c r="E45" i="14" s="1"/>
  <c r="D14" i="11"/>
  <c r="E14" i="11" s="1"/>
  <c r="D22" i="11"/>
  <c r="E22" i="11" s="1"/>
  <c r="F22" i="11" s="1"/>
  <c r="D31" i="11"/>
  <c r="E31" i="11" s="1"/>
  <c r="F31" i="11" s="1"/>
  <c r="D37" i="11"/>
  <c r="E37" i="11" s="1"/>
  <c r="D42" i="11"/>
  <c r="E42" i="11" s="1"/>
  <c r="F42" i="11" s="1"/>
  <c r="D57" i="11"/>
  <c r="E57" i="11" s="1"/>
  <c r="F57" i="11" s="1"/>
  <c r="D20" i="93"/>
  <c r="E20" i="93" s="1"/>
  <c r="F20" i="93" s="1"/>
  <c r="D32" i="93"/>
  <c r="E32" i="93" s="1"/>
  <c r="D43" i="93"/>
  <c r="E43" i="93" s="1"/>
  <c r="F43" i="93" s="1"/>
  <c r="D53" i="93"/>
  <c r="E53" i="93" s="1"/>
  <c r="F53" i="93" s="1"/>
  <c r="D68" i="93"/>
  <c r="E68" i="93" s="1"/>
  <c r="F68" i="93" s="1"/>
  <c r="D13" i="94"/>
  <c r="E13" i="94" s="1"/>
  <c r="F13" i="94" s="1"/>
  <c r="D20" i="94"/>
  <c r="E20" i="94" s="1"/>
  <c r="F20" i="94" s="1"/>
  <c r="D32" i="73"/>
  <c r="E32" i="73" s="1"/>
  <c r="F32" i="73" s="1"/>
  <c r="D14" i="73"/>
  <c r="E14" i="73" s="1"/>
  <c r="D29" i="75"/>
  <c r="E29" i="75" s="1"/>
  <c r="F29" i="75" s="1"/>
  <c r="D43" i="75"/>
  <c r="E43" i="75" s="1"/>
  <c r="D62" i="75"/>
  <c r="E62" i="75" s="1"/>
  <c r="D35" i="75"/>
  <c r="E35" i="75" s="1"/>
  <c r="F35" i="75" s="1"/>
  <c r="D16" i="77"/>
  <c r="E16" i="77" s="1"/>
  <c r="F16" i="77" s="1"/>
  <c r="D32" i="77"/>
  <c r="E32" i="77" s="1"/>
  <c r="D44" i="77"/>
  <c r="E44" i="77" s="1"/>
  <c r="F44" i="77" s="1"/>
  <c r="D62" i="77"/>
  <c r="E62" i="77" s="1"/>
  <c r="D66" i="77"/>
  <c r="E66" i="77" s="1"/>
  <c r="D25" i="77"/>
  <c r="E25" i="77" s="1"/>
  <c r="D40" i="77"/>
  <c r="E40" i="77" s="1"/>
  <c r="D14" i="72"/>
  <c r="E14" i="72" s="1"/>
  <c r="D26" i="72"/>
  <c r="E26" i="72" s="1"/>
  <c r="D37" i="72"/>
  <c r="E37" i="72" s="1"/>
  <c r="D26" i="73"/>
  <c r="E26" i="73" s="1"/>
  <c r="D44" i="73"/>
  <c r="E44" i="73" s="1"/>
  <c r="F44" i="73" s="1"/>
  <c r="D83" i="73"/>
  <c r="E83" i="73" s="1"/>
  <c r="D37" i="73"/>
  <c r="E37" i="73" s="1"/>
  <c r="F37" i="73" s="1"/>
  <c r="D19" i="75"/>
  <c r="E19" i="75" s="1"/>
  <c r="F19" i="75" s="1"/>
  <c r="D45" i="75"/>
  <c r="E45" i="75" s="1"/>
  <c r="D13" i="77"/>
  <c r="D22" i="77"/>
  <c r="E22" i="77" s="1"/>
  <c r="F22" i="77" s="1"/>
  <c r="D28" i="77"/>
  <c r="E28" i="77" s="1"/>
  <c r="D34" i="77"/>
  <c r="E34" i="77" s="1"/>
  <c r="F34" i="77" s="1"/>
  <c r="D46" i="77"/>
  <c r="E46" i="77" s="1"/>
  <c r="F46" i="77" s="1"/>
  <c r="D52" i="77"/>
  <c r="E52" i="77" s="1"/>
  <c r="D58" i="77"/>
  <c r="D60" i="77" s="1"/>
  <c r="D61" i="77" s="1"/>
  <c r="D67" i="77"/>
  <c r="E67" i="77" s="1"/>
  <c r="F67" i="77" s="1"/>
  <c r="D4" i="77"/>
  <c r="D71" i="77" s="1"/>
  <c r="D14" i="77"/>
  <c r="E14" i="77" s="1"/>
  <c r="D19" i="77"/>
  <c r="E19" i="77" s="1"/>
  <c r="D31" i="77"/>
  <c r="E31" i="77" s="1"/>
  <c r="D38" i="77"/>
  <c r="E38" i="77" s="1"/>
  <c r="F38" i="77" s="1"/>
  <c r="D49" i="77"/>
  <c r="E49" i="77" s="1"/>
  <c r="D20" i="78"/>
  <c r="E20" i="78" s="1"/>
  <c r="F46" i="78"/>
  <c r="D13" i="80"/>
  <c r="E13" i="80" s="1"/>
  <c r="D38" i="80"/>
  <c r="D40" i="80" s="1"/>
  <c r="D41" i="80" s="1"/>
  <c r="D35" i="80"/>
  <c r="E35" i="80" s="1"/>
  <c r="F35" i="80" s="1"/>
  <c r="D16" i="80"/>
  <c r="E16" i="80" s="1"/>
  <c r="D25" i="80"/>
  <c r="E25" i="80" s="1"/>
  <c r="D34" i="80"/>
  <c r="E34" i="80" s="1"/>
  <c r="F34" i="80" s="1"/>
  <c r="D25" i="71"/>
  <c r="E25" i="71" s="1"/>
  <c r="F25" i="71" s="1"/>
  <c r="D37" i="71"/>
  <c r="E37" i="71" s="1"/>
  <c r="D42" i="71"/>
  <c r="E42" i="71" s="1"/>
  <c r="F42" i="71" s="1"/>
  <c r="D13" i="73"/>
  <c r="E13" i="73" s="1"/>
  <c r="F13" i="73" s="1"/>
  <c r="D20" i="73"/>
  <c r="E20" i="73" s="1"/>
  <c r="F20" i="73" s="1"/>
  <c r="D31" i="73"/>
  <c r="E31" i="73" s="1"/>
  <c r="F31" i="73" s="1"/>
  <c r="D50" i="73"/>
  <c r="E50" i="73" s="1"/>
  <c r="D58" i="73"/>
  <c r="E58" i="73" s="1"/>
  <c r="F58" i="73" s="1"/>
  <c r="D73" i="73"/>
  <c r="D13" i="75"/>
  <c r="E13" i="75" s="1"/>
  <c r="D25" i="75"/>
  <c r="E25" i="75" s="1"/>
  <c r="D41" i="75"/>
  <c r="E41" i="75" s="1"/>
  <c r="F41" i="75" s="1"/>
  <c r="D53" i="75"/>
  <c r="D55" i="75" s="1"/>
  <c r="E55" i="75" s="1"/>
  <c r="D64" i="75"/>
  <c r="E64" i="75" s="1"/>
  <c r="D26" i="78"/>
  <c r="E26" i="78" s="1"/>
  <c r="F26" i="78" s="1"/>
  <c r="D38" i="78"/>
  <c r="E38" i="78" s="1"/>
  <c r="D48" i="78"/>
  <c r="D58" i="78"/>
  <c r="D60" i="78" s="1"/>
  <c r="D61" i="78" s="1"/>
  <c r="D10" i="79"/>
  <c r="D19" i="79"/>
  <c r="E19" i="79" s="1"/>
  <c r="F19" i="79" s="1"/>
  <c r="D31" i="79"/>
  <c r="E31" i="79" s="1"/>
  <c r="F31" i="79" s="1"/>
  <c r="D10" i="80"/>
  <c r="E10" i="80" s="1"/>
  <c r="F10" i="80" s="1"/>
  <c r="D22" i="80"/>
  <c r="E22" i="80" s="1"/>
  <c r="F22" i="80" s="1"/>
  <c r="D26" i="80"/>
  <c r="E26" i="80" s="1"/>
  <c r="D32" i="80"/>
  <c r="E32" i="80" s="1"/>
  <c r="D36" i="80"/>
  <c r="E36" i="80" s="1"/>
  <c r="D82" i="73"/>
  <c r="E82" i="73" s="1"/>
  <c r="D19" i="73"/>
  <c r="E19" i="73" s="1"/>
  <c r="F19" i="73" s="1"/>
  <c r="D38" i="73"/>
  <c r="E38" i="73" s="1"/>
  <c r="D49" i="73"/>
  <c r="E49" i="73" s="1"/>
  <c r="F49" i="73" s="1"/>
  <c r="D55" i="73"/>
  <c r="E55" i="73" s="1"/>
  <c r="F55" i="73" s="1"/>
  <c r="D63" i="75"/>
  <c r="E63" i="75" s="1"/>
  <c r="F63" i="75" s="1"/>
  <c r="D22" i="75"/>
  <c r="E22" i="75" s="1"/>
  <c r="D39" i="75"/>
  <c r="E39" i="75" s="1"/>
  <c r="F39" i="75" s="1"/>
  <c r="D48" i="75"/>
  <c r="E48" i="75" s="1"/>
  <c r="F48" i="75" s="1"/>
  <c r="D10" i="78"/>
  <c r="E10" i="78" s="1"/>
  <c r="D16" i="78"/>
  <c r="D25" i="78"/>
  <c r="E25" i="78" s="1"/>
  <c r="F25" i="78" s="1"/>
  <c r="D31" i="78"/>
  <c r="D37" i="78"/>
  <c r="E37" i="78" s="1"/>
  <c r="F37" i="78" s="1"/>
  <c r="D43" i="78"/>
  <c r="E43" i="78" s="1"/>
  <c r="D47" i="78"/>
  <c r="E47" i="78" s="1"/>
  <c r="F47" i="78" s="1"/>
  <c r="D5" i="79"/>
  <c r="E5" i="79" s="1"/>
  <c r="F5" i="79" s="1"/>
  <c r="D16" i="79"/>
  <c r="E16" i="79" s="1"/>
  <c r="F16" i="79" s="1"/>
  <c r="E81" i="74"/>
  <c r="F81" i="74" s="1"/>
  <c r="D5" i="74"/>
  <c r="D17" i="74"/>
  <c r="D29" i="74"/>
  <c r="D41" i="74"/>
  <c r="D51" i="74"/>
  <c r="D59" i="74"/>
  <c r="D80" i="74"/>
  <c r="D85" i="74"/>
  <c r="D19" i="74"/>
  <c r="D31" i="74"/>
  <c r="D43" i="74"/>
  <c r="D52" i="74"/>
  <c r="D71" i="74"/>
  <c r="E22" i="71"/>
  <c r="F22" i="71" s="1"/>
  <c r="D87" i="74"/>
  <c r="D83" i="74"/>
  <c r="D79" i="74"/>
  <c r="D63" i="74"/>
  <c r="D58" i="74"/>
  <c r="D54" i="74"/>
  <c r="D50" i="74"/>
  <c r="D46" i="74"/>
  <c r="D40" i="74"/>
  <c r="D34" i="74"/>
  <c r="D28" i="74"/>
  <c r="D22" i="74"/>
  <c r="D16" i="74"/>
  <c r="D10" i="74"/>
  <c r="D4" i="74"/>
  <c r="D84" i="74"/>
  <c r="D86" i="74"/>
  <c r="D82" i="74"/>
  <c r="D67" i="74"/>
  <c r="D57" i="74"/>
  <c r="D53" i="74"/>
  <c r="D49" i="74"/>
  <c r="D44" i="74"/>
  <c r="D38" i="74"/>
  <c r="D32" i="74"/>
  <c r="D26" i="74"/>
  <c r="D20" i="74"/>
  <c r="D14" i="74"/>
  <c r="D11" i="74"/>
  <c r="D23" i="74"/>
  <c r="D35" i="74"/>
  <c r="D47" i="74"/>
  <c r="D55" i="74"/>
  <c r="D75" i="74"/>
  <c r="D13" i="74"/>
  <c r="D25" i="74"/>
  <c r="D37" i="74"/>
  <c r="D48" i="74"/>
  <c r="D56" i="74"/>
  <c r="D5" i="71"/>
  <c r="D11" i="71"/>
  <c r="D17" i="71"/>
  <c r="D23" i="71"/>
  <c r="D29" i="71"/>
  <c r="D35" i="71"/>
  <c r="D39" i="71"/>
  <c r="D43" i="71"/>
  <c r="D48" i="71"/>
  <c r="D61" i="71"/>
  <c r="E54" i="73"/>
  <c r="F54" i="73" s="1"/>
  <c r="E14" i="75"/>
  <c r="F14" i="75" s="1"/>
  <c r="E41" i="72"/>
  <c r="F41" i="72" s="1"/>
  <c r="E57" i="75"/>
  <c r="F57" i="75" s="1"/>
  <c r="D59" i="75"/>
  <c r="D60" i="75" s="1"/>
  <c r="E60" i="76"/>
  <c r="F60" i="76" s="1"/>
  <c r="E60" i="71"/>
  <c r="F60" i="71" s="1"/>
  <c r="D4" i="72"/>
  <c r="D10" i="72"/>
  <c r="D16" i="72"/>
  <c r="D22" i="72"/>
  <c r="D28" i="72"/>
  <c r="D34" i="72"/>
  <c r="D38" i="72"/>
  <c r="D42" i="72"/>
  <c r="D52" i="72"/>
  <c r="D68" i="72"/>
  <c r="D4" i="73"/>
  <c r="D10" i="73"/>
  <c r="D16" i="73"/>
  <c r="D22" i="73"/>
  <c r="D28" i="73"/>
  <c r="D34" i="73"/>
  <c r="D40" i="73"/>
  <c r="D46" i="73"/>
  <c r="D52" i="73"/>
  <c r="D56" i="73"/>
  <c r="D60" i="73"/>
  <c r="D65" i="73"/>
  <c r="D81" i="73"/>
  <c r="D85" i="73"/>
  <c r="D4" i="75"/>
  <c r="D10" i="75"/>
  <c r="D16" i="75"/>
  <c r="D23" i="75"/>
  <c r="D34" i="75"/>
  <c r="D37" i="75"/>
  <c r="D44" i="75"/>
  <c r="D10" i="76"/>
  <c r="D45" i="76"/>
  <c r="D57" i="76"/>
  <c r="D41" i="76"/>
  <c r="D36" i="76"/>
  <c r="D32" i="76"/>
  <c r="D26" i="76"/>
  <c r="D20" i="76"/>
  <c r="D14" i="76"/>
  <c r="D31" i="76"/>
  <c r="D28" i="76"/>
  <c r="D17" i="76"/>
  <c r="D4" i="76"/>
  <c r="D25" i="76"/>
  <c r="D34" i="76"/>
  <c r="D49" i="76"/>
  <c r="D58" i="76"/>
  <c r="E13" i="79"/>
  <c r="F13" i="79" s="1"/>
  <c r="D11" i="76"/>
  <c r="D19" i="76"/>
  <c r="D22" i="76"/>
  <c r="D29" i="76"/>
  <c r="D35" i="76"/>
  <c r="D37" i="76"/>
  <c r="D53" i="76"/>
  <c r="D5" i="72"/>
  <c r="D11" i="72"/>
  <c r="D17" i="72"/>
  <c r="D23" i="72"/>
  <c r="D29" i="72"/>
  <c r="D35" i="72"/>
  <c r="D39" i="72"/>
  <c r="D43" i="72"/>
  <c r="D48" i="72"/>
  <c r="D64" i="72"/>
  <c r="D5" i="73"/>
  <c r="D11" i="73"/>
  <c r="D17" i="73"/>
  <c r="D23" i="73"/>
  <c r="D29" i="73"/>
  <c r="D35" i="73"/>
  <c r="D41" i="73"/>
  <c r="D47" i="73"/>
  <c r="D53" i="73"/>
  <c r="D57" i="73"/>
  <c r="D61" i="73"/>
  <c r="D77" i="73"/>
  <c r="D65" i="75"/>
  <c r="D61" i="75"/>
  <c r="D46" i="75"/>
  <c r="D42" i="75"/>
  <c r="D38" i="75"/>
  <c r="D32" i="75"/>
  <c r="D26" i="75"/>
  <c r="D20" i="75"/>
  <c r="D5" i="75"/>
  <c r="D11" i="75"/>
  <c r="D17" i="75"/>
  <c r="D28" i="75"/>
  <c r="D31" i="75"/>
  <c r="D40" i="75"/>
  <c r="D47" i="75"/>
  <c r="D49" i="75"/>
  <c r="D5" i="76"/>
  <c r="D13" i="76"/>
  <c r="D16" i="76"/>
  <c r="D23" i="76"/>
  <c r="D33" i="76"/>
  <c r="E50" i="77"/>
  <c r="F50" i="77" s="1"/>
  <c r="F34" i="78"/>
  <c r="D5" i="77"/>
  <c r="D11" i="77"/>
  <c r="D17" i="77"/>
  <c r="D23" i="77"/>
  <c r="D29" i="77"/>
  <c r="D35" i="77"/>
  <c r="D41" i="77"/>
  <c r="D47" i="77"/>
  <c r="D51" i="77"/>
  <c r="D64" i="78"/>
  <c r="D54" i="78"/>
  <c r="D49" i="78"/>
  <c r="D45" i="78"/>
  <c r="D41" i="78"/>
  <c r="D35" i="78"/>
  <c r="D29" i="78"/>
  <c r="D23" i="78"/>
  <c r="D17" i="78"/>
  <c r="D11" i="78"/>
  <c r="D5" i="78"/>
  <c r="D19" i="78"/>
  <c r="D22" i="78"/>
  <c r="D32" i="78"/>
  <c r="D42" i="78"/>
  <c r="D44" i="78"/>
  <c r="D63" i="78"/>
  <c r="D4" i="79"/>
  <c r="D17" i="79"/>
  <c r="D25" i="79"/>
  <c r="D20" i="79"/>
  <c r="D14" i="79"/>
  <c r="D11" i="79"/>
  <c r="D22" i="79"/>
  <c r="D24" i="79"/>
  <c r="D32" i="79"/>
  <c r="D5" i="80"/>
  <c r="D11" i="80"/>
  <c r="D17" i="80"/>
  <c r="D23" i="80"/>
  <c r="D29" i="80"/>
  <c r="E32" i="92"/>
  <c r="F32" i="92" s="1"/>
  <c r="D13" i="95"/>
  <c r="D19" i="95"/>
  <c r="D25" i="95"/>
  <c r="D31" i="95"/>
  <c r="D37" i="95"/>
  <c r="D44" i="95"/>
  <c r="D51" i="95"/>
  <c r="D69" i="91"/>
  <c r="D65" i="91"/>
  <c r="D55" i="91"/>
  <c r="D50" i="91"/>
  <c r="D46" i="91"/>
  <c r="D41" i="91"/>
  <c r="D68" i="91"/>
  <c r="D66" i="91"/>
  <c r="D49" i="91"/>
  <c r="D47" i="91"/>
  <c r="D37" i="91"/>
  <c r="D31" i="91"/>
  <c r="D25" i="91"/>
  <c r="D19" i="91"/>
  <c r="D13" i="91"/>
  <c r="D64" i="91"/>
  <c r="D45" i="91"/>
  <c r="D43" i="91"/>
  <c r="D38" i="91"/>
  <c r="D32" i="91"/>
  <c r="D26" i="91"/>
  <c r="D20" i="91"/>
  <c r="D14" i="91"/>
  <c r="D67" i="91"/>
  <c r="D59" i="91"/>
  <c r="D48" i="91"/>
  <c r="D40" i="91"/>
  <c r="D34" i="91"/>
  <c r="D28" i="91"/>
  <c r="D22" i="91"/>
  <c r="D16" i="91"/>
  <c r="D10" i="91"/>
  <c r="D4" i="91"/>
  <c r="D11" i="91"/>
  <c r="D35" i="91"/>
  <c r="D44" i="91"/>
  <c r="D51" i="91"/>
  <c r="D11" i="92"/>
  <c r="D22" i="92"/>
  <c r="E64" i="93"/>
  <c r="F64" i="93" s="1"/>
  <c r="D60" i="95"/>
  <c r="D50" i="95"/>
  <c r="D46" i="95"/>
  <c r="D41" i="95"/>
  <c r="D5" i="95"/>
  <c r="D17" i="95"/>
  <c r="D23" i="95"/>
  <c r="D29" i="95"/>
  <c r="D35" i="95"/>
  <c r="D40" i="95"/>
  <c r="D48" i="95"/>
  <c r="D56" i="95"/>
  <c r="D68" i="95"/>
  <c r="D7" i="91"/>
  <c r="D8" i="91" s="1"/>
  <c r="E29" i="91"/>
  <c r="F29" i="91" s="1"/>
  <c r="D75" i="92"/>
  <c r="D60" i="92"/>
  <c r="D55" i="92"/>
  <c r="D51" i="92"/>
  <c r="D72" i="92"/>
  <c r="D56" i="92"/>
  <c r="D52" i="92"/>
  <c r="D47" i="92"/>
  <c r="D64" i="92"/>
  <c r="D54" i="92"/>
  <c r="D43" i="92"/>
  <c r="D37" i="92"/>
  <c r="D31" i="92"/>
  <c r="D25" i="92"/>
  <c r="D19" i="92"/>
  <c r="D13" i="92"/>
  <c r="D53" i="92"/>
  <c r="D50" i="92"/>
  <c r="D46" i="92"/>
  <c r="D40" i="92"/>
  <c r="D29" i="92"/>
  <c r="D26" i="92"/>
  <c r="D16" i="92"/>
  <c r="D5" i="92"/>
  <c r="D49" i="92"/>
  <c r="D44" i="92"/>
  <c r="D34" i="92"/>
  <c r="D23" i="92"/>
  <c r="D20" i="92"/>
  <c r="D10" i="92"/>
  <c r="D73" i="92"/>
  <c r="D41" i="92"/>
  <c r="D38" i="92"/>
  <c r="D28" i="92"/>
  <c r="D17" i="92"/>
  <c r="D14" i="92"/>
  <c r="D4" i="92"/>
  <c r="D35" i="92"/>
  <c r="E38" i="93"/>
  <c r="F38" i="93" s="1"/>
  <c r="D4" i="95"/>
  <c r="D10" i="95"/>
  <c r="D16" i="95"/>
  <c r="D22" i="95"/>
  <c r="D28" i="95"/>
  <c r="D34" i="95"/>
  <c r="D43" i="95"/>
  <c r="D45" i="95"/>
  <c r="D52" i="95"/>
  <c r="D64" i="95"/>
  <c r="E23" i="91"/>
  <c r="F23" i="91" s="1"/>
  <c r="D68" i="92"/>
  <c r="D14" i="95"/>
  <c r="D20" i="95"/>
  <c r="D26" i="95"/>
  <c r="D32" i="95"/>
  <c r="D38" i="95"/>
  <c r="D47" i="95"/>
  <c r="D49" i="95"/>
  <c r="D69" i="95"/>
  <c r="F75" i="93"/>
  <c r="E31" i="93"/>
  <c r="F31" i="93" s="1"/>
  <c r="D5" i="93"/>
  <c r="D11" i="93"/>
  <c r="D17" i="93"/>
  <c r="D23" i="93"/>
  <c r="D29" i="93"/>
  <c r="D35" i="93"/>
  <c r="D41" i="93"/>
  <c r="D47" i="93"/>
  <c r="D52" i="93"/>
  <c r="D56" i="93"/>
  <c r="D72" i="93"/>
  <c r="D5" i="94"/>
  <c r="D11" i="94"/>
  <c r="D17" i="94"/>
  <c r="D22" i="94"/>
  <c r="D27" i="94"/>
  <c r="D4" i="93"/>
  <c r="D10" i="93"/>
  <c r="D16" i="93"/>
  <c r="D22" i="93"/>
  <c r="D28" i="93"/>
  <c r="D34" i="93"/>
  <c r="D40" i="93"/>
  <c r="D46" i="93"/>
  <c r="D51" i="93"/>
  <c r="D55" i="93"/>
  <c r="D60" i="93"/>
  <c r="D4" i="94"/>
  <c r="D10" i="94"/>
  <c r="D16" i="94"/>
  <c r="D21" i="94"/>
  <c r="E53" i="9"/>
  <c r="F53" i="9" s="1"/>
  <c r="D14" i="9"/>
  <c r="D20" i="9"/>
  <c r="D26" i="9"/>
  <c r="D32" i="9"/>
  <c r="D37" i="9"/>
  <c r="D52" i="9"/>
  <c r="D13" i="9"/>
  <c r="D19" i="9"/>
  <c r="D25" i="9"/>
  <c r="D31" i="9"/>
  <c r="D36" i="9"/>
  <c r="D40" i="9"/>
  <c r="D55" i="9"/>
  <c r="D5" i="9"/>
  <c r="D11" i="9"/>
  <c r="D17" i="9"/>
  <c r="D23" i="9"/>
  <c r="D29" i="9"/>
  <c r="D35" i="9"/>
  <c r="D39" i="9"/>
  <c r="D44" i="9"/>
  <c r="D4" i="9"/>
  <c r="D10" i="9"/>
  <c r="D16" i="9"/>
  <c r="D22" i="9"/>
  <c r="D28" i="9"/>
  <c r="D34" i="9"/>
  <c r="D38" i="9"/>
  <c r="D48" i="9"/>
  <c r="E74" i="10"/>
  <c r="F74" i="10" s="1"/>
  <c r="D14" i="10"/>
  <c r="D20" i="10"/>
  <c r="D26" i="10"/>
  <c r="D32" i="10"/>
  <c r="D38" i="10"/>
  <c r="D44" i="10"/>
  <c r="D48" i="10"/>
  <c r="D52" i="10"/>
  <c r="D68" i="10"/>
  <c r="D73" i="10"/>
  <c r="D13" i="10"/>
  <c r="D19" i="10"/>
  <c r="D25" i="10"/>
  <c r="D31" i="10"/>
  <c r="D37" i="10"/>
  <c r="D43" i="10"/>
  <c r="D47" i="10"/>
  <c r="D51" i="10"/>
  <c r="D56" i="10"/>
  <c r="D72" i="10"/>
  <c r="D76" i="10"/>
  <c r="D5" i="10"/>
  <c r="D11" i="10"/>
  <c r="D17" i="10"/>
  <c r="D23" i="10"/>
  <c r="D29" i="10"/>
  <c r="D35" i="10"/>
  <c r="D41" i="10"/>
  <c r="D46" i="10"/>
  <c r="D50" i="10"/>
  <c r="D60" i="10"/>
  <c r="D4" i="10"/>
  <c r="D10" i="10"/>
  <c r="D16" i="10"/>
  <c r="D22" i="10"/>
  <c r="D28" i="10"/>
  <c r="D34" i="10"/>
  <c r="D40" i="10"/>
  <c r="D45" i="10"/>
  <c r="D49" i="10"/>
  <c r="D64" i="10"/>
  <c r="D45" i="11"/>
  <c r="D46" i="11" s="1"/>
  <c r="E43" i="11"/>
  <c r="F43" i="11" s="1"/>
  <c r="D5" i="11"/>
  <c r="D11" i="11"/>
  <c r="D17" i="11"/>
  <c r="D23" i="11"/>
  <c r="D29" i="11"/>
  <c r="D35" i="11"/>
  <c r="D39" i="11"/>
  <c r="E93" i="12"/>
  <c r="F93" i="12" s="1"/>
  <c r="D14" i="12"/>
  <c r="D20" i="12"/>
  <c r="D26" i="12"/>
  <c r="D32" i="12"/>
  <c r="D38" i="12"/>
  <c r="D44" i="12"/>
  <c r="D50" i="12"/>
  <c r="D55" i="12"/>
  <c r="D59" i="12"/>
  <c r="D63" i="12"/>
  <c r="D67" i="12"/>
  <c r="D72" i="12"/>
  <c r="D88" i="12"/>
  <c r="D92" i="12"/>
  <c r="D13" i="12"/>
  <c r="D19" i="12"/>
  <c r="D25" i="12"/>
  <c r="D31" i="12"/>
  <c r="D37" i="12"/>
  <c r="D43" i="12"/>
  <c r="D49" i="12"/>
  <c r="D54" i="12"/>
  <c r="D58" i="12"/>
  <c r="D62" i="12"/>
  <c r="D66" i="12"/>
  <c r="D76" i="12"/>
  <c r="D91" i="12"/>
  <c r="D95" i="12"/>
  <c r="D5" i="12"/>
  <c r="D11" i="12"/>
  <c r="D17" i="12"/>
  <c r="D23" i="12"/>
  <c r="D29" i="12"/>
  <c r="D35" i="12"/>
  <c r="D41" i="12"/>
  <c r="D47" i="12"/>
  <c r="D53" i="12"/>
  <c r="D57" i="12"/>
  <c r="D61" i="12"/>
  <c r="D65" i="12"/>
  <c r="D80" i="12"/>
  <c r="D90" i="12"/>
  <c r="D4" i="12"/>
  <c r="D10" i="12"/>
  <c r="D16" i="12"/>
  <c r="D22" i="12"/>
  <c r="D28" i="12"/>
  <c r="D34" i="12"/>
  <c r="D40" i="12"/>
  <c r="D46" i="12"/>
  <c r="D52" i="12"/>
  <c r="D56" i="12"/>
  <c r="D60" i="12"/>
  <c r="D64" i="12"/>
  <c r="D68" i="12"/>
  <c r="D84" i="12"/>
  <c r="D89" i="12"/>
  <c r="E69" i="13"/>
  <c r="F69" i="13" s="1"/>
  <c r="D14" i="13"/>
  <c r="D20" i="13"/>
  <c r="D26" i="13"/>
  <c r="D32" i="13"/>
  <c r="D38" i="13"/>
  <c r="D44" i="13"/>
  <c r="D49" i="13"/>
  <c r="D53" i="13"/>
  <c r="D68" i="13"/>
  <c r="D13" i="13"/>
  <c r="D19" i="13"/>
  <c r="D25" i="13"/>
  <c r="D31" i="13"/>
  <c r="D37" i="13"/>
  <c r="D43" i="13"/>
  <c r="D48" i="13"/>
  <c r="D52" i="13"/>
  <c r="D56" i="13"/>
  <c r="D5" i="13"/>
  <c r="D11" i="13"/>
  <c r="D17" i="13"/>
  <c r="D23" i="13"/>
  <c r="D29" i="13"/>
  <c r="D35" i="13"/>
  <c r="D41" i="13"/>
  <c r="D47" i="13"/>
  <c r="D51" i="13"/>
  <c r="D55" i="13"/>
  <c r="D60" i="13"/>
  <c r="D70" i="13"/>
  <c r="D4" i="13"/>
  <c r="D10" i="13"/>
  <c r="D16" i="13"/>
  <c r="D22" i="13"/>
  <c r="D28" i="13"/>
  <c r="D34" i="13"/>
  <c r="D40" i="13"/>
  <c r="D46" i="13"/>
  <c r="D50" i="13"/>
  <c r="D54" i="13"/>
  <c r="D64" i="13"/>
  <c r="E49" i="14"/>
  <c r="F49" i="14" s="1"/>
  <c r="D4" i="14"/>
  <c r="D10" i="14"/>
  <c r="D16" i="14"/>
  <c r="D22" i="14"/>
  <c r="D28" i="14"/>
  <c r="D34" i="14"/>
  <c r="D39" i="14"/>
  <c r="F41" i="14"/>
  <c r="D43" i="14"/>
  <c r="D5" i="14"/>
  <c r="D11" i="14"/>
  <c r="D17" i="14"/>
  <c r="D23" i="14"/>
  <c r="D29" i="14"/>
  <c r="D35" i="14"/>
  <c r="D40" i="14"/>
  <c r="D44" i="14"/>
  <c r="E61" i="15"/>
  <c r="F61" i="15" s="1"/>
  <c r="D4" i="15"/>
  <c r="D10" i="15"/>
  <c r="D16" i="15"/>
  <c r="D22" i="15"/>
  <c r="D28" i="15"/>
  <c r="D34" i="15"/>
  <c r="D40" i="15"/>
  <c r="D45" i="15"/>
  <c r="D49" i="15"/>
  <c r="D13" i="15"/>
  <c r="D19" i="15"/>
  <c r="E20" i="15"/>
  <c r="F20" i="15" s="1"/>
  <c r="D25" i="15"/>
  <c r="D31" i="15"/>
  <c r="D37" i="15"/>
  <c r="D43" i="15"/>
  <c r="D47" i="15"/>
  <c r="D57" i="15"/>
  <c r="D62" i="15"/>
  <c r="D5" i="15"/>
  <c r="D11" i="15"/>
  <c r="D17" i="15"/>
  <c r="D23" i="15"/>
  <c r="D29" i="15"/>
  <c r="D35" i="15"/>
  <c r="D41" i="15"/>
  <c r="D46" i="15"/>
  <c r="E48" i="16"/>
  <c r="F48" i="16" s="1"/>
  <c r="D4" i="16"/>
  <c r="D10" i="16"/>
  <c r="D16" i="16"/>
  <c r="D22" i="16"/>
  <c r="D28" i="16"/>
  <c r="D32" i="16"/>
  <c r="D47" i="16"/>
  <c r="D14" i="16"/>
  <c r="D20" i="16"/>
  <c r="D26" i="16"/>
  <c r="D31" i="16"/>
  <c r="D35" i="16"/>
  <c r="D50" i="16"/>
  <c r="D13" i="16"/>
  <c r="D19" i="16"/>
  <c r="D25" i="16"/>
  <c r="D30" i="16"/>
  <c r="D34" i="16"/>
  <c r="D39" i="16"/>
  <c r="D5" i="16"/>
  <c r="D11" i="16"/>
  <c r="D17" i="16"/>
  <c r="D23" i="16"/>
  <c r="D29" i="16"/>
  <c r="D33" i="16"/>
  <c r="D43" i="16"/>
  <c r="D4" i="17"/>
  <c r="D10" i="17"/>
  <c r="D16" i="17"/>
  <c r="D22" i="17"/>
  <c r="F25" i="17"/>
  <c r="D28" i="17"/>
  <c r="D34" i="17"/>
  <c r="D40" i="17"/>
  <c r="D45" i="17"/>
  <c r="D49" i="17"/>
  <c r="D54" i="17"/>
  <c r="D58" i="17"/>
  <c r="D5" i="17"/>
  <c r="D17" i="17"/>
  <c r="D23" i="17"/>
  <c r="D29" i="17"/>
  <c r="D35" i="17"/>
  <c r="D41" i="17"/>
  <c r="D46" i="17"/>
  <c r="D55" i="17"/>
  <c r="E39" i="18"/>
  <c r="F39" i="18" s="1"/>
  <c r="D13" i="18"/>
  <c r="D19" i="18"/>
  <c r="D24" i="18"/>
  <c r="D28" i="18"/>
  <c r="D5" i="18"/>
  <c r="D11" i="18"/>
  <c r="D17" i="18"/>
  <c r="D23" i="18"/>
  <c r="D27" i="18"/>
  <c r="D31" i="18"/>
  <c r="D41" i="18"/>
  <c r="D4" i="18"/>
  <c r="D10" i="18"/>
  <c r="D16" i="18"/>
  <c r="D22" i="18"/>
  <c r="D26" i="18"/>
  <c r="D30" i="18"/>
  <c r="D35" i="18"/>
  <c r="D14" i="18"/>
  <c r="D20" i="18"/>
  <c r="D25" i="18"/>
  <c r="D29" i="18"/>
  <c r="E33" i="19"/>
  <c r="F33" i="19" s="1"/>
  <c r="D14" i="19"/>
  <c r="D20" i="19"/>
  <c r="D26" i="19"/>
  <c r="D32" i="19"/>
  <c r="D13" i="19"/>
  <c r="D19" i="19"/>
  <c r="D25" i="19"/>
  <c r="D31" i="19"/>
  <c r="D35" i="19"/>
  <c r="D40" i="19"/>
  <c r="D5" i="19"/>
  <c r="D11" i="19"/>
  <c r="D17" i="19"/>
  <c r="D23" i="19"/>
  <c r="D29" i="19"/>
  <c r="D34" i="19"/>
  <c r="D4" i="19"/>
  <c r="D10" i="19"/>
  <c r="D16" i="19"/>
  <c r="D22" i="19"/>
  <c r="D28" i="19"/>
  <c r="E27" i="20"/>
  <c r="F27" i="20" s="1"/>
  <c r="D14" i="20"/>
  <c r="D20" i="20"/>
  <c r="D26" i="20"/>
  <c r="D13" i="20"/>
  <c r="D19" i="20"/>
  <c r="D25" i="20"/>
  <c r="D29" i="20"/>
  <c r="D34" i="20"/>
  <c r="D5" i="20"/>
  <c r="D17" i="20"/>
  <c r="D23" i="20"/>
  <c r="D28" i="20"/>
  <c r="D4" i="20"/>
  <c r="D10" i="20"/>
  <c r="D16" i="20"/>
  <c r="D22" i="20"/>
  <c r="D34" i="21"/>
  <c r="D35" i="21" s="1"/>
  <c r="E32" i="21"/>
  <c r="F32" i="21" s="1"/>
  <c r="D5" i="21"/>
  <c r="D11" i="21"/>
  <c r="D17" i="21"/>
  <c r="D23" i="21"/>
  <c r="D28" i="21"/>
  <c r="E73" i="22"/>
  <c r="F73" i="22" s="1"/>
  <c r="D13" i="22"/>
  <c r="D19" i="22"/>
  <c r="D25" i="22"/>
  <c r="D31" i="22"/>
  <c r="D37" i="22"/>
  <c r="D43" i="22"/>
  <c r="D48" i="22"/>
  <c r="D52" i="22"/>
  <c r="D67" i="22"/>
  <c r="D72" i="22"/>
  <c r="D5" i="22"/>
  <c r="D17" i="22"/>
  <c r="D23" i="22"/>
  <c r="D29" i="22"/>
  <c r="D35" i="22"/>
  <c r="D41" i="22"/>
  <c r="D47" i="22"/>
  <c r="D51" i="22"/>
  <c r="D55" i="22"/>
  <c r="D71" i="22"/>
  <c r="D75" i="22"/>
  <c r="D4" i="22"/>
  <c r="D10" i="22"/>
  <c r="D16" i="22"/>
  <c r="D22" i="22"/>
  <c r="D28" i="22"/>
  <c r="D34" i="22"/>
  <c r="D40" i="22"/>
  <c r="D46" i="22"/>
  <c r="D50" i="22"/>
  <c r="D54" i="22"/>
  <c r="D59" i="22"/>
  <c r="D14" i="22"/>
  <c r="D20" i="22"/>
  <c r="D26" i="22"/>
  <c r="D32" i="22"/>
  <c r="D38" i="22"/>
  <c r="D44" i="22"/>
  <c r="D49" i="22"/>
  <c r="D53" i="22"/>
  <c r="D63" i="22"/>
  <c r="E27" i="23"/>
  <c r="F27" i="23" s="1"/>
  <c r="D4" i="23"/>
  <c r="D10" i="23"/>
  <c r="D16" i="23"/>
  <c r="D22" i="23"/>
  <c r="D26" i="23"/>
  <c r="D5" i="23"/>
  <c r="D11" i="23"/>
  <c r="D17" i="23"/>
  <c r="D23" i="23"/>
  <c r="E52" i="24"/>
  <c r="F52" i="24" s="1"/>
  <c r="D5" i="24"/>
  <c r="D11" i="24"/>
  <c r="D17" i="24"/>
  <c r="D23" i="24"/>
  <c r="F26" i="24"/>
  <c r="D29" i="24"/>
  <c r="D35" i="24"/>
  <c r="D39" i="24"/>
  <c r="D43" i="24"/>
  <c r="D4" i="24"/>
  <c r="D10" i="24"/>
  <c r="D16" i="24"/>
  <c r="D22" i="24"/>
  <c r="D28" i="24"/>
  <c r="D34" i="24"/>
  <c r="D38" i="24"/>
  <c r="D42" i="24"/>
  <c r="D47" i="24"/>
  <c r="D5" i="25"/>
  <c r="D11" i="25"/>
  <c r="D17" i="25"/>
  <c r="D23" i="25"/>
  <c r="D29" i="25"/>
  <c r="D35" i="25"/>
  <c r="D41" i="25"/>
  <c r="D46" i="25"/>
  <c r="D50" i="25"/>
  <c r="D5" i="26"/>
  <c r="D11" i="26"/>
  <c r="D17" i="26"/>
  <c r="D23" i="26"/>
  <c r="D29" i="26"/>
  <c r="D35" i="26"/>
  <c r="D39" i="26"/>
  <c r="E51" i="27"/>
  <c r="F51" i="27" s="1"/>
  <c r="D13" i="27"/>
  <c r="D19" i="27"/>
  <c r="D25" i="27"/>
  <c r="D31" i="27"/>
  <c r="D36" i="27"/>
  <c r="D40" i="27"/>
  <c r="D50" i="27"/>
  <c r="D5" i="27"/>
  <c r="D11" i="27"/>
  <c r="D17" i="27"/>
  <c r="D23" i="27"/>
  <c r="D29" i="27"/>
  <c r="D35" i="27"/>
  <c r="D39" i="27"/>
  <c r="D4" i="27"/>
  <c r="D10" i="27"/>
  <c r="D16" i="27"/>
  <c r="D22" i="27"/>
  <c r="D28" i="27"/>
  <c r="D34" i="27"/>
  <c r="D38" i="27"/>
  <c r="D42" i="27"/>
  <c r="D52" i="27"/>
  <c r="D14" i="27"/>
  <c r="D20" i="27"/>
  <c r="D26" i="27"/>
  <c r="D32" i="27"/>
  <c r="D37" i="27"/>
  <c r="D41" i="27"/>
  <c r="D46" i="27"/>
  <c r="D5" i="28"/>
  <c r="D11" i="28"/>
  <c r="D17" i="28"/>
  <c r="D23" i="28"/>
  <c r="D29" i="28"/>
  <c r="D35" i="28"/>
  <c r="D41" i="28"/>
  <c r="D47" i="28"/>
  <c r="D52" i="28"/>
  <c r="D4" i="29"/>
  <c r="D10" i="29"/>
  <c r="D16" i="29"/>
  <c r="D22" i="29"/>
  <c r="D26" i="29"/>
  <c r="D5" i="29"/>
  <c r="D11" i="29"/>
  <c r="D17" i="29"/>
  <c r="D5" i="30"/>
  <c r="D11" i="30"/>
  <c r="D17" i="30"/>
  <c r="D23" i="30"/>
  <c r="D29" i="30"/>
  <c r="D35" i="30"/>
  <c r="D41" i="30"/>
  <c r="D47" i="30"/>
  <c r="D51" i="30"/>
  <c r="D55" i="30"/>
  <c r="D65" i="30"/>
  <c r="D81" i="30"/>
  <c r="E56" i="31"/>
  <c r="F56" i="31" s="1"/>
  <c r="D4" i="31"/>
  <c r="D10" i="31"/>
  <c r="D16" i="31"/>
  <c r="F19" i="31"/>
  <c r="D22" i="31"/>
  <c r="D28" i="31"/>
  <c r="D34" i="31"/>
  <c r="D40" i="31"/>
  <c r="D45" i="31"/>
  <c r="E14" i="31"/>
  <c r="F14" i="31" s="1"/>
  <c r="E26" i="31"/>
  <c r="F26" i="31" s="1"/>
  <c r="E38" i="31"/>
  <c r="F38" i="31" s="1"/>
  <c r="D5" i="31"/>
  <c r="D11" i="31"/>
  <c r="D17" i="31"/>
  <c r="D23" i="31"/>
  <c r="D29" i="31"/>
  <c r="D35" i="31"/>
  <c r="D41" i="31"/>
  <c r="D46" i="31"/>
  <c r="E70" i="41"/>
  <c r="F70" i="41" s="1"/>
  <c r="D14" i="41"/>
  <c r="D20" i="41"/>
  <c r="D26" i="41"/>
  <c r="E28" i="41"/>
  <c r="F28" i="41" s="1"/>
  <c r="D32" i="41"/>
  <c r="D38" i="41"/>
  <c r="D43" i="41"/>
  <c r="D47" i="41"/>
  <c r="D52" i="41"/>
  <c r="D13" i="41"/>
  <c r="D19" i="41"/>
  <c r="D25" i="41"/>
  <c r="D31" i="41"/>
  <c r="D37" i="41"/>
  <c r="D42" i="41"/>
  <c r="D46" i="41"/>
  <c r="D56" i="41"/>
  <c r="D61" i="41"/>
  <c r="D71" i="41"/>
  <c r="D5" i="41"/>
  <c r="D11" i="41"/>
  <c r="D17" i="41"/>
  <c r="D23" i="41"/>
  <c r="D29" i="41"/>
  <c r="D35" i="41"/>
  <c r="D41" i="41"/>
  <c r="D45" i="41"/>
  <c r="D60" i="41"/>
  <c r="D65" i="41"/>
  <c r="E74" i="33"/>
  <c r="F74" i="33" s="1"/>
  <c r="D5" i="33"/>
  <c r="D11" i="33"/>
  <c r="D17" i="33"/>
  <c r="D23" i="33"/>
  <c r="D29" i="33"/>
  <c r="D35" i="33"/>
  <c r="D41" i="33"/>
  <c r="D45" i="33"/>
  <c r="D49" i="33"/>
  <c r="D64" i="33"/>
  <c r="E34" i="33"/>
  <c r="F34" i="33" s="1"/>
  <c r="D5" i="34"/>
  <c r="D11" i="34"/>
  <c r="D17" i="34"/>
  <c r="D23" i="34"/>
  <c r="D29" i="34"/>
  <c r="D35" i="34"/>
  <c r="D41" i="34"/>
  <c r="D47" i="34"/>
  <c r="D51" i="34"/>
  <c r="D66" i="34"/>
  <c r="D4" i="35"/>
  <c r="D10" i="35"/>
  <c r="D16" i="35"/>
  <c r="F19" i="35"/>
  <c r="D22" i="35"/>
  <c r="D28" i="35"/>
  <c r="D34" i="35"/>
  <c r="D40" i="35"/>
  <c r="D45" i="35"/>
  <c r="F47" i="35"/>
  <c r="D49" i="35"/>
  <c r="D65" i="35"/>
  <c r="E38" i="35"/>
  <c r="F38" i="35" s="1"/>
  <c r="D5" i="35"/>
  <c r="D11" i="35"/>
  <c r="D17" i="35"/>
  <c r="D23" i="35"/>
  <c r="D29" i="35"/>
  <c r="D35" i="35"/>
  <c r="D41" i="35"/>
  <c r="D46" i="35"/>
  <c r="D61" i="35"/>
  <c r="D51" i="36"/>
  <c r="D14" i="36"/>
  <c r="D20" i="36"/>
  <c r="D26" i="36"/>
  <c r="D32" i="36"/>
  <c r="D38" i="36"/>
  <c r="D42" i="36"/>
  <c r="D52" i="36"/>
  <c r="D57" i="36"/>
  <c r="D5" i="36"/>
  <c r="D11" i="36"/>
  <c r="D17" i="36"/>
  <c r="D23" i="36"/>
  <c r="D29" i="36"/>
  <c r="D35" i="36"/>
  <c r="D40" i="36"/>
  <c r="D44" i="36"/>
  <c r="E90" i="37"/>
  <c r="F90" i="37" s="1"/>
  <c r="D14" i="37"/>
  <c r="D20" i="37"/>
  <c r="D26" i="37"/>
  <c r="D32" i="37"/>
  <c r="D38" i="37"/>
  <c r="D44" i="37"/>
  <c r="D48" i="37"/>
  <c r="D52" i="37"/>
  <c r="D56" i="37"/>
  <c r="D72" i="37"/>
  <c r="D88" i="37"/>
  <c r="D43" i="37"/>
  <c r="D47" i="37"/>
  <c r="D51" i="37"/>
  <c r="D55" i="37"/>
  <c r="D60" i="37"/>
  <c r="D76" i="37"/>
  <c r="D91" i="37"/>
  <c r="D5" i="37"/>
  <c r="D11" i="37"/>
  <c r="D17" i="37"/>
  <c r="D23" i="37"/>
  <c r="D29" i="37"/>
  <c r="D35" i="37"/>
  <c r="D41" i="37"/>
  <c r="D46" i="37"/>
  <c r="D50" i="37"/>
  <c r="D54" i="37"/>
  <c r="D64" i="37"/>
  <c r="D80" i="37"/>
  <c r="E44" i="38"/>
  <c r="F44" i="38" s="1"/>
  <c r="D4" i="38"/>
  <c r="D10" i="38"/>
  <c r="D16" i="38"/>
  <c r="D22" i="38"/>
  <c r="D28" i="38"/>
  <c r="D34" i="38"/>
  <c r="D38" i="38"/>
  <c r="D43" i="38"/>
  <c r="E37" i="38"/>
  <c r="F37" i="38" s="1"/>
  <c r="D5" i="38"/>
  <c r="D11" i="38"/>
  <c r="D17" i="38"/>
  <c r="D23" i="38"/>
  <c r="D29" i="38"/>
  <c r="D35" i="38"/>
  <c r="D39" i="38"/>
  <c r="E46" i="39"/>
  <c r="F46" i="39" s="1"/>
  <c r="D13" i="39"/>
  <c r="D19" i="39"/>
  <c r="D25" i="39"/>
  <c r="D30" i="39"/>
  <c r="D45" i="39"/>
  <c r="D5" i="39"/>
  <c r="D11" i="39"/>
  <c r="D17" i="39"/>
  <c r="D23" i="39"/>
  <c r="D29" i="39"/>
  <c r="D33" i="39"/>
  <c r="D48" i="39"/>
  <c r="D4" i="39"/>
  <c r="D10" i="39"/>
  <c r="D16" i="39"/>
  <c r="D22" i="39"/>
  <c r="D28" i="39"/>
  <c r="D32" i="39"/>
  <c r="D37" i="39"/>
  <c r="D14" i="39"/>
  <c r="D20" i="39"/>
  <c r="D26" i="39"/>
  <c r="D31" i="39"/>
  <c r="D41" i="39"/>
  <c r="E70" i="40"/>
  <c r="F70" i="40" s="1"/>
  <c r="D14" i="40"/>
  <c r="D20" i="40"/>
  <c r="D26" i="40"/>
  <c r="D32" i="40"/>
  <c r="D38" i="40"/>
  <c r="D44" i="40"/>
  <c r="D49" i="40"/>
  <c r="D53" i="40"/>
  <c r="D58" i="40"/>
  <c r="D13" i="40"/>
  <c r="D19" i="40"/>
  <c r="D25" i="40"/>
  <c r="D31" i="40"/>
  <c r="D37" i="40"/>
  <c r="D43" i="40"/>
  <c r="D48" i="40"/>
  <c r="D52" i="40"/>
  <c r="D62" i="40"/>
  <c r="D72" i="40"/>
  <c r="D5" i="40"/>
  <c r="D11" i="40"/>
  <c r="D17" i="40"/>
  <c r="D23" i="40"/>
  <c r="D29" i="40"/>
  <c r="D35" i="40"/>
  <c r="D41" i="40"/>
  <c r="D47" i="40"/>
  <c r="D51" i="40"/>
  <c r="D66" i="40"/>
  <c r="D4" i="40"/>
  <c r="D10" i="40"/>
  <c r="D16" i="40"/>
  <c r="D22" i="40"/>
  <c r="D28" i="40"/>
  <c r="D34" i="40"/>
  <c r="D40" i="40"/>
  <c r="D46" i="40"/>
  <c r="D50" i="40"/>
  <c r="D54" i="40"/>
  <c r="E47" i="32"/>
  <c r="F47" i="32" s="1"/>
  <c r="D4" i="32"/>
  <c r="D10" i="32"/>
  <c r="D16" i="32"/>
  <c r="D22" i="32"/>
  <c r="D28" i="32"/>
  <c r="D34" i="32"/>
  <c r="D40" i="32"/>
  <c r="D46" i="32"/>
  <c r="D50" i="32"/>
  <c r="D14" i="32"/>
  <c r="D20" i="32"/>
  <c r="D26" i="32"/>
  <c r="D32" i="32"/>
  <c r="D38" i="32"/>
  <c r="D44" i="32"/>
  <c r="D49" i="32"/>
  <c r="D54" i="32"/>
  <c r="D59" i="32"/>
  <c r="D13" i="32"/>
  <c r="D19" i="32"/>
  <c r="D25" i="32"/>
  <c r="D31" i="32"/>
  <c r="D37" i="32"/>
  <c r="D43" i="32"/>
  <c r="D48" i="32"/>
  <c r="D5" i="32"/>
  <c r="D11" i="32"/>
  <c r="D17" i="32"/>
  <c r="D23" i="32"/>
  <c r="D29" i="32"/>
  <c r="D35" i="32"/>
  <c r="D41" i="32"/>
  <c r="E57" i="42"/>
  <c r="F57" i="42" s="1"/>
  <c r="D13" i="42"/>
  <c r="D19" i="42"/>
  <c r="D25" i="42"/>
  <c r="D31" i="42"/>
  <c r="D37" i="42"/>
  <c r="D41" i="42"/>
  <c r="D51" i="42"/>
  <c r="D56" i="42"/>
  <c r="D5" i="42"/>
  <c r="D11" i="42"/>
  <c r="D17" i="42"/>
  <c r="D23" i="42"/>
  <c r="D29" i="42"/>
  <c r="D35" i="42"/>
  <c r="D40" i="42"/>
  <c r="D55" i="42"/>
  <c r="D4" i="42"/>
  <c r="D10" i="42"/>
  <c r="D16" i="42"/>
  <c r="D22" i="42"/>
  <c r="D28" i="42"/>
  <c r="D34" i="42"/>
  <c r="D39" i="42"/>
  <c r="D43" i="42"/>
  <c r="D58" i="42"/>
  <c r="D14" i="42"/>
  <c r="D20" i="42"/>
  <c r="D26" i="42"/>
  <c r="D32" i="42"/>
  <c r="D38" i="42"/>
  <c r="D42" i="42"/>
  <c r="D47" i="42"/>
  <c r="E20" i="43"/>
  <c r="F20" i="43" s="1"/>
  <c r="D13" i="43"/>
  <c r="D19" i="43"/>
  <c r="D5" i="43"/>
  <c r="D11" i="43"/>
  <c r="D17" i="43"/>
  <c r="D22" i="43"/>
  <c r="D4" i="43"/>
  <c r="D10" i="43"/>
  <c r="D16" i="43"/>
  <c r="D21" i="43"/>
  <c r="D26" i="43"/>
  <c r="D14" i="43"/>
  <c r="E76" i="44"/>
  <c r="F76" i="44" s="1"/>
  <c r="D4" i="44"/>
  <c r="D10" i="44"/>
  <c r="D16" i="44"/>
  <c r="D22" i="44"/>
  <c r="D28" i="44"/>
  <c r="D34" i="44"/>
  <c r="D40" i="44"/>
  <c r="F43" i="44"/>
  <c r="D46" i="44"/>
  <c r="D50" i="44"/>
  <c r="D54" i="44"/>
  <c r="D59" i="44"/>
  <c r="D75" i="44"/>
  <c r="D67" i="44"/>
  <c r="D77" i="44"/>
  <c r="D5" i="44"/>
  <c r="D11" i="44"/>
  <c r="D17" i="44"/>
  <c r="D23" i="44"/>
  <c r="D29" i="44"/>
  <c r="D35" i="44"/>
  <c r="D41" i="44"/>
  <c r="D47" i="44"/>
  <c r="D51" i="44"/>
  <c r="D55" i="44"/>
  <c r="D71" i="44"/>
  <c r="D4" i="45"/>
  <c r="D10" i="45"/>
  <c r="D16" i="45"/>
  <c r="D22" i="45"/>
  <c r="D28" i="45"/>
  <c r="D34" i="45"/>
  <c r="D39" i="45"/>
  <c r="D43" i="45"/>
  <c r="D48" i="45"/>
  <c r="D53" i="45"/>
  <c r="D14" i="45"/>
  <c r="D20" i="45"/>
  <c r="D26" i="45"/>
  <c r="D32" i="45"/>
  <c r="D38" i="45"/>
  <c r="D42" i="45"/>
  <c r="D52" i="45"/>
  <c r="D56" i="45"/>
  <c r="D19" i="45"/>
  <c r="D25" i="45"/>
  <c r="D31" i="45"/>
  <c r="D37" i="45"/>
  <c r="D41" i="45"/>
  <c r="D5" i="45"/>
  <c r="D11" i="45"/>
  <c r="D17" i="45"/>
  <c r="D23" i="45"/>
  <c r="D29" i="45"/>
  <c r="D35" i="45"/>
  <c r="D40" i="45"/>
  <c r="D44" i="45"/>
  <c r="E79" i="46"/>
  <c r="F79" i="46" s="1"/>
  <c r="D13" i="46"/>
  <c r="D19" i="46"/>
  <c r="D25" i="46"/>
  <c r="D31" i="46"/>
  <c r="D37" i="46"/>
  <c r="D43" i="46"/>
  <c r="D49" i="46"/>
  <c r="D53" i="46"/>
  <c r="D57" i="46"/>
  <c r="D62" i="46"/>
  <c r="D78" i="46"/>
  <c r="D5" i="46"/>
  <c r="D11" i="46"/>
  <c r="D17" i="46"/>
  <c r="D23" i="46"/>
  <c r="D29" i="46"/>
  <c r="D35" i="46"/>
  <c r="D41" i="46"/>
  <c r="D47" i="46"/>
  <c r="D52" i="46"/>
  <c r="D56" i="46"/>
  <c r="D66" i="46"/>
  <c r="D4" i="46"/>
  <c r="D10" i="46"/>
  <c r="D16" i="46"/>
  <c r="D22" i="46"/>
  <c r="D28" i="46"/>
  <c r="D34" i="46"/>
  <c r="D40" i="46"/>
  <c r="D46" i="46"/>
  <c r="D51" i="46"/>
  <c r="D55" i="46"/>
  <c r="D70" i="46"/>
  <c r="D80" i="46"/>
  <c r="D14" i="46"/>
  <c r="D20" i="46"/>
  <c r="D26" i="46"/>
  <c r="D32" i="46"/>
  <c r="D38" i="46"/>
  <c r="D44" i="46"/>
  <c r="D50" i="46"/>
  <c r="D54" i="46"/>
  <c r="D58" i="46"/>
  <c r="D74" i="46"/>
  <c r="E67" i="47"/>
  <c r="F67" i="47" s="1"/>
  <c r="D14" i="47"/>
  <c r="D20" i="47"/>
  <c r="D26" i="47"/>
  <c r="D32" i="47"/>
  <c r="D38" i="47"/>
  <c r="D43" i="47"/>
  <c r="D47" i="47"/>
  <c r="D51" i="47"/>
  <c r="D61" i="47"/>
  <c r="D66" i="47"/>
  <c r="D13" i="47"/>
  <c r="D19" i="47"/>
  <c r="D25" i="47"/>
  <c r="D31" i="47"/>
  <c r="D37" i="47"/>
  <c r="D42" i="47"/>
  <c r="D46" i="47"/>
  <c r="D50" i="47"/>
  <c r="D65" i="47"/>
  <c r="D5" i="47"/>
  <c r="D11" i="47"/>
  <c r="D17" i="47"/>
  <c r="D23" i="47"/>
  <c r="D29" i="47"/>
  <c r="D35" i="47"/>
  <c r="D41" i="47"/>
  <c r="D45" i="47"/>
  <c r="D49" i="47"/>
  <c r="D53" i="47"/>
  <c r="D68" i="47"/>
  <c r="D4" i="47"/>
  <c r="D10" i="47"/>
  <c r="D16" i="47"/>
  <c r="D22" i="47"/>
  <c r="D28" i="47"/>
  <c r="D34" i="47"/>
  <c r="D40" i="47"/>
  <c r="D44" i="47"/>
  <c r="D48" i="47"/>
  <c r="D52" i="47"/>
  <c r="D57" i="47"/>
  <c r="E54" i="48"/>
  <c r="F54" i="48" s="1"/>
  <c r="D14" i="48"/>
  <c r="D20" i="48"/>
  <c r="D26" i="48"/>
  <c r="D32" i="48"/>
  <c r="D38" i="48"/>
  <c r="D43" i="48"/>
  <c r="D53" i="48"/>
  <c r="D13" i="48"/>
  <c r="D19" i="48"/>
  <c r="D25" i="48"/>
  <c r="D31" i="48"/>
  <c r="D37" i="48"/>
  <c r="D42" i="48"/>
  <c r="D5" i="48"/>
  <c r="D11" i="48"/>
  <c r="D17" i="48"/>
  <c r="D23" i="48"/>
  <c r="D29" i="48"/>
  <c r="D35" i="48"/>
  <c r="D41" i="48"/>
  <c r="D45" i="48"/>
  <c r="D55" i="48"/>
  <c r="D4" i="48"/>
  <c r="D10" i="48"/>
  <c r="D16" i="48"/>
  <c r="D22" i="48"/>
  <c r="D28" i="48"/>
  <c r="D34" i="48"/>
  <c r="D40" i="48"/>
  <c r="D44" i="48"/>
  <c r="D49" i="48"/>
  <c r="D5" i="49"/>
  <c r="D11" i="49"/>
  <c r="D17" i="49"/>
  <c r="D23" i="49"/>
  <c r="D29" i="49"/>
  <c r="D35" i="49"/>
  <c r="D41" i="49"/>
  <c r="D47" i="49"/>
  <c r="F50" i="49"/>
  <c r="D52" i="49"/>
  <c r="D56" i="49"/>
  <c r="E46" i="49"/>
  <c r="F46" i="49" s="1"/>
  <c r="D4" i="50"/>
  <c r="D10" i="50"/>
  <c r="D16" i="50"/>
  <c r="D22" i="50"/>
  <c r="F25" i="50"/>
  <c r="D27" i="50"/>
  <c r="D14" i="50"/>
  <c r="D20" i="50"/>
  <c r="D26" i="50"/>
  <c r="D30" i="50"/>
  <c r="D5" i="50"/>
  <c r="D11" i="50"/>
  <c r="D17" i="50"/>
  <c r="D23" i="50"/>
  <c r="D28" i="50"/>
  <c r="D5" i="51"/>
  <c r="D17" i="51"/>
  <c r="F20" i="51"/>
  <c r="D23" i="51"/>
  <c r="F26" i="51"/>
  <c r="D29" i="51"/>
  <c r="D35" i="51"/>
  <c r="D40" i="51"/>
  <c r="D44" i="51"/>
  <c r="D49" i="51"/>
  <c r="D65" i="51"/>
  <c r="F69" i="51"/>
  <c r="E102" i="52"/>
  <c r="F102" i="52" s="1"/>
  <c r="D4" i="52"/>
  <c r="D15" i="52"/>
  <c r="D21" i="52"/>
  <c r="D27" i="52"/>
  <c r="D33" i="52"/>
  <c r="D38" i="52"/>
  <c r="D42" i="52"/>
  <c r="D46" i="52"/>
  <c r="D50" i="52"/>
  <c r="D66" i="52"/>
  <c r="D82" i="52"/>
  <c r="D97" i="52"/>
  <c r="D101" i="52"/>
  <c r="D54" i="52"/>
  <c r="D70" i="52"/>
  <c r="D86" i="52"/>
  <c r="D96" i="52"/>
  <c r="D100" i="52"/>
  <c r="E26" i="52"/>
  <c r="F26" i="52" s="1"/>
  <c r="D48" i="52"/>
  <c r="D58" i="52"/>
  <c r="D74" i="52"/>
  <c r="D90" i="52"/>
  <c r="D95" i="52"/>
  <c r="D99" i="52"/>
  <c r="D103" i="52"/>
  <c r="D5" i="52"/>
  <c r="D11" i="52"/>
  <c r="D17" i="52"/>
  <c r="D23" i="52"/>
  <c r="D29" i="52"/>
  <c r="D35" i="52"/>
  <c r="D39" i="52"/>
  <c r="D43" i="52"/>
  <c r="D47" i="52"/>
  <c r="D62" i="52"/>
  <c r="D78" i="52"/>
  <c r="D94" i="52"/>
  <c r="D98" i="52"/>
  <c r="E93" i="53"/>
  <c r="F93" i="53" s="1"/>
  <c r="D14" i="53"/>
  <c r="D20" i="53"/>
  <c r="D26" i="53"/>
  <c r="D32" i="53"/>
  <c r="D38" i="53"/>
  <c r="D44" i="53"/>
  <c r="D50" i="53"/>
  <c r="D54" i="53"/>
  <c r="D58" i="53"/>
  <c r="D62" i="53"/>
  <c r="D66" i="53"/>
  <c r="D82" i="53"/>
  <c r="D92" i="53"/>
  <c r="D13" i="53"/>
  <c r="D19" i="53"/>
  <c r="D25" i="53"/>
  <c r="D31" i="53"/>
  <c r="D37" i="53"/>
  <c r="D43" i="53"/>
  <c r="D49" i="53"/>
  <c r="D53" i="53"/>
  <c r="D57" i="53"/>
  <c r="D61" i="53"/>
  <c r="D65" i="53"/>
  <c r="D70" i="53"/>
  <c r="D86" i="53"/>
  <c r="D91" i="53"/>
  <c r="D95" i="53"/>
  <c r="D5" i="53"/>
  <c r="D11" i="53"/>
  <c r="D17" i="53"/>
  <c r="D23" i="53"/>
  <c r="D29" i="53"/>
  <c r="D35" i="53"/>
  <c r="D41" i="53"/>
  <c r="D47" i="53"/>
  <c r="D52" i="53"/>
  <c r="D56" i="53"/>
  <c r="D60" i="53"/>
  <c r="D64" i="53"/>
  <c r="D74" i="53"/>
  <c r="D90" i="53"/>
  <c r="D4" i="53"/>
  <c r="D10" i="53"/>
  <c r="D16" i="53"/>
  <c r="D22" i="53"/>
  <c r="D28" i="53"/>
  <c r="D34" i="53"/>
  <c r="D40" i="53"/>
  <c r="D46" i="53"/>
  <c r="D51" i="53"/>
  <c r="D55" i="53"/>
  <c r="D59" i="53"/>
  <c r="D63" i="53"/>
  <c r="D78" i="53"/>
  <c r="E47" i="54"/>
  <c r="F47" i="54" s="1"/>
  <c r="D13" i="54"/>
  <c r="D19" i="54"/>
  <c r="D25" i="54"/>
  <c r="D31" i="54"/>
  <c r="D36" i="54"/>
  <c r="D5" i="54"/>
  <c r="D11" i="54"/>
  <c r="D17" i="54"/>
  <c r="D23" i="54"/>
  <c r="D29" i="54"/>
  <c r="D35" i="54"/>
  <c r="D39" i="54"/>
  <c r="D4" i="54"/>
  <c r="D10" i="54"/>
  <c r="D16" i="54"/>
  <c r="D22" i="54"/>
  <c r="D28" i="54"/>
  <c r="D34" i="54"/>
  <c r="D38" i="54"/>
  <c r="D43" i="54"/>
  <c r="D48" i="54"/>
  <c r="D14" i="54"/>
  <c r="D20" i="54"/>
  <c r="D26" i="54"/>
  <c r="D32" i="54"/>
  <c r="D37" i="54"/>
  <c r="E124" i="55"/>
  <c r="F124" i="55" s="1"/>
  <c r="D5" i="55"/>
  <c r="D11" i="55"/>
  <c r="D17" i="55"/>
  <c r="D23" i="55"/>
  <c r="D29" i="55"/>
  <c r="D35" i="55"/>
  <c r="D41" i="55"/>
  <c r="D47" i="55"/>
  <c r="F50" i="55"/>
  <c r="D53" i="55"/>
  <c r="D59" i="55"/>
  <c r="D65" i="55"/>
  <c r="D71" i="55"/>
  <c r="D75" i="55"/>
  <c r="D79" i="55"/>
  <c r="D83" i="55"/>
  <c r="D99" i="55"/>
  <c r="D115" i="55"/>
  <c r="D120" i="55"/>
  <c r="E82" i="55"/>
  <c r="F82" i="55" s="1"/>
  <c r="E49" i="56"/>
  <c r="F49" i="56" s="1"/>
  <c r="E26" i="56"/>
  <c r="F26" i="56" s="1"/>
  <c r="D13" i="56"/>
  <c r="D22" i="56"/>
  <c r="D32" i="56"/>
  <c r="D35" i="56"/>
  <c r="D44" i="56"/>
  <c r="D51" i="56"/>
  <c r="D53" i="56"/>
  <c r="D60" i="56"/>
  <c r="D69" i="56"/>
  <c r="D81" i="56"/>
  <c r="D93" i="56"/>
  <c r="E129" i="56"/>
  <c r="F129" i="56" s="1"/>
  <c r="D131" i="56"/>
  <c r="D133" i="56"/>
  <c r="D140" i="56"/>
  <c r="D147" i="56"/>
  <c r="F136" i="56"/>
  <c r="D146" i="56"/>
  <c r="D142" i="56"/>
  <c r="D138" i="56"/>
  <c r="D134" i="56"/>
  <c r="D130" i="56"/>
  <c r="D126" i="56"/>
  <c r="D121" i="56"/>
  <c r="D105" i="56"/>
  <c r="D89" i="56"/>
  <c r="D73" i="56"/>
  <c r="D58" i="56"/>
  <c r="D54" i="56"/>
  <c r="D50" i="56"/>
  <c r="D46" i="56"/>
  <c r="D42" i="56"/>
  <c r="D37" i="56"/>
  <c r="D31" i="56"/>
  <c r="D25" i="56"/>
  <c r="D19" i="56"/>
  <c r="D5" i="56"/>
  <c r="D11" i="56"/>
  <c r="D17" i="56"/>
  <c r="D28" i="56"/>
  <c r="D38" i="56"/>
  <c r="D41" i="56"/>
  <c r="D48" i="56"/>
  <c r="D55" i="56"/>
  <c r="D57" i="56"/>
  <c r="D65" i="56"/>
  <c r="D77" i="56"/>
  <c r="D117" i="56"/>
  <c r="D128" i="56"/>
  <c r="D135" i="56"/>
  <c r="D137" i="56"/>
  <c r="D144" i="56"/>
  <c r="D4" i="56"/>
  <c r="D10" i="56"/>
  <c r="D16" i="56"/>
  <c r="D20" i="56"/>
  <c r="D23" i="56"/>
  <c r="D34" i="56"/>
  <c r="D43" i="56"/>
  <c r="D45" i="56"/>
  <c r="D52" i="56"/>
  <c r="D59" i="56"/>
  <c r="D61" i="56"/>
  <c r="D101" i="56"/>
  <c r="D113" i="56"/>
  <c r="D125" i="56"/>
  <c r="D132" i="56"/>
  <c r="D139" i="56"/>
  <c r="D141" i="56"/>
  <c r="D148" i="56"/>
  <c r="D52" i="57"/>
  <c r="D53" i="57" s="1"/>
  <c r="E50" i="57"/>
  <c r="F50" i="57" s="1"/>
  <c r="D5" i="57"/>
  <c r="D11" i="57"/>
  <c r="D17" i="57"/>
  <c r="D23" i="57"/>
  <c r="D29" i="57"/>
  <c r="D35" i="57"/>
  <c r="D41" i="57"/>
  <c r="D45" i="57"/>
  <c r="D56" i="57"/>
  <c r="D57" i="57" s="1"/>
  <c r="E54" i="57"/>
  <c r="F54" i="57" s="1"/>
  <c r="E102" i="58"/>
  <c r="F102" i="58" s="1"/>
  <c r="D5" i="58"/>
  <c r="D11" i="58"/>
  <c r="D17" i="58"/>
  <c r="D23" i="58"/>
  <c r="D29" i="58"/>
  <c r="D35" i="58"/>
  <c r="D41" i="58"/>
  <c r="D47" i="58"/>
  <c r="D53" i="58"/>
  <c r="D59" i="58"/>
  <c r="D63" i="58"/>
  <c r="D67" i="58"/>
  <c r="D71" i="58"/>
  <c r="D86" i="58"/>
  <c r="D101" i="58"/>
  <c r="D4" i="58"/>
  <c r="D10" i="58"/>
  <c r="D16" i="58"/>
  <c r="D22" i="58"/>
  <c r="D28" i="58"/>
  <c r="D34" i="58"/>
  <c r="D40" i="58"/>
  <c r="D46" i="58"/>
  <c r="D52" i="58"/>
  <c r="D58" i="58"/>
  <c r="D62" i="58"/>
  <c r="D66" i="58"/>
  <c r="D70" i="58"/>
  <c r="D74" i="58"/>
  <c r="D90" i="58"/>
  <c r="D100" i="58"/>
  <c r="D14" i="58"/>
  <c r="D20" i="58"/>
  <c r="D26" i="58"/>
  <c r="D32" i="58"/>
  <c r="D38" i="58"/>
  <c r="D44" i="58"/>
  <c r="D50" i="58"/>
  <c r="D56" i="58"/>
  <c r="D61" i="58"/>
  <c r="D65" i="58"/>
  <c r="D69" i="58"/>
  <c r="D73" i="58"/>
  <c r="D78" i="58"/>
  <c r="D94" i="58"/>
  <c r="D99" i="58"/>
  <c r="D103" i="58"/>
  <c r="D13" i="58"/>
  <c r="D19" i="58"/>
  <c r="D25" i="58"/>
  <c r="D31" i="58"/>
  <c r="D37" i="58"/>
  <c r="D43" i="58"/>
  <c r="D49" i="58"/>
  <c r="D55" i="58"/>
  <c r="D60" i="58"/>
  <c r="D64" i="58"/>
  <c r="D68" i="58"/>
  <c r="D72" i="58"/>
  <c r="D82" i="58"/>
  <c r="D98" i="58"/>
  <c r="E64" i="59"/>
  <c r="F64" i="59" s="1"/>
  <c r="D5" i="59"/>
  <c r="D11" i="59"/>
  <c r="D17" i="59"/>
  <c r="D23" i="59"/>
  <c r="D29" i="59"/>
  <c r="D35" i="59"/>
  <c r="D40" i="59"/>
  <c r="D44" i="59"/>
  <c r="D59" i="59"/>
  <c r="D63" i="59"/>
  <c r="D4" i="59"/>
  <c r="D10" i="59"/>
  <c r="D16" i="59"/>
  <c r="D22" i="59"/>
  <c r="D28" i="59"/>
  <c r="D34" i="59"/>
  <c r="D39" i="59"/>
  <c r="D43" i="59"/>
  <c r="D47" i="59"/>
  <c r="D62" i="59"/>
  <c r="D14" i="59"/>
  <c r="D20" i="59"/>
  <c r="D26" i="59"/>
  <c r="D32" i="59"/>
  <c r="D38" i="59"/>
  <c r="D42" i="59"/>
  <c r="D46" i="59"/>
  <c r="D51" i="59"/>
  <c r="D61" i="59"/>
  <c r="D65" i="59"/>
  <c r="D13" i="59"/>
  <c r="D19" i="59"/>
  <c r="D25" i="59"/>
  <c r="D31" i="59"/>
  <c r="D37" i="59"/>
  <c r="D41" i="59"/>
  <c r="D45" i="59"/>
  <c r="D55" i="59"/>
  <c r="D60" i="59"/>
  <c r="E76" i="60"/>
  <c r="F76" i="60" s="1"/>
  <c r="D14" i="60"/>
  <c r="D20" i="60"/>
  <c r="D26" i="60"/>
  <c r="D32" i="60"/>
  <c r="D37" i="60"/>
  <c r="D41" i="60"/>
  <c r="D56" i="60"/>
  <c r="D71" i="60"/>
  <c r="D75" i="60"/>
  <c r="D13" i="60"/>
  <c r="D19" i="60"/>
  <c r="D25" i="60"/>
  <c r="D31" i="60"/>
  <c r="D36" i="60"/>
  <c r="D40" i="60"/>
  <c r="D44" i="60"/>
  <c r="D60" i="60"/>
  <c r="D70" i="60"/>
  <c r="D74" i="60"/>
  <c r="D5" i="60"/>
  <c r="D11" i="60"/>
  <c r="D17" i="60"/>
  <c r="D23" i="60"/>
  <c r="D29" i="60"/>
  <c r="D35" i="60"/>
  <c r="D39" i="60"/>
  <c r="D43" i="60"/>
  <c r="D48" i="60"/>
  <c r="D64" i="60"/>
  <c r="D69" i="60"/>
  <c r="D73" i="60"/>
  <c r="D77" i="60"/>
  <c r="D4" i="60"/>
  <c r="D10" i="60"/>
  <c r="D16" i="60"/>
  <c r="D22" i="60"/>
  <c r="D28" i="60"/>
  <c r="D34" i="60"/>
  <c r="D38" i="60"/>
  <c r="D42" i="60"/>
  <c r="D52" i="60"/>
  <c r="D68" i="60"/>
  <c r="D72" i="60"/>
  <c r="D5" i="61"/>
  <c r="D11" i="61"/>
  <c r="D17" i="61"/>
  <c r="D23" i="61"/>
  <c r="D29" i="61"/>
  <c r="F32" i="61"/>
  <c r="D35" i="61"/>
  <c r="F38" i="61"/>
  <c r="E22" i="61"/>
  <c r="F22" i="61" s="1"/>
  <c r="E40" i="62"/>
  <c r="F40" i="62" s="1"/>
  <c r="D4" i="62"/>
  <c r="D10" i="62"/>
  <c r="D16" i="62"/>
  <c r="D22" i="62"/>
  <c r="D28" i="62"/>
  <c r="D34" i="62"/>
  <c r="D39" i="62"/>
  <c r="D43" i="62"/>
  <c r="D5" i="62"/>
  <c r="D11" i="62"/>
  <c r="D17" i="62"/>
  <c r="D23" i="62"/>
  <c r="D29" i="62"/>
  <c r="D35" i="62"/>
  <c r="E55" i="63"/>
  <c r="F55" i="63" s="1"/>
  <c r="D5" i="63"/>
  <c r="D11" i="63"/>
  <c r="D17" i="63"/>
  <c r="D23" i="63"/>
  <c r="F26" i="63"/>
  <c r="D29" i="63"/>
  <c r="D35" i="63"/>
  <c r="D41" i="63"/>
  <c r="D46" i="63"/>
  <c r="D50" i="63"/>
  <c r="D58" i="64"/>
  <c r="D59" i="64" s="1"/>
  <c r="E56" i="64"/>
  <c r="F56" i="64" s="1"/>
  <c r="D5" i="64"/>
  <c r="D11" i="64"/>
  <c r="D17" i="64"/>
  <c r="D23" i="64"/>
  <c r="D29" i="64"/>
  <c r="D35" i="64"/>
  <c r="D41" i="64"/>
  <c r="D47" i="64"/>
  <c r="D51" i="64"/>
  <c r="E66" i="65"/>
  <c r="F66" i="65" s="1"/>
  <c r="D4" i="65"/>
  <c r="D10" i="65"/>
  <c r="D16" i="65"/>
  <c r="F19" i="65"/>
  <c r="D22" i="65"/>
  <c r="D28" i="65"/>
  <c r="D34" i="65"/>
  <c r="D40" i="65"/>
  <c r="D45" i="65"/>
  <c r="D49" i="65"/>
  <c r="D65" i="65"/>
  <c r="D53" i="65"/>
  <c r="E38" i="65"/>
  <c r="F38" i="65" s="1"/>
  <c r="D57" i="65"/>
  <c r="D67" i="65"/>
  <c r="D5" i="65"/>
  <c r="D11" i="65"/>
  <c r="D17" i="65"/>
  <c r="D23" i="65"/>
  <c r="D29" i="65"/>
  <c r="D35" i="65"/>
  <c r="D41" i="65"/>
  <c r="D46" i="65"/>
  <c r="D61" i="65"/>
  <c r="E58" i="66"/>
  <c r="F58" i="66" s="1"/>
  <c r="D14" i="66"/>
  <c r="D20" i="66"/>
  <c r="D26" i="66"/>
  <c r="D32" i="66"/>
  <c r="D38" i="66"/>
  <c r="D44" i="66"/>
  <c r="D48" i="66"/>
  <c r="D57" i="66"/>
  <c r="D13" i="66"/>
  <c r="D19" i="66"/>
  <c r="D25" i="66"/>
  <c r="D31" i="66"/>
  <c r="D37" i="66"/>
  <c r="D43" i="66"/>
  <c r="D47" i="66"/>
  <c r="D51" i="66"/>
  <c r="D56" i="66"/>
  <c r="D5" i="66"/>
  <c r="D11" i="66"/>
  <c r="D17" i="66"/>
  <c r="D23" i="66"/>
  <c r="D29" i="66"/>
  <c r="D35" i="66"/>
  <c r="D41" i="66"/>
  <c r="D46" i="66"/>
  <c r="D50" i="66"/>
  <c r="D55" i="66"/>
  <c r="D59" i="66"/>
  <c r="D4" i="66"/>
  <c r="D10" i="66"/>
  <c r="D16" i="66"/>
  <c r="D22" i="66"/>
  <c r="D28" i="66"/>
  <c r="D34" i="66"/>
  <c r="D40" i="66"/>
  <c r="D45" i="66"/>
  <c r="D49" i="66"/>
  <c r="E65" i="67"/>
  <c r="F65" i="67" s="1"/>
  <c r="D14" i="67"/>
  <c r="D20" i="67"/>
  <c r="D26" i="67"/>
  <c r="D32" i="67"/>
  <c r="D38" i="67"/>
  <c r="D43" i="67"/>
  <c r="D53" i="67"/>
  <c r="D13" i="67"/>
  <c r="D19" i="67"/>
  <c r="D25" i="67"/>
  <c r="D31" i="67"/>
  <c r="D37" i="67"/>
  <c r="D42" i="67"/>
  <c r="D57" i="67"/>
  <c r="D5" i="67"/>
  <c r="D11" i="67"/>
  <c r="D17" i="67"/>
  <c r="D23" i="67"/>
  <c r="D29" i="67"/>
  <c r="D35" i="67"/>
  <c r="D41" i="67"/>
  <c r="D45" i="67"/>
  <c r="D61" i="67"/>
  <c r="D66" i="67"/>
  <c r="D4" i="67"/>
  <c r="D10" i="67"/>
  <c r="D16" i="67"/>
  <c r="D22" i="67"/>
  <c r="D28" i="67"/>
  <c r="D34" i="67"/>
  <c r="D40" i="67"/>
  <c r="D44" i="67"/>
  <c r="D49" i="67"/>
  <c r="E94" i="68"/>
  <c r="F94" i="68" s="1"/>
  <c r="D4" i="68"/>
  <c r="D10" i="68"/>
  <c r="D16" i="68"/>
  <c r="D22" i="68"/>
  <c r="D28" i="68"/>
  <c r="D34" i="68"/>
  <c r="D40" i="68"/>
  <c r="D46" i="68"/>
  <c r="D50" i="68"/>
  <c r="D54" i="68"/>
  <c r="D58" i="68"/>
  <c r="D62" i="68"/>
  <c r="D72" i="68"/>
  <c r="D88" i="68"/>
  <c r="D93" i="68"/>
  <c r="D38" i="68"/>
  <c r="D44" i="68"/>
  <c r="D49" i="68"/>
  <c r="D53" i="68"/>
  <c r="D57" i="68"/>
  <c r="D61" i="68"/>
  <c r="D76" i="68"/>
  <c r="D92" i="68"/>
  <c r="D96" i="68"/>
  <c r="D43" i="68"/>
  <c r="D48" i="68"/>
  <c r="D52" i="68"/>
  <c r="D56" i="68"/>
  <c r="D60" i="68"/>
  <c r="D64" i="68"/>
  <c r="D80" i="68"/>
  <c r="D5" i="68"/>
  <c r="D11" i="68"/>
  <c r="D17" i="68"/>
  <c r="D23" i="68"/>
  <c r="D29" i="68"/>
  <c r="D35" i="68"/>
  <c r="D41" i="68"/>
  <c r="D47" i="68"/>
  <c r="D51" i="68"/>
  <c r="D55" i="68"/>
  <c r="D59" i="68"/>
  <c r="D63" i="68"/>
  <c r="D68" i="68"/>
  <c r="D84" i="68"/>
  <c r="D5" i="69"/>
  <c r="D17" i="69"/>
  <c r="D23" i="69"/>
  <c r="D29" i="69"/>
  <c r="D35" i="69"/>
  <c r="F38" i="69"/>
  <c r="D41" i="69"/>
  <c r="D46" i="69"/>
  <c r="D50" i="69"/>
  <c r="D54" i="69"/>
  <c r="F61" i="69"/>
  <c r="D69" i="69"/>
  <c r="D63" i="69"/>
  <c r="D4" i="70"/>
  <c r="D10" i="70"/>
  <c r="D16" i="70"/>
  <c r="D22" i="70"/>
  <c r="F25" i="70"/>
  <c r="D28" i="70"/>
  <c r="D34" i="70"/>
  <c r="D40" i="70"/>
  <c r="D45" i="70"/>
  <c r="D49" i="70"/>
  <c r="D53" i="70"/>
  <c r="D63" i="70"/>
  <c r="D73" i="70"/>
  <c r="D67" i="70"/>
  <c r="D72" i="70"/>
  <c r="E20" i="70"/>
  <c r="F20" i="70" s="1"/>
  <c r="D51" i="70"/>
  <c r="D55" i="70"/>
  <c r="D71" i="70"/>
  <c r="D75" i="70"/>
  <c r="D5" i="70"/>
  <c r="D11" i="70"/>
  <c r="D17" i="70"/>
  <c r="D23" i="70"/>
  <c r="D29" i="70"/>
  <c r="D35" i="70"/>
  <c r="D41" i="70"/>
  <c r="D46" i="70"/>
  <c r="D50" i="70"/>
  <c r="D54" i="70"/>
  <c r="D59" i="70"/>
  <c r="E96" i="81"/>
  <c r="F96" i="81" s="1"/>
  <c r="D17" i="81"/>
  <c r="D23" i="81"/>
  <c r="D35" i="81"/>
  <c r="D41" i="81"/>
  <c r="D47" i="81"/>
  <c r="D4" i="81"/>
  <c r="D10" i="81"/>
  <c r="D14" i="81"/>
  <c r="D20" i="81"/>
  <c r="D26" i="81"/>
  <c r="D32" i="81"/>
  <c r="D38" i="81"/>
  <c r="D44" i="81"/>
  <c r="D50" i="81"/>
  <c r="D56" i="81"/>
  <c r="D60" i="81"/>
  <c r="D64" i="81"/>
  <c r="D80" i="81"/>
  <c r="D95" i="81"/>
  <c r="D13" i="81"/>
  <c r="D19" i="81"/>
  <c r="D25" i="81"/>
  <c r="D31" i="81"/>
  <c r="D37" i="81"/>
  <c r="D43" i="81"/>
  <c r="D49" i="81"/>
  <c r="D55" i="81"/>
  <c r="D59" i="81"/>
  <c r="D63" i="81"/>
  <c r="D68" i="81"/>
  <c r="D84" i="81"/>
  <c r="D94" i="81"/>
  <c r="D98" i="81"/>
  <c r="D5" i="81"/>
  <c r="D29" i="81"/>
  <c r="D53" i="81"/>
  <c r="D58" i="81"/>
  <c r="D62" i="81"/>
  <c r="D72" i="81"/>
  <c r="D88" i="81"/>
  <c r="D93" i="81"/>
  <c r="D11" i="81"/>
  <c r="D16" i="81"/>
  <c r="D22" i="81"/>
  <c r="D28" i="81"/>
  <c r="D34" i="81"/>
  <c r="D40" i="81"/>
  <c r="D46" i="81"/>
  <c r="D52" i="81"/>
  <c r="D57" i="81"/>
  <c r="D61" i="81"/>
  <c r="D76" i="81"/>
  <c r="D92" i="81"/>
  <c r="E70" i="82"/>
  <c r="F70" i="82" s="1"/>
  <c r="D14" i="82"/>
  <c r="D20" i="82"/>
  <c r="D26" i="82"/>
  <c r="D32" i="82"/>
  <c r="D38" i="82"/>
  <c r="D44" i="82"/>
  <c r="D48" i="82"/>
  <c r="D58" i="82"/>
  <c r="D68" i="82"/>
  <c r="D5" i="82"/>
  <c r="D11" i="82"/>
  <c r="D17" i="82"/>
  <c r="D23" i="82"/>
  <c r="D29" i="82"/>
  <c r="D35" i="82"/>
  <c r="E37" i="82"/>
  <c r="F37" i="82" s="1"/>
  <c r="D41" i="82"/>
  <c r="D46" i="82"/>
  <c r="D50" i="82"/>
  <c r="D66" i="82"/>
  <c r="D5" i="83"/>
  <c r="D11" i="83"/>
  <c r="D17" i="83"/>
  <c r="E19" i="83"/>
  <c r="F19" i="83" s="1"/>
  <c r="D23" i="83"/>
  <c r="D29" i="83"/>
  <c r="D35" i="83"/>
  <c r="D41" i="83"/>
  <c r="D46" i="83"/>
  <c r="D50" i="83"/>
  <c r="D65" i="83"/>
  <c r="D81" i="83"/>
  <c r="E43" i="84"/>
  <c r="F43" i="84" s="1"/>
  <c r="D47" i="84"/>
  <c r="D35" i="84"/>
  <c r="D80" i="84"/>
  <c r="D75" i="84"/>
  <c r="D60" i="84"/>
  <c r="D56" i="84"/>
  <c r="D52" i="84"/>
  <c r="D46" i="84"/>
  <c r="D40" i="84"/>
  <c r="D34" i="84"/>
  <c r="D28" i="84"/>
  <c r="D22" i="84"/>
  <c r="D16" i="84"/>
  <c r="D10" i="84"/>
  <c r="D4" i="84"/>
  <c r="D81" i="84"/>
  <c r="D71" i="84"/>
  <c r="D61" i="84"/>
  <c r="D57" i="84"/>
  <c r="D53" i="84"/>
  <c r="D41" i="84"/>
  <c r="D29" i="84"/>
  <c r="D23" i="84"/>
  <c r="D17" i="84"/>
  <c r="D11" i="84"/>
  <c r="D20" i="84"/>
  <c r="D32" i="84"/>
  <c r="D44" i="84"/>
  <c r="D55" i="84"/>
  <c r="D63" i="84"/>
  <c r="D7" i="84"/>
  <c r="D13" i="84"/>
  <c r="D25" i="84"/>
  <c r="D37" i="84"/>
  <c r="D49" i="84"/>
  <c r="D58" i="84"/>
  <c r="D67" i="84"/>
  <c r="D14" i="84"/>
  <c r="D26" i="84"/>
  <c r="D38" i="84"/>
  <c r="D50" i="84"/>
  <c r="D59" i="84"/>
  <c r="D79" i="84"/>
  <c r="E26" i="85"/>
  <c r="F26" i="85" s="1"/>
  <c r="E41" i="85"/>
  <c r="F41" i="85" s="1"/>
  <c r="D5" i="85"/>
  <c r="D11" i="85"/>
  <c r="D17" i="85"/>
  <c r="D23" i="85"/>
  <c r="D29" i="85"/>
  <c r="D35" i="85"/>
  <c r="E46" i="86"/>
  <c r="F46" i="86" s="1"/>
  <c r="D5" i="86"/>
  <c r="D11" i="86"/>
  <c r="D17" i="86"/>
  <c r="D23" i="86"/>
  <c r="D29" i="86"/>
  <c r="D35" i="86"/>
  <c r="D41" i="86"/>
  <c r="D47" i="86"/>
  <c r="D10" i="86"/>
  <c r="D40" i="86"/>
  <c r="D14" i="86"/>
  <c r="D20" i="86"/>
  <c r="D26" i="86"/>
  <c r="D32" i="86"/>
  <c r="D38" i="86"/>
  <c r="D44" i="86"/>
  <c r="D50" i="86"/>
  <c r="D54" i="86"/>
  <c r="D58" i="86"/>
  <c r="D52" i="86"/>
  <c r="D16" i="86"/>
  <c r="D22" i="86"/>
  <c r="D28" i="86"/>
  <c r="D34" i="86"/>
  <c r="D51" i="86"/>
  <c r="D55" i="86"/>
  <c r="D70" i="86"/>
  <c r="D13" i="86"/>
  <c r="D19" i="86"/>
  <c r="D25" i="86"/>
  <c r="D31" i="86"/>
  <c r="D37" i="86"/>
  <c r="D43" i="86"/>
  <c r="D49" i="86"/>
  <c r="D53" i="86"/>
  <c r="D57" i="86"/>
  <c r="D62" i="86"/>
  <c r="D56" i="86"/>
  <c r="D66" i="86"/>
  <c r="D71" i="86"/>
  <c r="D4" i="86"/>
  <c r="E34" i="87"/>
  <c r="F34" i="87" s="1"/>
  <c r="D5" i="87"/>
  <c r="D11" i="87"/>
  <c r="D17" i="87"/>
  <c r="D23" i="87"/>
  <c r="F26" i="87"/>
  <c r="D29" i="87"/>
  <c r="D35" i="87"/>
  <c r="D40" i="87"/>
  <c r="D44" i="87"/>
  <c r="D54" i="87"/>
  <c r="D59" i="87"/>
  <c r="E22" i="87"/>
  <c r="F22" i="87" s="1"/>
  <c r="D13" i="87"/>
  <c r="D19" i="87"/>
  <c r="D25" i="87"/>
  <c r="D31" i="87"/>
  <c r="D37" i="87"/>
  <c r="D41" i="87"/>
  <c r="D45" i="87"/>
  <c r="D50" i="87"/>
  <c r="E47" i="88"/>
  <c r="F47" i="88" s="1"/>
  <c r="D19" i="88"/>
  <c r="D5" i="88"/>
  <c r="D11" i="88"/>
  <c r="D23" i="88"/>
  <c r="D29" i="88"/>
  <c r="D35" i="88"/>
  <c r="D39" i="88"/>
  <c r="D48" i="88"/>
  <c r="D16" i="88"/>
  <c r="D22" i="88"/>
  <c r="D28" i="88"/>
  <c r="D34" i="88"/>
  <c r="D38" i="88"/>
  <c r="D14" i="88"/>
  <c r="D20" i="88"/>
  <c r="D26" i="88"/>
  <c r="D32" i="88"/>
  <c r="D37" i="88"/>
  <c r="D41" i="88"/>
  <c r="D46" i="88"/>
  <c r="D31" i="88"/>
  <c r="D36" i="88"/>
  <c r="D40" i="88"/>
  <c r="D45" i="88"/>
  <c r="D25" i="88"/>
  <c r="D17" i="88"/>
  <c r="D4" i="88"/>
  <c r="D10" i="88"/>
  <c r="E67" i="89"/>
  <c r="F67" i="89" s="1"/>
  <c r="D14" i="89"/>
  <c r="D20" i="89"/>
  <c r="D26" i="89"/>
  <c r="D32" i="89"/>
  <c r="D38" i="89"/>
  <c r="D44" i="89"/>
  <c r="D50" i="89"/>
  <c r="D54" i="89"/>
  <c r="E65" i="89"/>
  <c r="F65" i="89" s="1"/>
  <c r="D69" i="89"/>
  <c r="D74" i="89"/>
  <c r="D78" i="89"/>
  <c r="D68" i="89"/>
  <c r="D5" i="89"/>
  <c r="D11" i="89"/>
  <c r="D17" i="89"/>
  <c r="D23" i="89"/>
  <c r="D29" i="89"/>
  <c r="D35" i="89"/>
  <c r="D41" i="89"/>
  <c r="D47" i="89"/>
  <c r="D52" i="89"/>
  <c r="D56" i="89"/>
  <c r="D61" i="89"/>
  <c r="E49" i="90"/>
  <c r="F49" i="90" s="1"/>
  <c r="D51" i="90"/>
  <c r="D52" i="90" s="1"/>
  <c r="D5" i="90"/>
  <c r="D11" i="90"/>
  <c r="D17" i="90"/>
  <c r="D23" i="90"/>
  <c r="D29" i="90"/>
  <c r="D35" i="90"/>
  <c r="D41" i="90"/>
  <c r="D45" i="90"/>
  <c r="D11" i="96"/>
  <c r="D17" i="96"/>
  <c r="D22" i="96"/>
  <c r="D36" i="96"/>
  <c r="D16" i="96"/>
  <c r="D25" i="96"/>
  <c r="D14" i="96"/>
  <c r="D20" i="96"/>
  <c r="D24" i="96"/>
  <c r="D34" i="96"/>
  <c r="D13" i="96"/>
  <c r="D19" i="96"/>
  <c r="D23" i="96"/>
  <c r="D33" i="96"/>
  <c r="D5" i="96"/>
  <c r="D4" i="96"/>
  <c r="D21" i="96"/>
  <c r="E19" i="97"/>
  <c r="F19" i="97" s="1"/>
  <c r="F38" i="97"/>
  <c r="F47" i="97"/>
  <c r="D5" i="97"/>
  <c r="D11" i="97"/>
  <c r="D17" i="97"/>
  <c r="D23" i="97"/>
  <c r="D29" i="97"/>
  <c r="D35" i="97"/>
  <c r="D41" i="97"/>
  <c r="D45" i="97"/>
  <c r="D60" i="97"/>
  <c r="D64" i="97"/>
  <c r="D4" i="97"/>
  <c r="D10" i="97"/>
  <c r="D16" i="97"/>
  <c r="D22" i="97"/>
  <c r="D28" i="97"/>
  <c r="D34" i="97"/>
  <c r="D40" i="97"/>
  <c r="D44" i="97"/>
  <c r="D48" i="97"/>
  <c r="E5" i="98"/>
  <c r="F5" i="98" s="1"/>
  <c r="E29" i="98"/>
  <c r="F29" i="98" s="1"/>
  <c r="D52" i="98"/>
  <c r="D48" i="98"/>
  <c r="D44" i="98"/>
  <c r="D38" i="98"/>
  <c r="D32" i="98"/>
  <c r="D26" i="98"/>
  <c r="D20" i="98"/>
  <c r="D14" i="98"/>
  <c r="D64" i="98"/>
  <c r="D49" i="98"/>
  <c r="D45" i="98"/>
  <c r="D40" i="98"/>
  <c r="D34" i="98"/>
  <c r="D28" i="98"/>
  <c r="D22" i="98"/>
  <c r="D16" i="98"/>
  <c r="D10" i="98"/>
  <c r="D4" i="98"/>
  <c r="D65" i="98"/>
  <c r="D11" i="98"/>
  <c r="E19" i="98"/>
  <c r="F19" i="98" s="1"/>
  <c r="D23" i="98"/>
  <c r="D35" i="98"/>
  <c r="D46" i="98"/>
  <c r="E41" i="98"/>
  <c r="F41" i="98" s="1"/>
  <c r="E56" i="98"/>
  <c r="F56" i="98" s="1"/>
  <c r="D7" i="98"/>
  <c r="D8" i="98" s="1"/>
  <c r="E73" i="99"/>
  <c r="F73" i="99" s="1"/>
  <c r="D95" i="99"/>
  <c r="D85" i="99"/>
  <c r="D75" i="99"/>
  <c r="D71" i="99"/>
  <c r="D67" i="99"/>
  <c r="D61" i="99"/>
  <c r="D55" i="99"/>
  <c r="D49" i="99"/>
  <c r="D43" i="99"/>
  <c r="D37" i="99"/>
  <c r="D31" i="99"/>
  <c r="D25" i="99"/>
  <c r="D19" i="99"/>
  <c r="D13" i="99"/>
  <c r="D96" i="99"/>
  <c r="D81" i="99"/>
  <c r="D76" i="99"/>
  <c r="D72" i="99"/>
  <c r="D68" i="99"/>
  <c r="D62" i="99"/>
  <c r="D56" i="99"/>
  <c r="D11" i="99"/>
  <c r="D22" i="99"/>
  <c r="D32" i="99"/>
  <c r="D35" i="99"/>
  <c r="E40" i="99"/>
  <c r="F40" i="99" s="1"/>
  <c r="D46" i="99"/>
  <c r="D65" i="99"/>
  <c r="D74" i="99"/>
  <c r="D94" i="99"/>
  <c r="D4" i="99"/>
  <c r="D14" i="99"/>
  <c r="D17" i="99"/>
  <c r="D28" i="99"/>
  <c r="D38" i="99"/>
  <c r="D41" i="99"/>
  <c r="D52" i="99"/>
  <c r="D58" i="99"/>
  <c r="D69" i="99"/>
  <c r="D77" i="99"/>
  <c r="D10" i="99"/>
  <c r="D20" i="99"/>
  <c r="D23" i="99"/>
  <c r="D34" i="99"/>
  <c r="D44" i="99"/>
  <c r="D47" i="99"/>
  <c r="D59" i="99"/>
  <c r="D70" i="99"/>
  <c r="D89" i="99"/>
  <c r="F26" i="26" l="1"/>
  <c r="F16" i="63"/>
  <c r="F25" i="65"/>
  <c r="F31" i="44"/>
  <c r="D55" i="51"/>
  <c r="F38" i="33"/>
  <c r="F50" i="99"/>
  <c r="F57" i="83"/>
  <c r="F14" i="63"/>
  <c r="F65" i="49"/>
  <c r="F13" i="62"/>
  <c r="D67" i="49"/>
  <c r="D68" i="49" s="1"/>
  <c r="F13" i="98"/>
  <c r="F25" i="36"/>
  <c r="F38" i="57"/>
  <c r="F52" i="44"/>
  <c r="F58" i="57"/>
  <c r="F44" i="64"/>
  <c r="F62" i="82"/>
  <c r="D29" i="79"/>
  <c r="D30" i="79" s="1"/>
  <c r="D67" i="78"/>
  <c r="F49" i="64"/>
  <c r="F26" i="97"/>
  <c r="F10" i="90"/>
  <c r="F26" i="21"/>
  <c r="F41" i="71"/>
  <c r="D59" i="97"/>
  <c r="E59" i="97" s="1"/>
  <c r="F59" i="97" s="1"/>
  <c r="D64" i="82"/>
  <c r="D65" i="82" s="1"/>
  <c r="F77" i="55"/>
  <c r="E4" i="36"/>
  <c r="C68" i="110" s="1"/>
  <c r="I68" i="110" s="1"/>
  <c r="F13" i="80"/>
  <c r="F20" i="24"/>
  <c r="F53" i="51"/>
  <c r="D60" i="90"/>
  <c r="F62" i="55"/>
  <c r="E60" i="90"/>
  <c r="F4" i="90"/>
  <c r="D109" i="55"/>
  <c r="F68" i="25"/>
  <c r="F31" i="17"/>
  <c r="E54" i="82"/>
  <c r="F54" i="82" s="1"/>
  <c r="F43" i="31"/>
  <c r="E55" i="28"/>
  <c r="F55" i="28" s="1"/>
  <c r="F44" i="34"/>
  <c r="F20" i="78"/>
  <c r="F56" i="17"/>
  <c r="F14" i="72"/>
  <c r="F59" i="73"/>
  <c r="D79" i="69"/>
  <c r="D80" i="69" s="1"/>
  <c r="E38" i="80"/>
  <c r="F38" i="80" s="1"/>
  <c r="F48" i="63"/>
  <c r="E4" i="87"/>
  <c r="C17" i="110" s="1"/>
  <c r="I17" i="110" s="1"/>
  <c r="F68" i="55"/>
  <c r="F13" i="71"/>
  <c r="F31" i="38"/>
  <c r="F48" i="44"/>
  <c r="F32" i="24"/>
  <c r="D99" i="56"/>
  <c r="D100" i="56" s="1"/>
  <c r="F13" i="35"/>
  <c r="D70" i="93"/>
  <c r="D71" i="93" s="1"/>
  <c r="E71" i="93" s="1"/>
  <c r="F71" i="93" s="1"/>
  <c r="F26" i="33"/>
  <c r="D60" i="34"/>
  <c r="E60" i="34" s="1"/>
  <c r="F60" i="34" s="1"/>
  <c r="F20" i="33"/>
  <c r="F26" i="64"/>
  <c r="E44" i="61"/>
  <c r="F44" i="61" s="1"/>
  <c r="D55" i="90"/>
  <c r="D56" i="90" s="1"/>
  <c r="F31" i="70"/>
  <c r="F60" i="64"/>
  <c r="D53" i="11"/>
  <c r="D54" i="11" s="1"/>
  <c r="D62" i="64"/>
  <c r="D63" i="64" s="1"/>
  <c r="E63" i="64" s="1"/>
  <c r="F63" i="64" s="1"/>
  <c r="E4" i="61"/>
  <c r="F4" i="61" s="1"/>
  <c r="F51" i="11"/>
  <c r="F38" i="87"/>
  <c r="F13" i="82"/>
  <c r="F48" i="61"/>
  <c r="F26" i="99"/>
  <c r="F34" i="50"/>
  <c r="F58" i="34"/>
  <c r="F26" i="77"/>
  <c r="F25" i="62"/>
  <c r="E53" i="35"/>
  <c r="F53" i="35" s="1"/>
  <c r="F31" i="31"/>
  <c r="F43" i="82"/>
  <c r="F107" i="55"/>
  <c r="F30" i="52"/>
  <c r="F13" i="45"/>
  <c r="F32" i="34"/>
  <c r="F13" i="29"/>
  <c r="D36" i="50"/>
  <c r="F43" i="33"/>
  <c r="F14" i="21"/>
  <c r="F47" i="70"/>
  <c r="F32" i="69"/>
  <c r="F52" i="69"/>
  <c r="F20" i="26"/>
  <c r="F69" i="72"/>
  <c r="F73" i="55"/>
  <c r="F26" i="55"/>
  <c r="F31" i="71"/>
  <c r="F38" i="28"/>
  <c r="F81" i="55"/>
  <c r="F44" i="69"/>
  <c r="E68" i="37"/>
  <c r="F68" i="37" s="1"/>
  <c r="F20" i="34"/>
  <c r="D54" i="85"/>
  <c r="F52" i="31"/>
  <c r="F26" i="80"/>
  <c r="F38" i="62"/>
  <c r="F62" i="75"/>
  <c r="E4" i="89"/>
  <c r="F4" i="89" s="1"/>
  <c r="F14" i="64"/>
  <c r="F20" i="61"/>
  <c r="F32" i="57"/>
  <c r="F54" i="49"/>
  <c r="E67" i="28"/>
  <c r="F67" i="28" s="1"/>
  <c r="F37" i="31"/>
  <c r="F26" i="25"/>
  <c r="E73" i="69"/>
  <c r="F73" i="69" s="1"/>
  <c r="F32" i="87"/>
  <c r="D57" i="82"/>
  <c r="E57" i="82" s="1"/>
  <c r="F57" i="82" s="1"/>
  <c r="E40" i="80"/>
  <c r="E47" i="80" s="1"/>
  <c r="E24" i="110" s="1"/>
  <c r="K24" i="110" s="1"/>
  <c r="E53" i="15"/>
  <c r="F53" i="15" s="1"/>
  <c r="F26" i="30"/>
  <c r="F20" i="25"/>
  <c r="E4" i="77"/>
  <c r="C27" i="110" s="1"/>
  <c r="I27" i="110" s="1"/>
  <c r="F37" i="71"/>
  <c r="D59" i="89"/>
  <c r="D60" i="89" s="1"/>
  <c r="F40" i="52"/>
  <c r="F44" i="49"/>
  <c r="F60" i="36"/>
  <c r="F43" i="35"/>
  <c r="F24" i="29"/>
  <c r="F37" i="11"/>
  <c r="F31" i="36"/>
  <c r="F47" i="31"/>
  <c r="D47" i="80"/>
  <c r="F4" i="71"/>
  <c r="C33" i="110"/>
  <c r="I33" i="110" s="1"/>
  <c r="F67" i="100"/>
  <c r="F4" i="85"/>
  <c r="C19" i="110"/>
  <c r="I19" i="110" s="1"/>
  <c r="E45" i="80"/>
  <c r="C24" i="110"/>
  <c r="I24" i="110" s="1"/>
  <c r="F4" i="78"/>
  <c r="C26" i="110"/>
  <c r="I26" i="110" s="1"/>
  <c r="F46" i="87"/>
  <c r="D112" i="56"/>
  <c r="E112" i="56" s="1"/>
  <c r="F112" i="56" s="1"/>
  <c r="F36" i="52"/>
  <c r="E4" i="41"/>
  <c r="C72" i="110" s="1"/>
  <c r="I72" i="110" s="1"/>
  <c r="F14" i="30"/>
  <c r="E109" i="56"/>
  <c r="F109" i="56" s="1"/>
  <c r="E4" i="55"/>
  <c r="D62" i="98"/>
  <c r="D63" i="98" s="1"/>
  <c r="E63" i="98" s="1"/>
  <c r="F63" i="98" s="1"/>
  <c r="E56" i="97"/>
  <c r="F56" i="97" s="1"/>
  <c r="E61" i="83"/>
  <c r="F61" i="83" s="1"/>
  <c r="E48" i="36"/>
  <c r="F48" i="36" s="1"/>
  <c r="F143" i="56"/>
  <c r="D64" i="71"/>
  <c r="F37" i="62"/>
  <c r="D48" i="87"/>
  <c r="D49" i="87" s="1"/>
  <c r="E49" i="87" s="1"/>
  <c r="F49" i="87" s="1"/>
  <c r="E4" i="83"/>
  <c r="C21" i="110" s="1"/>
  <c r="I21" i="110" s="1"/>
  <c r="F14" i="24"/>
  <c r="D64" i="83"/>
  <c r="E64" i="83" s="1"/>
  <c r="F64" i="83" s="1"/>
  <c r="F67" i="82"/>
  <c r="F111" i="56"/>
  <c r="F20" i="11"/>
  <c r="F13" i="17"/>
  <c r="E84" i="37"/>
  <c r="F84" i="37" s="1"/>
  <c r="D71" i="37"/>
  <c r="E71" i="37" s="1"/>
  <c r="F71" i="37" s="1"/>
  <c r="F20" i="63"/>
  <c r="F45" i="63"/>
  <c r="F38" i="63"/>
  <c r="F13" i="68"/>
  <c r="D58" i="72"/>
  <c r="D59" i="72" s="1"/>
  <c r="E59" i="72" s="1"/>
  <c r="F59" i="72" s="1"/>
  <c r="F56" i="72"/>
  <c r="F40" i="78"/>
  <c r="D31" i="96"/>
  <c r="D32" i="96" s="1"/>
  <c r="E32" i="96" s="1"/>
  <c r="F32" i="96" s="1"/>
  <c r="D7" i="99"/>
  <c r="D56" i="85"/>
  <c r="F32" i="51"/>
  <c r="F20" i="30"/>
  <c r="F19" i="23"/>
  <c r="D55" i="83"/>
  <c r="E55" i="83" s="1"/>
  <c r="D45" i="85"/>
  <c r="E45" i="85" s="1"/>
  <c r="F45" i="85" s="1"/>
  <c r="F51" i="62"/>
  <c r="F26" i="61"/>
  <c r="E61" i="49"/>
  <c r="F61" i="49" s="1"/>
  <c r="F36" i="38"/>
  <c r="F22" i="90"/>
  <c r="E44" i="85"/>
  <c r="F44" i="85" s="1"/>
  <c r="F56" i="85" s="1"/>
  <c r="F57" i="51"/>
  <c r="F13" i="44"/>
  <c r="F82" i="69"/>
  <c r="E68" i="33"/>
  <c r="F68" i="33" s="1"/>
  <c r="D75" i="30"/>
  <c r="D76" i="30" s="1"/>
  <c r="F37" i="26"/>
  <c r="F38" i="64"/>
  <c r="F14" i="55"/>
  <c r="F44" i="25"/>
  <c r="F53" i="34"/>
  <c r="F37" i="14"/>
  <c r="E4" i="82"/>
  <c r="F13" i="65"/>
  <c r="E4" i="57"/>
  <c r="C47" i="110" s="1"/>
  <c r="I47" i="110" s="1"/>
  <c r="F56" i="36"/>
  <c r="F73" i="30"/>
  <c r="D73" i="28"/>
  <c r="E73" i="28" s="1"/>
  <c r="F73" i="28" s="1"/>
  <c r="D59" i="51"/>
  <c r="D60" i="51" s="1"/>
  <c r="F61" i="87"/>
  <c r="F47" i="17"/>
  <c r="F41" i="11"/>
  <c r="F49" i="77"/>
  <c r="F32" i="77"/>
  <c r="F14" i="77"/>
  <c r="E4" i="11"/>
  <c r="F28" i="80"/>
  <c r="F28" i="90"/>
  <c r="F26" i="69"/>
  <c r="D93" i="55"/>
  <c r="D94" i="55" s="1"/>
  <c r="F32" i="55"/>
  <c r="D50" i="31"/>
  <c r="D51" i="31" s="1"/>
  <c r="E51" i="31" s="1"/>
  <c r="F51" i="31" s="1"/>
  <c r="D59" i="30"/>
  <c r="E59" i="30" s="1"/>
  <c r="F59" i="30" s="1"/>
  <c r="F44" i="63"/>
  <c r="F83" i="30"/>
  <c r="F44" i="30"/>
  <c r="F40" i="21"/>
  <c r="F43" i="17"/>
  <c r="F48" i="77"/>
  <c r="E58" i="77"/>
  <c r="F58" i="77" s="1"/>
  <c r="E4" i="51"/>
  <c r="F31" i="62"/>
  <c r="F64" i="25"/>
  <c r="D45" i="80"/>
  <c r="F25" i="98"/>
  <c r="F26" i="57"/>
  <c r="F44" i="28"/>
  <c r="F37" i="17"/>
  <c r="F25" i="14"/>
  <c r="F4" i="80"/>
  <c r="F14" i="62"/>
  <c r="F14" i="87"/>
  <c r="E87" i="55"/>
  <c r="F87" i="55" s="1"/>
  <c r="F14" i="51"/>
  <c r="F32" i="30"/>
  <c r="D66" i="25"/>
  <c r="E66" i="25" s="1"/>
  <c r="F66" i="25" s="1"/>
  <c r="F50" i="14"/>
  <c r="E52" i="71"/>
  <c r="F52" i="71" s="1"/>
  <c r="D79" i="30"/>
  <c r="E79" i="30" s="1"/>
  <c r="F14" i="38"/>
  <c r="F37" i="98"/>
  <c r="F31" i="68"/>
  <c r="F91" i="55"/>
  <c r="F19" i="50"/>
  <c r="F57" i="30"/>
  <c r="F43" i="26"/>
  <c r="F26" i="71"/>
  <c r="F47" i="65"/>
  <c r="F38" i="55"/>
  <c r="F73" i="51"/>
  <c r="D54" i="31"/>
  <c r="D55" i="31" s="1"/>
  <c r="E55" i="31" s="1"/>
  <c r="F55" i="31" s="1"/>
  <c r="D45" i="26"/>
  <c r="D46" i="26" s="1"/>
  <c r="E46" i="26" s="1"/>
  <c r="F46" i="26" s="1"/>
  <c r="F48" i="25"/>
  <c r="F13" i="14"/>
  <c r="F10" i="78"/>
  <c r="F13" i="31"/>
  <c r="F32" i="28"/>
  <c r="D70" i="25"/>
  <c r="D71" i="25" s="1"/>
  <c r="E71" i="25" s="1"/>
  <c r="F71" i="25" s="1"/>
  <c r="F38" i="25"/>
  <c r="F37" i="77"/>
  <c r="F32" i="97"/>
  <c r="F43" i="70"/>
  <c r="F29" i="50"/>
  <c r="D65" i="44"/>
  <c r="D66" i="44" s="1"/>
  <c r="F26" i="28"/>
  <c r="F63" i="97"/>
  <c r="F42" i="87"/>
  <c r="E77" i="83"/>
  <c r="F77" i="83" s="1"/>
  <c r="F44" i="55"/>
  <c r="F14" i="33"/>
  <c r="F30" i="29"/>
  <c r="D52" i="78"/>
  <c r="D53" i="78" s="1"/>
  <c r="F32" i="71"/>
  <c r="D71" i="83"/>
  <c r="E71" i="83" s="1"/>
  <c r="F71" i="83" s="1"/>
  <c r="F53" i="30"/>
  <c r="F20" i="28"/>
  <c r="F33" i="23"/>
  <c r="D47" i="14"/>
  <c r="D48" i="14" s="1"/>
  <c r="E48" i="14" s="1"/>
  <c r="F48" i="14" s="1"/>
  <c r="F19" i="80"/>
  <c r="F73" i="34"/>
  <c r="F38" i="34"/>
  <c r="F32" i="33"/>
  <c r="F126" i="55"/>
  <c r="F32" i="49"/>
  <c r="F41" i="36"/>
  <c r="F32" i="26"/>
  <c r="F45" i="14"/>
  <c r="D80" i="83"/>
  <c r="E80" i="83" s="1"/>
  <c r="F80" i="83" s="1"/>
  <c r="E4" i="37"/>
  <c r="D32" i="29"/>
  <c r="D33" i="29" s="1"/>
  <c r="E33" i="29" s="1"/>
  <c r="F33" i="29" s="1"/>
  <c r="F68" i="77"/>
  <c r="F20" i="71"/>
  <c r="E52" i="97"/>
  <c r="F52" i="97" s="1"/>
  <c r="F13" i="70"/>
  <c r="E57" i="69"/>
  <c r="F57" i="69" s="1"/>
  <c r="F37" i="68"/>
  <c r="F43" i="65"/>
  <c r="F26" i="49"/>
  <c r="F25" i="44"/>
  <c r="F47" i="33"/>
  <c r="F28" i="23"/>
  <c r="F26" i="79"/>
  <c r="E4" i="30"/>
  <c r="F20" i="87"/>
  <c r="F41" i="62"/>
  <c r="D59" i="35"/>
  <c r="D60" i="35" s="1"/>
  <c r="E60" i="35" s="1"/>
  <c r="F60" i="35" s="1"/>
  <c r="F26" i="34"/>
  <c r="F19" i="29"/>
  <c r="F19" i="17"/>
  <c r="D71" i="73"/>
  <c r="D72" i="73" s="1"/>
  <c r="F122" i="55"/>
  <c r="F42" i="51"/>
  <c r="F32" i="25"/>
  <c r="F20" i="21"/>
  <c r="F14" i="97"/>
  <c r="F77" i="69"/>
  <c r="F48" i="69"/>
  <c r="D87" i="56"/>
  <c r="D88" i="56" s="1"/>
  <c r="F57" i="35"/>
  <c r="E52" i="33"/>
  <c r="F52" i="33" s="1"/>
  <c r="F13" i="88"/>
  <c r="F32" i="64"/>
  <c r="F56" i="55"/>
  <c r="F56" i="33"/>
  <c r="F41" i="24"/>
  <c r="F25" i="75"/>
  <c r="D58" i="33"/>
  <c r="E58" i="33" s="1"/>
  <c r="F58" i="33" s="1"/>
  <c r="F19" i="70"/>
  <c r="F44" i="52"/>
  <c r="F19" i="36"/>
  <c r="F14" i="28"/>
  <c r="E4" i="21"/>
  <c r="F32" i="63"/>
  <c r="F43" i="57"/>
  <c r="F85" i="56"/>
  <c r="F19" i="38"/>
  <c r="F25" i="31"/>
  <c r="D46" i="72"/>
  <c r="D47" i="72" s="1"/>
  <c r="F20" i="14"/>
  <c r="E54" i="34"/>
  <c r="F54" i="34" s="1"/>
  <c r="E4" i="28"/>
  <c r="E78" i="28" s="1"/>
  <c r="F28" i="63"/>
  <c r="F54" i="93"/>
  <c r="F53" i="90"/>
  <c r="F25" i="68"/>
  <c r="F37" i="65"/>
  <c r="F47" i="62"/>
  <c r="F20" i="55"/>
  <c r="F14" i="34"/>
  <c r="F38" i="30"/>
  <c r="F34" i="29"/>
  <c r="E53" i="75"/>
  <c r="F53" i="75" s="1"/>
  <c r="F55" i="75"/>
  <c r="F20" i="69"/>
  <c r="D49" i="62"/>
  <c r="D50" i="62" s="1"/>
  <c r="D8" i="52"/>
  <c r="D9" i="52" s="1"/>
  <c r="F39" i="50"/>
  <c r="D46" i="71"/>
  <c r="D47" i="71" s="1"/>
  <c r="E47" i="71" s="1"/>
  <c r="F47" i="71" s="1"/>
  <c r="E47" i="85"/>
  <c r="F47" i="85" s="1"/>
  <c r="F19" i="68"/>
  <c r="F12" i="52"/>
  <c r="F32" i="11"/>
  <c r="D50" i="85"/>
  <c r="E50" i="85" s="1"/>
  <c r="F50" i="85" s="1"/>
  <c r="E42" i="85"/>
  <c r="F42" i="85" s="1"/>
  <c r="F31" i="82"/>
  <c r="F14" i="61"/>
  <c r="F6" i="52"/>
  <c r="F20" i="49"/>
  <c r="F31" i="35"/>
  <c r="F14" i="26"/>
  <c r="F43" i="75"/>
  <c r="D71" i="51"/>
  <c r="D72" i="51" s="1"/>
  <c r="F38" i="51"/>
  <c r="D87" i="37"/>
  <c r="E87" i="37" s="1"/>
  <c r="F87" i="37" s="1"/>
  <c r="F51" i="33"/>
  <c r="F49" i="30"/>
  <c r="F26" i="11"/>
  <c r="F53" i="77"/>
  <c r="D56" i="75"/>
  <c r="E56" i="75" s="1"/>
  <c r="F56" i="75" s="1"/>
  <c r="F14" i="71"/>
  <c r="F52" i="25"/>
  <c r="F60" i="17"/>
  <c r="F14" i="94"/>
  <c r="F43" i="77"/>
  <c r="F34" i="63"/>
  <c r="D71" i="49"/>
  <c r="D72" i="49" s="1"/>
  <c r="E72" i="49" s="1"/>
  <c r="F72" i="49" s="1"/>
  <c r="F14" i="49"/>
  <c r="F37" i="35"/>
  <c r="D76" i="33"/>
  <c r="E76" i="33" s="1"/>
  <c r="F76" i="33" s="1"/>
  <c r="D49" i="26"/>
  <c r="E49" i="26" s="1"/>
  <c r="F49" i="26" s="1"/>
  <c r="D31" i="23"/>
  <c r="D38" i="23" s="1"/>
  <c r="D63" i="72"/>
  <c r="E63" i="72" s="1"/>
  <c r="F63" i="72" s="1"/>
  <c r="F47" i="26"/>
  <c r="F56" i="77"/>
  <c r="E60" i="72"/>
  <c r="F60" i="72" s="1"/>
  <c r="F14" i="17"/>
  <c r="F13" i="50"/>
  <c r="D54" i="25"/>
  <c r="E54" i="25" s="1"/>
  <c r="F54" i="25" s="1"/>
  <c r="F29" i="23"/>
  <c r="F14" i="11"/>
  <c r="F82" i="73"/>
  <c r="F25" i="80"/>
  <c r="F13" i="36"/>
  <c r="F73" i="25"/>
  <c r="F37" i="24"/>
  <c r="D57" i="77"/>
  <c r="E57" i="77" s="1"/>
  <c r="F57" i="77" s="1"/>
  <c r="F66" i="77"/>
  <c r="D63" i="51"/>
  <c r="E54" i="77"/>
  <c r="F54" i="77" s="1"/>
  <c r="F56" i="100"/>
  <c r="F65" i="100" s="1"/>
  <c r="F47" i="11"/>
  <c r="D57" i="26"/>
  <c r="D65" i="26" s="1"/>
  <c r="F20" i="64"/>
  <c r="D57" i="63"/>
  <c r="F77" i="51"/>
  <c r="E4" i="49"/>
  <c r="F37" i="44"/>
  <c r="F49" i="34"/>
  <c r="D62" i="25"/>
  <c r="D63" i="25" s="1"/>
  <c r="E63" i="25" s="1"/>
  <c r="F63" i="25" s="1"/>
  <c r="F24" i="23"/>
  <c r="F37" i="70"/>
  <c r="D66" i="64"/>
  <c r="F20" i="57"/>
  <c r="F127" i="56"/>
  <c r="F24" i="52"/>
  <c r="F69" i="49"/>
  <c r="F37" i="36"/>
  <c r="F87" i="30"/>
  <c r="D41" i="21"/>
  <c r="D48" i="21" s="1"/>
  <c r="F38" i="73"/>
  <c r="D86" i="69"/>
  <c r="D94" i="69" s="1"/>
  <c r="F64" i="64"/>
  <c r="F38" i="49"/>
  <c r="F25" i="38"/>
  <c r="F54" i="28"/>
  <c r="E36" i="21"/>
  <c r="F36" i="21" s="1"/>
  <c r="F19" i="14"/>
  <c r="D49" i="11"/>
  <c r="E49" i="11" s="1"/>
  <c r="F49" i="11" s="1"/>
  <c r="F26" i="73"/>
  <c r="D64" i="77"/>
  <c r="E64" i="77" s="1"/>
  <c r="F64" i="77" s="1"/>
  <c r="F14" i="57"/>
  <c r="F18" i="52"/>
  <c r="D51" i="41"/>
  <c r="E51" i="41" s="1"/>
  <c r="F51" i="41" s="1"/>
  <c r="F69" i="30"/>
  <c r="F14" i="25"/>
  <c r="F13" i="23"/>
  <c r="F32" i="93"/>
  <c r="D7" i="79"/>
  <c r="D8" i="79" s="1"/>
  <c r="E8" i="79" s="1"/>
  <c r="F8" i="79" s="1"/>
  <c r="F37" i="72"/>
  <c r="F14" i="73"/>
  <c r="F62" i="77"/>
  <c r="D76" i="70"/>
  <c r="D83" i="70" s="1"/>
  <c r="F19" i="62"/>
  <c r="E103" i="55"/>
  <c r="F103" i="55" s="1"/>
  <c r="F50" i="28"/>
  <c r="F30" i="21"/>
  <c r="F56" i="69"/>
  <c r="F14" i="69"/>
  <c r="D127" i="55"/>
  <c r="E127" i="55" s="1"/>
  <c r="F127" i="55" s="1"/>
  <c r="F19" i="44"/>
  <c r="E4" i="33"/>
  <c r="E79" i="33" s="1"/>
  <c r="F38" i="78"/>
  <c r="F5" i="84"/>
  <c r="F31" i="65"/>
  <c r="F43" i="61"/>
  <c r="F13" i="38"/>
  <c r="F25" i="35"/>
  <c r="F72" i="33"/>
  <c r="E48" i="41"/>
  <c r="F48" i="41" s="1"/>
  <c r="D71" i="30"/>
  <c r="F31" i="14"/>
  <c r="E69" i="100"/>
  <c r="F4" i="110" s="1"/>
  <c r="L4" i="110" s="1"/>
  <c r="M4" i="110" s="1"/>
  <c r="D97" i="99"/>
  <c r="D60" i="83"/>
  <c r="D97" i="81"/>
  <c r="E97" i="81" s="1"/>
  <c r="F97" i="81" s="1"/>
  <c r="D95" i="68"/>
  <c r="D103" i="68" s="1"/>
  <c r="D72" i="41"/>
  <c r="D75" i="10"/>
  <c r="D86" i="10" s="1"/>
  <c r="F16" i="80"/>
  <c r="F25" i="77"/>
  <c r="E22" i="25"/>
  <c r="F22" i="25" s="1"/>
  <c r="E45" i="25"/>
  <c r="F45" i="25" s="1"/>
  <c r="E10" i="26"/>
  <c r="F10" i="26" s="1"/>
  <c r="E34" i="26"/>
  <c r="F34" i="26" s="1"/>
  <c r="E16" i="30"/>
  <c r="F16" i="30" s="1"/>
  <c r="E40" i="30"/>
  <c r="F40" i="30" s="1"/>
  <c r="E61" i="30"/>
  <c r="F61" i="30" s="1"/>
  <c r="D63" i="30"/>
  <c r="E60" i="33"/>
  <c r="F60" i="33" s="1"/>
  <c r="D62" i="33"/>
  <c r="D63" i="33" s="1"/>
  <c r="E63" i="33" s="1"/>
  <c r="F63" i="33" s="1"/>
  <c r="E63" i="28"/>
  <c r="F63" i="28" s="1"/>
  <c r="D65" i="28"/>
  <c r="D66" i="28" s="1"/>
  <c r="E66" i="28" s="1"/>
  <c r="F66" i="28" s="1"/>
  <c r="E10" i="30"/>
  <c r="F10" i="30" s="1"/>
  <c r="E22" i="34"/>
  <c r="F22" i="34" s="1"/>
  <c r="E46" i="34"/>
  <c r="F46" i="34" s="1"/>
  <c r="D76" i="34"/>
  <c r="E4" i="34"/>
  <c r="C70" i="110" s="1"/>
  <c r="I70" i="110" s="1"/>
  <c r="E57" i="49"/>
  <c r="F57" i="49" s="1"/>
  <c r="D59" i="49"/>
  <c r="E111" i="55"/>
  <c r="F111" i="55" s="1"/>
  <c r="D113" i="55"/>
  <c r="D114" i="55" s="1"/>
  <c r="E114" i="55" s="1"/>
  <c r="F114" i="55" s="1"/>
  <c r="E22" i="51"/>
  <c r="F22" i="51" s="1"/>
  <c r="E32" i="62"/>
  <c r="F32" i="62" s="1"/>
  <c r="E26" i="68"/>
  <c r="F26" i="68" s="1"/>
  <c r="E73" i="83"/>
  <c r="F73" i="83" s="1"/>
  <c r="D75" i="83"/>
  <c r="E75" i="83" s="1"/>
  <c r="F75" i="83" s="1"/>
  <c r="E38" i="83"/>
  <c r="F38" i="83" s="1"/>
  <c r="E14" i="83"/>
  <c r="F14" i="83" s="1"/>
  <c r="E10" i="69"/>
  <c r="F10" i="69" s="1"/>
  <c r="E34" i="69"/>
  <c r="F34" i="69" s="1"/>
  <c r="E53" i="69"/>
  <c r="F53" i="69" s="1"/>
  <c r="D47" i="39"/>
  <c r="D55" i="39" s="1"/>
  <c r="D33" i="20"/>
  <c r="D41" i="20" s="1"/>
  <c r="D54" i="9"/>
  <c r="D62" i="9" s="1"/>
  <c r="E20" i="17"/>
  <c r="F20" i="17" s="1"/>
  <c r="E28" i="25"/>
  <c r="F28" i="25" s="1"/>
  <c r="E49" i="25"/>
  <c r="F49" i="25" s="1"/>
  <c r="E16" i="26"/>
  <c r="F16" i="26" s="1"/>
  <c r="E38" i="26"/>
  <c r="F38" i="26" s="1"/>
  <c r="E59" i="28"/>
  <c r="F59" i="28" s="1"/>
  <c r="D61" i="28"/>
  <c r="E25" i="29"/>
  <c r="F25" i="29" s="1"/>
  <c r="E22" i="30"/>
  <c r="F22" i="30" s="1"/>
  <c r="E46" i="30"/>
  <c r="F46" i="30" s="1"/>
  <c r="E51" i="26"/>
  <c r="F51" i="26" s="1"/>
  <c r="D53" i="26"/>
  <c r="E28" i="34"/>
  <c r="F28" i="34" s="1"/>
  <c r="E50" i="34"/>
  <c r="F50" i="34" s="1"/>
  <c r="E62" i="34"/>
  <c r="F62" i="34" s="1"/>
  <c r="D64" i="34"/>
  <c r="E95" i="55"/>
  <c r="F95" i="55" s="1"/>
  <c r="D97" i="55"/>
  <c r="E26" i="62"/>
  <c r="F26" i="62" s="1"/>
  <c r="E20" i="68"/>
  <c r="F20" i="68" s="1"/>
  <c r="E39" i="51"/>
  <c r="F39" i="51" s="1"/>
  <c r="E16" i="51"/>
  <c r="F16" i="51" s="1"/>
  <c r="E52" i="83"/>
  <c r="F52" i="83" s="1"/>
  <c r="E32" i="83"/>
  <c r="F32" i="83" s="1"/>
  <c r="E16" i="69"/>
  <c r="F16" i="69" s="1"/>
  <c r="E40" i="69"/>
  <c r="F40" i="69" s="1"/>
  <c r="E65" i="69"/>
  <c r="F65" i="69" s="1"/>
  <c r="D67" i="69"/>
  <c r="E13" i="85"/>
  <c r="F13" i="85" s="1"/>
  <c r="D49" i="88"/>
  <c r="E49" i="88" s="1"/>
  <c r="F49" i="88" s="1"/>
  <c r="D52" i="85"/>
  <c r="D59" i="85" s="1"/>
  <c r="D74" i="49"/>
  <c r="D82" i="49" s="1"/>
  <c r="D58" i="32"/>
  <c r="D66" i="32" s="1"/>
  <c r="D74" i="22"/>
  <c r="D82" i="22" s="1"/>
  <c r="D71" i="91"/>
  <c r="D78" i="91" s="1"/>
  <c r="E32" i="14"/>
  <c r="F32" i="14" s="1"/>
  <c r="E26" i="17"/>
  <c r="F26" i="17" s="1"/>
  <c r="E26" i="14"/>
  <c r="F26" i="14" s="1"/>
  <c r="E10" i="25"/>
  <c r="F10" i="25" s="1"/>
  <c r="E34" i="25"/>
  <c r="F34" i="25" s="1"/>
  <c r="E56" i="25"/>
  <c r="F56" i="25" s="1"/>
  <c r="D58" i="25"/>
  <c r="E22" i="26"/>
  <c r="F22" i="26" s="1"/>
  <c r="E28" i="30"/>
  <c r="F28" i="30" s="1"/>
  <c r="E50" i="30"/>
  <c r="F50" i="30" s="1"/>
  <c r="E20" i="38"/>
  <c r="F20" i="38" s="1"/>
  <c r="E26" i="38"/>
  <c r="F26" i="38" s="1"/>
  <c r="E10" i="34"/>
  <c r="F10" i="34" s="1"/>
  <c r="E34" i="34"/>
  <c r="F34" i="34" s="1"/>
  <c r="E45" i="51"/>
  <c r="F45" i="51" s="1"/>
  <c r="D47" i="51"/>
  <c r="E14" i="35"/>
  <c r="F14" i="35" s="1"/>
  <c r="E34" i="51"/>
  <c r="F34" i="51" s="1"/>
  <c r="E10" i="51"/>
  <c r="F10" i="51" s="1"/>
  <c r="E46" i="57"/>
  <c r="F46" i="57" s="1"/>
  <c r="D48" i="57"/>
  <c r="D49" i="57" s="1"/>
  <c r="E49" i="57" s="1"/>
  <c r="F49" i="57" s="1"/>
  <c r="E48" i="83"/>
  <c r="F48" i="83" s="1"/>
  <c r="E26" i="83"/>
  <c r="F26" i="83" s="1"/>
  <c r="E22" i="69"/>
  <c r="F22" i="69" s="1"/>
  <c r="E45" i="69"/>
  <c r="F45" i="69" s="1"/>
  <c r="D72" i="86"/>
  <c r="E72" i="86" s="1"/>
  <c r="F72" i="86" s="1"/>
  <c r="D68" i="65"/>
  <c r="D75" i="65" s="1"/>
  <c r="D40" i="50"/>
  <c r="D47" i="50" s="1"/>
  <c r="D71" i="40"/>
  <c r="D79" i="40" s="1"/>
  <c r="D70" i="95"/>
  <c r="D78" i="95" s="1"/>
  <c r="F31" i="77"/>
  <c r="E25" i="23"/>
  <c r="F25" i="23" s="1"/>
  <c r="D76" i="25"/>
  <c r="E4" i="25"/>
  <c r="C79" i="110" s="1"/>
  <c r="I79" i="110" s="1"/>
  <c r="D60" i="26"/>
  <c r="E4" i="26"/>
  <c r="C78" i="110" s="1"/>
  <c r="I78" i="110" s="1"/>
  <c r="E16" i="25"/>
  <c r="F16" i="25" s="1"/>
  <c r="E40" i="25"/>
  <c r="F40" i="25" s="1"/>
  <c r="E28" i="26"/>
  <c r="F28" i="26" s="1"/>
  <c r="E14" i="29"/>
  <c r="F14" i="29" s="1"/>
  <c r="E34" i="30"/>
  <c r="F34" i="30" s="1"/>
  <c r="E54" i="30"/>
  <c r="F54" i="30" s="1"/>
  <c r="E16" i="34"/>
  <c r="F16" i="34" s="1"/>
  <c r="E40" i="34"/>
  <c r="F40" i="34" s="1"/>
  <c r="E51" i="63"/>
  <c r="F51" i="63" s="1"/>
  <c r="D53" i="63"/>
  <c r="D60" i="63"/>
  <c r="E4" i="63"/>
  <c r="E28" i="51"/>
  <c r="F28" i="51" s="1"/>
  <c r="E52" i="64"/>
  <c r="F52" i="64" s="1"/>
  <c r="D54" i="64"/>
  <c r="D72" i="64"/>
  <c r="E4" i="64"/>
  <c r="C40" i="110" s="1"/>
  <c r="I40" i="110" s="1"/>
  <c r="E44" i="83"/>
  <c r="F44" i="83" s="1"/>
  <c r="E20" i="83"/>
  <c r="F20" i="83" s="1"/>
  <c r="D89" i="69"/>
  <c r="E4" i="69"/>
  <c r="C35" i="110" s="1"/>
  <c r="I35" i="110" s="1"/>
  <c r="E28" i="69"/>
  <c r="F28" i="69" s="1"/>
  <c r="E49" i="69"/>
  <c r="F49" i="69" s="1"/>
  <c r="F26" i="72"/>
  <c r="F64" i="75"/>
  <c r="F13" i="75"/>
  <c r="F28" i="77"/>
  <c r="F40" i="77"/>
  <c r="F52" i="77"/>
  <c r="F19" i="77"/>
  <c r="E58" i="78"/>
  <c r="F58" i="78" s="1"/>
  <c r="F83" i="73"/>
  <c r="F50" i="73"/>
  <c r="F22" i="75"/>
  <c r="F45" i="75"/>
  <c r="E13" i="77"/>
  <c r="F13" i="77" s="1"/>
  <c r="F43" i="78"/>
  <c r="F36" i="80"/>
  <c r="F32" i="80"/>
  <c r="D59" i="76"/>
  <c r="D67" i="76" s="1"/>
  <c r="E31" i="78"/>
  <c r="F31" i="78" s="1"/>
  <c r="E48" i="78"/>
  <c r="F48" i="78" s="1"/>
  <c r="E73" i="73"/>
  <c r="F73" i="73" s="1"/>
  <c r="D75" i="73"/>
  <c r="D72" i="72"/>
  <c r="E72" i="72" s="1"/>
  <c r="E16" i="78"/>
  <c r="F16" i="78" s="1"/>
  <c r="E10" i="79"/>
  <c r="F10" i="79" s="1"/>
  <c r="D42" i="80"/>
  <c r="E42" i="80" s="1"/>
  <c r="F42" i="80" s="1"/>
  <c r="F40" i="80"/>
  <c r="F47" i="80" s="1"/>
  <c r="E61" i="77"/>
  <c r="F61" i="77" s="1"/>
  <c r="E61" i="78"/>
  <c r="F61" i="78" s="1"/>
  <c r="E60" i="75"/>
  <c r="F60" i="75" s="1"/>
  <c r="E30" i="79"/>
  <c r="F30" i="79" s="1"/>
  <c r="E55" i="71"/>
  <c r="F55" i="71" s="1"/>
  <c r="E17" i="80"/>
  <c r="F17" i="80" s="1"/>
  <c r="E32" i="79"/>
  <c r="F32" i="79" s="1"/>
  <c r="E14" i="79"/>
  <c r="F14" i="79" s="1"/>
  <c r="E41" i="80"/>
  <c r="F41" i="80" s="1"/>
  <c r="E44" i="78"/>
  <c r="F44" i="78" s="1"/>
  <c r="E19" i="78"/>
  <c r="F19" i="78" s="1"/>
  <c r="E23" i="78"/>
  <c r="F23" i="78" s="1"/>
  <c r="E45" i="78"/>
  <c r="F45" i="78" s="1"/>
  <c r="E51" i="77"/>
  <c r="F51" i="77" s="1"/>
  <c r="E29" i="77"/>
  <c r="F29" i="77" s="1"/>
  <c r="E5" i="77"/>
  <c r="F5" i="77" s="1"/>
  <c r="D7" i="77"/>
  <c r="D8" i="77" s="1"/>
  <c r="E16" i="76"/>
  <c r="F16" i="76" s="1"/>
  <c r="E28" i="75"/>
  <c r="F28" i="75" s="1"/>
  <c r="D7" i="75"/>
  <c r="D8" i="75" s="1"/>
  <c r="E5" i="75"/>
  <c r="F5" i="75" s="1"/>
  <c r="E38" i="75"/>
  <c r="F38" i="75" s="1"/>
  <c r="E65" i="75"/>
  <c r="F65" i="75" s="1"/>
  <c r="E53" i="73"/>
  <c r="F53" i="73" s="1"/>
  <c r="E29" i="73"/>
  <c r="F29" i="73" s="1"/>
  <c r="E5" i="73"/>
  <c r="F5" i="73" s="1"/>
  <c r="D7" i="73"/>
  <c r="D8" i="73" s="1"/>
  <c r="E39" i="72"/>
  <c r="F39" i="72" s="1"/>
  <c r="E17" i="72"/>
  <c r="F17" i="72" s="1"/>
  <c r="E35" i="76"/>
  <c r="F35" i="76" s="1"/>
  <c r="E11" i="76"/>
  <c r="F11" i="76" s="1"/>
  <c r="E58" i="76"/>
  <c r="F58" i="76" s="1"/>
  <c r="E4" i="76"/>
  <c r="D62" i="76"/>
  <c r="E32" i="76"/>
  <c r="F32" i="76" s="1"/>
  <c r="E67" i="78"/>
  <c r="E10" i="76"/>
  <c r="F10" i="76" s="1"/>
  <c r="E37" i="75"/>
  <c r="F37" i="75" s="1"/>
  <c r="E16" i="75"/>
  <c r="F16" i="75" s="1"/>
  <c r="E85" i="73"/>
  <c r="F85" i="73" s="1"/>
  <c r="E52" i="73"/>
  <c r="F52" i="73" s="1"/>
  <c r="E28" i="73"/>
  <c r="F28" i="73" s="1"/>
  <c r="D87" i="73"/>
  <c r="E4" i="73"/>
  <c r="E42" i="72"/>
  <c r="F42" i="72" s="1"/>
  <c r="E22" i="72"/>
  <c r="F22" i="72" s="1"/>
  <c r="D50" i="71"/>
  <c r="D51" i="71" s="1"/>
  <c r="D56" i="71"/>
  <c r="E48" i="71"/>
  <c r="F48" i="71" s="1"/>
  <c r="E48" i="74"/>
  <c r="F48" i="74" s="1"/>
  <c r="E55" i="74"/>
  <c r="F55" i="74" s="1"/>
  <c r="E11" i="74"/>
  <c r="F11" i="74" s="1"/>
  <c r="E32" i="74"/>
  <c r="F32" i="74" s="1"/>
  <c r="E53" i="74"/>
  <c r="F53" i="74" s="1"/>
  <c r="E86" i="74"/>
  <c r="F86" i="74" s="1"/>
  <c r="E10" i="74"/>
  <c r="F10" i="74" s="1"/>
  <c r="E34" i="74"/>
  <c r="F34" i="74" s="1"/>
  <c r="E54" i="74"/>
  <c r="F54" i="74" s="1"/>
  <c r="E83" i="74"/>
  <c r="F83" i="74" s="1"/>
  <c r="E43" i="74"/>
  <c r="F43" i="74" s="1"/>
  <c r="E59" i="74"/>
  <c r="F59" i="74" s="1"/>
  <c r="D61" i="74"/>
  <c r="D62" i="74" s="1"/>
  <c r="E17" i="74"/>
  <c r="F17" i="74" s="1"/>
  <c r="E11" i="80"/>
  <c r="F11" i="80" s="1"/>
  <c r="E24" i="79"/>
  <c r="F24" i="79" s="1"/>
  <c r="E20" i="79"/>
  <c r="F20" i="79" s="1"/>
  <c r="E17" i="79"/>
  <c r="F17" i="79" s="1"/>
  <c r="E42" i="78"/>
  <c r="F42" i="78" s="1"/>
  <c r="E5" i="78"/>
  <c r="F5" i="78" s="1"/>
  <c r="D7" i="78"/>
  <c r="D8" i="78" s="1"/>
  <c r="E29" i="78"/>
  <c r="F29" i="78" s="1"/>
  <c r="E49" i="78"/>
  <c r="F49" i="78" s="1"/>
  <c r="E47" i="77"/>
  <c r="F47" i="77" s="1"/>
  <c r="E23" i="77"/>
  <c r="F23" i="77" s="1"/>
  <c r="E29" i="79"/>
  <c r="E37" i="79" s="1"/>
  <c r="E25" i="110" s="1"/>
  <c r="K25" i="110" s="1"/>
  <c r="D37" i="79"/>
  <c r="E13" i="76"/>
  <c r="F13" i="76" s="1"/>
  <c r="E40" i="75"/>
  <c r="F40" i="75" s="1"/>
  <c r="E20" i="75"/>
  <c r="F20" i="75" s="1"/>
  <c r="E42" i="75"/>
  <c r="F42" i="75" s="1"/>
  <c r="D79" i="73"/>
  <c r="D80" i="73" s="1"/>
  <c r="E77" i="73"/>
  <c r="F77" i="73" s="1"/>
  <c r="E47" i="73"/>
  <c r="F47" i="73" s="1"/>
  <c r="E23" i="73"/>
  <c r="F23" i="73" s="1"/>
  <c r="E64" i="72"/>
  <c r="F64" i="72" s="1"/>
  <c r="D66" i="72"/>
  <c r="E35" i="72"/>
  <c r="F35" i="72" s="1"/>
  <c r="E11" i="72"/>
  <c r="F11" i="72" s="1"/>
  <c r="E29" i="76"/>
  <c r="F29" i="76" s="1"/>
  <c r="E60" i="78"/>
  <c r="F60" i="78" s="1"/>
  <c r="D51" i="76"/>
  <c r="D52" i="76" s="1"/>
  <c r="E49" i="76"/>
  <c r="F49" i="76" s="1"/>
  <c r="E17" i="76"/>
  <c r="F17" i="76" s="1"/>
  <c r="E14" i="76"/>
  <c r="F14" i="76" s="1"/>
  <c r="E36" i="76"/>
  <c r="F36" i="76" s="1"/>
  <c r="E34" i="75"/>
  <c r="F34" i="75" s="1"/>
  <c r="D67" i="73"/>
  <c r="D68" i="73" s="1"/>
  <c r="E65" i="73"/>
  <c r="F65" i="73" s="1"/>
  <c r="D84" i="73"/>
  <c r="E46" i="73"/>
  <c r="F46" i="73" s="1"/>
  <c r="E22" i="73"/>
  <c r="F22" i="73" s="1"/>
  <c r="E38" i="72"/>
  <c r="F38" i="72" s="1"/>
  <c r="E16" i="72"/>
  <c r="F16" i="72" s="1"/>
  <c r="E59" i="75"/>
  <c r="F59" i="75" s="1"/>
  <c r="E43" i="71"/>
  <c r="F43" i="71" s="1"/>
  <c r="E35" i="71"/>
  <c r="F35" i="71" s="1"/>
  <c r="E23" i="71"/>
  <c r="F23" i="71" s="1"/>
  <c r="E11" i="71"/>
  <c r="F11" i="71" s="1"/>
  <c r="E37" i="74"/>
  <c r="F37" i="74" s="1"/>
  <c r="E47" i="74"/>
  <c r="F47" i="74" s="1"/>
  <c r="E14" i="74"/>
  <c r="F14" i="74" s="1"/>
  <c r="E38" i="74"/>
  <c r="F38" i="74" s="1"/>
  <c r="E57" i="74"/>
  <c r="F57" i="74" s="1"/>
  <c r="E84" i="74"/>
  <c r="F84" i="74" s="1"/>
  <c r="E16" i="74"/>
  <c r="F16" i="74" s="1"/>
  <c r="E40" i="74"/>
  <c r="F40" i="74" s="1"/>
  <c r="E58" i="74"/>
  <c r="F58" i="74" s="1"/>
  <c r="E87" i="74"/>
  <c r="F87" i="74" s="1"/>
  <c r="E31" i="74"/>
  <c r="F31" i="74" s="1"/>
  <c r="E51" i="74"/>
  <c r="F51" i="74" s="1"/>
  <c r="E5" i="74"/>
  <c r="F5" i="74" s="1"/>
  <c r="D7" i="74"/>
  <c r="D8" i="74" s="1"/>
  <c r="E29" i="80"/>
  <c r="F29" i="80" s="1"/>
  <c r="E5" i="80"/>
  <c r="F5" i="80" s="1"/>
  <c r="D7" i="80"/>
  <c r="D8" i="80" s="1"/>
  <c r="E22" i="79"/>
  <c r="F22" i="79" s="1"/>
  <c r="E25" i="79"/>
  <c r="F25" i="79" s="1"/>
  <c r="E4" i="79"/>
  <c r="D33" i="79"/>
  <c r="D35" i="79"/>
  <c r="E32" i="78"/>
  <c r="F32" i="78" s="1"/>
  <c r="E11" i="78"/>
  <c r="F11" i="78" s="1"/>
  <c r="E35" i="78"/>
  <c r="F35" i="78" s="1"/>
  <c r="D65" i="78"/>
  <c r="D56" i="78"/>
  <c r="D57" i="78" s="1"/>
  <c r="E54" i="78"/>
  <c r="F54" i="78" s="1"/>
  <c r="E41" i="77"/>
  <c r="F41" i="77" s="1"/>
  <c r="E17" i="77"/>
  <c r="F17" i="77" s="1"/>
  <c r="D69" i="77"/>
  <c r="E33" i="76"/>
  <c r="F33" i="76" s="1"/>
  <c r="D7" i="76"/>
  <c r="E5" i="76"/>
  <c r="F5" i="76" s="1"/>
  <c r="D51" i="75"/>
  <c r="D52" i="75" s="1"/>
  <c r="E49" i="75"/>
  <c r="F49" i="75" s="1"/>
  <c r="E17" i="75"/>
  <c r="F17" i="75" s="1"/>
  <c r="E26" i="75"/>
  <c r="F26" i="75" s="1"/>
  <c r="E46" i="75"/>
  <c r="F46" i="75" s="1"/>
  <c r="E61" i="73"/>
  <c r="F61" i="73" s="1"/>
  <c r="D63" i="73"/>
  <c r="D64" i="73" s="1"/>
  <c r="E41" i="73"/>
  <c r="F41" i="73" s="1"/>
  <c r="E17" i="73"/>
  <c r="F17" i="73" s="1"/>
  <c r="E48" i="72"/>
  <c r="F48" i="72" s="1"/>
  <c r="D50" i="72"/>
  <c r="E29" i="72"/>
  <c r="F29" i="72" s="1"/>
  <c r="E5" i="72"/>
  <c r="F5" i="72" s="1"/>
  <c r="D7" i="72"/>
  <c r="D8" i="72" s="1"/>
  <c r="E60" i="77"/>
  <c r="E53" i="76"/>
  <c r="F53" i="76" s="1"/>
  <c r="D55" i="76"/>
  <c r="E22" i="76"/>
  <c r="F22" i="76" s="1"/>
  <c r="E34" i="76"/>
  <c r="F34" i="76" s="1"/>
  <c r="E28" i="76"/>
  <c r="F28" i="76" s="1"/>
  <c r="E20" i="76"/>
  <c r="F20" i="76" s="1"/>
  <c r="E41" i="76"/>
  <c r="F41" i="76" s="1"/>
  <c r="D43" i="76"/>
  <c r="D44" i="76" s="1"/>
  <c r="E10" i="75"/>
  <c r="F10" i="75" s="1"/>
  <c r="E81" i="73"/>
  <c r="F81" i="73" s="1"/>
  <c r="E60" i="73"/>
  <c r="F60" i="73" s="1"/>
  <c r="E40" i="73"/>
  <c r="F40" i="73" s="1"/>
  <c r="E16" i="73"/>
  <c r="F16" i="73" s="1"/>
  <c r="E68" i="72"/>
  <c r="F68" i="72" s="1"/>
  <c r="E34" i="72"/>
  <c r="F34" i="72" s="1"/>
  <c r="E10" i="72"/>
  <c r="F10" i="72" s="1"/>
  <c r="E61" i="71"/>
  <c r="F61" i="71" s="1"/>
  <c r="D7" i="71"/>
  <c r="D8" i="71" s="1"/>
  <c r="E5" i="71"/>
  <c r="F5" i="71" s="1"/>
  <c r="E25" i="74"/>
  <c r="F25" i="74" s="1"/>
  <c r="E35" i="74"/>
  <c r="F35" i="74" s="1"/>
  <c r="E20" i="74"/>
  <c r="F20" i="74" s="1"/>
  <c r="E44" i="74"/>
  <c r="F44" i="74" s="1"/>
  <c r="D69" i="74"/>
  <c r="D70" i="74" s="1"/>
  <c r="E67" i="74"/>
  <c r="F67" i="74" s="1"/>
  <c r="D88" i="74"/>
  <c r="E22" i="74"/>
  <c r="F22" i="74" s="1"/>
  <c r="E46" i="74"/>
  <c r="F46" i="74" s="1"/>
  <c r="E63" i="74"/>
  <c r="F63" i="74" s="1"/>
  <c r="D65" i="74"/>
  <c r="D66" i="74" s="1"/>
  <c r="D73" i="74"/>
  <c r="E71" i="74"/>
  <c r="F71" i="74" s="1"/>
  <c r="E19" i="74"/>
  <c r="F19" i="74" s="1"/>
  <c r="E85" i="74"/>
  <c r="F85" i="74" s="1"/>
  <c r="E41" i="74"/>
  <c r="F41" i="74" s="1"/>
  <c r="E23" i="80"/>
  <c r="F23" i="80" s="1"/>
  <c r="E11" i="79"/>
  <c r="F11" i="79" s="1"/>
  <c r="E63" i="78"/>
  <c r="F63" i="78" s="1"/>
  <c r="E22" i="78"/>
  <c r="F22" i="78" s="1"/>
  <c r="E17" i="78"/>
  <c r="F17" i="78" s="1"/>
  <c r="E41" i="78"/>
  <c r="F41" i="78" s="1"/>
  <c r="E64" i="78"/>
  <c r="F64" i="78" s="1"/>
  <c r="E35" i="77"/>
  <c r="F35" i="77" s="1"/>
  <c r="E11" i="77"/>
  <c r="F11" i="77" s="1"/>
  <c r="E23" i="76"/>
  <c r="F23" i="76" s="1"/>
  <c r="D66" i="75"/>
  <c r="E47" i="75"/>
  <c r="F47" i="75" s="1"/>
  <c r="E31" i="75"/>
  <c r="F31" i="75" s="1"/>
  <c r="E11" i="75"/>
  <c r="F11" i="75" s="1"/>
  <c r="E32" i="75"/>
  <c r="F32" i="75" s="1"/>
  <c r="E61" i="75"/>
  <c r="F61" i="75" s="1"/>
  <c r="E57" i="73"/>
  <c r="F57" i="73" s="1"/>
  <c r="E35" i="73"/>
  <c r="F35" i="73" s="1"/>
  <c r="E11" i="73"/>
  <c r="F11" i="73" s="1"/>
  <c r="E43" i="72"/>
  <c r="F43" i="72" s="1"/>
  <c r="E23" i="72"/>
  <c r="F23" i="72" s="1"/>
  <c r="E37" i="76"/>
  <c r="F37" i="76" s="1"/>
  <c r="D39" i="76"/>
  <c r="D40" i="76" s="1"/>
  <c r="E19" i="76"/>
  <c r="F19" i="76" s="1"/>
  <c r="E25" i="76"/>
  <c r="F25" i="76" s="1"/>
  <c r="E31" i="76"/>
  <c r="F31" i="76" s="1"/>
  <c r="E26" i="76"/>
  <c r="F26" i="76" s="1"/>
  <c r="E57" i="76"/>
  <c r="F57" i="76" s="1"/>
  <c r="D47" i="76"/>
  <c r="D48" i="76" s="1"/>
  <c r="E45" i="76"/>
  <c r="F45" i="76" s="1"/>
  <c r="E44" i="75"/>
  <c r="F44" i="75" s="1"/>
  <c r="E23" i="75"/>
  <c r="F23" i="75" s="1"/>
  <c r="D68" i="75"/>
  <c r="E4" i="75"/>
  <c r="E56" i="73"/>
  <c r="F56" i="73" s="1"/>
  <c r="E34" i="73"/>
  <c r="F34" i="73" s="1"/>
  <c r="E10" i="73"/>
  <c r="F10" i="73" s="1"/>
  <c r="D54" i="72"/>
  <c r="D55" i="72" s="1"/>
  <c r="E52" i="72"/>
  <c r="F52" i="72" s="1"/>
  <c r="E28" i="72"/>
  <c r="F28" i="72" s="1"/>
  <c r="D74" i="72"/>
  <c r="E4" i="72"/>
  <c r="E54" i="71"/>
  <c r="F54" i="71" s="1"/>
  <c r="E39" i="71"/>
  <c r="F39" i="71" s="1"/>
  <c r="E29" i="71"/>
  <c r="F29" i="71" s="1"/>
  <c r="E17" i="71"/>
  <c r="F17" i="71" s="1"/>
  <c r="E56" i="74"/>
  <c r="F56" i="74" s="1"/>
  <c r="E13" i="74"/>
  <c r="F13" i="74" s="1"/>
  <c r="E75" i="74"/>
  <c r="F75" i="74" s="1"/>
  <c r="D77" i="74"/>
  <c r="D78" i="74" s="1"/>
  <c r="E23" i="74"/>
  <c r="F23" i="74" s="1"/>
  <c r="E26" i="74"/>
  <c r="F26" i="74" s="1"/>
  <c r="E49" i="74"/>
  <c r="F49" i="74" s="1"/>
  <c r="E82" i="74"/>
  <c r="F82" i="74" s="1"/>
  <c r="D90" i="74"/>
  <c r="E4" i="74"/>
  <c r="E28" i="74"/>
  <c r="F28" i="74" s="1"/>
  <c r="E50" i="74"/>
  <c r="F50" i="74" s="1"/>
  <c r="E79" i="74"/>
  <c r="F79" i="74" s="1"/>
  <c r="E52" i="74"/>
  <c r="F52" i="74" s="1"/>
  <c r="E64" i="71"/>
  <c r="E80" i="74"/>
  <c r="F80" i="74" s="1"/>
  <c r="E29" i="74"/>
  <c r="F29" i="74" s="1"/>
  <c r="E16" i="94"/>
  <c r="F16" i="94" s="1"/>
  <c r="E55" i="93"/>
  <c r="F55" i="93" s="1"/>
  <c r="E34" i="93"/>
  <c r="F34" i="93" s="1"/>
  <c r="E10" i="93"/>
  <c r="F10" i="93" s="1"/>
  <c r="E17" i="94"/>
  <c r="F17" i="94" s="1"/>
  <c r="E56" i="93"/>
  <c r="F56" i="93" s="1"/>
  <c r="D58" i="93"/>
  <c r="E35" i="93"/>
  <c r="F35" i="93" s="1"/>
  <c r="E11" i="93"/>
  <c r="F11" i="93" s="1"/>
  <c r="E47" i="95"/>
  <c r="F47" i="95" s="1"/>
  <c r="E20" i="95"/>
  <c r="F20" i="95" s="1"/>
  <c r="E68" i="92"/>
  <c r="F68" i="92" s="1"/>
  <c r="D70" i="92"/>
  <c r="E52" i="95"/>
  <c r="F52" i="95" s="1"/>
  <c r="D54" i="95"/>
  <c r="E28" i="95"/>
  <c r="F28" i="95" s="1"/>
  <c r="E4" i="95"/>
  <c r="D73" i="95"/>
  <c r="E4" i="92"/>
  <c r="D77" i="92"/>
  <c r="E38" i="92"/>
  <c r="F38" i="92" s="1"/>
  <c r="E20" i="92"/>
  <c r="F20" i="92" s="1"/>
  <c r="E49" i="92"/>
  <c r="F49" i="92" s="1"/>
  <c r="E29" i="92"/>
  <c r="F29" i="92" s="1"/>
  <c r="E53" i="92"/>
  <c r="F53" i="92" s="1"/>
  <c r="E31" i="92"/>
  <c r="F31" i="92" s="1"/>
  <c r="D66" i="92"/>
  <c r="D67" i="92" s="1"/>
  <c r="E64" i="92"/>
  <c r="F64" i="92" s="1"/>
  <c r="E56" i="92"/>
  <c r="F56" i="92" s="1"/>
  <c r="D58" i="92"/>
  <c r="D59" i="92" s="1"/>
  <c r="D62" i="92"/>
  <c r="D63" i="92" s="1"/>
  <c r="E60" i="92"/>
  <c r="F60" i="92" s="1"/>
  <c r="E68" i="95"/>
  <c r="F68" i="95" s="1"/>
  <c r="E35" i="95"/>
  <c r="F35" i="95" s="1"/>
  <c r="E11" i="95"/>
  <c r="F11" i="95" s="1"/>
  <c r="E50" i="95"/>
  <c r="F50" i="95" s="1"/>
  <c r="E66" i="93"/>
  <c r="F66" i="93" s="1"/>
  <c r="E44" i="91"/>
  <c r="F44" i="91" s="1"/>
  <c r="E10" i="91"/>
  <c r="F10" i="91" s="1"/>
  <c r="E34" i="91"/>
  <c r="F34" i="91" s="1"/>
  <c r="E67" i="91"/>
  <c r="F67" i="91" s="1"/>
  <c r="E32" i="91"/>
  <c r="F32" i="91" s="1"/>
  <c r="E64" i="91"/>
  <c r="F64" i="91" s="1"/>
  <c r="E25" i="91"/>
  <c r="F25" i="91" s="1"/>
  <c r="E49" i="91"/>
  <c r="F49" i="91" s="1"/>
  <c r="E46" i="91"/>
  <c r="F46" i="91" s="1"/>
  <c r="E69" i="91"/>
  <c r="F69" i="91" s="1"/>
  <c r="E31" i="95"/>
  <c r="F31" i="95" s="1"/>
  <c r="E10" i="94"/>
  <c r="F10" i="94" s="1"/>
  <c r="E51" i="93"/>
  <c r="F51" i="93" s="1"/>
  <c r="E28" i="93"/>
  <c r="F28" i="93" s="1"/>
  <c r="D77" i="93"/>
  <c r="E4" i="93"/>
  <c r="C11" i="110" s="1"/>
  <c r="I11" i="110" s="1"/>
  <c r="E11" i="94"/>
  <c r="F11" i="94" s="1"/>
  <c r="E52" i="93"/>
  <c r="F52" i="93" s="1"/>
  <c r="E29" i="93"/>
  <c r="F29" i="93" s="1"/>
  <c r="E5" i="93"/>
  <c r="F5" i="93" s="1"/>
  <c r="D7" i="93"/>
  <c r="D8" i="93" s="1"/>
  <c r="E38" i="95"/>
  <c r="F38" i="95" s="1"/>
  <c r="E14" i="95"/>
  <c r="F14" i="95" s="1"/>
  <c r="E45" i="95"/>
  <c r="F45" i="95" s="1"/>
  <c r="E22" i="95"/>
  <c r="F22" i="95" s="1"/>
  <c r="E14" i="92"/>
  <c r="F14" i="92" s="1"/>
  <c r="E41" i="92"/>
  <c r="F41" i="92" s="1"/>
  <c r="E23" i="92"/>
  <c r="F23" i="92" s="1"/>
  <c r="D7" i="92"/>
  <c r="D8" i="92" s="1"/>
  <c r="E5" i="92"/>
  <c r="F5" i="92" s="1"/>
  <c r="E40" i="92"/>
  <c r="F40" i="92" s="1"/>
  <c r="E13" i="92"/>
  <c r="F13" i="92" s="1"/>
  <c r="E37" i="92"/>
  <c r="F37" i="92" s="1"/>
  <c r="D74" i="92"/>
  <c r="E72" i="92"/>
  <c r="F72" i="92" s="1"/>
  <c r="E75" i="92"/>
  <c r="F75" i="92" s="1"/>
  <c r="E56" i="95"/>
  <c r="F56" i="95" s="1"/>
  <c r="D58" i="95"/>
  <c r="D59" i="95" s="1"/>
  <c r="E29" i="95"/>
  <c r="F29" i="95" s="1"/>
  <c r="E5" i="95"/>
  <c r="F5" i="95" s="1"/>
  <c r="D7" i="95"/>
  <c r="D8" i="95" s="1"/>
  <c r="D62" i="95"/>
  <c r="D63" i="95" s="1"/>
  <c r="E60" i="95"/>
  <c r="F60" i="95" s="1"/>
  <c r="E22" i="92"/>
  <c r="F22" i="92" s="1"/>
  <c r="E35" i="91"/>
  <c r="F35" i="91" s="1"/>
  <c r="E16" i="91"/>
  <c r="F16" i="91" s="1"/>
  <c r="E40" i="91"/>
  <c r="F40" i="91" s="1"/>
  <c r="E14" i="91"/>
  <c r="F14" i="91" s="1"/>
  <c r="E38" i="91"/>
  <c r="F38" i="91" s="1"/>
  <c r="E31" i="91"/>
  <c r="F31" i="91" s="1"/>
  <c r="E66" i="91"/>
  <c r="F66" i="91" s="1"/>
  <c r="E50" i="91"/>
  <c r="F50" i="91" s="1"/>
  <c r="E51" i="95"/>
  <c r="F51" i="95" s="1"/>
  <c r="E25" i="95"/>
  <c r="F25" i="95" s="1"/>
  <c r="D30" i="94"/>
  <c r="D28" i="94"/>
  <c r="E4" i="94"/>
  <c r="E46" i="93"/>
  <c r="F46" i="93" s="1"/>
  <c r="E22" i="93"/>
  <c r="F22" i="93" s="1"/>
  <c r="E27" i="94"/>
  <c r="F27" i="94" s="1"/>
  <c r="E5" i="94"/>
  <c r="F5" i="94" s="1"/>
  <c r="D7" i="94"/>
  <c r="E47" i="93"/>
  <c r="F47" i="93" s="1"/>
  <c r="E23" i="93"/>
  <c r="F23" i="93" s="1"/>
  <c r="E69" i="95"/>
  <c r="F69" i="95" s="1"/>
  <c r="E32" i="95"/>
  <c r="F32" i="95" s="1"/>
  <c r="E43" i="95"/>
  <c r="F43" i="95" s="1"/>
  <c r="E16" i="95"/>
  <c r="F16" i="95" s="1"/>
  <c r="E17" i="92"/>
  <c r="F17" i="92" s="1"/>
  <c r="E73" i="92"/>
  <c r="F73" i="92" s="1"/>
  <c r="E34" i="92"/>
  <c r="F34" i="92" s="1"/>
  <c r="E16" i="92"/>
  <c r="F16" i="92" s="1"/>
  <c r="E46" i="92"/>
  <c r="F46" i="92" s="1"/>
  <c r="E19" i="92"/>
  <c r="F19" i="92" s="1"/>
  <c r="E43" i="92"/>
  <c r="F43" i="92" s="1"/>
  <c r="E47" i="92"/>
  <c r="F47" i="92" s="1"/>
  <c r="E51" i="92"/>
  <c r="F51" i="92" s="1"/>
  <c r="E8" i="91"/>
  <c r="F8" i="91" s="1"/>
  <c r="E48" i="95"/>
  <c r="F48" i="95" s="1"/>
  <c r="E23" i="95"/>
  <c r="F23" i="95" s="1"/>
  <c r="E41" i="95"/>
  <c r="F41" i="95" s="1"/>
  <c r="E11" i="92"/>
  <c r="F11" i="92" s="1"/>
  <c r="E11" i="91"/>
  <c r="F11" i="91" s="1"/>
  <c r="E22" i="91"/>
  <c r="F22" i="91" s="1"/>
  <c r="E48" i="91"/>
  <c r="F48" i="91" s="1"/>
  <c r="E20" i="91"/>
  <c r="F20" i="91" s="1"/>
  <c r="E43" i="91"/>
  <c r="F43" i="91" s="1"/>
  <c r="E13" i="91"/>
  <c r="F13" i="91" s="1"/>
  <c r="E37" i="91"/>
  <c r="F37" i="91" s="1"/>
  <c r="E68" i="91"/>
  <c r="F68" i="91" s="1"/>
  <c r="E55" i="91"/>
  <c r="F55" i="91" s="1"/>
  <c r="D57" i="91"/>
  <c r="D58" i="91" s="1"/>
  <c r="E44" i="95"/>
  <c r="F44" i="95" s="1"/>
  <c r="E19" i="95"/>
  <c r="F19" i="95" s="1"/>
  <c r="E21" i="94"/>
  <c r="F21" i="94" s="1"/>
  <c r="D62" i="93"/>
  <c r="D63" i="93" s="1"/>
  <c r="D74" i="93"/>
  <c r="E60" i="93"/>
  <c r="F60" i="93" s="1"/>
  <c r="E40" i="93"/>
  <c r="F40" i="93" s="1"/>
  <c r="E16" i="93"/>
  <c r="F16" i="93" s="1"/>
  <c r="E22" i="94"/>
  <c r="F22" i="94" s="1"/>
  <c r="D24" i="94"/>
  <c r="D25" i="94" s="1"/>
  <c r="E72" i="93"/>
  <c r="F72" i="93" s="1"/>
  <c r="E41" i="93"/>
  <c r="F41" i="93" s="1"/>
  <c r="E17" i="93"/>
  <c r="F17" i="93" s="1"/>
  <c r="E49" i="95"/>
  <c r="F49" i="95" s="1"/>
  <c r="E26" i="95"/>
  <c r="F26" i="95" s="1"/>
  <c r="D66" i="95"/>
  <c r="E64" i="95"/>
  <c r="F64" i="95" s="1"/>
  <c r="E34" i="95"/>
  <c r="F34" i="95" s="1"/>
  <c r="E10" i="95"/>
  <c r="F10" i="95" s="1"/>
  <c r="E35" i="92"/>
  <c r="F35" i="92" s="1"/>
  <c r="E28" i="92"/>
  <c r="F28" i="92" s="1"/>
  <c r="E10" i="92"/>
  <c r="F10" i="92" s="1"/>
  <c r="E44" i="92"/>
  <c r="F44" i="92" s="1"/>
  <c r="E26" i="92"/>
  <c r="F26" i="92" s="1"/>
  <c r="E50" i="92"/>
  <c r="F50" i="92" s="1"/>
  <c r="E25" i="92"/>
  <c r="F25" i="92" s="1"/>
  <c r="E54" i="92"/>
  <c r="F54" i="92" s="1"/>
  <c r="E52" i="92"/>
  <c r="F52" i="92" s="1"/>
  <c r="E55" i="92"/>
  <c r="F55" i="92" s="1"/>
  <c r="D74" i="91"/>
  <c r="E7" i="91"/>
  <c r="E40" i="95"/>
  <c r="F40" i="95" s="1"/>
  <c r="E17" i="95"/>
  <c r="F17" i="95" s="1"/>
  <c r="E46" i="95"/>
  <c r="F46" i="95" s="1"/>
  <c r="E67" i="93"/>
  <c r="F67" i="93" s="1"/>
  <c r="E51" i="91"/>
  <c r="F51" i="91" s="1"/>
  <c r="D53" i="91"/>
  <c r="D54" i="91" s="1"/>
  <c r="D73" i="91"/>
  <c r="E4" i="91"/>
  <c r="E28" i="91"/>
  <c r="F28" i="91" s="1"/>
  <c r="D61" i="91"/>
  <c r="D62" i="91" s="1"/>
  <c r="E59" i="91"/>
  <c r="F59" i="91" s="1"/>
  <c r="E26" i="91"/>
  <c r="F26" i="91" s="1"/>
  <c r="E45" i="91"/>
  <c r="F45" i="91" s="1"/>
  <c r="E19" i="91"/>
  <c r="F19" i="91" s="1"/>
  <c r="E47" i="91"/>
  <c r="F47" i="91" s="1"/>
  <c r="E41" i="91"/>
  <c r="F41" i="91" s="1"/>
  <c r="E65" i="91"/>
  <c r="F65" i="91" s="1"/>
  <c r="E37" i="95"/>
  <c r="F37" i="95" s="1"/>
  <c r="E13" i="95"/>
  <c r="F13" i="95" s="1"/>
  <c r="D50" i="9"/>
  <c r="D51" i="9" s="1"/>
  <c r="E48" i="9"/>
  <c r="F48" i="9" s="1"/>
  <c r="E22" i="9"/>
  <c r="F22" i="9" s="1"/>
  <c r="E29" i="9"/>
  <c r="F29" i="9" s="1"/>
  <c r="E5" i="9"/>
  <c r="F5" i="9" s="1"/>
  <c r="D7" i="9"/>
  <c r="D8" i="9" s="1"/>
  <c r="E31" i="9"/>
  <c r="F31" i="9" s="1"/>
  <c r="E52" i="9"/>
  <c r="F52" i="9" s="1"/>
  <c r="E20" i="9"/>
  <c r="F20" i="9" s="1"/>
  <c r="E38" i="9"/>
  <c r="F38" i="9" s="1"/>
  <c r="E16" i="9"/>
  <c r="F16" i="9" s="1"/>
  <c r="E44" i="9"/>
  <c r="F44" i="9" s="1"/>
  <c r="D46" i="9"/>
  <c r="D47" i="9" s="1"/>
  <c r="E23" i="9"/>
  <c r="F23" i="9" s="1"/>
  <c r="E55" i="9"/>
  <c r="F55" i="9" s="1"/>
  <c r="E25" i="9"/>
  <c r="F25" i="9" s="1"/>
  <c r="E37" i="9"/>
  <c r="F37" i="9" s="1"/>
  <c r="E14" i="9"/>
  <c r="F14" i="9" s="1"/>
  <c r="E34" i="9"/>
  <c r="F34" i="9" s="1"/>
  <c r="E10" i="9"/>
  <c r="F10" i="9" s="1"/>
  <c r="E39" i="9"/>
  <c r="F39" i="9" s="1"/>
  <c r="E17" i="9"/>
  <c r="F17" i="9" s="1"/>
  <c r="E40" i="9"/>
  <c r="F40" i="9" s="1"/>
  <c r="D42" i="9"/>
  <c r="D43" i="9" s="1"/>
  <c r="E19" i="9"/>
  <c r="F19" i="9" s="1"/>
  <c r="E32" i="9"/>
  <c r="F32" i="9" s="1"/>
  <c r="E28" i="9"/>
  <c r="F28" i="9" s="1"/>
  <c r="D57" i="9"/>
  <c r="E4" i="9"/>
  <c r="E35" i="9"/>
  <c r="F35" i="9" s="1"/>
  <c r="E11" i="9"/>
  <c r="F11" i="9" s="1"/>
  <c r="E36" i="9"/>
  <c r="F36" i="9" s="1"/>
  <c r="E13" i="9"/>
  <c r="F13" i="9" s="1"/>
  <c r="E26" i="9"/>
  <c r="F26" i="9" s="1"/>
  <c r="D66" i="10"/>
  <c r="E64" i="10"/>
  <c r="F64" i="10" s="1"/>
  <c r="E34" i="10"/>
  <c r="F34" i="10" s="1"/>
  <c r="E10" i="10"/>
  <c r="F10" i="10" s="1"/>
  <c r="E50" i="10"/>
  <c r="F50" i="10" s="1"/>
  <c r="E29" i="10"/>
  <c r="F29" i="10" s="1"/>
  <c r="E5" i="10"/>
  <c r="F5" i="10" s="1"/>
  <c r="D7" i="10"/>
  <c r="D8" i="10" s="1"/>
  <c r="E51" i="10"/>
  <c r="F51" i="10" s="1"/>
  <c r="E31" i="10"/>
  <c r="F31" i="10" s="1"/>
  <c r="E73" i="10"/>
  <c r="F73" i="10" s="1"/>
  <c r="E44" i="10"/>
  <c r="F44" i="10" s="1"/>
  <c r="E20" i="10"/>
  <c r="F20" i="10" s="1"/>
  <c r="E49" i="10"/>
  <c r="F49" i="10" s="1"/>
  <c r="E28" i="10"/>
  <c r="F28" i="10" s="1"/>
  <c r="D78" i="10"/>
  <c r="E4" i="10"/>
  <c r="E46" i="10"/>
  <c r="F46" i="10" s="1"/>
  <c r="E23" i="10"/>
  <c r="F23" i="10" s="1"/>
  <c r="E76" i="10"/>
  <c r="F76" i="10" s="1"/>
  <c r="E47" i="10"/>
  <c r="F47" i="10" s="1"/>
  <c r="E25" i="10"/>
  <c r="F25" i="10" s="1"/>
  <c r="D70" i="10"/>
  <c r="E68" i="10"/>
  <c r="F68" i="10" s="1"/>
  <c r="E38" i="10"/>
  <c r="F38" i="10" s="1"/>
  <c r="E14" i="10"/>
  <c r="F14" i="10" s="1"/>
  <c r="E45" i="10"/>
  <c r="F45" i="10" s="1"/>
  <c r="E22" i="10"/>
  <c r="F22" i="10" s="1"/>
  <c r="E41" i="10"/>
  <c r="F41" i="10" s="1"/>
  <c r="E17" i="10"/>
  <c r="F17" i="10" s="1"/>
  <c r="E72" i="10"/>
  <c r="F72" i="10" s="1"/>
  <c r="E43" i="10"/>
  <c r="F43" i="10" s="1"/>
  <c r="E19" i="10"/>
  <c r="F19" i="10" s="1"/>
  <c r="D54" i="10"/>
  <c r="D55" i="10" s="1"/>
  <c r="E52" i="10"/>
  <c r="F52" i="10" s="1"/>
  <c r="E32" i="10"/>
  <c r="F32" i="10" s="1"/>
  <c r="E40" i="10"/>
  <c r="F40" i="10" s="1"/>
  <c r="E16" i="10"/>
  <c r="F16" i="10" s="1"/>
  <c r="E60" i="10"/>
  <c r="F60" i="10" s="1"/>
  <c r="D62" i="10"/>
  <c r="D63" i="10" s="1"/>
  <c r="E35" i="10"/>
  <c r="F35" i="10" s="1"/>
  <c r="E11" i="10"/>
  <c r="F11" i="10" s="1"/>
  <c r="E56" i="10"/>
  <c r="F56" i="10" s="1"/>
  <c r="D58" i="10"/>
  <c r="D59" i="10" s="1"/>
  <c r="E37" i="10"/>
  <c r="F37" i="10" s="1"/>
  <c r="E13" i="10"/>
  <c r="F13" i="10" s="1"/>
  <c r="E48" i="10"/>
  <c r="F48" i="10" s="1"/>
  <c r="E26" i="10"/>
  <c r="F26" i="10" s="1"/>
  <c r="E46" i="11"/>
  <c r="F46" i="11" s="1"/>
  <c r="E59" i="11"/>
  <c r="E35" i="11"/>
  <c r="F35" i="11" s="1"/>
  <c r="E23" i="11"/>
  <c r="F23" i="11" s="1"/>
  <c r="E11" i="11"/>
  <c r="F11" i="11" s="1"/>
  <c r="E45" i="11"/>
  <c r="D7" i="11"/>
  <c r="D8" i="11" s="1"/>
  <c r="E5" i="11"/>
  <c r="F5" i="11" s="1"/>
  <c r="D56" i="11"/>
  <c r="E39" i="11"/>
  <c r="F39" i="11" s="1"/>
  <c r="E29" i="11"/>
  <c r="F29" i="11" s="1"/>
  <c r="E17" i="11"/>
  <c r="F17" i="11" s="1"/>
  <c r="E89" i="12"/>
  <c r="F89" i="12" s="1"/>
  <c r="E60" i="12"/>
  <c r="F60" i="12" s="1"/>
  <c r="E40" i="12"/>
  <c r="F40" i="12" s="1"/>
  <c r="E16" i="12"/>
  <c r="F16" i="12" s="1"/>
  <c r="E90" i="12"/>
  <c r="F90" i="12" s="1"/>
  <c r="E57" i="12"/>
  <c r="F57" i="12" s="1"/>
  <c r="E35" i="12"/>
  <c r="F35" i="12" s="1"/>
  <c r="E11" i="12"/>
  <c r="F11" i="12" s="1"/>
  <c r="E76" i="12"/>
  <c r="F76" i="12" s="1"/>
  <c r="D78" i="12"/>
  <c r="E54" i="12"/>
  <c r="F54" i="12" s="1"/>
  <c r="E31" i="12"/>
  <c r="F31" i="12" s="1"/>
  <c r="E92" i="12"/>
  <c r="F92" i="12" s="1"/>
  <c r="E63" i="12"/>
  <c r="F63" i="12" s="1"/>
  <c r="E44" i="12"/>
  <c r="F44" i="12" s="1"/>
  <c r="E20" i="12"/>
  <c r="F20" i="12" s="1"/>
  <c r="D86" i="12"/>
  <c r="D87" i="12" s="1"/>
  <c r="E84" i="12"/>
  <c r="F84" i="12" s="1"/>
  <c r="E56" i="12"/>
  <c r="F56" i="12" s="1"/>
  <c r="E34" i="12"/>
  <c r="F34" i="12" s="1"/>
  <c r="E10" i="12"/>
  <c r="F10" i="12" s="1"/>
  <c r="E80" i="12"/>
  <c r="F80" i="12" s="1"/>
  <c r="D82" i="12"/>
  <c r="E53" i="12"/>
  <c r="F53" i="12" s="1"/>
  <c r="E29" i="12"/>
  <c r="F29" i="12" s="1"/>
  <c r="E5" i="12"/>
  <c r="F5" i="12" s="1"/>
  <c r="D7" i="12"/>
  <c r="E66" i="12"/>
  <c r="F66" i="12" s="1"/>
  <c r="E49" i="12"/>
  <c r="F49" i="12" s="1"/>
  <c r="E25" i="12"/>
  <c r="F25" i="12" s="1"/>
  <c r="E88" i="12"/>
  <c r="F88" i="12" s="1"/>
  <c r="E59" i="12"/>
  <c r="F59" i="12" s="1"/>
  <c r="E38" i="12"/>
  <c r="F38" i="12" s="1"/>
  <c r="E14" i="12"/>
  <c r="F14" i="12" s="1"/>
  <c r="D70" i="12"/>
  <c r="D71" i="12" s="1"/>
  <c r="E68" i="12"/>
  <c r="F68" i="12" s="1"/>
  <c r="E52" i="12"/>
  <c r="F52" i="12" s="1"/>
  <c r="E28" i="12"/>
  <c r="F28" i="12" s="1"/>
  <c r="D97" i="12"/>
  <c r="E4" i="12"/>
  <c r="C92" i="110" s="1"/>
  <c r="I92" i="110" s="1"/>
  <c r="E65" i="12"/>
  <c r="F65" i="12" s="1"/>
  <c r="E47" i="12"/>
  <c r="F47" i="12" s="1"/>
  <c r="E23" i="12"/>
  <c r="F23" i="12" s="1"/>
  <c r="E95" i="12"/>
  <c r="F95" i="12" s="1"/>
  <c r="E62" i="12"/>
  <c r="F62" i="12" s="1"/>
  <c r="E43" i="12"/>
  <c r="F43" i="12" s="1"/>
  <c r="E19" i="12"/>
  <c r="F19" i="12" s="1"/>
  <c r="D74" i="12"/>
  <c r="D75" i="12" s="1"/>
  <c r="E72" i="12"/>
  <c r="F72" i="12" s="1"/>
  <c r="E55" i="12"/>
  <c r="F55" i="12" s="1"/>
  <c r="E32" i="12"/>
  <c r="F32" i="12" s="1"/>
  <c r="E64" i="12"/>
  <c r="F64" i="12" s="1"/>
  <c r="E46" i="12"/>
  <c r="F46" i="12" s="1"/>
  <c r="E22" i="12"/>
  <c r="F22" i="12" s="1"/>
  <c r="D94" i="12"/>
  <c r="E61" i="12"/>
  <c r="F61" i="12" s="1"/>
  <c r="E41" i="12"/>
  <c r="F41" i="12" s="1"/>
  <c r="E17" i="12"/>
  <c r="F17" i="12" s="1"/>
  <c r="E91" i="12"/>
  <c r="F91" i="12" s="1"/>
  <c r="E58" i="12"/>
  <c r="F58" i="12" s="1"/>
  <c r="E37" i="12"/>
  <c r="F37" i="12" s="1"/>
  <c r="E13" i="12"/>
  <c r="F13" i="12" s="1"/>
  <c r="E67" i="12"/>
  <c r="F67" i="12" s="1"/>
  <c r="E50" i="12"/>
  <c r="F50" i="12" s="1"/>
  <c r="E26" i="12"/>
  <c r="F26" i="12" s="1"/>
  <c r="D66" i="13"/>
  <c r="D67" i="13" s="1"/>
  <c r="E64" i="13"/>
  <c r="F64" i="13" s="1"/>
  <c r="E40" i="13"/>
  <c r="F40" i="13" s="1"/>
  <c r="E16" i="13"/>
  <c r="F16" i="13" s="1"/>
  <c r="E60" i="13"/>
  <c r="F60" i="13" s="1"/>
  <c r="D62" i="13"/>
  <c r="D63" i="13" s="1"/>
  <c r="E41" i="13"/>
  <c r="F41" i="13" s="1"/>
  <c r="E17" i="13"/>
  <c r="F17" i="13" s="1"/>
  <c r="E56" i="13"/>
  <c r="F56" i="13" s="1"/>
  <c r="D58" i="13"/>
  <c r="E37" i="13"/>
  <c r="F37" i="13" s="1"/>
  <c r="E13" i="13"/>
  <c r="F13" i="13" s="1"/>
  <c r="E44" i="13"/>
  <c r="F44" i="13" s="1"/>
  <c r="E20" i="13"/>
  <c r="F20" i="13" s="1"/>
  <c r="E54" i="13"/>
  <c r="F54" i="13" s="1"/>
  <c r="E34" i="13"/>
  <c r="F34" i="13" s="1"/>
  <c r="E10" i="13"/>
  <c r="F10" i="13" s="1"/>
  <c r="E55" i="13"/>
  <c r="F55" i="13" s="1"/>
  <c r="E35" i="13"/>
  <c r="F35" i="13" s="1"/>
  <c r="E11" i="13"/>
  <c r="F11" i="13" s="1"/>
  <c r="E52" i="13"/>
  <c r="F52" i="13" s="1"/>
  <c r="E31" i="13"/>
  <c r="F31" i="13" s="1"/>
  <c r="E68" i="13"/>
  <c r="F68" i="13" s="1"/>
  <c r="E38" i="13"/>
  <c r="F38" i="13" s="1"/>
  <c r="E14" i="13"/>
  <c r="F14" i="13" s="1"/>
  <c r="E50" i="13"/>
  <c r="F50" i="13" s="1"/>
  <c r="E28" i="13"/>
  <c r="F28" i="13" s="1"/>
  <c r="D73" i="13"/>
  <c r="E4" i="13"/>
  <c r="E51" i="13"/>
  <c r="F51" i="13" s="1"/>
  <c r="E29" i="13"/>
  <c r="F29" i="13" s="1"/>
  <c r="E5" i="13"/>
  <c r="F5" i="13" s="1"/>
  <c r="D7" i="13"/>
  <c r="E48" i="13"/>
  <c r="F48" i="13" s="1"/>
  <c r="E25" i="13"/>
  <c r="F25" i="13" s="1"/>
  <c r="E53" i="13"/>
  <c r="F53" i="13" s="1"/>
  <c r="E32" i="13"/>
  <c r="F32" i="13" s="1"/>
  <c r="E46" i="13"/>
  <c r="F46" i="13" s="1"/>
  <c r="E22" i="13"/>
  <c r="F22" i="13" s="1"/>
  <c r="E70" i="13"/>
  <c r="F70" i="13" s="1"/>
  <c r="E47" i="13"/>
  <c r="F47" i="13" s="1"/>
  <c r="E23" i="13"/>
  <c r="F23" i="13" s="1"/>
  <c r="D71" i="13"/>
  <c r="E43" i="13"/>
  <c r="F43" i="13" s="1"/>
  <c r="E19" i="13"/>
  <c r="F19" i="13" s="1"/>
  <c r="E49" i="13"/>
  <c r="F49" i="13" s="1"/>
  <c r="E26" i="13"/>
  <c r="F26" i="13" s="1"/>
  <c r="E44" i="14"/>
  <c r="F44" i="14" s="1"/>
  <c r="E23" i="14"/>
  <c r="F23" i="14" s="1"/>
  <c r="E43" i="14"/>
  <c r="F43" i="14" s="1"/>
  <c r="E34" i="14"/>
  <c r="F34" i="14" s="1"/>
  <c r="E22" i="14"/>
  <c r="F22" i="14" s="1"/>
  <c r="E10" i="14"/>
  <c r="F10" i="14" s="1"/>
  <c r="E40" i="14"/>
  <c r="F40" i="14" s="1"/>
  <c r="E17" i="14"/>
  <c r="F17" i="14" s="1"/>
  <c r="D53" i="14"/>
  <c r="D51" i="14"/>
  <c r="E4" i="14"/>
  <c r="C90" i="110" s="1"/>
  <c r="I90" i="110" s="1"/>
  <c r="E35" i="14"/>
  <c r="F35" i="14" s="1"/>
  <c r="E11" i="14"/>
  <c r="F11" i="14" s="1"/>
  <c r="E39" i="14"/>
  <c r="F39" i="14" s="1"/>
  <c r="E28" i="14"/>
  <c r="F28" i="14" s="1"/>
  <c r="E16" i="14"/>
  <c r="F16" i="14" s="1"/>
  <c r="E29" i="14"/>
  <c r="F29" i="14" s="1"/>
  <c r="D7" i="14"/>
  <c r="E5" i="14"/>
  <c r="F5" i="14" s="1"/>
  <c r="E35" i="15"/>
  <c r="F35" i="15" s="1"/>
  <c r="E55" i="15"/>
  <c r="F55" i="15" s="1"/>
  <c r="E29" i="15"/>
  <c r="F29" i="15" s="1"/>
  <c r="D7" i="15"/>
  <c r="D8" i="15" s="1"/>
  <c r="E5" i="15"/>
  <c r="F5" i="15" s="1"/>
  <c r="D51" i="15"/>
  <c r="D52" i="15" s="1"/>
  <c r="E49" i="15"/>
  <c r="F49" i="15" s="1"/>
  <c r="E28" i="15"/>
  <c r="F28" i="15" s="1"/>
  <c r="D65" i="15"/>
  <c r="E4" i="15"/>
  <c r="C89" i="110" s="1"/>
  <c r="I89" i="110" s="1"/>
  <c r="E11" i="15"/>
  <c r="F11" i="15" s="1"/>
  <c r="E43" i="15"/>
  <c r="F43" i="15" s="1"/>
  <c r="E31" i="15"/>
  <c r="F31" i="15" s="1"/>
  <c r="E19" i="15"/>
  <c r="F19" i="15" s="1"/>
  <c r="E34" i="15"/>
  <c r="F34" i="15" s="1"/>
  <c r="E46" i="15"/>
  <c r="F46" i="15" s="1"/>
  <c r="E23" i="15"/>
  <c r="F23" i="15" s="1"/>
  <c r="E62" i="15"/>
  <c r="F62" i="15" s="1"/>
  <c r="E47" i="15"/>
  <c r="F47" i="15" s="1"/>
  <c r="E37" i="15"/>
  <c r="F37" i="15" s="1"/>
  <c r="E25" i="15"/>
  <c r="F25" i="15" s="1"/>
  <c r="E13" i="15"/>
  <c r="F13" i="15" s="1"/>
  <c r="E45" i="15"/>
  <c r="F45" i="15" s="1"/>
  <c r="E22" i="15"/>
  <c r="F22" i="15" s="1"/>
  <c r="D56" i="15"/>
  <c r="E10" i="15"/>
  <c r="F10" i="15" s="1"/>
  <c r="E41" i="15"/>
  <c r="F41" i="15" s="1"/>
  <c r="E17" i="15"/>
  <c r="F17" i="15" s="1"/>
  <c r="E57" i="15"/>
  <c r="F57" i="15" s="1"/>
  <c r="D59" i="15"/>
  <c r="D60" i="15" s="1"/>
  <c r="D63" i="15"/>
  <c r="E40" i="15"/>
  <c r="F40" i="15" s="1"/>
  <c r="E16" i="15"/>
  <c r="F16" i="15" s="1"/>
  <c r="E33" i="16"/>
  <c r="F33" i="16" s="1"/>
  <c r="E11" i="16"/>
  <c r="F11" i="16" s="1"/>
  <c r="E34" i="16"/>
  <c r="F34" i="16" s="1"/>
  <c r="E13" i="16"/>
  <c r="F13" i="16" s="1"/>
  <c r="E26" i="16"/>
  <c r="F26" i="16" s="1"/>
  <c r="E32" i="16"/>
  <c r="F32" i="16" s="1"/>
  <c r="E10" i="16"/>
  <c r="F10" i="16" s="1"/>
  <c r="E29" i="16"/>
  <c r="F29" i="16" s="1"/>
  <c r="D7" i="16"/>
  <c r="D8" i="16" s="1"/>
  <c r="E5" i="16"/>
  <c r="F5" i="16" s="1"/>
  <c r="E30" i="16"/>
  <c r="F30" i="16" s="1"/>
  <c r="E50" i="16"/>
  <c r="F50" i="16" s="1"/>
  <c r="E20" i="16"/>
  <c r="F20" i="16" s="1"/>
  <c r="E28" i="16"/>
  <c r="F28" i="16" s="1"/>
  <c r="D52" i="16"/>
  <c r="E4" i="16"/>
  <c r="C88" i="110" s="1"/>
  <c r="I88" i="110" s="1"/>
  <c r="E23" i="16"/>
  <c r="F23" i="16" s="1"/>
  <c r="D49" i="16"/>
  <c r="E25" i="16"/>
  <c r="F25" i="16" s="1"/>
  <c r="E35" i="16"/>
  <c r="F35" i="16" s="1"/>
  <c r="D37" i="16"/>
  <c r="D38" i="16" s="1"/>
  <c r="E14" i="16"/>
  <c r="F14" i="16" s="1"/>
  <c r="E22" i="16"/>
  <c r="F22" i="16" s="1"/>
  <c r="D45" i="16"/>
  <c r="D46" i="16" s="1"/>
  <c r="E43" i="16"/>
  <c r="F43" i="16" s="1"/>
  <c r="E17" i="16"/>
  <c r="F17" i="16" s="1"/>
  <c r="E39" i="16"/>
  <c r="F39" i="16" s="1"/>
  <c r="D41" i="16"/>
  <c r="D42" i="16" s="1"/>
  <c r="E19" i="16"/>
  <c r="F19" i="16" s="1"/>
  <c r="E31" i="16"/>
  <c r="F31" i="16" s="1"/>
  <c r="E47" i="16"/>
  <c r="F47" i="16" s="1"/>
  <c r="E16" i="16"/>
  <c r="F16" i="16" s="1"/>
  <c r="E41" i="17"/>
  <c r="F41" i="17" s="1"/>
  <c r="E17" i="17"/>
  <c r="F17" i="17" s="1"/>
  <c r="E54" i="17"/>
  <c r="F54" i="17" s="1"/>
  <c r="D63" i="17"/>
  <c r="D61" i="17"/>
  <c r="E4" i="17"/>
  <c r="E35" i="17"/>
  <c r="F35" i="17" s="1"/>
  <c r="E11" i="17"/>
  <c r="F11" i="17" s="1"/>
  <c r="D51" i="17"/>
  <c r="D52" i="17" s="1"/>
  <c r="E49" i="17"/>
  <c r="F49" i="17" s="1"/>
  <c r="E40" i="17"/>
  <c r="F40" i="17" s="1"/>
  <c r="E28" i="17"/>
  <c r="F28" i="17" s="1"/>
  <c r="E16" i="17"/>
  <c r="F16" i="17" s="1"/>
  <c r="E55" i="17"/>
  <c r="F55" i="17" s="1"/>
  <c r="E29" i="17"/>
  <c r="F29" i="17" s="1"/>
  <c r="D7" i="17"/>
  <c r="E5" i="17"/>
  <c r="F5" i="17" s="1"/>
  <c r="E58" i="17"/>
  <c r="F58" i="17" s="1"/>
  <c r="E46" i="17"/>
  <c r="F46" i="17" s="1"/>
  <c r="E23" i="17"/>
  <c r="F23" i="17" s="1"/>
  <c r="E45" i="17"/>
  <c r="F45" i="17" s="1"/>
  <c r="E34" i="17"/>
  <c r="F34" i="17" s="1"/>
  <c r="E22" i="17"/>
  <c r="F22" i="17" s="1"/>
  <c r="E10" i="17"/>
  <c r="F10" i="17" s="1"/>
  <c r="E25" i="18"/>
  <c r="F25" i="18" s="1"/>
  <c r="E35" i="18"/>
  <c r="F35" i="18" s="1"/>
  <c r="D37" i="18"/>
  <c r="D38" i="18" s="1"/>
  <c r="E16" i="18"/>
  <c r="F16" i="18" s="1"/>
  <c r="E31" i="18"/>
  <c r="F31" i="18" s="1"/>
  <c r="D33" i="18"/>
  <c r="D34" i="18" s="1"/>
  <c r="E11" i="18"/>
  <c r="F11" i="18" s="1"/>
  <c r="E19" i="18"/>
  <c r="F19" i="18" s="1"/>
  <c r="E20" i="18"/>
  <c r="F20" i="18" s="1"/>
  <c r="E30" i="18"/>
  <c r="F30" i="18" s="1"/>
  <c r="E10" i="18"/>
  <c r="F10" i="18" s="1"/>
  <c r="E27" i="18"/>
  <c r="F27" i="18" s="1"/>
  <c r="E5" i="18"/>
  <c r="F5" i="18" s="1"/>
  <c r="D7" i="18"/>
  <c r="D8" i="18" s="1"/>
  <c r="E13" i="18"/>
  <c r="F13" i="18" s="1"/>
  <c r="E14" i="18"/>
  <c r="F14" i="18" s="1"/>
  <c r="E26" i="18"/>
  <c r="F26" i="18" s="1"/>
  <c r="D43" i="18"/>
  <c r="E4" i="18"/>
  <c r="E23" i="18"/>
  <c r="F23" i="18" s="1"/>
  <c r="E28" i="18"/>
  <c r="F28" i="18" s="1"/>
  <c r="E29" i="18"/>
  <c r="F29" i="18" s="1"/>
  <c r="D40" i="18"/>
  <c r="E22" i="18"/>
  <c r="F22" i="18" s="1"/>
  <c r="E41" i="18"/>
  <c r="F41" i="18" s="1"/>
  <c r="E17" i="18"/>
  <c r="F17" i="18" s="1"/>
  <c r="E24" i="18"/>
  <c r="F24" i="18" s="1"/>
  <c r="E28" i="19"/>
  <c r="F28" i="19" s="1"/>
  <c r="D42" i="19"/>
  <c r="E4" i="19"/>
  <c r="E23" i="19"/>
  <c r="F23" i="19" s="1"/>
  <c r="E40" i="19"/>
  <c r="F40" i="19" s="1"/>
  <c r="E19" i="19"/>
  <c r="F19" i="19" s="1"/>
  <c r="E20" i="19"/>
  <c r="F20" i="19" s="1"/>
  <c r="E22" i="19"/>
  <c r="F22" i="19" s="1"/>
  <c r="D39" i="19"/>
  <c r="E17" i="19"/>
  <c r="F17" i="19" s="1"/>
  <c r="E35" i="19"/>
  <c r="F35" i="19" s="1"/>
  <c r="D37" i="19"/>
  <c r="D38" i="19" s="1"/>
  <c r="E13" i="19"/>
  <c r="F13" i="19" s="1"/>
  <c r="E14" i="19"/>
  <c r="F14" i="19" s="1"/>
  <c r="E16" i="19"/>
  <c r="F16" i="19" s="1"/>
  <c r="E34" i="19"/>
  <c r="F34" i="19" s="1"/>
  <c r="E11" i="19"/>
  <c r="F11" i="19" s="1"/>
  <c r="E31" i="19"/>
  <c r="F31" i="19" s="1"/>
  <c r="E32" i="19"/>
  <c r="F32" i="19" s="1"/>
  <c r="E10" i="19"/>
  <c r="F10" i="19" s="1"/>
  <c r="E29" i="19"/>
  <c r="F29" i="19" s="1"/>
  <c r="E5" i="19"/>
  <c r="F5" i="19" s="1"/>
  <c r="D7" i="19"/>
  <c r="D8" i="19" s="1"/>
  <c r="E25" i="19"/>
  <c r="F25" i="19" s="1"/>
  <c r="E26" i="19"/>
  <c r="F26" i="19" s="1"/>
  <c r="E22" i="20"/>
  <c r="F22" i="20" s="1"/>
  <c r="E11" i="20"/>
  <c r="F11" i="20" s="1"/>
  <c r="E25" i="20"/>
  <c r="F25" i="20" s="1"/>
  <c r="E20" i="20"/>
  <c r="F20" i="20" s="1"/>
  <c r="E16" i="20"/>
  <c r="F16" i="20" s="1"/>
  <c r="E28" i="20"/>
  <c r="F28" i="20" s="1"/>
  <c r="E5" i="20"/>
  <c r="F5" i="20" s="1"/>
  <c r="D7" i="20"/>
  <c r="D8" i="20" s="1"/>
  <c r="E19" i="20"/>
  <c r="F19" i="20" s="1"/>
  <c r="E14" i="20"/>
  <c r="F14" i="20" s="1"/>
  <c r="E10" i="20"/>
  <c r="F10" i="20" s="1"/>
  <c r="E23" i="20"/>
  <c r="F23" i="20" s="1"/>
  <c r="E34" i="20"/>
  <c r="F34" i="20" s="1"/>
  <c r="E13" i="20"/>
  <c r="F13" i="20" s="1"/>
  <c r="D36" i="20"/>
  <c r="E4" i="20"/>
  <c r="C84" i="110" s="1"/>
  <c r="I84" i="110" s="1"/>
  <c r="E17" i="20"/>
  <c r="F17" i="20" s="1"/>
  <c r="E29" i="20"/>
  <c r="F29" i="20" s="1"/>
  <c r="D31" i="20"/>
  <c r="D32" i="20" s="1"/>
  <c r="E26" i="20"/>
  <c r="F26" i="20" s="1"/>
  <c r="E35" i="21"/>
  <c r="F35" i="21" s="1"/>
  <c r="E38" i="21"/>
  <c r="F38" i="21" s="1"/>
  <c r="E23" i="21"/>
  <c r="F23" i="21" s="1"/>
  <c r="E11" i="21"/>
  <c r="F11" i="21" s="1"/>
  <c r="D7" i="21"/>
  <c r="D8" i="21" s="1"/>
  <c r="E5" i="21"/>
  <c r="F5" i="21" s="1"/>
  <c r="D45" i="21"/>
  <c r="E34" i="21"/>
  <c r="E28" i="21"/>
  <c r="F28" i="21" s="1"/>
  <c r="E17" i="21"/>
  <c r="F17" i="21" s="1"/>
  <c r="E39" i="21"/>
  <c r="F39" i="21" s="1"/>
  <c r="E53" i="22"/>
  <c r="F53" i="22" s="1"/>
  <c r="E32" i="22"/>
  <c r="F32" i="22" s="1"/>
  <c r="E46" i="22"/>
  <c r="F46" i="22" s="1"/>
  <c r="E22" i="22"/>
  <c r="F22" i="22" s="1"/>
  <c r="E75" i="22"/>
  <c r="F75" i="22" s="1"/>
  <c r="E47" i="22"/>
  <c r="F47" i="22" s="1"/>
  <c r="E23" i="22"/>
  <c r="F23" i="22" s="1"/>
  <c r="E72" i="22"/>
  <c r="F72" i="22" s="1"/>
  <c r="E43" i="22"/>
  <c r="F43" i="22" s="1"/>
  <c r="E19" i="22"/>
  <c r="F19" i="22" s="1"/>
  <c r="E49" i="22"/>
  <c r="F49" i="22" s="1"/>
  <c r="E26" i="22"/>
  <c r="F26" i="22" s="1"/>
  <c r="E59" i="22"/>
  <c r="F59" i="22" s="1"/>
  <c r="D61" i="22"/>
  <c r="D62" i="22" s="1"/>
  <c r="E40" i="22"/>
  <c r="F40" i="22" s="1"/>
  <c r="E16" i="22"/>
  <c r="F16" i="22" s="1"/>
  <c r="E71" i="22"/>
  <c r="F71" i="22" s="1"/>
  <c r="E41" i="22"/>
  <c r="F41" i="22" s="1"/>
  <c r="E17" i="22"/>
  <c r="F17" i="22" s="1"/>
  <c r="D69" i="22"/>
  <c r="D70" i="22" s="1"/>
  <c r="E67" i="22"/>
  <c r="F67" i="22" s="1"/>
  <c r="E37" i="22"/>
  <c r="F37" i="22" s="1"/>
  <c r="E13" i="22"/>
  <c r="F13" i="22" s="1"/>
  <c r="E44" i="22"/>
  <c r="F44" i="22" s="1"/>
  <c r="E20" i="22"/>
  <c r="F20" i="22" s="1"/>
  <c r="E54" i="22"/>
  <c r="F54" i="22" s="1"/>
  <c r="E34" i="22"/>
  <c r="F34" i="22" s="1"/>
  <c r="E10" i="22"/>
  <c r="F10" i="22" s="1"/>
  <c r="E55" i="22"/>
  <c r="F55" i="22" s="1"/>
  <c r="D57" i="22"/>
  <c r="D58" i="22" s="1"/>
  <c r="E35" i="22"/>
  <c r="F35" i="22" s="1"/>
  <c r="E11" i="22"/>
  <c r="F11" i="22" s="1"/>
  <c r="E52" i="22"/>
  <c r="F52" i="22" s="1"/>
  <c r="E31" i="22"/>
  <c r="F31" i="22" s="1"/>
  <c r="D65" i="22"/>
  <c r="D66" i="22" s="1"/>
  <c r="E63" i="22"/>
  <c r="F63" i="22" s="1"/>
  <c r="E38" i="22"/>
  <c r="F38" i="22" s="1"/>
  <c r="E14" i="22"/>
  <c r="F14" i="22" s="1"/>
  <c r="E50" i="22"/>
  <c r="F50" i="22" s="1"/>
  <c r="E28" i="22"/>
  <c r="F28" i="22" s="1"/>
  <c r="D77" i="22"/>
  <c r="E4" i="22"/>
  <c r="E51" i="22"/>
  <c r="F51" i="22" s="1"/>
  <c r="E29" i="22"/>
  <c r="F29" i="22" s="1"/>
  <c r="E5" i="22"/>
  <c r="F5" i="22" s="1"/>
  <c r="D7" i="22"/>
  <c r="D8" i="22" s="1"/>
  <c r="E48" i="22"/>
  <c r="F48" i="22" s="1"/>
  <c r="E25" i="22"/>
  <c r="F25" i="22" s="1"/>
  <c r="D7" i="23"/>
  <c r="D8" i="23" s="1"/>
  <c r="E5" i="23"/>
  <c r="F5" i="23" s="1"/>
  <c r="D36" i="23"/>
  <c r="E4" i="23"/>
  <c r="E23" i="23"/>
  <c r="F23" i="23" s="1"/>
  <c r="D34" i="23"/>
  <c r="E26" i="23"/>
  <c r="F26" i="23" s="1"/>
  <c r="E16" i="23"/>
  <c r="F16" i="23" s="1"/>
  <c r="E17" i="23"/>
  <c r="F17" i="23" s="1"/>
  <c r="E11" i="23"/>
  <c r="F11" i="23" s="1"/>
  <c r="E22" i="23"/>
  <c r="F22" i="23" s="1"/>
  <c r="E10" i="23"/>
  <c r="F10" i="23" s="1"/>
  <c r="E42" i="24"/>
  <c r="F42" i="24" s="1"/>
  <c r="E22" i="24"/>
  <c r="F22" i="24" s="1"/>
  <c r="D45" i="24"/>
  <c r="D46" i="24" s="1"/>
  <c r="E43" i="24"/>
  <c r="F43" i="24" s="1"/>
  <c r="E23" i="24"/>
  <c r="F23" i="24" s="1"/>
  <c r="E38" i="24"/>
  <c r="F38" i="24" s="1"/>
  <c r="E16" i="24"/>
  <c r="F16" i="24" s="1"/>
  <c r="E29" i="24"/>
  <c r="F29" i="24" s="1"/>
  <c r="E34" i="24"/>
  <c r="F34" i="24" s="1"/>
  <c r="E10" i="24"/>
  <c r="F10" i="24" s="1"/>
  <c r="E35" i="24"/>
  <c r="F35" i="24" s="1"/>
  <c r="E11" i="24"/>
  <c r="F11" i="24" s="1"/>
  <c r="D51" i="24"/>
  <c r="E47" i="24"/>
  <c r="F47" i="24" s="1"/>
  <c r="D49" i="24"/>
  <c r="E28" i="24"/>
  <c r="F28" i="24" s="1"/>
  <c r="D54" i="24"/>
  <c r="E4" i="24"/>
  <c r="C80" i="110" s="1"/>
  <c r="I80" i="110" s="1"/>
  <c r="E39" i="24"/>
  <c r="F39" i="24" s="1"/>
  <c r="E17" i="24"/>
  <c r="F17" i="24" s="1"/>
  <c r="D7" i="24"/>
  <c r="D8" i="24" s="1"/>
  <c r="E5" i="24"/>
  <c r="F5" i="24" s="1"/>
  <c r="E50" i="25"/>
  <c r="F50" i="25" s="1"/>
  <c r="E41" i="25"/>
  <c r="F41" i="25" s="1"/>
  <c r="E29" i="25"/>
  <c r="F29" i="25" s="1"/>
  <c r="E17" i="25"/>
  <c r="F17" i="25" s="1"/>
  <c r="D7" i="25"/>
  <c r="D8" i="25" s="1"/>
  <c r="E5" i="25"/>
  <c r="F5" i="25" s="1"/>
  <c r="E46" i="25"/>
  <c r="F46" i="25" s="1"/>
  <c r="E35" i="25"/>
  <c r="F35" i="25" s="1"/>
  <c r="E23" i="25"/>
  <c r="F23" i="25" s="1"/>
  <c r="E11" i="25"/>
  <c r="F11" i="25" s="1"/>
  <c r="D74" i="25"/>
  <c r="E35" i="26"/>
  <c r="F35" i="26" s="1"/>
  <c r="E23" i="26"/>
  <c r="F23" i="26" s="1"/>
  <c r="E11" i="26"/>
  <c r="F11" i="26" s="1"/>
  <c r="D7" i="26"/>
  <c r="D8" i="26" s="1"/>
  <c r="E5" i="26"/>
  <c r="F5" i="26" s="1"/>
  <c r="D41" i="26"/>
  <c r="D42" i="26" s="1"/>
  <c r="E39" i="26"/>
  <c r="F39" i="26" s="1"/>
  <c r="E29" i="26"/>
  <c r="F29" i="26" s="1"/>
  <c r="E17" i="26"/>
  <c r="F17" i="26" s="1"/>
  <c r="E41" i="27"/>
  <c r="F41" i="27" s="1"/>
  <c r="E20" i="27"/>
  <c r="F20" i="27" s="1"/>
  <c r="E38" i="27"/>
  <c r="F38" i="27" s="1"/>
  <c r="E16" i="27"/>
  <c r="F16" i="27" s="1"/>
  <c r="E39" i="27"/>
  <c r="F39" i="27" s="1"/>
  <c r="E17" i="27"/>
  <c r="F17" i="27" s="1"/>
  <c r="E40" i="27"/>
  <c r="F40" i="27" s="1"/>
  <c r="E19" i="27"/>
  <c r="F19" i="27" s="1"/>
  <c r="E37" i="27"/>
  <c r="F37" i="27" s="1"/>
  <c r="E14" i="27"/>
  <c r="F14" i="27" s="1"/>
  <c r="E34" i="27"/>
  <c r="F34" i="27" s="1"/>
  <c r="E10" i="27"/>
  <c r="F10" i="27" s="1"/>
  <c r="E35" i="27"/>
  <c r="F35" i="27" s="1"/>
  <c r="E11" i="27"/>
  <c r="F11" i="27" s="1"/>
  <c r="E36" i="27"/>
  <c r="F36" i="27" s="1"/>
  <c r="E13" i="27"/>
  <c r="F13" i="27" s="1"/>
  <c r="E32" i="27"/>
  <c r="F32" i="27" s="1"/>
  <c r="E52" i="27"/>
  <c r="F52" i="27" s="1"/>
  <c r="E28" i="27"/>
  <c r="F28" i="27" s="1"/>
  <c r="D55" i="27"/>
  <c r="E4" i="27"/>
  <c r="E29" i="27"/>
  <c r="F29" i="27" s="1"/>
  <c r="E5" i="27"/>
  <c r="F5" i="27" s="1"/>
  <c r="D7" i="27"/>
  <c r="E31" i="27"/>
  <c r="F31" i="27" s="1"/>
  <c r="D48" i="27"/>
  <c r="D49" i="27" s="1"/>
  <c r="E46" i="27"/>
  <c r="F46" i="27" s="1"/>
  <c r="E26" i="27"/>
  <c r="F26" i="27" s="1"/>
  <c r="E42" i="27"/>
  <c r="F42" i="27" s="1"/>
  <c r="D44" i="27"/>
  <c r="D45" i="27" s="1"/>
  <c r="E22" i="27"/>
  <c r="F22" i="27" s="1"/>
  <c r="D53" i="27"/>
  <c r="E23" i="27"/>
  <c r="F23" i="27" s="1"/>
  <c r="E50" i="27"/>
  <c r="F50" i="27" s="1"/>
  <c r="E25" i="27"/>
  <c r="F25" i="27" s="1"/>
  <c r="E57" i="28"/>
  <c r="E47" i="28"/>
  <c r="F47" i="28" s="1"/>
  <c r="E35" i="28"/>
  <c r="F35" i="28" s="1"/>
  <c r="E23" i="28"/>
  <c r="F23" i="28" s="1"/>
  <c r="E11" i="28"/>
  <c r="F11" i="28" s="1"/>
  <c r="E70" i="28"/>
  <c r="F70" i="28" s="1"/>
  <c r="D75" i="28"/>
  <c r="D7" i="28"/>
  <c r="D8" i="28" s="1"/>
  <c r="E5" i="28"/>
  <c r="F5" i="28" s="1"/>
  <c r="E69" i="28"/>
  <c r="F69" i="28" s="1"/>
  <c r="D58" i="28"/>
  <c r="E52" i="28"/>
  <c r="F52" i="28" s="1"/>
  <c r="E41" i="28"/>
  <c r="F41" i="28" s="1"/>
  <c r="E29" i="28"/>
  <c r="F29" i="28" s="1"/>
  <c r="E17" i="28"/>
  <c r="F17" i="28" s="1"/>
  <c r="D74" i="28"/>
  <c r="E11" i="29"/>
  <c r="F11" i="29" s="1"/>
  <c r="D37" i="29"/>
  <c r="E4" i="29"/>
  <c r="C75" i="110" s="1"/>
  <c r="I75" i="110" s="1"/>
  <c r="D7" i="29"/>
  <c r="D8" i="29" s="1"/>
  <c r="E5" i="29"/>
  <c r="F5" i="29" s="1"/>
  <c r="D28" i="29"/>
  <c r="D29" i="29" s="1"/>
  <c r="E26" i="29"/>
  <c r="F26" i="29" s="1"/>
  <c r="E16" i="29"/>
  <c r="F16" i="29" s="1"/>
  <c r="D35" i="29"/>
  <c r="E17" i="29"/>
  <c r="F17" i="29" s="1"/>
  <c r="E22" i="29"/>
  <c r="F22" i="29" s="1"/>
  <c r="E10" i="29"/>
  <c r="F10" i="29" s="1"/>
  <c r="E51" i="30"/>
  <c r="F51" i="30" s="1"/>
  <c r="E41" i="30"/>
  <c r="F41" i="30" s="1"/>
  <c r="E29" i="30"/>
  <c r="F29" i="30" s="1"/>
  <c r="E17" i="30"/>
  <c r="F17" i="30" s="1"/>
  <c r="E81" i="30"/>
  <c r="F81" i="30" s="1"/>
  <c r="E71" i="30"/>
  <c r="F71" i="30" s="1"/>
  <c r="D72" i="30"/>
  <c r="D67" i="30"/>
  <c r="D88" i="30"/>
  <c r="E65" i="30"/>
  <c r="F65" i="30" s="1"/>
  <c r="E55" i="30"/>
  <c r="F55" i="30" s="1"/>
  <c r="E47" i="30"/>
  <c r="F47" i="30" s="1"/>
  <c r="E35" i="30"/>
  <c r="F35" i="30" s="1"/>
  <c r="E23" i="30"/>
  <c r="F23" i="30" s="1"/>
  <c r="E11" i="30"/>
  <c r="F11" i="30" s="1"/>
  <c r="D7" i="30"/>
  <c r="D8" i="30" s="1"/>
  <c r="E5" i="30"/>
  <c r="F5" i="30" s="1"/>
  <c r="E35" i="31"/>
  <c r="F35" i="31" s="1"/>
  <c r="E34" i="31"/>
  <c r="F34" i="31" s="1"/>
  <c r="E29" i="31"/>
  <c r="F29" i="31" s="1"/>
  <c r="D7" i="31"/>
  <c r="D8" i="31" s="1"/>
  <c r="E5" i="31"/>
  <c r="F5" i="31" s="1"/>
  <c r="D60" i="31"/>
  <c r="E4" i="31"/>
  <c r="C73" i="110" s="1"/>
  <c r="I73" i="110" s="1"/>
  <c r="E22" i="31"/>
  <c r="F22" i="31" s="1"/>
  <c r="E46" i="31"/>
  <c r="F46" i="31" s="1"/>
  <c r="E23" i="31"/>
  <c r="F23" i="31" s="1"/>
  <c r="E40" i="31"/>
  <c r="F40" i="31" s="1"/>
  <c r="E28" i="31"/>
  <c r="F28" i="31" s="1"/>
  <c r="E16" i="31"/>
  <c r="F16" i="31" s="1"/>
  <c r="E11" i="31"/>
  <c r="F11" i="31" s="1"/>
  <c r="E45" i="31"/>
  <c r="F45" i="31" s="1"/>
  <c r="E10" i="31"/>
  <c r="F10" i="31" s="1"/>
  <c r="E41" i="31"/>
  <c r="F41" i="31" s="1"/>
  <c r="E17" i="31"/>
  <c r="F17" i="31" s="1"/>
  <c r="D57" i="31"/>
  <c r="D67" i="41"/>
  <c r="E65" i="41"/>
  <c r="F65" i="41" s="1"/>
  <c r="E35" i="41"/>
  <c r="F35" i="41" s="1"/>
  <c r="E11" i="41"/>
  <c r="F11" i="41" s="1"/>
  <c r="E61" i="41"/>
  <c r="F61" i="41" s="1"/>
  <c r="D63" i="41"/>
  <c r="D64" i="41" s="1"/>
  <c r="E46" i="41"/>
  <c r="F46" i="41" s="1"/>
  <c r="E25" i="41"/>
  <c r="F25" i="41" s="1"/>
  <c r="E47" i="41"/>
  <c r="F47" i="41" s="1"/>
  <c r="E38" i="41"/>
  <c r="F38" i="41" s="1"/>
  <c r="E26" i="41"/>
  <c r="F26" i="41" s="1"/>
  <c r="E14" i="41"/>
  <c r="F14" i="41" s="1"/>
  <c r="E60" i="41"/>
  <c r="F60" i="41" s="1"/>
  <c r="E29" i="41"/>
  <c r="F29" i="41" s="1"/>
  <c r="D7" i="41"/>
  <c r="E5" i="41"/>
  <c r="F5" i="41" s="1"/>
  <c r="E56" i="41"/>
  <c r="F56" i="41" s="1"/>
  <c r="D58" i="41"/>
  <c r="D59" i="41" s="1"/>
  <c r="E42" i="41"/>
  <c r="F42" i="41" s="1"/>
  <c r="E19" i="41"/>
  <c r="F19" i="41" s="1"/>
  <c r="E45" i="41"/>
  <c r="F45" i="41" s="1"/>
  <c r="E23" i="41"/>
  <c r="F23" i="41" s="1"/>
  <c r="E37" i="41"/>
  <c r="F37" i="41" s="1"/>
  <c r="E13" i="41"/>
  <c r="F13" i="41" s="1"/>
  <c r="E52" i="41"/>
  <c r="F52" i="41" s="1"/>
  <c r="D54" i="41"/>
  <c r="D55" i="41" s="1"/>
  <c r="E43" i="41"/>
  <c r="F43" i="41" s="1"/>
  <c r="E32" i="41"/>
  <c r="F32" i="41" s="1"/>
  <c r="E20" i="41"/>
  <c r="F20" i="41" s="1"/>
  <c r="E41" i="41"/>
  <c r="F41" i="41" s="1"/>
  <c r="E17" i="41"/>
  <c r="F17" i="41" s="1"/>
  <c r="E71" i="41"/>
  <c r="F71" i="41" s="1"/>
  <c r="E31" i="41"/>
  <c r="F31" i="41" s="1"/>
  <c r="F50" i="41"/>
  <c r="E49" i="33"/>
  <c r="F49" i="33" s="1"/>
  <c r="E41" i="33"/>
  <c r="F41" i="33" s="1"/>
  <c r="E29" i="33"/>
  <c r="F29" i="33" s="1"/>
  <c r="E17" i="33"/>
  <c r="F17" i="33" s="1"/>
  <c r="E70" i="33"/>
  <c r="F70" i="33" s="1"/>
  <c r="D71" i="33"/>
  <c r="D66" i="33"/>
  <c r="D67" i="33" s="1"/>
  <c r="E64" i="33"/>
  <c r="F64" i="33" s="1"/>
  <c r="E54" i="33"/>
  <c r="E45" i="33"/>
  <c r="F45" i="33" s="1"/>
  <c r="E35" i="33"/>
  <c r="F35" i="33" s="1"/>
  <c r="E23" i="33"/>
  <c r="F23" i="33" s="1"/>
  <c r="E11" i="33"/>
  <c r="F11" i="33" s="1"/>
  <c r="D7" i="33"/>
  <c r="D8" i="33" s="1"/>
  <c r="E5" i="33"/>
  <c r="F5" i="33" s="1"/>
  <c r="D55" i="33"/>
  <c r="D68" i="34"/>
  <c r="D69" i="34" s="1"/>
  <c r="E66" i="34"/>
  <c r="F66" i="34" s="1"/>
  <c r="E56" i="34"/>
  <c r="F56" i="34" s="1"/>
  <c r="E47" i="34"/>
  <c r="F47" i="34" s="1"/>
  <c r="E35" i="34"/>
  <c r="F35" i="34" s="1"/>
  <c r="E23" i="34"/>
  <c r="F23" i="34" s="1"/>
  <c r="E11" i="34"/>
  <c r="F11" i="34" s="1"/>
  <c r="D7" i="34"/>
  <c r="D8" i="34" s="1"/>
  <c r="E5" i="34"/>
  <c r="F5" i="34" s="1"/>
  <c r="D57" i="34"/>
  <c r="D74" i="34"/>
  <c r="E51" i="34"/>
  <c r="F51" i="34" s="1"/>
  <c r="E41" i="34"/>
  <c r="F41" i="34" s="1"/>
  <c r="E29" i="34"/>
  <c r="F29" i="34" s="1"/>
  <c r="E17" i="34"/>
  <c r="F17" i="34" s="1"/>
  <c r="E29" i="35"/>
  <c r="F29" i="35" s="1"/>
  <c r="E34" i="35"/>
  <c r="F34" i="35" s="1"/>
  <c r="D63" i="35"/>
  <c r="D64" i="35" s="1"/>
  <c r="E61" i="35"/>
  <c r="F61" i="35" s="1"/>
  <c r="E35" i="35"/>
  <c r="F35" i="35" s="1"/>
  <c r="E11" i="35"/>
  <c r="F11" i="35" s="1"/>
  <c r="D7" i="35"/>
  <c r="D8" i="35" s="1"/>
  <c r="E5" i="35"/>
  <c r="F5" i="35" s="1"/>
  <c r="E22" i="35"/>
  <c r="F22" i="35" s="1"/>
  <c r="E46" i="35"/>
  <c r="F46" i="35" s="1"/>
  <c r="E23" i="35"/>
  <c r="F23" i="35" s="1"/>
  <c r="E55" i="35"/>
  <c r="F55" i="35" s="1"/>
  <c r="D70" i="35"/>
  <c r="E4" i="35"/>
  <c r="C69" i="110" s="1"/>
  <c r="I69" i="110" s="1"/>
  <c r="D56" i="35"/>
  <c r="E45" i="35"/>
  <c r="F45" i="35" s="1"/>
  <c r="E10" i="35"/>
  <c r="F10" i="35" s="1"/>
  <c r="E41" i="35"/>
  <c r="F41" i="35" s="1"/>
  <c r="E17" i="35"/>
  <c r="F17" i="35" s="1"/>
  <c r="D67" i="35"/>
  <c r="E65" i="35"/>
  <c r="F65" i="35" s="1"/>
  <c r="D51" i="35"/>
  <c r="D52" i="35" s="1"/>
  <c r="E49" i="35"/>
  <c r="F49" i="35" s="1"/>
  <c r="E40" i="35"/>
  <c r="F40" i="35" s="1"/>
  <c r="E28" i="35"/>
  <c r="F28" i="35" s="1"/>
  <c r="E16" i="35"/>
  <c r="F16" i="35" s="1"/>
  <c r="E40" i="36"/>
  <c r="F40" i="36" s="1"/>
  <c r="E57" i="36"/>
  <c r="F57" i="36" s="1"/>
  <c r="E35" i="36"/>
  <c r="F35" i="36" s="1"/>
  <c r="E11" i="36"/>
  <c r="F11" i="36" s="1"/>
  <c r="E52" i="36"/>
  <c r="F52" i="36" s="1"/>
  <c r="D54" i="36"/>
  <c r="E32" i="36"/>
  <c r="F32" i="36" s="1"/>
  <c r="F4" i="36"/>
  <c r="E63" i="36"/>
  <c r="E38" i="36"/>
  <c r="F38" i="36" s="1"/>
  <c r="E29" i="36"/>
  <c r="F29" i="36" s="1"/>
  <c r="D7" i="36"/>
  <c r="D8" i="36" s="1"/>
  <c r="E5" i="36"/>
  <c r="F5" i="36" s="1"/>
  <c r="E26" i="36"/>
  <c r="F26" i="36" s="1"/>
  <c r="E17" i="36"/>
  <c r="F17" i="36" s="1"/>
  <c r="E14" i="36"/>
  <c r="F14" i="36" s="1"/>
  <c r="D46" i="36"/>
  <c r="E44" i="36"/>
  <c r="F44" i="36" s="1"/>
  <c r="E23" i="36"/>
  <c r="F23" i="36" s="1"/>
  <c r="D61" i="36"/>
  <c r="E42" i="36"/>
  <c r="F42" i="36" s="1"/>
  <c r="E20" i="36"/>
  <c r="F20" i="36" s="1"/>
  <c r="E51" i="36"/>
  <c r="F51" i="36" s="1"/>
  <c r="E54" i="37"/>
  <c r="F54" i="37" s="1"/>
  <c r="E35" i="37"/>
  <c r="F35" i="37" s="1"/>
  <c r="E11" i="37"/>
  <c r="F11" i="37" s="1"/>
  <c r="E60" i="37"/>
  <c r="F60" i="37" s="1"/>
  <c r="D62" i="37"/>
  <c r="D63" i="37" s="1"/>
  <c r="E43" i="37"/>
  <c r="F43" i="37" s="1"/>
  <c r="E50" i="37"/>
  <c r="F50" i="37" s="1"/>
  <c r="E29" i="37"/>
  <c r="F29" i="37" s="1"/>
  <c r="D7" i="37"/>
  <c r="D8" i="37" s="1"/>
  <c r="E5" i="37"/>
  <c r="F5" i="37" s="1"/>
  <c r="E76" i="37"/>
  <c r="F76" i="37" s="1"/>
  <c r="D78" i="37"/>
  <c r="D79" i="37" s="1"/>
  <c r="E55" i="37"/>
  <c r="F55" i="37" s="1"/>
  <c r="E88" i="37"/>
  <c r="F88" i="37" s="1"/>
  <c r="D58" i="37"/>
  <c r="D59" i="37" s="1"/>
  <c r="E56" i="37"/>
  <c r="F56" i="37" s="1"/>
  <c r="E48" i="37"/>
  <c r="F48" i="37" s="1"/>
  <c r="E38" i="37"/>
  <c r="F38" i="37" s="1"/>
  <c r="E26" i="37"/>
  <c r="F26" i="37" s="1"/>
  <c r="E14" i="37"/>
  <c r="F14" i="37" s="1"/>
  <c r="D82" i="37"/>
  <c r="D83" i="37" s="1"/>
  <c r="E80" i="37"/>
  <c r="F80" i="37" s="1"/>
  <c r="E46" i="37"/>
  <c r="F46" i="37" s="1"/>
  <c r="E23" i="37"/>
  <c r="F23" i="37" s="1"/>
  <c r="E91" i="37"/>
  <c r="F91" i="37" s="1"/>
  <c r="E51" i="37"/>
  <c r="F51" i="37" s="1"/>
  <c r="D66" i="37"/>
  <c r="D67" i="37" s="1"/>
  <c r="E64" i="37"/>
  <c r="F64" i="37" s="1"/>
  <c r="E41" i="37"/>
  <c r="F41" i="37" s="1"/>
  <c r="E17" i="37"/>
  <c r="F17" i="37" s="1"/>
  <c r="E47" i="37"/>
  <c r="F47" i="37" s="1"/>
  <c r="D92" i="37"/>
  <c r="E72" i="37"/>
  <c r="F72" i="37" s="1"/>
  <c r="D74" i="37"/>
  <c r="D75" i="37" s="1"/>
  <c r="E52" i="37"/>
  <c r="F52" i="37" s="1"/>
  <c r="E44" i="37"/>
  <c r="F44" i="37" s="1"/>
  <c r="E32" i="37"/>
  <c r="F32" i="37" s="1"/>
  <c r="E20" i="37"/>
  <c r="F20" i="37" s="1"/>
  <c r="E29" i="38"/>
  <c r="F29" i="38" s="1"/>
  <c r="D7" i="38"/>
  <c r="D8" i="38" s="1"/>
  <c r="E5" i="38"/>
  <c r="F5" i="38" s="1"/>
  <c r="E38" i="38"/>
  <c r="F38" i="38" s="1"/>
  <c r="E28" i="38"/>
  <c r="F28" i="38" s="1"/>
  <c r="E16" i="38"/>
  <c r="F16" i="38" s="1"/>
  <c r="E23" i="38"/>
  <c r="F23" i="38" s="1"/>
  <c r="D41" i="38"/>
  <c r="D42" i="38" s="1"/>
  <c r="E39" i="38"/>
  <c r="F39" i="38" s="1"/>
  <c r="E17" i="38"/>
  <c r="F17" i="38" s="1"/>
  <c r="E34" i="38"/>
  <c r="F34" i="38" s="1"/>
  <c r="E22" i="38"/>
  <c r="F22" i="38" s="1"/>
  <c r="E10" i="38"/>
  <c r="F10" i="38" s="1"/>
  <c r="E35" i="38"/>
  <c r="F35" i="38" s="1"/>
  <c r="E11" i="38"/>
  <c r="F11" i="38" s="1"/>
  <c r="E43" i="38"/>
  <c r="F43" i="38" s="1"/>
  <c r="D48" i="38"/>
  <c r="D45" i="38"/>
  <c r="E4" i="38"/>
  <c r="E20" i="39"/>
  <c r="F20" i="39" s="1"/>
  <c r="E32" i="39"/>
  <c r="F32" i="39" s="1"/>
  <c r="E10" i="39"/>
  <c r="F10" i="39" s="1"/>
  <c r="E29" i="39"/>
  <c r="F29" i="39" s="1"/>
  <c r="E5" i="39"/>
  <c r="F5" i="39" s="1"/>
  <c r="D7" i="39"/>
  <c r="D8" i="39" s="1"/>
  <c r="E19" i="39"/>
  <c r="F19" i="39" s="1"/>
  <c r="D43" i="39"/>
  <c r="D44" i="39" s="1"/>
  <c r="E41" i="39"/>
  <c r="F41" i="39" s="1"/>
  <c r="E14" i="39"/>
  <c r="F14" i="39" s="1"/>
  <c r="E28" i="39"/>
  <c r="F28" i="39" s="1"/>
  <c r="D50" i="39"/>
  <c r="E4" i="39"/>
  <c r="C65" i="110" s="1"/>
  <c r="I65" i="110" s="1"/>
  <c r="E23" i="39"/>
  <c r="F23" i="39" s="1"/>
  <c r="E45" i="39"/>
  <c r="F45" i="39" s="1"/>
  <c r="E13" i="39"/>
  <c r="F13" i="39" s="1"/>
  <c r="E31" i="39"/>
  <c r="F31" i="39" s="1"/>
  <c r="E22" i="39"/>
  <c r="F22" i="39" s="1"/>
  <c r="E48" i="39"/>
  <c r="F48" i="39" s="1"/>
  <c r="E17" i="39"/>
  <c r="F17" i="39" s="1"/>
  <c r="E30" i="39"/>
  <c r="F30" i="39" s="1"/>
  <c r="E26" i="39"/>
  <c r="F26" i="39" s="1"/>
  <c r="E37" i="39"/>
  <c r="F37" i="39" s="1"/>
  <c r="D39" i="39"/>
  <c r="D40" i="39" s="1"/>
  <c r="E16" i="39"/>
  <c r="F16" i="39" s="1"/>
  <c r="E33" i="39"/>
  <c r="F33" i="39" s="1"/>
  <c r="D35" i="39"/>
  <c r="D36" i="39" s="1"/>
  <c r="E11" i="39"/>
  <c r="F11" i="39" s="1"/>
  <c r="E25" i="39"/>
  <c r="F25" i="39" s="1"/>
  <c r="E46" i="40"/>
  <c r="F46" i="40" s="1"/>
  <c r="E22" i="40"/>
  <c r="F22" i="40" s="1"/>
  <c r="E41" i="40"/>
  <c r="F41" i="40" s="1"/>
  <c r="E17" i="40"/>
  <c r="F17" i="40" s="1"/>
  <c r="E62" i="40"/>
  <c r="F62" i="40" s="1"/>
  <c r="D64" i="40"/>
  <c r="D65" i="40" s="1"/>
  <c r="E37" i="40"/>
  <c r="F37" i="40" s="1"/>
  <c r="E13" i="40"/>
  <c r="F13" i="40" s="1"/>
  <c r="E44" i="40"/>
  <c r="F44" i="40" s="1"/>
  <c r="E20" i="40"/>
  <c r="F20" i="40" s="1"/>
  <c r="E40" i="40"/>
  <c r="F40" i="40" s="1"/>
  <c r="E16" i="40"/>
  <c r="F16" i="40" s="1"/>
  <c r="E66" i="40"/>
  <c r="F66" i="40" s="1"/>
  <c r="D68" i="40"/>
  <c r="D69" i="40" s="1"/>
  <c r="E35" i="40"/>
  <c r="F35" i="40" s="1"/>
  <c r="E11" i="40"/>
  <c r="F11" i="40" s="1"/>
  <c r="E52" i="40"/>
  <c r="F52" i="40" s="1"/>
  <c r="E31" i="40"/>
  <c r="F31" i="40" s="1"/>
  <c r="D60" i="40"/>
  <c r="E58" i="40"/>
  <c r="F58" i="40" s="1"/>
  <c r="E38" i="40"/>
  <c r="F38" i="40" s="1"/>
  <c r="E14" i="40"/>
  <c r="F14" i="40" s="1"/>
  <c r="D56" i="40"/>
  <c r="E54" i="40"/>
  <c r="F54" i="40" s="1"/>
  <c r="E34" i="40"/>
  <c r="F34" i="40" s="1"/>
  <c r="E10" i="40"/>
  <c r="F10" i="40" s="1"/>
  <c r="E51" i="40"/>
  <c r="F51" i="40" s="1"/>
  <c r="E29" i="40"/>
  <c r="F29" i="40" s="1"/>
  <c r="E5" i="40"/>
  <c r="F5" i="40" s="1"/>
  <c r="D7" i="40"/>
  <c r="D8" i="40" s="1"/>
  <c r="E48" i="40"/>
  <c r="F48" i="40" s="1"/>
  <c r="E25" i="40"/>
  <c r="F25" i="40" s="1"/>
  <c r="E53" i="40"/>
  <c r="F53" i="40" s="1"/>
  <c r="E32" i="40"/>
  <c r="F32" i="40" s="1"/>
  <c r="E50" i="40"/>
  <c r="F50" i="40" s="1"/>
  <c r="E28" i="40"/>
  <c r="F28" i="40" s="1"/>
  <c r="D74" i="40"/>
  <c r="E4" i="40"/>
  <c r="E47" i="40"/>
  <c r="F47" i="40" s="1"/>
  <c r="E23" i="40"/>
  <c r="F23" i="40" s="1"/>
  <c r="E72" i="40"/>
  <c r="F72" i="40" s="1"/>
  <c r="E43" i="40"/>
  <c r="F43" i="40" s="1"/>
  <c r="E19" i="40"/>
  <c r="F19" i="40" s="1"/>
  <c r="E49" i="40"/>
  <c r="F49" i="40" s="1"/>
  <c r="E26" i="40"/>
  <c r="F26" i="40" s="1"/>
  <c r="E23" i="32"/>
  <c r="F23" i="32" s="1"/>
  <c r="E31" i="32"/>
  <c r="F31" i="32" s="1"/>
  <c r="E59" i="32"/>
  <c r="F59" i="32" s="1"/>
  <c r="E38" i="32"/>
  <c r="F38" i="32" s="1"/>
  <c r="E14" i="32"/>
  <c r="F14" i="32" s="1"/>
  <c r="E34" i="32"/>
  <c r="F34" i="32" s="1"/>
  <c r="E10" i="32"/>
  <c r="F10" i="32" s="1"/>
  <c r="E41" i="32"/>
  <c r="F41" i="32" s="1"/>
  <c r="E17" i="32"/>
  <c r="F17" i="32" s="1"/>
  <c r="E48" i="32"/>
  <c r="F48" i="32" s="1"/>
  <c r="E25" i="32"/>
  <c r="F25" i="32" s="1"/>
  <c r="E54" i="32"/>
  <c r="F54" i="32" s="1"/>
  <c r="D56" i="32"/>
  <c r="D57" i="32" s="1"/>
  <c r="E32" i="32"/>
  <c r="F32" i="32" s="1"/>
  <c r="D52" i="32"/>
  <c r="E50" i="32"/>
  <c r="F50" i="32" s="1"/>
  <c r="E28" i="32"/>
  <c r="F28" i="32" s="1"/>
  <c r="D61" i="32"/>
  <c r="E4" i="32"/>
  <c r="C63" i="110" s="1"/>
  <c r="I63" i="110" s="1"/>
  <c r="E35" i="32"/>
  <c r="F35" i="32" s="1"/>
  <c r="E11" i="32"/>
  <c r="F11" i="32" s="1"/>
  <c r="E43" i="32"/>
  <c r="F43" i="32" s="1"/>
  <c r="E19" i="32"/>
  <c r="F19" i="32" s="1"/>
  <c r="E49" i="32"/>
  <c r="F49" i="32" s="1"/>
  <c r="E26" i="32"/>
  <c r="F26" i="32" s="1"/>
  <c r="E46" i="32"/>
  <c r="F46" i="32" s="1"/>
  <c r="E22" i="32"/>
  <c r="F22" i="32" s="1"/>
  <c r="E29" i="32"/>
  <c r="F29" i="32" s="1"/>
  <c r="D7" i="32"/>
  <c r="E5" i="32"/>
  <c r="F5" i="32" s="1"/>
  <c r="E37" i="32"/>
  <c r="F37" i="32" s="1"/>
  <c r="E13" i="32"/>
  <c r="F13" i="32" s="1"/>
  <c r="E44" i="32"/>
  <c r="F44" i="32" s="1"/>
  <c r="E20" i="32"/>
  <c r="F20" i="32" s="1"/>
  <c r="E40" i="32"/>
  <c r="F40" i="32" s="1"/>
  <c r="E16" i="32"/>
  <c r="F16" i="32" s="1"/>
  <c r="E32" i="42"/>
  <c r="F32" i="42" s="1"/>
  <c r="E58" i="42"/>
  <c r="F58" i="42" s="1"/>
  <c r="E28" i="42"/>
  <c r="F28" i="42" s="1"/>
  <c r="D61" i="42"/>
  <c r="E4" i="42"/>
  <c r="C62" i="110" s="1"/>
  <c r="I62" i="110" s="1"/>
  <c r="E35" i="42"/>
  <c r="F35" i="42" s="1"/>
  <c r="E11" i="42"/>
  <c r="F11" i="42" s="1"/>
  <c r="E41" i="42"/>
  <c r="F41" i="42" s="1"/>
  <c r="E19" i="42"/>
  <c r="F19" i="42" s="1"/>
  <c r="D49" i="42"/>
  <c r="D50" i="42" s="1"/>
  <c r="E47" i="42"/>
  <c r="F47" i="42" s="1"/>
  <c r="E26" i="42"/>
  <c r="F26" i="42" s="1"/>
  <c r="E43" i="42"/>
  <c r="F43" i="42" s="1"/>
  <c r="D45" i="42"/>
  <c r="D46" i="42" s="1"/>
  <c r="E22" i="42"/>
  <c r="F22" i="42" s="1"/>
  <c r="D59" i="42"/>
  <c r="E29" i="42"/>
  <c r="F29" i="42" s="1"/>
  <c r="E5" i="42"/>
  <c r="F5" i="42" s="1"/>
  <c r="D7" i="42"/>
  <c r="D8" i="42" s="1"/>
  <c r="E37" i="42"/>
  <c r="F37" i="42" s="1"/>
  <c r="E13" i="42"/>
  <c r="F13" i="42" s="1"/>
  <c r="E42" i="42"/>
  <c r="F42" i="42" s="1"/>
  <c r="E20" i="42"/>
  <c r="F20" i="42" s="1"/>
  <c r="E39" i="42"/>
  <c r="F39" i="42" s="1"/>
  <c r="E16" i="42"/>
  <c r="F16" i="42" s="1"/>
  <c r="E55" i="42"/>
  <c r="F55" i="42" s="1"/>
  <c r="E23" i="42"/>
  <c r="F23" i="42" s="1"/>
  <c r="E56" i="42"/>
  <c r="F56" i="42" s="1"/>
  <c r="E31" i="42"/>
  <c r="F31" i="42" s="1"/>
  <c r="E38" i="42"/>
  <c r="F38" i="42" s="1"/>
  <c r="E14" i="42"/>
  <c r="F14" i="42" s="1"/>
  <c r="E34" i="42"/>
  <c r="F34" i="42" s="1"/>
  <c r="E10" i="42"/>
  <c r="F10" i="42" s="1"/>
  <c r="E40" i="42"/>
  <c r="F40" i="42" s="1"/>
  <c r="E17" i="42"/>
  <c r="F17" i="42" s="1"/>
  <c r="D53" i="42"/>
  <c r="D54" i="42" s="1"/>
  <c r="E51" i="42"/>
  <c r="F51" i="42" s="1"/>
  <c r="E25" i="42"/>
  <c r="F25" i="42" s="1"/>
  <c r="E21" i="43"/>
  <c r="F21" i="43" s="1"/>
  <c r="E17" i="43"/>
  <c r="F17" i="43" s="1"/>
  <c r="E13" i="43"/>
  <c r="F13" i="43" s="1"/>
  <c r="E14" i="43"/>
  <c r="F14" i="43" s="1"/>
  <c r="E16" i="43"/>
  <c r="F16" i="43" s="1"/>
  <c r="E11" i="43"/>
  <c r="F11" i="43" s="1"/>
  <c r="E10" i="43"/>
  <c r="F10" i="43" s="1"/>
  <c r="D27" i="43"/>
  <c r="E5" i="43"/>
  <c r="F5" i="43" s="1"/>
  <c r="D7" i="43"/>
  <c r="D8" i="43" s="1"/>
  <c r="E26" i="43"/>
  <c r="F26" i="43" s="1"/>
  <c r="D29" i="43"/>
  <c r="E4" i="43"/>
  <c r="E22" i="43"/>
  <c r="F22" i="43" s="1"/>
  <c r="D24" i="43"/>
  <c r="E19" i="43"/>
  <c r="F19" i="43" s="1"/>
  <c r="E41" i="44"/>
  <c r="F41" i="44" s="1"/>
  <c r="E17" i="44"/>
  <c r="F17" i="44" s="1"/>
  <c r="E67" i="44"/>
  <c r="F67" i="44" s="1"/>
  <c r="D69" i="44"/>
  <c r="D70" i="44" s="1"/>
  <c r="E50" i="44"/>
  <c r="F50" i="44" s="1"/>
  <c r="E40" i="44"/>
  <c r="F40" i="44" s="1"/>
  <c r="E28" i="44"/>
  <c r="F28" i="44" s="1"/>
  <c r="E16" i="44"/>
  <c r="F16" i="44" s="1"/>
  <c r="D73" i="44"/>
  <c r="D74" i="44" s="1"/>
  <c r="E71" i="44"/>
  <c r="F71" i="44" s="1"/>
  <c r="E23" i="44"/>
  <c r="F23" i="44" s="1"/>
  <c r="E75" i="44"/>
  <c r="F75" i="44" s="1"/>
  <c r="D57" i="44"/>
  <c r="D58" i="44" s="1"/>
  <c r="E55" i="44"/>
  <c r="F55" i="44" s="1"/>
  <c r="E35" i="44"/>
  <c r="F35" i="44" s="1"/>
  <c r="E11" i="44"/>
  <c r="F11" i="44" s="1"/>
  <c r="D61" i="44"/>
  <c r="D62" i="44" s="1"/>
  <c r="E59" i="44"/>
  <c r="F59" i="44" s="1"/>
  <c r="E47" i="44"/>
  <c r="F47" i="44" s="1"/>
  <c r="E77" i="44"/>
  <c r="F77" i="44" s="1"/>
  <c r="D80" i="44"/>
  <c r="E4" i="44"/>
  <c r="C60" i="110" s="1"/>
  <c r="I60" i="110" s="1"/>
  <c r="E51" i="44"/>
  <c r="F51" i="44" s="1"/>
  <c r="E29" i="44"/>
  <c r="F29" i="44" s="1"/>
  <c r="D7" i="44"/>
  <c r="D8" i="44" s="1"/>
  <c r="E5" i="44"/>
  <c r="F5" i="44" s="1"/>
  <c r="D78" i="44"/>
  <c r="E54" i="44"/>
  <c r="F54" i="44" s="1"/>
  <c r="E46" i="44"/>
  <c r="F46" i="44" s="1"/>
  <c r="E34" i="44"/>
  <c r="F34" i="44" s="1"/>
  <c r="E22" i="44"/>
  <c r="F22" i="44" s="1"/>
  <c r="E10" i="44"/>
  <c r="F10" i="44" s="1"/>
  <c r="E29" i="45"/>
  <c r="F29" i="45" s="1"/>
  <c r="D7" i="45"/>
  <c r="D8" i="45" s="1"/>
  <c r="E5" i="45"/>
  <c r="F5" i="45" s="1"/>
  <c r="E31" i="45"/>
  <c r="F31" i="45" s="1"/>
  <c r="E52" i="45"/>
  <c r="F52" i="45" s="1"/>
  <c r="E26" i="45"/>
  <c r="F26" i="45" s="1"/>
  <c r="D50" i="45"/>
  <c r="D51" i="45" s="1"/>
  <c r="E48" i="45"/>
  <c r="F48" i="45" s="1"/>
  <c r="E28" i="45"/>
  <c r="F28" i="45" s="1"/>
  <c r="E10" i="45"/>
  <c r="F10" i="45" s="1"/>
  <c r="D46" i="45"/>
  <c r="D47" i="45" s="1"/>
  <c r="E44" i="45"/>
  <c r="F44" i="45" s="1"/>
  <c r="E23" i="45"/>
  <c r="F23" i="45" s="1"/>
  <c r="D55" i="45"/>
  <c r="E25" i="45"/>
  <c r="F25" i="45" s="1"/>
  <c r="E42" i="45"/>
  <c r="F42" i="45" s="1"/>
  <c r="E20" i="45"/>
  <c r="F20" i="45" s="1"/>
  <c r="E43" i="45"/>
  <c r="F43" i="45" s="1"/>
  <c r="E22" i="45"/>
  <c r="F22" i="45" s="1"/>
  <c r="D58" i="45"/>
  <c r="E4" i="45"/>
  <c r="C59" i="110" s="1"/>
  <c r="I59" i="110" s="1"/>
  <c r="E40" i="45"/>
  <c r="F40" i="45" s="1"/>
  <c r="E17" i="45"/>
  <c r="F17" i="45" s="1"/>
  <c r="E41" i="45"/>
  <c r="F41" i="45" s="1"/>
  <c r="E19" i="45"/>
  <c r="F19" i="45" s="1"/>
  <c r="E38" i="45"/>
  <c r="F38" i="45" s="1"/>
  <c r="E14" i="45"/>
  <c r="F14" i="45" s="1"/>
  <c r="E39" i="45"/>
  <c r="F39" i="45" s="1"/>
  <c r="E16" i="45"/>
  <c r="F16" i="45" s="1"/>
  <c r="E35" i="45"/>
  <c r="F35" i="45" s="1"/>
  <c r="E11" i="45"/>
  <c r="F11" i="45" s="1"/>
  <c r="E37" i="45"/>
  <c r="F37" i="45" s="1"/>
  <c r="D63" i="45"/>
  <c r="E56" i="45"/>
  <c r="F56" i="45" s="1"/>
  <c r="E32" i="45"/>
  <c r="F32" i="45" s="1"/>
  <c r="E53" i="45"/>
  <c r="F53" i="45" s="1"/>
  <c r="E34" i="45"/>
  <c r="F34" i="45" s="1"/>
  <c r="E50" i="46"/>
  <c r="F50" i="46" s="1"/>
  <c r="E26" i="46"/>
  <c r="F26" i="46" s="1"/>
  <c r="E70" i="46"/>
  <c r="F70" i="46" s="1"/>
  <c r="D72" i="46"/>
  <c r="D73" i="46" s="1"/>
  <c r="E40" i="46"/>
  <c r="F40" i="46" s="1"/>
  <c r="E16" i="46"/>
  <c r="F16" i="46" s="1"/>
  <c r="E66" i="46"/>
  <c r="F66" i="46" s="1"/>
  <c r="D68" i="46"/>
  <c r="E41" i="46"/>
  <c r="F41" i="46" s="1"/>
  <c r="E17" i="46"/>
  <c r="F17" i="46" s="1"/>
  <c r="D64" i="46"/>
  <c r="D65" i="46" s="1"/>
  <c r="E62" i="46"/>
  <c r="F62" i="46" s="1"/>
  <c r="E43" i="46"/>
  <c r="F43" i="46" s="1"/>
  <c r="E19" i="46"/>
  <c r="F19" i="46" s="1"/>
  <c r="D76" i="46"/>
  <c r="D77" i="46" s="1"/>
  <c r="E74" i="46"/>
  <c r="F74" i="46" s="1"/>
  <c r="E44" i="46"/>
  <c r="F44" i="46" s="1"/>
  <c r="E20" i="46"/>
  <c r="F20" i="46" s="1"/>
  <c r="E55" i="46"/>
  <c r="F55" i="46" s="1"/>
  <c r="E34" i="46"/>
  <c r="F34" i="46" s="1"/>
  <c r="E10" i="46"/>
  <c r="F10" i="46" s="1"/>
  <c r="E56" i="46"/>
  <c r="F56" i="46" s="1"/>
  <c r="E35" i="46"/>
  <c r="F35" i="46" s="1"/>
  <c r="E11" i="46"/>
  <c r="F11" i="46" s="1"/>
  <c r="E57" i="46"/>
  <c r="F57" i="46" s="1"/>
  <c r="E37" i="46"/>
  <c r="F37" i="46" s="1"/>
  <c r="E13" i="46"/>
  <c r="F13" i="46" s="1"/>
  <c r="D60" i="46"/>
  <c r="D61" i="46" s="1"/>
  <c r="E58" i="46"/>
  <c r="F58" i="46" s="1"/>
  <c r="E38" i="46"/>
  <c r="F38" i="46" s="1"/>
  <c r="E14" i="46"/>
  <c r="F14" i="46" s="1"/>
  <c r="E51" i="46"/>
  <c r="F51" i="46" s="1"/>
  <c r="E28" i="46"/>
  <c r="F28" i="46" s="1"/>
  <c r="D83" i="46"/>
  <c r="E4" i="46"/>
  <c r="E52" i="46"/>
  <c r="F52" i="46" s="1"/>
  <c r="E29" i="46"/>
  <c r="F29" i="46" s="1"/>
  <c r="E5" i="46"/>
  <c r="F5" i="46" s="1"/>
  <c r="D7" i="46"/>
  <c r="D8" i="46" s="1"/>
  <c r="E53" i="46"/>
  <c r="F53" i="46" s="1"/>
  <c r="E31" i="46"/>
  <c r="F31" i="46" s="1"/>
  <c r="E54" i="46"/>
  <c r="F54" i="46" s="1"/>
  <c r="E32" i="46"/>
  <c r="F32" i="46" s="1"/>
  <c r="E80" i="46"/>
  <c r="F80" i="46" s="1"/>
  <c r="E46" i="46"/>
  <c r="F46" i="46" s="1"/>
  <c r="E22" i="46"/>
  <c r="F22" i="46" s="1"/>
  <c r="D81" i="46"/>
  <c r="E47" i="46"/>
  <c r="F47" i="46" s="1"/>
  <c r="E23" i="46"/>
  <c r="F23" i="46" s="1"/>
  <c r="E78" i="46"/>
  <c r="F78" i="46" s="1"/>
  <c r="E49" i="46"/>
  <c r="F49" i="46" s="1"/>
  <c r="E25" i="46"/>
  <c r="F25" i="46" s="1"/>
  <c r="D59" i="47"/>
  <c r="D60" i="47" s="1"/>
  <c r="E57" i="47"/>
  <c r="F57" i="47" s="1"/>
  <c r="E40" i="47"/>
  <c r="F40" i="47" s="1"/>
  <c r="E16" i="47"/>
  <c r="F16" i="47" s="1"/>
  <c r="E53" i="47"/>
  <c r="F53" i="47" s="1"/>
  <c r="D55" i="47"/>
  <c r="D56" i="47" s="1"/>
  <c r="E35" i="47"/>
  <c r="F35" i="47" s="1"/>
  <c r="E11" i="47"/>
  <c r="F11" i="47" s="1"/>
  <c r="E50" i="47"/>
  <c r="F50" i="47" s="1"/>
  <c r="E31" i="47"/>
  <c r="F31" i="47" s="1"/>
  <c r="E66" i="47"/>
  <c r="F66" i="47" s="1"/>
  <c r="E43" i="47"/>
  <c r="F43" i="47" s="1"/>
  <c r="E20" i="47"/>
  <c r="F20" i="47" s="1"/>
  <c r="E52" i="47"/>
  <c r="F52" i="47" s="1"/>
  <c r="E34" i="47"/>
  <c r="F34" i="47" s="1"/>
  <c r="E10" i="47"/>
  <c r="F10" i="47" s="1"/>
  <c r="E49" i="47"/>
  <c r="F49" i="47" s="1"/>
  <c r="E29" i="47"/>
  <c r="F29" i="47" s="1"/>
  <c r="E5" i="47"/>
  <c r="F5" i="47" s="1"/>
  <c r="D7" i="47"/>
  <c r="D8" i="47" s="1"/>
  <c r="E46" i="47"/>
  <c r="F46" i="47" s="1"/>
  <c r="E25" i="47"/>
  <c r="F25" i="47" s="1"/>
  <c r="D63" i="47"/>
  <c r="D64" i="47" s="1"/>
  <c r="E61" i="47"/>
  <c r="F61" i="47" s="1"/>
  <c r="E38" i="47"/>
  <c r="F38" i="47" s="1"/>
  <c r="E14" i="47"/>
  <c r="F14" i="47" s="1"/>
  <c r="E48" i="47"/>
  <c r="F48" i="47" s="1"/>
  <c r="E28" i="47"/>
  <c r="F28" i="47" s="1"/>
  <c r="D71" i="47"/>
  <c r="E4" i="47"/>
  <c r="C57" i="110" s="1"/>
  <c r="I57" i="110" s="1"/>
  <c r="E45" i="47"/>
  <c r="F45" i="47" s="1"/>
  <c r="E23" i="47"/>
  <c r="F23" i="47" s="1"/>
  <c r="D69" i="47"/>
  <c r="E42" i="47"/>
  <c r="F42" i="47" s="1"/>
  <c r="E19" i="47"/>
  <c r="F19" i="47" s="1"/>
  <c r="E51" i="47"/>
  <c r="F51" i="47" s="1"/>
  <c r="E32" i="47"/>
  <c r="F32" i="47" s="1"/>
  <c r="E44" i="47"/>
  <c r="F44" i="47" s="1"/>
  <c r="E22" i="47"/>
  <c r="F22" i="47" s="1"/>
  <c r="E68" i="47"/>
  <c r="F68" i="47" s="1"/>
  <c r="E41" i="47"/>
  <c r="F41" i="47" s="1"/>
  <c r="E17" i="47"/>
  <c r="F17" i="47" s="1"/>
  <c r="E65" i="47"/>
  <c r="F65" i="47" s="1"/>
  <c r="E37" i="47"/>
  <c r="F37" i="47" s="1"/>
  <c r="E13" i="47"/>
  <c r="F13" i="47" s="1"/>
  <c r="E47" i="47"/>
  <c r="F47" i="47" s="1"/>
  <c r="E26" i="47"/>
  <c r="F26" i="47" s="1"/>
  <c r="E20" i="48"/>
  <c r="F20" i="48" s="1"/>
  <c r="E34" i="48"/>
  <c r="F34" i="48" s="1"/>
  <c r="E10" i="48"/>
  <c r="F10" i="48" s="1"/>
  <c r="E41" i="48"/>
  <c r="F41" i="48" s="1"/>
  <c r="E17" i="48"/>
  <c r="F17" i="48" s="1"/>
  <c r="E42" i="48"/>
  <c r="F42" i="48" s="1"/>
  <c r="E19" i="48"/>
  <c r="F19" i="48" s="1"/>
  <c r="E38" i="48"/>
  <c r="F38" i="48" s="1"/>
  <c r="E14" i="48"/>
  <c r="F14" i="48" s="1"/>
  <c r="E16" i="48"/>
  <c r="F16" i="48" s="1"/>
  <c r="E45" i="48"/>
  <c r="F45" i="48" s="1"/>
  <c r="D47" i="48"/>
  <c r="D48" i="48" s="1"/>
  <c r="E23" i="48"/>
  <c r="F23" i="48" s="1"/>
  <c r="E25" i="48"/>
  <c r="F25" i="48" s="1"/>
  <c r="D51" i="48"/>
  <c r="D52" i="48" s="1"/>
  <c r="E49" i="48"/>
  <c r="F49" i="48" s="1"/>
  <c r="E28" i="48"/>
  <c r="F28" i="48" s="1"/>
  <c r="D58" i="48"/>
  <c r="E4" i="48"/>
  <c r="E35" i="48"/>
  <c r="F35" i="48" s="1"/>
  <c r="E11" i="48"/>
  <c r="F11" i="48" s="1"/>
  <c r="E37" i="48"/>
  <c r="F37" i="48" s="1"/>
  <c r="E13" i="48"/>
  <c r="F13" i="48" s="1"/>
  <c r="E32" i="48"/>
  <c r="F32" i="48" s="1"/>
  <c r="E40" i="48"/>
  <c r="F40" i="48" s="1"/>
  <c r="D56" i="48"/>
  <c r="E43" i="48"/>
  <c r="F43" i="48" s="1"/>
  <c r="E44" i="48"/>
  <c r="F44" i="48" s="1"/>
  <c r="E22" i="48"/>
  <c r="F22" i="48" s="1"/>
  <c r="E55" i="48"/>
  <c r="F55" i="48" s="1"/>
  <c r="E29" i="48"/>
  <c r="F29" i="48" s="1"/>
  <c r="E5" i="48"/>
  <c r="F5" i="48" s="1"/>
  <c r="D7" i="48"/>
  <c r="D8" i="48" s="1"/>
  <c r="E31" i="48"/>
  <c r="F31" i="48" s="1"/>
  <c r="E53" i="48"/>
  <c r="F53" i="48" s="1"/>
  <c r="E26" i="48"/>
  <c r="F26" i="48" s="1"/>
  <c r="E68" i="49"/>
  <c r="F68" i="49" s="1"/>
  <c r="E56" i="49"/>
  <c r="F56" i="49" s="1"/>
  <c r="E47" i="49"/>
  <c r="F47" i="49" s="1"/>
  <c r="E35" i="49"/>
  <c r="F35" i="49" s="1"/>
  <c r="E23" i="49"/>
  <c r="F23" i="49" s="1"/>
  <c r="E11" i="49"/>
  <c r="F11" i="49" s="1"/>
  <c r="E63" i="49"/>
  <c r="F63" i="49" s="1"/>
  <c r="D7" i="49"/>
  <c r="D8" i="49" s="1"/>
  <c r="E5" i="49"/>
  <c r="F5" i="49" s="1"/>
  <c r="E52" i="49"/>
  <c r="F52" i="49" s="1"/>
  <c r="E41" i="49"/>
  <c r="F41" i="49" s="1"/>
  <c r="E29" i="49"/>
  <c r="F29" i="49" s="1"/>
  <c r="E17" i="49"/>
  <c r="F17" i="49" s="1"/>
  <c r="D64" i="49"/>
  <c r="E23" i="50"/>
  <c r="F23" i="50" s="1"/>
  <c r="E20" i="50"/>
  <c r="F20" i="50" s="1"/>
  <c r="E22" i="50"/>
  <c r="F22" i="50" s="1"/>
  <c r="E10" i="50"/>
  <c r="F10" i="50" s="1"/>
  <c r="E17" i="50"/>
  <c r="F17" i="50" s="1"/>
  <c r="E36" i="50"/>
  <c r="F36" i="50" s="1"/>
  <c r="E14" i="50"/>
  <c r="F14" i="50" s="1"/>
  <c r="D42" i="50"/>
  <c r="E4" i="50"/>
  <c r="E11" i="50"/>
  <c r="F11" i="50" s="1"/>
  <c r="E30" i="50"/>
  <c r="F30" i="50" s="1"/>
  <c r="D32" i="50"/>
  <c r="D33" i="50" s="1"/>
  <c r="E27" i="50"/>
  <c r="F27" i="50" s="1"/>
  <c r="E16" i="50"/>
  <c r="F16" i="50" s="1"/>
  <c r="E28" i="50"/>
  <c r="F28" i="50" s="1"/>
  <c r="D7" i="50"/>
  <c r="D8" i="50" s="1"/>
  <c r="E5" i="50"/>
  <c r="F5" i="50" s="1"/>
  <c r="E26" i="50"/>
  <c r="F26" i="50" s="1"/>
  <c r="D37" i="50"/>
  <c r="E44" i="51"/>
  <c r="F44" i="51" s="1"/>
  <c r="E35" i="51"/>
  <c r="F35" i="51" s="1"/>
  <c r="E23" i="51"/>
  <c r="F23" i="51" s="1"/>
  <c r="E11" i="51"/>
  <c r="F11" i="51" s="1"/>
  <c r="D67" i="51"/>
  <c r="D68" i="51" s="1"/>
  <c r="E65" i="51"/>
  <c r="F65" i="51" s="1"/>
  <c r="E55" i="51"/>
  <c r="F55" i="51" s="1"/>
  <c r="D7" i="51"/>
  <c r="D8" i="51" s="1"/>
  <c r="E5" i="51"/>
  <c r="F5" i="51" s="1"/>
  <c r="D51" i="51"/>
  <c r="D52" i="51" s="1"/>
  <c r="D78" i="51"/>
  <c r="E49" i="51"/>
  <c r="F49" i="51" s="1"/>
  <c r="E40" i="51"/>
  <c r="F40" i="51" s="1"/>
  <c r="E29" i="51"/>
  <c r="F29" i="51" s="1"/>
  <c r="E17" i="51"/>
  <c r="F17" i="51" s="1"/>
  <c r="D56" i="51"/>
  <c r="D64" i="52"/>
  <c r="D65" i="52" s="1"/>
  <c r="E62" i="52"/>
  <c r="F62" i="52" s="1"/>
  <c r="E35" i="52"/>
  <c r="F35" i="52" s="1"/>
  <c r="E11" i="52"/>
  <c r="F11" i="52" s="1"/>
  <c r="E95" i="52"/>
  <c r="F95" i="52" s="1"/>
  <c r="E86" i="52"/>
  <c r="F86" i="52" s="1"/>
  <c r="D88" i="52"/>
  <c r="D89" i="52" s="1"/>
  <c r="E101" i="52"/>
  <c r="F101" i="52" s="1"/>
  <c r="D52" i="52"/>
  <c r="D53" i="52" s="1"/>
  <c r="E50" i="52"/>
  <c r="F50" i="52" s="1"/>
  <c r="E98" i="52"/>
  <c r="F98" i="52" s="1"/>
  <c r="E47" i="52"/>
  <c r="F47" i="52" s="1"/>
  <c r="E29" i="52"/>
  <c r="F29" i="52" s="1"/>
  <c r="E5" i="52"/>
  <c r="F5" i="52" s="1"/>
  <c r="E90" i="52"/>
  <c r="F90" i="52" s="1"/>
  <c r="D92" i="52"/>
  <c r="D93" i="52" s="1"/>
  <c r="E48" i="52"/>
  <c r="F48" i="52" s="1"/>
  <c r="D104" i="52"/>
  <c r="E70" i="52"/>
  <c r="F70" i="52" s="1"/>
  <c r="D72" i="52"/>
  <c r="D73" i="52" s="1"/>
  <c r="E97" i="52"/>
  <c r="F97" i="52" s="1"/>
  <c r="E46" i="52"/>
  <c r="F46" i="52" s="1"/>
  <c r="E38" i="52"/>
  <c r="F38" i="52" s="1"/>
  <c r="E27" i="52"/>
  <c r="F27" i="52" s="1"/>
  <c r="E15" i="52"/>
  <c r="F15" i="52" s="1"/>
  <c r="D106" i="52"/>
  <c r="E4" i="52"/>
  <c r="E94" i="52"/>
  <c r="F94" i="52" s="1"/>
  <c r="E43" i="52"/>
  <c r="F43" i="52" s="1"/>
  <c r="E23" i="52"/>
  <c r="F23" i="52" s="1"/>
  <c r="E103" i="52"/>
  <c r="F103" i="52" s="1"/>
  <c r="E74" i="52"/>
  <c r="F74" i="52" s="1"/>
  <c r="D76" i="52"/>
  <c r="D77" i="52" s="1"/>
  <c r="E100" i="52"/>
  <c r="F100" i="52" s="1"/>
  <c r="E54" i="52"/>
  <c r="F54" i="52" s="1"/>
  <c r="D56" i="52"/>
  <c r="D57" i="52" s="1"/>
  <c r="D84" i="52"/>
  <c r="D85" i="52" s="1"/>
  <c r="E82" i="52"/>
  <c r="F82" i="52" s="1"/>
  <c r="D80" i="52"/>
  <c r="D81" i="52" s="1"/>
  <c r="E78" i="52"/>
  <c r="F78" i="52" s="1"/>
  <c r="E39" i="52"/>
  <c r="F39" i="52" s="1"/>
  <c r="E17" i="52"/>
  <c r="F17" i="52" s="1"/>
  <c r="E99" i="52"/>
  <c r="F99" i="52" s="1"/>
  <c r="E58" i="52"/>
  <c r="F58" i="52" s="1"/>
  <c r="D60" i="52"/>
  <c r="D61" i="52" s="1"/>
  <c r="E96" i="52"/>
  <c r="F96" i="52" s="1"/>
  <c r="D68" i="52"/>
  <c r="D69" i="52" s="1"/>
  <c r="E66" i="52"/>
  <c r="F66" i="52" s="1"/>
  <c r="E42" i="52"/>
  <c r="F42" i="52" s="1"/>
  <c r="E33" i="52"/>
  <c r="F33" i="52" s="1"/>
  <c r="E21" i="52"/>
  <c r="F21" i="52" s="1"/>
  <c r="E59" i="53"/>
  <c r="F59" i="53" s="1"/>
  <c r="E40" i="53"/>
  <c r="F40" i="53" s="1"/>
  <c r="E16" i="53"/>
  <c r="F16" i="53" s="1"/>
  <c r="E90" i="53"/>
  <c r="F90" i="53" s="1"/>
  <c r="E56" i="53"/>
  <c r="F56" i="53" s="1"/>
  <c r="E35" i="53"/>
  <c r="F35" i="53" s="1"/>
  <c r="E11" i="53"/>
  <c r="F11" i="53" s="1"/>
  <c r="E86" i="53"/>
  <c r="F86" i="53" s="1"/>
  <c r="D88" i="53"/>
  <c r="D89" i="53" s="1"/>
  <c r="E57" i="53"/>
  <c r="F57" i="53" s="1"/>
  <c r="E37" i="53"/>
  <c r="F37" i="53" s="1"/>
  <c r="E13" i="53"/>
  <c r="F13" i="53" s="1"/>
  <c r="E62" i="53"/>
  <c r="F62" i="53" s="1"/>
  <c r="E44" i="53"/>
  <c r="F44" i="53" s="1"/>
  <c r="E20" i="53"/>
  <c r="F20" i="53" s="1"/>
  <c r="E55" i="53"/>
  <c r="F55" i="53" s="1"/>
  <c r="E34" i="53"/>
  <c r="F34" i="53" s="1"/>
  <c r="E10" i="53"/>
  <c r="F10" i="53" s="1"/>
  <c r="E74" i="53"/>
  <c r="F74" i="53" s="1"/>
  <c r="D76" i="53"/>
  <c r="D77" i="53" s="1"/>
  <c r="E52" i="53"/>
  <c r="F52" i="53" s="1"/>
  <c r="E29" i="53"/>
  <c r="F29" i="53" s="1"/>
  <c r="E5" i="53"/>
  <c r="F5" i="53" s="1"/>
  <c r="D7" i="53"/>
  <c r="D8" i="53" s="1"/>
  <c r="E70" i="53"/>
  <c r="F70" i="53" s="1"/>
  <c r="D72" i="53"/>
  <c r="E53" i="53"/>
  <c r="F53" i="53" s="1"/>
  <c r="E31" i="53"/>
  <c r="F31" i="53" s="1"/>
  <c r="E92" i="53"/>
  <c r="F92" i="53" s="1"/>
  <c r="E58" i="53"/>
  <c r="F58" i="53" s="1"/>
  <c r="E38" i="53"/>
  <c r="F38" i="53" s="1"/>
  <c r="E14" i="53"/>
  <c r="F14" i="53" s="1"/>
  <c r="D80" i="53"/>
  <c r="D81" i="53" s="1"/>
  <c r="E78" i="53"/>
  <c r="F78" i="53" s="1"/>
  <c r="E51" i="53"/>
  <c r="F51" i="53" s="1"/>
  <c r="E28" i="53"/>
  <c r="F28" i="53" s="1"/>
  <c r="D97" i="53"/>
  <c r="E4" i="53"/>
  <c r="E64" i="53"/>
  <c r="F64" i="53" s="1"/>
  <c r="E47" i="53"/>
  <c r="F47" i="53" s="1"/>
  <c r="E23" i="53"/>
  <c r="F23" i="53" s="1"/>
  <c r="E95" i="53"/>
  <c r="F95" i="53" s="1"/>
  <c r="E65" i="53"/>
  <c r="F65" i="53" s="1"/>
  <c r="E49" i="53"/>
  <c r="F49" i="53" s="1"/>
  <c r="E25" i="53"/>
  <c r="F25" i="53" s="1"/>
  <c r="D84" i="53"/>
  <c r="D85" i="53" s="1"/>
  <c r="E82" i="53"/>
  <c r="F82" i="53" s="1"/>
  <c r="E54" i="53"/>
  <c r="F54" i="53" s="1"/>
  <c r="E32" i="53"/>
  <c r="F32" i="53" s="1"/>
  <c r="E63" i="53"/>
  <c r="F63" i="53" s="1"/>
  <c r="E46" i="53"/>
  <c r="F46" i="53" s="1"/>
  <c r="E22" i="53"/>
  <c r="F22" i="53" s="1"/>
  <c r="D94" i="53"/>
  <c r="E60" i="53"/>
  <c r="F60" i="53" s="1"/>
  <c r="E41" i="53"/>
  <c r="F41" i="53" s="1"/>
  <c r="E17" i="53"/>
  <c r="F17" i="53" s="1"/>
  <c r="E91" i="53"/>
  <c r="F91" i="53" s="1"/>
  <c r="E61" i="53"/>
  <c r="F61" i="53" s="1"/>
  <c r="E43" i="53"/>
  <c r="F43" i="53" s="1"/>
  <c r="E19" i="53"/>
  <c r="F19" i="53" s="1"/>
  <c r="D68" i="53"/>
  <c r="E66" i="53"/>
  <c r="F66" i="53" s="1"/>
  <c r="E50" i="53"/>
  <c r="F50" i="53" s="1"/>
  <c r="E26" i="53"/>
  <c r="F26" i="53" s="1"/>
  <c r="E32" i="54"/>
  <c r="F32" i="54" s="1"/>
  <c r="E48" i="54"/>
  <c r="F48" i="54" s="1"/>
  <c r="E28" i="54"/>
  <c r="F28" i="54" s="1"/>
  <c r="D51" i="54"/>
  <c r="E4" i="54"/>
  <c r="E29" i="54"/>
  <c r="F29" i="54" s="1"/>
  <c r="E5" i="54"/>
  <c r="F5" i="54" s="1"/>
  <c r="D7" i="54"/>
  <c r="D8" i="54" s="1"/>
  <c r="E19" i="54"/>
  <c r="F19" i="54" s="1"/>
  <c r="E26" i="54"/>
  <c r="F26" i="54" s="1"/>
  <c r="E43" i="54"/>
  <c r="F43" i="54" s="1"/>
  <c r="D45" i="54"/>
  <c r="D46" i="54" s="1"/>
  <c r="E22" i="54"/>
  <c r="F22" i="54" s="1"/>
  <c r="D49" i="54"/>
  <c r="E23" i="54"/>
  <c r="F23" i="54" s="1"/>
  <c r="E36" i="54"/>
  <c r="F36" i="54" s="1"/>
  <c r="E13" i="54"/>
  <c r="F13" i="54" s="1"/>
  <c r="E20" i="54"/>
  <c r="F20" i="54" s="1"/>
  <c r="E38" i="54"/>
  <c r="F38" i="54" s="1"/>
  <c r="E16" i="54"/>
  <c r="F16" i="54" s="1"/>
  <c r="E39" i="54"/>
  <c r="F39" i="54" s="1"/>
  <c r="D41" i="54"/>
  <c r="E17" i="54"/>
  <c r="F17" i="54" s="1"/>
  <c r="E31" i="54"/>
  <c r="F31" i="54" s="1"/>
  <c r="E37" i="54"/>
  <c r="F37" i="54" s="1"/>
  <c r="E14" i="54"/>
  <c r="F14" i="54" s="1"/>
  <c r="E34" i="54"/>
  <c r="F34" i="54" s="1"/>
  <c r="E10" i="54"/>
  <c r="F10" i="54" s="1"/>
  <c r="E35" i="54"/>
  <c r="F35" i="54" s="1"/>
  <c r="E11" i="54"/>
  <c r="F11" i="54" s="1"/>
  <c r="E25" i="54"/>
  <c r="F25" i="54" s="1"/>
  <c r="E93" i="55"/>
  <c r="F93" i="55" s="1"/>
  <c r="E120" i="55"/>
  <c r="F120" i="55" s="1"/>
  <c r="D117" i="55"/>
  <c r="D118" i="55" s="1"/>
  <c r="E115" i="55"/>
  <c r="F115" i="55" s="1"/>
  <c r="E105" i="55"/>
  <c r="F105" i="55" s="1"/>
  <c r="E79" i="55"/>
  <c r="F79" i="55" s="1"/>
  <c r="E71" i="55"/>
  <c r="F71" i="55" s="1"/>
  <c r="E59" i="55"/>
  <c r="F59" i="55" s="1"/>
  <c r="E47" i="55"/>
  <c r="F47" i="55" s="1"/>
  <c r="E35" i="55"/>
  <c r="F35" i="55" s="1"/>
  <c r="E23" i="55"/>
  <c r="F23" i="55" s="1"/>
  <c r="E11" i="55"/>
  <c r="F11" i="55" s="1"/>
  <c r="D106" i="55"/>
  <c r="E109" i="55"/>
  <c r="F109" i="55" s="1"/>
  <c r="D101" i="55"/>
  <c r="D102" i="55" s="1"/>
  <c r="E99" i="55"/>
  <c r="F99" i="55" s="1"/>
  <c r="E89" i="55"/>
  <c r="F89" i="55" s="1"/>
  <c r="D7" i="55"/>
  <c r="D8" i="55" s="1"/>
  <c r="E5" i="55"/>
  <c r="F5" i="55" s="1"/>
  <c r="D90" i="55"/>
  <c r="D110" i="55"/>
  <c r="D85" i="55"/>
  <c r="D86" i="55" s="1"/>
  <c r="E83" i="55"/>
  <c r="F83" i="55" s="1"/>
  <c r="E75" i="55"/>
  <c r="F75" i="55" s="1"/>
  <c r="E65" i="55"/>
  <c r="F65" i="55" s="1"/>
  <c r="E53" i="55"/>
  <c r="F53" i="55" s="1"/>
  <c r="E41" i="55"/>
  <c r="F41" i="55" s="1"/>
  <c r="E29" i="55"/>
  <c r="F29" i="55" s="1"/>
  <c r="E17" i="55"/>
  <c r="F17" i="55" s="1"/>
  <c r="E141" i="56"/>
  <c r="F141" i="56" s="1"/>
  <c r="E52" i="56"/>
  <c r="F52" i="56" s="1"/>
  <c r="D151" i="56"/>
  <c r="E4" i="56"/>
  <c r="C48" i="110" s="1"/>
  <c r="I48" i="110" s="1"/>
  <c r="E38" i="56"/>
  <c r="F38" i="56" s="1"/>
  <c r="E37" i="56"/>
  <c r="F37" i="56" s="1"/>
  <c r="E54" i="56"/>
  <c r="F54" i="56" s="1"/>
  <c r="E134" i="56"/>
  <c r="F134" i="56" s="1"/>
  <c r="E140" i="56"/>
  <c r="F140" i="56" s="1"/>
  <c r="D95" i="56"/>
  <c r="D96" i="56" s="1"/>
  <c r="E93" i="56"/>
  <c r="F93" i="56" s="1"/>
  <c r="E60" i="56"/>
  <c r="F60" i="56" s="1"/>
  <c r="E35" i="56"/>
  <c r="F35" i="56" s="1"/>
  <c r="E139" i="56"/>
  <c r="F139" i="56" s="1"/>
  <c r="E101" i="56"/>
  <c r="F101" i="56" s="1"/>
  <c r="D103" i="56"/>
  <c r="D104" i="56" s="1"/>
  <c r="E45" i="56"/>
  <c r="F45" i="56" s="1"/>
  <c r="E20" i="56"/>
  <c r="F20" i="56" s="1"/>
  <c r="E88" i="56"/>
  <c r="F88" i="56" s="1"/>
  <c r="E128" i="56"/>
  <c r="F128" i="56" s="1"/>
  <c r="E87" i="56"/>
  <c r="F87" i="56" s="1"/>
  <c r="E55" i="56"/>
  <c r="F55" i="56" s="1"/>
  <c r="E28" i="56"/>
  <c r="F28" i="56" s="1"/>
  <c r="E19" i="56"/>
  <c r="F19" i="56" s="1"/>
  <c r="E42" i="56"/>
  <c r="F42" i="56" s="1"/>
  <c r="E58" i="56"/>
  <c r="F58" i="56" s="1"/>
  <c r="D123" i="56"/>
  <c r="D124" i="56" s="1"/>
  <c r="E121" i="56"/>
  <c r="F121" i="56" s="1"/>
  <c r="E138" i="56"/>
  <c r="F138" i="56" s="1"/>
  <c r="E147" i="56"/>
  <c r="F147" i="56" s="1"/>
  <c r="E133" i="56"/>
  <c r="F133" i="56" s="1"/>
  <c r="E53" i="56"/>
  <c r="F53" i="56" s="1"/>
  <c r="E32" i="56"/>
  <c r="F32" i="56" s="1"/>
  <c r="E132" i="56"/>
  <c r="F132" i="56" s="1"/>
  <c r="D63" i="56"/>
  <c r="D64" i="56" s="1"/>
  <c r="E61" i="56"/>
  <c r="F61" i="56" s="1"/>
  <c r="E43" i="56"/>
  <c r="F43" i="56" s="1"/>
  <c r="E16" i="56"/>
  <c r="F16" i="56" s="1"/>
  <c r="E144" i="56"/>
  <c r="F144" i="56" s="1"/>
  <c r="E117" i="56"/>
  <c r="F117" i="56" s="1"/>
  <c r="D119" i="56"/>
  <c r="D120" i="56" s="1"/>
  <c r="D79" i="56"/>
  <c r="D80" i="56" s="1"/>
  <c r="E77" i="56"/>
  <c r="F77" i="56" s="1"/>
  <c r="E48" i="56"/>
  <c r="F48" i="56" s="1"/>
  <c r="E17" i="56"/>
  <c r="F17" i="56" s="1"/>
  <c r="E25" i="56"/>
  <c r="F25" i="56" s="1"/>
  <c r="E46" i="56"/>
  <c r="F46" i="56" s="1"/>
  <c r="D75" i="56"/>
  <c r="E73" i="56"/>
  <c r="F73" i="56" s="1"/>
  <c r="E126" i="56"/>
  <c r="F126" i="56" s="1"/>
  <c r="E142" i="56"/>
  <c r="F142" i="56" s="1"/>
  <c r="E131" i="56"/>
  <c r="F131" i="56" s="1"/>
  <c r="D83" i="56"/>
  <c r="D84" i="56" s="1"/>
  <c r="E81" i="56"/>
  <c r="F81" i="56" s="1"/>
  <c r="E51" i="56"/>
  <c r="F51" i="56" s="1"/>
  <c r="E22" i="56"/>
  <c r="F22" i="56" s="1"/>
  <c r="E113" i="56"/>
  <c r="F113" i="56" s="1"/>
  <c r="D115" i="56"/>
  <c r="D116" i="56" s="1"/>
  <c r="E23" i="56"/>
  <c r="F23" i="56" s="1"/>
  <c r="E135" i="56"/>
  <c r="F135" i="56" s="1"/>
  <c r="E57" i="56"/>
  <c r="F57" i="56" s="1"/>
  <c r="E5" i="56"/>
  <c r="F5" i="56" s="1"/>
  <c r="D7" i="56"/>
  <c r="D8" i="56" s="1"/>
  <c r="E105" i="56"/>
  <c r="F105" i="56" s="1"/>
  <c r="D107" i="56"/>
  <c r="D108" i="56" s="1"/>
  <c r="E148" i="56"/>
  <c r="F148" i="56" s="1"/>
  <c r="E125" i="56"/>
  <c r="F125" i="56" s="1"/>
  <c r="E59" i="56"/>
  <c r="F59" i="56" s="1"/>
  <c r="E34" i="56"/>
  <c r="F34" i="56" s="1"/>
  <c r="E10" i="56"/>
  <c r="F10" i="56" s="1"/>
  <c r="E137" i="56"/>
  <c r="F137" i="56" s="1"/>
  <c r="E65" i="56"/>
  <c r="F65" i="56" s="1"/>
  <c r="D67" i="56"/>
  <c r="D68" i="56" s="1"/>
  <c r="E41" i="56"/>
  <c r="F41" i="56" s="1"/>
  <c r="E11" i="56"/>
  <c r="F11" i="56" s="1"/>
  <c r="E31" i="56"/>
  <c r="F31" i="56" s="1"/>
  <c r="E50" i="56"/>
  <c r="F50" i="56" s="1"/>
  <c r="E89" i="56"/>
  <c r="F89" i="56" s="1"/>
  <c r="D91" i="56"/>
  <c r="D92" i="56" s="1"/>
  <c r="E130" i="56"/>
  <c r="F130" i="56" s="1"/>
  <c r="E146" i="56"/>
  <c r="F146" i="56" s="1"/>
  <c r="E69" i="56"/>
  <c r="F69" i="56" s="1"/>
  <c r="D71" i="56"/>
  <c r="D72" i="56" s="1"/>
  <c r="E44" i="56"/>
  <c r="F44" i="56" s="1"/>
  <c r="E13" i="56"/>
  <c r="F13" i="56" s="1"/>
  <c r="D149" i="56"/>
  <c r="E57" i="57"/>
  <c r="F57" i="57" s="1"/>
  <c r="D7" i="57"/>
  <c r="D8" i="57" s="1"/>
  <c r="E5" i="57"/>
  <c r="F5" i="57" s="1"/>
  <c r="D59" i="57"/>
  <c r="E56" i="57"/>
  <c r="F56" i="57" s="1"/>
  <c r="E41" i="57"/>
  <c r="F41" i="57" s="1"/>
  <c r="E29" i="57"/>
  <c r="F29" i="57" s="1"/>
  <c r="E17" i="57"/>
  <c r="F17" i="57" s="1"/>
  <c r="E53" i="57"/>
  <c r="F53" i="57" s="1"/>
  <c r="E45" i="57"/>
  <c r="F45" i="57" s="1"/>
  <c r="E35" i="57"/>
  <c r="F35" i="57" s="1"/>
  <c r="E23" i="57"/>
  <c r="F23" i="57" s="1"/>
  <c r="E11" i="57"/>
  <c r="F11" i="57" s="1"/>
  <c r="E52" i="57"/>
  <c r="F52" i="57" s="1"/>
  <c r="E98" i="58"/>
  <c r="F98" i="58" s="1"/>
  <c r="E64" i="58"/>
  <c r="F64" i="58" s="1"/>
  <c r="E43" i="58"/>
  <c r="F43" i="58" s="1"/>
  <c r="E19" i="58"/>
  <c r="F19" i="58" s="1"/>
  <c r="E94" i="58"/>
  <c r="F94" i="58" s="1"/>
  <c r="D96" i="58"/>
  <c r="D97" i="58" s="1"/>
  <c r="E65" i="58"/>
  <c r="F65" i="58" s="1"/>
  <c r="E44" i="58"/>
  <c r="F44" i="58" s="1"/>
  <c r="E20" i="58"/>
  <c r="F20" i="58" s="1"/>
  <c r="E90" i="58"/>
  <c r="F90" i="58" s="1"/>
  <c r="D92" i="58"/>
  <c r="D93" i="58" s="1"/>
  <c r="E62" i="58"/>
  <c r="F62" i="58" s="1"/>
  <c r="E40" i="58"/>
  <c r="F40" i="58" s="1"/>
  <c r="E16" i="58"/>
  <c r="F16" i="58" s="1"/>
  <c r="D88" i="58"/>
  <c r="D89" i="58" s="1"/>
  <c r="E86" i="58"/>
  <c r="F86" i="58" s="1"/>
  <c r="E59" i="58"/>
  <c r="F59" i="58" s="1"/>
  <c r="E35" i="58"/>
  <c r="F35" i="58" s="1"/>
  <c r="E11" i="58"/>
  <c r="F11" i="58" s="1"/>
  <c r="D84" i="58"/>
  <c r="D85" i="58" s="1"/>
  <c r="E82" i="58"/>
  <c r="F82" i="58" s="1"/>
  <c r="E60" i="58"/>
  <c r="F60" i="58" s="1"/>
  <c r="E37" i="58"/>
  <c r="F37" i="58" s="1"/>
  <c r="E13" i="58"/>
  <c r="F13" i="58" s="1"/>
  <c r="E78" i="58"/>
  <c r="F78" i="58" s="1"/>
  <c r="D80" i="58"/>
  <c r="D81" i="58" s="1"/>
  <c r="E61" i="58"/>
  <c r="F61" i="58" s="1"/>
  <c r="E38" i="58"/>
  <c r="F38" i="58" s="1"/>
  <c r="E14" i="58"/>
  <c r="F14" i="58" s="1"/>
  <c r="E74" i="58"/>
  <c r="F74" i="58" s="1"/>
  <c r="D76" i="58"/>
  <c r="D77" i="58" s="1"/>
  <c r="E58" i="58"/>
  <c r="F58" i="58" s="1"/>
  <c r="E34" i="58"/>
  <c r="F34" i="58" s="1"/>
  <c r="E10" i="58"/>
  <c r="F10" i="58" s="1"/>
  <c r="E71" i="58"/>
  <c r="F71" i="58" s="1"/>
  <c r="E53" i="58"/>
  <c r="F53" i="58" s="1"/>
  <c r="E29" i="58"/>
  <c r="F29" i="58" s="1"/>
  <c r="D7" i="58"/>
  <c r="D8" i="58" s="1"/>
  <c r="E5" i="58"/>
  <c r="F5" i="58" s="1"/>
  <c r="E72" i="58"/>
  <c r="F72" i="58" s="1"/>
  <c r="E55" i="58"/>
  <c r="F55" i="58" s="1"/>
  <c r="E31" i="58"/>
  <c r="F31" i="58" s="1"/>
  <c r="E103" i="58"/>
  <c r="F103" i="58" s="1"/>
  <c r="E73" i="58"/>
  <c r="F73" i="58" s="1"/>
  <c r="E56" i="58"/>
  <c r="F56" i="58" s="1"/>
  <c r="E32" i="58"/>
  <c r="F32" i="58" s="1"/>
  <c r="D104" i="58"/>
  <c r="E70" i="58"/>
  <c r="F70" i="58" s="1"/>
  <c r="E52" i="58"/>
  <c r="F52" i="58" s="1"/>
  <c r="E28" i="58"/>
  <c r="F28" i="58" s="1"/>
  <c r="D106" i="58"/>
  <c r="E4" i="58"/>
  <c r="E67" i="58"/>
  <c r="F67" i="58" s="1"/>
  <c r="E47" i="58"/>
  <c r="F47" i="58" s="1"/>
  <c r="E23" i="58"/>
  <c r="F23" i="58" s="1"/>
  <c r="E68" i="58"/>
  <c r="F68" i="58" s="1"/>
  <c r="E49" i="58"/>
  <c r="F49" i="58" s="1"/>
  <c r="E25" i="58"/>
  <c r="F25" i="58" s="1"/>
  <c r="E99" i="58"/>
  <c r="F99" i="58" s="1"/>
  <c r="E69" i="58"/>
  <c r="F69" i="58" s="1"/>
  <c r="E50" i="58"/>
  <c r="F50" i="58" s="1"/>
  <c r="E26" i="58"/>
  <c r="F26" i="58" s="1"/>
  <c r="E100" i="58"/>
  <c r="F100" i="58" s="1"/>
  <c r="E66" i="58"/>
  <c r="F66" i="58" s="1"/>
  <c r="E46" i="58"/>
  <c r="F46" i="58" s="1"/>
  <c r="E22" i="58"/>
  <c r="F22" i="58" s="1"/>
  <c r="E101" i="58"/>
  <c r="F101" i="58" s="1"/>
  <c r="E63" i="58"/>
  <c r="F63" i="58" s="1"/>
  <c r="E41" i="58"/>
  <c r="F41" i="58" s="1"/>
  <c r="E17" i="58"/>
  <c r="F17" i="58" s="1"/>
  <c r="E45" i="59"/>
  <c r="F45" i="59" s="1"/>
  <c r="E25" i="59"/>
  <c r="F25" i="59" s="1"/>
  <c r="E61" i="59"/>
  <c r="F61" i="59" s="1"/>
  <c r="E38" i="59"/>
  <c r="F38" i="59" s="1"/>
  <c r="E14" i="59"/>
  <c r="F14" i="59" s="1"/>
  <c r="E43" i="59"/>
  <c r="F43" i="59" s="1"/>
  <c r="E22" i="59"/>
  <c r="F22" i="59" s="1"/>
  <c r="E63" i="59"/>
  <c r="F63" i="59" s="1"/>
  <c r="E35" i="59"/>
  <c r="F35" i="59" s="1"/>
  <c r="E11" i="59"/>
  <c r="F11" i="59" s="1"/>
  <c r="E41" i="59"/>
  <c r="F41" i="59" s="1"/>
  <c r="E19" i="59"/>
  <c r="F19" i="59" s="1"/>
  <c r="E51" i="59"/>
  <c r="F51" i="59" s="1"/>
  <c r="D53" i="59"/>
  <c r="D54" i="59" s="1"/>
  <c r="E32" i="59"/>
  <c r="F32" i="59" s="1"/>
  <c r="D66" i="59"/>
  <c r="E39" i="59"/>
  <c r="F39" i="59" s="1"/>
  <c r="E16" i="59"/>
  <c r="F16" i="59" s="1"/>
  <c r="E59" i="59"/>
  <c r="F59" i="59" s="1"/>
  <c r="E29" i="59"/>
  <c r="F29" i="59" s="1"/>
  <c r="D7" i="59"/>
  <c r="E5" i="59"/>
  <c r="F5" i="59" s="1"/>
  <c r="E60" i="59"/>
  <c r="F60" i="59" s="1"/>
  <c r="E37" i="59"/>
  <c r="F37" i="59" s="1"/>
  <c r="E13" i="59"/>
  <c r="F13" i="59" s="1"/>
  <c r="E46" i="59"/>
  <c r="F46" i="59" s="1"/>
  <c r="E26" i="59"/>
  <c r="F26" i="59" s="1"/>
  <c r="E62" i="59"/>
  <c r="F62" i="59" s="1"/>
  <c r="E34" i="59"/>
  <c r="F34" i="59" s="1"/>
  <c r="E10" i="59"/>
  <c r="F10" i="59" s="1"/>
  <c r="E44" i="59"/>
  <c r="F44" i="59" s="1"/>
  <c r="E23" i="59"/>
  <c r="F23" i="59" s="1"/>
  <c r="D57" i="59"/>
  <c r="E55" i="59"/>
  <c r="F55" i="59" s="1"/>
  <c r="E31" i="59"/>
  <c r="F31" i="59" s="1"/>
  <c r="E65" i="59"/>
  <c r="F65" i="59" s="1"/>
  <c r="E42" i="59"/>
  <c r="F42" i="59" s="1"/>
  <c r="E20" i="59"/>
  <c r="F20" i="59" s="1"/>
  <c r="E47" i="59"/>
  <c r="F47" i="59" s="1"/>
  <c r="D49" i="59"/>
  <c r="D50" i="59" s="1"/>
  <c r="E28" i="59"/>
  <c r="F28" i="59" s="1"/>
  <c r="D68" i="59"/>
  <c r="E4" i="59"/>
  <c r="E40" i="59"/>
  <c r="F40" i="59" s="1"/>
  <c r="E17" i="59"/>
  <c r="F17" i="59" s="1"/>
  <c r="D54" i="60"/>
  <c r="D55" i="60" s="1"/>
  <c r="E52" i="60"/>
  <c r="F52" i="60" s="1"/>
  <c r="E28" i="60"/>
  <c r="F28" i="60" s="1"/>
  <c r="D80" i="60"/>
  <c r="E4" i="60"/>
  <c r="E64" i="60"/>
  <c r="F64" i="60" s="1"/>
  <c r="D66" i="60"/>
  <c r="E35" i="60"/>
  <c r="F35" i="60" s="1"/>
  <c r="E11" i="60"/>
  <c r="F11" i="60" s="1"/>
  <c r="E70" i="60"/>
  <c r="F70" i="60" s="1"/>
  <c r="E36" i="60"/>
  <c r="F36" i="60" s="1"/>
  <c r="E13" i="60"/>
  <c r="F13" i="60" s="1"/>
  <c r="E41" i="60"/>
  <c r="F41" i="60" s="1"/>
  <c r="E20" i="60"/>
  <c r="F20" i="60" s="1"/>
  <c r="E42" i="60"/>
  <c r="F42" i="60" s="1"/>
  <c r="E22" i="60"/>
  <c r="F22" i="60" s="1"/>
  <c r="E77" i="60"/>
  <c r="F77" i="60" s="1"/>
  <c r="E48" i="60"/>
  <c r="F48" i="60" s="1"/>
  <c r="D50" i="60"/>
  <c r="E29" i="60"/>
  <c r="F29" i="60" s="1"/>
  <c r="E5" i="60"/>
  <c r="F5" i="60" s="1"/>
  <c r="D7" i="60"/>
  <c r="D8" i="60" s="1"/>
  <c r="E60" i="60"/>
  <c r="F60" i="60" s="1"/>
  <c r="D62" i="60"/>
  <c r="E31" i="60"/>
  <c r="F31" i="60" s="1"/>
  <c r="E75" i="60"/>
  <c r="F75" i="60" s="1"/>
  <c r="E37" i="60"/>
  <c r="F37" i="60" s="1"/>
  <c r="E14" i="60"/>
  <c r="F14" i="60" s="1"/>
  <c r="E72" i="60"/>
  <c r="F72" i="60" s="1"/>
  <c r="E38" i="60"/>
  <c r="F38" i="60" s="1"/>
  <c r="E16" i="60"/>
  <c r="F16" i="60" s="1"/>
  <c r="E73" i="60"/>
  <c r="F73" i="60" s="1"/>
  <c r="E43" i="60"/>
  <c r="F43" i="60" s="1"/>
  <c r="E23" i="60"/>
  <c r="F23" i="60" s="1"/>
  <c r="D78" i="60"/>
  <c r="E44" i="60"/>
  <c r="F44" i="60" s="1"/>
  <c r="D46" i="60"/>
  <c r="D47" i="60" s="1"/>
  <c r="E25" i="60"/>
  <c r="F25" i="60" s="1"/>
  <c r="E71" i="60"/>
  <c r="F71" i="60" s="1"/>
  <c r="E32" i="60"/>
  <c r="F32" i="60" s="1"/>
  <c r="E68" i="60"/>
  <c r="F68" i="60" s="1"/>
  <c r="E34" i="60"/>
  <c r="F34" i="60" s="1"/>
  <c r="E10" i="60"/>
  <c r="F10" i="60" s="1"/>
  <c r="E69" i="60"/>
  <c r="F69" i="60" s="1"/>
  <c r="E39" i="60"/>
  <c r="F39" i="60" s="1"/>
  <c r="E17" i="60"/>
  <c r="F17" i="60" s="1"/>
  <c r="E74" i="60"/>
  <c r="F74" i="60" s="1"/>
  <c r="E40" i="60"/>
  <c r="F40" i="60" s="1"/>
  <c r="E19" i="60"/>
  <c r="F19" i="60" s="1"/>
  <c r="D58" i="60"/>
  <c r="D59" i="60" s="1"/>
  <c r="E56" i="60"/>
  <c r="F56" i="60" s="1"/>
  <c r="E26" i="60"/>
  <c r="F26" i="60" s="1"/>
  <c r="E35" i="61"/>
  <c r="F35" i="61" s="1"/>
  <c r="E23" i="61"/>
  <c r="F23" i="61" s="1"/>
  <c r="E11" i="61"/>
  <c r="F11" i="61" s="1"/>
  <c r="E47" i="61"/>
  <c r="F47" i="61" s="1"/>
  <c r="D53" i="61"/>
  <c r="E46" i="61"/>
  <c r="E53" i="61" s="1"/>
  <c r="E43" i="110" s="1"/>
  <c r="K43" i="110" s="1"/>
  <c r="D7" i="61"/>
  <c r="D8" i="61" s="1"/>
  <c r="E5" i="61"/>
  <c r="F5" i="61" s="1"/>
  <c r="D49" i="61"/>
  <c r="E29" i="61"/>
  <c r="F29" i="61" s="1"/>
  <c r="E17" i="61"/>
  <c r="F17" i="61" s="1"/>
  <c r="E35" i="62"/>
  <c r="F35" i="62" s="1"/>
  <c r="E11" i="62"/>
  <c r="F11" i="62" s="1"/>
  <c r="E39" i="62"/>
  <c r="F39" i="62" s="1"/>
  <c r="E28" i="62"/>
  <c r="F28" i="62" s="1"/>
  <c r="E16" i="62"/>
  <c r="F16" i="62" s="1"/>
  <c r="E29" i="62"/>
  <c r="F29" i="62" s="1"/>
  <c r="D7" i="62"/>
  <c r="D8" i="62" s="1"/>
  <c r="E5" i="62"/>
  <c r="F5" i="62" s="1"/>
  <c r="E23" i="62"/>
  <c r="F23" i="62" s="1"/>
  <c r="D45" i="62"/>
  <c r="D46" i="62" s="1"/>
  <c r="E43" i="62"/>
  <c r="F43" i="62" s="1"/>
  <c r="E34" i="62"/>
  <c r="F34" i="62" s="1"/>
  <c r="E22" i="62"/>
  <c r="F22" i="62" s="1"/>
  <c r="E10" i="62"/>
  <c r="F10" i="62" s="1"/>
  <c r="E17" i="62"/>
  <c r="F17" i="62" s="1"/>
  <c r="D52" i="62"/>
  <c r="D54" i="62"/>
  <c r="E4" i="62"/>
  <c r="E50" i="63"/>
  <c r="F50" i="63" s="1"/>
  <c r="E41" i="63"/>
  <c r="F41" i="63" s="1"/>
  <c r="E29" i="63"/>
  <c r="F29" i="63" s="1"/>
  <c r="E17" i="63"/>
  <c r="F17" i="63" s="1"/>
  <c r="D65" i="63"/>
  <c r="E57" i="63"/>
  <c r="F57" i="63" s="1"/>
  <c r="E46" i="63"/>
  <c r="F46" i="63" s="1"/>
  <c r="E35" i="63"/>
  <c r="F35" i="63" s="1"/>
  <c r="E23" i="63"/>
  <c r="F23" i="63" s="1"/>
  <c r="E11" i="63"/>
  <c r="F11" i="63" s="1"/>
  <c r="D7" i="63"/>
  <c r="E5" i="63"/>
  <c r="F5" i="63" s="1"/>
  <c r="E66" i="64"/>
  <c r="F66" i="64" s="1"/>
  <c r="D67" i="64"/>
  <c r="E51" i="64"/>
  <c r="F51" i="64" s="1"/>
  <c r="E41" i="64"/>
  <c r="F41" i="64" s="1"/>
  <c r="E29" i="64"/>
  <c r="F29" i="64" s="1"/>
  <c r="E17" i="64"/>
  <c r="F17" i="64" s="1"/>
  <c r="E58" i="64"/>
  <c r="E47" i="64"/>
  <c r="F47" i="64" s="1"/>
  <c r="E35" i="64"/>
  <c r="F35" i="64" s="1"/>
  <c r="E23" i="64"/>
  <c r="F23" i="64" s="1"/>
  <c r="E11" i="64"/>
  <c r="F11" i="64" s="1"/>
  <c r="E59" i="64"/>
  <c r="F59" i="64" s="1"/>
  <c r="D7" i="64"/>
  <c r="D8" i="64" s="1"/>
  <c r="E5" i="64"/>
  <c r="F5" i="64" s="1"/>
  <c r="D69" i="64"/>
  <c r="E68" i="65"/>
  <c r="F68" i="65" s="1"/>
  <c r="E41" i="65"/>
  <c r="F41" i="65" s="1"/>
  <c r="E17" i="65"/>
  <c r="F17" i="65" s="1"/>
  <c r="E57" i="65"/>
  <c r="F57" i="65" s="1"/>
  <c r="D59" i="65"/>
  <c r="D60" i="65" s="1"/>
  <c r="E35" i="65"/>
  <c r="F35" i="65" s="1"/>
  <c r="E11" i="65"/>
  <c r="F11" i="65" s="1"/>
  <c r="E53" i="65"/>
  <c r="F53" i="65" s="1"/>
  <c r="D55" i="65"/>
  <c r="D56" i="65" s="1"/>
  <c r="E45" i="65"/>
  <c r="F45" i="65" s="1"/>
  <c r="E34" i="65"/>
  <c r="F34" i="65" s="1"/>
  <c r="E22" i="65"/>
  <c r="F22" i="65" s="1"/>
  <c r="E10" i="65"/>
  <c r="F10" i="65" s="1"/>
  <c r="D63" i="65"/>
  <c r="E61" i="65"/>
  <c r="F61" i="65" s="1"/>
  <c r="E29" i="65"/>
  <c r="F29" i="65" s="1"/>
  <c r="D7" i="65"/>
  <c r="D8" i="65" s="1"/>
  <c r="E5" i="65"/>
  <c r="F5" i="65" s="1"/>
  <c r="E65" i="65"/>
  <c r="F65" i="65" s="1"/>
  <c r="D70" i="65"/>
  <c r="E4" i="65"/>
  <c r="E46" i="65"/>
  <c r="F46" i="65" s="1"/>
  <c r="E23" i="65"/>
  <c r="F23" i="65" s="1"/>
  <c r="E67" i="65"/>
  <c r="F67" i="65" s="1"/>
  <c r="D51" i="65"/>
  <c r="D52" i="65" s="1"/>
  <c r="E49" i="65"/>
  <c r="F49" i="65" s="1"/>
  <c r="E40" i="65"/>
  <c r="F40" i="65" s="1"/>
  <c r="E28" i="65"/>
  <c r="F28" i="65" s="1"/>
  <c r="E16" i="65"/>
  <c r="F16" i="65" s="1"/>
  <c r="E49" i="66"/>
  <c r="F49" i="66" s="1"/>
  <c r="E28" i="66"/>
  <c r="F28" i="66" s="1"/>
  <c r="D62" i="66"/>
  <c r="E4" i="66"/>
  <c r="E46" i="66"/>
  <c r="F46" i="66" s="1"/>
  <c r="E23" i="66"/>
  <c r="F23" i="66" s="1"/>
  <c r="D60" i="66"/>
  <c r="E43" i="66"/>
  <c r="F43" i="66" s="1"/>
  <c r="E19" i="66"/>
  <c r="F19" i="66" s="1"/>
  <c r="E44" i="66"/>
  <c r="F44" i="66" s="1"/>
  <c r="E20" i="66"/>
  <c r="F20" i="66" s="1"/>
  <c r="E45" i="66"/>
  <c r="F45" i="66" s="1"/>
  <c r="E22" i="66"/>
  <c r="F22" i="66" s="1"/>
  <c r="E59" i="66"/>
  <c r="F59" i="66" s="1"/>
  <c r="E41" i="66"/>
  <c r="F41" i="66" s="1"/>
  <c r="E17" i="66"/>
  <c r="F17" i="66" s="1"/>
  <c r="E56" i="66"/>
  <c r="F56" i="66" s="1"/>
  <c r="E37" i="66"/>
  <c r="F37" i="66" s="1"/>
  <c r="E13" i="66"/>
  <c r="F13" i="66" s="1"/>
  <c r="E38" i="66"/>
  <c r="F38" i="66" s="1"/>
  <c r="E14" i="66"/>
  <c r="F14" i="66" s="1"/>
  <c r="E40" i="66"/>
  <c r="F40" i="66" s="1"/>
  <c r="E16" i="66"/>
  <c r="F16" i="66" s="1"/>
  <c r="E55" i="66"/>
  <c r="F55" i="66" s="1"/>
  <c r="E35" i="66"/>
  <c r="F35" i="66" s="1"/>
  <c r="E11" i="66"/>
  <c r="F11" i="66" s="1"/>
  <c r="E51" i="66"/>
  <c r="F51" i="66" s="1"/>
  <c r="D53" i="66"/>
  <c r="D54" i="66" s="1"/>
  <c r="E31" i="66"/>
  <c r="F31" i="66" s="1"/>
  <c r="E57" i="66"/>
  <c r="F57" i="66" s="1"/>
  <c r="E32" i="66"/>
  <c r="F32" i="66" s="1"/>
  <c r="E34" i="66"/>
  <c r="F34" i="66" s="1"/>
  <c r="E10" i="66"/>
  <c r="F10" i="66" s="1"/>
  <c r="E50" i="66"/>
  <c r="F50" i="66" s="1"/>
  <c r="E29" i="66"/>
  <c r="F29" i="66" s="1"/>
  <c r="E5" i="66"/>
  <c r="F5" i="66" s="1"/>
  <c r="D7" i="66"/>
  <c r="D8" i="66" s="1"/>
  <c r="E47" i="66"/>
  <c r="F47" i="66" s="1"/>
  <c r="E25" i="66"/>
  <c r="F25" i="66" s="1"/>
  <c r="E48" i="66"/>
  <c r="F48" i="66" s="1"/>
  <c r="E26" i="66"/>
  <c r="F26" i="66" s="1"/>
  <c r="D51" i="67"/>
  <c r="D52" i="67" s="1"/>
  <c r="E49" i="67"/>
  <c r="F49" i="67" s="1"/>
  <c r="E28" i="67"/>
  <c r="F28" i="67" s="1"/>
  <c r="D69" i="67"/>
  <c r="E4" i="67"/>
  <c r="E41" i="67"/>
  <c r="F41" i="67" s="1"/>
  <c r="E17" i="67"/>
  <c r="F17" i="67" s="1"/>
  <c r="E57" i="67"/>
  <c r="F57" i="67" s="1"/>
  <c r="D59" i="67"/>
  <c r="D60" i="67" s="1"/>
  <c r="E25" i="67"/>
  <c r="F25" i="67" s="1"/>
  <c r="E43" i="67"/>
  <c r="F43" i="67" s="1"/>
  <c r="E20" i="67"/>
  <c r="F20" i="67" s="1"/>
  <c r="E44" i="67"/>
  <c r="F44" i="67" s="1"/>
  <c r="E22" i="67"/>
  <c r="F22" i="67" s="1"/>
  <c r="E66" i="67"/>
  <c r="F66" i="67" s="1"/>
  <c r="E35" i="67"/>
  <c r="F35" i="67" s="1"/>
  <c r="E11" i="67"/>
  <c r="F11" i="67" s="1"/>
  <c r="E42" i="67"/>
  <c r="F42" i="67" s="1"/>
  <c r="E19" i="67"/>
  <c r="F19" i="67" s="1"/>
  <c r="E38" i="67"/>
  <c r="F38" i="67" s="1"/>
  <c r="E14" i="67"/>
  <c r="F14" i="67" s="1"/>
  <c r="E40" i="67"/>
  <c r="F40" i="67" s="1"/>
  <c r="E16" i="67"/>
  <c r="F16" i="67" s="1"/>
  <c r="E61" i="67"/>
  <c r="F61" i="67" s="1"/>
  <c r="D63" i="67"/>
  <c r="D64" i="67" s="1"/>
  <c r="E29" i="67"/>
  <c r="F29" i="67" s="1"/>
  <c r="E5" i="67"/>
  <c r="F5" i="67" s="1"/>
  <c r="D7" i="67"/>
  <c r="D8" i="67" s="1"/>
  <c r="E37" i="67"/>
  <c r="F37" i="67" s="1"/>
  <c r="E13" i="67"/>
  <c r="F13" i="67" s="1"/>
  <c r="E32" i="67"/>
  <c r="F32" i="67" s="1"/>
  <c r="E34" i="67"/>
  <c r="F34" i="67" s="1"/>
  <c r="E10" i="67"/>
  <c r="F10" i="67" s="1"/>
  <c r="E45" i="67"/>
  <c r="F45" i="67" s="1"/>
  <c r="D47" i="67"/>
  <c r="D48" i="67" s="1"/>
  <c r="E23" i="67"/>
  <c r="F23" i="67" s="1"/>
  <c r="D67" i="67"/>
  <c r="E31" i="67"/>
  <c r="F31" i="67" s="1"/>
  <c r="D55" i="67"/>
  <c r="D56" i="67" s="1"/>
  <c r="E53" i="67"/>
  <c r="F53" i="67" s="1"/>
  <c r="E26" i="67"/>
  <c r="F26" i="67" s="1"/>
  <c r="D70" i="68"/>
  <c r="D71" i="68" s="1"/>
  <c r="E68" i="68"/>
  <c r="F68" i="68" s="1"/>
  <c r="E51" i="68"/>
  <c r="F51" i="68" s="1"/>
  <c r="E29" i="68"/>
  <c r="F29" i="68" s="1"/>
  <c r="D7" i="68"/>
  <c r="D8" i="68" s="1"/>
  <c r="E5" i="68"/>
  <c r="F5" i="68" s="1"/>
  <c r="E60" i="68"/>
  <c r="F60" i="68" s="1"/>
  <c r="E43" i="68"/>
  <c r="F43" i="68" s="1"/>
  <c r="E61" i="68"/>
  <c r="F61" i="68" s="1"/>
  <c r="E44" i="68"/>
  <c r="F44" i="68" s="1"/>
  <c r="D74" i="68"/>
  <c r="D75" i="68" s="1"/>
  <c r="E72" i="68"/>
  <c r="F72" i="68" s="1"/>
  <c r="E50" i="68"/>
  <c r="F50" i="68" s="1"/>
  <c r="E34" i="68"/>
  <c r="F34" i="68" s="1"/>
  <c r="E22" i="68"/>
  <c r="F22" i="68" s="1"/>
  <c r="E10" i="68"/>
  <c r="F10" i="68" s="1"/>
  <c r="E63" i="68"/>
  <c r="F63" i="68" s="1"/>
  <c r="E47" i="68"/>
  <c r="F47" i="68" s="1"/>
  <c r="E23" i="68"/>
  <c r="F23" i="68" s="1"/>
  <c r="E56" i="68"/>
  <c r="F56" i="68" s="1"/>
  <c r="E96" i="68"/>
  <c r="F96" i="68" s="1"/>
  <c r="E57" i="68"/>
  <c r="F57" i="68" s="1"/>
  <c r="E38" i="68"/>
  <c r="F38" i="68" s="1"/>
  <c r="E62" i="68"/>
  <c r="F62" i="68" s="1"/>
  <c r="E46" i="68"/>
  <c r="F46" i="68" s="1"/>
  <c r="D98" i="68"/>
  <c r="E4" i="68"/>
  <c r="E59" i="68"/>
  <c r="F59" i="68" s="1"/>
  <c r="E41" i="68"/>
  <c r="F41" i="68" s="1"/>
  <c r="E17" i="68"/>
  <c r="F17" i="68" s="1"/>
  <c r="E80" i="68"/>
  <c r="F80" i="68" s="1"/>
  <c r="D82" i="68"/>
  <c r="D83" i="68" s="1"/>
  <c r="E52" i="68"/>
  <c r="F52" i="68" s="1"/>
  <c r="E92" i="68"/>
  <c r="F92" i="68" s="1"/>
  <c r="E53" i="68"/>
  <c r="F53" i="68" s="1"/>
  <c r="E93" i="68"/>
  <c r="F93" i="68" s="1"/>
  <c r="E58" i="68"/>
  <c r="F58" i="68" s="1"/>
  <c r="E40" i="68"/>
  <c r="F40" i="68" s="1"/>
  <c r="E28" i="68"/>
  <c r="F28" i="68" s="1"/>
  <c r="E16" i="68"/>
  <c r="F16" i="68" s="1"/>
  <c r="D86" i="68"/>
  <c r="D87" i="68" s="1"/>
  <c r="E84" i="68"/>
  <c r="F84" i="68" s="1"/>
  <c r="E55" i="68"/>
  <c r="F55" i="68" s="1"/>
  <c r="E35" i="68"/>
  <c r="F35" i="68" s="1"/>
  <c r="E11" i="68"/>
  <c r="F11" i="68" s="1"/>
  <c r="E64" i="68"/>
  <c r="F64" i="68" s="1"/>
  <c r="D66" i="68"/>
  <c r="D67" i="68" s="1"/>
  <c r="E48" i="68"/>
  <c r="F48" i="68" s="1"/>
  <c r="E76" i="68"/>
  <c r="F76" i="68" s="1"/>
  <c r="D78" i="68"/>
  <c r="D79" i="68" s="1"/>
  <c r="E49" i="68"/>
  <c r="F49" i="68" s="1"/>
  <c r="D90" i="68"/>
  <c r="D91" i="68" s="1"/>
  <c r="E88" i="68"/>
  <c r="F88" i="68" s="1"/>
  <c r="E54" i="68"/>
  <c r="F54" i="68" s="1"/>
  <c r="E79" i="69"/>
  <c r="F79" i="69" s="1"/>
  <c r="E75" i="69"/>
  <c r="F75" i="69" s="1"/>
  <c r="D7" i="69"/>
  <c r="D8" i="69" s="1"/>
  <c r="E5" i="69"/>
  <c r="F5" i="69" s="1"/>
  <c r="D71" i="69"/>
  <c r="D72" i="69" s="1"/>
  <c r="E69" i="69"/>
  <c r="F69" i="69" s="1"/>
  <c r="E59" i="69"/>
  <c r="F59" i="69" s="1"/>
  <c r="E50" i="69"/>
  <c r="F50" i="69" s="1"/>
  <c r="E41" i="69"/>
  <c r="F41" i="69" s="1"/>
  <c r="E29" i="69"/>
  <c r="F29" i="69" s="1"/>
  <c r="E17" i="69"/>
  <c r="F17" i="69" s="1"/>
  <c r="E63" i="69"/>
  <c r="F63" i="69" s="1"/>
  <c r="E80" i="69"/>
  <c r="F80" i="69" s="1"/>
  <c r="E76" i="69"/>
  <c r="F76" i="69" s="1"/>
  <c r="D64" i="69"/>
  <c r="E54" i="69"/>
  <c r="F54" i="69" s="1"/>
  <c r="E46" i="69"/>
  <c r="F46" i="69" s="1"/>
  <c r="E35" i="69"/>
  <c r="F35" i="69" s="1"/>
  <c r="E23" i="69"/>
  <c r="F23" i="69" s="1"/>
  <c r="E11" i="69"/>
  <c r="F11" i="69" s="1"/>
  <c r="D60" i="69"/>
  <c r="E46" i="70"/>
  <c r="F46" i="70" s="1"/>
  <c r="E23" i="70"/>
  <c r="F23" i="70" s="1"/>
  <c r="E75" i="70"/>
  <c r="F75" i="70" s="1"/>
  <c r="E51" i="70"/>
  <c r="F51" i="70" s="1"/>
  <c r="D65" i="70"/>
  <c r="D66" i="70" s="1"/>
  <c r="E63" i="70"/>
  <c r="F63" i="70" s="1"/>
  <c r="E45" i="70"/>
  <c r="F45" i="70" s="1"/>
  <c r="E34" i="70"/>
  <c r="F34" i="70" s="1"/>
  <c r="E22" i="70"/>
  <c r="F22" i="70" s="1"/>
  <c r="E10" i="70"/>
  <c r="F10" i="70" s="1"/>
  <c r="D61" i="70"/>
  <c r="D62" i="70" s="1"/>
  <c r="E59" i="70"/>
  <c r="F59" i="70" s="1"/>
  <c r="E41" i="70"/>
  <c r="F41" i="70" s="1"/>
  <c r="E17" i="70"/>
  <c r="F17" i="70" s="1"/>
  <c r="E71" i="70"/>
  <c r="F71" i="70" s="1"/>
  <c r="E72" i="70"/>
  <c r="F72" i="70" s="1"/>
  <c r="E53" i="70"/>
  <c r="F53" i="70" s="1"/>
  <c r="D78" i="70"/>
  <c r="E4" i="70"/>
  <c r="E54" i="70"/>
  <c r="F54" i="70" s="1"/>
  <c r="E35" i="70"/>
  <c r="F35" i="70" s="1"/>
  <c r="E11" i="70"/>
  <c r="F11" i="70" s="1"/>
  <c r="E55" i="70"/>
  <c r="F55" i="70" s="1"/>
  <c r="D57" i="70"/>
  <c r="D58" i="70" s="1"/>
  <c r="E67" i="70"/>
  <c r="F67" i="70" s="1"/>
  <c r="D69" i="70"/>
  <c r="D70" i="70" s="1"/>
  <c r="E49" i="70"/>
  <c r="F49" i="70" s="1"/>
  <c r="E40" i="70"/>
  <c r="F40" i="70" s="1"/>
  <c r="E28" i="70"/>
  <c r="F28" i="70" s="1"/>
  <c r="E16" i="70"/>
  <c r="F16" i="70" s="1"/>
  <c r="E50" i="70"/>
  <c r="F50" i="70" s="1"/>
  <c r="E29" i="70"/>
  <c r="F29" i="70" s="1"/>
  <c r="E5" i="70"/>
  <c r="F5" i="70" s="1"/>
  <c r="D7" i="70"/>
  <c r="D8" i="70" s="1"/>
  <c r="E73" i="70"/>
  <c r="F73" i="70" s="1"/>
  <c r="E92" i="81"/>
  <c r="F92" i="81" s="1"/>
  <c r="E52" i="81"/>
  <c r="F52" i="81" s="1"/>
  <c r="E28" i="81"/>
  <c r="F28" i="81" s="1"/>
  <c r="E62" i="81"/>
  <c r="F62" i="81" s="1"/>
  <c r="E5" i="81"/>
  <c r="F5" i="81" s="1"/>
  <c r="D7" i="81"/>
  <c r="E68" i="81"/>
  <c r="F68" i="81" s="1"/>
  <c r="D70" i="81"/>
  <c r="D71" i="81" s="1"/>
  <c r="E49" i="81"/>
  <c r="F49" i="81" s="1"/>
  <c r="E25" i="81"/>
  <c r="F25" i="81" s="1"/>
  <c r="D82" i="81"/>
  <c r="D83" i="81" s="1"/>
  <c r="E80" i="81"/>
  <c r="F80" i="81" s="1"/>
  <c r="E50" i="81"/>
  <c r="F50" i="81" s="1"/>
  <c r="E26" i="81"/>
  <c r="F26" i="81" s="1"/>
  <c r="D100" i="81"/>
  <c r="E4" i="81"/>
  <c r="E23" i="81"/>
  <c r="F23" i="81" s="1"/>
  <c r="D78" i="81"/>
  <c r="D79" i="81" s="1"/>
  <c r="E76" i="81"/>
  <c r="F76" i="81" s="1"/>
  <c r="E46" i="81"/>
  <c r="F46" i="81" s="1"/>
  <c r="E22" i="81"/>
  <c r="F22" i="81" s="1"/>
  <c r="E93" i="81"/>
  <c r="F93" i="81" s="1"/>
  <c r="E58" i="81"/>
  <c r="F58" i="81" s="1"/>
  <c r="D105" i="81"/>
  <c r="E98" i="81"/>
  <c r="F98" i="81" s="1"/>
  <c r="E63" i="81"/>
  <c r="F63" i="81" s="1"/>
  <c r="E43" i="81"/>
  <c r="F43" i="81" s="1"/>
  <c r="E19" i="81"/>
  <c r="F19" i="81" s="1"/>
  <c r="D66" i="81"/>
  <c r="D67" i="81" s="1"/>
  <c r="E64" i="81"/>
  <c r="F64" i="81" s="1"/>
  <c r="E44" i="81"/>
  <c r="F44" i="81" s="1"/>
  <c r="E20" i="81"/>
  <c r="F20" i="81" s="1"/>
  <c r="E47" i="81"/>
  <c r="F47" i="81" s="1"/>
  <c r="E17" i="81"/>
  <c r="F17" i="81" s="1"/>
  <c r="E61" i="81"/>
  <c r="F61" i="81" s="1"/>
  <c r="E40" i="81"/>
  <c r="F40" i="81" s="1"/>
  <c r="E16" i="81"/>
  <c r="F16" i="81" s="1"/>
  <c r="E88" i="81"/>
  <c r="F88" i="81" s="1"/>
  <c r="D90" i="81"/>
  <c r="D91" i="81" s="1"/>
  <c r="E53" i="81"/>
  <c r="F53" i="81" s="1"/>
  <c r="E94" i="81"/>
  <c r="F94" i="81" s="1"/>
  <c r="E59" i="81"/>
  <c r="F59" i="81" s="1"/>
  <c r="E37" i="81"/>
  <c r="F37" i="81" s="1"/>
  <c r="E13" i="81"/>
  <c r="F13" i="81" s="1"/>
  <c r="E60" i="81"/>
  <c r="F60" i="81" s="1"/>
  <c r="E38" i="81"/>
  <c r="F38" i="81" s="1"/>
  <c r="E14" i="81"/>
  <c r="F14" i="81" s="1"/>
  <c r="E41" i="81"/>
  <c r="F41" i="81" s="1"/>
  <c r="E57" i="81"/>
  <c r="F57" i="81" s="1"/>
  <c r="E34" i="81"/>
  <c r="F34" i="81" s="1"/>
  <c r="E11" i="81"/>
  <c r="F11" i="81" s="1"/>
  <c r="E72" i="81"/>
  <c r="F72" i="81" s="1"/>
  <c r="D74" i="81"/>
  <c r="D75" i="81" s="1"/>
  <c r="E29" i="81"/>
  <c r="F29" i="81" s="1"/>
  <c r="E84" i="81"/>
  <c r="F84" i="81" s="1"/>
  <c r="D86" i="81"/>
  <c r="D87" i="81" s="1"/>
  <c r="E55" i="81"/>
  <c r="F55" i="81" s="1"/>
  <c r="E31" i="81"/>
  <c r="F31" i="81" s="1"/>
  <c r="E95" i="81"/>
  <c r="F95" i="81" s="1"/>
  <c r="E56" i="81"/>
  <c r="F56" i="81" s="1"/>
  <c r="E32" i="81"/>
  <c r="F32" i="81" s="1"/>
  <c r="E10" i="81"/>
  <c r="F10" i="81" s="1"/>
  <c r="E35" i="81"/>
  <c r="F35" i="81" s="1"/>
  <c r="E58" i="82"/>
  <c r="F58" i="82" s="1"/>
  <c r="D60" i="82"/>
  <c r="D61" i="82" s="1"/>
  <c r="E46" i="82"/>
  <c r="F46" i="82" s="1"/>
  <c r="E29" i="82"/>
  <c r="F29" i="82" s="1"/>
  <c r="E17" i="82"/>
  <c r="F17" i="82" s="1"/>
  <c r="E32" i="82"/>
  <c r="F32" i="82" s="1"/>
  <c r="E66" i="82"/>
  <c r="F66" i="82" s="1"/>
  <c r="E41" i="82"/>
  <c r="F41" i="82" s="1"/>
  <c r="E11" i="82"/>
  <c r="F11" i="82" s="1"/>
  <c r="E68" i="82"/>
  <c r="F68" i="82" s="1"/>
  <c r="E48" i="82"/>
  <c r="F48" i="82" s="1"/>
  <c r="E26" i="82"/>
  <c r="F26" i="82" s="1"/>
  <c r="E50" i="82"/>
  <c r="F50" i="82" s="1"/>
  <c r="D52" i="82"/>
  <c r="D53" i="82" s="1"/>
  <c r="E23" i="82"/>
  <c r="F23" i="82" s="1"/>
  <c r="E5" i="82"/>
  <c r="F5" i="82" s="1"/>
  <c r="D7" i="82"/>
  <c r="D8" i="82" s="1"/>
  <c r="E44" i="82"/>
  <c r="F44" i="82" s="1"/>
  <c r="E20" i="82"/>
  <c r="F20" i="82" s="1"/>
  <c r="E35" i="82"/>
  <c r="F35" i="82" s="1"/>
  <c r="D71" i="82"/>
  <c r="E38" i="82"/>
  <c r="F38" i="82" s="1"/>
  <c r="E14" i="82"/>
  <c r="F14" i="82" s="1"/>
  <c r="E81" i="83"/>
  <c r="F81" i="83" s="1"/>
  <c r="E65" i="83"/>
  <c r="F65" i="83" s="1"/>
  <c r="D67" i="83"/>
  <c r="D68" i="83" s="1"/>
  <c r="E5" i="83"/>
  <c r="F5" i="83" s="1"/>
  <c r="D7" i="83"/>
  <c r="D8" i="83" s="1"/>
  <c r="E50" i="83"/>
  <c r="F50" i="83" s="1"/>
  <c r="E41" i="83"/>
  <c r="F41" i="83" s="1"/>
  <c r="E29" i="83"/>
  <c r="F29" i="83" s="1"/>
  <c r="E17" i="83"/>
  <c r="F17" i="83" s="1"/>
  <c r="E46" i="83"/>
  <c r="F46" i="83" s="1"/>
  <c r="E35" i="83"/>
  <c r="F35" i="83" s="1"/>
  <c r="E23" i="83"/>
  <c r="F23" i="83" s="1"/>
  <c r="E11" i="83"/>
  <c r="F11" i="83" s="1"/>
  <c r="D85" i="83"/>
  <c r="E50" i="84"/>
  <c r="F50" i="84" s="1"/>
  <c r="E67" i="84"/>
  <c r="F67" i="84" s="1"/>
  <c r="D69" i="84"/>
  <c r="D70" i="84" s="1"/>
  <c r="E25" i="84"/>
  <c r="F25" i="84" s="1"/>
  <c r="D65" i="84"/>
  <c r="D66" i="84" s="1"/>
  <c r="E63" i="84"/>
  <c r="F63" i="84" s="1"/>
  <c r="E20" i="84"/>
  <c r="F20" i="84" s="1"/>
  <c r="E23" i="84"/>
  <c r="F23" i="84" s="1"/>
  <c r="E57" i="84"/>
  <c r="F57" i="84" s="1"/>
  <c r="D85" i="84"/>
  <c r="E4" i="84"/>
  <c r="C20" i="110" s="1"/>
  <c r="I20" i="110" s="1"/>
  <c r="E28" i="84"/>
  <c r="F28" i="84" s="1"/>
  <c r="E52" i="84"/>
  <c r="F52" i="84" s="1"/>
  <c r="E80" i="84"/>
  <c r="F80" i="84" s="1"/>
  <c r="E38" i="84"/>
  <c r="F38" i="84" s="1"/>
  <c r="E58" i="84"/>
  <c r="F58" i="84" s="1"/>
  <c r="E13" i="84"/>
  <c r="F13" i="84" s="1"/>
  <c r="E55" i="84"/>
  <c r="F55" i="84" s="1"/>
  <c r="E29" i="84"/>
  <c r="F29" i="84" s="1"/>
  <c r="E61" i="84"/>
  <c r="F61" i="84" s="1"/>
  <c r="E10" i="84"/>
  <c r="F10" i="84" s="1"/>
  <c r="E34" i="84"/>
  <c r="F34" i="84" s="1"/>
  <c r="E56" i="84"/>
  <c r="F56" i="84" s="1"/>
  <c r="E35" i="84"/>
  <c r="F35" i="84" s="1"/>
  <c r="E79" i="84"/>
  <c r="F79" i="84" s="1"/>
  <c r="E26" i="84"/>
  <c r="F26" i="84" s="1"/>
  <c r="E49" i="84"/>
  <c r="F49" i="84" s="1"/>
  <c r="E7" i="84"/>
  <c r="D86" i="84"/>
  <c r="E44" i="84"/>
  <c r="F44" i="84" s="1"/>
  <c r="E11" i="84"/>
  <c r="F11" i="84" s="1"/>
  <c r="E41" i="84"/>
  <c r="F41" i="84" s="1"/>
  <c r="E71" i="84"/>
  <c r="F71" i="84" s="1"/>
  <c r="D73" i="84"/>
  <c r="D74" i="84" s="1"/>
  <c r="E16" i="84"/>
  <c r="F16" i="84" s="1"/>
  <c r="E40" i="84"/>
  <c r="F40" i="84" s="1"/>
  <c r="E60" i="84"/>
  <c r="F60" i="84" s="1"/>
  <c r="E47" i="84"/>
  <c r="F47" i="84" s="1"/>
  <c r="E59" i="84"/>
  <c r="F59" i="84" s="1"/>
  <c r="E14" i="84"/>
  <c r="F14" i="84" s="1"/>
  <c r="E37" i="84"/>
  <c r="F37" i="84" s="1"/>
  <c r="D83" i="84"/>
  <c r="E32" i="84"/>
  <c r="F32" i="84" s="1"/>
  <c r="E17" i="84"/>
  <c r="F17" i="84" s="1"/>
  <c r="E53" i="84"/>
  <c r="F53" i="84" s="1"/>
  <c r="E81" i="84"/>
  <c r="F81" i="84" s="1"/>
  <c r="E22" i="84"/>
  <c r="F22" i="84" s="1"/>
  <c r="E46" i="84"/>
  <c r="F46" i="84" s="1"/>
  <c r="D77" i="84"/>
  <c r="D78" i="84" s="1"/>
  <c r="E75" i="84"/>
  <c r="F75" i="84" s="1"/>
  <c r="D8" i="84"/>
  <c r="E29" i="85"/>
  <c r="F29" i="85" s="1"/>
  <c r="E23" i="85"/>
  <c r="F23" i="85" s="1"/>
  <c r="E17" i="85"/>
  <c r="F17" i="85" s="1"/>
  <c r="E35" i="85"/>
  <c r="F35" i="85" s="1"/>
  <c r="E11" i="85"/>
  <c r="F11" i="85" s="1"/>
  <c r="D7" i="85"/>
  <c r="E5" i="85"/>
  <c r="F5" i="85" s="1"/>
  <c r="E54" i="85"/>
  <c r="E4" i="86"/>
  <c r="D74" i="86"/>
  <c r="E49" i="86"/>
  <c r="F49" i="86" s="1"/>
  <c r="E25" i="86"/>
  <c r="F25" i="86" s="1"/>
  <c r="E55" i="86"/>
  <c r="F55" i="86" s="1"/>
  <c r="E22" i="86"/>
  <c r="F22" i="86" s="1"/>
  <c r="E54" i="86"/>
  <c r="F54" i="86" s="1"/>
  <c r="E32" i="86"/>
  <c r="F32" i="86" s="1"/>
  <c r="E40" i="86"/>
  <c r="F40" i="86" s="1"/>
  <c r="E35" i="86"/>
  <c r="F35" i="86" s="1"/>
  <c r="E11" i="86"/>
  <c r="F11" i="86" s="1"/>
  <c r="E71" i="86"/>
  <c r="F71" i="86" s="1"/>
  <c r="E62" i="86"/>
  <c r="F62" i="86" s="1"/>
  <c r="D64" i="86"/>
  <c r="D65" i="86" s="1"/>
  <c r="E43" i="86"/>
  <c r="F43" i="86" s="1"/>
  <c r="E19" i="86"/>
  <c r="F19" i="86" s="1"/>
  <c r="E51" i="86"/>
  <c r="F51" i="86" s="1"/>
  <c r="E16" i="86"/>
  <c r="F16" i="86" s="1"/>
  <c r="E50" i="86"/>
  <c r="F50" i="86" s="1"/>
  <c r="E26" i="86"/>
  <c r="F26" i="86" s="1"/>
  <c r="E10" i="86"/>
  <c r="F10" i="86" s="1"/>
  <c r="E29" i="86"/>
  <c r="F29" i="86" s="1"/>
  <c r="D7" i="86"/>
  <c r="E5" i="86"/>
  <c r="F5" i="86" s="1"/>
  <c r="D68" i="86"/>
  <c r="D69" i="86" s="1"/>
  <c r="E66" i="86"/>
  <c r="F66" i="86" s="1"/>
  <c r="E57" i="86"/>
  <c r="F57" i="86" s="1"/>
  <c r="E37" i="86"/>
  <c r="F37" i="86" s="1"/>
  <c r="E13" i="86"/>
  <c r="F13" i="86" s="1"/>
  <c r="E34" i="86"/>
  <c r="F34" i="86" s="1"/>
  <c r="E52" i="86"/>
  <c r="F52" i="86" s="1"/>
  <c r="E44" i="86"/>
  <c r="F44" i="86" s="1"/>
  <c r="E20" i="86"/>
  <c r="F20" i="86" s="1"/>
  <c r="E47" i="86"/>
  <c r="F47" i="86" s="1"/>
  <c r="E23" i="86"/>
  <c r="F23" i="86" s="1"/>
  <c r="E56" i="86"/>
  <c r="F56" i="86" s="1"/>
  <c r="E53" i="86"/>
  <c r="F53" i="86" s="1"/>
  <c r="E31" i="86"/>
  <c r="F31" i="86" s="1"/>
  <c r="E70" i="86"/>
  <c r="F70" i="86" s="1"/>
  <c r="E28" i="86"/>
  <c r="F28" i="86" s="1"/>
  <c r="E58" i="86"/>
  <c r="F58" i="86" s="1"/>
  <c r="D60" i="86"/>
  <c r="D61" i="86" s="1"/>
  <c r="E38" i="86"/>
  <c r="F38" i="86" s="1"/>
  <c r="E14" i="86"/>
  <c r="F14" i="86" s="1"/>
  <c r="E41" i="86"/>
  <c r="F41" i="86" s="1"/>
  <c r="E17" i="86"/>
  <c r="F17" i="86" s="1"/>
  <c r="E45" i="87"/>
  <c r="F45" i="87" s="1"/>
  <c r="E25" i="87"/>
  <c r="F25" i="87" s="1"/>
  <c r="E40" i="87"/>
  <c r="F40" i="87" s="1"/>
  <c r="E29" i="87"/>
  <c r="F29" i="87" s="1"/>
  <c r="E17" i="87"/>
  <c r="F17" i="87" s="1"/>
  <c r="E41" i="87"/>
  <c r="F41" i="87" s="1"/>
  <c r="E19" i="87"/>
  <c r="F19" i="87" s="1"/>
  <c r="E37" i="87"/>
  <c r="F37" i="87" s="1"/>
  <c r="E13" i="87"/>
  <c r="F13" i="87" s="1"/>
  <c r="E64" i="87"/>
  <c r="E59" i="87"/>
  <c r="F59" i="87" s="1"/>
  <c r="E44" i="87"/>
  <c r="F44" i="87" s="1"/>
  <c r="E35" i="87"/>
  <c r="F35" i="87" s="1"/>
  <c r="E23" i="87"/>
  <c r="F23" i="87" s="1"/>
  <c r="E11" i="87"/>
  <c r="F11" i="87" s="1"/>
  <c r="D62" i="87"/>
  <c r="E50" i="87"/>
  <c r="F50" i="87" s="1"/>
  <c r="D52" i="87"/>
  <c r="D53" i="87" s="1"/>
  <c r="E31" i="87"/>
  <c r="F31" i="87" s="1"/>
  <c r="F4" i="87"/>
  <c r="D56" i="87"/>
  <c r="D57" i="87" s="1"/>
  <c r="E54" i="87"/>
  <c r="F54" i="87" s="1"/>
  <c r="D7" i="87"/>
  <c r="D8" i="87" s="1"/>
  <c r="E5" i="87"/>
  <c r="F5" i="87" s="1"/>
  <c r="D56" i="88"/>
  <c r="E10" i="88"/>
  <c r="F10" i="88" s="1"/>
  <c r="E31" i="88"/>
  <c r="F31" i="88" s="1"/>
  <c r="E32" i="88"/>
  <c r="F32" i="88" s="1"/>
  <c r="E38" i="88"/>
  <c r="F38" i="88" s="1"/>
  <c r="E16" i="88"/>
  <c r="F16" i="88" s="1"/>
  <c r="E35" i="88"/>
  <c r="F35" i="88" s="1"/>
  <c r="E5" i="88"/>
  <c r="F5" i="88" s="1"/>
  <c r="D7" i="88"/>
  <c r="D8" i="88" s="1"/>
  <c r="D51" i="88"/>
  <c r="E4" i="88"/>
  <c r="E45" i="88"/>
  <c r="F45" i="88" s="1"/>
  <c r="E46" i="88"/>
  <c r="F46" i="88" s="1"/>
  <c r="E26" i="88"/>
  <c r="F26" i="88" s="1"/>
  <c r="E34" i="88"/>
  <c r="F34" i="88" s="1"/>
  <c r="E29" i="88"/>
  <c r="F29" i="88" s="1"/>
  <c r="E19" i="88"/>
  <c r="F19" i="88" s="1"/>
  <c r="E17" i="88"/>
  <c r="F17" i="88" s="1"/>
  <c r="E40" i="88"/>
  <c r="F40" i="88" s="1"/>
  <c r="E41" i="88"/>
  <c r="F41" i="88" s="1"/>
  <c r="D43" i="88"/>
  <c r="D44" i="88" s="1"/>
  <c r="E20" i="88"/>
  <c r="F20" i="88" s="1"/>
  <c r="E28" i="88"/>
  <c r="F28" i="88" s="1"/>
  <c r="E48" i="88"/>
  <c r="F48" i="88" s="1"/>
  <c r="E23" i="88"/>
  <c r="F23" i="88" s="1"/>
  <c r="E25" i="88"/>
  <c r="F25" i="88" s="1"/>
  <c r="E36" i="88"/>
  <c r="F36" i="88" s="1"/>
  <c r="E37" i="88"/>
  <c r="F37" i="88" s="1"/>
  <c r="E14" i="88"/>
  <c r="F14" i="88" s="1"/>
  <c r="E22" i="88"/>
  <c r="F22" i="88" s="1"/>
  <c r="E39" i="88"/>
  <c r="F39" i="88" s="1"/>
  <c r="E11" i="88"/>
  <c r="F11" i="88" s="1"/>
  <c r="E74" i="89"/>
  <c r="F74" i="89" s="1"/>
  <c r="E56" i="89"/>
  <c r="F56" i="89" s="1"/>
  <c r="E35" i="89"/>
  <c r="F35" i="89" s="1"/>
  <c r="E11" i="89"/>
  <c r="F11" i="89" s="1"/>
  <c r="E69" i="89"/>
  <c r="F69" i="89" s="1"/>
  <c r="D71" i="89"/>
  <c r="D72" i="89" s="1"/>
  <c r="E54" i="89"/>
  <c r="F54" i="89" s="1"/>
  <c r="E44" i="89"/>
  <c r="F44" i="89" s="1"/>
  <c r="E32" i="89"/>
  <c r="F32" i="89" s="1"/>
  <c r="E20" i="89"/>
  <c r="F20" i="89" s="1"/>
  <c r="E80" i="89"/>
  <c r="E52" i="89"/>
  <c r="F52" i="89" s="1"/>
  <c r="E29" i="89"/>
  <c r="F29" i="89" s="1"/>
  <c r="D7" i="89"/>
  <c r="D8" i="89" s="1"/>
  <c r="E5" i="89"/>
  <c r="F5" i="89" s="1"/>
  <c r="E78" i="89"/>
  <c r="F78" i="89" s="1"/>
  <c r="E47" i="89"/>
  <c r="F47" i="89" s="1"/>
  <c r="E23" i="89"/>
  <c r="F23" i="89" s="1"/>
  <c r="E68" i="89"/>
  <c r="F68" i="89" s="1"/>
  <c r="E50" i="89"/>
  <c r="F50" i="89" s="1"/>
  <c r="E38" i="89"/>
  <c r="F38" i="89" s="1"/>
  <c r="E26" i="89"/>
  <c r="F26" i="89" s="1"/>
  <c r="E14" i="89"/>
  <c r="F14" i="89" s="1"/>
  <c r="D77" i="89"/>
  <c r="D63" i="89"/>
  <c r="D64" i="89" s="1"/>
  <c r="E61" i="89"/>
  <c r="F61" i="89" s="1"/>
  <c r="E41" i="89"/>
  <c r="F41" i="89" s="1"/>
  <c r="E17" i="89"/>
  <c r="F17" i="89" s="1"/>
  <c r="E52" i="90"/>
  <c r="F52" i="90" s="1"/>
  <c r="E35" i="90"/>
  <c r="F35" i="90" s="1"/>
  <c r="E11" i="90"/>
  <c r="F11" i="90" s="1"/>
  <c r="E55" i="90"/>
  <c r="F55" i="90" s="1"/>
  <c r="E29" i="90"/>
  <c r="F29" i="90" s="1"/>
  <c r="E5" i="90"/>
  <c r="F5" i="90" s="1"/>
  <c r="D7" i="90"/>
  <c r="D8" i="90" s="1"/>
  <c r="D57" i="90"/>
  <c r="E45" i="90"/>
  <c r="F45" i="90" s="1"/>
  <c r="E23" i="90"/>
  <c r="F23" i="90" s="1"/>
  <c r="E41" i="90"/>
  <c r="F41" i="90" s="1"/>
  <c r="E17" i="90"/>
  <c r="F17" i="90" s="1"/>
  <c r="E56" i="90"/>
  <c r="F56" i="90" s="1"/>
  <c r="F60" i="90"/>
  <c r="D62" i="90"/>
  <c r="E51" i="90"/>
  <c r="F51" i="90" s="1"/>
  <c r="E17" i="96"/>
  <c r="F17" i="96" s="1"/>
  <c r="E33" i="96"/>
  <c r="F33" i="96" s="1"/>
  <c r="E34" i="96"/>
  <c r="F34" i="96" s="1"/>
  <c r="D35" i="96"/>
  <c r="E36" i="96"/>
  <c r="F36" i="96" s="1"/>
  <c r="E20" i="96"/>
  <c r="F20" i="96" s="1"/>
  <c r="E21" i="96"/>
  <c r="F21" i="96" s="1"/>
  <c r="E23" i="96"/>
  <c r="F23" i="96" s="1"/>
  <c r="E24" i="96"/>
  <c r="F24" i="96" s="1"/>
  <c r="D27" i="96"/>
  <c r="D28" i="96" s="1"/>
  <c r="E25" i="96"/>
  <c r="F25" i="96" s="1"/>
  <c r="E22" i="96"/>
  <c r="F22" i="96" s="1"/>
  <c r="E19" i="96"/>
  <c r="F19" i="96" s="1"/>
  <c r="E4" i="96"/>
  <c r="C8" i="110" s="1"/>
  <c r="I8" i="110" s="1"/>
  <c r="D38" i="96"/>
  <c r="E16" i="96"/>
  <c r="F16" i="96" s="1"/>
  <c r="D7" i="96"/>
  <c r="D8" i="96" s="1"/>
  <c r="E5" i="96"/>
  <c r="F5" i="96" s="1"/>
  <c r="E13" i="96"/>
  <c r="F13" i="96" s="1"/>
  <c r="E14" i="96"/>
  <c r="F14" i="96" s="1"/>
  <c r="E10" i="96"/>
  <c r="F10" i="96" s="1"/>
  <c r="E11" i="96"/>
  <c r="F11" i="96" s="1"/>
  <c r="E16" i="97"/>
  <c r="F16" i="97" s="1"/>
  <c r="E45" i="97"/>
  <c r="F45" i="97" s="1"/>
  <c r="E23" i="97"/>
  <c r="F23" i="97" s="1"/>
  <c r="E34" i="97"/>
  <c r="F34" i="97" s="1"/>
  <c r="E60" i="97"/>
  <c r="F60" i="97" s="1"/>
  <c r="E17" i="97"/>
  <c r="F17" i="97" s="1"/>
  <c r="D50" i="97"/>
  <c r="E48" i="97"/>
  <c r="F48" i="97" s="1"/>
  <c r="E28" i="97"/>
  <c r="F28" i="97" s="1"/>
  <c r="D68" i="97"/>
  <c r="E4" i="97"/>
  <c r="C7" i="110" s="1"/>
  <c r="I7" i="110" s="1"/>
  <c r="E35" i="97"/>
  <c r="F35" i="97" s="1"/>
  <c r="E11" i="97"/>
  <c r="F11" i="97" s="1"/>
  <c r="E54" i="97"/>
  <c r="F54" i="97" s="1"/>
  <c r="E40" i="97"/>
  <c r="F40" i="97" s="1"/>
  <c r="D65" i="97"/>
  <c r="E10" i="97"/>
  <c r="F10" i="97" s="1"/>
  <c r="E41" i="97"/>
  <c r="F41" i="97" s="1"/>
  <c r="E55" i="97"/>
  <c r="F55" i="97" s="1"/>
  <c r="E44" i="97"/>
  <c r="F44" i="97" s="1"/>
  <c r="E22" i="97"/>
  <c r="F22" i="97" s="1"/>
  <c r="E64" i="97"/>
  <c r="F64" i="97" s="1"/>
  <c r="E29" i="97"/>
  <c r="F29" i="97" s="1"/>
  <c r="E5" i="97"/>
  <c r="F5" i="97" s="1"/>
  <c r="D7" i="97"/>
  <c r="E10" i="98"/>
  <c r="F10" i="98" s="1"/>
  <c r="E34" i="98"/>
  <c r="F34" i="98" s="1"/>
  <c r="E32" i="98"/>
  <c r="F32" i="98" s="1"/>
  <c r="E35" i="98"/>
  <c r="F35" i="98" s="1"/>
  <c r="E16" i="98"/>
  <c r="F16" i="98" s="1"/>
  <c r="E40" i="98"/>
  <c r="F40" i="98" s="1"/>
  <c r="E38" i="98"/>
  <c r="F38" i="98" s="1"/>
  <c r="E8" i="98"/>
  <c r="F8" i="98" s="1"/>
  <c r="E58" i="98"/>
  <c r="F58" i="98" s="1"/>
  <c r="E65" i="98"/>
  <c r="F65" i="98" s="1"/>
  <c r="E22" i="98"/>
  <c r="F22" i="98" s="1"/>
  <c r="E45" i="98"/>
  <c r="F45" i="98" s="1"/>
  <c r="E20" i="98"/>
  <c r="F20" i="98" s="1"/>
  <c r="E44" i="98"/>
  <c r="F44" i="98" s="1"/>
  <c r="E64" i="98"/>
  <c r="F64" i="98" s="1"/>
  <c r="D54" i="98"/>
  <c r="E52" i="98"/>
  <c r="F52" i="98" s="1"/>
  <c r="E59" i="98"/>
  <c r="F59" i="98" s="1"/>
  <c r="E11" i="98"/>
  <c r="F11" i="98" s="1"/>
  <c r="E14" i="98"/>
  <c r="F14" i="98" s="1"/>
  <c r="D69" i="98"/>
  <c r="E7" i="98"/>
  <c r="E46" i="98"/>
  <c r="F46" i="98" s="1"/>
  <c r="E23" i="98"/>
  <c r="F23" i="98" s="1"/>
  <c r="E4" i="98"/>
  <c r="D68" i="98"/>
  <c r="E28" i="98"/>
  <c r="F28" i="98" s="1"/>
  <c r="E49" i="98"/>
  <c r="F49" i="98" s="1"/>
  <c r="E26" i="98"/>
  <c r="F26" i="98" s="1"/>
  <c r="E48" i="98"/>
  <c r="F48" i="98" s="1"/>
  <c r="D66" i="98"/>
  <c r="E97" i="99"/>
  <c r="F97" i="99" s="1"/>
  <c r="E32" i="99"/>
  <c r="F32" i="99" s="1"/>
  <c r="E19" i="99"/>
  <c r="F19" i="99" s="1"/>
  <c r="E70" i="99"/>
  <c r="F70" i="99" s="1"/>
  <c r="E34" i="99"/>
  <c r="F34" i="99" s="1"/>
  <c r="E58" i="99"/>
  <c r="F58" i="99" s="1"/>
  <c r="E28" i="99"/>
  <c r="F28" i="99" s="1"/>
  <c r="D99" i="99"/>
  <c r="E4" i="99"/>
  <c r="C5" i="110" s="1"/>
  <c r="I5" i="110" s="1"/>
  <c r="E35" i="99"/>
  <c r="F35" i="99" s="1"/>
  <c r="E22" i="99"/>
  <c r="F22" i="99" s="1"/>
  <c r="E72" i="99"/>
  <c r="F72" i="99" s="1"/>
  <c r="E13" i="99"/>
  <c r="F13" i="99" s="1"/>
  <c r="E37" i="99"/>
  <c r="F37" i="99" s="1"/>
  <c r="E61" i="99"/>
  <c r="F61" i="99" s="1"/>
  <c r="D87" i="99"/>
  <c r="D88" i="99" s="1"/>
  <c r="E85" i="99"/>
  <c r="F85" i="99" s="1"/>
  <c r="E17" i="99"/>
  <c r="F17" i="99" s="1"/>
  <c r="E76" i="99"/>
  <c r="F76" i="99" s="1"/>
  <c r="E67" i="99"/>
  <c r="F67" i="99" s="1"/>
  <c r="E95" i="99"/>
  <c r="F95" i="99" s="1"/>
  <c r="E23" i="99"/>
  <c r="F23" i="99" s="1"/>
  <c r="E94" i="99"/>
  <c r="F94" i="99" s="1"/>
  <c r="E56" i="99"/>
  <c r="F56" i="99" s="1"/>
  <c r="E47" i="99"/>
  <c r="F47" i="99" s="1"/>
  <c r="E20" i="99"/>
  <c r="F20" i="99" s="1"/>
  <c r="E77" i="99"/>
  <c r="F77" i="99" s="1"/>
  <c r="D79" i="99"/>
  <c r="D80" i="99" s="1"/>
  <c r="E41" i="99"/>
  <c r="F41" i="99" s="1"/>
  <c r="E14" i="99"/>
  <c r="F14" i="99" s="1"/>
  <c r="E74" i="99"/>
  <c r="F74" i="99" s="1"/>
  <c r="E46" i="99"/>
  <c r="F46" i="99" s="1"/>
  <c r="E11" i="99"/>
  <c r="F11" i="99" s="1"/>
  <c r="E62" i="99"/>
  <c r="F62" i="99" s="1"/>
  <c r="E81" i="99"/>
  <c r="F81" i="99" s="1"/>
  <c r="D83" i="99"/>
  <c r="E25" i="99"/>
  <c r="F25" i="99" s="1"/>
  <c r="E49" i="99"/>
  <c r="F49" i="99" s="1"/>
  <c r="E71" i="99"/>
  <c r="F71" i="99" s="1"/>
  <c r="E59" i="99"/>
  <c r="F59" i="99" s="1"/>
  <c r="E52" i="99"/>
  <c r="F52" i="99" s="1"/>
  <c r="E43" i="99"/>
  <c r="F43" i="99" s="1"/>
  <c r="D91" i="99"/>
  <c r="D92" i="99" s="1"/>
  <c r="E89" i="99"/>
  <c r="F89" i="99" s="1"/>
  <c r="E44" i="99"/>
  <c r="F44" i="99" s="1"/>
  <c r="E10" i="99"/>
  <c r="F10" i="99" s="1"/>
  <c r="E69" i="99"/>
  <c r="F69" i="99" s="1"/>
  <c r="E38" i="99"/>
  <c r="F38" i="99" s="1"/>
  <c r="E65" i="99"/>
  <c r="F65" i="99" s="1"/>
  <c r="E68" i="99"/>
  <c r="F68" i="99" s="1"/>
  <c r="E96" i="99"/>
  <c r="F96" i="99" s="1"/>
  <c r="E31" i="99"/>
  <c r="F31" i="99" s="1"/>
  <c r="E55" i="99"/>
  <c r="F55" i="99" s="1"/>
  <c r="E75" i="99"/>
  <c r="F75" i="99" s="1"/>
  <c r="E67" i="49" l="1"/>
  <c r="F67" i="49" s="1"/>
  <c r="D84" i="33"/>
  <c r="E64" i="82"/>
  <c r="F64" i="82" s="1"/>
  <c r="E51" i="61"/>
  <c r="E59" i="89"/>
  <c r="D56" i="83"/>
  <c r="E71" i="77"/>
  <c r="E99" i="56"/>
  <c r="F99" i="56" s="1"/>
  <c r="E86" i="69"/>
  <c r="F86" i="69" s="1"/>
  <c r="F45" i="80"/>
  <c r="E62" i="64"/>
  <c r="F62" i="64" s="1"/>
  <c r="D61" i="34"/>
  <c r="E61" i="34" s="1"/>
  <c r="F61" i="34" s="1"/>
  <c r="C15" i="110"/>
  <c r="I15" i="110" s="1"/>
  <c r="E71" i="51"/>
  <c r="F71" i="51" s="1"/>
  <c r="D74" i="64"/>
  <c r="E76" i="70"/>
  <c r="F76" i="70" s="1"/>
  <c r="E62" i="98"/>
  <c r="F62" i="98" s="1"/>
  <c r="E31" i="96"/>
  <c r="F31" i="96" s="1"/>
  <c r="E70" i="93"/>
  <c r="F70" i="93" s="1"/>
  <c r="E52" i="85"/>
  <c r="F52" i="85" s="1"/>
  <c r="E71" i="40"/>
  <c r="F71" i="40" s="1"/>
  <c r="D63" i="57"/>
  <c r="E74" i="49"/>
  <c r="F74" i="49" s="1"/>
  <c r="E87" i="83"/>
  <c r="E71" i="49"/>
  <c r="F71" i="49" s="1"/>
  <c r="F4" i="83"/>
  <c r="E8" i="52"/>
  <c r="E107" i="52" s="1"/>
  <c r="D55" i="25"/>
  <c r="E55" i="25" s="1"/>
  <c r="F55" i="25" s="1"/>
  <c r="E47" i="39"/>
  <c r="F47" i="39" s="1"/>
  <c r="F67" i="78"/>
  <c r="D134" i="55"/>
  <c r="E32" i="29"/>
  <c r="F32" i="29" s="1"/>
  <c r="D61" i="11"/>
  <c r="E53" i="11"/>
  <c r="F53" i="11" s="1"/>
  <c r="E41" i="21"/>
  <c r="F41" i="21" s="1"/>
  <c r="E75" i="30"/>
  <c r="F75" i="30" s="1"/>
  <c r="D50" i="26"/>
  <c r="E50" i="26" s="1"/>
  <c r="F50" i="26" s="1"/>
  <c r="D32" i="23"/>
  <c r="D35" i="23" s="1"/>
  <c r="D50" i="11"/>
  <c r="E70" i="25"/>
  <c r="F70" i="25" s="1"/>
  <c r="F54" i="85"/>
  <c r="E59" i="35"/>
  <c r="F59" i="35" s="1"/>
  <c r="E58" i="72"/>
  <c r="F58" i="72" s="1"/>
  <c r="E33" i="20"/>
  <c r="F33" i="20" s="1"/>
  <c r="D60" i="30"/>
  <c r="E60" i="30" s="1"/>
  <c r="F60" i="30" s="1"/>
  <c r="C43" i="110"/>
  <c r="I43" i="110" s="1"/>
  <c r="D72" i="83"/>
  <c r="E72" i="83" s="1"/>
  <c r="F72" i="83" s="1"/>
  <c r="F4" i="77"/>
  <c r="E56" i="85"/>
  <c r="E19" i="110" s="1"/>
  <c r="K19" i="110" s="1"/>
  <c r="E40" i="50"/>
  <c r="F40" i="50" s="1"/>
  <c r="F51" i="61"/>
  <c r="E57" i="26"/>
  <c r="F57" i="26" s="1"/>
  <c r="F80" i="89"/>
  <c r="E54" i="31"/>
  <c r="F54" i="31" s="1"/>
  <c r="E74" i="41"/>
  <c r="D67" i="25"/>
  <c r="E67" i="25" s="1"/>
  <c r="F67" i="25" s="1"/>
  <c r="G4" i="110"/>
  <c r="E50" i="31"/>
  <c r="F64" i="71"/>
  <c r="E61" i="57"/>
  <c r="D62" i="31"/>
  <c r="E74" i="22"/>
  <c r="F74" i="22" s="1"/>
  <c r="E45" i="26"/>
  <c r="F45" i="26" s="1"/>
  <c r="F4" i="57"/>
  <c r="F4" i="41"/>
  <c r="F69" i="100"/>
  <c r="E86" i="84"/>
  <c r="D20" i="110"/>
  <c r="J20" i="110" s="1"/>
  <c r="F4" i="98"/>
  <c r="C6" i="110"/>
  <c r="I6" i="110" s="1"/>
  <c r="F4" i="68"/>
  <c r="C36" i="110"/>
  <c r="I36" i="110" s="1"/>
  <c r="F4" i="50"/>
  <c r="F42" i="50" s="1"/>
  <c r="C54" i="110"/>
  <c r="I54" i="110" s="1"/>
  <c r="F4" i="27"/>
  <c r="C77" i="110"/>
  <c r="I77" i="110" s="1"/>
  <c r="F4" i="23"/>
  <c r="C81" i="110"/>
  <c r="I81" i="110" s="1"/>
  <c r="F4" i="19"/>
  <c r="C85" i="110"/>
  <c r="I85" i="110" s="1"/>
  <c r="F4" i="17"/>
  <c r="C87" i="110"/>
  <c r="I87" i="110" s="1"/>
  <c r="F4" i="13"/>
  <c r="C91" i="110"/>
  <c r="I91" i="110" s="1"/>
  <c r="F4" i="49"/>
  <c r="C55" i="110"/>
  <c r="I55" i="110" s="1"/>
  <c r="F4" i="21"/>
  <c r="C83" i="110"/>
  <c r="I83" i="110" s="1"/>
  <c r="E69" i="98"/>
  <c r="D6" i="110"/>
  <c r="J6" i="110" s="1"/>
  <c r="F4" i="88"/>
  <c r="C16" i="110"/>
  <c r="I16" i="110" s="1"/>
  <c r="F4" i="81"/>
  <c r="C23" i="110"/>
  <c r="I23" i="110" s="1"/>
  <c r="F4" i="66"/>
  <c r="C38" i="110"/>
  <c r="I38" i="110" s="1"/>
  <c r="F4" i="65"/>
  <c r="F70" i="65" s="1"/>
  <c r="C39" i="110"/>
  <c r="I39" i="110" s="1"/>
  <c r="F4" i="62"/>
  <c r="F54" i="62" s="1"/>
  <c r="C42" i="110"/>
  <c r="I42" i="110" s="1"/>
  <c r="F4" i="52"/>
  <c r="C52" i="110"/>
  <c r="I52" i="110" s="1"/>
  <c r="F4" i="43"/>
  <c r="C61" i="110"/>
  <c r="I61" i="110" s="1"/>
  <c r="F4" i="38"/>
  <c r="C66" i="110"/>
  <c r="I66" i="110" s="1"/>
  <c r="F4" i="9"/>
  <c r="C95" i="110"/>
  <c r="I95" i="110" s="1"/>
  <c r="F4" i="91"/>
  <c r="C13" i="110"/>
  <c r="I13" i="110" s="1"/>
  <c r="E74" i="91"/>
  <c r="D13" i="110"/>
  <c r="J13" i="110" s="1"/>
  <c r="F4" i="72"/>
  <c r="C32" i="110"/>
  <c r="I32" i="110" s="1"/>
  <c r="F4" i="75"/>
  <c r="C29" i="110"/>
  <c r="I29" i="110" s="1"/>
  <c r="F4" i="76"/>
  <c r="C28" i="110"/>
  <c r="I28" i="110" s="1"/>
  <c r="E90" i="30"/>
  <c r="C74" i="110"/>
  <c r="I74" i="110" s="1"/>
  <c r="F4" i="55"/>
  <c r="C49" i="110"/>
  <c r="F4" i="86"/>
  <c r="C18" i="110"/>
  <c r="I18" i="110" s="1"/>
  <c r="F4" i="70"/>
  <c r="C34" i="110"/>
  <c r="I34" i="110" s="1"/>
  <c r="F4" i="59"/>
  <c r="C45" i="110"/>
  <c r="I45" i="110" s="1"/>
  <c r="F4" i="53"/>
  <c r="C51" i="110"/>
  <c r="I51" i="110" s="1"/>
  <c r="F4" i="46"/>
  <c r="C58" i="110"/>
  <c r="I58" i="110" s="1"/>
  <c r="F4" i="22"/>
  <c r="C82" i="110"/>
  <c r="I82" i="110" s="1"/>
  <c r="F4" i="95"/>
  <c r="C9" i="110"/>
  <c r="I9" i="110" s="1"/>
  <c r="F4" i="74"/>
  <c r="C30" i="110"/>
  <c r="I30" i="110" s="1"/>
  <c r="F4" i="73"/>
  <c r="C31" i="110"/>
  <c r="I31" i="110" s="1"/>
  <c r="F4" i="11"/>
  <c r="C93" i="110"/>
  <c r="I93" i="110" s="1"/>
  <c r="F4" i="67"/>
  <c r="F69" i="67" s="1"/>
  <c r="C37" i="110"/>
  <c r="I37" i="110" s="1"/>
  <c r="F4" i="60"/>
  <c r="C44" i="110"/>
  <c r="I44" i="110" s="1"/>
  <c r="F4" i="58"/>
  <c r="C46" i="110"/>
  <c r="I46" i="110" s="1"/>
  <c r="F4" i="54"/>
  <c r="C50" i="110"/>
  <c r="I50" i="110" s="1"/>
  <c r="F4" i="48"/>
  <c r="C56" i="110"/>
  <c r="I56" i="110" s="1"/>
  <c r="F4" i="40"/>
  <c r="C64" i="110"/>
  <c r="I64" i="110" s="1"/>
  <c r="F4" i="18"/>
  <c r="C86" i="110"/>
  <c r="I86" i="110" s="1"/>
  <c r="F4" i="10"/>
  <c r="C94" i="110"/>
  <c r="I94" i="110" s="1"/>
  <c r="F4" i="94"/>
  <c r="C10" i="110"/>
  <c r="I10" i="110" s="1"/>
  <c r="F4" i="92"/>
  <c r="C12" i="110"/>
  <c r="I12" i="110" s="1"/>
  <c r="F4" i="79"/>
  <c r="C25" i="110"/>
  <c r="I25" i="110" s="1"/>
  <c r="E60" i="63"/>
  <c r="C41" i="110"/>
  <c r="I41" i="110" s="1"/>
  <c r="F4" i="33"/>
  <c r="C71" i="110"/>
  <c r="I71" i="110" s="1"/>
  <c r="F4" i="28"/>
  <c r="C76" i="110"/>
  <c r="I76" i="110" s="1"/>
  <c r="F4" i="37"/>
  <c r="C67" i="110"/>
  <c r="I67" i="110" s="1"/>
  <c r="E80" i="51"/>
  <c r="C53" i="110"/>
  <c r="I53" i="110" s="1"/>
  <c r="F4" i="82"/>
  <c r="C22" i="110"/>
  <c r="I22" i="110" s="1"/>
  <c r="E48" i="87"/>
  <c r="F48" i="87" s="1"/>
  <c r="E59" i="51"/>
  <c r="F59" i="51" s="1"/>
  <c r="E31" i="23"/>
  <c r="E38" i="23" s="1"/>
  <c r="E81" i="110" s="1"/>
  <c r="K81" i="110" s="1"/>
  <c r="E129" i="55"/>
  <c r="D107" i="52"/>
  <c r="E46" i="72"/>
  <c r="F46" i="72" s="1"/>
  <c r="E71" i="73"/>
  <c r="F71" i="73" s="1"/>
  <c r="E52" i="78"/>
  <c r="F52" i="78" s="1"/>
  <c r="E7" i="99"/>
  <c r="D5" i="110" s="1"/>
  <c r="J5" i="110" s="1"/>
  <c r="D100" i="99"/>
  <c r="D8" i="99"/>
  <c r="E8" i="99" s="1"/>
  <c r="F8" i="99" s="1"/>
  <c r="E65" i="44"/>
  <c r="F65" i="44" s="1"/>
  <c r="F79" i="30"/>
  <c r="E73" i="82"/>
  <c r="E77" i="49"/>
  <c r="E94" i="37"/>
  <c r="D80" i="30"/>
  <c r="E80" i="30" s="1"/>
  <c r="F80" i="30" s="1"/>
  <c r="E75" i="10"/>
  <c r="F75" i="10" s="1"/>
  <c r="E71" i="91"/>
  <c r="F71" i="91" s="1"/>
  <c r="F4" i="51"/>
  <c r="E46" i="71"/>
  <c r="F46" i="71" s="1"/>
  <c r="D59" i="33"/>
  <c r="E59" i="33" s="1"/>
  <c r="F59" i="33" s="1"/>
  <c r="D78" i="25"/>
  <c r="D55" i="14"/>
  <c r="E43" i="21"/>
  <c r="E47" i="14"/>
  <c r="E55" i="14" s="1"/>
  <c r="E90" i="110" s="1"/>
  <c r="K90" i="110" s="1"/>
  <c r="E49" i="62"/>
  <c r="F49" i="62" s="1"/>
  <c r="E62" i="25"/>
  <c r="F62" i="25" s="1"/>
  <c r="F4" i="30"/>
  <c r="E70" i="95"/>
  <c r="F70" i="95" s="1"/>
  <c r="E73" i="77"/>
  <c r="E27" i="110" s="1"/>
  <c r="K27" i="110" s="1"/>
  <c r="D34" i="79"/>
  <c r="E58" i="32"/>
  <c r="F58" i="32" s="1"/>
  <c r="E7" i="79"/>
  <c r="D73" i="77"/>
  <c r="D36" i="79"/>
  <c r="D65" i="77"/>
  <c r="E65" i="77" s="1"/>
  <c r="F65" i="77" s="1"/>
  <c r="E63" i="51"/>
  <c r="F63" i="51" s="1"/>
  <c r="D64" i="51"/>
  <c r="E64" i="51" s="1"/>
  <c r="F64" i="51" s="1"/>
  <c r="D80" i="28"/>
  <c r="E54" i="9"/>
  <c r="F54" i="9" s="1"/>
  <c r="D81" i="33"/>
  <c r="D82" i="89"/>
  <c r="D79" i="86"/>
  <c r="E95" i="68"/>
  <c r="F95" i="68" s="1"/>
  <c r="F7" i="84"/>
  <c r="D91" i="69"/>
  <c r="E45" i="21"/>
  <c r="E83" i="110" s="1"/>
  <c r="K83" i="110" s="1"/>
  <c r="D79" i="41"/>
  <c r="E72" i="41"/>
  <c r="F72" i="41" s="1"/>
  <c r="D72" i="91"/>
  <c r="F4" i="96"/>
  <c r="E38" i="96"/>
  <c r="E60" i="83"/>
  <c r="F60" i="83" s="1"/>
  <c r="D53" i="62"/>
  <c r="D66" i="87"/>
  <c r="D89" i="83"/>
  <c r="D59" i="31"/>
  <c r="E72" i="64"/>
  <c r="F4" i="64"/>
  <c r="E53" i="63"/>
  <c r="E62" i="63" s="1"/>
  <c r="E41" i="110" s="1"/>
  <c r="K41" i="110" s="1"/>
  <c r="D54" i="63"/>
  <c r="E54" i="63" s="1"/>
  <c r="F54" i="63" s="1"/>
  <c r="D62" i="63"/>
  <c r="E76" i="25"/>
  <c r="F4" i="25"/>
  <c r="E67" i="69"/>
  <c r="F67" i="69" s="1"/>
  <c r="D68" i="69"/>
  <c r="E68" i="69" s="1"/>
  <c r="F68" i="69" s="1"/>
  <c r="E64" i="34"/>
  <c r="F64" i="34" s="1"/>
  <c r="D65" i="34"/>
  <c r="E113" i="55"/>
  <c r="F113" i="55" s="1"/>
  <c r="E62" i="33"/>
  <c r="F62" i="33" s="1"/>
  <c r="D76" i="83"/>
  <c r="E76" i="83" s="1"/>
  <c r="F76" i="83" s="1"/>
  <c r="F4" i="34"/>
  <c r="E76" i="34"/>
  <c r="E89" i="69"/>
  <c r="F4" i="69"/>
  <c r="E54" i="64"/>
  <c r="F54" i="64" s="1"/>
  <c r="D55" i="64"/>
  <c r="D71" i="64" s="1"/>
  <c r="F4" i="63"/>
  <c r="F4" i="26"/>
  <c r="E60" i="26"/>
  <c r="E48" i="57"/>
  <c r="F48" i="57" s="1"/>
  <c r="F63" i="57" s="1"/>
  <c r="E97" i="55"/>
  <c r="F97" i="55" s="1"/>
  <c r="D98" i="55"/>
  <c r="D128" i="55" s="1"/>
  <c r="E53" i="26"/>
  <c r="F53" i="26" s="1"/>
  <c r="D54" i="26"/>
  <c r="D62" i="28"/>
  <c r="E62" i="28" s="1"/>
  <c r="F62" i="28" s="1"/>
  <c r="E61" i="28"/>
  <c r="F61" i="28" s="1"/>
  <c r="E65" i="28"/>
  <c r="F65" i="28" s="1"/>
  <c r="D36" i="29"/>
  <c r="E47" i="51"/>
  <c r="F47" i="51" s="1"/>
  <c r="D48" i="51"/>
  <c r="E58" i="25"/>
  <c r="F58" i="25" s="1"/>
  <c r="D59" i="25"/>
  <c r="E59" i="25" s="1"/>
  <c r="F59" i="25" s="1"/>
  <c r="E59" i="49"/>
  <c r="F59" i="49" s="1"/>
  <c r="F79" i="49" s="1"/>
  <c r="D79" i="49"/>
  <c r="D60" i="49"/>
  <c r="D76" i="49" s="1"/>
  <c r="E63" i="30"/>
  <c r="F63" i="30" s="1"/>
  <c r="D64" i="30"/>
  <c r="E64" i="30" s="1"/>
  <c r="F64" i="30" s="1"/>
  <c r="D79" i="72"/>
  <c r="E59" i="76"/>
  <c r="F59" i="76" s="1"/>
  <c r="F60" i="77"/>
  <c r="F73" i="77" s="1"/>
  <c r="D50" i="80"/>
  <c r="F72" i="72"/>
  <c r="D69" i="78"/>
  <c r="E75" i="73"/>
  <c r="F75" i="73" s="1"/>
  <c r="D76" i="73"/>
  <c r="D86" i="73" s="1"/>
  <c r="E55" i="72"/>
  <c r="F55" i="72" s="1"/>
  <c r="E8" i="77"/>
  <c r="F8" i="77" s="1"/>
  <c r="E51" i="71"/>
  <c r="F51" i="71" s="1"/>
  <c r="E64" i="73"/>
  <c r="F64" i="73" s="1"/>
  <c r="E68" i="73"/>
  <c r="F68" i="73" s="1"/>
  <c r="E48" i="76"/>
  <c r="F48" i="76" s="1"/>
  <c r="E8" i="78"/>
  <c r="F8" i="78" s="1"/>
  <c r="E62" i="74"/>
  <c r="F62" i="74" s="1"/>
  <c r="E8" i="75"/>
  <c r="F8" i="75" s="1"/>
  <c r="D67" i="75"/>
  <c r="E77" i="74"/>
  <c r="F77" i="74" s="1"/>
  <c r="E88" i="74"/>
  <c r="F88" i="74" s="1"/>
  <c r="E69" i="74"/>
  <c r="F69" i="74" s="1"/>
  <c r="D65" i="71"/>
  <c r="E7" i="71"/>
  <c r="E43" i="76"/>
  <c r="F43" i="76" s="1"/>
  <c r="E7" i="72"/>
  <c r="D75" i="72"/>
  <c r="E56" i="78"/>
  <c r="E35" i="79"/>
  <c r="D91" i="74"/>
  <c r="E7" i="74"/>
  <c r="E51" i="76"/>
  <c r="F51" i="76" s="1"/>
  <c r="E79" i="73"/>
  <c r="F79" i="73" s="1"/>
  <c r="E7" i="73"/>
  <c r="D88" i="73"/>
  <c r="E72" i="73"/>
  <c r="F72" i="73" s="1"/>
  <c r="E74" i="72"/>
  <c r="E40" i="76"/>
  <c r="F40" i="76" s="1"/>
  <c r="E66" i="75"/>
  <c r="F66" i="75" s="1"/>
  <c r="D73" i="75"/>
  <c r="E53" i="78"/>
  <c r="F53" i="78" s="1"/>
  <c r="E73" i="74"/>
  <c r="F73" i="74" s="1"/>
  <c r="E65" i="74"/>
  <c r="F65" i="74" s="1"/>
  <c r="E70" i="74"/>
  <c r="F70" i="74" s="1"/>
  <c r="E44" i="76"/>
  <c r="F44" i="76" s="1"/>
  <c r="E8" i="72"/>
  <c r="D63" i="76"/>
  <c r="E7" i="76"/>
  <c r="E57" i="78"/>
  <c r="F57" i="78" s="1"/>
  <c r="E8" i="80"/>
  <c r="F8" i="80" s="1"/>
  <c r="D92" i="73"/>
  <c r="E84" i="73"/>
  <c r="F84" i="73" s="1"/>
  <c r="E67" i="73"/>
  <c r="F67" i="73" s="1"/>
  <c r="E80" i="73"/>
  <c r="F80" i="73" s="1"/>
  <c r="D58" i="71"/>
  <c r="D59" i="71" s="1"/>
  <c r="D69" i="71"/>
  <c r="E56" i="71"/>
  <c r="F56" i="71" s="1"/>
  <c r="E87" i="73"/>
  <c r="E8" i="73"/>
  <c r="F8" i="73" s="1"/>
  <c r="E7" i="77"/>
  <c r="D72" i="77"/>
  <c r="E90" i="74"/>
  <c r="E78" i="74"/>
  <c r="F78" i="74" s="1"/>
  <c r="E47" i="72"/>
  <c r="F47" i="72" s="1"/>
  <c r="E54" i="72"/>
  <c r="F54" i="72" s="1"/>
  <c r="E47" i="76"/>
  <c r="F47" i="76" s="1"/>
  <c r="E66" i="74"/>
  <c r="F66" i="74" s="1"/>
  <c r="D76" i="72"/>
  <c r="E55" i="76"/>
  <c r="F55" i="76" s="1"/>
  <c r="E50" i="72"/>
  <c r="E52" i="75"/>
  <c r="F52" i="75" s="1"/>
  <c r="D76" i="77"/>
  <c r="E69" i="77"/>
  <c r="F69" i="77" s="1"/>
  <c r="E65" i="78"/>
  <c r="F65" i="78" s="1"/>
  <c r="D72" i="78"/>
  <c r="E8" i="74"/>
  <c r="E52" i="76"/>
  <c r="F52" i="76" s="1"/>
  <c r="E66" i="72"/>
  <c r="F66" i="72" s="1"/>
  <c r="D68" i="78"/>
  <c r="E7" i="78"/>
  <c r="D66" i="78"/>
  <c r="D92" i="74"/>
  <c r="E61" i="74"/>
  <c r="E50" i="71"/>
  <c r="F50" i="71" s="1"/>
  <c r="D69" i="75"/>
  <c r="E7" i="75"/>
  <c r="E68" i="75"/>
  <c r="D64" i="76"/>
  <c r="E39" i="76"/>
  <c r="F39" i="76" s="1"/>
  <c r="D74" i="74"/>
  <c r="E8" i="71"/>
  <c r="F8" i="71" s="1"/>
  <c r="D56" i="76"/>
  <c r="D51" i="72"/>
  <c r="E63" i="73"/>
  <c r="F63" i="73" s="1"/>
  <c r="D89" i="73"/>
  <c r="E51" i="75"/>
  <c r="E70" i="75" s="1"/>
  <c r="E29" i="110" s="1"/>
  <c r="K29" i="110" s="1"/>
  <c r="D70" i="75"/>
  <c r="D8" i="76"/>
  <c r="D40" i="79"/>
  <c r="E33" i="79"/>
  <c r="F33" i="79" s="1"/>
  <c r="E7" i="80"/>
  <c r="D46" i="80"/>
  <c r="D44" i="80"/>
  <c r="D67" i="72"/>
  <c r="F29" i="79"/>
  <c r="F37" i="79" s="1"/>
  <c r="E62" i="76"/>
  <c r="E63" i="95"/>
  <c r="F63" i="95" s="1"/>
  <c r="E8" i="93"/>
  <c r="F8" i="93" s="1"/>
  <c r="E59" i="92"/>
  <c r="F59" i="92" s="1"/>
  <c r="D75" i="91"/>
  <c r="E53" i="91"/>
  <c r="F53" i="91" s="1"/>
  <c r="E66" i="95"/>
  <c r="F66" i="95" s="1"/>
  <c r="E24" i="94"/>
  <c r="E32" i="94" s="1"/>
  <c r="E10" i="110" s="1"/>
  <c r="K10" i="110" s="1"/>
  <c r="D32" i="94"/>
  <c r="E30" i="94"/>
  <c r="E63" i="92"/>
  <c r="F63" i="92" s="1"/>
  <c r="D75" i="95"/>
  <c r="E54" i="95"/>
  <c r="F54" i="95" s="1"/>
  <c r="E70" i="92"/>
  <c r="F70" i="92" s="1"/>
  <c r="D59" i="93"/>
  <c r="E62" i="91"/>
  <c r="F62" i="91" s="1"/>
  <c r="E25" i="94"/>
  <c r="F25" i="94" s="1"/>
  <c r="D82" i="93"/>
  <c r="E74" i="93"/>
  <c r="F74" i="93" s="1"/>
  <c r="E58" i="91"/>
  <c r="F58" i="91" s="1"/>
  <c r="E59" i="95"/>
  <c r="F59" i="95" s="1"/>
  <c r="D82" i="92"/>
  <c r="E74" i="92"/>
  <c r="F74" i="92" s="1"/>
  <c r="E8" i="92"/>
  <c r="F8" i="92" s="1"/>
  <c r="D79" i="92"/>
  <c r="E58" i="92"/>
  <c r="F58" i="92" s="1"/>
  <c r="E77" i="92"/>
  <c r="E73" i="95"/>
  <c r="E54" i="91"/>
  <c r="E63" i="93"/>
  <c r="F63" i="93" s="1"/>
  <c r="D31" i="94"/>
  <c r="E7" i="94"/>
  <c r="D35" i="94"/>
  <c r="E28" i="94"/>
  <c r="F28" i="94" s="1"/>
  <c r="E62" i="95"/>
  <c r="F62" i="95" s="1"/>
  <c r="E8" i="95"/>
  <c r="F8" i="95" s="1"/>
  <c r="E7" i="93"/>
  <c r="D78" i="93"/>
  <c r="E77" i="93"/>
  <c r="E67" i="92"/>
  <c r="F67" i="92" s="1"/>
  <c r="D79" i="93"/>
  <c r="E58" i="93"/>
  <c r="F58" i="93" s="1"/>
  <c r="E61" i="91"/>
  <c r="F61" i="91" s="1"/>
  <c r="E73" i="91"/>
  <c r="F7" i="91"/>
  <c r="D67" i="95"/>
  <c r="E62" i="93"/>
  <c r="F62" i="93" s="1"/>
  <c r="E57" i="91"/>
  <c r="F57" i="91" s="1"/>
  <c r="D8" i="94"/>
  <c r="D74" i="95"/>
  <c r="E7" i="95"/>
  <c r="E58" i="95"/>
  <c r="F58" i="95" s="1"/>
  <c r="D78" i="92"/>
  <c r="E7" i="92"/>
  <c r="F4" i="93"/>
  <c r="E62" i="92"/>
  <c r="F62" i="92" s="1"/>
  <c r="E66" i="92"/>
  <c r="F66" i="92" s="1"/>
  <c r="D55" i="95"/>
  <c r="D71" i="92"/>
  <c r="D76" i="92" s="1"/>
  <c r="E43" i="9"/>
  <c r="F43" i="9" s="1"/>
  <c r="E47" i="9"/>
  <c r="F47" i="9" s="1"/>
  <c r="D56" i="9"/>
  <c r="E50" i="9"/>
  <c r="F50" i="9" s="1"/>
  <c r="F57" i="9"/>
  <c r="D59" i="9"/>
  <c r="E42" i="9"/>
  <c r="F42" i="9" s="1"/>
  <c r="E46" i="9"/>
  <c r="F46" i="9" s="1"/>
  <c r="E8" i="9"/>
  <c r="F8" i="9" s="1"/>
  <c r="E57" i="9"/>
  <c r="D58" i="9"/>
  <c r="E7" i="9"/>
  <c r="E51" i="9"/>
  <c r="F51" i="9" s="1"/>
  <c r="E55" i="10"/>
  <c r="F55" i="10" s="1"/>
  <c r="E59" i="10"/>
  <c r="F59" i="10" s="1"/>
  <c r="E70" i="10"/>
  <c r="F70" i="10" s="1"/>
  <c r="E66" i="10"/>
  <c r="F66" i="10" s="1"/>
  <c r="E58" i="10"/>
  <c r="F58" i="10" s="1"/>
  <c r="E63" i="10"/>
  <c r="F63" i="10" s="1"/>
  <c r="D80" i="10"/>
  <c r="E54" i="10"/>
  <c r="E8" i="10"/>
  <c r="F8" i="10" s="1"/>
  <c r="E62" i="10"/>
  <c r="F62" i="10" s="1"/>
  <c r="D71" i="10"/>
  <c r="E78" i="10"/>
  <c r="D79" i="10"/>
  <c r="E7" i="10"/>
  <c r="D67" i="10"/>
  <c r="E8" i="11"/>
  <c r="F8" i="11" s="1"/>
  <c r="E50" i="11"/>
  <c r="F50" i="11" s="1"/>
  <c r="E54" i="11"/>
  <c r="F54" i="11" s="1"/>
  <c r="F45" i="11"/>
  <c r="D64" i="11"/>
  <c r="E56" i="11"/>
  <c r="F56" i="11" s="1"/>
  <c r="D60" i="11"/>
  <c r="E7" i="11"/>
  <c r="D58" i="11"/>
  <c r="E75" i="12"/>
  <c r="F75" i="12" s="1"/>
  <c r="E97" i="12"/>
  <c r="D98" i="12"/>
  <c r="E7" i="12"/>
  <c r="E82" i="12"/>
  <c r="F82" i="12" s="1"/>
  <c r="E78" i="12"/>
  <c r="F78" i="12" s="1"/>
  <c r="E74" i="12"/>
  <c r="F74" i="12" s="1"/>
  <c r="F4" i="12"/>
  <c r="E71" i="12"/>
  <c r="F71" i="12" s="1"/>
  <c r="E87" i="12"/>
  <c r="F87" i="12" s="1"/>
  <c r="D102" i="12"/>
  <c r="E94" i="12"/>
  <c r="F94" i="12" s="1"/>
  <c r="E70" i="12"/>
  <c r="F70" i="12" s="1"/>
  <c r="D99" i="12"/>
  <c r="D8" i="12"/>
  <c r="D83" i="12"/>
  <c r="E86" i="12"/>
  <c r="F86" i="12" s="1"/>
  <c r="D79" i="12"/>
  <c r="E63" i="13"/>
  <c r="F63" i="13" s="1"/>
  <c r="D74" i="13"/>
  <c r="E7" i="13"/>
  <c r="D75" i="13"/>
  <c r="E58" i="13"/>
  <c r="F58" i="13" s="1"/>
  <c r="E73" i="13"/>
  <c r="E62" i="13"/>
  <c r="F62" i="13" s="1"/>
  <c r="E67" i="13"/>
  <c r="F67" i="13" s="1"/>
  <c r="D78" i="13"/>
  <c r="E71" i="13"/>
  <c r="F71" i="13" s="1"/>
  <c r="D8" i="13"/>
  <c r="D59" i="13"/>
  <c r="E66" i="13"/>
  <c r="F66" i="13" s="1"/>
  <c r="D8" i="14"/>
  <c r="E7" i="14"/>
  <c r="D54" i="14"/>
  <c r="E53" i="14"/>
  <c r="D58" i="14"/>
  <c r="E51" i="14"/>
  <c r="F51" i="14" s="1"/>
  <c r="F4" i="14"/>
  <c r="E52" i="15"/>
  <c r="F52" i="15" s="1"/>
  <c r="E8" i="15"/>
  <c r="F8" i="15" s="1"/>
  <c r="D70" i="15"/>
  <c r="E63" i="15"/>
  <c r="F63" i="15" s="1"/>
  <c r="D64" i="15"/>
  <c r="E65" i="15"/>
  <c r="D67" i="15"/>
  <c r="E51" i="15"/>
  <c r="F51" i="15" s="1"/>
  <c r="E7" i="15"/>
  <c r="D66" i="15"/>
  <c r="E60" i="15"/>
  <c r="F60" i="15" s="1"/>
  <c r="F4" i="15"/>
  <c r="E59" i="15"/>
  <c r="F59" i="15" s="1"/>
  <c r="E56" i="15"/>
  <c r="F56" i="15" s="1"/>
  <c r="E38" i="16"/>
  <c r="F38" i="16" s="1"/>
  <c r="E8" i="16"/>
  <c r="D51" i="16"/>
  <c r="E42" i="16"/>
  <c r="F42" i="16" s="1"/>
  <c r="E46" i="16"/>
  <c r="F46" i="16" s="1"/>
  <c r="D57" i="16"/>
  <c r="E49" i="16"/>
  <c r="F49" i="16" s="1"/>
  <c r="E52" i="16"/>
  <c r="E45" i="16"/>
  <c r="F45" i="16" s="1"/>
  <c r="F4" i="16"/>
  <c r="E41" i="16"/>
  <c r="F41" i="16" s="1"/>
  <c r="D54" i="16"/>
  <c r="E37" i="16"/>
  <c r="E7" i="16"/>
  <c r="D53" i="16"/>
  <c r="E52" i="17"/>
  <c r="F52" i="17" s="1"/>
  <c r="D8" i="17"/>
  <c r="E7" i="17"/>
  <c r="D64" i="17"/>
  <c r="D65" i="17"/>
  <c r="E51" i="17"/>
  <c r="E65" i="17" s="1"/>
  <c r="E87" i="110" s="1"/>
  <c r="K87" i="110" s="1"/>
  <c r="E63" i="17"/>
  <c r="D68" i="17"/>
  <c r="E61" i="17"/>
  <c r="F61" i="17" s="1"/>
  <c r="E43" i="18"/>
  <c r="D44" i="18"/>
  <c r="E7" i="18"/>
  <c r="D45" i="18"/>
  <c r="E33" i="18"/>
  <c r="E37" i="18"/>
  <c r="F37" i="18" s="1"/>
  <c r="D48" i="18"/>
  <c r="E40" i="18"/>
  <c r="F40" i="18" s="1"/>
  <c r="D42" i="18"/>
  <c r="E8" i="18"/>
  <c r="F8" i="18" s="1"/>
  <c r="E34" i="18"/>
  <c r="F34" i="18" s="1"/>
  <c r="E38" i="18"/>
  <c r="F38" i="18" s="1"/>
  <c r="E8" i="19"/>
  <c r="F8" i="19" s="1"/>
  <c r="E38" i="19"/>
  <c r="F38" i="19" s="1"/>
  <c r="D43" i="19"/>
  <c r="E7" i="19"/>
  <c r="D44" i="19"/>
  <c r="E37" i="19"/>
  <c r="E44" i="19" s="1"/>
  <c r="E85" i="110" s="1"/>
  <c r="K85" i="110" s="1"/>
  <c r="E42" i="19"/>
  <c r="D47" i="19"/>
  <c r="E39" i="19"/>
  <c r="F39" i="19" s="1"/>
  <c r="D41" i="19"/>
  <c r="E36" i="20"/>
  <c r="E32" i="20"/>
  <c r="F32" i="20" s="1"/>
  <c r="D35" i="20"/>
  <c r="E8" i="20"/>
  <c r="F8" i="20" s="1"/>
  <c r="D38" i="20"/>
  <c r="E31" i="20"/>
  <c r="E38" i="20" s="1"/>
  <c r="E84" i="110" s="1"/>
  <c r="K84" i="110" s="1"/>
  <c r="F4" i="20"/>
  <c r="D37" i="20"/>
  <c r="E7" i="20"/>
  <c r="D44" i="21"/>
  <c r="E7" i="21"/>
  <c r="D42" i="21"/>
  <c r="F34" i="21"/>
  <c r="F45" i="21" s="1"/>
  <c r="E8" i="21"/>
  <c r="F8" i="21" s="1"/>
  <c r="E58" i="22"/>
  <c r="F58" i="22" s="1"/>
  <c r="E62" i="22"/>
  <c r="F62" i="22" s="1"/>
  <c r="E8" i="22"/>
  <c r="F8" i="22" s="1"/>
  <c r="E65" i="22"/>
  <c r="F65" i="22" s="1"/>
  <c r="D78" i="22"/>
  <c r="E7" i="22"/>
  <c r="D79" i="22"/>
  <c r="E57" i="22"/>
  <c r="F57" i="22" s="1"/>
  <c r="E70" i="22"/>
  <c r="F70" i="22" s="1"/>
  <c r="D76" i="22"/>
  <c r="E69" i="22"/>
  <c r="F69" i="22" s="1"/>
  <c r="E77" i="22"/>
  <c r="E66" i="22"/>
  <c r="F66" i="22" s="1"/>
  <c r="E61" i="22"/>
  <c r="E8" i="23"/>
  <c r="F8" i="23" s="1"/>
  <c r="D41" i="23"/>
  <c r="E34" i="23"/>
  <c r="F34" i="23" s="1"/>
  <c r="E36" i="23"/>
  <c r="E7" i="23"/>
  <c r="D37" i="23"/>
  <c r="D55" i="24"/>
  <c r="E7" i="24"/>
  <c r="D59" i="24"/>
  <c r="E51" i="24"/>
  <c r="F51" i="24" s="1"/>
  <c r="E54" i="24"/>
  <c r="E46" i="24"/>
  <c r="F46" i="24" s="1"/>
  <c r="E8" i="24"/>
  <c r="F4" i="24"/>
  <c r="E49" i="24"/>
  <c r="F49" i="24" s="1"/>
  <c r="D50" i="24"/>
  <c r="D56" i="24"/>
  <c r="E45" i="24"/>
  <c r="D81" i="25"/>
  <c r="E74" i="25"/>
  <c r="F74" i="25" s="1"/>
  <c r="D77" i="25"/>
  <c r="E7" i="25"/>
  <c r="D79" i="110" s="1"/>
  <c r="J79" i="110" s="1"/>
  <c r="E8" i="25"/>
  <c r="F8" i="25" s="1"/>
  <c r="E8" i="26"/>
  <c r="F8" i="26" s="1"/>
  <c r="D61" i="26"/>
  <c r="E7" i="26"/>
  <c r="D78" i="110" s="1"/>
  <c r="J78" i="110" s="1"/>
  <c r="E42" i="26"/>
  <c r="F42" i="26" s="1"/>
  <c r="D62" i="26"/>
  <c r="E41" i="26"/>
  <c r="E49" i="27"/>
  <c r="F49" i="27" s="1"/>
  <c r="D56" i="27"/>
  <c r="E7" i="27"/>
  <c r="E55" i="27"/>
  <c r="D60" i="27"/>
  <c r="E53" i="27"/>
  <c r="F53" i="27" s="1"/>
  <c r="E45" i="27"/>
  <c r="F45" i="27" s="1"/>
  <c r="E48" i="27"/>
  <c r="F48" i="27" s="1"/>
  <c r="E44" i="27"/>
  <c r="F44" i="27" s="1"/>
  <c r="D57" i="27"/>
  <c r="F55" i="27"/>
  <c r="D8" i="27"/>
  <c r="D54" i="27" s="1"/>
  <c r="E8" i="28"/>
  <c r="F8" i="28" s="1"/>
  <c r="D83" i="28"/>
  <c r="E75" i="28"/>
  <c r="F75" i="28" s="1"/>
  <c r="E74" i="28"/>
  <c r="F74" i="28" s="1"/>
  <c r="D79" i="28"/>
  <c r="E7" i="28"/>
  <c r="E58" i="28"/>
  <c r="F58" i="28" s="1"/>
  <c r="F57" i="28"/>
  <c r="D42" i="29"/>
  <c r="E35" i="29"/>
  <c r="E37" i="29"/>
  <c r="E29" i="29"/>
  <c r="F29" i="29" s="1"/>
  <c r="E8" i="29"/>
  <c r="F8" i="29" s="1"/>
  <c r="F4" i="29"/>
  <c r="D39" i="29"/>
  <c r="E28" i="29"/>
  <c r="E7" i="29"/>
  <c r="D38" i="29"/>
  <c r="E67" i="30"/>
  <c r="E8" i="30"/>
  <c r="F8" i="30" s="1"/>
  <c r="D95" i="30"/>
  <c r="E88" i="30"/>
  <c r="F88" i="30" s="1"/>
  <c r="D91" i="30"/>
  <c r="E7" i="30"/>
  <c r="E76" i="30"/>
  <c r="F76" i="30" s="1"/>
  <c r="D68" i="30"/>
  <c r="E72" i="30"/>
  <c r="F72" i="30" s="1"/>
  <c r="D92" i="30"/>
  <c r="D65" i="31"/>
  <c r="E57" i="31"/>
  <c r="F57" i="31" s="1"/>
  <c r="E60" i="31"/>
  <c r="F4" i="31"/>
  <c r="E8" i="31"/>
  <c r="F8" i="31" s="1"/>
  <c r="E7" i="31"/>
  <c r="D61" i="31"/>
  <c r="E64" i="41"/>
  <c r="F64" i="41" s="1"/>
  <c r="E55" i="41"/>
  <c r="F55" i="41" s="1"/>
  <c r="E7" i="41"/>
  <c r="D75" i="41"/>
  <c r="E67" i="41"/>
  <c r="F67" i="41" s="1"/>
  <c r="E58" i="41"/>
  <c r="F58" i="41" s="1"/>
  <c r="E63" i="41"/>
  <c r="F63" i="41" s="1"/>
  <c r="E54" i="41"/>
  <c r="F54" i="41" s="1"/>
  <c r="D76" i="41"/>
  <c r="E59" i="41"/>
  <c r="F59" i="41" s="1"/>
  <c r="D8" i="41"/>
  <c r="D68" i="41"/>
  <c r="E55" i="33"/>
  <c r="F55" i="33" s="1"/>
  <c r="D80" i="33"/>
  <c r="E7" i="33"/>
  <c r="D71" i="110" s="1"/>
  <c r="J71" i="110" s="1"/>
  <c r="E71" i="33"/>
  <c r="F71" i="33" s="1"/>
  <c r="E67" i="33"/>
  <c r="F67" i="33" s="1"/>
  <c r="E8" i="33"/>
  <c r="F8" i="33" s="1"/>
  <c r="F54" i="33"/>
  <c r="E66" i="33"/>
  <c r="E8" i="34"/>
  <c r="F8" i="34" s="1"/>
  <c r="E69" i="34"/>
  <c r="F69" i="34" s="1"/>
  <c r="D78" i="34"/>
  <c r="D81" i="34"/>
  <c r="E74" i="34"/>
  <c r="F74" i="34" s="1"/>
  <c r="E68" i="34"/>
  <c r="F68" i="34" s="1"/>
  <c r="E57" i="34"/>
  <c r="F57" i="34" s="1"/>
  <c r="D77" i="34"/>
  <c r="E7" i="34"/>
  <c r="D70" i="110" s="1"/>
  <c r="J70" i="110" s="1"/>
  <c r="E8" i="35"/>
  <c r="F8" i="35" s="1"/>
  <c r="E64" i="35"/>
  <c r="F64" i="35" s="1"/>
  <c r="D69" i="35"/>
  <c r="E70" i="35"/>
  <c r="E7" i="35"/>
  <c r="D71" i="35"/>
  <c r="E63" i="35"/>
  <c r="F63" i="35" s="1"/>
  <c r="E52" i="35"/>
  <c r="F52" i="35" s="1"/>
  <c r="D75" i="35"/>
  <c r="E67" i="35"/>
  <c r="F67" i="35" s="1"/>
  <c r="F4" i="35"/>
  <c r="D72" i="35"/>
  <c r="E51" i="35"/>
  <c r="E56" i="35"/>
  <c r="F56" i="35" s="1"/>
  <c r="E46" i="36"/>
  <c r="F46" i="36" s="1"/>
  <c r="D65" i="36"/>
  <c r="E54" i="36"/>
  <c r="F54" i="36" s="1"/>
  <c r="E8" i="36"/>
  <c r="F8" i="36" s="1"/>
  <c r="F63" i="36"/>
  <c r="D68" i="36"/>
  <c r="E61" i="36"/>
  <c r="F61" i="36" s="1"/>
  <c r="E7" i="36"/>
  <c r="D64" i="36"/>
  <c r="D47" i="36"/>
  <c r="D55" i="36"/>
  <c r="E83" i="37"/>
  <c r="F83" i="37" s="1"/>
  <c r="E63" i="37"/>
  <c r="F63" i="37" s="1"/>
  <c r="E79" i="37"/>
  <c r="F79" i="37" s="1"/>
  <c r="D99" i="37"/>
  <c r="E92" i="37"/>
  <c r="F92" i="37" s="1"/>
  <c r="E67" i="37"/>
  <c r="F67" i="37" s="1"/>
  <c r="E82" i="37"/>
  <c r="F82" i="37" s="1"/>
  <c r="E59" i="37"/>
  <c r="F59" i="37" s="1"/>
  <c r="E78" i="37"/>
  <c r="F78" i="37" s="1"/>
  <c r="E75" i="37"/>
  <c r="F75" i="37" s="1"/>
  <c r="E8" i="37"/>
  <c r="F8" i="37" s="1"/>
  <c r="E62" i="37"/>
  <c r="F62" i="37" s="1"/>
  <c r="E74" i="37"/>
  <c r="F74" i="37" s="1"/>
  <c r="E66" i="37"/>
  <c r="F66" i="37" s="1"/>
  <c r="D96" i="37"/>
  <c r="E58" i="37"/>
  <c r="E7" i="37"/>
  <c r="D95" i="37"/>
  <c r="D93" i="37"/>
  <c r="E42" i="38"/>
  <c r="F42" i="38" s="1"/>
  <c r="E8" i="38"/>
  <c r="F8" i="38" s="1"/>
  <c r="E48" i="38"/>
  <c r="E41" i="38"/>
  <c r="E50" i="38" s="1"/>
  <c r="E66" i="110" s="1"/>
  <c r="K66" i="110" s="1"/>
  <c r="D50" i="38"/>
  <c r="E7" i="38"/>
  <c r="D49" i="38"/>
  <c r="D53" i="38"/>
  <c r="E45" i="38"/>
  <c r="F45" i="38" s="1"/>
  <c r="D47" i="38"/>
  <c r="E8" i="39"/>
  <c r="F8" i="39" s="1"/>
  <c r="D49" i="39"/>
  <c r="E50" i="39"/>
  <c r="E44" i="39"/>
  <c r="F44" i="39" s="1"/>
  <c r="D51" i="39"/>
  <c r="E7" i="39"/>
  <c r="E36" i="39"/>
  <c r="F36" i="39" s="1"/>
  <c r="E40" i="39"/>
  <c r="F40" i="39" s="1"/>
  <c r="E43" i="39"/>
  <c r="F43" i="39" s="1"/>
  <c r="D52" i="39"/>
  <c r="E35" i="39"/>
  <c r="E39" i="39"/>
  <c r="F39" i="39" s="1"/>
  <c r="F4" i="39"/>
  <c r="E8" i="40"/>
  <c r="F8" i="40" s="1"/>
  <c r="E69" i="40"/>
  <c r="F69" i="40" s="1"/>
  <c r="E56" i="40"/>
  <c r="F56" i="40" s="1"/>
  <c r="D76" i="40"/>
  <c r="E60" i="40"/>
  <c r="F60" i="40" s="1"/>
  <c r="E65" i="40"/>
  <c r="F65" i="40" s="1"/>
  <c r="E74" i="40"/>
  <c r="E64" i="40"/>
  <c r="F64" i="40" s="1"/>
  <c r="D75" i="40"/>
  <c r="E7" i="40"/>
  <c r="D57" i="40"/>
  <c r="D61" i="40"/>
  <c r="E68" i="40"/>
  <c r="F68" i="40" s="1"/>
  <c r="E7" i="32"/>
  <c r="D62" i="32"/>
  <c r="E61" i="32"/>
  <c r="D63" i="32"/>
  <c r="E52" i="32"/>
  <c r="F52" i="32" s="1"/>
  <c r="F4" i="32"/>
  <c r="E57" i="32"/>
  <c r="F57" i="32" s="1"/>
  <c r="D8" i="32"/>
  <c r="D53" i="32"/>
  <c r="E56" i="32"/>
  <c r="F56" i="32" s="1"/>
  <c r="E54" i="42"/>
  <c r="F54" i="42" s="1"/>
  <c r="D66" i="42"/>
  <c r="E59" i="42"/>
  <c r="F59" i="42" s="1"/>
  <c r="E46" i="42"/>
  <c r="F46" i="42" s="1"/>
  <c r="E49" i="42"/>
  <c r="F49" i="42" s="1"/>
  <c r="E50" i="42"/>
  <c r="F50" i="42" s="1"/>
  <c r="E61" i="42"/>
  <c r="E53" i="42"/>
  <c r="F53" i="42" s="1"/>
  <c r="E8" i="42"/>
  <c r="F8" i="42" s="1"/>
  <c r="E45" i="42"/>
  <c r="D63" i="42"/>
  <c r="F4" i="42"/>
  <c r="D62" i="42"/>
  <c r="E7" i="42"/>
  <c r="D60" i="42"/>
  <c r="E8" i="43"/>
  <c r="F8" i="43" s="1"/>
  <c r="E29" i="43"/>
  <c r="D31" i="43"/>
  <c r="E24" i="43"/>
  <c r="E31" i="43" s="1"/>
  <c r="E61" i="110" s="1"/>
  <c r="K61" i="110" s="1"/>
  <c r="D25" i="43"/>
  <c r="D30" i="43"/>
  <c r="E7" i="43"/>
  <c r="D34" i="43"/>
  <c r="E27" i="43"/>
  <c r="F27" i="43" s="1"/>
  <c r="E70" i="44"/>
  <c r="F70" i="44" s="1"/>
  <c r="D79" i="44"/>
  <c r="D85" i="44"/>
  <c r="E78" i="44"/>
  <c r="F78" i="44" s="1"/>
  <c r="E7" i="44"/>
  <c r="D81" i="44"/>
  <c r="E61" i="44"/>
  <c r="F61" i="44" s="1"/>
  <c r="E57" i="44"/>
  <c r="F57" i="44" s="1"/>
  <c r="D82" i="44"/>
  <c r="E73" i="44"/>
  <c r="F73" i="44" s="1"/>
  <c r="E66" i="44"/>
  <c r="F66" i="44" s="1"/>
  <c r="E80" i="44"/>
  <c r="E69" i="44"/>
  <c r="F69" i="44" s="1"/>
  <c r="E8" i="44"/>
  <c r="F8" i="44" s="1"/>
  <c r="F4" i="44"/>
  <c r="E62" i="44"/>
  <c r="F62" i="44" s="1"/>
  <c r="E58" i="44"/>
  <c r="F58" i="44" s="1"/>
  <c r="E74" i="44"/>
  <c r="E58" i="45"/>
  <c r="E8" i="45"/>
  <c r="F8" i="45" s="1"/>
  <c r="F4" i="45"/>
  <c r="E55" i="45"/>
  <c r="F55" i="45" s="1"/>
  <c r="E7" i="45"/>
  <c r="D59" i="45"/>
  <c r="E47" i="45"/>
  <c r="F47" i="45" s="1"/>
  <c r="E51" i="45"/>
  <c r="D57" i="45"/>
  <c r="E46" i="45"/>
  <c r="F46" i="45" s="1"/>
  <c r="D60" i="45"/>
  <c r="E50" i="45"/>
  <c r="F50" i="45" s="1"/>
  <c r="E8" i="46"/>
  <c r="F8" i="46" s="1"/>
  <c r="E73" i="46"/>
  <c r="F73" i="46" s="1"/>
  <c r="E83" i="46"/>
  <c r="E61" i="46"/>
  <c r="F61" i="46" s="1"/>
  <c r="E68" i="46"/>
  <c r="F68" i="46" s="1"/>
  <c r="E60" i="46"/>
  <c r="F60" i="46" s="1"/>
  <c r="D85" i="46"/>
  <c r="D84" i="46"/>
  <c r="E7" i="46"/>
  <c r="F83" i="46"/>
  <c r="E77" i="46"/>
  <c r="F77" i="46" s="1"/>
  <c r="E65" i="46"/>
  <c r="F65" i="46" s="1"/>
  <c r="E72" i="46"/>
  <c r="F72" i="46" s="1"/>
  <c r="D88" i="46"/>
  <c r="E81" i="46"/>
  <c r="F81" i="46" s="1"/>
  <c r="E76" i="46"/>
  <c r="F76" i="46" s="1"/>
  <c r="E64" i="46"/>
  <c r="F64" i="46" s="1"/>
  <c r="D69" i="46"/>
  <c r="E64" i="47"/>
  <c r="F64" i="47" s="1"/>
  <c r="E60" i="47"/>
  <c r="F60" i="47" s="1"/>
  <c r="D70" i="47"/>
  <c r="E71" i="47"/>
  <c r="E8" i="47"/>
  <c r="F8" i="47" s="1"/>
  <c r="E56" i="47"/>
  <c r="F56" i="47" s="1"/>
  <c r="F4" i="47"/>
  <c r="D72" i="47"/>
  <c r="E7" i="47"/>
  <c r="E55" i="47"/>
  <c r="F55" i="47" s="1"/>
  <c r="D73" i="47"/>
  <c r="D76" i="47"/>
  <c r="E69" i="47"/>
  <c r="F69" i="47" s="1"/>
  <c r="E63" i="47"/>
  <c r="F63" i="47" s="1"/>
  <c r="E59" i="47"/>
  <c r="F59" i="47" s="1"/>
  <c r="F58" i="48"/>
  <c r="E8" i="48"/>
  <c r="F8" i="48" s="1"/>
  <c r="E48" i="48"/>
  <c r="F48" i="48" s="1"/>
  <c r="D59" i="48"/>
  <c r="E7" i="48"/>
  <c r="D63" i="48"/>
  <c r="E56" i="48"/>
  <c r="F56" i="48" s="1"/>
  <c r="E58" i="48"/>
  <c r="E52" i="48"/>
  <c r="F52" i="48" s="1"/>
  <c r="E47" i="48"/>
  <c r="F47" i="48" s="1"/>
  <c r="D60" i="48"/>
  <c r="D57" i="48"/>
  <c r="E51" i="48"/>
  <c r="E8" i="49"/>
  <c r="F8" i="49" s="1"/>
  <c r="E64" i="49"/>
  <c r="F64" i="49" s="1"/>
  <c r="D78" i="49"/>
  <c r="E7" i="49"/>
  <c r="E33" i="50"/>
  <c r="F33" i="50" s="1"/>
  <c r="E37" i="50"/>
  <c r="F37" i="50" s="1"/>
  <c r="E42" i="50"/>
  <c r="E8" i="50"/>
  <c r="F8" i="50" s="1"/>
  <c r="D44" i="50"/>
  <c r="E32" i="50"/>
  <c r="E44" i="50" s="1"/>
  <c r="E54" i="110" s="1"/>
  <c r="K54" i="110" s="1"/>
  <c r="E7" i="50"/>
  <c r="D43" i="50"/>
  <c r="D41" i="50"/>
  <c r="E68" i="51"/>
  <c r="F68" i="51" s="1"/>
  <c r="E52" i="51"/>
  <c r="F52" i="51" s="1"/>
  <c r="D81" i="51"/>
  <c r="E7" i="51"/>
  <c r="D53" i="110" s="1"/>
  <c r="J53" i="110" s="1"/>
  <c r="E56" i="51"/>
  <c r="F56" i="51" s="1"/>
  <c r="E72" i="51"/>
  <c r="F72" i="51" s="1"/>
  <c r="E51" i="51"/>
  <c r="D82" i="51"/>
  <c r="E67" i="51"/>
  <c r="F67" i="51" s="1"/>
  <c r="E60" i="51"/>
  <c r="F60" i="51" s="1"/>
  <c r="D85" i="51"/>
  <c r="E78" i="51"/>
  <c r="F78" i="51" s="1"/>
  <c r="E8" i="51"/>
  <c r="F8" i="51" s="1"/>
  <c r="E73" i="52"/>
  <c r="F73" i="52" s="1"/>
  <c r="E77" i="52"/>
  <c r="F77" i="52" s="1"/>
  <c r="E93" i="52"/>
  <c r="F93" i="52" s="1"/>
  <c r="E69" i="52"/>
  <c r="F69" i="52" s="1"/>
  <c r="E61" i="52"/>
  <c r="F61" i="52" s="1"/>
  <c r="E57" i="52"/>
  <c r="F57" i="52" s="1"/>
  <c r="E80" i="52"/>
  <c r="F80" i="52" s="1"/>
  <c r="E84" i="52"/>
  <c r="F84" i="52" s="1"/>
  <c r="E106" i="52"/>
  <c r="E68" i="52"/>
  <c r="F68" i="52" s="1"/>
  <c r="E60" i="52"/>
  <c r="F60" i="52" s="1"/>
  <c r="E56" i="52"/>
  <c r="F56" i="52" s="1"/>
  <c r="E76" i="52"/>
  <c r="F76" i="52" s="1"/>
  <c r="E72" i="52"/>
  <c r="F72" i="52" s="1"/>
  <c r="D111" i="52"/>
  <c r="E104" i="52"/>
  <c r="F104" i="52" s="1"/>
  <c r="E89" i="52"/>
  <c r="F89" i="52" s="1"/>
  <c r="E92" i="52"/>
  <c r="F92" i="52" s="1"/>
  <c r="E53" i="52"/>
  <c r="F53" i="52" s="1"/>
  <c r="E88" i="52"/>
  <c r="F88" i="52" s="1"/>
  <c r="E65" i="52"/>
  <c r="F65" i="52" s="1"/>
  <c r="E9" i="52"/>
  <c r="E81" i="52"/>
  <c r="F81" i="52" s="1"/>
  <c r="E85" i="52"/>
  <c r="F85" i="52" s="1"/>
  <c r="D105" i="52"/>
  <c r="D108" i="52"/>
  <c r="E52" i="52"/>
  <c r="E64" i="52"/>
  <c r="F64" i="52" s="1"/>
  <c r="E8" i="53"/>
  <c r="F8" i="53" s="1"/>
  <c r="E89" i="53"/>
  <c r="F89" i="53" s="1"/>
  <c r="E77" i="53"/>
  <c r="F77" i="53" s="1"/>
  <c r="D99" i="53"/>
  <c r="E68" i="53"/>
  <c r="E84" i="53"/>
  <c r="F84" i="53" s="1"/>
  <c r="E81" i="53"/>
  <c r="F81" i="53" s="1"/>
  <c r="D98" i="53"/>
  <c r="E7" i="53"/>
  <c r="E76" i="53"/>
  <c r="F76" i="53" s="1"/>
  <c r="E88" i="53"/>
  <c r="F88" i="53" s="1"/>
  <c r="E85" i="53"/>
  <c r="F85" i="53" s="1"/>
  <c r="E97" i="53"/>
  <c r="E72" i="53"/>
  <c r="F72" i="53" s="1"/>
  <c r="D69" i="53"/>
  <c r="D102" i="53"/>
  <c r="E94" i="53"/>
  <c r="F94" i="53" s="1"/>
  <c r="E80" i="53"/>
  <c r="F80" i="53" s="1"/>
  <c r="D73" i="53"/>
  <c r="D53" i="54"/>
  <c r="E41" i="54"/>
  <c r="D42" i="54"/>
  <c r="D52" i="54"/>
  <c r="E7" i="54"/>
  <c r="E51" i="54"/>
  <c r="D56" i="54"/>
  <c r="E49" i="54"/>
  <c r="F49" i="54" s="1"/>
  <c r="E46" i="54"/>
  <c r="F46" i="54" s="1"/>
  <c r="E45" i="54"/>
  <c r="F45" i="54" s="1"/>
  <c r="E8" i="54"/>
  <c r="E86" i="55"/>
  <c r="F86" i="55" s="1"/>
  <c r="E8" i="55"/>
  <c r="F8" i="55" s="1"/>
  <c r="E101" i="55"/>
  <c r="F101" i="55" s="1"/>
  <c r="D131" i="55"/>
  <c r="E85" i="55"/>
  <c r="E90" i="55"/>
  <c r="F90" i="55" s="1"/>
  <c r="D130" i="55"/>
  <c r="E7" i="55"/>
  <c r="D49" i="110" s="1"/>
  <c r="J49" i="110" s="1"/>
  <c r="E118" i="55"/>
  <c r="F118" i="55" s="1"/>
  <c r="E110" i="55"/>
  <c r="F110" i="55" s="1"/>
  <c r="E102" i="55"/>
  <c r="F102" i="55" s="1"/>
  <c r="E106" i="55"/>
  <c r="F106" i="55" s="1"/>
  <c r="E117" i="55"/>
  <c r="F117" i="55" s="1"/>
  <c r="E94" i="55"/>
  <c r="F94" i="55" s="1"/>
  <c r="E8" i="56"/>
  <c r="F8" i="56" s="1"/>
  <c r="E72" i="56"/>
  <c r="F72" i="56" s="1"/>
  <c r="E116" i="56"/>
  <c r="F116" i="56" s="1"/>
  <c r="E64" i="56"/>
  <c r="F64" i="56" s="1"/>
  <c r="E96" i="56"/>
  <c r="F96" i="56" s="1"/>
  <c r="D156" i="56"/>
  <c r="E149" i="56"/>
  <c r="F149" i="56" s="1"/>
  <c r="E92" i="56"/>
  <c r="F92" i="56" s="1"/>
  <c r="E68" i="56"/>
  <c r="F68" i="56" s="1"/>
  <c r="E75" i="56"/>
  <c r="F75" i="56" s="1"/>
  <c r="E80" i="56"/>
  <c r="F80" i="56" s="1"/>
  <c r="E104" i="56"/>
  <c r="F104" i="56" s="1"/>
  <c r="E151" i="56"/>
  <c r="E91" i="56"/>
  <c r="F91" i="56" s="1"/>
  <c r="E67" i="56"/>
  <c r="F67" i="56" s="1"/>
  <c r="E107" i="56"/>
  <c r="F107" i="56" s="1"/>
  <c r="E83" i="56"/>
  <c r="F83" i="56" s="1"/>
  <c r="D76" i="56"/>
  <c r="D150" i="56" s="1"/>
  <c r="E79" i="56"/>
  <c r="F79" i="56" s="1"/>
  <c r="E123" i="56"/>
  <c r="F123" i="56" s="1"/>
  <c r="F4" i="56"/>
  <c r="E119" i="56"/>
  <c r="F119" i="56" s="1"/>
  <c r="E71" i="56"/>
  <c r="F71" i="56" s="1"/>
  <c r="E108" i="56"/>
  <c r="F108" i="56" s="1"/>
  <c r="E7" i="56"/>
  <c r="D152" i="56"/>
  <c r="E115" i="56"/>
  <c r="F115" i="56" s="1"/>
  <c r="E100" i="56"/>
  <c r="F100" i="56" s="1"/>
  <c r="E84" i="56"/>
  <c r="F84" i="56" s="1"/>
  <c r="E120" i="56"/>
  <c r="F120" i="56" s="1"/>
  <c r="D153" i="56"/>
  <c r="E63" i="56"/>
  <c r="E124" i="56"/>
  <c r="F124" i="56" s="1"/>
  <c r="E103" i="56"/>
  <c r="F103" i="56" s="1"/>
  <c r="E95" i="56"/>
  <c r="F95" i="56" s="1"/>
  <c r="E8" i="57"/>
  <c r="F8" i="57" s="1"/>
  <c r="D66" i="57"/>
  <c r="E59" i="57"/>
  <c r="F59" i="57" s="1"/>
  <c r="D62" i="57"/>
  <c r="E7" i="57"/>
  <c r="D60" i="57"/>
  <c r="E77" i="58"/>
  <c r="F77" i="58" s="1"/>
  <c r="E97" i="58"/>
  <c r="F97" i="58" s="1"/>
  <c r="E93" i="58"/>
  <c r="F93" i="58" s="1"/>
  <c r="E8" i="58"/>
  <c r="F8" i="58" s="1"/>
  <c r="D105" i="58"/>
  <c r="E81" i="58"/>
  <c r="F81" i="58" s="1"/>
  <c r="E85" i="58"/>
  <c r="F85" i="58" s="1"/>
  <c r="D107" i="58"/>
  <c r="E7" i="58"/>
  <c r="E84" i="58"/>
  <c r="F84" i="58" s="1"/>
  <c r="E106" i="58"/>
  <c r="D108" i="58"/>
  <c r="E76" i="58"/>
  <c r="F76" i="58" s="1"/>
  <c r="E80" i="58"/>
  <c r="F80" i="58" s="1"/>
  <c r="E89" i="58"/>
  <c r="F89" i="58" s="1"/>
  <c r="E92" i="58"/>
  <c r="F92" i="58" s="1"/>
  <c r="E96" i="58"/>
  <c r="F96" i="58" s="1"/>
  <c r="D111" i="58"/>
  <c r="E104" i="58"/>
  <c r="F104" i="58" s="1"/>
  <c r="E88" i="58"/>
  <c r="F88" i="58" s="1"/>
  <c r="E50" i="59"/>
  <c r="F50" i="59" s="1"/>
  <c r="E68" i="59"/>
  <c r="E57" i="59"/>
  <c r="F57" i="59" s="1"/>
  <c r="D69" i="59"/>
  <c r="E7" i="59"/>
  <c r="D70" i="59"/>
  <c r="E49" i="59"/>
  <c r="D73" i="59"/>
  <c r="E66" i="59"/>
  <c r="F66" i="59" s="1"/>
  <c r="E54" i="59"/>
  <c r="F54" i="59" s="1"/>
  <c r="E53" i="59"/>
  <c r="F53" i="59" s="1"/>
  <c r="D58" i="59"/>
  <c r="D8" i="59"/>
  <c r="E55" i="60"/>
  <c r="F55" i="60" s="1"/>
  <c r="E47" i="60"/>
  <c r="F47" i="60" s="1"/>
  <c r="E62" i="60"/>
  <c r="F62" i="60" s="1"/>
  <c r="E50" i="60"/>
  <c r="F50" i="60" s="1"/>
  <c r="E66" i="60"/>
  <c r="F66" i="60" s="1"/>
  <c r="E59" i="60"/>
  <c r="F59" i="60" s="1"/>
  <c r="E8" i="60"/>
  <c r="F8" i="60" s="1"/>
  <c r="E58" i="60"/>
  <c r="F58" i="60" s="1"/>
  <c r="D81" i="60"/>
  <c r="E7" i="60"/>
  <c r="E80" i="60"/>
  <c r="D82" i="60"/>
  <c r="E46" i="60"/>
  <c r="D85" i="60"/>
  <c r="E78" i="60"/>
  <c r="F78" i="60" s="1"/>
  <c r="D63" i="60"/>
  <c r="D51" i="60"/>
  <c r="D67" i="60"/>
  <c r="E54" i="60"/>
  <c r="F54" i="60" s="1"/>
  <c r="D56" i="61"/>
  <c r="E49" i="61"/>
  <c r="F49" i="61" s="1"/>
  <c r="D52" i="61"/>
  <c r="E7" i="61"/>
  <c r="D43" i="110" s="1"/>
  <c r="J43" i="110" s="1"/>
  <c r="D50" i="61"/>
  <c r="E8" i="61"/>
  <c r="F8" i="61" s="1"/>
  <c r="F46" i="61"/>
  <c r="F53" i="61" s="1"/>
  <c r="E50" i="62"/>
  <c r="F50" i="62" s="1"/>
  <c r="D59" i="62"/>
  <c r="E52" i="62"/>
  <c r="F52" i="62" s="1"/>
  <c r="E46" i="62"/>
  <c r="F46" i="62" s="1"/>
  <c r="E8" i="62"/>
  <c r="F8" i="62" s="1"/>
  <c r="E54" i="62"/>
  <c r="D56" i="62"/>
  <c r="E45" i="62"/>
  <c r="E7" i="62"/>
  <c r="D55" i="62"/>
  <c r="D61" i="63"/>
  <c r="E7" i="63"/>
  <c r="D8" i="63"/>
  <c r="E8" i="64"/>
  <c r="F8" i="64" s="1"/>
  <c r="D77" i="64"/>
  <c r="E69" i="64"/>
  <c r="F69" i="64" s="1"/>
  <c r="D73" i="64"/>
  <c r="E7" i="64"/>
  <c r="D40" i="110" s="1"/>
  <c r="J40" i="110" s="1"/>
  <c r="F58" i="64"/>
  <c r="E67" i="64"/>
  <c r="F67" i="64" s="1"/>
  <c r="E52" i="65"/>
  <c r="F52" i="65" s="1"/>
  <c r="E8" i="65"/>
  <c r="F8" i="65" s="1"/>
  <c r="E60" i="65"/>
  <c r="F60" i="65" s="1"/>
  <c r="E63" i="65"/>
  <c r="F63" i="65" s="1"/>
  <c r="E56" i="65"/>
  <c r="F56" i="65" s="1"/>
  <c r="E55" i="65"/>
  <c r="F55" i="65" s="1"/>
  <c r="D72" i="65"/>
  <c r="E51" i="65"/>
  <c r="F51" i="65" s="1"/>
  <c r="E70" i="65"/>
  <c r="E7" i="65"/>
  <c r="D71" i="65"/>
  <c r="D64" i="65"/>
  <c r="D69" i="65" s="1"/>
  <c r="E59" i="65"/>
  <c r="F59" i="65" s="1"/>
  <c r="E54" i="66"/>
  <c r="F54" i="66" s="1"/>
  <c r="E8" i="66"/>
  <c r="F8" i="66" s="1"/>
  <c r="E62" i="66"/>
  <c r="D63" i="66"/>
  <c r="E7" i="66"/>
  <c r="D64" i="66"/>
  <c r="E53" i="66"/>
  <c r="E64" i="66" s="1"/>
  <c r="E38" i="110" s="1"/>
  <c r="K38" i="110" s="1"/>
  <c r="D61" i="66"/>
  <c r="D67" i="66"/>
  <c r="E60" i="66"/>
  <c r="F60" i="66" s="1"/>
  <c r="E52" i="67"/>
  <c r="F52" i="67" s="1"/>
  <c r="E55" i="67"/>
  <c r="F55" i="67" s="1"/>
  <c r="E47" i="67"/>
  <c r="D71" i="67"/>
  <c r="E63" i="67"/>
  <c r="F63" i="67" s="1"/>
  <c r="E8" i="67"/>
  <c r="F8" i="67" s="1"/>
  <c r="E60" i="67"/>
  <c r="F60" i="67" s="1"/>
  <c r="D70" i="67"/>
  <c r="E7" i="67"/>
  <c r="E59" i="67"/>
  <c r="F59" i="67" s="1"/>
  <c r="E69" i="67"/>
  <c r="E56" i="67"/>
  <c r="F56" i="67" s="1"/>
  <c r="D74" i="67"/>
  <c r="E67" i="67"/>
  <c r="F67" i="67" s="1"/>
  <c r="E48" i="67"/>
  <c r="F48" i="67" s="1"/>
  <c r="E64" i="67"/>
  <c r="F64" i="67" s="1"/>
  <c r="D68" i="67"/>
  <c r="E51" i="67"/>
  <c r="F51" i="67" s="1"/>
  <c r="E67" i="68"/>
  <c r="F67" i="68" s="1"/>
  <c r="E79" i="68"/>
  <c r="F79" i="68" s="1"/>
  <c r="E83" i="68"/>
  <c r="F83" i="68" s="1"/>
  <c r="E86" i="68"/>
  <c r="F86" i="68" s="1"/>
  <c r="E98" i="68"/>
  <c r="E74" i="68"/>
  <c r="F74" i="68" s="1"/>
  <c r="E7" i="68"/>
  <c r="D99" i="68"/>
  <c r="E70" i="68"/>
  <c r="F70" i="68" s="1"/>
  <c r="E91" i="68"/>
  <c r="F91" i="68" s="1"/>
  <c r="E78" i="68"/>
  <c r="F78" i="68" s="1"/>
  <c r="E66" i="68"/>
  <c r="D100" i="68"/>
  <c r="E90" i="68"/>
  <c r="F90" i="68" s="1"/>
  <c r="E87" i="68"/>
  <c r="F87" i="68" s="1"/>
  <c r="E82" i="68"/>
  <c r="F82" i="68" s="1"/>
  <c r="D97" i="68"/>
  <c r="E75" i="68"/>
  <c r="F75" i="68" s="1"/>
  <c r="E8" i="68"/>
  <c r="F8" i="68" s="1"/>
  <c r="E71" i="68"/>
  <c r="F71" i="68" s="1"/>
  <c r="E72" i="69"/>
  <c r="F72" i="69" s="1"/>
  <c r="E71" i="69"/>
  <c r="E60" i="69"/>
  <c r="F60" i="69" s="1"/>
  <c r="D90" i="69"/>
  <c r="E7" i="69"/>
  <c r="D35" i="110" s="1"/>
  <c r="J35" i="110" s="1"/>
  <c r="E8" i="69"/>
  <c r="F8" i="69" s="1"/>
  <c r="E64" i="69"/>
  <c r="F64" i="69" s="1"/>
  <c r="E8" i="70"/>
  <c r="F8" i="70" s="1"/>
  <c r="E70" i="70"/>
  <c r="F70" i="70" s="1"/>
  <c r="E78" i="70"/>
  <c r="E61" i="70"/>
  <c r="F61" i="70" s="1"/>
  <c r="E65" i="70"/>
  <c r="F65" i="70" s="1"/>
  <c r="E7" i="70"/>
  <c r="D79" i="70"/>
  <c r="E69" i="70"/>
  <c r="F69" i="70" s="1"/>
  <c r="E58" i="70"/>
  <c r="F58" i="70" s="1"/>
  <c r="E57" i="70"/>
  <c r="F57" i="70" s="1"/>
  <c r="D80" i="70"/>
  <c r="D77" i="70"/>
  <c r="E62" i="70"/>
  <c r="F62" i="70" s="1"/>
  <c r="E66" i="70"/>
  <c r="F66" i="70" s="1"/>
  <c r="E87" i="81"/>
  <c r="F87" i="81" s="1"/>
  <c r="E75" i="81"/>
  <c r="F75" i="81" s="1"/>
  <c r="E79" i="81"/>
  <c r="F79" i="81" s="1"/>
  <c r="E91" i="81"/>
  <c r="F91" i="81" s="1"/>
  <c r="E67" i="81"/>
  <c r="F67" i="81" s="1"/>
  <c r="E82" i="81"/>
  <c r="F82" i="81" s="1"/>
  <c r="E71" i="81"/>
  <c r="F71" i="81" s="1"/>
  <c r="E83" i="81"/>
  <c r="F83" i="81" s="1"/>
  <c r="D101" i="81"/>
  <c r="E7" i="81"/>
  <c r="D102" i="81"/>
  <c r="E66" i="81"/>
  <c r="F66" i="81" s="1"/>
  <c r="E100" i="81"/>
  <c r="E70" i="81"/>
  <c r="F70" i="81" s="1"/>
  <c r="E86" i="81"/>
  <c r="F86" i="81" s="1"/>
  <c r="E74" i="81"/>
  <c r="F74" i="81" s="1"/>
  <c r="E90" i="81"/>
  <c r="F90" i="81" s="1"/>
  <c r="E78" i="81"/>
  <c r="F78" i="81" s="1"/>
  <c r="D8" i="81"/>
  <c r="E8" i="82"/>
  <c r="F8" i="82" s="1"/>
  <c r="E65" i="82"/>
  <c r="F65" i="82" s="1"/>
  <c r="E53" i="82"/>
  <c r="F53" i="82" s="1"/>
  <c r="E60" i="82"/>
  <c r="F60" i="82" s="1"/>
  <c r="D78" i="82"/>
  <c r="E71" i="82"/>
  <c r="F71" i="82" s="1"/>
  <c r="E52" i="82"/>
  <c r="D75" i="82"/>
  <c r="F73" i="82"/>
  <c r="D74" i="82"/>
  <c r="E7" i="82"/>
  <c r="D22" i="110" s="1"/>
  <c r="J22" i="110" s="1"/>
  <c r="D72" i="82"/>
  <c r="E61" i="82"/>
  <c r="F61" i="82" s="1"/>
  <c r="E67" i="83"/>
  <c r="E89" i="83" s="1"/>
  <c r="E21" i="110" s="1"/>
  <c r="K21" i="110" s="1"/>
  <c r="D92" i="83"/>
  <c r="E85" i="83"/>
  <c r="F85" i="83" s="1"/>
  <c r="F55" i="83"/>
  <c r="E56" i="83"/>
  <c r="F56" i="83" s="1"/>
  <c r="E8" i="83"/>
  <c r="F8" i="83" s="1"/>
  <c r="E68" i="83"/>
  <c r="F68" i="83" s="1"/>
  <c r="D88" i="83"/>
  <c r="E7" i="83"/>
  <c r="E78" i="84"/>
  <c r="F78" i="84" s="1"/>
  <c r="E74" i="84"/>
  <c r="F74" i="84" s="1"/>
  <c r="D90" i="84"/>
  <c r="E83" i="84"/>
  <c r="F83" i="84" s="1"/>
  <c r="E85" i="84"/>
  <c r="E69" i="84"/>
  <c r="F69" i="84" s="1"/>
  <c r="F4" i="84"/>
  <c r="D87" i="84"/>
  <c r="E65" i="84"/>
  <c r="F65" i="84" s="1"/>
  <c r="E8" i="84"/>
  <c r="E77" i="84"/>
  <c r="F77" i="84" s="1"/>
  <c r="E73" i="84"/>
  <c r="F73" i="84" s="1"/>
  <c r="D84" i="84"/>
  <c r="E70" i="84"/>
  <c r="F70" i="84" s="1"/>
  <c r="E66" i="84"/>
  <c r="F66" i="84" s="1"/>
  <c r="E7" i="85"/>
  <c r="D55" i="85"/>
  <c r="D8" i="85"/>
  <c r="E61" i="86"/>
  <c r="F61" i="86" s="1"/>
  <c r="F74" i="86"/>
  <c r="E68" i="86"/>
  <c r="F68" i="86" s="1"/>
  <c r="E7" i="86"/>
  <c r="D75" i="86"/>
  <c r="E65" i="86"/>
  <c r="F65" i="86" s="1"/>
  <c r="D76" i="86"/>
  <c r="E60" i="86"/>
  <c r="E69" i="86"/>
  <c r="F69" i="86" s="1"/>
  <c r="E64" i="86"/>
  <c r="F64" i="86" s="1"/>
  <c r="E74" i="86"/>
  <c r="D8" i="86"/>
  <c r="D73" i="86" s="1"/>
  <c r="D65" i="87"/>
  <c r="E7" i="87"/>
  <c r="D63" i="87"/>
  <c r="E56" i="87"/>
  <c r="F56" i="87" s="1"/>
  <c r="F64" i="87"/>
  <c r="E8" i="87"/>
  <c r="F8" i="87" s="1"/>
  <c r="E57" i="87"/>
  <c r="F57" i="87" s="1"/>
  <c r="E53" i="87"/>
  <c r="F53" i="87" s="1"/>
  <c r="E52" i="87"/>
  <c r="F52" i="87" s="1"/>
  <c r="D69" i="87"/>
  <c r="E62" i="87"/>
  <c r="F62" i="87" s="1"/>
  <c r="E8" i="88"/>
  <c r="F8" i="88" s="1"/>
  <c r="E44" i="88"/>
  <c r="F44" i="88" s="1"/>
  <c r="F51" i="88"/>
  <c r="E7" i="88"/>
  <c r="D52" i="88"/>
  <c r="E51" i="88"/>
  <c r="D53" i="88"/>
  <c r="E43" i="88"/>
  <c r="E53" i="88" s="1"/>
  <c r="E16" i="110" s="1"/>
  <c r="K16" i="110" s="1"/>
  <c r="D50" i="88"/>
  <c r="E63" i="89"/>
  <c r="F63" i="89" s="1"/>
  <c r="E8" i="89"/>
  <c r="F8" i="89" s="1"/>
  <c r="E71" i="89"/>
  <c r="F71" i="89" s="1"/>
  <c r="D85" i="89"/>
  <c r="E77" i="89"/>
  <c r="F77" i="89" s="1"/>
  <c r="F59" i="89"/>
  <c r="E7" i="89"/>
  <c r="D81" i="89"/>
  <c r="D79" i="89"/>
  <c r="E60" i="89"/>
  <c r="F60" i="89" s="1"/>
  <c r="E64" i="89"/>
  <c r="F64" i="89" s="1"/>
  <c r="E72" i="89"/>
  <c r="F72" i="89" s="1"/>
  <c r="E8" i="90"/>
  <c r="F8" i="90" s="1"/>
  <c r="F62" i="90"/>
  <c r="D65" i="90"/>
  <c r="E57" i="90"/>
  <c r="F57" i="90" s="1"/>
  <c r="E62" i="90"/>
  <c r="E14" i="110" s="1"/>
  <c r="K14" i="110" s="1"/>
  <c r="E7" i="90"/>
  <c r="D61" i="90"/>
  <c r="D59" i="90"/>
  <c r="E28" i="96"/>
  <c r="F28" i="96" s="1"/>
  <c r="D43" i="96"/>
  <c r="E35" i="96"/>
  <c r="F35" i="96" s="1"/>
  <c r="D39" i="96"/>
  <c r="E7" i="96"/>
  <c r="E27" i="96"/>
  <c r="D40" i="96"/>
  <c r="E8" i="96"/>
  <c r="F8" i="96" s="1"/>
  <c r="D37" i="96"/>
  <c r="D69" i="97"/>
  <c r="E7" i="97"/>
  <c r="D8" i="97"/>
  <c r="E68" i="97"/>
  <c r="E50" i="97"/>
  <c r="E70" i="97" s="1"/>
  <c r="E7" i="110" s="1"/>
  <c r="K7" i="110" s="1"/>
  <c r="D70" i="97"/>
  <c r="D73" i="97"/>
  <c r="E65" i="97"/>
  <c r="F65" i="97" s="1"/>
  <c r="F4" i="97"/>
  <c r="D51" i="97"/>
  <c r="E54" i="98"/>
  <c r="D70" i="98"/>
  <c r="E68" i="98"/>
  <c r="F7" i="98"/>
  <c r="D55" i="98"/>
  <c r="D67" i="98" s="1"/>
  <c r="D73" i="98"/>
  <c r="E66" i="98"/>
  <c r="F66" i="98" s="1"/>
  <c r="E92" i="99"/>
  <c r="F92" i="99" s="1"/>
  <c r="E99" i="99"/>
  <c r="E91" i="99"/>
  <c r="F91" i="99" s="1"/>
  <c r="E83" i="99"/>
  <c r="F83" i="99" s="1"/>
  <c r="D101" i="99"/>
  <c r="E79" i="99"/>
  <c r="F4" i="99"/>
  <c r="D84" i="99"/>
  <c r="E87" i="99"/>
  <c r="F87" i="99" s="1"/>
  <c r="E80" i="99"/>
  <c r="F80" i="99" s="1"/>
  <c r="E88" i="99"/>
  <c r="F88" i="99" s="1"/>
  <c r="F8" i="52" l="1"/>
  <c r="E70" i="98"/>
  <c r="E6" i="110" s="1"/>
  <c r="K6" i="110" s="1"/>
  <c r="E39" i="29"/>
  <c r="E75" i="110" s="1"/>
  <c r="K75" i="110" s="1"/>
  <c r="D75" i="34"/>
  <c r="D59" i="63"/>
  <c r="E32" i="23"/>
  <c r="F32" i="23" s="1"/>
  <c r="F74" i="41"/>
  <c r="F80" i="60"/>
  <c r="E40" i="96"/>
  <c r="E8" i="110" s="1"/>
  <c r="K8" i="110" s="1"/>
  <c r="F87" i="83"/>
  <c r="F36" i="23"/>
  <c r="F106" i="52"/>
  <c r="F73" i="91"/>
  <c r="F78" i="70"/>
  <c r="D59" i="26"/>
  <c r="D63" i="26" s="1"/>
  <c r="F61" i="11"/>
  <c r="F74" i="72"/>
  <c r="F74" i="40"/>
  <c r="D52" i="110"/>
  <c r="J52" i="110" s="1"/>
  <c r="F78" i="10"/>
  <c r="F73" i="13"/>
  <c r="F62" i="66"/>
  <c r="F98" i="68"/>
  <c r="F97" i="53"/>
  <c r="F48" i="38"/>
  <c r="F62" i="76"/>
  <c r="F73" i="95"/>
  <c r="F77" i="92"/>
  <c r="E61" i="11"/>
  <c r="E93" i="110" s="1"/>
  <c r="K93" i="110" s="1"/>
  <c r="F106" i="58"/>
  <c r="F51" i="54"/>
  <c r="F29" i="43"/>
  <c r="F68" i="98"/>
  <c r="F100" i="81"/>
  <c r="F68" i="59"/>
  <c r="F68" i="75"/>
  <c r="E62" i="31"/>
  <c r="E73" i="110" s="1"/>
  <c r="K73" i="110" s="1"/>
  <c r="F87" i="73"/>
  <c r="F50" i="31"/>
  <c r="F62" i="31" s="1"/>
  <c r="F71" i="77"/>
  <c r="F90" i="74"/>
  <c r="D88" i="69"/>
  <c r="D92" i="69" s="1"/>
  <c r="D78" i="33"/>
  <c r="D82" i="33" s="1"/>
  <c r="E79" i="49"/>
  <c r="E55" i="110" s="1"/>
  <c r="K55" i="110" s="1"/>
  <c r="F63" i="17"/>
  <c r="F30" i="94"/>
  <c r="D79" i="51"/>
  <c r="D83" i="51" s="1"/>
  <c r="C97" i="110"/>
  <c r="F42" i="19"/>
  <c r="F43" i="18"/>
  <c r="F77" i="22"/>
  <c r="F35" i="79"/>
  <c r="O4" i="110"/>
  <c r="F61" i="57"/>
  <c r="F31" i="23"/>
  <c r="F38" i="23" s="1"/>
  <c r="F7" i="90"/>
  <c r="F61" i="90" s="1"/>
  <c r="D14" i="110"/>
  <c r="J14" i="110" s="1"/>
  <c r="E107" i="58"/>
  <c r="D46" i="110"/>
  <c r="J46" i="110" s="1"/>
  <c r="E52" i="54"/>
  <c r="D50" i="110"/>
  <c r="J50" i="110" s="1"/>
  <c r="F107" i="52"/>
  <c r="E84" i="46"/>
  <c r="D58" i="110"/>
  <c r="J58" i="110" s="1"/>
  <c r="E59" i="45"/>
  <c r="D59" i="110"/>
  <c r="J59" i="110" s="1"/>
  <c r="E38" i="29"/>
  <c r="D75" i="110"/>
  <c r="J75" i="110" s="1"/>
  <c r="E37" i="23"/>
  <c r="D81" i="110"/>
  <c r="J81" i="110" s="1"/>
  <c r="E37" i="20"/>
  <c r="D84" i="110"/>
  <c r="J84" i="110" s="1"/>
  <c r="E53" i="16"/>
  <c r="D88" i="110"/>
  <c r="J88" i="110" s="1"/>
  <c r="F7" i="11"/>
  <c r="D93" i="110"/>
  <c r="J93" i="110" s="1"/>
  <c r="F7" i="80"/>
  <c r="D24" i="110"/>
  <c r="J24" i="110" s="1"/>
  <c r="E69" i="75"/>
  <c r="D29" i="110"/>
  <c r="J29" i="110" s="1"/>
  <c r="F7" i="71"/>
  <c r="D33" i="110"/>
  <c r="J33" i="110" s="1"/>
  <c r="F60" i="63"/>
  <c r="F86" i="84"/>
  <c r="E36" i="79"/>
  <c r="D25" i="110"/>
  <c r="J25" i="110" s="1"/>
  <c r="F7" i="87"/>
  <c r="F63" i="87" s="1"/>
  <c r="D17" i="110"/>
  <c r="J17" i="110" s="1"/>
  <c r="E55" i="62"/>
  <c r="D42" i="110"/>
  <c r="J42" i="110" s="1"/>
  <c r="E30" i="43"/>
  <c r="D61" i="110"/>
  <c r="J61" i="110" s="1"/>
  <c r="E62" i="32"/>
  <c r="D63" i="110"/>
  <c r="J63" i="110" s="1"/>
  <c r="E75" i="40"/>
  <c r="D64" i="110"/>
  <c r="J64" i="110" s="1"/>
  <c r="E49" i="38"/>
  <c r="D66" i="110"/>
  <c r="J66" i="110" s="1"/>
  <c r="F7" i="41"/>
  <c r="F75" i="41" s="1"/>
  <c r="D72" i="110"/>
  <c r="J72" i="110" s="1"/>
  <c r="E61" i="31"/>
  <c r="D73" i="110"/>
  <c r="J73" i="110" s="1"/>
  <c r="F7" i="30"/>
  <c r="D74" i="110"/>
  <c r="J74" i="110" s="1"/>
  <c r="E55" i="24"/>
  <c r="D80" i="110"/>
  <c r="J80" i="110" s="1"/>
  <c r="E78" i="22"/>
  <c r="D82" i="110"/>
  <c r="J82" i="110" s="1"/>
  <c r="E54" i="14"/>
  <c r="D90" i="110"/>
  <c r="J90" i="110" s="1"/>
  <c r="E74" i="13"/>
  <c r="D91" i="110"/>
  <c r="J91" i="110" s="1"/>
  <c r="E79" i="10"/>
  <c r="D94" i="110"/>
  <c r="J94" i="110" s="1"/>
  <c r="E58" i="9"/>
  <c r="D95" i="110"/>
  <c r="J95" i="110" s="1"/>
  <c r="E74" i="95"/>
  <c r="D9" i="110"/>
  <c r="J9" i="110" s="1"/>
  <c r="E78" i="93"/>
  <c r="D11" i="110"/>
  <c r="J11" i="110" s="1"/>
  <c r="F7" i="77"/>
  <c r="F70" i="77" s="1"/>
  <c r="D27" i="110"/>
  <c r="J27" i="110" s="1"/>
  <c r="E91" i="74"/>
  <c r="D30" i="110"/>
  <c r="J30" i="110" s="1"/>
  <c r="F38" i="96"/>
  <c r="F90" i="30"/>
  <c r="F94" i="37"/>
  <c r="F79" i="33"/>
  <c r="F77" i="49"/>
  <c r="E101" i="81"/>
  <c r="D23" i="110"/>
  <c r="J23" i="110" s="1"/>
  <c r="E79" i="70"/>
  <c r="D34" i="110"/>
  <c r="J34" i="110" s="1"/>
  <c r="E99" i="68"/>
  <c r="D36" i="110"/>
  <c r="J36" i="110" s="1"/>
  <c r="E70" i="67"/>
  <c r="D37" i="110"/>
  <c r="J37" i="110" s="1"/>
  <c r="E63" i="66"/>
  <c r="D38" i="110"/>
  <c r="J38" i="110" s="1"/>
  <c r="E61" i="63"/>
  <c r="D41" i="110"/>
  <c r="J41" i="110" s="1"/>
  <c r="E152" i="56"/>
  <c r="D48" i="110"/>
  <c r="J48" i="110" s="1"/>
  <c r="E43" i="50"/>
  <c r="D54" i="110"/>
  <c r="J54" i="110" s="1"/>
  <c r="F7" i="49"/>
  <c r="D55" i="110"/>
  <c r="J55" i="110" s="1"/>
  <c r="E72" i="47"/>
  <c r="D57" i="110"/>
  <c r="J57" i="110" s="1"/>
  <c r="E81" i="44"/>
  <c r="D60" i="110"/>
  <c r="J60" i="110" s="1"/>
  <c r="E62" i="42"/>
  <c r="D62" i="110"/>
  <c r="J62" i="110" s="1"/>
  <c r="F7" i="37"/>
  <c r="D67" i="110"/>
  <c r="J67" i="110" s="1"/>
  <c r="F7" i="36"/>
  <c r="D68" i="110"/>
  <c r="J68" i="110" s="1"/>
  <c r="E56" i="27"/>
  <c r="D77" i="110"/>
  <c r="J77" i="110" s="1"/>
  <c r="F7" i="21"/>
  <c r="D83" i="110"/>
  <c r="J83" i="110" s="1"/>
  <c r="E44" i="18"/>
  <c r="D86" i="110"/>
  <c r="J86" i="110" s="1"/>
  <c r="E78" i="92"/>
  <c r="D12" i="110"/>
  <c r="J12" i="110" s="1"/>
  <c r="E31" i="94"/>
  <c r="D10" i="110"/>
  <c r="J10" i="110" s="1"/>
  <c r="E63" i="76"/>
  <c r="D28" i="110"/>
  <c r="J28" i="110" s="1"/>
  <c r="E88" i="73"/>
  <c r="D31" i="110"/>
  <c r="J31" i="110" s="1"/>
  <c r="E75" i="72"/>
  <c r="D32" i="110"/>
  <c r="J32" i="110" s="1"/>
  <c r="F76" i="34"/>
  <c r="F76" i="25"/>
  <c r="F80" i="51"/>
  <c r="F129" i="55"/>
  <c r="E39" i="96"/>
  <c r="D8" i="110"/>
  <c r="J8" i="110" s="1"/>
  <c r="F7" i="85"/>
  <c r="D19" i="110"/>
  <c r="J19" i="110" s="1"/>
  <c r="F7" i="83"/>
  <c r="D21" i="110"/>
  <c r="J21" i="110" s="1"/>
  <c r="F69" i="98"/>
  <c r="E69" i="97"/>
  <c r="D7" i="110"/>
  <c r="J7" i="110" s="1"/>
  <c r="F7" i="89"/>
  <c r="D15" i="110"/>
  <c r="J15" i="110" s="1"/>
  <c r="E52" i="88"/>
  <c r="D16" i="110"/>
  <c r="J16" i="110" s="1"/>
  <c r="E75" i="86"/>
  <c r="D18" i="110"/>
  <c r="J18" i="110" s="1"/>
  <c r="E71" i="65"/>
  <c r="D39" i="110"/>
  <c r="J39" i="110" s="1"/>
  <c r="E81" i="60"/>
  <c r="D44" i="110"/>
  <c r="J44" i="110" s="1"/>
  <c r="E69" i="59"/>
  <c r="D45" i="110"/>
  <c r="J45" i="110" s="1"/>
  <c r="F7" i="57"/>
  <c r="F60" i="57" s="1"/>
  <c r="D47" i="110"/>
  <c r="J47" i="110" s="1"/>
  <c r="E98" i="53"/>
  <c r="D51" i="110"/>
  <c r="J51" i="110" s="1"/>
  <c r="E59" i="48"/>
  <c r="D56" i="110"/>
  <c r="J56" i="110" s="1"/>
  <c r="E51" i="39"/>
  <c r="D65" i="110"/>
  <c r="J65" i="110" s="1"/>
  <c r="E71" i="35"/>
  <c r="D69" i="110"/>
  <c r="J69" i="110" s="1"/>
  <c r="F7" i="28"/>
  <c r="D76" i="110"/>
  <c r="J76" i="110" s="1"/>
  <c r="E43" i="19"/>
  <c r="D85" i="110"/>
  <c r="J85" i="110" s="1"/>
  <c r="E64" i="17"/>
  <c r="D87" i="110"/>
  <c r="J87" i="110" s="1"/>
  <c r="E66" i="15"/>
  <c r="D89" i="110"/>
  <c r="J89" i="110" s="1"/>
  <c r="E98" i="12"/>
  <c r="D92" i="110"/>
  <c r="J92" i="110" s="1"/>
  <c r="F74" i="91"/>
  <c r="F7" i="78"/>
  <c r="D26" i="110"/>
  <c r="J26" i="110" s="1"/>
  <c r="F60" i="26"/>
  <c r="F89" i="69"/>
  <c r="F72" i="64"/>
  <c r="F78" i="28"/>
  <c r="F59" i="11"/>
  <c r="F43" i="21"/>
  <c r="E69" i="78"/>
  <c r="E26" i="110" s="1"/>
  <c r="K26" i="110" s="1"/>
  <c r="E62" i="26"/>
  <c r="E78" i="110" s="1"/>
  <c r="K78" i="110" s="1"/>
  <c r="E74" i="64"/>
  <c r="E40" i="110" s="1"/>
  <c r="K40" i="110" s="1"/>
  <c r="E100" i="99"/>
  <c r="F7" i="99"/>
  <c r="D61" i="48"/>
  <c r="E63" i="57"/>
  <c r="E47" i="110" s="1"/>
  <c r="K47" i="110" s="1"/>
  <c r="D38" i="79"/>
  <c r="D63" i="63"/>
  <c r="D70" i="77"/>
  <c r="D74" i="77" s="1"/>
  <c r="F47" i="14"/>
  <c r="F55" i="14" s="1"/>
  <c r="F7" i="92"/>
  <c r="E56" i="62"/>
  <c r="E42" i="110" s="1"/>
  <c r="K42" i="110" s="1"/>
  <c r="F78" i="25"/>
  <c r="E78" i="25"/>
  <c r="E79" i="110" s="1"/>
  <c r="K79" i="110" s="1"/>
  <c r="D76" i="91"/>
  <c r="D83" i="89"/>
  <c r="F7" i="79"/>
  <c r="F31" i="20"/>
  <c r="F38" i="20" s="1"/>
  <c r="F7" i="16"/>
  <c r="D67" i="87"/>
  <c r="D40" i="29"/>
  <c r="F28" i="29"/>
  <c r="F39" i="29" s="1"/>
  <c r="D80" i="22"/>
  <c r="F7" i="66"/>
  <c r="F53" i="66"/>
  <c r="F64" i="66" s="1"/>
  <c r="E92" i="30"/>
  <c r="E74" i="110" s="1"/>
  <c r="K74" i="110" s="1"/>
  <c r="F41" i="38"/>
  <c r="F50" i="38" s="1"/>
  <c r="F7" i="29"/>
  <c r="E84" i="84"/>
  <c r="D54" i="88"/>
  <c r="D73" i="65"/>
  <c r="D75" i="25"/>
  <c r="D79" i="25" s="1"/>
  <c r="F7" i="45"/>
  <c r="E91" i="69"/>
  <c r="E35" i="110" s="1"/>
  <c r="K35" i="110" s="1"/>
  <c r="D154" i="56"/>
  <c r="D132" i="55"/>
  <c r="D79" i="34"/>
  <c r="D77" i="28"/>
  <c r="D81" i="28" s="1"/>
  <c r="F7" i="10"/>
  <c r="D80" i="92"/>
  <c r="D97" i="37"/>
  <c r="E56" i="24"/>
  <c r="E80" i="110" s="1"/>
  <c r="K80" i="110" s="1"/>
  <c r="F7" i="20"/>
  <c r="F37" i="19"/>
  <c r="F44" i="19" s="1"/>
  <c r="E54" i="16"/>
  <c r="E88" i="110" s="1"/>
  <c r="K88" i="110" s="1"/>
  <c r="F75" i="13"/>
  <c r="D71" i="98"/>
  <c r="D86" i="83"/>
  <c r="D90" i="83" s="1"/>
  <c r="F7" i="81"/>
  <c r="D81" i="70"/>
  <c r="F7" i="60"/>
  <c r="E57" i="48"/>
  <c r="E72" i="35"/>
  <c r="E69" i="110" s="1"/>
  <c r="K69" i="110" s="1"/>
  <c r="D63" i="31"/>
  <c r="D45" i="19"/>
  <c r="D46" i="18"/>
  <c r="F7" i="9"/>
  <c r="F7" i="95"/>
  <c r="D41" i="96"/>
  <c r="D80" i="49"/>
  <c r="F7" i="32"/>
  <c r="F7" i="40"/>
  <c r="E81" i="33"/>
  <c r="E71" i="110" s="1"/>
  <c r="K71" i="110" s="1"/>
  <c r="E36" i="29"/>
  <c r="F7" i="93"/>
  <c r="F76" i="41"/>
  <c r="E101" i="99"/>
  <c r="E5" i="110" s="1"/>
  <c r="K5" i="110" s="1"/>
  <c r="F54" i="98"/>
  <c r="F70" i="98" s="1"/>
  <c r="E66" i="87"/>
  <c r="E17" i="110" s="1"/>
  <c r="K17" i="110" s="1"/>
  <c r="D88" i="84"/>
  <c r="E71" i="67"/>
  <c r="E37" i="110" s="1"/>
  <c r="K37" i="110" s="1"/>
  <c r="D54" i="61"/>
  <c r="D79" i="60"/>
  <c r="D83" i="60" s="1"/>
  <c r="E105" i="52"/>
  <c r="E63" i="42"/>
  <c r="E62" i="110" s="1"/>
  <c r="K62" i="110" s="1"/>
  <c r="D62" i="11"/>
  <c r="F7" i="72"/>
  <c r="E60" i="49"/>
  <c r="F60" i="49" s="1"/>
  <c r="E54" i="26"/>
  <c r="F54" i="26" s="1"/>
  <c r="E100" i="68"/>
  <c r="E36" i="110" s="1"/>
  <c r="K36" i="110" s="1"/>
  <c r="F74" i="64"/>
  <c r="D83" i="44"/>
  <c r="F78" i="34"/>
  <c r="E75" i="82"/>
  <c r="E22" i="110" s="1"/>
  <c r="K22" i="110" s="1"/>
  <c r="F71" i="69"/>
  <c r="F91" i="69" s="1"/>
  <c r="E70" i="59"/>
  <c r="E45" i="110" s="1"/>
  <c r="K45" i="110" s="1"/>
  <c r="E79" i="44"/>
  <c r="F7" i="43"/>
  <c r="D73" i="40"/>
  <c r="D77" i="40" s="1"/>
  <c r="D62" i="36"/>
  <c r="D66" i="36" s="1"/>
  <c r="F66" i="33"/>
  <c r="F81" i="33" s="1"/>
  <c r="F7" i="18"/>
  <c r="F51" i="17"/>
  <c r="F65" i="17" s="1"/>
  <c r="E51" i="16"/>
  <c r="E72" i="91"/>
  <c r="F24" i="94"/>
  <c r="F32" i="94" s="1"/>
  <c r="E98" i="55"/>
  <c r="F98" i="55" s="1"/>
  <c r="E80" i="28"/>
  <c r="E76" i="110" s="1"/>
  <c r="K76" i="110" s="1"/>
  <c r="D77" i="86"/>
  <c r="F8" i="84"/>
  <c r="F84" i="84" s="1"/>
  <c r="F7" i="88"/>
  <c r="F7" i="68"/>
  <c r="D57" i="62"/>
  <c r="F7" i="58"/>
  <c r="D109" i="52"/>
  <c r="E82" i="51"/>
  <c r="E53" i="110" s="1"/>
  <c r="K53" i="110" s="1"/>
  <c r="E57" i="45"/>
  <c r="F24" i="43"/>
  <c r="F31" i="43" s="1"/>
  <c r="F80" i="28"/>
  <c r="F7" i="23"/>
  <c r="E76" i="22"/>
  <c r="D46" i="21"/>
  <c r="F37" i="16"/>
  <c r="F54" i="16" s="1"/>
  <c r="F7" i="94"/>
  <c r="E48" i="51"/>
  <c r="F48" i="51" s="1"/>
  <c r="E55" i="64"/>
  <c r="F55" i="64" s="1"/>
  <c r="E65" i="34"/>
  <c r="F65" i="34" s="1"/>
  <c r="F53" i="63"/>
  <c r="F62" i="63" s="1"/>
  <c r="E92" i="74"/>
  <c r="E30" i="110" s="1"/>
  <c r="K30" i="110" s="1"/>
  <c r="F56" i="78"/>
  <c r="F69" i="78" s="1"/>
  <c r="E76" i="72"/>
  <c r="E32" i="110" s="1"/>
  <c r="K32" i="110" s="1"/>
  <c r="F51" i="75"/>
  <c r="F70" i="75" s="1"/>
  <c r="F7" i="75"/>
  <c r="D66" i="71"/>
  <c r="E34" i="79"/>
  <c r="D90" i="73"/>
  <c r="E76" i="73"/>
  <c r="E86" i="73" s="1"/>
  <c r="D48" i="80"/>
  <c r="F61" i="74"/>
  <c r="F92" i="74" s="1"/>
  <c r="E89" i="73"/>
  <c r="E31" i="110" s="1"/>
  <c r="K31" i="110" s="1"/>
  <c r="E64" i="76"/>
  <c r="E28" i="110" s="1"/>
  <c r="K28" i="110" s="1"/>
  <c r="E67" i="75"/>
  <c r="D70" i="78"/>
  <c r="F8" i="74"/>
  <c r="F50" i="72"/>
  <c r="F76" i="72" s="1"/>
  <c r="F7" i="73"/>
  <c r="E51" i="72"/>
  <c r="E59" i="71"/>
  <c r="F59" i="71" s="1"/>
  <c r="E65" i="71"/>
  <c r="D73" i="72"/>
  <c r="D77" i="72" s="1"/>
  <c r="E67" i="72"/>
  <c r="F67" i="72" s="1"/>
  <c r="E8" i="76"/>
  <c r="F8" i="76" s="1"/>
  <c r="F89" i="73"/>
  <c r="E56" i="76"/>
  <c r="F56" i="76" s="1"/>
  <c r="E74" i="74"/>
  <c r="E89" i="74" s="1"/>
  <c r="F64" i="76"/>
  <c r="E68" i="78"/>
  <c r="E66" i="78"/>
  <c r="E72" i="77"/>
  <c r="E70" i="77"/>
  <c r="F8" i="72"/>
  <c r="D61" i="76"/>
  <c r="D65" i="76" s="1"/>
  <c r="E46" i="80"/>
  <c r="E44" i="80"/>
  <c r="E58" i="71"/>
  <c r="F58" i="71" s="1"/>
  <c r="F7" i="76"/>
  <c r="F7" i="74"/>
  <c r="D63" i="71"/>
  <c r="D71" i="75"/>
  <c r="D89" i="74"/>
  <c r="D93" i="74" s="1"/>
  <c r="E55" i="95"/>
  <c r="D72" i="95"/>
  <c r="D76" i="95" s="1"/>
  <c r="E8" i="94"/>
  <c r="F8" i="94" s="1"/>
  <c r="F79" i="93"/>
  <c r="E79" i="92"/>
  <c r="E12" i="110" s="1"/>
  <c r="K12" i="110" s="1"/>
  <c r="E75" i="95"/>
  <c r="E9" i="110" s="1"/>
  <c r="K9" i="110" s="1"/>
  <c r="E75" i="91"/>
  <c r="E13" i="110" s="1"/>
  <c r="K13" i="110" s="1"/>
  <c r="E67" i="95"/>
  <c r="F67" i="95" s="1"/>
  <c r="F79" i="92"/>
  <c r="E59" i="93"/>
  <c r="E76" i="93" s="1"/>
  <c r="D76" i="93"/>
  <c r="D80" i="93" s="1"/>
  <c r="F77" i="93"/>
  <c r="F54" i="91"/>
  <c r="F72" i="91" s="1"/>
  <c r="F75" i="95"/>
  <c r="F75" i="91"/>
  <c r="E71" i="92"/>
  <c r="F71" i="92" s="1"/>
  <c r="D29" i="94"/>
  <c r="D33" i="94" s="1"/>
  <c r="E79" i="93"/>
  <c r="E11" i="110" s="1"/>
  <c r="K11" i="110" s="1"/>
  <c r="E59" i="9"/>
  <c r="E95" i="110" s="1"/>
  <c r="K95" i="110" s="1"/>
  <c r="F59" i="9"/>
  <c r="E56" i="9"/>
  <c r="D60" i="9"/>
  <c r="E71" i="10"/>
  <c r="F71" i="10" s="1"/>
  <c r="D77" i="10"/>
  <c r="D81" i="10" s="1"/>
  <c r="E80" i="10"/>
  <c r="E94" i="110" s="1"/>
  <c r="K94" i="110" s="1"/>
  <c r="E67" i="10"/>
  <c r="F54" i="10"/>
  <c r="F80" i="10" s="1"/>
  <c r="F60" i="11"/>
  <c r="F58" i="11"/>
  <c r="E60" i="11"/>
  <c r="E58" i="11"/>
  <c r="F99" i="12"/>
  <c r="E83" i="12"/>
  <c r="E99" i="12"/>
  <c r="E92" i="110" s="1"/>
  <c r="K92" i="110" s="1"/>
  <c r="F97" i="12"/>
  <c r="E79" i="12"/>
  <c r="F79" i="12" s="1"/>
  <c r="E8" i="12"/>
  <c r="F8" i="12" s="1"/>
  <c r="D96" i="12"/>
  <c r="D100" i="12" s="1"/>
  <c r="F7" i="12"/>
  <c r="E8" i="13"/>
  <c r="E59" i="13"/>
  <c r="F59" i="13" s="1"/>
  <c r="E75" i="13"/>
  <c r="E91" i="110" s="1"/>
  <c r="K91" i="110" s="1"/>
  <c r="D72" i="13"/>
  <c r="D76" i="13" s="1"/>
  <c r="F7" i="13"/>
  <c r="F53" i="14"/>
  <c r="E8" i="14"/>
  <c r="F8" i="14" s="1"/>
  <c r="F7" i="14"/>
  <c r="D52" i="14"/>
  <c r="D56" i="14" s="1"/>
  <c r="F67" i="15"/>
  <c r="E64" i="15"/>
  <c r="F7" i="15"/>
  <c r="D68" i="15"/>
  <c r="F65" i="15"/>
  <c r="E67" i="15"/>
  <c r="E89" i="110" s="1"/>
  <c r="K89" i="110" s="1"/>
  <c r="F8" i="16"/>
  <c r="F52" i="16"/>
  <c r="D55" i="16"/>
  <c r="F7" i="17"/>
  <c r="E8" i="17"/>
  <c r="E62" i="17" s="1"/>
  <c r="D62" i="17"/>
  <c r="D66" i="17" s="1"/>
  <c r="E45" i="18"/>
  <c r="E86" i="110" s="1"/>
  <c r="K86" i="110" s="1"/>
  <c r="F33" i="18"/>
  <c r="F45" i="18" s="1"/>
  <c r="E42" i="18"/>
  <c r="F7" i="19"/>
  <c r="E41" i="19"/>
  <c r="F36" i="20"/>
  <c r="D39" i="20"/>
  <c r="E35" i="20"/>
  <c r="E44" i="21"/>
  <c r="E42" i="21"/>
  <c r="E79" i="22"/>
  <c r="E82" i="110" s="1"/>
  <c r="K82" i="110" s="1"/>
  <c r="F61" i="22"/>
  <c r="F79" i="22" s="1"/>
  <c r="F7" i="22"/>
  <c r="E35" i="23"/>
  <c r="D39" i="23"/>
  <c r="E50" i="24"/>
  <c r="E53" i="24" s="1"/>
  <c r="D53" i="24"/>
  <c r="D57" i="24" s="1"/>
  <c r="F8" i="24"/>
  <c r="F45" i="24"/>
  <c r="F56" i="24" s="1"/>
  <c r="F7" i="24"/>
  <c r="F54" i="24"/>
  <c r="E77" i="25"/>
  <c r="E75" i="25"/>
  <c r="F7" i="25"/>
  <c r="E61" i="26"/>
  <c r="F41" i="26"/>
  <c r="F62" i="26" s="1"/>
  <c r="F7" i="26"/>
  <c r="E8" i="27"/>
  <c r="E54" i="27" s="1"/>
  <c r="E57" i="27"/>
  <c r="E77" i="110" s="1"/>
  <c r="K77" i="110" s="1"/>
  <c r="F7" i="27"/>
  <c r="F57" i="27"/>
  <c r="D58" i="27"/>
  <c r="E79" i="28"/>
  <c r="E77" i="28"/>
  <c r="F37" i="29"/>
  <c r="F35" i="29"/>
  <c r="E91" i="30"/>
  <c r="E68" i="30"/>
  <c r="E89" i="30" s="1"/>
  <c r="F67" i="30"/>
  <c r="F92" i="30" s="1"/>
  <c r="D89" i="30"/>
  <c r="D93" i="30" s="1"/>
  <c r="F7" i="31"/>
  <c r="E59" i="31"/>
  <c r="F60" i="31"/>
  <c r="E68" i="41"/>
  <c r="F68" i="41" s="1"/>
  <c r="E8" i="41"/>
  <c r="F8" i="41" s="1"/>
  <c r="E76" i="41"/>
  <c r="E72" i="110" s="1"/>
  <c r="K72" i="110" s="1"/>
  <c r="E75" i="41"/>
  <c r="D73" i="41"/>
  <c r="D77" i="41" s="1"/>
  <c r="E80" i="33"/>
  <c r="E78" i="33"/>
  <c r="F7" i="33"/>
  <c r="E77" i="34"/>
  <c r="F7" i="34"/>
  <c r="E78" i="34"/>
  <c r="E70" i="110" s="1"/>
  <c r="K70" i="110" s="1"/>
  <c r="F51" i="35"/>
  <c r="F72" i="35" s="1"/>
  <c r="F70" i="35"/>
  <c r="F7" i="35"/>
  <c r="E69" i="35"/>
  <c r="D73" i="35"/>
  <c r="F65" i="36"/>
  <c r="E55" i="36"/>
  <c r="F55" i="36" s="1"/>
  <c r="E47" i="36"/>
  <c r="E64" i="36"/>
  <c r="E65" i="36"/>
  <c r="E68" i="110" s="1"/>
  <c r="K68" i="110" s="1"/>
  <c r="E96" i="37"/>
  <c r="E67" i="110" s="1"/>
  <c r="K67" i="110" s="1"/>
  <c r="F58" i="37"/>
  <c r="F96" i="37" s="1"/>
  <c r="E95" i="37"/>
  <c r="E93" i="37"/>
  <c r="D51" i="38"/>
  <c r="F7" i="38"/>
  <c r="E47" i="38"/>
  <c r="E49" i="39"/>
  <c r="E52" i="39"/>
  <c r="E65" i="110" s="1"/>
  <c r="K65" i="110" s="1"/>
  <c r="D53" i="39"/>
  <c r="F50" i="39"/>
  <c r="F35" i="39"/>
  <c r="F52" i="39" s="1"/>
  <c r="F7" i="39"/>
  <c r="E61" i="40"/>
  <c r="F61" i="40" s="1"/>
  <c r="F76" i="40"/>
  <c r="E57" i="40"/>
  <c r="E76" i="40"/>
  <c r="E64" i="110" s="1"/>
  <c r="K64" i="110" s="1"/>
  <c r="F63" i="32"/>
  <c r="E53" i="32"/>
  <c r="F53" i="32" s="1"/>
  <c r="E8" i="32"/>
  <c r="F8" i="32" s="1"/>
  <c r="E63" i="32"/>
  <c r="E63" i="110" s="1"/>
  <c r="K63" i="110" s="1"/>
  <c r="D60" i="32"/>
  <c r="D64" i="32" s="1"/>
  <c r="F61" i="32"/>
  <c r="E60" i="42"/>
  <c r="F7" i="42"/>
  <c r="F45" i="42"/>
  <c r="F63" i="42" s="1"/>
  <c r="D64" i="42"/>
  <c r="F61" i="42"/>
  <c r="E25" i="43"/>
  <c r="E28" i="43" s="1"/>
  <c r="D28" i="43"/>
  <c r="D32" i="43" s="1"/>
  <c r="F74" i="44"/>
  <c r="F82" i="44"/>
  <c r="F80" i="44"/>
  <c r="F7" i="44"/>
  <c r="E82" i="44"/>
  <c r="E60" i="110" s="1"/>
  <c r="K60" i="110" s="1"/>
  <c r="E60" i="45"/>
  <c r="E59" i="110" s="1"/>
  <c r="K59" i="110" s="1"/>
  <c r="D61" i="45"/>
  <c r="F60" i="45"/>
  <c r="F51" i="45"/>
  <c r="F58" i="45"/>
  <c r="E69" i="46"/>
  <c r="E82" i="46" s="1"/>
  <c r="F85" i="46"/>
  <c r="D82" i="46"/>
  <c r="D86" i="46" s="1"/>
  <c r="F7" i="46"/>
  <c r="E85" i="46"/>
  <c r="E58" i="110" s="1"/>
  <c r="K58" i="110" s="1"/>
  <c r="F73" i="47"/>
  <c r="F71" i="47"/>
  <c r="E70" i="47"/>
  <c r="E73" i="47"/>
  <c r="E57" i="110" s="1"/>
  <c r="K57" i="110" s="1"/>
  <c r="F7" i="47"/>
  <c r="D74" i="47"/>
  <c r="F7" i="48"/>
  <c r="F51" i="48"/>
  <c r="F60" i="48" s="1"/>
  <c r="E60" i="48"/>
  <c r="E56" i="110" s="1"/>
  <c r="K56" i="110" s="1"/>
  <c r="E78" i="49"/>
  <c r="D45" i="50"/>
  <c r="F32" i="50"/>
  <c r="F44" i="50" s="1"/>
  <c r="E41" i="50"/>
  <c r="F7" i="50"/>
  <c r="E81" i="51"/>
  <c r="F7" i="51"/>
  <c r="F51" i="51"/>
  <c r="F82" i="51" s="1"/>
  <c r="E108" i="52"/>
  <c r="E52" i="110" s="1"/>
  <c r="K52" i="110" s="1"/>
  <c r="F52" i="52"/>
  <c r="F108" i="52" s="1"/>
  <c r="F9" i="52"/>
  <c r="E73" i="53"/>
  <c r="F73" i="53" s="1"/>
  <c r="E99" i="53"/>
  <c r="E51" i="110" s="1"/>
  <c r="K51" i="110" s="1"/>
  <c r="E69" i="53"/>
  <c r="F69" i="53" s="1"/>
  <c r="D96" i="53"/>
  <c r="D100" i="53" s="1"/>
  <c r="F68" i="53"/>
  <c r="F99" i="53" s="1"/>
  <c r="F7" i="53"/>
  <c r="E42" i="54"/>
  <c r="E50" i="54" s="1"/>
  <c r="F8" i="54"/>
  <c r="E53" i="54"/>
  <c r="E50" i="110" s="1"/>
  <c r="K50" i="110" s="1"/>
  <c r="F7" i="54"/>
  <c r="D50" i="54"/>
  <c r="D54" i="54" s="1"/>
  <c r="F41" i="54"/>
  <c r="F53" i="54" s="1"/>
  <c r="E130" i="55"/>
  <c r="F7" i="55"/>
  <c r="E131" i="55"/>
  <c r="E49" i="110" s="1"/>
  <c r="F85" i="55"/>
  <c r="F131" i="55" s="1"/>
  <c r="E153" i="56"/>
  <c r="E48" i="110" s="1"/>
  <c r="K48" i="110" s="1"/>
  <c r="F7" i="56"/>
  <c r="E76" i="56"/>
  <c r="F76" i="56" s="1"/>
  <c r="F63" i="56"/>
  <c r="F153" i="56" s="1"/>
  <c r="F151" i="56"/>
  <c r="D64" i="57"/>
  <c r="E62" i="57"/>
  <c r="E60" i="57"/>
  <c r="F108" i="58"/>
  <c r="E108" i="58"/>
  <c r="E46" i="110" s="1"/>
  <c r="K46" i="110" s="1"/>
  <c r="E105" i="58"/>
  <c r="D109" i="58"/>
  <c r="E8" i="59"/>
  <c r="F8" i="59" s="1"/>
  <c r="D67" i="59"/>
  <c r="D71" i="59" s="1"/>
  <c r="E58" i="59"/>
  <c r="F58" i="59" s="1"/>
  <c r="F49" i="59"/>
  <c r="F70" i="59" s="1"/>
  <c r="F7" i="59"/>
  <c r="E63" i="60"/>
  <c r="F63" i="60" s="1"/>
  <c r="E82" i="60"/>
  <c r="E44" i="110" s="1"/>
  <c r="K44" i="110" s="1"/>
  <c r="E67" i="60"/>
  <c r="F67" i="60" s="1"/>
  <c r="F46" i="60"/>
  <c r="F82" i="60" s="1"/>
  <c r="E51" i="60"/>
  <c r="E52" i="61"/>
  <c r="E50" i="61"/>
  <c r="F7" i="61"/>
  <c r="F7" i="62"/>
  <c r="F45" i="62"/>
  <c r="F56" i="62" s="1"/>
  <c r="E53" i="62"/>
  <c r="F7" i="63"/>
  <c r="E8" i="63"/>
  <c r="F8" i="63" s="1"/>
  <c r="D75" i="64"/>
  <c r="E73" i="64"/>
  <c r="F7" i="64"/>
  <c r="F72" i="65"/>
  <c r="F7" i="65"/>
  <c r="E64" i="65"/>
  <c r="E69" i="65" s="1"/>
  <c r="E72" i="65"/>
  <c r="E39" i="110" s="1"/>
  <c r="K39" i="110" s="1"/>
  <c r="D65" i="66"/>
  <c r="E61" i="66"/>
  <c r="E68" i="67"/>
  <c r="F47" i="67"/>
  <c r="F71" i="67" s="1"/>
  <c r="D72" i="67"/>
  <c r="F7" i="67"/>
  <c r="F66" i="68"/>
  <c r="F100" i="68" s="1"/>
  <c r="D101" i="68"/>
  <c r="E97" i="68"/>
  <c r="E90" i="69"/>
  <c r="E88" i="69"/>
  <c r="F7" i="69"/>
  <c r="F80" i="70"/>
  <c r="E80" i="70"/>
  <c r="E34" i="110" s="1"/>
  <c r="K34" i="110" s="1"/>
  <c r="F7" i="70"/>
  <c r="E77" i="70"/>
  <c r="F102" i="81"/>
  <c r="E8" i="81"/>
  <c r="E99" i="81" s="1"/>
  <c r="D99" i="81"/>
  <c r="D103" i="81" s="1"/>
  <c r="E102" i="81"/>
  <c r="E23" i="110" s="1"/>
  <c r="K23" i="110" s="1"/>
  <c r="E74" i="82"/>
  <c r="E72" i="82"/>
  <c r="F7" i="82"/>
  <c r="D76" i="82"/>
  <c r="F52" i="82"/>
  <c r="F75" i="82" s="1"/>
  <c r="F67" i="83"/>
  <c r="E88" i="83"/>
  <c r="E86" i="83"/>
  <c r="F85" i="84"/>
  <c r="F87" i="84"/>
  <c r="E87" i="84"/>
  <c r="E20" i="110" s="1"/>
  <c r="K20" i="110" s="1"/>
  <c r="F55" i="85"/>
  <c r="E8" i="85"/>
  <c r="E53" i="85" s="1"/>
  <c r="E55" i="85"/>
  <c r="D53" i="85"/>
  <c r="D57" i="85" s="1"/>
  <c r="E76" i="86"/>
  <c r="E18" i="110" s="1"/>
  <c r="K18" i="110" s="1"/>
  <c r="E8" i="86"/>
  <c r="E73" i="86" s="1"/>
  <c r="F60" i="86"/>
  <c r="F76" i="86" s="1"/>
  <c r="F7" i="86"/>
  <c r="E65" i="87"/>
  <c r="E63" i="87"/>
  <c r="F66" i="87"/>
  <c r="E50" i="88"/>
  <c r="F43" i="88"/>
  <c r="F53" i="88" s="1"/>
  <c r="F82" i="89"/>
  <c r="E82" i="89"/>
  <c r="E15" i="110" s="1"/>
  <c r="K15" i="110" s="1"/>
  <c r="F81" i="89"/>
  <c r="E81" i="89"/>
  <c r="E79" i="89"/>
  <c r="D63" i="90"/>
  <c r="E61" i="90"/>
  <c r="E59" i="90"/>
  <c r="E37" i="96"/>
  <c r="F27" i="96"/>
  <c r="F7" i="96"/>
  <c r="E51" i="97"/>
  <c r="F51" i="97" s="1"/>
  <c r="D67" i="97"/>
  <c r="D71" i="97" s="1"/>
  <c r="F7" i="97"/>
  <c r="F68" i="97"/>
  <c r="F50" i="97"/>
  <c r="F70" i="97" s="1"/>
  <c r="E8" i="97"/>
  <c r="F8" i="97" s="1"/>
  <c r="E55" i="98"/>
  <c r="E67" i="98" s="1"/>
  <c r="E71" i="98" s="1"/>
  <c r="F6" i="110" s="1"/>
  <c r="E84" i="99"/>
  <c r="E98" i="99" s="1"/>
  <c r="F79" i="99"/>
  <c r="F101" i="99" s="1"/>
  <c r="D98" i="99"/>
  <c r="D102" i="99" s="1"/>
  <c r="F99" i="99"/>
  <c r="E54" i="88" l="1"/>
  <c r="F16" i="110" s="1"/>
  <c r="L16" i="110" s="1"/>
  <c r="M16" i="110" s="1"/>
  <c r="E39" i="20"/>
  <c r="F84" i="110" s="1"/>
  <c r="L84" i="110" s="1"/>
  <c r="M84" i="110" s="1"/>
  <c r="E51" i="38"/>
  <c r="F66" i="110" s="1"/>
  <c r="L66" i="110" s="1"/>
  <c r="M66" i="110" s="1"/>
  <c r="G6" i="110"/>
  <c r="L6" i="110"/>
  <c r="M6" i="110" s="1"/>
  <c r="E45" i="19"/>
  <c r="F85" i="110" s="1"/>
  <c r="L85" i="110" s="1"/>
  <c r="M85" i="110" s="1"/>
  <c r="F79" i="89"/>
  <c r="E38" i="79"/>
  <c r="F25" i="110" s="1"/>
  <c r="L25" i="110" s="1"/>
  <c r="M25" i="110" s="1"/>
  <c r="F44" i="21"/>
  <c r="E128" i="55"/>
  <c r="E64" i="42"/>
  <c r="F62" i="110" s="1"/>
  <c r="E39" i="23"/>
  <c r="F81" i="110" s="1"/>
  <c r="F79" i="28"/>
  <c r="G66" i="110"/>
  <c r="F44" i="80"/>
  <c r="E41" i="96"/>
  <c r="F8" i="110" s="1"/>
  <c r="E63" i="31"/>
  <c r="F73" i="110" s="1"/>
  <c r="E101" i="68"/>
  <c r="F36" i="110" s="1"/>
  <c r="G16" i="110"/>
  <c r="F59" i="90"/>
  <c r="F63" i="90" s="1"/>
  <c r="E32" i="43"/>
  <c r="F61" i="110" s="1"/>
  <c r="F77" i="28"/>
  <c r="F46" i="80"/>
  <c r="F42" i="21"/>
  <c r="E45" i="50"/>
  <c r="F54" i="110" s="1"/>
  <c r="E71" i="75"/>
  <c r="F29" i="110" s="1"/>
  <c r="E40" i="29"/>
  <c r="F75" i="110" s="1"/>
  <c r="D97" i="110"/>
  <c r="F78" i="49"/>
  <c r="Q4" i="110"/>
  <c r="F68" i="78"/>
  <c r="F76" i="49"/>
  <c r="F86" i="83"/>
  <c r="E65" i="66"/>
  <c r="F38" i="110" s="1"/>
  <c r="F91" i="30"/>
  <c r="F65" i="71"/>
  <c r="F95" i="37"/>
  <c r="E66" i="17"/>
  <c r="F87" i="110" s="1"/>
  <c r="F62" i="42"/>
  <c r="F69" i="97"/>
  <c r="F71" i="35"/>
  <c r="F66" i="15"/>
  <c r="F54" i="14"/>
  <c r="F98" i="12"/>
  <c r="F107" i="58"/>
  <c r="F44" i="18"/>
  <c r="F30" i="43"/>
  <c r="F75" i="72"/>
  <c r="F81" i="60"/>
  <c r="F37" i="20"/>
  <c r="F79" i="10"/>
  <c r="F53" i="16"/>
  <c r="F100" i="99"/>
  <c r="F61" i="31"/>
  <c r="F55" i="24"/>
  <c r="F69" i="75"/>
  <c r="F75" i="40"/>
  <c r="F74" i="95"/>
  <c r="F78" i="92"/>
  <c r="F62" i="57"/>
  <c r="F64" i="57" s="1"/>
  <c r="F152" i="56"/>
  <c r="F72" i="47"/>
  <c r="F81" i="44"/>
  <c r="F31" i="94"/>
  <c r="F37" i="23"/>
  <c r="F99" i="68"/>
  <c r="F78" i="93"/>
  <c r="F62" i="32"/>
  <c r="F58" i="9"/>
  <c r="F101" i="81"/>
  <c r="F59" i="45"/>
  <c r="F72" i="77"/>
  <c r="F74" i="77" s="1"/>
  <c r="F65" i="87"/>
  <c r="F67" i="87" s="1"/>
  <c r="F39" i="96"/>
  <c r="F51" i="39"/>
  <c r="F52" i="88"/>
  <c r="F38" i="29"/>
  <c r="F63" i="66"/>
  <c r="F36" i="79"/>
  <c r="F88" i="83"/>
  <c r="F64" i="36"/>
  <c r="E73" i="35"/>
  <c r="F69" i="110" s="1"/>
  <c r="E55" i="16"/>
  <c r="F88" i="110" s="1"/>
  <c r="E59" i="26"/>
  <c r="E63" i="26" s="1"/>
  <c r="F78" i="110" s="1"/>
  <c r="E83" i="44"/>
  <c r="F60" i="110" s="1"/>
  <c r="E76" i="91"/>
  <c r="F13" i="110" s="1"/>
  <c r="E57" i="62"/>
  <c r="F42" i="110" s="1"/>
  <c r="F34" i="79"/>
  <c r="F35" i="20"/>
  <c r="F76" i="92"/>
  <c r="E77" i="10"/>
  <c r="E81" i="10" s="1"/>
  <c r="F94" i="110" s="1"/>
  <c r="E76" i="92"/>
  <c r="E80" i="92" s="1"/>
  <c r="F12" i="110" s="1"/>
  <c r="E29" i="94"/>
  <c r="E33" i="94" s="1"/>
  <c r="F10" i="110" s="1"/>
  <c r="E79" i="51"/>
  <c r="E83" i="51" s="1"/>
  <c r="F53" i="110" s="1"/>
  <c r="F8" i="81"/>
  <c r="F99" i="81" s="1"/>
  <c r="E150" i="56"/>
  <c r="E154" i="56" s="1"/>
  <c r="F48" i="110" s="1"/>
  <c r="F105" i="58"/>
  <c r="E61" i="48"/>
  <c r="F56" i="110" s="1"/>
  <c r="E88" i="84"/>
  <c r="F20" i="110" s="1"/>
  <c r="F76" i="91"/>
  <c r="E61" i="45"/>
  <c r="F59" i="110" s="1"/>
  <c r="F60" i="32"/>
  <c r="E109" i="52"/>
  <c r="F52" i="110" s="1"/>
  <c r="E102" i="99"/>
  <c r="F5" i="110" s="1"/>
  <c r="L5" i="110" s="1"/>
  <c r="M5" i="110" s="1"/>
  <c r="E82" i="33"/>
  <c r="F71" i="110" s="1"/>
  <c r="E62" i="36"/>
  <c r="E66" i="36" s="1"/>
  <c r="F68" i="110" s="1"/>
  <c r="F29" i="94"/>
  <c r="F61" i="66"/>
  <c r="F35" i="23"/>
  <c r="E73" i="65"/>
  <c r="F39" i="110" s="1"/>
  <c r="E57" i="24"/>
  <c r="F80" i="110" s="1"/>
  <c r="F67" i="10"/>
  <c r="F77" i="10" s="1"/>
  <c r="F89" i="83"/>
  <c r="E92" i="69"/>
  <c r="F35" i="110" s="1"/>
  <c r="F36" i="29"/>
  <c r="E71" i="64"/>
  <c r="E75" i="64" s="1"/>
  <c r="F40" i="110" s="1"/>
  <c r="E54" i="54"/>
  <c r="F50" i="110" s="1"/>
  <c r="E76" i="49"/>
  <c r="E80" i="49" s="1"/>
  <c r="F55" i="110" s="1"/>
  <c r="E75" i="34"/>
  <c r="E79" i="34" s="1"/>
  <c r="F70" i="110" s="1"/>
  <c r="E93" i="30"/>
  <c r="F74" i="110" s="1"/>
  <c r="E67" i="87"/>
  <c r="F17" i="110" s="1"/>
  <c r="E90" i="83"/>
  <c r="F21" i="110" s="1"/>
  <c r="F79" i="44"/>
  <c r="D67" i="71"/>
  <c r="E80" i="22"/>
  <c r="F82" i="110" s="1"/>
  <c r="E79" i="60"/>
  <c r="E83" i="60" s="1"/>
  <c r="F44" i="110" s="1"/>
  <c r="F57" i="45"/>
  <c r="F47" i="36"/>
  <c r="F62" i="36" s="1"/>
  <c r="E46" i="18"/>
  <c r="F86" i="110" s="1"/>
  <c r="F51" i="16"/>
  <c r="F56" i="9"/>
  <c r="E59" i="63"/>
  <c r="E63" i="63" s="1"/>
  <c r="F41" i="110" s="1"/>
  <c r="E72" i="67"/>
  <c r="F37" i="110" s="1"/>
  <c r="E93" i="74"/>
  <c r="F30" i="110" s="1"/>
  <c r="E73" i="72"/>
  <c r="E77" i="72" s="1"/>
  <c r="F32" i="110" s="1"/>
  <c r="F97" i="68"/>
  <c r="E76" i="82"/>
  <c r="F22" i="110" s="1"/>
  <c r="E54" i="61"/>
  <c r="F43" i="110" s="1"/>
  <c r="E60" i="32"/>
  <c r="E64" i="32" s="1"/>
  <c r="F63" i="110" s="1"/>
  <c r="E57" i="85"/>
  <c r="F19" i="110" s="1"/>
  <c r="F93" i="37"/>
  <c r="F59" i="31"/>
  <c r="E72" i="13"/>
  <c r="E76" i="13" s="1"/>
  <c r="F91" i="110" s="1"/>
  <c r="F84" i="99"/>
  <c r="F98" i="99" s="1"/>
  <c r="E83" i="89"/>
  <c r="F15" i="110" s="1"/>
  <c r="F8" i="85"/>
  <c r="F53" i="85" s="1"/>
  <c r="F57" i="85" s="1"/>
  <c r="F88" i="84"/>
  <c r="E132" i="55"/>
  <c r="F49" i="110" s="1"/>
  <c r="G49" i="110" s="1"/>
  <c r="F42" i="54"/>
  <c r="F50" i="54" s="1"/>
  <c r="E96" i="53"/>
  <c r="E100" i="53" s="1"/>
  <c r="F51" i="110" s="1"/>
  <c r="E86" i="46"/>
  <c r="F58" i="110" s="1"/>
  <c r="F68" i="30"/>
  <c r="F89" i="30" s="1"/>
  <c r="E81" i="28"/>
  <c r="F76" i="110" s="1"/>
  <c r="E46" i="21"/>
  <c r="F83" i="110" s="1"/>
  <c r="E52" i="14"/>
  <c r="E56" i="14" s="1"/>
  <c r="F90" i="110" s="1"/>
  <c r="E96" i="12"/>
  <c r="E100" i="12" s="1"/>
  <c r="F92" i="110" s="1"/>
  <c r="F62" i="11"/>
  <c r="E72" i="95"/>
  <c r="E76" i="95" s="1"/>
  <c r="F9" i="110" s="1"/>
  <c r="F66" i="78"/>
  <c r="E77" i="86"/>
  <c r="F18" i="110" s="1"/>
  <c r="E73" i="40"/>
  <c r="E77" i="40" s="1"/>
  <c r="F64" i="110" s="1"/>
  <c r="F69" i="35"/>
  <c r="F73" i="41"/>
  <c r="F77" i="41" s="1"/>
  <c r="F42" i="18"/>
  <c r="F59" i="93"/>
  <c r="F76" i="93" s="1"/>
  <c r="F74" i="74"/>
  <c r="F89" i="74" s="1"/>
  <c r="F76" i="73"/>
  <c r="F86" i="73" s="1"/>
  <c r="F67" i="75"/>
  <c r="E61" i="76"/>
  <c r="E65" i="76" s="1"/>
  <c r="F28" i="110" s="1"/>
  <c r="F66" i="71"/>
  <c r="F63" i="71"/>
  <c r="F63" i="76"/>
  <c r="F61" i="76"/>
  <c r="E66" i="71"/>
  <c r="E33" i="110" s="1"/>
  <c r="E74" i="77"/>
  <c r="F27" i="110" s="1"/>
  <c r="E63" i="71"/>
  <c r="F88" i="73"/>
  <c r="F91" i="74"/>
  <c r="E90" i="73"/>
  <c r="F31" i="110" s="1"/>
  <c r="E48" i="80"/>
  <c r="F24" i="110" s="1"/>
  <c r="E70" i="78"/>
  <c r="F26" i="110" s="1"/>
  <c r="F51" i="72"/>
  <c r="F73" i="72" s="1"/>
  <c r="E80" i="93"/>
  <c r="F11" i="110" s="1"/>
  <c r="F55" i="95"/>
  <c r="F72" i="95" s="1"/>
  <c r="E60" i="9"/>
  <c r="F95" i="110" s="1"/>
  <c r="E62" i="11"/>
  <c r="F93" i="110" s="1"/>
  <c r="F83" i="12"/>
  <c r="F96" i="12" s="1"/>
  <c r="F74" i="13"/>
  <c r="F8" i="13"/>
  <c r="F72" i="13" s="1"/>
  <c r="F52" i="14"/>
  <c r="E68" i="15"/>
  <c r="F89" i="110" s="1"/>
  <c r="F64" i="15"/>
  <c r="F8" i="17"/>
  <c r="F62" i="17" s="1"/>
  <c r="F64" i="17"/>
  <c r="F43" i="19"/>
  <c r="F41" i="19"/>
  <c r="F78" i="22"/>
  <c r="F76" i="22"/>
  <c r="F50" i="24"/>
  <c r="F53" i="24" s="1"/>
  <c r="F77" i="25"/>
  <c r="F75" i="25"/>
  <c r="E79" i="25"/>
  <c r="F79" i="110" s="1"/>
  <c r="F61" i="26"/>
  <c r="F59" i="26"/>
  <c r="E58" i="27"/>
  <c r="F77" i="110" s="1"/>
  <c r="F8" i="27"/>
  <c r="F54" i="27" s="1"/>
  <c r="F56" i="27"/>
  <c r="E73" i="41"/>
  <c r="E77" i="41" s="1"/>
  <c r="F72" i="110" s="1"/>
  <c r="F80" i="33"/>
  <c r="F78" i="33"/>
  <c r="F77" i="34"/>
  <c r="F75" i="34"/>
  <c r="E97" i="37"/>
  <c r="F67" i="110" s="1"/>
  <c r="F49" i="38"/>
  <c r="F47" i="38"/>
  <c r="F49" i="39"/>
  <c r="E53" i="39"/>
  <c r="F65" i="110" s="1"/>
  <c r="F57" i="40"/>
  <c r="F73" i="40" s="1"/>
  <c r="F60" i="42"/>
  <c r="F25" i="43"/>
  <c r="F28" i="43" s="1"/>
  <c r="F84" i="46"/>
  <c r="F69" i="46"/>
  <c r="F82" i="46" s="1"/>
  <c r="E74" i="47"/>
  <c r="F57" i="110" s="1"/>
  <c r="F70" i="47"/>
  <c r="F59" i="48"/>
  <c r="F57" i="48"/>
  <c r="F43" i="50"/>
  <c r="F41" i="50"/>
  <c r="F81" i="51"/>
  <c r="F79" i="51"/>
  <c r="F105" i="52"/>
  <c r="F109" i="52" s="1"/>
  <c r="F98" i="53"/>
  <c r="F96" i="53"/>
  <c r="F52" i="54"/>
  <c r="F130" i="55"/>
  <c r="F128" i="55"/>
  <c r="F150" i="56"/>
  <c r="E64" i="57"/>
  <c r="F47" i="110" s="1"/>
  <c r="E109" i="58"/>
  <c r="F46" i="110" s="1"/>
  <c r="F69" i="59"/>
  <c r="F67" i="59"/>
  <c r="E67" i="59"/>
  <c r="E71" i="59" s="1"/>
  <c r="F45" i="110" s="1"/>
  <c r="F51" i="60"/>
  <c r="F79" i="60" s="1"/>
  <c r="F52" i="61"/>
  <c r="F50" i="61"/>
  <c r="F55" i="62"/>
  <c r="F53" i="62"/>
  <c r="F61" i="63"/>
  <c r="F59" i="63"/>
  <c r="F73" i="64"/>
  <c r="F71" i="64"/>
  <c r="F64" i="65"/>
  <c r="F69" i="65" s="1"/>
  <c r="F71" i="65"/>
  <c r="F70" i="67"/>
  <c r="F68" i="67"/>
  <c r="F90" i="69"/>
  <c r="F88" i="69"/>
  <c r="F79" i="70"/>
  <c r="F77" i="70"/>
  <c r="E81" i="70"/>
  <c r="F34" i="110" s="1"/>
  <c r="E103" i="81"/>
  <c r="F23" i="110" s="1"/>
  <c r="F74" i="82"/>
  <c r="F72" i="82"/>
  <c r="F75" i="86"/>
  <c r="F8" i="86"/>
  <c r="F73" i="86" s="1"/>
  <c r="F50" i="88"/>
  <c r="F83" i="89"/>
  <c r="E63" i="90"/>
  <c r="F14" i="110" s="1"/>
  <c r="F40" i="96"/>
  <c r="F37" i="96"/>
  <c r="F67" i="97"/>
  <c r="E67" i="97"/>
  <c r="E71" i="97" s="1"/>
  <c r="F7" i="110" s="1"/>
  <c r="F55" i="98"/>
  <c r="F67" i="98" s="1"/>
  <c r="F71" i="98" s="1"/>
  <c r="G84" i="110" l="1"/>
  <c r="G25" i="110"/>
  <c r="F46" i="21"/>
  <c r="O6" i="110"/>
  <c r="Q6" i="110" s="1"/>
  <c r="G83" i="110"/>
  <c r="L83" i="110"/>
  <c r="M83" i="110" s="1"/>
  <c r="G19" i="110"/>
  <c r="L19" i="110"/>
  <c r="M19" i="110" s="1"/>
  <c r="O19" i="110" s="1"/>
  <c r="Q19" i="110" s="1"/>
  <c r="G44" i="110"/>
  <c r="L44" i="110"/>
  <c r="M44" i="110" s="1"/>
  <c r="G56" i="110"/>
  <c r="L56" i="110"/>
  <c r="M56" i="110" s="1"/>
  <c r="G78" i="110"/>
  <c r="L78" i="110"/>
  <c r="M78" i="110" s="1"/>
  <c r="G8" i="110"/>
  <c r="L8" i="110"/>
  <c r="M8" i="110" s="1"/>
  <c r="G76" i="110"/>
  <c r="L76" i="110"/>
  <c r="M76" i="110" s="1"/>
  <c r="G82" i="110"/>
  <c r="L82" i="110"/>
  <c r="M82" i="110" s="1"/>
  <c r="G72" i="110"/>
  <c r="L72" i="110"/>
  <c r="M72" i="110" s="1"/>
  <c r="O72" i="110" s="1"/>
  <c r="Q72" i="110" s="1"/>
  <c r="G24" i="110"/>
  <c r="L24" i="110"/>
  <c r="M24" i="110" s="1"/>
  <c r="O24" i="110" s="1"/>
  <c r="Q24" i="110" s="1"/>
  <c r="G43" i="110"/>
  <c r="L43" i="110"/>
  <c r="M43" i="110" s="1"/>
  <c r="G39" i="110"/>
  <c r="L39" i="110"/>
  <c r="M39" i="110" s="1"/>
  <c r="G48" i="110"/>
  <c r="L48" i="110"/>
  <c r="M48" i="110" s="1"/>
  <c r="G69" i="110"/>
  <c r="L69" i="110"/>
  <c r="M69" i="110" s="1"/>
  <c r="G88" i="110"/>
  <c r="L88" i="110"/>
  <c r="M88" i="110" s="1"/>
  <c r="G31" i="110"/>
  <c r="L31" i="110"/>
  <c r="M31" i="110" s="1"/>
  <c r="G58" i="110"/>
  <c r="L58" i="110"/>
  <c r="M58" i="110" s="1"/>
  <c r="G22" i="110"/>
  <c r="L22" i="110"/>
  <c r="M22" i="110" s="1"/>
  <c r="G75" i="110"/>
  <c r="L75" i="110"/>
  <c r="M75" i="110" s="1"/>
  <c r="G63" i="110"/>
  <c r="L63" i="110"/>
  <c r="M63" i="110" s="1"/>
  <c r="G80" i="110"/>
  <c r="L80" i="110"/>
  <c r="M80" i="110" s="1"/>
  <c r="F46" i="18"/>
  <c r="G51" i="110"/>
  <c r="L51" i="110"/>
  <c r="M51" i="110" s="1"/>
  <c r="G21" i="110"/>
  <c r="L21" i="110"/>
  <c r="M21" i="110" s="1"/>
  <c r="G53" i="110"/>
  <c r="L53" i="110"/>
  <c r="M53" i="110" s="1"/>
  <c r="G29" i="110"/>
  <c r="L29" i="110"/>
  <c r="M29" i="110" s="1"/>
  <c r="G81" i="110"/>
  <c r="L81" i="110"/>
  <c r="M81" i="110" s="1"/>
  <c r="G26" i="110"/>
  <c r="L26" i="110"/>
  <c r="M26" i="110" s="1"/>
  <c r="G77" i="110"/>
  <c r="L77" i="110"/>
  <c r="M77" i="110" s="1"/>
  <c r="G89" i="110"/>
  <c r="L89" i="110"/>
  <c r="M89" i="110" s="1"/>
  <c r="G32" i="110"/>
  <c r="L32" i="110"/>
  <c r="M32" i="110" s="1"/>
  <c r="G17" i="110"/>
  <c r="L17" i="110"/>
  <c r="M17" i="110" s="1"/>
  <c r="O17" i="110" s="1"/>
  <c r="Q17" i="110" s="1"/>
  <c r="G10" i="110"/>
  <c r="L10" i="110"/>
  <c r="M10" i="110" s="1"/>
  <c r="G54" i="110"/>
  <c r="L54" i="110"/>
  <c r="M54" i="110" s="1"/>
  <c r="G62" i="110"/>
  <c r="L62" i="110"/>
  <c r="M62" i="110" s="1"/>
  <c r="G23" i="110"/>
  <c r="L23" i="110"/>
  <c r="M23" i="110" s="1"/>
  <c r="G74" i="110"/>
  <c r="L74" i="110"/>
  <c r="M74" i="110" s="1"/>
  <c r="G68" i="110"/>
  <c r="L68" i="110"/>
  <c r="M68" i="110" s="1"/>
  <c r="G12" i="110"/>
  <c r="L12" i="110"/>
  <c r="M12" i="110" s="1"/>
  <c r="G87" i="110"/>
  <c r="L87" i="110"/>
  <c r="M87" i="110" s="1"/>
  <c r="G65" i="110"/>
  <c r="L65" i="110"/>
  <c r="M65" i="110" s="1"/>
  <c r="G27" i="110"/>
  <c r="L27" i="110"/>
  <c r="M27" i="110" s="1"/>
  <c r="G64" i="110"/>
  <c r="L64" i="110"/>
  <c r="M64" i="110" s="1"/>
  <c r="G37" i="110"/>
  <c r="L37" i="110"/>
  <c r="M37" i="110" s="1"/>
  <c r="G70" i="110"/>
  <c r="L70" i="110"/>
  <c r="M70" i="110" s="1"/>
  <c r="G71" i="110"/>
  <c r="L71" i="110"/>
  <c r="M71" i="110" s="1"/>
  <c r="G94" i="110"/>
  <c r="L94" i="110"/>
  <c r="M94" i="110" s="1"/>
  <c r="G47" i="110"/>
  <c r="L47" i="110"/>
  <c r="M47" i="110" s="1"/>
  <c r="G7" i="110"/>
  <c r="L7" i="110"/>
  <c r="M7" i="110" s="1"/>
  <c r="G57" i="110"/>
  <c r="L57" i="110"/>
  <c r="M57" i="110" s="1"/>
  <c r="G79" i="110"/>
  <c r="L79" i="110"/>
  <c r="M79" i="110" s="1"/>
  <c r="G18" i="110"/>
  <c r="L18" i="110"/>
  <c r="M18" i="110" s="1"/>
  <c r="G41" i="110"/>
  <c r="L41" i="110"/>
  <c r="M41" i="110" s="1"/>
  <c r="G55" i="110"/>
  <c r="L55" i="110"/>
  <c r="M55" i="110" s="1"/>
  <c r="G15" i="110"/>
  <c r="L15" i="110"/>
  <c r="M15" i="110" s="1"/>
  <c r="G50" i="110"/>
  <c r="L50" i="110"/>
  <c r="M50" i="110" s="1"/>
  <c r="G52" i="110"/>
  <c r="L52" i="110"/>
  <c r="M52" i="110" s="1"/>
  <c r="O52" i="110" s="1"/>
  <c r="Q52" i="110" s="1"/>
  <c r="G61" i="110"/>
  <c r="L61" i="110"/>
  <c r="M61" i="110" s="1"/>
  <c r="G34" i="110"/>
  <c r="L34" i="110"/>
  <c r="M34" i="110" s="1"/>
  <c r="G30" i="110"/>
  <c r="L30" i="110"/>
  <c r="M30" i="110" s="1"/>
  <c r="G45" i="110"/>
  <c r="L45" i="110"/>
  <c r="M45" i="110" s="1"/>
  <c r="G93" i="110"/>
  <c r="L93" i="110"/>
  <c r="M93" i="110" s="1"/>
  <c r="G9" i="110"/>
  <c r="L9" i="110"/>
  <c r="M9" i="110" s="1"/>
  <c r="G40" i="110"/>
  <c r="L40" i="110"/>
  <c r="M40" i="110" s="1"/>
  <c r="G38" i="110"/>
  <c r="L38" i="110"/>
  <c r="M38" i="110" s="1"/>
  <c r="G85" i="110"/>
  <c r="E97" i="110"/>
  <c r="K33" i="110"/>
  <c r="G67" i="110"/>
  <c r="L67" i="110"/>
  <c r="M67" i="110" s="1"/>
  <c r="G95" i="110"/>
  <c r="L95" i="110"/>
  <c r="M95" i="110" s="1"/>
  <c r="G91" i="110"/>
  <c r="L91" i="110"/>
  <c r="M91" i="110" s="1"/>
  <c r="G86" i="110"/>
  <c r="L86" i="110"/>
  <c r="M86" i="110" s="1"/>
  <c r="G59" i="110"/>
  <c r="L59" i="110"/>
  <c r="M59" i="110" s="1"/>
  <c r="G42" i="110"/>
  <c r="L42" i="110"/>
  <c r="M42" i="110" s="1"/>
  <c r="G13" i="110"/>
  <c r="L13" i="110"/>
  <c r="M13" i="110" s="1"/>
  <c r="G36" i="110"/>
  <c r="L36" i="110"/>
  <c r="M36" i="110" s="1"/>
  <c r="G14" i="110"/>
  <c r="L14" i="110"/>
  <c r="M14" i="110" s="1"/>
  <c r="G92" i="110"/>
  <c r="L92" i="110"/>
  <c r="M92" i="110" s="1"/>
  <c r="G35" i="110"/>
  <c r="L35" i="110"/>
  <c r="M35" i="110" s="1"/>
  <c r="G46" i="110"/>
  <c r="L46" i="110"/>
  <c r="M46" i="110" s="1"/>
  <c r="G11" i="110"/>
  <c r="L11" i="110"/>
  <c r="M11" i="110" s="1"/>
  <c r="G28" i="110"/>
  <c r="L28" i="110"/>
  <c r="M28" i="110" s="1"/>
  <c r="G90" i="110"/>
  <c r="L90" i="110"/>
  <c r="M90" i="110" s="1"/>
  <c r="G20" i="110"/>
  <c r="L20" i="110"/>
  <c r="M20" i="110" s="1"/>
  <c r="G60" i="110"/>
  <c r="L60" i="110"/>
  <c r="M60" i="110" s="1"/>
  <c r="G73" i="110"/>
  <c r="L73" i="110"/>
  <c r="M73" i="110" s="1"/>
  <c r="F48" i="80"/>
  <c r="F66" i="36"/>
  <c r="F81" i="28"/>
  <c r="F64" i="42"/>
  <c r="F70" i="78"/>
  <c r="F76" i="95"/>
  <c r="F83" i="60"/>
  <c r="F97" i="37"/>
  <c r="F40" i="29"/>
  <c r="F54" i="88"/>
  <c r="O16" i="110" s="1"/>
  <c r="Q16" i="110" s="1"/>
  <c r="F100" i="12"/>
  <c r="F71" i="75"/>
  <c r="F154" i="56"/>
  <c r="F74" i="47"/>
  <c r="F57" i="24"/>
  <c r="F53" i="39"/>
  <c r="F80" i="92"/>
  <c r="F77" i="72"/>
  <c r="F68" i="15"/>
  <c r="O89" i="110" s="1"/>
  <c r="Q89" i="110" s="1"/>
  <c r="F80" i="49"/>
  <c r="F102" i="99"/>
  <c r="F32" i="43"/>
  <c r="F80" i="93"/>
  <c r="F103" i="81"/>
  <c r="O23" i="110" s="1"/>
  <c r="Q23" i="110" s="1"/>
  <c r="F77" i="40"/>
  <c r="F56" i="14"/>
  <c r="F71" i="97"/>
  <c r="F93" i="30"/>
  <c r="F55" i="16"/>
  <c r="F63" i="31"/>
  <c r="F39" i="20"/>
  <c r="O84" i="110" s="1"/>
  <c r="Q84" i="110" s="1"/>
  <c r="G5" i="110"/>
  <c r="F73" i="35"/>
  <c r="F39" i="23"/>
  <c r="F64" i="32"/>
  <c r="F65" i="66"/>
  <c r="F33" i="94"/>
  <c r="J97" i="110"/>
  <c r="F81" i="10"/>
  <c r="F109" i="58"/>
  <c r="F60" i="9"/>
  <c r="F61" i="45"/>
  <c r="F83" i="44"/>
  <c r="F90" i="83"/>
  <c r="O83" i="110"/>
  <c r="Q83" i="110" s="1"/>
  <c r="F101" i="68"/>
  <c r="F38" i="79"/>
  <c r="O25" i="110" s="1"/>
  <c r="Q25" i="110" s="1"/>
  <c r="F77" i="86"/>
  <c r="F63" i="26"/>
  <c r="F73" i="65"/>
  <c r="F75" i="64"/>
  <c r="F45" i="50"/>
  <c r="F58" i="27"/>
  <c r="F66" i="17"/>
  <c r="F67" i="71"/>
  <c r="F86" i="46"/>
  <c r="F51" i="38"/>
  <c r="O66" i="110" s="1"/>
  <c r="Q66" i="110" s="1"/>
  <c r="F45" i="19"/>
  <c r="O85" i="110" s="1"/>
  <c r="Q85" i="110" s="1"/>
  <c r="F92" i="69"/>
  <c r="F54" i="54"/>
  <c r="F76" i="13"/>
  <c r="F81" i="70"/>
  <c r="F76" i="82"/>
  <c r="F72" i="67"/>
  <c r="F57" i="62"/>
  <c r="F79" i="34"/>
  <c r="F80" i="22"/>
  <c r="O82" i="110" s="1"/>
  <c r="Q82" i="110" s="1"/>
  <c r="F63" i="63"/>
  <c r="F54" i="61"/>
  <c r="F83" i="51"/>
  <c r="F82" i="33"/>
  <c r="F132" i="55"/>
  <c r="F100" i="53"/>
  <c r="O51" i="110" s="1"/>
  <c r="Q51" i="110" s="1"/>
  <c r="F93" i="74"/>
  <c r="F65" i="76"/>
  <c r="F90" i="73"/>
  <c r="E67" i="71"/>
  <c r="F33" i="110" s="1"/>
  <c r="F79" i="25"/>
  <c r="F61" i="48"/>
  <c r="F71" i="59"/>
  <c r="F41" i="96"/>
  <c r="O31" i="110" l="1"/>
  <c r="Q31" i="110" s="1"/>
  <c r="O86" i="110"/>
  <c r="Q86" i="110" s="1"/>
  <c r="O77" i="110"/>
  <c r="Q77" i="110" s="1"/>
  <c r="O22" i="110"/>
  <c r="Q22" i="110" s="1"/>
  <c r="O20" i="110"/>
  <c r="Q20" i="110" s="1"/>
  <c r="O47" i="110"/>
  <c r="Q47" i="110" s="1"/>
  <c r="O13" i="110"/>
  <c r="Q13" i="110" s="1"/>
  <c r="O53" i="110"/>
  <c r="Q53" i="110" s="1"/>
  <c r="O12" i="110"/>
  <c r="Q12" i="110" s="1"/>
  <c r="O43" i="110"/>
  <c r="Q43" i="110" s="1"/>
  <c r="O56" i="110"/>
  <c r="Q56" i="110" s="1"/>
  <c r="O30" i="110"/>
  <c r="Q30" i="110" s="1"/>
  <c r="O41" i="110"/>
  <c r="Q41" i="110" s="1"/>
  <c r="O10" i="110"/>
  <c r="Q10" i="110" s="1"/>
  <c r="O36" i="110"/>
  <c r="Q36" i="110" s="1"/>
  <c r="O29" i="110"/>
  <c r="Q29" i="110" s="1"/>
  <c r="O65" i="110"/>
  <c r="Q65" i="110" s="1"/>
  <c r="O93" i="110"/>
  <c r="Q93" i="110" s="1"/>
  <c r="O15" i="110"/>
  <c r="Q15" i="110" s="1"/>
  <c r="O14" i="110"/>
  <c r="Q14" i="110" s="1"/>
  <c r="O75" i="110"/>
  <c r="Q75" i="110" s="1"/>
  <c r="O81" i="110"/>
  <c r="Q81" i="110" s="1"/>
  <c r="O70" i="110"/>
  <c r="Q70" i="110" s="1"/>
  <c r="O54" i="110"/>
  <c r="Q54" i="110" s="1"/>
  <c r="O88" i="110"/>
  <c r="Q88" i="110" s="1"/>
  <c r="O74" i="110"/>
  <c r="Q74" i="110" s="1"/>
  <c r="O79" i="110"/>
  <c r="Q79" i="110" s="1"/>
  <c r="O37" i="110"/>
  <c r="Q37" i="110" s="1"/>
  <c r="O39" i="110"/>
  <c r="Q39" i="110" s="1"/>
  <c r="O27" i="110"/>
  <c r="Q27" i="110" s="1"/>
  <c r="O26" i="110"/>
  <c r="Q26" i="110" s="1"/>
  <c r="O78" i="110"/>
  <c r="Q78" i="110" s="1"/>
  <c r="O90" i="110"/>
  <c r="Q90" i="110" s="1"/>
  <c r="O64" i="110"/>
  <c r="Q64" i="110" s="1"/>
  <c r="O11" i="110"/>
  <c r="Q11" i="110" s="1"/>
  <c r="O38" i="110"/>
  <c r="Q38" i="110" s="1"/>
  <c r="O61" i="110"/>
  <c r="Q61" i="110" s="1"/>
  <c r="O67" i="110"/>
  <c r="Q67" i="110" s="1"/>
  <c r="O68" i="110"/>
  <c r="Q68" i="110" s="1"/>
  <c r="O42" i="110"/>
  <c r="Q42" i="110" s="1"/>
  <c r="O40" i="110"/>
  <c r="Q40" i="110" s="1"/>
  <c r="O59" i="110"/>
  <c r="Q59" i="110" s="1"/>
  <c r="O57" i="110"/>
  <c r="Q57" i="110" s="1"/>
  <c r="O7" i="110"/>
  <c r="Q7" i="110" s="1"/>
  <c r="O92" i="110"/>
  <c r="Q92" i="110" s="1"/>
  <c r="O87" i="110"/>
  <c r="Q87" i="110" s="1"/>
  <c r="O45" i="110"/>
  <c r="Q45" i="110" s="1"/>
  <c r="O8" i="110"/>
  <c r="Q8" i="110" s="1"/>
  <c r="G33" i="110"/>
  <c r="G97" i="110" s="1"/>
  <c r="L33" i="110"/>
  <c r="M33" i="110" s="1"/>
  <c r="O33" i="110" s="1"/>
  <c r="Q33" i="110" s="1"/>
  <c r="O63" i="110"/>
  <c r="Q63" i="110" s="1"/>
  <c r="O34" i="110"/>
  <c r="Q34" i="110" s="1"/>
  <c r="O18" i="110"/>
  <c r="Q18" i="110" s="1"/>
  <c r="O44" i="110"/>
  <c r="Q44" i="110" s="1"/>
  <c r="O28" i="110"/>
  <c r="Q28" i="110" s="1"/>
  <c r="O91" i="110"/>
  <c r="Q91" i="110" s="1"/>
  <c r="O60" i="110"/>
  <c r="Q60" i="110" s="1"/>
  <c r="O69" i="110"/>
  <c r="Q69" i="110" s="1"/>
  <c r="O55" i="110"/>
  <c r="Q55" i="110" s="1"/>
  <c r="O9" i="110"/>
  <c r="Q9" i="110" s="1"/>
  <c r="O48" i="110"/>
  <c r="Q48" i="110" s="1"/>
  <c r="O35" i="110"/>
  <c r="Q35" i="110" s="1"/>
  <c r="O95" i="110"/>
  <c r="Q95" i="110" s="1"/>
  <c r="O32" i="110"/>
  <c r="Q32" i="110" s="1"/>
  <c r="O62" i="110"/>
  <c r="Q62" i="110" s="1"/>
  <c r="O50" i="110"/>
  <c r="Q50" i="110" s="1"/>
  <c r="O73" i="110"/>
  <c r="Q73" i="110" s="1"/>
  <c r="O76" i="110"/>
  <c r="Q76" i="110" s="1"/>
  <c r="O71" i="110"/>
  <c r="Q71" i="110" s="1"/>
  <c r="O46" i="110"/>
  <c r="Q46" i="110" s="1"/>
  <c r="O58" i="110"/>
  <c r="Q58" i="110" s="1"/>
  <c r="O94" i="110"/>
  <c r="Q94" i="110" s="1"/>
  <c r="O80" i="110"/>
  <c r="Q80" i="110" s="1"/>
  <c r="F97" i="110"/>
  <c r="O5" i="110"/>
  <c r="O21" i="110"/>
  <c r="Q21" i="110" s="1"/>
  <c r="Q5" i="110" l="1"/>
  <c r="R1414" i="113"/>
  <c r="S1414" i="113" s="1"/>
  <c r="K49" i="110" s="1"/>
  <c r="K97" i="110" s="1"/>
  <c r="T1414" i="113" l="1"/>
  <c r="W1414" i="113" s="1"/>
  <c r="Y1414" i="113" s="1"/>
  <c r="AC1414" i="113" s="1"/>
  <c r="AG1414" i="113" s="1"/>
  <c r="U1378" i="113"/>
  <c r="V1378" i="113" s="1"/>
  <c r="W1378" i="113" s="1"/>
  <c r="I49" i="110" s="1"/>
  <c r="I97" i="110" l="1"/>
  <c r="X1378" i="113"/>
  <c r="Y1378" i="113"/>
  <c r="Z1414" i="113"/>
  <c r="L49" i="110" l="1"/>
  <c r="L97" i="110" s="1"/>
  <c r="AC1378" i="113"/>
  <c r="AG1378" i="113" s="1"/>
  <c r="AA1414" i="113"/>
  <c r="AE1414" i="113" s="1"/>
  <c r="AI1414" i="113" s="1"/>
  <c r="AD1414" i="113"/>
  <c r="AH1414" i="113" s="1"/>
  <c r="Z1378" i="113"/>
  <c r="AA1378" i="113" l="1"/>
  <c r="AD1378" i="113"/>
  <c r="AH1378" i="113" s="1"/>
  <c r="M49" i="110"/>
  <c r="O49" i="110" s="1"/>
  <c r="M97" i="110" l="1"/>
  <c r="AE1378" i="113"/>
  <c r="AI1378" i="113" s="1"/>
  <c r="Q49" i="110"/>
  <c r="O97" i="110"/>
</calcChain>
</file>

<file path=xl/sharedStrings.xml><?xml version="1.0" encoding="utf-8"?>
<sst xmlns="http://schemas.openxmlformats.org/spreadsheetml/2006/main" count="41310" uniqueCount="6427">
  <si>
    <t>01 Adams County CVET</t>
  </si>
  <si>
    <t>TAXING UNIT PERCENTAGES</t>
  </si>
  <si>
    <t>Unit Type</t>
  </si>
  <si>
    <t>Unit</t>
  </si>
  <si>
    <t>STATE UNIT</t>
  </si>
  <si>
    <t>ADAMS COUNTY</t>
  </si>
  <si>
    <t>2009 WELFARE ALLOCATION FACTOR</t>
  </si>
  <si>
    <t>WELFARE ALLOCATION</t>
  </si>
  <si>
    <t>COUNTY AMOUNT NET OF WELFARE ALLOCATION</t>
  </si>
  <si>
    <t>BLUE CREEK TOWNSHIP</t>
  </si>
  <si>
    <t>CIVIL</t>
  </si>
  <si>
    <t>FIRE</t>
  </si>
  <si>
    <t>FRENCH TOWNSHIP</t>
  </si>
  <si>
    <t>HARTFORD TOWNSHIP</t>
  </si>
  <si>
    <t>JEFFERSON TOWNSHIP</t>
  </si>
  <si>
    <t>KIRKLAND TOWNSHIP</t>
  </si>
  <si>
    <t>MONROE TOWNSHIP</t>
  </si>
  <si>
    <t>PREBLE TOWNSHIP</t>
  </si>
  <si>
    <t>ROOT TOWNSHIP</t>
  </si>
  <si>
    <t>ST. MARYS TOWNSHIP</t>
  </si>
  <si>
    <t>UNION TOWNSHIP</t>
  </si>
  <si>
    <t>WABASH TOWNSHIP</t>
  </si>
  <si>
    <t>WASHINGTON TOWNSHIP</t>
  </si>
  <si>
    <t>BERNE CIVIL CITY</t>
  </si>
  <si>
    <t>DECATUR CIVIL CITY</t>
  </si>
  <si>
    <t>GENEVA CIVIL TOWN</t>
  </si>
  <si>
    <t>MONROE CIVIL TOWN</t>
  </si>
  <si>
    <t>ADAMS CENTRAL COMMUNITY SCHOOL CORPORATI</t>
  </si>
  <si>
    <t>2009 SCHOOL ALLOCATION FACTOR</t>
  </si>
  <si>
    <t>SCHOOL ALLOCATION</t>
  </si>
  <si>
    <t>SCHOOL AMOUNT NET OF SCHOOL ALLOCATION</t>
  </si>
  <si>
    <t>NORTH ADAMS COMMUNITY SCHOOL CORPORATION</t>
  </si>
  <si>
    <t>SOUTH ADAMS SCHOOL CORPORATION</t>
  </si>
  <si>
    <t>BERNE PUBLIC LIBRARY</t>
  </si>
  <si>
    <t>DECATUR PUBLIC LIBRARY</t>
  </si>
  <si>
    <t>GENEVA PUBLIC LIBRARY</t>
  </si>
  <si>
    <t>ADAMS COUNTY SOLID WASTE MANAGEMENT</t>
  </si>
  <si>
    <t>County Total (Unit Amounts plus Allocations)</t>
  </si>
  <si>
    <t>Less: State Unit</t>
  </si>
  <si>
    <t>Less: Welfare Allocation</t>
  </si>
  <si>
    <t>Less: School Allocation</t>
  </si>
  <si>
    <t>Net County Total</t>
  </si>
  <si>
    <t>AMOUNT ADDED TO LAST UNIT</t>
  </si>
  <si>
    <t>02 Allen County CVET</t>
  </si>
  <si>
    <t>ALLEN COUNTY</t>
  </si>
  <si>
    <t>ABOITE TOWNSHIP</t>
  </si>
  <si>
    <t>ADAMS TOWNSHIP</t>
  </si>
  <si>
    <t>CEDAR CREEK TOWNSHIP</t>
  </si>
  <si>
    <t>EEL RIVER TOWNSHIP</t>
  </si>
  <si>
    <t>JACKSON TOWNSHIP</t>
  </si>
  <si>
    <t>LAFAYETTE TOWNSHIP</t>
  </si>
  <si>
    <t>LAKE TOWNSHIP</t>
  </si>
  <si>
    <t>MADISON TOWNSHIP</t>
  </si>
  <si>
    <t>MARION TOWNSHIP</t>
  </si>
  <si>
    <t>MAUMEE TOWNSHIP</t>
  </si>
  <si>
    <t>MILAN TOWNSHIP</t>
  </si>
  <si>
    <t>PERRY TOWNSHIP</t>
  </si>
  <si>
    <t>PLEASANT TOWNSHIP</t>
  </si>
  <si>
    <t>SCIPIO TOWNSHIP</t>
  </si>
  <si>
    <t>SPRINGFIELD TOWNSHIP</t>
  </si>
  <si>
    <t>ST. JOSEPH TOWNSHIP</t>
  </si>
  <si>
    <t>WAYNE TOWNSHIP</t>
  </si>
  <si>
    <t>FORT WAYNE CIVIL CITY</t>
  </si>
  <si>
    <t>GRABILL CIVIL TOWN</t>
  </si>
  <si>
    <t>HUNTERTOWN CIVIL TOWN</t>
  </si>
  <si>
    <t>LEO-CEDARVILLE</t>
  </si>
  <si>
    <t>MONROEVILLE CIVIL TOWN</t>
  </si>
  <si>
    <t>NEW HAVEN CIVIL CITY</t>
  </si>
  <si>
    <t>WOODBURN CIVIL CITY</t>
  </si>
  <si>
    <t>ZANESVILLE CIVIL TOWN</t>
  </si>
  <si>
    <t>EAST ALLEN COUNTY SCHOOL CORPORATION</t>
  </si>
  <si>
    <t>FORT WAYNE COMMUNITY SCHOOL CORPORATION</t>
  </si>
  <si>
    <t>M.S.D. SOUTHWEST ALLEN COUNTY SCHOOL COR</t>
  </si>
  <si>
    <t>NORTHWEST ALLEN COUNTY SCHOOL CORPORATIO</t>
  </si>
  <si>
    <t>ALLEN COUNTY PUBLIC LIBRARY</t>
  </si>
  <si>
    <t>ALLEN COUNTY SOLID WASTE</t>
  </si>
  <si>
    <t>FORT WAYNE PUBLIC TRANSPORTATION</t>
  </si>
  <si>
    <t>FORT WAYNE-ALLEN COUNTY AIRPORT AUTHORIT</t>
  </si>
  <si>
    <t>SOUTHWEST ALLEN COUNTY FIRE</t>
  </si>
  <si>
    <t xml:space="preserve"> 03 Bartholomew County CVET</t>
  </si>
  <si>
    <t>BARTHOLOMEW COUNTY</t>
  </si>
  <si>
    <t>CLAY TOWNSHIP</t>
  </si>
  <si>
    <t>CLIFTY TOWNSHIP</t>
  </si>
  <si>
    <t>COLUMBUS TOWNSHIP</t>
  </si>
  <si>
    <t>FLATROCK TOWNSHIP</t>
  </si>
  <si>
    <t>GERMAN TOWNSHIP</t>
  </si>
  <si>
    <t>HARRISON TOWNSHIP</t>
  </si>
  <si>
    <t>HAWCREEK TOWNSHIP</t>
  </si>
  <si>
    <t>OHIO TOWNSHIP</t>
  </si>
  <si>
    <t>ROCKCREEK TOWNSHIP</t>
  </si>
  <si>
    <t>SANDCREEK TOWNSHIP</t>
  </si>
  <si>
    <t>CLIFFORD CIVIL TOWN</t>
  </si>
  <si>
    <t>COLUMBUS CIVIL CITY</t>
  </si>
  <si>
    <t>EDINBURGH CIVIL TOWN</t>
  </si>
  <si>
    <t>ELIZABETHTOWN CIVIL TOWN</t>
  </si>
  <si>
    <t>HARTSVILLE CIVIL TOWN</t>
  </si>
  <si>
    <t>HOPE CIVIL TOWN</t>
  </si>
  <si>
    <t>JONESVILLE CIVIL TOWN</t>
  </si>
  <si>
    <t>BARTHOLOMEW CONSOLIDATED SCHOOL CORPORAT</t>
  </si>
  <si>
    <t>EDINBURGH COMMUNITY SCHOOL CORPORATION</t>
  </si>
  <si>
    <t>FLATROCK-HAWCREEK SCHOOL CORPORATION</t>
  </si>
  <si>
    <t>BARTHOLOMEW COUNTY PUBLIC LIBRARY</t>
  </si>
  <si>
    <t>EDINBURGH PUBLIC LIBRARY</t>
  </si>
  <si>
    <t>BARTHOLOMEW COUNTY SOLID WASTE MANAGEMEN</t>
  </si>
  <si>
    <t>04 Benton County CVET</t>
  </si>
  <si>
    <t>BENTON COUNTY</t>
  </si>
  <si>
    <t>BOLIVAR TOWNSHIP</t>
  </si>
  <si>
    <t>CENTER TOWNSHIP</t>
  </si>
  <si>
    <t>GILBOA TOWNSHIP</t>
  </si>
  <si>
    <t>GRANT TOWNSHIP</t>
  </si>
  <si>
    <t>HICKORY GROVE TOWNSHIP</t>
  </si>
  <si>
    <t>OAK GROVE TOWNSHIP</t>
  </si>
  <si>
    <t>PARISH GROVE TOWNSHIP</t>
  </si>
  <si>
    <t>PINE TOWNSHIP</t>
  </si>
  <si>
    <t>RICHLAND TOWNSHIP</t>
  </si>
  <si>
    <t>YORK TOWNSHIP</t>
  </si>
  <si>
    <t>AMBIA CIVIL TOWN</t>
  </si>
  <si>
    <t>BOSWELL CIVIL TOWN</t>
  </si>
  <si>
    <t>EARL PARK CIVIL TOWN</t>
  </si>
  <si>
    <t>FOWLER CIVIL TOWN</t>
  </si>
  <si>
    <t>OTTERBEIN CIVIL TOWN</t>
  </si>
  <si>
    <t>OXFORD CIVIL TOWN</t>
  </si>
  <si>
    <t>BENTON COMMUNITY SCHOOL CORPORATION</t>
  </si>
  <si>
    <t>SOUTH NEWTON SCHOOL CORPORATION</t>
  </si>
  <si>
    <t>TRI COUNTY SCHOOL CORPORTATION</t>
  </si>
  <si>
    <t>BENTON COUNTY PUBLIC LIBRARY</t>
  </si>
  <si>
    <t>BOSWELL PUBLIC LIBRARY</t>
  </si>
  <si>
    <t>EARL PARK PUBLIC LIBRARY</t>
  </si>
  <si>
    <t>OTTERBEIN PUBLIC LIBRARY</t>
  </si>
  <si>
    <t>OXFORD PUBLIC LIBRARY</t>
  </si>
  <si>
    <t>YORK TOWNSHIP PUBLIC LIBRARY</t>
  </si>
  <si>
    <t>NORTHWEST INDIANA SOLID WASTE MANAGEMENT</t>
  </si>
  <si>
    <t>05 Blackford County CVET</t>
  </si>
  <si>
    <t>BLACKFORD COUNTY</t>
  </si>
  <si>
    <t>LICKING TOWNSHIP</t>
  </si>
  <si>
    <t>DUNKIRK CIVIL CITY</t>
  </si>
  <si>
    <t>HARTFORD CITY CIVIL CITY</t>
  </si>
  <si>
    <t>MONTPELIER CIVIL CITY</t>
  </si>
  <si>
    <t>SHAMROCK LAKES CIVIL TOWN</t>
  </si>
  <si>
    <t>BLACKFORD COUNTY SCHOOL CORPORATION</t>
  </si>
  <si>
    <t>JAY COUNTY SCHOOL CORPORATION</t>
  </si>
  <si>
    <t>DUNKIRK PUBLIC LIBRARY</t>
  </si>
  <si>
    <t>HARTFORD CITY PUBLIC LIBRARY</t>
  </si>
  <si>
    <t>MONTPELIER PUBLIC LIBRARY</t>
  </si>
  <si>
    <t>MIDEAST INDIANA SOLID WASTE MANAGEMENT D</t>
  </si>
  <si>
    <t>06 Boone County CVET</t>
  </si>
  <si>
    <t>BOONE COUNTY</t>
  </si>
  <si>
    <t>CLINTON TOWNSHIP</t>
  </si>
  <si>
    <t>EAGLE TOWNSHIP</t>
  </si>
  <si>
    <t>SUGAR CREEK TOWNSHIP</t>
  </si>
  <si>
    <t>WORTH TOWNSHIP</t>
  </si>
  <si>
    <t>ADVANCE CIVIL TOWN</t>
  </si>
  <si>
    <t>JAMESTOWN CIVIL TOWN</t>
  </si>
  <si>
    <t>LEBANON CIVIL CITY</t>
  </si>
  <si>
    <t>THORNTOWN CIVIL TOWN</t>
  </si>
  <si>
    <t>ULEN CIVIL TOWN</t>
  </si>
  <si>
    <t>WHITESTOWN CIVIL TOWN</t>
  </si>
  <si>
    <t>ZIONSVILLE CIVIL TOWN</t>
  </si>
  <si>
    <t>EAGLE-UNION COMMUNITY SCHOOL CORPORATION</t>
  </si>
  <si>
    <t>LEBANON COMMUNITY SCHOOL CORPORATION</t>
  </si>
  <si>
    <t>MARION-ADAMS SCHOOL CORPORATION</t>
  </si>
  <si>
    <t>WESTERN BOONE COUNTY SCHOOL CORPORATION</t>
  </si>
  <si>
    <t>HUSSEY MEMORIAL LIBRARY</t>
  </si>
  <si>
    <t>LEBANON PUBLIC LIBRARY</t>
  </si>
  <si>
    <t>THORNTOWN PUBLIC LIBRARY</t>
  </si>
  <si>
    <t>BOONE COUNTY SOLID WASTE MANAGEMENT DIST</t>
  </si>
  <si>
    <t>07 Brown County CVET</t>
  </si>
  <si>
    <t>BROWN COUNTY</t>
  </si>
  <si>
    <t>HAMBLEN TOWNSHIP</t>
  </si>
  <si>
    <t>VAN BUREN TOWNSHIP</t>
  </si>
  <si>
    <t>NASHVILLE CIVIL TOWN</t>
  </si>
  <si>
    <t>BROWN COUNTY SCHOOL CORPORTATION</t>
  </si>
  <si>
    <t>BROWN COUNTY PUBLIC LIBRARY</t>
  </si>
  <si>
    <t>BROWN COUNTY SOLID WASTE MANAGEMENT</t>
  </si>
  <si>
    <t>HAMBLEN TOWNSHIP FIRE PROTECTION DISTR.</t>
  </si>
  <si>
    <t>08 Carroll County CVET</t>
  </si>
  <si>
    <t>CARROLL COUNTY</t>
  </si>
  <si>
    <t>BURLINGTON TOWNSHIP</t>
  </si>
  <si>
    <t>CARROLLTON TOWNSHIP</t>
  </si>
  <si>
    <t>DEER CREEK TOWNSHIP</t>
  </si>
  <si>
    <t>DEMOCRAT TOWNSHIP</t>
  </si>
  <si>
    <t>LIBERTY TOWNSHIP</t>
  </si>
  <si>
    <t>ROCK CREEK TOWNSHIP</t>
  </si>
  <si>
    <t>TIPPECANOE TOWNSHIP</t>
  </si>
  <si>
    <t>BURLINGTON CIVIL TOWN</t>
  </si>
  <si>
    <t>CAMDEN CIVIL TOWN</t>
  </si>
  <si>
    <t>DELPHI CIVIL CITY</t>
  </si>
  <si>
    <t>FLORA CIVIL TOWN</t>
  </si>
  <si>
    <t>YEOMAN CIVIL TOWN</t>
  </si>
  <si>
    <t>CARROLL CONSOLIDATED SCHOOL CORPORATION</t>
  </si>
  <si>
    <t>DELPHI COMMUNITY SCHOOL CORPORATION</t>
  </si>
  <si>
    <t>ROSSVILLE CONSOLIDATED SCHOOL CORPORATIO</t>
  </si>
  <si>
    <t>TWIN LAKES COMMUNITY SCHOOL CORPORATION</t>
  </si>
  <si>
    <t>CAMDEN PUBLIC LIBRARY</t>
  </si>
  <si>
    <t>DELPHI PUBLIC LIBRARY</t>
  </si>
  <si>
    <t>FLORA PUBLIC LIBRARY</t>
  </si>
  <si>
    <t>NORTHWEST INDANA SOLID WASTE MANAGEMENT</t>
  </si>
  <si>
    <t>09 Cass County CVET</t>
  </si>
  <si>
    <t>CASS COUNTY</t>
  </si>
  <si>
    <t>BETHLEHEM TOWNSHIP</t>
  </si>
  <si>
    <t>BOONE TOWNSHIP</t>
  </si>
  <si>
    <t>EEL TOWNSHIP</t>
  </si>
  <si>
    <t>MIAMI TOWNSHIP</t>
  </si>
  <si>
    <t>NOBLE TOWNSHIP</t>
  </si>
  <si>
    <t>TIPTON TOWNSHIP</t>
  </si>
  <si>
    <t>GALVESTON CIVIL TOWN</t>
  </si>
  <si>
    <t>LOGANSPORT CIVIL CITY</t>
  </si>
  <si>
    <t>ONWARD CIVIL TOWN</t>
  </si>
  <si>
    <t>ROYAL CENTER CIVIL TOWN</t>
  </si>
  <si>
    <t>WALTON CIVIL TOWN</t>
  </si>
  <si>
    <t>CASTON SCHOOL CORPORATION</t>
  </si>
  <si>
    <t>LOGANSPORT COMMUNITY SCHOOL CORPORATION</t>
  </si>
  <si>
    <t>PIONEER REGIONAL SCHOOL CORPORATION</t>
  </si>
  <si>
    <t>SOUTHEASTERN SCHOOL CORPORATION</t>
  </si>
  <si>
    <t>LOGANSPORT-CASS PUBLIC LIBRARY</t>
  </si>
  <si>
    <t>ROYAL CENTER PUBLIC LIBRARY</t>
  </si>
  <si>
    <t>WALTON PUBLIC LIBRARY</t>
  </si>
  <si>
    <t>CASS COUNTY SOLID WASTE MANAGEMENT DISTR</t>
  </si>
  <si>
    <t>10 Clark County CVET</t>
  </si>
  <si>
    <t>CLARK COUNTY</t>
  </si>
  <si>
    <t>CARR TOWNSHIP</t>
  </si>
  <si>
    <t>CHARLESTOWN TOWNSHIP</t>
  </si>
  <si>
    <t>JEFFERSONVILLE TOWNSHIP</t>
  </si>
  <si>
    <t>OREGON TOWNSHIP</t>
  </si>
  <si>
    <t>OWEN TOWNSHIP</t>
  </si>
  <si>
    <t>SILVER CREEK TOWNSHIP</t>
  </si>
  <si>
    <t>UTICA TOWNSHIP</t>
  </si>
  <si>
    <t>WOOD TOWNSHIP</t>
  </si>
  <si>
    <t>CHARLESTOWN CIVIL CITY</t>
  </si>
  <si>
    <t>CLARKSVILLE CIVIL TOWN</t>
  </si>
  <si>
    <t>JEFFERSONVILLE CIVIL CITY</t>
  </si>
  <si>
    <t>NEW PROVIDENCE CIVIL TOWN</t>
  </si>
  <si>
    <t>SELLERSBURG CIVIL TOWN</t>
  </si>
  <si>
    <t>UTICA CIVIL TOWN</t>
  </si>
  <si>
    <t>CLARKSVILLE COMMUNITY SCHOOL CORPORATION</t>
  </si>
  <si>
    <t>GREATER CLARK COUNTY SCHOOL CORPORATION</t>
  </si>
  <si>
    <t>WEST CLARK COMMUNITY SCHOOL CORPORATION</t>
  </si>
  <si>
    <t>CHARLESTOWN-CLARK COUNTY CONTRACTUAL LIB</t>
  </si>
  <si>
    <t>JEFFERSONVILLE TOWNSHIP PUBLIC LIBRARY</t>
  </si>
  <si>
    <t>CHARLESTOWN FIRE</t>
  </si>
  <si>
    <t>CLARK COUNTY SOLID WASTE MANAGEMENT DIST</t>
  </si>
  <si>
    <t>JEFFERSONVILLE FLOOD CONTROL</t>
  </si>
  <si>
    <t>MONROE TOWNSHIP FIRE PROTECTION</t>
  </si>
  <si>
    <t>NEW WASHINGTON FIRE PROTECTION DISTRICT</t>
  </si>
  <si>
    <t>TRI-TOWNSHIP FIRE PROTECTION DISTRICT</t>
  </si>
  <si>
    <t>UTICA TOWNSHIP FIRE DISTRICT</t>
  </si>
  <si>
    <t>11 Clay County CVET</t>
  </si>
  <si>
    <t>CLAY COUNTY</t>
  </si>
  <si>
    <t>BRAZIL TOWNSHIP</t>
  </si>
  <si>
    <t>CASS TOWNSHIP</t>
  </si>
  <si>
    <t>DICK JOHNSON TOWNSHIP</t>
  </si>
  <si>
    <t>LEWIS TOWNSHIP</t>
  </si>
  <si>
    <t>POSEY TOWNSHIP</t>
  </si>
  <si>
    <t>SUGAR RIDGE TOWNSHIP</t>
  </si>
  <si>
    <t>BRAZIL CIVIL CITY</t>
  </si>
  <si>
    <t>CARBON CIVIL TOWN</t>
  </si>
  <si>
    <t>CENTER POINT CIVIL TOWN</t>
  </si>
  <si>
    <t>CLAY CITY CIVIL TOWN</t>
  </si>
  <si>
    <t>HARMONY CIVIL TOWN</t>
  </si>
  <si>
    <t>KNIGHTSVILLE CIVIL TOWN</t>
  </si>
  <si>
    <t>STAUNTON CIVIL TOWN</t>
  </si>
  <si>
    <t>CLAY COMMUNITY SCHOOL CORPORATION</t>
  </si>
  <si>
    <t>M.S.D. SHAKAMAK SCHOOL CORPORATION</t>
  </si>
  <si>
    <t>BRAZIL PUBLIC LIBRARY</t>
  </si>
  <si>
    <t>CLAY-OWEN-VIGO SOLID WASTE MANAGEMENT DI</t>
  </si>
  <si>
    <t>12 Clinton Co. CVET</t>
  </si>
  <si>
    <t>CLINTON COUNTY</t>
  </si>
  <si>
    <t>FOREST TOWNSHIP</t>
  </si>
  <si>
    <t>JOHNSON TOWNSHIP</t>
  </si>
  <si>
    <t>KIRKLIN TOWNSHIP</t>
  </si>
  <si>
    <t>MICHIGAN TOWNSHIP</t>
  </si>
  <si>
    <t>ROSS TOWNSHIP</t>
  </si>
  <si>
    <t>WARREN TOWNSHIP</t>
  </si>
  <si>
    <t>COLFAX CIVIL TOWN</t>
  </si>
  <si>
    <t>FRANKFORT CIVIL CITY</t>
  </si>
  <si>
    <t>KIRKLIN CIVIL TOWN</t>
  </si>
  <si>
    <t>MICHIGANTOWN CIVIL TOWN</t>
  </si>
  <si>
    <t>MULBERRY CIVIL TOWN</t>
  </si>
  <si>
    <t>ROSSVILLE CIVIL TOWN</t>
  </si>
  <si>
    <t>CLINTON CENTRAL SCHOOL CORPORATION</t>
  </si>
  <si>
    <t>CLINTON PRAIRIE SCHOOL CORPORATION</t>
  </si>
  <si>
    <t>FRANKFORT COMMUNITY SCHOOL CORPORATION</t>
  </si>
  <si>
    <t>CLINTON COUNTY CONTRACTUAL PUBLIC LIBRAR</t>
  </si>
  <si>
    <t>COLFAX PUBLIC LIBRARY</t>
  </si>
  <si>
    <t>FRANKFORT COMMUNITY PUBLIC LIBRARY</t>
  </si>
  <si>
    <t>KIRKLIN PUBLIC LIBRARY</t>
  </si>
  <si>
    <t>FRANKFORT AIRPORT</t>
  </si>
  <si>
    <t>WILDCAT CREEK SOLID WASTE MANAGEMENT DIS</t>
  </si>
  <si>
    <t>County Total (Unit Amounts Plus Allocations)</t>
  </si>
  <si>
    <t>13 Crawford County CVET</t>
  </si>
  <si>
    <t>CRAWFORD COUNTY</t>
  </si>
  <si>
    <t>JENNINGS TOWNSHIP</t>
  </si>
  <si>
    <t>PATOKA TOWNSHIP</t>
  </si>
  <si>
    <t>STERLING TOWNSHIP</t>
  </si>
  <si>
    <t>WHISKEY RUN TOWNSHIP</t>
  </si>
  <si>
    <t>ALTON CIVIL TOWN</t>
  </si>
  <si>
    <t>ENGLISH CIVIL TOWN</t>
  </si>
  <si>
    <t>LEAVENWORTH CIVIL TOWN</t>
  </si>
  <si>
    <t>MARENGO CIVIL TOWN</t>
  </si>
  <si>
    <t>MILLTOWN CIVIL TOWN</t>
  </si>
  <si>
    <t>CRAWFORD COUNTY COMMUNITY SCHOOL CORPORA</t>
  </si>
  <si>
    <t>CRAWFORD COUNTY PUBLIC LIBRARY</t>
  </si>
  <si>
    <t>CRAWFORD COUNTY SOLID WASTE MANAGEMENT D</t>
  </si>
  <si>
    <t>ENGLISH FIRE</t>
  </si>
  <si>
    <t>MARENGO-LIBERTY TOWNSHIP FIRE</t>
  </si>
  <si>
    <t>WHISKEY RUN FIRE PROTECTION DISTRICT</t>
  </si>
  <si>
    <t>14 Daviess County CVET</t>
  </si>
  <si>
    <t>DAVIESS COUNTY</t>
  </si>
  <si>
    <t>BARR TOWNSHIP</t>
  </si>
  <si>
    <t>BOGARD TOWNSHIP</t>
  </si>
  <si>
    <t>ELMORE TOWNSHIP</t>
  </si>
  <si>
    <t>REEVE TOWNSHIP</t>
  </si>
  <si>
    <t>STEELE TOWNSHIP</t>
  </si>
  <si>
    <t>VEALE TOWNSHIP</t>
  </si>
  <si>
    <t>ALFORDSVILLE CIVIL TOWN</t>
  </si>
  <si>
    <t>CANNELBURG CIVIL TOWN</t>
  </si>
  <si>
    <t>ELNORA CIVIL TOWN</t>
  </si>
  <si>
    <t>MONTGOMERY CIVIL TOWN</t>
  </si>
  <si>
    <t>ODON CIVIL TOWN</t>
  </si>
  <si>
    <t>PLAINVILLE CIVIL TOWN</t>
  </si>
  <si>
    <t>WASHINGTON CIVIL CITY</t>
  </si>
  <si>
    <t>BARR-REEVE COMMUNITY SCHOOL CORPORATION</t>
  </si>
  <si>
    <t>NORTH DAVIESS COUNTY SCHOOL CORPORATION</t>
  </si>
  <si>
    <t>WASHINGTON COMMUNITY SCHOOL CORPORATION</t>
  </si>
  <si>
    <t>ODON-WINKELPLECK PUBLIC LIBRARY</t>
  </si>
  <si>
    <t>WASHINGTON CARNEGIE PUBLIC LIBRARY</t>
  </si>
  <si>
    <t>DAVIESS COUNTY SOLID WASTE DISTRICT</t>
  </si>
  <si>
    <t>SOUTHEAST DAVIESS FIRE PROTECTION DISTRI</t>
  </si>
  <si>
    <t>VEALE FIRE DISTRICT</t>
  </si>
  <si>
    <t>15 Dearborn County CVET</t>
  </si>
  <si>
    <t>DEARBORN COUNTY</t>
  </si>
  <si>
    <t>CAESAR CREEK TOWNSHIP</t>
  </si>
  <si>
    <t>HOGAN TOWNSHIP</t>
  </si>
  <si>
    <t>KELSO TOWNSHIP</t>
  </si>
  <si>
    <t>LAWRENCEBURG TOWNSHIP</t>
  </si>
  <si>
    <t>LOGAN TOWNSHIP</t>
  </si>
  <si>
    <t>MANCHESTER TOWNSHIP</t>
  </si>
  <si>
    <t>MILLER TOWNSHIP</t>
  </si>
  <si>
    <t>SPARTA TOWNSHIP</t>
  </si>
  <si>
    <t>AURORA CIVIL CITY</t>
  </si>
  <si>
    <t>DILLSBORO CIVIL TOWN</t>
  </si>
  <si>
    <t>GREENDALE CIVIL TOWN</t>
  </si>
  <si>
    <t>LAWRENCEBURG CIVIL CITY</t>
  </si>
  <si>
    <t>MOORES HILL CIVIL TOWN</t>
  </si>
  <si>
    <t>ST. LEON CIVIL TOWN</t>
  </si>
  <si>
    <t>WEST HARRISON CIVIL TOWN</t>
  </si>
  <si>
    <t>LAWRENCEBURG COMMUNITY SCHOOL CORPORATIO</t>
  </si>
  <si>
    <t>SOUTH DEARBORN COMMUNITY SCHOOL CORPORAT</t>
  </si>
  <si>
    <t>SUNMAN-DEARBORN COMMUNITY SCHOOL CORPORA</t>
  </si>
  <si>
    <t>AURORA PUBLIC LIBRARY</t>
  </si>
  <si>
    <t>LAWRENCEBURG PUBLIC LIBRARY</t>
  </si>
  <si>
    <t>DEARBORN COUNTY SOLID WASTE</t>
  </si>
  <si>
    <t>16 Decatur County CVET</t>
  </si>
  <si>
    <t>DECATUR COUNTY</t>
  </si>
  <si>
    <t>FUGIT TOWNSHIP</t>
  </si>
  <si>
    <t>SALTCREEK TOWNSHIP</t>
  </si>
  <si>
    <t>GREENSBURG CIVIL CITY</t>
  </si>
  <si>
    <t>MILFORD CIVIL TOWN</t>
  </si>
  <si>
    <t>MILLHOUSEN CIVIL TOWN</t>
  </si>
  <si>
    <t>NEW POINT CIVIL TOWN</t>
  </si>
  <si>
    <t>ST. PAUL CIVIL TOWN</t>
  </si>
  <si>
    <t>WESTPORT CIVIL TOWN</t>
  </si>
  <si>
    <t>DECATUR COUNTY COMMUNITY SCHOOL CORPORAT</t>
  </si>
  <si>
    <t>DECATUR COUNTY CONTRACTUAL LIBRARY</t>
  </si>
  <si>
    <t>GREENSBURG COMMUNITY SCHOOL CORPORATION</t>
  </si>
  <si>
    <t>GREENSBURG PUBLIC LIBRARY</t>
  </si>
  <si>
    <t>DECATUR COUNTY SOLID WASTE MANAGEMENT</t>
  </si>
  <si>
    <t>17 DeKalb County CVET</t>
  </si>
  <si>
    <t>DEKALB COUNTY</t>
  </si>
  <si>
    <t>BUTLER TOWNSHIP</t>
  </si>
  <si>
    <t>CONCORD TOWNSHIP</t>
  </si>
  <si>
    <t>FAIRFIELD TOWNSHIP</t>
  </si>
  <si>
    <t>FRANKLIN TOWNSHIP</t>
  </si>
  <si>
    <t>KEYSER TOWNSHIP</t>
  </si>
  <si>
    <t>NEWVILLE TOWNSHIP</t>
  </si>
  <si>
    <t>SMITHFIELD TOWNSHIP</t>
  </si>
  <si>
    <t>SPENCER TOWNSHIP</t>
  </si>
  <si>
    <t>STAFFORD TOWNSHIP</t>
  </si>
  <si>
    <t>TROY TOWNSHIP</t>
  </si>
  <si>
    <t>WILMINGTON TOWNSHIP</t>
  </si>
  <si>
    <t>ALTONA CIVIL TOWN</t>
  </si>
  <si>
    <t>ASHLEY CIVIL TOWN</t>
  </si>
  <si>
    <t>AUBURN CIVIL CITY</t>
  </si>
  <si>
    <t>BUTLER CIVIL CITY</t>
  </si>
  <si>
    <t>CORUNNA CIVIL TOWN</t>
  </si>
  <si>
    <t>GARRETT CIVIL CITY</t>
  </si>
  <si>
    <t>HAMILTON CIVIL TOWN</t>
  </si>
  <si>
    <t>ST. JOE CIVIL TOWN</t>
  </si>
  <si>
    <t>WATERLOO CIVIL TOWN</t>
  </si>
  <si>
    <t>DEKALB COUNTY CENTRAL UNITED SCHOOL CORP</t>
  </si>
  <si>
    <t>DEKALB COUNTY EASTERN COMMUNITY SCHOOL C</t>
  </si>
  <si>
    <t>GARRETT-KEYSER-BUTLER COMMUNITY SCHOOL C</t>
  </si>
  <si>
    <t>HAMILTON COMMUNITY SCHOOL CORPORATION</t>
  </si>
  <si>
    <t>AUBURN-ECKHART PUBLIC LIBRARY</t>
  </si>
  <si>
    <t>BUTLER CARNEGIE PUBLIC LIBRARY</t>
  </si>
  <si>
    <t>GARRETT PUBLIC LIBRARY</t>
  </si>
  <si>
    <t>WATERLOO PUBLIC LIBRARY</t>
  </si>
  <si>
    <t>NORTHEAST INDIANA SOLID WASTE MANAGEMENT</t>
  </si>
  <si>
    <t>18 Delaware County CVET</t>
  </si>
  <si>
    <t>DELAWARE COUNTY</t>
  </si>
  <si>
    <t>DELAWARE TOWNSHIP</t>
  </si>
  <si>
    <t>HAMILTON TOWNSHIP</t>
  </si>
  <si>
    <t>MT. PLEASANT TOWNSHIP</t>
  </si>
  <si>
    <t>NILES TOWNSHIP</t>
  </si>
  <si>
    <t>SALEM TOWNSHIP</t>
  </si>
  <si>
    <t>ALBANY CIVIL TOWN</t>
  </si>
  <si>
    <t>CHESTERFIELD CIVIL TOWN</t>
  </si>
  <si>
    <t>DALEVILLE CIVIL TOWN</t>
  </si>
  <si>
    <t>EATON CIVIL TOWN</t>
  </si>
  <si>
    <t>GASTON CIVIL TOWN</t>
  </si>
  <si>
    <t>MUNCIE CIVIL CITY</t>
  </si>
  <si>
    <t>SELMA CIVIL TOWN</t>
  </si>
  <si>
    <t>YORKTOWN CIVIL TOWN</t>
  </si>
  <si>
    <t>COWAN COMMUNITY SCHOOL CORPORATION</t>
  </si>
  <si>
    <t>DALEVILLE COMMUNITY SCHOOLS</t>
  </si>
  <si>
    <t>DELAWARE COMMUNITY SCHOOL CORPORATION</t>
  </si>
  <si>
    <t>HARRISON-WASHINGTON COMMUNITY SCHOOL COR</t>
  </si>
  <si>
    <t>LIBERTY-PERRY COMMUNITY SCHOOL CORPORATI</t>
  </si>
  <si>
    <t>MT. PLEASANT TOWNSHIP COMMUNITY SCHOOL C</t>
  </si>
  <si>
    <t>MUNCIE COMMUNITY SCHOOL CORPORATION</t>
  </si>
  <si>
    <t>MUNCIE PUBLIC LIBRARY</t>
  </si>
  <si>
    <t>DELAWARE AIRPORT</t>
  </si>
  <si>
    <t>EAST CENTRAL INDIANA SOLID WASTE</t>
  </si>
  <si>
    <t>MUNCIE PUBLIC TRANSPORTATION</t>
  </si>
  <si>
    <t>MUNCIE SANITARY</t>
  </si>
  <si>
    <t>County Total (Units Amounts Plus Allocations)</t>
  </si>
  <si>
    <t>19 Dubois County CVET</t>
  </si>
  <si>
    <t>DUBOIS COUNTY</t>
  </si>
  <si>
    <t>BAINBRIDGE TOWNSHIP</t>
  </si>
  <si>
    <t>COLUMBIA TOWNSHIP</t>
  </si>
  <si>
    <t>FERDINAND TOWNSHIP</t>
  </si>
  <si>
    <t>HALL TOWNSHIP</t>
  </si>
  <si>
    <t>HARBISON TOWNSHIP</t>
  </si>
  <si>
    <t>BIRDSEYE CIVIL TOWN</t>
  </si>
  <si>
    <t>FERDINAND CIVIL TOWN</t>
  </si>
  <si>
    <t>HOLLAND CIVIL TOWN</t>
  </si>
  <si>
    <t>HUNTINGBURG CIVIL CITY</t>
  </si>
  <si>
    <t>JASPER CIVIL CITY</t>
  </si>
  <si>
    <t>GREATER JASPER CONSOLIDATED SCHOOL CORPO</t>
  </si>
  <si>
    <t>NORTHEAST DUBOIS COUNTY SCHOOL CORPORATI</t>
  </si>
  <si>
    <t>SOUTHEAST DUBOIS COUNTY SCHOOL CORPORATI</t>
  </si>
  <si>
    <t>SOUTHWEST DUBOIS COUNTY SCHOOL CORPORATI</t>
  </si>
  <si>
    <t>DUBOIS COUNTY CONTRACTUAL LIBRARY</t>
  </si>
  <si>
    <t>HUNTINGBURG PUBLIC LIBRARY</t>
  </si>
  <si>
    <t>JASPER PUBLIC LIBRARY</t>
  </si>
  <si>
    <t>DUBOIS COUNTY AIRPORT</t>
  </si>
  <si>
    <t>DUBOIS COUNTY SOLID WASTE MANAGEMENT DIS</t>
  </si>
  <si>
    <t>NORTHEAST DUBOIS COUNTY FIRE PROTECTION</t>
  </si>
  <si>
    <t>ELKHART COUNTY</t>
  </si>
  <si>
    <t>BAUGO TOWNSHIP</t>
  </si>
  <si>
    <t>BENTON TOWNSHIP</t>
  </si>
  <si>
    <t>CLEVELAND TOWNSHIP</t>
  </si>
  <si>
    <t>ELKHART TOWNSHIP</t>
  </si>
  <si>
    <t>LOCKE TOWNSHIP</t>
  </si>
  <si>
    <t>MIDDLEBURY TOWNSHIP</t>
  </si>
  <si>
    <t>OLIVE TOWNSHIP</t>
  </si>
  <si>
    <t>OSOLO TOWNSHIP</t>
  </si>
  <si>
    <t>BRISTOL CIVIL TOWN</t>
  </si>
  <si>
    <t>ELKHART CIVIL CITY</t>
  </si>
  <si>
    <t>GOSHEN CIVIL CITY</t>
  </si>
  <si>
    <t>MIDDLEBURY CIVIL TOWN</t>
  </si>
  <si>
    <t>MILLERSBURG CIVIL TOWN</t>
  </si>
  <si>
    <t>NAPPANEE CIVIL CITY</t>
  </si>
  <si>
    <t>WAKARUSA CIVIL TOWN</t>
  </si>
  <si>
    <t>BAUGO COMMUNITY SCHOOL CORPORATION</t>
  </si>
  <si>
    <t>CONCORD COMMUNITY SCHOOL CORPORATION</t>
  </si>
  <si>
    <t>ELKHART COMMUNITY SCHOOL CORPORATION</t>
  </si>
  <si>
    <t>FAIRFIELD COMMUNITY SCHOOL CORPORATION</t>
  </si>
  <si>
    <t>GOSHEN COMMUNITY SCHOOL CORPORATION</t>
  </si>
  <si>
    <t>MIDDLEBURY COMMUNITY SCHOOL CORPORATION</t>
  </si>
  <si>
    <t>WA-NEE COMMUNITY SCHOOL CORPORATION</t>
  </si>
  <si>
    <t>BRISTOL PUBLIC LIBRARY</t>
  </si>
  <si>
    <t>ELKHART PUBLIC LIBRARY</t>
  </si>
  <si>
    <t>GOSHEN PUBLIC LIBRARY</t>
  </si>
  <si>
    <t>MIDDLEBURY PUBLIC LIBRARY</t>
  </si>
  <si>
    <t>NAPPANEE PUBLIC LIBRARY</t>
  </si>
  <si>
    <t>WAKARUSA-OLIVE TOWNSHIP-HARRISON TOWNSHI</t>
  </si>
  <si>
    <t>ELKHART CNTY SW MANAGEMENT DISTRICT</t>
  </si>
  <si>
    <t>21 Fayette County CVET</t>
  </si>
  <si>
    <t>FAYETTE COUNTY</t>
  </si>
  <si>
    <t>CONNERSVILLE TOWNSHIP</t>
  </si>
  <si>
    <t>FAIRVIEW TOWNSHIP</t>
  </si>
  <si>
    <t>ORANGE TOWNSHIP</t>
  </si>
  <si>
    <t>WATERLOO TOWNSHIP</t>
  </si>
  <si>
    <t>CONNERSVILLE CIVIL CITY</t>
  </si>
  <si>
    <t>GLENWOOD CIVIL TOWN</t>
  </si>
  <si>
    <t>FAYETTE COUNTY SCHOOL CORPORATION</t>
  </si>
  <si>
    <t>FAYETTE COUNTY PUBLIC LIBRARY</t>
  </si>
  <si>
    <t>THREE RIVERS SOLID WASTE MANAGEMENT DIST</t>
  </si>
  <si>
    <t>22 Floyd County CVET</t>
  </si>
  <si>
    <t>FLOYD COUNTY</t>
  </si>
  <si>
    <t>GEORGETOWN TOWNSHIP</t>
  </si>
  <si>
    <t>GREENVILLE TOWNSHIP</t>
  </si>
  <si>
    <t>NEW ALBANY TOWNSHIP</t>
  </si>
  <si>
    <t>GEORGETOWN CIVIL TOWN</t>
  </si>
  <si>
    <t>GREENVILLE CIVIL TOWN</t>
  </si>
  <si>
    <t>NEW ALBANY CIVIL CITY</t>
  </si>
  <si>
    <t>NEW ALBANY-FLOYD COUNTY CONSOLIDATED SCH</t>
  </si>
  <si>
    <t>NEW ALBANY-FLOYD COUNTY PUBLIC LIBRARY</t>
  </si>
  <si>
    <t>FLOYD COUNTY SOLID WASTE</t>
  </si>
  <si>
    <t>NEW ALBANY FLOOD CONTROL</t>
  </si>
  <si>
    <t>23 Fountain County CVET</t>
  </si>
  <si>
    <t>FOUNTAIN COUNTY</t>
  </si>
  <si>
    <t>CAIN TOWNSHIP</t>
  </si>
  <si>
    <t>DAVIS TOWNSHIP</t>
  </si>
  <si>
    <t>FULTON TOWNSHIP</t>
  </si>
  <si>
    <t>MILLCREEK TOWNSHIP</t>
  </si>
  <si>
    <t>SHAWNEE TOWNSHIP</t>
  </si>
  <si>
    <t>ATTICA CIVIL CITY</t>
  </si>
  <si>
    <t>COVINGTON CIVIL CITY</t>
  </si>
  <si>
    <t>HILLSBORO CIVIL TOWN</t>
  </si>
  <si>
    <t>KINGMAN CIVIL TOWN</t>
  </si>
  <si>
    <t>MELLOTT CIVIL TOWN</t>
  </si>
  <si>
    <t>NEWTOWN CIVIL TOWN</t>
  </si>
  <si>
    <t>VEEDERSBURG CIVIL TOWN</t>
  </si>
  <si>
    <t>WALLACE CIVIL TOWN</t>
  </si>
  <si>
    <t>ATTICA CONSOLIDATED SCHOOL CORPORATION</t>
  </si>
  <si>
    <t>COVINGTON COMMUNITY SCHOOL CORPORATION</t>
  </si>
  <si>
    <t>SOUTHEAST FOUNTAIN SCHOOL CORPORATION</t>
  </si>
  <si>
    <t>ATTICA PUBLIC LIBRARY</t>
  </si>
  <si>
    <t>COVINGTON PUBLIC LIBRARY</t>
  </si>
  <si>
    <t>KINGMAN-MILLCREEK PUBLIC LIBRARY</t>
  </si>
  <si>
    <t>FOUNTAIN COUNTY SOLID WASTE MANAGEMENT D</t>
  </si>
  <si>
    <t>24 Franklin County CVET</t>
  </si>
  <si>
    <t>FRANKLIN COUNTY</t>
  </si>
  <si>
    <t>BATH TOWNSHIP</t>
  </si>
  <si>
    <t>BLOOMING GROVE TOWNSHIP</t>
  </si>
  <si>
    <t>BROOKVILLE TOWNSHIP</t>
  </si>
  <si>
    <t>HIGHLAND TOWNSHIP</t>
  </si>
  <si>
    <t>LAUREL TOWNSHIP</t>
  </si>
  <si>
    <t>METAMORA TOWNSHIP</t>
  </si>
  <si>
    <t>RAY TOWNSHIP</t>
  </si>
  <si>
    <t>SALT CREEK TOWNSHIP</t>
  </si>
  <si>
    <t>WHITEWATER TOWNSHIP</t>
  </si>
  <si>
    <t>BATESVILLE CIVIL CITY</t>
  </si>
  <si>
    <t>BROOKVILLE CIVIL TOWN</t>
  </si>
  <si>
    <t>CEDAR GROVE CIVIL TOWN</t>
  </si>
  <si>
    <t>LAUREL CIVIL TOWN</t>
  </si>
  <si>
    <t>MT. CARMEL CIVIL TOWN</t>
  </si>
  <si>
    <t>OLDENBURG CIVIL TOWN</t>
  </si>
  <si>
    <t>BATESVILLE COMMUNITY SCHOOL CORPORATION</t>
  </si>
  <si>
    <t>FRANKLIN COUNTY COMMUNITY SCHOOL CORPORA</t>
  </si>
  <si>
    <t>UNION COUNTY SCHOOL CORPORATION</t>
  </si>
  <si>
    <t>BATESVILLE PUBLIC LIBRARY</t>
  </si>
  <si>
    <t>BROOKVILLE PUBLIC LIBRARY</t>
  </si>
  <si>
    <t>SOUTHEASTERN INDIANA SOLID WASTE MANAGEM</t>
  </si>
  <si>
    <t>SOUTHWEST FRANKLIN CO. FIRE TERRITORY</t>
  </si>
  <si>
    <t>25 Fulton County CVET</t>
  </si>
  <si>
    <t>FULTON COUNTY</t>
  </si>
  <si>
    <t>AUBBEENAUBBEE TOWNSHIP</t>
  </si>
  <si>
    <t>HENRY TOWNSHIP</t>
  </si>
  <si>
    <t>NEWCASTLE TOWNSHIP</t>
  </si>
  <si>
    <t>ROCHESTER TOWNSHIP</t>
  </si>
  <si>
    <t>AKRON CIVIL TOWN</t>
  </si>
  <si>
    <t>FULTON CIVIL TOWN</t>
  </si>
  <si>
    <t>KEWANNA CIVIL TOWN</t>
  </si>
  <si>
    <t>ROCHESTER CIVIL CITY</t>
  </si>
  <si>
    <t>CULVER COMMUNITY SCHOOL CORPORATION</t>
  </si>
  <si>
    <t>ROCHESTER COMMUNITY SCHOOL CORPORATION</t>
  </si>
  <si>
    <t>TIPPECANOE VALLEY SCHOOL CORPORATION</t>
  </si>
  <si>
    <t>UNION TOWNSHIP SCHOOL CORPORATION</t>
  </si>
  <si>
    <t>AKRON CARNEGIE PUBLIC LIBRARY</t>
  </si>
  <si>
    <t>FULTON COUNTY PUBLIC LIBRARY</t>
  </si>
  <si>
    <t>KEWANNA PUBLIC LIBRARY</t>
  </si>
  <si>
    <t>FULTON COUNTY SOLID WASTE MANAGEMENT DIS</t>
  </si>
  <si>
    <t>26 Gibson County CVET</t>
  </si>
  <si>
    <t>GIBSON COUNTY</t>
  </si>
  <si>
    <t>BARTON TOWNSHIP</t>
  </si>
  <si>
    <t>MONTGOMERY TOWNSHIP</t>
  </si>
  <si>
    <t>WHITE RIVER TOWNSHIP</t>
  </si>
  <si>
    <t>FORT BRANCH CIVIL TOWN</t>
  </si>
  <si>
    <t>FRANCISCO CIVIL TOWN</t>
  </si>
  <si>
    <t>HAUBSTADT CIVIL TOWN</t>
  </si>
  <si>
    <t>HAZELTON CIVIL TOWN</t>
  </si>
  <si>
    <t>MACKEY CIVIL TOWN</t>
  </si>
  <si>
    <t>OAKLAND CITY CIVIL CITY</t>
  </si>
  <si>
    <t>OWENSVILLE CIVIL TOWN</t>
  </si>
  <si>
    <t>PATOKA CIVIL TOWN</t>
  </si>
  <si>
    <t>PRINCETON CIVIL CITY</t>
  </si>
  <si>
    <t>SOMERVILLE CIVIL TOWN</t>
  </si>
  <si>
    <t>EAST GIBSON SCHOOL CORPORATION</t>
  </si>
  <si>
    <t>NORTH GIBSON SCHOOL CORPORATION</t>
  </si>
  <si>
    <t>SOUTH GIBSON SCHOOL CORPORATION</t>
  </si>
  <si>
    <t>FORT BRANCH-JOHNSON TOWNSHIP LIBRARY</t>
  </si>
  <si>
    <t>OAKLAND CITY-COLUMBIA TOWNSHIP PUBLIC LI</t>
  </si>
  <si>
    <t>OWENSVILLE CARNEGIE LIBRARY</t>
  </si>
  <si>
    <t>PRINCETON-PATOKA TOWNSHIP PUBLIC LIBRARY</t>
  </si>
  <si>
    <t>GIBSON CO SOLID WASTE MANAGEMENT</t>
  </si>
  <si>
    <t>OWENSVILLE-MONTGOMERY TOWNSHIP FIRE</t>
  </si>
  <si>
    <t>27 Grant County CVET</t>
  </si>
  <si>
    <t xml:space="preserve"> </t>
  </si>
  <si>
    <t>GRANT COUNTY</t>
  </si>
  <si>
    <t>FAIRMOUNT TOWNSHIP</t>
  </si>
  <si>
    <t>GREEN TOWNSHIP</t>
  </si>
  <si>
    <t>MILL TOWNSHIP</t>
  </si>
  <si>
    <t>SIMS TOWNSHIP</t>
  </si>
  <si>
    <t>CONVERSE CIVIL TOWN</t>
  </si>
  <si>
    <t>FAIRMOUNT CIVIL TOWN</t>
  </si>
  <si>
    <t>FOWLERTON CIVIL TOWN</t>
  </si>
  <si>
    <t>GAS CITY CIVIL CITY</t>
  </si>
  <si>
    <t>JONESBORO CIVIL TOWN</t>
  </si>
  <si>
    <t>MARION CIVIL CITY</t>
  </si>
  <si>
    <t>MATTHEWS CIVIL TOWN</t>
  </si>
  <si>
    <t>SWAYZEE CIVIL TOWN</t>
  </si>
  <si>
    <t>SWEETSER CIVIL TOWN</t>
  </si>
  <si>
    <t>UPLAND CIVIL TOWN</t>
  </si>
  <si>
    <t>VAN BUREN CIVIL TOWN</t>
  </si>
  <si>
    <t>EASTBROOK COMMUNITY SCHOOL CORPORATION</t>
  </si>
  <si>
    <t>MADISON-GRANT UNITED SCHOOL CORPORATION</t>
  </si>
  <si>
    <t>MARION COMMUNITY SCHOOL CORPORATION</t>
  </si>
  <si>
    <t>MISSISSINEWA COMMUNITY SCHOOL CORPORATIO</t>
  </si>
  <si>
    <t>OAK HILL UNITED SCHOOL CORPORATION</t>
  </si>
  <si>
    <t>BARTON-REES-POGUE MEMORIAL LIBRARY</t>
  </si>
  <si>
    <t>CONVERSE-JACKSON TOWNSHIP PUBLIC LIBRARY</t>
  </si>
  <si>
    <t>FAIRMOUNT PUBLIC LIBRARY</t>
  </si>
  <si>
    <t>GAS CITY-MILL TOWNSHIP PUBLIC LIBRARY</t>
  </si>
  <si>
    <t>JONESBORO PUBLIC LIBRARY</t>
  </si>
  <si>
    <t>MARION PUBLIC LIBRARY</t>
  </si>
  <si>
    <t>MATTHEWS PUBLIC LIBRARY</t>
  </si>
  <si>
    <t>SWAYZEE PUBLIC LIBRARY</t>
  </si>
  <si>
    <t>VAN BUREN PUBLIC LIBRARY</t>
  </si>
  <si>
    <t>28 Greene County CVET</t>
  </si>
  <si>
    <t>GREENE COUNTY</t>
  </si>
  <si>
    <t>BEECH CREEK TOWNSHIP</t>
  </si>
  <si>
    <t>FAIRPLAY TOWNSHIP</t>
  </si>
  <si>
    <t>SMITH TOWNSHIP</t>
  </si>
  <si>
    <t>STOCKTON TOWNSHIP</t>
  </si>
  <si>
    <t>TAYLOR TOWNSHIP</t>
  </si>
  <si>
    <t>WRIGHT TOWNSHIP</t>
  </si>
  <si>
    <t>BLOOMFIELD CIVIL TOWN</t>
  </si>
  <si>
    <t>JASONVILLE CIVIL CITY</t>
  </si>
  <si>
    <t>LINTON CIVIL CITY</t>
  </si>
  <si>
    <t>LYONS CIVIL TOWN</t>
  </si>
  <si>
    <t>NEWBERRY CIVIL TOWN</t>
  </si>
  <si>
    <t>SWITZ CITY CIVIL TOWN</t>
  </si>
  <si>
    <t>WORTHINGTON CIVIL TOWN</t>
  </si>
  <si>
    <t>BLOOMFIELD SCHOOL DISTRICT</t>
  </si>
  <si>
    <t>EASTERN CONSOLIDATED SCHOOL CORPORATION</t>
  </si>
  <si>
    <t>LINTON-STOCKTON SCHOOL CORPORATION</t>
  </si>
  <si>
    <t>WHITE RIVER VALLEY CONSOLIDATED SCHOOL C</t>
  </si>
  <si>
    <t>BLOOMFIELD-EASTERN GREENE COUNTY PUBLIC</t>
  </si>
  <si>
    <t>JASONVILLE PUBLIC LIBRARY</t>
  </si>
  <si>
    <t>LINTON PUBLIC LIBRARY</t>
  </si>
  <si>
    <t>WORTHINGTON PUBLIC LIBRARY</t>
  </si>
  <si>
    <t>GREENE COUNTY SOLID WASTE</t>
  </si>
  <si>
    <t>29 Hamilton County CVET</t>
  </si>
  <si>
    <t>HAMILTON COUNTY</t>
  </si>
  <si>
    <t>FALL CREEK TOWNSHIP</t>
  </si>
  <si>
    <t>NOBLESVILLE TOWNSHIP</t>
  </si>
  <si>
    <t>ARCADIA CIVIL TOWN</t>
  </si>
  <si>
    <t>ATLANTA CIVIL TOWN</t>
  </si>
  <si>
    <t>CARMEL CIVIL CITY</t>
  </si>
  <si>
    <t>CICERO CIVIL TOWN</t>
  </si>
  <si>
    <t>FISHERS CIVIL TOWN</t>
  </si>
  <si>
    <t>NOBLESVILLE CIVIL CITY</t>
  </si>
  <si>
    <t>SHERIDAN CIVIL TOWN</t>
  </si>
  <si>
    <t>WESTFIELD CIVIL TOWN</t>
  </si>
  <si>
    <t>CARMEL-CLAY SCHOOL CORPORATION</t>
  </si>
  <si>
    <t>HAMILTON HEIGHTS SCHOOL CORPORATION</t>
  </si>
  <si>
    <t>HAMILTON SOUTHEASTERN SCHOOL CORPORATION</t>
  </si>
  <si>
    <t>NOBLESVILLE SCHOOL CORPORATION</t>
  </si>
  <si>
    <t>WESTFIELD-WASHINGTON SCHOOL CORPORATION</t>
  </si>
  <si>
    <t>ATLANTA PUBLIC LIBRARY</t>
  </si>
  <si>
    <t>CARMEL-CLAY PUBLIC LIBRARY</t>
  </si>
  <si>
    <t>NOBLESVILLE PUBLIC LIBRARY</t>
  </si>
  <si>
    <t>SHERIDAN PUBLIC LIBRARY</t>
  </si>
  <si>
    <t>WESTFIELD PUBLIC LIBRARY</t>
  </si>
  <si>
    <t>30 Hancock County CVET</t>
  </si>
  <si>
    <t>HANCOCK COUNTY</t>
  </si>
  <si>
    <t>BLUE RIVER TOWNSHIP</t>
  </si>
  <si>
    <t>BRANDYWINE TOWNSHIP</t>
  </si>
  <si>
    <t>BROWN TOWNSHIP</t>
  </si>
  <si>
    <t>BUCK CREEK TOWNSHIP</t>
  </si>
  <si>
    <t>VERNON TOWNSHIP</t>
  </si>
  <si>
    <t>CUMBERLAND CIVIL TOWN</t>
  </si>
  <si>
    <t>FORTVILLE CIVIL TOWN</t>
  </si>
  <si>
    <t>GREENFIELD CIVIL CITY</t>
  </si>
  <si>
    <t>MCCORDSVILLE CIVIL TOWN</t>
  </si>
  <si>
    <t>NEW PALESTINE CIVIL TOWN</t>
  </si>
  <si>
    <t>SHIRLEY CIVIL TOWN</t>
  </si>
  <si>
    <t>SPRING LAKE CIVIL TOWN</t>
  </si>
  <si>
    <t>WILKINSON CIVIL TOWN</t>
  </si>
  <si>
    <t>EASTERN HANCOCK COUNTY COMMUNITY SCHOOL</t>
  </si>
  <si>
    <t>GREENFIELD CENTRAL COMMUNITY SCHOOL CORP</t>
  </si>
  <si>
    <t>MT. VERNON COMMUNITY SCHOOL CORPORATION</t>
  </si>
  <si>
    <t>SOUTHERN HANCOCK COUNTY COMMUNITY SCHOOL</t>
  </si>
  <si>
    <t>FORTVILLE PUBLIC LIBRARY</t>
  </si>
  <si>
    <t>HANCOCK COUNTY PUBLIC LIBRARY</t>
  </si>
  <si>
    <t>31 Harrison County CVET</t>
  </si>
  <si>
    <t>HARRISON COUNTY</t>
  </si>
  <si>
    <t>HETH TOWNSHIP</t>
  </si>
  <si>
    <t>MORGAN TOWNSHIP</t>
  </si>
  <si>
    <t>WEBSTER TOWNSHIP</t>
  </si>
  <si>
    <t>CORYDON CIVIL TOWN</t>
  </si>
  <si>
    <t>CRANDALL CIVIL TOWN</t>
  </si>
  <si>
    <t>ELIZABETH CIVIL TOWN</t>
  </si>
  <si>
    <t>LACONIA CIVIL TOWN</t>
  </si>
  <si>
    <t>LANESVILLE CIVIL TOWN</t>
  </si>
  <si>
    <t>MAUCKPORT CIVIL TOWN</t>
  </si>
  <si>
    <t>NEW AMSTERDAM CIVIL TOWN</t>
  </si>
  <si>
    <t>NEW MIDDLETOWN CIVIL TOWN</t>
  </si>
  <si>
    <t>PALMYRA CIVIL TOWN</t>
  </si>
  <si>
    <t>LANESVILLE SCHOOL CORPORATION</t>
  </si>
  <si>
    <t>NORTH HARRISON COMMUNITY SCHOOL CORPORAT</t>
  </si>
  <si>
    <t>SOUTH HARRISON SCHOOL CORPORATION</t>
  </si>
  <si>
    <t>CORYDON PUBLIC LIBRARY</t>
  </si>
  <si>
    <t>BOONE TOWNSHIP FIRE DISTRICT</t>
  </si>
  <si>
    <t>HARRISON COUNTY SOLID WASTE</t>
  </si>
  <si>
    <t>HETH-WASHINGTON TWP. FIRE PROTECTION DIS</t>
  </si>
  <si>
    <t>PALMYRA FIRE</t>
  </si>
  <si>
    <t>WEBSTER TWP FIRE PROTECTION</t>
  </si>
  <si>
    <t>32 Hendricks County CVET</t>
  </si>
  <si>
    <t>HENDRICKS COUNTY</t>
  </si>
  <si>
    <t>GUILFORD TOWNSHIP</t>
  </si>
  <si>
    <t>LINCOLN TOWNSHIP</t>
  </si>
  <si>
    <t>MIDDLE TOWNSHIP</t>
  </si>
  <si>
    <t>AMO CIVIL TOWN</t>
  </si>
  <si>
    <t>AVON CIVL TOWN</t>
  </si>
  <si>
    <t>BROWNSBURG CIVIL TOWN</t>
  </si>
  <si>
    <t>CLAYTON CIVIL TOWN</t>
  </si>
  <si>
    <t>COATSVILLE CIVIL TOWN</t>
  </si>
  <si>
    <t>DANVILLE CIVIL TOWN</t>
  </si>
  <si>
    <t>LIZTON CIVIL TOWN</t>
  </si>
  <si>
    <t>NORTH SALEM CIVIL TOWN</t>
  </si>
  <si>
    <t>PITTSBORO CIVIL TOWN</t>
  </si>
  <si>
    <t>PLAINFIELD CIVIL TOWN</t>
  </si>
  <si>
    <t>STILESVILLE CIVIL TOWN</t>
  </si>
  <si>
    <t>AVON COMMUNITY SCHOOL CORPORATION</t>
  </si>
  <si>
    <t>BROWNSBURG COMMUNITY SCHOOL CORPORATION</t>
  </si>
  <si>
    <t>DANVILLE COMMUNITY SCHOOL CORPORATION</t>
  </si>
  <si>
    <t>MILL CREEK COMMUNITY SCHOOL CORPORATION</t>
  </si>
  <si>
    <t>NORTHWEST HENDRICKS SCHOOL CORPORATION</t>
  </si>
  <si>
    <t>PLAINFIELD COMMUNITY SCHOOL CORPORATION</t>
  </si>
  <si>
    <t>BROWNSBURG PUBLIC LIBRARY</t>
  </si>
  <si>
    <t>CLAYTON PUBLIC LIBRARY</t>
  </si>
  <si>
    <t>COATSVILLE PUBLIC LIBRARY</t>
  </si>
  <si>
    <t>DANVILLE PUBLIC LIBRARY</t>
  </si>
  <si>
    <t>PLAINFIELD PUBLIC LIBRARY</t>
  </si>
  <si>
    <t>WASHINGTON TOWNSHIP PUBLIC LIBRARY</t>
  </si>
  <si>
    <t>WEST CENTRAL INDIANA SOLID WASTE MANAGEM</t>
  </si>
  <si>
    <t>33 Henry County CVET</t>
  </si>
  <si>
    <t>HENRY COUNTY</t>
  </si>
  <si>
    <t>DUDLEY TOWNSHIP</t>
  </si>
  <si>
    <t>GREENSBORO TOWNSHIP</t>
  </si>
  <si>
    <t>PRAIRIE TOWNSHIP</t>
  </si>
  <si>
    <t>SPICELAND TOWNSHIP</t>
  </si>
  <si>
    <t>STONEY CREEK TOWNSHIP</t>
  </si>
  <si>
    <t>BLOUNTSVILLE CIVIL TOWN</t>
  </si>
  <si>
    <t>CADIZ CIVIL TOWN</t>
  </si>
  <si>
    <t>DUNREITH CIVIL TOWN</t>
  </si>
  <si>
    <t>GREENSBORO CIVIL TOWN</t>
  </si>
  <si>
    <t>KENNARD CIVIL TOWN</t>
  </si>
  <si>
    <t>KNIGHTSTOWN CIVIL TOWN</t>
  </si>
  <si>
    <t>LEWISVILLE CIVIL TOWN</t>
  </si>
  <si>
    <t>MIDDLETOWN CIVIL TOWN</t>
  </si>
  <si>
    <t>MOORELAND CIVIL TOWN</t>
  </si>
  <si>
    <t>MOUNT SUMMIT CIVIL TOWN</t>
  </si>
  <si>
    <t>NEW CASTLE CIVIL CITY</t>
  </si>
  <si>
    <t>SPICELAND CIVIL TOWN</t>
  </si>
  <si>
    <t>SPRINGPORT CIVIL TOWN</t>
  </si>
  <si>
    <t>STRAUGHN CIVIL TOWN</t>
  </si>
  <si>
    <t>SULPHUR SPRINGS CIVIL TOWN</t>
  </si>
  <si>
    <t>BLUE RIVER VALLEY SCHOOL CORPORATION</t>
  </si>
  <si>
    <t>CHARLES A. BEARD MEMORIAL SCHOOL CORPORA</t>
  </si>
  <si>
    <t>NETTLE CREEK SCHOOL CORPORATION</t>
  </si>
  <si>
    <t>NEW CASTLE COMMUNITY SCHOOL CORPORATION</t>
  </si>
  <si>
    <t>SHENANDOAH SCHOOL CORPORATION</t>
  </si>
  <si>
    <t>SOUTH HENRY SCHOOL CORPORATION</t>
  </si>
  <si>
    <t>UNION SCHOOL CORPORATION</t>
  </si>
  <si>
    <t>KNIGHTSTOWN PUBLIC LIBRARY</t>
  </si>
  <si>
    <t>MIDDLETOWN-FALL CREEK TOWNSHIP PUBLIC LI</t>
  </si>
  <si>
    <t>NEW CASTLE-HENRY COUNTY PUBLIC LIBRARY</t>
  </si>
  <si>
    <t>SPICELAND PUBLIC LIBRARY</t>
  </si>
  <si>
    <t>34 Howard County CVET</t>
  </si>
  <si>
    <t>HOWARD COUNTY</t>
  </si>
  <si>
    <t>ERVIN TOWNSHIP</t>
  </si>
  <si>
    <t>HONEY CREEK TOWNSHIP</t>
  </si>
  <si>
    <t>HOWARD TOWNSHIP</t>
  </si>
  <si>
    <t>GREENTOWN CIVIL TOWN</t>
  </si>
  <si>
    <t>KOKOMO CIVIL CITY</t>
  </si>
  <si>
    <t>RUSSIAVILLE CIVIL TOWN</t>
  </si>
  <si>
    <t>EASTERN HOWARD COMMUNITY SCHOOL CORPORAT</t>
  </si>
  <si>
    <t>KOKOMO-CENTER TOWNSHIP CONSOLIDATED SCHO</t>
  </si>
  <si>
    <t>NORTHWESTERN SCHOOL CORPORATION</t>
  </si>
  <si>
    <t>TAYLOR COMMUNITY SCHOOL CORPORATION</t>
  </si>
  <si>
    <t>WESTERN SCHOOL CORPORATION</t>
  </si>
  <si>
    <t>GREENTOWN PUBLIC LIBRARY</t>
  </si>
  <si>
    <t>KOKOMO-HOWARD COUNTY PUBLIC LIBRARY</t>
  </si>
  <si>
    <t>HOWARD COUNTY SOLID WASTE MANAGEMENT</t>
  </si>
  <si>
    <t>35 Huntington County CVET</t>
  </si>
  <si>
    <t>HUNTINGTON COUNTY</t>
  </si>
  <si>
    <t>CLEAR CREEK TOWNSHIP</t>
  </si>
  <si>
    <t>DALLAS TOWNSHIP</t>
  </si>
  <si>
    <t>HUNTINGTON TOWNSHIP</t>
  </si>
  <si>
    <t>LANCASTER TOWNSHIP</t>
  </si>
  <si>
    <t>POLK TOWNSHIP</t>
  </si>
  <si>
    <t>SALAMONIE TOWNSHIP</t>
  </si>
  <si>
    <t>ANDREWS CIVIL TOWN</t>
  </si>
  <si>
    <t>HUNTINGTON CIVIL CITY</t>
  </si>
  <si>
    <t>MARKLE CIVIL TOWN</t>
  </si>
  <si>
    <t>MOUNT ETNA CIVIL TOWN</t>
  </si>
  <si>
    <t>ROANOKE CIVIL TOWN</t>
  </si>
  <si>
    <t>WARREN CIVIL TOWN</t>
  </si>
  <si>
    <t>HUNTINGTON COUNTY COMMUNITY SCHOOL CORPO</t>
  </si>
  <si>
    <t>ANDREWS PUBLIC LIBRARY</t>
  </si>
  <si>
    <t>HUNTINGTON PUBLIC LIBRARY</t>
  </si>
  <si>
    <t>MARKLE PUBLIC LIBRARY</t>
  </si>
  <si>
    <t>ROANOKE PUBLIC LIBRARY</t>
  </si>
  <si>
    <t>WARREN PUBLIC LIBRARY</t>
  </si>
  <si>
    <t>HUNTINGTON COUNTY SOLID WASTE MANAGEMENT</t>
  </si>
  <si>
    <t>36 Jackson County CVET</t>
  </si>
  <si>
    <t>JACKSON COUNTY</t>
  </si>
  <si>
    <t>BROWNSTOWN TOWNSHIP</t>
  </si>
  <si>
    <t>DRIFTWOOD TOWNSHIP</t>
  </si>
  <si>
    <t>GRASSY FORK TOWNSHIP</t>
  </si>
  <si>
    <t>PERSHING TOWNSHIP</t>
  </si>
  <si>
    <t>REDDING TOWNSHIP</t>
  </si>
  <si>
    <t>BROWNSTOWN CIVIL TOWN</t>
  </si>
  <si>
    <t>CROTHERSVILLE CIVIL TOWN</t>
  </si>
  <si>
    <t>MEDORA CIVIL TOWN</t>
  </si>
  <si>
    <t>SEYMOUR CIVIL CITY</t>
  </si>
  <si>
    <t>BROWNSTOWN CENTRAL COMMUNITY SCHOOL CORP</t>
  </si>
  <si>
    <t>CROTHERSVILLE COMMUNITY SCHOOL CORPORATI</t>
  </si>
  <si>
    <t>MEDORA COMMUNITY SCHOOL CORPORATION</t>
  </si>
  <si>
    <t>SEYMOUR COMMUNITY SCHOOL CORPORATION</t>
  </si>
  <si>
    <t>BROWNSTOWN PUBLIC LIBRARY</t>
  </si>
  <si>
    <t>JACKSON COUNTY PUBLIC LIBRARY</t>
  </si>
  <si>
    <t>JACKSON COUNTY SOLID WASTE</t>
  </si>
  <si>
    <t>PERSHING FIRE DISTRICT</t>
  </si>
  <si>
    <t>37 Jasper County CVET</t>
  </si>
  <si>
    <t>JASPER COUNTY</t>
  </si>
  <si>
    <t>BARKLEY TOWNSHIP</t>
  </si>
  <si>
    <t>CARPENTER TOWNSHIP</t>
  </si>
  <si>
    <t>GILLAM TOWNSHIP</t>
  </si>
  <si>
    <t>HANGING GROVE TOWNSHIP</t>
  </si>
  <si>
    <t>JORDAN TOWNSHIP</t>
  </si>
  <si>
    <t>KANKAKEE TOWNSHIP</t>
  </si>
  <si>
    <t>KEENER TOWNSHIP</t>
  </si>
  <si>
    <t>MILROY TOWNSHIP</t>
  </si>
  <si>
    <t>NEWTON TOWNSHIP</t>
  </si>
  <si>
    <t>WALKER TOWNSHIP</t>
  </si>
  <si>
    <t>WHEATFIELD TOWNSHIP</t>
  </si>
  <si>
    <t>DEMOTTE CIVIL TOWN</t>
  </si>
  <si>
    <t>REMINGTON CIVIL TOWN</t>
  </si>
  <si>
    <t>RENSSELAER CIVIL CITY</t>
  </si>
  <si>
    <t>WHEATFIELD CIVIL TOWN</t>
  </si>
  <si>
    <t>KANKAKEE VALLEY SCHOOL CORPORATION</t>
  </si>
  <si>
    <t>RENSSELAER CENTRAL SCHOOL CORPORATION</t>
  </si>
  <si>
    <t>TRI COUNTY SCHOOL CORPORATION</t>
  </si>
  <si>
    <t>WEST CENTRAL SCHOOL CORPORATION</t>
  </si>
  <si>
    <t>JASPER COUNTY PUBLIC LIBRARY</t>
  </si>
  <si>
    <t>REMINGTON PUBLIC LIBRARY</t>
  </si>
  <si>
    <t xml:space="preserve">38 Jay County CVET </t>
  </si>
  <si>
    <t>JAY COUNTY</t>
  </si>
  <si>
    <t>BEARCREEK TOWNSHIP</t>
  </si>
  <si>
    <t>GREENE TOWNSHIP</t>
  </si>
  <si>
    <t>KNOX TOWNSHIP</t>
  </si>
  <si>
    <t>PENN TOWNSHIP</t>
  </si>
  <si>
    <t>PIKE TOWNSHIP</t>
  </si>
  <si>
    <t>BRYANT CIVIL TOWN</t>
  </si>
  <si>
    <t>PENNVILLE CIVIL TOWN</t>
  </si>
  <si>
    <t>PORTLAND CIVIL CITY</t>
  </si>
  <si>
    <t>REDKEY CIVIL TOWN</t>
  </si>
  <si>
    <t>SALAMONIA CIVIL TOWN</t>
  </si>
  <si>
    <t>JAY COUNTY PUBLIC LIBRARY</t>
  </si>
  <si>
    <t>PENN TOWNSHIP PUBLIC LIBRARY</t>
  </si>
  <si>
    <t xml:space="preserve">39 Jefferson County CVET </t>
  </si>
  <si>
    <t>JEFFERSON COUNTY</t>
  </si>
  <si>
    <t>GRAHAM TOWNSHIP</t>
  </si>
  <si>
    <t>HANOVER TOWNSHIP</t>
  </si>
  <si>
    <t>MILTON TOWNSHIP</t>
  </si>
  <si>
    <t>REPUBLICAN TOWNSHIP</t>
  </si>
  <si>
    <t>SALUDA TOWNSHIP</t>
  </si>
  <si>
    <t>SHELBY TOWNSHIP</t>
  </si>
  <si>
    <t>SMYRNA TOWNSHIP</t>
  </si>
  <si>
    <t>BROOKSBURG CIVIL TOWN</t>
  </si>
  <si>
    <t>DUPONT CIVIL TOWN</t>
  </si>
  <si>
    <t>HANOVER CIVIL TOWN</t>
  </si>
  <si>
    <t>MADISON CIVIL CITY</t>
  </si>
  <si>
    <t>MADISON CONSOLIDATED SCHOOL CORPORATION</t>
  </si>
  <si>
    <t>SOUTHWESTERN JEFFERSON CONSOLIDATED SCHO</t>
  </si>
  <si>
    <t>JEFFERSON COUNTY PUBLIC LIBRARY</t>
  </si>
  <si>
    <t>40 Jennings County CVET</t>
  </si>
  <si>
    <t>JENNINGS COUNTY</t>
  </si>
  <si>
    <t>BIGGER TOWNSHIP</t>
  </si>
  <si>
    <t>CAMPBELL TOWNSHIP</t>
  </si>
  <si>
    <t>GENEVA TOWNSHIP</t>
  </si>
  <si>
    <t>LOVETT TOWNSHIP</t>
  </si>
  <si>
    <t>SAND CREEK TOWNSHIP</t>
  </si>
  <si>
    <t>NORTH VERNON CIVIL CITY</t>
  </si>
  <si>
    <t>VERNON CIVIL TOWN</t>
  </si>
  <si>
    <t>JENNINGS COUNTY SCHOOL CORPORATION</t>
  </si>
  <si>
    <t>JENNINGS COUNTY PUBLIC LIBRARY</t>
  </si>
  <si>
    <t>41 Johnson County CVET</t>
  </si>
  <si>
    <t>JOHNSON COUNTY</t>
  </si>
  <si>
    <t>CLARK TOWNSHIP</t>
  </si>
  <si>
    <t>HENSLEY TOWNSHIP</t>
  </si>
  <si>
    <t>NEEDHAM TOWNSHIP</t>
  </si>
  <si>
    <t>NINEVEH TOWNSHIP</t>
  </si>
  <si>
    <t>BARGERSVILLE CIVIL TOWN</t>
  </si>
  <si>
    <t>FRANKLIN CIVIL CITY</t>
  </si>
  <si>
    <t>GREENWOOD CIVIL CITY</t>
  </si>
  <si>
    <t>NEW WHITELAND CIVIL TOWN</t>
  </si>
  <si>
    <t>PRINCES LAKES CIVIL TOWN</t>
  </si>
  <si>
    <t>TRAFALGAR CIVIL TOWN</t>
  </si>
  <si>
    <t>WHITELAND CIVIL TOWN</t>
  </si>
  <si>
    <t>CENTER GROVE COMMUNITY SCHOOL CORPORATIO</t>
  </si>
  <si>
    <t>CLARK-PLEASANT COMMUNITY SCHOOL CORPORAT</t>
  </si>
  <si>
    <t>FRANKLIN COMMUNITY SCHOOL CORPORATION</t>
  </si>
  <si>
    <t>GREENWOOD COMMUNITY SCHOOL CORPORATION</t>
  </si>
  <si>
    <t>NINEVEH-HENSLEY-JACKSON UNITED SCHOOL CO</t>
  </si>
  <si>
    <t>EDINBURGH-WRIGHT-HAGEMAN PUBLIC LIBRARY</t>
  </si>
  <si>
    <t>GREENWOOD PUBLIC LIBRARY</t>
  </si>
  <si>
    <t>JOHNSON COUNTY PUBLIC LIBRARY</t>
  </si>
  <si>
    <t>AMITY FIRE PROTECTION</t>
  </si>
  <si>
    <t>BARGERSVILLE FIRE PROTECTION</t>
  </si>
  <si>
    <t>HENSLEY FIRE PROTECTION</t>
  </si>
  <si>
    <t>JOHNSON COUNTY SOLID WASTE</t>
  </si>
  <si>
    <t>NEEDHAM FIRE PROTECTION DISTRICT</t>
  </si>
  <si>
    <t>NINEVEH FIRE PROTECTION DISTRICT</t>
  </si>
  <si>
    <t>WHITE RIVER TOWNSHIP FIRE</t>
  </si>
  <si>
    <t>WHITELAND FIRE PROTECTION</t>
  </si>
  <si>
    <t>42 Knox County CVET</t>
  </si>
  <si>
    <t>KNOX COUNTY</t>
  </si>
  <si>
    <t>BUSSERON TOWNSHIP</t>
  </si>
  <si>
    <t>DECKER TOWNSHIP</t>
  </si>
  <si>
    <t>PALMYRA TOWNSHIP</t>
  </si>
  <si>
    <t>STEEN TOWNSHIP</t>
  </si>
  <si>
    <t>VIGO TOWNSHIP</t>
  </si>
  <si>
    <t>VINCENNES TOWNSHIP</t>
  </si>
  <si>
    <t>WIDNER TOWNSHIP</t>
  </si>
  <si>
    <t>BRUCEVILLE CIVIL TOWN</t>
  </si>
  <si>
    <t>DECKER CIVIL TOWN</t>
  </si>
  <si>
    <t>EDWARDSPORT CIVIL TOWN</t>
  </si>
  <si>
    <t>MONROE CITY CIVIL TOWN</t>
  </si>
  <si>
    <t>OAKTOWN CIVIL TOWN</t>
  </si>
  <si>
    <t>SANDBORN CIVIL TOWN</t>
  </si>
  <si>
    <t>VINCENNES CIVIL CITY</t>
  </si>
  <si>
    <t>WHEATLAND CIVIL TOWN</t>
  </si>
  <si>
    <t>NORTH KNOX SCHOOL CORPORATION</t>
  </si>
  <si>
    <t>SOUTH KNOX SCHOOL CORPORATION</t>
  </si>
  <si>
    <t>VINCENNES COMMUNITY SCHOOL CORPORATION</t>
  </si>
  <si>
    <t>BICKNELL PUBLIC LIBRARY</t>
  </si>
  <si>
    <t>KNOX COUNTY PUBLIC LIBRARY</t>
  </si>
  <si>
    <t>JOHNSON TOWNSHIP COMMUNITY FIRE</t>
  </si>
  <si>
    <t>KNOX COUNTY SOLID WASTE MANAGEMENT DISTR</t>
  </si>
  <si>
    <t>SOUTH VIGO TOWNSHIP FIRE</t>
  </si>
  <si>
    <t>VIGO CENTRAL COMMUNITY FIRE</t>
  </si>
  <si>
    <t>VINCENNES TOWNSHIP FIRE</t>
  </si>
  <si>
    <t>BICKNELL CIVIL CITY</t>
  </si>
  <si>
    <t>43 Kosciusko County CVET</t>
  </si>
  <si>
    <t>KOSCIUSKO COUNTY</t>
  </si>
  <si>
    <t>ETNA TOWNSHIP</t>
  </si>
  <si>
    <t>PLAIN TOWNSHIP</t>
  </si>
  <si>
    <t>SCOTT TOWNSHIP</t>
  </si>
  <si>
    <t>SEWARD TOWNSHIP</t>
  </si>
  <si>
    <t>TURKEY CREEK TOWNSHIP</t>
  </si>
  <si>
    <t>BURKET CIVIL TOWN</t>
  </si>
  <si>
    <t>CLAYPOOL CIVIL TOWN</t>
  </si>
  <si>
    <t>ETNA GREEN CIVIL TOWN</t>
  </si>
  <si>
    <t>LEESBURG CIVIL TOWN</t>
  </si>
  <si>
    <t>MENTONE CIVIL TOWN</t>
  </si>
  <si>
    <t>NORTH WEBSTER CIVIL TOWN</t>
  </si>
  <si>
    <t>PIERCETON CIVIL TOWN</t>
  </si>
  <si>
    <t>SIDNEY CIVIL TOWN</t>
  </si>
  <si>
    <t>SILVER LAKE CIVIL TOWN</t>
  </si>
  <si>
    <t>SYRACUSE CIVIL TOWN</t>
  </si>
  <si>
    <t>WARSAW CIVIL CITY</t>
  </si>
  <si>
    <t>WINONA LAKE CIVIL TOWN</t>
  </si>
  <si>
    <t>TRITON SCHOOL CORPORATION</t>
  </si>
  <si>
    <t>WARSAW COMMUNITY SCHOOL CORPORATION</t>
  </si>
  <si>
    <t>WAWASEE COMMUNITY SCHOOL CORPORATION</t>
  </si>
  <si>
    <t>WHITKO COMMUNITY SCHOOL CORPORATION</t>
  </si>
  <si>
    <t>BELL MEMORIAL PUBLIC LIBRARY</t>
  </si>
  <si>
    <t>MILFORD PUBLIC LIBRARY</t>
  </si>
  <si>
    <t>PIERCETON PUBLIC LIBRARY</t>
  </si>
  <si>
    <t>SYRACUSE PUBLIC LIBRARY</t>
  </si>
  <si>
    <t>WARSAW COMMUNITY PUBLIC LIBRARY</t>
  </si>
  <si>
    <t>KOSCIUSKO COUNTY SOLID WASTE MANAGEMENT</t>
  </si>
  <si>
    <t>44 LaGrange County CVET</t>
  </si>
  <si>
    <t>LAGRANGE COUNTY</t>
  </si>
  <si>
    <t>BLOOMFIELD TOWNSHIP</t>
  </si>
  <si>
    <t>CLEARSPRING TOWNSHIP</t>
  </si>
  <si>
    <t>EDEN TOWNSHIP</t>
  </si>
  <si>
    <t>GREENFIELD TOWNSHIP</t>
  </si>
  <si>
    <t>LIMA TOWNSHIP</t>
  </si>
  <si>
    <t>MILFORD TOWNSHIP</t>
  </si>
  <si>
    <t>NEWBURY TOWNSHIP</t>
  </si>
  <si>
    <t>LAGRANGE CIVIL TOWN</t>
  </si>
  <si>
    <t>SHIPSHEWANA CIVIL TOWN</t>
  </si>
  <si>
    <t>TOPEKA CIVIL TOWN</t>
  </si>
  <si>
    <t>WOLCOTTVILLE CIVIL TOWN</t>
  </si>
  <si>
    <t>LAKELAND SCHOOL CORPORATION</t>
  </si>
  <si>
    <t>PRAIRIE HEIGHTS COMMUNITY SCHOOL CORPORA</t>
  </si>
  <si>
    <t>WESTVIEW SCHOOL CORPORATION</t>
  </si>
  <si>
    <t>LAGRANGE COUNTY PUBLIC LIBRARY</t>
  </si>
  <si>
    <t>45 Lake County CVET</t>
  </si>
  <si>
    <t>LAKE COUNTY</t>
  </si>
  <si>
    <t>CALUMET TOWNSHIP</t>
  </si>
  <si>
    <t>EAGLE CREEK TOWNSHIP</t>
  </si>
  <si>
    <t>HOBART TOWNSHIP</t>
  </si>
  <si>
    <t>NORTH TOWNSHIP</t>
  </si>
  <si>
    <t>ST. JOHN TOWNSHIP</t>
  </si>
  <si>
    <t>WEST CREEK TOWNSHIP</t>
  </si>
  <si>
    <t>WINFIELD TOWNSHIP</t>
  </si>
  <si>
    <t>CEDAR LAKE CIVIL TOWN</t>
  </si>
  <si>
    <t>CROWN POINT CIVIL CITY</t>
  </si>
  <si>
    <t>DYER CIVIL TOWN</t>
  </si>
  <si>
    <t>EAST CHICAGO CIVIL CITY</t>
  </si>
  <si>
    <t>GARY CIVIL CITY</t>
  </si>
  <si>
    <t>GRIFFITH CIVIL TOWN</t>
  </si>
  <si>
    <t>HAMMOND CIVIL CITY</t>
  </si>
  <si>
    <t>HIGHLAND CIVIL TOWN</t>
  </si>
  <si>
    <t>HOBART CIVIL CITY</t>
  </si>
  <si>
    <t>LAKE STATION CIVIL CITY</t>
  </si>
  <si>
    <t>LOWELL CIVIL TOWN</t>
  </si>
  <si>
    <t>MERRILLVILLE CIVIL TOWN</t>
  </si>
  <si>
    <t>MUNSTER CIVIL TOWN</t>
  </si>
  <si>
    <t>NEW CHICAGO CIVIL TOWN</t>
  </si>
  <si>
    <t>SCHERERVILLE CIVIL TOWN</t>
  </si>
  <si>
    <t>SCHNEIDER CIVIL TOWN</t>
  </si>
  <si>
    <t>ST. JOHN CIVIL TOWN</t>
  </si>
  <si>
    <t>WHITING CIVIL CITY</t>
  </si>
  <si>
    <t>WINFIELD CIVIL TOWN</t>
  </si>
  <si>
    <t>CROWN POINT COMMUNITY SCHOOL CORPORATION</t>
  </si>
  <si>
    <t>EAST CHICAGO CITY SCHOOL CORPORATION</t>
  </si>
  <si>
    <t>GARY COMMUNITY SCHOOL CORPORATION</t>
  </si>
  <si>
    <t>GRIFFITH PUBLIC SCHOOL CORPORATION</t>
  </si>
  <si>
    <t>HAMMOND CITY SCHOOL CORPORATION</t>
  </si>
  <si>
    <t>HANOVER COMMUNITY SCHOOL CORPORATION</t>
  </si>
  <si>
    <t>HIGHLAND TOWN SCHOOL CORPORATION</t>
  </si>
  <si>
    <t>LAKE CENTRAL SCHOOL CORPORATION</t>
  </si>
  <si>
    <t>LAKE RIDGE SCHOOL CORPORATION</t>
  </si>
  <si>
    <t>LAKE STATION CITY SCHOOL CORPORATION</t>
  </si>
  <si>
    <t>MERRILLVILLE SCHOOL CORPORATION</t>
  </si>
  <si>
    <t>MUNSTER COMMUNITY SCHOOL CORPORATION</t>
  </si>
  <si>
    <t>RIVER FOREST COMMUNITY SCHOOL CORPORATIO</t>
  </si>
  <si>
    <t>SCHOOL CITY OF HOBART SCHOOL CORPORATION</t>
  </si>
  <si>
    <t>TRI CREEK SCHOOL CORPORATION</t>
  </si>
  <si>
    <t>WHITING CITY SCHOOL CORPORATION</t>
  </si>
  <si>
    <t>CROWN POINT COMMUNITY PUBLIC LIBRARY</t>
  </si>
  <si>
    <t>EAST CHICAGO PUBLIC LIBRARY</t>
  </si>
  <si>
    <t>GARY PUBLIC LIBRARY</t>
  </si>
  <si>
    <t>HAMMOND PUBLIC LIBRARY</t>
  </si>
  <si>
    <t>LAKE COUNTY PUBLIC LIBRARY</t>
  </si>
  <si>
    <t>LOWELL PUBLIC LIBRARY</t>
  </si>
  <si>
    <t>WHITING PUBLIC LIBRARY</t>
  </si>
  <si>
    <t>DYER REDEVELOPMENT</t>
  </si>
  <si>
    <t>DYER WATER WORKS</t>
  </si>
  <si>
    <t>EAST CHICAGO SANITARY</t>
  </si>
  <si>
    <t>GARY AIRPORT</t>
  </si>
  <si>
    <t>GARY PUBLIC TRANSPORTATION</t>
  </si>
  <si>
    <t>GARY REDEVELOPMENT</t>
  </si>
  <si>
    <t>GARY SANITARY</t>
  </si>
  <si>
    <t>HAMMOND REDEVELOPMENT</t>
  </si>
  <si>
    <t>HAMMOND SANITARY</t>
  </si>
  <si>
    <t>HIGHLAND SANITARY</t>
  </si>
  <si>
    <t>HIGHLAND WATER DISTRICT</t>
  </si>
  <si>
    <t>LAKE COUNTY SOLID WASTE MANAGEMENT DISTR</t>
  </si>
  <si>
    <t>LAKE RIDGE FIRE PROTECTION</t>
  </si>
  <si>
    <t>SCHERERVILLE WATERWORKS</t>
  </si>
  <si>
    <t>ST. JOHN SANITARY</t>
  </si>
  <si>
    <t>ST. JOHN WATER DISTRICT</t>
  </si>
  <si>
    <t>TOWN OF DYER SANITARY DISTRICT</t>
  </si>
  <si>
    <t>WHITING SANITARY</t>
  </si>
  <si>
    <t>46 LaPorte County CVET</t>
  </si>
  <si>
    <t>LAPORTE COUNTY</t>
  </si>
  <si>
    <t>COOLSPRING TOWNSHIP</t>
  </si>
  <si>
    <t>DEWEY TOWNSHIP</t>
  </si>
  <si>
    <t>GALENA TOWNSHIP</t>
  </si>
  <si>
    <t>HANNA TOWNSHIP</t>
  </si>
  <si>
    <t>HUDSON TOWNSHIP</t>
  </si>
  <si>
    <t>NEW DURHAM TOWNSHIP</t>
  </si>
  <si>
    <t>WILLS TOWNSHIP</t>
  </si>
  <si>
    <t>KINGSBURY CIVIL TOWN</t>
  </si>
  <si>
    <t>KINGSFORD HEIGHTS CIVIL TOWN</t>
  </si>
  <si>
    <t>LACROSSE CIVIL TOWN</t>
  </si>
  <si>
    <t>LAPORTE CIVIL CITY</t>
  </si>
  <si>
    <t>LONG BEACH CIVIL TOWN</t>
  </si>
  <si>
    <t>MICHIANA SHORES CIVIL TOWN</t>
  </si>
  <si>
    <t>MICHIGAN CITY CIVIL CITY</t>
  </si>
  <si>
    <t>POTTAWATTAMIE PARK CIVIL TOWN</t>
  </si>
  <si>
    <t>TRAIL CREEK CIVIL TOWN</t>
  </si>
  <si>
    <t>WANATAH CIVIL TOWN</t>
  </si>
  <si>
    <t>WESTVILLE CIVIL TOWN</t>
  </si>
  <si>
    <t>CASS TOWNSHIP SCHOOL CORPORATION</t>
  </si>
  <si>
    <t>DEWEY TOWNSHIP SCHOOL CORPORATION</t>
  </si>
  <si>
    <t>JOHN GLENN SCHOOL CORPORATION</t>
  </si>
  <si>
    <t>LAPORTE COMMUNITY SCHOOL CORPORATION</t>
  </si>
  <si>
    <t>MICHIGAN CITY AREA SCHOOL CORPORATION</t>
  </si>
  <si>
    <t>NEW DURHAM TOWNSHIP SCHOOL CORPORATION</t>
  </si>
  <si>
    <t>NEW PRAIRIE UNITED SCHOOL CORPORATION</t>
  </si>
  <si>
    <t>PRAIRIE TOWNSHIP SCHOOL CORPORATION</t>
  </si>
  <si>
    <t>SOUTH CENTRAL COMMUNITY SCHOOL CORPORATI</t>
  </si>
  <si>
    <t>LACROSSE PUBLIC LIBRARY</t>
  </si>
  <si>
    <t>LAPORTE COUNTY PUBLIC LIBRARY</t>
  </si>
  <si>
    <t>MICHIGAN CITY PUBLIC LIBRARY</t>
  </si>
  <si>
    <t>WANATAH PUBLIC LIBRARY</t>
  </si>
  <si>
    <t>WESTVILLE PUBLIC LIBRARY</t>
  </si>
  <si>
    <t>LAPORTE COUNTY SOLID WASTE MANAGEMENT</t>
  </si>
  <si>
    <t>LAPORTE MUNICIPAL AIRPORT AUTHORITY</t>
  </si>
  <si>
    <t>LAPORTE REDEVELOPMENT</t>
  </si>
  <si>
    <t>MICHIGAN CITY SANITARY</t>
  </si>
  <si>
    <t>47 Lawrence County CVET</t>
  </si>
  <si>
    <t>LAWRENCE COUNTY</t>
  </si>
  <si>
    <t>BONO TOWNSHIP</t>
  </si>
  <si>
    <t>GUTHRIE TOWNSHIP</t>
  </si>
  <si>
    <t>INDIAN CREEK TOWNSHIP</t>
  </si>
  <si>
    <t>MARSHALL TOWNSHIP</t>
  </si>
  <si>
    <t>PLEASANT RUN TOWNSHIP</t>
  </si>
  <si>
    <t>SHAWSWICK TOWNSHIP</t>
  </si>
  <si>
    <t>SPICE VALLEY TOWNSHIP</t>
  </si>
  <si>
    <t>BEDFORD CIVIL CITY</t>
  </si>
  <si>
    <t>MITCHELL CIVIL CITY</t>
  </si>
  <si>
    <t>OOLITIC CIVIL TOWN</t>
  </si>
  <si>
    <t>MITCHELL COMMUNITY SCHOOL CORPORATION</t>
  </si>
  <si>
    <t>NORTH LAWRENCE COMMUNITY SCHOOL CORPORAT</t>
  </si>
  <si>
    <t>BEDFORD PUBLIC LIBRARY</t>
  </si>
  <si>
    <t>MITCHELL COMMUNITY PUBLIC LIBRARY</t>
  </si>
  <si>
    <t>LAWRENCE COUNTY SOLID WASTE MANAGEMENT D</t>
  </si>
  <si>
    <t>48 Madison County CVET</t>
  </si>
  <si>
    <t>MADISON COUNTY</t>
  </si>
  <si>
    <t>ANDERSON TOWNSHIP</t>
  </si>
  <si>
    <t>DUCK CREEK TOWNSHIP</t>
  </si>
  <si>
    <t>PIPE CREEK TOWNSHIP</t>
  </si>
  <si>
    <t>STONY CREEK TOWNSHIP</t>
  </si>
  <si>
    <t>ALEXANDRIA CIVIL CITY</t>
  </si>
  <si>
    <t>ANDERSON CIVIL CITY</t>
  </si>
  <si>
    <t>COUNTRY CLUB HEIGHTS CIVIL TOWN</t>
  </si>
  <si>
    <t>EDGEWOOD CIVIL TOWN</t>
  </si>
  <si>
    <t>ELWOOD CIVIL CITY</t>
  </si>
  <si>
    <t>FRANKTON CIVIL TOWN</t>
  </si>
  <si>
    <t>INGALLS CIVIL TOWN</t>
  </si>
  <si>
    <t>LAPEL CIVIL TOWN</t>
  </si>
  <si>
    <t>MARKLEVILLE CIVIL TOWN</t>
  </si>
  <si>
    <t>ORESTES CIVIL TOWN</t>
  </si>
  <si>
    <t>PENDLETON CIVIL TOWN</t>
  </si>
  <si>
    <t>RIVER FOREST CIVIL TOWN</t>
  </si>
  <si>
    <t>SUMMITVILLE CIVIL TOWN</t>
  </si>
  <si>
    <t>WOODLAWN HEIGHTS CIVIL TOWN</t>
  </si>
  <si>
    <t>ALEXANDRIA COMMUNITY SCHOOL CORPORATION</t>
  </si>
  <si>
    <t>ANDERSON COMMUNITY SCHOOL CORPORATION</t>
  </si>
  <si>
    <t>ELWOOD COMMUNITY SCHOOL CORPORATION</t>
  </si>
  <si>
    <t>FRANKTON-LAPEL COMMUNITY SCHOOL CORPORAT</t>
  </si>
  <si>
    <t>SOUTH MADISON COMMUNITY SCHOOL CORPORATI</t>
  </si>
  <si>
    <t>ALEXANDRIA-MONROE PUBLIC LIBRARY</t>
  </si>
  <si>
    <t>ANDERSON-ANDERSON, STONEY CREEK UNION TO</t>
  </si>
  <si>
    <t>NORTH MADISON COUNTY LIBRARY SYSTEM</t>
  </si>
  <si>
    <t>PENDLETON COMMUNITY PUBLIC LIBRARY</t>
  </si>
  <si>
    <t>INDEPENDENCE FIRE</t>
  </si>
  <si>
    <t>49 Marion County CVET</t>
  </si>
  <si>
    <t>INDIANAPOLIS CONSOLIDATED COUNTY</t>
  </si>
  <si>
    <t>MARION COUNTY</t>
  </si>
  <si>
    <t>DECATUR TOWNSHIP</t>
  </si>
  <si>
    <t>LAWRENCE TOWNSHIP</t>
  </si>
  <si>
    <t>BEECH GROVE CIVIL CITY</t>
  </si>
  <si>
    <t>CLERMONT CIVIL TOWN</t>
  </si>
  <si>
    <t>HOMECROFT CIVIL TOWN</t>
  </si>
  <si>
    <t>INDIANAPOLIS CONSOLIDATED CITY</t>
  </si>
  <si>
    <t>LAWRENCE CIVIL CITY</t>
  </si>
  <si>
    <t>MERIDIAN HILLS CIVIL TOWN</t>
  </si>
  <si>
    <t>ROCKY RIPPLE CIVIL TOWN</t>
  </si>
  <si>
    <t>SOUTHPORT CIVIL CITY</t>
  </si>
  <si>
    <t>SPEEDWAY CITY CIVIL TOWN</t>
  </si>
  <si>
    <t>WARREN PARK CIVIL TOWN</t>
  </si>
  <si>
    <t>WILLIAMS CREEK CIVIL TOWN</t>
  </si>
  <si>
    <t>WYNNEDALE CIVIL TOWN</t>
  </si>
  <si>
    <t>BEECH GROVE CITY SCHOOL CORPORATION</t>
  </si>
  <si>
    <t>FRANKLIN TOWNSHIP COMMUNITY SCHOOL CORPO</t>
  </si>
  <si>
    <t>INDIANAPOLIS PUBLIC SCHOOL CORPORATION</t>
  </si>
  <si>
    <t>M.S.D. DECATUR TOWNSHIP SCHOOL CORPORATI</t>
  </si>
  <si>
    <t>M.S.D. LAWRENCE TOWNSHIP SCHOOL CORPORAT</t>
  </si>
  <si>
    <t>M.S.D. PERRY TOWNSHIP SCHOOL CORPORATION</t>
  </si>
  <si>
    <t>M.S.D. PIKE TOWNSHIP SCHOOL CORPORATION</t>
  </si>
  <si>
    <t>M.S.D. WARREN TOWNSHIP SCHOOL CORPORATIO</t>
  </si>
  <si>
    <t>M.S.D. WASHINGTON TOWNSHIP SCHOOL CORPOR</t>
  </si>
  <si>
    <t>M.S.D. WAYNE TOWNSHIP SCHOOL CORPORATION</t>
  </si>
  <si>
    <t>SPEEDWAY CITY SCHOOL CORPORATION</t>
  </si>
  <si>
    <t>BEECH GROVE PUBLIC LIBRARY</t>
  </si>
  <si>
    <t>INDIANAPOLIS-MARION COUNTY PUBLIC LIBRAR</t>
  </si>
  <si>
    <t>SPEEDWAY CITY PUBLIC LIBRARY</t>
  </si>
  <si>
    <t>INDIANAPOLIS FIRE SPECIAL SERVICE</t>
  </si>
  <si>
    <t>INDIANAPOLIS POLICE SPECIAL SERVICE</t>
  </si>
  <si>
    <t>INDIANAPOLIS PUBLIC TRANSPORTATION</t>
  </si>
  <si>
    <t>INDIANAPOLIS SANITATION (LIQUID)</t>
  </si>
  <si>
    <t>INDIANAPOLIS SANITATION (SOLID)</t>
  </si>
  <si>
    <t>MARION COUNTY AIRPORT</t>
  </si>
  <si>
    <t>MARION COUNTY HEALTH AND HOSPITAL</t>
  </si>
  <si>
    <t>SPEEDWAY PUBLIC TRANSPORTATION</t>
  </si>
  <si>
    <t>50 Marshall County CVET</t>
  </si>
  <si>
    <t>MARSHALL COUNTY</t>
  </si>
  <si>
    <t>BOURBON TOWNSHIP</t>
  </si>
  <si>
    <t>WALNUT TOWNSHIP</t>
  </si>
  <si>
    <t>WEST TOWNSHIP</t>
  </si>
  <si>
    <t>ARGOS CIVIL TOWN</t>
  </si>
  <si>
    <t>BOURBON CIVIL TOWN</t>
  </si>
  <si>
    <t>BREMEN CIVIL TOWN</t>
  </si>
  <si>
    <t>CULVER CIVIL TOWN</t>
  </si>
  <si>
    <t>LAPAZ CIVIL TOWN</t>
  </si>
  <si>
    <t>PLYMOUTH CIVIL CITY</t>
  </si>
  <si>
    <t>ARGOS COMMUNITY SCHOOL CORPORATION</t>
  </si>
  <si>
    <t>BREMEN PUBLIC SCHOOL CORPORATION</t>
  </si>
  <si>
    <t>PLYMOUTH COMMUNITY SCHOOL</t>
  </si>
  <si>
    <t>UNION-NORTH UNITED SCHOOL CORPORATION</t>
  </si>
  <si>
    <t>ARGOS PUBLIC LIBRARY</t>
  </si>
  <si>
    <t>BOURBON PUBLIC LIBRARY</t>
  </si>
  <si>
    <t>BREMEN PUBLIC LIBRARY</t>
  </si>
  <si>
    <t>CULVER PUBLIC LIBRARY</t>
  </si>
  <si>
    <t>PLYMOUTH PUBLIC LIBRARY</t>
  </si>
  <si>
    <t>MARSHALL COUNTY SOLID WASTE MANAGEMENT</t>
  </si>
  <si>
    <t>51 Martin County CVET</t>
  </si>
  <si>
    <t>MARTIN COUNTY</t>
  </si>
  <si>
    <t>HALBERT TOWNSHIP</t>
  </si>
  <si>
    <t>LOST RIVER TOWNSHIP</t>
  </si>
  <si>
    <t>MITCHELTREE TOWNSHIP</t>
  </si>
  <si>
    <t>RUTHERFORD TOWNSHIP</t>
  </si>
  <si>
    <t>CRANE CIVIL TOWN</t>
  </si>
  <si>
    <t>LOOGOOTEE CIVIL CITY</t>
  </si>
  <si>
    <t>SHOALS CIVIL TOWN</t>
  </si>
  <si>
    <t>LOOGOOTEE COMMUNITY SCHOOL CORPORATION</t>
  </si>
  <si>
    <t>SHOALS COMMUNITY SCHOOL CORPORATION</t>
  </si>
  <si>
    <t>LOOGOOTEE PUBLIC LIBRARY</t>
  </si>
  <si>
    <t>SHOALS PUBLIC LIBRARY</t>
  </si>
  <si>
    <t>MARTIN COUNTY SOLID WASTE MANAGEMENT DIS</t>
  </si>
  <si>
    <t>52 Miami County CVET</t>
  </si>
  <si>
    <t>MIAMI COUNTY</t>
  </si>
  <si>
    <t>ALLEN TOWNSHIP</t>
  </si>
  <si>
    <t>ERIE TOWNSHIP</t>
  </si>
  <si>
    <t>PERU TOWNSHIP</t>
  </si>
  <si>
    <t>UNION TOWNSHP</t>
  </si>
  <si>
    <t>AMBOY CIVIL TOWN</t>
  </si>
  <si>
    <t>BUNKER HILL CIVIL TOWN</t>
  </si>
  <si>
    <t>DENVER CIVIL TOWN</t>
  </si>
  <si>
    <t>MACY CIVIL TOWN</t>
  </si>
  <si>
    <t>PERU CIVIL CITY</t>
  </si>
  <si>
    <t>MACONOQUAH SCHOOL CORPORATION</t>
  </si>
  <si>
    <t>NORTH MIAMI CONSOLIDATED SCHOOL CORPORAT</t>
  </si>
  <si>
    <t>PERU COMMUNITY SCHOOL CORPORATION</t>
  </si>
  <si>
    <t>CONVERSE PUBLIC LIBRARY</t>
  </si>
  <si>
    <t>PERU PUBLIC LIBRARY</t>
  </si>
  <si>
    <t>MIAMI COUNTY SOLID WASTE MANAGEMENT DIST</t>
  </si>
  <si>
    <t>53 Monroe County CVET</t>
  </si>
  <si>
    <t>MONROE COUNTY</t>
  </si>
  <si>
    <t>BEAN BLOSSOM TOWNSHIP</t>
  </si>
  <si>
    <t>BLOOMINGTON TOWNSHIP</t>
  </si>
  <si>
    <t>BLOOMINGTON CIVIL CITY</t>
  </si>
  <si>
    <t>ELLETTSVILLE CIVIL TOWN</t>
  </si>
  <si>
    <t>STINESVILLE CIVIL TOWN</t>
  </si>
  <si>
    <t>MONROE COUNTY COMMUNITY SCHOOL CORPORATI</t>
  </si>
  <si>
    <t>RICHLAND-BEAN BLOSSOM COMMUNITY SCHOOL C</t>
  </si>
  <si>
    <t>MONROE COUNTY PUBLIC LIBRARY</t>
  </si>
  <si>
    <t>BLOOMINGTON TRANSPORTATION</t>
  </si>
  <si>
    <t>MONROE COUNTY SOLID WASTE MANAGEMENT DIS</t>
  </si>
  <si>
    <t>PERRY-CLEAR CREEK FIRE PROTECTION</t>
  </si>
  <si>
    <t>54 Montgomery County CVET</t>
  </si>
  <si>
    <t>MONTGOMERY COUNTY</t>
  </si>
  <si>
    <t>COAL CREEK TOWNSHIP</t>
  </si>
  <si>
    <t>RIPLEY TOWNSHIP</t>
  </si>
  <si>
    <t>ALAMO CIVIL TOWN</t>
  </si>
  <si>
    <t>CRAWFORDSVILLE CIVIL CITY</t>
  </si>
  <si>
    <t>DARLINGTON CIVIL TOWN</t>
  </si>
  <si>
    <t>LADOGA CIVIL TOWN</t>
  </si>
  <si>
    <t>LINDEN CIVIL TOWN</t>
  </si>
  <si>
    <t>NEW MARKET CIVIL TOWN</t>
  </si>
  <si>
    <t>NEW RICHMOND CIVIL TOWN</t>
  </si>
  <si>
    <t>NEW ROSS CIVIL TOWN</t>
  </si>
  <si>
    <t>WAVELAND CIVIL TOWN</t>
  </si>
  <si>
    <t>WAYNETOWN CIVIL TOWN</t>
  </si>
  <si>
    <t>WINGATE CIVIL TOWN</t>
  </si>
  <si>
    <t>CRAWFORDSVILLE COMMUNITY SCHOOL CORPORAT</t>
  </si>
  <si>
    <t>NORTH MONTGOMERY COMMUNITY SCHOOL CORPOR</t>
  </si>
  <si>
    <t>SOUTH MONTGOMERY COMMUNITY SCHOOL CORPOR</t>
  </si>
  <si>
    <t>CRAWFORDSVILLE PUBLIC LIBRARY</t>
  </si>
  <si>
    <t>DARLINGTON PUBLIC LIBRARY</t>
  </si>
  <si>
    <t>LADOGA PUBLIC LIBRARY</t>
  </si>
  <si>
    <t>LINDEN PUBLIC LIBRARY</t>
  </si>
  <si>
    <t>WAVELAND PUBLIC LIBRARY</t>
  </si>
  <si>
    <t>55 Morgan County CVET</t>
  </si>
  <si>
    <t>MORGAN COUNTY</t>
  </si>
  <si>
    <t>ASHLAND TOWNSHIP</t>
  </si>
  <si>
    <t>BAKER TOWNSHIP</t>
  </si>
  <si>
    <t>GREGG TOWNSHIP</t>
  </si>
  <si>
    <t>BETHANY CIVIL TOWN</t>
  </si>
  <si>
    <t>BROOKLYN CIVIL TOWN</t>
  </si>
  <si>
    <t>MARTINSVILLE CIVIL CITY</t>
  </si>
  <si>
    <t>MONROVIA CIVIL TOWN</t>
  </si>
  <si>
    <t>MOORESVILLE CIVIL TOWN</t>
  </si>
  <si>
    <t>MORGANTOWN CIVIL TOWN</t>
  </si>
  <si>
    <t>PARAGON CIVIL TOWN</t>
  </si>
  <si>
    <t>EMINENCE CONSOLIDATED SCHOOL CORPORATION</t>
  </si>
  <si>
    <t>M.S.D. MARTINSVILLE SCHOOL CORPORATION</t>
  </si>
  <si>
    <t>MONROE-GREGG SCHOOL CORPORATION</t>
  </si>
  <si>
    <t>MOORESVILLE CONSOLIDATED SCHOOL CORPORAT</t>
  </si>
  <si>
    <t>MOORESVILLE PUBLIC LIBRARY</t>
  </si>
  <si>
    <t>MORGAN COUNTY PUBLIC LIBRARY</t>
  </si>
  <si>
    <t>HARRISON TOWNSHIP FIRE #7</t>
  </si>
  <si>
    <t>MONROE TOWNSHIP FIRE DISTRICT</t>
  </si>
  <si>
    <t>56 Newton County CVET</t>
  </si>
  <si>
    <t>NEWTON COUNTY</t>
  </si>
  <si>
    <t>BEAVER TOWNSHIP</t>
  </si>
  <si>
    <t>COLFAX TOWNSHIP</t>
  </si>
  <si>
    <t>IROQUOIS TOWNSHIP</t>
  </si>
  <si>
    <t>MCCLELLAN TOWNSHIP</t>
  </si>
  <si>
    <t>BROOK CIVIL TOWN</t>
  </si>
  <si>
    <t>GOODLAND CIVIL TOWN</t>
  </si>
  <si>
    <t>KENTLAND CIVIL TOWN</t>
  </si>
  <si>
    <t>MOROCCO CIVIL TOWN</t>
  </si>
  <si>
    <t>MT. AYR CIVIL TOWN</t>
  </si>
  <si>
    <t>NORTH NEWTON SCHOOL CORPORATION</t>
  </si>
  <si>
    <t>BROOK PUBLIC LIBRARY</t>
  </si>
  <si>
    <t>GOODLAND PUBLIC LIBRARY</t>
  </si>
  <si>
    <t>KENTLAND PUBLIC LIBRARY</t>
  </si>
  <si>
    <t>NEWTON COUNTY PUBLIC LIBRARY</t>
  </si>
  <si>
    <t>57 Noble County CVET</t>
  </si>
  <si>
    <t>NOBLE COUNTY</t>
  </si>
  <si>
    <t>ALBION TOWNSHIP</t>
  </si>
  <si>
    <t>SWAN TOWNSHIP</t>
  </si>
  <si>
    <t>ALBION CIVIL TOWN</t>
  </si>
  <si>
    <t>AVILLA CIVIL TOWN</t>
  </si>
  <si>
    <t>CROMWELL CIVIL TOWN</t>
  </si>
  <si>
    <t>KENDALLVILLE CIVIL CITY</t>
  </si>
  <si>
    <t>LIGONIER CIVIL CITY</t>
  </si>
  <si>
    <t>ROME CITY CIVIL TOWN</t>
  </si>
  <si>
    <t>CENTRAL NOBLE COMMUNITY SCHOOL CORPORATI</t>
  </si>
  <si>
    <t>EAST NOBLE SCHOOL CORPORATION</t>
  </si>
  <si>
    <t>SMITH-GREEN COMMUNITY SCHOOL CORPORATION</t>
  </si>
  <si>
    <t>WEST NOBLE SCHOOL CORPORATION</t>
  </si>
  <si>
    <t>KENDALLVILLE PUBLIC LIBRARY</t>
  </si>
  <si>
    <t>LIGONIER PUBLIC LIBRARY</t>
  </si>
  <si>
    <t>NOBLE COUNTY PUBLIC LIBRARY</t>
  </si>
  <si>
    <t>County Total (Unit Amount Plus Allocations)</t>
  </si>
  <si>
    <t>58 Ohio County CVET</t>
  </si>
  <si>
    <t>OHIO COUNTY</t>
  </si>
  <si>
    <t>RANDOLPH TOWNSHIP</t>
  </si>
  <si>
    <t>RISING SUN CIVIL CITY</t>
  </si>
  <si>
    <t>RISING SUN-OHIO COUNTY COMMUNITY SCHOOL</t>
  </si>
  <si>
    <t>OHIO COUNTY PUBLIC LIBRARY</t>
  </si>
  <si>
    <t>59 Orange County CVET</t>
  </si>
  <si>
    <t>ORANGE COUNTY</t>
  </si>
  <si>
    <t>FRENCH LICK TOWNSHIP</t>
  </si>
  <si>
    <t>NORTHEAST TOWNSHIP</t>
  </si>
  <si>
    <t>NORTHWEST TOWNSHIP</t>
  </si>
  <si>
    <t>ORANGEVILLE TOWNSHIP</t>
  </si>
  <si>
    <t>ORLEANS TOWNSHIP</t>
  </si>
  <si>
    <t>PAOLI TOWNSHIP</t>
  </si>
  <si>
    <t>SOUTHEAST TOWNSHIP</t>
  </si>
  <si>
    <t>STAMPERSCREEK TOWNSHIP</t>
  </si>
  <si>
    <t>FRENCH LICK CIVIL TOWN</t>
  </si>
  <si>
    <t>ORLEANS CIVIL TOWN</t>
  </si>
  <si>
    <t>PAOLI CIVIL TOWN</t>
  </si>
  <si>
    <t>WEST BADEN CIVIL TOWN</t>
  </si>
  <si>
    <t>ORLEANS COMMUNITY SCHOOL CORPORATION</t>
  </si>
  <si>
    <t>PAOLI COMMUNITY SCHOOL CORPORATION</t>
  </si>
  <si>
    <t>SPRINGS VALLEY COMMUNITY SCHOOL CORPORAT</t>
  </si>
  <si>
    <t>FRENCH LICK-MELTON PUBLIC LIBRARY</t>
  </si>
  <si>
    <t>ORLEANS PUBLIC LIBRARY</t>
  </si>
  <si>
    <t>PAOLI PUBLIC LIBRARY</t>
  </si>
  <si>
    <t>ORANGE COUNTY FIRE PROTECTION DISTRICT</t>
  </si>
  <si>
    <t>ORANGE COUNTY SOLID WASTE MANAGEMENT DIS</t>
  </si>
  <si>
    <t>OWEN COUNTY</t>
  </si>
  <si>
    <t>SPENCER-OWEN COMMUNITY SCHOOL CORPORATIO</t>
  </si>
  <si>
    <t>SPENCER-OWEN COUNTY PUBLIC LIBRARY</t>
  </si>
  <si>
    <t>CLOVERDALE COMMUNITY SCHOOL CORPORATION</t>
  </si>
  <si>
    <t>SPENCER CIVIL TOWN</t>
  </si>
  <si>
    <t>GOSPORT CIVIL TOWN</t>
  </si>
  <si>
    <t>61 Parke County CVET</t>
  </si>
  <si>
    <t>PARKE COUNTY</t>
  </si>
  <si>
    <t>FLORIDA TOWNSHIP</t>
  </si>
  <si>
    <t>RACCOON TOWNSHIP</t>
  </si>
  <si>
    <t>RESERVE TOWNSHIP</t>
  </si>
  <si>
    <t>BLOOMINGDALE CIVIL TOWN</t>
  </si>
  <si>
    <t>MARSHALL CIVIL TOWN</t>
  </si>
  <si>
    <t>MECCA CIVIL TOWN</t>
  </si>
  <si>
    <t>MONTEZUMA CIVIL TOWN</t>
  </si>
  <si>
    <t>ROCKVILLE CIVIL TOWN</t>
  </si>
  <si>
    <t>ROSEDALE CIVIL TOWN</t>
  </si>
  <si>
    <t>ROCKVILLE COMMUNITY SCHOOL CORPORATION</t>
  </si>
  <si>
    <t>SOUTHWEST PARKE COMMUNITY SCHOOL CORPORA</t>
  </si>
  <si>
    <t>TURKEY RUN COMMUNITY SCHOOL CORPORATION</t>
  </si>
  <si>
    <t>MONTEZUMA PUBLIC LIBRARY</t>
  </si>
  <si>
    <t>ROCKVILLE PUBLIC LIBRARY</t>
  </si>
  <si>
    <t>WEST CENTRAL INDIANA SOLID WASTE MGMT</t>
  </si>
  <si>
    <t>62 Perry County CVET</t>
  </si>
  <si>
    <t>PERRY COUNTY</t>
  </si>
  <si>
    <t>LEOPOLD TOWNSHIP</t>
  </si>
  <si>
    <t>OIL TOWNSHIP</t>
  </si>
  <si>
    <t>TOBIN TOWNSHIP</t>
  </si>
  <si>
    <t>CANNELTON CIVIL CITY</t>
  </si>
  <si>
    <t>TELL CITY CIVIL CITY</t>
  </si>
  <si>
    <t>TROY CIVIL TOWN</t>
  </si>
  <si>
    <t>CANNELTON CITY SCHOOL CORPORATION</t>
  </si>
  <si>
    <t>PERRY CENTRAL COMMUNITY SCHOOL CORPORATI</t>
  </si>
  <si>
    <t>TELL CITY-TROY TOWNSHIP SCHOOL CORPORATI</t>
  </si>
  <si>
    <t>CANNELTON PUBLIC LIBRARY</t>
  </si>
  <si>
    <t>TELL CITY PUBLIC LIBRARY</t>
  </si>
  <si>
    <t>PERRY COUNTY AIRPORT AUTHORITY</t>
  </si>
  <si>
    <t>PERRY COUNTY SOLID WASTE MANAGEMENT DIST</t>
  </si>
  <si>
    <t>63 Pike County CVET</t>
  </si>
  <si>
    <t>PIKE COUNTY</t>
  </si>
  <si>
    <t>LOCKHART TOWNSHIP</t>
  </si>
  <si>
    <t>PETERSBURG CIVIL CITY</t>
  </si>
  <si>
    <t>SPURGEON CIVIL TOWN</t>
  </si>
  <si>
    <t>WINSLOW CIVIL TOWN</t>
  </si>
  <si>
    <t>PIKE COUNTY SCHOOL CORPORATION</t>
  </si>
  <si>
    <t>PIKE COUNTY PUBLIC LIBRARY</t>
  </si>
  <si>
    <t>JEFFERSON-MARION TOWNSHIP FIRE</t>
  </si>
  <si>
    <t>PATOKA TOWNSHIP FIRE</t>
  </si>
  <si>
    <t>PIKE COUNTY SOLID WASTE DISTRICT</t>
  </si>
  <si>
    <t>64 Porter County CVET</t>
  </si>
  <si>
    <t>PORTER COUNTY</t>
  </si>
  <si>
    <t>PORTAGE TOWNSHIP</t>
  </si>
  <si>
    <t>PORTER TOWNSHIP</t>
  </si>
  <si>
    <t>WESTCHESTER TOWNSHIP</t>
  </si>
  <si>
    <t>BEVERLY SHORES CIVIL TOWN</t>
  </si>
  <si>
    <t>BURNS HARBOR CIVIL TOWN</t>
  </si>
  <si>
    <t>CHESTERTON CIVIL TOWN</t>
  </si>
  <si>
    <t>DUNE ACRES CIVIL TOWN</t>
  </si>
  <si>
    <t>HEBRON CIVIL TOWN</t>
  </si>
  <si>
    <t>KOUTS CIVIL TOWN</t>
  </si>
  <si>
    <t>OGDEN DUNES CIVIL TOWN</t>
  </si>
  <si>
    <t>PINES CIVIL TOWN</t>
  </si>
  <si>
    <t>PORTAGE CIVIL CITY</t>
  </si>
  <si>
    <t>PORTER CIVIL TOWN</t>
  </si>
  <si>
    <t>VALPARAISO CIVIL CITY</t>
  </si>
  <si>
    <t>BOONE TOWNSHIP SCHOOL CORPORATION</t>
  </si>
  <si>
    <t>DUNELAND SCHOOL CORPORATION</t>
  </si>
  <si>
    <t>EAST PORTER COUNTY SCHOOL CORPORATION</t>
  </si>
  <si>
    <t>PORTAGE TOWNSHIP SCHOOL CORPORATION</t>
  </si>
  <si>
    <t>PORTER TOWNSHIP SCHOOL CORPORATION</t>
  </si>
  <si>
    <t>VALPARAISO COMMUNITY SCHOOL CORPORATION</t>
  </si>
  <si>
    <t>PORTER COUNTY PUBLIC LIBRARY</t>
  </si>
  <si>
    <t>WESTCHESTER PUBLIC LIBRARY</t>
  </si>
  <si>
    <t>PORTER CO AIRPORT AUTHORITY</t>
  </si>
  <si>
    <t>PORTER CO SW DISTRICT</t>
  </si>
  <si>
    <t>WEST PORTER TOWNSHIP FIRE PROTECTION</t>
  </si>
  <si>
    <t>Less: State Total</t>
  </si>
  <si>
    <t>65 Posey County CVET</t>
  </si>
  <si>
    <t>POSEY COUNTY</t>
  </si>
  <si>
    <t>BETHEL TOWNSHIP</t>
  </si>
  <si>
    <t>BLACK TOWNSHIP</t>
  </si>
  <si>
    <t>HARMONY TOWNSHIP</t>
  </si>
  <si>
    <t>LYNN TOWNSHIP</t>
  </si>
  <si>
    <t>MARRS TOWNSHIP</t>
  </si>
  <si>
    <t>POINT TOWNSHIP</t>
  </si>
  <si>
    <t>ROBB TOWNSHIP</t>
  </si>
  <si>
    <t>ROBINSON TOWNSHIP</t>
  </si>
  <si>
    <t>CYNTHIANA CIVIL TOWN</t>
  </si>
  <si>
    <t>GRIFFIN CIVIL TOWN</t>
  </si>
  <si>
    <t>MOUNT VERNON CIVIL CITY</t>
  </si>
  <si>
    <t>NEW HARMONY CIVIL TOWN</t>
  </si>
  <si>
    <t>POSEYVILLE CIVIL TOWN</t>
  </si>
  <si>
    <t>M.S.D. MOUNT VERNON SCHOOL CORPORATION</t>
  </si>
  <si>
    <t>M.S.D. NORTH POSEY COUNTY SCHOOL CORPORA</t>
  </si>
  <si>
    <t>NEW HARMONY TOWN AND TOWNSHIP SCHOOL COR</t>
  </si>
  <si>
    <t>ALEXANDRIAN FREE PUBLIC LIBRARY</t>
  </si>
  <si>
    <t>NEW HARMONY WORKINGMENS INSTITUTE</t>
  </si>
  <si>
    <t>POSEYVILLE CARNEGIE LIBRARY</t>
  </si>
  <si>
    <t>GRIFFIN-BETHEL TOWNSHIP FIRE PROTECTION</t>
  </si>
  <si>
    <t>POSEY COUNTY SOLID WASTE MANAGEMENT DIST</t>
  </si>
  <si>
    <t>WADESVILLE-CENTER TOWNSHIP FIRE</t>
  </si>
  <si>
    <t>66 Pulaski County CVET</t>
  </si>
  <si>
    <t>PULASKI COUNTY</t>
  </si>
  <si>
    <t>RICH GROVE TOWNSHIP</t>
  </si>
  <si>
    <t>WHITE POST TOWNSHIP</t>
  </si>
  <si>
    <t>FRANCESVILLE CIVIL TOWN</t>
  </si>
  <si>
    <t>MEDARYVILLE CIVIL TOWN</t>
  </si>
  <si>
    <t>MONTEREY CIVIL TOWN</t>
  </si>
  <si>
    <t>WINAMAC CIVIL TOWN</t>
  </si>
  <si>
    <t>EASTERN PULASKI COMMUNITY SCHOOL CORPORA</t>
  </si>
  <si>
    <t>NORTH JUDSON-SAN PIERRE SCHOOL CORPORATI</t>
  </si>
  <si>
    <t>FRANCESVILLE PUBLIC LIBRARY</t>
  </si>
  <si>
    <t>MONTEREY PUBLIC LIBRARY</t>
  </si>
  <si>
    <t>PULASKI COUNTY PUBLIC LIBRARY</t>
  </si>
  <si>
    <t>67 Putnam County CVET</t>
  </si>
  <si>
    <t>PUTNAM COUNTY</t>
  </si>
  <si>
    <t>CLOVERDALE TOWNSHIP</t>
  </si>
  <si>
    <t>FLOYD TOWNSHIP</t>
  </si>
  <si>
    <t>GREENCASTLE TOWNSHIP</t>
  </si>
  <si>
    <t>RUSSELL TOWNSHIP</t>
  </si>
  <si>
    <t>BAINBRIDGE CIVIL TOWN</t>
  </si>
  <si>
    <t>CLOVERDALE CIVIL TOWN</t>
  </si>
  <si>
    <t>FILLMORE CIVIL TOWN</t>
  </si>
  <si>
    <t>GREENCASTLE CIVIL CITY</t>
  </si>
  <si>
    <t>ROACHDALE CIVIL TOWN</t>
  </si>
  <si>
    <t>RUSSELLVILLE CIVIL TOWN</t>
  </si>
  <si>
    <t>GREENCASTLE COMMUNITY SCHOOL CORPORATION</t>
  </si>
  <si>
    <t>NORTH PUTNAM COMMUNITY SCHOOL CORPORATIO</t>
  </si>
  <si>
    <t>SOUTH PUTNAM COMMUNITY SCHOOL CORPORATIO</t>
  </si>
  <si>
    <t>PUTNAM COUNTY PUBLIC LIBRARY</t>
  </si>
  <si>
    <t>ROACHDALE PUBLIC LIBRARY</t>
  </si>
  <si>
    <t>FLOYD TWP FIRE DISTRICT</t>
  </si>
  <si>
    <t>ROACHDALE FIRE PROTECTION</t>
  </si>
  <si>
    <t>WALNUT CREEK FIRE PROTECTION</t>
  </si>
  <si>
    <t>68 Randolph County CVET</t>
  </si>
  <si>
    <t>RANDOLPH COUNTY</t>
  </si>
  <si>
    <t>GREENSFORK TOWNSHIP</t>
  </si>
  <si>
    <t>WARD TOWNSHIP</t>
  </si>
  <si>
    <t>FARMLAND CIVIL TOWN</t>
  </si>
  <si>
    <t>LOSANTVILLE CIVIL TOWN</t>
  </si>
  <si>
    <t>LYNN CIVIL TOWN</t>
  </si>
  <si>
    <t>MODOC CIVIL TOWN</t>
  </si>
  <si>
    <t>PARKER CIVIL TOWN</t>
  </si>
  <si>
    <t>RIDGEVILLE CIVIL TOWN</t>
  </si>
  <si>
    <t>SARATOGA CIVIL TOWN</t>
  </si>
  <si>
    <t>UNION CITY CIVIL CITY</t>
  </si>
  <si>
    <t>WINCHESTER CIVIL CITY</t>
  </si>
  <si>
    <t>MONROE CENTRAL SCHOOL CORPORATION</t>
  </si>
  <si>
    <t>RANDOLPH CENTRAL SCHOOL CORPORATION</t>
  </si>
  <si>
    <t>RANDOLPH EASTERN SCHOOL CORPORATION</t>
  </si>
  <si>
    <t>RANDOLPH SOUTHERN SCHOOL CORPORATION</t>
  </si>
  <si>
    <t>FARMLAND PUBLIC LIBRARY</t>
  </si>
  <si>
    <t>RIDGEVILLE PUBLIC LIBRARY</t>
  </si>
  <si>
    <t>UNION CITY PUBLIC LIBRARY</t>
  </si>
  <si>
    <t>WINCHESTER PUBLIC LIBRARY</t>
  </si>
  <si>
    <t>RANDOLPH CO SOLID WASTE</t>
  </si>
  <si>
    <t>RIPLEY COUNTY</t>
  </si>
  <si>
    <t>SUNMAN CIVIL TOWN</t>
  </si>
  <si>
    <t>SOUTH RIPLEY COMMUNITY SCHOOL CORPORATIO</t>
  </si>
  <si>
    <t>JAC-CEN-DEL COMMUNITY SCHOOL CORPORATION</t>
  </si>
  <si>
    <t>OSGOOD PUBLIC LIBRARY</t>
  </si>
  <si>
    <t>JAC-CEN-DEL FIRE TERRITORY</t>
  </si>
  <si>
    <t>OSGOOD CIVIL TOWN</t>
  </si>
  <si>
    <t>MILAN COMMUNITY SCHOOL CORPORATION</t>
  </si>
  <si>
    <t>MILAN CIVIL TOWN</t>
  </si>
  <si>
    <t>NAPOLEON CIVIL TOWN</t>
  </si>
  <si>
    <t>VERSAILLES CIVIL TOWN</t>
  </si>
  <si>
    <t>LAUGHERY TOWNSHIP</t>
  </si>
  <si>
    <t>OTTER CREEK TOWNSHIP</t>
  </si>
  <si>
    <t>HOLTON CIVIL TOWN</t>
  </si>
  <si>
    <t>70 Rush County CVET</t>
  </si>
  <si>
    <t>RUSH COUNTY</t>
  </si>
  <si>
    <t>RUSHVILLE TOWNSHIP</t>
  </si>
  <si>
    <t>CARTHAGE CIVIL TOWN</t>
  </si>
  <si>
    <t>RUSHVILLE CIVIL CITY</t>
  </si>
  <si>
    <t>RUSHVILLE CONSOLIDATED SCHOOL CORPORATIO</t>
  </si>
  <si>
    <t>CARTHAGE-HENRY HENSLEY PUBLIC LIBRARY</t>
  </si>
  <si>
    <t>RUSHVILLE PUBLIC LIBRARY</t>
  </si>
  <si>
    <t>71 St. Joseph County CVET</t>
  </si>
  <si>
    <t>ST. JOSEPH COUNTY</t>
  </si>
  <si>
    <t>CENTRE TOWNSHIP</t>
  </si>
  <si>
    <t>HARRIS TOWNSHIP</t>
  </si>
  <si>
    <t>INDIAN VILLAGE CIVIL TOWN</t>
  </si>
  <si>
    <t>LAKEVILLE CIVIL TOWN</t>
  </si>
  <si>
    <t>MISHAWAKA CIVIL CITY</t>
  </si>
  <si>
    <t>NEW CARLISLE CIVIL TOWN</t>
  </si>
  <si>
    <t>NORTH LIBERTY CIVIL TOWN</t>
  </si>
  <si>
    <t>OSCEOLA CIVIL TOWN</t>
  </si>
  <si>
    <t>ROSELAND CIVIL TOWN</t>
  </si>
  <si>
    <t>SOUTH BEND CIVIL CITY</t>
  </si>
  <si>
    <t>WALKERTON CIVIL TOWN</t>
  </si>
  <si>
    <t>MISHAWAKA CITY SCHOOL CORPORATION</t>
  </si>
  <si>
    <t>PENN-HARRIS-MADISON-SCHOOL CORPORATION</t>
  </si>
  <si>
    <t>SOUTH BEND COMMUNITY SCHOOL CORPORATION</t>
  </si>
  <si>
    <t>MISHAWAKA PUBLIC LIBRARY</t>
  </si>
  <si>
    <t>NEW CARLISLE PUBLIC LIBRARY</t>
  </si>
  <si>
    <t>ST. JOSEPH COUNTY PUBLIC LIBRARY</t>
  </si>
  <si>
    <t>WALKERTON PUBLIC LIBRARY</t>
  </si>
  <si>
    <t>SOUTH BEND PUBLIC TRANSPORTATION</t>
  </si>
  <si>
    <t>SOUTH BEND REDEVELOPMENT COMMISSION</t>
  </si>
  <si>
    <t>ST. JOE SOLID WASTE MANAGEMENT</t>
  </si>
  <si>
    <t>ST. JOSEPH AIRPORT</t>
  </si>
  <si>
    <t>72 Scott County CVET</t>
  </si>
  <si>
    <t>SCOTT COUNTY</t>
  </si>
  <si>
    <t>FINLEY TOWNSHIP</t>
  </si>
  <si>
    <t>LEXINGTON TOWNSHIP</t>
  </si>
  <si>
    <t>VIENNA TOWNSHIP</t>
  </si>
  <si>
    <t>AUSTIN CIVIL TOWN</t>
  </si>
  <si>
    <t>SCOTTSBURG CIVIL CITY</t>
  </si>
  <si>
    <t>SCOTT COUNTY DISTRICT NO. 1 SCHOOL CORPO</t>
  </si>
  <si>
    <t>SCOTT COUNTY DISTRICT NO. 2 SCHOOL CORPO</t>
  </si>
  <si>
    <t>SCOTT COUNTY PUBLIC LIBRARY</t>
  </si>
  <si>
    <t>73 Shelby County CVET</t>
  </si>
  <si>
    <t>SHELBY COUNTY</t>
  </si>
  <si>
    <t>ADDISON TOWNSHIP</t>
  </si>
  <si>
    <t>HENDRICKS TOWNSHIP</t>
  </si>
  <si>
    <t>MORAL TOWNSHIP</t>
  </si>
  <si>
    <t>EDINGBURGH CIVIL TOWN</t>
  </si>
  <si>
    <t>MORRISTOWN CIVIL TOWN</t>
  </si>
  <si>
    <t>SAINT PAUL CIVIL TOWN</t>
  </si>
  <si>
    <t>SHELBYVILLE CIVIL CITY</t>
  </si>
  <si>
    <t>NORTHWESTERN CONSOLIDATED SCHOOL CORPORA</t>
  </si>
  <si>
    <t>SHELBY EASTERN SCHOOL CORPORATION</t>
  </si>
  <si>
    <t>SHELBYVILLE CENTRAL SCHOOL CORPORATION</t>
  </si>
  <si>
    <t>SOUTHWESTERN CONSOLIDATED SHELBY COUNTY</t>
  </si>
  <si>
    <t>SHELBYVILLE-SHELBY COUNTY PUBLIC LIBRARY</t>
  </si>
  <si>
    <t>SHELBY COUNTY SOLID WASTE</t>
  </si>
  <si>
    <t>74 Spencer County CVET</t>
  </si>
  <si>
    <t>SPENCER COUNTY</t>
  </si>
  <si>
    <t>CARTER TOWNSHIP</t>
  </si>
  <si>
    <t>GRASS TOWNSHIP</t>
  </si>
  <si>
    <t>HAMMOND TOWNSHIP</t>
  </si>
  <si>
    <t>HUFF TOWNSHIP</t>
  </si>
  <si>
    <t>LUCE TOWNSHIP</t>
  </si>
  <si>
    <t>CHRISNEY CIVIL TOWN</t>
  </si>
  <si>
    <t>DALE CIVIL TOWN</t>
  </si>
  <si>
    <t>GENTRYVILLE CIVIL TOWN</t>
  </si>
  <si>
    <t>GRANDVIEW CIVIL TOWN</t>
  </si>
  <si>
    <t>ROCKPORT CIVIL CITY</t>
  </si>
  <si>
    <t>SANTA CLAUS CIVIL TOWN</t>
  </si>
  <si>
    <t>NORTH SPENCER COUNTY SCHOOL CORPORATION</t>
  </si>
  <si>
    <t>SOUTH SPENCER COUNTY SCHOOL CORPORATION</t>
  </si>
  <si>
    <t>NORTH SPENCER PUBLIC LIBRARY</t>
  </si>
  <si>
    <t>SPENCER COUNTY PUBLIC LIBRARY</t>
  </si>
  <si>
    <t>CARTER FIRE PROTECTION DISTRICT</t>
  </si>
  <si>
    <t>SPENCER COUNTY SOLID WASTE MANAGEMENT DI</t>
  </si>
  <si>
    <t>75 Starke County CVET</t>
  </si>
  <si>
    <t>STARKE COUNTY</t>
  </si>
  <si>
    <t>CALIFORNIA TOWNSHIP</t>
  </si>
  <si>
    <t>NORTH BEND TOWNSHIP</t>
  </si>
  <si>
    <t>RAILROAD TOWNSHIP</t>
  </si>
  <si>
    <t>HAMLET CIVIL TOWN</t>
  </si>
  <si>
    <t>KNOX CIVIL CITY</t>
  </si>
  <si>
    <t>NORTH JUDSON CIVIL TOWN</t>
  </si>
  <si>
    <t>KNOX COMMUNITY SCHOOL CORPORATION</t>
  </si>
  <si>
    <t>OREGON-DAVIS SCHOOL CORPORATION</t>
  </si>
  <si>
    <t>NORTH JUDSON PUBLIC LIBRARY</t>
  </si>
  <si>
    <t>STARKE COUNTY PUBLIC LIBRARY</t>
  </si>
  <si>
    <t>STARKE COUNTY AIRPORT AUTHORITY</t>
  </si>
  <si>
    <t>STARKE COUNTY SOLID WASTE MANAGEMENT DIS</t>
  </si>
  <si>
    <t>76 Steuben County CVET</t>
  </si>
  <si>
    <t>STEUBEN COUNTY</t>
  </si>
  <si>
    <t>CLEAR LAKE TOWNSHIP</t>
  </si>
  <si>
    <t>FREMONT TOWNSHIP</t>
  </si>
  <si>
    <t>JAMESTOWN TOWNSHIP</t>
  </si>
  <si>
    <t>MILLGROVE TOWNSHIP</t>
  </si>
  <si>
    <t>OTSEGO TOWNSHIP</t>
  </si>
  <si>
    <t>STEUBEN TOWNSHIP</t>
  </si>
  <si>
    <t>ANGOLA CIVIL CITY</t>
  </si>
  <si>
    <t>CLEARLAKE CIVIL TOWN</t>
  </si>
  <si>
    <t>FREMONT CIVIL TOWN</t>
  </si>
  <si>
    <t>HUDSON CIVIL TOWN</t>
  </si>
  <si>
    <t>ORLAND CIVIL TOWN</t>
  </si>
  <si>
    <t>FREMONT COMMUNITY SCHOOL CORPORATION</t>
  </si>
  <si>
    <t>M.S.D. STEUBEN COUNTY SCHOOL CORPORATION</t>
  </si>
  <si>
    <t>ANGOLA CARNEGIE PUBLIC LIBRARY</t>
  </si>
  <si>
    <t>FREMONT PUBLIC LIBRARY</t>
  </si>
  <si>
    <t>77 Sullivan County CVET</t>
  </si>
  <si>
    <t>SULLIVAN COUNTY</t>
  </si>
  <si>
    <t>CURRY TOWNSHIP</t>
  </si>
  <si>
    <t>FAIRBANKS TOWNSHIP</t>
  </si>
  <si>
    <t>GILL TOWNSHIP</t>
  </si>
  <si>
    <t>HADDON TOWNSHIP</t>
  </si>
  <si>
    <t>TURMAN TOWNSHIP</t>
  </si>
  <si>
    <t>CARLISLE CIVIL TOWN</t>
  </si>
  <si>
    <t>DUGGER CIVIL TOWN</t>
  </si>
  <si>
    <t>FARMERSBURG CIVIL TOWN</t>
  </si>
  <si>
    <t>HYMERA CIVIL TOWN</t>
  </si>
  <si>
    <t>MEROM CIVIL TOWN</t>
  </si>
  <si>
    <t>SHELBURN CIVIL TOWN</t>
  </si>
  <si>
    <t>SULLIVAN CIVIL CITY</t>
  </si>
  <si>
    <t>NORTHEAST SCHOOL CORPORATION</t>
  </si>
  <si>
    <t>SOUTHWEST SCHOOL CORPORATION</t>
  </si>
  <si>
    <t>SULLIVAN COUNTY PUBLIC LIBRARY</t>
  </si>
  <si>
    <t>SULLIVAN COUNTY SOLID WASTE MANAGEMENT D</t>
  </si>
  <si>
    <t>78 Switzerland County CVET</t>
  </si>
  <si>
    <t>SWITZERLAND COUNTY</t>
  </si>
  <si>
    <t>COTTON TOWNSHIP</t>
  </si>
  <si>
    <t>CRAIG TOWNSHIP</t>
  </si>
  <si>
    <t>PATRIOT CIVIL TOWN</t>
  </si>
  <si>
    <t>VEVAY CIVIL TOWN</t>
  </si>
  <si>
    <t>SWITZERLAND COUNTY SCHOOL CORPORATION</t>
  </si>
  <si>
    <t>SWITZERLAND COUNTY PUBLIC LIBRARY</t>
  </si>
  <si>
    <t>79 Tippecanoe County CVET</t>
  </si>
  <si>
    <t>TIPPECANOE COUNTY</t>
  </si>
  <si>
    <t>LAURAMIE TOWNSHIP</t>
  </si>
  <si>
    <t>SHEFFIELD TOWNSHIP</t>
  </si>
  <si>
    <t>WEA TOWNSHIP</t>
  </si>
  <si>
    <t>BATTLE GROUND CIVIL TOWN</t>
  </si>
  <si>
    <t>CLARKS HILL CIVIL TOWN</t>
  </si>
  <si>
    <t>DAYTON CIVIL TOWN</t>
  </si>
  <si>
    <t>LAFAYETTE CIVIL CITY</t>
  </si>
  <si>
    <t>SHADELAND CIVIL TOWN</t>
  </si>
  <si>
    <t>WEST LAFAYETTE CIVIL CITY</t>
  </si>
  <si>
    <t>LAFAYETTE SCHOOL CORPORATION</t>
  </si>
  <si>
    <t>TIPPECANOE SCHOOL CORPORATION</t>
  </si>
  <si>
    <t>WEST LAFAYETTE COMMUNITY SCHOOL CORPORAT</t>
  </si>
  <si>
    <t>TIPPECANOE COUNTY PUBLIC LIBRARY</t>
  </si>
  <si>
    <t>WEST LAFAYETTE PUBLIC LIBRARY</t>
  </si>
  <si>
    <t>GREATER LAFAYETTE PUBLIC TRANSPORTATION</t>
  </si>
  <si>
    <t>80 Tipton County CVET</t>
  </si>
  <si>
    <t>TIPTON COUNTY</t>
  </si>
  <si>
    <t>CICERO TOWNSHIP</t>
  </si>
  <si>
    <t>WILDCAT TOWNSHIP</t>
  </si>
  <si>
    <t>KEMPTON CIVIL TOWN</t>
  </si>
  <si>
    <t>SHARPSVILLE CIVIL TOWN</t>
  </si>
  <si>
    <t>TIPTON CIVIL CITY</t>
  </si>
  <si>
    <t>WINDFALL CIVIL TOWN</t>
  </si>
  <si>
    <t>NORTHERN COMMUNITY SCHOOLS TIPTON COUNTY</t>
  </si>
  <si>
    <t>TIPTON COMMUNITY SCHOOL CORPORATION</t>
  </si>
  <si>
    <t>TIPTON COUNTY PUBLIC LIBRARY</t>
  </si>
  <si>
    <t>TIPTON COUNTY SOLID WASTE</t>
  </si>
  <si>
    <t>81 Union County CVET</t>
  </si>
  <si>
    <t>UNION COUNTY</t>
  </si>
  <si>
    <t>BROWNSVILLE TOWNSHIP</t>
  </si>
  <si>
    <t>LIBERTY CIVIL TOWN</t>
  </si>
  <si>
    <t>WEST COLLEGE CORNER CIVIL TOWN</t>
  </si>
  <si>
    <t>UNION COUNTY PUBLIC LIBRARY</t>
  </si>
  <si>
    <t>W. U. R. SOLID WASTE MANAGEMENT DISTRICT</t>
  </si>
  <si>
    <t>82 Vanderburgh County CVET</t>
  </si>
  <si>
    <t>VANDERBURGH COUNTY</t>
  </si>
  <si>
    <t>ARMSTRONG TOWNSHIP</t>
  </si>
  <si>
    <t>KNIGHT TOWNSHIP</t>
  </si>
  <si>
    <t>PIGEON TOWNSHIP</t>
  </si>
  <si>
    <t>DARMSTADT CIVIL TOWN</t>
  </si>
  <si>
    <t>EVANSVILLE CIVIL CITY</t>
  </si>
  <si>
    <t>EVANSVILLE-VANDERBURGH SCHOOL CORPORATIO</t>
  </si>
  <si>
    <t>EVANSVILLE-VANDERBURGH COUNTY PUBLIC LIB</t>
  </si>
  <si>
    <t>VANDERBURGH COUNTY SOLID WASTE MANAGEMEN</t>
  </si>
  <si>
    <t>83 Vermillion County CVET</t>
  </si>
  <si>
    <t>VERMILLION COUNTY</t>
  </si>
  <si>
    <t>EUGENE TOWNSHIP</t>
  </si>
  <si>
    <t>HELT TOWNSHIP</t>
  </si>
  <si>
    <t>VERMILLION TOWNSHIP</t>
  </si>
  <si>
    <t>CAYUGA CIVIL TOWN</t>
  </si>
  <si>
    <t>CLINTON CIVIL CITY</t>
  </si>
  <si>
    <t>DANA CIVIL TOWN</t>
  </si>
  <si>
    <t>FAIRVIEW PARK CIVIL TOWN</t>
  </si>
  <si>
    <t>NEWPORT CIVIL TOWN</t>
  </si>
  <si>
    <t>PERRYSVILLE CIVIL TOWN</t>
  </si>
  <si>
    <t>UNIVERSAL CIVIL TOWN</t>
  </si>
  <si>
    <t>NORTH VERMILLION COMMUNITY SCHOOL CORPOR</t>
  </si>
  <si>
    <t>SOUTH VERMILLION COMMUNITY SCHOOL CORPOR</t>
  </si>
  <si>
    <t>CLINTON PUBLIC LIBRARY</t>
  </si>
  <si>
    <t>VERMILLION COUNTY PUBLIC LIBRARY</t>
  </si>
  <si>
    <t>VERMILLION COUNTY SOLID WASTE MANAGEMENT</t>
  </si>
  <si>
    <t>84 Vigo County CVET</t>
  </si>
  <si>
    <t>VIGO COUNTY</t>
  </si>
  <si>
    <t>FAYETTE TOWNSHIP</t>
  </si>
  <si>
    <t>LINTON TOWNSHIP</t>
  </si>
  <si>
    <t>LOST CREEK TOWNSHIP</t>
  </si>
  <si>
    <t>NEVINS TOWNSHIP</t>
  </si>
  <si>
    <t>PIERSON TOWNSHIP</t>
  </si>
  <si>
    <t>PRAIRIE CREEK TOWNSHIP</t>
  </si>
  <si>
    <t>PRAIRIETON TOWNSHIP</t>
  </si>
  <si>
    <t>RILEY TOWNSHIP</t>
  </si>
  <si>
    <t>RILEY CIVIL TOWN</t>
  </si>
  <si>
    <t>SEELYVILLE CIVIL TOWN</t>
  </si>
  <si>
    <t>TERRE HAUTE CIVIL CITY</t>
  </si>
  <si>
    <t>WEST TERRE HAUTE CIVIL TOWN</t>
  </si>
  <si>
    <t>VIGO COUNTY SCHOOL CORPORATION</t>
  </si>
  <si>
    <t>VIGO COUNTY PUBLIC LIBRARY</t>
  </si>
  <si>
    <t>HONEY CREEK FIRE PROTECTION</t>
  </si>
  <si>
    <t>HULMAN FIELD AIRPORT</t>
  </si>
  <si>
    <t>LOST CREEK FIRE PROTECTION DISTRICT</t>
  </si>
  <si>
    <t>PRAIRIETON FIRE PROTECTION DISTRICT</t>
  </si>
  <si>
    <t>RILEY FIRE PROTECTION DISTRICT</t>
  </si>
  <si>
    <t>SUGAR CREEK TOWNSHIP FIRE DISTRICT</t>
  </si>
  <si>
    <t>TERRE HAUTE SANITARY</t>
  </si>
  <si>
    <t>85 Wabash County CVET</t>
  </si>
  <si>
    <t>WABASH COUNTY</t>
  </si>
  <si>
    <t>CHESTER TOWNSHIP</t>
  </si>
  <si>
    <t>LAGRO TOWNSHIP</t>
  </si>
  <si>
    <t>PAW PAW TOWNSHIP</t>
  </si>
  <si>
    <t>WALTZ TOWNSHIP</t>
  </si>
  <si>
    <t>LAFONTAINE CIVIL TOWN</t>
  </si>
  <si>
    <t>LAGRO CIVIL TOWN</t>
  </si>
  <si>
    <t>NORTH MANCHESTER CIVIL TOWN</t>
  </si>
  <si>
    <t>ROANN CIVIL TOWN</t>
  </si>
  <si>
    <t>WABASH CIVIL CITY</t>
  </si>
  <si>
    <t>M.S.D. WABASH COUNTY SCHOOL CORPORATION</t>
  </si>
  <si>
    <t>MANCHESTER COMMUNITY SCHOOL CORPORATION</t>
  </si>
  <si>
    <t>WABASH CITY SCHOOL CORPORATION</t>
  </si>
  <si>
    <t>NORTH MANCHESTER PUBLIC LIBRARY</t>
  </si>
  <si>
    <t>ROANN PUBLIC LIBRARY</t>
  </si>
  <si>
    <t>WABASH PUBLIC LIBRARY</t>
  </si>
  <si>
    <t>WABASH COUNTY SOLID WASTE MANAGEMENT DIS</t>
  </si>
  <si>
    <t>86 Warren County CVET</t>
  </si>
  <si>
    <t>WARREN COUNTY</t>
  </si>
  <si>
    <t>KENT TOWNSHIP</t>
  </si>
  <si>
    <t>MEDINA TOWNSHIP</t>
  </si>
  <si>
    <t>MOUND TOWNSHIP</t>
  </si>
  <si>
    <t>PINE VILLAGE CIVIL TOWN</t>
  </si>
  <si>
    <t>STATE LINE CITY CIVIL TOWN</t>
  </si>
  <si>
    <t>WEST LEBANON CIVIL TOWN</t>
  </si>
  <si>
    <t>WILLIAMSPORT CIVIL TOWN</t>
  </si>
  <si>
    <t>M.S.D. OF WARREN COUNTY SCHOOL CORPORATI</t>
  </si>
  <si>
    <t>WEST LEBANON PUBLIC LIBRARY</t>
  </si>
  <si>
    <t>WILLIAMSPORT PUBLIC LIBRARY</t>
  </si>
  <si>
    <t>WARREN COUNTY SOLID WASTE</t>
  </si>
  <si>
    <t>87 Warrick County CVET</t>
  </si>
  <si>
    <t>WARRICK COUNTY</t>
  </si>
  <si>
    <t>BOON TOWNSHIP</t>
  </si>
  <si>
    <t>GREER TOWNSHIP</t>
  </si>
  <si>
    <t>HART TOWNSHIP</t>
  </si>
  <si>
    <t>LANE TOWNSHIP</t>
  </si>
  <si>
    <t>SKELTON TOWNSHIP</t>
  </si>
  <si>
    <t>BOONVILLE CIVIL CITY</t>
  </si>
  <si>
    <t>CHANDLER CIVIL TOWN</t>
  </si>
  <si>
    <t>ELBERFELD CIVIL TOWN</t>
  </si>
  <si>
    <t>LYNNVILLE CIVIL TOWN</t>
  </si>
  <si>
    <t>NEWBURGH CIVIL TOWN</t>
  </si>
  <si>
    <t>TENNYSON CIVIL TOWN</t>
  </si>
  <si>
    <t>WARRICK COUNTY SCHOOL CORPORATION</t>
  </si>
  <si>
    <t>BOONVILLE-WARRICK COUNTY PUBLIC LIBRARY</t>
  </si>
  <si>
    <t>NEWBURGH - OHIO TOWNSHIP PUBLIC LIBRARY</t>
  </si>
  <si>
    <t>WARRICK COUNTY SOLID WASTE</t>
  </si>
  <si>
    <t>88 Washington County CVET</t>
  </si>
  <si>
    <t>WASHINGTON COUNTY</t>
  </si>
  <si>
    <t>GIBSON TOWNSHIP</t>
  </si>
  <si>
    <t>PIERCE TOWNSHIP</t>
  </si>
  <si>
    <t>CAMPBELLSBURG CIVIL TOWN</t>
  </si>
  <si>
    <t>FREDERICKSBURG CIVIL TOWN</t>
  </si>
  <si>
    <t>HARDINSBURG CIVIL TOWN</t>
  </si>
  <si>
    <t>LITTLE YORK CIVIL TOWN</t>
  </si>
  <si>
    <t>LIVONIA CIVIL TOWN</t>
  </si>
  <si>
    <t>NEW PEKIN CIVIL TOWN</t>
  </si>
  <si>
    <t>SALEM CIVIL CITY</t>
  </si>
  <si>
    <t>SALTILLO CIVIL TOWN</t>
  </si>
  <si>
    <t>EAST WASHINGTON SCHOOL CORPORATION</t>
  </si>
  <si>
    <t>SALEM COMMUNITY SCHOOL CORPORATION</t>
  </si>
  <si>
    <t>WEST WASHINGTON SCHOOL CORPORATION</t>
  </si>
  <si>
    <t>SALEM PUBLIC LIBRARY</t>
  </si>
  <si>
    <t>BLUE RIVER FIRE PROTECTION DISTRICT</t>
  </si>
  <si>
    <t>BROWN-VERNON FIRE DISTRICT</t>
  </si>
  <si>
    <t>WASHINGTON COUNTY SOLID WASTE MANAGEMENT</t>
  </si>
  <si>
    <t>89 Wayne County CVET</t>
  </si>
  <si>
    <t>WAYNE COUNTY</t>
  </si>
  <si>
    <t>ABINGTON TOWNSHIP</t>
  </si>
  <si>
    <t>BOSTON TOWNSHIP</t>
  </si>
  <si>
    <t>DALTON TOWNSHIP</t>
  </si>
  <si>
    <t>NEW GARDEN TOWNSHIP</t>
  </si>
  <si>
    <t>BOSTON CIVIL TOWN</t>
  </si>
  <si>
    <t>CAMBRIDGE CITY CIVIL TOWN</t>
  </si>
  <si>
    <t>CENTERVILLE CIVIL TOWN</t>
  </si>
  <si>
    <t>DUBLIN CIVIL TOWN</t>
  </si>
  <si>
    <t>EAST GERMANTOWN CIVIL TOWN</t>
  </si>
  <si>
    <t>ECONOMY CIVIL TOWN</t>
  </si>
  <si>
    <t>FOUNTAIN CITY CIVIL TOWN</t>
  </si>
  <si>
    <t>GREENS FORK CIVIL TOWN</t>
  </si>
  <si>
    <t>HAGERSTOWN CIVIL TOWN</t>
  </si>
  <si>
    <t>MILTON CIVIL TOWN</t>
  </si>
  <si>
    <t>MOUNT AUBURN CIVIL TOWN</t>
  </si>
  <si>
    <t>RICHMOND CIVIL CITY</t>
  </si>
  <si>
    <t>SPRING GROVE CIVIL TOWN</t>
  </si>
  <si>
    <t>WHITEWATER CIVIL TOWN</t>
  </si>
  <si>
    <t>CENTERVILLE-ABINGTON COMMUNITY SCHOOL CO</t>
  </si>
  <si>
    <t>NORTHEASTERN WAYNE SCHOOL CORPORATION</t>
  </si>
  <si>
    <t>RICHMOND COMMUNITY SCHOOL CORPORATION</t>
  </si>
  <si>
    <t>WESTERN WAYNE SCHOOL CORPORATION</t>
  </si>
  <si>
    <t>CAMBRIDGE CITY PUBLIC LIBRARY</t>
  </si>
  <si>
    <t>CENTERVILLE PUBLIC LIBRARY</t>
  </si>
  <si>
    <t>DUBLIN PUBLIC LIBRARY</t>
  </si>
  <si>
    <t>HAGERSTOWN PUBLIC LIBRARY</t>
  </si>
  <si>
    <t>RICHMOND-MORRISSON-REEVES PUBLIC LIBRARY</t>
  </si>
  <si>
    <t>WAYNE COUNTY CONTRACTUAL LIBRARY</t>
  </si>
  <si>
    <t>RICHMOND SANITARY</t>
  </si>
  <si>
    <t>90 Wells County CVET</t>
  </si>
  <si>
    <t>WELLS COUNTY</t>
  </si>
  <si>
    <t>NOTTINGHAM TOWNSHIP</t>
  </si>
  <si>
    <t>BLUFFTON CIVIL CITY</t>
  </si>
  <si>
    <t>OSSIAN CIVIL TOWN</t>
  </si>
  <si>
    <t>PONETO CIVIL TOWN</t>
  </si>
  <si>
    <t>UNIONDALE CIVIL TOWN</t>
  </si>
  <si>
    <t>VERA CRUZ CIVIL TOWN</t>
  </si>
  <si>
    <t>M.S.D. BLUFFTON-HARRISON SCHOOL CORPORAT</t>
  </si>
  <si>
    <t>NORTHERN WELLS COMMUNITY SCHOOL CORPORAT</t>
  </si>
  <si>
    <t>SOUTHERN WELLS COMMUNITY SCHOOL CORPORAT</t>
  </si>
  <si>
    <t>WELLS COUNTY PUBLIC LIBRARY</t>
  </si>
  <si>
    <t>91 White County CVET</t>
  </si>
  <si>
    <t>WHITE COUNTY</t>
  </si>
  <si>
    <t>BIG CREEK TOWNSHIP</t>
  </si>
  <si>
    <t>MONON TOWNSHIP</t>
  </si>
  <si>
    <t>PRINCETON TOWNSHIP</t>
  </si>
  <si>
    <t>ROUND GROVE TOWNSHIP</t>
  </si>
  <si>
    <t>WEST POINT TOWNSHIP</t>
  </si>
  <si>
    <t>BROOKSTON CIVIL TOWN</t>
  </si>
  <si>
    <t>BURNETTSVILLE CIVIL TOWN</t>
  </si>
  <si>
    <t>CHALMERS CIVIL TOWN</t>
  </si>
  <si>
    <t>MONON CIVIL TOWN</t>
  </si>
  <si>
    <t>MONTICELLO CIVIL CITY</t>
  </si>
  <si>
    <t>REYNOLDS CIVIL TOWN</t>
  </si>
  <si>
    <t>WOLCOTT CIVIL TOWN</t>
  </si>
  <si>
    <t>FRONTIER SCHOOL CORPORATION</t>
  </si>
  <si>
    <t>NORTH WHITE SCHOOL CORPORATION</t>
  </si>
  <si>
    <t>TWIN LAKES SCHOOL CORPORATION</t>
  </si>
  <si>
    <t>BROOKSTON PUBLIC LIBRARY</t>
  </si>
  <si>
    <t>MONON PUBLIC LIBRARY</t>
  </si>
  <si>
    <t>MONTICELLO PUBLIC LIBRARY</t>
  </si>
  <si>
    <t>WOLCOTT PUBLIC LIBRARY</t>
  </si>
  <si>
    <t>92 Whitley County CVET</t>
  </si>
  <si>
    <t>WHITLEY COUNTY</t>
  </si>
  <si>
    <t>ETNA TROY TOWNSHIP</t>
  </si>
  <si>
    <t>THORNCREEK TOWNSHIP</t>
  </si>
  <si>
    <t>CHURUBUSCO CIVIL TOWN</t>
  </si>
  <si>
    <t>COLUMBIA CITY CIVIL CITY</t>
  </si>
  <si>
    <t>LARWILL CIVIL TOWN</t>
  </si>
  <si>
    <t>SOUTH WHITLEY CIVIL TOWN</t>
  </si>
  <si>
    <t>WHITLEY COUNTY CONSOLIDATED SCHOOL CORPO</t>
  </si>
  <si>
    <t>CHURUBUSCO PUBLIC LIBRARY</t>
  </si>
  <si>
    <t>PEABODY LIBRARY</t>
  </si>
  <si>
    <t>SOUTH WHITLEY PUBLIC LIBRARY</t>
  </si>
  <si>
    <t>WHITLEY COUNTY SOLID WASTE MANAGEMENT DI</t>
  </si>
  <si>
    <t>60 Owen County CVET</t>
  </si>
  <si>
    <t>69 Ripley County CVET</t>
  </si>
  <si>
    <t>County</t>
  </si>
  <si>
    <t>Adams</t>
  </si>
  <si>
    <t>Allen</t>
  </si>
  <si>
    <t>Bartholomew</t>
  </si>
  <si>
    <t>Benton</t>
  </si>
  <si>
    <t>Blackford</t>
  </si>
  <si>
    <t>Boone</t>
  </si>
  <si>
    <t>Brown</t>
  </si>
  <si>
    <t>Carroll</t>
  </si>
  <si>
    <t>Cass</t>
  </si>
  <si>
    <t>Clark</t>
  </si>
  <si>
    <t>Clay</t>
  </si>
  <si>
    <t>Clinton</t>
  </si>
  <si>
    <t>Crawford</t>
  </si>
  <si>
    <t>Daviess</t>
  </si>
  <si>
    <t>Dearborn</t>
  </si>
  <si>
    <t>Decatur</t>
  </si>
  <si>
    <t>Dekalb</t>
  </si>
  <si>
    <t>Delaware</t>
  </si>
  <si>
    <t>Dubois</t>
  </si>
  <si>
    <t>Elkhart</t>
  </si>
  <si>
    <t>Fayette</t>
  </si>
  <si>
    <t>Floyd</t>
  </si>
  <si>
    <t>Fountain</t>
  </si>
  <si>
    <t>Franklin</t>
  </si>
  <si>
    <t>Fulton</t>
  </si>
  <si>
    <t>Gibson</t>
  </si>
  <si>
    <t>Grant</t>
  </si>
  <si>
    <t>Greene</t>
  </si>
  <si>
    <t>Hamilton</t>
  </si>
  <si>
    <t>Hancock</t>
  </si>
  <si>
    <t>Harrison</t>
  </si>
  <si>
    <t>Hendricks</t>
  </si>
  <si>
    <t>Henry</t>
  </si>
  <si>
    <t>Howard</t>
  </si>
  <si>
    <t>Huntington</t>
  </si>
  <si>
    <t>Jackson</t>
  </si>
  <si>
    <t>Jasper</t>
  </si>
  <si>
    <t>Jay</t>
  </si>
  <si>
    <t>Jefferson</t>
  </si>
  <si>
    <t>Jennings</t>
  </si>
  <si>
    <t>Johnson</t>
  </si>
  <si>
    <t>Knox</t>
  </si>
  <si>
    <t>Kosciusko</t>
  </si>
  <si>
    <t>Lagrange</t>
  </si>
  <si>
    <t>Lake</t>
  </si>
  <si>
    <t>Laporte</t>
  </si>
  <si>
    <t>Lawrence</t>
  </si>
  <si>
    <t>Madison</t>
  </si>
  <si>
    <t>Marion</t>
  </si>
  <si>
    <t>Marshall</t>
  </si>
  <si>
    <t>Martin</t>
  </si>
  <si>
    <t>Miami</t>
  </si>
  <si>
    <t>Monroe</t>
  </si>
  <si>
    <t>Montgomery</t>
  </si>
  <si>
    <t>Morgan</t>
  </si>
  <si>
    <t>Newton</t>
  </si>
  <si>
    <t>Noble</t>
  </si>
  <si>
    <t>Ohio</t>
  </si>
  <si>
    <t>Orange</t>
  </si>
  <si>
    <t>Owen</t>
  </si>
  <si>
    <t>Parke</t>
  </si>
  <si>
    <t>Perry</t>
  </si>
  <si>
    <t>Pike</t>
  </si>
  <si>
    <t>Porter</t>
  </si>
  <si>
    <t>Posey</t>
  </si>
  <si>
    <t>Pulaski</t>
  </si>
  <si>
    <t>Putnam</t>
  </si>
  <si>
    <t>Randolph</t>
  </si>
  <si>
    <t>Ripley</t>
  </si>
  <si>
    <t>Rush</t>
  </si>
  <si>
    <t>Saint Joseph</t>
  </si>
  <si>
    <t>Scott</t>
  </si>
  <si>
    <t>Shelby</t>
  </si>
  <si>
    <t>Spencer</t>
  </si>
  <si>
    <t>Starke</t>
  </si>
  <si>
    <t>Steuben</t>
  </si>
  <si>
    <t>Sullivan</t>
  </si>
  <si>
    <t>Switzerland</t>
  </si>
  <si>
    <t>Tippecanoe</t>
  </si>
  <si>
    <t>Tipton</t>
  </si>
  <si>
    <t>Union</t>
  </si>
  <si>
    <t>Vanderburgh</t>
  </si>
  <si>
    <t>Vermillion</t>
  </si>
  <si>
    <t>Vigo</t>
  </si>
  <si>
    <t>Wabash</t>
  </si>
  <si>
    <t>Warren</t>
  </si>
  <si>
    <t>Warrick</t>
  </si>
  <si>
    <t>Washington</t>
  </si>
  <si>
    <t>Wayne</t>
  </si>
  <si>
    <t>Wells</t>
  </si>
  <si>
    <t>White</t>
  </si>
  <si>
    <t>Whitley</t>
  </si>
  <si>
    <t xml:space="preserve">Headings </t>
  </si>
  <si>
    <t>CE2</t>
  </si>
  <si>
    <t>CF2</t>
  </si>
  <si>
    <t>CG2</t>
  </si>
  <si>
    <t>Number</t>
  </si>
  <si>
    <t>CVET: Prompt for CY.</t>
  </si>
  <si>
    <t>Fund</t>
  </si>
  <si>
    <t>Account</t>
  </si>
  <si>
    <t>Bud Ref</t>
  </si>
  <si>
    <t>Year</t>
  </si>
  <si>
    <t>Period</t>
  </si>
  <si>
    <t>Sum Total Amt</t>
  </si>
  <si>
    <t>00090</t>
  </si>
  <si>
    <t>75115</t>
  </si>
  <si>
    <t>413300</t>
  </si>
  <si>
    <t xml:space="preserve">County Allocation </t>
  </si>
  <si>
    <t>Totals</t>
  </si>
  <si>
    <t xml:space="preserve">Allocation % (1) </t>
  </si>
  <si>
    <t>Query Name</t>
  </si>
  <si>
    <t xml:space="preserve">DDB_LEDGER_CVET_2016_03_26 </t>
  </si>
  <si>
    <t xml:space="preserve">Description </t>
  </si>
  <si>
    <t xml:space="preserve">CVET: Prompt for CY. </t>
  </si>
  <si>
    <t>Query SQL</t>
  </si>
  <si>
    <t xml:space="preserve"> SELECT DISTINCT A.BUSINESS_UNIT, A.FUND_CODE, A.ACCOUNT, A.BUDGET_REF, A.FISCAL_YEAR, A.ACCOUNTING_PERIOD, SUM( A.POSTED_TOTAL_AMT) 
  FROM PS_LEDGER A 
  WHERE ( A.BUSINESS_UNIT = '00090' 
     AND A.FUND_CODE = '75115' 
     AND A.ACCOUNT LIKE '4%' 
     AND A.LEDGER = 'ACTUALS' 
     AND ( A.FISCAL_YEAR = :3 
     AND A.ACCOUNTING_PERIOD BETWEEN 7 AND 12 
     OR A.FISCAL_YEAR = :3+1 
     AND A.ACCOUNTING_PERIOD BETWEEN 1 AND 6) ) 
  GROUP BY  A.BUSINESS_UNIT,  A.FUND_CODE,  A.ACCOUNT,  A.BUDGET_REF,  A.FISCAL_YEAR,  A.ACCOUNTING_PERIOD 
  ORDER BY 5, 6 </t>
  </si>
  <si>
    <t>Query Paste Tab</t>
  </si>
  <si>
    <t>Initial</t>
  </si>
  <si>
    <t>Date</t>
  </si>
  <si>
    <t>Analytical Procedures Tab</t>
  </si>
  <si>
    <t xml:space="preserve">Verify analytical procedures were performed by staff member  </t>
  </si>
  <si>
    <t>Verify all cash balances and/or variances are in the acceptable ranges</t>
  </si>
  <si>
    <t xml:space="preserve">If not, were acceptable answers provided (sign represents a yes) </t>
  </si>
  <si>
    <t xml:space="preserve">Are any additional procedures required (sign off represents a no response) </t>
  </si>
  <si>
    <t xml:space="preserve">Date Completed </t>
  </si>
  <si>
    <t xml:space="preserve">Annual CVET Allocation Report </t>
  </si>
  <si>
    <t>Preparer</t>
  </si>
  <si>
    <t>Reviewer</t>
  </si>
  <si>
    <t>Allocation Worksheet</t>
  </si>
  <si>
    <t>Verify each county CY distribution in column D is calculating correctly</t>
  </si>
  <si>
    <t>CY Distribution (2)</t>
  </si>
  <si>
    <t>(1) Calculated per indiana statute ______</t>
  </si>
  <si>
    <t xml:space="preserve">(2) Calculated as allocation percentage (column C) times the prior CY total CVET reveneues. Prior CY CVET revenues can be found from the Query paste tab. </t>
  </si>
  <si>
    <t>Workplan</t>
  </si>
  <si>
    <t xml:space="preserve">Workplan completed/reviewed by: </t>
  </si>
  <si>
    <t>Analytical Review Procedures</t>
  </si>
  <si>
    <r>
      <rPr>
        <b/>
        <sz val="10"/>
        <rFont val="Arial"/>
        <family val="2"/>
      </rPr>
      <t>Instructions</t>
    </r>
    <r>
      <rPr>
        <sz val="10"/>
        <rFont val="Arial"/>
        <family val="2"/>
      </rPr>
      <t xml:space="preserve">: Analytical review procedures should be completed by the staff member completing the workbook. Please follow instructions given for each procedure. Any values in blue font are manual enters. All values in black font are automatically calculated. All notes and comments should be clear and precise. Any questions should be directed to the Local Government Director. </t>
    </r>
  </si>
  <si>
    <t>Procedure completed by</t>
  </si>
  <si>
    <t>Date of Completion</t>
  </si>
  <si>
    <t>Procedure reviewed by</t>
  </si>
  <si>
    <t>Date of review</t>
  </si>
  <si>
    <t>Current</t>
  </si>
  <si>
    <t>Notes/</t>
  </si>
  <si>
    <t>Comments</t>
  </si>
  <si>
    <t>PS</t>
  </si>
  <si>
    <t>Query</t>
  </si>
  <si>
    <t xml:space="preserve">Auditors </t>
  </si>
  <si>
    <t>Data</t>
  </si>
  <si>
    <t>Variance</t>
  </si>
  <si>
    <t>January</t>
  </si>
  <si>
    <t>March</t>
  </si>
  <si>
    <t>April</t>
  </si>
  <si>
    <t>June</t>
  </si>
  <si>
    <t xml:space="preserve">July </t>
  </si>
  <si>
    <t xml:space="preserve">August </t>
  </si>
  <si>
    <t>September</t>
  </si>
  <si>
    <t>October</t>
  </si>
  <si>
    <t>November</t>
  </si>
  <si>
    <t>December</t>
  </si>
  <si>
    <t>Month</t>
  </si>
  <si>
    <t>Total</t>
  </si>
  <si>
    <t xml:space="preserve">Prior </t>
  </si>
  <si>
    <t>Dollar</t>
  </si>
  <si>
    <t>Percentage</t>
  </si>
  <si>
    <t>Increase/Decrease</t>
  </si>
  <si>
    <t>Comments/Explanation</t>
  </si>
  <si>
    <t xml:space="preserve"> 12</t>
  </si>
  <si>
    <t>PY Distribution</t>
  </si>
  <si>
    <t xml:space="preserve">CY </t>
  </si>
  <si>
    <t>PY</t>
  </si>
  <si>
    <t>Query Paste PY Tab</t>
  </si>
  <si>
    <t xml:space="preserve">Run DDB_LEDGER_CVET_2016_03_26 for most recently ended calendar year.  Copy Query and paste it in the Query Paste tab. SQL for query can be found on the Query Layout tab. </t>
  </si>
  <si>
    <t xml:space="preserve">Run DDB_LEDGER_CVET_2016_03_26 for one prior to the most recently ended calendar year.  Copy Query and paste it in the Query Paste tab. SQL for query can be found on the Query Layout tab. </t>
  </si>
  <si>
    <t>Calendar</t>
  </si>
  <si>
    <t>February</t>
  </si>
  <si>
    <t>Procedure 2: Compare calendar year total CVET revenues from query to prior year revenues query. Standard deviation percentage increase/decrease should be within 20% if not, explanation is needed in notes/comments</t>
  </si>
  <si>
    <t>Proof</t>
  </si>
  <si>
    <t>COUNTY</t>
  </si>
  <si>
    <t>STATE UNIT AMOUNT</t>
  </si>
  <si>
    <t>NET COUNTY TOTAL</t>
  </si>
  <si>
    <t>COUNTY TOTAL FROM ALLOCATION WORKSHEET</t>
  </si>
  <si>
    <t>DIFFERENCE</t>
  </si>
  <si>
    <t>SAINT JOSEPH COUNTY</t>
  </si>
  <si>
    <t>TOTALS</t>
  </si>
  <si>
    <t>May</t>
  </si>
  <si>
    <t>Update years (blue text) for county report column headings in H3, H4, and H5</t>
  </si>
  <si>
    <t>2024</t>
  </si>
  <si>
    <t xml:space="preserve">Procedure 3: Compare calendar year  CVET revenues for each county from allocation worksheet to prior year. Percentage increase/decrease for each county should equal the percentage increase/decrease calculated in procedure 2. </t>
  </si>
  <si>
    <t>2025</t>
  </si>
  <si>
    <t>FRED</t>
  </si>
  <si>
    <t>COMPTROLLER OF THE STATE</t>
  </si>
  <si>
    <t>CO</t>
  </si>
  <si>
    <t>UT</t>
  </si>
  <si>
    <t>UC</t>
  </si>
  <si>
    <t>02</t>
  </si>
  <si>
    <t>03</t>
  </si>
  <si>
    <t>04</t>
  </si>
  <si>
    <t>05</t>
  </si>
  <si>
    <t>06</t>
  </si>
  <si>
    <t>07</t>
  </si>
  <si>
    <t>01</t>
  </si>
  <si>
    <t>08</t>
  </si>
  <si>
    <t>09</t>
  </si>
  <si>
    <t>10</t>
  </si>
  <si>
    <t>11</t>
  </si>
  <si>
    <t>13</t>
  </si>
  <si>
    <t>14</t>
  </si>
  <si>
    <t>15</t>
  </si>
  <si>
    <t>16</t>
  </si>
  <si>
    <t>17</t>
  </si>
  <si>
    <t>18</t>
  </si>
  <si>
    <t>19</t>
  </si>
  <si>
    <t>21</t>
  </si>
  <si>
    <t>22</t>
  </si>
  <si>
    <t>23</t>
  </si>
  <si>
    <t>24</t>
  </si>
  <si>
    <t>25</t>
  </si>
  <si>
    <t>26</t>
  </si>
  <si>
    <t>27</t>
  </si>
  <si>
    <t>28</t>
  </si>
  <si>
    <t>29</t>
  </si>
  <si>
    <t>30</t>
  </si>
  <si>
    <t>31</t>
  </si>
  <si>
    <t>32</t>
  </si>
  <si>
    <t>33</t>
  </si>
  <si>
    <t>34</t>
  </si>
  <si>
    <t>35</t>
  </si>
  <si>
    <t>36</t>
  </si>
  <si>
    <t>37</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</si>
  <si>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</si>
  <si>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</si>
  <si>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</si>
  <si>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</si>
  <si>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</si>
  <si>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</si>
  <si>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</si>
  <si>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</si>
  <si>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</si>
  <si>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</si>
  <si>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</si>
  <si>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</si>
  <si>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</si>
  <si>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</si>
  <si>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</si>
  <si>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</si>
  <si>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</si>
  <si>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</si>
  <si>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</si>
  <si>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</si>
  <si>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</si>
  <si>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</si>
  <si>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</si>
  <si>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</si>
  <si>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</si>
  <si>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</si>
  <si>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</si>
  <si>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</si>
  <si>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</si>
  <si>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</si>
  <si>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</si>
  <si>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</si>
  <si>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</si>
  <si>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</si>
  <si>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</si>
  <si>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</si>
  <si>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</si>
  <si>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</si>
  <si>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</si>
  <si>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</si>
  <si>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</si>
  <si>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</si>
  <si>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</si>
  <si>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</si>
  <si>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</si>
  <si>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</si>
  <si>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</si>
  <si>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</si>
  <si>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</si>
  <si>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</si>
  <si>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</si>
  <si>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</si>
  <si>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</si>
  <si>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03 Bartholomew County CVET</t>
  </si>
  <si>
    <t>12 Clinton County CVET</t>
  </si>
  <si>
    <t>20 ELKHART COUNTY CVET</t>
  </si>
  <si>
    <t>39 Jefferson County CVET</t>
  </si>
  <si>
    <t>38 Jay County CVET</t>
  </si>
  <si>
    <t>12</t>
  </si>
  <si>
    <t>20</t>
  </si>
  <si>
    <t>38</t>
  </si>
  <si>
    <t>39</t>
  </si>
  <si>
    <t/>
  </si>
  <si>
    <t>0000</t>
  </si>
  <si>
    <t>0001</t>
  </si>
  <si>
    <t>0002</t>
  </si>
  <si>
    <t>0003</t>
  </si>
  <si>
    <t>0004</t>
  </si>
  <si>
    <t>0005</t>
  </si>
  <si>
    <t>0006</t>
  </si>
  <si>
    <t>0007</t>
  </si>
  <si>
    <t>0008</t>
  </si>
  <si>
    <t>0009</t>
  </si>
  <si>
    <t>0010</t>
  </si>
  <si>
    <t>0011</t>
  </si>
  <si>
    <t>0012</t>
  </si>
  <si>
    <t>0407</t>
  </si>
  <si>
    <t>0453</t>
  </si>
  <si>
    <t>0520</t>
  </si>
  <si>
    <t>0521</t>
  </si>
  <si>
    <t>0015</t>
  </si>
  <si>
    <t>0025</t>
  </si>
  <si>
    <t>0035</t>
  </si>
  <si>
    <t>0304</t>
  </si>
  <si>
    <t>0013</t>
  </si>
  <si>
    <t>0014</t>
  </si>
  <si>
    <t>0016</t>
  </si>
  <si>
    <t>0017</t>
  </si>
  <si>
    <t>0018</t>
  </si>
  <si>
    <t>0019</t>
  </si>
  <si>
    <t>0020</t>
  </si>
  <si>
    <t>0100</t>
  </si>
  <si>
    <t>0424</t>
  </si>
  <si>
    <t>0465</t>
  </si>
  <si>
    <t>0476</t>
  </si>
  <si>
    <t>0522</t>
  </si>
  <si>
    <t>0524</t>
  </si>
  <si>
    <t>0968</t>
  </si>
  <si>
    <t>0125</t>
  </si>
  <si>
    <t>0225</t>
  </si>
  <si>
    <t>0235</t>
  </si>
  <si>
    <t>0255</t>
  </si>
  <si>
    <t>0800</t>
  </si>
  <si>
    <t>0960</t>
  </si>
  <si>
    <t>0969</t>
  </si>
  <si>
    <t>0200</t>
  </si>
  <si>
    <t>0525</t>
  </si>
  <si>
    <t>0526</t>
  </si>
  <si>
    <t>0527</t>
  </si>
  <si>
    <t>0528</t>
  </si>
  <si>
    <t>0529</t>
  </si>
  <si>
    <t>0703</t>
  </si>
  <si>
    <t>0365</t>
  </si>
  <si>
    <t>0370</t>
  </si>
  <si>
    <t>4215</t>
  </si>
  <si>
    <t>0111</t>
  </si>
  <si>
    <t>0530</t>
  </si>
  <si>
    <t>0531</t>
  </si>
  <si>
    <t>0532</t>
  </si>
  <si>
    <t>0533</t>
  </si>
  <si>
    <t>0534</t>
  </si>
  <si>
    <t>0535</t>
  </si>
  <si>
    <t>0395</t>
  </si>
  <si>
    <t>5995</t>
  </si>
  <si>
    <t>8535</t>
  </si>
  <si>
    <t>0098</t>
  </si>
  <si>
    <t>0409</t>
  </si>
  <si>
    <t>0450</t>
  </si>
  <si>
    <t>0464</t>
  </si>
  <si>
    <t>0951</t>
  </si>
  <si>
    <t>0515</t>
  </si>
  <si>
    <t>3945</t>
  </si>
  <si>
    <t>0106</t>
  </si>
  <si>
    <t>0402</t>
  </si>
  <si>
    <t>0536</t>
  </si>
  <si>
    <t>0537</t>
  </si>
  <si>
    <t>0538</t>
  </si>
  <si>
    <t>0539</t>
  </si>
  <si>
    <t>0540</t>
  </si>
  <si>
    <t>0541</t>
  </si>
  <si>
    <t>0615</t>
  </si>
  <si>
    <t>0630</t>
  </si>
  <si>
    <t>0665</t>
  </si>
  <si>
    <t>0296</t>
  </si>
  <si>
    <t>0542</t>
  </si>
  <si>
    <t>0670</t>
  </si>
  <si>
    <t>0457</t>
  </si>
  <si>
    <t>0543</t>
  </si>
  <si>
    <t>0544</t>
  </si>
  <si>
    <t>0545</t>
  </si>
  <si>
    <t>0546</t>
  </si>
  <si>
    <t>0750</t>
  </si>
  <si>
    <t>0755</t>
  </si>
  <si>
    <t>1180</t>
  </si>
  <si>
    <t>8565</t>
  </si>
  <si>
    <t>0301</t>
  </si>
  <si>
    <t>0547</t>
  </si>
  <si>
    <t>0548</t>
  </si>
  <si>
    <t>0549</t>
  </si>
  <si>
    <t>0550</t>
  </si>
  <si>
    <t>0775</t>
  </si>
  <si>
    <t>0815</t>
  </si>
  <si>
    <t>0875</t>
  </si>
  <si>
    <t>2650</t>
  </si>
  <si>
    <t>0021</t>
  </si>
  <si>
    <t>0023</t>
  </si>
  <si>
    <t>0205</t>
  </si>
  <si>
    <t>0421</t>
  </si>
  <si>
    <t>0500</t>
  </si>
  <si>
    <t>0551</t>
  </si>
  <si>
    <t>0552</t>
  </si>
  <si>
    <t>0962</t>
  </si>
  <si>
    <t>0935</t>
  </si>
  <si>
    <t>0945</t>
  </si>
  <si>
    <t>1000</t>
  </si>
  <si>
    <t>1010</t>
  </si>
  <si>
    <t>0802</t>
  </si>
  <si>
    <t>0056</t>
  </si>
  <si>
    <t>0410</t>
  </si>
  <si>
    <t>0553</t>
  </si>
  <si>
    <t>0554</t>
  </si>
  <si>
    <t>0555</t>
  </si>
  <si>
    <t>0556</t>
  </si>
  <si>
    <t>0557</t>
  </si>
  <si>
    <t>0558</t>
  </si>
  <si>
    <t>1125</t>
  </si>
  <si>
    <t>2960</t>
  </si>
  <si>
    <t>0026</t>
  </si>
  <si>
    <t>0309</t>
  </si>
  <si>
    <t>0559</t>
  </si>
  <si>
    <t>0560</t>
  </si>
  <si>
    <t>0561</t>
  </si>
  <si>
    <t>0562</t>
  </si>
  <si>
    <t>0563</t>
  </si>
  <si>
    <t>1150</t>
  </si>
  <si>
    <t>1160</t>
  </si>
  <si>
    <t>1170</t>
  </si>
  <si>
    <t>0027</t>
  </si>
  <si>
    <t>0029</t>
  </si>
  <si>
    <t>0326</t>
  </si>
  <si>
    <t>0564</t>
  </si>
  <si>
    <t>0565</t>
  </si>
  <si>
    <t>0566</t>
  </si>
  <si>
    <t>0567</t>
  </si>
  <si>
    <t>0568</t>
  </si>
  <si>
    <t>1300</t>
  </si>
  <si>
    <t>0965</t>
  </si>
  <si>
    <t>0966</t>
  </si>
  <si>
    <t>0319</t>
  </si>
  <si>
    <t>0569</t>
  </si>
  <si>
    <t>0570</t>
  </si>
  <si>
    <t>0571</t>
  </si>
  <si>
    <t>0572</t>
  </si>
  <si>
    <t>0573</t>
  </si>
  <si>
    <t>0574</t>
  </si>
  <si>
    <t>1315</t>
  </si>
  <si>
    <t>1375</t>
  </si>
  <si>
    <t>1405</t>
  </si>
  <si>
    <t>0984</t>
  </si>
  <si>
    <t>0439</t>
  </si>
  <si>
    <t>0442</t>
  </si>
  <si>
    <t>0575</t>
  </si>
  <si>
    <t>0576</t>
  </si>
  <si>
    <t>0577</t>
  </si>
  <si>
    <t>0578</t>
  </si>
  <si>
    <t>0579</t>
  </si>
  <si>
    <t>1560</t>
  </si>
  <si>
    <t>1600</t>
  </si>
  <si>
    <t>1620</t>
  </si>
  <si>
    <t>0033</t>
  </si>
  <si>
    <t>0406</t>
  </si>
  <si>
    <t>0581</t>
  </si>
  <si>
    <t>0582</t>
  </si>
  <si>
    <t>0583</t>
  </si>
  <si>
    <t>0584</t>
  </si>
  <si>
    <t>1655</t>
  </si>
  <si>
    <t>1730</t>
  </si>
  <si>
    <t>0416</t>
  </si>
  <si>
    <t>0436</t>
  </si>
  <si>
    <t>0460</t>
  </si>
  <si>
    <t>0585</t>
  </si>
  <si>
    <t>0586</t>
  </si>
  <si>
    <t>0587</t>
  </si>
  <si>
    <t>0589</t>
  </si>
  <si>
    <t>0590</t>
  </si>
  <si>
    <t>0879</t>
  </si>
  <si>
    <t>1805</t>
  </si>
  <si>
    <t>1835</t>
  </si>
  <si>
    <t>7610</t>
  </si>
  <si>
    <t>0038</t>
  </si>
  <si>
    <t>0039</t>
  </si>
  <si>
    <t>0107</t>
  </si>
  <si>
    <t>0591</t>
  </si>
  <si>
    <t>0592</t>
  </si>
  <si>
    <t>0593</t>
  </si>
  <si>
    <t>0594</t>
  </si>
  <si>
    <t>0595</t>
  </si>
  <si>
    <t>0746</t>
  </si>
  <si>
    <t>0963</t>
  </si>
  <si>
    <t>1875</t>
  </si>
  <si>
    <t>1895</t>
  </si>
  <si>
    <t>1900</t>
  </si>
  <si>
    <t>1940</t>
  </si>
  <si>
    <t>1970</t>
  </si>
  <si>
    <t>0040</t>
  </si>
  <si>
    <t>0806</t>
  </si>
  <si>
    <t>0956</t>
  </si>
  <si>
    <t>0405</t>
  </si>
  <si>
    <t>0434</t>
  </si>
  <si>
    <t>0596</t>
  </si>
  <si>
    <t>0597</t>
  </si>
  <si>
    <t>0598</t>
  </si>
  <si>
    <t>2040</t>
  </si>
  <si>
    <t>2100</t>
  </si>
  <si>
    <t>2110</t>
  </si>
  <si>
    <t>2120</t>
  </si>
  <si>
    <t>0042</t>
  </si>
  <si>
    <t>0922</t>
  </si>
  <si>
    <t>1030</t>
  </si>
  <si>
    <t>0112</t>
  </si>
  <si>
    <t>0305</t>
  </si>
  <si>
    <t>0444</t>
  </si>
  <si>
    <t>0599</t>
  </si>
  <si>
    <t>0600</t>
  </si>
  <si>
    <t>0601</t>
  </si>
  <si>
    <t>0602</t>
  </si>
  <si>
    <t>2155</t>
  </si>
  <si>
    <t>2260</t>
  </si>
  <si>
    <t>2270</t>
  </si>
  <si>
    <t>2275</t>
  </si>
  <si>
    <t>2285</t>
  </si>
  <si>
    <t>2305</t>
  </si>
  <si>
    <t>2315</t>
  </si>
  <si>
    <t>0044</t>
  </si>
  <si>
    <t>0045</t>
  </si>
  <si>
    <t>0046</t>
  </si>
  <si>
    <t>0047</t>
  </si>
  <si>
    <t>0259</t>
  </si>
  <si>
    <t>0860</t>
  </si>
  <si>
    <t>2395</t>
  </si>
  <si>
    <t>0116</t>
  </si>
  <si>
    <t>0603</t>
  </si>
  <si>
    <t>0604</t>
  </si>
  <si>
    <t>2400</t>
  </si>
  <si>
    <t>0807</t>
  </si>
  <si>
    <t>1016</t>
  </si>
  <si>
    <t>0443</t>
  </si>
  <si>
    <t>0456</t>
  </si>
  <si>
    <t>0605</t>
  </si>
  <si>
    <t>0606</t>
  </si>
  <si>
    <t>0607</t>
  </si>
  <si>
    <t>0608</t>
  </si>
  <si>
    <t>0609</t>
  </si>
  <si>
    <t>0610</t>
  </si>
  <si>
    <t>2435</t>
  </si>
  <si>
    <t>2440</t>
  </si>
  <si>
    <t>2455</t>
  </si>
  <si>
    <t>0052</t>
  </si>
  <si>
    <t>0300</t>
  </si>
  <si>
    <t>0447</t>
  </si>
  <si>
    <t>0611</t>
  </si>
  <si>
    <t>0612</t>
  </si>
  <si>
    <t>0613</t>
  </si>
  <si>
    <t>0614</t>
  </si>
  <si>
    <t>0952</t>
  </si>
  <si>
    <t>2475</t>
  </si>
  <si>
    <t>6895</t>
  </si>
  <si>
    <t>7950</t>
  </si>
  <si>
    <t>0199</t>
  </si>
  <si>
    <t>0440</t>
  </si>
  <si>
    <t>0616</t>
  </si>
  <si>
    <t>0617</t>
  </si>
  <si>
    <t>2645</t>
  </si>
  <si>
    <t>4445</t>
  </si>
  <si>
    <t>5455</t>
  </si>
  <si>
    <t>6620</t>
  </si>
  <si>
    <t>0415</t>
  </si>
  <si>
    <t>0451</t>
  </si>
  <si>
    <t>0618</t>
  </si>
  <si>
    <t>0619</t>
  </si>
  <si>
    <t>0620</t>
  </si>
  <si>
    <t>0621</t>
  </si>
  <si>
    <t>0622</t>
  </si>
  <si>
    <t>0623</t>
  </si>
  <si>
    <t>0624</t>
  </si>
  <si>
    <t>0625</t>
  </si>
  <si>
    <t>2725</t>
  </si>
  <si>
    <t>2735</t>
  </si>
  <si>
    <t>2765</t>
  </si>
  <si>
    <t>0932</t>
  </si>
  <si>
    <t>1018</t>
  </si>
  <si>
    <t>0114</t>
  </si>
  <si>
    <t>0422</t>
  </si>
  <si>
    <t>0626</t>
  </si>
  <si>
    <t>0627</t>
  </si>
  <si>
    <t>0628</t>
  </si>
  <si>
    <t>0629</t>
  </si>
  <si>
    <t>0631</t>
  </si>
  <si>
    <t>0632</t>
  </si>
  <si>
    <t>0633</t>
  </si>
  <si>
    <t>0784</t>
  </si>
  <si>
    <t>2815</t>
  </si>
  <si>
    <t>2825</t>
  </si>
  <si>
    <t>2865</t>
  </si>
  <si>
    <t>5625</t>
  </si>
  <si>
    <t>0063</t>
  </si>
  <si>
    <t>0065</t>
  </si>
  <si>
    <t>0066</t>
  </si>
  <si>
    <t>0067</t>
  </si>
  <si>
    <t>0068</t>
  </si>
  <si>
    <t>0070</t>
  </si>
  <si>
    <t>0152</t>
  </si>
  <si>
    <t>0426</t>
  </si>
  <si>
    <t>0461</t>
  </si>
  <si>
    <t>0634</t>
  </si>
  <si>
    <t>0635</t>
  </si>
  <si>
    <t>0636</t>
  </si>
  <si>
    <t>0637</t>
  </si>
  <si>
    <t>0638</t>
  </si>
  <si>
    <t>2920</t>
  </si>
  <si>
    <t>2940</t>
  </si>
  <si>
    <t>2950</t>
  </si>
  <si>
    <t>2980</t>
  </si>
  <si>
    <t>0072</t>
  </si>
  <si>
    <t>0073</t>
  </si>
  <si>
    <t>0323</t>
  </si>
  <si>
    <t>0413</t>
  </si>
  <si>
    <t>0639</t>
  </si>
  <si>
    <t>0640</t>
  </si>
  <si>
    <t>0641</t>
  </si>
  <si>
    <t>0642</t>
  </si>
  <si>
    <t>0643</t>
  </si>
  <si>
    <t>0644</t>
  </si>
  <si>
    <t>3005</t>
  </si>
  <si>
    <t>3025</t>
  </si>
  <si>
    <t>3030</t>
  </si>
  <si>
    <t>3060</t>
  </si>
  <si>
    <t>3070</t>
  </si>
  <si>
    <t>0079</t>
  </si>
  <si>
    <t>0400</t>
  </si>
  <si>
    <t>0645</t>
  </si>
  <si>
    <t>0646</t>
  </si>
  <si>
    <t>0647</t>
  </si>
  <si>
    <t>0648</t>
  </si>
  <si>
    <t>0649</t>
  </si>
  <si>
    <t>0762</t>
  </si>
  <si>
    <t>3115</t>
  </si>
  <si>
    <t>3125</t>
  </si>
  <si>
    <t>3135</t>
  </si>
  <si>
    <t>3145</t>
  </si>
  <si>
    <t>0080</t>
  </si>
  <si>
    <t>0650</t>
  </si>
  <si>
    <t>0651</t>
  </si>
  <si>
    <t>0652</t>
  </si>
  <si>
    <t>0653</t>
  </si>
  <si>
    <t>0654</t>
  </si>
  <si>
    <t>0655</t>
  </si>
  <si>
    <t>0656</t>
  </si>
  <si>
    <t>0657</t>
  </si>
  <si>
    <t>0658</t>
  </si>
  <si>
    <t>3160</t>
  </si>
  <si>
    <t>3180</t>
  </si>
  <si>
    <t>3190</t>
  </si>
  <si>
    <t>0973</t>
  </si>
  <si>
    <t>0502</t>
  </si>
  <si>
    <t>0503</t>
  </si>
  <si>
    <t>0659</t>
  </si>
  <si>
    <t>0660</t>
  </si>
  <si>
    <t>0661</t>
  </si>
  <si>
    <t>0662</t>
  </si>
  <si>
    <t>0663</t>
  </si>
  <si>
    <t>0664</t>
  </si>
  <si>
    <t>0666</t>
  </si>
  <si>
    <t>3295</t>
  </si>
  <si>
    <t>3305</t>
  </si>
  <si>
    <t>3315</t>
  </si>
  <si>
    <t>3325</t>
  </si>
  <si>
    <t>3330</t>
  </si>
  <si>
    <t>3335</t>
  </si>
  <si>
    <t>0084</t>
  </si>
  <si>
    <t>0085</t>
  </si>
  <si>
    <t>0086</t>
  </si>
  <si>
    <t>0087</t>
  </si>
  <si>
    <t>0088</t>
  </si>
  <si>
    <t>0203</t>
  </si>
  <si>
    <t>0667</t>
  </si>
  <si>
    <t>0668</t>
  </si>
  <si>
    <t>0669</t>
  </si>
  <si>
    <t>0671</t>
  </si>
  <si>
    <t>0672</t>
  </si>
  <si>
    <t>0673</t>
  </si>
  <si>
    <t>0674</t>
  </si>
  <si>
    <t>0675</t>
  </si>
  <si>
    <t>0676</t>
  </si>
  <si>
    <t>0677</t>
  </si>
  <si>
    <t>0678</t>
  </si>
  <si>
    <t>0679</t>
  </si>
  <si>
    <t>0680</t>
  </si>
  <si>
    <t>3405</t>
  </si>
  <si>
    <t>3415</t>
  </si>
  <si>
    <t>3435</t>
  </si>
  <si>
    <t>3445</t>
  </si>
  <si>
    <t>3455</t>
  </si>
  <si>
    <t>6795</t>
  </si>
  <si>
    <t>8305</t>
  </si>
  <si>
    <t>0091</t>
  </si>
  <si>
    <t>0110</t>
  </si>
  <si>
    <t>0681</t>
  </si>
  <si>
    <t>0682</t>
  </si>
  <si>
    <t>3460</t>
  </si>
  <si>
    <t>3470</t>
  </si>
  <si>
    <t>3480</t>
  </si>
  <si>
    <t>3490</t>
  </si>
  <si>
    <t>3500</t>
  </si>
  <si>
    <t>0094</t>
  </si>
  <si>
    <t>0307</t>
  </si>
  <si>
    <t>0683</t>
  </si>
  <si>
    <t>0684</t>
  </si>
  <si>
    <t>0685</t>
  </si>
  <si>
    <t>0686</t>
  </si>
  <si>
    <t>0687</t>
  </si>
  <si>
    <t>3625</t>
  </si>
  <si>
    <t>0096</t>
  </si>
  <si>
    <t>0099</t>
  </si>
  <si>
    <t>0302</t>
  </si>
  <si>
    <t>0314</t>
  </si>
  <si>
    <t>0688</t>
  </si>
  <si>
    <t>0689</t>
  </si>
  <si>
    <t>0690</t>
  </si>
  <si>
    <t>3640</t>
  </si>
  <si>
    <t>3675</t>
  </si>
  <si>
    <t>3695</t>
  </si>
  <si>
    <t>3710</t>
  </si>
  <si>
    <t>0940</t>
  </si>
  <si>
    <t>1081</t>
  </si>
  <si>
    <t>0437</t>
  </si>
  <si>
    <t>0691</t>
  </si>
  <si>
    <t>0692</t>
  </si>
  <si>
    <t>0693</t>
  </si>
  <si>
    <t>3785</t>
  </si>
  <si>
    <t>3815</t>
  </si>
  <si>
    <t>6630</t>
  </si>
  <si>
    <t>0103</t>
  </si>
  <si>
    <t>0417</t>
  </si>
  <si>
    <t>0694</t>
  </si>
  <si>
    <t>0695</t>
  </si>
  <si>
    <t>0696</t>
  </si>
  <si>
    <t>0697</t>
  </si>
  <si>
    <t>0267</t>
  </si>
  <si>
    <t>0316</t>
  </si>
  <si>
    <t>0698</t>
  </si>
  <si>
    <t>0699</t>
  </si>
  <si>
    <t>0700</t>
  </si>
  <si>
    <t>3995</t>
  </si>
  <si>
    <t>4000</t>
  </si>
  <si>
    <t>0109</t>
  </si>
  <si>
    <t>0441</t>
  </si>
  <si>
    <t>0701</t>
  </si>
  <si>
    <t>4015</t>
  </si>
  <si>
    <t>0317</t>
  </si>
  <si>
    <t>0318</t>
  </si>
  <si>
    <t>0702</t>
  </si>
  <si>
    <t>0704</t>
  </si>
  <si>
    <t>0705</t>
  </si>
  <si>
    <t>0706</t>
  </si>
  <si>
    <t>0707</t>
  </si>
  <si>
    <t>4145</t>
  </si>
  <si>
    <t>4205</t>
  </si>
  <si>
    <t>4225</t>
  </si>
  <si>
    <t>4245</t>
  </si>
  <si>
    <t>4255</t>
  </si>
  <si>
    <t>0113</t>
  </si>
  <si>
    <t>0970</t>
  </si>
  <si>
    <t>0708</t>
  </si>
  <si>
    <t>0709</t>
  </si>
  <si>
    <t>0710</t>
  </si>
  <si>
    <t>0711</t>
  </si>
  <si>
    <t>0712</t>
  </si>
  <si>
    <t>0713</t>
  </si>
  <si>
    <t>0714</t>
  </si>
  <si>
    <t>4315</t>
  </si>
  <si>
    <t>4325</t>
  </si>
  <si>
    <t>4335</t>
  </si>
  <si>
    <t>0936</t>
  </si>
  <si>
    <t>0954</t>
  </si>
  <si>
    <t>0414</t>
  </si>
  <si>
    <t>0715</t>
  </si>
  <si>
    <t>0716</t>
  </si>
  <si>
    <t>0717</t>
  </si>
  <si>
    <t>0718</t>
  </si>
  <si>
    <t>0719</t>
  </si>
  <si>
    <t>0720</t>
  </si>
  <si>
    <t>0721</t>
  </si>
  <si>
    <t>0722</t>
  </si>
  <si>
    <t>0723</t>
  </si>
  <si>
    <t>0724</t>
  </si>
  <si>
    <t>0726</t>
  </si>
  <si>
    <t>4345</t>
  </si>
  <si>
    <t>4415</t>
  </si>
  <si>
    <t>4455</t>
  </si>
  <si>
    <t>5495</t>
  </si>
  <si>
    <t>0118</t>
  </si>
  <si>
    <t>0119</t>
  </si>
  <si>
    <t>0120</t>
  </si>
  <si>
    <t>0303</t>
  </si>
  <si>
    <t>0727</t>
  </si>
  <si>
    <t>0728</t>
  </si>
  <si>
    <t>0729</t>
  </si>
  <si>
    <t>0811</t>
  </si>
  <si>
    <t>4515</t>
  </si>
  <si>
    <t>4525</t>
  </si>
  <si>
    <t>4535</t>
  </si>
  <si>
    <t>0101</t>
  </si>
  <si>
    <t>0104</t>
  </si>
  <si>
    <t>0108</t>
  </si>
  <si>
    <t>0202</t>
  </si>
  <si>
    <t>0321</t>
  </si>
  <si>
    <t>0322</t>
  </si>
  <si>
    <t>0401</t>
  </si>
  <si>
    <t>0504</t>
  </si>
  <si>
    <t>0505</t>
  </si>
  <si>
    <t>0506</t>
  </si>
  <si>
    <t>0507</t>
  </si>
  <si>
    <t>0512</t>
  </si>
  <si>
    <t>0730</t>
  </si>
  <si>
    <t>0731</t>
  </si>
  <si>
    <t>0732</t>
  </si>
  <si>
    <t>0733</t>
  </si>
  <si>
    <t>0734</t>
  </si>
  <si>
    <t>0735</t>
  </si>
  <si>
    <t>0736</t>
  </si>
  <si>
    <t>4580</t>
  </si>
  <si>
    <t>4590</t>
  </si>
  <si>
    <t>4600</t>
  </si>
  <si>
    <t>4615</t>
  </si>
  <si>
    <t>4645</t>
  </si>
  <si>
    <t>4650</t>
  </si>
  <si>
    <t>4660</t>
  </si>
  <si>
    <t>4670</t>
  </si>
  <si>
    <t>4680</t>
  </si>
  <si>
    <t>4690</t>
  </si>
  <si>
    <t>4700</t>
  </si>
  <si>
    <t>4710</t>
  </si>
  <si>
    <t>4720</t>
  </si>
  <si>
    <t>4730</t>
  </si>
  <si>
    <t>4740</t>
  </si>
  <si>
    <t>4760</t>
  </si>
  <si>
    <t>0126</t>
  </si>
  <si>
    <t>0127</t>
  </si>
  <si>
    <t>0128</t>
  </si>
  <si>
    <t>0808</t>
  </si>
  <si>
    <t>0810</t>
  </si>
  <si>
    <t>0812</t>
  </si>
  <si>
    <t>0813</t>
  </si>
  <si>
    <t>0814</t>
  </si>
  <si>
    <t>0816</t>
  </si>
  <si>
    <t>0901</t>
  </si>
  <si>
    <t>0959</t>
  </si>
  <si>
    <t>0995</t>
  </si>
  <si>
    <t>9993</t>
  </si>
  <si>
    <t>0115</t>
  </si>
  <si>
    <t>0201</t>
  </si>
  <si>
    <t>0737</t>
  </si>
  <si>
    <t>0738</t>
  </si>
  <si>
    <t>0739</t>
  </si>
  <si>
    <t>0740</t>
  </si>
  <si>
    <t>0741</t>
  </si>
  <si>
    <t>0742</t>
  </si>
  <si>
    <t>0743</t>
  </si>
  <si>
    <t>0744</t>
  </si>
  <si>
    <t>4805</t>
  </si>
  <si>
    <t>4860</t>
  </si>
  <si>
    <t>4925</t>
  </si>
  <si>
    <t>4940</t>
  </si>
  <si>
    <t>4945</t>
  </si>
  <si>
    <t>7150</t>
  </si>
  <si>
    <t>0131</t>
  </si>
  <si>
    <t>0132</t>
  </si>
  <si>
    <t>0281</t>
  </si>
  <si>
    <t>0817</t>
  </si>
  <si>
    <t>0978</t>
  </si>
  <si>
    <t>1017</t>
  </si>
  <si>
    <t>0315</t>
  </si>
  <si>
    <t>0445</t>
  </si>
  <si>
    <t>0745</t>
  </si>
  <si>
    <t>5075</t>
  </si>
  <si>
    <t>5085</t>
  </si>
  <si>
    <t>0135</t>
  </si>
  <si>
    <t>0105</t>
  </si>
  <si>
    <t>0320</t>
  </si>
  <si>
    <t>0430</t>
  </si>
  <si>
    <t>0747</t>
  </si>
  <si>
    <t>0748</t>
  </si>
  <si>
    <t>0749</t>
  </si>
  <si>
    <t>0751</t>
  </si>
  <si>
    <t>0752</t>
  </si>
  <si>
    <t>0753</t>
  </si>
  <si>
    <t>0754</t>
  </si>
  <si>
    <t>0756</t>
  </si>
  <si>
    <t>0757</t>
  </si>
  <si>
    <t>0758</t>
  </si>
  <si>
    <t>5245</t>
  </si>
  <si>
    <t>5255</t>
  </si>
  <si>
    <t>5265</t>
  </si>
  <si>
    <t>5275</t>
  </si>
  <si>
    <t>5280</t>
  </si>
  <si>
    <t>0955</t>
  </si>
  <si>
    <t>0306</t>
  </si>
  <si>
    <t>0312</t>
  </si>
  <si>
    <t>0459</t>
  </si>
  <si>
    <t>0508</t>
  </si>
  <si>
    <t>0760</t>
  </si>
  <si>
    <t>0764</t>
  </si>
  <si>
    <t>0766</t>
  </si>
  <si>
    <t>0769</t>
  </si>
  <si>
    <t>0772</t>
  </si>
  <si>
    <t>0773</t>
  </si>
  <si>
    <t>0774</t>
  </si>
  <si>
    <t>5300</t>
  </si>
  <si>
    <t>5310</t>
  </si>
  <si>
    <t>5330</t>
  </si>
  <si>
    <t>5340</t>
  </si>
  <si>
    <t>5350</t>
  </si>
  <si>
    <t>5360</t>
  </si>
  <si>
    <t>5370</t>
  </si>
  <si>
    <t>5375</t>
  </si>
  <si>
    <t>5380</t>
  </si>
  <si>
    <t>5385</t>
  </si>
  <si>
    <t>5400</t>
  </si>
  <si>
    <t>0820</t>
  </si>
  <si>
    <t>0821</t>
  </si>
  <si>
    <t>0822</t>
  </si>
  <si>
    <t>0877</t>
  </si>
  <si>
    <t>0890</t>
  </si>
  <si>
    <t>0894</t>
  </si>
  <si>
    <t>0938</t>
  </si>
  <si>
    <t>0939</t>
  </si>
  <si>
    <t>0412</t>
  </si>
  <si>
    <t>0776</t>
  </si>
  <si>
    <t>0777</t>
  </si>
  <si>
    <t>0778</t>
  </si>
  <si>
    <t>0779</t>
  </si>
  <si>
    <t>5470</t>
  </si>
  <si>
    <t>5480</t>
  </si>
  <si>
    <t>5485</t>
  </si>
  <si>
    <t>PLYMOUTH COMMUNITY SCHOOL CORP</t>
  </si>
  <si>
    <t>7215</t>
  </si>
  <si>
    <t>0145</t>
  </si>
  <si>
    <t>0146</t>
  </si>
  <si>
    <t>0147</t>
  </si>
  <si>
    <t>0148</t>
  </si>
  <si>
    <t>0149</t>
  </si>
  <si>
    <t>0454</t>
  </si>
  <si>
    <t>0780</t>
  </si>
  <si>
    <t>0781</t>
  </si>
  <si>
    <t>5520</t>
  </si>
  <si>
    <t>5525</t>
  </si>
  <si>
    <t>0150</t>
  </si>
  <si>
    <t>0151</t>
  </si>
  <si>
    <t>0310</t>
  </si>
  <si>
    <t>0782</t>
  </si>
  <si>
    <t>0783</t>
  </si>
  <si>
    <t>0785</t>
  </si>
  <si>
    <t>0786</t>
  </si>
  <si>
    <t>5615</t>
  </si>
  <si>
    <t>5620</t>
  </si>
  <si>
    <t>5635</t>
  </si>
  <si>
    <t>0153</t>
  </si>
  <si>
    <t>0788</t>
  </si>
  <si>
    <t>0789</t>
  </si>
  <si>
    <t>5705</t>
  </si>
  <si>
    <t>5740</t>
  </si>
  <si>
    <t>0311</t>
  </si>
  <si>
    <t>0790</t>
  </si>
  <si>
    <t>0791</t>
  </si>
  <si>
    <t>0792</t>
  </si>
  <si>
    <t>0793</t>
  </si>
  <si>
    <t>0794</t>
  </si>
  <si>
    <t>0795</t>
  </si>
  <si>
    <t>0796</t>
  </si>
  <si>
    <t>0797</t>
  </si>
  <si>
    <t>5835</t>
  </si>
  <si>
    <t>5845</t>
  </si>
  <si>
    <t>5855</t>
  </si>
  <si>
    <t>0156</t>
  </si>
  <si>
    <t>0157</t>
  </si>
  <si>
    <t>0158</t>
  </si>
  <si>
    <t>0159</t>
  </si>
  <si>
    <t>0403</t>
  </si>
  <si>
    <t>0509</t>
  </si>
  <si>
    <t>0798</t>
  </si>
  <si>
    <t>0799</t>
  </si>
  <si>
    <t>0801</t>
  </si>
  <si>
    <t>5900</t>
  </si>
  <si>
    <t>5910</t>
  </si>
  <si>
    <t>5925</t>
  </si>
  <si>
    <t>5930</t>
  </si>
  <si>
    <t>0803</t>
  </si>
  <si>
    <t>0804</t>
  </si>
  <si>
    <t>0805</t>
  </si>
  <si>
    <t>5945</t>
  </si>
  <si>
    <t>0162</t>
  </si>
  <si>
    <t>0163</t>
  </si>
  <si>
    <t>0164</t>
  </si>
  <si>
    <t>0418</t>
  </si>
  <si>
    <t>0452</t>
  </si>
  <si>
    <t>0809</t>
  </si>
  <si>
    <t>6055</t>
  </si>
  <si>
    <t>6060</t>
  </si>
  <si>
    <t>8625</t>
  </si>
  <si>
    <t>0168</t>
  </si>
  <si>
    <t>0462</t>
  </si>
  <si>
    <t>6080</t>
  </si>
  <si>
    <t>6145</t>
  </si>
  <si>
    <t>6155</t>
  </si>
  <si>
    <t>6160</t>
  </si>
  <si>
    <t>0171</t>
  </si>
  <si>
    <t>0172</t>
  </si>
  <si>
    <t>6195</t>
  </si>
  <si>
    <t>6750</t>
  </si>
  <si>
    <t>0102</t>
  </si>
  <si>
    <t>0818</t>
  </si>
  <si>
    <t>0823</t>
  </si>
  <si>
    <t>6260</t>
  </si>
  <si>
    <t>0176</t>
  </si>
  <si>
    <t>0411</t>
  </si>
  <si>
    <t>0463</t>
  </si>
  <si>
    <t>0824</t>
  </si>
  <si>
    <t>6325</t>
  </si>
  <si>
    <t>6340</t>
  </si>
  <si>
    <t>6350</t>
  </si>
  <si>
    <t>0455</t>
  </si>
  <si>
    <t>0825</t>
  </si>
  <si>
    <t>0826</t>
  </si>
  <si>
    <t>6445</t>
  </si>
  <si>
    <t>0964</t>
  </si>
  <si>
    <t>0204</t>
  </si>
  <si>
    <t>0510</t>
  </si>
  <si>
    <t>0827</t>
  </si>
  <si>
    <t>0828</t>
  </si>
  <si>
    <t>0829</t>
  </si>
  <si>
    <t>0830</t>
  </si>
  <si>
    <t>0831</t>
  </si>
  <si>
    <t>0832</t>
  </si>
  <si>
    <t>0833</t>
  </si>
  <si>
    <t>0834</t>
  </si>
  <si>
    <t>6460</t>
  </si>
  <si>
    <t>6470</t>
  </si>
  <si>
    <t>6510</t>
  </si>
  <si>
    <t>6520</t>
  </si>
  <si>
    <t>6530</t>
  </si>
  <si>
    <t>6550</t>
  </si>
  <si>
    <t>6560</t>
  </si>
  <si>
    <t>1066</t>
  </si>
  <si>
    <t>0419</t>
  </si>
  <si>
    <t>0835</t>
  </si>
  <si>
    <t>0836</t>
  </si>
  <si>
    <t>0837</t>
  </si>
  <si>
    <t>0838</t>
  </si>
  <si>
    <t>6590</t>
  </si>
  <si>
    <t>6600</t>
  </si>
  <si>
    <t>0957</t>
  </si>
  <si>
    <t>0839</t>
  </si>
  <si>
    <t>0840</t>
  </si>
  <si>
    <t>0841</t>
  </si>
  <si>
    <t>0842</t>
  </si>
  <si>
    <t>7515</t>
  </si>
  <si>
    <t>0190</t>
  </si>
  <si>
    <t>0404</t>
  </si>
  <si>
    <t>0843</t>
  </si>
  <si>
    <t>0844</t>
  </si>
  <si>
    <t>0845</t>
  </si>
  <si>
    <t>0846</t>
  </si>
  <si>
    <t>6705</t>
  </si>
  <si>
    <t>6715</t>
  </si>
  <si>
    <t>6755</t>
  </si>
  <si>
    <t>0976</t>
  </si>
  <si>
    <t>0425</t>
  </si>
  <si>
    <t>0446</t>
  </si>
  <si>
    <t>0847</t>
  </si>
  <si>
    <t>0848</t>
  </si>
  <si>
    <t>0849</t>
  </si>
  <si>
    <t>0850</t>
  </si>
  <si>
    <t>0851</t>
  </si>
  <si>
    <t>0852</t>
  </si>
  <si>
    <t>0853</t>
  </si>
  <si>
    <t>6805</t>
  </si>
  <si>
    <t>6820</t>
  </si>
  <si>
    <t>6825</t>
  </si>
  <si>
    <t>6835</t>
  </si>
  <si>
    <t>0194</t>
  </si>
  <si>
    <t>0195</t>
  </si>
  <si>
    <t>0196</t>
  </si>
  <si>
    <t>0197</t>
  </si>
  <si>
    <t>1099</t>
  </si>
  <si>
    <t>0854</t>
  </si>
  <si>
    <t>0855</t>
  </si>
  <si>
    <t>0856</t>
  </si>
  <si>
    <t>0857</t>
  </si>
  <si>
    <t>0858</t>
  </si>
  <si>
    <t>6865</t>
  </si>
  <si>
    <t>6900</t>
  </si>
  <si>
    <t>6910</t>
  </si>
  <si>
    <t>0420</t>
  </si>
  <si>
    <t>0859</t>
  </si>
  <si>
    <t>0117</t>
  </si>
  <si>
    <t>0861</t>
  </si>
  <si>
    <t>0862</t>
  </si>
  <si>
    <t>0863</t>
  </si>
  <si>
    <t>0864</t>
  </si>
  <si>
    <t>0865</t>
  </si>
  <si>
    <t>0866</t>
  </si>
  <si>
    <t>0867</t>
  </si>
  <si>
    <t>7175</t>
  </si>
  <si>
    <t>7200</t>
  </si>
  <si>
    <t>7205</t>
  </si>
  <si>
    <t>0435</t>
  </si>
  <si>
    <t>0868</t>
  </si>
  <si>
    <t>7230</t>
  </si>
  <si>
    <t>0308</t>
  </si>
  <si>
    <t>0869</t>
  </si>
  <si>
    <t>7285</t>
  </si>
  <si>
    <t>7350</t>
  </si>
  <si>
    <t>7365</t>
  </si>
  <si>
    <t>1013</t>
  </si>
  <si>
    <t>0458</t>
  </si>
  <si>
    <t>0870</t>
  </si>
  <si>
    <t>0871</t>
  </si>
  <si>
    <t>0872</t>
  </si>
  <si>
    <t>0873</t>
  </si>
  <si>
    <t>0874</t>
  </si>
  <si>
    <t>7385</t>
  </si>
  <si>
    <t>7445</t>
  </si>
  <si>
    <t>0449</t>
  </si>
  <si>
    <t>0876</t>
  </si>
  <si>
    <t>7495</t>
  </si>
  <si>
    <t>7525</t>
  </si>
  <si>
    <t>0429</t>
  </si>
  <si>
    <t>0878</t>
  </si>
  <si>
    <t>0880</t>
  </si>
  <si>
    <t>0881</t>
  </si>
  <si>
    <t>7605</t>
  </si>
  <si>
    <t>7615</t>
  </si>
  <si>
    <t>0216</t>
  </si>
  <si>
    <t>0438</t>
  </si>
  <si>
    <t>0882</t>
  </si>
  <si>
    <t>0883</t>
  </si>
  <si>
    <t>0884</t>
  </si>
  <si>
    <t>0885</t>
  </si>
  <si>
    <t>0886</t>
  </si>
  <si>
    <t>0887</t>
  </si>
  <si>
    <t>7645</t>
  </si>
  <si>
    <t>7715</t>
  </si>
  <si>
    <t>0888</t>
  </si>
  <si>
    <t>0889</t>
  </si>
  <si>
    <t>7775</t>
  </si>
  <si>
    <t>0891</t>
  </si>
  <si>
    <t>7855</t>
  </si>
  <si>
    <t>7865</t>
  </si>
  <si>
    <t>7875</t>
  </si>
  <si>
    <t>0428</t>
  </si>
  <si>
    <t>0892</t>
  </si>
  <si>
    <t>0893</t>
  </si>
  <si>
    <t>7945</t>
  </si>
  <si>
    <t>1037</t>
  </si>
  <si>
    <t>0895</t>
  </si>
  <si>
    <t>0896</t>
  </si>
  <si>
    <t>0958</t>
  </si>
  <si>
    <t>7995</t>
  </si>
  <si>
    <t>0427</t>
  </si>
  <si>
    <t>0897</t>
  </si>
  <si>
    <t>0898</t>
  </si>
  <si>
    <t>0899</t>
  </si>
  <si>
    <t>0900</t>
  </si>
  <si>
    <t>0902</t>
  </si>
  <si>
    <t>8010</t>
  </si>
  <si>
    <t>8020</t>
  </si>
  <si>
    <t>0227</t>
  </si>
  <si>
    <t>0903</t>
  </si>
  <si>
    <t>0904</t>
  </si>
  <si>
    <t>0905</t>
  </si>
  <si>
    <t>8030</t>
  </si>
  <si>
    <t>0313</t>
  </si>
  <si>
    <t>0511</t>
  </si>
  <si>
    <t>0906</t>
  </si>
  <si>
    <t>0907</t>
  </si>
  <si>
    <t>0908</t>
  </si>
  <si>
    <t>8045</t>
  </si>
  <si>
    <t>8050</t>
  </si>
  <si>
    <t>8060</t>
  </si>
  <si>
    <t>0231</t>
  </si>
  <si>
    <t>0232</t>
  </si>
  <si>
    <t>0909</t>
  </si>
  <si>
    <t>0910</t>
  </si>
  <si>
    <t>0911</t>
  </si>
  <si>
    <t>0912</t>
  </si>
  <si>
    <t>8115</t>
  </si>
  <si>
    <t>1033</t>
  </si>
  <si>
    <t>0423</t>
  </si>
  <si>
    <t>0913</t>
  </si>
  <si>
    <t>0914</t>
  </si>
  <si>
    <t>0915</t>
  </si>
  <si>
    <t>0916</t>
  </si>
  <si>
    <t>0917</t>
  </si>
  <si>
    <t>8130</t>
  </si>
  <si>
    <t>0431</t>
  </si>
  <si>
    <t>0918</t>
  </si>
  <si>
    <t>0921</t>
  </si>
  <si>
    <t>0923</t>
  </si>
  <si>
    <t>0924</t>
  </si>
  <si>
    <t>8205</t>
  </si>
  <si>
    <t>8215</t>
  </si>
  <si>
    <t>8220</t>
  </si>
  <si>
    <t>0237</t>
  </si>
  <si>
    <t>0925</t>
  </si>
  <si>
    <t>0926</t>
  </si>
  <si>
    <t>0927</t>
  </si>
  <si>
    <t>0928</t>
  </si>
  <si>
    <t>0929</t>
  </si>
  <si>
    <t>0930</t>
  </si>
  <si>
    <t>0931</t>
  </si>
  <si>
    <t>0933</t>
  </si>
  <si>
    <t>0934</t>
  </si>
  <si>
    <t>0937</t>
  </si>
  <si>
    <t>8355</t>
  </si>
  <si>
    <t>8360</t>
  </si>
  <si>
    <t>8375</t>
  </si>
  <si>
    <t>8385</t>
  </si>
  <si>
    <t>0240</t>
  </si>
  <si>
    <t>0241</t>
  </si>
  <si>
    <t>0408</t>
  </si>
  <si>
    <t>0941</t>
  </si>
  <si>
    <t>8425</t>
  </si>
  <si>
    <t>8445</t>
  </si>
  <si>
    <t>0433</t>
  </si>
  <si>
    <t>0942</t>
  </si>
  <si>
    <t>0943</t>
  </si>
  <si>
    <t>0944</t>
  </si>
  <si>
    <t>0946</t>
  </si>
  <si>
    <t>0947</t>
  </si>
  <si>
    <t>8515</t>
  </si>
  <si>
    <t>8525</t>
  </si>
  <si>
    <t>0245</t>
  </si>
  <si>
    <t>0246</t>
  </si>
  <si>
    <t>0247</t>
  </si>
  <si>
    <t>0248</t>
  </si>
  <si>
    <t>0432</t>
  </si>
  <si>
    <t>0948</t>
  </si>
  <si>
    <t>0949</t>
  </si>
  <si>
    <t>0950</t>
  </si>
  <si>
    <t>8665</t>
  </si>
  <si>
    <t>0249</t>
  </si>
  <si>
    <t>0250</t>
  </si>
  <si>
    <t>DESCR</t>
  </si>
  <si>
    <t>MOD</t>
  </si>
  <si>
    <t>Unit Name</t>
  </si>
  <si>
    <t>1</t>
  </si>
  <si>
    <t>0110000</t>
  </si>
  <si>
    <t>2</t>
  </si>
  <si>
    <t>0120001</t>
  </si>
  <si>
    <t>0120002</t>
  </si>
  <si>
    <t>0120003</t>
  </si>
  <si>
    <t>0120004</t>
  </si>
  <si>
    <t>0120005</t>
  </si>
  <si>
    <t>0120006</t>
  </si>
  <si>
    <t>0120007</t>
  </si>
  <si>
    <t>0120008</t>
  </si>
  <si>
    <t>0120009</t>
  </si>
  <si>
    <t>0120010</t>
  </si>
  <si>
    <t>0120011</t>
  </si>
  <si>
    <t>0120012</t>
  </si>
  <si>
    <t>3</t>
  </si>
  <si>
    <t>0130407</t>
  </si>
  <si>
    <t>0130453</t>
  </si>
  <si>
    <t>0130520</t>
  </si>
  <si>
    <t>0130521</t>
  </si>
  <si>
    <t>4</t>
  </si>
  <si>
    <t>0140015</t>
  </si>
  <si>
    <t>ADAMS CENTRAL COMMUNITY SCHOOL CORP</t>
  </si>
  <si>
    <t>0140025</t>
  </si>
  <si>
    <t>NORTH ADAMS COMMUNITY SCHOOL CORP</t>
  </si>
  <si>
    <t>0140035</t>
  </si>
  <si>
    <t>5</t>
  </si>
  <si>
    <t>0150001</t>
  </si>
  <si>
    <t>0150304</t>
  </si>
  <si>
    <t>ADAMS PUBLIC LIBRARY SYSTEM</t>
  </si>
  <si>
    <t>6</t>
  </si>
  <si>
    <t>1011</t>
  </si>
  <si>
    <t>0161011</t>
  </si>
  <si>
    <t>0210000</t>
  </si>
  <si>
    <t>0220001</t>
  </si>
  <si>
    <t>0220002</t>
  </si>
  <si>
    <t>0220003</t>
  </si>
  <si>
    <t>0220004</t>
  </si>
  <si>
    <t>0220005</t>
  </si>
  <si>
    <t>0220006</t>
  </si>
  <si>
    <t>0220007</t>
  </si>
  <si>
    <t>0220008</t>
  </si>
  <si>
    <t>0220009</t>
  </si>
  <si>
    <t>0220010</t>
  </si>
  <si>
    <t>0220011</t>
  </si>
  <si>
    <t>0220012</t>
  </si>
  <si>
    <t>0220013</t>
  </si>
  <si>
    <t>0220014</t>
  </si>
  <si>
    <t>0220015</t>
  </si>
  <si>
    <t>0220016</t>
  </si>
  <si>
    <t>0220017</t>
  </si>
  <si>
    <t>0220018</t>
  </si>
  <si>
    <t>0220019</t>
  </si>
  <si>
    <t>0220020</t>
  </si>
  <si>
    <t>0230100</t>
  </si>
  <si>
    <t>0230424</t>
  </si>
  <si>
    <t>0230465</t>
  </si>
  <si>
    <t>0230476</t>
  </si>
  <si>
    <t>0230522</t>
  </si>
  <si>
    <t>0523</t>
  </si>
  <si>
    <t>0230523</t>
  </si>
  <si>
    <t>0230524</t>
  </si>
  <si>
    <t>0230968</t>
  </si>
  <si>
    <t>LEO-CEDARVILLE CIVIL TOWN</t>
  </si>
  <si>
    <t>0240125</t>
  </si>
  <si>
    <t>M.S.D. SW ALLEN COUNTY SCHOOL CORP</t>
  </si>
  <si>
    <t>0240225</t>
  </si>
  <si>
    <t>NORTHWEST ALLEN COUNTY SCHOOL CORP</t>
  </si>
  <si>
    <t>0240235</t>
  </si>
  <si>
    <t>0240255</t>
  </si>
  <si>
    <t>0260</t>
  </si>
  <si>
    <t>0250260</t>
  </si>
  <si>
    <t>0260800</t>
  </si>
  <si>
    <t>0260960</t>
  </si>
  <si>
    <t>FORT WAYNE-ALLEN COUNTY AIRPORT AUTH</t>
  </si>
  <si>
    <t>0260969</t>
  </si>
  <si>
    <t>1192</t>
  </si>
  <si>
    <t>0261192</t>
  </si>
  <si>
    <t>WEST CENTRAL FIRE DISTRICT</t>
  </si>
  <si>
    <t>1193</t>
  </si>
  <si>
    <t>0261193</t>
  </si>
  <si>
    <t>NORTHWEST ALLEN FIRE DISTRICT</t>
  </si>
  <si>
    <t>1194</t>
  </si>
  <si>
    <t>0261194</t>
  </si>
  <si>
    <t>NORTHEAST ALLEN FIRE DISTRICT</t>
  </si>
  <si>
    <t>0310000</t>
  </si>
  <si>
    <t>0320001</t>
  </si>
  <si>
    <t>0320002</t>
  </si>
  <si>
    <t>0320003</t>
  </si>
  <si>
    <t>0320004</t>
  </si>
  <si>
    <t>0320005</t>
  </si>
  <si>
    <t>0320006</t>
  </si>
  <si>
    <t>0320007</t>
  </si>
  <si>
    <t>0320008</t>
  </si>
  <si>
    <t>0320009</t>
  </si>
  <si>
    <t>0320010</t>
  </si>
  <si>
    <t>0320011</t>
  </si>
  <si>
    <t>0320012</t>
  </si>
  <si>
    <t>0330200</t>
  </si>
  <si>
    <t>0330525</t>
  </si>
  <si>
    <t>0330526</t>
  </si>
  <si>
    <t>0330527</t>
  </si>
  <si>
    <t>0330528</t>
  </si>
  <si>
    <t>0330529</t>
  </si>
  <si>
    <t>0330703</t>
  </si>
  <si>
    <t>0340365</t>
  </si>
  <si>
    <t>BARTHOLOMEW CONSOLIDATED SCHOOL CORP</t>
  </si>
  <si>
    <t>0340370</t>
  </si>
  <si>
    <t>0344215</t>
  </si>
  <si>
    <t>0350006</t>
  </si>
  <si>
    <t>0350111</t>
  </si>
  <si>
    <t>1039</t>
  </si>
  <si>
    <t>0361039</t>
  </si>
  <si>
    <t>BARTHOLOMEW COUNTY SOLID WASTE MGMT</t>
  </si>
  <si>
    <t>0410000</t>
  </si>
  <si>
    <t>0420001</t>
  </si>
  <si>
    <t>0420002</t>
  </si>
  <si>
    <t>0420003</t>
  </si>
  <si>
    <t>0420004</t>
  </si>
  <si>
    <t>0420005</t>
  </si>
  <si>
    <t>0420006</t>
  </si>
  <si>
    <t>0420007</t>
  </si>
  <si>
    <t>0420008</t>
  </si>
  <si>
    <t>0420009</t>
  </si>
  <si>
    <t>0420010</t>
  </si>
  <si>
    <t>0420011</t>
  </si>
  <si>
    <t>0430530</t>
  </si>
  <si>
    <t>0430531</t>
  </si>
  <si>
    <t>0430532</t>
  </si>
  <si>
    <t>0430533</t>
  </si>
  <si>
    <t>0430534</t>
  </si>
  <si>
    <t>0430535</t>
  </si>
  <si>
    <t>0440395</t>
  </si>
  <si>
    <t>0445995</t>
  </si>
  <si>
    <t>0448535</t>
  </si>
  <si>
    <t>0450007</t>
  </si>
  <si>
    <t>0450008</t>
  </si>
  <si>
    <t>0450009</t>
  </si>
  <si>
    <t>0450010</t>
  </si>
  <si>
    <t>0450011</t>
  </si>
  <si>
    <t>0450012</t>
  </si>
  <si>
    <t>1062</t>
  </si>
  <si>
    <t>0461062</t>
  </si>
  <si>
    <t>1188</t>
  </si>
  <si>
    <t>0461188</t>
  </si>
  <si>
    <t>OTTERBEIN FIRE PROTECTION TERRITORY</t>
  </si>
  <si>
    <t>7</t>
  </si>
  <si>
    <t>0470098</t>
  </si>
  <si>
    <t>IROQUOIS CONSERVANCY DISTRICT</t>
  </si>
  <si>
    <t>0510000</t>
  </si>
  <si>
    <t>0520001</t>
  </si>
  <si>
    <t>0520002</t>
  </si>
  <si>
    <t>0520003</t>
  </si>
  <si>
    <t>0520004</t>
  </si>
  <si>
    <t>0530409</t>
  </si>
  <si>
    <t>0530450</t>
  </si>
  <si>
    <t>0530464</t>
  </si>
  <si>
    <t>0530951</t>
  </si>
  <si>
    <t>0540515</t>
  </si>
  <si>
    <t>0543945</t>
  </si>
  <si>
    <t>0550013</t>
  </si>
  <si>
    <t>0550014</t>
  </si>
  <si>
    <t>0550106</t>
  </si>
  <si>
    <t>1092</t>
  </si>
  <si>
    <t>0561092</t>
  </si>
  <si>
    <t>BLACKFORD COUNTY SOLID WASTE</t>
  </si>
  <si>
    <t>0610000</t>
  </si>
  <si>
    <t>0620001</t>
  </si>
  <si>
    <t>0620002</t>
  </si>
  <si>
    <t>0620004</t>
  </si>
  <si>
    <t>0620005</t>
  </si>
  <si>
    <t>0620006</t>
  </si>
  <si>
    <t>0620007</t>
  </si>
  <si>
    <t>0620009</t>
  </si>
  <si>
    <t>0620011</t>
  </si>
  <si>
    <t>0620012</t>
  </si>
  <si>
    <t>0630402</t>
  </si>
  <si>
    <t>0630536</t>
  </si>
  <si>
    <t>0630537</t>
  </si>
  <si>
    <t>0630538</t>
  </si>
  <si>
    <t>0630539</t>
  </si>
  <si>
    <t>0630540</t>
  </si>
  <si>
    <t>0630541</t>
  </si>
  <si>
    <t>0640615</t>
  </si>
  <si>
    <t>0640630</t>
  </si>
  <si>
    <t>ZIONSVILLE COMMUNITY SCHOOL CORPORATION</t>
  </si>
  <si>
    <t>0640665</t>
  </si>
  <si>
    <t>3055</t>
  </si>
  <si>
    <t>0643055</t>
  </si>
  <si>
    <t>SHERIDAN COMMUNITY SCHOOLS</t>
  </si>
  <si>
    <t>0650015</t>
  </si>
  <si>
    <t>0650016</t>
  </si>
  <si>
    <t>0650296</t>
  </si>
  <si>
    <t>HUSSEY - MAYFIELD MEMORIAL LIBRARY</t>
  </si>
  <si>
    <t>1040</t>
  </si>
  <si>
    <t>0661040</t>
  </si>
  <si>
    <t>0710000</t>
  </si>
  <si>
    <t>0720001</t>
  </si>
  <si>
    <t>0720002</t>
  </si>
  <si>
    <t>0720003</t>
  </si>
  <si>
    <t>0720004</t>
  </si>
  <si>
    <t>0730542</t>
  </si>
  <si>
    <t>0740670</t>
  </si>
  <si>
    <t>BROWN COUNTY SCHOOL CORPORATION</t>
  </si>
  <si>
    <t>0750017</t>
  </si>
  <si>
    <t>0760960</t>
  </si>
  <si>
    <t>HAMBLEN TOWNSHIP FIRE PROTECTION DIST</t>
  </si>
  <si>
    <t>1041</t>
  </si>
  <si>
    <t>0761041</t>
  </si>
  <si>
    <t>0051</t>
  </si>
  <si>
    <t>0770051</t>
  </si>
  <si>
    <t>CORDRY-SWEETWATER CONSERVANCY DISTRICT</t>
  </si>
  <si>
    <t>0055</t>
  </si>
  <si>
    <t>0770055</t>
  </si>
  <si>
    <t>LAKE LEMON CONSERVANCY DISTRICT</t>
  </si>
  <si>
    <t>0810000</t>
  </si>
  <si>
    <t>0820001</t>
  </si>
  <si>
    <t>0820002</t>
  </si>
  <si>
    <t>0820003</t>
  </si>
  <si>
    <t>0820004</t>
  </si>
  <si>
    <t>0820005</t>
  </si>
  <si>
    <t>0820006</t>
  </si>
  <si>
    <t>0820007</t>
  </si>
  <si>
    <t>0820008</t>
  </si>
  <si>
    <t>0820009</t>
  </si>
  <si>
    <t>0820010</t>
  </si>
  <si>
    <t>0820011</t>
  </si>
  <si>
    <t>0820012</t>
  </si>
  <si>
    <t>0820013</t>
  </si>
  <si>
    <t>0820014</t>
  </si>
  <si>
    <t>0830457</t>
  </si>
  <si>
    <t>0830543</t>
  </si>
  <si>
    <t>0830544</t>
  </si>
  <si>
    <t>0830545</t>
  </si>
  <si>
    <t>0830546</t>
  </si>
  <si>
    <t>0840750</t>
  </si>
  <si>
    <t>0840755</t>
  </si>
  <si>
    <t>0841180</t>
  </si>
  <si>
    <t>ROSSVILLE CONSOLIDATED SCHOOL CORP</t>
  </si>
  <si>
    <t>0848565</t>
  </si>
  <si>
    <t>0850018</t>
  </si>
  <si>
    <t>CAMDEN-JACKSON TWP PUBLIC LIBRARY</t>
  </si>
  <si>
    <t>0850019</t>
  </si>
  <si>
    <t>0850020</t>
  </si>
  <si>
    <t>0861062</t>
  </si>
  <si>
    <t>0870002</t>
  </si>
  <si>
    <t>BACHELOR RUN CONSERVANCY DISTRICT</t>
  </si>
  <si>
    <t>0870003</t>
  </si>
  <si>
    <t>ROCK CREEK CASS-CARROLL CONSERVANCY DIST</t>
  </si>
  <si>
    <t>0910000</t>
  </si>
  <si>
    <t>0920001</t>
  </si>
  <si>
    <t>0920002</t>
  </si>
  <si>
    <t>0920003</t>
  </si>
  <si>
    <t>0920004</t>
  </si>
  <si>
    <t>0920005</t>
  </si>
  <si>
    <t>0920006</t>
  </si>
  <si>
    <t>0920007</t>
  </si>
  <si>
    <t>0920008</t>
  </si>
  <si>
    <t>0920009</t>
  </si>
  <si>
    <t>0920010</t>
  </si>
  <si>
    <t>0920011</t>
  </si>
  <si>
    <t>0920012</t>
  </si>
  <si>
    <t>0920013</t>
  </si>
  <si>
    <t>0920014</t>
  </si>
  <si>
    <t>0930301</t>
  </si>
  <si>
    <t>0930547</t>
  </si>
  <si>
    <t>0930548</t>
  </si>
  <si>
    <t>0930549</t>
  </si>
  <si>
    <t>0930550</t>
  </si>
  <si>
    <t>0940775</t>
  </si>
  <si>
    <t>0940815</t>
  </si>
  <si>
    <t>LEWIS CASS SCHOOLS</t>
  </si>
  <si>
    <t>0940875</t>
  </si>
  <si>
    <t>0942650</t>
  </si>
  <si>
    <t>0950021</t>
  </si>
  <si>
    <t>0022</t>
  </si>
  <si>
    <t>0950022</t>
  </si>
  <si>
    <t>0950023</t>
  </si>
  <si>
    <t>1042</t>
  </si>
  <si>
    <t>0961042</t>
  </si>
  <si>
    <t>CASS COUNTY SOLID WASTE MANAGEMENT DIST</t>
  </si>
  <si>
    <t>1101</t>
  </si>
  <si>
    <t>0961101</t>
  </si>
  <si>
    <t>LOGANSPORT CASS CO AIRPORT AUTHORITY</t>
  </si>
  <si>
    <t>2002</t>
  </si>
  <si>
    <t>0962002</t>
  </si>
  <si>
    <t>CASS COUNTY FIRE DISTRICT #1</t>
  </si>
  <si>
    <t>0970003</t>
  </si>
  <si>
    <t>1010000</t>
  </si>
  <si>
    <t>1020001</t>
  </si>
  <si>
    <t>1020002</t>
  </si>
  <si>
    <t>1020003</t>
  </si>
  <si>
    <t>1020004</t>
  </si>
  <si>
    <t>1020005</t>
  </si>
  <si>
    <t>1020006</t>
  </si>
  <si>
    <t>1020007</t>
  </si>
  <si>
    <t>1020008</t>
  </si>
  <si>
    <t>1020009</t>
  </si>
  <si>
    <t>1020010</t>
  </si>
  <si>
    <t>1020011</t>
  </si>
  <si>
    <t>1020012</t>
  </si>
  <si>
    <t>1030205</t>
  </si>
  <si>
    <t>1030421</t>
  </si>
  <si>
    <t>1030500</t>
  </si>
  <si>
    <t>1030551</t>
  </si>
  <si>
    <t>BORDEN CIVIL TOWN</t>
  </si>
  <si>
    <t>1030552</t>
  </si>
  <si>
    <t>1030962</t>
  </si>
  <si>
    <t>1040935</t>
  </si>
  <si>
    <t>BORDEN-HENRYVILLE SCHOOL CORPORATION</t>
  </si>
  <si>
    <t>1040945</t>
  </si>
  <si>
    <t>SILVER CREEK SCHOOL CORPORATION</t>
  </si>
  <si>
    <t>1041000</t>
  </si>
  <si>
    <t>1041010</t>
  </si>
  <si>
    <t>1050025</t>
  </si>
  <si>
    <t>0287</t>
  </si>
  <si>
    <t>1050287</t>
  </si>
  <si>
    <t>1060802</t>
  </si>
  <si>
    <t>1060962</t>
  </si>
  <si>
    <t>0967</t>
  </si>
  <si>
    <t>1060967</t>
  </si>
  <si>
    <t>0971</t>
  </si>
  <si>
    <t>1060971</t>
  </si>
  <si>
    <t>0972</t>
  </si>
  <si>
    <t>1060972</t>
  </si>
  <si>
    <t>0997</t>
  </si>
  <si>
    <t>1060997</t>
  </si>
  <si>
    <t>1043</t>
  </si>
  <si>
    <t>1061043</t>
  </si>
  <si>
    <t>1070004</t>
  </si>
  <si>
    <t>OAK PARK CONSERVANCY</t>
  </si>
  <si>
    <t>1070056</t>
  </si>
  <si>
    <t>MUDDY FORK CONSERVANCY DISTRICT</t>
  </si>
  <si>
    <t>1110000</t>
  </si>
  <si>
    <t>1120001</t>
  </si>
  <si>
    <t>1120002</t>
  </si>
  <si>
    <t>1120003</t>
  </si>
  <si>
    <t>1120004</t>
  </si>
  <si>
    <t>1120005</t>
  </si>
  <si>
    <t>1120006</t>
  </si>
  <si>
    <t>1120007</t>
  </si>
  <si>
    <t>1120008</t>
  </si>
  <si>
    <t>1120009</t>
  </si>
  <si>
    <t>1120010</t>
  </si>
  <si>
    <t>1120011</t>
  </si>
  <si>
    <t>1130410</t>
  </si>
  <si>
    <t>1130553</t>
  </si>
  <si>
    <t>1130554</t>
  </si>
  <si>
    <t>1130555</t>
  </si>
  <si>
    <t>1130556</t>
  </si>
  <si>
    <t>1130557</t>
  </si>
  <si>
    <t>1130558</t>
  </si>
  <si>
    <t>1141125</t>
  </si>
  <si>
    <t>1142960</t>
  </si>
  <si>
    <t>1150026</t>
  </si>
  <si>
    <t>0331</t>
  </si>
  <si>
    <t>1160331</t>
  </si>
  <si>
    <t>LEWIS TOWNSHIP FIRE PROTECTION DISTRICT</t>
  </si>
  <si>
    <t>0333</t>
  </si>
  <si>
    <t>1160333</t>
  </si>
  <si>
    <t>CLAY-OWEN SOLID WASTE MANAGEMENT DIST</t>
  </si>
  <si>
    <t>0338</t>
  </si>
  <si>
    <t>1160338</t>
  </si>
  <si>
    <t>VAN BUREN FIRE DISTRICT</t>
  </si>
  <si>
    <t>0342</t>
  </si>
  <si>
    <t>1160342</t>
  </si>
  <si>
    <t>POSEY TOWNSHIP FIRE PROTECTION DISTRICT</t>
  </si>
  <si>
    <t>1186</t>
  </si>
  <si>
    <t>1161186</t>
  </si>
  <si>
    <t>POLAND FIRE TERRITORY (JACKSON TOWNSHIP)</t>
  </si>
  <si>
    <t>1210000</t>
  </si>
  <si>
    <t>1220001</t>
  </si>
  <si>
    <t>1220002</t>
  </si>
  <si>
    <t>1220003</t>
  </si>
  <si>
    <t>1220004</t>
  </si>
  <si>
    <t>1220005</t>
  </si>
  <si>
    <t>1220006</t>
  </si>
  <si>
    <t>1220007</t>
  </si>
  <si>
    <t>1220008</t>
  </si>
  <si>
    <t>1220009</t>
  </si>
  <si>
    <t>1220010</t>
  </si>
  <si>
    <t>1220011</t>
  </si>
  <si>
    <t>1220012</t>
  </si>
  <si>
    <t>1220013</t>
  </si>
  <si>
    <t>1220014</t>
  </si>
  <si>
    <t>1230309</t>
  </si>
  <si>
    <t>1230559</t>
  </si>
  <si>
    <t>1230560</t>
  </si>
  <si>
    <t>1230561</t>
  </si>
  <si>
    <t>1230562</t>
  </si>
  <si>
    <t>1230563</t>
  </si>
  <si>
    <t>1241150</t>
  </si>
  <si>
    <t>1241160</t>
  </si>
  <si>
    <t>1241170</t>
  </si>
  <si>
    <t>1241180</t>
  </si>
  <si>
    <t>1250027</t>
  </si>
  <si>
    <t>COLFAX-PERRY TOWNSHIP PUBLIC LIBRARY</t>
  </si>
  <si>
    <t>0028</t>
  </si>
  <si>
    <t>1250028</t>
  </si>
  <si>
    <t>1250029</t>
  </si>
  <si>
    <t>0286</t>
  </si>
  <si>
    <t>1250286</t>
  </si>
  <si>
    <t>CLINTON COUNTY CONTRACTUAL PUBLIC LIB</t>
  </si>
  <si>
    <t>1260326</t>
  </si>
  <si>
    <t>FRANKFORT CLINTON COUNTY AIRPORT AUTHORI</t>
  </si>
  <si>
    <t>0329</t>
  </si>
  <si>
    <t>1260329</t>
  </si>
  <si>
    <t>WILD CAT SOLID WASTE MANAGEMENT DISTRICT</t>
  </si>
  <si>
    <t>1310000</t>
  </si>
  <si>
    <t>1320001</t>
  </si>
  <si>
    <t>1320002</t>
  </si>
  <si>
    <t>1320003</t>
  </si>
  <si>
    <t>1320004</t>
  </si>
  <si>
    <t>1320005</t>
  </si>
  <si>
    <t>1320006</t>
  </si>
  <si>
    <t>1320007</t>
  </si>
  <si>
    <t>1320008</t>
  </si>
  <si>
    <t>1320009</t>
  </si>
  <si>
    <t>1330564</t>
  </si>
  <si>
    <t>1330565</t>
  </si>
  <si>
    <t>1330566</t>
  </si>
  <si>
    <t>1330567</t>
  </si>
  <si>
    <t>1330568</t>
  </si>
  <si>
    <t>1341300</t>
  </si>
  <si>
    <t>CRAWFORD COUNTY COMMUNITY SCHOOL CORP</t>
  </si>
  <si>
    <t>0030</t>
  </si>
  <si>
    <t>1350030</t>
  </si>
  <si>
    <t>1360965</t>
  </si>
  <si>
    <t>1360966</t>
  </si>
  <si>
    <t>1360967</t>
  </si>
  <si>
    <t>1360968</t>
  </si>
  <si>
    <t>LEAVENWORTH FIRE PROTECTION DISTRICT</t>
  </si>
  <si>
    <t>1045</t>
  </si>
  <si>
    <t>1361045</t>
  </si>
  <si>
    <t>CRAWFORD COUNTY SOLID WASTE MGMT DIST</t>
  </si>
  <si>
    <t>1410000</t>
  </si>
  <si>
    <t>1420001</t>
  </si>
  <si>
    <t>1420002</t>
  </si>
  <si>
    <t>1420003</t>
  </si>
  <si>
    <t>1420004</t>
  </si>
  <si>
    <t>1420005</t>
  </si>
  <si>
    <t>1420006</t>
  </si>
  <si>
    <t>1420007</t>
  </si>
  <si>
    <t>1420008</t>
  </si>
  <si>
    <t>1420009</t>
  </si>
  <si>
    <t>1420010</t>
  </si>
  <si>
    <t>1430319</t>
  </si>
  <si>
    <t>1430569</t>
  </si>
  <si>
    <t>1430570</t>
  </si>
  <si>
    <t>1430571</t>
  </si>
  <si>
    <t>1430572</t>
  </si>
  <si>
    <t>1430573</t>
  </si>
  <si>
    <t>1430574</t>
  </si>
  <si>
    <t>1441315</t>
  </si>
  <si>
    <t>1441375</t>
  </si>
  <si>
    <t>1441405</t>
  </si>
  <si>
    <t>0031</t>
  </si>
  <si>
    <t>1450031</t>
  </si>
  <si>
    <t>0032</t>
  </si>
  <si>
    <t>1450032</t>
  </si>
  <si>
    <t>1460984</t>
  </si>
  <si>
    <t>0989</t>
  </si>
  <si>
    <t>1460989</t>
  </si>
  <si>
    <t>SOUTHEAST DAVIESS FIRE PROTECTION DIST</t>
  </si>
  <si>
    <t>1022</t>
  </si>
  <si>
    <t>1461022</t>
  </si>
  <si>
    <t>1470005</t>
  </si>
  <si>
    <t>PRAIRIE CREEK CONSERVANCY DISTRICT</t>
  </si>
  <si>
    <t>1510000</t>
  </si>
  <si>
    <t>1520001</t>
  </si>
  <si>
    <t>1520002</t>
  </si>
  <si>
    <t>1520003</t>
  </si>
  <si>
    <t>1520004</t>
  </si>
  <si>
    <t>1520005</t>
  </si>
  <si>
    <t>1520006</t>
  </si>
  <si>
    <t>1520007</t>
  </si>
  <si>
    <t>1520008</t>
  </si>
  <si>
    <t>1520009</t>
  </si>
  <si>
    <t>1520010</t>
  </si>
  <si>
    <t>1520011</t>
  </si>
  <si>
    <t>1520012</t>
  </si>
  <si>
    <t>1520013</t>
  </si>
  <si>
    <t>1520014</t>
  </si>
  <si>
    <t>1530439</t>
  </si>
  <si>
    <t>1530442</t>
  </si>
  <si>
    <t>1530575</t>
  </si>
  <si>
    <t>1530576</t>
  </si>
  <si>
    <t>GREENDALE CIVIL CITY</t>
  </si>
  <si>
    <t>1530577</t>
  </si>
  <si>
    <t>1530578</t>
  </si>
  <si>
    <t>1530579</t>
  </si>
  <si>
    <t>1541560</t>
  </si>
  <si>
    <t>SUNMAN-DEARBORN COMMUNITY SCHOOL CORP</t>
  </si>
  <si>
    <t>1541600</t>
  </si>
  <si>
    <t>SOUTH DEARBORN COMMUNITY SCHOOL CORP</t>
  </si>
  <si>
    <t>1541620</t>
  </si>
  <si>
    <t>LAWRENCEBURG COMMUNITY SCHOOL CORP</t>
  </si>
  <si>
    <t>1550033</t>
  </si>
  <si>
    <t>0034</t>
  </si>
  <si>
    <t>1550034</t>
  </si>
  <si>
    <t>1036</t>
  </si>
  <si>
    <t>1561036</t>
  </si>
  <si>
    <t>1570006</t>
  </si>
  <si>
    <t>LAWRENCEBURG CONSERVANCY DISTRICT</t>
  </si>
  <si>
    <t>1610000</t>
  </si>
  <si>
    <t>1620001</t>
  </si>
  <si>
    <t>1620002</t>
  </si>
  <si>
    <t>1620003</t>
  </si>
  <si>
    <t>1620004</t>
  </si>
  <si>
    <t>1620005</t>
  </si>
  <si>
    <t>1620006</t>
  </si>
  <si>
    <t>1620007</t>
  </si>
  <si>
    <t>1620008</t>
  </si>
  <si>
    <t>1620009</t>
  </si>
  <si>
    <t>1630406</t>
  </si>
  <si>
    <t>1630581</t>
  </si>
  <si>
    <t>1630582</t>
  </si>
  <si>
    <t>1630583</t>
  </si>
  <si>
    <t>1630584</t>
  </si>
  <si>
    <t>1641655</t>
  </si>
  <si>
    <t>DECATUR COUNTY COMMUNITY SCHOOL CORP</t>
  </si>
  <si>
    <t>1641730</t>
  </si>
  <si>
    <t>1650035</t>
  </si>
  <si>
    <t>0283</t>
  </si>
  <si>
    <t>1650283</t>
  </si>
  <si>
    <t>1003</t>
  </si>
  <si>
    <t>1661003</t>
  </si>
  <si>
    <t>0049</t>
  </si>
  <si>
    <t>1670049</t>
  </si>
  <si>
    <t>LAKE MCCOY CONSERVANCY DISTRICT</t>
  </si>
  <si>
    <t>1710000</t>
  </si>
  <si>
    <t>1720001</t>
  </si>
  <si>
    <t>1720002</t>
  </si>
  <si>
    <t>1720003</t>
  </si>
  <si>
    <t>1720004</t>
  </si>
  <si>
    <t>1720005</t>
  </si>
  <si>
    <t>1720006</t>
  </si>
  <si>
    <t>1720007</t>
  </si>
  <si>
    <t>1720008</t>
  </si>
  <si>
    <t>1720009</t>
  </si>
  <si>
    <t>1720010</t>
  </si>
  <si>
    <t>1720011</t>
  </si>
  <si>
    <t>1720012</t>
  </si>
  <si>
    <t>1720013</t>
  </si>
  <si>
    <t>1720014</t>
  </si>
  <si>
    <t>1720015</t>
  </si>
  <si>
    <t>1730416</t>
  </si>
  <si>
    <t>1730436</t>
  </si>
  <si>
    <t>1730460</t>
  </si>
  <si>
    <t>1730585</t>
  </si>
  <si>
    <t>1730586</t>
  </si>
  <si>
    <t>1730587</t>
  </si>
  <si>
    <t>1730589</t>
  </si>
  <si>
    <t>1730590</t>
  </si>
  <si>
    <t>1730879</t>
  </si>
  <si>
    <t>1741805</t>
  </si>
  <si>
    <t>DEKALB COUNTY EASTERN COMM SCHOOL CORP</t>
  </si>
  <si>
    <t>1820</t>
  </si>
  <si>
    <t>1741820</t>
  </si>
  <si>
    <t>GARRETT-KEYSER-BUTLER COMM SCHOOL CORP</t>
  </si>
  <si>
    <t>1741835</t>
  </si>
  <si>
    <t>1747610</t>
  </si>
  <si>
    <t>0036</t>
  </si>
  <si>
    <t>1750036</t>
  </si>
  <si>
    <t>0037</t>
  </si>
  <si>
    <t>1750037</t>
  </si>
  <si>
    <t>1750038</t>
  </si>
  <si>
    <t>1750039</t>
  </si>
  <si>
    <t>0994</t>
  </si>
  <si>
    <t>1760994</t>
  </si>
  <si>
    <t>1103</t>
  </si>
  <si>
    <t>1761103</t>
  </si>
  <si>
    <t>DEKALB COUNTY AIRPORT AUTHORITY</t>
  </si>
  <si>
    <t>1810000</t>
  </si>
  <si>
    <t>1820001</t>
  </si>
  <si>
    <t>1820002</t>
  </si>
  <si>
    <t>1820003</t>
  </si>
  <si>
    <t>1820004</t>
  </si>
  <si>
    <t>1820005</t>
  </si>
  <si>
    <t>1820006</t>
  </si>
  <si>
    <t>1820008</t>
  </si>
  <si>
    <t>1820009</t>
  </si>
  <si>
    <t>1820010</t>
  </si>
  <si>
    <t>1820011</t>
  </si>
  <si>
    <t>1820012</t>
  </si>
  <si>
    <t>1830107</t>
  </si>
  <si>
    <t>1830591</t>
  </si>
  <si>
    <t>1830592</t>
  </si>
  <si>
    <t>1830593</t>
  </si>
  <si>
    <t>1830594</t>
  </si>
  <si>
    <t>1830595</t>
  </si>
  <si>
    <t>1830746</t>
  </si>
  <si>
    <t>1830963</t>
  </si>
  <si>
    <t>1841875</t>
  </si>
  <si>
    <t>1885</t>
  </si>
  <si>
    <t>1841885</t>
  </si>
  <si>
    <t>WES-DEL COMMUNITY SCHOOL CORP</t>
  </si>
  <si>
    <t>1841895</t>
  </si>
  <si>
    <t>LIBERTY-PERRY COMMUNITY SCHOOL CORP</t>
  </si>
  <si>
    <t>1841900</t>
  </si>
  <si>
    <t>1910</t>
  </si>
  <si>
    <t>1841910</t>
  </si>
  <si>
    <t>YORKTOWN COMMUNITY SCHOOLS</t>
  </si>
  <si>
    <t>1841940</t>
  </si>
  <si>
    <t>1841970</t>
  </si>
  <si>
    <t>1850040</t>
  </si>
  <si>
    <t>0041</t>
  </si>
  <si>
    <t>1850041</t>
  </si>
  <si>
    <t>YORKTOWN - MT PLEASANT LIBRARY</t>
  </si>
  <si>
    <t>1860806</t>
  </si>
  <si>
    <t>1860935</t>
  </si>
  <si>
    <t>1860956</t>
  </si>
  <si>
    <t>1034</t>
  </si>
  <si>
    <t>1861034</t>
  </si>
  <si>
    <t>1910000</t>
  </si>
  <si>
    <t>1920001</t>
  </si>
  <si>
    <t>1920002</t>
  </si>
  <si>
    <t>1920003</t>
  </si>
  <si>
    <t>1920004</t>
  </si>
  <si>
    <t>1920005</t>
  </si>
  <si>
    <t>1920006</t>
  </si>
  <si>
    <t>1920007</t>
  </si>
  <si>
    <t>1920008</t>
  </si>
  <si>
    <t>1920009</t>
  </si>
  <si>
    <t>1920010</t>
  </si>
  <si>
    <t>1920011</t>
  </si>
  <si>
    <t>1920012</t>
  </si>
  <si>
    <t>1930405</t>
  </si>
  <si>
    <t>1930434</t>
  </si>
  <si>
    <t>1930596</t>
  </si>
  <si>
    <t>1930597</t>
  </si>
  <si>
    <t>1930598</t>
  </si>
  <si>
    <t>1942040</t>
  </si>
  <si>
    <t>NORTHEAST DUBOIS COUNTY SCHOOL CORP</t>
  </si>
  <si>
    <t>1942100</t>
  </si>
  <si>
    <t>SOUTHEAST DUBOIS COUNTY SCHOOL CORP</t>
  </si>
  <si>
    <t>1942110</t>
  </si>
  <si>
    <t>SOUTHWEST DUBOIS COUNTY SCHOOL CORP</t>
  </si>
  <si>
    <t>1942120</t>
  </si>
  <si>
    <t>GREATER JASPER CONSOLIDATED SCHOOL CORP</t>
  </si>
  <si>
    <t>1950041</t>
  </si>
  <si>
    <t>1950042</t>
  </si>
  <si>
    <t>0043</t>
  </si>
  <si>
    <t>1950043</t>
  </si>
  <si>
    <t>1960922</t>
  </si>
  <si>
    <t>1961030</t>
  </si>
  <si>
    <t>1047</t>
  </si>
  <si>
    <t>1961047</t>
  </si>
  <si>
    <t>DUBOIS COUNTY SOLID WASTE MGMT DIST</t>
  </si>
  <si>
    <t>1970007</t>
  </si>
  <si>
    <t>UPPER PATOKA RIVER CONSERVANCY DISTRICT</t>
  </si>
  <si>
    <t>2010000</t>
  </si>
  <si>
    <t>2020001</t>
  </si>
  <si>
    <t>2020002</t>
  </si>
  <si>
    <t>2020003</t>
  </si>
  <si>
    <t>2020004</t>
  </si>
  <si>
    <t>2020005</t>
  </si>
  <si>
    <t>2020006</t>
  </si>
  <si>
    <t>2020007</t>
  </si>
  <si>
    <t>2020008</t>
  </si>
  <si>
    <t>2020009</t>
  </si>
  <si>
    <t>2020010</t>
  </si>
  <si>
    <t>2020011</t>
  </si>
  <si>
    <t>2020012</t>
  </si>
  <si>
    <t>2020013</t>
  </si>
  <si>
    <t>2020014</t>
  </si>
  <si>
    <t>2020015</t>
  </si>
  <si>
    <t>2020016</t>
  </si>
  <si>
    <t>2030112</t>
  </si>
  <si>
    <t>2030305</t>
  </si>
  <si>
    <t>2030444</t>
  </si>
  <si>
    <t>2030599</t>
  </si>
  <si>
    <t>2030600</t>
  </si>
  <si>
    <t>2030601</t>
  </si>
  <si>
    <t>2030602</t>
  </si>
  <si>
    <t>0725</t>
  </si>
  <si>
    <t>2030725</t>
  </si>
  <si>
    <t>2042155</t>
  </si>
  <si>
    <t>2042260</t>
  </si>
  <si>
    <t>2042270</t>
  </si>
  <si>
    <t>2042275</t>
  </si>
  <si>
    <t>2042285</t>
  </si>
  <si>
    <t>2042305</t>
  </si>
  <si>
    <t>2042315</t>
  </si>
  <si>
    <t>2050044</t>
  </si>
  <si>
    <t>2050045</t>
  </si>
  <si>
    <t>2050046</t>
  </si>
  <si>
    <t>2050047</t>
  </si>
  <si>
    <t>0048</t>
  </si>
  <si>
    <t>2050048</t>
  </si>
  <si>
    <t>WAKARUSA-OLIVE TWP-HARRISON TWP PUB LIB</t>
  </si>
  <si>
    <t>2050259</t>
  </si>
  <si>
    <t>2070046</t>
  </si>
  <si>
    <t>SIMONTON LAKE CONSERVANCY DISTRICT</t>
  </si>
  <si>
    <t>0060</t>
  </si>
  <si>
    <t>2070060</t>
  </si>
  <si>
    <t>NEW PARIS CONSERVANCY</t>
  </si>
  <si>
    <t>2110000</t>
  </si>
  <si>
    <t>2120001</t>
  </si>
  <si>
    <t>2120002</t>
  </si>
  <si>
    <t>2120003</t>
  </si>
  <si>
    <t>2120004</t>
  </si>
  <si>
    <t>2120005</t>
  </si>
  <si>
    <t>2120006</t>
  </si>
  <si>
    <t>2120007</t>
  </si>
  <si>
    <t>2120008</t>
  </si>
  <si>
    <t>2120009</t>
  </si>
  <si>
    <t>2130304</t>
  </si>
  <si>
    <t>2130860</t>
  </si>
  <si>
    <t>2142395</t>
  </si>
  <si>
    <t>2150049</t>
  </si>
  <si>
    <t>2210000</t>
  </si>
  <si>
    <t>2220001</t>
  </si>
  <si>
    <t>2220002</t>
  </si>
  <si>
    <t>2220003</t>
  </si>
  <si>
    <t>2220004</t>
  </si>
  <si>
    <t>2220005</t>
  </si>
  <si>
    <t>2230116</t>
  </si>
  <si>
    <t>2230603</t>
  </si>
  <si>
    <t>2230604</t>
  </si>
  <si>
    <t>2242400</t>
  </si>
  <si>
    <t>NEW ALBANY-FLOYD COUNTY CONS SCHOOL CORP</t>
  </si>
  <si>
    <t>0050</t>
  </si>
  <si>
    <t>2250050</t>
  </si>
  <si>
    <t>2260807</t>
  </si>
  <si>
    <t>2261016</t>
  </si>
  <si>
    <t>2261180</t>
  </si>
  <si>
    <t>GEORGETOWN TWP FIRE DISTRICT</t>
  </si>
  <si>
    <t>1182</t>
  </si>
  <si>
    <t>2261182</t>
  </si>
  <si>
    <t>NEW ALBANY TWP FIRE DISTRICT</t>
  </si>
  <si>
    <t>1195</t>
  </si>
  <si>
    <t>2261195</t>
  </si>
  <si>
    <t>HIGHLANDER FIRE PROTECTION DISTRICT</t>
  </si>
  <si>
    <t>2270056</t>
  </si>
  <si>
    <t>2310000</t>
  </si>
  <si>
    <t>2320001</t>
  </si>
  <si>
    <t>2320002</t>
  </si>
  <si>
    <t>2320003</t>
  </si>
  <si>
    <t>2320004</t>
  </si>
  <si>
    <t>2320005</t>
  </si>
  <si>
    <t>2320006</t>
  </si>
  <si>
    <t>2320007</t>
  </si>
  <si>
    <t>2320008</t>
  </si>
  <si>
    <t>2320009</t>
  </si>
  <si>
    <t>2320010</t>
  </si>
  <si>
    <t>2320011</t>
  </si>
  <si>
    <t>2330443</t>
  </si>
  <si>
    <t>2330456</t>
  </si>
  <si>
    <t>2330605</t>
  </si>
  <si>
    <t>2330606</t>
  </si>
  <si>
    <t>2330607</t>
  </si>
  <si>
    <t>2330608</t>
  </si>
  <si>
    <t>2330609</t>
  </si>
  <si>
    <t>2330610</t>
  </si>
  <si>
    <t>2342435</t>
  </si>
  <si>
    <t>2342440</t>
  </si>
  <si>
    <t>2342455</t>
  </si>
  <si>
    <t>2350052</t>
  </si>
  <si>
    <t>0271</t>
  </si>
  <si>
    <t>2350271</t>
  </si>
  <si>
    <t>2350300</t>
  </si>
  <si>
    <t>1050</t>
  </si>
  <si>
    <t>2361050</t>
  </si>
  <si>
    <t>FOUNTAIN COUNTY SOLID WASTE MGMT DIST</t>
  </si>
  <si>
    <t>1187</t>
  </si>
  <si>
    <t>2361187</t>
  </si>
  <si>
    <t>ALLEN BROWN FIRE PROTECTION TERRITORY</t>
  </si>
  <si>
    <t>2410000</t>
  </si>
  <si>
    <t>2420001</t>
  </si>
  <si>
    <t>2420002</t>
  </si>
  <si>
    <t>2420003</t>
  </si>
  <si>
    <t>2420004</t>
  </si>
  <si>
    <t>2420005</t>
  </si>
  <si>
    <t>2420006</t>
  </si>
  <si>
    <t>2420007</t>
  </si>
  <si>
    <t>2420008</t>
  </si>
  <si>
    <t>2420009</t>
  </si>
  <si>
    <t>2420010</t>
  </si>
  <si>
    <t>2420011</t>
  </si>
  <si>
    <t>2420012</t>
  </si>
  <si>
    <t>2420013</t>
  </si>
  <si>
    <t>2430447</t>
  </si>
  <si>
    <t>2430611</t>
  </si>
  <si>
    <t>2430612</t>
  </si>
  <si>
    <t>2430613</t>
  </si>
  <si>
    <t>2430614</t>
  </si>
  <si>
    <t>2430952</t>
  </si>
  <si>
    <t>2442475</t>
  </si>
  <si>
    <t>FRANKLIN COUNTY COMMUNITY SCHOOL CORP</t>
  </si>
  <si>
    <t>2446895</t>
  </si>
  <si>
    <t>2447950</t>
  </si>
  <si>
    <t>0054</t>
  </si>
  <si>
    <t>2450054</t>
  </si>
  <si>
    <t>FRANKLIN COUNTY PUBLIC LIBRARY DISTRICT</t>
  </si>
  <si>
    <t>2450199</t>
  </si>
  <si>
    <t>1006</t>
  </si>
  <si>
    <t>2461006</t>
  </si>
  <si>
    <t>SOUTHEASTERN INDIANA SOLID WASTE MGMT</t>
  </si>
  <si>
    <t>2510000</t>
  </si>
  <si>
    <t>2520001</t>
  </si>
  <si>
    <t>2520002</t>
  </si>
  <si>
    <t>2520003</t>
  </si>
  <si>
    <t>2520004</t>
  </si>
  <si>
    <t>2520005</t>
  </si>
  <si>
    <t>2520006</t>
  </si>
  <si>
    <t>2520007</t>
  </si>
  <si>
    <t>2520008</t>
  </si>
  <si>
    <t>2530440</t>
  </si>
  <si>
    <t>2530615</t>
  </si>
  <si>
    <t>2530616</t>
  </si>
  <si>
    <t>2530617</t>
  </si>
  <si>
    <t>2542645</t>
  </si>
  <si>
    <t>2542650</t>
  </si>
  <si>
    <t>2544445</t>
  </si>
  <si>
    <t>2545455</t>
  </si>
  <si>
    <t>2546620</t>
  </si>
  <si>
    <t>EASTERN PULASKI COMMUNITY SCHOOL CORP</t>
  </si>
  <si>
    <t>2550055</t>
  </si>
  <si>
    <t>2550056</t>
  </si>
  <si>
    <t>0057</t>
  </si>
  <si>
    <t>2550057</t>
  </si>
  <si>
    <t>1051</t>
  </si>
  <si>
    <t>2561051</t>
  </si>
  <si>
    <t>FULTON COUNTY SOLID WASTE MGMT DIST</t>
  </si>
  <si>
    <t>1179</t>
  </si>
  <si>
    <t>2561179</t>
  </si>
  <si>
    <t>FULTON COUNTY AIRPORT AUTHORITY</t>
  </si>
  <si>
    <t>2570008</t>
  </si>
  <si>
    <t>MILL CREEK CONSERVANCY DISTRICT</t>
  </si>
  <si>
    <t>0061</t>
  </si>
  <si>
    <t>2570061</t>
  </si>
  <si>
    <t>LAKE BRUCE CONSERVANCY DISTRICT</t>
  </si>
  <si>
    <t>2610000</t>
  </si>
  <si>
    <t>2620001</t>
  </si>
  <si>
    <t>2620002</t>
  </si>
  <si>
    <t>2620003</t>
  </si>
  <si>
    <t>2620004</t>
  </si>
  <si>
    <t>2620005</t>
  </si>
  <si>
    <t>2620006</t>
  </si>
  <si>
    <t>2620007</t>
  </si>
  <si>
    <t>2620008</t>
  </si>
  <si>
    <t>2620009</t>
  </si>
  <si>
    <t>2620010</t>
  </si>
  <si>
    <t>2630415</t>
  </si>
  <si>
    <t>2630451</t>
  </si>
  <si>
    <t>2630618</t>
  </si>
  <si>
    <t>2630619</t>
  </si>
  <si>
    <t>2630620</t>
  </si>
  <si>
    <t>2630621</t>
  </si>
  <si>
    <t>HAZLETON CIVIL TOWN</t>
  </si>
  <si>
    <t>2630622</t>
  </si>
  <si>
    <t>2630623</t>
  </si>
  <si>
    <t>2630624</t>
  </si>
  <si>
    <t>2630625</t>
  </si>
  <si>
    <t>2642725</t>
  </si>
  <si>
    <t>2642735</t>
  </si>
  <si>
    <t>2642765</t>
  </si>
  <si>
    <t>0059</t>
  </si>
  <si>
    <t>2650059</t>
  </si>
  <si>
    <t>OAKLAND CITY-COLUMBIA TOWNSHIP PUB LIB</t>
  </si>
  <si>
    <t>2650060</t>
  </si>
  <si>
    <t>0273</t>
  </si>
  <si>
    <t>2650273</t>
  </si>
  <si>
    <t>0274</t>
  </si>
  <si>
    <t>2650274</t>
  </si>
  <si>
    <t>2660932</t>
  </si>
  <si>
    <t>2661018</t>
  </si>
  <si>
    <t>2670009</t>
  </si>
  <si>
    <t>LOWER PATOKA RIVER CONSERVANCY</t>
  </si>
  <si>
    <t>2710000</t>
  </si>
  <si>
    <t>2720001</t>
  </si>
  <si>
    <t>2720002</t>
  </si>
  <si>
    <t>2720003</t>
  </si>
  <si>
    <t>2720004</t>
  </si>
  <si>
    <t>2720005</t>
  </si>
  <si>
    <t>2720006</t>
  </si>
  <si>
    <t>2720007</t>
  </si>
  <si>
    <t>2720008</t>
  </si>
  <si>
    <t>2720009</t>
  </si>
  <si>
    <t>2720010</t>
  </si>
  <si>
    <t>2720011</t>
  </si>
  <si>
    <t>2720012</t>
  </si>
  <si>
    <t>2720013</t>
  </si>
  <si>
    <t>2730114</t>
  </si>
  <si>
    <t>2730422</t>
  </si>
  <si>
    <t>2730626</t>
  </si>
  <si>
    <t>2730627</t>
  </si>
  <si>
    <t>2730628</t>
  </si>
  <si>
    <t>JONESBORO CIVIL CITY</t>
  </si>
  <si>
    <t>2730629</t>
  </si>
  <si>
    <t>2730630</t>
  </si>
  <si>
    <t>2730631</t>
  </si>
  <si>
    <t>2730632</t>
  </si>
  <si>
    <t>2730633</t>
  </si>
  <si>
    <t>2730784</t>
  </si>
  <si>
    <t>2742815</t>
  </si>
  <si>
    <t>2742825</t>
  </si>
  <si>
    <t>2855</t>
  </si>
  <si>
    <t>2742855</t>
  </si>
  <si>
    <t>MISSISSINEWA COMMUNITY SCHOOL CORP</t>
  </si>
  <si>
    <t>2742865</t>
  </si>
  <si>
    <t>2745625</t>
  </si>
  <si>
    <t>2750063</t>
  </si>
  <si>
    <t>0064</t>
  </si>
  <si>
    <t>2750064</t>
  </si>
  <si>
    <t>2750065</t>
  </si>
  <si>
    <t>2750066</t>
  </si>
  <si>
    <t>2750067</t>
  </si>
  <si>
    <t>2750068</t>
  </si>
  <si>
    <t>0069</t>
  </si>
  <si>
    <t>2750069</t>
  </si>
  <si>
    <t>2750070</t>
  </si>
  <si>
    <t>2750152</t>
  </si>
  <si>
    <t>2761034</t>
  </si>
  <si>
    <t>2810000</t>
  </si>
  <si>
    <t>2820001</t>
  </si>
  <si>
    <t>2820002</t>
  </si>
  <si>
    <t>2820003</t>
  </si>
  <si>
    <t>2820004</t>
  </si>
  <si>
    <t>2820005</t>
  </si>
  <si>
    <t>2820006</t>
  </si>
  <si>
    <t>2820007</t>
  </si>
  <si>
    <t>2820008</t>
  </si>
  <si>
    <t>2820009</t>
  </si>
  <si>
    <t>2820010</t>
  </si>
  <si>
    <t>2820011</t>
  </si>
  <si>
    <t>2820012</t>
  </si>
  <si>
    <t>2820013</t>
  </si>
  <si>
    <t>2820014</t>
  </si>
  <si>
    <t>2820015</t>
  </si>
  <si>
    <t>2830426</t>
  </si>
  <si>
    <t>2830461</t>
  </si>
  <si>
    <t>2830634</t>
  </si>
  <si>
    <t>2830635</t>
  </si>
  <si>
    <t>2830636</t>
  </si>
  <si>
    <t>2830637</t>
  </si>
  <si>
    <t>2830638</t>
  </si>
  <si>
    <t>2842920</t>
  </si>
  <si>
    <t>2842940</t>
  </si>
  <si>
    <t>2842950</t>
  </si>
  <si>
    <t>2842960</t>
  </si>
  <si>
    <t>2842980</t>
  </si>
  <si>
    <t>WHITE RIVER VALLEY CONS SCHOOL CORP</t>
  </si>
  <si>
    <t>2850072</t>
  </si>
  <si>
    <t>2850073</t>
  </si>
  <si>
    <t>0074</t>
  </si>
  <si>
    <t>2850074</t>
  </si>
  <si>
    <t>0291</t>
  </si>
  <si>
    <t>2850291</t>
  </si>
  <si>
    <t>BLOOMFIELD-EASTERN GREENE COUNTY PUB LIB</t>
  </si>
  <si>
    <t>2861018</t>
  </si>
  <si>
    <t>2870010</t>
  </si>
  <si>
    <t>LATTAS CREEK CONSERVANCY DISTRICT</t>
  </si>
  <si>
    <t>2870039</t>
  </si>
  <si>
    <t>BUSSERON CONSERVANCY DISTRICT</t>
  </si>
  <si>
    <t>2910000</t>
  </si>
  <si>
    <t>2920001</t>
  </si>
  <si>
    <t>2920002</t>
  </si>
  <si>
    <t>2920003</t>
  </si>
  <si>
    <t>2920004</t>
  </si>
  <si>
    <t>2920005</t>
  </si>
  <si>
    <t>2920006</t>
  </si>
  <si>
    <t>2920007</t>
  </si>
  <si>
    <t>2920008</t>
  </si>
  <si>
    <t>2920009</t>
  </si>
  <si>
    <t>2930323</t>
  </si>
  <si>
    <t>2930413</t>
  </si>
  <si>
    <t>2930639</t>
  </si>
  <si>
    <t>2930640</t>
  </si>
  <si>
    <t>2930641</t>
  </si>
  <si>
    <t>2930642</t>
  </si>
  <si>
    <t>FISHERS CIVIL CITY</t>
  </si>
  <si>
    <t>2930643</t>
  </si>
  <si>
    <t>2930644</t>
  </si>
  <si>
    <t>WESTFIELD CIVIL CITY</t>
  </si>
  <si>
    <t>2943005</t>
  </si>
  <si>
    <t>2943025</t>
  </si>
  <si>
    <t>2943030</t>
  </si>
  <si>
    <t>2943055</t>
  </si>
  <si>
    <t>2943060</t>
  </si>
  <si>
    <t>2943070</t>
  </si>
  <si>
    <t>0075</t>
  </si>
  <si>
    <t>2950075</t>
  </si>
  <si>
    <t>HAMILTON NORTH PUBLIC LIBRARY</t>
  </si>
  <si>
    <t>0076</t>
  </si>
  <si>
    <t>2950076</t>
  </si>
  <si>
    <t>0077</t>
  </si>
  <si>
    <t>2950077</t>
  </si>
  <si>
    <t>HAMILTON EAST PUBLIC LIBRARY</t>
  </si>
  <si>
    <t>0078</t>
  </si>
  <si>
    <t>2950078</t>
  </si>
  <si>
    <t>2950079</t>
  </si>
  <si>
    <t>0336</t>
  </si>
  <si>
    <t>2960336</t>
  </si>
  <si>
    <t>HAMILTON COUNTY AIRPORT AUTHORITY</t>
  </si>
  <si>
    <t>1053</t>
  </si>
  <si>
    <t>2961053</t>
  </si>
  <si>
    <t>HAMILTON COUNTY SOLID WASTE MGMT DIST</t>
  </si>
  <si>
    <t>3010000</t>
  </si>
  <si>
    <t>3020001</t>
  </si>
  <si>
    <t>3020002</t>
  </si>
  <si>
    <t>3020003</t>
  </si>
  <si>
    <t>3020004</t>
  </si>
  <si>
    <t>3020005</t>
  </si>
  <si>
    <t>3020006</t>
  </si>
  <si>
    <t>3020007</t>
  </si>
  <si>
    <t>3020008</t>
  </si>
  <si>
    <t>3020009</t>
  </si>
  <si>
    <t>3030400</t>
  </si>
  <si>
    <t>3030645</t>
  </si>
  <si>
    <t>3030646</t>
  </si>
  <si>
    <t>3030647</t>
  </si>
  <si>
    <t>3030648</t>
  </si>
  <si>
    <t>3030649</t>
  </si>
  <si>
    <t>3030762</t>
  </si>
  <si>
    <t>3030966</t>
  </si>
  <si>
    <t>3043115</t>
  </si>
  <si>
    <t>SOUTHERN HANCOCK COUNTY COMM SCHOOL CORP</t>
  </si>
  <si>
    <t>3043125</t>
  </si>
  <si>
    <t>3043135</t>
  </si>
  <si>
    <t>3043145</t>
  </si>
  <si>
    <t>3050080</t>
  </si>
  <si>
    <t>0081</t>
  </si>
  <si>
    <t>3050081</t>
  </si>
  <si>
    <t>1178</t>
  </si>
  <si>
    <t>3061178</t>
  </si>
  <si>
    <t>HANCOCK COUNTY SOLID WASTE DISTRICT</t>
  </si>
  <si>
    <t>3110000</t>
  </si>
  <si>
    <t>3120001</t>
  </si>
  <si>
    <t>3120002</t>
  </si>
  <si>
    <t>3120003</t>
  </si>
  <si>
    <t>3120004</t>
  </si>
  <si>
    <t>3120005</t>
  </si>
  <si>
    <t>3120006</t>
  </si>
  <si>
    <t>3120007</t>
  </si>
  <si>
    <t>3120008</t>
  </si>
  <si>
    <t>3120009</t>
  </si>
  <si>
    <t>3120010</t>
  </si>
  <si>
    <t>3120011</t>
  </si>
  <si>
    <t>3120012</t>
  </si>
  <si>
    <t>3130568</t>
  </si>
  <si>
    <t>3130650</t>
  </si>
  <si>
    <t>3130651</t>
  </si>
  <si>
    <t>3130652</t>
  </si>
  <si>
    <t>3130653</t>
  </si>
  <si>
    <t>3130654</t>
  </si>
  <si>
    <t>3130655</t>
  </si>
  <si>
    <t>3130656</t>
  </si>
  <si>
    <t>3130657</t>
  </si>
  <si>
    <t>3130658</t>
  </si>
  <si>
    <t>3141300</t>
  </si>
  <si>
    <t>3143160</t>
  </si>
  <si>
    <t>3143180</t>
  </si>
  <si>
    <t>NORTH HARRISON COMMUNITY SCHOOL CORP</t>
  </si>
  <si>
    <t>3143190</t>
  </si>
  <si>
    <t>0082</t>
  </si>
  <si>
    <t>3150082</t>
  </si>
  <si>
    <t>HARRISON COUNTY PUBLIC LIBRARY</t>
  </si>
  <si>
    <t>0341</t>
  </si>
  <si>
    <t>3160341</t>
  </si>
  <si>
    <t>HARRISON TOWNSHIP FIRE PROTECTION DISTRI</t>
  </si>
  <si>
    <t>0343</t>
  </si>
  <si>
    <t>3160343</t>
  </si>
  <si>
    <t>POSEY-TAYLOR FIRE PROTECTION DISTRICT</t>
  </si>
  <si>
    <t>3160967</t>
  </si>
  <si>
    <t>3160973</t>
  </si>
  <si>
    <t>0980</t>
  </si>
  <si>
    <t>3160980</t>
  </si>
  <si>
    <t>HETH-WASHINGTON TWP FIRE PROTECTION DIST</t>
  </si>
  <si>
    <t>0983</t>
  </si>
  <si>
    <t>3160983</t>
  </si>
  <si>
    <t>1031</t>
  </si>
  <si>
    <t>3161031</t>
  </si>
  <si>
    <t>1087</t>
  </si>
  <si>
    <t>3161087</t>
  </si>
  <si>
    <t>3210000</t>
  </si>
  <si>
    <t>3220001</t>
  </si>
  <si>
    <t>3220002</t>
  </si>
  <si>
    <t>3220003</t>
  </si>
  <si>
    <t>3220004</t>
  </si>
  <si>
    <t>3220005</t>
  </si>
  <si>
    <t>3220006</t>
  </si>
  <si>
    <t>3220007</t>
  </si>
  <si>
    <t>3220008</t>
  </si>
  <si>
    <t>3220009</t>
  </si>
  <si>
    <t>3220010</t>
  </si>
  <si>
    <t>3220011</t>
  </si>
  <si>
    <t>3220012</t>
  </si>
  <si>
    <t>3230502</t>
  </si>
  <si>
    <t>3230503</t>
  </si>
  <si>
    <t>3230537</t>
  </si>
  <si>
    <t>3230659</t>
  </si>
  <si>
    <t>3230660</t>
  </si>
  <si>
    <t>3230661</t>
  </si>
  <si>
    <t>3230662</t>
  </si>
  <si>
    <t>3230663</t>
  </si>
  <si>
    <t>3230664</t>
  </si>
  <si>
    <t>3230665</t>
  </si>
  <si>
    <t>3230666</t>
  </si>
  <si>
    <t>3230969</t>
  </si>
  <si>
    <t>AVON CIVIL TOWN</t>
  </si>
  <si>
    <t>3243295</t>
  </si>
  <si>
    <t>3243305</t>
  </si>
  <si>
    <t>3243315</t>
  </si>
  <si>
    <t>3243325</t>
  </si>
  <si>
    <t>3243330</t>
  </si>
  <si>
    <t>3243335</t>
  </si>
  <si>
    <t>0083</t>
  </si>
  <si>
    <t>3250083</t>
  </si>
  <si>
    <t>3250084</t>
  </si>
  <si>
    <t>3250085</t>
  </si>
  <si>
    <t>3250086</t>
  </si>
  <si>
    <t>COATESVILLE-CLAY TOWNSHIP PUBLIC LIBRARY</t>
  </si>
  <si>
    <t>3250087</t>
  </si>
  <si>
    <t>3250088</t>
  </si>
  <si>
    <t>PLAINFIELD - GUILFORD TWP PUBLIC LIBRARY</t>
  </si>
  <si>
    <t>1093</t>
  </si>
  <si>
    <t>3261093</t>
  </si>
  <si>
    <t>HENDRICKS COUNTY SOLID WASTE DISTRICT</t>
  </si>
  <si>
    <t>3270076</t>
  </si>
  <si>
    <t>TRI-COUNTY CONSERVANCY DISTRICT</t>
  </si>
  <si>
    <t>3270077</t>
  </si>
  <si>
    <t>WEST CENTRAL CONSERVANCY DISTRICT</t>
  </si>
  <si>
    <t>0097</t>
  </si>
  <si>
    <t>3270097</t>
  </si>
  <si>
    <t>AMO-COATSVILLE CONSERVANCY DISTRICT</t>
  </si>
  <si>
    <t>0327</t>
  </si>
  <si>
    <t>3270327</t>
  </si>
  <si>
    <t>JE-TO LAKE CONSERVANCY DISTRICT</t>
  </si>
  <si>
    <t>3310000</t>
  </si>
  <si>
    <t>3320001</t>
  </si>
  <si>
    <t>3320002</t>
  </si>
  <si>
    <t>3320003</t>
  </si>
  <si>
    <t>3320004</t>
  </si>
  <si>
    <t>3320005</t>
  </si>
  <si>
    <t>3320006</t>
  </si>
  <si>
    <t>3320007</t>
  </si>
  <si>
    <t>3320008</t>
  </si>
  <si>
    <t>3320009</t>
  </si>
  <si>
    <t>3320010</t>
  </si>
  <si>
    <t>3320011</t>
  </si>
  <si>
    <t>3320012</t>
  </si>
  <si>
    <t>3320013</t>
  </si>
  <si>
    <t>3330203</t>
  </si>
  <si>
    <t>3330647</t>
  </si>
  <si>
    <t>3330667</t>
  </si>
  <si>
    <t>3330668</t>
  </si>
  <si>
    <t>3330669</t>
  </si>
  <si>
    <t>3330670</t>
  </si>
  <si>
    <t>3330671</t>
  </si>
  <si>
    <t>3330672</t>
  </si>
  <si>
    <t>3330673</t>
  </si>
  <si>
    <t>3330674</t>
  </si>
  <si>
    <t>3330675</t>
  </si>
  <si>
    <t>3330676</t>
  </si>
  <si>
    <t>3330677</t>
  </si>
  <si>
    <t>3330678</t>
  </si>
  <si>
    <t>3330679</t>
  </si>
  <si>
    <t>3330680</t>
  </si>
  <si>
    <t>3343405</t>
  </si>
  <si>
    <t>3343415</t>
  </si>
  <si>
    <t>3343435</t>
  </si>
  <si>
    <t>3343445</t>
  </si>
  <si>
    <t>3343455</t>
  </si>
  <si>
    <t>CHARLES A. BEARD MEMORIAL SCHOOL CORP</t>
  </si>
  <si>
    <t>3346795</t>
  </si>
  <si>
    <t>3348305</t>
  </si>
  <si>
    <t>0089</t>
  </si>
  <si>
    <t>3350089</t>
  </si>
  <si>
    <t>0090</t>
  </si>
  <si>
    <t>3350090</t>
  </si>
  <si>
    <t>MIDDLETOWN-FALL CREEK TWP PUBLIC LIBRARY</t>
  </si>
  <si>
    <t>3350091</t>
  </si>
  <si>
    <t>0293</t>
  </si>
  <si>
    <t>3350293</t>
  </si>
  <si>
    <t>1071</t>
  </si>
  <si>
    <t>3361071</t>
  </si>
  <si>
    <t>HENRY COUNTY SOLID WASTE MANAGEMENT DIST</t>
  </si>
  <si>
    <t>3370034</t>
  </si>
  <si>
    <t>BIG BLUE RIVER CONSERVANCY DISTRICT</t>
  </si>
  <si>
    <t>3410000</t>
  </si>
  <si>
    <t>3420001</t>
  </si>
  <si>
    <t>3420002</t>
  </si>
  <si>
    <t>3420003</t>
  </si>
  <si>
    <t>3420004</t>
  </si>
  <si>
    <t>3420005</t>
  </si>
  <si>
    <t>3420006</t>
  </si>
  <si>
    <t>3420007</t>
  </si>
  <si>
    <t>3420008</t>
  </si>
  <si>
    <t>3420009</t>
  </si>
  <si>
    <t>3420010</t>
  </si>
  <si>
    <t>3420011</t>
  </si>
  <si>
    <t>3430110</t>
  </si>
  <si>
    <t>3430681</t>
  </si>
  <si>
    <t>3430682</t>
  </si>
  <si>
    <t>3443460</t>
  </si>
  <si>
    <t>3443470</t>
  </si>
  <si>
    <t>3443480</t>
  </si>
  <si>
    <t>EASTERN HOWARD COMMUNITY SCHOOL CORP</t>
  </si>
  <si>
    <t>3443490</t>
  </si>
  <si>
    <t>3443500</t>
  </si>
  <si>
    <t>KOKOMO SCHOOL CORPORATION</t>
  </si>
  <si>
    <t>3450094</t>
  </si>
  <si>
    <t>0282</t>
  </si>
  <si>
    <t>3450282</t>
  </si>
  <si>
    <t>1027</t>
  </si>
  <si>
    <t>3461027</t>
  </si>
  <si>
    <t>3470002</t>
  </si>
  <si>
    <t>3510000</t>
  </si>
  <si>
    <t>3520001</t>
  </si>
  <si>
    <t>3520002</t>
  </si>
  <si>
    <t>3520003</t>
  </si>
  <si>
    <t>3520004</t>
  </si>
  <si>
    <t>3520005</t>
  </si>
  <si>
    <t>3520006</t>
  </si>
  <si>
    <t>3520007</t>
  </si>
  <si>
    <t>3520008</t>
  </si>
  <si>
    <t>3520009</t>
  </si>
  <si>
    <t>3520010</t>
  </si>
  <si>
    <t>3520011</t>
  </si>
  <si>
    <t>3520012</t>
  </si>
  <si>
    <t>3530307</t>
  </si>
  <si>
    <t>3530683</t>
  </si>
  <si>
    <t>3530684</t>
  </si>
  <si>
    <t>3530685</t>
  </si>
  <si>
    <t>3530686</t>
  </si>
  <si>
    <t>3530687</t>
  </si>
  <si>
    <t>3543625</t>
  </si>
  <si>
    <t>HUNTINGTON COUNTY COMMUNITY SCHOOL CORP</t>
  </si>
  <si>
    <t>3550096</t>
  </si>
  <si>
    <t>3550098</t>
  </si>
  <si>
    <t>3550099</t>
  </si>
  <si>
    <t>3550302</t>
  </si>
  <si>
    <t>HUNTINGTON LIBRARY</t>
  </si>
  <si>
    <t>1055</t>
  </si>
  <si>
    <t>3561055</t>
  </si>
  <si>
    <t>3570048</t>
  </si>
  <si>
    <t>ROCK CREEK CONSERVANCY</t>
  </si>
  <si>
    <t>3610000</t>
  </si>
  <si>
    <t>3620001</t>
  </si>
  <si>
    <t>3620002</t>
  </si>
  <si>
    <t>3620003</t>
  </si>
  <si>
    <t>3620004</t>
  </si>
  <si>
    <t>3620005</t>
  </si>
  <si>
    <t>3620006</t>
  </si>
  <si>
    <t>3620007</t>
  </si>
  <si>
    <t>3620008</t>
  </si>
  <si>
    <t>3620009</t>
  </si>
  <si>
    <t>3620010</t>
  </si>
  <si>
    <t>3620011</t>
  </si>
  <si>
    <t>3620012</t>
  </si>
  <si>
    <t>3630314</t>
  </si>
  <si>
    <t>3630688</t>
  </si>
  <si>
    <t>3630689</t>
  </si>
  <si>
    <t>3630690</t>
  </si>
  <si>
    <t>3643640</t>
  </si>
  <si>
    <t>3643675</t>
  </si>
  <si>
    <t>3643695</t>
  </si>
  <si>
    <t>3643710</t>
  </si>
  <si>
    <t>CROTHERSVILLE COMMUNITY SCHOOL CORP</t>
  </si>
  <si>
    <t>3650100</t>
  </si>
  <si>
    <t>0289</t>
  </si>
  <si>
    <t>3650289</t>
  </si>
  <si>
    <t>0339</t>
  </si>
  <si>
    <t>3660339</t>
  </si>
  <si>
    <t>VERNON TOWNSHIP FIRE PROTECTION DISTRICT</t>
  </si>
  <si>
    <t>3660940</t>
  </si>
  <si>
    <t>SEYMOUR AIRPORT AUTHORITY</t>
  </si>
  <si>
    <t>1014</t>
  </si>
  <si>
    <t>3661014</t>
  </si>
  <si>
    <t>3661081</t>
  </si>
  <si>
    <t>1083</t>
  </si>
  <si>
    <t>3661083</t>
  </si>
  <si>
    <t>DRIFTWOOD TOWNSHIP FIRE PROTECTION DIST</t>
  </si>
  <si>
    <t>1084</t>
  </si>
  <si>
    <t>3661084</t>
  </si>
  <si>
    <t>BROWNSTOWN TOWNSHIP FIRE PROTECTION DIST</t>
  </si>
  <si>
    <t>1085</t>
  </si>
  <si>
    <t>3661085</t>
  </si>
  <si>
    <t>GRASSY FORK TWP FIRE PROTECTION DIST</t>
  </si>
  <si>
    <t>1086</t>
  </si>
  <si>
    <t>3661086</t>
  </si>
  <si>
    <t>REDDING TOWNSHIP FIRE PROTECTION DIST</t>
  </si>
  <si>
    <t>3661087</t>
  </si>
  <si>
    <t>OWEN SALT CREEK FIRE PROTECTION DISTRICT</t>
  </si>
  <si>
    <t>1088</t>
  </si>
  <si>
    <t>3661088</t>
  </si>
  <si>
    <t>HAMILTON TOWNSHIP FIRE PROTECTION DIST</t>
  </si>
  <si>
    <t>1089</t>
  </si>
  <si>
    <t>3661089</t>
  </si>
  <si>
    <t>JACKSON WASHINGTON FIRE PROTECTION DIST</t>
  </si>
  <si>
    <t>3710000</t>
  </si>
  <si>
    <t>3720001</t>
  </si>
  <si>
    <t>3720002</t>
  </si>
  <si>
    <t>3720003</t>
  </si>
  <si>
    <t>3720004</t>
  </si>
  <si>
    <t>3720005</t>
  </si>
  <si>
    <t>3720006</t>
  </si>
  <si>
    <t>3720007</t>
  </si>
  <si>
    <t>3720008</t>
  </si>
  <si>
    <t>3720009</t>
  </si>
  <si>
    <t>3720010</t>
  </si>
  <si>
    <t>3720011</t>
  </si>
  <si>
    <t>3720012</t>
  </si>
  <si>
    <t>3720013</t>
  </si>
  <si>
    <t>3730437</t>
  </si>
  <si>
    <t>3730691</t>
  </si>
  <si>
    <t>3730692</t>
  </si>
  <si>
    <t>3730693</t>
  </si>
  <si>
    <t>3743785</t>
  </si>
  <si>
    <t>3743815</t>
  </si>
  <si>
    <t>3746630</t>
  </si>
  <si>
    <t>3748535</t>
  </si>
  <si>
    <t>3750103</t>
  </si>
  <si>
    <t>0266</t>
  </si>
  <si>
    <t>3750266</t>
  </si>
  <si>
    <t>0328</t>
  </si>
  <si>
    <t>3760328</t>
  </si>
  <si>
    <t>JASPER COUNTY AIRPORT AUTHORITY</t>
  </si>
  <si>
    <t>3761062</t>
  </si>
  <si>
    <t>3770098</t>
  </si>
  <si>
    <t>3810000</t>
  </si>
  <si>
    <t>3820001</t>
  </si>
  <si>
    <t>3820002</t>
  </si>
  <si>
    <t>3820003</t>
  </si>
  <si>
    <t>3820004</t>
  </si>
  <si>
    <t>3820005</t>
  </si>
  <si>
    <t>3820006</t>
  </si>
  <si>
    <t>3820007</t>
  </si>
  <si>
    <t>3820008</t>
  </si>
  <si>
    <t>3820009</t>
  </si>
  <si>
    <t>3820010</t>
  </si>
  <si>
    <t>3820011</t>
  </si>
  <si>
    <t>3820012</t>
  </si>
  <si>
    <t>3830417</t>
  </si>
  <si>
    <t>3830450</t>
  </si>
  <si>
    <t>3830694</t>
  </si>
  <si>
    <t>3830695</t>
  </si>
  <si>
    <t>3830696</t>
  </si>
  <si>
    <t>3830697</t>
  </si>
  <si>
    <t>3843945</t>
  </si>
  <si>
    <t>3850106</t>
  </si>
  <si>
    <t>3850107</t>
  </si>
  <si>
    <t>3850267</t>
  </si>
  <si>
    <t>1090</t>
  </si>
  <si>
    <t>3861090</t>
  </si>
  <si>
    <t>JAY COUNTY SOLID WASTE DISTRICT</t>
  </si>
  <si>
    <t>3910000</t>
  </si>
  <si>
    <t>3920001</t>
  </si>
  <si>
    <t>3920002</t>
  </si>
  <si>
    <t>3920003</t>
  </si>
  <si>
    <t>3920004</t>
  </si>
  <si>
    <t>3920005</t>
  </si>
  <si>
    <t>3920006</t>
  </si>
  <si>
    <t>3920007</t>
  </si>
  <si>
    <t>3920008</t>
  </si>
  <si>
    <t>3920009</t>
  </si>
  <si>
    <t>3920010</t>
  </si>
  <si>
    <t>3930316</t>
  </si>
  <si>
    <t>3930698</t>
  </si>
  <si>
    <t>3930699</t>
  </si>
  <si>
    <t>3930700</t>
  </si>
  <si>
    <t>3943995</t>
  </si>
  <si>
    <t>3944000</t>
  </si>
  <si>
    <t>3950109</t>
  </si>
  <si>
    <t>3961006</t>
  </si>
  <si>
    <t>3970035</t>
  </si>
  <si>
    <t>STUCKER FORK CONSERVANCY DISTRICT</t>
  </si>
  <si>
    <t>4010000</t>
  </si>
  <si>
    <t>4020001</t>
  </si>
  <si>
    <t>4020002</t>
  </si>
  <si>
    <t>4020003</t>
  </si>
  <si>
    <t>4020004</t>
  </si>
  <si>
    <t>4020005</t>
  </si>
  <si>
    <t>4020006</t>
  </si>
  <si>
    <t>4020007</t>
  </si>
  <si>
    <t>4020008</t>
  </si>
  <si>
    <t>4020009</t>
  </si>
  <si>
    <t>4020010</t>
  </si>
  <si>
    <t>4020011</t>
  </si>
  <si>
    <t>4030441</t>
  </si>
  <si>
    <t>4030701</t>
  </si>
  <si>
    <t>4044015</t>
  </si>
  <si>
    <t>4050110</t>
  </si>
  <si>
    <t>4061006</t>
  </si>
  <si>
    <t>4110000</t>
  </si>
  <si>
    <t>4120001</t>
  </si>
  <si>
    <t>4120002</t>
  </si>
  <si>
    <t>4120003</t>
  </si>
  <si>
    <t>4120004</t>
  </si>
  <si>
    <t>4120006</t>
  </si>
  <si>
    <t>4120007</t>
  </si>
  <si>
    <t>4120009</t>
  </si>
  <si>
    <t>4130317</t>
  </si>
  <si>
    <t>4130318</t>
  </si>
  <si>
    <t>4130702</t>
  </si>
  <si>
    <t>4130703</t>
  </si>
  <si>
    <t>4130704</t>
  </si>
  <si>
    <t>4130705</t>
  </si>
  <si>
    <t>4130706</t>
  </si>
  <si>
    <t>4130707</t>
  </si>
  <si>
    <t>4144145</t>
  </si>
  <si>
    <t>CLARK-PLEASANT COMMUNITY SCHOOL CORP</t>
  </si>
  <si>
    <t>4144205</t>
  </si>
  <si>
    <t>CENTER GROVE COMMUNITY SCHOOL CORP</t>
  </si>
  <si>
    <t>4144215</t>
  </si>
  <si>
    <t>4144225</t>
  </si>
  <si>
    <t>4144245</t>
  </si>
  <si>
    <t>4144255</t>
  </si>
  <si>
    <t>NINEVEH-HENSLEY-JACKSON UNITED SCH CORP</t>
  </si>
  <si>
    <t>4150111</t>
  </si>
  <si>
    <t>4150112</t>
  </si>
  <si>
    <t>4150113</t>
  </si>
  <si>
    <t>4160970</t>
  </si>
  <si>
    <t>0974</t>
  </si>
  <si>
    <t>4160974</t>
  </si>
  <si>
    <t>0979</t>
  </si>
  <si>
    <t>4160979</t>
  </si>
  <si>
    <t>0991</t>
  </si>
  <si>
    <t>4160991</t>
  </si>
  <si>
    <t>1028</t>
  </si>
  <si>
    <t>4161028</t>
  </si>
  <si>
    <t>4161030</t>
  </si>
  <si>
    <t>1035</t>
  </si>
  <si>
    <t>4161035</t>
  </si>
  <si>
    <t>4170012</t>
  </si>
  <si>
    <t>WHITE LAKE CONSERVANCY DISTRICT</t>
  </si>
  <si>
    <t>4170079</t>
  </si>
  <si>
    <t>NORTHEAST LAKE CONSERVANCY DISTRICT</t>
  </si>
  <si>
    <t>4170081</t>
  </si>
  <si>
    <t>HANTS LAKE CONSERVANCY DISTRICT</t>
  </si>
  <si>
    <t>4170100</t>
  </si>
  <si>
    <t>NORTH LAKE CONSERVANCY DISTRICT</t>
  </si>
  <si>
    <t>4210000</t>
  </si>
  <si>
    <t>4220001</t>
  </si>
  <si>
    <t>4220002</t>
  </si>
  <si>
    <t>4220003</t>
  </si>
  <si>
    <t>4220004</t>
  </si>
  <si>
    <t>4220005</t>
  </si>
  <si>
    <t>4220006</t>
  </si>
  <si>
    <t>4220007</t>
  </si>
  <si>
    <t>4220008</t>
  </si>
  <si>
    <t>4220009</t>
  </si>
  <si>
    <t>4220010</t>
  </si>
  <si>
    <t>4230300</t>
  </si>
  <si>
    <t>0448</t>
  </si>
  <si>
    <t>4230448</t>
  </si>
  <si>
    <t>4230708</t>
  </si>
  <si>
    <t>4230709</t>
  </si>
  <si>
    <t>4230710</t>
  </si>
  <si>
    <t>4230711</t>
  </si>
  <si>
    <t>4230712</t>
  </si>
  <si>
    <t>4230713</t>
  </si>
  <si>
    <t>4230714</t>
  </si>
  <si>
    <t>4244315</t>
  </si>
  <si>
    <t>4244325</t>
  </si>
  <si>
    <t>4244335</t>
  </si>
  <si>
    <t>4250114</t>
  </si>
  <si>
    <t>4250116</t>
  </si>
  <si>
    <t>4260936</t>
  </si>
  <si>
    <t>4260952</t>
  </si>
  <si>
    <t>0953</t>
  </si>
  <si>
    <t>4260953</t>
  </si>
  <si>
    <t>4260954</t>
  </si>
  <si>
    <t>1056</t>
  </si>
  <si>
    <t>4261056</t>
  </si>
  <si>
    <t>KNOX COUNTY SOLID WASTE MANAGEMENT DIST</t>
  </si>
  <si>
    <t>4270013</t>
  </si>
  <si>
    <t>BREVOORT LEVEE CONSERVANCY DISTRICT</t>
  </si>
  <si>
    <t>4310000</t>
  </si>
  <si>
    <t>4320001</t>
  </si>
  <si>
    <t>4320002</t>
  </si>
  <si>
    <t>4320003</t>
  </si>
  <si>
    <t>4320004</t>
  </si>
  <si>
    <t>4320005</t>
  </si>
  <si>
    <t>4320006</t>
  </si>
  <si>
    <t>4320007</t>
  </si>
  <si>
    <t>4320008</t>
  </si>
  <si>
    <t>4320009</t>
  </si>
  <si>
    <t>4320010</t>
  </si>
  <si>
    <t>4320011</t>
  </si>
  <si>
    <t>4320012</t>
  </si>
  <si>
    <t>4320013</t>
  </si>
  <si>
    <t>4320014</t>
  </si>
  <si>
    <t>4320015</t>
  </si>
  <si>
    <t>4320016</t>
  </si>
  <si>
    <t>4320017</t>
  </si>
  <si>
    <t>4330414</t>
  </si>
  <si>
    <t>4330444</t>
  </si>
  <si>
    <t>4330715</t>
  </si>
  <si>
    <t>4330716</t>
  </si>
  <si>
    <t>4330717</t>
  </si>
  <si>
    <t>4330718</t>
  </si>
  <si>
    <t>4330719</t>
  </si>
  <si>
    <t>4330720</t>
  </si>
  <si>
    <t>4330721</t>
  </si>
  <si>
    <t>4330722</t>
  </si>
  <si>
    <t>4330723</t>
  </si>
  <si>
    <t>4330724</t>
  </si>
  <si>
    <t>4330725</t>
  </si>
  <si>
    <t>4330726</t>
  </si>
  <si>
    <t>4342285</t>
  </si>
  <si>
    <t>4344345</t>
  </si>
  <si>
    <t>4344415</t>
  </si>
  <si>
    <t>4344445</t>
  </si>
  <si>
    <t>4344455</t>
  </si>
  <si>
    <t>4345495</t>
  </si>
  <si>
    <t>4350047</t>
  </si>
  <si>
    <t>4350118</t>
  </si>
  <si>
    <t>4350119</t>
  </si>
  <si>
    <t>4350120</t>
  </si>
  <si>
    <t>0121</t>
  </si>
  <si>
    <t>4350121</t>
  </si>
  <si>
    <t>0268</t>
  </si>
  <si>
    <t>4350268</t>
  </si>
  <si>
    <t>4350303</t>
  </si>
  <si>
    <t>NORTH WEBSTER COMMUNITY PUBLIC LIBRARY</t>
  </si>
  <si>
    <t>1057</t>
  </si>
  <si>
    <t>4361057</t>
  </si>
  <si>
    <t>4370047</t>
  </si>
  <si>
    <t>TURKEY CREEK DAM AND DIKE CONSERVANCY</t>
  </si>
  <si>
    <t>4410000</t>
  </si>
  <si>
    <t>4420001</t>
  </si>
  <si>
    <t>4420002</t>
  </si>
  <si>
    <t>4420003</t>
  </si>
  <si>
    <t>4420004</t>
  </si>
  <si>
    <t>4420005</t>
  </si>
  <si>
    <t>4420006</t>
  </si>
  <si>
    <t>4420007</t>
  </si>
  <si>
    <t>4420008</t>
  </si>
  <si>
    <t>4420009</t>
  </si>
  <si>
    <t>4420010</t>
  </si>
  <si>
    <t>4420011</t>
  </si>
  <si>
    <t>4430727</t>
  </si>
  <si>
    <t>4430728</t>
  </si>
  <si>
    <t>4430729</t>
  </si>
  <si>
    <t>4430811</t>
  </si>
  <si>
    <t>4444515</t>
  </si>
  <si>
    <t>PRAIRIE HEIGHTS COMMUNITY SCHOOL CORP</t>
  </si>
  <si>
    <t>4444525</t>
  </si>
  <si>
    <t>4444535</t>
  </si>
  <si>
    <t>0122</t>
  </si>
  <si>
    <t>4450122</t>
  </si>
  <si>
    <t>4460994</t>
  </si>
  <si>
    <t>4510000</t>
  </si>
  <si>
    <t>4520001</t>
  </si>
  <si>
    <t>4520002</t>
  </si>
  <si>
    <t>4520003</t>
  </si>
  <si>
    <t>4520004</t>
  </si>
  <si>
    <t>4520005</t>
  </si>
  <si>
    <t>4520006</t>
  </si>
  <si>
    <t>4520007</t>
  </si>
  <si>
    <t>4520008</t>
  </si>
  <si>
    <t>4520009</t>
  </si>
  <si>
    <t>4520010</t>
  </si>
  <si>
    <t>4520011</t>
  </si>
  <si>
    <t>4530101</t>
  </si>
  <si>
    <t>4530104</t>
  </si>
  <si>
    <t>4530108</t>
  </si>
  <si>
    <t>4530202</t>
  </si>
  <si>
    <t>4530321</t>
  </si>
  <si>
    <t>4530322</t>
  </si>
  <si>
    <t>4530401</t>
  </si>
  <si>
    <t>4530504</t>
  </si>
  <si>
    <t>4530505</t>
  </si>
  <si>
    <t>4530506</t>
  </si>
  <si>
    <t>4530507</t>
  </si>
  <si>
    <t>4530512</t>
  </si>
  <si>
    <t>4530730</t>
  </si>
  <si>
    <t>4530731</t>
  </si>
  <si>
    <t>4530732</t>
  </si>
  <si>
    <t>4530733</t>
  </si>
  <si>
    <t>4530734</t>
  </si>
  <si>
    <t>4530735</t>
  </si>
  <si>
    <t>4530736</t>
  </si>
  <si>
    <t>4544580</t>
  </si>
  <si>
    <t>4544590</t>
  </si>
  <si>
    <t>RIVER FOREST COMMUNITY SCHOOL CORP</t>
  </si>
  <si>
    <t>4544600</t>
  </si>
  <si>
    <t>4544615</t>
  </si>
  <si>
    <t>4544645</t>
  </si>
  <si>
    <t>4544650</t>
  </si>
  <si>
    <t>4544660</t>
  </si>
  <si>
    <t>4544670</t>
  </si>
  <si>
    <t>SCHOOL CITY OF EAST CHICAGO SCHOOL CORP</t>
  </si>
  <si>
    <t>4544680</t>
  </si>
  <si>
    <t>LAKE STATION SCHOOL CORPORATION</t>
  </si>
  <si>
    <t>4544690</t>
  </si>
  <si>
    <t>4544700</t>
  </si>
  <si>
    <t>4544710</t>
  </si>
  <si>
    <t>4544720</t>
  </si>
  <si>
    <t>4544730</t>
  </si>
  <si>
    <t>4544740</t>
  </si>
  <si>
    <t>4544760</t>
  </si>
  <si>
    <t>0124</t>
  </si>
  <si>
    <t>4550124</t>
  </si>
  <si>
    <t>4550125</t>
  </si>
  <si>
    <t>4550126</t>
  </si>
  <si>
    <t>4550127</t>
  </si>
  <si>
    <t>4550128</t>
  </si>
  <si>
    <t>0129</t>
  </si>
  <si>
    <t>4550129</t>
  </si>
  <si>
    <t>0276</t>
  </si>
  <si>
    <t>4550276</t>
  </si>
  <si>
    <t>4560808</t>
  </si>
  <si>
    <t>4560810</t>
  </si>
  <si>
    <t>4560811</t>
  </si>
  <si>
    <t>4560812</t>
  </si>
  <si>
    <t>4560813</t>
  </si>
  <si>
    <t>4560814</t>
  </si>
  <si>
    <t>4560815</t>
  </si>
  <si>
    <t>4560816</t>
  </si>
  <si>
    <t>4560901</t>
  </si>
  <si>
    <t>4560959</t>
  </si>
  <si>
    <t>0961</t>
  </si>
  <si>
    <t>4560961</t>
  </si>
  <si>
    <t>4560995</t>
  </si>
  <si>
    <t>1002</t>
  </si>
  <si>
    <t>4561002</t>
  </si>
  <si>
    <t>1058</t>
  </si>
  <si>
    <t>4561058</t>
  </si>
  <si>
    <t>LAKE COUNTY SOLID WASTE MANAGEMENT DIST</t>
  </si>
  <si>
    <t>4569993</t>
  </si>
  <si>
    <t>4570014</t>
  </si>
  <si>
    <t>MERRILLVILLE CONSERVANCY</t>
  </si>
  <si>
    <t>4570015</t>
  </si>
  <si>
    <t>INDEPENDENCE HILL CONSERVANCY DISTRICT</t>
  </si>
  <si>
    <t>4610000</t>
  </si>
  <si>
    <t>4620001</t>
  </si>
  <si>
    <t>4620002</t>
  </si>
  <si>
    <t>4620003</t>
  </si>
  <si>
    <t>4620004</t>
  </si>
  <si>
    <t>4620005</t>
  </si>
  <si>
    <t>4620006</t>
  </si>
  <si>
    <t>4620007</t>
  </si>
  <si>
    <t>4620008</t>
  </si>
  <si>
    <t>4620009</t>
  </si>
  <si>
    <t>4620010</t>
  </si>
  <si>
    <t>4620011</t>
  </si>
  <si>
    <t>4620012</t>
  </si>
  <si>
    <t>4620013</t>
  </si>
  <si>
    <t>4620014</t>
  </si>
  <si>
    <t>4620015</t>
  </si>
  <si>
    <t>4620016</t>
  </si>
  <si>
    <t>4620017</t>
  </si>
  <si>
    <t>4620018</t>
  </si>
  <si>
    <t>4620019</t>
  </si>
  <si>
    <t>4620020</t>
  </si>
  <si>
    <t>4620021</t>
  </si>
  <si>
    <t>4630115</t>
  </si>
  <si>
    <t>4630201</t>
  </si>
  <si>
    <t>4630736</t>
  </si>
  <si>
    <t>4630737</t>
  </si>
  <si>
    <t>4630738</t>
  </si>
  <si>
    <t>4630739</t>
  </si>
  <si>
    <t>4630740</t>
  </si>
  <si>
    <t>4630741</t>
  </si>
  <si>
    <t>4630742</t>
  </si>
  <si>
    <t>4630743</t>
  </si>
  <si>
    <t>4630744</t>
  </si>
  <si>
    <t>4644805</t>
  </si>
  <si>
    <t>4644860</t>
  </si>
  <si>
    <t>4915</t>
  </si>
  <si>
    <t>4644915</t>
  </si>
  <si>
    <t>TRI-TOWNSHIP SCHOOL CORPORATION</t>
  </si>
  <si>
    <t>4644925</t>
  </si>
  <si>
    <t>4644940</t>
  </si>
  <si>
    <t>SOUTH CENTRAL COMMUNITY SCHOOL CORP</t>
  </si>
  <si>
    <t>4644945</t>
  </si>
  <si>
    <t>4647150</t>
  </si>
  <si>
    <t>0130</t>
  </si>
  <si>
    <t>4650130</t>
  </si>
  <si>
    <t>4650131</t>
  </si>
  <si>
    <t>4650132</t>
  </si>
  <si>
    <t>0277</t>
  </si>
  <si>
    <t>4650277</t>
  </si>
  <si>
    <t>4650281</t>
  </si>
  <si>
    <t>4660665</t>
  </si>
  <si>
    <t>OLIVE-NEW CARLISLE-HUDSON FIRE TERRITORY</t>
  </si>
  <si>
    <t>4660817</t>
  </si>
  <si>
    <t>4660978</t>
  </si>
  <si>
    <t>4661017</t>
  </si>
  <si>
    <t>1020</t>
  </si>
  <si>
    <t>4661020</t>
  </si>
  <si>
    <t>4670070</t>
  </si>
  <si>
    <t>39 NORTH CONSERVANCY</t>
  </si>
  <si>
    <t>4670075</t>
  </si>
  <si>
    <t>FISH LAKE CONSERVANCY DISTRICT</t>
  </si>
  <si>
    <t>4670082</t>
  </si>
  <si>
    <t>SOUTH COAST CONSERVANCY DISTRICT</t>
  </si>
  <si>
    <t>4710000</t>
  </si>
  <si>
    <t>4720001</t>
  </si>
  <si>
    <t>4720002</t>
  </si>
  <si>
    <t>4720003</t>
  </si>
  <si>
    <t>4720004</t>
  </si>
  <si>
    <t>4720005</t>
  </si>
  <si>
    <t>4720006</t>
  </si>
  <si>
    <t>4720007</t>
  </si>
  <si>
    <t>4720008</t>
  </si>
  <si>
    <t>4720009</t>
  </si>
  <si>
    <t>4730315</t>
  </si>
  <si>
    <t>4730445</t>
  </si>
  <si>
    <t>4730745</t>
  </si>
  <si>
    <t>4745075</t>
  </si>
  <si>
    <t>NORTH LAWRENCE COMMUNITY SCHOOL CORP</t>
  </si>
  <si>
    <t>4745085</t>
  </si>
  <si>
    <t>4750135</t>
  </si>
  <si>
    <t>0136</t>
  </si>
  <si>
    <t>4750136</t>
  </si>
  <si>
    <t>1001</t>
  </si>
  <si>
    <t>4761001</t>
  </si>
  <si>
    <t>LAWRENCE COUNTY SOLID WASTE MGMT DIST</t>
  </si>
  <si>
    <t>4810000</t>
  </si>
  <si>
    <t>4820001</t>
  </si>
  <si>
    <t>4820002</t>
  </si>
  <si>
    <t>4820003</t>
  </si>
  <si>
    <t>4820004</t>
  </si>
  <si>
    <t>4820005</t>
  </si>
  <si>
    <t>4820006</t>
  </si>
  <si>
    <t>4820007</t>
  </si>
  <si>
    <t>4820008</t>
  </si>
  <si>
    <t>4820009</t>
  </si>
  <si>
    <t>4820010</t>
  </si>
  <si>
    <t>4820011</t>
  </si>
  <si>
    <t>4820012</t>
  </si>
  <si>
    <t>4820013</t>
  </si>
  <si>
    <t>4820014</t>
  </si>
  <si>
    <t>4830105</t>
  </si>
  <si>
    <t>4830320</t>
  </si>
  <si>
    <t>4830430</t>
  </si>
  <si>
    <t>4830746</t>
  </si>
  <si>
    <t>4830747</t>
  </si>
  <si>
    <t>4830748</t>
  </si>
  <si>
    <t>4830749</t>
  </si>
  <si>
    <t>4830751</t>
  </si>
  <si>
    <t>4830752</t>
  </si>
  <si>
    <t>4830753</t>
  </si>
  <si>
    <t>4830754</t>
  </si>
  <si>
    <t>4830755</t>
  </si>
  <si>
    <t>4830756</t>
  </si>
  <si>
    <t>4830757</t>
  </si>
  <si>
    <t>4830758</t>
  </si>
  <si>
    <t>4842825</t>
  </si>
  <si>
    <t>4845245</t>
  </si>
  <si>
    <t>FRANKTON-LAPEL COMMUNITY SCHOOL CORP</t>
  </si>
  <si>
    <t>4845255</t>
  </si>
  <si>
    <t>SOUTH MADISON COMMUNITY SCHOOL CORP</t>
  </si>
  <si>
    <t>4845265</t>
  </si>
  <si>
    <t>4845275</t>
  </si>
  <si>
    <t>4845280</t>
  </si>
  <si>
    <t>0138</t>
  </si>
  <si>
    <t>4850138</t>
  </si>
  <si>
    <t>0139</t>
  </si>
  <si>
    <t>4850139</t>
  </si>
  <si>
    <t>0141</t>
  </si>
  <si>
    <t>4850141</t>
  </si>
  <si>
    <t>0290</t>
  </si>
  <si>
    <t>4850290</t>
  </si>
  <si>
    <t>4860955</t>
  </si>
  <si>
    <t>4861034</t>
  </si>
  <si>
    <t>4910000</t>
  </si>
  <si>
    <t>4920001</t>
  </si>
  <si>
    <t>4920002</t>
  </si>
  <si>
    <t>4920003</t>
  </si>
  <si>
    <t>4920004</t>
  </si>
  <si>
    <t>4920005</t>
  </si>
  <si>
    <t>4920006</t>
  </si>
  <si>
    <t>4920007</t>
  </si>
  <si>
    <t>4920008</t>
  </si>
  <si>
    <t>4920009</t>
  </si>
  <si>
    <t>4930306</t>
  </si>
  <si>
    <t>4930312</t>
  </si>
  <si>
    <t>4930459</t>
  </si>
  <si>
    <t>4930508</t>
  </si>
  <si>
    <t>4930760</t>
  </si>
  <si>
    <t>4930762</t>
  </si>
  <si>
    <t>4930764</t>
  </si>
  <si>
    <t>4930766</t>
  </si>
  <si>
    <t>4930769</t>
  </si>
  <si>
    <t>4930772</t>
  </si>
  <si>
    <t>4930773</t>
  </si>
  <si>
    <t>4930774</t>
  </si>
  <si>
    <t>4930971</t>
  </si>
  <si>
    <t>SPRING HILL CIVIL TOWN</t>
  </si>
  <si>
    <t>4945300</t>
  </si>
  <si>
    <t>M.S.D. DECATUR TOWNSHIP SCHOOL CORP</t>
  </si>
  <si>
    <t>4945310</t>
  </si>
  <si>
    <t>FRANKLIN TOWNSHIP COMMUNITY SCHOOL CORP</t>
  </si>
  <si>
    <t>4945330</t>
  </si>
  <si>
    <t>M.S.D. LAWRENCE TOWNSHIP SCHOOL CORP</t>
  </si>
  <si>
    <t>4945340</t>
  </si>
  <si>
    <t>4945350</t>
  </si>
  <si>
    <t>4945360</t>
  </si>
  <si>
    <t>M.S.D. WARREN TOWNSHIP SCHOOL CORP</t>
  </si>
  <si>
    <t>4945370</t>
  </si>
  <si>
    <t>M.S.D. WASHINGTON TOWNSHIP SCHOOL CORP</t>
  </si>
  <si>
    <t>4945375</t>
  </si>
  <si>
    <t>4945380</t>
  </si>
  <si>
    <t>4945385</t>
  </si>
  <si>
    <t>4945400</t>
  </si>
  <si>
    <t>0143</t>
  </si>
  <si>
    <t>4950143</t>
  </si>
  <si>
    <t>0144</t>
  </si>
  <si>
    <t>4950144</t>
  </si>
  <si>
    <t>INDIANAPOLIS-MARION COUNTY PUB LIBRARY</t>
  </si>
  <si>
    <t>4960820</t>
  </si>
  <si>
    <t>4960821</t>
  </si>
  <si>
    <t>4960822</t>
  </si>
  <si>
    <t>4960877</t>
  </si>
  <si>
    <t>4960890</t>
  </si>
  <si>
    <t>4960894</t>
  </si>
  <si>
    <t>0919</t>
  </si>
  <si>
    <t>4960919</t>
  </si>
  <si>
    <t>4960938</t>
  </si>
  <si>
    <t>4960939</t>
  </si>
  <si>
    <t>1105</t>
  </si>
  <si>
    <t>4961105</t>
  </si>
  <si>
    <t>CAPITAL IMPROVEMENT BD OF MARION COUNTY</t>
  </si>
  <si>
    <t>4970016</t>
  </si>
  <si>
    <t>BEN DAVIS CONSERVANCY</t>
  </si>
  <si>
    <t>4970076</t>
  </si>
  <si>
    <t>5010000</t>
  </si>
  <si>
    <t>5020001</t>
  </si>
  <si>
    <t>5020002</t>
  </si>
  <si>
    <t>5020003</t>
  </si>
  <si>
    <t>5020004</t>
  </si>
  <si>
    <t>5020005</t>
  </si>
  <si>
    <t>5020006</t>
  </si>
  <si>
    <t>5020007</t>
  </si>
  <si>
    <t>5020008</t>
  </si>
  <si>
    <t>5020009</t>
  </si>
  <si>
    <t>5020010</t>
  </si>
  <si>
    <t>5030412</t>
  </si>
  <si>
    <t>5030775</t>
  </si>
  <si>
    <t>5030776</t>
  </si>
  <si>
    <t>5030777</t>
  </si>
  <si>
    <t>5030778</t>
  </si>
  <si>
    <t>5030779</t>
  </si>
  <si>
    <t>5045455</t>
  </si>
  <si>
    <t>5045470</t>
  </si>
  <si>
    <t>5045480</t>
  </si>
  <si>
    <t>5045485</t>
  </si>
  <si>
    <t>5045495</t>
  </si>
  <si>
    <t>5047150</t>
  </si>
  <si>
    <t>5047215</t>
  </si>
  <si>
    <t>5050145</t>
  </si>
  <si>
    <t>5050146</t>
  </si>
  <si>
    <t>5050147</t>
  </si>
  <si>
    <t>5050148</t>
  </si>
  <si>
    <t>5050149</t>
  </si>
  <si>
    <t>1004</t>
  </si>
  <si>
    <t>5061004</t>
  </si>
  <si>
    <t>5070001</t>
  </si>
  <si>
    <t>SOUTHWEST LAKE MAXINKUCKEE CONS DIST</t>
  </si>
  <si>
    <t>0344</t>
  </si>
  <si>
    <t>5070344</t>
  </si>
  <si>
    <t>KOONTZ LAKE CONSERVANCY DISTRICT</t>
  </si>
  <si>
    <t>0346</t>
  </si>
  <si>
    <t>5070346</t>
  </si>
  <si>
    <t>EAST SHORE CONSERVANCY DISTRICT</t>
  </si>
  <si>
    <t>5110000</t>
  </si>
  <si>
    <t>5120001</t>
  </si>
  <si>
    <t>5120002</t>
  </si>
  <si>
    <t>5120003</t>
  </si>
  <si>
    <t>5120004</t>
  </si>
  <si>
    <t>5120005</t>
  </si>
  <si>
    <t>5120006</t>
  </si>
  <si>
    <t>5130454</t>
  </si>
  <si>
    <t>5130780</t>
  </si>
  <si>
    <t>5130781</t>
  </si>
  <si>
    <t>5145520</t>
  </si>
  <si>
    <t>5145525</t>
  </si>
  <si>
    <t>5150150</t>
  </si>
  <si>
    <t>5150151</t>
  </si>
  <si>
    <t>1059</t>
  </si>
  <si>
    <t>5161059</t>
  </si>
  <si>
    <t>MARTIN COUNTY SOLID WASTE MGMT DIST</t>
  </si>
  <si>
    <t>5210000</t>
  </si>
  <si>
    <t>5220001</t>
  </si>
  <si>
    <t>5220002</t>
  </si>
  <si>
    <t>5220003</t>
  </si>
  <si>
    <t>5220004</t>
  </si>
  <si>
    <t>5220005</t>
  </si>
  <si>
    <t>5220006</t>
  </si>
  <si>
    <t>5220007</t>
  </si>
  <si>
    <t>5220008</t>
  </si>
  <si>
    <t>5220009</t>
  </si>
  <si>
    <t>5220010</t>
  </si>
  <si>
    <t>5220011</t>
  </si>
  <si>
    <t>5220012</t>
  </si>
  <si>
    <t>5220013</t>
  </si>
  <si>
    <t>5220014</t>
  </si>
  <si>
    <t>5230310</t>
  </si>
  <si>
    <t>5230782</t>
  </si>
  <si>
    <t>5230783</t>
  </si>
  <si>
    <t>5230784</t>
  </si>
  <si>
    <t>5230785</t>
  </si>
  <si>
    <t>5230786</t>
  </si>
  <si>
    <t>5245615</t>
  </si>
  <si>
    <t>MACONAQUAH SCHOOL CORPORATION</t>
  </si>
  <si>
    <t>5245620</t>
  </si>
  <si>
    <t>NORTH MIAMI CONSOLIDATED SCHOOL CORP</t>
  </si>
  <si>
    <t>5245625</t>
  </si>
  <si>
    <t>5245635</t>
  </si>
  <si>
    <t>5250152</t>
  </si>
  <si>
    <t>5250153</t>
  </si>
  <si>
    <t>1060</t>
  </si>
  <si>
    <t>5261060</t>
  </si>
  <si>
    <t>5310000</t>
  </si>
  <si>
    <t>5320001</t>
  </si>
  <si>
    <t>5320002</t>
  </si>
  <si>
    <t>5320003</t>
  </si>
  <si>
    <t>5320004</t>
  </si>
  <si>
    <t>5320005</t>
  </si>
  <si>
    <t>5320006</t>
  </si>
  <si>
    <t>5320007</t>
  </si>
  <si>
    <t>5320008</t>
  </si>
  <si>
    <t>5320009</t>
  </si>
  <si>
    <t>5320010</t>
  </si>
  <si>
    <t>5320011</t>
  </si>
  <si>
    <t>5330113</t>
  </si>
  <si>
    <t>5330788</t>
  </si>
  <si>
    <t>5330789</t>
  </si>
  <si>
    <t>5345705</t>
  </si>
  <si>
    <t>RICHLAND-BEAN BLOSSOM COMM SCHOOL CORP</t>
  </si>
  <si>
    <t>5345740</t>
  </si>
  <si>
    <t>MONROE COUNTY COMMUNITY SCHOOL CORP</t>
  </si>
  <si>
    <t>0154</t>
  </si>
  <si>
    <t>5350154</t>
  </si>
  <si>
    <t>5360951</t>
  </si>
  <si>
    <t>5360972</t>
  </si>
  <si>
    <t>MONROE FIRE PROTECTION DISTRICT</t>
  </si>
  <si>
    <t>0990</t>
  </si>
  <si>
    <t>5360990</t>
  </si>
  <si>
    <t>MONROE COUNTY SOLID WASTE MGMT DIST</t>
  </si>
  <si>
    <t>5370055</t>
  </si>
  <si>
    <t>5410000</t>
  </si>
  <si>
    <t>5420001</t>
  </si>
  <si>
    <t>5420002</t>
  </si>
  <si>
    <t>5420003</t>
  </si>
  <si>
    <t>5420004</t>
  </si>
  <si>
    <t>5420005</t>
  </si>
  <si>
    <t>5420006</t>
  </si>
  <si>
    <t>5420007</t>
  </si>
  <si>
    <t>5420008</t>
  </si>
  <si>
    <t>5420009</t>
  </si>
  <si>
    <t>5420010</t>
  </si>
  <si>
    <t>5420011</t>
  </si>
  <si>
    <t>5430311</t>
  </si>
  <si>
    <t>5430790</t>
  </si>
  <si>
    <t>5430791</t>
  </si>
  <si>
    <t>5430792</t>
  </si>
  <si>
    <t>5430793</t>
  </si>
  <si>
    <t>5430794</t>
  </si>
  <si>
    <t>5430795</t>
  </si>
  <si>
    <t>5430796</t>
  </si>
  <si>
    <t>5430797</t>
  </si>
  <si>
    <t>5430959</t>
  </si>
  <si>
    <t>5430960</t>
  </si>
  <si>
    <t>5445835</t>
  </si>
  <si>
    <t>NORTH MONTGOMERY COMMUNITY SCHOOL CORP</t>
  </si>
  <si>
    <t>5445845</t>
  </si>
  <si>
    <t>SOUTH MONTGOMERY COMMUNITY SCHOOL CORP</t>
  </si>
  <si>
    <t>5445855</t>
  </si>
  <si>
    <t>CRAWFORDSVILLE COMMUNITY SCHOOL CORP</t>
  </si>
  <si>
    <t>0155</t>
  </si>
  <si>
    <t>5450155</t>
  </si>
  <si>
    <t>5450156</t>
  </si>
  <si>
    <t>5450157</t>
  </si>
  <si>
    <t>5450158</t>
  </si>
  <si>
    <t>5450159</t>
  </si>
  <si>
    <t>5460039</t>
  </si>
  <si>
    <t>MONTGOMERY COUNTY SOLID WASTE DISTRICT</t>
  </si>
  <si>
    <t>5470022</t>
  </si>
  <si>
    <t>LITTLE RACCOON CONSERVANCY DISTRICT</t>
  </si>
  <si>
    <t>2000</t>
  </si>
  <si>
    <t>5472000</t>
  </si>
  <si>
    <t>LAKE HOLIDAY CONSERVANCY DISTRICT</t>
  </si>
  <si>
    <t>5510000</t>
  </si>
  <si>
    <t>5520001</t>
  </si>
  <si>
    <t>5520002</t>
  </si>
  <si>
    <t>5520003</t>
  </si>
  <si>
    <t>5520004</t>
  </si>
  <si>
    <t>5520005</t>
  </si>
  <si>
    <t>5520006</t>
  </si>
  <si>
    <t>5520007</t>
  </si>
  <si>
    <t>5520008</t>
  </si>
  <si>
    <t>5520009</t>
  </si>
  <si>
    <t>5520010</t>
  </si>
  <si>
    <t>5520011</t>
  </si>
  <si>
    <t>5520012</t>
  </si>
  <si>
    <t>5520013</t>
  </si>
  <si>
    <t>5520014</t>
  </si>
  <si>
    <t>5530403</t>
  </si>
  <si>
    <t>5530509</t>
  </si>
  <si>
    <t>5530798</t>
  </si>
  <si>
    <t>5530799</t>
  </si>
  <si>
    <t>5530800</t>
  </si>
  <si>
    <t>5530801</t>
  </si>
  <si>
    <t>5530970</t>
  </si>
  <si>
    <t>5544255</t>
  </si>
  <si>
    <t>5545900</t>
  </si>
  <si>
    <t>5545910</t>
  </si>
  <si>
    <t>5545925</t>
  </si>
  <si>
    <t>5545930</t>
  </si>
  <si>
    <t>MOORESVILLE CONSOLIDATED SCHOOL CORP</t>
  </si>
  <si>
    <t>0160</t>
  </si>
  <si>
    <t>5550160</t>
  </si>
  <si>
    <t>0161</t>
  </si>
  <si>
    <t>5550161</t>
  </si>
  <si>
    <t>5560963</t>
  </si>
  <si>
    <t>5561085</t>
  </si>
  <si>
    <t>5570017</t>
  </si>
  <si>
    <t>HART LAKE CONSERVANCY</t>
  </si>
  <si>
    <t>5570076</t>
  </si>
  <si>
    <t>5570101</t>
  </si>
  <si>
    <t>WILDWOOD DAM CONSERVANCY DISTRICT</t>
  </si>
  <si>
    <t>5570103</t>
  </si>
  <si>
    <t>LAKE EDGEWOOD CONSERVANCY DISTRICT</t>
  </si>
  <si>
    <t>5570106</t>
  </si>
  <si>
    <t>UPPER WILDWOOD SHORES CONSERVANCY DIST</t>
  </si>
  <si>
    <t>0325</t>
  </si>
  <si>
    <t>5570325</t>
  </si>
  <si>
    <t>LAKE DETURK CONSERVANCY DISTRICT</t>
  </si>
  <si>
    <t>0345</t>
  </si>
  <si>
    <t>5570345</t>
  </si>
  <si>
    <t>TALL OAKS LAKE CONSERVANCY DISTRICT</t>
  </si>
  <si>
    <t>5610000</t>
  </si>
  <si>
    <t>5620001</t>
  </si>
  <si>
    <t>5620002</t>
  </si>
  <si>
    <t>5620003</t>
  </si>
  <si>
    <t>5620004</t>
  </si>
  <si>
    <t>5620005</t>
  </si>
  <si>
    <t>5620006</t>
  </si>
  <si>
    <t>5620007</t>
  </si>
  <si>
    <t>5620008</t>
  </si>
  <si>
    <t>5620009</t>
  </si>
  <si>
    <t>5620010</t>
  </si>
  <si>
    <t>5630802</t>
  </si>
  <si>
    <t>5630803</t>
  </si>
  <si>
    <t>5630804</t>
  </si>
  <si>
    <t>5630805</t>
  </si>
  <si>
    <t>5630806</t>
  </si>
  <si>
    <t>5645945</t>
  </si>
  <si>
    <t>5645995</t>
  </si>
  <si>
    <t>5650162</t>
  </si>
  <si>
    <t>5650163</t>
  </si>
  <si>
    <t>5650164</t>
  </si>
  <si>
    <t>0166</t>
  </si>
  <si>
    <t>5650166</t>
  </si>
  <si>
    <t>5661062</t>
  </si>
  <si>
    <t>5670019</t>
  </si>
  <si>
    <t>KENTLAND CONSERVANCY DISTRICT</t>
  </si>
  <si>
    <t>5670052</t>
  </si>
  <si>
    <t>MOROCCO CONSERVANCY DISTRICT</t>
  </si>
  <si>
    <t>5670098</t>
  </si>
  <si>
    <t>5710000</t>
  </si>
  <si>
    <t>5720001</t>
  </si>
  <si>
    <t>5720002</t>
  </si>
  <si>
    <t>5720003</t>
  </si>
  <si>
    <t>5720004</t>
  </si>
  <si>
    <t>5720005</t>
  </si>
  <si>
    <t>5720006</t>
  </si>
  <si>
    <t>5720007</t>
  </si>
  <si>
    <t>5720008</t>
  </si>
  <si>
    <t>5720009</t>
  </si>
  <si>
    <t>5720010</t>
  </si>
  <si>
    <t>5720011</t>
  </si>
  <si>
    <t>5720012</t>
  </si>
  <si>
    <t>5720013</t>
  </si>
  <si>
    <t>5730418</t>
  </si>
  <si>
    <t>5730452</t>
  </si>
  <si>
    <t>5730807</t>
  </si>
  <si>
    <t>5730808</t>
  </si>
  <si>
    <t>5730809</t>
  </si>
  <si>
    <t>5730810</t>
  </si>
  <si>
    <t>5730811</t>
  </si>
  <si>
    <t>5744535</t>
  </si>
  <si>
    <t>5746055</t>
  </si>
  <si>
    <t>CENTRAL NOBLE COMMUNITY SCHOOL CORP</t>
  </si>
  <si>
    <t>5746060</t>
  </si>
  <si>
    <t>6065</t>
  </si>
  <si>
    <t>5746065</t>
  </si>
  <si>
    <t>5748625</t>
  </si>
  <si>
    <t>0167</t>
  </si>
  <si>
    <t>5750167</t>
  </si>
  <si>
    <t>5750168</t>
  </si>
  <si>
    <t>0169</t>
  </si>
  <si>
    <t>5750169</t>
  </si>
  <si>
    <t>5760994</t>
  </si>
  <si>
    <t>5770054</t>
  </si>
  <si>
    <t>ROME CITY CONSERVANCY</t>
  </si>
  <si>
    <t>5810000</t>
  </si>
  <si>
    <t>5820001</t>
  </si>
  <si>
    <t>5820002</t>
  </si>
  <si>
    <t>5820003</t>
  </si>
  <si>
    <t>5820004</t>
  </si>
  <si>
    <t>5830462</t>
  </si>
  <si>
    <t>5846080</t>
  </si>
  <si>
    <t>RISING SUN-OHIO COUNTY COMM SCHOOL CORP</t>
  </si>
  <si>
    <t>0170</t>
  </si>
  <si>
    <t>5850170</t>
  </si>
  <si>
    <t>5861006</t>
  </si>
  <si>
    <t>5910000</t>
  </si>
  <si>
    <t>5920001</t>
  </si>
  <si>
    <t>5920002</t>
  </si>
  <si>
    <t>5920003</t>
  </si>
  <si>
    <t>5920004</t>
  </si>
  <si>
    <t>5920005</t>
  </si>
  <si>
    <t>5920006</t>
  </si>
  <si>
    <t>5920007</t>
  </si>
  <si>
    <t>5920008</t>
  </si>
  <si>
    <t>5920009</t>
  </si>
  <si>
    <t>5920010</t>
  </si>
  <si>
    <t>5930812</t>
  </si>
  <si>
    <t>5930813</t>
  </si>
  <si>
    <t>5930814</t>
  </si>
  <si>
    <t>5930815</t>
  </si>
  <si>
    <t>5946145</t>
  </si>
  <si>
    <t>5946155</t>
  </si>
  <si>
    <t>5946160</t>
  </si>
  <si>
    <t>SPRINGS VALLEY COMMUNITY SCHOOL CORP</t>
  </si>
  <si>
    <t>5950171</t>
  </si>
  <si>
    <t>5950172</t>
  </si>
  <si>
    <t>0173</t>
  </si>
  <si>
    <t>5950173</t>
  </si>
  <si>
    <t>0992</t>
  </si>
  <si>
    <t>5960992</t>
  </si>
  <si>
    <t>1063</t>
  </si>
  <si>
    <t>5961063</t>
  </si>
  <si>
    <t>ORANGE COUNTY SOLID WASTE MGMT DIST</t>
  </si>
  <si>
    <t>5970021</t>
  </si>
  <si>
    <t>SPRINGS VALLEY CONSERVANCY DISTRICT</t>
  </si>
  <si>
    <t>6010000</t>
  </si>
  <si>
    <t>6020001</t>
  </si>
  <si>
    <t>6020002</t>
  </si>
  <si>
    <t>6020003</t>
  </si>
  <si>
    <t>6020004</t>
  </si>
  <si>
    <t>6020005</t>
  </si>
  <si>
    <t>6020006</t>
  </si>
  <si>
    <t>6020007</t>
  </si>
  <si>
    <t>6020008</t>
  </si>
  <si>
    <t>6020009</t>
  </si>
  <si>
    <t>6020010</t>
  </si>
  <si>
    <t>6020011</t>
  </si>
  <si>
    <t>6020012</t>
  </si>
  <si>
    <t>6020013</t>
  </si>
  <si>
    <t>6030816</t>
  </si>
  <si>
    <t>6030817</t>
  </si>
  <si>
    <t>6046195</t>
  </si>
  <si>
    <t>SPENCER-OWEN COMMUNITY SCHOOL CORP</t>
  </si>
  <si>
    <t>6046750</t>
  </si>
  <si>
    <t>0264</t>
  </si>
  <si>
    <t>6050264</t>
  </si>
  <si>
    <t>6060333</t>
  </si>
  <si>
    <t>6061186</t>
  </si>
  <si>
    <t>6070102</t>
  </si>
  <si>
    <t>GRAYBROOK CONSERVANCY DISTRICT</t>
  </si>
  <si>
    <t>6110000</t>
  </si>
  <si>
    <t>6120001</t>
  </si>
  <si>
    <t>6120002</t>
  </si>
  <si>
    <t>6120003</t>
  </si>
  <si>
    <t>6120004</t>
  </si>
  <si>
    <t>6120005</t>
  </si>
  <si>
    <t>6120006</t>
  </si>
  <si>
    <t>6120007</t>
  </si>
  <si>
    <t>6120008</t>
  </si>
  <si>
    <t>6120009</t>
  </si>
  <si>
    <t>6120010</t>
  </si>
  <si>
    <t>6120011</t>
  </si>
  <si>
    <t>6120012</t>
  </si>
  <si>
    <t>6120013</t>
  </si>
  <si>
    <t>6130818</t>
  </si>
  <si>
    <t>6130820</t>
  </si>
  <si>
    <t>6130821</t>
  </si>
  <si>
    <t>6130822</t>
  </si>
  <si>
    <t>6130823</t>
  </si>
  <si>
    <t>6130954</t>
  </si>
  <si>
    <t>6141125</t>
  </si>
  <si>
    <t>6146260</t>
  </si>
  <si>
    <t>SOUTHWEST PARKE COMMUNITY SCHOOL CORP</t>
  </si>
  <si>
    <t>6375</t>
  </si>
  <si>
    <t>6146375</t>
  </si>
  <si>
    <t>NORTH CENTRAL PARKE COMM SCHOOL CORP</t>
  </si>
  <si>
    <t>6150176</t>
  </si>
  <si>
    <t>0292</t>
  </si>
  <si>
    <t>6150292</t>
  </si>
  <si>
    <t>PARKE COUNTY PUBLIC LIBRARY</t>
  </si>
  <si>
    <t>1079</t>
  </si>
  <si>
    <t>6161079</t>
  </si>
  <si>
    <t>6161187</t>
  </si>
  <si>
    <t>6170022</t>
  </si>
  <si>
    <t>6210000</t>
  </si>
  <si>
    <t>6220001</t>
  </si>
  <si>
    <t>6220002</t>
  </si>
  <si>
    <t>6220003</t>
  </si>
  <si>
    <t>6220004</t>
  </si>
  <si>
    <t>6220005</t>
  </si>
  <si>
    <t>6220006</t>
  </si>
  <si>
    <t>6220007</t>
  </si>
  <si>
    <t>6230411</t>
  </si>
  <si>
    <t>6230463</t>
  </si>
  <si>
    <t>6230824</t>
  </si>
  <si>
    <t>6246325</t>
  </si>
  <si>
    <t>PERRY CENTRAL COMMUNITY SCHOOL CORP</t>
  </si>
  <si>
    <t>6246340</t>
  </si>
  <si>
    <t>6246350</t>
  </si>
  <si>
    <t>TELL CITY-TROY TOWNSHIP SCHOOL CORP</t>
  </si>
  <si>
    <t>0324</t>
  </si>
  <si>
    <t>6250324</t>
  </si>
  <si>
    <t>PERRY COUNTY PUBLIC LIBRARY</t>
  </si>
  <si>
    <t>0993</t>
  </si>
  <si>
    <t>6260993</t>
  </si>
  <si>
    <t>1064</t>
  </si>
  <si>
    <t>6261064</t>
  </si>
  <si>
    <t>6270023</t>
  </si>
  <si>
    <t>MIDDLEFORK WATERSHED CONSERVANCY DIST</t>
  </si>
  <si>
    <t>6310000</t>
  </si>
  <si>
    <t>6320001</t>
  </si>
  <si>
    <t>6320002</t>
  </si>
  <si>
    <t>6320003</t>
  </si>
  <si>
    <t>6320004</t>
  </si>
  <si>
    <t>6320005</t>
  </si>
  <si>
    <t>6320006</t>
  </si>
  <si>
    <t>6320007</t>
  </si>
  <si>
    <t>6320008</t>
  </si>
  <si>
    <t>6320009</t>
  </si>
  <si>
    <t>6330455</t>
  </si>
  <si>
    <t>6330825</t>
  </si>
  <si>
    <t>6330826</t>
  </si>
  <si>
    <t>6346445</t>
  </si>
  <si>
    <t>0288</t>
  </si>
  <si>
    <t>6350288</t>
  </si>
  <si>
    <t>6360964</t>
  </si>
  <si>
    <t>6360968</t>
  </si>
  <si>
    <t>1065</t>
  </si>
  <si>
    <t>6361065</t>
  </si>
  <si>
    <t>6370007</t>
  </si>
  <si>
    <t>6370009</t>
  </si>
  <si>
    <t>0024</t>
  </si>
  <si>
    <t>6370024</t>
  </si>
  <si>
    <t>PRIDES CREEK CONSERVANCY</t>
  </si>
  <si>
    <t>6410000</t>
  </si>
  <si>
    <t>6420001</t>
  </si>
  <si>
    <t>6420002</t>
  </si>
  <si>
    <t>6420003</t>
  </si>
  <si>
    <t>6420004</t>
  </si>
  <si>
    <t>6420005</t>
  </si>
  <si>
    <t>6420006</t>
  </si>
  <si>
    <t>6420007</t>
  </si>
  <si>
    <t>6420008</t>
  </si>
  <si>
    <t>6420009</t>
  </si>
  <si>
    <t>6420010</t>
  </si>
  <si>
    <t>6420011</t>
  </si>
  <si>
    <t>6420012</t>
  </si>
  <si>
    <t>6430204</t>
  </si>
  <si>
    <t>6430303</t>
  </si>
  <si>
    <t>6430510</t>
  </si>
  <si>
    <t>6430827</t>
  </si>
  <si>
    <t>6430828</t>
  </si>
  <si>
    <t>6430829</t>
  </si>
  <si>
    <t>6430830</t>
  </si>
  <si>
    <t>6430831</t>
  </si>
  <si>
    <t>6430832</t>
  </si>
  <si>
    <t>6430833</t>
  </si>
  <si>
    <t>6430834</t>
  </si>
  <si>
    <t>6444925</t>
  </si>
  <si>
    <t>6446460</t>
  </si>
  <si>
    <t>6446470</t>
  </si>
  <si>
    <t>6446510</t>
  </si>
  <si>
    <t>6446520</t>
  </si>
  <si>
    <t>6446530</t>
  </si>
  <si>
    <t>6446550</t>
  </si>
  <si>
    <t>6446560</t>
  </si>
  <si>
    <t>0184</t>
  </si>
  <si>
    <t>6450184</t>
  </si>
  <si>
    <t>0185</t>
  </si>
  <si>
    <t>6450185</t>
  </si>
  <si>
    <t>0975</t>
  </si>
  <si>
    <t>6460975</t>
  </si>
  <si>
    <t>6461066</t>
  </si>
  <si>
    <t>PORTER CO SOLID WASTE DISTRICT</t>
  </si>
  <si>
    <t>6461084</t>
  </si>
  <si>
    <t>6470025</t>
  </si>
  <si>
    <t>WHITE OAK CONSERVANCY DISTRICT</t>
  </si>
  <si>
    <t>6470026</t>
  </si>
  <si>
    <t>VALPARAISO LAKES CONSERVANCY</t>
  </si>
  <si>
    <t>6470027</t>
  </si>
  <si>
    <t>INDIAN BOUNDARY CONSERVANCY DISTRICT</t>
  </si>
  <si>
    <t>6470028</t>
  </si>
  <si>
    <t>DAMON RUN CONSERVANCY DISTRICT</t>
  </si>
  <si>
    <t>6470059</t>
  </si>
  <si>
    <t>TWIN CREEKS CONSERVANCY DISTRICT</t>
  </si>
  <si>
    <t>6470099</t>
  </si>
  <si>
    <t>NATURE WORKS CONSERVANCY DISTRICT</t>
  </si>
  <si>
    <t>6510000</t>
  </si>
  <si>
    <t>6520001</t>
  </si>
  <si>
    <t>6520002</t>
  </si>
  <si>
    <t>6520003</t>
  </si>
  <si>
    <t>6520004</t>
  </si>
  <si>
    <t>6520005</t>
  </si>
  <si>
    <t>6520006</t>
  </si>
  <si>
    <t>6520007</t>
  </si>
  <si>
    <t>6520008</t>
  </si>
  <si>
    <t>6520009</t>
  </si>
  <si>
    <t>6520010</t>
  </si>
  <si>
    <t>6530419</t>
  </si>
  <si>
    <t>6530835</t>
  </si>
  <si>
    <t>6530836</t>
  </si>
  <si>
    <t>6530837</t>
  </si>
  <si>
    <t>6530838</t>
  </si>
  <si>
    <t>6546590</t>
  </si>
  <si>
    <t>6546600</t>
  </si>
  <si>
    <t>M.S.D. NORTH POSEY COUNTY SCHOOL CORP</t>
  </si>
  <si>
    <t>0187</t>
  </si>
  <si>
    <t>6550187</t>
  </si>
  <si>
    <t>0188</t>
  </si>
  <si>
    <t>6550188</t>
  </si>
  <si>
    <t>0269</t>
  </si>
  <si>
    <t>6550269</t>
  </si>
  <si>
    <t>0920</t>
  </si>
  <si>
    <t>6560920</t>
  </si>
  <si>
    <t>6560957</t>
  </si>
  <si>
    <t>1067</t>
  </si>
  <si>
    <t>6561067</t>
  </si>
  <si>
    <t>6610000</t>
  </si>
  <si>
    <t>6620001</t>
  </si>
  <si>
    <t>6620002</t>
  </si>
  <si>
    <t>6620003</t>
  </si>
  <si>
    <t>6620004</t>
  </si>
  <si>
    <t>6620005</t>
  </si>
  <si>
    <t>6620006</t>
  </si>
  <si>
    <t>6620007</t>
  </si>
  <si>
    <t>6620008</t>
  </si>
  <si>
    <t>6620009</t>
  </si>
  <si>
    <t>6620010</t>
  </si>
  <si>
    <t>6620011</t>
  </si>
  <si>
    <t>6620012</t>
  </si>
  <si>
    <t>6630839</t>
  </si>
  <si>
    <t>6630840</t>
  </si>
  <si>
    <t>6630841</t>
  </si>
  <si>
    <t>6630842</t>
  </si>
  <si>
    <t>6645455</t>
  </si>
  <si>
    <t>6646620</t>
  </si>
  <si>
    <t>6646630</t>
  </si>
  <si>
    <t>6647515</t>
  </si>
  <si>
    <t>NORTH JUDSON-SAN PIERRE SCHOOL CORP</t>
  </si>
  <si>
    <t>0189</t>
  </si>
  <si>
    <t>6650189</t>
  </si>
  <si>
    <t>6650190</t>
  </si>
  <si>
    <t>0191</t>
  </si>
  <si>
    <t>6650191</t>
  </si>
  <si>
    <t>6661062</t>
  </si>
  <si>
    <t>6670008</t>
  </si>
  <si>
    <t>6670061</t>
  </si>
  <si>
    <t>6710000</t>
  </si>
  <si>
    <t>6720001</t>
  </si>
  <si>
    <t>6720002</t>
  </si>
  <si>
    <t>6720003</t>
  </si>
  <si>
    <t>6720004</t>
  </si>
  <si>
    <t>6720005</t>
  </si>
  <si>
    <t>6720006</t>
  </si>
  <si>
    <t>6720007</t>
  </si>
  <si>
    <t>6720008</t>
  </si>
  <si>
    <t>6720009</t>
  </si>
  <si>
    <t>6720010</t>
  </si>
  <si>
    <t>6720011</t>
  </si>
  <si>
    <t>6720012</t>
  </si>
  <si>
    <t>6720013</t>
  </si>
  <si>
    <t>6730404</t>
  </si>
  <si>
    <t>6730843</t>
  </si>
  <si>
    <t>6730844</t>
  </si>
  <si>
    <t>6730845</t>
  </si>
  <si>
    <t>6730846</t>
  </si>
  <si>
    <t>6730965</t>
  </si>
  <si>
    <t>6746705</t>
  </si>
  <si>
    <t>SOUTH PUTNAM COMMUNITY SCHOOL CORP</t>
  </si>
  <si>
    <t>6746715</t>
  </si>
  <si>
    <t>NORTH PUTNAM COMMUNITY SCHOOL CORP</t>
  </si>
  <si>
    <t>6746750</t>
  </si>
  <si>
    <t>6746755</t>
  </si>
  <si>
    <t>0192</t>
  </si>
  <si>
    <t>6750192</t>
  </si>
  <si>
    <t>0193</t>
  </si>
  <si>
    <t>6750193</t>
  </si>
  <si>
    <t>0337</t>
  </si>
  <si>
    <t>6760337</t>
  </si>
  <si>
    <t>PUTNAM COUNTY AIRPORT AUTHORITY</t>
  </si>
  <si>
    <t>6760976</t>
  </si>
  <si>
    <t>0977</t>
  </si>
  <si>
    <t>6760977</t>
  </si>
  <si>
    <t>6760978</t>
  </si>
  <si>
    <t>6761079</t>
  </si>
  <si>
    <t>6770030</t>
  </si>
  <si>
    <t>CLEAR CREEK CONSERVANCY DISTRICT</t>
  </si>
  <si>
    <t>6770031</t>
  </si>
  <si>
    <t>LITTLE WALNUT CREEK CONSERVANCY DISTRICT</t>
  </si>
  <si>
    <t>9996</t>
  </si>
  <si>
    <t>6779996</t>
  </si>
  <si>
    <t>VAN BIBBER LAKE CONSERVANCY</t>
  </si>
  <si>
    <t>6810000</t>
  </si>
  <si>
    <t>6820001</t>
  </si>
  <si>
    <t>6820002</t>
  </si>
  <si>
    <t>6820003</t>
  </si>
  <si>
    <t>6820004</t>
  </si>
  <si>
    <t>6820005</t>
  </si>
  <si>
    <t>6820006</t>
  </si>
  <si>
    <t>6820007</t>
  </si>
  <si>
    <t>6820008</t>
  </si>
  <si>
    <t>6820009</t>
  </si>
  <si>
    <t>6820010</t>
  </si>
  <si>
    <t>6820011</t>
  </si>
  <si>
    <t>6830425</t>
  </si>
  <si>
    <t>6830446</t>
  </si>
  <si>
    <t>6830591</t>
  </si>
  <si>
    <t>6830847</t>
  </si>
  <si>
    <t>6830848</t>
  </si>
  <si>
    <t>6830849</t>
  </si>
  <si>
    <t>6830850</t>
  </si>
  <si>
    <t>6830851</t>
  </si>
  <si>
    <t>6830852</t>
  </si>
  <si>
    <t>6830853</t>
  </si>
  <si>
    <t>6846795</t>
  </si>
  <si>
    <t>6846805</t>
  </si>
  <si>
    <t>6846820</t>
  </si>
  <si>
    <t>6846825</t>
  </si>
  <si>
    <t>6846835</t>
  </si>
  <si>
    <t>6850194</t>
  </si>
  <si>
    <t>6850195</t>
  </si>
  <si>
    <t>6850196</t>
  </si>
  <si>
    <t>6850197</t>
  </si>
  <si>
    <t>0198</t>
  </si>
  <si>
    <t>6850198</t>
  </si>
  <si>
    <t>6861099</t>
  </si>
  <si>
    <t>6910000</t>
  </si>
  <si>
    <t>6920001</t>
  </si>
  <si>
    <t>6920002</t>
  </si>
  <si>
    <t>6920003</t>
  </si>
  <si>
    <t>6920004</t>
  </si>
  <si>
    <t>6920005</t>
  </si>
  <si>
    <t>6920006</t>
  </si>
  <si>
    <t>6920007</t>
  </si>
  <si>
    <t>6920008</t>
  </si>
  <si>
    <t>6920009</t>
  </si>
  <si>
    <t>6920010</t>
  </si>
  <si>
    <t>6920011</t>
  </si>
  <si>
    <t>6930447</t>
  </si>
  <si>
    <t>6930854</t>
  </si>
  <si>
    <t>6930855</t>
  </si>
  <si>
    <t>6930856</t>
  </si>
  <si>
    <t>6930857</t>
  </si>
  <si>
    <t>6930858</t>
  </si>
  <si>
    <t>6930955</t>
  </si>
  <si>
    <t>6941560</t>
  </si>
  <si>
    <t>6946865</t>
  </si>
  <si>
    <t>SOUTH RIPLEY COMMUNITY SCHOOL CORP</t>
  </si>
  <si>
    <t>6946895</t>
  </si>
  <si>
    <t>6946900</t>
  </si>
  <si>
    <t>6946910</t>
  </si>
  <si>
    <t>6950199</t>
  </si>
  <si>
    <t>6950200</t>
  </si>
  <si>
    <t>6961006</t>
  </si>
  <si>
    <t>7010000</t>
  </si>
  <si>
    <t>7020001</t>
  </si>
  <si>
    <t>7020002</t>
  </si>
  <si>
    <t>7020003</t>
  </si>
  <si>
    <t>7020004</t>
  </si>
  <si>
    <t>7020005</t>
  </si>
  <si>
    <t>7020006</t>
  </si>
  <si>
    <t>7020007</t>
  </si>
  <si>
    <t>7020008</t>
  </si>
  <si>
    <t>7020009</t>
  </si>
  <si>
    <t>7020010</t>
  </si>
  <si>
    <t>7020011</t>
  </si>
  <si>
    <t>7020012</t>
  </si>
  <si>
    <t>7030420</t>
  </si>
  <si>
    <t>7030859</t>
  </si>
  <si>
    <t>7030860</t>
  </si>
  <si>
    <t>7043455</t>
  </si>
  <si>
    <t>6995</t>
  </si>
  <si>
    <t>7046995</t>
  </si>
  <si>
    <t>RUSH COUNTY SCHOOL CORPORATION</t>
  </si>
  <si>
    <t>7050201</t>
  </si>
  <si>
    <t>7050202</t>
  </si>
  <si>
    <t>1183</t>
  </si>
  <si>
    <t>7061183</t>
  </si>
  <si>
    <t>RUSH COUNTY SOLID WASTE DISTRICT</t>
  </si>
  <si>
    <t>7070034</t>
  </si>
  <si>
    <t>7110000</t>
  </si>
  <si>
    <t>7120001</t>
  </si>
  <si>
    <t>7120002</t>
  </si>
  <si>
    <t>7120003</t>
  </si>
  <si>
    <t>7120004</t>
  </si>
  <si>
    <t>7120005</t>
  </si>
  <si>
    <t>7120006</t>
  </si>
  <si>
    <t>7120007</t>
  </si>
  <si>
    <t>7120008</t>
  </si>
  <si>
    <t>7120009</t>
  </si>
  <si>
    <t>7120010</t>
  </si>
  <si>
    <t>7120011</t>
  </si>
  <si>
    <t>7120012</t>
  </si>
  <si>
    <t>7120013</t>
  </si>
  <si>
    <t>7130103</t>
  </si>
  <si>
    <t>7130117</t>
  </si>
  <si>
    <t>7130861</t>
  </si>
  <si>
    <t>7130862</t>
  </si>
  <si>
    <t>7130863</t>
  </si>
  <si>
    <t>7130864</t>
  </si>
  <si>
    <t>7130865</t>
  </si>
  <si>
    <t>7130866</t>
  </si>
  <si>
    <t>7130867</t>
  </si>
  <si>
    <t>7144805</t>
  </si>
  <si>
    <t>7147150</t>
  </si>
  <si>
    <t>7147175</t>
  </si>
  <si>
    <t>7147200</t>
  </si>
  <si>
    <t>7147205</t>
  </si>
  <si>
    <t>7147215</t>
  </si>
  <si>
    <t>7150203</t>
  </si>
  <si>
    <t>7150204</t>
  </si>
  <si>
    <t>7150205</t>
  </si>
  <si>
    <t>0206</t>
  </si>
  <si>
    <t>7150206</t>
  </si>
  <si>
    <t>7160665</t>
  </si>
  <si>
    <t>7160866</t>
  </si>
  <si>
    <t>7160867</t>
  </si>
  <si>
    <t>1008</t>
  </si>
  <si>
    <t>7161008</t>
  </si>
  <si>
    <t>ST. JOSEPH SOLID WASTE MANAGEMENT</t>
  </si>
  <si>
    <t>7210000</t>
  </si>
  <si>
    <t>7220001</t>
  </si>
  <si>
    <t>7220002</t>
  </si>
  <si>
    <t>7220003</t>
  </si>
  <si>
    <t>7220004</t>
  </si>
  <si>
    <t>7220005</t>
  </si>
  <si>
    <t>7230435</t>
  </si>
  <si>
    <t>7230868</t>
  </si>
  <si>
    <t>AUSTIN CIVIL CITY</t>
  </si>
  <si>
    <t>7247230</t>
  </si>
  <si>
    <t>SCOTT COUNTY DISTRICT NO. 1 SCHOOL CORP</t>
  </si>
  <si>
    <t>7255</t>
  </si>
  <si>
    <t>7247255</t>
  </si>
  <si>
    <t>SCOTT COUNTY DISTRICT NO. 2 SCHOOL CORP</t>
  </si>
  <si>
    <t>0207</t>
  </si>
  <si>
    <t>7250207</t>
  </si>
  <si>
    <t>7261006</t>
  </si>
  <si>
    <t>7270035</t>
  </si>
  <si>
    <t>7310000</t>
  </si>
  <si>
    <t>7320001</t>
  </si>
  <si>
    <t>7320002</t>
  </si>
  <si>
    <t>7320003</t>
  </si>
  <si>
    <t>7320004</t>
  </si>
  <si>
    <t>7320005</t>
  </si>
  <si>
    <t>7320006</t>
  </si>
  <si>
    <t>7320007</t>
  </si>
  <si>
    <t>7320008</t>
  </si>
  <si>
    <t>7320009</t>
  </si>
  <si>
    <t>7320010</t>
  </si>
  <si>
    <t>7320011</t>
  </si>
  <si>
    <t>7320012</t>
  </si>
  <si>
    <t>7320013</t>
  </si>
  <si>
    <t>7320014</t>
  </si>
  <si>
    <t>7330308</t>
  </si>
  <si>
    <t>7330583</t>
  </si>
  <si>
    <t>7330703</t>
  </si>
  <si>
    <t>7330869</t>
  </si>
  <si>
    <t>7330972</t>
  </si>
  <si>
    <t>FAIRLAND CIVIL TOWN</t>
  </si>
  <si>
    <t>7341655</t>
  </si>
  <si>
    <t>7347285</t>
  </si>
  <si>
    <t>7347350</t>
  </si>
  <si>
    <t>NORTHWESTERN CONSOLIDATED SCHOOL CORP</t>
  </si>
  <si>
    <t>7360</t>
  </si>
  <si>
    <t>7347360</t>
  </si>
  <si>
    <t>7347365</t>
  </si>
  <si>
    <t>0208</t>
  </si>
  <si>
    <t>7350208</t>
  </si>
  <si>
    <t>SHELBY COUNTY PUBLIC LIBRARY</t>
  </si>
  <si>
    <t>7361013</t>
  </si>
  <si>
    <t>7370036</t>
  </si>
  <si>
    <t>WALDRON CONSERVANCY DISTRICT</t>
  </si>
  <si>
    <t>7410000</t>
  </si>
  <si>
    <t>7420001</t>
  </si>
  <si>
    <t>7420002</t>
  </si>
  <si>
    <t>7420003</t>
  </si>
  <si>
    <t>7420004</t>
  </si>
  <si>
    <t>7420005</t>
  </si>
  <si>
    <t>7420006</t>
  </si>
  <si>
    <t>7420007</t>
  </si>
  <si>
    <t>7420008</t>
  </si>
  <si>
    <t>7420009</t>
  </si>
  <si>
    <t>7430458</t>
  </si>
  <si>
    <t>7430870</t>
  </si>
  <si>
    <t>7430871</t>
  </si>
  <si>
    <t>7430872</t>
  </si>
  <si>
    <t>7430873</t>
  </si>
  <si>
    <t>7430874</t>
  </si>
  <si>
    <t>7430973</t>
  </si>
  <si>
    <t>RICHLAND CIVIL TOWN</t>
  </si>
  <si>
    <t>7447385</t>
  </si>
  <si>
    <t>7447445</t>
  </si>
  <si>
    <t>0294</t>
  </si>
  <si>
    <t>7450294</t>
  </si>
  <si>
    <t>7450301</t>
  </si>
  <si>
    <t>LINCOLN HERITAGE PUBLIC LIBRARY</t>
  </si>
  <si>
    <t>7460960</t>
  </si>
  <si>
    <t>1068</t>
  </si>
  <si>
    <t>7461068</t>
  </si>
  <si>
    <t>SPENCER COUNTY SOLID WASTE MGMT DIST</t>
  </si>
  <si>
    <t>7510000</t>
  </si>
  <si>
    <t>7520001</t>
  </si>
  <si>
    <t>7520002</t>
  </si>
  <si>
    <t>7520003</t>
  </si>
  <si>
    <t>7520004</t>
  </si>
  <si>
    <t>7520005</t>
  </si>
  <si>
    <t>7520006</t>
  </si>
  <si>
    <t>7520007</t>
  </si>
  <si>
    <t>7520008</t>
  </si>
  <si>
    <t>7520009</t>
  </si>
  <si>
    <t>7530449</t>
  </si>
  <si>
    <t>7530875</t>
  </si>
  <si>
    <t>7530876</t>
  </si>
  <si>
    <t>7545455</t>
  </si>
  <si>
    <t>7547495</t>
  </si>
  <si>
    <t>7547515</t>
  </si>
  <si>
    <t>7547525</t>
  </si>
  <si>
    <t>0213</t>
  </si>
  <si>
    <t>7550213</t>
  </si>
  <si>
    <t>0214</t>
  </si>
  <si>
    <t>7550214</t>
  </si>
  <si>
    <t>7560977</t>
  </si>
  <si>
    <t>1069</t>
  </si>
  <si>
    <t>7561069</t>
  </si>
  <si>
    <t>STARKE COUNTY SOLID WASTE MGMT DIST</t>
  </si>
  <si>
    <t>7570037</t>
  </si>
  <si>
    <t>BAILEY-COX-NEWTSON CONSERVANCY DISTRICT</t>
  </si>
  <si>
    <t>7570344</t>
  </si>
  <si>
    <t>7610000</t>
  </si>
  <si>
    <t>7620001</t>
  </si>
  <si>
    <t>7620002</t>
  </si>
  <si>
    <t>7620003</t>
  </si>
  <si>
    <t>7620004</t>
  </si>
  <si>
    <t>7620005</t>
  </si>
  <si>
    <t>7620006</t>
  </si>
  <si>
    <t>7620007</t>
  </si>
  <si>
    <t>7620008</t>
  </si>
  <si>
    <t>7620009</t>
  </si>
  <si>
    <t>7620010</t>
  </si>
  <si>
    <t>7620011</t>
  </si>
  <si>
    <t>7620012</t>
  </si>
  <si>
    <t>7630429</t>
  </si>
  <si>
    <t>7630586</t>
  </si>
  <si>
    <t>7630877</t>
  </si>
  <si>
    <t>CLEAR LAKE CIVIL TOWN</t>
  </si>
  <si>
    <t>7630878</t>
  </si>
  <si>
    <t>7630879</t>
  </si>
  <si>
    <t>7630880</t>
  </si>
  <si>
    <t>7630881</t>
  </si>
  <si>
    <t>7641835</t>
  </si>
  <si>
    <t>7644515</t>
  </si>
  <si>
    <t>7647605</t>
  </si>
  <si>
    <t>7647610</t>
  </si>
  <si>
    <t>7647615</t>
  </si>
  <si>
    <t>0215</t>
  </si>
  <si>
    <t>7650215</t>
  </si>
  <si>
    <t>CARNEGIE PUB LIB OF STEUBEN COUNTY</t>
  </si>
  <si>
    <t>7650216</t>
  </si>
  <si>
    <t>7660994</t>
  </si>
  <si>
    <t>7710000</t>
  </si>
  <si>
    <t>7720001</t>
  </si>
  <si>
    <t>7720002</t>
  </si>
  <si>
    <t>7720003</t>
  </si>
  <si>
    <t>7720004</t>
  </si>
  <si>
    <t>7720005</t>
  </si>
  <si>
    <t>7720006</t>
  </si>
  <si>
    <t>7720007</t>
  </si>
  <si>
    <t>7720008</t>
  </si>
  <si>
    <t>7720009</t>
  </si>
  <si>
    <t>7730438</t>
  </si>
  <si>
    <t>7730882</t>
  </si>
  <si>
    <t>7730883</t>
  </si>
  <si>
    <t>7730884</t>
  </si>
  <si>
    <t>7730885</t>
  </si>
  <si>
    <t>7730886</t>
  </si>
  <si>
    <t>7730887</t>
  </si>
  <si>
    <t>7747645</t>
  </si>
  <si>
    <t>7747715</t>
  </si>
  <si>
    <t>0217</t>
  </si>
  <si>
    <t>7750217</t>
  </si>
  <si>
    <t>1070</t>
  </si>
  <si>
    <t>7761070</t>
  </si>
  <si>
    <t>SULLIVAN COUNTY SOLID WASTE MGMT DIST</t>
  </si>
  <si>
    <t>7770038</t>
  </si>
  <si>
    <t>ISLAND LEVEE CONSERVANCY DISTRICT</t>
  </si>
  <si>
    <t>7770039</t>
  </si>
  <si>
    <t>7810000</t>
  </si>
  <si>
    <t>7820001</t>
  </si>
  <si>
    <t>7820002</t>
  </si>
  <si>
    <t>7820003</t>
  </si>
  <si>
    <t>7820004</t>
  </si>
  <si>
    <t>7820005</t>
  </si>
  <si>
    <t>7820006</t>
  </si>
  <si>
    <t>7830888</t>
  </si>
  <si>
    <t>7830889</t>
  </si>
  <si>
    <t>7847775</t>
  </si>
  <si>
    <t>0218</t>
  </si>
  <si>
    <t>7850218</t>
  </si>
  <si>
    <t>7861006</t>
  </si>
  <si>
    <t>7910000</t>
  </si>
  <si>
    <t>7920001</t>
  </si>
  <si>
    <t>7920002</t>
  </si>
  <si>
    <t>7920003</t>
  </si>
  <si>
    <t>7920004</t>
  </si>
  <si>
    <t>7920005</t>
  </si>
  <si>
    <t>7920006</t>
  </si>
  <si>
    <t>7920007</t>
  </si>
  <si>
    <t>7920008</t>
  </si>
  <si>
    <t>7920009</t>
  </si>
  <si>
    <t>7920010</t>
  </si>
  <si>
    <t>7920011</t>
  </si>
  <si>
    <t>7920012</t>
  </si>
  <si>
    <t>7920013</t>
  </si>
  <si>
    <t>7930109</t>
  </si>
  <si>
    <t>7930302</t>
  </si>
  <si>
    <t>7930534</t>
  </si>
  <si>
    <t>7930890</t>
  </si>
  <si>
    <t>7930891</t>
  </si>
  <si>
    <t>7930957</t>
  </si>
  <si>
    <t>7930964</t>
  </si>
  <si>
    <t>7940395</t>
  </si>
  <si>
    <t>7947855</t>
  </si>
  <si>
    <t>7947865</t>
  </si>
  <si>
    <t>7947875</t>
  </si>
  <si>
    <t>WEST LAFAYETTE COMMUNITY SCHOOL CORP</t>
  </si>
  <si>
    <t>7950009</t>
  </si>
  <si>
    <t>0221</t>
  </si>
  <si>
    <t>7950221</t>
  </si>
  <si>
    <t>0280</t>
  </si>
  <si>
    <t>7950280</t>
  </si>
  <si>
    <t>0330</t>
  </si>
  <si>
    <t>7960330</t>
  </si>
  <si>
    <t>TIPPECANOE COUNTY SOLID WASTE MGMT DIST</t>
  </si>
  <si>
    <t>7960868</t>
  </si>
  <si>
    <t>7961188</t>
  </si>
  <si>
    <t>7970040</t>
  </si>
  <si>
    <t>BATTLE GROUND CONSERVANCY DISTRICT</t>
  </si>
  <si>
    <t>7970041</t>
  </si>
  <si>
    <t>LITTLE WEA CONSERVANCY DISTRICT</t>
  </si>
  <si>
    <t>8010000</t>
  </si>
  <si>
    <t>8020001</t>
  </si>
  <si>
    <t>8020002</t>
  </si>
  <si>
    <t>8020003</t>
  </si>
  <si>
    <t>8020004</t>
  </si>
  <si>
    <t>8020005</t>
  </si>
  <si>
    <t>8020006</t>
  </si>
  <si>
    <t>8030320</t>
  </si>
  <si>
    <t>8030428</t>
  </si>
  <si>
    <t>8030892</t>
  </si>
  <si>
    <t>8030893</t>
  </si>
  <si>
    <t>8030894</t>
  </si>
  <si>
    <t>7935</t>
  </si>
  <si>
    <t>8047935</t>
  </si>
  <si>
    <t>TRI-CENTRAL COMMUNITY SCHOOLS</t>
  </si>
  <si>
    <t>8047945</t>
  </si>
  <si>
    <t>0222</t>
  </si>
  <si>
    <t>8050222</t>
  </si>
  <si>
    <t>8061037</t>
  </si>
  <si>
    <t>8110000</t>
  </si>
  <si>
    <t>8120001</t>
  </si>
  <si>
    <t>8120002</t>
  </si>
  <si>
    <t>8120003</t>
  </si>
  <si>
    <t>8120004</t>
  </si>
  <si>
    <t>8120005</t>
  </si>
  <si>
    <t>8120006</t>
  </si>
  <si>
    <t>8130895</t>
  </si>
  <si>
    <t>8130896</t>
  </si>
  <si>
    <t>8147950</t>
  </si>
  <si>
    <t>0223</t>
  </si>
  <si>
    <t>8150223</t>
  </si>
  <si>
    <t>1074</t>
  </si>
  <si>
    <t>8161074</t>
  </si>
  <si>
    <t>8210000</t>
  </si>
  <si>
    <t>8220001</t>
  </si>
  <si>
    <t>8220002</t>
  </si>
  <si>
    <t>8220003</t>
  </si>
  <si>
    <t>8220004</t>
  </si>
  <si>
    <t>8220005</t>
  </si>
  <si>
    <t>8220006</t>
  </si>
  <si>
    <t>8220007</t>
  </si>
  <si>
    <t>8220008</t>
  </si>
  <si>
    <t>8230102</t>
  </si>
  <si>
    <t>8230958</t>
  </si>
  <si>
    <t>8247995</t>
  </si>
  <si>
    <t>EVANSVILLE-VANDERBURGH SCHOOL CORP</t>
  </si>
  <si>
    <t>0265</t>
  </si>
  <si>
    <t>8250265</t>
  </si>
  <si>
    <t>1072</t>
  </si>
  <si>
    <t>8261072</t>
  </si>
  <si>
    <t>VANDERBURGH COUNTY SOLID WASTE MGMT DIST</t>
  </si>
  <si>
    <t>1102</t>
  </si>
  <si>
    <t>8261102</t>
  </si>
  <si>
    <t>EVANSVILLE LEVEE AUTHORITY</t>
  </si>
  <si>
    <t>1190</t>
  </si>
  <si>
    <t>8261190</t>
  </si>
  <si>
    <t>EVANSVILLE-VANDERBURGH AIRPORT AUTHORITY</t>
  </si>
  <si>
    <t>8310000</t>
  </si>
  <si>
    <t>8320001</t>
  </si>
  <si>
    <t>8320002</t>
  </si>
  <si>
    <t>8320003</t>
  </si>
  <si>
    <t>8320004</t>
  </si>
  <si>
    <t>8320005</t>
  </si>
  <si>
    <t>8330427</t>
  </si>
  <si>
    <t>8330897</t>
  </si>
  <si>
    <t>8330898</t>
  </si>
  <si>
    <t>8330899</t>
  </si>
  <si>
    <t>8330900</t>
  </si>
  <si>
    <t>8330901</t>
  </si>
  <si>
    <t>8330902</t>
  </si>
  <si>
    <t>8348010</t>
  </si>
  <si>
    <t>NORTH VERMILLION COMMUNITY SCHOOL CORP</t>
  </si>
  <si>
    <t>8348020</t>
  </si>
  <si>
    <t>SOUTH VERMILLION COMMUNITY SCHOOL CORP</t>
  </si>
  <si>
    <t>8350227</t>
  </si>
  <si>
    <t>0228</t>
  </si>
  <si>
    <t>8350228</t>
  </si>
  <si>
    <t>1073</t>
  </si>
  <si>
    <t>8361073</t>
  </si>
  <si>
    <t>8410000</t>
  </si>
  <si>
    <t>8420001</t>
  </si>
  <si>
    <t>8420002</t>
  </si>
  <si>
    <t>8420003</t>
  </si>
  <si>
    <t>8420004</t>
  </si>
  <si>
    <t>8420005</t>
  </si>
  <si>
    <t>8420006</t>
  </si>
  <si>
    <t>8420007</t>
  </si>
  <si>
    <t>8420008</t>
  </si>
  <si>
    <t>8420009</t>
  </si>
  <si>
    <t>8420010</t>
  </si>
  <si>
    <t>8420011</t>
  </si>
  <si>
    <t>8420012</t>
  </si>
  <si>
    <t>8430106</t>
  </si>
  <si>
    <t>8430903</t>
  </si>
  <si>
    <t>8430904</t>
  </si>
  <si>
    <t>8430905</t>
  </si>
  <si>
    <t>8448030</t>
  </si>
  <si>
    <t>0229</t>
  </si>
  <si>
    <t>8450229</t>
  </si>
  <si>
    <t>0334</t>
  </si>
  <si>
    <t>8460334</t>
  </si>
  <si>
    <t>VIGO COUNTY SOLID WASTE MANAGEMENT DIST</t>
  </si>
  <si>
    <t>8460871</t>
  </si>
  <si>
    <t>8460872</t>
  </si>
  <si>
    <t>TERRE HAUTE INTERNATIONAL AIRPORT</t>
  </si>
  <si>
    <t>8460958</t>
  </si>
  <si>
    <t>8460970</t>
  </si>
  <si>
    <t>NEW GOSHEN FIRE PROTECTION DISTRICT</t>
  </si>
  <si>
    <t>0981</t>
  </si>
  <si>
    <t>8460981</t>
  </si>
  <si>
    <t>1005</t>
  </si>
  <si>
    <t>8461005</t>
  </si>
  <si>
    <t>1023</t>
  </si>
  <si>
    <t>8461023</t>
  </si>
  <si>
    <t>8461086</t>
  </si>
  <si>
    <t>8470039</t>
  </si>
  <si>
    <t>8470042</t>
  </si>
  <si>
    <t>PRAIRIE CREEK-VIGO CONSERVANCY</t>
  </si>
  <si>
    <t>8470049</t>
  </si>
  <si>
    <t>HONEY CREEK-VIGO CONSERVANCY</t>
  </si>
  <si>
    <t>8470104</t>
  </si>
  <si>
    <t>WEST VIGO LEVEE ASSOCIATION CONSERVANCY</t>
  </si>
  <si>
    <t>0332</t>
  </si>
  <si>
    <t>8470332</t>
  </si>
  <si>
    <t>MOVEOVER LAKE CONSERVANCY DISTRICT</t>
  </si>
  <si>
    <t>8470847</t>
  </si>
  <si>
    <t>GREENFIELD BAYOU LEVEE &amp; DITCH CONS DIST</t>
  </si>
  <si>
    <t>8510000</t>
  </si>
  <si>
    <t>8520001</t>
  </si>
  <si>
    <t>8520002</t>
  </si>
  <si>
    <t>8520003</t>
  </si>
  <si>
    <t>8520004</t>
  </si>
  <si>
    <t>8520005</t>
  </si>
  <si>
    <t>8520006</t>
  </si>
  <si>
    <t>8520007</t>
  </si>
  <si>
    <t>8530313</t>
  </si>
  <si>
    <t>8530511</t>
  </si>
  <si>
    <t>8530906</t>
  </si>
  <si>
    <t>8530907</t>
  </si>
  <si>
    <t>8530908</t>
  </si>
  <si>
    <t>8548045</t>
  </si>
  <si>
    <t>8548050</t>
  </si>
  <si>
    <t>8548060</t>
  </si>
  <si>
    <t>0230</t>
  </si>
  <si>
    <t>8550230</t>
  </si>
  <si>
    <t>8550231</t>
  </si>
  <si>
    <t>8550232</t>
  </si>
  <si>
    <t>1075</t>
  </si>
  <si>
    <t>8561075</t>
  </si>
  <si>
    <t>WABASH COUNTY SOLID WASTE MGMT DIST</t>
  </si>
  <si>
    <t>8610000</t>
  </si>
  <si>
    <t>8620001</t>
  </si>
  <si>
    <t>8620002</t>
  </si>
  <si>
    <t>8620003</t>
  </si>
  <si>
    <t>8620004</t>
  </si>
  <si>
    <t>8620005</t>
  </si>
  <si>
    <t>8620006</t>
  </si>
  <si>
    <t>8620007</t>
  </si>
  <si>
    <t>8620008</t>
  </si>
  <si>
    <t>8620009</t>
  </si>
  <si>
    <t>8620010</t>
  </si>
  <si>
    <t>8620011</t>
  </si>
  <si>
    <t>8620012</t>
  </si>
  <si>
    <t>8630909</t>
  </si>
  <si>
    <t>8630910</t>
  </si>
  <si>
    <t>8630911</t>
  </si>
  <si>
    <t>8630912</t>
  </si>
  <si>
    <t>8640395</t>
  </si>
  <si>
    <t>8642440</t>
  </si>
  <si>
    <t>8648115</t>
  </si>
  <si>
    <t>M.S.D. WARREN COUNTY SCHOOL CORP</t>
  </si>
  <si>
    <t>0233</t>
  </si>
  <si>
    <t>8650233</t>
  </si>
  <si>
    <t>0234</t>
  </si>
  <si>
    <t>8650234</t>
  </si>
  <si>
    <t>8661033</t>
  </si>
  <si>
    <t>8661188</t>
  </si>
  <si>
    <t>8670043</t>
  </si>
  <si>
    <t>JORDAN CREEK CONSERVANCY</t>
  </si>
  <si>
    <t>8670044</t>
  </si>
  <si>
    <t>KICKAPOO CREEK CONSERVANCY DISTRICT</t>
  </si>
  <si>
    <t>8710000</t>
  </si>
  <si>
    <t>8720001</t>
  </si>
  <si>
    <t>8720002</t>
  </si>
  <si>
    <t>8720003</t>
  </si>
  <si>
    <t>8720004</t>
  </si>
  <si>
    <t>8720005</t>
  </si>
  <si>
    <t>8720006</t>
  </si>
  <si>
    <t>8720007</t>
  </si>
  <si>
    <t>8720008</t>
  </si>
  <si>
    <t>8720009</t>
  </si>
  <si>
    <t>8720010</t>
  </si>
  <si>
    <t>8730001</t>
  </si>
  <si>
    <t>VICTORIA WOODS CIVIL TOWN</t>
  </si>
  <si>
    <t>8730423</t>
  </si>
  <si>
    <t>8730913</t>
  </si>
  <si>
    <t>8730914</t>
  </si>
  <si>
    <t>8730915</t>
  </si>
  <si>
    <t>8730916</t>
  </si>
  <si>
    <t>8730917</t>
  </si>
  <si>
    <t>8748130</t>
  </si>
  <si>
    <t>8750235</t>
  </si>
  <si>
    <t>NEWBURGH CHANDLER PUBLIC LIBRARY</t>
  </si>
  <si>
    <t>0236</t>
  </si>
  <si>
    <t>8750236</t>
  </si>
  <si>
    <t>1032</t>
  </si>
  <si>
    <t>8761032</t>
  </si>
  <si>
    <t>8810000</t>
  </si>
  <si>
    <t>8820001</t>
  </si>
  <si>
    <t>8820002</t>
  </si>
  <si>
    <t>8820003</t>
  </si>
  <si>
    <t>8820004</t>
  </si>
  <si>
    <t>8820005</t>
  </si>
  <si>
    <t>8820006</t>
  </si>
  <si>
    <t>8820007</t>
  </si>
  <si>
    <t>8820008</t>
  </si>
  <si>
    <t>8820009</t>
  </si>
  <si>
    <t>8820010</t>
  </si>
  <si>
    <t>8820011</t>
  </si>
  <si>
    <t>8820012</t>
  </si>
  <si>
    <t>8820013</t>
  </si>
  <si>
    <t>8830431</t>
  </si>
  <si>
    <t>8830918</t>
  </si>
  <si>
    <t>8830921</t>
  </si>
  <si>
    <t>8830922</t>
  </si>
  <si>
    <t>8830923</t>
  </si>
  <si>
    <t>8830924</t>
  </si>
  <si>
    <t>8848205</t>
  </si>
  <si>
    <t>8848215</t>
  </si>
  <si>
    <t>8848220</t>
  </si>
  <si>
    <t>8850237</t>
  </si>
  <si>
    <t>1025</t>
  </si>
  <si>
    <t>8861025</t>
  </si>
  <si>
    <t>1026</t>
  </si>
  <si>
    <t>8861026</t>
  </si>
  <si>
    <t>8861083</t>
  </si>
  <si>
    <t>8870045</t>
  </si>
  <si>
    <t>DELANEY CREEK CONSERVANCY</t>
  </si>
  <si>
    <t>8870046</t>
  </si>
  <si>
    <t>TWIN RUSH CREEK CONSERVANCY DISTRICT</t>
  </si>
  <si>
    <t>8870047</t>
  </si>
  <si>
    <t>ELK CREEK CONSERVANCY DISTRICT</t>
  </si>
  <si>
    <t>8870056</t>
  </si>
  <si>
    <t>8910000</t>
  </si>
  <si>
    <t>8920001</t>
  </si>
  <si>
    <t>8920002</t>
  </si>
  <si>
    <t>8920003</t>
  </si>
  <si>
    <t>8920004</t>
  </si>
  <si>
    <t>8920005</t>
  </si>
  <si>
    <t>8920006</t>
  </si>
  <si>
    <t>8920007</t>
  </si>
  <si>
    <t>8920008</t>
  </si>
  <si>
    <t>8920009</t>
  </si>
  <si>
    <t>8920010</t>
  </si>
  <si>
    <t>8920011</t>
  </si>
  <si>
    <t>8920012</t>
  </si>
  <si>
    <t>8920013</t>
  </si>
  <si>
    <t>8920014</t>
  </si>
  <si>
    <t>8920015</t>
  </si>
  <si>
    <t>8930111</t>
  </si>
  <si>
    <t>8930925</t>
  </si>
  <si>
    <t>8930926</t>
  </si>
  <si>
    <t>8930927</t>
  </si>
  <si>
    <t>8930928</t>
  </si>
  <si>
    <t>8930929</t>
  </si>
  <si>
    <t>8930930</t>
  </si>
  <si>
    <t>8930931</t>
  </si>
  <si>
    <t>8930932</t>
  </si>
  <si>
    <t>8930933</t>
  </si>
  <si>
    <t>8930934</t>
  </si>
  <si>
    <t>8930935</t>
  </si>
  <si>
    <t>8930936</t>
  </si>
  <si>
    <t>8930937</t>
  </si>
  <si>
    <t>8948305</t>
  </si>
  <si>
    <t>8948355</t>
  </si>
  <si>
    <t>8948360</t>
  </si>
  <si>
    <t>CENTERVILLE-ABINGTON COMM SCHOOL CORP</t>
  </si>
  <si>
    <t>8948375</t>
  </si>
  <si>
    <t>8948385</t>
  </si>
  <si>
    <t>0238</t>
  </si>
  <si>
    <t>8950238</t>
  </si>
  <si>
    <t>0239</t>
  </si>
  <si>
    <t>8950239</t>
  </si>
  <si>
    <t>8950240</t>
  </si>
  <si>
    <t>8950241</t>
  </si>
  <si>
    <t>0242</t>
  </si>
  <si>
    <t>8950242</t>
  </si>
  <si>
    <t>0243</t>
  </si>
  <si>
    <t>8950243</t>
  </si>
  <si>
    <t>8960909</t>
  </si>
  <si>
    <t>8961074</t>
  </si>
  <si>
    <t>9010000</t>
  </si>
  <si>
    <t>9020001</t>
  </si>
  <si>
    <t>9020002</t>
  </si>
  <si>
    <t>9020003</t>
  </si>
  <si>
    <t>9020004</t>
  </si>
  <si>
    <t>9020005</t>
  </si>
  <si>
    <t>9020006</t>
  </si>
  <si>
    <t>9020007</t>
  </si>
  <si>
    <t>9020008</t>
  </si>
  <si>
    <t>9020009</t>
  </si>
  <si>
    <t>9030408</t>
  </si>
  <si>
    <t>9030476</t>
  </si>
  <si>
    <t>9030684</t>
  </si>
  <si>
    <t>9030938</t>
  </si>
  <si>
    <t>9030939</t>
  </si>
  <si>
    <t>9030940</t>
  </si>
  <si>
    <t>9030941</t>
  </si>
  <si>
    <t>9048425</t>
  </si>
  <si>
    <t>SOUTHERN WELLS COMMUNITY SCHOOL CORP</t>
  </si>
  <si>
    <t>8435</t>
  </si>
  <si>
    <t>9048435</t>
  </si>
  <si>
    <t>NORWELL COMMUNITY SCHOOLS</t>
  </si>
  <si>
    <t>9048445</t>
  </si>
  <si>
    <t>M.S.D. BLUFFTON-HARRISON SCHOOL CORP</t>
  </si>
  <si>
    <t>0244</t>
  </si>
  <si>
    <t>9050244</t>
  </si>
  <si>
    <t>9050302</t>
  </si>
  <si>
    <t>1091</t>
  </si>
  <si>
    <t>9061091</t>
  </si>
  <si>
    <t>WELLS COUNTY SOLID WASTE DISTRICT</t>
  </si>
  <si>
    <t>9070048</t>
  </si>
  <si>
    <t>9110000</t>
  </si>
  <si>
    <t>9120001</t>
  </si>
  <si>
    <t>9120002</t>
  </si>
  <si>
    <t>9120003</t>
  </si>
  <si>
    <t>9120004</t>
  </si>
  <si>
    <t>9120005</t>
  </si>
  <si>
    <t>9120006</t>
  </si>
  <si>
    <t>9120007</t>
  </si>
  <si>
    <t>9120008</t>
  </si>
  <si>
    <t>9120009</t>
  </si>
  <si>
    <t>9120010</t>
  </si>
  <si>
    <t>9120011</t>
  </si>
  <si>
    <t>9120012</t>
  </si>
  <si>
    <t>9130433</t>
  </si>
  <si>
    <t>9130942</t>
  </si>
  <si>
    <t>9130943</t>
  </si>
  <si>
    <t>9130944</t>
  </si>
  <si>
    <t>9130945</t>
  </si>
  <si>
    <t>9130946</t>
  </si>
  <si>
    <t>9130947</t>
  </si>
  <si>
    <t>9140775</t>
  </si>
  <si>
    <t>9148515</t>
  </si>
  <si>
    <t>9148525</t>
  </si>
  <si>
    <t>9148535</t>
  </si>
  <si>
    <t>9148565</t>
  </si>
  <si>
    <t>9150245</t>
  </si>
  <si>
    <t>9150246</t>
  </si>
  <si>
    <t>9150247</t>
  </si>
  <si>
    <t>9150248</t>
  </si>
  <si>
    <t>9161062</t>
  </si>
  <si>
    <t>9161188</t>
  </si>
  <si>
    <t>9210000</t>
  </si>
  <si>
    <t>9220001</t>
  </si>
  <si>
    <t>9220002</t>
  </si>
  <si>
    <t>9220003</t>
  </si>
  <si>
    <t>9220004</t>
  </si>
  <si>
    <t>9220005</t>
  </si>
  <si>
    <t>9220006</t>
  </si>
  <si>
    <t>9220007</t>
  </si>
  <si>
    <t>9220008</t>
  </si>
  <si>
    <t>9220009</t>
  </si>
  <si>
    <t>9230432</t>
  </si>
  <si>
    <t>9230948</t>
  </si>
  <si>
    <t>9230949</t>
  </si>
  <si>
    <t>9230950</t>
  </si>
  <si>
    <t>9244455</t>
  </si>
  <si>
    <t>9248625</t>
  </si>
  <si>
    <t>9248665</t>
  </si>
  <si>
    <t>WHITLEY COUNTY CONSOLIDATED SCHOOL CORP</t>
  </si>
  <si>
    <t>9250249</t>
  </si>
  <si>
    <t>9250250</t>
  </si>
  <si>
    <t>0251</t>
  </si>
  <si>
    <t>9250251</t>
  </si>
  <si>
    <t>SOUTH WHITLEY COMMUNITY PUBLIC LIBRARY</t>
  </si>
  <si>
    <t>1078</t>
  </si>
  <si>
    <t>9261078</t>
  </si>
  <si>
    <t>WHITLEY COUNTY SOLID WASTE MGMT DIST</t>
  </si>
  <si>
    <t>XXXX</t>
  </si>
  <si>
    <t>RESEARCH</t>
  </si>
  <si>
    <t>No Rate - Remove</t>
  </si>
  <si>
    <t>NOTES</t>
  </si>
  <si>
    <t>xxxx</t>
  </si>
  <si>
    <t>fold into Marion Library</t>
  </si>
  <si>
    <t>Fold into Indy (Solid)</t>
  </si>
  <si>
    <t>0</t>
  </si>
  <si>
    <t>ADAMS COUNTY STATE PORTION</t>
  </si>
  <si>
    <t>ALLEN COUNTY STATE PORTION</t>
  </si>
  <si>
    <t>BARTHOLOMEW COUNTY STATE PORTION</t>
  </si>
  <si>
    <t>BENTON COUNTY STATE PORTION</t>
  </si>
  <si>
    <t>BLACKFORD COUNTY STATE PORTION</t>
  </si>
  <si>
    <t>BOONE COUNTY STATE PORTION</t>
  </si>
  <si>
    <t>BROWN COUNTY STATE PORTION</t>
  </si>
  <si>
    <t>CARROLL COUNTY STATE PORTION</t>
  </si>
  <si>
    <t>CASS COUNTY STATE PORTION</t>
  </si>
  <si>
    <t>CLARK COUNTY STATE PORTION</t>
  </si>
  <si>
    <t>CLAY COUNTY STATE PORTION</t>
  </si>
  <si>
    <t>CLINTON COUNTY STATE PORTION</t>
  </si>
  <si>
    <t>CRAWFORD COUNTY STATE PORTION</t>
  </si>
  <si>
    <t>DAVIESS COUNTY STATE PORTION</t>
  </si>
  <si>
    <t>DEARBORN COUNTY STATE PORTION</t>
  </si>
  <si>
    <t>DECATUR COUNTY STATE PORTION</t>
  </si>
  <si>
    <t>DEKALB COUNTY STATE PORTION</t>
  </si>
  <si>
    <t>DELAWARE COUNTY STATE PORTION</t>
  </si>
  <si>
    <t>DUBOIS COUNTY STATE PORTION</t>
  </si>
  <si>
    <t>ELKHART COUNTY STATE PORTION</t>
  </si>
  <si>
    <t>FAYETTE COUNTY STATE PORTION</t>
  </si>
  <si>
    <t>FLOYD COUNTY STATE PORTION</t>
  </si>
  <si>
    <t>FOUNTAIN COUNTY STATE PORTION</t>
  </si>
  <si>
    <t>FRANKLIN COUNTY STATE PORTION</t>
  </si>
  <si>
    <t>FULTON COUNTY STATE PORTION</t>
  </si>
  <si>
    <t>GIBSON COUNTY STATE PORTION</t>
  </si>
  <si>
    <t>GRANT COUNTY STATE PORTION</t>
  </si>
  <si>
    <t>GREENE COUNTY STATE PORTION</t>
  </si>
  <si>
    <t>HAMILTON COUNTY STATE PORTION</t>
  </si>
  <si>
    <t>HANCOCK COUNTY STATE PORTION</t>
  </si>
  <si>
    <t>HARRISON COUNTY STATE PORTION</t>
  </si>
  <si>
    <t>HENDRICKS COUNTY STATE PORTION</t>
  </si>
  <si>
    <t>HENRY COUNTY STATE PORTION</t>
  </si>
  <si>
    <t>HOWARD COUNTY STATE PORTION</t>
  </si>
  <si>
    <t>HUNTINGTON COUNTY STATE PORTION</t>
  </si>
  <si>
    <t>JACKSON COUNTY STATE PORTION</t>
  </si>
  <si>
    <t>JASPER COUNTY STATE PORTION</t>
  </si>
  <si>
    <t>JAY COUNTY STATE PORTION</t>
  </si>
  <si>
    <t>JEFFERSON COUNTY STATE PORTION</t>
  </si>
  <si>
    <t>JENNINGS COUNTY STATE PORTION</t>
  </si>
  <si>
    <t>JOHNSON COUNTY STATE PORTION</t>
  </si>
  <si>
    <t>KNOX COUNTY STATE PORTION</t>
  </si>
  <si>
    <t>KOSCIUSKO COUNTY STATE PORTION</t>
  </si>
  <si>
    <t>LAGRANGE COUNTY STATE PORTION</t>
  </si>
  <si>
    <t>LAKE COUNTY STATE PORTION</t>
  </si>
  <si>
    <t>LAPORTE COUNTY STATE PORTION</t>
  </si>
  <si>
    <t>LAWRENCE COUNTY STATE PORTION</t>
  </si>
  <si>
    <t>MADISON COUNTY STATE PORTION</t>
  </si>
  <si>
    <t>MARION COUNTY STATE PORTION</t>
  </si>
  <si>
    <t>MARSHALL COUNTY STATE PORTION</t>
  </si>
  <si>
    <t>MARTIN COUNTY STATE PORTION</t>
  </si>
  <si>
    <t>MIAMI COUNTY STATE PORTION</t>
  </si>
  <si>
    <t>MONROE COUNTY STATE PORTION</t>
  </si>
  <si>
    <t>MONTGOMERY COUNTY STATE PORTION</t>
  </si>
  <si>
    <t>MORGAN COUNTY STATE PORTION</t>
  </si>
  <si>
    <t>NEWTON COUNTY STATE PORTION</t>
  </si>
  <si>
    <t>NOBLE COUNTY STATE PORTION</t>
  </si>
  <si>
    <t>OHIO COUNTY STATE PORTION</t>
  </si>
  <si>
    <t>ORANGE COUNTY STATE PORTION</t>
  </si>
  <si>
    <t>OWEN COUNTY STATE PORTION</t>
  </si>
  <si>
    <t>PARKE COUNTY STATE PORTION</t>
  </si>
  <si>
    <t>PERRY COUNTY STATE PORTION</t>
  </si>
  <si>
    <t>PIKE COUNTY STATE PORTION</t>
  </si>
  <si>
    <t>PORTER COUNTY STATE PORTION</t>
  </si>
  <si>
    <t>POSEY COUNTY STATE PORTION</t>
  </si>
  <si>
    <t>PULASKI COUNTY STATE PORTION</t>
  </si>
  <si>
    <t>PUTNAM COUNTY STATE PORTION</t>
  </si>
  <si>
    <t>RANDOLPH COUNTY STATE PORTION</t>
  </si>
  <si>
    <t>RIPLEY COUNTY STATE PORTION</t>
  </si>
  <si>
    <t>RUSH COUNTY STATE PORTION</t>
  </si>
  <si>
    <t>ST. JOSEPH COUNTY STATE PORTION</t>
  </si>
  <si>
    <t>SCOTT COUNTY STATE PORTION</t>
  </si>
  <si>
    <t>SHELBY COUNTY STATE PORTION</t>
  </si>
  <si>
    <t>SPENCER COUNTY STATE PORTION</t>
  </si>
  <si>
    <t>STARKE COUNTY STATE PORTION</t>
  </si>
  <si>
    <t>STEUBEN COUNTY STATE PORTION</t>
  </si>
  <si>
    <t>SULLIVAN COUNTY STATE PORTION</t>
  </si>
  <si>
    <t>SWITZERLAND COUNTY STATE PORTION</t>
  </si>
  <si>
    <t>TIPPECANOE COUNTY STATE PORTION</t>
  </si>
  <si>
    <t>TIPTON COUNTY STATE PORTION</t>
  </si>
  <si>
    <t>UNION COUNTY STATE PORTION</t>
  </si>
  <si>
    <t>VANDERBURGH COUNTY STATE PORTION</t>
  </si>
  <si>
    <t>VERMILLION COUNTY STATE PORTION</t>
  </si>
  <si>
    <t>VIGO COUNTY STATE PORTION</t>
  </si>
  <si>
    <t>WABASH COUNTY STATE PORTION</t>
  </si>
  <si>
    <t>WARREN COUNTY STATE PORTION</t>
  </si>
  <si>
    <t>WARRICK COUNTY STATE PORTION</t>
  </si>
  <si>
    <t>WASHINGTON COUNTY STATE PORTION</t>
  </si>
  <si>
    <t>WAYNE COUNTY STATE PORTION</t>
  </si>
  <si>
    <t>WELLS COUNTY STATE PORTION</t>
  </si>
  <si>
    <t>WHITE COUNTY STATE PORTION</t>
  </si>
  <si>
    <t>WHITLEY COUNTY STATE PORTION</t>
  </si>
  <si>
    <t>2009 SCHOOL 
ALLOCATION FACTOR
(Fixed Figure)</t>
  </si>
  <si>
    <t>2009 WELFARE 
ALLOCATION FACTOR
(Fixed Figure)</t>
  </si>
  <si>
    <t>Note</t>
  </si>
  <si>
    <t>TAXING UNIT 
PERCENTAGES</t>
  </si>
  <si>
    <t>MOD
ADJUSTED</t>
  </si>
  <si>
    <t>ADJUSTED</t>
  </si>
  <si>
    <t>0178</t>
  </si>
  <si>
    <t>0179</t>
  </si>
  <si>
    <t>6300</t>
  </si>
  <si>
    <t>6310</t>
  </si>
  <si>
    <t>6610</t>
  </si>
  <si>
    <t>0142</t>
  </si>
  <si>
    <t>Unincorporated</t>
  </si>
  <si>
    <t>Unincorporated town. Amount transferred to County.</t>
  </si>
  <si>
    <t>Rounding 
Proof</t>
  </si>
  <si>
    <t>2009 SCHOOL 
ALLOCATION FACTOR
(Adjustment)</t>
  </si>
  <si>
    <t>2009 SCHOOL 
ALLOCATION FACTOR
(Adjusted)</t>
  </si>
  <si>
    <t>Y</t>
  </si>
  <si>
    <t>Historical Research</t>
  </si>
  <si>
    <t>Weighted average of School Allocation</t>
  </si>
  <si>
    <t>Reallocated School Allocation 55% to SC and 45 to BH</t>
  </si>
  <si>
    <t>Unit
Allocation
(Adjusted )</t>
  </si>
  <si>
    <t>Countywide 
Total
CVET</t>
  </si>
  <si>
    <t>Civil</t>
  </si>
  <si>
    <t>Fire</t>
  </si>
  <si>
    <t>Total 
UNIT 
Allocation</t>
  </si>
  <si>
    <t>Net
Distribution
(Restated)</t>
  </si>
  <si>
    <t>Unit 
Adj.</t>
  </si>
  <si>
    <t>County 
Adjustment
(Col. I * Col. J)</t>
  </si>
  <si>
    <t>School 
Adjustment
(Col. I * Col. L)</t>
  </si>
  <si>
    <t>Gross 
Distribution #1
(Col. F * Col. H)</t>
  </si>
  <si>
    <t>Rounding 
Adj.</t>
  </si>
  <si>
    <t>Net 
Distribution
Annual</t>
  </si>
  <si>
    <t>Net 
Distribution
Civil</t>
  </si>
  <si>
    <t>Net 
Distribution
Fire</t>
  </si>
  <si>
    <t>Gross 
Distribution #2
(Col. K - M - O)</t>
  </si>
  <si>
    <t>Spring 
Total Installment</t>
  </si>
  <si>
    <t>Spring
Civil</t>
  </si>
  <si>
    <t>Spring
Fire</t>
  </si>
  <si>
    <t>Fall 
Total Installment</t>
  </si>
  <si>
    <t>Fall
Civil</t>
  </si>
  <si>
    <t>Fall
Fire</t>
  </si>
  <si>
    <r>
      <rPr>
        <sz val="10"/>
        <color theme="1"/>
        <rFont val="Arial MT"/>
      </rPr>
      <t>For the year ending</t>
    </r>
    <r>
      <rPr>
        <sz val="10"/>
        <color indexed="12"/>
        <rFont val="Arial MT"/>
      </rPr>
      <t xml:space="preserve"> December 31, 2025</t>
    </r>
  </si>
  <si>
    <r>
      <rPr>
        <sz val="11"/>
        <color rgb="FF0000FF"/>
        <rFont val="Calibri"/>
        <family val="2"/>
        <scheme val="minor"/>
      </rPr>
      <t>2026</t>
    </r>
    <r>
      <rPr>
        <sz val="11"/>
        <color theme="1"/>
        <rFont val="Calibri"/>
        <family val="2"/>
        <scheme val="minor"/>
      </rPr>
      <t xml:space="preserve"> TOTAL BASED ON CY2025 CVET REVENUE</t>
    </r>
  </si>
  <si>
    <r>
      <t xml:space="preserve">MAY </t>
    </r>
    <r>
      <rPr>
        <sz val="11"/>
        <color rgb="FF0000FF"/>
        <rFont val="Calibri"/>
        <family val="2"/>
        <scheme val="minor"/>
      </rPr>
      <t>2026</t>
    </r>
    <r>
      <rPr>
        <sz val="11"/>
        <color theme="1"/>
        <rFont val="Calibri"/>
        <family val="2"/>
        <scheme val="minor"/>
      </rPr>
      <t xml:space="preserve"> DISTRIBUTION</t>
    </r>
  </si>
  <si>
    <r>
      <t xml:space="preserve">NOVEMBER </t>
    </r>
    <r>
      <rPr>
        <sz val="11"/>
        <color rgb="FF0000FF"/>
        <rFont val="Calibri"/>
        <family val="2"/>
        <scheme val="minor"/>
      </rPr>
      <t>2026</t>
    </r>
    <r>
      <rPr>
        <sz val="11"/>
        <color theme="1"/>
        <rFont val="Calibri"/>
        <family val="2"/>
        <scheme val="minor"/>
      </rPr>
      <t xml:space="preserve"> DISTRIBUTION</t>
    </r>
  </si>
  <si>
    <t>2026</t>
  </si>
  <si>
    <t>Offset in FM</t>
  </si>
  <si>
    <t>Offset in PM</t>
  </si>
  <si>
    <t>MAY 2026</t>
  </si>
  <si>
    <t>DECEMBER 2026</t>
  </si>
  <si>
    <t>2026 CVET DISTRIBUTIONS &amp; ALLOCATIONS</t>
  </si>
  <si>
    <r>
      <t xml:space="preserve">2026 </t>
    </r>
    <r>
      <rPr>
        <b/>
        <sz val="10"/>
        <color rgb="FF0000FF"/>
        <rFont val="Arial MT"/>
      </rPr>
      <t>TOTAL</t>
    </r>
  </si>
  <si>
    <t>MAY 2026 
COUNTY TOTAL</t>
  </si>
  <si>
    <t>DECEMBER 2026
COUNTY TOTAL</t>
  </si>
  <si>
    <t>(1) Calculated per IC 6-5.5-20</t>
  </si>
  <si>
    <t>Janie</t>
  </si>
  <si>
    <t>Verify total CVET in cell D2 agrees with total from query paste tab column G, "Sum Total Amt"</t>
  </si>
  <si>
    <r>
      <t xml:space="preserve">Procedure 1: </t>
    </r>
    <r>
      <rPr>
        <sz val="10"/>
        <rFont val="Arial"/>
        <family val="2"/>
      </rPr>
      <t>Compare prior calendar year total CVET from query to Comptroller Trial Balance Data. If any variances are more or less than $1.00, an explanation should be given in the notes/comments</t>
    </r>
  </si>
  <si>
    <t xml:space="preserve">Janie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</si>
</sst>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_(* \(#,##0\);_(* &quot;-&quot;_);_(@_)"/>
    <numFmt numFmtId="43" formatCode="_(* #,##0.00_);_(* \(#,##0.00\);_(* &quot;-&quot;??_);_(@_)"/>
    <numFmt numFmtId="164" formatCode="0.000000"/>
    <numFmt numFmtId="165" formatCode="&quot;$&quot;#,##0"/>
    <numFmt numFmtId="166" formatCode="#,##0.000000"/>
    <numFmt numFmtId="167" formatCode="_(* #,##0_);_(* \(#,##0\);_(* &quot;-&quot;??_);_(@_)"/>
    <numFmt numFmtId="168" formatCode="0.0000000000"/>
    <numFmt numFmtId="169" formatCode="0.000%"/>
    <numFmt numFmtId="170" formatCode="0.0000%"/>
    <numFmt numFmtId="171" formatCode="#,##0.0000"/>
    <numFmt numFmtId="172" formatCode="_(* #,##0.0000_);_(* \(#,##0.0000\);_(* &quot;-&quot;????_);_(@_)"/>
    <numFmt numFmtId="173" formatCode="_(* #,##0.000000_);_(* \(#,##0.000000\);_(* &quot;-&quot;??_);_(@_)"/>
    <numFmt numFmtId="174" formatCode="0.000"/>
    <numFmt numFmtId="175" formatCode="0.00000000%"/>
  </numFmts>
  <fonts count="33">
    <font>
      <sz val="11"/>
      <color theme="1"/>
      <name val="Calibri"/>
      <family val="2"/>
      <scheme val="minor"/>
    </font>
    <font>
      <sz val="11"/>
      <color theme="1"/>
      <name val="Calibri"/>
      <family val="2"/>
      <scheme val="minor"/>
    </font>
    <font>
      <sz val="10"/>
      <name val="Bookman Old Style"/>
      <family val="1"/>
    </font>
    <font>
      <b/>
      <sz val="10"/>
      <name val="Bookman Old Style"/>
      <family val="1"/>
    </font>
    <font>
      <sz val="10"/>
      <color rgb="FFFF0000"/>
      <name val="Bookman Old Style"/>
      <family val="1"/>
    </font>
    <font>
      <sz val="10"/>
      <name val="Arial"/>
      <family val="2"/>
    </font>
    <font>
      <sz val="10"/>
      <name val="Arial"/>
      <family val="2"/>
    </font>
    <font>
      <b/>
      <sz val="11"/>
      <color theme="1"/>
      <name val="Calibri"/>
      <family val="2"/>
      <scheme val="minor"/>
    </font>
    <font>
      <sz val="11"/>
      <color rgb="FF0000FF"/>
      <name val="Calibri"/>
      <family val="2"/>
      <scheme val="minor"/>
    </font>
    <font>
      <sz val="10"/>
      <color rgb="FF0000FF"/>
      <name val="Arial"/>
      <family val="2"/>
    </font>
    <font>
      <b/>
      <sz val="10"/>
      <name val="Arial Unicode MS"/>
      <family val="2"/>
    </font>
    <font>
      <sz val="10"/>
      <name val="Arial Unicode MS"/>
      <family val="2"/>
    </font>
    <font>
      <b/>
      <sz val="10"/>
      <name val="Arial"/>
      <family val="2"/>
    </font>
    <font>
      <b/>
      <u/>
      <sz val="10"/>
      <name val="Arial"/>
      <family val="2"/>
    </font>
    <font>
      <sz val="10"/>
      <color indexed="12"/>
      <name val="Arial MT"/>
    </font>
    <font>
      <b/>
      <sz val="10"/>
      <color indexed="0"/>
      <name val="Arial"/>
      <family val="2"/>
    </font>
    <font>
      <sz val="10"/>
      <color theme="1"/>
      <name val="Arial MT"/>
    </font>
    <font>
      <sz val="10"/>
      <color indexed="8"/>
      <name val="Arial"/>
      <family val="2"/>
    </font>
    <font>
      <sz val="10"/>
      <color indexed="8"/>
      <name val="Calibri"/>
      <family val="2"/>
    </font>
    <font>
      <sz val="10"/>
      <color theme="1"/>
      <name val="Calibri"/>
      <family val="2"/>
      <scheme val="minor"/>
    </font>
    <font>
      <sz val="8"/>
      <name val="Calibri"/>
      <family val="2"/>
      <scheme val="minor"/>
    </font>
    <font>
      <b/>
      <sz val="10"/>
      <color rgb="FFFF0000"/>
      <name val="Bookman Old Style"/>
      <family val="1"/>
    </font>
    <font>
      <sz val="11"/>
      <name val="Calibri"/>
      <family val="2"/>
      <scheme val="minor"/>
    </font>
    <font>
      <b/>
      <sz val="12"/>
      <name val="Calibri"/>
      <family val="2"/>
      <scheme val="minor"/>
    </font>
    <font>
      <b/>
      <sz val="10"/>
      <name val="Calibri"/>
      <family val="2"/>
      <scheme val="minor"/>
    </font>
    <font>
      <b/>
      <sz val="10"/>
      <color theme="1"/>
      <name val="Calibri"/>
      <family val="2"/>
      <scheme val="minor"/>
    </font>
    <font>
      <b/>
      <sz val="10"/>
      <color indexed="0"/>
      <name val="arial"/>
    </font>
    <font>
      <b/>
      <sz val="10"/>
      <color rgb="FF0000FF"/>
      <name val="Arial MT"/>
    </font>
    <font>
      <b/>
      <sz val="10"/>
      <color rgb="FF0000FF"/>
      <name val="Arial"/>
      <family val="2"/>
    </font>
    <font>
      <sz val="10"/>
      <color rgb="FFA20000"/>
      <name val="Bookman Old Style"/>
      <family val="1"/>
    </font>
    <font>
      <sz val="10"/>
      <color rgb="FF5C0000"/>
      <name val="Bookman Old Style"/>
      <family val="1"/>
    </font>
    <font>
      <sz val="10"/>
      <color rgb="FF8F0000"/>
      <name val="Bookman Old Style"/>
      <family val="1"/>
    </font>
    <font>
      <sz val="10"/>
      <color rgb="FFCC3300"/>
      <name val="Bookman Old Style"/>
      <family val="1"/>
    </font>
  </fonts>
  <fills count="11">
    <fill>
      <patternFill patternType="none"/>
    </fill>
    <fill>
      <patternFill patternType="gray125"/>
    </fill>
    <fill>
      <patternFill patternType="solid">
        <fgColor rgb="FFC8C8C8"/>
      </patternFill>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
      <patternFill patternType="solid">
        <fgColor theme="7" tint="0.79998168889431442"/>
        <bgColor indexed="64"/>
      </patternFill>
    </fill>
    <fill>
      <patternFill patternType="solid">
        <fgColor theme="6"/>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7">
    <xf numFmtId="0" fontId="0" fillId="0" borderId="0"/>
    <xf numFmtId="43" fontId="1" fillId="0" borderId="0" applyFont="0" applyFill="0" applyBorder="0" applyAlignment="0" applyProtection="0"/>
    <xf numFmtId="0" fontId="5"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1" fillId="0" borderId="0" applyFont="0" applyFill="0" applyBorder="0" applyAlignment="0" applyProtection="0"/>
    <xf numFmtId="43" fontId="10"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17" fillId="0" borderId="0"/>
  </cellStyleXfs>
  <cellXfs count="266">
    <xf numFmtId="0" fontId="0" fillId="0" borderId="0" xfId="0"/>
    <xf numFmtId="0" fontId="2" fillId="0" borderId="0" xfId="0" applyFont="1" applyAlignment="1">
      <alignment horizontal="center"/>
    </xf>
    <xf numFmtId="0" fontId="3" fillId="0" borderId="0" xfId="0" quotePrefix="1" applyFont="1" applyAlignment="1">
      <alignment horizontal="left"/>
    </xf>
    <xf numFmtId="0" fontId="2" fillId="0" borderId="0" xfId="0" applyFont="1"/>
    <xf numFmtId="164" fontId="2" fillId="0" borderId="0" xfId="0" applyNumberFormat="1" applyFont="1"/>
    <xf numFmtId="49" fontId="2" fillId="0" borderId="0" xfId="0" quotePrefix="1" applyNumberFormat="1" applyFont="1" applyAlignment="1">
      <alignment horizontal="center" wrapText="1"/>
    </xf>
    <xf numFmtId="164" fontId="2" fillId="0" borderId="0" xfId="0" quotePrefix="1" applyNumberFormat="1" applyFont="1" applyAlignment="1">
      <alignment horizontal="center" wrapText="1"/>
    </xf>
    <xf numFmtId="0" fontId="3" fillId="0" borderId="1" xfId="0" applyFont="1" applyBorder="1" applyAlignment="1">
      <alignment horizontal="center"/>
    </xf>
    <xf numFmtId="0" fontId="2" fillId="0" borderId="1" xfId="0" applyFont="1" applyBorder="1" applyAlignment="1">
      <alignment horizontal="center"/>
    </xf>
    <xf numFmtId="3" fontId="2" fillId="0" borderId="1" xfId="0" applyNumberFormat="1" applyFont="1" applyBorder="1"/>
    <xf numFmtId="164" fontId="2" fillId="0" borderId="1" xfId="0" applyNumberFormat="1" applyFont="1" applyBorder="1"/>
    <xf numFmtId="0" fontId="2" fillId="0" borderId="1" xfId="0" applyFont="1" applyBorder="1"/>
    <xf numFmtId="3" fontId="3" fillId="0" borderId="1" xfId="0" applyNumberFormat="1" applyFont="1" applyBorder="1"/>
    <xf numFmtId="0" fontId="3" fillId="0" borderId="1" xfId="0" applyFont="1" applyBorder="1"/>
    <xf numFmtId="166" fontId="2" fillId="0" borderId="1" xfId="0" applyNumberFormat="1" applyFont="1" applyBorder="1"/>
    <xf numFmtId="3" fontId="4" fillId="0" borderId="1" xfId="0" applyNumberFormat="1" applyFont="1" applyBorder="1"/>
    <xf numFmtId="0" fontId="4" fillId="0" borderId="1" xfId="0" applyFont="1" applyBorder="1"/>
    <xf numFmtId="0" fontId="3" fillId="0" borderId="1" xfId="0" quotePrefix="1" applyFont="1" applyBorder="1" applyAlignment="1">
      <alignment horizontal="left"/>
    </xf>
    <xf numFmtId="0" fontId="3" fillId="0" borderId="0" xfId="0" applyFont="1"/>
    <xf numFmtId="3" fontId="3" fillId="0" borderId="0" xfId="0" applyNumberFormat="1" applyFont="1"/>
    <xf numFmtId="3" fontId="0" fillId="0" borderId="0" xfId="0" applyNumberFormat="1"/>
    <xf numFmtId="0" fontId="2" fillId="0" borderId="0" xfId="0" applyFont="1" applyAlignment="1">
      <alignment horizontal="center" vertical="center"/>
    </xf>
    <xf numFmtId="0" fontId="2" fillId="0" borderId="0" xfId="0" applyFont="1" applyAlignment="1">
      <alignment vertical="center"/>
    </xf>
    <xf numFmtId="3" fontId="2" fillId="0" borderId="1" xfId="0" applyNumberFormat="1" applyFont="1" applyBorder="1" applyAlignment="1">
      <alignment horizontal="center"/>
    </xf>
    <xf numFmtId="165" fontId="2" fillId="0" borderId="1" xfId="0" applyNumberFormat="1" applyFont="1" applyBorder="1"/>
    <xf numFmtId="3" fontId="3" fillId="0" borderId="1" xfId="0" applyNumberFormat="1" applyFont="1" applyBorder="1" applyAlignment="1">
      <alignment horizontal="center"/>
    </xf>
    <xf numFmtId="166" fontId="2" fillId="0" borderId="1" xfId="0" applyNumberFormat="1" applyFont="1" applyBorder="1" applyAlignment="1">
      <alignment horizontal="center"/>
    </xf>
    <xf numFmtId="3" fontId="4" fillId="0" borderId="1" xfId="0" applyNumberFormat="1" applyFont="1" applyBorder="1" applyAlignment="1">
      <alignment horizontal="center"/>
    </xf>
    <xf numFmtId="0" fontId="3" fillId="0" borderId="1" xfId="0" applyFont="1" applyBorder="1" applyAlignment="1">
      <alignment horizontal="left"/>
    </xf>
    <xf numFmtId="3" fontId="3" fillId="0" borderId="1" xfId="1" applyNumberFormat="1" applyFont="1" applyFill="1" applyBorder="1"/>
    <xf numFmtId="167" fontId="3" fillId="0" borderId="0" xfId="0" applyNumberFormat="1" applyFont="1"/>
    <xf numFmtId="164" fontId="2" fillId="0" borderId="1" xfId="0" applyNumberFormat="1" applyFont="1" applyBorder="1" applyAlignment="1">
      <alignment horizontal="center"/>
    </xf>
    <xf numFmtId="168" fontId="2" fillId="0" borderId="0" xfId="0" applyNumberFormat="1" applyFont="1"/>
    <xf numFmtId="3" fontId="0" fillId="0" borderId="1" xfId="0" applyNumberFormat="1" applyBorder="1"/>
    <xf numFmtId="0" fontId="3" fillId="0" borderId="1" xfId="2" applyFont="1" applyBorder="1" applyAlignment="1">
      <alignment horizontal="left"/>
    </xf>
    <xf numFmtId="49" fontId="2" fillId="0" borderId="0" xfId="0" applyNumberFormat="1" applyFont="1"/>
    <xf numFmtId="0" fontId="2" fillId="0" borderId="4" xfId="0" applyFont="1" applyBorder="1" applyAlignment="1">
      <alignment horizontal="center"/>
    </xf>
    <xf numFmtId="0" fontId="2" fillId="0" borderId="4" xfId="0" applyFont="1" applyBorder="1"/>
    <xf numFmtId="3" fontId="3" fillId="0" borderId="5" xfId="0" applyNumberFormat="1" applyFont="1" applyBorder="1"/>
    <xf numFmtId="3" fontId="4" fillId="0" borderId="0" xfId="0" applyNumberFormat="1" applyFont="1"/>
    <xf numFmtId="0" fontId="4" fillId="0" borderId="0" xfId="0" applyFont="1"/>
    <xf numFmtId="0" fontId="3" fillId="0" borderId="0" xfId="0" applyFont="1" applyAlignment="1">
      <alignment horizontal="left"/>
    </xf>
    <xf numFmtId="1" fontId="2" fillId="0" borderId="1" xfId="0" applyNumberFormat="1" applyFont="1" applyBorder="1" applyAlignment="1">
      <alignment horizontal="center"/>
    </xf>
    <xf numFmtId="3" fontId="3" fillId="0" borderId="1" xfId="0" applyNumberFormat="1" applyFont="1" applyBorder="1" applyAlignment="1">
      <alignment horizontal="right"/>
    </xf>
    <xf numFmtId="49" fontId="0" fillId="0" borderId="0" xfId="0" applyNumberFormat="1"/>
    <xf numFmtId="3" fontId="5" fillId="0" borderId="0" xfId="3" applyNumberFormat="1" applyFont="1"/>
    <xf numFmtId="43" fontId="0" fillId="0" borderId="0" xfId="1" applyFont="1"/>
    <xf numFmtId="43" fontId="0" fillId="0" borderId="0" xfId="0" applyNumberFormat="1"/>
    <xf numFmtId="0" fontId="0" fillId="0" borderId="0" xfId="0" quotePrefix="1"/>
    <xf numFmtId="0" fontId="0" fillId="0" borderId="0" xfId="0" applyAlignment="1">
      <alignment horizontal="center"/>
    </xf>
    <xf numFmtId="49" fontId="0" fillId="0" borderId="8" xfId="0" applyNumberFormat="1" applyBorder="1"/>
    <xf numFmtId="0" fontId="0" fillId="0" borderId="10" xfId="0" applyBorder="1"/>
    <xf numFmtId="0" fontId="0" fillId="0" borderId="8" xfId="0" applyBorder="1"/>
    <xf numFmtId="0" fontId="0" fillId="0" borderId="16" xfId="0" applyBorder="1" applyAlignment="1">
      <alignment horizontal="center"/>
    </xf>
    <xf numFmtId="0" fontId="0" fillId="0" borderId="7" xfId="0" applyBorder="1" applyAlignment="1">
      <alignment horizontal="center"/>
    </xf>
    <xf numFmtId="0" fontId="0" fillId="0" borderId="6" xfId="0" applyBorder="1"/>
    <xf numFmtId="43" fontId="1" fillId="0" borderId="0" xfId="1" applyFont="1"/>
    <xf numFmtId="14" fontId="0" fillId="0" borderId="0" xfId="0" applyNumberFormat="1"/>
    <xf numFmtId="168" fontId="0" fillId="0" borderId="15" xfId="0" applyNumberFormat="1" applyBorder="1"/>
    <xf numFmtId="167" fontId="0" fillId="0" borderId="11" xfId="0" applyNumberFormat="1" applyBorder="1"/>
    <xf numFmtId="0" fontId="2" fillId="0" borderId="0" xfId="0" quotePrefix="1" applyFont="1" applyAlignment="1">
      <alignment horizontal="center" wrapText="1"/>
    </xf>
    <xf numFmtId="0" fontId="0" fillId="0" borderId="9" xfId="0" applyBorder="1"/>
    <xf numFmtId="0" fontId="0" fillId="0" borderId="11" xfId="0" quotePrefix="1" applyBorder="1"/>
    <xf numFmtId="0" fontId="7" fillId="0" borderId="0" xfId="0" applyFont="1"/>
    <xf numFmtId="0" fontId="11" fillId="0" borderId="0" xfId="10"/>
    <xf numFmtId="0" fontId="13" fillId="0" borderId="0" xfId="10" applyFont="1"/>
    <xf numFmtId="0" fontId="5" fillId="0" borderId="2" xfId="10" applyFont="1" applyBorder="1" applyAlignment="1">
      <alignment horizontal="center"/>
    </xf>
    <xf numFmtId="0" fontId="11" fillId="0" borderId="0" xfId="10" applyAlignment="1">
      <alignment horizontal="center"/>
    </xf>
    <xf numFmtId="0" fontId="5" fillId="0" borderId="0" xfId="10" applyFont="1"/>
    <xf numFmtId="0" fontId="5" fillId="0" borderId="3" xfId="10" applyFont="1" applyBorder="1"/>
    <xf numFmtId="0" fontId="5" fillId="0" borderId="0" xfId="10" applyFont="1" applyAlignment="1">
      <alignment horizontal="center"/>
    </xf>
    <xf numFmtId="0" fontId="5" fillId="0" borderId="0" xfId="10" applyFont="1" applyAlignment="1">
      <alignment horizontal="left" wrapText="1"/>
    </xf>
    <xf numFmtId="14" fontId="11" fillId="0" borderId="0" xfId="10" applyNumberFormat="1"/>
    <xf numFmtId="0" fontId="11" fillId="0" borderId="2" xfId="10" applyBorder="1" applyAlignment="1">
      <alignment horizontal="center"/>
    </xf>
    <xf numFmtId="0" fontId="5" fillId="0" borderId="0" xfId="12"/>
    <xf numFmtId="0" fontId="5" fillId="0" borderId="0" xfId="12" applyAlignment="1">
      <alignment horizontal="left" wrapText="1"/>
    </xf>
    <xf numFmtId="0" fontId="12" fillId="0" borderId="0" xfId="12" applyFont="1"/>
    <xf numFmtId="0" fontId="14" fillId="0" borderId="0" xfId="12" quotePrefix="1" applyFont="1" applyAlignment="1">
      <alignment horizontal="center"/>
    </xf>
    <xf numFmtId="14" fontId="14" fillId="0" borderId="0" xfId="12" applyNumberFormat="1" applyFont="1" applyAlignment="1" applyProtection="1">
      <alignment horizontal="center"/>
      <protection locked="0"/>
    </xf>
    <xf numFmtId="0" fontId="5" fillId="0" borderId="0" xfId="12" applyAlignment="1">
      <alignment horizontal="center"/>
    </xf>
    <xf numFmtId="0" fontId="5" fillId="0" borderId="2" xfId="12" applyBorder="1" applyAlignment="1">
      <alignment horizontal="center"/>
    </xf>
    <xf numFmtId="0" fontId="0" fillId="0" borderId="0" xfId="0" applyAlignment="1">
      <alignment horizontal="left"/>
    </xf>
    <xf numFmtId="0" fontId="5" fillId="0" borderId="0" xfId="12" applyAlignment="1">
      <alignment horizontal="left"/>
    </xf>
    <xf numFmtId="0" fontId="9" fillId="0" borderId="0" xfId="12" applyFont="1" applyAlignment="1">
      <alignment horizontal="center"/>
    </xf>
    <xf numFmtId="43" fontId="0" fillId="0" borderId="18" xfId="0" applyNumberFormat="1" applyBorder="1"/>
    <xf numFmtId="43" fontId="8" fillId="0" borderId="0" xfId="1" applyFont="1"/>
    <xf numFmtId="0" fontId="11" fillId="0" borderId="2" xfId="10" applyBorder="1"/>
    <xf numFmtId="43" fontId="11" fillId="0" borderId="0" xfId="1" applyFont="1"/>
    <xf numFmtId="43" fontId="11" fillId="0" borderId="0" xfId="10" applyNumberFormat="1"/>
    <xf numFmtId="169" fontId="0" fillId="0" borderId="0" xfId="8" applyNumberFormat="1" applyFont="1"/>
    <xf numFmtId="170" fontId="0" fillId="0" borderId="0" xfId="8" applyNumberFormat="1" applyFont="1"/>
    <xf numFmtId="0" fontId="12" fillId="0" borderId="0" xfId="12" applyFont="1" applyAlignment="1">
      <alignment horizontal="left" wrapText="1"/>
    </xf>
    <xf numFmtId="0" fontId="0" fillId="0" borderId="2" xfId="0" applyBorder="1"/>
    <xf numFmtId="0" fontId="0" fillId="0" borderId="2" xfId="0" applyBorder="1" applyAlignment="1">
      <alignment horizontal="center"/>
    </xf>
    <xf numFmtId="43" fontId="11" fillId="0" borderId="0" xfId="1" applyFont="1" applyFill="1"/>
    <xf numFmtId="43" fontId="0" fillId="0" borderId="0" xfId="1" applyFont="1" applyFill="1"/>
    <xf numFmtId="169" fontId="0" fillId="0" borderId="0" xfId="8" applyNumberFormat="1" applyFont="1" applyFill="1"/>
    <xf numFmtId="43" fontId="11" fillId="0" borderId="18" xfId="1" applyFont="1" applyBorder="1"/>
    <xf numFmtId="169" fontId="0" fillId="0" borderId="18" xfId="8" applyNumberFormat="1" applyFont="1" applyBorder="1"/>
    <xf numFmtId="0" fontId="2" fillId="0" borderId="0" xfId="0" applyFont="1" applyAlignment="1">
      <alignment horizontal="center" wrapText="1"/>
    </xf>
    <xf numFmtId="43" fontId="2" fillId="0" borderId="0" xfId="1" applyFont="1"/>
    <xf numFmtId="41" fontId="0" fillId="0" borderId="0" xfId="0" applyNumberFormat="1"/>
    <xf numFmtId="41" fontId="0" fillId="0" borderId="8" xfId="0" applyNumberFormat="1" applyBorder="1"/>
    <xf numFmtId="41" fontId="0" fillId="0" borderId="9" xfId="0" applyNumberFormat="1" applyBorder="1"/>
    <xf numFmtId="41" fontId="0" fillId="0" borderId="10" xfId="0" applyNumberFormat="1" applyBorder="1"/>
    <xf numFmtId="41" fontId="0" fillId="0" borderId="15" xfId="0" applyNumberFormat="1" applyBorder="1"/>
    <xf numFmtId="41" fontId="0" fillId="0" borderId="11" xfId="0" applyNumberFormat="1" applyBorder="1"/>
    <xf numFmtId="171" fontId="5" fillId="0" borderId="0" xfId="3" applyNumberFormat="1" applyFont="1"/>
    <xf numFmtId="167" fontId="0" fillId="0" borderId="0" xfId="0" applyNumberFormat="1"/>
    <xf numFmtId="172" fontId="0" fillId="0" borderId="0" xfId="0" applyNumberFormat="1"/>
    <xf numFmtId="2" fontId="0" fillId="0" borderId="0" xfId="0" applyNumberFormat="1"/>
    <xf numFmtId="0" fontId="15" fillId="2" borderId="17" xfId="0" applyFont="1" applyFill="1" applyBorder="1"/>
    <xf numFmtId="1" fontId="0" fillId="0" borderId="0" xfId="0" applyNumberFormat="1"/>
    <xf numFmtId="167" fontId="8" fillId="0" borderId="1" xfId="1" applyNumberFormat="1" applyFont="1" applyFill="1" applyBorder="1"/>
    <xf numFmtId="14" fontId="14" fillId="0" borderId="1" xfId="12" applyNumberFormat="1" applyFont="1" applyBorder="1" applyAlignment="1" applyProtection="1">
      <alignment horizontal="center"/>
      <protection locked="0"/>
    </xf>
    <xf numFmtId="167" fontId="1" fillId="0" borderId="9" xfId="1" applyNumberFormat="1" applyFont="1" applyFill="1" applyBorder="1"/>
    <xf numFmtId="49" fontId="18" fillId="0" borderId="24" xfId="16" applyNumberFormat="1" applyFont="1" applyBorder="1" applyAlignment="1">
      <alignment horizontal="center"/>
    </xf>
    <xf numFmtId="43" fontId="2" fillId="0" borderId="0" xfId="1" applyFont="1" applyAlignment="1">
      <alignment horizontal="center" wrapText="1"/>
    </xf>
    <xf numFmtId="43" fontId="2" fillId="0" borderId="0" xfId="1" quotePrefix="1" applyFont="1" applyAlignment="1">
      <alignment horizontal="center" wrapText="1"/>
    </xf>
    <xf numFmtId="43" fontId="2" fillId="0" borderId="1" xfId="1" applyFont="1" applyBorder="1"/>
    <xf numFmtId="43" fontId="3" fillId="0" borderId="1" xfId="1" applyFont="1" applyBorder="1"/>
    <xf numFmtId="43" fontId="3" fillId="0" borderId="1" xfId="1" applyFont="1" applyBorder="1" applyAlignment="1">
      <alignment horizontal="center"/>
    </xf>
    <xf numFmtId="0" fontId="18" fillId="0" borderId="24" xfId="16" applyFont="1" applyBorder="1" applyAlignment="1">
      <alignment horizontal="center"/>
    </xf>
    <xf numFmtId="0" fontId="19" fillId="0" borderId="0" xfId="0" applyFont="1"/>
    <xf numFmtId="49" fontId="19" fillId="0" borderId="24" xfId="0" applyNumberFormat="1" applyFont="1" applyBorder="1" applyAlignment="1">
      <alignment horizontal="center"/>
    </xf>
    <xf numFmtId="0" fontId="2" fillId="0" borderId="0" xfId="0" quotePrefix="1" applyFont="1"/>
    <xf numFmtId="173" fontId="0" fillId="0" borderId="0" xfId="1" applyNumberFormat="1" applyFont="1"/>
    <xf numFmtId="43" fontId="0" fillId="0" borderId="25" xfId="0" applyNumberFormat="1" applyBorder="1"/>
    <xf numFmtId="0" fontId="2" fillId="4" borderId="0" xfId="0" applyFont="1" applyFill="1"/>
    <xf numFmtId="0" fontId="2" fillId="4" borderId="1" xfId="0" applyFont="1" applyFill="1" applyBorder="1" applyAlignment="1">
      <alignment horizontal="center"/>
    </xf>
    <xf numFmtId="0" fontId="2" fillId="4" borderId="0" xfId="0" quotePrefix="1" applyFont="1" applyFill="1"/>
    <xf numFmtId="0" fontId="2" fillId="4" borderId="1" xfId="0" applyFont="1" applyFill="1" applyBorder="1"/>
    <xf numFmtId="3" fontId="2" fillId="4" borderId="1" xfId="0" applyNumberFormat="1" applyFont="1" applyFill="1" applyBorder="1"/>
    <xf numFmtId="164" fontId="2" fillId="4" borderId="1" xfId="0" applyNumberFormat="1" applyFont="1" applyFill="1" applyBorder="1"/>
    <xf numFmtId="3" fontId="3" fillId="4" borderId="1" xfId="0" applyNumberFormat="1" applyFont="1" applyFill="1" applyBorder="1"/>
    <xf numFmtId="0" fontId="3" fillId="4" borderId="1" xfId="0" applyFont="1" applyFill="1" applyBorder="1"/>
    <xf numFmtId="0" fontId="18" fillId="4" borderId="24" xfId="16" applyFont="1" applyFill="1" applyBorder="1" applyAlignment="1">
      <alignment horizontal="center"/>
    </xf>
    <xf numFmtId="43" fontId="3" fillId="4" borderId="1" xfId="1" applyFont="1" applyFill="1" applyBorder="1"/>
    <xf numFmtId="173" fontId="0" fillId="0" borderId="0" xfId="1" applyNumberFormat="1" applyFont="1" applyBorder="1"/>
    <xf numFmtId="43" fontId="0" fillId="0" borderId="0" xfId="1" applyFont="1" applyBorder="1"/>
    <xf numFmtId="3" fontId="4" fillId="4" borderId="1" xfId="0" applyNumberFormat="1" applyFont="1" applyFill="1" applyBorder="1"/>
    <xf numFmtId="0" fontId="4" fillId="4" borderId="1" xfId="0" applyFont="1" applyFill="1" applyBorder="1"/>
    <xf numFmtId="10" fontId="5" fillId="0" borderId="0" xfId="8" applyNumberFormat="1" applyFont="1"/>
    <xf numFmtId="10" fontId="5" fillId="0" borderId="2" xfId="8" applyNumberFormat="1" applyFont="1" applyBorder="1"/>
    <xf numFmtId="43" fontId="0" fillId="0" borderId="16" xfId="1" applyFont="1" applyBorder="1" applyAlignment="1">
      <alignment horizontal="center"/>
    </xf>
    <xf numFmtId="43" fontId="0" fillId="0" borderId="7" xfId="1" applyFont="1" applyBorder="1" applyAlignment="1">
      <alignment horizontal="center"/>
    </xf>
    <xf numFmtId="43" fontId="1" fillId="0" borderId="0" xfId="1" applyFont="1" applyFill="1" applyBorder="1"/>
    <xf numFmtId="43" fontId="1" fillId="0" borderId="9" xfId="1" applyFont="1" applyFill="1" applyBorder="1"/>
    <xf numFmtId="43" fontId="0" fillId="0" borderId="15" xfId="1" applyFont="1" applyBorder="1"/>
    <xf numFmtId="43" fontId="0" fillId="0" borderId="11" xfId="1" applyFont="1" applyBorder="1"/>
    <xf numFmtId="43" fontId="15" fillId="2" borderId="17" xfId="1" applyFont="1" applyFill="1" applyBorder="1"/>
    <xf numFmtId="43" fontId="0" fillId="0" borderId="8" xfId="1" applyFont="1" applyBorder="1"/>
    <xf numFmtId="43" fontId="0" fillId="0" borderId="9" xfId="1" applyFont="1" applyBorder="1"/>
    <xf numFmtId="0" fontId="0" fillId="0" borderId="25" xfId="0" applyBorder="1"/>
    <xf numFmtId="0" fontId="0" fillId="4" borderId="0" xfId="0" applyFill="1"/>
    <xf numFmtId="173" fontId="0" fillId="0" borderId="0" xfId="1" applyNumberFormat="1" applyFont="1" applyFill="1"/>
    <xf numFmtId="43" fontId="0" fillId="0" borderId="8" xfId="1" applyFont="1" applyFill="1" applyBorder="1"/>
    <xf numFmtId="43" fontId="0" fillId="0" borderId="0" xfId="1" applyFont="1" applyFill="1" applyBorder="1"/>
    <xf numFmtId="43" fontId="0" fillId="0" borderId="9" xfId="1" applyFont="1" applyFill="1" applyBorder="1"/>
    <xf numFmtId="0" fontId="3" fillId="4" borderId="0" xfId="0" applyFont="1" applyFill="1"/>
    <xf numFmtId="0" fontId="3" fillId="4" borderId="1" xfId="0" applyFont="1" applyFill="1" applyBorder="1" applyAlignment="1">
      <alignment horizontal="center"/>
    </xf>
    <xf numFmtId="164" fontId="3" fillId="4" borderId="1" xfId="0" applyNumberFormat="1" applyFont="1" applyFill="1" applyBorder="1"/>
    <xf numFmtId="166" fontId="3" fillId="0" borderId="1" xfId="0" applyNumberFormat="1" applyFont="1" applyBorder="1"/>
    <xf numFmtId="3" fontId="21" fillId="0" borderId="1" xfId="0" applyNumberFormat="1" applyFont="1" applyBorder="1"/>
    <xf numFmtId="0" fontId="21" fillId="0" borderId="1" xfId="0" applyFont="1" applyBorder="1"/>
    <xf numFmtId="0" fontId="2" fillId="8" borderId="1" xfId="0" applyFont="1" applyFill="1" applyBorder="1" applyAlignment="1">
      <alignment horizontal="center"/>
    </xf>
    <xf numFmtId="0" fontId="2" fillId="8" borderId="1" xfId="0" applyFont="1" applyFill="1" applyBorder="1"/>
    <xf numFmtId="164" fontId="2" fillId="8" borderId="1" xfId="0" applyNumberFormat="1" applyFont="1" applyFill="1" applyBorder="1"/>
    <xf numFmtId="3" fontId="2" fillId="8" borderId="1" xfId="0" applyNumberFormat="1" applyFont="1" applyFill="1" applyBorder="1"/>
    <xf numFmtId="0" fontId="2" fillId="8" borderId="0" xfId="0" applyFont="1" applyFill="1"/>
    <xf numFmtId="166" fontId="2" fillId="8" borderId="1" xfId="0" applyNumberFormat="1" applyFont="1" applyFill="1" applyBorder="1"/>
    <xf numFmtId="3" fontId="3" fillId="8" borderId="1" xfId="0" applyNumberFormat="1" applyFont="1" applyFill="1" applyBorder="1"/>
    <xf numFmtId="0" fontId="3" fillId="8" borderId="1" xfId="0" applyFont="1" applyFill="1" applyBorder="1"/>
    <xf numFmtId="173" fontId="0" fillId="0" borderId="0" xfId="1" applyNumberFormat="1" applyFont="1" applyAlignment="1">
      <alignment horizontal="center" wrapText="1"/>
    </xf>
    <xf numFmtId="43" fontId="0" fillId="0" borderId="25" xfId="1" applyFont="1" applyBorder="1"/>
    <xf numFmtId="43" fontId="0" fillId="0" borderId="25" xfId="1" applyFont="1" applyFill="1" applyBorder="1"/>
    <xf numFmtId="0" fontId="0" fillId="0" borderId="0" xfId="0" applyAlignment="1">
      <alignment wrapText="1"/>
    </xf>
    <xf numFmtId="173" fontId="0" fillId="0" borderId="8" xfId="1" applyNumberFormat="1" applyFont="1" applyBorder="1"/>
    <xf numFmtId="173" fontId="0" fillId="0" borderId="8" xfId="1" applyNumberFormat="1" applyFont="1" applyFill="1" applyBorder="1"/>
    <xf numFmtId="0" fontId="22" fillId="0" borderId="0" xfId="0" applyFont="1"/>
    <xf numFmtId="0" fontId="22" fillId="0" borderId="0" xfId="0" applyFont="1" applyAlignment="1">
      <alignment horizontal="centerContinuous"/>
    </xf>
    <xf numFmtId="0" fontId="23" fillId="0" borderId="0" xfId="0" applyFont="1" applyAlignment="1">
      <alignment horizontal="center" vertical="center" wrapText="1"/>
    </xf>
    <xf numFmtId="3" fontId="2" fillId="0" borderId="0" xfId="0" applyNumberFormat="1" applyFont="1"/>
    <xf numFmtId="0" fontId="22" fillId="0" borderId="22" xfId="0" applyFont="1" applyBorder="1" applyAlignment="1">
      <alignment horizontal="center" vertical="center" wrapText="1"/>
    </xf>
    <xf numFmtId="0" fontId="22" fillId="0" borderId="9" xfId="0" applyFont="1" applyBorder="1" applyAlignment="1">
      <alignment horizontal="center" vertical="center" wrapText="1"/>
    </xf>
    <xf numFmtId="173" fontId="24" fillId="5" borderId="27" xfId="1" quotePrefix="1" applyNumberFormat="1" applyFont="1" applyFill="1" applyBorder="1" applyAlignment="1">
      <alignment horizontal="center" wrapText="1"/>
    </xf>
    <xf numFmtId="173" fontId="24" fillId="5" borderId="28" xfId="1" quotePrefix="1" applyNumberFormat="1" applyFont="1" applyFill="1" applyBorder="1" applyAlignment="1">
      <alignment horizontal="center" wrapText="1"/>
    </xf>
    <xf numFmtId="43" fontId="24" fillId="5" borderId="14" xfId="1" applyFont="1" applyFill="1" applyBorder="1" applyAlignment="1">
      <alignment horizontal="center" wrapText="1"/>
    </xf>
    <xf numFmtId="173" fontId="24" fillId="9" borderId="26" xfId="1" applyNumberFormat="1" applyFont="1" applyFill="1" applyBorder="1" applyAlignment="1">
      <alignment horizontal="center" wrapText="1"/>
    </xf>
    <xf numFmtId="43" fontId="24" fillId="9" borderId="31" xfId="1" applyFont="1" applyFill="1" applyBorder="1" applyAlignment="1">
      <alignment horizontal="center" wrapText="1"/>
    </xf>
    <xf numFmtId="0" fontId="25" fillId="3" borderId="26" xfId="0" applyFont="1" applyFill="1" applyBorder="1" applyAlignment="1">
      <alignment horizontal="center"/>
    </xf>
    <xf numFmtId="0" fontId="25" fillId="3" borderId="27" xfId="0" applyFont="1" applyFill="1" applyBorder="1" applyAlignment="1">
      <alignment horizontal="center"/>
    </xf>
    <xf numFmtId="173" fontId="25" fillId="3" borderId="27" xfId="1" applyNumberFormat="1" applyFont="1" applyFill="1" applyBorder="1" applyAlignment="1">
      <alignment horizontal="center"/>
    </xf>
    <xf numFmtId="43" fontId="25" fillId="5" borderId="29" xfId="1" applyFont="1" applyFill="1" applyBorder="1" applyAlignment="1">
      <alignment horizontal="center" wrapText="1"/>
    </xf>
    <xf numFmtId="173" fontId="25" fillId="6" borderId="30" xfId="1" applyNumberFormat="1" applyFont="1" applyFill="1" applyBorder="1" applyAlignment="1">
      <alignment horizontal="center" wrapText="1"/>
    </xf>
    <xf numFmtId="173" fontId="25" fillId="6" borderId="27" xfId="1" applyNumberFormat="1" applyFont="1" applyFill="1" applyBorder="1" applyAlignment="1">
      <alignment horizontal="center" wrapText="1"/>
    </xf>
    <xf numFmtId="0" fontId="25" fillId="6" borderId="27" xfId="0" applyFont="1" applyFill="1" applyBorder="1" applyAlignment="1">
      <alignment horizontal="center" wrapText="1"/>
    </xf>
    <xf numFmtId="43" fontId="25" fillId="6" borderId="28" xfId="1" applyFont="1" applyFill="1" applyBorder="1" applyAlignment="1">
      <alignment horizontal="center" wrapText="1"/>
    </xf>
    <xf numFmtId="43" fontId="25" fillId="4" borderId="12" xfId="1" applyFont="1" applyFill="1" applyBorder="1" applyAlignment="1">
      <alignment horizontal="center" wrapText="1"/>
    </xf>
    <xf numFmtId="43" fontId="25" fillId="4" borderId="14" xfId="1" applyFont="1" applyFill="1" applyBorder="1" applyAlignment="1">
      <alignment horizontal="center" wrapText="1"/>
    </xf>
    <xf numFmtId="43" fontId="25" fillId="7" borderId="13" xfId="1" applyFont="1" applyFill="1" applyBorder="1" applyAlignment="1">
      <alignment horizontal="center" wrapText="1"/>
    </xf>
    <xf numFmtId="0" fontId="25" fillId="0" borderId="29" xfId="0" applyFont="1" applyBorder="1" applyAlignment="1">
      <alignment horizontal="center"/>
    </xf>
    <xf numFmtId="0" fontId="25" fillId="0" borderId="14" xfId="0" applyFont="1" applyBorder="1" applyAlignment="1">
      <alignment horizontal="center"/>
    </xf>
    <xf numFmtId="0" fontId="25" fillId="10" borderId="14" xfId="0" applyFont="1" applyFill="1" applyBorder="1" applyAlignment="1">
      <alignment horizontal="center" wrapText="1"/>
    </xf>
    <xf numFmtId="0" fontId="25" fillId="10" borderId="12" xfId="0" applyFont="1" applyFill="1" applyBorder="1" applyAlignment="1">
      <alignment horizontal="center" wrapText="1"/>
    </xf>
    <xf numFmtId="0" fontId="0" fillId="0" borderId="22" xfId="0" applyBorder="1"/>
    <xf numFmtId="0" fontId="25" fillId="10" borderId="13" xfId="0" applyFont="1" applyFill="1" applyBorder="1" applyAlignment="1">
      <alignment horizontal="center" wrapText="1"/>
    </xf>
    <xf numFmtId="43" fontId="0" fillId="0" borderId="8" xfId="0" applyNumberFormat="1" applyBorder="1"/>
    <xf numFmtId="43" fontId="0" fillId="0" borderId="9" xfId="0" applyNumberFormat="1" applyBorder="1"/>
    <xf numFmtId="0" fontId="26" fillId="2" borderId="17" xfId="0" applyFont="1" applyFill="1" applyBorder="1"/>
    <xf numFmtId="174" fontId="0" fillId="0" borderId="0" xfId="0" applyNumberFormat="1"/>
    <xf numFmtId="0" fontId="0" fillId="0" borderId="23" xfId="0" applyBorder="1" applyAlignment="1">
      <alignment horizontal="center"/>
    </xf>
    <xf numFmtId="0" fontId="0" fillId="0" borderId="22"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175" fontId="0" fillId="0" borderId="15" xfId="8" applyNumberFormat="1" applyFont="1" applyBorder="1"/>
    <xf numFmtId="175" fontId="0" fillId="0" borderId="16" xfId="8" applyNumberFormat="1" applyFont="1" applyBorder="1" applyAlignment="1">
      <alignment horizontal="center"/>
    </xf>
    <xf numFmtId="175" fontId="5" fillId="0" borderId="0" xfId="8" applyNumberFormat="1" applyFont="1"/>
    <xf numFmtId="175" fontId="5" fillId="0" borderId="2" xfId="8" applyNumberFormat="1" applyFont="1" applyBorder="1"/>
    <xf numFmtId="175" fontId="0" fillId="0" borderId="0" xfId="8" applyNumberFormat="1" applyFont="1"/>
    <xf numFmtId="0" fontId="14" fillId="4" borderId="0" xfId="12" quotePrefix="1" applyFont="1" applyFill="1" applyAlignment="1">
      <alignment horizontal="center"/>
    </xf>
    <xf numFmtId="14" fontId="14" fillId="4" borderId="0" xfId="12" quotePrefix="1" applyNumberFormat="1" applyFont="1" applyFill="1" applyAlignment="1">
      <alignment horizontal="center"/>
    </xf>
    <xf numFmtId="0" fontId="22" fillId="0" borderId="0" xfId="0" applyFont="1" applyAlignment="1">
      <alignment horizontal="center" vertical="center"/>
    </xf>
    <xf numFmtId="0" fontId="27" fillId="0" borderId="0" xfId="12" quotePrefix="1" applyFont="1" applyAlignment="1">
      <alignment horizontal="center" vertical="center" wrapText="1"/>
    </xf>
    <xf numFmtId="0" fontId="28" fillId="0" borderId="23" xfId="12" applyFont="1" applyBorder="1" applyAlignment="1">
      <alignment horizontal="center" vertical="center" wrapText="1"/>
    </xf>
    <xf numFmtId="3" fontId="29" fillId="0" borderId="1" xfId="0" applyNumberFormat="1" applyFont="1" applyBorder="1"/>
    <xf numFmtId="0" fontId="29" fillId="0" borderId="1" xfId="0" applyFont="1" applyBorder="1"/>
    <xf numFmtId="3" fontId="29" fillId="0" borderId="1" xfId="0" applyNumberFormat="1" applyFont="1" applyBorder="1" applyAlignment="1">
      <alignment horizontal="center"/>
    </xf>
    <xf numFmtId="3" fontId="30" fillId="0" borderId="1" xfId="0" applyNumberFormat="1" applyFont="1" applyBorder="1"/>
    <xf numFmtId="0" fontId="30" fillId="0" borderId="1" xfId="0" applyFont="1" applyBorder="1"/>
    <xf numFmtId="3" fontId="31" fillId="8" borderId="1" xfId="0" applyNumberFormat="1" applyFont="1" applyFill="1" applyBorder="1"/>
    <xf numFmtId="0" fontId="31" fillId="8" borderId="1" xfId="0" applyFont="1" applyFill="1" applyBorder="1"/>
    <xf numFmtId="3" fontId="32" fillId="0" borderId="1" xfId="0" applyNumberFormat="1" applyFont="1" applyBorder="1"/>
    <xf numFmtId="0" fontId="32" fillId="0" borderId="1" xfId="0" applyFont="1" applyBorder="1"/>
    <xf numFmtId="14" fontId="14" fillId="0" borderId="19" xfId="12" applyNumberFormat="1" applyFont="1" applyBorder="1" applyAlignment="1" applyProtection="1">
      <alignment horizontal="center"/>
      <protection locked="0"/>
    </xf>
    <xf numFmtId="14" fontId="14" fillId="0" borderId="20" xfId="12" applyNumberFormat="1" applyFont="1" applyBorder="1" applyAlignment="1" applyProtection="1">
      <alignment horizontal="center"/>
      <protection locked="0"/>
    </xf>
    <xf numFmtId="14" fontId="14" fillId="0" borderId="21" xfId="12" applyNumberFormat="1" applyFont="1" applyBorder="1" applyAlignment="1" applyProtection="1">
      <alignment horizontal="center"/>
      <protection locked="0"/>
    </xf>
    <xf numFmtId="14" fontId="11" fillId="0" borderId="0" xfId="10" applyNumberFormat="1" applyAlignment="1">
      <alignment horizontal="center"/>
    </xf>
    <xf numFmtId="0" fontId="11" fillId="0" borderId="0" xfId="10" applyAlignment="1">
      <alignment horizontal="center"/>
    </xf>
    <xf numFmtId="0" fontId="5" fillId="0" borderId="0" xfId="10" applyFont="1" applyAlignment="1">
      <alignment horizontal="left" wrapText="1"/>
    </xf>
    <xf numFmtId="0" fontId="11" fillId="0" borderId="2" xfId="10" applyBorder="1" applyAlignment="1">
      <alignment horizontal="center"/>
    </xf>
    <xf numFmtId="0" fontId="12" fillId="0" borderId="0" xfId="10" applyFont="1" applyAlignment="1">
      <alignment horizontal="center"/>
    </xf>
    <xf numFmtId="0" fontId="5" fillId="0" borderId="0" xfId="10" applyFont="1" applyAlignment="1">
      <alignment horizontal="center"/>
    </xf>
    <xf numFmtId="0" fontId="14" fillId="0" borderId="0" xfId="12" quotePrefix="1" applyFont="1" applyAlignment="1">
      <alignment horizontal="center"/>
    </xf>
    <xf numFmtId="167" fontId="8" fillId="0" borderId="19" xfId="1" applyNumberFormat="1" applyFont="1" applyFill="1" applyBorder="1" applyAlignment="1">
      <alignment horizontal="center"/>
    </xf>
    <xf numFmtId="167" fontId="8" fillId="0" borderId="20" xfId="1" applyNumberFormat="1" applyFont="1" applyFill="1" applyBorder="1" applyAlignment="1">
      <alignment horizontal="center"/>
    </xf>
    <xf numFmtId="167" fontId="8" fillId="0" borderId="21" xfId="1" applyNumberFormat="1" applyFont="1" applyFill="1" applyBorder="1" applyAlignment="1">
      <alignment horizontal="center"/>
    </xf>
    <xf numFmtId="0" fontId="0" fillId="0" borderId="0" xfId="0" applyAlignment="1">
      <alignment horizontal="left"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0" xfId="0" applyBorder="1" applyAlignment="1">
      <alignment horizontal="center"/>
    </xf>
    <xf numFmtId="0" fontId="0" fillId="0" borderId="15" xfId="0" applyBorder="1" applyAlignment="1">
      <alignment horizontal="center"/>
    </xf>
    <xf numFmtId="0" fontId="0" fillId="0" borderId="0" xfId="0" quotePrefix="1" applyAlignment="1">
      <alignment horizontal="left" wrapText="1"/>
    </xf>
    <xf numFmtId="0" fontId="0" fillId="0" borderId="0" xfId="0" quotePrefix="1" applyAlignment="1">
      <alignment horizontal="left"/>
    </xf>
    <xf numFmtId="0" fontId="5" fillId="0" borderId="0" xfId="12" applyAlignment="1">
      <alignment horizontal="right"/>
    </xf>
    <xf numFmtId="0" fontId="12" fillId="0" borderId="0" xfId="12" applyFont="1" applyAlignment="1">
      <alignment horizontal="left" wrapText="1"/>
    </xf>
    <xf numFmtId="0" fontId="5" fillId="0" borderId="2" xfId="12" applyBorder="1" applyAlignment="1">
      <alignment horizontal="center"/>
    </xf>
    <xf numFmtId="0" fontId="12" fillId="0" borderId="0" xfId="12" applyFont="1" applyAlignment="1">
      <alignment horizontal="center"/>
    </xf>
    <xf numFmtId="0" fontId="5" fillId="0" borderId="0" xfId="12" applyAlignment="1">
      <alignment horizontal="center"/>
    </xf>
    <xf numFmtId="0" fontId="5" fillId="0" borderId="0" xfId="12" applyAlignment="1">
      <alignment horizontal="left" wrapText="1"/>
    </xf>
    <xf numFmtId="0" fontId="22" fillId="0" borderId="12" xfId="0" applyFont="1" applyBorder="1" applyAlignment="1">
      <alignment horizontal="center"/>
    </xf>
    <xf numFmtId="0" fontId="22" fillId="0" borderId="14" xfId="0" applyFont="1" applyBorder="1" applyAlignment="1">
      <alignment horizontal="center"/>
    </xf>
    <xf numFmtId="0" fontId="22" fillId="0" borderId="13" xfId="0" applyFont="1" applyBorder="1" applyAlignment="1">
      <alignment horizontal="center"/>
    </xf>
    <xf numFmtId="0" fontId="27" fillId="0" borderId="14" xfId="12" quotePrefix="1" applyFont="1" applyBorder="1" applyAlignment="1">
      <alignment horizontal="center"/>
    </xf>
    <xf numFmtId="0" fontId="27" fillId="0" borderId="15" xfId="12" quotePrefix="1" applyFont="1" applyBorder="1" applyAlignment="1">
      <alignment horizontal="center"/>
    </xf>
  </cellXfs>
  <cellStyles count="17">
    <cellStyle name="Comma" xfId="1" builtinId="3"/>
    <cellStyle name="Comma 2" xfId="5" xr:uid="{00000000-0005-0000-0000-000001000000}"/>
    <cellStyle name="Comma 2 2" xfId="7" xr:uid="{00000000-0005-0000-0000-000002000000}"/>
    <cellStyle name="Comma 2 3" xfId="9" xr:uid="{00000000-0005-0000-0000-000003000000}"/>
    <cellStyle name="Comma 3" xfId="4" xr:uid="{00000000-0005-0000-0000-000004000000}"/>
    <cellStyle name="Comma 3 2" xfId="15" xr:uid="{00000000-0005-0000-0000-000005000000}"/>
    <cellStyle name="Comma 4" xfId="6" xr:uid="{00000000-0005-0000-0000-000006000000}"/>
    <cellStyle name="Normal" xfId="0" builtinId="0"/>
    <cellStyle name="Normal 2" xfId="2" xr:uid="{00000000-0005-0000-0000-000008000000}"/>
    <cellStyle name="Normal 2 2" xfId="10" xr:uid="{00000000-0005-0000-0000-000009000000}"/>
    <cellStyle name="Normal 2 3" xfId="12" xr:uid="{00000000-0005-0000-0000-00000A000000}"/>
    <cellStyle name="Normal 3" xfId="3" xr:uid="{00000000-0005-0000-0000-00000B000000}"/>
    <cellStyle name="Normal 3 2" xfId="14" xr:uid="{00000000-0005-0000-0000-00000C000000}"/>
    <cellStyle name="Normal 3 3" xfId="13" xr:uid="{00000000-0005-0000-0000-00000D000000}"/>
    <cellStyle name="Normal 7 3" xfId="11" xr:uid="{00000000-0005-0000-0000-00000E000000}"/>
    <cellStyle name="Normal_Sheet5" xfId="16" xr:uid="{19074911-5FBB-41AC-9222-1D10188DB465}"/>
    <cellStyle name="Percent" xfId="8" builtinId="5"/>
  </cellStyles>
  <dxfs count="0"/>
  <tableStyles count="0" defaultTableStyle="TableStyleMedium2" defaultPivotStyle="PivotStyleLight16"/>
  <colors>
    <mruColors>
      <color rgb="FFCC33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50"/>
  <sheetViews>
    <sheetView workbookViewId="0">
      <selection activeCell="O42" sqref="O42"/>
    </sheetView>
  </sheetViews>
  <sheetFormatPr defaultColWidth="0" defaultRowHeight="12.75" zeroHeight="1"/>
  <cols>
    <col min="1" max="9" width="9.140625" style="64" customWidth="1"/>
    <col min="10" max="10" width="23.5703125" style="64" customWidth="1"/>
    <col min="11" max="12" width="9.140625" style="64" customWidth="1"/>
    <col min="13" max="13" width="10.140625" style="64" bestFit="1" customWidth="1"/>
    <col min="14" max="18" width="9.140625" style="64" customWidth="1"/>
    <col min="19" max="16384" width="9.140625" style="64" hidden="1"/>
  </cols>
  <sheetData>
    <row r="1" spans="1:17">
      <c r="A1" s="241" t="s">
        <v>2085</v>
      </c>
      <c r="B1" s="241"/>
      <c r="C1" s="241"/>
      <c r="D1" s="241"/>
      <c r="E1" s="241"/>
      <c r="F1" s="241"/>
      <c r="G1" s="241"/>
      <c r="H1" s="241"/>
      <c r="I1" s="241"/>
      <c r="J1" s="241"/>
      <c r="K1" s="241"/>
      <c r="L1" s="241"/>
      <c r="M1" s="241"/>
      <c r="N1" s="241"/>
      <c r="O1" s="241"/>
      <c r="P1" s="241"/>
      <c r="Q1" s="241"/>
    </row>
    <row r="2" spans="1:17">
      <c r="A2" s="242" t="s">
        <v>2020</v>
      </c>
      <c r="B2" s="242"/>
      <c r="C2" s="242"/>
      <c r="D2" s="242"/>
      <c r="E2" s="242"/>
      <c r="F2" s="242"/>
      <c r="G2" s="242"/>
      <c r="H2" s="242"/>
      <c r="I2" s="242"/>
      <c r="J2" s="242"/>
      <c r="K2" s="242"/>
      <c r="L2" s="242"/>
      <c r="M2" s="242"/>
      <c r="N2" s="242"/>
      <c r="O2" s="242"/>
      <c r="P2" s="242"/>
      <c r="Q2" s="242"/>
    </row>
    <row r="3" spans="1:17">
      <c r="A3" s="243" t="s">
        <v>6409</v>
      </c>
      <c r="B3" s="243"/>
      <c r="C3" s="243"/>
      <c r="D3" s="243"/>
      <c r="E3" s="243"/>
      <c r="F3" s="243"/>
      <c r="G3" s="243"/>
      <c r="H3" s="243"/>
      <c r="I3" s="243"/>
      <c r="J3" s="243"/>
      <c r="K3" s="243"/>
      <c r="L3" s="243"/>
      <c r="M3" s="243"/>
      <c r="N3" s="243"/>
      <c r="O3" s="243"/>
      <c r="P3" s="243"/>
      <c r="Q3" s="243"/>
    </row>
    <row r="4" spans="1:17"/>
    <row r="5" spans="1:17">
      <c r="A5" s="242" t="s">
        <v>2028</v>
      </c>
      <c r="B5" s="242"/>
      <c r="C5" s="242"/>
      <c r="D5" s="242"/>
      <c r="E5" s="242"/>
      <c r="F5" s="242"/>
      <c r="G5" s="242"/>
      <c r="H5" s="242"/>
      <c r="I5" s="242"/>
      <c r="J5" s="242"/>
      <c r="K5" s="242"/>
      <c r="L5" s="242"/>
      <c r="M5" s="242"/>
      <c r="N5" s="242"/>
      <c r="O5" s="242"/>
      <c r="P5" s="242"/>
      <c r="Q5" s="242"/>
    </row>
    <row r="6" spans="1:17">
      <c r="A6" s="70"/>
      <c r="B6" s="70"/>
      <c r="C6" s="70"/>
      <c r="D6" s="70"/>
      <c r="E6" s="70"/>
      <c r="F6" s="70"/>
      <c r="G6" s="70"/>
      <c r="H6" s="70"/>
      <c r="I6" s="70"/>
      <c r="J6" s="70"/>
      <c r="K6" s="70"/>
      <c r="L6" s="70"/>
      <c r="M6" s="70"/>
    </row>
    <row r="7" spans="1:17">
      <c r="K7" s="240" t="s">
        <v>2021</v>
      </c>
      <c r="L7" s="240"/>
      <c r="M7" s="240"/>
      <c r="O7" s="240" t="s">
        <v>2022</v>
      </c>
      <c r="P7" s="240"/>
      <c r="Q7" s="240"/>
    </row>
    <row r="8" spans="1:17">
      <c r="A8" s="65" t="s">
        <v>2011</v>
      </c>
      <c r="K8" s="66" t="s">
        <v>2012</v>
      </c>
      <c r="L8" s="67"/>
      <c r="M8" s="66" t="s">
        <v>2013</v>
      </c>
      <c r="O8" s="66" t="s">
        <v>2012</v>
      </c>
      <c r="P8" s="67"/>
      <c r="Q8" s="66" t="s">
        <v>2013</v>
      </c>
    </row>
    <row r="9" spans="1:17"/>
    <row r="10" spans="1:17" ht="15">
      <c r="A10" s="239" t="s">
        <v>2066</v>
      </c>
      <c r="B10" s="239"/>
      <c r="C10" s="239"/>
      <c r="D10" s="239"/>
      <c r="E10" s="239"/>
      <c r="F10" s="239"/>
      <c r="G10" s="239"/>
      <c r="H10" s="239"/>
      <c r="I10" s="239"/>
      <c r="J10" s="69"/>
      <c r="K10" s="113" t="s">
        <v>2084</v>
      </c>
      <c r="M10" s="114">
        <v>46093</v>
      </c>
      <c r="O10" s="113" t="s">
        <v>6423</v>
      </c>
      <c r="Q10" s="114">
        <v>46093</v>
      </c>
    </row>
    <row r="11" spans="1:17">
      <c r="A11" s="239"/>
      <c r="B11" s="239"/>
      <c r="C11" s="239"/>
      <c r="D11" s="239"/>
      <c r="E11" s="239"/>
      <c r="F11" s="239"/>
      <c r="G11" s="239"/>
      <c r="H11" s="239"/>
      <c r="I11" s="239"/>
    </row>
    <row r="12" spans="1:17">
      <c r="A12" s="71"/>
      <c r="B12" s="71"/>
      <c r="C12" s="71"/>
      <c r="D12" s="71"/>
      <c r="E12" s="71"/>
      <c r="F12" s="71"/>
      <c r="G12" s="71"/>
      <c r="H12" s="71"/>
      <c r="I12" s="71"/>
    </row>
    <row r="13" spans="1:17">
      <c r="A13" s="65" t="s">
        <v>2065</v>
      </c>
    </row>
    <row r="14" spans="1:17"/>
    <row r="15" spans="1:17" ht="15" customHeight="1">
      <c r="A15" s="239" t="s">
        <v>2067</v>
      </c>
      <c r="B15" s="239"/>
      <c r="C15" s="239"/>
      <c r="D15" s="239"/>
      <c r="E15" s="239"/>
      <c r="F15" s="239"/>
      <c r="G15" s="239"/>
      <c r="H15" s="239"/>
      <c r="I15" s="239"/>
      <c r="K15" s="113" t="s">
        <v>2084</v>
      </c>
      <c r="M15" s="114">
        <v>46093</v>
      </c>
      <c r="O15" s="113" t="s">
        <v>6423</v>
      </c>
      <c r="Q15" s="114">
        <v>46093</v>
      </c>
    </row>
    <row r="16" spans="1:17">
      <c r="A16" s="239"/>
      <c r="B16" s="239"/>
      <c r="C16" s="239"/>
      <c r="D16" s="239"/>
      <c r="E16" s="239"/>
      <c r="F16" s="239"/>
      <c r="G16" s="239"/>
      <c r="H16" s="239"/>
      <c r="I16" s="239"/>
    </row>
    <row r="17" spans="1:17">
      <c r="A17" s="239"/>
      <c r="B17" s="239"/>
      <c r="C17" s="239"/>
      <c r="D17" s="239"/>
      <c r="E17" s="239"/>
      <c r="F17" s="239"/>
      <c r="G17" s="239"/>
      <c r="H17" s="239"/>
      <c r="I17" s="239"/>
    </row>
    <row r="18" spans="1:17">
      <c r="A18" s="71"/>
      <c r="B18" s="71"/>
      <c r="C18" s="71"/>
      <c r="D18" s="71"/>
      <c r="E18" s="71"/>
      <c r="F18" s="71"/>
      <c r="G18" s="71"/>
      <c r="H18" s="71"/>
      <c r="I18" s="71"/>
    </row>
    <row r="19" spans="1:17" ht="15" customHeight="1">
      <c r="A19" s="71"/>
      <c r="B19" s="71"/>
      <c r="C19" s="71"/>
      <c r="D19" s="71"/>
      <c r="E19" s="71"/>
      <c r="F19" s="71"/>
      <c r="G19" s="71"/>
      <c r="H19" s="71"/>
      <c r="I19" s="71"/>
    </row>
    <row r="20" spans="1:17">
      <c r="A20" s="65" t="s">
        <v>2023</v>
      </c>
    </row>
    <row r="21" spans="1:17"/>
    <row r="22" spans="1:17" ht="15">
      <c r="A22" s="68" t="s">
        <v>6424</v>
      </c>
      <c r="K22" s="113" t="s">
        <v>2084</v>
      </c>
      <c r="M22" s="114">
        <v>46093</v>
      </c>
      <c r="O22" s="113" t="s">
        <v>6423</v>
      </c>
      <c r="Q22" s="114">
        <v>46093</v>
      </c>
    </row>
    <row r="23" spans="1:17"/>
    <row r="24" spans="1:17" ht="15">
      <c r="A24" s="68" t="s">
        <v>2024</v>
      </c>
      <c r="K24" s="113" t="s">
        <v>2084</v>
      </c>
      <c r="M24" s="114">
        <v>46093</v>
      </c>
      <c r="O24" s="113" t="s">
        <v>6423</v>
      </c>
      <c r="Q24" s="114">
        <v>46093</v>
      </c>
    </row>
    <row r="25" spans="1:17">
      <c r="A25" s="68"/>
      <c r="M25" s="72"/>
    </row>
    <row r="26" spans="1:17" ht="15">
      <c r="A26" s="64" t="s">
        <v>2080</v>
      </c>
      <c r="K26" s="113" t="s">
        <v>2084</v>
      </c>
      <c r="M26" s="114">
        <v>46093</v>
      </c>
      <c r="O26" s="113" t="s">
        <v>6423</v>
      </c>
      <c r="Q26" s="114">
        <v>46093</v>
      </c>
    </row>
    <row r="27" spans="1:17"/>
    <row r="28" spans="1:17"/>
    <row r="29" spans="1:17">
      <c r="A29" s="65" t="s">
        <v>2014</v>
      </c>
    </row>
    <row r="30" spans="1:17"/>
    <row r="31" spans="1:17" ht="15">
      <c r="A31" s="68" t="s">
        <v>2015</v>
      </c>
      <c r="K31" s="113" t="s">
        <v>2084</v>
      </c>
      <c r="M31" s="114">
        <v>46093</v>
      </c>
      <c r="O31" s="113" t="s">
        <v>6423</v>
      </c>
      <c r="Q31" s="114">
        <v>46093</v>
      </c>
    </row>
    <row r="32" spans="1:17"/>
    <row r="33" spans="1:17" ht="15">
      <c r="A33" s="68" t="s">
        <v>2016</v>
      </c>
      <c r="K33" s="113" t="s">
        <v>2084</v>
      </c>
      <c r="M33" s="114">
        <v>46093</v>
      </c>
      <c r="O33" s="113" t="s">
        <v>6423</v>
      </c>
      <c r="Q33" s="114">
        <v>46093</v>
      </c>
    </row>
    <row r="34" spans="1:17" ht="15">
      <c r="B34" s="68" t="s">
        <v>2017</v>
      </c>
      <c r="K34" s="113"/>
      <c r="M34" s="114"/>
      <c r="O34" s="113"/>
      <c r="Q34" s="114"/>
    </row>
    <row r="35" spans="1:17"/>
    <row r="36" spans="1:17" ht="15">
      <c r="A36" s="68" t="s">
        <v>2018</v>
      </c>
      <c r="K36" s="113" t="s">
        <v>2084</v>
      </c>
      <c r="M36" s="114">
        <v>46093</v>
      </c>
      <c r="O36" s="113" t="s">
        <v>6423</v>
      </c>
      <c r="Q36" s="114">
        <v>46093</v>
      </c>
    </row>
    <row r="37" spans="1:17"/>
    <row r="38" spans="1:17"/>
    <row r="39" spans="1:17" ht="15">
      <c r="A39" s="68" t="s">
        <v>2029</v>
      </c>
      <c r="D39" s="238"/>
      <c r="E39" s="238"/>
      <c r="F39" s="238"/>
      <c r="K39" s="244" t="s">
        <v>2084</v>
      </c>
      <c r="L39" s="245"/>
      <c r="M39" s="246"/>
      <c r="O39" s="244" t="s">
        <v>6423</v>
      </c>
      <c r="P39" s="245"/>
      <c r="Q39" s="246"/>
    </row>
    <row r="40" spans="1:17">
      <c r="A40" s="68"/>
      <c r="L40" s="72"/>
    </row>
    <row r="41" spans="1:17">
      <c r="A41" s="68" t="s">
        <v>2019</v>
      </c>
      <c r="D41" s="237"/>
      <c r="E41" s="238"/>
      <c r="F41" s="238"/>
      <c r="K41" s="234">
        <v>46093</v>
      </c>
      <c r="L41" s="235"/>
      <c r="M41" s="236"/>
      <c r="O41" s="234">
        <v>46093</v>
      </c>
      <c r="P41" s="235"/>
      <c r="Q41" s="236"/>
    </row>
    <row r="42" spans="1:17"/>
    <row r="43" spans="1:17"/>
    <row r="44" spans="1:17"/>
    <row r="45" spans="1:17"/>
    <row r="46" spans="1:17"/>
    <row r="47" spans="1:17"/>
    <row r="48" spans="1:17"/>
    <row r="49"/>
    <row r="50"/>
  </sheetData>
  <mergeCells count="14">
    <mergeCell ref="A1:Q1"/>
    <mergeCell ref="A2:Q2"/>
    <mergeCell ref="A3:Q3"/>
    <mergeCell ref="A5:Q5"/>
    <mergeCell ref="K39:M39"/>
    <mergeCell ref="D39:F39"/>
    <mergeCell ref="A15:I17"/>
    <mergeCell ref="O39:Q39"/>
    <mergeCell ref="O41:Q41"/>
    <mergeCell ref="D41:F41"/>
    <mergeCell ref="A10:I11"/>
    <mergeCell ref="K7:M7"/>
    <mergeCell ref="O7:Q7"/>
    <mergeCell ref="K41:M4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60"/>
  <sheetViews>
    <sheetView topLeftCell="A69" workbookViewId="0">
      <selection activeCell="O42" sqref="O42"/>
    </sheetView>
  </sheetViews>
  <sheetFormatPr defaultColWidth="0" defaultRowHeight="15" zeroHeight="1"/>
  <cols>
    <col min="1" max="1" width="12.7109375" customWidth="1"/>
    <col min="2" max="2" width="1.85546875" style="64" customWidth="1"/>
    <col min="3" max="3" width="15.140625" style="64" bestFit="1" customWidth="1"/>
    <col min="4" max="4" width="1.85546875" style="64" customWidth="1"/>
    <col min="5" max="5" width="15" bestFit="1" customWidth="1"/>
    <col min="6" max="6" width="1.85546875" style="64" customWidth="1"/>
    <col min="7" max="7" width="14.5703125" style="64" bestFit="1" customWidth="1"/>
    <col min="8" max="8" width="1.85546875" style="64" customWidth="1"/>
    <col min="9" max="9" width="15" bestFit="1" customWidth="1"/>
    <col min="10" max="10" width="1.85546875" style="64" customWidth="1"/>
    <col min="11" max="11" width="15" bestFit="1" customWidth="1"/>
    <col min="12" max="12" width="1.85546875" style="64" customWidth="1"/>
    <col min="13" max="13" width="20.5703125" bestFit="1" customWidth="1"/>
    <col min="14" max="14" width="1.85546875" style="64" customWidth="1"/>
    <col min="15" max="15" width="18.5703125" customWidth="1"/>
    <col min="16" max="16" width="9.140625" customWidth="1"/>
    <col min="17" max="16384" width="9.140625" hidden="1"/>
  </cols>
  <sheetData>
    <row r="1" spans="1:15">
      <c r="A1" s="258" t="s">
        <v>2085</v>
      </c>
      <c r="B1" s="258"/>
      <c r="C1" s="258"/>
      <c r="D1" s="258"/>
      <c r="E1" s="258"/>
      <c r="F1" s="258"/>
      <c r="G1" s="258"/>
      <c r="H1" s="258"/>
      <c r="I1" s="258"/>
      <c r="J1" s="258"/>
      <c r="K1" s="258"/>
      <c r="L1" s="258"/>
      <c r="M1" s="258"/>
      <c r="N1" s="258"/>
      <c r="O1" s="258"/>
    </row>
    <row r="2" spans="1:15">
      <c r="A2" s="259" t="str">
        <f>Workplan!A2</f>
        <v xml:space="preserve">Annual CVET Allocation Report </v>
      </c>
      <c r="B2" s="259"/>
      <c r="C2" s="259"/>
      <c r="D2" s="259"/>
      <c r="E2" s="259"/>
      <c r="F2" s="259"/>
      <c r="G2" s="259"/>
      <c r="H2" s="259"/>
      <c r="I2" s="259"/>
      <c r="J2" s="259"/>
      <c r="K2" s="259"/>
      <c r="L2" s="259"/>
      <c r="M2" s="259"/>
      <c r="N2" s="259"/>
      <c r="O2" s="259"/>
    </row>
    <row r="3" spans="1:15">
      <c r="A3" s="259" t="str">
        <f>Workplan!A3</f>
        <v>For the year ending December 31, 2025</v>
      </c>
      <c r="B3" s="259"/>
      <c r="C3" s="259"/>
      <c r="D3" s="259"/>
      <c r="E3" s="259"/>
      <c r="F3" s="259"/>
      <c r="G3" s="259"/>
      <c r="H3" s="259"/>
      <c r="I3" s="259"/>
      <c r="J3" s="259"/>
      <c r="K3" s="259"/>
      <c r="L3" s="259"/>
      <c r="M3" s="259"/>
      <c r="N3" s="259"/>
      <c r="O3" s="259"/>
    </row>
    <row r="4" spans="1:15">
      <c r="A4" s="74"/>
      <c r="B4" s="74"/>
      <c r="C4" s="74"/>
      <c r="D4" s="74"/>
      <c r="E4" s="74"/>
      <c r="F4" s="74"/>
      <c r="G4" s="74"/>
      <c r="H4" s="74"/>
      <c r="I4" s="74"/>
      <c r="J4" s="74"/>
      <c r="K4" s="74"/>
      <c r="L4" s="74"/>
      <c r="M4" s="74"/>
      <c r="N4" s="74"/>
      <c r="O4" s="74"/>
    </row>
    <row r="5" spans="1:15">
      <c r="A5" s="259" t="s">
        <v>2030</v>
      </c>
      <c r="B5" s="259"/>
      <c r="C5" s="259"/>
      <c r="D5" s="259"/>
      <c r="E5" s="259"/>
      <c r="F5" s="259"/>
      <c r="G5" s="259"/>
      <c r="H5" s="259"/>
      <c r="I5" s="259"/>
      <c r="J5" s="259"/>
      <c r="K5" s="259"/>
      <c r="L5" s="259"/>
      <c r="M5" s="259"/>
      <c r="N5" s="259"/>
      <c r="O5" s="259"/>
    </row>
    <row r="6" spans="1:15">
      <c r="A6" s="74"/>
      <c r="B6" s="74"/>
      <c r="C6" s="74"/>
      <c r="D6" s="74"/>
      <c r="E6" s="74"/>
      <c r="F6" s="74"/>
      <c r="G6" s="74"/>
      <c r="H6" s="74"/>
      <c r="I6" s="74"/>
      <c r="J6" s="74"/>
      <c r="K6" s="74"/>
      <c r="L6" s="74"/>
      <c r="M6" s="74"/>
      <c r="N6" s="74"/>
      <c r="O6" s="74"/>
    </row>
    <row r="7" spans="1:15">
      <c r="A7" s="260" t="s">
        <v>2031</v>
      </c>
      <c r="B7" s="260"/>
      <c r="C7" s="260"/>
      <c r="D7" s="260"/>
      <c r="E7" s="260"/>
      <c r="F7" s="260"/>
      <c r="G7" s="260"/>
      <c r="H7" s="260"/>
      <c r="I7" s="260"/>
      <c r="J7" s="260"/>
      <c r="K7" s="260"/>
      <c r="L7" s="260"/>
      <c r="M7" s="260"/>
      <c r="N7" s="260"/>
      <c r="O7" s="260"/>
    </row>
    <row r="8" spans="1:15">
      <c r="A8" s="260"/>
      <c r="B8" s="260"/>
      <c r="C8" s="260"/>
      <c r="D8" s="260"/>
      <c r="E8" s="260"/>
      <c r="F8" s="260"/>
      <c r="G8" s="260"/>
      <c r="H8" s="260"/>
      <c r="I8" s="260"/>
      <c r="J8" s="260"/>
      <c r="K8" s="260"/>
      <c r="L8" s="260"/>
      <c r="M8" s="260"/>
      <c r="N8" s="260"/>
      <c r="O8" s="260"/>
    </row>
    <row r="9" spans="1:15">
      <c r="A9" s="260"/>
      <c r="B9" s="260"/>
      <c r="C9" s="260"/>
      <c r="D9" s="260"/>
      <c r="E9" s="260"/>
      <c r="F9" s="260"/>
      <c r="G9" s="260"/>
      <c r="H9" s="260"/>
      <c r="I9" s="260"/>
      <c r="J9" s="260"/>
      <c r="K9" s="260"/>
      <c r="L9" s="260"/>
      <c r="M9" s="260"/>
      <c r="N9" s="260"/>
      <c r="O9" s="260"/>
    </row>
    <row r="10" spans="1:15">
      <c r="B10" s="74"/>
      <c r="C10" s="74"/>
      <c r="D10" s="74"/>
      <c r="F10" s="74"/>
      <c r="G10" s="74"/>
      <c r="H10" s="74"/>
      <c r="J10" s="74"/>
      <c r="L10" s="74"/>
      <c r="N10" s="74"/>
    </row>
    <row r="11" spans="1:15">
      <c r="A11" s="256" t="s">
        <v>6425</v>
      </c>
      <c r="B11" s="256"/>
      <c r="C11" s="256"/>
      <c r="D11" s="256"/>
      <c r="E11" s="256"/>
      <c r="F11" s="256"/>
      <c r="G11" s="256"/>
      <c r="H11" s="256"/>
      <c r="I11" s="256"/>
      <c r="J11" s="256"/>
      <c r="K11" s="256"/>
      <c r="L11" s="256"/>
      <c r="M11" s="256"/>
      <c r="N11" s="256"/>
      <c r="O11" s="256"/>
    </row>
    <row r="12" spans="1:15">
      <c r="A12" s="256"/>
      <c r="B12" s="256"/>
      <c r="C12" s="256"/>
      <c r="D12" s="256"/>
      <c r="E12" s="256"/>
      <c r="F12" s="256"/>
      <c r="G12" s="256"/>
      <c r="H12" s="256"/>
      <c r="I12" s="256"/>
      <c r="J12" s="256"/>
      <c r="K12" s="256"/>
      <c r="L12" s="256"/>
      <c r="M12" s="256"/>
      <c r="N12" s="256"/>
      <c r="O12" s="256"/>
    </row>
    <row r="13" spans="1:15">
      <c r="A13" s="75"/>
      <c r="B13" s="75"/>
      <c r="C13" s="75"/>
      <c r="D13" s="75"/>
      <c r="E13" s="75"/>
      <c r="F13" s="75"/>
      <c r="G13" s="75"/>
      <c r="H13" s="75"/>
      <c r="I13" s="75"/>
      <c r="J13" s="75"/>
      <c r="K13" s="75"/>
      <c r="L13" s="75"/>
      <c r="M13" s="75"/>
      <c r="N13" s="75"/>
      <c r="O13" s="75"/>
    </row>
    <row r="14" spans="1:15">
      <c r="A14" s="76" t="s">
        <v>2032</v>
      </c>
      <c r="B14" s="75"/>
      <c r="C14" s="75"/>
      <c r="D14" s="75"/>
      <c r="E14" s="77" t="s">
        <v>2084</v>
      </c>
      <c r="F14" s="75"/>
      <c r="G14" s="75"/>
      <c r="H14" s="75"/>
      <c r="I14" s="74"/>
      <c r="J14" s="75"/>
      <c r="K14" s="74"/>
      <c r="L14" s="75"/>
      <c r="M14" s="74"/>
      <c r="N14" s="75"/>
      <c r="O14" s="74"/>
    </row>
    <row r="15" spans="1:15">
      <c r="A15" s="76" t="s">
        <v>2033</v>
      </c>
      <c r="B15" s="74"/>
      <c r="C15" s="74"/>
      <c r="D15" s="74"/>
      <c r="E15" s="78">
        <v>46093</v>
      </c>
      <c r="F15" s="74"/>
      <c r="G15" s="74"/>
      <c r="H15" s="74"/>
      <c r="I15" s="74"/>
      <c r="J15" s="74"/>
      <c r="K15" s="74"/>
      <c r="L15" s="74"/>
      <c r="M15" s="74"/>
      <c r="N15" s="74"/>
      <c r="O15" s="74"/>
    </row>
    <row r="16" spans="1:15">
      <c r="A16" s="74"/>
      <c r="B16" s="74"/>
      <c r="C16" s="74"/>
      <c r="D16" s="74"/>
      <c r="E16" s="74"/>
      <c r="F16" s="74"/>
      <c r="G16" s="74"/>
      <c r="H16" s="74"/>
      <c r="I16" s="74"/>
      <c r="J16" s="74"/>
      <c r="K16" s="74"/>
      <c r="L16" s="74"/>
      <c r="M16" s="74"/>
      <c r="N16" s="74"/>
      <c r="O16" s="74"/>
    </row>
    <row r="17" spans="1:15">
      <c r="A17" s="76" t="s">
        <v>2034</v>
      </c>
      <c r="B17" s="74"/>
      <c r="C17" s="74"/>
      <c r="D17" s="74"/>
      <c r="E17" s="220" t="s">
        <v>6423</v>
      </c>
      <c r="F17" s="74"/>
      <c r="G17" s="74"/>
      <c r="H17" s="74"/>
      <c r="I17" s="74"/>
      <c r="J17" s="74"/>
      <c r="K17" s="74"/>
      <c r="L17" s="74"/>
      <c r="M17" s="74"/>
      <c r="N17" s="74"/>
      <c r="O17" s="74"/>
    </row>
    <row r="18" spans="1:15">
      <c r="A18" s="76" t="s">
        <v>2035</v>
      </c>
      <c r="B18" s="74"/>
      <c r="C18" s="74"/>
      <c r="D18" s="74"/>
      <c r="E18" s="221">
        <v>46093</v>
      </c>
      <c r="F18" s="74"/>
      <c r="G18" s="74"/>
      <c r="H18" s="74"/>
      <c r="I18" s="74"/>
      <c r="J18" s="74"/>
      <c r="K18" s="74"/>
      <c r="L18" s="74"/>
      <c r="M18" s="74"/>
      <c r="N18" s="74"/>
      <c r="O18" s="74"/>
    </row>
    <row r="19" spans="1:15">
      <c r="B19" s="74"/>
      <c r="C19" s="74"/>
      <c r="D19" s="74"/>
      <c r="F19" s="74"/>
      <c r="G19" s="74"/>
      <c r="H19" s="74"/>
      <c r="J19" s="74"/>
      <c r="L19" s="74"/>
      <c r="N19" s="74"/>
    </row>
    <row r="20" spans="1:15">
      <c r="A20" s="79"/>
      <c r="B20" s="74"/>
      <c r="C20" s="74"/>
      <c r="D20" s="74"/>
      <c r="E20" s="79"/>
      <c r="F20" s="74"/>
      <c r="G20" s="74"/>
      <c r="H20" s="74"/>
      <c r="I20" s="79"/>
      <c r="J20" s="74"/>
      <c r="K20" s="79"/>
      <c r="L20" s="74"/>
      <c r="M20" s="79"/>
      <c r="N20" s="74"/>
      <c r="O20" s="74"/>
    </row>
    <row r="21" spans="1:15">
      <c r="A21" s="79"/>
      <c r="B21" s="79"/>
      <c r="C21" s="79"/>
      <c r="D21" s="79"/>
      <c r="E21" s="79"/>
      <c r="F21" s="79"/>
      <c r="G21" s="79" t="s">
        <v>2068</v>
      </c>
      <c r="H21" s="79"/>
      <c r="I21" s="79" t="s">
        <v>2039</v>
      </c>
      <c r="J21" s="79"/>
      <c r="K21" s="79" t="s">
        <v>2041</v>
      </c>
      <c r="L21" s="79"/>
      <c r="M21" s="79"/>
      <c r="N21" s="79"/>
      <c r="O21" s="79" t="s">
        <v>2037</v>
      </c>
    </row>
    <row r="22" spans="1:15">
      <c r="A22" s="80" t="s">
        <v>1993</v>
      </c>
      <c r="B22" s="79"/>
      <c r="C22" s="80" t="s">
        <v>1994</v>
      </c>
      <c r="D22" s="79"/>
      <c r="E22" s="80" t="s">
        <v>2054</v>
      </c>
      <c r="F22" s="79"/>
      <c r="G22" s="80" t="s">
        <v>1996</v>
      </c>
      <c r="H22" s="79"/>
      <c r="I22" s="80" t="s">
        <v>2040</v>
      </c>
      <c r="J22" s="79"/>
      <c r="K22" s="80" t="s">
        <v>2042</v>
      </c>
      <c r="L22" s="79"/>
      <c r="M22" s="80" t="s">
        <v>2043</v>
      </c>
      <c r="N22" s="79"/>
      <c r="O22" s="80" t="s">
        <v>2038</v>
      </c>
    </row>
    <row r="23" spans="1:15">
      <c r="A23">
        <v>75115</v>
      </c>
      <c r="B23" s="79"/>
      <c r="C23" s="79">
        <v>413300</v>
      </c>
      <c r="D23" s="79"/>
      <c r="E23" s="81" t="s">
        <v>2044</v>
      </c>
      <c r="F23" s="79"/>
      <c r="G23" s="83">
        <v>2025</v>
      </c>
      <c r="H23" s="79"/>
      <c r="I23" s="46">
        <f>-SUMIFS('Query Paste'!G3:G1600,'Query Paste'!F3:F1600,7)</f>
        <v>5755045.8099999996</v>
      </c>
      <c r="J23" s="79"/>
      <c r="K23" s="85">
        <v>5755045.8099999996</v>
      </c>
      <c r="L23" s="79"/>
      <c r="M23" s="47">
        <f>I23-K23</f>
        <v>0</v>
      </c>
      <c r="N23" s="79"/>
    </row>
    <row r="24" spans="1:15">
      <c r="A24">
        <v>75115</v>
      </c>
      <c r="B24" s="74"/>
      <c r="C24" s="79">
        <v>413300</v>
      </c>
      <c r="D24" s="74"/>
      <c r="E24" s="81" t="s">
        <v>2069</v>
      </c>
      <c r="F24" s="74"/>
      <c r="G24" s="83">
        <v>2025</v>
      </c>
      <c r="H24" s="74"/>
      <c r="I24" s="46">
        <f>-SUMIFS('Query Paste'!G3:G1600,'Query Paste'!F3:F1600,8)</f>
        <v>9644391.5099999998</v>
      </c>
      <c r="J24" s="74"/>
      <c r="K24" s="85">
        <v>9644391.5099999998</v>
      </c>
      <c r="L24" s="74"/>
      <c r="M24" s="47">
        <f t="shared" ref="M24:M34" si="0">I24-K24</f>
        <v>0</v>
      </c>
      <c r="N24" s="74"/>
    </row>
    <row r="25" spans="1:15">
      <c r="A25">
        <v>75115</v>
      </c>
      <c r="B25" s="74"/>
      <c r="C25" s="79">
        <v>413300</v>
      </c>
      <c r="D25" s="74"/>
      <c r="E25" s="82" t="s">
        <v>2045</v>
      </c>
      <c r="F25" s="74"/>
      <c r="G25" s="83">
        <v>2025</v>
      </c>
      <c r="H25" s="74"/>
      <c r="I25" s="46">
        <f>-SUMIFS('Query Paste'!G3:G1600,'Query Paste'!F3:F1600,9)</f>
        <v>10706086.93</v>
      </c>
      <c r="J25" s="74"/>
      <c r="K25" s="85">
        <v>10706086.93</v>
      </c>
      <c r="L25" s="74"/>
      <c r="M25" s="47">
        <f t="shared" si="0"/>
        <v>0</v>
      </c>
      <c r="N25" s="74"/>
    </row>
    <row r="26" spans="1:15">
      <c r="A26">
        <v>75115</v>
      </c>
      <c r="B26" s="74"/>
      <c r="C26" s="79">
        <v>413300</v>
      </c>
      <c r="D26" s="74"/>
      <c r="E26" s="82" t="s">
        <v>2046</v>
      </c>
      <c r="F26" s="74"/>
      <c r="G26" s="83">
        <v>2025</v>
      </c>
      <c r="H26" s="74"/>
      <c r="I26" s="46">
        <f>-SUMIFS('Query Paste'!G3:G1600,'Query Paste'!F3:F1600,10)</f>
        <v>8293815.6500000004</v>
      </c>
      <c r="J26" s="74"/>
      <c r="K26" s="85">
        <v>8293815.6500000004</v>
      </c>
      <c r="L26" s="74"/>
      <c r="M26" s="47">
        <f t="shared" si="0"/>
        <v>0</v>
      </c>
      <c r="N26" s="74"/>
    </row>
    <row r="27" spans="1:15">
      <c r="A27">
        <v>75115</v>
      </c>
      <c r="B27" s="74"/>
      <c r="C27" s="79">
        <v>413300</v>
      </c>
      <c r="D27" s="74"/>
      <c r="E27" s="82" t="s">
        <v>2079</v>
      </c>
      <c r="F27" s="74"/>
      <c r="G27" s="83">
        <v>2025</v>
      </c>
      <c r="H27" s="74"/>
      <c r="I27" s="46">
        <f>-SUMIFS('Query Paste'!G3:G1600,'Query Paste'!F3:F1600,11)</f>
        <v>4639841.84</v>
      </c>
      <c r="J27" s="74"/>
      <c r="K27" s="85">
        <v>4639841.84</v>
      </c>
      <c r="L27" s="74"/>
      <c r="M27" s="47">
        <f t="shared" si="0"/>
        <v>0</v>
      </c>
      <c r="N27" s="74"/>
    </row>
    <row r="28" spans="1:15">
      <c r="A28">
        <v>75115</v>
      </c>
      <c r="B28" s="74"/>
      <c r="C28" s="79">
        <v>413300</v>
      </c>
      <c r="D28" s="74"/>
      <c r="E28" s="82" t="s">
        <v>2047</v>
      </c>
      <c r="F28" s="74"/>
      <c r="G28" s="83">
        <v>2025</v>
      </c>
      <c r="H28" s="74"/>
      <c r="I28" s="46">
        <f>-SUMIFS('Query Paste'!G3:G1600,'Query Paste'!F3:F1600,12)</f>
        <v>4609493.33</v>
      </c>
      <c r="J28" s="74"/>
      <c r="K28" s="85">
        <v>4609493.33</v>
      </c>
      <c r="L28" s="74"/>
      <c r="M28" s="47">
        <f t="shared" si="0"/>
        <v>0</v>
      </c>
      <c r="N28" s="74"/>
    </row>
    <row r="29" spans="1:15">
      <c r="A29">
        <v>75115</v>
      </c>
      <c r="B29" s="74"/>
      <c r="C29" s="79">
        <v>413300</v>
      </c>
      <c r="D29" s="74"/>
      <c r="E29" s="82" t="s">
        <v>2048</v>
      </c>
      <c r="F29" s="74"/>
      <c r="G29" s="83">
        <v>2025</v>
      </c>
      <c r="H29" s="74"/>
      <c r="I29" s="46">
        <f>-SUMIFS('Query Paste'!G3:G1600,'Query Paste'!F3:F1600,1)</f>
        <v>3486042.5999999996</v>
      </c>
      <c r="J29" s="74"/>
      <c r="K29" s="85">
        <v>1860149.38</v>
      </c>
      <c r="L29" s="74"/>
      <c r="M29" s="47">
        <f t="shared" si="0"/>
        <v>1625893.2199999997</v>
      </c>
      <c r="N29" s="74"/>
      <c r="O29" t="s">
        <v>6414</v>
      </c>
    </row>
    <row r="30" spans="1:15">
      <c r="A30">
        <v>75115</v>
      </c>
      <c r="B30" s="74"/>
      <c r="C30" s="79">
        <v>413300</v>
      </c>
      <c r="D30" s="74"/>
      <c r="E30" s="82" t="s">
        <v>2049</v>
      </c>
      <c r="F30" s="74"/>
      <c r="G30" s="83">
        <v>2025</v>
      </c>
      <c r="H30" s="74"/>
      <c r="I30" s="46">
        <f>-SUMIFS('Query Paste'!G3:G1600,'Query Paste'!F3:F1600,2)</f>
        <v>3189067.34</v>
      </c>
      <c r="J30" s="74"/>
      <c r="K30" s="85">
        <v>4814960.5599999996</v>
      </c>
      <c r="L30" s="74"/>
      <c r="M30" s="47">
        <f t="shared" si="0"/>
        <v>-1625893.2199999997</v>
      </c>
      <c r="N30" s="74"/>
      <c r="O30" t="s">
        <v>6415</v>
      </c>
    </row>
    <row r="31" spans="1:15">
      <c r="A31">
        <v>75115</v>
      </c>
      <c r="B31" s="74"/>
      <c r="C31" s="79">
        <v>413300</v>
      </c>
      <c r="D31" s="74"/>
      <c r="E31" s="82" t="s">
        <v>2050</v>
      </c>
      <c r="F31" s="74"/>
      <c r="G31" s="83">
        <v>2025</v>
      </c>
      <c r="H31" s="74"/>
      <c r="I31" s="46">
        <f>-SUMIFS('Query Paste'!G3:G1600,'Query Paste'!F3:F1600,3)</f>
        <v>3463339.73</v>
      </c>
      <c r="J31" s="74"/>
      <c r="K31" s="85">
        <v>3463339.73</v>
      </c>
      <c r="L31" s="74"/>
      <c r="M31" s="47">
        <f t="shared" si="0"/>
        <v>0</v>
      </c>
      <c r="N31" s="74"/>
    </row>
    <row r="32" spans="1:15">
      <c r="A32">
        <v>75115</v>
      </c>
      <c r="C32" s="79">
        <v>413300</v>
      </c>
      <c r="E32" s="82" t="s">
        <v>2051</v>
      </c>
      <c r="G32" s="83">
        <v>2025</v>
      </c>
      <c r="I32" s="46">
        <f>-SUMIFS('Query Paste'!G3:G1600,'Query Paste'!F3:F1600,4)</f>
        <v>4078824.7</v>
      </c>
      <c r="K32" s="85">
        <v>4078824.7</v>
      </c>
      <c r="M32" s="47">
        <f t="shared" si="0"/>
        <v>0</v>
      </c>
    </row>
    <row r="33" spans="1:15">
      <c r="A33">
        <v>75115</v>
      </c>
      <c r="C33" s="79">
        <v>413300</v>
      </c>
      <c r="E33" s="82" t="s">
        <v>2052</v>
      </c>
      <c r="G33" s="83">
        <v>2025</v>
      </c>
      <c r="I33" s="46">
        <f>-SUMIFS('Query Paste'!G3:G1600,'Query Paste'!F3:F1600,5)</f>
        <v>2555931.6800000002</v>
      </c>
      <c r="K33" s="85">
        <v>2555931.6800000002</v>
      </c>
      <c r="M33" s="47">
        <f t="shared" si="0"/>
        <v>0</v>
      </c>
    </row>
    <row r="34" spans="1:15">
      <c r="A34">
        <v>75115</v>
      </c>
      <c r="C34" s="79">
        <v>413300</v>
      </c>
      <c r="E34" s="82" t="s">
        <v>2053</v>
      </c>
      <c r="G34" s="83">
        <v>2025</v>
      </c>
      <c r="I34" s="46">
        <f>-SUMIFS('Query Paste'!G3:G1600,'Query Paste'!F3:F1600,6)</f>
        <v>4251966.0199999996</v>
      </c>
      <c r="K34" s="85">
        <v>4251966.0199999996</v>
      </c>
      <c r="M34" s="47">
        <f t="shared" si="0"/>
        <v>0</v>
      </c>
    </row>
    <row r="35" spans="1:15" ht="15.75" thickBot="1">
      <c r="E35" s="255" t="s">
        <v>2055</v>
      </c>
      <c r="F35" s="255"/>
      <c r="G35" s="255"/>
      <c r="I35" s="84">
        <f>SUM(I23:I34)</f>
        <v>64673847.139999986</v>
      </c>
      <c r="K35" s="84">
        <f>SUM(K23:K34)</f>
        <v>64673847.140000001</v>
      </c>
      <c r="M35" s="84">
        <f>SUM(M23:M34)</f>
        <v>0</v>
      </c>
    </row>
    <row r="36" spans="1:15" ht="15.75" thickTop="1"/>
    <row r="37" spans="1:15"/>
    <row r="38" spans="1:15">
      <c r="A38" s="256" t="s">
        <v>2070</v>
      </c>
      <c r="B38" s="256"/>
      <c r="C38" s="256"/>
      <c r="D38" s="256"/>
      <c r="E38" s="256"/>
      <c r="F38" s="256"/>
      <c r="G38" s="256"/>
      <c r="H38" s="256"/>
      <c r="I38" s="256"/>
      <c r="J38" s="256"/>
      <c r="K38" s="256"/>
      <c r="L38" s="256"/>
      <c r="M38" s="256"/>
      <c r="N38" s="256"/>
      <c r="O38" s="256"/>
    </row>
    <row r="39" spans="1:15">
      <c r="A39" s="256"/>
      <c r="B39" s="256"/>
      <c r="C39" s="256"/>
      <c r="D39" s="256"/>
      <c r="E39" s="256"/>
      <c r="F39" s="256"/>
      <c r="G39" s="256"/>
      <c r="H39" s="256"/>
      <c r="I39" s="256"/>
      <c r="J39" s="256"/>
      <c r="K39" s="256"/>
      <c r="L39" s="256"/>
      <c r="M39" s="256"/>
      <c r="N39" s="256"/>
      <c r="O39" s="256"/>
    </row>
    <row r="40" spans="1:15">
      <c r="A40" s="91"/>
      <c r="B40" s="91"/>
      <c r="C40" s="91"/>
      <c r="D40" s="91"/>
      <c r="E40" s="91"/>
      <c r="F40" s="91"/>
      <c r="G40" s="91"/>
      <c r="H40" s="91"/>
      <c r="I40" s="91"/>
      <c r="J40" s="91"/>
      <c r="K40" s="91"/>
      <c r="L40" s="91"/>
      <c r="M40" s="91"/>
      <c r="N40" s="91"/>
      <c r="O40" s="91"/>
    </row>
    <row r="41" spans="1:15">
      <c r="A41" s="76" t="s">
        <v>2032</v>
      </c>
      <c r="B41" s="91"/>
      <c r="C41" s="91"/>
      <c r="D41" s="91"/>
      <c r="E41" s="77" t="s">
        <v>2084</v>
      </c>
      <c r="F41" s="91"/>
      <c r="G41" s="91"/>
      <c r="H41" s="91"/>
      <c r="I41" s="91"/>
      <c r="J41" s="91"/>
      <c r="K41" s="91"/>
      <c r="L41" s="91"/>
      <c r="M41" s="91"/>
      <c r="N41" s="91"/>
      <c r="O41" s="91"/>
    </row>
    <row r="42" spans="1:15">
      <c r="A42" s="76" t="s">
        <v>2033</v>
      </c>
      <c r="B42" s="91"/>
      <c r="C42" s="91"/>
      <c r="D42" s="91"/>
      <c r="E42" s="78">
        <v>46093</v>
      </c>
      <c r="F42" s="91"/>
      <c r="G42" s="91"/>
      <c r="H42" s="91"/>
      <c r="I42" s="91"/>
      <c r="J42" s="91"/>
      <c r="K42" s="91"/>
      <c r="L42" s="91"/>
      <c r="M42" s="91"/>
      <c r="N42" s="91"/>
      <c r="O42" s="91"/>
    </row>
    <row r="43" spans="1:15">
      <c r="A43" s="74"/>
      <c r="B43" s="91"/>
      <c r="C43" s="91"/>
      <c r="D43" s="91"/>
      <c r="E43" s="74"/>
      <c r="F43" s="91"/>
      <c r="G43" s="91"/>
      <c r="H43" s="91"/>
      <c r="I43" s="91"/>
      <c r="J43" s="91"/>
      <c r="K43" s="91"/>
      <c r="L43" s="91"/>
      <c r="M43" s="91"/>
      <c r="N43" s="91"/>
      <c r="O43" s="91"/>
    </row>
    <row r="44" spans="1:15">
      <c r="A44" s="76" t="s">
        <v>2034</v>
      </c>
      <c r="B44" s="91"/>
      <c r="C44" s="91"/>
      <c r="D44" s="91"/>
      <c r="E44" s="220" t="s">
        <v>6426</v>
      </c>
      <c r="F44" s="91"/>
      <c r="G44" s="91"/>
      <c r="H44" s="91"/>
      <c r="I44" s="91"/>
      <c r="J44" s="91"/>
      <c r="K44" s="91"/>
      <c r="L44" s="91"/>
      <c r="M44" s="91"/>
      <c r="N44" s="91"/>
      <c r="O44" s="91"/>
    </row>
    <row r="45" spans="1:15">
      <c r="A45" s="76" t="s">
        <v>2035</v>
      </c>
      <c r="B45" s="91"/>
      <c r="C45" s="91"/>
      <c r="D45" s="91"/>
      <c r="E45" s="221">
        <v>46093</v>
      </c>
      <c r="F45" s="91"/>
      <c r="G45" s="91"/>
      <c r="H45" s="91"/>
      <c r="I45" s="91"/>
      <c r="J45" s="91"/>
      <c r="K45" s="91"/>
      <c r="L45" s="91"/>
      <c r="M45" s="91"/>
      <c r="N45" s="91"/>
      <c r="O45" s="91"/>
    </row>
    <row r="46" spans="1:15">
      <c r="A46" s="91"/>
      <c r="B46" s="91"/>
      <c r="C46" s="91"/>
      <c r="D46" s="91"/>
      <c r="E46" s="91"/>
      <c r="F46" s="91"/>
      <c r="G46" s="91"/>
      <c r="H46" s="91"/>
      <c r="I46" s="91"/>
      <c r="J46" s="91"/>
      <c r="K46" s="91"/>
      <c r="L46" s="91"/>
      <c r="M46" s="91"/>
      <c r="N46" s="91"/>
      <c r="O46" s="91"/>
    </row>
    <row r="47" spans="1:15">
      <c r="A47" s="91"/>
      <c r="B47" s="91"/>
      <c r="C47" s="91"/>
      <c r="D47" s="91"/>
      <c r="E47" s="91"/>
      <c r="F47" s="91"/>
      <c r="G47" s="91"/>
      <c r="H47" s="91"/>
      <c r="I47" s="91"/>
      <c r="J47" s="91"/>
      <c r="K47" s="91"/>
      <c r="L47" s="91"/>
      <c r="M47" s="91"/>
      <c r="N47" s="91"/>
      <c r="O47" s="91"/>
    </row>
    <row r="48" spans="1:15">
      <c r="E48" t="s">
        <v>2036</v>
      </c>
      <c r="G48" s="64" t="s">
        <v>2056</v>
      </c>
      <c r="I48" s="257" t="s">
        <v>2059</v>
      </c>
      <c r="J48" s="257"/>
      <c r="K48" s="257"/>
    </row>
    <row r="49" spans="1:15">
      <c r="A49" s="80" t="s">
        <v>1993</v>
      </c>
      <c r="B49" s="79"/>
      <c r="C49" s="80" t="s">
        <v>1994</v>
      </c>
      <c r="E49" s="92" t="s">
        <v>1996</v>
      </c>
      <c r="G49" s="86" t="s">
        <v>1996</v>
      </c>
      <c r="I49" s="92" t="s">
        <v>2057</v>
      </c>
      <c r="K49" s="92" t="s">
        <v>2058</v>
      </c>
      <c r="M49" s="86" t="s">
        <v>2060</v>
      </c>
    </row>
    <row r="50" spans="1:15">
      <c r="A50">
        <v>75115</v>
      </c>
      <c r="B50" s="79"/>
      <c r="C50" s="79">
        <v>413300</v>
      </c>
      <c r="E50" s="47">
        <f>SUM('Query Paste'!G3:G1600)</f>
        <v>-64673847.140000001</v>
      </c>
      <c r="G50" s="88">
        <f>SUM('Query Paste PY'!G3:G1600)</f>
        <v>-66698220.93</v>
      </c>
      <c r="I50" s="47">
        <f>E50-G50</f>
        <v>2024373.7899999991</v>
      </c>
      <c r="K50" s="90">
        <f>ROUND(I50/G50,4)</f>
        <v>-3.04E-2</v>
      </c>
    </row>
    <row r="51" spans="1:15"/>
    <row r="52" spans="1:15">
      <c r="A52" s="256" t="s">
        <v>2082</v>
      </c>
      <c r="B52" s="256"/>
      <c r="C52" s="256"/>
      <c r="D52" s="256"/>
      <c r="E52" s="256"/>
      <c r="F52" s="256"/>
      <c r="G52" s="256"/>
      <c r="H52" s="256"/>
      <c r="I52" s="256"/>
      <c r="J52" s="256"/>
      <c r="K52" s="256"/>
      <c r="L52" s="256"/>
      <c r="M52" s="256"/>
      <c r="N52" s="256"/>
      <c r="O52" s="256"/>
    </row>
    <row r="53" spans="1:15">
      <c r="A53" s="256"/>
      <c r="B53" s="256"/>
      <c r="C53" s="256"/>
      <c r="D53" s="256"/>
      <c r="E53" s="256"/>
      <c r="F53" s="256"/>
      <c r="G53" s="256"/>
      <c r="H53" s="256"/>
      <c r="I53" s="256"/>
      <c r="J53" s="256"/>
      <c r="K53" s="256"/>
      <c r="L53" s="256"/>
      <c r="M53" s="256"/>
      <c r="N53" s="256"/>
      <c r="O53" s="256"/>
    </row>
    <row r="54" spans="1:15">
      <c r="A54" s="91"/>
      <c r="B54" s="91"/>
      <c r="C54" s="91"/>
      <c r="D54" s="91"/>
      <c r="E54" s="91"/>
      <c r="F54" s="91"/>
      <c r="G54" s="91"/>
      <c r="H54" s="91"/>
      <c r="I54" s="91"/>
      <c r="J54" s="91"/>
      <c r="K54" s="91"/>
      <c r="L54" s="91"/>
      <c r="M54" s="91"/>
      <c r="N54" s="91"/>
      <c r="O54" s="91"/>
    </row>
    <row r="55" spans="1:15">
      <c r="A55" s="76" t="s">
        <v>2032</v>
      </c>
      <c r="B55" s="91"/>
      <c r="C55" s="91"/>
      <c r="D55" s="91"/>
      <c r="E55" s="77" t="s">
        <v>2084</v>
      </c>
      <c r="F55" s="91"/>
      <c r="G55" s="91"/>
      <c r="H55" s="91"/>
      <c r="I55" s="91"/>
      <c r="J55" s="91"/>
      <c r="K55" s="91"/>
      <c r="L55" s="91"/>
      <c r="M55" s="91"/>
      <c r="N55" s="91"/>
      <c r="O55" s="91"/>
    </row>
    <row r="56" spans="1:15">
      <c r="A56" s="76" t="s">
        <v>2033</v>
      </c>
      <c r="B56" s="91"/>
      <c r="C56" s="91"/>
      <c r="D56" s="91"/>
      <c r="E56" s="78">
        <v>46093</v>
      </c>
      <c r="F56" s="91"/>
      <c r="G56" s="91"/>
      <c r="H56" s="91"/>
      <c r="I56" s="91"/>
      <c r="J56" s="91"/>
      <c r="K56" s="91"/>
      <c r="L56" s="91"/>
      <c r="M56" s="91"/>
      <c r="N56" s="91"/>
      <c r="O56" s="91"/>
    </row>
    <row r="57" spans="1:15">
      <c r="A57" s="74"/>
      <c r="B57" s="91"/>
      <c r="C57" s="91"/>
      <c r="D57" s="91"/>
      <c r="E57" s="74"/>
      <c r="F57" s="91"/>
      <c r="G57" s="91"/>
      <c r="H57" s="91"/>
      <c r="I57" s="91"/>
      <c r="J57" s="91"/>
      <c r="K57" s="91"/>
      <c r="L57" s="91"/>
      <c r="M57" s="91"/>
      <c r="N57" s="91"/>
      <c r="O57" s="91"/>
    </row>
    <row r="58" spans="1:15">
      <c r="A58" s="76" t="s">
        <v>2034</v>
      </c>
      <c r="B58" s="91"/>
      <c r="C58" s="91"/>
      <c r="D58" s="91"/>
      <c r="E58" s="220" t="s">
        <v>6423</v>
      </c>
      <c r="F58" s="91"/>
      <c r="G58" s="91"/>
      <c r="H58" s="91"/>
      <c r="I58" s="91"/>
      <c r="J58" s="91"/>
      <c r="K58" s="91"/>
      <c r="L58" s="91"/>
      <c r="M58" s="91"/>
      <c r="N58" s="91"/>
      <c r="O58" s="91"/>
    </row>
    <row r="59" spans="1:15">
      <c r="A59" s="76" t="s">
        <v>2035</v>
      </c>
      <c r="B59" s="91"/>
      <c r="C59" s="91"/>
      <c r="D59" s="91"/>
      <c r="E59" s="221">
        <v>46093</v>
      </c>
      <c r="F59" s="91"/>
      <c r="G59" s="91"/>
      <c r="H59" s="91"/>
      <c r="I59" s="91"/>
      <c r="J59" s="91"/>
      <c r="K59" s="91"/>
      <c r="L59" s="91"/>
      <c r="M59" s="91"/>
      <c r="N59" s="91"/>
      <c r="O59" s="91"/>
    </row>
    <row r="60" spans="1:15">
      <c r="A60" s="91"/>
      <c r="B60" s="91"/>
      <c r="C60" s="91"/>
      <c r="D60" s="91"/>
      <c r="E60" s="91"/>
      <c r="F60" s="91"/>
      <c r="G60" s="91"/>
      <c r="H60" s="91"/>
      <c r="I60" s="91"/>
      <c r="J60" s="91"/>
      <c r="K60" s="91"/>
      <c r="L60" s="91"/>
      <c r="M60" s="91"/>
      <c r="N60" s="91"/>
      <c r="O60" s="91"/>
    </row>
    <row r="61" spans="1:15">
      <c r="C61" s="67"/>
      <c r="D61" s="67"/>
      <c r="E61" s="49"/>
      <c r="G61" s="257" t="s">
        <v>2059</v>
      </c>
      <c r="H61" s="257"/>
      <c r="I61" s="257"/>
    </row>
    <row r="62" spans="1:15">
      <c r="A62" t="s">
        <v>1894</v>
      </c>
      <c r="C62" s="73" t="s">
        <v>2063</v>
      </c>
      <c r="D62" s="67"/>
      <c r="E62" s="93" t="s">
        <v>2064</v>
      </c>
      <c r="G62" s="92" t="s">
        <v>2057</v>
      </c>
      <c r="I62" s="92" t="s">
        <v>2058</v>
      </c>
      <c r="K62" s="86" t="s">
        <v>2060</v>
      </c>
    </row>
    <row r="63" spans="1:15">
      <c r="A63" t="str">
        <f>'Allocation Worksheet'!B4</f>
        <v>Adams</v>
      </c>
      <c r="C63" s="87">
        <f>'Allocation Worksheet'!D4</f>
        <v>287723</v>
      </c>
      <c r="E63" s="46">
        <f>'Allocation Worksheet'!E4</f>
        <v>296729</v>
      </c>
      <c r="G63" s="87">
        <f t="shared" ref="G63:G126" si="1">C63-E63</f>
        <v>-9006</v>
      </c>
      <c r="I63" s="89">
        <f t="shared" ref="I63:I126" si="2">ROUND(G63/E63,4)</f>
        <v>-3.04E-2</v>
      </c>
    </row>
    <row r="64" spans="1:15">
      <c r="A64" t="str">
        <f>'Allocation Worksheet'!B5</f>
        <v>Allen</v>
      </c>
      <c r="C64" s="87">
        <f>'Allocation Worksheet'!D5</f>
        <v>3709709</v>
      </c>
      <c r="E64" s="46">
        <f>'Allocation Worksheet'!E5</f>
        <v>3825828</v>
      </c>
      <c r="G64" s="87">
        <f t="shared" si="1"/>
        <v>-116119</v>
      </c>
      <c r="I64" s="89">
        <f t="shared" si="2"/>
        <v>-3.04E-2</v>
      </c>
    </row>
    <row r="65" spans="1:14">
      <c r="A65" t="str">
        <f>'Allocation Worksheet'!B6</f>
        <v>Bartholomew</v>
      </c>
      <c r="C65" s="87">
        <f>'Allocation Worksheet'!D6</f>
        <v>665425</v>
      </c>
      <c r="E65" s="46">
        <f>'Allocation Worksheet'!E6</f>
        <v>686254</v>
      </c>
      <c r="G65" s="87">
        <f t="shared" si="1"/>
        <v>-20829</v>
      </c>
      <c r="I65" s="89">
        <f t="shared" si="2"/>
        <v>-3.04E-2</v>
      </c>
    </row>
    <row r="66" spans="1:14">
      <c r="A66" t="str">
        <f>'Allocation Worksheet'!B7</f>
        <v>Benton</v>
      </c>
      <c r="C66" s="87">
        <f>'Allocation Worksheet'!D7</f>
        <v>191532</v>
      </c>
      <c r="E66" s="46">
        <f>'Allocation Worksheet'!E7</f>
        <v>197527</v>
      </c>
      <c r="G66" s="87">
        <f t="shared" si="1"/>
        <v>-5995</v>
      </c>
      <c r="I66" s="89">
        <f t="shared" si="2"/>
        <v>-3.04E-2</v>
      </c>
    </row>
    <row r="67" spans="1:14">
      <c r="A67" t="str">
        <f>'Allocation Worksheet'!B8</f>
        <v>Blackford</v>
      </c>
      <c r="B67" s="74"/>
      <c r="C67" s="87">
        <f>'Allocation Worksheet'!D8</f>
        <v>115313</v>
      </c>
      <c r="E67" s="46">
        <f>'Allocation Worksheet'!E8</f>
        <v>118923</v>
      </c>
      <c r="F67" s="74"/>
      <c r="G67" s="87">
        <f t="shared" si="1"/>
        <v>-3610</v>
      </c>
      <c r="I67" s="89">
        <f t="shared" si="2"/>
        <v>-3.04E-2</v>
      </c>
      <c r="J67" s="74"/>
      <c r="L67" s="74"/>
      <c r="N67" s="74"/>
    </row>
    <row r="68" spans="1:14">
      <c r="A68" t="str">
        <f>'Allocation Worksheet'!B9</f>
        <v>Boone</v>
      </c>
      <c r="B68"/>
      <c r="C68" s="87">
        <f>'Allocation Worksheet'!D9</f>
        <v>505208</v>
      </c>
      <c r="E68" s="46">
        <f>'Allocation Worksheet'!E9</f>
        <v>521022</v>
      </c>
      <c r="F68"/>
      <c r="G68" s="87">
        <f t="shared" si="1"/>
        <v>-15814</v>
      </c>
      <c r="I68" s="89">
        <f t="shared" si="2"/>
        <v>-3.04E-2</v>
      </c>
      <c r="J68"/>
      <c r="L68"/>
      <c r="N68"/>
    </row>
    <row r="69" spans="1:14">
      <c r="A69" t="str">
        <f>'Allocation Worksheet'!B10</f>
        <v>Brown</v>
      </c>
      <c r="C69" s="87">
        <f>'Allocation Worksheet'!D10</f>
        <v>148145</v>
      </c>
      <c r="E69" s="46">
        <f>'Allocation Worksheet'!E10</f>
        <v>152783</v>
      </c>
      <c r="G69" s="87">
        <f t="shared" si="1"/>
        <v>-4638</v>
      </c>
      <c r="I69" s="89">
        <f t="shared" si="2"/>
        <v>-3.04E-2</v>
      </c>
    </row>
    <row r="70" spans="1:14">
      <c r="A70" t="str">
        <f>'Allocation Worksheet'!B11</f>
        <v>Carroll</v>
      </c>
      <c r="B70" s="74"/>
      <c r="C70" s="87">
        <f>'Allocation Worksheet'!D11</f>
        <v>234042</v>
      </c>
      <c r="E70" s="46">
        <f>'Allocation Worksheet'!E11</f>
        <v>241368</v>
      </c>
      <c r="F70" s="74"/>
      <c r="G70" s="87">
        <f t="shared" si="1"/>
        <v>-7326</v>
      </c>
      <c r="I70" s="89">
        <f t="shared" si="2"/>
        <v>-3.04E-2</v>
      </c>
      <c r="J70" s="74"/>
      <c r="L70" s="74"/>
      <c r="N70" s="74"/>
    </row>
    <row r="71" spans="1:14">
      <c r="A71" t="str">
        <f>'Allocation Worksheet'!B12</f>
        <v>Cass</v>
      </c>
      <c r="B71" s="74"/>
      <c r="C71" s="87">
        <f>'Allocation Worksheet'!D12</f>
        <v>366695</v>
      </c>
      <c r="E71" s="46">
        <f>'Allocation Worksheet'!E12</f>
        <v>378174</v>
      </c>
      <c r="F71" s="74"/>
      <c r="G71" s="87">
        <f t="shared" si="1"/>
        <v>-11479</v>
      </c>
      <c r="I71" s="89">
        <f t="shared" si="2"/>
        <v>-3.04E-2</v>
      </c>
      <c r="J71" s="74"/>
      <c r="L71" s="74"/>
      <c r="N71" s="74"/>
    </row>
    <row r="72" spans="1:14">
      <c r="A72" t="str">
        <f>'Allocation Worksheet'!B13</f>
        <v>Clark</v>
      </c>
      <c r="B72" s="74"/>
      <c r="C72" s="87">
        <f>'Allocation Worksheet'!D13</f>
        <v>1494199</v>
      </c>
      <c r="E72" s="46">
        <f>'Allocation Worksheet'!E13</f>
        <v>1540969</v>
      </c>
      <c r="F72" s="74"/>
      <c r="G72" s="87">
        <f t="shared" si="1"/>
        <v>-46770</v>
      </c>
      <c r="I72" s="89">
        <f t="shared" si="2"/>
        <v>-3.04E-2</v>
      </c>
      <c r="J72" s="74"/>
      <c r="L72" s="74"/>
      <c r="N72" s="74"/>
    </row>
    <row r="73" spans="1:14">
      <c r="A73" t="str">
        <f>'Allocation Worksheet'!B14</f>
        <v>Clay</v>
      </c>
      <c r="B73" s="74"/>
      <c r="C73" s="87">
        <f>'Allocation Worksheet'!D14</f>
        <v>250440</v>
      </c>
      <c r="E73" s="46">
        <f>'Allocation Worksheet'!E14</f>
        <v>258279</v>
      </c>
      <c r="F73" s="74"/>
      <c r="G73" s="87">
        <f t="shared" si="1"/>
        <v>-7839</v>
      </c>
      <c r="I73" s="89">
        <f t="shared" si="2"/>
        <v>-3.04E-2</v>
      </c>
      <c r="J73" s="74"/>
      <c r="L73" s="74"/>
      <c r="N73" s="74"/>
    </row>
    <row r="74" spans="1:14">
      <c r="A74" t="str">
        <f>'Allocation Worksheet'!B15</f>
        <v>Clinton</v>
      </c>
      <c r="B74" s="74"/>
      <c r="C74" s="87">
        <f>'Allocation Worksheet'!D15</f>
        <v>485063</v>
      </c>
      <c r="E74" s="46">
        <f>'Allocation Worksheet'!E15</f>
        <v>500247</v>
      </c>
      <c r="F74" s="74"/>
      <c r="G74" s="87">
        <f t="shared" si="1"/>
        <v>-15184</v>
      </c>
      <c r="I74" s="89">
        <f t="shared" si="2"/>
        <v>-3.04E-2</v>
      </c>
      <c r="J74" s="74"/>
      <c r="L74" s="74"/>
      <c r="N74" s="74"/>
    </row>
    <row r="75" spans="1:14">
      <c r="A75" t="str">
        <f>'Allocation Worksheet'!B16</f>
        <v>Crawford</v>
      </c>
      <c r="B75" s="74"/>
      <c r="C75" s="87">
        <f>'Allocation Worksheet'!D16</f>
        <v>21687</v>
      </c>
      <c r="E75" s="46">
        <f>'Allocation Worksheet'!E16</f>
        <v>22366</v>
      </c>
      <c r="F75" s="74"/>
      <c r="G75" s="87">
        <f t="shared" si="1"/>
        <v>-679</v>
      </c>
      <c r="I75" s="89">
        <f t="shared" si="2"/>
        <v>-3.04E-2</v>
      </c>
      <c r="J75" s="74"/>
      <c r="L75" s="74"/>
      <c r="N75" s="74"/>
    </row>
    <row r="76" spans="1:14">
      <c r="A76" t="str">
        <f>'Allocation Worksheet'!B17</f>
        <v>Daviess</v>
      </c>
      <c r="B76" s="79"/>
      <c r="C76" s="87">
        <f>'Allocation Worksheet'!D17</f>
        <v>476173</v>
      </c>
      <c r="E76" s="46">
        <f>'Allocation Worksheet'!E17</f>
        <v>491078</v>
      </c>
      <c r="F76" s="79"/>
      <c r="G76" s="87">
        <f t="shared" si="1"/>
        <v>-14905</v>
      </c>
      <c r="I76" s="89">
        <f t="shared" si="2"/>
        <v>-3.04E-2</v>
      </c>
      <c r="J76" s="79"/>
      <c r="L76" s="79"/>
      <c r="N76" s="79"/>
    </row>
    <row r="77" spans="1:14">
      <c r="A77" t="str">
        <f>'Allocation Worksheet'!B18</f>
        <v>Dearborn</v>
      </c>
      <c r="B77" s="79"/>
      <c r="C77" s="87">
        <f>'Allocation Worksheet'!D18</f>
        <v>195990</v>
      </c>
      <c r="E77" s="46">
        <f>'Allocation Worksheet'!E18</f>
        <v>202125</v>
      </c>
      <c r="F77" s="79"/>
      <c r="G77" s="87">
        <f t="shared" si="1"/>
        <v>-6135</v>
      </c>
      <c r="I77" s="89">
        <f t="shared" si="2"/>
        <v>-3.04E-2</v>
      </c>
      <c r="J77" s="79"/>
      <c r="L77" s="79"/>
      <c r="N77" s="79"/>
    </row>
    <row r="78" spans="1:14">
      <c r="A78" t="str">
        <f>'Allocation Worksheet'!B19</f>
        <v>Decatur</v>
      </c>
      <c r="B78" s="74"/>
      <c r="C78" s="87">
        <f>'Allocation Worksheet'!D19</f>
        <v>325842</v>
      </c>
      <c r="E78" s="46">
        <f>'Allocation Worksheet'!E19</f>
        <v>336041</v>
      </c>
      <c r="F78" s="74"/>
      <c r="G78" s="87">
        <f t="shared" si="1"/>
        <v>-10199</v>
      </c>
      <c r="I78" s="89">
        <f t="shared" si="2"/>
        <v>-3.04E-2</v>
      </c>
      <c r="J78" s="74"/>
      <c r="L78" s="74"/>
      <c r="N78" s="74"/>
    </row>
    <row r="79" spans="1:14">
      <c r="A79" t="str">
        <f>'Allocation Worksheet'!B20</f>
        <v>Dekalb</v>
      </c>
      <c r="B79" s="74"/>
      <c r="C79" s="87">
        <f>'Allocation Worksheet'!D20</f>
        <v>289644</v>
      </c>
      <c r="E79" s="46">
        <f>'Allocation Worksheet'!E20</f>
        <v>298710</v>
      </c>
      <c r="F79" s="74"/>
      <c r="G79" s="87">
        <f t="shared" si="1"/>
        <v>-9066</v>
      </c>
      <c r="I79" s="89">
        <f t="shared" si="2"/>
        <v>-3.04E-2</v>
      </c>
      <c r="J79" s="74"/>
      <c r="L79" s="74"/>
      <c r="N79" s="74"/>
    </row>
    <row r="80" spans="1:14">
      <c r="A80" t="str">
        <f>'Allocation Worksheet'!B21</f>
        <v>Delaware</v>
      </c>
      <c r="B80" s="74"/>
      <c r="C80" s="87">
        <f>'Allocation Worksheet'!D21</f>
        <v>1065146</v>
      </c>
      <c r="E80" s="46">
        <f>'Allocation Worksheet'!E21</f>
        <v>1098486</v>
      </c>
      <c r="F80" s="74"/>
      <c r="G80" s="87">
        <f t="shared" si="1"/>
        <v>-33340</v>
      </c>
      <c r="I80" s="89">
        <f t="shared" si="2"/>
        <v>-3.04E-2</v>
      </c>
      <c r="J80" s="74"/>
      <c r="L80" s="74"/>
      <c r="N80" s="74"/>
    </row>
    <row r="81" spans="1:14">
      <c r="A81" t="str">
        <f>'Allocation Worksheet'!B22</f>
        <v>Dubois</v>
      </c>
      <c r="B81" s="74"/>
      <c r="C81" s="87">
        <f>'Allocation Worksheet'!D22</f>
        <v>640955</v>
      </c>
      <c r="E81" s="46">
        <f>'Allocation Worksheet'!E22</f>
        <v>661018</v>
      </c>
      <c r="F81" s="74"/>
      <c r="G81" s="87">
        <f t="shared" si="1"/>
        <v>-20063</v>
      </c>
      <c r="I81" s="89">
        <f t="shared" si="2"/>
        <v>-3.04E-2</v>
      </c>
      <c r="J81" s="74"/>
      <c r="L81" s="74"/>
      <c r="N81" s="74"/>
    </row>
    <row r="82" spans="1:14">
      <c r="A82" t="str">
        <f>'Allocation Worksheet'!B23</f>
        <v>Elkhart</v>
      </c>
      <c r="B82" s="74"/>
      <c r="C82" s="87">
        <f>'Allocation Worksheet'!D23</f>
        <v>1968593</v>
      </c>
      <c r="E82" s="46">
        <f>'Allocation Worksheet'!E23</f>
        <v>2030213</v>
      </c>
      <c r="F82" s="74"/>
      <c r="G82" s="87">
        <f t="shared" si="1"/>
        <v>-61620</v>
      </c>
      <c r="I82" s="89">
        <f t="shared" si="2"/>
        <v>-3.04E-2</v>
      </c>
      <c r="J82" s="74"/>
      <c r="L82" s="74"/>
      <c r="N82" s="74"/>
    </row>
    <row r="83" spans="1:14">
      <c r="A83" t="str">
        <f>'Allocation Worksheet'!B24</f>
        <v>Fayette</v>
      </c>
      <c r="B83" s="74"/>
      <c r="C83" s="87">
        <f>'Allocation Worksheet'!D24</f>
        <v>116534</v>
      </c>
      <c r="E83" s="46">
        <f>'Allocation Worksheet'!E24</f>
        <v>120182</v>
      </c>
      <c r="F83" s="74"/>
      <c r="G83" s="87">
        <f t="shared" si="1"/>
        <v>-3648</v>
      </c>
      <c r="I83" s="89">
        <f t="shared" si="2"/>
        <v>-3.04E-2</v>
      </c>
      <c r="J83" s="74"/>
      <c r="L83" s="74"/>
      <c r="N83" s="74"/>
    </row>
    <row r="84" spans="1:14">
      <c r="A84" t="str">
        <f>'Allocation Worksheet'!B25</f>
        <v>Floyd</v>
      </c>
      <c r="B84" s="74"/>
      <c r="C84" s="87">
        <f>'Allocation Worksheet'!D25</f>
        <v>390393</v>
      </c>
      <c r="E84" s="46">
        <f>'Allocation Worksheet'!E25</f>
        <v>402613</v>
      </c>
      <c r="F84" s="74"/>
      <c r="G84" s="87">
        <f t="shared" si="1"/>
        <v>-12220</v>
      </c>
      <c r="I84" s="89">
        <f t="shared" si="2"/>
        <v>-3.04E-2</v>
      </c>
      <c r="J84" s="74"/>
      <c r="L84" s="74"/>
      <c r="N84" s="74"/>
    </row>
    <row r="85" spans="1:14">
      <c r="A85" t="str">
        <f>'Allocation Worksheet'!B26</f>
        <v>Fountain</v>
      </c>
      <c r="C85" s="87">
        <f>'Allocation Worksheet'!D26</f>
        <v>99816</v>
      </c>
      <c r="E85" s="46">
        <f>'Allocation Worksheet'!E26</f>
        <v>102940</v>
      </c>
      <c r="G85" s="87">
        <f t="shared" si="1"/>
        <v>-3124</v>
      </c>
      <c r="I85" s="89">
        <f t="shared" si="2"/>
        <v>-3.0300000000000001E-2</v>
      </c>
    </row>
    <row r="86" spans="1:14">
      <c r="A86" t="str">
        <f>'Allocation Worksheet'!B27</f>
        <v>Franklin</v>
      </c>
      <c r="C86" s="87">
        <f>'Allocation Worksheet'!D27</f>
        <v>152983</v>
      </c>
      <c r="E86" s="46">
        <f>'Allocation Worksheet'!E27</f>
        <v>157771</v>
      </c>
      <c r="G86" s="87">
        <f t="shared" si="1"/>
        <v>-4788</v>
      </c>
      <c r="I86" s="89">
        <f t="shared" si="2"/>
        <v>-3.0300000000000001E-2</v>
      </c>
    </row>
    <row r="87" spans="1:14">
      <c r="A87" t="str">
        <f>'Allocation Worksheet'!B28</f>
        <v>Fulton</v>
      </c>
      <c r="C87" s="87">
        <f>'Allocation Worksheet'!D28</f>
        <v>235697</v>
      </c>
      <c r="E87" s="46">
        <f>'Allocation Worksheet'!E28</f>
        <v>243075</v>
      </c>
      <c r="G87" s="87">
        <f t="shared" si="1"/>
        <v>-7378</v>
      </c>
      <c r="I87" s="89">
        <f t="shared" si="2"/>
        <v>-3.04E-2</v>
      </c>
    </row>
    <row r="88" spans="1:14">
      <c r="A88" t="str">
        <f>'Allocation Worksheet'!B29</f>
        <v>Gibson</v>
      </c>
      <c r="C88" s="87">
        <f>'Allocation Worksheet'!D29</f>
        <v>609989</v>
      </c>
      <c r="E88" s="46">
        <f>'Allocation Worksheet'!E29</f>
        <v>629082</v>
      </c>
      <c r="G88" s="87">
        <f t="shared" si="1"/>
        <v>-19093</v>
      </c>
      <c r="I88" s="89">
        <f t="shared" si="2"/>
        <v>-3.04E-2</v>
      </c>
    </row>
    <row r="89" spans="1:14">
      <c r="A89" t="str">
        <f>'Allocation Worksheet'!B30</f>
        <v>Grant</v>
      </c>
      <c r="C89" s="87">
        <f>'Allocation Worksheet'!D30</f>
        <v>461505</v>
      </c>
      <c r="E89" s="46">
        <f>'Allocation Worksheet'!E30</f>
        <v>475950</v>
      </c>
      <c r="G89" s="87">
        <f t="shared" si="1"/>
        <v>-14445</v>
      </c>
      <c r="I89" s="89">
        <f t="shared" si="2"/>
        <v>-3.0300000000000001E-2</v>
      </c>
    </row>
    <row r="90" spans="1:14">
      <c r="A90" t="str">
        <f>'Allocation Worksheet'!B31</f>
        <v>Greene</v>
      </c>
      <c r="C90" s="87">
        <f>'Allocation Worksheet'!D31</f>
        <v>251555</v>
      </c>
      <c r="E90" s="46">
        <f>'Allocation Worksheet'!E31</f>
        <v>259429</v>
      </c>
      <c r="G90" s="87">
        <f t="shared" si="1"/>
        <v>-7874</v>
      </c>
      <c r="I90" s="89">
        <f t="shared" si="2"/>
        <v>-3.04E-2</v>
      </c>
    </row>
    <row r="91" spans="1:14">
      <c r="A91" t="str">
        <f>'Allocation Worksheet'!B32</f>
        <v>Hamilton</v>
      </c>
      <c r="C91" s="87">
        <f>'Allocation Worksheet'!D32</f>
        <v>1343409</v>
      </c>
      <c r="E91" s="46">
        <f>'Allocation Worksheet'!E32</f>
        <v>1385460</v>
      </c>
      <c r="G91" s="87">
        <f t="shared" si="1"/>
        <v>-42051</v>
      </c>
      <c r="I91" s="89">
        <f t="shared" si="2"/>
        <v>-3.04E-2</v>
      </c>
    </row>
    <row r="92" spans="1:14">
      <c r="A92" t="str">
        <f>'Allocation Worksheet'!B33</f>
        <v>Hancock</v>
      </c>
      <c r="C92" s="87">
        <f>'Allocation Worksheet'!D33</f>
        <v>679825</v>
      </c>
      <c r="E92" s="46">
        <f>'Allocation Worksheet'!E33</f>
        <v>701105</v>
      </c>
      <c r="G92" s="87">
        <f t="shared" si="1"/>
        <v>-21280</v>
      </c>
      <c r="I92" s="89">
        <f t="shared" si="2"/>
        <v>-3.04E-2</v>
      </c>
    </row>
    <row r="93" spans="1:14">
      <c r="A93" t="str">
        <f>'Allocation Worksheet'!B34</f>
        <v>Harrison</v>
      </c>
      <c r="C93" s="87">
        <f>'Allocation Worksheet'!D34</f>
        <v>248005</v>
      </c>
      <c r="E93" s="46">
        <f>'Allocation Worksheet'!E34</f>
        <v>255768</v>
      </c>
      <c r="G93" s="87">
        <f t="shared" si="1"/>
        <v>-7763</v>
      </c>
      <c r="I93" s="89">
        <f t="shared" si="2"/>
        <v>-3.04E-2</v>
      </c>
    </row>
    <row r="94" spans="1:14">
      <c r="A94" t="str">
        <f>'Allocation Worksheet'!B35</f>
        <v>Hendricks</v>
      </c>
      <c r="C94" s="87">
        <f>'Allocation Worksheet'!D35</f>
        <v>1190131</v>
      </c>
      <c r="E94" s="46">
        <f>'Allocation Worksheet'!E35</f>
        <v>1227384</v>
      </c>
      <c r="G94" s="87">
        <f t="shared" si="1"/>
        <v>-37253</v>
      </c>
      <c r="I94" s="89">
        <f t="shared" si="2"/>
        <v>-3.04E-2</v>
      </c>
    </row>
    <row r="95" spans="1:14">
      <c r="A95" t="str">
        <f>'Allocation Worksheet'!B36</f>
        <v>Henry</v>
      </c>
      <c r="C95" s="87">
        <f>'Allocation Worksheet'!D36</f>
        <v>301751</v>
      </c>
      <c r="E95" s="46">
        <f>'Allocation Worksheet'!E36</f>
        <v>311196</v>
      </c>
      <c r="G95" s="87">
        <f t="shared" si="1"/>
        <v>-9445</v>
      </c>
      <c r="I95" s="89">
        <f t="shared" si="2"/>
        <v>-3.04E-2</v>
      </c>
    </row>
    <row r="96" spans="1:14">
      <c r="A96" t="str">
        <f>'Allocation Worksheet'!B37</f>
        <v>Howard</v>
      </c>
      <c r="C96" s="87">
        <f>'Allocation Worksheet'!D37</f>
        <v>545828</v>
      </c>
      <c r="E96" s="46">
        <f>'Allocation Worksheet'!E37</f>
        <v>562914</v>
      </c>
      <c r="G96" s="87">
        <f t="shared" si="1"/>
        <v>-17086</v>
      </c>
      <c r="I96" s="89">
        <f t="shared" si="2"/>
        <v>-3.04E-2</v>
      </c>
    </row>
    <row r="97" spans="1:14">
      <c r="A97" t="str">
        <f>'Allocation Worksheet'!B38</f>
        <v>Huntington</v>
      </c>
      <c r="C97" s="87">
        <f>'Allocation Worksheet'!D38</f>
        <v>399214</v>
      </c>
      <c r="E97" s="46">
        <f>'Allocation Worksheet'!E38</f>
        <v>411710</v>
      </c>
      <c r="G97" s="87">
        <f t="shared" si="1"/>
        <v>-12496</v>
      </c>
      <c r="I97" s="89">
        <f t="shared" si="2"/>
        <v>-3.04E-2</v>
      </c>
    </row>
    <row r="98" spans="1:14">
      <c r="A98" t="str">
        <f>'Allocation Worksheet'!B39</f>
        <v>Jackson</v>
      </c>
      <c r="C98" s="87">
        <f>'Allocation Worksheet'!D39</f>
        <v>502117</v>
      </c>
      <c r="E98" s="46">
        <f>'Allocation Worksheet'!E39</f>
        <v>517834</v>
      </c>
      <c r="G98" s="87">
        <f t="shared" si="1"/>
        <v>-15717</v>
      </c>
      <c r="I98" s="89">
        <f t="shared" si="2"/>
        <v>-3.04E-2</v>
      </c>
    </row>
    <row r="99" spans="1:14">
      <c r="A99" t="str">
        <f>'Allocation Worksheet'!B40</f>
        <v>Jasper</v>
      </c>
      <c r="C99" s="87">
        <f>'Allocation Worksheet'!D40</f>
        <v>705710</v>
      </c>
      <c r="E99" s="46">
        <f>'Allocation Worksheet'!E40</f>
        <v>727799</v>
      </c>
      <c r="G99" s="87">
        <f t="shared" si="1"/>
        <v>-22089</v>
      </c>
      <c r="I99" s="89">
        <f t="shared" si="2"/>
        <v>-3.04E-2</v>
      </c>
    </row>
    <row r="100" spans="1:14">
      <c r="A100" t="str">
        <f>'Allocation Worksheet'!B41</f>
        <v>Jay</v>
      </c>
      <c r="C100" s="87">
        <f>'Allocation Worksheet'!D41</f>
        <v>135739</v>
      </c>
      <c r="E100" s="46">
        <f>'Allocation Worksheet'!E41</f>
        <v>139988</v>
      </c>
      <c r="G100" s="87">
        <f t="shared" si="1"/>
        <v>-4249</v>
      </c>
      <c r="I100" s="89">
        <f t="shared" si="2"/>
        <v>-3.04E-2</v>
      </c>
    </row>
    <row r="101" spans="1:14">
      <c r="A101" t="str">
        <f>'Allocation Worksheet'!B42</f>
        <v>Jefferson</v>
      </c>
      <c r="C101" s="87">
        <f>'Allocation Worksheet'!D42</f>
        <v>84409</v>
      </c>
      <c r="E101" s="46">
        <f>'Allocation Worksheet'!E42</f>
        <v>87052</v>
      </c>
      <c r="G101" s="87">
        <f t="shared" si="1"/>
        <v>-2643</v>
      </c>
      <c r="I101" s="89">
        <f t="shared" si="2"/>
        <v>-3.04E-2</v>
      </c>
    </row>
    <row r="102" spans="1:14">
      <c r="A102" t="str">
        <f>'Allocation Worksheet'!B43</f>
        <v>Jennings</v>
      </c>
      <c r="C102" s="87">
        <f>'Allocation Worksheet'!D43</f>
        <v>277465</v>
      </c>
      <c r="E102" s="46">
        <f>'Allocation Worksheet'!E43</f>
        <v>286150</v>
      </c>
      <c r="G102" s="87">
        <f t="shared" si="1"/>
        <v>-8685</v>
      </c>
      <c r="I102" s="89">
        <f t="shared" si="2"/>
        <v>-3.04E-2</v>
      </c>
    </row>
    <row r="103" spans="1:14">
      <c r="A103" t="str">
        <f>'Allocation Worksheet'!B44</f>
        <v>Johnson</v>
      </c>
      <c r="C103" s="87">
        <f>'Allocation Worksheet'!D44</f>
        <v>596008</v>
      </c>
      <c r="E103" s="46">
        <f>'Allocation Worksheet'!E44</f>
        <v>614664</v>
      </c>
      <c r="G103" s="87">
        <f t="shared" si="1"/>
        <v>-18656</v>
      </c>
      <c r="I103" s="89">
        <f t="shared" si="2"/>
        <v>-3.04E-2</v>
      </c>
    </row>
    <row r="104" spans="1:14">
      <c r="A104" t="str">
        <f>'Allocation Worksheet'!B45</f>
        <v>Knox</v>
      </c>
      <c r="C104" s="87">
        <f>'Allocation Worksheet'!D45</f>
        <v>553551</v>
      </c>
      <c r="E104" s="46">
        <f>'Allocation Worksheet'!E45</f>
        <v>570878</v>
      </c>
      <c r="G104" s="87">
        <f t="shared" si="1"/>
        <v>-17327</v>
      </c>
      <c r="I104" s="89">
        <f t="shared" si="2"/>
        <v>-3.04E-2</v>
      </c>
    </row>
    <row r="105" spans="1:14">
      <c r="A105" t="str">
        <f>'Allocation Worksheet'!B46</f>
        <v>Kosciusko</v>
      </c>
      <c r="B105" s="74"/>
      <c r="C105" s="87">
        <f>'Allocation Worksheet'!D46</f>
        <v>615101</v>
      </c>
      <c r="E105" s="46">
        <f>'Allocation Worksheet'!E46</f>
        <v>634355</v>
      </c>
      <c r="F105" s="74"/>
      <c r="G105" s="87">
        <f t="shared" si="1"/>
        <v>-19254</v>
      </c>
      <c r="I105" s="89">
        <f t="shared" si="2"/>
        <v>-3.04E-2</v>
      </c>
      <c r="J105" s="74"/>
      <c r="L105" s="74"/>
      <c r="N105" s="74"/>
    </row>
    <row r="106" spans="1:14">
      <c r="A106" t="str">
        <f>'Allocation Worksheet'!B47</f>
        <v>Lagrange</v>
      </c>
      <c r="C106" s="87">
        <f>'Allocation Worksheet'!D47</f>
        <v>231283</v>
      </c>
      <c r="E106" s="46">
        <f>'Allocation Worksheet'!E47</f>
        <v>238522</v>
      </c>
      <c r="G106" s="87">
        <f t="shared" si="1"/>
        <v>-7239</v>
      </c>
      <c r="I106" s="89">
        <f t="shared" si="2"/>
        <v>-3.0300000000000001E-2</v>
      </c>
    </row>
    <row r="107" spans="1:14">
      <c r="A107" t="str">
        <f>'Allocation Worksheet'!B48</f>
        <v>Lake</v>
      </c>
      <c r="C107" s="87">
        <f>'Allocation Worksheet'!D48</f>
        <v>5422774</v>
      </c>
      <c r="E107" s="46">
        <f>'Allocation Worksheet'!E48</f>
        <v>5592513</v>
      </c>
      <c r="G107" s="87">
        <f t="shared" si="1"/>
        <v>-169739</v>
      </c>
      <c r="I107" s="89">
        <f t="shared" si="2"/>
        <v>-3.04E-2</v>
      </c>
    </row>
    <row r="108" spans="1:14">
      <c r="A108" t="str">
        <f>'Allocation Worksheet'!B49</f>
        <v>Laporte</v>
      </c>
      <c r="B108" s="74"/>
      <c r="C108" s="94">
        <f>'Allocation Worksheet'!D49</f>
        <v>1347834</v>
      </c>
      <c r="E108" s="95">
        <f>'Allocation Worksheet'!E49</f>
        <v>1390023</v>
      </c>
      <c r="F108" s="74"/>
      <c r="G108" s="94">
        <f t="shared" si="1"/>
        <v>-42189</v>
      </c>
      <c r="I108" s="96">
        <f t="shared" si="2"/>
        <v>-3.04E-2</v>
      </c>
      <c r="J108" s="74"/>
      <c r="L108" s="74"/>
      <c r="N108" s="74"/>
    </row>
    <row r="109" spans="1:14">
      <c r="A109" t="str">
        <f>'Allocation Worksheet'!B50</f>
        <v>Lawrence</v>
      </c>
      <c r="C109" s="87">
        <f>'Allocation Worksheet'!D50</f>
        <v>406178</v>
      </c>
      <c r="E109" s="46">
        <f>'Allocation Worksheet'!E50</f>
        <v>418892</v>
      </c>
      <c r="G109" s="87">
        <f t="shared" si="1"/>
        <v>-12714</v>
      </c>
      <c r="I109" s="89">
        <f t="shared" si="2"/>
        <v>-3.04E-2</v>
      </c>
    </row>
    <row r="110" spans="1:14">
      <c r="A110" t="str">
        <f>'Allocation Worksheet'!B51</f>
        <v>Madison</v>
      </c>
      <c r="C110" s="87">
        <f>'Allocation Worksheet'!D51</f>
        <v>1222632</v>
      </c>
      <c r="E110" s="46">
        <f>'Allocation Worksheet'!E51</f>
        <v>1260902</v>
      </c>
      <c r="G110" s="87">
        <f t="shared" si="1"/>
        <v>-38270</v>
      </c>
      <c r="I110" s="89">
        <f t="shared" si="2"/>
        <v>-3.04E-2</v>
      </c>
    </row>
    <row r="111" spans="1:14">
      <c r="A111" t="str">
        <f>'Allocation Worksheet'!B52</f>
        <v>Marion</v>
      </c>
      <c r="C111" s="87">
        <f>'Allocation Worksheet'!D52</f>
        <v>11858968</v>
      </c>
      <c r="E111" s="46">
        <f>'Allocation Worksheet'!E52</f>
        <v>12230169</v>
      </c>
      <c r="G111" s="87">
        <f t="shared" si="1"/>
        <v>-371201</v>
      </c>
      <c r="I111" s="89">
        <f t="shared" si="2"/>
        <v>-3.04E-2</v>
      </c>
    </row>
    <row r="112" spans="1:14">
      <c r="A112" t="str">
        <f>'Allocation Worksheet'!B53</f>
        <v>Marshall</v>
      </c>
      <c r="C112" s="87">
        <f>'Allocation Worksheet'!D53</f>
        <v>526148</v>
      </c>
      <c r="E112" s="46">
        <f>'Allocation Worksheet'!E53</f>
        <v>542617</v>
      </c>
      <c r="G112" s="87">
        <f t="shared" si="1"/>
        <v>-16469</v>
      </c>
      <c r="I112" s="89">
        <f t="shared" si="2"/>
        <v>-3.04E-2</v>
      </c>
    </row>
    <row r="113" spans="1:9">
      <c r="A113" t="str">
        <f>'Allocation Worksheet'!B54</f>
        <v>Martin</v>
      </c>
      <c r="C113" s="87">
        <f>'Allocation Worksheet'!D54</f>
        <v>130716</v>
      </c>
      <c r="E113" s="46">
        <f>'Allocation Worksheet'!E54</f>
        <v>134808</v>
      </c>
      <c r="G113" s="87">
        <f t="shared" si="1"/>
        <v>-4092</v>
      </c>
      <c r="I113" s="89">
        <f t="shared" si="2"/>
        <v>-3.04E-2</v>
      </c>
    </row>
    <row r="114" spans="1:9">
      <c r="A114" t="str">
        <f>'Allocation Worksheet'!B55</f>
        <v>Miami</v>
      </c>
      <c r="C114" s="87">
        <f>'Allocation Worksheet'!D55</f>
        <v>244256</v>
      </c>
      <c r="E114" s="46">
        <f>'Allocation Worksheet'!E55</f>
        <v>251901</v>
      </c>
      <c r="G114" s="87">
        <f t="shared" si="1"/>
        <v>-7645</v>
      </c>
      <c r="I114" s="89">
        <f t="shared" si="2"/>
        <v>-3.0300000000000001E-2</v>
      </c>
    </row>
    <row r="115" spans="1:9">
      <c r="A115" t="str">
        <f>'Allocation Worksheet'!B56</f>
        <v>Monroe</v>
      </c>
      <c r="C115" s="87">
        <f>'Allocation Worksheet'!D56</f>
        <v>934087</v>
      </c>
      <c r="E115" s="46">
        <f>'Allocation Worksheet'!E56</f>
        <v>963325</v>
      </c>
      <c r="G115" s="87">
        <f t="shared" si="1"/>
        <v>-29238</v>
      </c>
      <c r="I115" s="89">
        <f t="shared" si="2"/>
        <v>-3.04E-2</v>
      </c>
    </row>
    <row r="116" spans="1:9">
      <c r="A116" t="str">
        <f>'Allocation Worksheet'!B57</f>
        <v>Montgomery</v>
      </c>
      <c r="C116" s="87">
        <f>'Allocation Worksheet'!D57</f>
        <v>331682</v>
      </c>
      <c r="E116" s="46">
        <f>'Allocation Worksheet'!E57</f>
        <v>342064</v>
      </c>
      <c r="G116" s="87">
        <f t="shared" si="1"/>
        <v>-10382</v>
      </c>
      <c r="I116" s="89">
        <f t="shared" si="2"/>
        <v>-3.04E-2</v>
      </c>
    </row>
    <row r="117" spans="1:9">
      <c r="A117" t="str">
        <f>'Allocation Worksheet'!B58</f>
        <v>Morgan</v>
      </c>
      <c r="C117" s="87">
        <f>'Allocation Worksheet'!D58</f>
        <v>453237</v>
      </c>
      <c r="E117" s="46">
        <f>'Allocation Worksheet'!E58</f>
        <v>467424</v>
      </c>
      <c r="G117" s="87">
        <f t="shared" si="1"/>
        <v>-14187</v>
      </c>
      <c r="I117" s="89">
        <f t="shared" si="2"/>
        <v>-3.04E-2</v>
      </c>
    </row>
    <row r="118" spans="1:9">
      <c r="A118" t="str">
        <f>'Allocation Worksheet'!B59</f>
        <v>Newton</v>
      </c>
      <c r="C118" s="87">
        <f>'Allocation Worksheet'!D59</f>
        <v>218494</v>
      </c>
      <c r="E118" s="46">
        <f>'Allocation Worksheet'!E59</f>
        <v>225333</v>
      </c>
      <c r="G118" s="87">
        <f t="shared" si="1"/>
        <v>-6839</v>
      </c>
      <c r="I118" s="89">
        <f t="shared" si="2"/>
        <v>-3.04E-2</v>
      </c>
    </row>
    <row r="119" spans="1:9">
      <c r="A119" t="str">
        <f>'Allocation Worksheet'!B60</f>
        <v>Noble</v>
      </c>
      <c r="C119" s="87">
        <f>'Allocation Worksheet'!D60</f>
        <v>283380</v>
      </c>
      <c r="E119" s="46">
        <f>'Allocation Worksheet'!E60</f>
        <v>292250</v>
      </c>
      <c r="G119" s="87">
        <f t="shared" si="1"/>
        <v>-8870</v>
      </c>
      <c r="I119" s="89">
        <f t="shared" si="2"/>
        <v>-3.04E-2</v>
      </c>
    </row>
    <row r="120" spans="1:9">
      <c r="A120" t="str">
        <f>'Allocation Worksheet'!B61</f>
        <v>Ohio</v>
      </c>
      <c r="C120" s="87">
        <f>'Allocation Worksheet'!D61</f>
        <v>29242</v>
      </c>
      <c r="E120" s="46">
        <f>'Allocation Worksheet'!E61</f>
        <v>30157</v>
      </c>
      <c r="G120" s="87">
        <f t="shared" si="1"/>
        <v>-915</v>
      </c>
      <c r="I120" s="89">
        <f t="shared" si="2"/>
        <v>-3.0300000000000001E-2</v>
      </c>
    </row>
    <row r="121" spans="1:9">
      <c r="A121" t="str">
        <f>'Allocation Worksheet'!B62</f>
        <v>Orange</v>
      </c>
      <c r="C121" s="87">
        <f>'Allocation Worksheet'!D62</f>
        <v>352394</v>
      </c>
      <c r="E121" s="46">
        <f>'Allocation Worksheet'!E62</f>
        <v>363424</v>
      </c>
      <c r="G121" s="87">
        <f t="shared" si="1"/>
        <v>-11030</v>
      </c>
      <c r="I121" s="89">
        <f t="shared" si="2"/>
        <v>-3.04E-2</v>
      </c>
    </row>
    <row r="122" spans="1:9">
      <c r="A122" t="str">
        <f>'Allocation Worksheet'!B63</f>
        <v>Owen</v>
      </c>
      <c r="C122" s="87">
        <f>'Allocation Worksheet'!D63</f>
        <v>202322</v>
      </c>
      <c r="E122" s="46">
        <f>'Allocation Worksheet'!E63</f>
        <v>208655</v>
      </c>
      <c r="G122" s="87">
        <f t="shared" si="1"/>
        <v>-6333</v>
      </c>
      <c r="I122" s="89">
        <f t="shared" si="2"/>
        <v>-3.04E-2</v>
      </c>
    </row>
    <row r="123" spans="1:9">
      <c r="A123" t="str">
        <f>'Allocation Worksheet'!B64</f>
        <v>Parke</v>
      </c>
      <c r="C123" s="87">
        <f>'Allocation Worksheet'!D64</f>
        <v>87404</v>
      </c>
      <c r="E123" s="46">
        <f>'Allocation Worksheet'!E64</f>
        <v>90140</v>
      </c>
      <c r="G123" s="87">
        <f t="shared" si="1"/>
        <v>-2736</v>
      </c>
      <c r="I123" s="89">
        <f t="shared" si="2"/>
        <v>-3.04E-2</v>
      </c>
    </row>
    <row r="124" spans="1:9">
      <c r="A124" t="str">
        <f>'Allocation Worksheet'!B65</f>
        <v>Perry</v>
      </c>
      <c r="C124" s="87">
        <f>'Allocation Worksheet'!D65</f>
        <v>156077</v>
      </c>
      <c r="E124" s="46">
        <f>'Allocation Worksheet'!E65</f>
        <v>160963</v>
      </c>
      <c r="G124" s="87">
        <f t="shared" si="1"/>
        <v>-4886</v>
      </c>
      <c r="I124" s="89">
        <f t="shared" si="2"/>
        <v>-3.04E-2</v>
      </c>
    </row>
    <row r="125" spans="1:9">
      <c r="A125" t="str">
        <f>'Allocation Worksheet'!B66</f>
        <v>Pike</v>
      </c>
      <c r="C125" s="87">
        <f>'Allocation Worksheet'!D66</f>
        <v>170346</v>
      </c>
      <c r="E125" s="46">
        <f>'Allocation Worksheet'!E66</f>
        <v>175678</v>
      </c>
      <c r="G125" s="87">
        <f t="shared" si="1"/>
        <v>-5332</v>
      </c>
      <c r="I125" s="89">
        <f t="shared" si="2"/>
        <v>-3.04E-2</v>
      </c>
    </row>
    <row r="126" spans="1:9">
      <c r="A126" t="str">
        <f>'Allocation Worksheet'!B67</f>
        <v>Porter</v>
      </c>
      <c r="C126" s="87">
        <f>'Allocation Worksheet'!D67</f>
        <v>1875386</v>
      </c>
      <c r="E126" s="46">
        <f>'Allocation Worksheet'!E67</f>
        <v>1934088</v>
      </c>
      <c r="G126" s="87">
        <f t="shared" si="1"/>
        <v>-58702</v>
      </c>
      <c r="I126" s="89">
        <f t="shared" si="2"/>
        <v>-3.04E-2</v>
      </c>
    </row>
    <row r="127" spans="1:9">
      <c r="A127" t="str">
        <f>'Allocation Worksheet'!B68</f>
        <v>Posey</v>
      </c>
      <c r="C127" s="87">
        <f>'Allocation Worksheet'!D68</f>
        <v>301385</v>
      </c>
      <c r="E127" s="46">
        <f>'Allocation Worksheet'!E68</f>
        <v>310819</v>
      </c>
      <c r="G127" s="87">
        <f t="shared" ref="G127:G154" si="3">C127-E127</f>
        <v>-9434</v>
      </c>
      <c r="I127" s="89">
        <f t="shared" ref="I127:I154" si="4">ROUND(G127/E127,4)</f>
        <v>-3.04E-2</v>
      </c>
    </row>
    <row r="128" spans="1:9">
      <c r="A128" t="str">
        <f>'Allocation Worksheet'!B69</f>
        <v>Pulaski</v>
      </c>
      <c r="C128" s="87">
        <f>'Allocation Worksheet'!D69</f>
        <v>235770</v>
      </c>
      <c r="E128" s="46">
        <f>'Allocation Worksheet'!E69</f>
        <v>243150</v>
      </c>
      <c r="G128" s="87">
        <f t="shared" si="3"/>
        <v>-7380</v>
      </c>
      <c r="I128" s="89">
        <f t="shared" si="4"/>
        <v>-3.04E-2</v>
      </c>
    </row>
    <row r="129" spans="1:9">
      <c r="A129" t="str">
        <f>'Allocation Worksheet'!B70</f>
        <v>Putnam</v>
      </c>
      <c r="C129" s="87">
        <f>'Allocation Worksheet'!D70</f>
        <v>234199</v>
      </c>
      <c r="E129" s="46">
        <f>'Allocation Worksheet'!E70</f>
        <v>241530</v>
      </c>
      <c r="G129" s="87">
        <f t="shared" si="3"/>
        <v>-7331</v>
      </c>
      <c r="I129" s="89">
        <f t="shared" si="4"/>
        <v>-3.04E-2</v>
      </c>
    </row>
    <row r="130" spans="1:9">
      <c r="A130" t="str">
        <f>'Allocation Worksheet'!B71</f>
        <v>Randolph</v>
      </c>
      <c r="C130" s="87">
        <f>'Allocation Worksheet'!D71</f>
        <v>268161</v>
      </c>
      <c r="E130" s="46">
        <f>'Allocation Worksheet'!E71</f>
        <v>276555</v>
      </c>
      <c r="G130" s="87">
        <f t="shared" si="3"/>
        <v>-8394</v>
      </c>
      <c r="I130" s="89">
        <f t="shared" si="4"/>
        <v>-3.04E-2</v>
      </c>
    </row>
    <row r="131" spans="1:9">
      <c r="A131" t="str">
        <f>'Allocation Worksheet'!B72</f>
        <v>Ripley</v>
      </c>
      <c r="C131" s="87">
        <f>'Allocation Worksheet'!D72</f>
        <v>157577</v>
      </c>
      <c r="E131" s="46">
        <f>'Allocation Worksheet'!E72</f>
        <v>162510</v>
      </c>
      <c r="G131" s="87">
        <f t="shared" si="3"/>
        <v>-4933</v>
      </c>
      <c r="I131" s="89">
        <f t="shared" si="4"/>
        <v>-3.04E-2</v>
      </c>
    </row>
    <row r="132" spans="1:9">
      <c r="A132" t="str">
        <f>'Allocation Worksheet'!B73</f>
        <v>Rush</v>
      </c>
      <c r="C132" s="87">
        <f>'Allocation Worksheet'!D73</f>
        <v>129781</v>
      </c>
      <c r="E132" s="46">
        <f>'Allocation Worksheet'!E73</f>
        <v>133843</v>
      </c>
      <c r="G132" s="87">
        <f t="shared" si="3"/>
        <v>-4062</v>
      </c>
      <c r="I132" s="89">
        <f t="shared" si="4"/>
        <v>-3.0300000000000001E-2</v>
      </c>
    </row>
    <row r="133" spans="1:9">
      <c r="A133" t="str">
        <f>'Allocation Worksheet'!B74</f>
        <v>Saint Joseph</v>
      </c>
      <c r="C133" s="87">
        <f>'Allocation Worksheet'!D74</f>
        <v>3345317</v>
      </c>
      <c r="E133" s="46">
        <f>'Allocation Worksheet'!E74</f>
        <v>3450030</v>
      </c>
      <c r="G133" s="87">
        <f t="shared" si="3"/>
        <v>-104713</v>
      </c>
      <c r="I133" s="89">
        <f t="shared" si="4"/>
        <v>-3.04E-2</v>
      </c>
    </row>
    <row r="134" spans="1:9">
      <c r="A134" t="str">
        <f>'Allocation Worksheet'!B75</f>
        <v>Scott</v>
      </c>
      <c r="C134" s="87">
        <f>'Allocation Worksheet'!D75</f>
        <v>84568</v>
      </c>
      <c r="E134" s="46">
        <f>'Allocation Worksheet'!E75</f>
        <v>87215</v>
      </c>
      <c r="G134" s="87">
        <f t="shared" si="3"/>
        <v>-2647</v>
      </c>
      <c r="I134" s="89">
        <f t="shared" si="4"/>
        <v>-3.04E-2</v>
      </c>
    </row>
    <row r="135" spans="1:9">
      <c r="A135" t="str">
        <f>'Allocation Worksheet'!B76</f>
        <v>Shelby</v>
      </c>
      <c r="C135" s="87">
        <f>'Allocation Worksheet'!D76</f>
        <v>384901</v>
      </c>
      <c r="E135" s="46">
        <f>'Allocation Worksheet'!E76</f>
        <v>396949</v>
      </c>
      <c r="G135" s="87">
        <f t="shared" si="3"/>
        <v>-12048</v>
      </c>
      <c r="I135" s="89">
        <f t="shared" si="4"/>
        <v>-3.04E-2</v>
      </c>
    </row>
    <row r="136" spans="1:9">
      <c r="A136" t="str">
        <f>'Allocation Worksheet'!B77</f>
        <v>Spencer</v>
      </c>
      <c r="C136" s="87">
        <f>'Allocation Worksheet'!D77</f>
        <v>279193</v>
      </c>
      <c r="E136" s="46">
        <f>'Allocation Worksheet'!E77</f>
        <v>287932</v>
      </c>
      <c r="G136" s="87">
        <f t="shared" si="3"/>
        <v>-8739</v>
      </c>
      <c r="I136" s="89">
        <f t="shared" si="4"/>
        <v>-3.04E-2</v>
      </c>
    </row>
    <row r="137" spans="1:9">
      <c r="A137" t="str">
        <f>'Allocation Worksheet'!B78</f>
        <v>Starke</v>
      </c>
      <c r="C137" s="87">
        <f>'Allocation Worksheet'!D78</f>
        <v>129159</v>
      </c>
      <c r="E137" s="46">
        <f>'Allocation Worksheet'!E78</f>
        <v>133202</v>
      </c>
      <c r="G137" s="87">
        <f t="shared" si="3"/>
        <v>-4043</v>
      </c>
      <c r="I137" s="89">
        <f t="shared" si="4"/>
        <v>-3.04E-2</v>
      </c>
    </row>
    <row r="138" spans="1:9">
      <c r="A138" t="str">
        <f>'Allocation Worksheet'!B79</f>
        <v>Steuben</v>
      </c>
      <c r="C138" s="87">
        <f>'Allocation Worksheet'!D79</f>
        <v>285076</v>
      </c>
      <c r="E138" s="46">
        <f>'Allocation Worksheet'!E79</f>
        <v>294000</v>
      </c>
      <c r="G138" s="87">
        <f t="shared" si="3"/>
        <v>-8924</v>
      </c>
      <c r="I138" s="89">
        <f t="shared" si="4"/>
        <v>-3.04E-2</v>
      </c>
    </row>
    <row r="139" spans="1:9">
      <c r="A139" t="str">
        <f>'Allocation Worksheet'!B80</f>
        <v>Sullivan</v>
      </c>
      <c r="C139" s="87">
        <f>'Allocation Worksheet'!D80</f>
        <v>178606</v>
      </c>
      <c r="E139" s="46">
        <f>'Allocation Worksheet'!E80</f>
        <v>184197</v>
      </c>
      <c r="G139" s="87">
        <f t="shared" si="3"/>
        <v>-5591</v>
      </c>
      <c r="I139" s="89">
        <f t="shared" si="4"/>
        <v>-3.04E-2</v>
      </c>
    </row>
    <row r="140" spans="1:9">
      <c r="A140" t="str">
        <f>'Allocation Worksheet'!B81</f>
        <v>Switzerland</v>
      </c>
      <c r="C140" s="87">
        <f>'Allocation Worksheet'!D81</f>
        <v>11712</v>
      </c>
      <c r="E140" s="46">
        <f>'Allocation Worksheet'!E81</f>
        <v>12079</v>
      </c>
      <c r="G140" s="87">
        <f t="shared" si="3"/>
        <v>-367</v>
      </c>
      <c r="I140" s="89">
        <f t="shared" si="4"/>
        <v>-3.04E-2</v>
      </c>
    </row>
    <row r="141" spans="1:9">
      <c r="A141" t="str">
        <f>'Allocation Worksheet'!B82</f>
        <v>Tippecanoe</v>
      </c>
      <c r="C141" s="87">
        <f>'Allocation Worksheet'!D82</f>
        <v>1315248</v>
      </c>
      <c r="E141" s="46">
        <f>'Allocation Worksheet'!E82</f>
        <v>1356417</v>
      </c>
      <c r="G141" s="87">
        <f t="shared" si="3"/>
        <v>-41169</v>
      </c>
      <c r="I141" s="89">
        <f t="shared" si="4"/>
        <v>-3.04E-2</v>
      </c>
    </row>
    <row r="142" spans="1:9">
      <c r="A142" t="str">
        <f>'Allocation Worksheet'!B83</f>
        <v>Tipton</v>
      </c>
      <c r="C142" s="87">
        <f>'Allocation Worksheet'!D83</f>
        <v>165221</v>
      </c>
      <c r="E142" s="46">
        <f>'Allocation Worksheet'!E83</f>
        <v>170393</v>
      </c>
      <c r="G142" s="87">
        <f t="shared" si="3"/>
        <v>-5172</v>
      </c>
      <c r="I142" s="89">
        <f t="shared" si="4"/>
        <v>-3.04E-2</v>
      </c>
    </row>
    <row r="143" spans="1:9">
      <c r="A143" t="str">
        <f>'Allocation Worksheet'!B84</f>
        <v>Union</v>
      </c>
      <c r="C143" s="87">
        <f>'Allocation Worksheet'!D84</f>
        <v>45289</v>
      </c>
      <c r="E143" s="46">
        <f>'Allocation Worksheet'!E84</f>
        <v>46707</v>
      </c>
      <c r="G143" s="87">
        <f t="shared" si="3"/>
        <v>-1418</v>
      </c>
      <c r="I143" s="89">
        <f t="shared" si="4"/>
        <v>-3.04E-2</v>
      </c>
    </row>
    <row r="144" spans="1:9">
      <c r="A144" t="str">
        <f>'Allocation Worksheet'!B85</f>
        <v>Vanderburgh</v>
      </c>
      <c r="C144" s="87">
        <f>'Allocation Worksheet'!D85</f>
        <v>2433962</v>
      </c>
      <c r="E144" s="46">
        <f>'Allocation Worksheet'!E85</f>
        <v>2510148</v>
      </c>
      <c r="G144" s="87">
        <f t="shared" si="3"/>
        <v>-76186</v>
      </c>
      <c r="I144" s="89">
        <f t="shared" si="4"/>
        <v>-3.04E-2</v>
      </c>
    </row>
    <row r="145" spans="1:9">
      <c r="A145" t="str">
        <f>'Allocation Worksheet'!B86</f>
        <v>Vermillion</v>
      </c>
      <c r="C145" s="87">
        <f>'Allocation Worksheet'!D86</f>
        <v>180347</v>
      </c>
      <c r="E145" s="46">
        <f>'Allocation Worksheet'!E86</f>
        <v>185992</v>
      </c>
      <c r="G145" s="87">
        <f t="shared" si="3"/>
        <v>-5645</v>
      </c>
      <c r="I145" s="89">
        <f t="shared" si="4"/>
        <v>-3.04E-2</v>
      </c>
    </row>
    <row r="146" spans="1:9">
      <c r="A146" t="str">
        <f>'Allocation Worksheet'!B87</f>
        <v>Vigo</v>
      </c>
      <c r="C146" s="87">
        <f>'Allocation Worksheet'!D87</f>
        <v>793500</v>
      </c>
      <c r="E146" s="46">
        <f>'Allocation Worksheet'!E87</f>
        <v>818337</v>
      </c>
      <c r="G146" s="87">
        <f t="shared" si="3"/>
        <v>-24837</v>
      </c>
      <c r="I146" s="89">
        <f t="shared" si="4"/>
        <v>-3.04E-2</v>
      </c>
    </row>
    <row r="147" spans="1:9">
      <c r="A147" t="str">
        <f>'Allocation Worksheet'!B88</f>
        <v>Wabash</v>
      </c>
      <c r="C147" s="87">
        <f>'Allocation Worksheet'!D88</f>
        <v>349169</v>
      </c>
      <c r="E147" s="46">
        <f>'Allocation Worksheet'!E88</f>
        <v>360099</v>
      </c>
      <c r="G147" s="87">
        <f t="shared" si="3"/>
        <v>-10930</v>
      </c>
      <c r="I147" s="89">
        <f t="shared" si="4"/>
        <v>-3.04E-2</v>
      </c>
    </row>
    <row r="148" spans="1:9">
      <c r="A148" t="str">
        <f>'Allocation Worksheet'!B89</f>
        <v>Warren</v>
      </c>
      <c r="C148" s="87">
        <f>'Allocation Worksheet'!D89</f>
        <v>57220</v>
      </c>
      <c r="E148" s="46">
        <f>'Allocation Worksheet'!E89</f>
        <v>59011</v>
      </c>
      <c r="G148" s="87">
        <f t="shared" si="3"/>
        <v>-1791</v>
      </c>
      <c r="I148" s="89">
        <f t="shared" si="4"/>
        <v>-3.04E-2</v>
      </c>
    </row>
    <row r="149" spans="1:9">
      <c r="A149" t="str">
        <f>'Allocation Worksheet'!B90</f>
        <v>Warrick</v>
      </c>
      <c r="C149" s="87">
        <f>'Allocation Worksheet'!D90</f>
        <v>275697</v>
      </c>
      <c r="E149" s="46">
        <f>'Allocation Worksheet'!E90</f>
        <v>284327</v>
      </c>
      <c r="G149" s="87">
        <f t="shared" si="3"/>
        <v>-8630</v>
      </c>
      <c r="I149" s="89">
        <f t="shared" si="4"/>
        <v>-3.04E-2</v>
      </c>
    </row>
    <row r="150" spans="1:9">
      <c r="A150" t="str">
        <f>'Allocation Worksheet'!B91</f>
        <v>Washington</v>
      </c>
      <c r="C150" s="87">
        <f>'Allocation Worksheet'!D91</f>
        <v>176760</v>
      </c>
      <c r="E150" s="46">
        <f>'Allocation Worksheet'!E91</f>
        <v>182293</v>
      </c>
      <c r="G150" s="87">
        <f t="shared" si="3"/>
        <v>-5533</v>
      </c>
      <c r="I150" s="89">
        <f t="shared" si="4"/>
        <v>-3.04E-2</v>
      </c>
    </row>
    <row r="151" spans="1:9">
      <c r="A151" t="str">
        <f>'Allocation Worksheet'!B92</f>
        <v>Wayne</v>
      </c>
      <c r="C151" s="87">
        <f>'Allocation Worksheet'!D92</f>
        <v>975274</v>
      </c>
      <c r="E151" s="46">
        <f>'Allocation Worksheet'!E92</f>
        <v>1005801</v>
      </c>
      <c r="G151" s="87">
        <f t="shared" si="3"/>
        <v>-30527</v>
      </c>
      <c r="I151" s="89">
        <f t="shared" si="4"/>
        <v>-3.04E-2</v>
      </c>
    </row>
    <row r="152" spans="1:9">
      <c r="A152" t="str">
        <f>'Allocation Worksheet'!B93</f>
        <v>Wells</v>
      </c>
      <c r="C152" s="87">
        <f>'Allocation Worksheet'!D93</f>
        <v>481081</v>
      </c>
      <c r="E152" s="46">
        <f>'Allocation Worksheet'!E93</f>
        <v>496140</v>
      </c>
      <c r="G152" s="87">
        <f t="shared" si="3"/>
        <v>-15059</v>
      </c>
      <c r="I152" s="89">
        <f t="shared" si="4"/>
        <v>-3.04E-2</v>
      </c>
    </row>
    <row r="153" spans="1:9">
      <c r="A153" t="str">
        <f>'Allocation Worksheet'!B94</f>
        <v>White</v>
      </c>
      <c r="C153" s="87">
        <f>'Allocation Worksheet'!D94</f>
        <v>442143</v>
      </c>
      <c r="E153" s="46">
        <f>'Allocation Worksheet'!E94</f>
        <v>455983</v>
      </c>
      <c r="G153" s="87">
        <f t="shared" si="3"/>
        <v>-13840</v>
      </c>
      <c r="I153" s="89">
        <f t="shared" si="4"/>
        <v>-3.04E-2</v>
      </c>
    </row>
    <row r="154" spans="1:9">
      <c r="A154" t="str">
        <f>'Allocation Worksheet'!B95</f>
        <v>Whitley</v>
      </c>
      <c r="C154" s="87">
        <f>'Allocation Worksheet'!D95</f>
        <v>538427</v>
      </c>
      <c r="E154" s="46">
        <f>'Allocation Worksheet'!E95</f>
        <v>555280</v>
      </c>
      <c r="G154" s="87">
        <f t="shared" si="3"/>
        <v>-16853</v>
      </c>
      <c r="I154" s="89">
        <f t="shared" si="4"/>
        <v>-3.04E-2</v>
      </c>
    </row>
    <row r="155" spans="1:9" ht="15.75" thickBot="1">
      <c r="C155" s="97">
        <f>SUM(C63:C154)</f>
        <v>64673842</v>
      </c>
      <c r="E155" s="97">
        <f>SUM(E63:E154)</f>
        <v>66698226</v>
      </c>
      <c r="G155" s="97">
        <f>C155-E155</f>
        <v>-2024384</v>
      </c>
      <c r="I155" s="98">
        <f>ROUND(G155/E155,4)</f>
        <v>-3.04E-2</v>
      </c>
    </row>
    <row r="156" spans="1:9" ht="15.75" thickTop="1"/>
    <row r="157" spans="1:9"/>
    <row r="158" spans="1:9"/>
    <row r="159" spans="1:9"/>
    <row r="160" spans="1:9"/>
  </sheetData>
  <mergeCells count="11">
    <mergeCell ref="A11:O12"/>
    <mergeCell ref="A1:O1"/>
    <mergeCell ref="A2:O2"/>
    <mergeCell ref="A3:O3"/>
    <mergeCell ref="A5:O5"/>
    <mergeCell ref="A7:O9"/>
    <mergeCell ref="E35:G35"/>
    <mergeCell ref="A38:O39"/>
    <mergeCell ref="I48:K48"/>
    <mergeCell ref="A52:O53"/>
    <mergeCell ref="G61:I61"/>
  </mergeCells>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0">
    <pageSetUpPr fitToPage="1"/>
  </sheetPr>
  <dimension ref="A1:WVB102"/>
  <sheetViews>
    <sheetView topLeftCell="A65" zoomScaleNormal="100" zoomScaleSheetLayoutView="80" workbookViewId="0">
      <selection activeCell="D86" activeCellId="5" sqref="D7:F7 D70:F70 D74:F74 D78:F78 D82:F82 D86:F86"/>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3.8554687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3.8554687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3.8554687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3.8554687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3.8554687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3.8554687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3.8554687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3.8554687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3.8554687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3.8554687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3.8554687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3.8554687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3.8554687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3.8554687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3.8554687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3.8554687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3.8554687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3.8554687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3.8554687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3.8554687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3.8554687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3.8554687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3.8554687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3.8554687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3.8554687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3.8554687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3.8554687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3.8554687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3.8554687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3.8554687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3.8554687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3.8554687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3.8554687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3.8554687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3.8554687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3.8554687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3.8554687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3.8554687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3.8554687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3.8554687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3.8554687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3.8554687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3.8554687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3.8554687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3.8554687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3.8554687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3.8554687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3.8554687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3.8554687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3.8554687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3.8554687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3.8554687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3.8554687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3.8554687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3.8554687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3.8554687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3.8554687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3.8554687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3.8554687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3.8554687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3.8554687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3.8554687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3.8554687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1815</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Worksheet'!$D$92</f>
        <v>975274</v>
      </c>
      <c r="E3" s="11"/>
      <c r="F3" s="11"/>
    </row>
    <row r="4" spans="1:6">
      <c r="A4" s="8">
        <v>0</v>
      </c>
      <c r="B4" s="11" t="s">
        <v>4</v>
      </c>
      <c r="C4" s="10">
        <v>9.3899999999999995E-4</v>
      </c>
      <c r="D4" s="12">
        <f>ROUND(D$3*C4,0)</f>
        <v>916</v>
      </c>
      <c r="E4" s="13">
        <f>ROUND(D4/2,0)</f>
        <v>458</v>
      </c>
      <c r="F4" s="12">
        <f>D4-E4</f>
        <v>458</v>
      </c>
    </row>
    <row r="5" spans="1:6">
      <c r="A5" s="8">
        <v>1</v>
      </c>
      <c r="B5" s="11" t="s">
        <v>1816</v>
      </c>
      <c r="C5" s="10">
        <v>0.193577</v>
      </c>
      <c r="D5" s="9">
        <f>ROUND(D$3*C5,0)</f>
        <v>188791</v>
      </c>
      <c r="E5" s="11">
        <f>ROUND(D5/2,0)</f>
        <v>94396</v>
      </c>
      <c r="F5" s="9">
        <f>D5-E5</f>
        <v>94395</v>
      </c>
    </row>
    <row r="6" spans="1:6">
      <c r="A6" s="8"/>
      <c r="B6" s="11" t="s">
        <v>6</v>
      </c>
      <c r="C6" s="11"/>
      <c r="D6" s="14">
        <v>0.113464</v>
      </c>
      <c r="E6" s="11"/>
      <c r="F6" s="11"/>
    </row>
    <row r="7" spans="1:6">
      <c r="A7" s="8"/>
      <c r="B7" s="11" t="s">
        <v>7</v>
      </c>
      <c r="C7" s="11"/>
      <c r="D7" s="225">
        <f>ROUND(D5*D6,0)</f>
        <v>21421</v>
      </c>
      <c r="E7" s="226">
        <f>ROUND(D7/2,0)</f>
        <v>10711</v>
      </c>
      <c r="F7" s="225">
        <f>D7-E7</f>
        <v>10710</v>
      </c>
    </row>
    <row r="8" spans="1:6">
      <c r="A8" s="8"/>
      <c r="B8" s="11" t="s">
        <v>8</v>
      </c>
      <c r="C8" s="11"/>
      <c r="D8" s="12">
        <f>+D5-D7</f>
        <v>167370</v>
      </c>
      <c r="E8" s="13">
        <f>ROUND(D8/2,0)</f>
        <v>83685</v>
      </c>
      <c r="F8" s="12">
        <f>D8-E8</f>
        <v>83685</v>
      </c>
    </row>
    <row r="9" spans="1:6">
      <c r="A9" s="8">
        <v>2</v>
      </c>
      <c r="B9" s="11" t="s">
        <v>1817</v>
      </c>
      <c r="C9" s="11"/>
      <c r="D9" s="9"/>
      <c r="E9" s="11"/>
      <c r="F9" s="11"/>
    </row>
    <row r="10" spans="1:6">
      <c r="A10" s="8"/>
      <c r="B10" s="11" t="s">
        <v>10</v>
      </c>
      <c r="C10" s="10">
        <v>9.4499999999999998E-4</v>
      </c>
      <c r="D10" s="12">
        <f>ROUND(D$3*C10,0)</f>
        <v>922</v>
      </c>
      <c r="E10" s="13">
        <f>ROUND(D10/2,0)</f>
        <v>461</v>
      </c>
      <c r="F10" s="12">
        <f>D10-E10</f>
        <v>461</v>
      </c>
    </row>
    <row r="11" spans="1:6">
      <c r="A11" s="8"/>
      <c r="B11" s="11" t="s">
        <v>11</v>
      </c>
      <c r="C11" s="10">
        <v>4.1399999999999998E-4</v>
      </c>
      <c r="D11" s="12">
        <f>ROUND(D$3*C11,0)</f>
        <v>404</v>
      </c>
      <c r="E11" s="13">
        <f>ROUND(D11/2,0)</f>
        <v>202</v>
      </c>
      <c r="F11" s="12">
        <f>D11-E11</f>
        <v>202</v>
      </c>
    </row>
    <row r="12" spans="1:6">
      <c r="A12" s="8">
        <v>2</v>
      </c>
      <c r="B12" s="11" t="s">
        <v>1818</v>
      </c>
      <c r="C12" s="11"/>
      <c r="D12" s="9"/>
      <c r="E12" s="11"/>
      <c r="F12" s="11"/>
    </row>
    <row r="13" spans="1:6">
      <c r="A13" s="8"/>
      <c r="B13" s="11" t="s">
        <v>10</v>
      </c>
      <c r="C13" s="10">
        <v>2.5999999999999998E-5</v>
      </c>
      <c r="D13" s="12">
        <f>ROUND(D$3*C13,0)</f>
        <v>25</v>
      </c>
      <c r="E13" s="13">
        <f>ROUND(D13/2,0)</f>
        <v>13</v>
      </c>
      <c r="F13" s="12">
        <f>D13-E13</f>
        <v>12</v>
      </c>
    </row>
    <row r="14" spans="1:6">
      <c r="A14" s="8"/>
      <c r="B14" s="11" t="s">
        <v>11</v>
      </c>
      <c r="C14" s="10">
        <v>7.7999999999999999E-5</v>
      </c>
      <c r="D14" s="12">
        <f>ROUND(D$3*C14,0)</f>
        <v>76</v>
      </c>
      <c r="E14" s="13">
        <f>ROUND(D14/2,0)</f>
        <v>38</v>
      </c>
      <c r="F14" s="12">
        <f>D14-E14</f>
        <v>38</v>
      </c>
    </row>
    <row r="15" spans="1:6">
      <c r="A15" s="8">
        <v>2</v>
      </c>
      <c r="B15" s="11" t="s">
        <v>107</v>
      </c>
      <c r="C15" s="11"/>
      <c r="D15" s="9"/>
      <c r="E15" s="11"/>
      <c r="F15" s="11"/>
    </row>
    <row r="16" spans="1:6">
      <c r="A16" s="8"/>
      <c r="B16" s="11" t="s">
        <v>10</v>
      </c>
      <c r="C16" s="10">
        <v>5.9100000000000005E-4</v>
      </c>
      <c r="D16" s="12">
        <f>ROUND(D$3*C16,0)</f>
        <v>576</v>
      </c>
      <c r="E16" s="13">
        <f>ROUND(D16/2,0)</f>
        <v>288</v>
      </c>
      <c r="F16" s="12">
        <f>D16-E16</f>
        <v>288</v>
      </c>
    </row>
    <row r="17" spans="1:6">
      <c r="A17" s="8"/>
      <c r="B17" s="11" t="s">
        <v>11</v>
      </c>
      <c r="C17" s="10">
        <v>6.78E-4</v>
      </c>
      <c r="D17" s="12">
        <f>ROUND(D$3*C17,0)</f>
        <v>661</v>
      </c>
      <c r="E17" s="13">
        <f>ROUND(D17/2,0)</f>
        <v>331</v>
      </c>
      <c r="F17" s="12">
        <f>D17-E17</f>
        <v>330</v>
      </c>
    </row>
    <row r="18" spans="1:6">
      <c r="A18" s="8">
        <v>2</v>
      </c>
      <c r="B18" s="11" t="s">
        <v>81</v>
      </c>
      <c r="C18" s="11"/>
      <c r="D18" s="9"/>
      <c r="E18" s="11"/>
      <c r="F18" s="11"/>
    </row>
    <row r="19" spans="1:6">
      <c r="A19" s="8"/>
      <c r="B19" s="11" t="s">
        <v>10</v>
      </c>
      <c r="C19" s="10">
        <v>1.01E-4</v>
      </c>
      <c r="D19" s="12">
        <f>ROUND(D$3*C19,0)</f>
        <v>99</v>
      </c>
      <c r="E19" s="13">
        <f>ROUND(D19/2,0)</f>
        <v>50</v>
      </c>
      <c r="F19" s="12">
        <f>D19-E19</f>
        <v>49</v>
      </c>
    </row>
    <row r="20" spans="1:6">
      <c r="A20" s="8"/>
      <c r="B20" s="11" t="s">
        <v>11</v>
      </c>
      <c r="C20" s="10">
        <v>2.2100000000000001E-4</v>
      </c>
      <c r="D20" s="12">
        <f>ROUND(D$3*C20,0)</f>
        <v>216</v>
      </c>
      <c r="E20" s="13">
        <f>ROUND(D20/2,0)</f>
        <v>108</v>
      </c>
      <c r="F20" s="12">
        <f>D20-E20</f>
        <v>108</v>
      </c>
    </row>
    <row r="21" spans="1:6">
      <c r="A21" s="8">
        <v>2</v>
      </c>
      <c r="B21" s="11" t="s">
        <v>1819</v>
      </c>
      <c r="C21" s="11"/>
      <c r="D21" s="9"/>
      <c r="E21" s="11"/>
      <c r="F21" s="11"/>
    </row>
    <row r="22" spans="1:6">
      <c r="A22" s="8"/>
      <c r="B22" s="11" t="s">
        <v>10</v>
      </c>
      <c r="C22" s="10">
        <v>7.2999999999999999E-5</v>
      </c>
      <c r="D22" s="12">
        <f>ROUND(D$3*C22,0)</f>
        <v>71</v>
      </c>
      <c r="E22" s="13">
        <f>ROUND(D22/2,0)</f>
        <v>36</v>
      </c>
      <c r="F22" s="12">
        <f>D22-E22</f>
        <v>35</v>
      </c>
    </row>
    <row r="23" spans="1:6">
      <c r="A23" s="8"/>
      <c r="B23" s="11" t="s">
        <v>11</v>
      </c>
      <c r="C23" s="10">
        <v>3.8999999999999999E-5</v>
      </c>
      <c r="D23" s="12">
        <f>ROUND(D$3*C23,0)</f>
        <v>38</v>
      </c>
      <c r="E23" s="13">
        <f>ROUND(D23/2,0)</f>
        <v>19</v>
      </c>
      <c r="F23" s="12">
        <f>D23-E23</f>
        <v>19</v>
      </c>
    </row>
    <row r="24" spans="1:6">
      <c r="A24" s="8">
        <v>2</v>
      </c>
      <c r="B24" s="11" t="s">
        <v>372</v>
      </c>
      <c r="C24" s="11"/>
      <c r="D24" s="9"/>
      <c r="E24" s="11"/>
      <c r="F24" s="11"/>
    </row>
    <row r="25" spans="1:6">
      <c r="A25" s="8"/>
      <c r="B25" s="11" t="s">
        <v>10</v>
      </c>
      <c r="C25" s="10">
        <v>6.3999999999999997E-5</v>
      </c>
      <c r="D25" s="12">
        <f>ROUND(D$3*C25,0)</f>
        <v>62</v>
      </c>
      <c r="E25" s="13">
        <f>ROUND(D25/2,0)</f>
        <v>31</v>
      </c>
      <c r="F25" s="12">
        <f>D25-E25</f>
        <v>31</v>
      </c>
    </row>
    <row r="26" spans="1:6">
      <c r="A26" s="8"/>
      <c r="B26" s="11" t="s">
        <v>11</v>
      </c>
      <c r="C26" s="10">
        <v>2.0699999999999999E-4</v>
      </c>
      <c r="D26" s="12">
        <f>ROUND(D$3*C26,0)</f>
        <v>202</v>
      </c>
      <c r="E26" s="13">
        <f>ROUND(D26/2,0)</f>
        <v>101</v>
      </c>
      <c r="F26" s="12">
        <f>D26-E26</f>
        <v>101</v>
      </c>
    </row>
    <row r="27" spans="1:6">
      <c r="A27" s="8">
        <v>2</v>
      </c>
      <c r="B27" s="11" t="s">
        <v>855</v>
      </c>
      <c r="C27" s="11"/>
      <c r="D27" s="9"/>
      <c r="E27" s="11"/>
      <c r="F27" s="11"/>
    </row>
    <row r="28" spans="1:6">
      <c r="A28" s="8"/>
      <c r="B28" s="11" t="s">
        <v>10</v>
      </c>
      <c r="C28" s="10">
        <v>4.7699999999999999E-4</v>
      </c>
      <c r="D28" s="12">
        <f>ROUND(D$3*C28,0)</f>
        <v>465</v>
      </c>
      <c r="E28" s="13">
        <f>ROUND(D28/2,0)</f>
        <v>233</v>
      </c>
      <c r="F28" s="12">
        <f>D28-E28</f>
        <v>232</v>
      </c>
    </row>
    <row r="29" spans="1:6">
      <c r="A29" s="8"/>
      <c r="B29" s="11" t="s">
        <v>11</v>
      </c>
      <c r="C29" s="10">
        <v>3.6999999999999999E-4</v>
      </c>
      <c r="D29" s="12">
        <f>ROUND(D$3*C29,0)</f>
        <v>361</v>
      </c>
      <c r="E29" s="13">
        <f>ROUND(D29/2,0)</f>
        <v>181</v>
      </c>
      <c r="F29" s="12">
        <f>D29-E29</f>
        <v>180</v>
      </c>
    </row>
    <row r="30" spans="1:6">
      <c r="A30" s="8">
        <v>2</v>
      </c>
      <c r="B30" s="11" t="s">
        <v>86</v>
      </c>
      <c r="C30" s="11"/>
      <c r="D30" s="9"/>
      <c r="E30" s="11"/>
      <c r="F30" s="11"/>
    </row>
    <row r="31" spans="1:6">
      <c r="A31" s="8"/>
      <c r="B31" s="11" t="s">
        <v>10</v>
      </c>
      <c r="C31" s="10">
        <v>5.0000000000000004E-6</v>
      </c>
      <c r="D31" s="12">
        <f>ROUND(D$3*C31,0)</f>
        <v>5</v>
      </c>
      <c r="E31" s="13">
        <f>ROUND(D31/2,0)</f>
        <v>3</v>
      </c>
      <c r="F31" s="12">
        <f>D31-E31</f>
        <v>2</v>
      </c>
    </row>
    <row r="32" spans="1:6">
      <c r="A32" s="8"/>
      <c r="B32" s="11" t="s">
        <v>11</v>
      </c>
      <c r="C32" s="10">
        <v>3.9999999999999998E-6</v>
      </c>
      <c r="D32" s="12">
        <f>ROUND(D$3*C32,0)</f>
        <v>4</v>
      </c>
      <c r="E32" s="13">
        <f>ROUND(D32/2,0)</f>
        <v>2</v>
      </c>
      <c r="F32" s="12">
        <f>D32-E32</f>
        <v>2</v>
      </c>
    </row>
    <row r="33" spans="1:6">
      <c r="A33" s="8">
        <v>2</v>
      </c>
      <c r="B33" s="11" t="s">
        <v>49</v>
      </c>
      <c r="C33" s="11"/>
      <c r="D33" s="9"/>
      <c r="E33" s="11"/>
      <c r="F33" s="11"/>
    </row>
    <row r="34" spans="1:6">
      <c r="A34" s="8"/>
      <c r="B34" s="11" t="s">
        <v>10</v>
      </c>
      <c r="C34" s="10">
        <v>8.8900000000000003E-4</v>
      </c>
      <c r="D34" s="12">
        <f>ROUND(D$3*C34,0)</f>
        <v>867</v>
      </c>
      <c r="E34" s="13">
        <f>ROUND(D34/2,0)</f>
        <v>434</v>
      </c>
      <c r="F34" s="12">
        <f>D34-E34</f>
        <v>433</v>
      </c>
    </row>
    <row r="35" spans="1:6">
      <c r="A35" s="8"/>
      <c r="B35" s="11" t="s">
        <v>11</v>
      </c>
      <c r="C35" s="10">
        <v>2.2000000000000001E-4</v>
      </c>
      <c r="D35" s="12">
        <f>ROUND(D$3*C35,0)</f>
        <v>215</v>
      </c>
      <c r="E35" s="13">
        <f>ROUND(D35/2,0)</f>
        <v>108</v>
      </c>
      <c r="F35" s="12">
        <f>D35-E35</f>
        <v>107</v>
      </c>
    </row>
    <row r="36" spans="1:6">
      <c r="A36" s="8">
        <v>2</v>
      </c>
      <c r="B36" s="11" t="s">
        <v>14</v>
      </c>
      <c r="C36" s="11"/>
      <c r="D36" s="9"/>
      <c r="E36" s="11"/>
      <c r="F36" s="11"/>
    </row>
    <row r="37" spans="1:6">
      <c r="A37" s="8"/>
      <c r="B37" s="11" t="s">
        <v>10</v>
      </c>
      <c r="C37" s="10">
        <v>5.7499999999999999E-4</v>
      </c>
      <c r="D37" s="12">
        <f>ROUND(D$3*C37,0)</f>
        <v>561</v>
      </c>
      <c r="E37" s="13">
        <f>ROUND(D37/2,0)</f>
        <v>281</v>
      </c>
      <c r="F37" s="12">
        <f>D37-E37</f>
        <v>280</v>
      </c>
    </row>
    <row r="38" spans="1:6">
      <c r="A38" s="8"/>
      <c r="B38" s="11" t="s">
        <v>11</v>
      </c>
      <c r="C38" s="10">
        <v>1.64E-4</v>
      </c>
      <c r="D38" s="12">
        <f>ROUND(D$3*C38,0)</f>
        <v>160</v>
      </c>
      <c r="E38" s="13">
        <f>ROUND(D38/2,0)</f>
        <v>80</v>
      </c>
      <c r="F38" s="12">
        <f>D38-E38</f>
        <v>80</v>
      </c>
    </row>
    <row r="39" spans="1:6">
      <c r="A39" s="8">
        <v>2</v>
      </c>
      <c r="B39" s="11" t="s">
        <v>1820</v>
      </c>
      <c r="C39" s="11"/>
      <c r="D39" s="9"/>
      <c r="E39" s="11"/>
      <c r="F39" s="11"/>
    </row>
    <row r="40" spans="1:6">
      <c r="A40" s="8"/>
      <c r="B40" s="11" t="s">
        <v>10</v>
      </c>
      <c r="C40" s="10">
        <v>2.33E-4</v>
      </c>
      <c r="D40" s="12">
        <f>ROUND(D$3*C40,0)</f>
        <v>227</v>
      </c>
      <c r="E40" s="13">
        <f>ROUND(D40/2,0)</f>
        <v>114</v>
      </c>
      <c r="F40" s="12">
        <f>D40-E40</f>
        <v>113</v>
      </c>
    </row>
    <row r="41" spans="1:6">
      <c r="A41" s="8"/>
      <c r="B41" s="11" t="s">
        <v>11</v>
      </c>
      <c r="C41" s="10">
        <v>1.9599999999999999E-4</v>
      </c>
      <c r="D41" s="12">
        <f>ROUND(D$3*C41,0)</f>
        <v>191</v>
      </c>
      <c r="E41" s="13">
        <f>ROUND(D41/2,0)</f>
        <v>96</v>
      </c>
      <c r="F41" s="12">
        <f>D41-E41</f>
        <v>95</v>
      </c>
    </row>
    <row r="42" spans="1:6">
      <c r="A42" s="8">
        <v>2</v>
      </c>
      <c r="B42" s="11" t="s">
        <v>56</v>
      </c>
      <c r="C42" s="11"/>
      <c r="D42" s="9"/>
      <c r="E42" s="11"/>
      <c r="F42" s="11"/>
    </row>
    <row r="43" spans="1:6">
      <c r="A43" s="8"/>
      <c r="B43" s="11" t="s">
        <v>10</v>
      </c>
      <c r="C43" s="10">
        <v>8.8999999999999995E-5</v>
      </c>
      <c r="D43" s="12">
        <f>ROUND(D$3*C43,0)</f>
        <v>87</v>
      </c>
      <c r="E43" s="13">
        <f>ROUND(D43/2,0)</f>
        <v>44</v>
      </c>
      <c r="F43" s="12">
        <f>D43-E43</f>
        <v>43</v>
      </c>
    </row>
    <row r="44" spans="1:6">
      <c r="A44" s="8"/>
      <c r="B44" s="11" t="s">
        <v>11</v>
      </c>
      <c r="C44" s="10">
        <v>1.8000000000000001E-4</v>
      </c>
      <c r="D44" s="12">
        <f>ROUND(D$3*C44,0)</f>
        <v>176</v>
      </c>
      <c r="E44" s="13">
        <f>ROUND(D44/2,0)</f>
        <v>88</v>
      </c>
      <c r="F44" s="12">
        <f>D44-E44</f>
        <v>88</v>
      </c>
    </row>
    <row r="45" spans="1:6">
      <c r="A45" s="8">
        <v>2</v>
      </c>
      <c r="B45" s="11" t="s">
        <v>22</v>
      </c>
      <c r="C45" s="11"/>
      <c r="D45" s="9"/>
      <c r="E45" s="11"/>
      <c r="F45" s="11"/>
    </row>
    <row r="46" spans="1:6">
      <c r="A46" s="8"/>
      <c r="B46" s="11" t="s">
        <v>10</v>
      </c>
      <c r="C46" s="10">
        <v>1E-4</v>
      </c>
      <c r="D46" s="12">
        <f>ROUND(D$3*C46,0)</f>
        <v>98</v>
      </c>
      <c r="E46" s="13">
        <f>ROUND(D46/2,0)</f>
        <v>49</v>
      </c>
      <c r="F46" s="12">
        <f>D46-E46</f>
        <v>49</v>
      </c>
    </row>
    <row r="47" spans="1:6">
      <c r="A47" s="8"/>
      <c r="B47" s="11" t="s">
        <v>11</v>
      </c>
      <c r="C47" s="10">
        <v>1.7899999999999999E-4</v>
      </c>
      <c r="D47" s="12">
        <f>ROUND(D$3*C47,0)</f>
        <v>175</v>
      </c>
      <c r="E47" s="13">
        <f>ROUND(D47/2,0)</f>
        <v>88</v>
      </c>
      <c r="F47" s="12">
        <f>D47-E47</f>
        <v>87</v>
      </c>
    </row>
    <row r="48" spans="1:6">
      <c r="A48" s="8">
        <v>2</v>
      </c>
      <c r="B48" s="11" t="s">
        <v>61</v>
      </c>
      <c r="C48" s="11"/>
      <c r="D48" s="9"/>
      <c r="E48" s="11"/>
      <c r="F48" s="11"/>
    </row>
    <row r="49" spans="1:6">
      <c r="A49" s="8"/>
      <c r="B49" s="11" t="s">
        <v>10</v>
      </c>
      <c r="C49" s="10">
        <v>1.0315E-2</v>
      </c>
      <c r="D49" s="12">
        <f>ROUND(D$3*C49,0)</f>
        <v>10060</v>
      </c>
      <c r="E49" s="13">
        <f>ROUND(D49/2,0)</f>
        <v>5030</v>
      </c>
      <c r="F49" s="12">
        <f>D49-E49</f>
        <v>5030</v>
      </c>
    </row>
    <row r="50" spans="1:6">
      <c r="A50" s="8"/>
      <c r="B50" s="11" t="s">
        <v>11</v>
      </c>
      <c r="C50" s="10">
        <v>9.5399999999999999E-4</v>
      </c>
      <c r="D50" s="12">
        <f>ROUND(D$3*C50,0)</f>
        <v>930</v>
      </c>
      <c r="E50" s="13">
        <f>ROUND(D50/2,0)</f>
        <v>465</v>
      </c>
      <c r="F50" s="12">
        <f>D50-E50</f>
        <v>465</v>
      </c>
    </row>
    <row r="51" spans="1:6">
      <c r="A51" s="8">
        <v>2</v>
      </c>
      <c r="B51" s="11" t="s">
        <v>692</v>
      </c>
      <c r="C51" s="11"/>
      <c r="D51" s="9"/>
      <c r="E51" s="11"/>
      <c r="F51" s="11"/>
    </row>
    <row r="52" spans="1:6">
      <c r="A52" s="8"/>
      <c r="B52" s="11" t="s">
        <v>10</v>
      </c>
      <c r="C52" s="10">
        <v>2.4699999999999999E-4</v>
      </c>
      <c r="D52" s="12">
        <f t="shared" ref="D52:D68" si="0">ROUND(D$3*C52,0)</f>
        <v>241</v>
      </c>
      <c r="E52" s="13">
        <f t="shared" ref="E52:E68" si="1">ROUND(D52/2,0)</f>
        <v>121</v>
      </c>
      <c r="F52" s="12">
        <f t="shared" ref="F52:F68" si="2">D52-E52</f>
        <v>120</v>
      </c>
    </row>
    <row r="53" spans="1:6">
      <c r="A53" s="8"/>
      <c r="B53" s="11" t="s">
        <v>11</v>
      </c>
      <c r="C53" s="10">
        <v>2.31E-4</v>
      </c>
      <c r="D53" s="12">
        <f t="shared" si="0"/>
        <v>225</v>
      </c>
      <c r="E53" s="13">
        <f t="shared" si="1"/>
        <v>113</v>
      </c>
      <c r="F53" s="12">
        <f t="shared" si="2"/>
        <v>112</v>
      </c>
    </row>
    <row r="54" spans="1:6">
      <c r="A54" s="8">
        <v>3</v>
      </c>
      <c r="B54" s="11" t="s">
        <v>1821</v>
      </c>
      <c r="C54" s="10">
        <v>0</v>
      </c>
      <c r="D54" s="12">
        <f t="shared" si="0"/>
        <v>0</v>
      </c>
      <c r="E54" s="13">
        <f t="shared" si="1"/>
        <v>0</v>
      </c>
      <c r="F54" s="12">
        <f t="shared" si="2"/>
        <v>0</v>
      </c>
    </row>
    <row r="55" spans="1:6">
      <c r="A55" s="8">
        <v>3</v>
      </c>
      <c r="B55" s="11" t="s">
        <v>1822</v>
      </c>
      <c r="C55" s="10">
        <v>3.1050000000000001E-3</v>
      </c>
      <c r="D55" s="12">
        <f t="shared" si="0"/>
        <v>3028</v>
      </c>
      <c r="E55" s="13">
        <f t="shared" si="1"/>
        <v>1514</v>
      </c>
      <c r="F55" s="12">
        <f t="shared" si="2"/>
        <v>1514</v>
      </c>
    </row>
    <row r="56" spans="1:6">
      <c r="A56" s="8">
        <v>3</v>
      </c>
      <c r="B56" s="11" t="s">
        <v>1823</v>
      </c>
      <c r="C56" s="10">
        <v>4.4079999999999996E-3</v>
      </c>
      <c r="D56" s="12">
        <f t="shared" si="0"/>
        <v>4299</v>
      </c>
      <c r="E56" s="13">
        <f t="shared" si="1"/>
        <v>2150</v>
      </c>
      <c r="F56" s="12">
        <f t="shared" si="2"/>
        <v>2149</v>
      </c>
    </row>
    <row r="57" spans="1:6">
      <c r="A57" s="8">
        <v>3</v>
      </c>
      <c r="B57" s="11" t="s">
        <v>1824</v>
      </c>
      <c r="C57" s="10">
        <v>3.6699999999999998E-4</v>
      </c>
      <c r="D57" s="12">
        <f t="shared" si="0"/>
        <v>358</v>
      </c>
      <c r="E57" s="13">
        <f t="shared" si="1"/>
        <v>179</v>
      </c>
      <c r="F57" s="12">
        <f t="shared" si="2"/>
        <v>179</v>
      </c>
    </row>
    <row r="58" spans="1:6">
      <c r="A58" s="8">
        <v>3</v>
      </c>
      <c r="B58" s="11" t="s">
        <v>1825</v>
      </c>
      <c r="C58" s="10">
        <v>3.7599999999999998E-4</v>
      </c>
      <c r="D58" s="12">
        <f t="shared" si="0"/>
        <v>367</v>
      </c>
      <c r="E58" s="13">
        <f t="shared" si="1"/>
        <v>184</v>
      </c>
      <c r="F58" s="12">
        <f t="shared" si="2"/>
        <v>183</v>
      </c>
    </row>
    <row r="59" spans="1:6">
      <c r="A59" s="8">
        <v>3</v>
      </c>
      <c r="B59" s="11" t="s">
        <v>1826</v>
      </c>
      <c r="C59" s="10">
        <v>3.1999999999999999E-5</v>
      </c>
      <c r="D59" s="12">
        <f t="shared" si="0"/>
        <v>31</v>
      </c>
      <c r="E59" s="13">
        <f t="shared" si="1"/>
        <v>16</v>
      </c>
      <c r="F59" s="12">
        <f t="shared" si="2"/>
        <v>15</v>
      </c>
    </row>
    <row r="60" spans="1:6">
      <c r="A60" s="8">
        <v>3</v>
      </c>
      <c r="B60" s="11" t="s">
        <v>1827</v>
      </c>
      <c r="C60" s="10">
        <v>0</v>
      </c>
      <c r="D60" s="12">
        <f t="shared" si="0"/>
        <v>0</v>
      </c>
      <c r="E60" s="13">
        <f t="shared" si="1"/>
        <v>0</v>
      </c>
      <c r="F60" s="12">
        <f t="shared" si="2"/>
        <v>0</v>
      </c>
    </row>
    <row r="61" spans="1:6">
      <c r="A61" s="8">
        <v>3</v>
      </c>
      <c r="B61" s="11" t="s">
        <v>1828</v>
      </c>
      <c r="C61" s="10">
        <v>0</v>
      </c>
      <c r="D61" s="12">
        <f t="shared" si="0"/>
        <v>0</v>
      </c>
      <c r="E61" s="13">
        <f t="shared" si="1"/>
        <v>0</v>
      </c>
      <c r="F61" s="12">
        <f t="shared" si="2"/>
        <v>0</v>
      </c>
    </row>
    <row r="62" spans="1:6">
      <c r="A62" s="8">
        <v>3</v>
      </c>
      <c r="B62" s="11" t="s">
        <v>1829</v>
      </c>
      <c r="C62" s="10">
        <v>1.524E-3</v>
      </c>
      <c r="D62" s="12">
        <f t="shared" si="0"/>
        <v>1486</v>
      </c>
      <c r="E62" s="13">
        <f t="shared" si="1"/>
        <v>743</v>
      </c>
      <c r="F62" s="12">
        <f t="shared" si="2"/>
        <v>743</v>
      </c>
    </row>
    <row r="63" spans="1:6">
      <c r="A63" s="8">
        <v>3</v>
      </c>
      <c r="B63" s="11" t="s">
        <v>1830</v>
      </c>
      <c r="C63" s="10">
        <v>3.4E-5</v>
      </c>
      <c r="D63" s="12">
        <f t="shared" si="0"/>
        <v>33</v>
      </c>
      <c r="E63" s="13">
        <f t="shared" si="1"/>
        <v>17</v>
      </c>
      <c r="F63" s="12">
        <f t="shared" si="2"/>
        <v>16</v>
      </c>
    </row>
    <row r="64" spans="1:6">
      <c r="A64" s="8">
        <v>3</v>
      </c>
      <c r="B64" s="11" t="s">
        <v>1831</v>
      </c>
      <c r="C64" s="10">
        <v>5.0000000000000004E-6</v>
      </c>
      <c r="D64" s="12">
        <f t="shared" si="0"/>
        <v>5</v>
      </c>
      <c r="E64" s="13">
        <f t="shared" si="1"/>
        <v>3</v>
      </c>
      <c r="F64" s="12">
        <f t="shared" si="2"/>
        <v>2</v>
      </c>
    </row>
    <row r="65" spans="1:6">
      <c r="A65" s="8">
        <v>3</v>
      </c>
      <c r="B65" s="11" t="s">
        <v>1832</v>
      </c>
      <c r="C65" s="10">
        <v>0.196908</v>
      </c>
      <c r="D65" s="12">
        <f t="shared" si="0"/>
        <v>192039</v>
      </c>
      <c r="E65" s="13">
        <f t="shared" si="1"/>
        <v>96020</v>
      </c>
      <c r="F65" s="12">
        <f t="shared" si="2"/>
        <v>96019</v>
      </c>
    </row>
    <row r="66" spans="1:6">
      <c r="A66" s="8">
        <v>3</v>
      </c>
      <c r="B66" s="11" t="s">
        <v>1833</v>
      </c>
      <c r="C66" s="10">
        <v>6.0000000000000002E-6</v>
      </c>
      <c r="D66" s="12">
        <f t="shared" si="0"/>
        <v>6</v>
      </c>
      <c r="E66" s="13">
        <f t="shared" si="1"/>
        <v>3</v>
      </c>
      <c r="F66" s="12">
        <f t="shared" si="2"/>
        <v>3</v>
      </c>
    </row>
    <row r="67" spans="1:6">
      <c r="A67" s="8">
        <v>3</v>
      </c>
      <c r="B67" s="11" t="s">
        <v>1834</v>
      </c>
      <c r="C67" s="10">
        <v>0</v>
      </c>
      <c r="D67" s="12">
        <f t="shared" si="0"/>
        <v>0</v>
      </c>
      <c r="E67" s="13">
        <f t="shared" si="1"/>
        <v>0</v>
      </c>
      <c r="F67" s="12">
        <f t="shared" si="2"/>
        <v>0</v>
      </c>
    </row>
    <row r="68" spans="1:6">
      <c r="A68" s="8">
        <v>4</v>
      </c>
      <c r="B68" s="11" t="s">
        <v>1835</v>
      </c>
      <c r="C68" s="10">
        <v>5.0383999999999998E-2</v>
      </c>
      <c r="D68" s="9">
        <f t="shared" si="0"/>
        <v>49138</v>
      </c>
      <c r="E68" s="11">
        <f t="shared" si="1"/>
        <v>24569</v>
      </c>
      <c r="F68" s="9">
        <f t="shared" si="2"/>
        <v>24569</v>
      </c>
    </row>
    <row r="69" spans="1:6">
      <c r="A69" s="8"/>
      <c r="B69" s="11" t="s">
        <v>28</v>
      </c>
      <c r="C69" s="10"/>
      <c r="D69" s="14">
        <v>0.34016200000000002</v>
      </c>
      <c r="E69" s="11"/>
      <c r="F69" s="11"/>
    </row>
    <row r="70" spans="1:6">
      <c r="A70" s="8"/>
      <c r="B70" s="11" t="s">
        <v>29</v>
      </c>
      <c r="C70" s="11"/>
      <c r="D70" s="225">
        <f>ROUND(D68*D69,0)</f>
        <v>16715</v>
      </c>
      <c r="E70" s="226">
        <f>ROUND(D70/2,0)</f>
        <v>8358</v>
      </c>
      <c r="F70" s="225">
        <f>D70-E70</f>
        <v>8357</v>
      </c>
    </row>
    <row r="71" spans="1:6">
      <c r="A71" s="8" t="s">
        <v>590</v>
      </c>
      <c r="B71" s="11" t="s">
        <v>30</v>
      </c>
      <c r="C71" s="11"/>
      <c r="D71" s="12">
        <f>+D68-D70</f>
        <v>32423</v>
      </c>
      <c r="E71" s="13">
        <f>ROUND(D71/2,0)</f>
        <v>16212</v>
      </c>
      <c r="F71" s="12">
        <f>D71-E71</f>
        <v>16211</v>
      </c>
    </row>
    <row r="72" spans="1:6">
      <c r="A72" s="8">
        <v>4</v>
      </c>
      <c r="B72" s="11" t="s">
        <v>764</v>
      </c>
      <c r="C72" s="10">
        <v>2.2197000000000001E-2</v>
      </c>
      <c r="D72" s="9">
        <f>ROUND(D$3*C72,0)</f>
        <v>21648</v>
      </c>
      <c r="E72" s="11">
        <f>ROUND(D72/2,0)</f>
        <v>10824</v>
      </c>
      <c r="F72" s="9">
        <f>D72-E72</f>
        <v>10824</v>
      </c>
    </row>
    <row r="73" spans="1:6">
      <c r="A73" s="8"/>
      <c r="B73" s="11" t="s">
        <v>28</v>
      </c>
      <c r="C73" s="11"/>
      <c r="D73" s="14">
        <v>0.434776</v>
      </c>
      <c r="E73" s="11"/>
      <c r="F73" s="11"/>
    </row>
    <row r="74" spans="1:6">
      <c r="A74" s="8"/>
      <c r="B74" s="11" t="s">
        <v>29</v>
      </c>
      <c r="C74" s="11"/>
      <c r="D74" s="225">
        <f>ROUND(D72*D73,0)</f>
        <v>9412</v>
      </c>
      <c r="E74" s="226">
        <f>ROUND(D74/2,0)</f>
        <v>4706</v>
      </c>
      <c r="F74" s="225">
        <f>D74-E74</f>
        <v>4706</v>
      </c>
    </row>
    <row r="75" spans="1:6">
      <c r="A75" s="8"/>
      <c r="B75" s="11" t="s">
        <v>30</v>
      </c>
      <c r="C75" s="11"/>
      <c r="D75" s="12">
        <f>+D72-D74</f>
        <v>12236</v>
      </c>
      <c r="E75" s="13">
        <f>ROUND(D75/2,0)</f>
        <v>6118</v>
      </c>
      <c r="F75" s="12">
        <f>D75-E75</f>
        <v>6118</v>
      </c>
    </row>
    <row r="76" spans="1:6">
      <c r="A76" s="8">
        <v>4</v>
      </c>
      <c r="B76" s="11" t="s">
        <v>1836</v>
      </c>
      <c r="C76" s="10">
        <v>2.3667000000000001E-2</v>
      </c>
      <c r="D76" s="9">
        <f>ROUND(D$3*C76,0)</f>
        <v>23082</v>
      </c>
      <c r="E76" s="11">
        <f>ROUND(D76/2,0)</f>
        <v>11541</v>
      </c>
      <c r="F76" s="9">
        <f>D76-E76</f>
        <v>11541</v>
      </c>
    </row>
    <row r="77" spans="1:6">
      <c r="A77" s="8"/>
      <c r="B77" s="11" t="s">
        <v>28</v>
      </c>
      <c r="C77" s="11"/>
      <c r="D77" s="14">
        <v>0.41495500000000002</v>
      </c>
      <c r="E77" s="11"/>
      <c r="F77" s="11"/>
    </row>
    <row r="78" spans="1:6">
      <c r="A78" s="8"/>
      <c r="B78" s="11" t="s">
        <v>29</v>
      </c>
      <c r="C78" s="11"/>
      <c r="D78" s="225">
        <f>ROUND(D76*D77,0)</f>
        <v>9578</v>
      </c>
      <c r="E78" s="226">
        <f>ROUND(D78/2,0)</f>
        <v>4789</v>
      </c>
      <c r="F78" s="225">
        <f>D78-E78</f>
        <v>4789</v>
      </c>
    </row>
    <row r="79" spans="1:6">
      <c r="A79" s="8"/>
      <c r="B79" s="11" t="s">
        <v>30</v>
      </c>
      <c r="C79" s="11"/>
      <c r="D79" s="12">
        <f>+D76-D78</f>
        <v>13504</v>
      </c>
      <c r="E79" s="13">
        <f>ROUND(D79/2,0)</f>
        <v>6752</v>
      </c>
      <c r="F79" s="12">
        <f>D79-E79</f>
        <v>6752</v>
      </c>
    </row>
    <row r="80" spans="1:6">
      <c r="A80" s="8">
        <v>4</v>
      </c>
      <c r="B80" s="11" t="s">
        <v>1837</v>
      </c>
      <c r="C80" s="10">
        <v>0.36707200000000001</v>
      </c>
      <c r="D80" s="9">
        <f>ROUND(D$3*C80,0)</f>
        <v>357996</v>
      </c>
      <c r="E80" s="11">
        <f>ROUND(D80/2,0)</f>
        <v>178998</v>
      </c>
      <c r="F80" s="9">
        <f>D80-E80</f>
        <v>178998</v>
      </c>
    </row>
    <row r="81" spans="1:6">
      <c r="A81" s="8"/>
      <c r="B81" s="11" t="s">
        <v>28</v>
      </c>
      <c r="C81" s="11"/>
      <c r="D81" s="14">
        <v>0.59304100000000004</v>
      </c>
      <c r="E81" s="11"/>
      <c r="F81" s="11"/>
    </row>
    <row r="82" spans="1:6">
      <c r="A82" s="8"/>
      <c r="B82" s="11" t="s">
        <v>29</v>
      </c>
      <c r="C82" s="11"/>
      <c r="D82" s="225">
        <f>ROUND(D80*D81,0)</f>
        <v>212306</v>
      </c>
      <c r="E82" s="226">
        <f>ROUND(D82/2,0)</f>
        <v>106153</v>
      </c>
      <c r="F82" s="225">
        <f>D82-E82</f>
        <v>106153</v>
      </c>
    </row>
    <row r="83" spans="1:6">
      <c r="A83" s="8"/>
      <c r="B83" s="11" t="s">
        <v>30</v>
      </c>
      <c r="C83" s="11"/>
      <c r="D83" s="12">
        <f>+D80-D82</f>
        <v>145690</v>
      </c>
      <c r="E83" s="13">
        <f>ROUND(D83/2,0)</f>
        <v>72845</v>
      </c>
      <c r="F83" s="12">
        <f>D83-E83</f>
        <v>72845</v>
      </c>
    </row>
    <row r="84" spans="1:6">
      <c r="A84" s="8">
        <v>4</v>
      </c>
      <c r="B84" s="11" t="s">
        <v>1838</v>
      </c>
      <c r="C84" s="10">
        <v>3.1468000000000003E-2</v>
      </c>
      <c r="D84" s="9">
        <f>ROUND(D$3*C84,0)</f>
        <v>30690</v>
      </c>
      <c r="E84" s="11">
        <f>ROUND(D84/2,0)</f>
        <v>15345</v>
      </c>
      <c r="F84" s="9">
        <f>D84-E84</f>
        <v>15345</v>
      </c>
    </row>
    <row r="85" spans="1:6">
      <c r="A85" s="8"/>
      <c r="B85" s="11" t="s">
        <v>28</v>
      </c>
      <c r="C85" s="11"/>
      <c r="D85" s="14">
        <v>0.40614</v>
      </c>
      <c r="E85" s="11"/>
      <c r="F85" s="11"/>
    </row>
    <row r="86" spans="1:6">
      <c r="A86" s="8"/>
      <c r="B86" s="11" t="s">
        <v>29</v>
      </c>
      <c r="C86" s="11"/>
      <c r="D86" s="225">
        <f>ROUND(D84*D85,0)</f>
        <v>12464</v>
      </c>
      <c r="E86" s="226">
        <f t="shared" ref="E86:E95" si="3">ROUND(D86/2,0)</f>
        <v>6232</v>
      </c>
      <c r="F86" s="225">
        <f t="shared" ref="F86:F95" si="4">D86-E86</f>
        <v>6232</v>
      </c>
    </row>
    <row r="87" spans="1:6">
      <c r="A87" s="8"/>
      <c r="B87" s="11" t="s">
        <v>30</v>
      </c>
      <c r="C87" s="11"/>
      <c r="D87" s="12">
        <f>+D84-D86</f>
        <v>18226</v>
      </c>
      <c r="E87" s="13">
        <f t="shared" si="3"/>
        <v>9113</v>
      </c>
      <c r="F87" s="12">
        <f t="shared" si="4"/>
        <v>9113</v>
      </c>
    </row>
    <row r="88" spans="1:6">
      <c r="A88" s="8">
        <v>5</v>
      </c>
      <c r="B88" s="11" t="s">
        <v>1839</v>
      </c>
      <c r="C88" s="10">
        <v>1.523E-3</v>
      </c>
      <c r="D88" s="12">
        <f t="shared" ref="D88:D93" si="5">ROUND(D$3*C88,0)</f>
        <v>1485</v>
      </c>
      <c r="E88" s="13">
        <f t="shared" si="3"/>
        <v>743</v>
      </c>
      <c r="F88" s="12">
        <f t="shared" si="4"/>
        <v>742</v>
      </c>
    </row>
    <row r="89" spans="1:6">
      <c r="A89" s="8">
        <v>5</v>
      </c>
      <c r="B89" s="11" t="s">
        <v>1840</v>
      </c>
      <c r="C89" s="10">
        <v>2.699E-3</v>
      </c>
      <c r="D89" s="12">
        <f t="shared" si="5"/>
        <v>2632</v>
      </c>
      <c r="E89" s="13">
        <f t="shared" si="3"/>
        <v>1316</v>
      </c>
      <c r="F89" s="12">
        <f t="shared" si="4"/>
        <v>1316</v>
      </c>
    </row>
    <row r="90" spans="1:6">
      <c r="A90" s="8">
        <v>5</v>
      </c>
      <c r="B90" s="11" t="s">
        <v>1841</v>
      </c>
      <c r="C90" s="10">
        <v>8.2000000000000001E-5</v>
      </c>
      <c r="D90" s="12">
        <f t="shared" si="5"/>
        <v>80</v>
      </c>
      <c r="E90" s="13">
        <f t="shared" si="3"/>
        <v>40</v>
      </c>
      <c r="F90" s="12">
        <f t="shared" si="4"/>
        <v>40</v>
      </c>
    </row>
    <row r="91" spans="1:6">
      <c r="A91" s="8">
        <v>5</v>
      </c>
      <c r="B91" s="11" t="s">
        <v>1842</v>
      </c>
      <c r="C91" s="10">
        <v>1.276E-3</v>
      </c>
      <c r="D91" s="12">
        <f t="shared" si="5"/>
        <v>1244</v>
      </c>
      <c r="E91" s="13">
        <f t="shared" si="3"/>
        <v>622</v>
      </c>
      <c r="F91" s="12">
        <f t="shared" si="4"/>
        <v>622</v>
      </c>
    </row>
    <row r="92" spans="1:6">
      <c r="A92" s="8">
        <v>5</v>
      </c>
      <c r="B92" s="11" t="s">
        <v>1843</v>
      </c>
      <c r="C92" s="10">
        <v>3.1675000000000002E-2</v>
      </c>
      <c r="D92" s="12">
        <f t="shared" si="5"/>
        <v>30892</v>
      </c>
      <c r="E92" s="13">
        <f t="shared" si="3"/>
        <v>15446</v>
      </c>
      <c r="F92" s="12">
        <f t="shared" si="4"/>
        <v>15446</v>
      </c>
    </row>
    <row r="93" spans="1:6">
      <c r="A93" s="8">
        <v>5</v>
      </c>
      <c r="B93" s="11" t="s">
        <v>1844</v>
      </c>
      <c r="C93" s="10">
        <v>1.4369999999999999E-3</v>
      </c>
      <c r="D93" s="12">
        <f t="shared" si="5"/>
        <v>1401</v>
      </c>
      <c r="E93" s="13">
        <f t="shared" si="3"/>
        <v>701</v>
      </c>
      <c r="F93" s="12">
        <f t="shared" si="4"/>
        <v>700</v>
      </c>
    </row>
    <row r="94" spans="1:6">
      <c r="A94" s="8">
        <v>6</v>
      </c>
      <c r="B94" s="11" t="s">
        <v>1845</v>
      </c>
      <c r="C94" s="10">
        <v>4.6373999999999693E-2</v>
      </c>
      <c r="D94" s="12">
        <f>+D3-SUM(D4:D5)-SUM(D10:D68)-D72-D76-D80-D84-SUM(D88:D93)</f>
        <v>45227</v>
      </c>
      <c r="E94" s="13">
        <f t="shared" si="3"/>
        <v>22614</v>
      </c>
      <c r="F94" s="12">
        <f t="shared" si="4"/>
        <v>22613</v>
      </c>
    </row>
    <row r="95" spans="1:6">
      <c r="A95" s="8">
        <v>6</v>
      </c>
      <c r="B95" s="11" t="s">
        <v>1697</v>
      </c>
      <c r="C95" s="10">
        <v>0</v>
      </c>
      <c r="D95" s="12">
        <f>ROUND(D$3*C95,0)</f>
        <v>0</v>
      </c>
      <c r="E95" s="13">
        <f t="shared" si="3"/>
        <v>0</v>
      </c>
      <c r="F95" s="12">
        <f t="shared" si="4"/>
        <v>0</v>
      </c>
    </row>
    <row r="96" spans="1:6">
      <c r="A96" s="8"/>
      <c r="B96" s="28" t="s">
        <v>288</v>
      </c>
      <c r="C96" s="10">
        <v>1</v>
      </c>
      <c r="D96" s="12">
        <f>+D4+SUM(D7:D67)+SUM(D70:D71)+SUM(D74:D75)+SUM(D78:D79)+SUM(D82:D83)+SUM(D86:D95)</f>
        <v>975274</v>
      </c>
      <c r="E96" s="12">
        <f>+E4+SUM(E7:E67)+SUM(E70:E71)+SUM(E74:E75)+SUM(E78:E79)+SUM(E82:E83)+SUM(E86:E95)</f>
        <v>487651</v>
      </c>
      <c r="F96" s="12">
        <f>+F4+SUM(F7:F67)+SUM(F70:F71)+SUM(F74:F75)+SUM(F78:F79)+SUM(F82:F83)+SUM(F86:F95)</f>
        <v>487623</v>
      </c>
    </row>
    <row r="97" spans="2:8">
      <c r="B97" s="18" t="s">
        <v>38</v>
      </c>
      <c r="D97" s="19">
        <f>+D4</f>
        <v>916</v>
      </c>
      <c r="E97" s="19">
        <f>+E4</f>
        <v>458</v>
      </c>
      <c r="F97" s="19">
        <f>+F4</f>
        <v>458</v>
      </c>
    </row>
    <row r="98" spans="2:8">
      <c r="B98" s="2" t="s">
        <v>39</v>
      </c>
      <c r="D98" s="19">
        <f>+D7</f>
        <v>21421</v>
      </c>
      <c r="E98" s="19">
        <f>+E7</f>
        <v>10711</v>
      </c>
      <c r="F98" s="19">
        <f>+F7</f>
        <v>10710</v>
      </c>
    </row>
    <row r="99" spans="2:8">
      <c r="B99" s="2" t="s">
        <v>40</v>
      </c>
      <c r="D99" s="19">
        <f>+D70+D74+D78+D82+D86</f>
        <v>260475</v>
      </c>
      <c r="E99" s="19">
        <f>+E70+E74+E78+E82+E86</f>
        <v>130238</v>
      </c>
      <c r="F99" s="19">
        <f>+F70+F74+F78+F82+F86</f>
        <v>130237</v>
      </c>
      <c r="H99" s="3">
        <v>1</v>
      </c>
    </row>
    <row r="100" spans="2:8">
      <c r="B100" s="18" t="s">
        <v>41</v>
      </c>
      <c r="D100" s="19">
        <f>+D96-D97-D98-D99</f>
        <v>692462</v>
      </c>
      <c r="E100" s="19">
        <f>+E96-E97-E98-E99</f>
        <v>346244</v>
      </c>
      <c r="F100" s="19">
        <f>+F96-F97-F98-F99</f>
        <v>346218</v>
      </c>
      <c r="H100" s="3">
        <v>2</v>
      </c>
    </row>
    <row r="102" spans="2:8" hidden="1">
      <c r="B102" s="3" t="s">
        <v>42</v>
      </c>
      <c r="C102" s="4">
        <v>-1.0000000003063114E-6</v>
      </c>
      <c r="D102" s="3">
        <f>+D94-ROUND(D3*C94,0)</f>
        <v>0</v>
      </c>
    </row>
  </sheetData>
  <pageMargins left="0.7" right="0.7" top="0.75" bottom="0.75" header="0.3" footer="0.3"/>
  <pageSetup scale="45"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1">
    <pageSetUpPr fitToPage="1"/>
  </sheetPr>
  <dimension ref="A1:WVB71"/>
  <sheetViews>
    <sheetView topLeftCell="A32" zoomScaleNormal="100" zoomScaleSheetLayoutView="80" workbookViewId="0">
      <selection activeCell="D53" activeCellId="3" sqref="D7:F7 D45:F45 D49:F49 D53:F53"/>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5.710937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5.710937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5.710937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5.710937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5.710937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5.710937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5.710937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5.710937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5.710937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5.710937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5.710937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5.710937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5.710937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5.710937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5.710937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5.710937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5.710937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5.710937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5.710937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5.710937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5.710937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5.710937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5.710937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5.710937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5.710937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5.710937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5.710937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5.710937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5.710937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5.710937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5.710937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5.710937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5.710937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5.710937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5.710937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5.710937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5.710937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5.710937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5.710937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5.710937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5.710937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5.710937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5.710937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5.710937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5.710937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5.710937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5.710937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5.710937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5.710937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5.710937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5.710937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5.710937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5.710937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5.710937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5.710937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5.710937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5.710937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5.710937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5.710937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5.710937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5.710937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5.710937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5.710937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A1" s="2"/>
      <c r="B1" s="2" t="s">
        <v>1846</v>
      </c>
    </row>
    <row r="2" spans="1:6" ht="60">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Worksheet'!$D$93</f>
        <v>481081</v>
      </c>
      <c r="E3" s="11"/>
      <c r="F3" s="11"/>
    </row>
    <row r="4" spans="1:6">
      <c r="A4" s="8">
        <v>0</v>
      </c>
      <c r="B4" s="11" t="s">
        <v>4</v>
      </c>
      <c r="C4" s="10">
        <v>1.121E-3</v>
      </c>
      <c r="D4" s="12">
        <f>ROUND(D$3*C4,0)</f>
        <v>539</v>
      </c>
      <c r="E4" s="13">
        <f>ROUND(D4/2,0)</f>
        <v>270</v>
      </c>
      <c r="F4" s="12">
        <f>D4-E4</f>
        <v>269</v>
      </c>
    </row>
    <row r="5" spans="1:6">
      <c r="A5" s="8">
        <v>1</v>
      </c>
      <c r="B5" s="11" t="s">
        <v>1847</v>
      </c>
      <c r="C5" s="10">
        <v>0.201131</v>
      </c>
      <c r="D5" s="9">
        <f>ROUND(D$3*C5,0)</f>
        <v>96760</v>
      </c>
      <c r="E5" s="11">
        <f>ROUND(D5/2,0)</f>
        <v>48380</v>
      </c>
      <c r="F5" s="9">
        <f>D5-E5</f>
        <v>48380</v>
      </c>
    </row>
    <row r="6" spans="1:6">
      <c r="A6" s="8"/>
      <c r="B6" s="11" t="s">
        <v>6</v>
      </c>
      <c r="C6" s="11"/>
      <c r="D6" s="14">
        <v>0.16194800000000001</v>
      </c>
      <c r="E6" s="11"/>
      <c r="F6" s="11"/>
    </row>
    <row r="7" spans="1:6">
      <c r="A7" s="8"/>
      <c r="B7" s="11" t="s">
        <v>7</v>
      </c>
      <c r="C7" s="11"/>
      <c r="D7" s="225">
        <f>ROUND(D5*D6,0)</f>
        <v>15670</v>
      </c>
      <c r="E7" s="226">
        <f>ROUND(D7/2,0)</f>
        <v>7835</v>
      </c>
      <c r="F7" s="225">
        <f>D7-E7</f>
        <v>7835</v>
      </c>
    </row>
    <row r="8" spans="1:6">
      <c r="A8" s="8"/>
      <c r="B8" s="11" t="s">
        <v>8</v>
      </c>
      <c r="C8" s="11"/>
      <c r="D8" s="12">
        <f>+D5-D7</f>
        <v>81090</v>
      </c>
      <c r="E8" s="13">
        <f>ROUND(D8/2,0)</f>
        <v>40545</v>
      </c>
      <c r="F8" s="12">
        <f>D8-E8</f>
        <v>40545</v>
      </c>
    </row>
    <row r="9" spans="1:6">
      <c r="A9" s="8">
        <v>2</v>
      </c>
      <c r="B9" s="11" t="s">
        <v>1750</v>
      </c>
      <c r="C9" s="11"/>
      <c r="D9" s="9"/>
      <c r="E9" s="11"/>
      <c r="F9" s="11"/>
    </row>
    <row r="10" spans="1:6">
      <c r="A10" s="8"/>
      <c r="B10" s="11" t="s">
        <v>10</v>
      </c>
      <c r="C10" s="10">
        <v>1.3100000000000001E-4</v>
      </c>
      <c r="D10" s="12">
        <f>ROUND(D$3*C10,0)</f>
        <v>63</v>
      </c>
      <c r="E10" s="13">
        <f>ROUND(D10/2,0)</f>
        <v>32</v>
      </c>
      <c r="F10" s="12">
        <f>D10-E10</f>
        <v>31</v>
      </c>
    </row>
    <row r="11" spans="1:6">
      <c r="A11" s="8"/>
      <c r="B11" s="11" t="s">
        <v>11</v>
      </c>
      <c r="C11" s="10">
        <v>2.24E-4</v>
      </c>
      <c r="D11" s="12">
        <f>ROUND(D$3*C11,0)</f>
        <v>108</v>
      </c>
      <c r="E11" s="13">
        <f>ROUND(D11/2,0)</f>
        <v>54</v>
      </c>
      <c r="F11" s="12">
        <f>D11-E11</f>
        <v>54</v>
      </c>
    </row>
    <row r="12" spans="1:6">
      <c r="A12" s="8">
        <v>2</v>
      </c>
      <c r="B12" s="11" t="s">
        <v>86</v>
      </c>
      <c r="C12" s="11"/>
      <c r="D12" s="9"/>
      <c r="E12" s="11"/>
      <c r="F12" s="11"/>
    </row>
    <row r="13" spans="1:6">
      <c r="A13" s="8"/>
      <c r="B13" s="11" t="s">
        <v>10</v>
      </c>
      <c r="C13" s="10">
        <v>2.745E-3</v>
      </c>
      <c r="D13" s="12">
        <f>ROUND(D$3*C13,0)</f>
        <v>1321</v>
      </c>
      <c r="E13" s="13">
        <f>ROUND(D13/2,0)</f>
        <v>661</v>
      </c>
      <c r="F13" s="12">
        <f>D13-E13</f>
        <v>660</v>
      </c>
    </row>
    <row r="14" spans="1:6">
      <c r="A14" s="8"/>
      <c r="B14" s="11" t="s">
        <v>11</v>
      </c>
      <c r="C14" s="10">
        <v>9.7599999999999998E-4</v>
      </c>
      <c r="D14" s="12">
        <f>ROUND(D$3*C14,0)</f>
        <v>470</v>
      </c>
      <c r="E14" s="13">
        <f>ROUND(D14/2,0)</f>
        <v>235</v>
      </c>
      <c r="F14" s="12">
        <f>D14-E14</f>
        <v>235</v>
      </c>
    </row>
    <row r="15" spans="1:6">
      <c r="A15" s="8">
        <v>2</v>
      </c>
      <c r="B15" s="11" t="s">
        <v>49</v>
      </c>
      <c r="C15" s="11"/>
      <c r="D15" s="9"/>
      <c r="E15" s="11"/>
      <c r="F15" s="11"/>
    </row>
    <row r="16" spans="1:6">
      <c r="A16" s="8"/>
      <c r="B16" s="11" t="s">
        <v>10</v>
      </c>
      <c r="C16" s="10">
        <v>1.9900000000000001E-4</v>
      </c>
      <c r="D16" s="12">
        <f>ROUND(D$3*C16,0)</f>
        <v>96</v>
      </c>
      <c r="E16" s="13">
        <f>ROUND(D16/2,0)</f>
        <v>48</v>
      </c>
      <c r="F16" s="12">
        <f>D16-E16</f>
        <v>48</v>
      </c>
    </row>
    <row r="17" spans="1:6">
      <c r="A17" s="8"/>
      <c r="B17" s="11" t="s">
        <v>11</v>
      </c>
      <c r="C17" s="10">
        <v>1.17E-4</v>
      </c>
      <c r="D17" s="12">
        <f>ROUND(D$3*C17,0)</f>
        <v>56</v>
      </c>
      <c r="E17" s="13">
        <f>ROUND(D17/2,0)</f>
        <v>28</v>
      </c>
      <c r="F17" s="12">
        <f>D17-E17</f>
        <v>28</v>
      </c>
    </row>
    <row r="18" spans="1:6">
      <c r="A18" s="8">
        <v>2</v>
      </c>
      <c r="B18" s="11" t="s">
        <v>14</v>
      </c>
      <c r="C18" s="11"/>
      <c r="D18" s="9"/>
      <c r="E18" s="11"/>
      <c r="F18" s="11"/>
    </row>
    <row r="19" spans="1:6">
      <c r="A19" s="8"/>
      <c r="B19" s="11" t="s">
        <v>10</v>
      </c>
      <c r="C19" s="10">
        <v>3.6900000000000002E-4</v>
      </c>
      <c r="D19" s="12">
        <f>ROUND(D$3*C19,0)</f>
        <v>178</v>
      </c>
      <c r="E19" s="13">
        <f>ROUND(D19/2,0)</f>
        <v>89</v>
      </c>
      <c r="F19" s="12">
        <f>D19-E19</f>
        <v>89</v>
      </c>
    </row>
    <row r="20" spans="1:6">
      <c r="A20" s="8"/>
      <c r="B20" s="11" t="s">
        <v>11</v>
      </c>
      <c r="C20" s="10">
        <v>1.1400000000000001E-4</v>
      </c>
      <c r="D20" s="12">
        <f>ROUND(D$3*C20,0)</f>
        <v>55</v>
      </c>
      <c r="E20" s="13">
        <f>ROUND(D20/2,0)</f>
        <v>28</v>
      </c>
      <c r="F20" s="12">
        <f>D20-E20</f>
        <v>27</v>
      </c>
    </row>
    <row r="21" spans="1:6">
      <c r="A21" s="8">
        <v>2</v>
      </c>
      <c r="B21" s="11" t="s">
        <v>794</v>
      </c>
      <c r="C21" s="11"/>
      <c r="D21" s="9"/>
      <c r="E21" s="11"/>
      <c r="F21" s="11"/>
    </row>
    <row r="22" spans="1:6">
      <c r="A22" s="8"/>
      <c r="B22" s="11" t="s">
        <v>10</v>
      </c>
      <c r="C22" s="10">
        <v>1.3010000000000001E-3</v>
      </c>
      <c r="D22" s="12">
        <f>ROUND(D$3*C22,0)</f>
        <v>626</v>
      </c>
      <c r="E22" s="13">
        <f>ROUND(D22/2,0)</f>
        <v>313</v>
      </c>
      <c r="F22" s="12">
        <f>D22-E22</f>
        <v>313</v>
      </c>
    </row>
    <row r="23" spans="1:6">
      <c r="A23" s="8"/>
      <c r="B23" s="11" t="s">
        <v>11</v>
      </c>
      <c r="C23" s="10">
        <v>4.0299999999999998E-4</v>
      </c>
      <c r="D23" s="12">
        <f>ROUND(D$3*C23,0)</f>
        <v>194</v>
      </c>
      <c r="E23" s="13">
        <f>ROUND(D23/2,0)</f>
        <v>97</v>
      </c>
      <c r="F23" s="12">
        <f>D23-E23</f>
        <v>97</v>
      </c>
    </row>
    <row r="24" spans="1:6">
      <c r="A24" s="8">
        <v>2</v>
      </c>
      <c r="B24" s="11" t="s">
        <v>181</v>
      </c>
      <c r="C24" s="11"/>
      <c r="D24" s="9"/>
      <c r="E24" s="11"/>
      <c r="F24" s="11"/>
    </row>
    <row r="25" spans="1:6">
      <c r="A25" s="8"/>
      <c r="B25" s="11" t="s">
        <v>10</v>
      </c>
      <c r="C25" s="10">
        <v>4.8899999999999996E-4</v>
      </c>
      <c r="D25" s="12">
        <f>ROUND(D$3*C25,0)</f>
        <v>235</v>
      </c>
      <c r="E25" s="13">
        <f>ROUND(D25/2,0)</f>
        <v>118</v>
      </c>
      <c r="F25" s="12">
        <f>D25-E25</f>
        <v>117</v>
      </c>
    </row>
    <row r="26" spans="1:6">
      <c r="A26" s="8"/>
      <c r="B26" s="11" t="s">
        <v>11</v>
      </c>
      <c r="C26" s="10">
        <v>3.3199999999999999E-4</v>
      </c>
      <c r="D26" s="12">
        <f>ROUND(D$3*C26,0)</f>
        <v>160</v>
      </c>
      <c r="E26" s="13">
        <f>ROUND(D26/2,0)</f>
        <v>80</v>
      </c>
      <c r="F26" s="12">
        <f>D26-E26</f>
        <v>80</v>
      </c>
    </row>
    <row r="27" spans="1:6">
      <c r="A27" s="8">
        <v>2</v>
      </c>
      <c r="B27" s="11" t="s">
        <v>1848</v>
      </c>
      <c r="C27" s="11"/>
      <c r="D27" s="9"/>
      <c r="E27" s="11"/>
      <c r="F27" s="11"/>
    </row>
    <row r="28" spans="1:6">
      <c r="A28" s="8"/>
      <c r="B28" s="11" t="s">
        <v>10</v>
      </c>
      <c r="C28" s="10">
        <v>6.0999999999999999E-5</v>
      </c>
      <c r="D28" s="12">
        <f>ROUND(D$3*C28,0)</f>
        <v>29</v>
      </c>
      <c r="E28" s="13">
        <f>ROUND(D28/2,0)</f>
        <v>15</v>
      </c>
      <c r="F28" s="12">
        <f>D28-E28</f>
        <v>14</v>
      </c>
    </row>
    <row r="29" spans="1:6">
      <c r="A29" s="8"/>
      <c r="B29" s="11" t="s">
        <v>11</v>
      </c>
      <c r="C29" s="10">
        <v>4.3999999999999999E-5</v>
      </c>
      <c r="D29" s="12">
        <f>ROUND(D$3*C29,0)</f>
        <v>21</v>
      </c>
      <c r="E29" s="13">
        <f>ROUND(D29/2,0)</f>
        <v>11</v>
      </c>
      <c r="F29" s="12">
        <f>D29-E29</f>
        <v>10</v>
      </c>
    </row>
    <row r="30" spans="1:6">
      <c r="A30" s="8">
        <v>2</v>
      </c>
      <c r="B30" s="11" t="s">
        <v>89</v>
      </c>
      <c r="C30" s="11"/>
      <c r="D30" s="9"/>
      <c r="E30" s="11"/>
      <c r="F30" s="11"/>
    </row>
    <row r="31" spans="1:6">
      <c r="A31" s="8"/>
      <c r="B31" s="11" t="s">
        <v>10</v>
      </c>
      <c r="C31" s="10">
        <v>4.64E-4</v>
      </c>
      <c r="D31" s="12">
        <f>ROUND(D$3*C31,0)</f>
        <v>223</v>
      </c>
      <c r="E31" s="13">
        <f>ROUND(D31/2,0)</f>
        <v>112</v>
      </c>
      <c r="F31" s="12">
        <f>D31-E31</f>
        <v>111</v>
      </c>
    </row>
    <row r="32" spans="1:6">
      <c r="A32" s="8"/>
      <c r="B32" s="11" t="s">
        <v>11</v>
      </c>
      <c r="C32" s="10">
        <v>3.4E-5</v>
      </c>
      <c r="D32" s="12">
        <f>ROUND(D$3*C32,0)</f>
        <v>16</v>
      </c>
      <c r="E32" s="13">
        <f>ROUND(D32/2,0)</f>
        <v>8</v>
      </c>
      <c r="F32" s="12">
        <f>D32-E32</f>
        <v>8</v>
      </c>
    </row>
    <row r="33" spans="1:6">
      <c r="A33" s="8">
        <v>2</v>
      </c>
      <c r="B33" s="11" t="s">
        <v>20</v>
      </c>
      <c r="C33" s="11"/>
      <c r="D33" s="9"/>
      <c r="E33" s="11"/>
      <c r="F33" s="11"/>
    </row>
    <row r="34" spans="1:6">
      <c r="A34" s="8"/>
      <c r="B34" s="11" t="s">
        <v>10</v>
      </c>
      <c r="C34" s="10">
        <v>4.3399999999999998E-4</v>
      </c>
      <c r="D34" s="12">
        <f t="shared" ref="D34:D43" si="0">ROUND(D$3*C34,0)</f>
        <v>209</v>
      </c>
      <c r="E34" s="13">
        <f t="shared" ref="E34:E43" si="1">ROUND(D34/2,0)</f>
        <v>105</v>
      </c>
      <c r="F34" s="12">
        <f t="shared" ref="F34:F43" si="2">D34-E34</f>
        <v>104</v>
      </c>
    </row>
    <row r="35" spans="1:6">
      <c r="A35" s="8"/>
      <c r="B35" s="11" t="s">
        <v>11</v>
      </c>
      <c r="C35" s="10">
        <v>2.31E-4</v>
      </c>
      <c r="D35" s="12">
        <f t="shared" si="0"/>
        <v>111</v>
      </c>
      <c r="E35" s="13">
        <f t="shared" si="1"/>
        <v>56</v>
      </c>
      <c r="F35" s="12">
        <f t="shared" si="2"/>
        <v>55</v>
      </c>
    </row>
    <row r="36" spans="1:6">
      <c r="A36" s="8">
        <v>3</v>
      </c>
      <c r="B36" s="11" t="s">
        <v>1849</v>
      </c>
      <c r="C36" s="10">
        <v>0.149226</v>
      </c>
      <c r="D36" s="12">
        <f t="shared" si="0"/>
        <v>71790</v>
      </c>
      <c r="E36" s="13">
        <f t="shared" si="1"/>
        <v>35895</v>
      </c>
      <c r="F36" s="12">
        <f t="shared" si="2"/>
        <v>35895</v>
      </c>
    </row>
    <row r="37" spans="1:6">
      <c r="A37" s="8">
        <v>3</v>
      </c>
      <c r="B37" s="11" t="s">
        <v>799</v>
      </c>
      <c r="C37" s="10">
        <v>1.722E-3</v>
      </c>
      <c r="D37" s="12">
        <f t="shared" si="0"/>
        <v>828</v>
      </c>
      <c r="E37" s="13">
        <f t="shared" si="1"/>
        <v>414</v>
      </c>
      <c r="F37" s="12">
        <f t="shared" si="2"/>
        <v>414</v>
      </c>
    </row>
    <row r="38" spans="1:6">
      <c r="A38" s="8">
        <v>3</v>
      </c>
      <c r="B38" s="11" t="s">
        <v>1850</v>
      </c>
      <c r="C38" s="10">
        <v>1.9189999999999999E-3</v>
      </c>
      <c r="D38" s="12">
        <f t="shared" si="0"/>
        <v>923</v>
      </c>
      <c r="E38" s="13">
        <f t="shared" si="1"/>
        <v>462</v>
      </c>
      <c r="F38" s="12">
        <f t="shared" si="2"/>
        <v>461</v>
      </c>
    </row>
    <row r="39" spans="1:6">
      <c r="A39" s="8">
        <v>3</v>
      </c>
      <c r="B39" s="11" t="s">
        <v>1851</v>
      </c>
      <c r="C39" s="10">
        <v>3.6939999999999998E-3</v>
      </c>
      <c r="D39" s="12">
        <f t="shared" si="0"/>
        <v>1777</v>
      </c>
      <c r="E39" s="13">
        <f t="shared" si="1"/>
        <v>889</v>
      </c>
      <c r="F39" s="12">
        <f t="shared" si="2"/>
        <v>888</v>
      </c>
    </row>
    <row r="40" spans="1:6">
      <c r="A40" s="8">
        <v>3</v>
      </c>
      <c r="B40" s="11" t="s">
        <v>1852</v>
      </c>
      <c r="C40" s="10">
        <v>5.9690000000000003E-3</v>
      </c>
      <c r="D40" s="12">
        <f t="shared" si="0"/>
        <v>2872</v>
      </c>
      <c r="E40" s="13">
        <f t="shared" si="1"/>
        <v>1436</v>
      </c>
      <c r="F40" s="12">
        <f t="shared" si="2"/>
        <v>1436</v>
      </c>
    </row>
    <row r="41" spans="1:6">
      <c r="A41" s="8">
        <v>3</v>
      </c>
      <c r="B41" s="11" t="s">
        <v>1853</v>
      </c>
      <c r="C41" s="10">
        <v>3.9999999999999998E-6</v>
      </c>
      <c r="D41" s="12">
        <f t="shared" si="0"/>
        <v>2</v>
      </c>
      <c r="E41" s="13">
        <f t="shared" si="1"/>
        <v>1</v>
      </c>
      <c r="F41" s="12">
        <f t="shared" si="2"/>
        <v>1</v>
      </c>
    </row>
    <row r="42" spans="1:6">
      <c r="A42" s="8">
        <v>3</v>
      </c>
      <c r="B42" s="11" t="s">
        <v>69</v>
      </c>
      <c r="C42" s="10">
        <v>1.7279999999999999E-3</v>
      </c>
      <c r="D42" s="12">
        <f t="shared" si="0"/>
        <v>831</v>
      </c>
      <c r="E42" s="13">
        <f t="shared" si="1"/>
        <v>416</v>
      </c>
      <c r="F42" s="12">
        <f t="shared" si="2"/>
        <v>415</v>
      </c>
    </row>
    <row r="43" spans="1:6">
      <c r="A43" s="8">
        <v>4</v>
      </c>
      <c r="B43" s="11" t="s">
        <v>1854</v>
      </c>
      <c r="C43" s="10">
        <v>0.34828599999999998</v>
      </c>
      <c r="D43" s="9">
        <f t="shared" si="0"/>
        <v>167554</v>
      </c>
      <c r="E43" s="11">
        <f t="shared" si="1"/>
        <v>83777</v>
      </c>
      <c r="F43" s="9">
        <f t="shared" si="2"/>
        <v>83777</v>
      </c>
    </row>
    <row r="44" spans="1:6">
      <c r="A44" s="8"/>
      <c r="B44" s="11" t="s">
        <v>28</v>
      </c>
      <c r="C44" s="11"/>
      <c r="D44" s="14">
        <v>0.434307</v>
      </c>
      <c r="E44" s="11"/>
      <c r="F44" s="11"/>
    </row>
    <row r="45" spans="1:6">
      <c r="A45" s="8"/>
      <c r="B45" s="11" t="s">
        <v>29</v>
      </c>
      <c r="C45" s="11"/>
      <c r="D45" s="225">
        <f>ROUND(D43*D44,0)</f>
        <v>72770</v>
      </c>
      <c r="E45" s="226">
        <f>ROUND(D45/2,0)</f>
        <v>36385</v>
      </c>
      <c r="F45" s="225">
        <f>D45-E45</f>
        <v>36385</v>
      </c>
    </row>
    <row r="46" spans="1:6">
      <c r="A46" s="8"/>
      <c r="B46" s="11" t="s">
        <v>30</v>
      </c>
      <c r="C46" s="11"/>
      <c r="D46" s="12">
        <f>+D43-D45</f>
        <v>94784</v>
      </c>
      <c r="E46" s="13">
        <f>ROUND(D46/2,0)</f>
        <v>47392</v>
      </c>
      <c r="F46" s="12">
        <f>D46-E46</f>
        <v>47392</v>
      </c>
    </row>
    <row r="47" spans="1:6">
      <c r="A47" s="8">
        <v>4</v>
      </c>
      <c r="B47" s="11" t="s">
        <v>1855</v>
      </c>
      <c r="C47" s="10">
        <v>0.18484900000000001</v>
      </c>
      <c r="D47" s="9">
        <f>ROUND(D$3*C47,0)</f>
        <v>88927</v>
      </c>
      <c r="E47" s="11">
        <f>ROUND(D47/2,0)</f>
        <v>44464</v>
      </c>
      <c r="F47" s="9">
        <f>D47-E47</f>
        <v>44463</v>
      </c>
    </row>
    <row r="48" spans="1:6">
      <c r="A48" s="8"/>
      <c r="B48" s="11" t="s">
        <v>28</v>
      </c>
      <c r="C48" s="11"/>
      <c r="D48" s="14">
        <v>0.48863099999999998</v>
      </c>
      <c r="E48" s="11"/>
      <c r="F48" s="11"/>
    </row>
    <row r="49" spans="1:8">
      <c r="A49" s="8"/>
      <c r="B49" s="11" t="s">
        <v>29</v>
      </c>
      <c r="C49" s="11"/>
      <c r="D49" s="225">
        <f>ROUND(D47*D48,0)</f>
        <v>43452</v>
      </c>
      <c r="E49" s="226">
        <f>ROUND(D49/2,0)</f>
        <v>21726</v>
      </c>
      <c r="F49" s="225">
        <f>D49-E49</f>
        <v>21726</v>
      </c>
    </row>
    <row r="50" spans="1:8">
      <c r="A50" s="8"/>
      <c r="B50" s="11" t="s">
        <v>30</v>
      </c>
      <c r="C50" s="11"/>
      <c r="D50" s="12">
        <f>+D47-D49</f>
        <v>45475</v>
      </c>
      <c r="E50" s="13">
        <f>ROUND(D50/2,0)</f>
        <v>22738</v>
      </c>
      <c r="F50" s="12">
        <f>D50-E50</f>
        <v>22737</v>
      </c>
    </row>
    <row r="51" spans="1:8">
      <c r="A51" s="8">
        <v>4</v>
      </c>
      <c r="B51" s="11" t="s">
        <v>1856</v>
      </c>
      <c r="C51" s="10">
        <v>5.2875999999999999E-2</v>
      </c>
      <c r="D51" s="9">
        <f>ROUND(D$3*C51,0)</f>
        <v>25438</v>
      </c>
      <c r="E51" s="11">
        <f>ROUND(D51/2,0)</f>
        <v>12719</v>
      </c>
      <c r="F51" s="9">
        <f>D51-E51</f>
        <v>12719</v>
      </c>
    </row>
    <row r="52" spans="1:8">
      <c r="A52" s="8"/>
      <c r="B52" s="11" t="s">
        <v>28</v>
      </c>
      <c r="C52" s="11"/>
      <c r="D52" s="14">
        <v>0.52107999999999999</v>
      </c>
      <c r="E52" s="11"/>
      <c r="F52" s="11"/>
    </row>
    <row r="53" spans="1:8">
      <c r="A53" s="8"/>
      <c r="B53" s="11" t="s">
        <v>29</v>
      </c>
      <c r="C53" s="11"/>
      <c r="D53" s="225">
        <f>ROUND(D51*D52,0)</f>
        <v>13255</v>
      </c>
      <c r="E53" s="226">
        <f>ROUND(D53/2,0)</f>
        <v>6628</v>
      </c>
      <c r="F53" s="225">
        <f>D53-E53</f>
        <v>6627</v>
      </c>
    </row>
    <row r="54" spans="1:8">
      <c r="A54" s="8"/>
      <c r="B54" s="11" t="s">
        <v>30</v>
      </c>
      <c r="C54" s="11"/>
      <c r="D54" s="12">
        <f>+D51-D53</f>
        <v>12183</v>
      </c>
      <c r="E54" s="13">
        <f>ROUND(D54/2,0)</f>
        <v>6092</v>
      </c>
      <c r="F54" s="12">
        <f>D54-E54</f>
        <v>6091</v>
      </c>
    </row>
    <row r="55" spans="1:8">
      <c r="A55" s="8">
        <v>5</v>
      </c>
      <c r="B55" s="11" t="s">
        <v>806</v>
      </c>
      <c r="C55" s="10">
        <v>1.8000000000000001E-4</v>
      </c>
      <c r="D55" s="12">
        <f>ROUND(D$3*C55,0)</f>
        <v>87</v>
      </c>
      <c r="E55" s="13">
        <f>ROUND(D55/2,0)</f>
        <v>44</v>
      </c>
      <c r="F55" s="12">
        <f>D55-E55</f>
        <v>43</v>
      </c>
    </row>
    <row r="56" spans="1:8">
      <c r="A56" s="8">
        <v>5</v>
      </c>
      <c r="B56" s="11" t="s">
        <v>1857</v>
      </c>
      <c r="C56" s="10">
        <v>3.8626999999999967E-2</v>
      </c>
      <c r="D56" s="12">
        <f>+D3-SUM(D4:D5)-SUM(D10:D43)-D47-D51-D55</f>
        <v>18582</v>
      </c>
      <c r="E56" s="13">
        <f>ROUND(D56/2,0)</f>
        <v>9291</v>
      </c>
      <c r="F56" s="12">
        <f>D56-E56</f>
        <v>9291</v>
      </c>
    </row>
    <row r="57" spans="1:8">
      <c r="A57" s="8">
        <v>6</v>
      </c>
      <c r="B57" s="11" t="s">
        <v>144</v>
      </c>
      <c r="C57" s="10">
        <v>0</v>
      </c>
      <c r="D57" s="12">
        <f>ROUND(D$3*C57,0)</f>
        <v>0</v>
      </c>
      <c r="E57" s="13">
        <f>ROUND(D57/2,0)</f>
        <v>0</v>
      </c>
      <c r="F57" s="12">
        <f>D57-E57</f>
        <v>0</v>
      </c>
    </row>
    <row r="58" spans="1:8">
      <c r="A58" s="8"/>
      <c r="B58" s="28" t="s">
        <v>288</v>
      </c>
      <c r="C58" s="10">
        <v>1</v>
      </c>
      <c r="D58" s="12">
        <f>+D4+SUM(D7:D42)+SUM(D45:D46)+SUM(D49:D50)+SUM(D53:D57)</f>
        <v>481081</v>
      </c>
      <c r="E58" s="12">
        <f>+E4+SUM(E7:E42)+SUM(E45:E46)+SUM(E49:E50)+SUM(E53:E57)</f>
        <v>240549</v>
      </c>
      <c r="F58" s="12">
        <f>+F4+SUM(F7:F42)+SUM(F45:F46)+SUM(F49:F50)+SUM(F53:F57)</f>
        <v>240532</v>
      </c>
    </row>
    <row r="59" spans="1:8">
      <c r="B59" s="18" t="s">
        <v>38</v>
      </c>
      <c r="D59" s="19">
        <f>+D4</f>
        <v>539</v>
      </c>
      <c r="E59" s="19">
        <f>+E4</f>
        <v>270</v>
      </c>
      <c r="F59" s="19">
        <f>+F4</f>
        <v>269</v>
      </c>
    </row>
    <row r="60" spans="1:8">
      <c r="B60" s="2" t="s">
        <v>39</v>
      </c>
      <c r="D60" s="19">
        <f>+D7</f>
        <v>15670</v>
      </c>
      <c r="E60" s="19">
        <f>+E7</f>
        <v>7835</v>
      </c>
      <c r="F60" s="19">
        <f>+F7</f>
        <v>7835</v>
      </c>
    </row>
    <row r="61" spans="1:8">
      <c r="B61" s="2" t="s">
        <v>40</v>
      </c>
      <c r="D61" s="19">
        <f>+D45+D49+D53</f>
        <v>129477</v>
      </c>
      <c r="E61" s="19">
        <f>+E45+E49+E53</f>
        <v>64739</v>
      </c>
      <c r="F61" s="19">
        <f>+F45+F49+F53</f>
        <v>64738</v>
      </c>
      <c r="H61" s="3">
        <v>1</v>
      </c>
    </row>
    <row r="62" spans="1:8">
      <c r="B62" s="18" t="s">
        <v>41</v>
      </c>
      <c r="D62" s="19">
        <f>+D58-D59-D60-D61</f>
        <v>335395</v>
      </c>
      <c r="E62" s="19">
        <f>+E58-E59-E60-E61</f>
        <v>167705</v>
      </c>
      <c r="F62" s="19">
        <f>+F58-F59-F60-F61</f>
        <v>167690</v>
      </c>
      <c r="H62" s="3">
        <v>2</v>
      </c>
    </row>
    <row r="63" spans="1:8" hidden="1"/>
    <row r="64" spans="1:8" hidden="1">
      <c r="B64" s="3" t="s">
        <v>42</v>
      </c>
      <c r="C64" s="4">
        <v>-2.0000000000297558E-6</v>
      </c>
      <c r="D64" s="3">
        <f>+D56-ROUND(D3*C56,0)</f>
        <v>-1</v>
      </c>
    </row>
    <row r="65" spans="1:1" hidden="1"/>
    <row r="66" spans="1:1" hidden="1"/>
    <row r="67" spans="1:1" hidden="1"/>
    <row r="68" spans="1:1" hidden="1"/>
    <row r="69" spans="1:1" hidden="1"/>
    <row r="70" spans="1:1" hidden="1"/>
    <row r="71" spans="1:1" hidden="1">
      <c r="A71" s="1" t="s">
        <v>590</v>
      </c>
    </row>
  </sheetData>
  <pageMargins left="0.7" right="0.7" top="0.75" bottom="0.75" header="0.3" footer="0.3"/>
  <pageSetup scale="65"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2">
    <pageSetUpPr fitToPage="1"/>
  </sheetPr>
  <dimension ref="A1:WVB86"/>
  <sheetViews>
    <sheetView topLeftCell="A49" zoomScaleNormal="100" zoomScaleSheetLayoutView="80" workbookViewId="0">
      <selection activeCell="D70" activeCellId="5" sqref="D7:F7 D54:F54 D58:F58 D62:F62 D66:F66 D70:F70"/>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710937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710937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710937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710937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710937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710937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710937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710937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710937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710937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710937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710937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710937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710937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710937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710937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710937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710937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710937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710937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710937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710937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710937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710937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710937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710937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710937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710937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710937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710937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710937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710937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710937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710937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710937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710937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710937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710937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710937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710937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710937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710937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710937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710937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710937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710937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710937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710937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710937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710937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710937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710937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710937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710937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710937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710937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710937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710937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710937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710937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710937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710937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710937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1858</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Worksheet'!$D$94</f>
        <v>442143</v>
      </c>
      <c r="E3" s="11"/>
      <c r="F3" s="11"/>
    </row>
    <row r="4" spans="1:6">
      <c r="A4" s="8">
        <v>0</v>
      </c>
      <c r="B4" s="11" t="s">
        <v>4</v>
      </c>
      <c r="C4" s="10">
        <v>1.261E-3</v>
      </c>
      <c r="D4" s="12">
        <f>ROUND(D$3*C4,0)</f>
        <v>558</v>
      </c>
      <c r="E4" s="13">
        <f>ROUND(D4/2,0)</f>
        <v>279</v>
      </c>
      <c r="F4" s="12">
        <f>D4-E4</f>
        <v>279</v>
      </c>
    </row>
    <row r="5" spans="1:6">
      <c r="A5" s="8">
        <v>1</v>
      </c>
      <c r="B5" s="11" t="s">
        <v>1859</v>
      </c>
      <c r="C5" s="10">
        <v>0.17491399999999999</v>
      </c>
      <c r="D5" s="9">
        <f>ROUND(D$3*C5,0)</f>
        <v>77337</v>
      </c>
      <c r="E5" s="11">
        <f>ROUND(D5/2,0)</f>
        <v>38669</v>
      </c>
      <c r="F5" s="9">
        <f>D5-E5</f>
        <v>38668</v>
      </c>
    </row>
    <row r="6" spans="1:6">
      <c r="A6" s="8"/>
      <c r="B6" s="11" t="s">
        <v>6</v>
      </c>
      <c r="C6" s="11"/>
      <c r="D6" s="14">
        <v>7.7237E-2</v>
      </c>
      <c r="E6" s="11"/>
      <c r="F6" s="11"/>
    </row>
    <row r="7" spans="1:6">
      <c r="A7" s="8"/>
      <c r="B7" s="11" t="s">
        <v>7</v>
      </c>
      <c r="C7" s="11"/>
      <c r="D7" s="228">
        <f>ROUND(D5*D6,0)</f>
        <v>5973</v>
      </c>
      <c r="E7" s="229">
        <f>ROUND(D7/2,0)</f>
        <v>2987</v>
      </c>
      <c r="F7" s="228">
        <f>D7-E7</f>
        <v>2986</v>
      </c>
    </row>
    <row r="8" spans="1:6">
      <c r="A8" s="8"/>
      <c r="B8" s="11" t="s">
        <v>8</v>
      </c>
      <c r="C8" s="11"/>
      <c r="D8" s="12">
        <f>+D5-D7</f>
        <v>71364</v>
      </c>
      <c r="E8" s="13">
        <f>ROUND(D8/2,0)</f>
        <v>35682</v>
      </c>
      <c r="F8" s="12">
        <f>D8-E8</f>
        <v>35682</v>
      </c>
    </row>
    <row r="9" spans="1:6">
      <c r="A9" s="8">
        <v>2</v>
      </c>
      <c r="B9" s="11" t="s">
        <v>1860</v>
      </c>
      <c r="C9" s="11"/>
      <c r="D9" s="9"/>
      <c r="E9" s="11"/>
      <c r="F9" s="11"/>
    </row>
    <row r="10" spans="1:6">
      <c r="A10" s="8"/>
      <c r="B10" s="11" t="s">
        <v>10</v>
      </c>
      <c r="C10" s="10">
        <v>2.1599999999999999E-4</v>
      </c>
      <c r="D10" s="12">
        <f>ROUND(D$3*C10,0)</f>
        <v>96</v>
      </c>
      <c r="E10" s="13">
        <f>ROUND(D10/2,0)</f>
        <v>48</v>
      </c>
      <c r="F10" s="12">
        <f>D10-E10</f>
        <v>48</v>
      </c>
    </row>
    <row r="11" spans="1:6">
      <c r="A11" s="8"/>
      <c r="B11" s="11" t="s">
        <v>11</v>
      </c>
      <c r="C11" s="10">
        <v>3.4600000000000001E-4</v>
      </c>
      <c r="D11" s="12">
        <f>ROUND(D$3*C11,0)</f>
        <v>153</v>
      </c>
      <c r="E11" s="13">
        <f>ROUND(D11/2,0)</f>
        <v>77</v>
      </c>
      <c r="F11" s="12">
        <f>D11-E11</f>
        <v>76</v>
      </c>
    </row>
    <row r="12" spans="1:6">
      <c r="A12" s="8">
        <v>2</v>
      </c>
      <c r="B12" s="11" t="s">
        <v>249</v>
      </c>
      <c r="C12" s="11"/>
      <c r="D12" s="9"/>
      <c r="E12" s="11"/>
      <c r="F12" s="11"/>
    </row>
    <row r="13" spans="1:6">
      <c r="A13" s="8"/>
      <c r="B13" s="11" t="s">
        <v>10</v>
      </c>
      <c r="C13" s="10">
        <v>2.5399999999999999E-4</v>
      </c>
      <c r="D13" s="12">
        <f>ROUND(D$3*C13,0)</f>
        <v>112</v>
      </c>
      <c r="E13" s="13">
        <f>ROUND(D13/2,0)</f>
        <v>56</v>
      </c>
      <c r="F13" s="12">
        <f>D13-E13</f>
        <v>56</v>
      </c>
    </row>
    <row r="14" spans="1:6">
      <c r="A14" s="8"/>
      <c r="B14" s="11" t="s">
        <v>11</v>
      </c>
      <c r="C14" s="10">
        <v>1.05E-4</v>
      </c>
      <c r="D14" s="12">
        <f>ROUND(D$3*C14,0)</f>
        <v>46</v>
      </c>
      <c r="E14" s="13">
        <f>ROUND(D14/2,0)</f>
        <v>23</v>
      </c>
      <c r="F14" s="12">
        <f>D14-E14</f>
        <v>23</v>
      </c>
    </row>
    <row r="15" spans="1:6">
      <c r="A15" s="8">
        <v>2</v>
      </c>
      <c r="B15" s="11" t="s">
        <v>776</v>
      </c>
      <c r="C15" s="11"/>
      <c r="D15" s="9"/>
      <c r="E15" s="11"/>
      <c r="F15" s="11"/>
    </row>
    <row r="16" spans="1:6">
      <c r="A16" s="8"/>
      <c r="B16" s="11" t="s">
        <v>10</v>
      </c>
      <c r="C16" s="10">
        <v>1.3749999999999999E-3</v>
      </c>
      <c r="D16" s="12">
        <f>ROUND(D$3*C16,0)</f>
        <v>608</v>
      </c>
      <c r="E16" s="13">
        <f>ROUND(D16/2,0)</f>
        <v>304</v>
      </c>
      <c r="F16" s="12">
        <f>D16-E16</f>
        <v>304</v>
      </c>
    </row>
    <row r="17" spans="1:6">
      <c r="A17" s="8"/>
      <c r="B17" s="11" t="s">
        <v>11</v>
      </c>
      <c r="C17" s="10">
        <v>1.0549999999999999E-3</v>
      </c>
      <c r="D17" s="12">
        <f>ROUND(D$3*C17,0)</f>
        <v>466</v>
      </c>
      <c r="E17" s="13">
        <f>ROUND(D17/2,0)</f>
        <v>233</v>
      </c>
      <c r="F17" s="12">
        <f>D17-E17</f>
        <v>233</v>
      </c>
    </row>
    <row r="18" spans="1:6">
      <c r="A18" s="8">
        <v>2</v>
      </c>
      <c r="B18" s="11" t="s">
        <v>49</v>
      </c>
      <c r="C18" s="11"/>
      <c r="D18" s="9"/>
      <c r="E18" s="11"/>
      <c r="F18" s="11"/>
    </row>
    <row r="19" spans="1:6">
      <c r="A19" s="8"/>
      <c r="B19" s="11" t="s">
        <v>10</v>
      </c>
      <c r="C19" s="10">
        <v>3.6999999999999998E-5</v>
      </c>
      <c r="D19" s="12">
        <f>ROUND(D$3*C19,0)</f>
        <v>16</v>
      </c>
      <c r="E19" s="13">
        <f>ROUND(D19/2,0)</f>
        <v>8</v>
      </c>
      <c r="F19" s="12">
        <f>D19-E19</f>
        <v>8</v>
      </c>
    </row>
    <row r="20" spans="1:6">
      <c r="A20" s="8"/>
      <c r="B20" s="11" t="s">
        <v>11</v>
      </c>
      <c r="C20" s="10">
        <v>7.9999999999999996E-6</v>
      </c>
      <c r="D20" s="12">
        <f>ROUND(D$3*C20,0)</f>
        <v>4</v>
      </c>
      <c r="E20" s="13">
        <f>ROUND(D20/2,0)</f>
        <v>2</v>
      </c>
      <c r="F20" s="12">
        <f>D20-E20</f>
        <v>2</v>
      </c>
    </row>
    <row r="21" spans="1:6">
      <c r="A21" s="8">
        <v>2</v>
      </c>
      <c r="B21" s="11" t="s">
        <v>181</v>
      </c>
      <c r="C21" s="11"/>
      <c r="D21" s="9"/>
      <c r="E21" s="11"/>
      <c r="F21" s="11"/>
    </row>
    <row r="22" spans="1:6">
      <c r="A22" s="8"/>
      <c r="B22" s="11" t="s">
        <v>10</v>
      </c>
      <c r="C22" s="10">
        <v>0</v>
      </c>
      <c r="D22" s="12">
        <f>ROUND(D$3*C22,0)</f>
        <v>0</v>
      </c>
      <c r="E22" s="13">
        <f>ROUND(D22/2,0)</f>
        <v>0</v>
      </c>
      <c r="F22" s="12">
        <f>D22-E22</f>
        <v>0</v>
      </c>
    </row>
    <row r="23" spans="1:6">
      <c r="A23" s="8"/>
      <c r="B23" s="11" t="s">
        <v>11</v>
      </c>
      <c r="C23" s="10">
        <v>0</v>
      </c>
      <c r="D23" s="12">
        <f>ROUND(D$3*C23,0)</f>
        <v>0</v>
      </c>
      <c r="E23" s="13">
        <f>ROUND(D23/2,0)</f>
        <v>0</v>
      </c>
      <c r="F23" s="12">
        <f>D23-E23</f>
        <v>0</v>
      </c>
    </row>
    <row r="24" spans="1:6">
      <c r="A24" s="8">
        <v>2</v>
      </c>
      <c r="B24" s="11" t="s">
        <v>714</v>
      </c>
      <c r="C24" s="11"/>
      <c r="D24" s="9"/>
      <c r="E24" s="11"/>
      <c r="F24" s="11"/>
    </row>
    <row r="25" spans="1:6">
      <c r="A25" s="8"/>
      <c r="B25" s="11" t="s">
        <v>10</v>
      </c>
      <c r="C25" s="10">
        <v>3.1100000000000002E-4</v>
      </c>
      <c r="D25" s="12">
        <f>ROUND(D$3*C25,0)</f>
        <v>138</v>
      </c>
      <c r="E25" s="13">
        <f>ROUND(D25/2,0)</f>
        <v>69</v>
      </c>
      <c r="F25" s="12">
        <f>D25-E25</f>
        <v>69</v>
      </c>
    </row>
    <row r="26" spans="1:6">
      <c r="A26" s="8"/>
      <c r="B26" s="11" t="s">
        <v>11</v>
      </c>
      <c r="C26" s="10">
        <v>8.2000000000000001E-5</v>
      </c>
      <c r="D26" s="12">
        <f>ROUND(D$3*C26,0)</f>
        <v>36</v>
      </c>
      <c r="E26" s="13">
        <f>ROUND(D26/2,0)</f>
        <v>18</v>
      </c>
      <c r="F26" s="12">
        <f>D26-E26</f>
        <v>18</v>
      </c>
    </row>
    <row r="27" spans="1:6">
      <c r="A27" s="8">
        <v>2</v>
      </c>
      <c r="B27" s="11" t="s">
        <v>1861</v>
      </c>
      <c r="C27" s="11"/>
      <c r="D27" s="12"/>
      <c r="E27" s="13"/>
      <c r="F27" s="12"/>
    </row>
    <row r="28" spans="1:6">
      <c r="A28" s="8"/>
      <c r="B28" s="11" t="s">
        <v>10</v>
      </c>
      <c r="C28" s="10">
        <v>6.8199999999999999E-4</v>
      </c>
      <c r="D28" s="12">
        <f>ROUND(D$3*C28,0)</f>
        <v>302</v>
      </c>
      <c r="E28" s="13">
        <f>ROUND(D28/2,0)</f>
        <v>151</v>
      </c>
      <c r="F28" s="12">
        <f>D28-E28</f>
        <v>151</v>
      </c>
    </row>
    <row r="29" spans="1:6">
      <c r="A29" s="8"/>
      <c r="B29" s="11" t="s">
        <v>11</v>
      </c>
      <c r="C29" s="10">
        <v>3.3799999999999998E-4</v>
      </c>
      <c r="D29" s="12">
        <f>ROUND(D$3*C29,0)</f>
        <v>149</v>
      </c>
      <c r="E29" s="13">
        <f>ROUND(D29/2,0)</f>
        <v>75</v>
      </c>
      <c r="F29" s="12">
        <f>D29-E29</f>
        <v>74</v>
      </c>
    </row>
    <row r="30" spans="1:6">
      <c r="A30" s="8">
        <v>2</v>
      </c>
      <c r="B30" s="11" t="s">
        <v>744</v>
      </c>
      <c r="C30" s="11"/>
      <c r="D30" s="9"/>
      <c r="E30" s="11"/>
      <c r="F30" s="11"/>
    </row>
    <row r="31" spans="1:6">
      <c r="A31" s="8"/>
      <c r="B31" s="11" t="s">
        <v>10</v>
      </c>
      <c r="C31" s="10">
        <v>3.4400000000000001E-4</v>
      </c>
      <c r="D31" s="12">
        <f>ROUND(D$3*C31,0)</f>
        <v>152</v>
      </c>
      <c r="E31" s="13">
        <f>ROUND(D31/2,0)</f>
        <v>76</v>
      </c>
      <c r="F31" s="12">
        <f>D31-E31</f>
        <v>76</v>
      </c>
    </row>
    <row r="32" spans="1:6">
      <c r="A32" s="8"/>
      <c r="B32" s="11" t="s">
        <v>11</v>
      </c>
      <c r="C32" s="10">
        <v>5.5900000000000004E-4</v>
      </c>
      <c r="D32" s="12">
        <f>ROUND(D$3*C32,0)</f>
        <v>247</v>
      </c>
      <c r="E32" s="13">
        <f>ROUND(D32/2,0)</f>
        <v>124</v>
      </c>
      <c r="F32" s="12">
        <f>D32-E32</f>
        <v>123</v>
      </c>
    </row>
    <row r="33" spans="1:6">
      <c r="A33" s="8">
        <v>2</v>
      </c>
      <c r="B33" s="11" t="s">
        <v>1862</v>
      </c>
      <c r="C33" s="11"/>
      <c r="D33" s="9"/>
      <c r="E33" s="11"/>
      <c r="F33" s="11"/>
    </row>
    <row r="34" spans="1:6">
      <c r="A34" s="8"/>
      <c r="B34" s="11" t="s">
        <v>10</v>
      </c>
      <c r="C34" s="10">
        <v>3.852E-3</v>
      </c>
      <c r="D34" s="12">
        <f>ROUND(D$3*C34,0)</f>
        <v>1703</v>
      </c>
      <c r="E34" s="13">
        <f>ROUND(D34/2,0)</f>
        <v>852</v>
      </c>
      <c r="F34" s="12">
        <f>D34-E34</f>
        <v>851</v>
      </c>
    </row>
    <row r="35" spans="1:6">
      <c r="A35" s="8"/>
      <c r="B35" s="11" t="s">
        <v>11</v>
      </c>
      <c r="C35" s="10">
        <v>2.0010000000000002E-3</v>
      </c>
      <c r="D35" s="12">
        <f>ROUND(D$3*C35,0)</f>
        <v>885</v>
      </c>
      <c r="E35" s="13">
        <f>ROUND(D35/2,0)</f>
        <v>443</v>
      </c>
      <c r="F35" s="12">
        <f>D35-E35</f>
        <v>442</v>
      </c>
    </row>
    <row r="36" spans="1:6">
      <c r="A36" s="8">
        <v>2</v>
      </c>
      <c r="B36" s="11" t="s">
        <v>1863</v>
      </c>
      <c r="C36" s="11"/>
      <c r="D36" s="9"/>
      <c r="E36" s="11"/>
      <c r="F36" s="11"/>
    </row>
    <row r="37" spans="1:6">
      <c r="A37" s="8"/>
      <c r="B37" s="11" t="s">
        <v>10</v>
      </c>
      <c r="C37" s="10">
        <v>2.2900000000000001E-4</v>
      </c>
      <c r="D37" s="12">
        <f>ROUND(D$3*C37,0)</f>
        <v>101</v>
      </c>
      <c r="E37" s="13">
        <f>ROUND(D37/2,0)</f>
        <v>51</v>
      </c>
      <c r="F37" s="12">
        <f>D37-E37</f>
        <v>50</v>
      </c>
    </row>
    <row r="38" spans="1:6">
      <c r="A38" s="8"/>
      <c r="B38" s="11" t="s">
        <v>11</v>
      </c>
      <c r="C38" s="10">
        <v>1.9599999999999999E-4</v>
      </c>
      <c r="D38" s="12">
        <f>ROUND(D$3*C38,0)</f>
        <v>87</v>
      </c>
      <c r="E38" s="13">
        <f>ROUND(D38/2,0)</f>
        <v>44</v>
      </c>
      <c r="F38" s="12">
        <f>D38-E38</f>
        <v>43</v>
      </c>
    </row>
    <row r="39" spans="1:6">
      <c r="A39" s="8">
        <v>2</v>
      </c>
      <c r="B39" s="11" t="s">
        <v>20</v>
      </c>
      <c r="C39" s="11"/>
      <c r="D39" s="9"/>
      <c r="E39" s="11"/>
      <c r="F39" s="11"/>
    </row>
    <row r="40" spans="1:6">
      <c r="A40" s="8"/>
      <c r="B40" s="11" t="s">
        <v>10</v>
      </c>
      <c r="C40" s="10">
        <v>1.49E-3</v>
      </c>
      <c r="D40" s="12">
        <f>ROUND(D$3*C40,0)</f>
        <v>659</v>
      </c>
      <c r="E40" s="13">
        <f>ROUND(D40/2,0)</f>
        <v>330</v>
      </c>
      <c r="F40" s="12">
        <f>D40-E40</f>
        <v>329</v>
      </c>
    </row>
    <row r="41" spans="1:6">
      <c r="A41" s="8"/>
      <c r="B41" s="11" t="s">
        <v>11</v>
      </c>
      <c r="C41" s="10">
        <v>7.0500000000000001E-4</v>
      </c>
      <c r="D41" s="12">
        <f>ROUND(D$3*C41,0)</f>
        <v>312</v>
      </c>
      <c r="E41" s="13">
        <f>ROUND(D41/2,0)</f>
        <v>156</v>
      </c>
      <c r="F41" s="12">
        <f>D41-E41</f>
        <v>156</v>
      </c>
    </row>
    <row r="42" spans="1:6">
      <c r="A42" s="8">
        <v>2</v>
      </c>
      <c r="B42" s="11" t="s">
        <v>1864</v>
      </c>
      <c r="C42" s="11"/>
      <c r="D42" s="9"/>
      <c r="E42" s="11"/>
      <c r="F42" s="11"/>
    </row>
    <row r="43" spans="1:6">
      <c r="A43" s="8"/>
      <c r="B43" s="11" t="s">
        <v>10</v>
      </c>
      <c r="C43" s="10">
        <v>3.5500000000000001E-4</v>
      </c>
      <c r="D43" s="12">
        <f t="shared" ref="D43:D52" si="0">ROUND(D$3*C43,0)</f>
        <v>157</v>
      </c>
      <c r="E43" s="13">
        <f t="shared" ref="E43:E52" si="1">ROUND(D43/2,0)</f>
        <v>79</v>
      </c>
      <c r="F43" s="12">
        <f t="shared" ref="F43:F52" si="2">D43-E43</f>
        <v>78</v>
      </c>
    </row>
    <row r="44" spans="1:6">
      <c r="A44" s="8"/>
      <c r="B44" s="11" t="s">
        <v>11</v>
      </c>
      <c r="C44" s="10">
        <v>2.2900000000000001E-4</v>
      </c>
      <c r="D44" s="12">
        <f t="shared" si="0"/>
        <v>101</v>
      </c>
      <c r="E44" s="13">
        <f t="shared" si="1"/>
        <v>51</v>
      </c>
      <c r="F44" s="12">
        <f t="shared" si="2"/>
        <v>50</v>
      </c>
    </row>
    <row r="45" spans="1:6">
      <c r="A45" s="8">
        <v>3</v>
      </c>
      <c r="B45" s="11" t="s">
        <v>1865</v>
      </c>
      <c r="C45" s="10">
        <v>2.111E-3</v>
      </c>
      <c r="D45" s="12">
        <f t="shared" si="0"/>
        <v>933</v>
      </c>
      <c r="E45" s="13">
        <f t="shared" si="1"/>
        <v>467</v>
      </c>
      <c r="F45" s="12">
        <f t="shared" si="2"/>
        <v>466</v>
      </c>
    </row>
    <row r="46" spans="1:6">
      <c r="A46" s="8">
        <v>3</v>
      </c>
      <c r="B46" s="11" t="s">
        <v>1866</v>
      </c>
      <c r="C46" s="10">
        <v>3.4999999999999997E-5</v>
      </c>
      <c r="D46" s="12">
        <f t="shared" si="0"/>
        <v>15</v>
      </c>
      <c r="E46" s="13">
        <f t="shared" si="1"/>
        <v>8</v>
      </c>
      <c r="F46" s="12">
        <f t="shared" si="2"/>
        <v>7</v>
      </c>
    </row>
    <row r="47" spans="1:6">
      <c r="A47" s="8">
        <v>3</v>
      </c>
      <c r="B47" s="11" t="s">
        <v>1867</v>
      </c>
      <c r="C47" s="10">
        <v>2.5349999999999999E-3</v>
      </c>
      <c r="D47" s="12">
        <f t="shared" si="0"/>
        <v>1121</v>
      </c>
      <c r="E47" s="13">
        <f t="shared" si="1"/>
        <v>561</v>
      </c>
      <c r="F47" s="12">
        <f t="shared" si="2"/>
        <v>560</v>
      </c>
    </row>
    <row r="48" spans="1:6">
      <c r="A48" s="8">
        <v>3</v>
      </c>
      <c r="B48" s="11" t="s">
        <v>1868</v>
      </c>
      <c r="C48" s="10">
        <v>3.0980000000000001E-3</v>
      </c>
      <c r="D48" s="12">
        <f t="shared" si="0"/>
        <v>1370</v>
      </c>
      <c r="E48" s="13">
        <f t="shared" si="1"/>
        <v>685</v>
      </c>
      <c r="F48" s="12">
        <f t="shared" si="2"/>
        <v>685</v>
      </c>
    </row>
    <row r="49" spans="1:6">
      <c r="A49" s="8">
        <v>3</v>
      </c>
      <c r="B49" s="11" t="s">
        <v>1869</v>
      </c>
      <c r="C49" s="10">
        <v>7.5796000000000002E-2</v>
      </c>
      <c r="D49" s="12">
        <f t="shared" si="0"/>
        <v>33513</v>
      </c>
      <c r="E49" s="13">
        <f t="shared" si="1"/>
        <v>16757</v>
      </c>
      <c r="F49" s="12">
        <f t="shared" si="2"/>
        <v>16756</v>
      </c>
    </row>
    <row r="50" spans="1:6">
      <c r="A50" s="8">
        <v>3</v>
      </c>
      <c r="B50" s="11" t="s">
        <v>1870</v>
      </c>
      <c r="C50" s="10">
        <v>1.5250000000000001E-3</v>
      </c>
      <c r="D50" s="12">
        <f t="shared" si="0"/>
        <v>674</v>
      </c>
      <c r="E50" s="13">
        <f t="shared" si="1"/>
        <v>337</v>
      </c>
      <c r="F50" s="12">
        <f t="shared" si="2"/>
        <v>337</v>
      </c>
    </row>
    <row r="51" spans="1:6">
      <c r="A51" s="8">
        <v>3</v>
      </c>
      <c r="B51" s="11" t="s">
        <v>1871</v>
      </c>
      <c r="C51" s="10">
        <v>7.8040000000000002E-3</v>
      </c>
      <c r="D51" s="12">
        <f t="shared" si="0"/>
        <v>3450</v>
      </c>
      <c r="E51" s="13">
        <f t="shared" si="1"/>
        <v>1725</v>
      </c>
      <c r="F51" s="12">
        <f t="shared" si="2"/>
        <v>1725</v>
      </c>
    </row>
    <row r="52" spans="1:6">
      <c r="A52" s="8">
        <v>4</v>
      </c>
      <c r="B52" s="11" t="s">
        <v>1872</v>
      </c>
      <c r="C52" s="10">
        <v>7.0579000000000003E-2</v>
      </c>
      <c r="D52" s="9">
        <f t="shared" si="0"/>
        <v>31206</v>
      </c>
      <c r="E52" s="11">
        <f t="shared" si="1"/>
        <v>15603</v>
      </c>
      <c r="F52" s="9">
        <f t="shared" si="2"/>
        <v>15603</v>
      </c>
    </row>
    <row r="53" spans="1:6">
      <c r="A53" s="8"/>
      <c r="B53" s="11" t="s">
        <v>28</v>
      </c>
      <c r="C53" s="11"/>
      <c r="D53" s="14">
        <v>0.44338</v>
      </c>
      <c r="E53" s="11"/>
      <c r="F53" s="11"/>
    </row>
    <row r="54" spans="1:6">
      <c r="A54" s="8"/>
      <c r="B54" s="11" t="s">
        <v>29</v>
      </c>
      <c r="C54" s="11"/>
      <c r="D54" s="228">
        <f>ROUND(D52*D53,0)</f>
        <v>13836</v>
      </c>
      <c r="E54" s="229">
        <f>ROUND(D54/2,0)</f>
        <v>6918</v>
      </c>
      <c r="F54" s="228">
        <f>D54-E54</f>
        <v>6918</v>
      </c>
    </row>
    <row r="55" spans="1:6">
      <c r="A55" s="8"/>
      <c r="B55" s="11" t="s">
        <v>30</v>
      </c>
      <c r="C55" s="11"/>
      <c r="D55" s="12">
        <f>+D52-D54</f>
        <v>17370</v>
      </c>
      <c r="E55" s="13">
        <f>ROUND(D55/2,0)</f>
        <v>8685</v>
      </c>
      <c r="F55" s="12">
        <f>D55-E55</f>
        <v>8685</v>
      </c>
    </row>
    <row r="56" spans="1:6">
      <c r="A56" s="8">
        <v>4</v>
      </c>
      <c r="B56" s="11" t="s">
        <v>1873</v>
      </c>
      <c r="C56" s="10">
        <v>8.4162000000000001E-2</v>
      </c>
      <c r="D56" s="9">
        <f>ROUND(D$3*C56,0)</f>
        <v>37212</v>
      </c>
      <c r="E56" s="11">
        <f>ROUND(D56/2,0)</f>
        <v>18606</v>
      </c>
      <c r="F56" s="9">
        <f>D56-E56</f>
        <v>18606</v>
      </c>
    </row>
    <row r="57" spans="1:6">
      <c r="A57" s="8"/>
      <c r="B57" s="11" t="s">
        <v>28</v>
      </c>
      <c r="C57" s="11"/>
      <c r="D57" s="14">
        <v>0.44906800000000002</v>
      </c>
      <c r="E57" s="11"/>
      <c r="F57" s="11"/>
    </row>
    <row r="58" spans="1:6">
      <c r="A58" s="8"/>
      <c r="B58" s="11" t="s">
        <v>29</v>
      </c>
      <c r="C58" s="11"/>
      <c r="D58" s="228">
        <f>ROUND(D56*D57,0)</f>
        <v>16711</v>
      </c>
      <c r="E58" s="229">
        <f>ROUND(D58/2,0)</f>
        <v>8356</v>
      </c>
      <c r="F58" s="228">
        <f>D58-E58</f>
        <v>8355</v>
      </c>
    </row>
    <row r="59" spans="1:6">
      <c r="A59" s="8"/>
      <c r="B59" s="11" t="s">
        <v>30</v>
      </c>
      <c r="C59" s="11"/>
      <c r="D59" s="12">
        <f>+D56-D58</f>
        <v>20501</v>
      </c>
      <c r="E59" s="13">
        <f>ROUND(D59/2,0)</f>
        <v>10251</v>
      </c>
      <c r="F59" s="12">
        <f>D59-E59</f>
        <v>10250</v>
      </c>
    </row>
    <row r="60" spans="1:6">
      <c r="A60" s="8">
        <v>4</v>
      </c>
      <c r="B60" s="11" t="s">
        <v>212</v>
      </c>
      <c r="C60" s="10">
        <v>7.0429999999999998E-3</v>
      </c>
      <c r="D60" s="9">
        <f>ROUND(D$3*C60,0)</f>
        <v>3114</v>
      </c>
      <c r="E60" s="11">
        <f>ROUND(D60/2,0)</f>
        <v>1557</v>
      </c>
      <c r="F60" s="9">
        <f>D60-E60</f>
        <v>1557</v>
      </c>
    </row>
    <row r="61" spans="1:6">
      <c r="A61" s="8"/>
      <c r="B61" s="11" t="s">
        <v>28</v>
      </c>
      <c r="C61" s="11"/>
      <c r="D61" s="14">
        <v>0.42050199999999999</v>
      </c>
      <c r="E61" s="11"/>
      <c r="F61" s="11"/>
    </row>
    <row r="62" spans="1:6">
      <c r="A62" s="8"/>
      <c r="B62" s="11" t="s">
        <v>29</v>
      </c>
      <c r="C62" s="11"/>
      <c r="D62" s="228">
        <f>ROUND(D60*D61,0)</f>
        <v>1309</v>
      </c>
      <c r="E62" s="229">
        <f>ROUND(D62/2,0)</f>
        <v>655</v>
      </c>
      <c r="F62" s="228">
        <f>D62-E62</f>
        <v>654</v>
      </c>
    </row>
    <row r="63" spans="1:6">
      <c r="A63" s="8"/>
      <c r="B63" s="11" t="s">
        <v>30</v>
      </c>
      <c r="C63" s="11"/>
      <c r="D63" s="12">
        <f>+D60-D62</f>
        <v>1805</v>
      </c>
      <c r="E63" s="13">
        <f>ROUND(D63/2,0)</f>
        <v>903</v>
      </c>
      <c r="F63" s="12">
        <f>D63-E63</f>
        <v>902</v>
      </c>
    </row>
    <row r="64" spans="1:6">
      <c r="A64" s="8">
        <v>4</v>
      </c>
      <c r="B64" s="11" t="s">
        <v>848</v>
      </c>
      <c r="C64" s="10">
        <v>0.31158200000000003</v>
      </c>
      <c r="D64" s="9">
        <f>ROUND(D$3*C64,0)</f>
        <v>137764</v>
      </c>
      <c r="E64" s="11">
        <f>ROUND(D64/2,0)</f>
        <v>68882</v>
      </c>
      <c r="F64" s="9">
        <f>D64-E64</f>
        <v>68882</v>
      </c>
    </row>
    <row r="65" spans="1:8">
      <c r="A65" s="8"/>
      <c r="B65" s="11" t="s">
        <v>28</v>
      </c>
      <c r="C65" s="11"/>
      <c r="D65" s="14">
        <v>0.55134700000000003</v>
      </c>
      <c r="E65" s="11"/>
      <c r="F65" s="11"/>
    </row>
    <row r="66" spans="1:8">
      <c r="A66" s="8"/>
      <c r="B66" s="11" t="s">
        <v>29</v>
      </c>
      <c r="C66" s="11"/>
      <c r="D66" s="228">
        <f>ROUND(D64*D65,0)</f>
        <v>75956</v>
      </c>
      <c r="E66" s="229">
        <f>ROUND(D66/2,0)</f>
        <v>37978</v>
      </c>
      <c r="F66" s="228">
        <f>D66-E66</f>
        <v>37978</v>
      </c>
    </row>
    <row r="67" spans="1:8">
      <c r="A67" s="8"/>
      <c r="B67" s="11" t="s">
        <v>30</v>
      </c>
      <c r="C67" s="11"/>
      <c r="D67" s="12">
        <f>+D64-D66</f>
        <v>61808</v>
      </c>
      <c r="E67" s="13">
        <f>ROUND(D67/2,0)</f>
        <v>30904</v>
      </c>
      <c r="F67" s="12">
        <f>D67-E67</f>
        <v>30904</v>
      </c>
    </row>
    <row r="68" spans="1:8">
      <c r="A68" s="8">
        <v>4</v>
      </c>
      <c r="B68" s="11" t="s">
        <v>1874</v>
      </c>
      <c r="C68" s="10">
        <v>0.214952</v>
      </c>
      <c r="D68" s="9">
        <f>ROUND(D$3*C68,0)</f>
        <v>95040</v>
      </c>
      <c r="E68" s="11">
        <f>ROUND(D68/2,0)</f>
        <v>47520</v>
      </c>
      <c r="F68" s="9">
        <f>D68-E68</f>
        <v>47520</v>
      </c>
    </row>
    <row r="69" spans="1:8">
      <c r="A69" s="8"/>
      <c r="B69" s="11" t="s">
        <v>28</v>
      </c>
      <c r="C69" s="11"/>
      <c r="D69" s="14">
        <v>0.49474200000000002</v>
      </c>
      <c r="E69" s="11"/>
      <c r="F69" s="11"/>
    </row>
    <row r="70" spans="1:8">
      <c r="A70" s="8"/>
      <c r="B70" s="11" t="s">
        <v>29</v>
      </c>
      <c r="C70" s="11"/>
      <c r="D70" s="228">
        <f>ROUND(D68*D69,0)</f>
        <v>47020</v>
      </c>
      <c r="E70" s="229">
        <f t="shared" ref="E70:E76" si="3">ROUND(D70/2,0)</f>
        <v>23510</v>
      </c>
      <c r="F70" s="228">
        <f t="shared" ref="F70:F76" si="4">D70-E70</f>
        <v>23510</v>
      </c>
    </row>
    <row r="71" spans="1:8">
      <c r="A71" s="8" t="s">
        <v>590</v>
      </c>
      <c r="B71" s="11" t="s">
        <v>30</v>
      </c>
      <c r="C71" s="11"/>
      <c r="D71" s="12">
        <f>+D68-D70</f>
        <v>48020</v>
      </c>
      <c r="E71" s="13">
        <f t="shared" si="3"/>
        <v>24010</v>
      </c>
      <c r="F71" s="12">
        <f t="shared" si="4"/>
        <v>24010</v>
      </c>
    </row>
    <row r="72" spans="1:8">
      <c r="A72" s="8">
        <v>5</v>
      </c>
      <c r="B72" s="11" t="s">
        <v>1875</v>
      </c>
      <c r="C72" s="10">
        <v>3.4689999999999999E-3</v>
      </c>
      <c r="D72" s="12">
        <f>ROUND(D$3*C72,0)</f>
        <v>1534</v>
      </c>
      <c r="E72" s="13">
        <f t="shared" si="3"/>
        <v>767</v>
      </c>
      <c r="F72" s="12">
        <f t="shared" si="4"/>
        <v>767</v>
      </c>
    </row>
    <row r="73" spans="1:8">
      <c r="A73" s="8">
        <v>5</v>
      </c>
      <c r="B73" s="11" t="s">
        <v>1876</v>
      </c>
      <c r="C73" s="10">
        <v>3.0279999999999999E-3</v>
      </c>
      <c r="D73" s="12">
        <f>ROUND(D$3*C73,0)</f>
        <v>1339</v>
      </c>
      <c r="E73" s="13">
        <f t="shared" si="3"/>
        <v>670</v>
      </c>
      <c r="F73" s="12">
        <f t="shared" si="4"/>
        <v>669</v>
      </c>
    </row>
    <row r="74" spans="1:8">
      <c r="A74" s="8">
        <v>5</v>
      </c>
      <c r="B74" s="11" t="s">
        <v>1877</v>
      </c>
      <c r="C74" s="10">
        <v>1.1906999999999999E-2</v>
      </c>
      <c r="D74" s="12">
        <f>ROUND(D$3*C74,0)</f>
        <v>5265</v>
      </c>
      <c r="E74" s="13">
        <f t="shared" si="3"/>
        <v>2633</v>
      </c>
      <c r="F74" s="12">
        <f t="shared" si="4"/>
        <v>2632</v>
      </c>
    </row>
    <row r="75" spans="1:8">
      <c r="A75" s="8">
        <v>5</v>
      </c>
      <c r="B75" s="11" t="s">
        <v>1878</v>
      </c>
      <c r="C75" s="10">
        <v>9.4299999999999384E-3</v>
      </c>
      <c r="D75" s="12">
        <f>+D3-SUM(D4:D5)-SUM(D10:D52)-D56-D60-D64-D68-SUM(D72:D74)</f>
        <v>4168</v>
      </c>
      <c r="E75" s="13">
        <f t="shared" si="3"/>
        <v>2084</v>
      </c>
      <c r="F75" s="12">
        <f t="shared" si="4"/>
        <v>2084</v>
      </c>
    </row>
    <row r="76" spans="1:8">
      <c r="A76" s="8">
        <v>6</v>
      </c>
      <c r="B76" s="11" t="s">
        <v>131</v>
      </c>
      <c r="C76" s="10">
        <v>0</v>
      </c>
      <c r="D76" s="12">
        <f>ROUND(D$3*C76,0)</f>
        <v>0</v>
      </c>
      <c r="E76" s="13">
        <f t="shared" si="3"/>
        <v>0</v>
      </c>
      <c r="F76" s="12">
        <f t="shared" si="4"/>
        <v>0</v>
      </c>
    </row>
    <row r="77" spans="1:8">
      <c r="A77" s="8"/>
      <c r="B77" s="28" t="s">
        <v>288</v>
      </c>
      <c r="C77" s="10">
        <v>1</v>
      </c>
      <c r="D77" s="12">
        <f>+D4+SUM(D7:D51)+SUM(D54:D55)+SUM(D58:D59)+SUM(D62:D63)+SUM(D66:D67)+SUM(D70:D76)</f>
        <v>442143</v>
      </c>
      <c r="E77" s="12">
        <f>+E4+SUM(E7:E51)+SUM(E54:E55)+SUM(E58:E59)+SUM(E62:E63)+SUM(E66:E67)+SUM(E70:E76)</f>
        <v>221082</v>
      </c>
      <c r="F77" s="12">
        <f>+F4+SUM(F7:F51)+SUM(F54:F55)+SUM(F58:F59)+SUM(F62:F63)+SUM(F66:F67)+SUM(F70:F76)</f>
        <v>221061</v>
      </c>
    </row>
    <row r="78" spans="1:8">
      <c r="B78" s="18" t="s">
        <v>38</v>
      </c>
      <c r="D78" s="19">
        <f>+D4</f>
        <v>558</v>
      </c>
      <c r="E78" s="19">
        <f>+E4</f>
        <v>279</v>
      </c>
      <c r="F78" s="19">
        <f>+F4</f>
        <v>279</v>
      </c>
    </row>
    <row r="79" spans="1:8">
      <c r="B79" s="2" t="s">
        <v>39</v>
      </c>
      <c r="D79" s="19">
        <f>+D7</f>
        <v>5973</v>
      </c>
      <c r="E79" s="19">
        <f>+E7</f>
        <v>2987</v>
      </c>
      <c r="F79" s="19">
        <f>+F7</f>
        <v>2986</v>
      </c>
    </row>
    <row r="80" spans="1:8">
      <c r="B80" s="2" t="s">
        <v>40</v>
      </c>
      <c r="D80" s="19">
        <f>+D54+D58+D62+D66+D70</f>
        <v>154832</v>
      </c>
      <c r="E80" s="19">
        <f>+E54+E58+E62+E66+E70</f>
        <v>77417</v>
      </c>
      <c r="F80" s="19">
        <f>+F54+F58+F62+F66+F70</f>
        <v>77415</v>
      </c>
      <c r="H80" s="3">
        <v>1</v>
      </c>
    </row>
    <row r="81" spans="2:8">
      <c r="B81" s="18" t="s">
        <v>41</v>
      </c>
      <c r="D81" s="19">
        <f>+D77-D78-D79-D80</f>
        <v>280780</v>
      </c>
      <c r="E81" s="19">
        <f>+E77-E78-E79-E80</f>
        <v>140399</v>
      </c>
      <c r="F81" s="19">
        <f>+F77-F78-F79-F80</f>
        <v>140381</v>
      </c>
      <c r="H81" s="3">
        <v>2</v>
      </c>
    </row>
    <row r="82" spans="2:8" hidden="1">
      <c r="B82" s="18"/>
      <c r="D82" s="19"/>
      <c r="E82" s="19"/>
      <c r="F82" s="19"/>
    </row>
    <row r="83" spans="2:8" hidden="1">
      <c r="B83" s="18"/>
      <c r="D83" s="19"/>
      <c r="E83" s="19"/>
      <c r="F83" s="19"/>
    </row>
    <row r="84" spans="2:8" hidden="1">
      <c r="B84" s="18"/>
      <c r="D84" s="19"/>
      <c r="E84" s="19"/>
      <c r="F84" s="19"/>
    </row>
    <row r="85" spans="2:8" hidden="1"/>
    <row r="86" spans="2:8" hidden="1">
      <c r="B86" s="3" t="s">
        <v>42</v>
      </c>
      <c r="C86" s="4">
        <v>1.9999999999378154E-6</v>
      </c>
      <c r="D86" s="3">
        <f>+D75-ROUND(D3*C75,0)</f>
        <v>-1</v>
      </c>
    </row>
  </sheetData>
  <pageMargins left="0.7" right="0.7" top="0.75" bottom="0.75" header="0.3" footer="0.3"/>
  <pageSetup scale="55"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3">
    <pageSetUpPr fitToPage="1"/>
  </sheetPr>
  <dimension ref="A1:WUZ71"/>
  <sheetViews>
    <sheetView topLeftCell="A29" zoomScaleNormal="100" zoomScaleSheetLayoutView="86" workbookViewId="0">
      <selection activeCell="D50" activeCellId="3" sqref="D7:F7 D42:F42 D46:F46 D50:F50"/>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5" width="9.140625" style="3" hidden="1"/>
    <col min="186" max="186" width="11" style="3" hidden="1"/>
    <col min="187" max="187" width="54.5703125" style="3" hidden="1"/>
    <col min="188" max="244" width="9.140625" style="3" hidden="1"/>
    <col min="245" max="245" width="16.28515625" style="3" hidden="1"/>
    <col min="246" max="246" width="21" style="3" hidden="1"/>
    <col min="247" max="247" width="16" style="3" hidden="1"/>
    <col min="248" max="248" width="18.140625" style="3" hidden="1"/>
    <col min="249" max="441" width="9.140625" style="3" hidden="1"/>
    <col min="442" max="442" width="11" style="3" hidden="1"/>
    <col min="443" max="443" width="54.5703125" style="3" hidden="1"/>
    <col min="444" max="500" width="9.140625" style="3" hidden="1"/>
    <col min="501" max="501" width="16.28515625" style="3" hidden="1"/>
    <col min="502" max="502" width="21" style="3" hidden="1"/>
    <col min="503" max="503" width="16" style="3" hidden="1"/>
    <col min="504" max="504" width="18.140625" style="3" hidden="1"/>
    <col min="505" max="697" width="9.140625" style="3" hidden="1"/>
    <col min="698" max="698" width="11" style="3" hidden="1"/>
    <col min="699" max="699" width="54.5703125" style="3" hidden="1"/>
    <col min="700" max="756" width="9.140625" style="3" hidden="1"/>
    <col min="757" max="757" width="16.28515625" style="3" hidden="1"/>
    <col min="758" max="758" width="21" style="3" hidden="1"/>
    <col min="759" max="759" width="16" style="3" hidden="1"/>
    <col min="760" max="760" width="18.140625" style="3" hidden="1"/>
    <col min="761" max="953" width="9.140625" style="3" hidden="1"/>
    <col min="954" max="954" width="11" style="3" hidden="1"/>
    <col min="955" max="955" width="54.5703125" style="3" hidden="1"/>
    <col min="956" max="1012" width="9.140625" style="3" hidden="1"/>
    <col min="1013" max="1013" width="16.28515625" style="3" hidden="1"/>
    <col min="1014" max="1014" width="21" style="3" hidden="1"/>
    <col min="1015" max="1015" width="16" style="3" hidden="1"/>
    <col min="1016" max="1016" width="18.140625" style="3" hidden="1"/>
    <col min="1017" max="1209" width="9.140625" style="3" hidden="1"/>
    <col min="1210" max="1210" width="11" style="3" hidden="1"/>
    <col min="1211" max="1211" width="54.5703125" style="3" hidden="1"/>
    <col min="1212" max="1268" width="9.140625" style="3" hidden="1"/>
    <col min="1269" max="1269" width="16.28515625" style="3" hidden="1"/>
    <col min="1270" max="1270" width="21" style="3" hidden="1"/>
    <col min="1271" max="1271" width="16" style="3" hidden="1"/>
    <col min="1272" max="1272" width="18.140625" style="3" hidden="1"/>
    <col min="1273" max="1465" width="9.140625" style="3" hidden="1"/>
    <col min="1466" max="1466" width="11" style="3" hidden="1"/>
    <col min="1467" max="1467" width="54.5703125" style="3" hidden="1"/>
    <col min="1468" max="1524" width="9.140625" style="3" hidden="1"/>
    <col min="1525" max="1525" width="16.28515625" style="3" hidden="1"/>
    <col min="1526" max="1526" width="21" style="3" hidden="1"/>
    <col min="1527" max="1527" width="16" style="3" hidden="1"/>
    <col min="1528" max="1528" width="18.140625" style="3" hidden="1"/>
    <col min="1529" max="1721" width="9.140625" style="3" hidden="1"/>
    <col min="1722" max="1722" width="11" style="3" hidden="1"/>
    <col min="1723" max="1723" width="54.5703125" style="3" hidden="1"/>
    <col min="1724" max="1780" width="9.140625" style="3" hidden="1"/>
    <col min="1781" max="1781" width="16.28515625" style="3" hidden="1"/>
    <col min="1782" max="1782" width="21" style="3" hidden="1"/>
    <col min="1783" max="1783" width="16" style="3" hidden="1"/>
    <col min="1784" max="1784" width="18.140625" style="3" hidden="1"/>
    <col min="1785" max="1977" width="9.140625" style="3" hidden="1"/>
    <col min="1978" max="1978" width="11" style="3" hidden="1"/>
    <col min="1979" max="1979" width="54.5703125" style="3" hidden="1"/>
    <col min="1980" max="2036" width="9.140625" style="3" hidden="1"/>
    <col min="2037" max="2037" width="16.28515625" style="3" hidden="1"/>
    <col min="2038" max="2038" width="21" style="3" hidden="1"/>
    <col min="2039" max="2039" width="16" style="3" hidden="1"/>
    <col min="2040" max="2040" width="18.140625" style="3" hidden="1"/>
    <col min="2041" max="2233" width="9.140625" style="3" hidden="1"/>
    <col min="2234" max="2234" width="11" style="3" hidden="1"/>
    <col min="2235" max="2235" width="54.5703125" style="3" hidden="1"/>
    <col min="2236" max="2292" width="9.140625" style="3" hidden="1"/>
    <col min="2293" max="2293" width="16.28515625" style="3" hidden="1"/>
    <col min="2294" max="2294" width="21" style="3" hidden="1"/>
    <col min="2295" max="2295" width="16" style="3" hidden="1"/>
    <col min="2296" max="2296" width="18.140625" style="3" hidden="1"/>
    <col min="2297" max="2489" width="9.140625" style="3" hidden="1"/>
    <col min="2490" max="2490" width="11" style="3" hidden="1"/>
    <col min="2491" max="2491" width="54.5703125" style="3" hidden="1"/>
    <col min="2492" max="2548" width="9.140625" style="3" hidden="1"/>
    <col min="2549" max="2549" width="16.28515625" style="3" hidden="1"/>
    <col min="2550" max="2550" width="21" style="3" hidden="1"/>
    <col min="2551" max="2551" width="16" style="3" hidden="1"/>
    <col min="2552" max="2552" width="18.140625" style="3" hidden="1"/>
    <col min="2553" max="2745" width="9.140625" style="3" hidden="1"/>
    <col min="2746" max="2746" width="11" style="3" hidden="1"/>
    <col min="2747" max="2747" width="54.5703125" style="3" hidden="1"/>
    <col min="2748" max="2804" width="9.140625" style="3" hidden="1"/>
    <col min="2805" max="2805" width="16.28515625" style="3" hidden="1"/>
    <col min="2806" max="2806" width="21" style="3" hidden="1"/>
    <col min="2807" max="2807" width="16" style="3" hidden="1"/>
    <col min="2808" max="2808" width="18.140625" style="3" hidden="1"/>
    <col min="2809" max="3001" width="9.140625" style="3" hidden="1"/>
    <col min="3002" max="3002" width="11" style="3" hidden="1"/>
    <col min="3003" max="3003" width="54.5703125" style="3" hidden="1"/>
    <col min="3004" max="3060" width="9.140625" style="3" hidden="1"/>
    <col min="3061" max="3061" width="16.28515625" style="3" hidden="1"/>
    <col min="3062" max="3062" width="21" style="3" hidden="1"/>
    <col min="3063" max="3063" width="16" style="3" hidden="1"/>
    <col min="3064" max="3064" width="18.140625" style="3" hidden="1"/>
    <col min="3065" max="3257" width="9.140625" style="3" hidden="1"/>
    <col min="3258" max="3258" width="11" style="3" hidden="1"/>
    <col min="3259" max="3259" width="54.5703125" style="3" hidden="1"/>
    <col min="3260" max="3316" width="9.140625" style="3" hidden="1"/>
    <col min="3317" max="3317" width="16.28515625" style="3" hidden="1"/>
    <col min="3318" max="3318" width="21" style="3" hidden="1"/>
    <col min="3319" max="3319" width="16" style="3" hidden="1"/>
    <col min="3320" max="3320" width="18.140625" style="3" hidden="1"/>
    <col min="3321" max="3513" width="9.140625" style="3" hidden="1"/>
    <col min="3514" max="3514" width="11" style="3" hidden="1"/>
    <col min="3515" max="3515" width="54.5703125" style="3" hidden="1"/>
    <col min="3516" max="3572" width="9.140625" style="3" hidden="1"/>
    <col min="3573" max="3573" width="16.28515625" style="3" hidden="1"/>
    <col min="3574" max="3574" width="21" style="3" hidden="1"/>
    <col min="3575" max="3575" width="16" style="3" hidden="1"/>
    <col min="3576" max="3576" width="18.140625" style="3" hidden="1"/>
    <col min="3577" max="3769" width="9.140625" style="3" hidden="1"/>
    <col min="3770" max="3770" width="11" style="3" hidden="1"/>
    <col min="3771" max="3771" width="54.5703125" style="3" hidden="1"/>
    <col min="3772" max="3828" width="9.140625" style="3" hidden="1"/>
    <col min="3829" max="3829" width="16.28515625" style="3" hidden="1"/>
    <col min="3830" max="3830" width="21" style="3" hidden="1"/>
    <col min="3831" max="3831" width="16" style="3" hidden="1"/>
    <col min="3832" max="3832" width="18.140625" style="3" hidden="1"/>
    <col min="3833" max="4025" width="9.140625" style="3" hidden="1"/>
    <col min="4026" max="4026" width="11" style="3" hidden="1"/>
    <col min="4027" max="4027" width="54.5703125" style="3" hidden="1"/>
    <col min="4028" max="4084" width="9.140625" style="3" hidden="1"/>
    <col min="4085" max="4085" width="16.28515625" style="3" hidden="1"/>
    <col min="4086" max="4086" width="21" style="3" hidden="1"/>
    <col min="4087" max="4087" width="16" style="3" hidden="1"/>
    <col min="4088" max="4088" width="18.140625" style="3" hidden="1"/>
    <col min="4089" max="4281" width="9.140625" style="3" hidden="1"/>
    <col min="4282" max="4282" width="11" style="3" hidden="1"/>
    <col min="4283" max="4283" width="54.5703125" style="3" hidden="1"/>
    <col min="4284" max="4340" width="9.140625" style="3" hidden="1"/>
    <col min="4341" max="4341" width="16.28515625" style="3" hidden="1"/>
    <col min="4342" max="4342" width="21" style="3" hidden="1"/>
    <col min="4343" max="4343" width="16" style="3" hidden="1"/>
    <col min="4344" max="4344" width="18.140625" style="3" hidden="1"/>
    <col min="4345" max="4537" width="9.140625" style="3" hidden="1"/>
    <col min="4538" max="4538" width="11" style="3" hidden="1"/>
    <col min="4539" max="4539" width="54.5703125" style="3" hidden="1"/>
    <col min="4540" max="4596" width="9.140625" style="3" hidden="1"/>
    <col min="4597" max="4597" width="16.28515625" style="3" hidden="1"/>
    <col min="4598" max="4598" width="21" style="3" hidden="1"/>
    <col min="4599" max="4599" width="16" style="3" hidden="1"/>
    <col min="4600" max="4600" width="18.140625" style="3" hidden="1"/>
    <col min="4601" max="4793" width="9.140625" style="3" hidden="1"/>
    <col min="4794" max="4794" width="11" style="3" hidden="1"/>
    <col min="4795" max="4795" width="54.5703125" style="3" hidden="1"/>
    <col min="4796" max="4852" width="9.140625" style="3" hidden="1"/>
    <col min="4853" max="4853" width="16.28515625" style="3" hidden="1"/>
    <col min="4854" max="4854" width="21" style="3" hidden="1"/>
    <col min="4855" max="4855" width="16" style="3" hidden="1"/>
    <col min="4856" max="4856" width="18.140625" style="3" hidden="1"/>
    <col min="4857" max="5049" width="9.140625" style="3" hidden="1"/>
    <col min="5050" max="5050" width="11" style="3" hidden="1"/>
    <col min="5051" max="5051" width="54.5703125" style="3" hidden="1"/>
    <col min="5052" max="5108" width="9.140625" style="3" hidden="1"/>
    <col min="5109" max="5109" width="16.28515625" style="3" hidden="1"/>
    <col min="5110" max="5110" width="21" style="3" hidden="1"/>
    <col min="5111" max="5111" width="16" style="3" hidden="1"/>
    <col min="5112" max="5112" width="18.140625" style="3" hidden="1"/>
    <col min="5113" max="5305" width="9.140625" style="3" hidden="1"/>
    <col min="5306" max="5306" width="11" style="3" hidden="1"/>
    <col min="5307" max="5307" width="54.5703125" style="3" hidden="1"/>
    <col min="5308" max="5364" width="9.140625" style="3" hidden="1"/>
    <col min="5365" max="5365" width="16.28515625" style="3" hidden="1"/>
    <col min="5366" max="5366" width="21" style="3" hidden="1"/>
    <col min="5367" max="5367" width="16" style="3" hidden="1"/>
    <col min="5368" max="5368" width="18.140625" style="3" hidden="1"/>
    <col min="5369" max="5561" width="9.140625" style="3" hidden="1"/>
    <col min="5562" max="5562" width="11" style="3" hidden="1"/>
    <col min="5563" max="5563" width="54.5703125" style="3" hidden="1"/>
    <col min="5564" max="5620" width="9.140625" style="3" hidden="1"/>
    <col min="5621" max="5621" width="16.28515625" style="3" hidden="1"/>
    <col min="5622" max="5622" width="21" style="3" hidden="1"/>
    <col min="5623" max="5623" width="16" style="3" hidden="1"/>
    <col min="5624" max="5624" width="18.140625" style="3" hidden="1"/>
    <col min="5625" max="5817" width="9.140625" style="3" hidden="1"/>
    <col min="5818" max="5818" width="11" style="3" hidden="1"/>
    <col min="5819" max="5819" width="54.5703125" style="3" hidden="1"/>
    <col min="5820" max="5876" width="9.140625" style="3" hidden="1"/>
    <col min="5877" max="5877" width="16.28515625" style="3" hidden="1"/>
    <col min="5878" max="5878" width="21" style="3" hidden="1"/>
    <col min="5879" max="5879" width="16" style="3" hidden="1"/>
    <col min="5880" max="5880" width="18.140625" style="3" hidden="1"/>
    <col min="5881" max="6073" width="9.140625" style="3" hidden="1"/>
    <col min="6074" max="6074" width="11" style="3" hidden="1"/>
    <col min="6075" max="6075" width="54.5703125" style="3" hidden="1"/>
    <col min="6076" max="6132" width="9.140625" style="3" hidden="1"/>
    <col min="6133" max="6133" width="16.28515625" style="3" hidden="1"/>
    <col min="6134" max="6134" width="21" style="3" hidden="1"/>
    <col min="6135" max="6135" width="16" style="3" hidden="1"/>
    <col min="6136" max="6136" width="18.140625" style="3" hidden="1"/>
    <col min="6137" max="6329" width="9.140625" style="3" hidden="1"/>
    <col min="6330" max="6330" width="11" style="3" hidden="1"/>
    <col min="6331" max="6331" width="54.5703125" style="3" hidden="1"/>
    <col min="6332" max="6388" width="9.140625" style="3" hidden="1"/>
    <col min="6389" max="6389" width="16.28515625" style="3" hidden="1"/>
    <col min="6390" max="6390" width="21" style="3" hidden="1"/>
    <col min="6391" max="6391" width="16" style="3" hidden="1"/>
    <col min="6392" max="6392" width="18.140625" style="3" hidden="1"/>
    <col min="6393" max="6585" width="9.140625" style="3" hidden="1"/>
    <col min="6586" max="6586" width="11" style="3" hidden="1"/>
    <col min="6587" max="6587" width="54.5703125" style="3" hidden="1"/>
    <col min="6588" max="6644" width="9.140625" style="3" hidden="1"/>
    <col min="6645" max="6645" width="16.28515625" style="3" hidden="1"/>
    <col min="6646" max="6646" width="21" style="3" hidden="1"/>
    <col min="6647" max="6647" width="16" style="3" hidden="1"/>
    <col min="6648" max="6648" width="18.140625" style="3" hidden="1"/>
    <col min="6649" max="6841" width="9.140625" style="3" hidden="1"/>
    <col min="6842" max="6842" width="11" style="3" hidden="1"/>
    <col min="6843" max="6843" width="54.5703125" style="3" hidden="1"/>
    <col min="6844" max="6900" width="9.140625" style="3" hidden="1"/>
    <col min="6901" max="6901" width="16.28515625" style="3" hidden="1"/>
    <col min="6902" max="6902" width="21" style="3" hidden="1"/>
    <col min="6903" max="6903" width="16" style="3" hidden="1"/>
    <col min="6904" max="6904" width="18.140625" style="3" hidden="1"/>
    <col min="6905" max="7097" width="9.140625" style="3" hidden="1"/>
    <col min="7098" max="7098" width="11" style="3" hidden="1"/>
    <col min="7099" max="7099" width="54.5703125" style="3" hidden="1"/>
    <col min="7100" max="7156" width="9.140625" style="3" hidden="1"/>
    <col min="7157" max="7157" width="16.28515625" style="3" hidden="1"/>
    <col min="7158" max="7158" width="21" style="3" hidden="1"/>
    <col min="7159" max="7159" width="16" style="3" hidden="1"/>
    <col min="7160" max="7160" width="18.140625" style="3" hidden="1"/>
    <col min="7161" max="7353" width="9.140625" style="3" hidden="1"/>
    <col min="7354" max="7354" width="11" style="3" hidden="1"/>
    <col min="7355" max="7355" width="54.5703125" style="3" hidden="1"/>
    <col min="7356" max="7412" width="9.140625" style="3" hidden="1"/>
    <col min="7413" max="7413" width="16.28515625" style="3" hidden="1"/>
    <col min="7414" max="7414" width="21" style="3" hidden="1"/>
    <col min="7415" max="7415" width="16" style="3" hidden="1"/>
    <col min="7416" max="7416" width="18.140625" style="3" hidden="1"/>
    <col min="7417" max="7609" width="9.140625" style="3" hidden="1"/>
    <col min="7610" max="7610" width="11" style="3" hidden="1"/>
    <col min="7611" max="7611" width="54.5703125" style="3" hidden="1"/>
    <col min="7612" max="7668" width="9.140625" style="3" hidden="1"/>
    <col min="7669" max="7669" width="16.28515625" style="3" hidden="1"/>
    <col min="7670" max="7670" width="21" style="3" hidden="1"/>
    <col min="7671" max="7671" width="16" style="3" hidden="1"/>
    <col min="7672" max="7672" width="18.140625" style="3" hidden="1"/>
    <col min="7673" max="7865" width="9.140625" style="3" hidden="1"/>
    <col min="7866" max="7866" width="11" style="3" hidden="1"/>
    <col min="7867" max="7867" width="54.5703125" style="3" hidden="1"/>
    <col min="7868" max="7924" width="9.140625" style="3" hidden="1"/>
    <col min="7925" max="7925" width="16.28515625" style="3" hidden="1"/>
    <col min="7926" max="7926" width="21" style="3" hidden="1"/>
    <col min="7927" max="7927" width="16" style="3" hidden="1"/>
    <col min="7928" max="7928" width="18.140625" style="3" hidden="1"/>
    <col min="7929" max="8121" width="9.140625" style="3" hidden="1"/>
    <col min="8122" max="8122" width="11" style="3" hidden="1"/>
    <col min="8123" max="8123" width="54.5703125" style="3" hidden="1"/>
    <col min="8124" max="8180" width="9.140625" style="3" hidden="1"/>
    <col min="8181" max="8181" width="16.28515625" style="3" hidden="1"/>
    <col min="8182" max="8182" width="21" style="3" hidden="1"/>
    <col min="8183" max="8183" width="16" style="3" hidden="1"/>
    <col min="8184" max="8184" width="18.140625" style="3" hidden="1"/>
    <col min="8185" max="8377" width="9.140625" style="3" hidden="1"/>
    <col min="8378" max="8378" width="11" style="3" hidden="1"/>
    <col min="8379" max="8379" width="54.5703125" style="3" hidden="1"/>
    <col min="8380" max="8436" width="9.140625" style="3" hidden="1"/>
    <col min="8437" max="8437" width="16.28515625" style="3" hidden="1"/>
    <col min="8438" max="8438" width="21" style="3" hidden="1"/>
    <col min="8439" max="8439" width="16" style="3" hidden="1"/>
    <col min="8440" max="8440" width="18.140625" style="3" hidden="1"/>
    <col min="8441" max="8633" width="9.140625" style="3" hidden="1"/>
    <col min="8634" max="8634" width="11" style="3" hidden="1"/>
    <col min="8635" max="8635" width="54.5703125" style="3" hidden="1"/>
    <col min="8636" max="8692" width="9.140625" style="3" hidden="1"/>
    <col min="8693" max="8693" width="16.28515625" style="3" hidden="1"/>
    <col min="8694" max="8694" width="21" style="3" hidden="1"/>
    <col min="8695" max="8695" width="16" style="3" hidden="1"/>
    <col min="8696" max="8696" width="18.140625" style="3" hidden="1"/>
    <col min="8697" max="8889" width="9.140625" style="3" hidden="1"/>
    <col min="8890" max="8890" width="11" style="3" hidden="1"/>
    <col min="8891" max="8891" width="54.5703125" style="3" hidden="1"/>
    <col min="8892" max="8948" width="9.140625" style="3" hidden="1"/>
    <col min="8949" max="8949" width="16.28515625" style="3" hidden="1"/>
    <col min="8950" max="8950" width="21" style="3" hidden="1"/>
    <col min="8951" max="8951" width="16" style="3" hidden="1"/>
    <col min="8952" max="8952" width="18.140625" style="3" hidden="1"/>
    <col min="8953" max="9145" width="9.140625" style="3" hidden="1"/>
    <col min="9146" max="9146" width="11" style="3" hidden="1"/>
    <col min="9147" max="9147" width="54.5703125" style="3" hidden="1"/>
    <col min="9148" max="9204" width="9.140625" style="3" hidden="1"/>
    <col min="9205" max="9205" width="16.28515625" style="3" hidden="1"/>
    <col min="9206" max="9206" width="21" style="3" hidden="1"/>
    <col min="9207" max="9207" width="16" style="3" hidden="1"/>
    <col min="9208" max="9208" width="18.140625" style="3" hidden="1"/>
    <col min="9209" max="9401" width="9.140625" style="3" hidden="1"/>
    <col min="9402" max="9402" width="11" style="3" hidden="1"/>
    <col min="9403" max="9403" width="54.5703125" style="3" hidden="1"/>
    <col min="9404" max="9460" width="9.140625" style="3" hidden="1"/>
    <col min="9461" max="9461" width="16.28515625" style="3" hidden="1"/>
    <col min="9462" max="9462" width="21" style="3" hidden="1"/>
    <col min="9463" max="9463" width="16" style="3" hidden="1"/>
    <col min="9464" max="9464" width="18.140625" style="3" hidden="1"/>
    <col min="9465" max="9657" width="9.140625" style="3" hidden="1"/>
    <col min="9658" max="9658" width="11" style="3" hidden="1"/>
    <col min="9659" max="9659" width="54.5703125" style="3" hidden="1"/>
    <col min="9660" max="9716" width="9.140625" style="3" hidden="1"/>
    <col min="9717" max="9717" width="16.28515625" style="3" hidden="1"/>
    <col min="9718" max="9718" width="21" style="3" hidden="1"/>
    <col min="9719" max="9719" width="16" style="3" hidden="1"/>
    <col min="9720" max="9720" width="18.140625" style="3" hidden="1"/>
    <col min="9721" max="9913" width="9.140625" style="3" hidden="1"/>
    <col min="9914" max="9914" width="11" style="3" hidden="1"/>
    <col min="9915" max="9915" width="54.5703125" style="3" hidden="1"/>
    <col min="9916" max="9972" width="9.140625" style="3" hidden="1"/>
    <col min="9973" max="9973" width="16.28515625" style="3" hidden="1"/>
    <col min="9974" max="9974" width="21" style="3" hidden="1"/>
    <col min="9975" max="9975" width="16" style="3" hidden="1"/>
    <col min="9976" max="9976" width="18.140625" style="3" hidden="1"/>
    <col min="9977" max="10169" width="9.140625" style="3" hidden="1"/>
    <col min="10170" max="10170" width="11" style="3" hidden="1"/>
    <col min="10171" max="10171" width="54.5703125" style="3" hidden="1"/>
    <col min="10172" max="10228" width="9.140625" style="3" hidden="1"/>
    <col min="10229" max="10229" width="16.28515625" style="3" hidden="1"/>
    <col min="10230" max="10230" width="21" style="3" hidden="1"/>
    <col min="10231" max="10231" width="16" style="3" hidden="1"/>
    <col min="10232" max="10232" width="18.140625" style="3" hidden="1"/>
    <col min="10233" max="10425" width="9.140625" style="3" hidden="1"/>
    <col min="10426" max="10426" width="11" style="3" hidden="1"/>
    <col min="10427" max="10427" width="54.5703125" style="3" hidden="1"/>
    <col min="10428" max="10484" width="9.140625" style="3" hidden="1"/>
    <col min="10485" max="10485" width="16.28515625" style="3" hidden="1"/>
    <col min="10486" max="10486" width="21" style="3" hidden="1"/>
    <col min="10487" max="10487" width="16" style="3" hidden="1"/>
    <col min="10488" max="10488" width="18.140625" style="3" hidden="1"/>
    <col min="10489" max="10681" width="9.140625" style="3" hidden="1"/>
    <col min="10682" max="10682" width="11" style="3" hidden="1"/>
    <col min="10683" max="10683" width="54.5703125" style="3" hidden="1"/>
    <col min="10684" max="10740" width="9.140625" style="3" hidden="1"/>
    <col min="10741" max="10741" width="16.28515625" style="3" hidden="1"/>
    <col min="10742" max="10742" width="21" style="3" hidden="1"/>
    <col min="10743" max="10743" width="16" style="3" hidden="1"/>
    <col min="10744" max="10744" width="18.140625" style="3" hidden="1"/>
    <col min="10745" max="10937" width="9.140625" style="3" hidden="1"/>
    <col min="10938" max="10938" width="11" style="3" hidden="1"/>
    <col min="10939" max="10939" width="54.5703125" style="3" hidden="1"/>
    <col min="10940" max="10996" width="9.140625" style="3" hidden="1"/>
    <col min="10997" max="10997" width="16.28515625" style="3" hidden="1"/>
    <col min="10998" max="10998" width="21" style="3" hidden="1"/>
    <col min="10999" max="10999" width="16" style="3" hidden="1"/>
    <col min="11000" max="11000" width="18.140625" style="3" hidden="1"/>
    <col min="11001" max="11193" width="9.140625" style="3" hidden="1"/>
    <col min="11194" max="11194" width="11" style="3" hidden="1"/>
    <col min="11195" max="11195" width="54.5703125" style="3" hidden="1"/>
    <col min="11196" max="11252" width="9.140625" style="3" hidden="1"/>
    <col min="11253" max="11253" width="16.28515625" style="3" hidden="1"/>
    <col min="11254" max="11254" width="21" style="3" hidden="1"/>
    <col min="11255" max="11255" width="16" style="3" hidden="1"/>
    <col min="11256" max="11256" width="18.140625" style="3" hidden="1"/>
    <col min="11257" max="11449" width="9.140625" style="3" hidden="1"/>
    <col min="11450" max="11450" width="11" style="3" hidden="1"/>
    <col min="11451" max="11451" width="54.5703125" style="3" hidden="1"/>
    <col min="11452" max="11508" width="9.140625" style="3" hidden="1"/>
    <col min="11509" max="11509" width="16.28515625" style="3" hidden="1"/>
    <col min="11510" max="11510" width="21" style="3" hidden="1"/>
    <col min="11511" max="11511" width="16" style="3" hidden="1"/>
    <col min="11512" max="11512" width="18.140625" style="3" hidden="1"/>
    <col min="11513" max="11705" width="9.140625" style="3" hidden="1"/>
    <col min="11706" max="11706" width="11" style="3" hidden="1"/>
    <col min="11707" max="11707" width="54.5703125" style="3" hidden="1"/>
    <col min="11708" max="11764" width="9.140625" style="3" hidden="1"/>
    <col min="11765" max="11765" width="16.28515625" style="3" hidden="1"/>
    <col min="11766" max="11766" width="21" style="3" hidden="1"/>
    <col min="11767" max="11767" width="16" style="3" hidden="1"/>
    <col min="11768" max="11768" width="18.140625" style="3" hidden="1"/>
    <col min="11769" max="11961" width="9.140625" style="3" hidden="1"/>
    <col min="11962" max="11962" width="11" style="3" hidden="1"/>
    <col min="11963" max="11963" width="54.5703125" style="3" hidden="1"/>
    <col min="11964" max="12020" width="9.140625" style="3" hidden="1"/>
    <col min="12021" max="12021" width="16.28515625" style="3" hidden="1"/>
    <col min="12022" max="12022" width="21" style="3" hidden="1"/>
    <col min="12023" max="12023" width="16" style="3" hidden="1"/>
    <col min="12024" max="12024" width="18.140625" style="3" hidden="1"/>
    <col min="12025" max="12217" width="9.140625" style="3" hidden="1"/>
    <col min="12218" max="12218" width="11" style="3" hidden="1"/>
    <col min="12219" max="12219" width="54.5703125" style="3" hidden="1"/>
    <col min="12220" max="12276" width="9.140625" style="3" hidden="1"/>
    <col min="12277" max="12277" width="16.28515625" style="3" hidden="1"/>
    <col min="12278" max="12278" width="21" style="3" hidden="1"/>
    <col min="12279" max="12279" width="16" style="3" hidden="1"/>
    <col min="12280" max="12280" width="18.140625" style="3" hidden="1"/>
    <col min="12281" max="12473" width="9.140625" style="3" hidden="1"/>
    <col min="12474" max="12474" width="11" style="3" hidden="1"/>
    <col min="12475" max="12475" width="54.5703125" style="3" hidden="1"/>
    <col min="12476" max="12532" width="9.140625" style="3" hidden="1"/>
    <col min="12533" max="12533" width="16.28515625" style="3" hidden="1"/>
    <col min="12534" max="12534" width="21" style="3" hidden="1"/>
    <col min="12535" max="12535" width="16" style="3" hidden="1"/>
    <col min="12536" max="12536" width="18.140625" style="3" hidden="1"/>
    <col min="12537" max="12729" width="9.140625" style="3" hidden="1"/>
    <col min="12730" max="12730" width="11" style="3" hidden="1"/>
    <col min="12731" max="12731" width="54.5703125" style="3" hidden="1"/>
    <col min="12732" max="12788" width="9.140625" style="3" hidden="1"/>
    <col min="12789" max="12789" width="16.28515625" style="3" hidden="1"/>
    <col min="12790" max="12790" width="21" style="3" hidden="1"/>
    <col min="12791" max="12791" width="16" style="3" hidden="1"/>
    <col min="12792" max="12792" width="18.140625" style="3" hidden="1"/>
    <col min="12793" max="12985" width="9.140625" style="3" hidden="1"/>
    <col min="12986" max="12986" width="11" style="3" hidden="1"/>
    <col min="12987" max="12987" width="54.5703125" style="3" hidden="1"/>
    <col min="12988" max="13044" width="9.140625" style="3" hidden="1"/>
    <col min="13045" max="13045" width="16.28515625" style="3" hidden="1"/>
    <col min="13046" max="13046" width="21" style="3" hidden="1"/>
    <col min="13047" max="13047" width="16" style="3" hidden="1"/>
    <col min="13048" max="13048" width="18.140625" style="3" hidden="1"/>
    <col min="13049" max="13241" width="9.140625" style="3" hidden="1"/>
    <col min="13242" max="13242" width="11" style="3" hidden="1"/>
    <col min="13243" max="13243" width="54.5703125" style="3" hidden="1"/>
    <col min="13244" max="13300" width="9.140625" style="3" hidden="1"/>
    <col min="13301" max="13301" width="16.28515625" style="3" hidden="1"/>
    <col min="13302" max="13302" width="21" style="3" hidden="1"/>
    <col min="13303" max="13303" width="16" style="3" hidden="1"/>
    <col min="13304" max="13304" width="18.140625" style="3" hidden="1"/>
    <col min="13305" max="13497" width="9.140625" style="3" hidden="1"/>
    <col min="13498" max="13498" width="11" style="3" hidden="1"/>
    <col min="13499" max="13499" width="54.5703125" style="3" hidden="1"/>
    <col min="13500" max="13556" width="9.140625" style="3" hidden="1"/>
    <col min="13557" max="13557" width="16.28515625" style="3" hidden="1"/>
    <col min="13558" max="13558" width="21" style="3" hidden="1"/>
    <col min="13559" max="13559" width="16" style="3" hidden="1"/>
    <col min="13560" max="13560" width="18.140625" style="3" hidden="1"/>
    <col min="13561" max="13753" width="9.140625" style="3" hidden="1"/>
    <col min="13754" max="13754" width="11" style="3" hidden="1"/>
    <col min="13755" max="13755" width="54.5703125" style="3" hidden="1"/>
    <col min="13756" max="13812" width="9.140625" style="3" hidden="1"/>
    <col min="13813" max="13813" width="16.28515625" style="3" hidden="1"/>
    <col min="13814" max="13814" width="21" style="3" hidden="1"/>
    <col min="13815" max="13815" width="16" style="3" hidden="1"/>
    <col min="13816" max="13816" width="18.140625" style="3" hidden="1"/>
    <col min="13817" max="14009" width="9.140625" style="3" hidden="1"/>
    <col min="14010" max="14010" width="11" style="3" hidden="1"/>
    <col min="14011" max="14011" width="54.5703125" style="3" hidden="1"/>
    <col min="14012" max="14068" width="9.140625" style="3" hidden="1"/>
    <col min="14069" max="14069" width="16.28515625" style="3" hidden="1"/>
    <col min="14070" max="14070" width="21" style="3" hidden="1"/>
    <col min="14071" max="14071" width="16" style="3" hidden="1"/>
    <col min="14072" max="14072" width="18.140625" style="3" hidden="1"/>
    <col min="14073" max="14265" width="9.140625" style="3" hidden="1"/>
    <col min="14266" max="14266" width="11" style="3" hidden="1"/>
    <col min="14267" max="14267" width="54.5703125" style="3" hidden="1"/>
    <col min="14268" max="14324" width="9.140625" style="3" hidden="1"/>
    <col min="14325" max="14325" width="16.28515625" style="3" hidden="1"/>
    <col min="14326" max="14326" width="21" style="3" hidden="1"/>
    <col min="14327" max="14327" width="16" style="3" hidden="1"/>
    <col min="14328" max="14328" width="18.140625" style="3" hidden="1"/>
    <col min="14329" max="14521" width="9.140625" style="3" hidden="1"/>
    <col min="14522" max="14522" width="11" style="3" hidden="1"/>
    <col min="14523" max="14523" width="54.5703125" style="3" hidden="1"/>
    <col min="14524" max="14580" width="9.140625" style="3" hidden="1"/>
    <col min="14581" max="14581" width="16.28515625" style="3" hidden="1"/>
    <col min="14582" max="14582" width="21" style="3" hidden="1"/>
    <col min="14583" max="14583" width="16" style="3" hidden="1"/>
    <col min="14584" max="14584" width="18.140625" style="3" hidden="1"/>
    <col min="14585" max="14777" width="9.140625" style="3" hidden="1"/>
    <col min="14778" max="14778" width="11" style="3" hidden="1"/>
    <col min="14779" max="14779" width="54.5703125" style="3" hidden="1"/>
    <col min="14780" max="14836" width="9.140625" style="3" hidden="1"/>
    <col min="14837" max="14837" width="16.28515625" style="3" hidden="1"/>
    <col min="14838" max="14838" width="21" style="3" hidden="1"/>
    <col min="14839" max="14839" width="16" style="3" hidden="1"/>
    <col min="14840" max="14840" width="18.140625" style="3" hidden="1"/>
    <col min="14841" max="15033" width="9.140625" style="3" hidden="1"/>
    <col min="15034" max="15034" width="11" style="3" hidden="1"/>
    <col min="15035" max="15035" width="54.5703125" style="3" hidden="1"/>
    <col min="15036" max="15092" width="9.140625" style="3" hidden="1"/>
    <col min="15093" max="15093" width="16.28515625" style="3" hidden="1"/>
    <col min="15094" max="15094" width="21" style="3" hidden="1"/>
    <col min="15095" max="15095" width="16" style="3" hidden="1"/>
    <col min="15096" max="15096" width="18.140625" style="3" hidden="1"/>
    <col min="15097" max="15289" width="9.140625" style="3" hidden="1"/>
    <col min="15290" max="15290" width="11" style="3" hidden="1"/>
    <col min="15291" max="15291" width="54.5703125" style="3" hidden="1"/>
    <col min="15292" max="15348" width="9.140625" style="3" hidden="1"/>
    <col min="15349" max="15349" width="16.28515625" style="3" hidden="1"/>
    <col min="15350" max="15350" width="21" style="3" hidden="1"/>
    <col min="15351" max="15351" width="16" style="3" hidden="1"/>
    <col min="15352" max="15352" width="18.140625" style="3" hidden="1"/>
    <col min="15353" max="15545" width="9.140625" style="3" hidden="1"/>
    <col min="15546" max="15546" width="11" style="3" hidden="1"/>
    <col min="15547" max="15547" width="54.5703125" style="3" hidden="1"/>
    <col min="15548" max="15604" width="9.140625" style="3" hidden="1"/>
    <col min="15605" max="15605" width="16.28515625" style="3" hidden="1"/>
    <col min="15606" max="15606" width="21" style="3" hidden="1"/>
    <col min="15607" max="15607" width="16" style="3" hidden="1"/>
    <col min="15608" max="15608" width="18.140625" style="3" hidden="1"/>
    <col min="15609" max="15801" width="9.140625" style="3" hidden="1"/>
    <col min="15802" max="15802" width="11" style="3" hidden="1"/>
    <col min="15803" max="15803" width="54.5703125" style="3" hidden="1"/>
    <col min="15804" max="15860" width="9.140625" style="3" hidden="1"/>
    <col min="15861" max="15861" width="16.28515625" style="3" hidden="1"/>
    <col min="15862" max="15862" width="21" style="3" hidden="1"/>
    <col min="15863" max="15863" width="16" style="3" hidden="1"/>
    <col min="15864" max="15864" width="18.140625" style="3" hidden="1"/>
    <col min="15865" max="16057" width="9.140625" style="3" hidden="1"/>
    <col min="16058" max="16058" width="11" style="3" hidden="1"/>
    <col min="16059" max="16059" width="54.5703125" style="3" hidden="1"/>
    <col min="16060" max="16116" width="9.140625" style="3" hidden="1"/>
    <col min="16117" max="16117" width="16.28515625" style="3" hidden="1"/>
    <col min="16118" max="16118" width="21" style="3" hidden="1"/>
    <col min="16119" max="16119" width="16" style="3" hidden="1"/>
    <col min="16120" max="16120" width="18.140625" style="3" hidden="1"/>
    <col min="16121" max="16384" width="9.140625" style="3" hidden="1"/>
  </cols>
  <sheetData>
    <row r="1" spans="1:6">
      <c r="B1" s="2" t="s">
        <v>1879</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Worksheet'!$D$95</f>
        <v>538427</v>
      </c>
      <c r="E3" s="11"/>
      <c r="F3" s="11"/>
    </row>
    <row r="4" spans="1:6">
      <c r="A4" s="8">
        <v>0</v>
      </c>
      <c r="B4" s="11" t="s">
        <v>4</v>
      </c>
      <c r="C4" s="10">
        <v>1.2999999999999999E-3</v>
      </c>
      <c r="D4" s="12">
        <f>ROUND(D$3*C4,0)</f>
        <v>700</v>
      </c>
      <c r="E4" s="13">
        <f>ROUND(D4/2,0)</f>
        <v>350</v>
      </c>
      <c r="F4" s="12">
        <f>D4-E4</f>
        <v>350</v>
      </c>
    </row>
    <row r="5" spans="1:6">
      <c r="A5" s="8">
        <v>1</v>
      </c>
      <c r="B5" s="11" t="s">
        <v>1880</v>
      </c>
      <c r="C5" s="10">
        <v>0.196682</v>
      </c>
      <c r="D5" s="9">
        <f>ROUND(D$3*C5,0)</f>
        <v>105899</v>
      </c>
      <c r="E5" s="11">
        <f>ROUND(D5/2,0)</f>
        <v>52950</v>
      </c>
      <c r="F5" s="9">
        <f>D5-E5</f>
        <v>52949</v>
      </c>
    </row>
    <row r="6" spans="1:6">
      <c r="A6" s="8"/>
      <c r="B6" s="11" t="s">
        <v>6</v>
      </c>
      <c r="C6" s="11"/>
      <c r="D6" s="14">
        <v>0.10637099999999999</v>
      </c>
      <c r="E6" s="11"/>
      <c r="F6" s="11"/>
    </row>
    <row r="7" spans="1:6">
      <c r="A7" s="8"/>
      <c r="B7" s="11" t="s">
        <v>7</v>
      </c>
      <c r="C7" s="11"/>
      <c r="D7" s="225">
        <f>ROUND(D5*D6,0)</f>
        <v>11265</v>
      </c>
      <c r="E7" s="226">
        <f>ROUND(D7/2,0)</f>
        <v>5633</v>
      </c>
      <c r="F7" s="225">
        <f>D7-E7</f>
        <v>5632</v>
      </c>
    </row>
    <row r="8" spans="1:6">
      <c r="A8" s="8"/>
      <c r="B8" s="11" t="s">
        <v>8</v>
      </c>
      <c r="C8" s="11"/>
      <c r="D8" s="12">
        <f>+D5-D7</f>
        <v>94634</v>
      </c>
      <c r="E8" s="13">
        <f>ROUND(D8/2,0)</f>
        <v>47317</v>
      </c>
      <c r="F8" s="12">
        <f>D8-E8</f>
        <v>47317</v>
      </c>
    </row>
    <row r="9" spans="1:6">
      <c r="A9" s="8">
        <v>2</v>
      </c>
      <c r="B9" s="11" t="s">
        <v>451</v>
      </c>
      <c r="C9" s="11"/>
      <c r="D9" s="9"/>
      <c r="E9" s="11"/>
      <c r="F9" s="11"/>
    </row>
    <row r="10" spans="1:6">
      <c r="A10" s="8"/>
      <c r="B10" s="11" t="s">
        <v>10</v>
      </c>
      <c r="C10" s="10">
        <v>2.2759999999999998E-3</v>
      </c>
      <c r="D10" s="12">
        <f>ROUND(D$3*C10,0)</f>
        <v>1225</v>
      </c>
      <c r="E10" s="13">
        <f>ROUND(D10/2,0)</f>
        <v>613</v>
      </c>
      <c r="F10" s="12">
        <f>D10-E10</f>
        <v>612</v>
      </c>
    </row>
    <row r="11" spans="1:6">
      <c r="A11" s="8"/>
      <c r="B11" s="11" t="s">
        <v>11</v>
      </c>
      <c r="C11" s="10">
        <v>1.9100000000000001E-4</v>
      </c>
      <c r="D11" s="12">
        <f>ROUND(D$3*C11,0)</f>
        <v>103</v>
      </c>
      <c r="E11" s="13">
        <f>ROUND(D11/2,0)</f>
        <v>52</v>
      </c>
      <c r="F11" s="12">
        <f>D11-E11</f>
        <v>51</v>
      </c>
    </row>
    <row r="12" spans="1:6">
      <c r="A12" s="8">
        <v>2</v>
      </c>
      <c r="B12" s="11" t="s">
        <v>429</v>
      </c>
      <c r="C12" s="11"/>
      <c r="D12" s="9"/>
      <c r="E12" s="11"/>
      <c r="F12" s="11"/>
    </row>
    <row r="13" spans="1:6">
      <c r="A13" s="8"/>
      <c r="B13" s="11" t="s">
        <v>10</v>
      </c>
      <c r="C13" s="10">
        <v>2.9619999999999998E-3</v>
      </c>
      <c r="D13" s="12">
        <f>ROUND(D$3*C13,0)</f>
        <v>1595</v>
      </c>
      <c r="E13" s="13">
        <f>ROUND(D13/2,0)</f>
        <v>798</v>
      </c>
      <c r="F13" s="12">
        <f>D13-E13</f>
        <v>797</v>
      </c>
    </row>
    <row r="14" spans="1:6">
      <c r="A14" s="8"/>
      <c r="B14" s="11" t="s">
        <v>11</v>
      </c>
      <c r="C14" s="10">
        <v>5.4199999999999995E-4</v>
      </c>
      <c r="D14" s="12">
        <f>ROUND(D$3*C14,0)</f>
        <v>292</v>
      </c>
      <c r="E14" s="13">
        <f>ROUND(D14/2,0)</f>
        <v>146</v>
      </c>
      <c r="F14" s="12">
        <f>D14-E14</f>
        <v>146</v>
      </c>
    </row>
    <row r="15" spans="1:6">
      <c r="A15" s="8">
        <v>2</v>
      </c>
      <c r="B15" s="11" t="s">
        <v>1881</v>
      </c>
      <c r="C15" s="11"/>
      <c r="D15" s="9"/>
      <c r="E15" s="11"/>
      <c r="F15" s="11"/>
    </row>
    <row r="16" spans="1:6">
      <c r="A16" s="8"/>
      <c r="B16" s="11" t="s">
        <v>10</v>
      </c>
      <c r="C16" s="10">
        <v>1.0319999999999999E-3</v>
      </c>
      <c r="D16" s="12">
        <f>ROUND(D$3*C16,0)</f>
        <v>556</v>
      </c>
      <c r="E16" s="13">
        <f>ROUND(D16/2,0)</f>
        <v>278</v>
      </c>
      <c r="F16" s="12">
        <f>D16-E16</f>
        <v>278</v>
      </c>
    </row>
    <row r="17" spans="1:6">
      <c r="A17" s="8"/>
      <c r="B17" s="11" t="s">
        <v>11</v>
      </c>
      <c r="C17" s="10">
        <v>3.7399999999999998E-4</v>
      </c>
      <c r="D17" s="12">
        <f>ROUND(D$3*C17,0)</f>
        <v>201</v>
      </c>
      <c r="E17" s="13">
        <f>ROUND(D17/2,0)</f>
        <v>101</v>
      </c>
      <c r="F17" s="12">
        <f>D17-E17</f>
        <v>100</v>
      </c>
    </row>
    <row r="18" spans="1:6">
      <c r="A18" s="8">
        <v>2</v>
      </c>
      <c r="B18" s="11" t="s">
        <v>14</v>
      </c>
      <c r="C18" s="11"/>
      <c r="D18" s="9"/>
      <c r="E18" s="11"/>
      <c r="F18" s="11"/>
    </row>
    <row r="19" spans="1:6">
      <c r="A19" s="8"/>
      <c r="B19" s="11" t="s">
        <v>10</v>
      </c>
      <c r="C19" s="10">
        <v>2.2390000000000001E-3</v>
      </c>
      <c r="D19" s="12">
        <f>ROUND(D$3*C19,0)</f>
        <v>1206</v>
      </c>
      <c r="E19" s="13">
        <f>ROUND(D19/2,0)</f>
        <v>603</v>
      </c>
      <c r="F19" s="12">
        <f>D19-E19</f>
        <v>603</v>
      </c>
    </row>
    <row r="20" spans="1:6">
      <c r="A20" s="8"/>
      <c r="B20" s="11" t="s">
        <v>11</v>
      </c>
      <c r="C20" s="10">
        <v>1.3029999999999999E-3</v>
      </c>
      <c r="D20" s="12">
        <f>ROUND(D$3*C20,0)</f>
        <v>702</v>
      </c>
      <c r="E20" s="13">
        <f>ROUND(D20/2,0)</f>
        <v>351</v>
      </c>
      <c r="F20" s="12">
        <f>D20-E20</f>
        <v>351</v>
      </c>
    </row>
    <row r="21" spans="1:6">
      <c r="A21" s="8">
        <v>2</v>
      </c>
      <c r="B21" s="11" t="s">
        <v>114</v>
      </c>
      <c r="C21" s="11"/>
      <c r="D21" s="9"/>
      <c r="E21" s="11"/>
      <c r="F21" s="11"/>
    </row>
    <row r="22" spans="1:6">
      <c r="A22" s="8"/>
      <c r="B22" s="11" t="s">
        <v>10</v>
      </c>
      <c r="C22" s="10">
        <v>1.444E-3</v>
      </c>
      <c r="D22" s="12">
        <f>ROUND(D$3*C22,0)</f>
        <v>777</v>
      </c>
      <c r="E22" s="13">
        <f>ROUND(D22/2,0)</f>
        <v>389</v>
      </c>
      <c r="F22" s="12">
        <f>D22-E22</f>
        <v>388</v>
      </c>
    </row>
    <row r="23" spans="1:6">
      <c r="A23" s="8"/>
      <c r="B23" s="11" t="s">
        <v>11</v>
      </c>
      <c r="C23" s="10">
        <v>2.23E-4</v>
      </c>
      <c r="D23" s="12">
        <f>ROUND(D$3*C23,0)</f>
        <v>120</v>
      </c>
      <c r="E23" s="13">
        <f>ROUND(D23/2,0)</f>
        <v>60</v>
      </c>
      <c r="F23" s="12">
        <f>D23-E23</f>
        <v>60</v>
      </c>
    </row>
    <row r="24" spans="1:6">
      <c r="A24" s="8">
        <v>2</v>
      </c>
      <c r="B24" s="11" t="s">
        <v>625</v>
      </c>
      <c r="C24" s="11"/>
      <c r="D24" s="9"/>
      <c r="E24" s="11"/>
      <c r="F24" s="11"/>
    </row>
    <row r="25" spans="1:6">
      <c r="A25" s="8"/>
      <c r="B25" s="11" t="s">
        <v>10</v>
      </c>
      <c r="C25" s="10">
        <v>1.5939999999999999E-3</v>
      </c>
      <c r="D25" s="12">
        <f>ROUND(D$3*C25,0)</f>
        <v>858</v>
      </c>
      <c r="E25" s="13">
        <f>ROUND(D25/2,0)</f>
        <v>429</v>
      </c>
      <c r="F25" s="12">
        <f>D25-E25</f>
        <v>429</v>
      </c>
    </row>
    <row r="26" spans="1:6">
      <c r="A26" s="8"/>
      <c r="B26" s="11" t="s">
        <v>11</v>
      </c>
      <c r="C26" s="10">
        <v>8.3799999999999999E-4</v>
      </c>
      <c r="D26" s="12">
        <f>ROUND(D$3*C26,0)</f>
        <v>451</v>
      </c>
      <c r="E26" s="13">
        <f>ROUND(D26/2,0)</f>
        <v>226</v>
      </c>
      <c r="F26" s="12">
        <f>D26-E26</f>
        <v>225</v>
      </c>
    </row>
    <row r="27" spans="1:6">
      <c r="A27" s="8">
        <v>2</v>
      </c>
      <c r="B27" s="11" t="s">
        <v>1882</v>
      </c>
      <c r="C27" s="11"/>
      <c r="D27" s="9"/>
      <c r="E27" s="11"/>
      <c r="F27" s="11"/>
    </row>
    <row r="28" spans="1:6">
      <c r="A28" s="8"/>
      <c r="B28" s="11" t="s">
        <v>10</v>
      </c>
      <c r="C28" s="10">
        <v>1.4339999999999999E-3</v>
      </c>
      <c r="D28" s="12">
        <f>ROUND(D$3*C28,0)</f>
        <v>772</v>
      </c>
      <c r="E28" s="13">
        <f>ROUND(D28/2,0)</f>
        <v>386</v>
      </c>
      <c r="F28" s="12">
        <f>D28-E28</f>
        <v>386</v>
      </c>
    </row>
    <row r="29" spans="1:6">
      <c r="A29" s="8"/>
      <c r="B29" s="11" t="s">
        <v>11</v>
      </c>
      <c r="C29" s="10">
        <v>2.4000000000000001E-4</v>
      </c>
      <c r="D29" s="12">
        <f>ROUND(D$3*C29,0)</f>
        <v>129</v>
      </c>
      <c r="E29" s="13">
        <f>ROUND(D29/2,0)</f>
        <v>65</v>
      </c>
      <c r="F29" s="12">
        <f>D29-E29</f>
        <v>64</v>
      </c>
    </row>
    <row r="30" spans="1:6">
      <c r="A30" s="8">
        <v>2</v>
      </c>
      <c r="B30" s="11" t="s">
        <v>20</v>
      </c>
      <c r="C30" s="11"/>
      <c r="D30" s="9"/>
      <c r="E30" s="11"/>
      <c r="F30" s="11"/>
    </row>
    <row r="31" spans="1:6">
      <c r="A31" s="8"/>
      <c r="B31" s="11" t="s">
        <v>10</v>
      </c>
      <c r="C31" s="10">
        <v>7.8300000000000002E-3</v>
      </c>
      <c r="D31" s="12">
        <f>ROUND(D$3*C31,0)</f>
        <v>4216</v>
      </c>
      <c r="E31" s="13">
        <f>ROUND(D31/2,0)</f>
        <v>2108</v>
      </c>
      <c r="F31" s="12">
        <f>D31-E31</f>
        <v>2108</v>
      </c>
    </row>
    <row r="32" spans="1:6">
      <c r="A32" s="8"/>
      <c r="B32" s="11" t="s">
        <v>11</v>
      </c>
      <c r="C32" s="10">
        <v>1.114E-3</v>
      </c>
      <c r="D32" s="12">
        <f>ROUND(D$3*C32,0)</f>
        <v>600</v>
      </c>
      <c r="E32" s="13">
        <f>ROUND(D32/2,0)</f>
        <v>300</v>
      </c>
      <c r="F32" s="12">
        <f>D32-E32</f>
        <v>300</v>
      </c>
    </row>
    <row r="33" spans="1:6">
      <c r="A33" s="8">
        <v>2</v>
      </c>
      <c r="B33" s="11" t="s">
        <v>22</v>
      </c>
      <c r="C33" s="11"/>
      <c r="D33" s="9"/>
      <c r="E33" s="11"/>
      <c r="F33" s="11"/>
    </row>
    <row r="34" spans="1:6">
      <c r="A34" s="8"/>
      <c r="B34" s="11" t="s">
        <v>10</v>
      </c>
      <c r="C34" s="10">
        <v>9.9700000000000006E-4</v>
      </c>
      <c r="D34" s="12">
        <f t="shared" ref="D34:D40" si="0">ROUND(D$3*C34,0)</f>
        <v>537</v>
      </c>
      <c r="E34" s="13">
        <f t="shared" ref="E34:E40" si="1">ROUND(D34/2,0)</f>
        <v>269</v>
      </c>
      <c r="F34" s="12">
        <f t="shared" ref="F34:F40" si="2">D34-E34</f>
        <v>268</v>
      </c>
    </row>
    <row r="35" spans="1:6">
      <c r="A35" s="8"/>
      <c r="B35" s="11" t="s">
        <v>11</v>
      </c>
      <c r="C35" s="10">
        <v>4.1800000000000002E-4</v>
      </c>
      <c r="D35" s="12">
        <f t="shared" si="0"/>
        <v>225</v>
      </c>
      <c r="E35" s="13">
        <f t="shared" si="1"/>
        <v>113</v>
      </c>
      <c r="F35" s="12">
        <f t="shared" si="2"/>
        <v>112</v>
      </c>
    </row>
    <row r="36" spans="1:6">
      <c r="A36" s="8">
        <v>3</v>
      </c>
      <c r="B36" s="11" t="s">
        <v>1883</v>
      </c>
      <c r="C36" s="10">
        <v>2.2360000000000001E-3</v>
      </c>
      <c r="D36" s="12">
        <f t="shared" si="0"/>
        <v>1204</v>
      </c>
      <c r="E36" s="13">
        <f t="shared" si="1"/>
        <v>602</v>
      </c>
      <c r="F36" s="12">
        <f t="shared" si="2"/>
        <v>602</v>
      </c>
    </row>
    <row r="37" spans="1:6">
      <c r="A37" s="8">
        <v>3</v>
      </c>
      <c r="B37" s="11" t="s">
        <v>1884</v>
      </c>
      <c r="C37" s="10">
        <v>2.9215000000000001E-2</v>
      </c>
      <c r="D37" s="12">
        <f t="shared" si="0"/>
        <v>15730</v>
      </c>
      <c r="E37" s="13">
        <f t="shared" si="1"/>
        <v>7865</v>
      </c>
      <c r="F37" s="12">
        <f t="shared" si="2"/>
        <v>7865</v>
      </c>
    </row>
    <row r="38" spans="1:6">
      <c r="A38" s="8">
        <v>3</v>
      </c>
      <c r="B38" s="11" t="s">
        <v>1885</v>
      </c>
      <c r="C38" s="10">
        <v>0</v>
      </c>
      <c r="D38" s="12">
        <f t="shared" si="0"/>
        <v>0</v>
      </c>
      <c r="E38" s="13">
        <f t="shared" si="1"/>
        <v>0</v>
      </c>
      <c r="F38" s="12">
        <f t="shared" si="2"/>
        <v>0</v>
      </c>
    </row>
    <row r="39" spans="1:6">
      <c r="A39" s="8">
        <v>3</v>
      </c>
      <c r="B39" s="11" t="s">
        <v>1886</v>
      </c>
      <c r="C39" s="10">
        <v>7.7029999999999998E-3</v>
      </c>
      <c r="D39" s="12">
        <f t="shared" si="0"/>
        <v>4148</v>
      </c>
      <c r="E39" s="13">
        <f t="shared" si="1"/>
        <v>2074</v>
      </c>
      <c r="F39" s="12">
        <f t="shared" si="2"/>
        <v>2074</v>
      </c>
    </row>
    <row r="40" spans="1:6">
      <c r="A40" s="8">
        <v>4</v>
      </c>
      <c r="B40" s="11" t="s">
        <v>1325</v>
      </c>
      <c r="C40" s="10">
        <v>4.3331000000000001E-2</v>
      </c>
      <c r="D40" s="9">
        <f t="shared" si="0"/>
        <v>23331</v>
      </c>
      <c r="E40" s="11">
        <f t="shared" si="1"/>
        <v>11666</v>
      </c>
      <c r="F40" s="9">
        <f t="shared" si="2"/>
        <v>11665</v>
      </c>
    </row>
    <row r="41" spans="1:6">
      <c r="A41" s="8"/>
      <c r="B41" s="11" t="s">
        <v>28</v>
      </c>
      <c r="C41" s="11"/>
      <c r="D41" s="14">
        <v>0.47218100000000002</v>
      </c>
      <c r="E41" s="11"/>
      <c r="F41" s="11"/>
    </row>
    <row r="42" spans="1:6" ht="12.75" customHeight="1">
      <c r="A42" s="8"/>
      <c r="B42" s="11" t="s">
        <v>29</v>
      </c>
      <c r="C42" s="11"/>
      <c r="D42" s="225">
        <f>ROUND(D40*D41,0)</f>
        <v>11016</v>
      </c>
      <c r="E42" s="226">
        <f>ROUND(D42/2,0)</f>
        <v>5508</v>
      </c>
      <c r="F42" s="225">
        <f>D42-E42</f>
        <v>5508</v>
      </c>
    </row>
    <row r="43" spans="1:6">
      <c r="A43" s="8"/>
      <c r="B43" s="11" t="s">
        <v>30</v>
      </c>
      <c r="C43" s="11"/>
      <c r="D43" s="12">
        <f>+D40-D42</f>
        <v>12315</v>
      </c>
      <c r="E43" s="13">
        <f>ROUND(D43/2,0)</f>
        <v>6158</v>
      </c>
      <c r="F43" s="12">
        <f>D43-E43</f>
        <v>6157</v>
      </c>
    </row>
    <row r="44" spans="1:6">
      <c r="A44" s="8">
        <v>4</v>
      </c>
      <c r="B44" s="11" t="s">
        <v>972</v>
      </c>
      <c r="C44" s="10">
        <v>6.8290000000000003E-2</v>
      </c>
      <c r="D44" s="9">
        <f>ROUND(D$3*C44,0)</f>
        <v>36769</v>
      </c>
      <c r="E44" s="11">
        <f>ROUND(D44/2,0)</f>
        <v>18385</v>
      </c>
      <c r="F44" s="9">
        <f>D44-E44</f>
        <v>18384</v>
      </c>
    </row>
    <row r="45" spans="1:6">
      <c r="A45" s="8"/>
      <c r="B45" s="11" t="s">
        <v>28</v>
      </c>
      <c r="C45" s="11"/>
      <c r="D45" s="14">
        <v>0.39480199999999999</v>
      </c>
      <c r="E45" s="11"/>
      <c r="F45" s="11"/>
    </row>
    <row r="46" spans="1:6">
      <c r="A46" s="8"/>
      <c r="B46" s="11" t="s">
        <v>29</v>
      </c>
      <c r="C46" s="11"/>
      <c r="D46" s="225">
        <f>ROUND(D44*D45,0)</f>
        <v>14516</v>
      </c>
      <c r="E46" s="226">
        <f>ROUND(D46/2,0)</f>
        <v>7258</v>
      </c>
      <c r="F46" s="225">
        <f>D46-E46</f>
        <v>7258</v>
      </c>
    </row>
    <row r="47" spans="1:6">
      <c r="A47" s="8"/>
      <c r="B47" s="11" t="s">
        <v>30</v>
      </c>
      <c r="C47" s="11"/>
      <c r="D47" s="12">
        <f>+D44-D46</f>
        <v>22253</v>
      </c>
      <c r="E47" s="13">
        <f>ROUND(D47/2,0)</f>
        <v>11127</v>
      </c>
      <c r="F47" s="12">
        <f>D47-E47</f>
        <v>11126</v>
      </c>
    </row>
    <row r="48" spans="1:6">
      <c r="A48" s="8">
        <v>4</v>
      </c>
      <c r="B48" s="11" t="s">
        <v>1887</v>
      </c>
      <c r="C48" s="10">
        <v>0.60919400000000001</v>
      </c>
      <c r="D48" s="9">
        <f>ROUND(D$3*C48,0)</f>
        <v>328006</v>
      </c>
      <c r="E48" s="11">
        <f>ROUND(D48/2,0)</f>
        <v>164003</v>
      </c>
      <c r="F48" s="9">
        <f>D48-E48</f>
        <v>164003</v>
      </c>
    </row>
    <row r="49" spans="1:8">
      <c r="A49" s="8"/>
      <c r="B49" s="11" t="s">
        <v>28</v>
      </c>
      <c r="C49" s="11"/>
      <c r="D49" s="14">
        <v>0.48405900000000002</v>
      </c>
      <c r="E49" s="11"/>
      <c r="F49" s="11"/>
    </row>
    <row r="50" spans="1:8">
      <c r="A50" s="8"/>
      <c r="B50" s="11" t="s">
        <v>29</v>
      </c>
      <c r="C50" s="11"/>
      <c r="D50" s="225">
        <f>ROUND(D48*D49,0)</f>
        <v>158774</v>
      </c>
      <c r="E50" s="226">
        <f t="shared" ref="E50:E55" si="3">ROUND(D50/2,0)</f>
        <v>79387</v>
      </c>
      <c r="F50" s="225">
        <f t="shared" ref="F50:F55" si="4">D50-E50</f>
        <v>79387</v>
      </c>
    </row>
    <row r="51" spans="1:8">
      <c r="A51" s="8"/>
      <c r="B51" s="11" t="s">
        <v>30</v>
      </c>
      <c r="C51" s="11"/>
      <c r="D51" s="12">
        <f>+D48-D50</f>
        <v>169232</v>
      </c>
      <c r="E51" s="13">
        <f t="shared" si="3"/>
        <v>84616</v>
      </c>
      <c r="F51" s="12">
        <f t="shared" si="4"/>
        <v>84616</v>
      </c>
    </row>
    <row r="52" spans="1:8">
      <c r="A52" s="8">
        <v>5</v>
      </c>
      <c r="B52" s="11" t="s">
        <v>1888</v>
      </c>
      <c r="C52" s="10">
        <v>1.1919999999999999E-3</v>
      </c>
      <c r="D52" s="12">
        <f>ROUND(D$3*C52,0)</f>
        <v>642</v>
      </c>
      <c r="E52" s="13">
        <f t="shared" si="3"/>
        <v>321</v>
      </c>
      <c r="F52" s="12">
        <f t="shared" si="4"/>
        <v>321</v>
      </c>
    </row>
    <row r="53" spans="1:8">
      <c r="A53" s="8">
        <v>5</v>
      </c>
      <c r="B53" s="11" t="s">
        <v>1889</v>
      </c>
      <c r="C53" s="10">
        <v>1.167E-2</v>
      </c>
      <c r="D53" s="12">
        <f>ROUND(D$3*C53,0)</f>
        <v>6283</v>
      </c>
      <c r="E53" s="13">
        <f t="shared" si="3"/>
        <v>3142</v>
      </c>
      <c r="F53" s="12">
        <f t="shared" si="4"/>
        <v>3141</v>
      </c>
    </row>
    <row r="54" spans="1:8">
      <c r="A54" s="8">
        <v>5</v>
      </c>
      <c r="B54" s="11" t="s">
        <v>1890</v>
      </c>
      <c r="C54" s="10">
        <v>2.1359999999999999E-3</v>
      </c>
      <c r="D54" s="12">
        <f>+D3-SUM(D4:D5)-SUM(D10:D40)-D44-D48-SUM(D52:D53)</f>
        <v>1150</v>
      </c>
      <c r="E54" s="13">
        <f t="shared" si="3"/>
        <v>575</v>
      </c>
      <c r="F54" s="12">
        <f t="shared" si="4"/>
        <v>575</v>
      </c>
    </row>
    <row r="55" spans="1:8">
      <c r="A55" s="8">
        <v>6</v>
      </c>
      <c r="B55" s="11" t="s">
        <v>1891</v>
      </c>
      <c r="C55" s="10">
        <v>0</v>
      </c>
      <c r="D55" s="12">
        <f>ROUND(D$3*C55,0)</f>
        <v>0</v>
      </c>
      <c r="E55" s="13">
        <f t="shared" si="3"/>
        <v>0</v>
      </c>
      <c r="F55" s="12">
        <f t="shared" si="4"/>
        <v>0</v>
      </c>
    </row>
    <row r="56" spans="1:8">
      <c r="A56" s="8"/>
      <c r="B56" s="28" t="s">
        <v>288</v>
      </c>
      <c r="C56" s="10">
        <v>1</v>
      </c>
      <c r="D56" s="12">
        <f>+D4+SUM(D7:D39)+SUM(D42:D43)+SUM(D46:D47)+SUM(D50:D55)</f>
        <v>538427</v>
      </c>
      <c r="E56" s="12">
        <f>+E4+SUM(E7:E39)+SUM(E42:E43)+SUM(E46:E47)+SUM(E50:E55)</f>
        <v>269220</v>
      </c>
      <c r="F56" s="12">
        <f>+F4+SUM(F7:F39)+SUM(F42:F43)+SUM(F46:F47)+SUM(F50:F55)</f>
        <v>269207</v>
      </c>
    </row>
    <row r="57" spans="1:8">
      <c r="B57" s="18" t="s">
        <v>38</v>
      </c>
      <c r="D57" s="19">
        <f>+D4</f>
        <v>700</v>
      </c>
      <c r="E57" s="19">
        <f>+E4</f>
        <v>350</v>
      </c>
      <c r="F57" s="19">
        <f>+F4</f>
        <v>350</v>
      </c>
    </row>
    <row r="58" spans="1:8">
      <c r="B58" s="2" t="s">
        <v>39</v>
      </c>
      <c r="D58" s="19">
        <f>+D7</f>
        <v>11265</v>
      </c>
      <c r="E58" s="19">
        <f>+E7</f>
        <v>5633</v>
      </c>
      <c r="F58" s="19">
        <f>+F7</f>
        <v>5632</v>
      </c>
    </row>
    <row r="59" spans="1:8">
      <c r="B59" s="2" t="s">
        <v>40</v>
      </c>
      <c r="D59" s="19">
        <f>+D42+D46+D50</f>
        <v>184306</v>
      </c>
      <c r="E59" s="19">
        <f>+E42+E46+E50</f>
        <v>92153</v>
      </c>
      <c r="F59" s="19">
        <f>+F42+F46+F50</f>
        <v>92153</v>
      </c>
      <c r="H59" s="3">
        <v>1</v>
      </c>
    </row>
    <row r="60" spans="1:8">
      <c r="B60" s="18" t="s">
        <v>41</v>
      </c>
      <c r="D60" s="19">
        <f>+D56-D57-D58-D59</f>
        <v>342156</v>
      </c>
      <c r="E60" s="19">
        <f>+E56-E57-E58-E59</f>
        <v>171084</v>
      </c>
      <c r="F60" s="19">
        <f>+F56-F57-F58-F59</f>
        <v>171072</v>
      </c>
      <c r="H60" s="3">
        <v>2</v>
      </c>
    </row>
    <row r="61" spans="1:8" hidden="1"/>
    <row r="62" spans="1:8" hidden="1">
      <c r="B62" s="3" t="s">
        <v>42</v>
      </c>
      <c r="C62" s="4">
        <v>0</v>
      </c>
      <c r="D62" s="3">
        <f>+D54-ROUND(D3*C54,0)</f>
        <v>0</v>
      </c>
    </row>
    <row r="63" spans="1:8" hidden="1"/>
    <row r="64" spans="1:8" hidden="1"/>
    <row r="65" spans="1:1" hidden="1"/>
    <row r="66" spans="1:1" hidden="1"/>
    <row r="67" spans="1:1" hidden="1"/>
    <row r="68" spans="1:1" hidden="1"/>
    <row r="69" spans="1:1" hidden="1"/>
    <row r="70" spans="1:1" hidden="1"/>
    <row r="71" spans="1:1" hidden="1">
      <c r="A71" s="1" t="s">
        <v>590</v>
      </c>
    </row>
  </sheetData>
  <pageMargins left="0.7" right="0.7" top="0.75" bottom="0.75" header="0.3" footer="0.3"/>
  <pageSetup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05"/>
  <sheetViews>
    <sheetView topLeftCell="A46" zoomScale="55" zoomScaleNormal="55" workbookViewId="0">
      <selection activeCell="O42" sqref="O42"/>
    </sheetView>
  </sheetViews>
  <sheetFormatPr defaultColWidth="0" defaultRowHeight="15" zeroHeight="1"/>
  <cols>
    <col min="1" max="1" width="3" bestFit="1" customWidth="1"/>
    <col min="2" max="2" width="29" bestFit="1" customWidth="1"/>
    <col min="3" max="3" width="22.42578125" bestFit="1" customWidth="1"/>
    <col min="4" max="4" width="23.5703125" bestFit="1" customWidth="1"/>
    <col min="5" max="5" width="22.28515625" bestFit="1" customWidth="1"/>
    <col min="6" max="6" width="20.7109375" bestFit="1" customWidth="1"/>
    <col min="7" max="7" width="22.28515625" bestFit="1" customWidth="1"/>
    <col min="8" max="8" width="3.28515625" customWidth="1"/>
    <col min="9" max="9" width="22.42578125" customWidth="1"/>
    <col min="10" max="10" width="23.5703125" bestFit="1" customWidth="1"/>
    <col min="11" max="11" width="22.28515625" bestFit="1" customWidth="1"/>
    <col min="12" max="12" width="20.7109375" bestFit="1" customWidth="1"/>
    <col min="13" max="13" width="20.140625" bestFit="1" customWidth="1"/>
    <col min="14" max="14" width="4.42578125" customWidth="1"/>
    <col min="15" max="15" width="16.28515625" bestFit="1" customWidth="1"/>
    <col min="16" max="16" width="22.28515625" bestFit="1" customWidth="1"/>
    <col min="17" max="17" width="15" bestFit="1" customWidth="1"/>
    <col min="18" max="18" width="4" customWidth="1"/>
    <col min="19" max="19" width="9.140625" customWidth="1"/>
    <col min="20" max="16384" width="9.140625" hidden="1"/>
  </cols>
  <sheetData>
    <row r="1" spans="1:18" s="179" customFormat="1" ht="15.75" thickBot="1">
      <c r="C1" s="265" t="s">
        <v>6418</v>
      </c>
      <c r="D1" s="265"/>
      <c r="E1" s="265"/>
      <c r="F1" s="265"/>
      <c r="G1" s="265"/>
      <c r="H1" s="265"/>
      <c r="I1" s="265"/>
      <c r="J1" s="265"/>
      <c r="K1" s="265"/>
      <c r="L1" s="265"/>
      <c r="M1" s="265"/>
    </row>
    <row r="2" spans="1:18" s="179" customFormat="1" ht="15.75" thickBot="1">
      <c r="C2" s="264" t="s">
        <v>6416</v>
      </c>
      <c r="D2" s="264"/>
      <c r="E2" s="264"/>
      <c r="F2" s="264"/>
      <c r="G2" s="264"/>
      <c r="H2" s="180"/>
      <c r="I2" s="264" t="s">
        <v>6417</v>
      </c>
      <c r="J2" s="264"/>
      <c r="K2" s="264"/>
      <c r="L2" s="264"/>
      <c r="M2" s="264"/>
      <c r="N2" s="180"/>
      <c r="O2" s="261" t="s">
        <v>2071</v>
      </c>
      <c r="P2" s="262"/>
      <c r="Q2" s="263"/>
      <c r="R2" s="180"/>
    </row>
    <row r="3" spans="1:18" s="222" customFormat="1" ht="45">
      <c r="B3" s="181" t="s">
        <v>2072</v>
      </c>
      <c r="C3" s="181" t="s">
        <v>2073</v>
      </c>
      <c r="D3" s="181" t="s">
        <v>7</v>
      </c>
      <c r="E3" s="181" t="s">
        <v>29</v>
      </c>
      <c r="F3" s="181" t="s">
        <v>2074</v>
      </c>
      <c r="G3" s="223" t="s">
        <v>6420</v>
      </c>
      <c r="H3" s="181"/>
      <c r="I3" s="181" t="s">
        <v>2073</v>
      </c>
      <c r="J3" s="181" t="s">
        <v>7</v>
      </c>
      <c r="K3" s="181" t="s">
        <v>29</v>
      </c>
      <c r="L3" s="181" t="s">
        <v>2074</v>
      </c>
      <c r="M3" s="223" t="s">
        <v>6421</v>
      </c>
      <c r="N3" s="181"/>
      <c r="O3" s="224" t="s">
        <v>6419</v>
      </c>
      <c r="P3" s="183" t="s">
        <v>2075</v>
      </c>
      <c r="Q3" s="184" t="s">
        <v>2076</v>
      </c>
      <c r="R3" s="181"/>
    </row>
    <row r="4" spans="1:18">
      <c r="A4" t="s">
        <v>2095</v>
      </c>
      <c r="B4" t="s">
        <v>5</v>
      </c>
      <c r="C4" s="101">
        <f>'1'!E$4</f>
        <v>181</v>
      </c>
      <c r="D4" s="101">
        <f>'1'!E7</f>
        <v>5343</v>
      </c>
      <c r="E4" s="101">
        <f>SUMIFS('1'!E$3:E$10000,'1'!$H$3:$H$10000,1)</f>
        <v>37728</v>
      </c>
      <c r="F4" s="101">
        <f>SUMIFS('1'!E$3:E$10000,'1'!$H$3:$H$10000,2)</f>
        <v>100621</v>
      </c>
      <c r="G4" s="101">
        <f t="shared" ref="G4:G67" si="0">SUM(C4:F4)</f>
        <v>143873</v>
      </c>
      <c r="H4" s="101"/>
      <c r="I4" s="101">
        <f>SUMIFS('Step 2'!W:W,'Step 2'!A:A,'Step 3 - Distributions'!A4,'Step 2'!B:B,"0")-C4</f>
        <v>180</v>
      </c>
      <c r="J4" s="101">
        <f>SUMIFS('Step 2'!O:O,'Step 2'!A:A,'Step 3 - Distributions'!A4)-D4</f>
        <v>5342</v>
      </c>
      <c r="K4" s="101">
        <f>SUMIFS('Step 2'!S:S,'Step 2'!A:A,'Step 3 - Distributions'!A4)-E4</f>
        <v>37725</v>
      </c>
      <c r="L4" s="101">
        <f>SUMIFS('Step 2'!Y:Y,'Step 2'!A:A,'Step 3 - Distributions'!A4)-SUMIFS('Step 2'!Y:Y,'Step 2'!A:A,'Step 3 - Distributions'!A4,'Step 2'!B:B,"0")-F4</f>
        <v>100603</v>
      </c>
      <c r="M4" s="101">
        <f t="shared" ref="M4" si="1">SUM(I4:L4)</f>
        <v>143850</v>
      </c>
      <c r="N4" s="101"/>
      <c r="O4" s="102">
        <f t="shared" ref="O4:O67" si="2">G4+M4</f>
        <v>287723</v>
      </c>
      <c r="P4" s="101">
        <f>'Allocation Worksheet'!D4</f>
        <v>287723</v>
      </c>
      <c r="Q4" s="103">
        <f t="shared" ref="Q4:Q67" si="3">O4-P4</f>
        <v>0</v>
      </c>
      <c r="R4" s="101"/>
    </row>
    <row r="5" spans="1:18">
      <c r="A5" t="s">
        <v>2089</v>
      </c>
      <c r="B5" t="s">
        <v>44</v>
      </c>
      <c r="C5" s="101">
        <f>'2'!E$4</f>
        <v>1927</v>
      </c>
      <c r="D5" s="101">
        <f>'2'!E7</f>
        <v>97129</v>
      </c>
      <c r="E5" s="101">
        <f>SUMIFS('2'!E$3:E$10000,'2'!$H$3:$H$10000,1)</f>
        <v>441257</v>
      </c>
      <c r="F5" s="101">
        <f>SUMIFS('2'!E$3:E$10000,'2'!$H$3:$H$10000,2)</f>
        <v>1314553</v>
      </c>
      <c r="G5" s="101">
        <f t="shared" si="0"/>
        <v>1854866</v>
      </c>
      <c r="H5" s="101"/>
      <c r="I5" s="101">
        <f>SUMIFS('Step 2'!W:W,'Step 2'!A:A,'Step 3 - Distributions'!A5,'Step 2'!B:B,"0")-C5</f>
        <v>1927</v>
      </c>
      <c r="J5" s="101">
        <f>SUMIFS('Step 2'!O:O,'Step 2'!A:A,'Step 3 - Distributions'!A5)-D5</f>
        <v>97129</v>
      </c>
      <c r="K5" s="101">
        <f>SUMIFS('Step 2'!S:S,'Step 2'!A:A,'Step 3 - Distributions'!A5)-E5</f>
        <v>441255</v>
      </c>
      <c r="L5" s="101">
        <f>SUMIFS('Step 2'!Y:Y,'Step 2'!A:A,'Step 3 - Distributions'!A5)-SUMIFS('Step 2'!Y:Y,'Step 2'!A:A,'Step 3 - Distributions'!A5,'Step 2'!B:B,"0")-F5</f>
        <v>1314532</v>
      </c>
      <c r="M5" s="101">
        <f t="shared" ref="M5:M68" si="4">SUM(I5:L5)</f>
        <v>1854843</v>
      </c>
      <c r="N5" s="101"/>
      <c r="O5" s="102">
        <f t="shared" si="2"/>
        <v>3709709</v>
      </c>
      <c r="P5" s="101">
        <f>'Allocation Worksheet'!D5</f>
        <v>3709709</v>
      </c>
      <c r="Q5" s="103">
        <f t="shared" si="3"/>
        <v>0</v>
      </c>
      <c r="R5" s="101"/>
    </row>
    <row r="6" spans="1:18">
      <c r="A6" t="s">
        <v>2090</v>
      </c>
      <c r="B6" t="s">
        <v>80</v>
      </c>
      <c r="C6" s="101">
        <f>'3'!E$4</f>
        <v>438</v>
      </c>
      <c r="D6" s="101">
        <f>'3'!E7</f>
        <v>39557</v>
      </c>
      <c r="E6" s="101">
        <f>SUMIFS('3'!E$3:E$10000,'3'!$H$3:$H$10000,1)</f>
        <v>95491</v>
      </c>
      <c r="F6" s="101">
        <f>SUMIFS('3'!E$3:E$10000,'3'!$H$3:$H$10000,2)</f>
        <v>197238</v>
      </c>
      <c r="G6" s="101">
        <f t="shared" si="0"/>
        <v>332724</v>
      </c>
      <c r="H6" s="101"/>
      <c r="I6" s="101">
        <f>SUMIFS('Step 2'!W:W,'Step 2'!A:A,'Step 3 - Distributions'!A6,'Step 2'!B:B,"0")-C6</f>
        <v>438</v>
      </c>
      <c r="J6" s="101">
        <f>SUMIFS('Step 2'!O:O,'Step 2'!A:A,'Step 3 - Distributions'!A6)-D6</f>
        <v>39556</v>
      </c>
      <c r="K6" s="101">
        <f>SUMIFS('Step 2'!S:S,'Step 2'!A:A,'Step 3 - Distributions'!A6)-E6</f>
        <v>95489</v>
      </c>
      <c r="L6" s="101">
        <f>SUMIFS('Step 2'!Y:Y,'Step 2'!A:A,'Step 3 - Distributions'!A6)-SUMIFS('Step 2'!Y:Y,'Step 2'!A:A,'Step 3 - Distributions'!A6,'Step 2'!B:B,"0")-F6</f>
        <v>197218</v>
      </c>
      <c r="M6" s="101">
        <f t="shared" si="4"/>
        <v>332701</v>
      </c>
      <c r="N6" s="101"/>
      <c r="O6" s="102">
        <f t="shared" si="2"/>
        <v>665425</v>
      </c>
      <c r="P6" s="101">
        <f>'Allocation Worksheet'!D6</f>
        <v>665425</v>
      </c>
      <c r="Q6" s="103">
        <f t="shared" si="3"/>
        <v>0</v>
      </c>
      <c r="R6" s="101"/>
    </row>
    <row r="7" spans="1:18">
      <c r="A7" t="s">
        <v>2091</v>
      </c>
      <c r="B7" t="s">
        <v>105</v>
      </c>
      <c r="C7" s="101">
        <f>'4'!E$4</f>
        <v>114</v>
      </c>
      <c r="D7" s="101">
        <f>'4'!E7</f>
        <v>3129</v>
      </c>
      <c r="E7" s="101">
        <f>SUMIFS('4'!E$3:E$10000,'4'!$H$3:$H$10000,1)</f>
        <v>29240</v>
      </c>
      <c r="F7" s="101">
        <f>SUMIFS('4'!E$3:E$10000,'4'!$H$3:$H$10000,2)</f>
        <v>63294</v>
      </c>
      <c r="G7" s="101">
        <f t="shared" si="0"/>
        <v>95777</v>
      </c>
      <c r="H7" s="101"/>
      <c r="I7" s="101">
        <f>SUMIFS('Step 2'!W:W,'Step 2'!A:A,'Step 3 - Distributions'!A7,'Step 2'!B:B,"0")-C7</f>
        <v>114</v>
      </c>
      <c r="J7" s="101">
        <f>SUMIFS('Step 2'!O:O,'Step 2'!A:A,'Step 3 - Distributions'!A7)-D7</f>
        <v>3129</v>
      </c>
      <c r="K7" s="101">
        <f>SUMIFS('Step 2'!S:S,'Step 2'!A:A,'Step 3 - Distributions'!A7)-E7</f>
        <v>29239</v>
      </c>
      <c r="L7" s="101">
        <f>SUMIFS('Step 2'!Y:Y,'Step 2'!A:A,'Step 3 - Distributions'!A7)-SUMIFS('Step 2'!Y:Y,'Step 2'!A:A,'Step 3 - Distributions'!A7,'Step 2'!B:B,"0")-F7</f>
        <v>63273</v>
      </c>
      <c r="M7" s="101">
        <f t="shared" si="4"/>
        <v>95755</v>
      </c>
      <c r="N7" s="101"/>
      <c r="O7" s="102">
        <f t="shared" si="2"/>
        <v>191532</v>
      </c>
      <c r="P7" s="101">
        <f>'Allocation Worksheet'!D7</f>
        <v>191532</v>
      </c>
      <c r="Q7" s="103">
        <f t="shared" si="3"/>
        <v>0</v>
      </c>
      <c r="R7" s="101"/>
    </row>
    <row r="8" spans="1:18">
      <c r="A8" t="s">
        <v>2092</v>
      </c>
      <c r="B8" t="s">
        <v>133</v>
      </c>
      <c r="C8" s="101">
        <f>'5'!E$4</f>
        <v>51</v>
      </c>
      <c r="D8" s="101">
        <f>'5'!E7</f>
        <v>1953</v>
      </c>
      <c r="E8" s="101">
        <f>SUMIFS('5'!E$3:E$10000,'5'!$H$3:$H$10000,1)</f>
        <v>13663</v>
      </c>
      <c r="F8" s="101">
        <f>SUMIFS('5'!E$3:E$10000,'5'!$H$3:$H$10000,2)</f>
        <v>41996</v>
      </c>
      <c r="G8" s="101">
        <f t="shared" si="0"/>
        <v>57663</v>
      </c>
      <c r="H8" s="101"/>
      <c r="I8" s="101">
        <f>SUMIFS('Step 2'!W:W,'Step 2'!A:A,'Step 3 - Distributions'!A8,'Step 2'!B:B,"0")-C8</f>
        <v>52</v>
      </c>
      <c r="J8" s="101">
        <f>SUMIFS('Step 2'!O:O,'Step 2'!A:A,'Step 3 - Distributions'!A8)-D8</f>
        <v>1952</v>
      </c>
      <c r="K8" s="101">
        <f>SUMIFS('Step 2'!S:S,'Step 2'!A:A,'Step 3 - Distributions'!A8)-E8</f>
        <v>13662</v>
      </c>
      <c r="L8" s="101">
        <f>SUMIFS('Step 2'!Y:Y,'Step 2'!A:A,'Step 3 - Distributions'!A8)-SUMIFS('Step 2'!Y:Y,'Step 2'!A:A,'Step 3 - Distributions'!A8,'Step 2'!B:B,"0")-F8</f>
        <v>41984</v>
      </c>
      <c r="M8" s="101">
        <f t="shared" si="4"/>
        <v>57650</v>
      </c>
      <c r="N8" s="101"/>
      <c r="O8" s="102">
        <f t="shared" si="2"/>
        <v>115313</v>
      </c>
      <c r="P8" s="101">
        <f>'Allocation Worksheet'!D8</f>
        <v>115313</v>
      </c>
      <c r="Q8" s="103">
        <f t="shared" si="3"/>
        <v>0</v>
      </c>
      <c r="R8" s="101"/>
    </row>
    <row r="9" spans="1:18">
      <c r="A9" t="s">
        <v>2093</v>
      </c>
      <c r="B9" t="s">
        <v>146</v>
      </c>
      <c r="C9" s="101">
        <f>'6'!E$4</f>
        <v>308</v>
      </c>
      <c r="D9" s="101">
        <f>'6'!E7</f>
        <v>8660</v>
      </c>
      <c r="E9" s="101">
        <f>SUMIFS('6'!E$3:E$10000,'6'!$H$3:$H$10000,1)</f>
        <v>76994</v>
      </c>
      <c r="F9" s="101">
        <f>SUMIFS('6'!E$3:E$10000,'6'!$H$3:$H$10000,2)</f>
        <v>166652</v>
      </c>
      <c r="G9" s="101">
        <f t="shared" si="0"/>
        <v>252614</v>
      </c>
      <c r="H9" s="101"/>
      <c r="I9" s="101">
        <f>SUMIFS('Step 2'!W:W,'Step 2'!A:A,'Step 3 - Distributions'!A9,'Step 2'!B:B,"0")-C9</f>
        <v>308</v>
      </c>
      <c r="J9" s="101">
        <f>SUMIFS('Step 2'!O:O,'Step 2'!A:A,'Step 3 - Distributions'!A9)-D9</f>
        <v>8660</v>
      </c>
      <c r="K9" s="101">
        <f>SUMIFS('Step 2'!S:S,'Step 2'!A:A,'Step 3 - Distributions'!A9)-E9</f>
        <v>76994</v>
      </c>
      <c r="L9" s="101">
        <f>SUMIFS('Step 2'!Y:Y,'Step 2'!A:A,'Step 3 - Distributions'!A9)-SUMIFS('Step 2'!Y:Y,'Step 2'!A:A,'Step 3 - Distributions'!A9,'Step 2'!B:B,"0")-F9</f>
        <v>166632</v>
      </c>
      <c r="M9" s="101">
        <f t="shared" si="4"/>
        <v>252594</v>
      </c>
      <c r="N9" s="101"/>
      <c r="O9" s="102">
        <f t="shared" si="2"/>
        <v>505208</v>
      </c>
      <c r="P9" s="101">
        <f>'Allocation Worksheet'!D9</f>
        <v>505208</v>
      </c>
      <c r="Q9" s="103">
        <f t="shared" si="3"/>
        <v>0</v>
      </c>
      <c r="R9" s="101"/>
    </row>
    <row r="10" spans="1:18">
      <c r="A10" t="s">
        <v>2094</v>
      </c>
      <c r="B10" t="s">
        <v>167</v>
      </c>
      <c r="C10" s="101">
        <f>'7'!E$4</f>
        <v>106</v>
      </c>
      <c r="D10" s="101">
        <f>'7'!E7</f>
        <v>2597</v>
      </c>
      <c r="E10" s="101">
        <f>SUMIFS('7'!E$3:E$10000,'7'!$H$3:$H$10000,1)</f>
        <v>22687</v>
      </c>
      <c r="F10" s="101">
        <f>SUMIFS('7'!E$3:E$10000,'7'!$H$3:$H$10000,2)</f>
        <v>48687</v>
      </c>
      <c r="G10" s="101">
        <f t="shared" si="0"/>
        <v>74077</v>
      </c>
      <c r="H10" s="101"/>
      <c r="I10" s="101">
        <f>SUMIFS('Step 2'!W:W,'Step 2'!A:A,'Step 3 - Distributions'!A10,'Step 2'!B:B,"0")-C10</f>
        <v>105</v>
      </c>
      <c r="J10" s="101">
        <f>SUMIFS('Step 2'!O:O,'Step 2'!A:A,'Step 3 - Distributions'!A10)-D10</f>
        <v>2597</v>
      </c>
      <c r="K10" s="101">
        <f>SUMIFS('Step 2'!S:S,'Step 2'!A:A,'Step 3 - Distributions'!A10)-E10</f>
        <v>22687</v>
      </c>
      <c r="L10" s="101">
        <f>SUMIFS('Step 2'!Y:Y,'Step 2'!A:A,'Step 3 - Distributions'!A10)-SUMIFS('Step 2'!Y:Y,'Step 2'!A:A,'Step 3 - Distributions'!A10,'Step 2'!B:B,"0")-F10</f>
        <v>48679</v>
      </c>
      <c r="M10" s="101">
        <f t="shared" si="4"/>
        <v>74068</v>
      </c>
      <c r="N10" s="101"/>
      <c r="O10" s="102">
        <f t="shared" si="2"/>
        <v>148145</v>
      </c>
      <c r="P10" s="101">
        <f>'Allocation Worksheet'!D10</f>
        <v>148145</v>
      </c>
      <c r="Q10" s="103">
        <f t="shared" si="3"/>
        <v>0</v>
      </c>
      <c r="R10" s="101"/>
    </row>
    <row r="11" spans="1:18">
      <c r="A11" t="s">
        <v>2096</v>
      </c>
      <c r="B11" t="s">
        <v>176</v>
      </c>
      <c r="C11" s="101">
        <f>'8'!E$4</f>
        <v>150</v>
      </c>
      <c r="D11" s="101">
        <f>'8'!E7</f>
        <v>2249</v>
      </c>
      <c r="E11" s="101">
        <f>SUMIFS('8'!E$3:E$10000,'8'!$H$3:$H$10000,1)</f>
        <v>37020</v>
      </c>
      <c r="F11" s="101">
        <f>SUMIFS('8'!E$3:E$10000,'8'!$H$3:$H$10000,2)</f>
        <v>77614</v>
      </c>
      <c r="G11" s="101">
        <f t="shared" si="0"/>
        <v>117033</v>
      </c>
      <c r="H11" s="101"/>
      <c r="I11" s="101">
        <f>SUMIFS('Step 2'!W:W,'Step 2'!A:A,'Step 3 - Distributions'!A11,'Step 2'!B:B,"0")-C11</f>
        <v>149</v>
      </c>
      <c r="J11" s="101">
        <f>SUMIFS('Step 2'!O:O,'Step 2'!A:A,'Step 3 - Distributions'!A11)-D11</f>
        <v>2248</v>
      </c>
      <c r="K11" s="101">
        <f>SUMIFS('Step 2'!S:S,'Step 2'!A:A,'Step 3 - Distributions'!A11)-E11</f>
        <v>37018</v>
      </c>
      <c r="L11" s="101">
        <f>SUMIFS('Step 2'!Y:Y,'Step 2'!A:A,'Step 3 - Distributions'!A11)-SUMIFS('Step 2'!Y:Y,'Step 2'!A:A,'Step 3 - Distributions'!A11,'Step 2'!B:B,"0")-F11</f>
        <v>77594</v>
      </c>
      <c r="M11" s="101">
        <f t="shared" si="4"/>
        <v>117009</v>
      </c>
      <c r="N11" s="101"/>
      <c r="O11" s="102">
        <f t="shared" si="2"/>
        <v>234042</v>
      </c>
      <c r="P11" s="101">
        <f>'Allocation Worksheet'!D11</f>
        <v>234042</v>
      </c>
      <c r="Q11" s="103">
        <f t="shared" si="3"/>
        <v>0</v>
      </c>
      <c r="R11" s="101"/>
    </row>
    <row r="12" spans="1:18">
      <c r="A12" t="s">
        <v>2097</v>
      </c>
      <c r="B12" t="s">
        <v>198</v>
      </c>
      <c r="C12" s="101">
        <f>'9'!E$4</f>
        <v>190</v>
      </c>
      <c r="D12" s="101">
        <f>'9'!E7</f>
        <v>11998</v>
      </c>
      <c r="E12" s="101">
        <f>SUMIFS('9'!E$3:E$10000,'9'!$H$3:$H$10000,1)</f>
        <v>43171</v>
      </c>
      <c r="F12" s="101">
        <f>SUMIFS('9'!E$3:E$10000,'9'!$H$3:$H$10000,2)</f>
        <v>128000</v>
      </c>
      <c r="G12" s="101">
        <f t="shared" si="0"/>
        <v>183359</v>
      </c>
      <c r="H12" s="101"/>
      <c r="I12" s="101">
        <f>SUMIFS('Step 2'!W:W,'Step 2'!A:A,'Step 3 - Distributions'!A12,'Step 2'!B:B,"0")-C12</f>
        <v>191</v>
      </c>
      <c r="J12" s="101">
        <f>SUMIFS('Step 2'!O:O,'Step 2'!A:A,'Step 3 - Distributions'!A12)-D12</f>
        <v>11998</v>
      </c>
      <c r="K12" s="101">
        <f>SUMIFS('Step 2'!S:S,'Step 2'!A:A,'Step 3 - Distributions'!A12)-E12</f>
        <v>43169</v>
      </c>
      <c r="L12" s="101">
        <f>SUMIFS('Step 2'!Y:Y,'Step 2'!A:A,'Step 3 - Distributions'!A12)-SUMIFS('Step 2'!Y:Y,'Step 2'!A:A,'Step 3 - Distributions'!A12,'Step 2'!B:B,"0")-F12</f>
        <v>127978</v>
      </c>
      <c r="M12" s="101">
        <f t="shared" si="4"/>
        <v>183336</v>
      </c>
      <c r="N12" s="101"/>
      <c r="O12" s="102">
        <f t="shared" si="2"/>
        <v>366695</v>
      </c>
      <c r="P12" s="101">
        <f>'Allocation Worksheet'!D12</f>
        <v>366695</v>
      </c>
      <c r="Q12" s="103">
        <f t="shared" si="3"/>
        <v>0</v>
      </c>
      <c r="R12" s="101"/>
    </row>
    <row r="13" spans="1:18">
      <c r="A13" t="s">
        <v>2098</v>
      </c>
      <c r="B13" t="s">
        <v>219</v>
      </c>
      <c r="C13" s="101">
        <f>'10'!E$4</f>
        <v>673</v>
      </c>
      <c r="D13" s="101">
        <f>'10'!E7</f>
        <v>48121</v>
      </c>
      <c r="E13" s="101">
        <f>SUMIFS('10'!E$3:E$10000,'10'!$H$3:$H$10000,1)</f>
        <v>161992</v>
      </c>
      <c r="F13" s="101">
        <f>SUMIFS('10'!E$3:E$10000,'10'!$H$3:$H$10000,2)</f>
        <v>536325</v>
      </c>
      <c r="G13" s="101">
        <f t="shared" si="0"/>
        <v>747111</v>
      </c>
      <c r="H13" s="101"/>
      <c r="I13" s="101">
        <f>SUMIFS('Step 2'!W:W,'Step 2'!A:A,'Step 3 - Distributions'!A13,'Step 2'!B:B,"0")-C13</f>
        <v>674</v>
      </c>
      <c r="J13" s="101">
        <f>SUMIFS('Step 2'!O:O,'Step 2'!A:A,'Step 3 - Distributions'!A13)-D13</f>
        <v>48121</v>
      </c>
      <c r="K13" s="101">
        <f>SUMIFS('Step 2'!S:S,'Step 2'!A:A,'Step 3 - Distributions'!A13)-E13</f>
        <v>161990</v>
      </c>
      <c r="L13" s="101">
        <f>SUMIFS('Step 2'!Y:Y,'Step 2'!A:A,'Step 3 - Distributions'!A13)-SUMIFS('Step 2'!Y:Y,'Step 2'!A:A,'Step 3 - Distributions'!A13,'Step 2'!B:B,"0")-F13</f>
        <v>536303</v>
      </c>
      <c r="M13" s="101">
        <f t="shared" si="4"/>
        <v>747088</v>
      </c>
      <c r="N13" s="101"/>
      <c r="O13" s="102">
        <f t="shared" si="2"/>
        <v>1494199</v>
      </c>
      <c r="P13" s="101">
        <f>'Allocation Worksheet'!D13</f>
        <v>1494199</v>
      </c>
      <c r="Q13" s="103">
        <f t="shared" si="3"/>
        <v>0</v>
      </c>
      <c r="R13" s="101"/>
    </row>
    <row r="14" spans="1:18">
      <c r="A14" t="s">
        <v>2099</v>
      </c>
      <c r="B14" t="s">
        <v>247</v>
      </c>
      <c r="C14" s="101">
        <f>'11'!E$4</f>
        <v>166</v>
      </c>
      <c r="D14" s="101">
        <f>'11'!E7</f>
        <v>2237</v>
      </c>
      <c r="E14" s="101">
        <f>SUMIFS('11'!E$3:E$10000,'11'!$H$3:$H$10000,1)</f>
        <v>36380</v>
      </c>
      <c r="F14" s="101">
        <f>SUMIFS('11'!E$3:E$10000,'11'!$H$3:$H$10000,2)</f>
        <v>86446</v>
      </c>
      <c r="G14" s="101">
        <f t="shared" si="0"/>
        <v>125229</v>
      </c>
      <c r="H14" s="101"/>
      <c r="I14" s="101">
        <f>SUMIFS('Step 2'!W:W,'Step 2'!A:A,'Step 3 - Distributions'!A14,'Step 2'!B:B,"0")-C14</f>
        <v>166</v>
      </c>
      <c r="J14" s="101">
        <f>SUMIFS('Step 2'!O:O,'Step 2'!A:A,'Step 3 - Distributions'!A14)-D14</f>
        <v>2237</v>
      </c>
      <c r="K14" s="101">
        <f>SUMIFS('Step 2'!S:S,'Step 2'!A:A,'Step 3 - Distributions'!A14)-E14</f>
        <v>36379</v>
      </c>
      <c r="L14" s="101">
        <f>SUMIFS('Step 2'!Y:Y,'Step 2'!A:A,'Step 3 - Distributions'!A14)-SUMIFS('Step 2'!Y:Y,'Step 2'!A:A,'Step 3 - Distributions'!A14,'Step 2'!B:B,"0")-F14</f>
        <v>86429</v>
      </c>
      <c r="M14" s="101">
        <f t="shared" si="4"/>
        <v>125211</v>
      </c>
      <c r="N14" s="101"/>
      <c r="O14" s="102">
        <f t="shared" si="2"/>
        <v>250440</v>
      </c>
      <c r="P14" s="101">
        <f>'Allocation Worksheet'!D14</f>
        <v>250440</v>
      </c>
      <c r="Q14" s="103">
        <f t="shared" si="3"/>
        <v>0</v>
      </c>
      <c r="R14" s="101"/>
    </row>
    <row r="15" spans="1:18">
      <c r="A15" t="s">
        <v>2182</v>
      </c>
      <c r="B15" t="s">
        <v>266</v>
      </c>
      <c r="C15" s="101">
        <f>'12'!E$4</f>
        <v>255</v>
      </c>
      <c r="D15" s="101">
        <f>'12'!E7</f>
        <v>7920</v>
      </c>
      <c r="E15" s="101">
        <f>SUMIFS('12'!E$3:E$10000,'12'!$H$3:$H$10000,1)</f>
        <v>54074</v>
      </c>
      <c r="F15" s="101">
        <f>SUMIFS('12'!E$3:E$10000,'12'!$H$3:$H$10000,2)</f>
        <v>180293</v>
      </c>
      <c r="G15" s="101">
        <f t="shared" si="0"/>
        <v>242542</v>
      </c>
      <c r="H15" s="101"/>
      <c r="I15" s="101">
        <f>SUMIFS('Step 2'!W:W,'Step 2'!A:A,'Step 3 - Distributions'!A15,'Step 2'!B:B,"0")-C15</f>
        <v>254</v>
      </c>
      <c r="J15" s="101">
        <f>SUMIFS('Step 2'!O:O,'Step 2'!A:A,'Step 3 - Distributions'!A15)-D15</f>
        <v>7920</v>
      </c>
      <c r="K15" s="101">
        <f>SUMIFS('Step 2'!S:S,'Step 2'!A:A,'Step 3 - Distributions'!A15)-E15</f>
        <v>54074</v>
      </c>
      <c r="L15" s="101">
        <f>SUMIFS('Step 2'!Y:Y,'Step 2'!A:A,'Step 3 - Distributions'!A15)-SUMIFS('Step 2'!Y:Y,'Step 2'!A:A,'Step 3 - Distributions'!A15,'Step 2'!B:B,"0")-F15</f>
        <v>180273</v>
      </c>
      <c r="M15" s="101">
        <f t="shared" si="4"/>
        <v>242521</v>
      </c>
      <c r="N15" s="101"/>
      <c r="O15" s="102">
        <f t="shared" si="2"/>
        <v>485063</v>
      </c>
      <c r="P15" s="101">
        <f>'Allocation Worksheet'!D15</f>
        <v>485063</v>
      </c>
      <c r="Q15" s="103">
        <f t="shared" si="3"/>
        <v>0</v>
      </c>
      <c r="R15" s="101"/>
    </row>
    <row r="16" spans="1:18">
      <c r="A16" t="s">
        <v>2100</v>
      </c>
      <c r="B16" t="s">
        <v>290</v>
      </c>
      <c r="C16" s="101">
        <f>'13'!E$4</f>
        <v>11</v>
      </c>
      <c r="D16" s="101">
        <f>'13'!E7</f>
        <v>1187</v>
      </c>
      <c r="E16" s="101">
        <f>SUMIFS('13'!E$3:E$10000,'13'!$H$3:$H$10000,1)</f>
        <v>2101</v>
      </c>
      <c r="F16" s="101">
        <f>SUMIFS('13'!E$3:E$10000,'13'!$H$3:$H$10000,2)</f>
        <v>7549</v>
      </c>
      <c r="G16" s="101">
        <f t="shared" si="0"/>
        <v>10848</v>
      </c>
      <c r="H16" s="101"/>
      <c r="I16" s="101">
        <f>SUMIFS('Step 2'!W:W,'Step 2'!A:A,'Step 3 - Distributions'!A16,'Step 2'!B:B,"0")-C16</f>
        <v>12</v>
      </c>
      <c r="J16" s="101">
        <f>SUMIFS('Step 2'!O:O,'Step 2'!A:A,'Step 3 - Distributions'!A16)-D16</f>
        <v>1186</v>
      </c>
      <c r="K16" s="101">
        <f>SUMIFS('Step 2'!S:S,'Step 2'!A:A,'Step 3 - Distributions'!A16)-E16</f>
        <v>2100</v>
      </c>
      <c r="L16" s="101">
        <f>SUMIFS('Step 2'!Y:Y,'Step 2'!A:A,'Step 3 - Distributions'!A16)-SUMIFS('Step 2'!Y:Y,'Step 2'!A:A,'Step 3 - Distributions'!A16,'Step 2'!B:B,"0")-F16</f>
        <v>7541</v>
      </c>
      <c r="M16" s="101">
        <f t="shared" si="4"/>
        <v>10839</v>
      </c>
      <c r="N16" s="101"/>
      <c r="O16" s="102">
        <f t="shared" si="2"/>
        <v>21687</v>
      </c>
      <c r="P16" s="101">
        <f>'Allocation Worksheet'!D16</f>
        <v>21687</v>
      </c>
      <c r="Q16" s="103">
        <f t="shared" si="3"/>
        <v>0</v>
      </c>
      <c r="R16" s="101"/>
    </row>
    <row r="17" spans="1:18">
      <c r="A17" t="s">
        <v>2101</v>
      </c>
      <c r="B17" t="s">
        <v>307</v>
      </c>
      <c r="C17" s="101">
        <f>'14'!E$4</f>
        <v>295</v>
      </c>
      <c r="D17" s="101">
        <f>'14'!E7</f>
        <v>6519</v>
      </c>
      <c r="E17" s="101">
        <f>SUMIFS('14'!E$3:E$10000,'14'!$H$3:$H$10000,1)</f>
        <v>59120</v>
      </c>
      <c r="F17" s="101">
        <f>SUMIFS('14'!E$3:E$10000,'14'!$H$3:$H$10000,2)</f>
        <v>172162</v>
      </c>
      <c r="G17" s="101">
        <f t="shared" si="0"/>
        <v>238096</v>
      </c>
      <c r="H17" s="101"/>
      <c r="I17" s="101">
        <f>SUMIFS('Step 2'!W:W,'Step 2'!A:A,'Step 3 - Distributions'!A17,'Step 2'!B:B,"0")-C17</f>
        <v>293</v>
      </c>
      <c r="J17" s="101">
        <f>SUMIFS('Step 2'!O:O,'Step 2'!A:A,'Step 3 - Distributions'!A17)-D17</f>
        <v>6519</v>
      </c>
      <c r="K17" s="101">
        <f>SUMIFS('Step 2'!S:S,'Step 2'!A:A,'Step 3 - Distributions'!A17)-E17</f>
        <v>59117</v>
      </c>
      <c r="L17" s="101">
        <f>SUMIFS('Step 2'!Y:Y,'Step 2'!A:A,'Step 3 - Distributions'!A17)-SUMIFS('Step 2'!Y:Y,'Step 2'!A:A,'Step 3 - Distributions'!A17,'Step 2'!B:B,"0")-F17</f>
        <v>172148</v>
      </c>
      <c r="M17" s="101">
        <f t="shared" si="4"/>
        <v>238077</v>
      </c>
      <c r="N17" s="101"/>
      <c r="O17" s="102">
        <f t="shared" si="2"/>
        <v>476173</v>
      </c>
      <c r="P17" s="101">
        <f>'Allocation Worksheet'!D17</f>
        <v>476173</v>
      </c>
      <c r="Q17" s="103">
        <f t="shared" si="3"/>
        <v>0</v>
      </c>
      <c r="R17" s="101"/>
    </row>
    <row r="18" spans="1:18">
      <c r="A18" t="s">
        <v>2102</v>
      </c>
      <c r="B18" t="s">
        <v>330</v>
      </c>
      <c r="C18" s="101">
        <f>'15'!E$4</f>
        <v>115</v>
      </c>
      <c r="D18" s="101">
        <f>'15'!E7</f>
        <v>4662</v>
      </c>
      <c r="E18" s="101">
        <f>SUMIFS('15'!E$3:E$10000,'15'!$H$3:$H$10000,1)</f>
        <v>29013</v>
      </c>
      <c r="F18" s="101">
        <f>SUMIFS('15'!E$3:E$10000,'15'!$H$3:$H$10000,2)</f>
        <v>64218</v>
      </c>
      <c r="G18" s="101">
        <f t="shared" si="0"/>
        <v>98008</v>
      </c>
      <c r="H18" s="101"/>
      <c r="I18" s="101">
        <f>SUMIFS('Step 2'!W:W,'Step 2'!A:A,'Step 3 - Distributions'!A18,'Step 2'!B:B,"0")-C18</f>
        <v>113</v>
      </c>
      <c r="J18" s="101">
        <f>SUMIFS('Step 2'!O:O,'Step 2'!A:A,'Step 3 - Distributions'!A18)-D18</f>
        <v>4662</v>
      </c>
      <c r="K18" s="101">
        <f>SUMIFS('Step 2'!S:S,'Step 2'!A:A,'Step 3 - Distributions'!A18)-E18</f>
        <v>29013</v>
      </c>
      <c r="L18" s="101">
        <f>SUMIFS('Step 2'!Y:Y,'Step 2'!A:A,'Step 3 - Distributions'!A18)-SUMIFS('Step 2'!Y:Y,'Step 2'!A:A,'Step 3 - Distributions'!A18,'Step 2'!B:B,"0")-F18</f>
        <v>64194</v>
      </c>
      <c r="M18" s="101">
        <f t="shared" si="4"/>
        <v>97982</v>
      </c>
      <c r="N18" s="101"/>
      <c r="O18" s="102">
        <f t="shared" si="2"/>
        <v>195990</v>
      </c>
      <c r="P18" s="101">
        <f>'Allocation Worksheet'!D18</f>
        <v>195990</v>
      </c>
      <c r="Q18" s="103">
        <f t="shared" si="3"/>
        <v>0</v>
      </c>
      <c r="R18" s="101"/>
    </row>
    <row r="19" spans="1:18">
      <c r="A19" t="s">
        <v>2103</v>
      </c>
      <c r="B19" t="s">
        <v>353</v>
      </c>
      <c r="C19" s="101">
        <f>'16'!E$4</f>
        <v>249</v>
      </c>
      <c r="D19" s="101">
        <f>'16'!E7</f>
        <v>6919</v>
      </c>
      <c r="E19" s="101">
        <f>SUMIFS('16'!E$3:E$10000,'16'!$H$3:$H$10000,1)</f>
        <v>51945</v>
      </c>
      <c r="F19" s="101">
        <f>SUMIFS('16'!E$3:E$10000,'16'!$H$3:$H$10000,2)</f>
        <v>103816</v>
      </c>
      <c r="G19" s="101">
        <f t="shared" si="0"/>
        <v>162929</v>
      </c>
      <c r="H19" s="101"/>
      <c r="I19" s="101">
        <f>SUMIFS('Step 2'!W:W,'Step 2'!A:A,'Step 3 - Distributions'!A19,'Step 2'!B:B,"0")-C19</f>
        <v>250</v>
      </c>
      <c r="J19" s="101">
        <f>SUMIFS('Step 2'!O:O,'Step 2'!A:A,'Step 3 - Distributions'!A19)-D19</f>
        <v>6918</v>
      </c>
      <c r="K19" s="101">
        <f>SUMIFS('Step 2'!S:S,'Step 2'!A:A,'Step 3 - Distributions'!A19)-E19</f>
        <v>51944</v>
      </c>
      <c r="L19" s="101">
        <f>SUMIFS('Step 2'!Y:Y,'Step 2'!A:A,'Step 3 - Distributions'!A19)-SUMIFS('Step 2'!Y:Y,'Step 2'!A:A,'Step 3 - Distributions'!A19,'Step 2'!B:B,"0")-F19</f>
        <v>103801</v>
      </c>
      <c r="M19" s="101">
        <f t="shared" si="4"/>
        <v>162913</v>
      </c>
      <c r="N19" s="101"/>
      <c r="O19" s="102">
        <f t="shared" si="2"/>
        <v>325842</v>
      </c>
      <c r="P19" s="101">
        <f>'Allocation Worksheet'!D19</f>
        <v>325842</v>
      </c>
      <c r="Q19" s="103">
        <f t="shared" si="3"/>
        <v>0</v>
      </c>
      <c r="R19" s="101"/>
    </row>
    <row r="20" spans="1:18">
      <c r="A20" t="s">
        <v>2104</v>
      </c>
      <c r="B20" t="s">
        <v>368</v>
      </c>
      <c r="C20" s="101">
        <f>'17'!E$4</f>
        <v>184</v>
      </c>
      <c r="D20" s="101">
        <f>'17'!E7</f>
        <v>6280</v>
      </c>
      <c r="E20" s="101">
        <f>SUMIFS('17'!E$3:E$10000,'17'!$H$3:$H$10000,1)</f>
        <v>40210</v>
      </c>
      <c r="F20" s="101">
        <f>SUMIFS('17'!E$3:E$10000,'17'!$H$3:$H$10000,2)</f>
        <v>98161</v>
      </c>
      <c r="G20" s="101">
        <f t="shared" si="0"/>
        <v>144835</v>
      </c>
      <c r="H20" s="101"/>
      <c r="I20" s="101">
        <f>SUMIFS('Step 2'!W:W,'Step 2'!A:A,'Step 3 - Distributions'!A20,'Step 2'!B:B,"0")-C20</f>
        <v>185</v>
      </c>
      <c r="J20" s="101">
        <f>SUMIFS('Step 2'!O:O,'Step 2'!A:A,'Step 3 - Distributions'!A20)-D20</f>
        <v>6280</v>
      </c>
      <c r="K20" s="101">
        <f>SUMIFS('Step 2'!S:S,'Step 2'!A:A,'Step 3 - Distributions'!A20)-E20</f>
        <v>40208</v>
      </c>
      <c r="L20" s="101">
        <f>SUMIFS('Step 2'!Y:Y,'Step 2'!A:A,'Step 3 - Distributions'!A20)-SUMIFS('Step 2'!Y:Y,'Step 2'!A:A,'Step 3 - Distributions'!A20,'Step 2'!B:B,"0")-F20</f>
        <v>98136</v>
      </c>
      <c r="M20" s="101">
        <f t="shared" si="4"/>
        <v>144809</v>
      </c>
      <c r="N20" s="101"/>
      <c r="O20" s="102">
        <f t="shared" si="2"/>
        <v>289644</v>
      </c>
      <c r="P20" s="101">
        <f>'Allocation Worksheet'!D20</f>
        <v>289644</v>
      </c>
      <c r="Q20" s="103">
        <f t="shared" si="3"/>
        <v>0</v>
      </c>
      <c r="R20" s="101"/>
    </row>
    <row r="21" spans="1:18">
      <c r="A21" t="s">
        <v>2105</v>
      </c>
      <c r="B21" t="s">
        <v>399</v>
      </c>
      <c r="C21" s="101">
        <f>'18'!E$4</f>
        <v>447</v>
      </c>
      <c r="D21" s="101">
        <f>'18'!E7</f>
        <v>46425</v>
      </c>
      <c r="E21" s="101">
        <f>SUMIFS('18'!E$3:E$10000,'18'!$H$3:$H$10000,1)</f>
        <v>123650</v>
      </c>
      <c r="F21" s="101">
        <f>SUMIFS('18'!E$3:E$10000,'18'!$H$3:$H$10000,2)</f>
        <v>362062</v>
      </c>
      <c r="G21" s="101">
        <f t="shared" si="0"/>
        <v>532584</v>
      </c>
      <c r="H21" s="101"/>
      <c r="I21" s="101">
        <f>SUMIFS('Step 2'!W:W,'Step 2'!A:A,'Step 3 - Distributions'!A21,'Step 2'!B:B,"0")-C21</f>
        <v>442</v>
      </c>
      <c r="J21" s="101">
        <f>SUMIFS('Step 2'!O:O,'Step 2'!A:A,'Step 3 - Distributions'!A21)-D21</f>
        <v>46424</v>
      </c>
      <c r="K21" s="101">
        <f>SUMIFS('Step 2'!S:S,'Step 2'!A:A,'Step 3 - Distributions'!A21)-E21</f>
        <v>123648</v>
      </c>
      <c r="L21" s="101">
        <f>SUMIFS('Step 2'!Y:Y,'Step 2'!A:A,'Step 3 - Distributions'!A21)-SUMIFS('Step 2'!Y:Y,'Step 2'!A:A,'Step 3 - Distributions'!A21,'Step 2'!B:B,"0")-F21</f>
        <v>362048</v>
      </c>
      <c r="M21" s="101">
        <f t="shared" si="4"/>
        <v>532562</v>
      </c>
      <c r="N21" s="101"/>
      <c r="O21" s="102">
        <f t="shared" si="2"/>
        <v>1065146</v>
      </c>
      <c r="P21" s="101">
        <f>'Allocation Worksheet'!D21</f>
        <v>1065146</v>
      </c>
      <c r="Q21" s="103">
        <f t="shared" si="3"/>
        <v>0</v>
      </c>
      <c r="R21" s="101"/>
    </row>
    <row r="22" spans="1:18">
      <c r="A22" t="s">
        <v>2106</v>
      </c>
      <c r="B22" t="s">
        <v>427</v>
      </c>
      <c r="C22" s="101">
        <f>'19'!E$4</f>
        <v>425</v>
      </c>
      <c r="D22" s="101">
        <f>'19'!E7</f>
        <v>7292</v>
      </c>
      <c r="E22" s="101">
        <f>SUMIFS('19'!E$3:E$10000,'19'!$H$3:$H$10000,1)</f>
        <v>94213</v>
      </c>
      <c r="F22" s="101">
        <f>SUMIFS('19'!E$3:E$10000,'19'!$H$3:$H$10000,2)</f>
        <v>218557</v>
      </c>
      <c r="G22" s="101">
        <f t="shared" si="0"/>
        <v>320487</v>
      </c>
      <c r="H22" s="101"/>
      <c r="I22" s="101">
        <f>SUMIFS('Step 2'!W:W,'Step 2'!A:A,'Step 3 - Distributions'!A22,'Step 2'!B:B,"0")-C22</f>
        <v>423</v>
      </c>
      <c r="J22" s="101">
        <f>SUMIFS('Step 2'!O:O,'Step 2'!A:A,'Step 3 - Distributions'!A22)-D22</f>
        <v>7291</v>
      </c>
      <c r="K22" s="101">
        <f>SUMIFS('Step 2'!S:S,'Step 2'!A:A,'Step 3 - Distributions'!A22)-E22</f>
        <v>94213</v>
      </c>
      <c r="L22" s="101">
        <f>SUMIFS('Step 2'!Y:Y,'Step 2'!A:A,'Step 3 - Distributions'!A22)-SUMIFS('Step 2'!Y:Y,'Step 2'!A:A,'Step 3 - Distributions'!A22,'Step 2'!B:B,"0")-F22</f>
        <v>218541</v>
      </c>
      <c r="M22" s="101">
        <f t="shared" si="4"/>
        <v>320468</v>
      </c>
      <c r="N22" s="101"/>
      <c r="O22" s="102">
        <f t="shared" si="2"/>
        <v>640955</v>
      </c>
      <c r="P22" s="101">
        <f>'Allocation Worksheet'!D22</f>
        <v>640955</v>
      </c>
      <c r="Q22" s="103">
        <f t="shared" si="3"/>
        <v>0</v>
      </c>
      <c r="R22" s="101"/>
    </row>
    <row r="23" spans="1:18">
      <c r="A23" t="s">
        <v>2183</v>
      </c>
      <c r="B23" t="s">
        <v>448</v>
      </c>
      <c r="C23" s="101">
        <f>'20'!E$4</f>
        <v>1118</v>
      </c>
      <c r="D23" s="101">
        <f>'20'!E7</f>
        <v>48578</v>
      </c>
      <c r="E23" s="101">
        <f>SUMIFS('20'!E$3:E$10000,'20'!$H$3:$H$10000,1)</f>
        <v>221003</v>
      </c>
      <c r="F23" s="101">
        <f>SUMIFS('20'!E$3:E$10000,'20'!$H$3:$H$10000,2)</f>
        <v>713613</v>
      </c>
      <c r="G23" s="101">
        <f t="shared" si="0"/>
        <v>984312</v>
      </c>
      <c r="H23" s="101"/>
      <c r="I23" s="101">
        <f>SUMIFS('Step 2'!W:W,'Step 2'!A:A,'Step 3 - Distributions'!A23,'Step 2'!B:B,"0")-C23</f>
        <v>1120</v>
      </c>
      <c r="J23" s="101">
        <f>SUMIFS('Step 2'!O:O,'Step 2'!A:A,'Step 3 - Distributions'!A23)-D23</f>
        <v>48578</v>
      </c>
      <c r="K23" s="101">
        <f>SUMIFS('Step 2'!S:S,'Step 2'!A:A,'Step 3 - Distributions'!A23)-E23</f>
        <v>220999</v>
      </c>
      <c r="L23" s="101">
        <f>SUMIFS('Step 2'!Y:Y,'Step 2'!A:A,'Step 3 - Distributions'!A23)-SUMIFS('Step 2'!Y:Y,'Step 2'!A:A,'Step 3 - Distributions'!A23,'Step 2'!B:B,"0")-F23</f>
        <v>713584</v>
      </c>
      <c r="M23" s="101">
        <f t="shared" si="4"/>
        <v>984281</v>
      </c>
      <c r="N23" s="101"/>
      <c r="O23" s="102">
        <f t="shared" si="2"/>
        <v>1968593</v>
      </c>
      <c r="P23" s="101">
        <f>'Allocation Worksheet'!D23</f>
        <v>1968593</v>
      </c>
      <c r="Q23" s="103">
        <f t="shared" si="3"/>
        <v>0</v>
      </c>
      <c r="R23" s="101"/>
    </row>
    <row r="24" spans="1:18">
      <c r="A24" t="s">
        <v>2107</v>
      </c>
      <c r="B24" t="s">
        <v>479</v>
      </c>
      <c r="C24" s="101">
        <f>'21'!E$4</f>
        <v>65</v>
      </c>
      <c r="D24" s="101">
        <f>'21'!E7</f>
        <v>4903</v>
      </c>
      <c r="E24" s="101">
        <f>SUMIFS('21'!E$3:E$10000,'21'!$H$3:$H$10000,1)</f>
        <v>15104</v>
      </c>
      <c r="F24" s="101">
        <f>SUMIFS('21'!E$3:E$10000,'21'!$H$3:$H$10000,2)</f>
        <v>38201</v>
      </c>
      <c r="G24" s="101">
        <f t="shared" si="0"/>
        <v>58273</v>
      </c>
      <c r="H24" s="101"/>
      <c r="I24" s="101">
        <f>SUMIFS('Step 2'!W:W,'Step 2'!A:A,'Step 3 - Distributions'!A24,'Step 2'!B:B,"0")-C24</f>
        <v>62</v>
      </c>
      <c r="J24" s="101">
        <f>SUMIFS('Step 2'!O:O,'Step 2'!A:A,'Step 3 - Distributions'!A24)-D24</f>
        <v>4903</v>
      </c>
      <c r="K24" s="101">
        <f>SUMIFS('Step 2'!S:S,'Step 2'!A:A,'Step 3 - Distributions'!A24)-E24</f>
        <v>15104</v>
      </c>
      <c r="L24" s="101">
        <f>SUMIFS('Step 2'!Y:Y,'Step 2'!A:A,'Step 3 - Distributions'!A24)-SUMIFS('Step 2'!Y:Y,'Step 2'!A:A,'Step 3 - Distributions'!A24,'Step 2'!B:B,"0")-F24</f>
        <v>38192</v>
      </c>
      <c r="M24" s="101">
        <f t="shared" si="4"/>
        <v>58261</v>
      </c>
      <c r="N24" s="101"/>
      <c r="O24" s="102">
        <f t="shared" si="2"/>
        <v>116534</v>
      </c>
      <c r="P24" s="101">
        <f>'Allocation Worksheet'!D24</f>
        <v>116534</v>
      </c>
      <c r="Q24" s="103">
        <f t="shared" si="3"/>
        <v>0</v>
      </c>
      <c r="R24" s="101"/>
    </row>
    <row r="25" spans="1:18">
      <c r="A25" t="s">
        <v>2108</v>
      </c>
      <c r="B25" t="s">
        <v>490</v>
      </c>
      <c r="C25" s="101">
        <f>'22'!E$4</f>
        <v>194</v>
      </c>
      <c r="D25" s="101">
        <f>'22'!E7</f>
        <v>10235</v>
      </c>
      <c r="E25" s="101">
        <f>SUMIFS('22'!E$3:E$10000,'22'!$H$3:$H$10000,1)</f>
        <v>45570</v>
      </c>
      <c r="F25" s="101">
        <f>SUMIFS('22'!E$3:E$10000,'22'!$H$3:$H$10000,2)</f>
        <v>139202</v>
      </c>
      <c r="G25" s="101">
        <f t="shared" si="0"/>
        <v>195201</v>
      </c>
      <c r="H25" s="101"/>
      <c r="I25" s="101">
        <f>SUMIFS('Step 2'!W:W,'Step 2'!A:A,'Step 3 - Distributions'!A25,'Step 2'!B:B,"0")-C25</f>
        <v>193</v>
      </c>
      <c r="J25" s="101">
        <f>SUMIFS('Step 2'!O:O,'Step 2'!A:A,'Step 3 - Distributions'!A25)-D25</f>
        <v>10235</v>
      </c>
      <c r="K25" s="101">
        <f>SUMIFS('Step 2'!S:S,'Step 2'!A:A,'Step 3 - Distributions'!A25)-E25</f>
        <v>45570</v>
      </c>
      <c r="L25" s="101">
        <f>SUMIFS('Step 2'!Y:Y,'Step 2'!A:A,'Step 3 - Distributions'!A25)-SUMIFS('Step 2'!Y:Y,'Step 2'!A:A,'Step 3 - Distributions'!A25,'Step 2'!B:B,"0")-F25</f>
        <v>139194</v>
      </c>
      <c r="M25" s="101">
        <f t="shared" si="4"/>
        <v>195192</v>
      </c>
      <c r="N25" s="101"/>
      <c r="O25" s="102">
        <f t="shared" si="2"/>
        <v>390393</v>
      </c>
      <c r="P25" s="101">
        <f>'Allocation Worksheet'!D25</f>
        <v>390393</v>
      </c>
      <c r="Q25" s="103">
        <f t="shared" si="3"/>
        <v>0</v>
      </c>
      <c r="R25" s="101"/>
    </row>
    <row r="26" spans="1:18">
      <c r="A26" t="s">
        <v>2109</v>
      </c>
      <c r="B26" t="s">
        <v>502</v>
      </c>
      <c r="C26" s="101">
        <f>'23'!E$4</f>
        <v>80</v>
      </c>
      <c r="D26" s="101">
        <f>'23'!E7</f>
        <v>2573</v>
      </c>
      <c r="E26" s="101">
        <f>SUMIFS('23'!E$3:E$10000,'23'!$H$3:$H$10000,1)</f>
        <v>15865</v>
      </c>
      <c r="F26" s="101">
        <f>SUMIFS('23'!E$3:E$10000,'23'!$H$3:$H$10000,2)</f>
        <v>31401</v>
      </c>
      <c r="G26" s="101">
        <f t="shared" si="0"/>
        <v>49919</v>
      </c>
      <c r="H26" s="101"/>
      <c r="I26" s="101">
        <f>SUMIFS('Step 2'!W:W,'Step 2'!A:A,'Step 3 - Distributions'!A26,'Step 2'!B:B,"0")-C26</f>
        <v>80</v>
      </c>
      <c r="J26" s="101">
        <f>SUMIFS('Step 2'!O:O,'Step 2'!A:A,'Step 3 - Distributions'!A26)-D26</f>
        <v>2572</v>
      </c>
      <c r="K26" s="101">
        <f>SUMIFS('Step 2'!S:S,'Step 2'!A:A,'Step 3 - Distributions'!A26)-E26</f>
        <v>15863</v>
      </c>
      <c r="L26" s="101">
        <f>SUMIFS('Step 2'!Y:Y,'Step 2'!A:A,'Step 3 - Distributions'!A26)-SUMIFS('Step 2'!Y:Y,'Step 2'!A:A,'Step 3 - Distributions'!A26,'Step 2'!B:B,"0")-F26</f>
        <v>31382</v>
      </c>
      <c r="M26" s="101">
        <f t="shared" si="4"/>
        <v>49897</v>
      </c>
      <c r="N26" s="101"/>
      <c r="O26" s="102">
        <f t="shared" si="2"/>
        <v>99816</v>
      </c>
      <c r="P26" s="101">
        <f>'Allocation Worksheet'!D26</f>
        <v>99816</v>
      </c>
      <c r="Q26" s="103">
        <f t="shared" si="3"/>
        <v>0</v>
      </c>
      <c r="R26" s="101"/>
    </row>
    <row r="27" spans="1:18">
      <c r="A27" t="s">
        <v>2110</v>
      </c>
      <c r="B27" t="s">
        <v>524</v>
      </c>
      <c r="C27" s="101">
        <f>'24'!E$4</f>
        <v>114</v>
      </c>
      <c r="D27" s="101">
        <f>'24'!E7</f>
        <v>2959</v>
      </c>
      <c r="E27" s="101">
        <f>SUMIFS('24'!E$3:E$10000,'24'!$H$3:$H$10000,1)</f>
        <v>26664</v>
      </c>
      <c r="F27" s="101">
        <f>SUMIFS('24'!E$3:E$10000,'24'!$H$3:$H$10000,2)</f>
        <v>46765</v>
      </c>
      <c r="G27" s="101">
        <f t="shared" si="0"/>
        <v>76502</v>
      </c>
      <c r="H27" s="101"/>
      <c r="I27" s="101">
        <f>SUMIFS('Step 2'!W:W,'Step 2'!A:A,'Step 3 - Distributions'!A27,'Step 2'!B:B,"0")-C27</f>
        <v>112</v>
      </c>
      <c r="J27" s="101">
        <f>SUMIFS('Step 2'!O:O,'Step 2'!A:A,'Step 3 - Distributions'!A27)-D27</f>
        <v>2959</v>
      </c>
      <c r="K27" s="101">
        <f>SUMIFS('Step 2'!S:S,'Step 2'!A:A,'Step 3 - Distributions'!A27)-E27</f>
        <v>26662</v>
      </c>
      <c r="L27" s="101">
        <f>SUMIFS('Step 2'!Y:Y,'Step 2'!A:A,'Step 3 - Distributions'!A27)-SUMIFS('Step 2'!Y:Y,'Step 2'!A:A,'Step 3 - Distributions'!A27,'Step 2'!B:B,"0")-F27</f>
        <v>46748</v>
      </c>
      <c r="M27" s="101">
        <f t="shared" si="4"/>
        <v>76481</v>
      </c>
      <c r="N27" s="101"/>
      <c r="O27" s="102">
        <f t="shared" si="2"/>
        <v>152983</v>
      </c>
      <c r="P27" s="101">
        <f>'Allocation Worksheet'!D27</f>
        <v>152983</v>
      </c>
      <c r="Q27" s="103">
        <f t="shared" si="3"/>
        <v>0</v>
      </c>
      <c r="R27" s="101"/>
    </row>
    <row r="28" spans="1:18">
      <c r="A28" t="s">
        <v>2111</v>
      </c>
      <c r="B28" t="s">
        <v>548</v>
      </c>
      <c r="C28" s="101">
        <f>'25'!E$4</f>
        <v>152</v>
      </c>
      <c r="D28" s="101">
        <f>'25'!E7</f>
        <v>7716</v>
      </c>
      <c r="E28" s="101">
        <f>SUMIFS('25'!E$3:E$10000,'25'!$H$3:$H$10000,1)</f>
        <v>37142</v>
      </c>
      <c r="F28" s="101">
        <f>SUMIFS('25'!E$3:E$10000,'25'!$H$3:$H$10000,2)</f>
        <v>72847</v>
      </c>
      <c r="G28" s="101">
        <f t="shared" si="0"/>
        <v>117857</v>
      </c>
      <c r="H28" s="101"/>
      <c r="I28" s="101">
        <f>SUMIFS('Step 2'!W:W,'Step 2'!A:A,'Step 3 - Distributions'!A28,'Step 2'!B:B,"0")-C28</f>
        <v>152</v>
      </c>
      <c r="J28" s="101">
        <f>SUMIFS('Step 2'!O:O,'Step 2'!A:A,'Step 3 - Distributions'!A28)-D28</f>
        <v>7716</v>
      </c>
      <c r="K28" s="101">
        <f>SUMIFS('Step 2'!S:S,'Step 2'!A:A,'Step 3 - Distributions'!A28)-E28</f>
        <v>37140</v>
      </c>
      <c r="L28" s="101">
        <f>SUMIFS('Step 2'!Y:Y,'Step 2'!A:A,'Step 3 - Distributions'!A28)-SUMIFS('Step 2'!Y:Y,'Step 2'!A:A,'Step 3 - Distributions'!A28,'Step 2'!B:B,"0")-F28</f>
        <v>72832</v>
      </c>
      <c r="M28" s="101">
        <f t="shared" si="4"/>
        <v>117840</v>
      </c>
      <c r="N28" s="101"/>
      <c r="O28" s="102">
        <f t="shared" si="2"/>
        <v>235697</v>
      </c>
      <c r="P28" s="101">
        <f>'Allocation Worksheet'!D28</f>
        <v>235697</v>
      </c>
      <c r="Q28" s="103">
        <f t="shared" si="3"/>
        <v>0</v>
      </c>
      <c r="R28" s="101"/>
    </row>
    <row r="29" spans="1:18">
      <c r="A29" t="s">
        <v>2112</v>
      </c>
      <c r="B29" t="s">
        <v>566</v>
      </c>
      <c r="C29" s="101">
        <f>'26'!E$4</f>
        <v>326</v>
      </c>
      <c r="D29" s="101">
        <f>'26'!E7</f>
        <v>10412</v>
      </c>
      <c r="E29" s="101">
        <f>SUMIFS('26'!E$3:E$10000,'26'!$H$3:$H$10000,1)</f>
        <v>89966</v>
      </c>
      <c r="F29" s="101">
        <f>SUMIFS('26'!E$3:E$10000,'26'!$H$3:$H$10000,2)</f>
        <v>204301</v>
      </c>
      <c r="G29" s="101">
        <f t="shared" si="0"/>
        <v>305005</v>
      </c>
      <c r="H29" s="101"/>
      <c r="I29" s="101">
        <f>SUMIFS('Step 2'!W:W,'Step 2'!A:A,'Step 3 - Distributions'!A29,'Step 2'!B:B,"0")-C29</f>
        <v>324</v>
      </c>
      <c r="J29" s="101">
        <f>SUMIFS('Step 2'!O:O,'Step 2'!A:A,'Step 3 - Distributions'!A29)-D29</f>
        <v>10411</v>
      </c>
      <c r="K29" s="101">
        <f>SUMIFS('Step 2'!S:S,'Step 2'!A:A,'Step 3 - Distributions'!A29)-E29</f>
        <v>89964</v>
      </c>
      <c r="L29" s="101">
        <f>SUMIFS('Step 2'!Y:Y,'Step 2'!A:A,'Step 3 - Distributions'!A29)-SUMIFS('Step 2'!Y:Y,'Step 2'!A:A,'Step 3 - Distributions'!A29,'Step 2'!B:B,"0")-F29</f>
        <v>204285</v>
      </c>
      <c r="M29" s="101">
        <f t="shared" si="4"/>
        <v>304984</v>
      </c>
      <c r="N29" s="101"/>
      <c r="O29" s="102">
        <f t="shared" si="2"/>
        <v>609989</v>
      </c>
      <c r="P29" s="101">
        <f>'Allocation Worksheet'!D29</f>
        <v>609989</v>
      </c>
      <c r="Q29" s="103">
        <f t="shared" si="3"/>
        <v>0</v>
      </c>
      <c r="R29" s="101"/>
    </row>
    <row r="30" spans="1:18">
      <c r="A30" t="s">
        <v>2113</v>
      </c>
      <c r="B30" t="s">
        <v>591</v>
      </c>
      <c r="C30" s="101">
        <f>'27'!E$4</f>
        <v>240</v>
      </c>
      <c r="D30" s="101">
        <f>'27'!E7</f>
        <v>18206</v>
      </c>
      <c r="E30" s="101">
        <f>SUMIFS('27'!E$3:E$10000,'27'!$H$3:$H$10000,1)</f>
        <v>64054</v>
      </c>
      <c r="F30" s="101">
        <f>SUMIFS('27'!E$3:E$10000,'27'!$H$3:$H$10000,2)</f>
        <v>148268</v>
      </c>
      <c r="G30" s="101">
        <f t="shared" si="0"/>
        <v>230768</v>
      </c>
      <c r="H30" s="101"/>
      <c r="I30" s="101">
        <f>SUMIFS('Step 2'!W:W,'Step 2'!A:A,'Step 3 - Distributions'!A30,'Step 2'!B:B,"0")-C30</f>
        <v>239</v>
      </c>
      <c r="J30" s="101">
        <f>SUMIFS('Step 2'!O:O,'Step 2'!A:A,'Step 3 - Distributions'!A30)-D30</f>
        <v>18206</v>
      </c>
      <c r="K30" s="101">
        <f>SUMIFS('Step 2'!S:S,'Step 2'!A:A,'Step 3 - Distributions'!A30)-E30</f>
        <v>64052</v>
      </c>
      <c r="L30" s="101">
        <f>SUMIFS('Step 2'!Y:Y,'Step 2'!A:A,'Step 3 - Distributions'!A30)-SUMIFS('Step 2'!Y:Y,'Step 2'!A:A,'Step 3 - Distributions'!A30,'Step 2'!B:B,"0")-F30</f>
        <v>148240</v>
      </c>
      <c r="M30" s="101">
        <f t="shared" si="4"/>
        <v>230737</v>
      </c>
      <c r="N30" s="101"/>
      <c r="O30" s="102">
        <f t="shared" si="2"/>
        <v>461505</v>
      </c>
      <c r="P30" s="101">
        <f>'Allocation Worksheet'!D30</f>
        <v>461505</v>
      </c>
      <c r="Q30" s="103">
        <f t="shared" si="3"/>
        <v>0</v>
      </c>
      <c r="R30" s="101"/>
    </row>
    <row r="31" spans="1:18">
      <c r="A31" t="s">
        <v>2114</v>
      </c>
      <c r="B31" t="s">
        <v>622</v>
      </c>
      <c r="C31" s="101">
        <f>'28'!E$4</f>
        <v>140</v>
      </c>
      <c r="D31" s="101">
        <f>'28'!E7</f>
        <v>7726</v>
      </c>
      <c r="E31" s="101">
        <f>SUMIFS('28'!E$3:E$10000,'28'!$H$3:$H$10000,1)</f>
        <v>33444</v>
      </c>
      <c r="F31" s="101">
        <f>SUMIFS('28'!E$3:E$10000,'28'!$H$3:$H$10000,2)</f>
        <v>84483</v>
      </c>
      <c r="G31" s="101">
        <f t="shared" si="0"/>
        <v>125793</v>
      </c>
      <c r="H31" s="101"/>
      <c r="I31" s="101">
        <f>SUMIFS('Step 2'!W:W,'Step 2'!A:A,'Step 3 - Distributions'!A31,'Step 2'!B:B,"0")-C31</f>
        <v>137</v>
      </c>
      <c r="J31" s="101">
        <f>SUMIFS('Step 2'!O:O,'Step 2'!A:A,'Step 3 - Distributions'!A31)-D31</f>
        <v>7726</v>
      </c>
      <c r="K31" s="101">
        <f>SUMIFS('Step 2'!S:S,'Step 2'!A:A,'Step 3 - Distributions'!A31)-E31</f>
        <v>33441</v>
      </c>
      <c r="L31" s="101">
        <f>SUMIFS('Step 2'!Y:Y,'Step 2'!A:A,'Step 3 - Distributions'!A31)-SUMIFS('Step 2'!Y:Y,'Step 2'!A:A,'Step 3 - Distributions'!A31,'Step 2'!B:B,"0")-F31</f>
        <v>84458</v>
      </c>
      <c r="M31" s="101">
        <f t="shared" si="4"/>
        <v>125762</v>
      </c>
      <c r="N31" s="101"/>
      <c r="O31" s="102">
        <f t="shared" si="2"/>
        <v>251555</v>
      </c>
      <c r="P31" s="101">
        <f>'Allocation Worksheet'!D31</f>
        <v>251555</v>
      </c>
      <c r="Q31" s="103">
        <f t="shared" si="3"/>
        <v>0</v>
      </c>
      <c r="R31" s="101"/>
    </row>
    <row r="32" spans="1:18">
      <c r="A32" t="s">
        <v>2115</v>
      </c>
      <c r="B32" t="s">
        <v>646</v>
      </c>
      <c r="C32" s="101">
        <f>'29'!E$4</f>
        <v>760</v>
      </c>
      <c r="D32" s="101">
        <f>'29'!E7</f>
        <v>4562</v>
      </c>
      <c r="E32" s="101">
        <f>SUMIFS('29'!E$3:E$10000,'29'!$H$3:$H$10000,1)</f>
        <v>218566</v>
      </c>
      <c r="F32" s="101">
        <f>SUMIFS('29'!E$3:E$10000,'29'!$H$3:$H$10000,2)</f>
        <v>447830</v>
      </c>
      <c r="G32" s="101">
        <f t="shared" si="0"/>
        <v>671718</v>
      </c>
      <c r="H32" s="101"/>
      <c r="I32" s="101">
        <f>SUMIFS('Step 2'!W:W,'Step 2'!A:A,'Step 3 - Distributions'!A32,'Step 2'!B:B,"0")-C32</f>
        <v>759</v>
      </c>
      <c r="J32" s="101">
        <f>SUMIFS('Step 2'!O:O,'Step 2'!A:A,'Step 3 - Distributions'!A32)-D32</f>
        <v>4561</v>
      </c>
      <c r="K32" s="101">
        <f>SUMIFS('Step 2'!S:S,'Step 2'!A:A,'Step 3 - Distributions'!A32)-E32</f>
        <v>218564</v>
      </c>
      <c r="L32" s="101">
        <f>SUMIFS('Step 2'!Y:Y,'Step 2'!A:A,'Step 3 - Distributions'!A32)-SUMIFS('Step 2'!Y:Y,'Step 2'!A:A,'Step 3 - Distributions'!A32,'Step 2'!B:B,"0")-F32</f>
        <v>447807</v>
      </c>
      <c r="M32" s="101">
        <f t="shared" si="4"/>
        <v>671691</v>
      </c>
      <c r="N32" s="101"/>
      <c r="O32" s="102">
        <f t="shared" si="2"/>
        <v>1343409</v>
      </c>
      <c r="P32" s="101">
        <f>'Allocation Worksheet'!D32</f>
        <v>1343409</v>
      </c>
      <c r="Q32" s="103">
        <f t="shared" si="3"/>
        <v>0</v>
      </c>
      <c r="R32" s="101"/>
    </row>
    <row r="33" spans="1:18">
      <c r="A33" t="s">
        <v>2116</v>
      </c>
      <c r="B33" t="s">
        <v>668</v>
      </c>
      <c r="C33" s="101">
        <f>'30'!E$4</f>
        <v>442</v>
      </c>
      <c r="D33" s="101">
        <f>'30'!E7</f>
        <v>7266</v>
      </c>
      <c r="E33" s="101">
        <f>SUMIFS('30'!E$3:E$10000,'30'!$H$3:$H$10000,1)</f>
        <v>100585</v>
      </c>
      <c r="F33" s="101">
        <f>SUMIFS('30'!E$3:E$10000,'30'!$H$3:$H$10000,2)</f>
        <v>231627</v>
      </c>
      <c r="G33" s="101">
        <f t="shared" si="0"/>
        <v>339920</v>
      </c>
      <c r="H33" s="101"/>
      <c r="I33" s="101">
        <f>SUMIFS('Step 2'!W:W,'Step 2'!A:A,'Step 3 - Distributions'!A33,'Step 2'!B:B,"0")-C33</f>
        <v>440</v>
      </c>
      <c r="J33" s="101">
        <f>SUMIFS('Step 2'!O:O,'Step 2'!A:A,'Step 3 - Distributions'!A33)-D33</f>
        <v>7266</v>
      </c>
      <c r="K33" s="101">
        <f>SUMIFS('Step 2'!S:S,'Step 2'!A:A,'Step 3 - Distributions'!A33)-E33</f>
        <v>100583</v>
      </c>
      <c r="L33" s="101">
        <f>SUMIFS('Step 2'!Y:Y,'Step 2'!A:A,'Step 3 - Distributions'!A33)-SUMIFS('Step 2'!Y:Y,'Step 2'!A:A,'Step 3 - Distributions'!A33,'Step 2'!B:B,"0")-F33</f>
        <v>231616</v>
      </c>
      <c r="M33" s="101">
        <f t="shared" si="4"/>
        <v>339905</v>
      </c>
      <c r="N33" s="101"/>
      <c r="O33" s="102">
        <f t="shared" si="2"/>
        <v>679825</v>
      </c>
      <c r="P33" s="101">
        <f>'Allocation Worksheet'!D33</f>
        <v>679825</v>
      </c>
      <c r="Q33" s="103">
        <f t="shared" si="3"/>
        <v>0</v>
      </c>
      <c r="R33" s="101"/>
    </row>
    <row r="34" spans="1:18">
      <c r="A34" t="s">
        <v>2117</v>
      </c>
      <c r="B34" t="s">
        <v>689</v>
      </c>
      <c r="C34" s="101">
        <f>'31'!E$4</f>
        <v>169</v>
      </c>
      <c r="D34" s="101">
        <f>'31'!E7</f>
        <v>8845</v>
      </c>
      <c r="E34" s="101">
        <f>SUMIFS('31'!E$3:E$10000,'31'!$H$3:$H$10000,1)</f>
        <v>39474</v>
      </c>
      <c r="F34" s="101">
        <f>SUMIFS('31'!E$3:E$10000,'31'!$H$3:$H$10000,2)</f>
        <v>75526</v>
      </c>
      <c r="G34" s="101">
        <f t="shared" si="0"/>
        <v>124014</v>
      </c>
      <c r="H34" s="101"/>
      <c r="I34" s="101">
        <f>SUMIFS('Step 2'!W:W,'Step 2'!A:A,'Step 3 - Distributions'!A34,'Step 2'!B:B,"0")-C34</f>
        <v>171</v>
      </c>
      <c r="J34" s="101">
        <f>SUMIFS('Step 2'!O:O,'Step 2'!A:A,'Step 3 - Distributions'!A34)-D34</f>
        <v>8845</v>
      </c>
      <c r="K34" s="101">
        <f>SUMIFS('Step 2'!S:S,'Step 2'!A:A,'Step 3 - Distributions'!A34)-E34</f>
        <v>39472</v>
      </c>
      <c r="L34" s="101">
        <f>SUMIFS('Step 2'!Y:Y,'Step 2'!A:A,'Step 3 - Distributions'!A34)-SUMIFS('Step 2'!Y:Y,'Step 2'!A:A,'Step 3 - Distributions'!A34,'Step 2'!B:B,"0")-F34</f>
        <v>75503</v>
      </c>
      <c r="M34" s="101">
        <f t="shared" si="4"/>
        <v>123991</v>
      </c>
      <c r="N34" s="101"/>
      <c r="O34" s="102">
        <f t="shared" si="2"/>
        <v>248005</v>
      </c>
      <c r="P34" s="101">
        <f>'Allocation Worksheet'!D34</f>
        <v>248005</v>
      </c>
      <c r="Q34" s="103">
        <f t="shared" si="3"/>
        <v>0</v>
      </c>
      <c r="R34" s="101"/>
    </row>
    <row r="35" spans="1:18">
      <c r="A35" t="s">
        <v>2118</v>
      </c>
      <c r="B35" t="s">
        <v>712</v>
      </c>
      <c r="C35" s="101">
        <f>'32'!E$4</f>
        <v>686</v>
      </c>
      <c r="D35" s="101">
        <f>'32'!E7</f>
        <v>4813</v>
      </c>
      <c r="E35" s="101">
        <f>SUMIFS('32'!E$3:E$10000,'32'!$H$3:$H$10000,1)</f>
        <v>162732</v>
      </c>
      <c r="F35" s="101">
        <f>SUMIFS('32'!E$3:E$10000,'32'!$H$3:$H$10000,2)</f>
        <v>426847</v>
      </c>
      <c r="G35" s="101">
        <f t="shared" si="0"/>
        <v>595078</v>
      </c>
      <c r="H35" s="101"/>
      <c r="I35" s="101">
        <f>SUMIFS('Step 2'!W:W,'Step 2'!A:A,'Step 3 - Distributions'!A35,'Step 2'!B:B,"0")-C35</f>
        <v>686</v>
      </c>
      <c r="J35" s="101">
        <f>SUMIFS('Step 2'!O:O,'Step 2'!A:A,'Step 3 - Distributions'!A35)-D35</f>
        <v>4813</v>
      </c>
      <c r="K35" s="101">
        <f>SUMIFS('Step 2'!S:S,'Step 2'!A:A,'Step 3 - Distributions'!A35)-E35</f>
        <v>162729</v>
      </c>
      <c r="L35" s="101">
        <f>SUMIFS('Step 2'!Y:Y,'Step 2'!A:A,'Step 3 - Distributions'!A35)-SUMIFS('Step 2'!Y:Y,'Step 2'!A:A,'Step 3 - Distributions'!A35,'Step 2'!B:B,"0")-F35</f>
        <v>426825</v>
      </c>
      <c r="M35" s="101">
        <f t="shared" si="4"/>
        <v>595053</v>
      </c>
      <c r="N35" s="101"/>
      <c r="O35" s="102">
        <f t="shared" si="2"/>
        <v>1190131</v>
      </c>
      <c r="P35" s="101">
        <f>'Allocation Worksheet'!D35</f>
        <v>1190131</v>
      </c>
      <c r="Q35" s="103">
        <f t="shared" si="3"/>
        <v>0</v>
      </c>
      <c r="R35" s="101"/>
    </row>
    <row r="36" spans="1:18">
      <c r="A36" t="s">
        <v>2119</v>
      </c>
      <c r="B36" t="s">
        <v>741</v>
      </c>
      <c r="C36" s="101">
        <f>'33'!E$4</f>
        <v>161</v>
      </c>
      <c r="D36" s="101">
        <f>'33'!E7</f>
        <v>7421</v>
      </c>
      <c r="E36" s="101">
        <f>SUMIFS('33'!E$3:E$10000,'33'!$H$3:$H$10000,1)</f>
        <v>41282</v>
      </c>
      <c r="F36" s="101">
        <f>SUMIFS('33'!E$3:E$10000,'33'!$H$3:$H$10000,2)</f>
        <v>102026</v>
      </c>
      <c r="G36" s="101">
        <f t="shared" si="0"/>
        <v>150890</v>
      </c>
      <c r="H36" s="101"/>
      <c r="I36" s="101">
        <f>SUMIFS('Step 2'!W:W,'Step 2'!A:A,'Step 3 - Distributions'!A36,'Step 2'!B:B,"0")-C36</f>
        <v>160</v>
      </c>
      <c r="J36" s="101">
        <f>SUMIFS('Step 2'!O:O,'Step 2'!A:A,'Step 3 - Distributions'!A36)-D36</f>
        <v>7420</v>
      </c>
      <c r="K36" s="101">
        <f>SUMIFS('Step 2'!S:S,'Step 2'!A:A,'Step 3 - Distributions'!A36)-E36</f>
        <v>41278</v>
      </c>
      <c r="L36" s="101">
        <f>SUMIFS('Step 2'!Y:Y,'Step 2'!A:A,'Step 3 - Distributions'!A36)-SUMIFS('Step 2'!Y:Y,'Step 2'!A:A,'Step 3 - Distributions'!A36,'Step 2'!B:B,"0")-F36</f>
        <v>102003</v>
      </c>
      <c r="M36" s="101">
        <f t="shared" si="4"/>
        <v>150861</v>
      </c>
      <c r="N36" s="101"/>
      <c r="O36" s="102">
        <f t="shared" si="2"/>
        <v>301751</v>
      </c>
      <c r="P36" s="101">
        <f>'Allocation Worksheet'!D36</f>
        <v>301751</v>
      </c>
      <c r="Q36" s="103">
        <f t="shared" si="3"/>
        <v>0</v>
      </c>
      <c r="R36" s="101"/>
    </row>
    <row r="37" spans="1:18">
      <c r="A37" t="s">
        <v>2120</v>
      </c>
      <c r="B37" t="s">
        <v>774</v>
      </c>
      <c r="C37" s="101">
        <f>'34'!E$4</f>
        <v>304</v>
      </c>
      <c r="D37" s="101">
        <f>'34'!E7</f>
        <v>6141</v>
      </c>
      <c r="E37" s="101">
        <f>SUMIFS('34'!E$3:E$10000,'34'!$H$3:$H$10000,1)</f>
        <v>78620</v>
      </c>
      <c r="F37" s="101">
        <f>SUMIFS('34'!E$3:E$10000,'34'!$H$3:$H$10000,2)</f>
        <v>187859</v>
      </c>
      <c r="G37" s="101">
        <f t="shared" si="0"/>
        <v>272924</v>
      </c>
      <c r="H37" s="101"/>
      <c r="I37" s="101">
        <f>SUMIFS('Step 2'!W:W,'Step 2'!A:A,'Step 3 - Distributions'!A37,'Step 2'!B:B,"0")-C37</f>
        <v>302</v>
      </c>
      <c r="J37" s="101">
        <f>SUMIFS('Step 2'!O:O,'Step 2'!A:A,'Step 3 - Distributions'!A37)-D37</f>
        <v>6141</v>
      </c>
      <c r="K37" s="101">
        <f>SUMIFS('Step 2'!S:S,'Step 2'!A:A,'Step 3 - Distributions'!A37)-E37</f>
        <v>78618</v>
      </c>
      <c r="L37" s="101">
        <f>SUMIFS('Step 2'!Y:Y,'Step 2'!A:A,'Step 3 - Distributions'!A37)-SUMIFS('Step 2'!Y:Y,'Step 2'!A:A,'Step 3 - Distributions'!A37,'Step 2'!B:B,"0")-F37</f>
        <v>187843</v>
      </c>
      <c r="M37" s="101">
        <f t="shared" si="4"/>
        <v>272904</v>
      </c>
      <c r="N37" s="101"/>
      <c r="O37" s="102">
        <f t="shared" si="2"/>
        <v>545828</v>
      </c>
      <c r="P37" s="101">
        <f>'Allocation Worksheet'!D37</f>
        <v>545828</v>
      </c>
      <c r="Q37" s="103">
        <f t="shared" si="3"/>
        <v>0</v>
      </c>
      <c r="R37" s="101"/>
    </row>
    <row r="38" spans="1:18">
      <c r="A38" t="s">
        <v>2121</v>
      </c>
      <c r="B38" t="s">
        <v>790</v>
      </c>
      <c r="C38" s="101">
        <f>'35'!E$4</f>
        <v>231</v>
      </c>
      <c r="D38" s="101">
        <f>'35'!E7</f>
        <v>7077</v>
      </c>
      <c r="E38" s="101">
        <f>SUMIFS('35'!E$3:E$10000,'35'!$H$3:$H$10000,1)</f>
        <v>52362</v>
      </c>
      <c r="F38" s="101">
        <f>SUMIFS('35'!E$3:E$10000,'35'!$H$3:$H$10000,2)</f>
        <v>139947</v>
      </c>
      <c r="G38" s="101">
        <f t="shared" si="0"/>
        <v>199617</v>
      </c>
      <c r="H38" s="101"/>
      <c r="I38" s="101">
        <f>SUMIFS('Step 2'!W:W,'Step 2'!A:A,'Step 3 - Distributions'!A38,'Step 2'!B:B,"0")-C38</f>
        <v>230</v>
      </c>
      <c r="J38" s="101">
        <f>SUMIFS('Step 2'!O:O,'Step 2'!A:A,'Step 3 - Distributions'!A38)-D38</f>
        <v>7076</v>
      </c>
      <c r="K38" s="101">
        <f>SUMIFS('Step 2'!S:S,'Step 2'!A:A,'Step 3 - Distributions'!A38)-E38</f>
        <v>52361</v>
      </c>
      <c r="L38" s="101">
        <f>SUMIFS('Step 2'!Y:Y,'Step 2'!A:A,'Step 3 - Distributions'!A38)-SUMIFS('Step 2'!Y:Y,'Step 2'!A:A,'Step 3 - Distributions'!A38,'Step 2'!B:B,"0")-F38</f>
        <v>139930</v>
      </c>
      <c r="M38" s="101">
        <f t="shared" si="4"/>
        <v>199597</v>
      </c>
      <c r="N38" s="101"/>
      <c r="O38" s="102">
        <f t="shared" si="2"/>
        <v>399214</v>
      </c>
      <c r="P38" s="101">
        <f>'Allocation Worksheet'!D38</f>
        <v>399214</v>
      </c>
      <c r="Q38" s="103">
        <f t="shared" si="3"/>
        <v>0</v>
      </c>
      <c r="R38" s="101"/>
    </row>
    <row r="39" spans="1:18">
      <c r="A39" t="s">
        <v>2122</v>
      </c>
      <c r="B39" t="s">
        <v>811</v>
      </c>
      <c r="C39" s="101">
        <f>'36'!E$4</f>
        <v>381</v>
      </c>
      <c r="D39" s="101">
        <f>'36'!E7</f>
        <v>7636</v>
      </c>
      <c r="E39" s="101">
        <f>SUMIFS('36'!E$3:E$10000,'36'!$H$3:$H$10000,1)</f>
        <v>80388</v>
      </c>
      <c r="F39" s="101">
        <f>SUMIFS('36'!E$3:E$10000,'36'!$H$3:$H$10000,2)</f>
        <v>162662</v>
      </c>
      <c r="G39" s="101">
        <f t="shared" si="0"/>
        <v>251067</v>
      </c>
      <c r="H39" s="101"/>
      <c r="I39" s="101">
        <f>SUMIFS('Step 2'!W:W,'Step 2'!A:A,'Step 3 - Distributions'!A39,'Step 2'!B:B,"0")-C39</f>
        <v>380</v>
      </c>
      <c r="J39" s="101">
        <f>SUMIFS('Step 2'!O:O,'Step 2'!A:A,'Step 3 - Distributions'!A39)-D39</f>
        <v>7635</v>
      </c>
      <c r="K39" s="101">
        <f>SUMIFS('Step 2'!S:S,'Step 2'!A:A,'Step 3 - Distributions'!A39)-E39</f>
        <v>80386</v>
      </c>
      <c r="L39" s="101">
        <f>SUMIFS('Step 2'!Y:Y,'Step 2'!A:A,'Step 3 - Distributions'!A39)-SUMIFS('Step 2'!Y:Y,'Step 2'!A:A,'Step 3 - Distributions'!A39,'Step 2'!B:B,"0")-F39</f>
        <v>162649</v>
      </c>
      <c r="M39" s="101">
        <f t="shared" si="4"/>
        <v>251050</v>
      </c>
      <c r="N39" s="101"/>
      <c r="O39" s="102">
        <f t="shared" si="2"/>
        <v>502117</v>
      </c>
      <c r="P39" s="101">
        <f>'Allocation Worksheet'!D39</f>
        <v>502117</v>
      </c>
      <c r="Q39" s="103">
        <f t="shared" si="3"/>
        <v>0</v>
      </c>
      <c r="R39" s="101"/>
    </row>
    <row r="40" spans="1:18">
      <c r="A40" t="s">
        <v>2123</v>
      </c>
      <c r="B40" t="s">
        <v>830</v>
      </c>
      <c r="C40" s="101">
        <f>'37'!E$4</f>
        <v>488</v>
      </c>
      <c r="D40" s="101">
        <f>'37'!E7</f>
        <v>11328</v>
      </c>
      <c r="E40" s="101">
        <f>SUMIFS('37'!E$3:E$10000,'37'!$H$3:$H$10000,1)</f>
        <v>132927</v>
      </c>
      <c r="F40" s="101">
        <f>SUMIFS('37'!E$3:E$10000,'37'!$H$3:$H$10000,2)</f>
        <v>208124</v>
      </c>
      <c r="G40" s="101">
        <f t="shared" si="0"/>
        <v>352867</v>
      </c>
      <c r="H40" s="101"/>
      <c r="I40" s="101">
        <f>SUMIFS('Step 2'!W:W,'Step 2'!A:A,'Step 3 - Distributions'!A40,'Step 2'!B:B,"0")-C40</f>
        <v>489</v>
      </c>
      <c r="J40" s="101">
        <f>SUMIFS('Step 2'!O:O,'Step 2'!A:A,'Step 3 - Distributions'!A40)-D40</f>
        <v>11327</v>
      </c>
      <c r="K40" s="101">
        <f>SUMIFS('Step 2'!S:S,'Step 2'!A:A,'Step 3 - Distributions'!A40)-E40</f>
        <v>132925</v>
      </c>
      <c r="L40" s="101">
        <f>SUMIFS('Step 2'!Y:Y,'Step 2'!A:A,'Step 3 - Distributions'!A40)-SUMIFS('Step 2'!Y:Y,'Step 2'!A:A,'Step 3 - Distributions'!A40,'Step 2'!B:B,"0")-F40</f>
        <v>208102</v>
      </c>
      <c r="M40" s="101">
        <f t="shared" si="4"/>
        <v>352843</v>
      </c>
      <c r="N40" s="101"/>
      <c r="O40" s="102">
        <f t="shared" si="2"/>
        <v>705710</v>
      </c>
      <c r="P40" s="101">
        <f>'Allocation Worksheet'!D40</f>
        <v>705710</v>
      </c>
      <c r="Q40" s="103">
        <f t="shared" si="3"/>
        <v>0</v>
      </c>
      <c r="R40" s="101"/>
    </row>
    <row r="41" spans="1:18">
      <c r="A41" t="s">
        <v>2184</v>
      </c>
      <c r="B41" t="s">
        <v>853</v>
      </c>
      <c r="C41" s="101">
        <f>'38'!E$4</f>
        <v>83</v>
      </c>
      <c r="D41" s="101">
        <f>'38'!E7</f>
        <v>2967</v>
      </c>
      <c r="E41" s="101">
        <f>SUMIFS('38'!E$3:E$10000,'38'!$H$3:$H$10000,1)</f>
        <v>16181</v>
      </c>
      <c r="F41" s="101">
        <f>SUMIFS('38'!E$3:E$10000,'38'!$H$3:$H$10000,2)</f>
        <v>48648</v>
      </c>
      <c r="G41" s="101">
        <f t="shared" si="0"/>
        <v>67879</v>
      </c>
      <c r="H41" s="101"/>
      <c r="I41" s="101">
        <f>SUMIFS('Step 2'!W:W,'Step 2'!A:A,'Step 3 - Distributions'!A41,'Step 2'!B:B,"0")-C41</f>
        <v>80</v>
      </c>
      <c r="J41" s="101">
        <f>SUMIFS('Step 2'!O:O,'Step 2'!A:A,'Step 3 - Distributions'!A41)-D41</f>
        <v>2967</v>
      </c>
      <c r="K41" s="101">
        <f>SUMIFS('Step 2'!S:S,'Step 2'!A:A,'Step 3 - Distributions'!A41)-E41</f>
        <v>16180</v>
      </c>
      <c r="L41" s="101">
        <f>SUMIFS('Step 2'!Y:Y,'Step 2'!A:A,'Step 3 - Distributions'!A41)-SUMIFS('Step 2'!Y:Y,'Step 2'!A:A,'Step 3 - Distributions'!A41,'Step 2'!B:B,"0")-F41</f>
        <v>48633</v>
      </c>
      <c r="M41" s="101">
        <f t="shared" si="4"/>
        <v>67860</v>
      </c>
      <c r="N41" s="101"/>
      <c r="O41" s="102">
        <f t="shared" si="2"/>
        <v>135739</v>
      </c>
      <c r="P41" s="101">
        <f>'Allocation Worksheet'!D41</f>
        <v>135739</v>
      </c>
      <c r="Q41" s="103">
        <f t="shared" si="3"/>
        <v>0</v>
      </c>
      <c r="R41" s="101"/>
    </row>
    <row r="42" spans="1:18">
      <c r="A42" t="s">
        <v>2185</v>
      </c>
      <c r="B42" t="s">
        <v>867</v>
      </c>
      <c r="C42" s="101">
        <f>'39'!E$4</f>
        <v>50</v>
      </c>
      <c r="D42" s="101">
        <f>'39'!E7</f>
        <v>4044</v>
      </c>
      <c r="E42" s="101">
        <f>SUMIFS('39'!E$3:E$10000,'39'!$H$3:$H$10000,1)</f>
        <v>10636</v>
      </c>
      <c r="F42" s="101">
        <f>SUMIFS('39'!E$3:E$10000,'39'!$H$3:$H$10000,2)</f>
        <v>27481</v>
      </c>
      <c r="G42" s="101">
        <f t="shared" si="0"/>
        <v>42211</v>
      </c>
      <c r="H42" s="101"/>
      <c r="I42" s="101">
        <f>SUMIFS('Step 2'!W:W,'Step 2'!A:A,'Step 3 - Distributions'!A42,'Step 2'!B:B,"0")-C42</f>
        <v>51</v>
      </c>
      <c r="J42" s="101">
        <f>SUMIFS('Step 2'!O:O,'Step 2'!A:A,'Step 3 - Distributions'!A42)-D42</f>
        <v>4043</v>
      </c>
      <c r="K42" s="101">
        <f>SUMIFS('Step 2'!S:S,'Step 2'!A:A,'Step 3 - Distributions'!A42)-E42</f>
        <v>10635</v>
      </c>
      <c r="L42" s="101">
        <f>SUMIFS('Step 2'!Y:Y,'Step 2'!A:A,'Step 3 - Distributions'!A42)-SUMIFS('Step 2'!Y:Y,'Step 2'!A:A,'Step 3 - Distributions'!A42,'Step 2'!B:B,"0")-F42</f>
        <v>27469</v>
      </c>
      <c r="M42" s="101">
        <f t="shared" si="4"/>
        <v>42198</v>
      </c>
      <c r="N42" s="101"/>
      <c r="O42" s="102">
        <f t="shared" si="2"/>
        <v>84409</v>
      </c>
      <c r="P42" s="101">
        <f>'Allocation Worksheet'!D42</f>
        <v>84409</v>
      </c>
      <c r="Q42" s="103">
        <f t="shared" si="3"/>
        <v>0</v>
      </c>
      <c r="R42" s="101"/>
    </row>
    <row r="43" spans="1:18">
      <c r="A43" t="s">
        <v>2124</v>
      </c>
      <c r="B43" t="s">
        <v>883</v>
      </c>
      <c r="C43" s="101">
        <f>'40'!E$4</f>
        <v>181</v>
      </c>
      <c r="D43" s="101">
        <f>'40'!E7</f>
        <v>8135</v>
      </c>
      <c r="E43" s="101">
        <f>SUMIFS('40'!E$3:E$10000,'40'!$H$3:$H$10000,1)</f>
        <v>32072</v>
      </c>
      <c r="F43" s="101">
        <f>SUMIFS('40'!E$3:E$10000,'40'!$H$3:$H$10000,2)</f>
        <v>98351</v>
      </c>
      <c r="G43" s="101">
        <f t="shared" si="0"/>
        <v>138739</v>
      </c>
      <c r="H43" s="101"/>
      <c r="I43" s="101">
        <f>SUMIFS('Step 2'!W:W,'Step 2'!A:A,'Step 3 - Distributions'!A43,'Step 2'!B:B,"0")-C43</f>
        <v>180</v>
      </c>
      <c r="J43" s="101">
        <f>SUMIFS('Step 2'!O:O,'Step 2'!A:A,'Step 3 - Distributions'!A43)-D43</f>
        <v>8135</v>
      </c>
      <c r="K43" s="101">
        <f>SUMIFS('Step 2'!S:S,'Step 2'!A:A,'Step 3 - Distributions'!A43)-E43</f>
        <v>32072</v>
      </c>
      <c r="L43" s="101">
        <f>SUMIFS('Step 2'!Y:Y,'Step 2'!A:A,'Step 3 - Distributions'!A43)-SUMIFS('Step 2'!Y:Y,'Step 2'!A:A,'Step 3 - Distributions'!A43,'Step 2'!B:B,"0")-F43</f>
        <v>98339</v>
      </c>
      <c r="M43" s="101">
        <f t="shared" si="4"/>
        <v>138726</v>
      </c>
      <c r="N43" s="101"/>
      <c r="O43" s="102">
        <f t="shared" si="2"/>
        <v>277465</v>
      </c>
      <c r="P43" s="101">
        <f>'Allocation Worksheet'!D43</f>
        <v>277465</v>
      </c>
      <c r="Q43" s="103">
        <f t="shared" si="3"/>
        <v>0</v>
      </c>
      <c r="R43" s="101"/>
    </row>
    <row r="44" spans="1:18">
      <c r="A44" t="s">
        <v>2125</v>
      </c>
      <c r="B44" t="s">
        <v>894</v>
      </c>
      <c r="C44" s="101">
        <f>'41'!E$4</f>
        <v>361</v>
      </c>
      <c r="D44" s="101">
        <f>'41'!E7</f>
        <v>4038</v>
      </c>
      <c r="E44" s="101">
        <f>SUMIFS('41'!E$3:E$10000,'41'!$H$3:$H$10000,1)</f>
        <v>79927</v>
      </c>
      <c r="F44" s="101">
        <f>SUMIFS('41'!E$3:E$10000,'41'!$H$3:$H$10000,2)</f>
        <v>213690</v>
      </c>
      <c r="G44" s="101">
        <f t="shared" si="0"/>
        <v>298016</v>
      </c>
      <c r="H44" s="101"/>
      <c r="I44" s="101">
        <f>SUMIFS('Step 2'!W:W,'Step 2'!A:A,'Step 3 - Distributions'!A44,'Step 2'!B:B,"0")-C44</f>
        <v>360</v>
      </c>
      <c r="J44" s="101">
        <f>SUMIFS('Step 2'!O:O,'Step 2'!A:A,'Step 3 - Distributions'!A44)-D44</f>
        <v>4037</v>
      </c>
      <c r="K44" s="101">
        <f>SUMIFS('Step 2'!S:S,'Step 2'!A:A,'Step 3 - Distributions'!A44)-E44</f>
        <v>79921</v>
      </c>
      <c r="L44" s="101">
        <f>SUMIFS('Step 2'!Y:Y,'Step 2'!A:A,'Step 3 - Distributions'!A44)-SUMIFS('Step 2'!Y:Y,'Step 2'!A:A,'Step 3 - Distributions'!A44,'Step 2'!B:B,"0")-F44</f>
        <v>213674</v>
      </c>
      <c r="M44" s="101">
        <f t="shared" si="4"/>
        <v>297992</v>
      </c>
      <c r="N44" s="101"/>
      <c r="O44" s="102">
        <f t="shared" si="2"/>
        <v>596008</v>
      </c>
      <c r="P44" s="101">
        <f>'Allocation Worksheet'!D44</f>
        <v>596008</v>
      </c>
      <c r="Q44" s="103">
        <f t="shared" si="3"/>
        <v>0</v>
      </c>
      <c r="R44" s="101"/>
    </row>
    <row r="45" spans="1:18">
      <c r="A45" t="s">
        <v>2126</v>
      </c>
      <c r="B45" t="s">
        <v>923</v>
      </c>
      <c r="C45" s="101">
        <f>'42'!E$4</f>
        <v>299</v>
      </c>
      <c r="D45" s="101">
        <f>'42'!E7</f>
        <v>16248</v>
      </c>
      <c r="E45" s="101">
        <f>SUMIFS('42'!E$3:E$10000,'42'!$H$3:$H$10000,1)</f>
        <v>73365</v>
      </c>
      <c r="F45" s="101">
        <f>SUMIFS('42'!E$3:E$10000,'42'!$H$3:$H$10000,2)</f>
        <v>186873</v>
      </c>
      <c r="G45" s="101">
        <f t="shared" si="0"/>
        <v>276785</v>
      </c>
      <c r="H45" s="101"/>
      <c r="I45" s="101">
        <f>SUMIFS('Step 2'!W:W,'Step 2'!A:A,'Step 3 - Distributions'!A45,'Step 2'!B:B,"0")-C45</f>
        <v>300</v>
      </c>
      <c r="J45" s="101">
        <f>SUMIFS('Step 2'!O:O,'Step 2'!A:A,'Step 3 - Distributions'!A45)-D45</f>
        <v>16247</v>
      </c>
      <c r="K45" s="101">
        <f>SUMIFS('Step 2'!S:S,'Step 2'!A:A,'Step 3 - Distributions'!A45)-E45</f>
        <v>73364</v>
      </c>
      <c r="L45" s="101">
        <f>SUMIFS('Step 2'!Y:Y,'Step 2'!A:A,'Step 3 - Distributions'!A45)-SUMIFS('Step 2'!Y:Y,'Step 2'!A:A,'Step 3 - Distributions'!A45,'Step 2'!B:B,"0")-F45</f>
        <v>186855</v>
      </c>
      <c r="M45" s="101">
        <f t="shared" si="4"/>
        <v>276766</v>
      </c>
      <c r="N45" s="101"/>
      <c r="O45" s="102">
        <f t="shared" si="2"/>
        <v>553551</v>
      </c>
      <c r="P45" s="101">
        <f>'Allocation Worksheet'!D45</f>
        <v>553551</v>
      </c>
      <c r="Q45" s="103">
        <f t="shared" si="3"/>
        <v>0</v>
      </c>
      <c r="R45" s="101"/>
    </row>
    <row r="46" spans="1:18">
      <c r="A46" t="s">
        <v>2127</v>
      </c>
      <c r="B46" t="s">
        <v>951</v>
      </c>
      <c r="C46" s="101">
        <f>'43'!E$4</f>
        <v>439</v>
      </c>
      <c r="D46" s="101">
        <f>'43'!E7</f>
        <v>5048</v>
      </c>
      <c r="E46" s="101">
        <f>SUMIFS('43'!E$3:E$10000,'43'!$H$3:$H$10000,1)</f>
        <v>108865</v>
      </c>
      <c r="F46" s="101">
        <f>SUMIFS('43'!E$3:E$10000,'43'!$H$3:$H$10000,2)</f>
        <v>193215</v>
      </c>
      <c r="G46" s="101">
        <f t="shared" si="0"/>
        <v>307567</v>
      </c>
      <c r="H46" s="101"/>
      <c r="I46" s="101">
        <f>SUMIFS('Step 2'!W:W,'Step 2'!A:A,'Step 3 - Distributions'!A46,'Step 2'!B:B,"0")-C46</f>
        <v>435</v>
      </c>
      <c r="J46" s="101">
        <f>SUMIFS('Step 2'!O:O,'Step 2'!A:A,'Step 3 - Distributions'!A46)-D46</f>
        <v>5047</v>
      </c>
      <c r="K46" s="101">
        <f>SUMIFS('Step 2'!S:S,'Step 2'!A:A,'Step 3 - Distributions'!A46)-E46</f>
        <v>108862</v>
      </c>
      <c r="L46" s="101">
        <f>SUMIFS('Step 2'!Y:Y,'Step 2'!A:A,'Step 3 - Distributions'!A46)-SUMIFS('Step 2'!Y:Y,'Step 2'!A:A,'Step 3 - Distributions'!A46,'Step 2'!B:B,"0")-F46</f>
        <v>193190</v>
      </c>
      <c r="M46" s="101">
        <f t="shared" si="4"/>
        <v>307534</v>
      </c>
      <c r="N46" s="101"/>
      <c r="O46" s="102">
        <f t="shared" si="2"/>
        <v>615101</v>
      </c>
      <c r="P46" s="101">
        <f>'Allocation Worksheet'!D46</f>
        <v>615101</v>
      </c>
      <c r="Q46" s="103">
        <f t="shared" si="3"/>
        <v>0</v>
      </c>
      <c r="R46" s="101"/>
    </row>
    <row r="47" spans="1:18">
      <c r="A47" t="s">
        <v>2128</v>
      </c>
      <c r="B47" t="s">
        <v>980</v>
      </c>
      <c r="C47" s="101">
        <f>'44'!E$4</f>
        <v>161</v>
      </c>
      <c r="D47" s="101">
        <f>'44'!E7</f>
        <v>6038</v>
      </c>
      <c r="E47" s="101">
        <f>SUMIFS('44'!E$3:E$10000,'44'!$H$3:$H$10000,1)</f>
        <v>37199</v>
      </c>
      <c r="F47" s="101">
        <f>SUMIFS('44'!E$3:E$10000,'44'!$H$3:$H$10000,2)</f>
        <v>72251</v>
      </c>
      <c r="G47" s="101">
        <f t="shared" si="0"/>
        <v>115649</v>
      </c>
      <c r="H47" s="101"/>
      <c r="I47" s="101">
        <f>SUMIFS('Step 2'!W:W,'Step 2'!A:A,'Step 3 - Distributions'!A47,'Step 2'!B:B,"0")-C47</f>
        <v>160</v>
      </c>
      <c r="J47" s="101">
        <f>SUMIFS('Step 2'!O:O,'Step 2'!A:A,'Step 3 - Distributions'!A47)-D47</f>
        <v>6037</v>
      </c>
      <c r="K47" s="101">
        <f>SUMIFS('Step 2'!S:S,'Step 2'!A:A,'Step 3 - Distributions'!A47)-E47</f>
        <v>37198</v>
      </c>
      <c r="L47" s="101">
        <f>SUMIFS('Step 2'!Y:Y,'Step 2'!A:A,'Step 3 - Distributions'!A47)-SUMIFS('Step 2'!Y:Y,'Step 2'!A:A,'Step 3 - Distributions'!A47,'Step 2'!B:B,"0")-F47</f>
        <v>72239</v>
      </c>
      <c r="M47" s="101">
        <f t="shared" si="4"/>
        <v>115634</v>
      </c>
      <c r="N47" s="101"/>
      <c r="O47" s="102">
        <f t="shared" si="2"/>
        <v>231283</v>
      </c>
      <c r="P47" s="101">
        <f>'Allocation Worksheet'!D47</f>
        <v>231283</v>
      </c>
      <c r="Q47" s="103">
        <f t="shared" si="3"/>
        <v>0</v>
      </c>
      <c r="R47" s="101"/>
    </row>
    <row r="48" spans="1:18">
      <c r="A48" t="s">
        <v>2129</v>
      </c>
      <c r="B48" t="s">
        <v>997</v>
      </c>
      <c r="C48" s="101">
        <f>'45'!E$4</f>
        <v>1275</v>
      </c>
      <c r="D48" s="101">
        <f>'45'!E7</f>
        <v>273147</v>
      </c>
      <c r="E48" s="101">
        <f>SUMIFS('45'!E$3:E$10000,'45'!$H$3:$H$10000,1)</f>
        <v>407087</v>
      </c>
      <c r="F48" s="101">
        <f>SUMIFS('45'!E$3:E$10000,'45'!$H$3:$H$10000,2)</f>
        <v>2029902</v>
      </c>
      <c r="G48" s="101">
        <f t="shared" si="0"/>
        <v>2711411</v>
      </c>
      <c r="H48" s="101"/>
      <c r="I48" s="101">
        <f>SUMIFS('Step 2'!W:W,'Step 2'!A:A,'Step 3 - Distributions'!A48,'Step 2'!B:B,"0")-C48</f>
        <v>1270</v>
      </c>
      <c r="J48" s="101">
        <f>SUMIFS('Step 2'!O:O,'Step 2'!A:A,'Step 3 - Distributions'!A48)-D48</f>
        <v>273146</v>
      </c>
      <c r="K48" s="101">
        <f>SUMIFS('Step 2'!S:S,'Step 2'!A:A,'Step 3 - Distributions'!A48)-E48</f>
        <v>407079</v>
      </c>
      <c r="L48" s="101">
        <f>SUMIFS('Step 2'!Y:Y,'Step 2'!A:A,'Step 3 - Distributions'!A48)-SUMIFS('Step 2'!Y:Y,'Step 2'!A:A,'Step 3 - Distributions'!A48,'Step 2'!B:B,"0")-F48</f>
        <v>2029868</v>
      </c>
      <c r="M48" s="101">
        <f t="shared" si="4"/>
        <v>2711363</v>
      </c>
      <c r="N48" s="101"/>
      <c r="O48" s="102">
        <f t="shared" si="2"/>
        <v>5422774</v>
      </c>
      <c r="P48" s="101">
        <f>'Allocation Worksheet'!D48</f>
        <v>5422774</v>
      </c>
      <c r="Q48" s="103">
        <f t="shared" si="3"/>
        <v>0</v>
      </c>
      <c r="R48" s="101"/>
    </row>
    <row r="49" spans="1:18">
      <c r="A49" t="s">
        <v>2130</v>
      </c>
      <c r="B49" t="s">
        <v>1066</v>
      </c>
      <c r="C49" s="101">
        <f>'46'!E$4</f>
        <v>635</v>
      </c>
      <c r="D49" s="101">
        <f>'46'!E7</f>
        <v>38862</v>
      </c>
      <c r="E49" s="101">
        <f>SUMIFS('46'!E$3:E$10000,'46'!$H$3:$H$10000,1)</f>
        <v>170923</v>
      </c>
      <c r="F49" s="101">
        <f>SUMIFS('46'!E$3:E$10000,'46'!$H$3:$H$10000,2)</f>
        <v>463519</v>
      </c>
      <c r="G49" s="101">
        <f t="shared" si="0"/>
        <v>673939</v>
      </c>
      <c r="H49" s="101"/>
      <c r="I49" s="101">
        <f>SUMIFS('Step 2'!W:W,'Step 2'!A:A,'Step 3 - Distributions'!A49,'Step 2'!B:B,"0")-C49</f>
        <v>637</v>
      </c>
      <c r="J49" s="101">
        <f>SUMIFS('Step 2'!O:O,'Step 2'!A:A,'Step 3 - Distributions'!A49)-D49</f>
        <v>38862</v>
      </c>
      <c r="K49" s="101">
        <f>SUMIFS('Step 2'!S:S,'Step 2'!A:A,'Step 3 - Distributions'!A49)-E49</f>
        <v>170919</v>
      </c>
      <c r="L49" s="101">
        <f>SUMIFS('Step 2'!Y:Y,'Step 2'!A:A,'Step 3 - Distributions'!A49)-SUMIFS('Step 2'!Y:Y,'Step 2'!A:A,'Step 3 - Distributions'!A49,'Step 2'!B:B,"0")-F49</f>
        <v>463477</v>
      </c>
      <c r="M49" s="101">
        <f t="shared" si="4"/>
        <v>673895</v>
      </c>
      <c r="N49" s="101"/>
      <c r="O49" s="102">
        <f t="shared" si="2"/>
        <v>1347834</v>
      </c>
      <c r="P49" s="101">
        <f>'Allocation Worksheet'!D49</f>
        <v>1347834</v>
      </c>
      <c r="Q49" s="103">
        <f t="shared" si="3"/>
        <v>0</v>
      </c>
      <c r="R49" s="101"/>
    </row>
    <row r="50" spans="1:18">
      <c r="A50" t="s">
        <v>2131</v>
      </c>
      <c r="B50" t="s">
        <v>1104</v>
      </c>
      <c r="C50" s="101">
        <f>'47'!E$4</f>
        <v>198</v>
      </c>
      <c r="D50" s="101">
        <f>'47'!E7</f>
        <v>10057</v>
      </c>
      <c r="E50" s="101">
        <f>SUMIFS('47'!E$3:E$10000,'47'!$H$3:$H$10000,1)</f>
        <v>44425</v>
      </c>
      <c r="F50" s="101">
        <f>SUMIFS('47'!E$3:E$10000,'47'!$H$3:$H$10000,2)</f>
        <v>148417</v>
      </c>
      <c r="G50" s="101">
        <f t="shared" si="0"/>
        <v>203097</v>
      </c>
      <c r="H50" s="101"/>
      <c r="I50" s="101">
        <f>SUMIFS('Step 2'!W:W,'Step 2'!A:A,'Step 3 - Distributions'!A50,'Step 2'!B:B,"0")-C50</f>
        <v>197</v>
      </c>
      <c r="J50" s="101">
        <f>SUMIFS('Step 2'!O:O,'Step 2'!A:A,'Step 3 - Distributions'!A50)-D50</f>
        <v>10056</v>
      </c>
      <c r="K50" s="101">
        <f>SUMIFS('Step 2'!S:S,'Step 2'!A:A,'Step 3 - Distributions'!A50)-E50</f>
        <v>44424</v>
      </c>
      <c r="L50" s="101">
        <f>SUMIFS('Step 2'!Y:Y,'Step 2'!A:A,'Step 3 - Distributions'!A50)-SUMIFS('Step 2'!Y:Y,'Step 2'!A:A,'Step 3 - Distributions'!A50,'Step 2'!B:B,"0")-F50</f>
        <v>148404</v>
      </c>
      <c r="M50" s="101">
        <f t="shared" si="4"/>
        <v>203081</v>
      </c>
      <c r="N50" s="101"/>
      <c r="O50" s="102">
        <f t="shared" si="2"/>
        <v>406178</v>
      </c>
      <c r="P50" s="101">
        <f>'Allocation Worksheet'!D50</f>
        <v>406178</v>
      </c>
      <c r="Q50" s="103">
        <f t="shared" si="3"/>
        <v>0</v>
      </c>
      <c r="R50" s="101"/>
    </row>
    <row r="51" spans="1:18">
      <c r="A51" t="s">
        <v>2132</v>
      </c>
      <c r="B51" t="s">
        <v>1121</v>
      </c>
      <c r="C51" s="101">
        <f>'48'!E$4</f>
        <v>563</v>
      </c>
      <c r="D51" s="101">
        <f>'48'!E7</f>
        <v>38809</v>
      </c>
      <c r="E51" s="101">
        <f>SUMIFS('48'!E$3:E$10000,'48'!$H$3:$H$10000,1)</f>
        <v>120655</v>
      </c>
      <c r="F51" s="101">
        <f>SUMIFS('48'!E$3:E$10000,'48'!$H$3:$H$10000,2)</f>
        <v>451303</v>
      </c>
      <c r="G51" s="101">
        <f t="shared" si="0"/>
        <v>611330</v>
      </c>
      <c r="H51" s="101"/>
      <c r="I51" s="101">
        <f>SUMIFS('Step 2'!W:W,'Step 2'!A:A,'Step 3 - Distributions'!A51,'Step 2'!B:B,"0")-C51</f>
        <v>564</v>
      </c>
      <c r="J51" s="101">
        <f>SUMIFS('Step 2'!O:O,'Step 2'!A:A,'Step 3 - Distributions'!A51)-D51</f>
        <v>38808</v>
      </c>
      <c r="K51" s="101">
        <f>SUMIFS('Step 2'!S:S,'Step 2'!A:A,'Step 3 - Distributions'!A51)-E51</f>
        <v>120653</v>
      </c>
      <c r="L51" s="101">
        <f>SUMIFS('Step 2'!Y:Y,'Step 2'!A:A,'Step 3 - Distributions'!A51)-SUMIFS('Step 2'!Y:Y,'Step 2'!A:A,'Step 3 - Distributions'!A51,'Step 2'!B:B,"0")-F51</f>
        <v>451277</v>
      </c>
      <c r="M51" s="101">
        <f t="shared" si="4"/>
        <v>611302</v>
      </c>
      <c r="N51" s="101"/>
      <c r="O51" s="102">
        <f t="shared" si="2"/>
        <v>1222632</v>
      </c>
      <c r="P51" s="101">
        <f>'Allocation Worksheet'!D51</f>
        <v>1222632</v>
      </c>
      <c r="Q51" s="103">
        <f t="shared" si="3"/>
        <v>0</v>
      </c>
      <c r="R51" s="101"/>
    </row>
    <row r="52" spans="1:18">
      <c r="A52" t="s">
        <v>2133</v>
      </c>
      <c r="B52" t="s">
        <v>1152</v>
      </c>
      <c r="C52" s="101">
        <f>'49'!E$4</f>
        <v>5497</v>
      </c>
      <c r="D52" s="101">
        <f>'49'!E8</f>
        <v>202359</v>
      </c>
      <c r="E52" s="101">
        <f>SUMIFS('49'!E$3:E$10000,'49'!$H$3:$H$10000,1)</f>
        <v>1289688</v>
      </c>
      <c r="F52" s="101">
        <f>SUMIFS('49'!E$3:E$10000,'49'!$H$3:$H$10000,2)</f>
        <v>4431957</v>
      </c>
      <c r="G52" s="101">
        <f t="shared" si="0"/>
        <v>5929501</v>
      </c>
      <c r="H52" s="101"/>
      <c r="I52" s="101">
        <f>SUMIFS('Step 2'!W:W,'Step 2'!A:A,'Step 3 - Distributions'!A52,'Step 2'!B:B,"0")-C52</f>
        <v>5497</v>
      </c>
      <c r="J52" s="101">
        <f>SUMIFS('Step 2'!O:O,'Step 2'!A:A,'Step 3 - Distributions'!A52)-D52</f>
        <v>202359</v>
      </c>
      <c r="K52" s="101">
        <f>SUMIFS('Step 2'!S:S,'Step 2'!A:A,'Step 3 - Distributions'!A52)-E52</f>
        <v>1289681</v>
      </c>
      <c r="L52" s="101">
        <f>SUMIFS('Step 2'!Y:Y,'Step 2'!A:A,'Step 3 - Distributions'!A52)-SUMIFS('Step 2'!Y:Y,'Step 2'!A:A,'Step 3 - Distributions'!A52,'Step 2'!B:B,"0")-F52</f>
        <v>4431930</v>
      </c>
      <c r="M52" s="101">
        <f t="shared" si="4"/>
        <v>5929467</v>
      </c>
      <c r="N52" s="101"/>
      <c r="O52" s="102">
        <f t="shared" si="2"/>
        <v>11858968</v>
      </c>
      <c r="P52" s="101">
        <f>'Allocation Worksheet'!D52</f>
        <v>11858968</v>
      </c>
      <c r="Q52" s="103">
        <f t="shared" si="3"/>
        <v>0</v>
      </c>
      <c r="R52" s="101"/>
    </row>
    <row r="53" spans="1:18">
      <c r="A53" t="s">
        <v>2134</v>
      </c>
      <c r="B53" t="s">
        <v>1190</v>
      </c>
      <c r="C53" s="101">
        <f>'50'!E$4</f>
        <v>317</v>
      </c>
      <c r="D53" s="101">
        <f>'50'!E7</f>
        <v>15451</v>
      </c>
      <c r="E53" s="101">
        <f>SUMIFS('50'!E$3:E$10000,'50'!$H$3:$H$10000,1)</f>
        <v>75429</v>
      </c>
      <c r="F53" s="101">
        <f>SUMIFS('50'!E$3:E$10000,'50'!$H$3:$H$10000,2)</f>
        <v>171888</v>
      </c>
      <c r="G53" s="101">
        <f t="shared" si="0"/>
        <v>263085</v>
      </c>
      <c r="H53" s="101"/>
      <c r="I53" s="101">
        <f>SUMIFS('Step 2'!W:W,'Step 2'!A:A,'Step 3 - Distributions'!A53,'Step 2'!B:B,"0")-C53</f>
        <v>315</v>
      </c>
      <c r="J53" s="101">
        <f>SUMIFS('Step 2'!O:O,'Step 2'!A:A,'Step 3 - Distributions'!A53)-D53</f>
        <v>15451</v>
      </c>
      <c r="K53" s="101">
        <f>SUMIFS('Step 2'!S:S,'Step 2'!A:A,'Step 3 - Distributions'!A53)-E53</f>
        <v>75426</v>
      </c>
      <c r="L53" s="101">
        <f>SUMIFS('Step 2'!Y:Y,'Step 2'!A:A,'Step 3 - Distributions'!A53)-SUMIFS('Step 2'!Y:Y,'Step 2'!A:A,'Step 3 - Distributions'!A53,'Step 2'!B:B,"0")-F53</f>
        <v>171871</v>
      </c>
      <c r="M53" s="101">
        <f t="shared" si="4"/>
        <v>263063</v>
      </c>
      <c r="N53" s="101"/>
      <c r="O53" s="102">
        <f t="shared" si="2"/>
        <v>526148</v>
      </c>
      <c r="P53" s="101">
        <f>'Allocation Worksheet'!D53</f>
        <v>526148</v>
      </c>
      <c r="Q53" s="103">
        <f t="shared" si="3"/>
        <v>0</v>
      </c>
      <c r="R53" s="101"/>
    </row>
    <row r="54" spans="1:18">
      <c r="A54" t="s">
        <v>2135</v>
      </c>
      <c r="B54" t="s">
        <v>1211</v>
      </c>
      <c r="C54" s="101">
        <f>'51'!E$4</f>
        <v>74</v>
      </c>
      <c r="D54" s="101">
        <f>'51'!E7</f>
        <v>2902</v>
      </c>
      <c r="E54" s="101">
        <f>SUMIFS('51'!E$3:E$10000,'51'!$H$3:$H$10000,1)</f>
        <v>16558</v>
      </c>
      <c r="F54" s="101">
        <f>SUMIFS('51'!E$3:E$10000,'51'!$H$3:$H$10000,2)</f>
        <v>45829</v>
      </c>
      <c r="G54" s="101">
        <f t="shared" si="0"/>
        <v>65363</v>
      </c>
      <c r="H54" s="101"/>
      <c r="I54" s="101">
        <f>SUMIFS('Step 2'!W:W,'Step 2'!A:A,'Step 3 - Distributions'!A54,'Step 2'!B:B,"0")-C54</f>
        <v>73</v>
      </c>
      <c r="J54" s="101">
        <f>SUMIFS('Step 2'!O:O,'Step 2'!A:A,'Step 3 - Distributions'!A54)-D54</f>
        <v>2901</v>
      </c>
      <c r="K54" s="101">
        <f>SUMIFS('Step 2'!S:S,'Step 2'!A:A,'Step 3 - Distributions'!A54)-E54</f>
        <v>16557</v>
      </c>
      <c r="L54" s="101">
        <f>SUMIFS('Step 2'!Y:Y,'Step 2'!A:A,'Step 3 - Distributions'!A54)-SUMIFS('Step 2'!Y:Y,'Step 2'!A:A,'Step 3 - Distributions'!A54,'Step 2'!B:B,"0")-F54</f>
        <v>45822</v>
      </c>
      <c r="M54" s="101">
        <f t="shared" si="4"/>
        <v>65353</v>
      </c>
      <c r="N54" s="101"/>
      <c r="O54" s="102">
        <f t="shared" si="2"/>
        <v>130716</v>
      </c>
      <c r="P54" s="101">
        <f>'Allocation Worksheet'!D54</f>
        <v>130716</v>
      </c>
      <c r="Q54" s="103">
        <f t="shared" si="3"/>
        <v>0</v>
      </c>
      <c r="R54" s="101"/>
    </row>
    <row r="55" spans="1:18">
      <c r="A55" t="s">
        <v>2136</v>
      </c>
      <c r="B55" t="s">
        <v>1225</v>
      </c>
      <c r="C55" s="101">
        <f>'52'!E$4</f>
        <v>147</v>
      </c>
      <c r="D55" s="101">
        <f>'52'!E7</f>
        <v>8220</v>
      </c>
      <c r="E55" s="101">
        <f>SUMIFS('52'!E$3:E$10000,'52'!$H$3:$H$10000,1)</f>
        <v>36818</v>
      </c>
      <c r="F55" s="101">
        <f>SUMIFS('52'!E$3:E$10000,'52'!$H$3:$H$10000,2)</f>
        <v>76956</v>
      </c>
      <c r="G55" s="101">
        <f t="shared" si="0"/>
        <v>122141</v>
      </c>
      <c r="H55" s="101"/>
      <c r="I55" s="101">
        <f>SUMIFS('Step 2'!W:W,'Step 2'!A:A,'Step 3 - Distributions'!A55,'Step 2'!B:B,"0")-C55</f>
        <v>146</v>
      </c>
      <c r="J55" s="101">
        <f>SUMIFS('Step 2'!O:O,'Step 2'!A:A,'Step 3 - Distributions'!A55)-D55</f>
        <v>8220</v>
      </c>
      <c r="K55" s="101">
        <f>SUMIFS('Step 2'!S:S,'Step 2'!A:A,'Step 3 - Distributions'!A55)-E55</f>
        <v>36816</v>
      </c>
      <c r="L55" s="101">
        <f>SUMIFS('Step 2'!Y:Y,'Step 2'!A:A,'Step 3 - Distributions'!A55)-SUMIFS('Step 2'!Y:Y,'Step 2'!A:A,'Step 3 - Distributions'!A55,'Step 2'!B:B,"0")-F55</f>
        <v>76933</v>
      </c>
      <c r="M55" s="101">
        <f t="shared" si="4"/>
        <v>122115</v>
      </c>
      <c r="N55" s="101"/>
      <c r="O55" s="102">
        <f t="shared" si="2"/>
        <v>244256</v>
      </c>
      <c r="P55" s="101">
        <f>'Allocation Worksheet'!D55</f>
        <v>244256</v>
      </c>
      <c r="Q55" s="103">
        <f t="shared" si="3"/>
        <v>0</v>
      </c>
      <c r="R55" s="101"/>
    </row>
    <row r="56" spans="1:18">
      <c r="A56" t="s">
        <v>2137</v>
      </c>
      <c r="B56" t="s">
        <v>1242</v>
      </c>
      <c r="C56" s="101">
        <f>'53'!E$4</f>
        <v>518</v>
      </c>
      <c r="D56" s="101">
        <f>'53'!E7</f>
        <v>30518</v>
      </c>
      <c r="E56" s="101">
        <f>SUMIFS('53'!E$3:E$10000,'53'!$H$3:$H$10000,1)</f>
        <v>133858</v>
      </c>
      <c r="F56" s="101">
        <f>SUMIFS('53'!E$3:E$10000,'53'!$H$3:$H$10000,2)</f>
        <v>302159</v>
      </c>
      <c r="G56" s="101">
        <f t="shared" si="0"/>
        <v>467053</v>
      </c>
      <c r="H56" s="101"/>
      <c r="I56" s="101">
        <f>SUMIFS('Step 2'!W:W,'Step 2'!A:A,'Step 3 - Distributions'!A56,'Step 2'!B:B,"0")-C56</f>
        <v>517</v>
      </c>
      <c r="J56" s="101">
        <f>SUMIFS('Step 2'!O:O,'Step 2'!A:A,'Step 3 - Distributions'!A56)-D56</f>
        <v>30517</v>
      </c>
      <c r="K56" s="101">
        <f>SUMIFS('Step 2'!S:S,'Step 2'!A:A,'Step 3 - Distributions'!A56)-E56</f>
        <v>133857</v>
      </c>
      <c r="L56" s="101">
        <f>SUMIFS('Step 2'!Y:Y,'Step 2'!A:A,'Step 3 - Distributions'!A56)-SUMIFS('Step 2'!Y:Y,'Step 2'!A:A,'Step 3 - Distributions'!A56,'Step 2'!B:B,"0")-F56</f>
        <v>302143</v>
      </c>
      <c r="M56" s="101">
        <f t="shared" si="4"/>
        <v>467034</v>
      </c>
      <c r="N56" s="101"/>
      <c r="O56" s="102">
        <f t="shared" si="2"/>
        <v>934087</v>
      </c>
      <c r="P56" s="101">
        <f>'Allocation Worksheet'!D56</f>
        <v>934087</v>
      </c>
      <c r="Q56" s="103">
        <f t="shared" si="3"/>
        <v>0</v>
      </c>
      <c r="R56" s="101"/>
    </row>
    <row r="57" spans="1:18">
      <c r="A57" t="s">
        <v>2138</v>
      </c>
      <c r="B57" t="s">
        <v>1255</v>
      </c>
      <c r="C57" s="101">
        <f>'54'!E$4</f>
        <v>211</v>
      </c>
      <c r="D57" s="101">
        <f>'54'!E7</f>
        <v>6775</v>
      </c>
      <c r="E57" s="101">
        <f>SUMIFS('54'!E$3:E$10000,'54'!$H$3:$H$10000,1)</f>
        <v>48392</v>
      </c>
      <c r="F57" s="101">
        <f>SUMIFS('54'!E$3:E$10000,'54'!$H$3:$H$10000,2)</f>
        <v>110473</v>
      </c>
      <c r="G57" s="101">
        <f t="shared" si="0"/>
        <v>165851</v>
      </c>
      <c r="H57" s="101"/>
      <c r="I57" s="101">
        <f>SUMIFS('Step 2'!W:W,'Step 2'!A:A,'Step 3 - Distributions'!A57,'Step 2'!B:B,"0")-C57</f>
        <v>210</v>
      </c>
      <c r="J57" s="101">
        <f>SUMIFS('Step 2'!O:O,'Step 2'!A:A,'Step 3 - Distributions'!A57)-D57</f>
        <v>6774</v>
      </c>
      <c r="K57" s="101">
        <f>SUMIFS('Step 2'!S:S,'Step 2'!A:A,'Step 3 - Distributions'!A57)-E57</f>
        <v>48389</v>
      </c>
      <c r="L57" s="101">
        <f>SUMIFS('Step 2'!Y:Y,'Step 2'!A:A,'Step 3 - Distributions'!A57)-SUMIFS('Step 2'!Y:Y,'Step 2'!A:A,'Step 3 - Distributions'!A57,'Step 2'!B:B,"0")-F57</f>
        <v>110458</v>
      </c>
      <c r="M57" s="101">
        <f t="shared" si="4"/>
        <v>165831</v>
      </c>
      <c r="N57" s="101"/>
      <c r="O57" s="102">
        <f t="shared" si="2"/>
        <v>331682</v>
      </c>
      <c r="P57" s="101">
        <f>'Allocation Worksheet'!D57</f>
        <v>331682</v>
      </c>
      <c r="Q57" s="103">
        <f t="shared" si="3"/>
        <v>0</v>
      </c>
      <c r="R57" s="101"/>
    </row>
    <row r="58" spans="1:18">
      <c r="A58" t="s">
        <v>2139</v>
      </c>
      <c r="B58" t="s">
        <v>1278</v>
      </c>
      <c r="C58" s="101">
        <f>'55'!$E$4</f>
        <v>310</v>
      </c>
      <c r="D58" s="101">
        <f>'55'!E7</f>
        <v>7942</v>
      </c>
      <c r="E58" s="101">
        <f>SUMIFS('55'!E$3:E$10000,'55'!$H$3:$H$10000,1)</f>
        <v>72791</v>
      </c>
      <c r="F58" s="101">
        <f>SUMIFS('55'!E$3:E$10000,'55'!$H$3:$H$10000,2)</f>
        <v>145587</v>
      </c>
      <c r="G58" s="101">
        <f t="shared" si="0"/>
        <v>226630</v>
      </c>
      <c r="H58" s="101"/>
      <c r="I58" s="101">
        <f>SUMIFS('Step 2'!W:W,'Step 2'!A:A,'Step 3 - Distributions'!A58,'Step 2'!B:B,"0")-C58</f>
        <v>310</v>
      </c>
      <c r="J58" s="101">
        <f>SUMIFS('Step 2'!O:O,'Step 2'!A:A,'Step 3 - Distributions'!A58)-D58</f>
        <v>7942</v>
      </c>
      <c r="K58" s="101">
        <f>SUMIFS('Step 2'!S:S,'Step 2'!A:A,'Step 3 - Distributions'!A58)-E58</f>
        <v>72788</v>
      </c>
      <c r="L58" s="101">
        <f>SUMIFS('Step 2'!Y:Y,'Step 2'!A:A,'Step 3 - Distributions'!A58)-SUMIFS('Step 2'!Y:Y,'Step 2'!A:A,'Step 3 - Distributions'!A58,'Step 2'!B:B,"0")-F58</f>
        <v>145567</v>
      </c>
      <c r="M58" s="101">
        <f t="shared" si="4"/>
        <v>226607</v>
      </c>
      <c r="N58" s="101"/>
      <c r="O58" s="102">
        <f t="shared" si="2"/>
        <v>453237</v>
      </c>
      <c r="P58" s="101">
        <f>'Allocation Worksheet'!D58</f>
        <v>453237</v>
      </c>
      <c r="Q58" s="103">
        <f t="shared" si="3"/>
        <v>0</v>
      </c>
      <c r="R58" s="101"/>
    </row>
    <row r="59" spans="1:18">
      <c r="A59" t="s">
        <v>2140</v>
      </c>
      <c r="B59" t="s">
        <v>1298</v>
      </c>
      <c r="C59" s="101">
        <f>'56'!E$4</f>
        <v>108</v>
      </c>
      <c r="D59" s="101">
        <f>'56'!E7</f>
        <v>5631</v>
      </c>
      <c r="E59" s="101">
        <f>SUMIFS('56'!E$3:E$10000,'56'!$H$3:$H$10000,1)</f>
        <v>29832</v>
      </c>
      <c r="F59" s="101">
        <f>SUMIFS('56'!E$3:E$10000,'56'!$H$3:$H$10000,2)</f>
        <v>73686</v>
      </c>
      <c r="G59" s="101">
        <f t="shared" si="0"/>
        <v>109257</v>
      </c>
      <c r="H59" s="101"/>
      <c r="I59" s="101">
        <f>SUMIFS('Step 2'!W:W,'Step 2'!A:A,'Step 3 - Distributions'!A59,'Step 2'!B:B,"0")-C59</f>
        <v>107</v>
      </c>
      <c r="J59" s="101">
        <f>SUMIFS('Step 2'!O:O,'Step 2'!A:A,'Step 3 - Distributions'!A59)-D59</f>
        <v>5630</v>
      </c>
      <c r="K59" s="101">
        <f>SUMIFS('Step 2'!S:S,'Step 2'!A:A,'Step 3 - Distributions'!A59)-E59</f>
        <v>29831</v>
      </c>
      <c r="L59" s="101">
        <f>SUMIFS('Step 2'!Y:Y,'Step 2'!A:A,'Step 3 - Distributions'!A59)-SUMIFS('Step 2'!Y:Y,'Step 2'!A:A,'Step 3 - Distributions'!A59,'Step 2'!B:B,"0")-F59</f>
        <v>73669</v>
      </c>
      <c r="M59" s="101">
        <f t="shared" si="4"/>
        <v>109237</v>
      </c>
      <c r="N59" s="101"/>
      <c r="O59" s="102">
        <f t="shared" si="2"/>
        <v>218494</v>
      </c>
      <c r="P59" s="101">
        <f>'Allocation Worksheet'!D59</f>
        <v>218494</v>
      </c>
      <c r="Q59" s="103">
        <f t="shared" si="3"/>
        <v>0</v>
      </c>
      <c r="R59" s="101"/>
    </row>
    <row r="60" spans="1:18">
      <c r="A60" t="s">
        <v>2141</v>
      </c>
      <c r="B60" t="s">
        <v>1314</v>
      </c>
      <c r="C60" s="101">
        <f>'57'!E$4</f>
        <v>192</v>
      </c>
      <c r="D60" s="101">
        <f>'57'!E7</f>
        <v>4028</v>
      </c>
      <c r="E60" s="101">
        <f>SUMIFS('57'!E$3:E$10000,'57'!$H$3:$H$10000,1)</f>
        <v>39810</v>
      </c>
      <c r="F60" s="101">
        <f>SUMIFS('57'!E$3:E$10000,'57'!$H$3:$H$10000,2)</f>
        <v>97671</v>
      </c>
      <c r="G60" s="101">
        <f t="shared" si="0"/>
        <v>141701</v>
      </c>
      <c r="H60" s="101"/>
      <c r="I60" s="101">
        <f>SUMIFS('Step 2'!W:W,'Step 2'!A:A,'Step 3 - Distributions'!A60,'Step 2'!B:B,"0")-C60</f>
        <v>192</v>
      </c>
      <c r="J60" s="101">
        <f>SUMIFS('Step 2'!O:O,'Step 2'!A:A,'Step 3 - Distributions'!A60)-D60</f>
        <v>4027</v>
      </c>
      <c r="K60" s="101">
        <f>SUMIFS('Step 2'!S:S,'Step 2'!A:A,'Step 3 - Distributions'!A60)-E60</f>
        <v>39810</v>
      </c>
      <c r="L60" s="101">
        <f>SUMIFS('Step 2'!Y:Y,'Step 2'!A:A,'Step 3 - Distributions'!A60)-SUMIFS('Step 2'!Y:Y,'Step 2'!A:A,'Step 3 - Distributions'!A60,'Step 2'!B:B,"0")-F60</f>
        <v>97650</v>
      </c>
      <c r="M60" s="101">
        <f t="shared" si="4"/>
        <v>141679</v>
      </c>
      <c r="N60" s="101"/>
      <c r="O60" s="102">
        <f t="shared" si="2"/>
        <v>283380</v>
      </c>
      <c r="P60" s="101">
        <f>'Allocation Worksheet'!D60</f>
        <v>283380</v>
      </c>
      <c r="Q60" s="103">
        <f t="shared" si="3"/>
        <v>0</v>
      </c>
      <c r="R60" s="101"/>
    </row>
    <row r="61" spans="1:18">
      <c r="A61" t="s">
        <v>2142</v>
      </c>
      <c r="B61" t="s">
        <v>1332</v>
      </c>
      <c r="C61" s="101">
        <f>'58'!E$4</f>
        <v>22</v>
      </c>
      <c r="D61" s="101">
        <f>'58'!E7</f>
        <v>1010</v>
      </c>
      <c r="E61" s="101">
        <f>SUMIFS('58'!E$3:E$10000,'58'!$H$3:$H$10000,1)</f>
        <v>6658</v>
      </c>
      <c r="F61" s="101">
        <f>SUMIFS('58'!E$3:E$10000,'58'!$H$3:$H$10000,2)</f>
        <v>6934</v>
      </c>
      <c r="G61" s="101">
        <f t="shared" si="0"/>
        <v>14624</v>
      </c>
      <c r="H61" s="101"/>
      <c r="I61" s="101">
        <f>SUMIFS('Step 2'!W:W,'Step 2'!A:A,'Step 3 - Distributions'!A61,'Step 2'!B:B,"0")-C61</f>
        <v>21</v>
      </c>
      <c r="J61" s="101">
        <f>SUMIFS('Step 2'!O:O,'Step 2'!A:A,'Step 3 - Distributions'!A61)-D61</f>
        <v>1010</v>
      </c>
      <c r="K61" s="101">
        <f>SUMIFS('Step 2'!S:S,'Step 2'!A:A,'Step 3 - Distributions'!A61)-E61</f>
        <v>6657</v>
      </c>
      <c r="L61" s="101">
        <f>SUMIFS('Step 2'!Y:Y,'Step 2'!A:A,'Step 3 - Distributions'!A61)-SUMIFS('Step 2'!Y:Y,'Step 2'!A:A,'Step 3 - Distributions'!A61,'Step 2'!B:B,"0")-F61</f>
        <v>6930</v>
      </c>
      <c r="M61" s="101">
        <f t="shared" si="4"/>
        <v>14618</v>
      </c>
      <c r="N61" s="101"/>
      <c r="O61" s="102">
        <f t="shared" si="2"/>
        <v>29242</v>
      </c>
      <c r="P61" s="101">
        <f>'Allocation Worksheet'!D61</f>
        <v>29242</v>
      </c>
      <c r="Q61" s="103">
        <f t="shared" si="3"/>
        <v>0</v>
      </c>
      <c r="R61" s="101"/>
    </row>
    <row r="62" spans="1:18">
      <c r="A62" t="s">
        <v>2143</v>
      </c>
      <c r="B62" t="s">
        <v>1338</v>
      </c>
      <c r="C62" s="101">
        <f>'59'!E$4</f>
        <v>266</v>
      </c>
      <c r="D62" s="101">
        <f>'59'!E7</f>
        <v>4657</v>
      </c>
      <c r="E62" s="101">
        <f>SUMIFS('59'!E$3:E$10000,'59'!$H$3:$H$10000,1)</f>
        <v>48015</v>
      </c>
      <c r="F62" s="101">
        <f>SUMIFS('59'!E$3:E$10000,'59'!$H$3:$H$10000,2)</f>
        <v>123268</v>
      </c>
      <c r="G62" s="101">
        <f t="shared" si="0"/>
        <v>176206</v>
      </c>
      <c r="H62" s="101"/>
      <c r="I62" s="101">
        <f>SUMIFS('Step 2'!W:W,'Step 2'!A:A,'Step 3 - Distributions'!A62,'Step 2'!B:B,"0")-C62</f>
        <v>265</v>
      </c>
      <c r="J62" s="101">
        <f>SUMIFS('Step 2'!O:O,'Step 2'!A:A,'Step 3 - Distributions'!A62)-D62</f>
        <v>4656</v>
      </c>
      <c r="K62" s="101">
        <f>SUMIFS('Step 2'!S:S,'Step 2'!A:A,'Step 3 - Distributions'!A62)-E62</f>
        <v>48015</v>
      </c>
      <c r="L62" s="101">
        <f>SUMIFS('Step 2'!Y:Y,'Step 2'!A:A,'Step 3 - Distributions'!A62)-SUMIFS('Step 2'!Y:Y,'Step 2'!A:A,'Step 3 - Distributions'!A62,'Step 2'!B:B,"0")-F62</f>
        <v>123252</v>
      </c>
      <c r="M62" s="101">
        <f t="shared" si="4"/>
        <v>176188</v>
      </c>
      <c r="N62" s="101"/>
      <c r="O62" s="102">
        <f t="shared" si="2"/>
        <v>352394</v>
      </c>
      <c r="P62" s="101">
        <f>'Allocation Worksheet'!D62</f>
        <v>352394</v>
      </c>
      <c r="Q62" s="103">
        <f t="shared" si="3"/>
        <v>0</v>
      </c>
      <c r="R62" s="101"/>
    </row>
    <row r="63" spans="1:18">
      <c r="A63" t="s">
        <v>2144</v>
      </c>
      <c r="B63" t="s">
        <v>1359</v>
      </c>
      <c r="C63" s="101">
        <f>'60'!E$4</f>
        <v>100</v>
      </c>
      <c r="D63" s="101">
        <f>'60'!E7</f>
        <v>2826</v>
      </c>
      <c r="E63" s="101">
        <f>SUMIFS('60'!E$3:E$10000,'60'!$H$3:$H$10000,1)</f>
        <v>27324</v>
      </c>
      <c r="F63" s="101">
        <f>SUMIFS('60'!E$3:E$10000,'60'!$H$3:$H$10000,2)</f>
        <v>70918</v>
      </c>
      <c r="G63" s="101">
        <f t="shared" si="0"/>
        <v>101168</v>
      </c>
      <c r="H63" s="101"/>
      <c r="I63" s="101">
        <f>SUMIFS('Step 2'!W:W,'Step 2'!A:A,'Step 3 - Distributions'!A63,'Step 2'!B:B,"0")-C63</f>
        <v>99</v>
      </c>
      <c r="J63" s="101">
        <f>SUMIFS('Step 2'!O:O,'Step 2'!A:A,'Step 3 - Distributions'!A63)-D63</f>
        <v>2826</v>
      </c>
      <c r="K63" s="101">
        <f>SUMIFS('Step 2'!S:S,'Step 2'!A:A,'Step 3 - Distributions'!A63)-E63</f>
        <v>27323</v>
      </c>
      <c r="L63" s="101">
        <f>SUMIFS('Step 2'!Y:Y,'Step 2'!A:A,'Step 3 - Distributions'!A63)-SUMIFS('Step 2'!Y:Y,'Step 2'!A:A,'Step 3 - Distributions'!A63,'Step 2'!B:B,"0")-F63</f>
        <v>70906</v>
      </c>
      <c r="M63" s="101">
        <f t="shared" si="4"/>
        <v>101154</v>
      </c>
      <c r="N63" s="101"/>
      <c r="O63" s="102">
        <f t="shared" si="2"/>
        <v>202322</v>
      </c>
      <c r="P63" s="101">
        <f>'Allocation Worksheet'!D63</f>
        <v>202322</v>
      </c>
      <c r="Q63" s="103">
        <f t="shared" si="3"/>
        <v>0</v>
      </c>
      <c r="R63" s="101"/>
    </row>
    <row r="64" spans="1:18">
      <c r="A64" t="s">
        <v>2145</v>
      </c>
      <c r="B64" t="s">
        <v>1366</v>
      </c>
      <c r="C64" s="101">
        <f>'61'!E$4</f>
        <v>52</v>
      </c>
      <c r="D64" s="101">
        <f>'61'!E7</f>
        <v>1296</v>
      </c>
      <c r="E64" s="101">
        <f>SUMIFS('61'!E$3:E$10000,'61'!$H$3:$H$10000,1)</f>
        <v>11309</v>
      </c>
      <c r="F64" s="101">
        <f>SUMIFS('61'!E$3:E$10000,'61'!$H$3:$H$10000,2)</f>
        <v>31055</v>
      </c>
      <c r="G64" s="101">
        <f t="shared" si="0"/>
        <v>43712</v>
      </c>
      <c r="H64" s="101"/>
      <c r="I64" s="101">
        <f>SUMIFS('Step 2'!W:W,'Step 2'!A:A,'Step 3 - Distributions'!A64,'Step 2'!B:B,"0")-C64</f>
        <v>50</v>
      </c>
      <c r="J64" s="101">
        <f>SUMIFS('Step 2'!O:O,'Step 2'!A:A,'Step 3 - Distributions'!A64)-D64</f>
        <v>1296</v>
      </c>
      <c r="K64" s="101">
        <f>SUMIFS('Step 2'!S:S,'Step 2'!A:A,'Step 3 - Distributions'!A64)-E64</f>
        <v>11309</v>
      </c>
      <c r="L64" s="101">
        <f>SUMIFS('Step 2'!Y:Y,'Step 2'!A:A,'Step 3 - Distributions'!A64)-SUMIFS('Step 2'!Y:Y,'Step 2'!A:A,'Step 3 - Distributions'!A64,'Step 2'!B:B,"0")-F64</f>
        <v>31037</v>
      </c>
      <c r="M64" s="101">
        <f t="shared" si="4"/>
        <v>43692</v>
      </c>
      <c r="N64" s="101"/>
      <c r="O64" s="102">
        <f t="shared" si="2"/>
        <v>87404</v>
      </c>
      <c r="P64" s="101">
        <f>'Allocation Worksheet'!D64</f>
        <v>87404</v>
      </c>
      <c r="Q64" s="103">
        <f t="shared" si="3"/>
        <v>0</v>
      </c>
      <c r="R64" s="101"/>
    </row>
    <row r="65" spans="1:18">
      <c r="A65" t="s">
        <v>2146</v>
      </c>
      <c r="B65" t="s">
        <v>1383</v>
      </c>
      <c r="C65" s="101">
        <f>'62'!E$4</f>
        <v>81</v>
      </c>
      <c r="D65" s="101">
        <f>'62'!E7</f>
        <v>2637</v>
      </c>
      <c r="E65" s="101">
        <f>SUMIFS('62'!E$3:E$10000,'62'!$H$3:$H$10000,1)</f>
        <v>21547</v>
      </c>
      <c r="F65" s="101">
        <f>SUMIFS('62'!E$3:E$10000,'62'!$H$3:$H$10000,2)</f>
        <v>53779</v>
      </c>
      <c r="G65" s="101">
        <f t="shared" si="0"/>
        <v>78044</v>
      </c>
      <c r="H65" s="101"/>
      <c r="I65" s="101">
        <f>SUMIFS('Step 2'!W:W,'Step 2'!A:A,'Step 3 - Distributions'!A65,'Step 2'!B:B,"0")-C65</f>
        <v>79</v>
      </c>
      <c r="J65" s="101">
        <f>SUMIFS('Step 2'!O:O,'Step 2'!A:A,'Step 3 - Distributions'!A65)-D65</f>
        <v>2636</v>
      </c>
      <c r="K65" s="101">
        <f>SUMIFS('Step 2'!S:S,'Step 2'!A:A,'Step 3 - Distributions'!A65)-E65</f>
        <v>21546</v>
      </c>
      <c r="L65" s="101">
        <f>SUMIFS('Step 2'!Y:Y,'Step 2'!A:A,'Step 3 - Distributions'!A65)-SUMIFS('Step 2'!Y:Y,'Step 2'!A:A,'Step 3 - Distributions'!A65,'Step 2'!B:B,"0")-F65</f>
        <v>53772</v>
      </c>
      <c r="M65" s="101">
        <f t="shared" si="4"/>
        <v>78033</v>
      </c>
      <c r="N65" s="101"/>
      <c r="O65" s="102">
        <f t="shared" si="2"/>
        <v>156077</v>
      </c>
      <c r="P65" s="101">
        <f>'Allocation Worksheet'!D65</f>
        <v>156077</v>
      </c>
      <c r="Q65" s="103">
        <f t="shared" si="3"/>
        <v>0</v>
      </c>
      <c r="R65" s="101"/>
    </row>
    <row r="66" spans="1:18">
      <c r="A66" t="s">
        <v>2147</v>
      </c>
      <c r="B66" t="s">
        <v>1398</v>
      </c>
      <c r="C66" s="101">
        <f>'63'!E$4</f>
        <v>114</v>
      </c>
      <c r="D66" s="101">
        <f>'63'!E7</f>
        <v>4711</v>
      </c>
      <c r="E66" s="101">
        <f>SUMIFS('63'!E$3:E$10000,'63'!$H$3:$H$10000,1)</f>
        <v>21458</v>
      </c>
      <c r="F66" s="101">
        <f>SUMIFS('63'!E$3:E$10000,'63'!$H$3:$H$10000,2)</f>
        <v>58895</v>
      </c>
      <c r="G66" s="101">
        <f t="shared" si="0"/>
        <v>85178</v>
      </c>
      <c r="H66" s="101"/>
      <c r="I66" s="101">
        <f>SUMIFS('Step 2'!W:W,'Step 2'!A:A,'Step 3 - Distributions'!A66,'Step 2'!B:B,"0")-C66</f>
        <v>113</v>
      </c>
      <c r="J66" s="101">
        <f>SUMIFS('Step 2'!O:O,'Step 2'!A:A,'Step 3 - Distributions'!A66)-D66</f>
        <v>4710</v>
      </c>
      <c r="K66" s="101">
        <f>SUMIFS('Step 2'!S:S,'Step 2'!A:A,'Step 3 - Distributions'!A66)-E66</f>
        <v>21458</v>
      </c>
      <c r="L66" s="101">
        <f>SUMIFS('Step 2'!Y:Y,'Step 2'!A:A,'Step 3 - Distributions'!A66)-SUMIFS('Step 2'!Y:Y,'Step 2'!A:A,'Step 3 - Distributions'!A66,'Step 2'!B:B,"0")-F66</f>
        <v>58887</v>
      </c>
      <c r="M66" s="101">
        <f t="shared" si="4"/>
        <v>85168</v>
      </c>
      <c r="N66" s="101"/>
      <c r="O66" s="102">
        <f t="shared" si="2"/>
        <v>170346</v>
      </c>
      <c r="P66" s="101">
        <f>'Allocation Worksheet'!D66</f>
        <v>170346</v>
      </c>
      <c r="Q66" s="103">
        <f t="shared" si="3"/>
        <v>0</v>
      </c>
      <c r="R66" s="101"/>
    </row>
    <row r="67" spans="1:18">
      <c r="A67" t="s">
        <v>2148</v>
      </c>
      <c r="B67" t="s">
        <v>1409</v>
      </c>
      <c r="C67" s="101">
        <f>'64'!E$4</f>
        <v>943</v>
      </c>
      <c r="D67" s="101">
        <f>'64'!E7</f>
        <v>27896</v>
      </c>
      <c r="E67" s="101">
        <f>SUMIFS('64'!E$3:E$10000,'64'!$H$3:$H$10000,1)</f>
        <v>243351</v>
      </c>
      <c r="F67" s="101">
        <f>SUMIFS('64'!E$3:E$10000,'64'!$H$3:$H$10000,2)</f>
        <v>665514</v>
      </c>
      <c r="G67" s="101">
        <f t="shared" si="0"/>
        <v>937704</v>
      </c>
      <c r="H67" s="101"/>
      <c r="I67" s="101">
        <f>SUMIFS('Step 2'!W:W,'Step 2'!A:A,'Step 3 - Distributions'!A67,'Step 2'!B:B,"0")-C67</f>
        <v>944</v>
      </c>
      <c r="J67" s="101">
        <f>SUMIFS('Step 2'!O:O,'Step 2'!A:A,'Step 3 - Distributions'!A67)-D67</f>
        <v>27895</v>
      </c>
      <c r="K67" s="101">
        <f>SUMIFS('Step 2'!S:S,'Step 2'!A:A,'Step 3 - Distributions'!A67)-E67</f>
        <v>243347</v>
      </c>
      <c r="L67" s="101">
        <f>SUMIFS('Step 2'!Y:Y,'Step 2'!A:A,'Step 3 - Distributions'!A67)-SUMIFS('Step 2'!Y:Y,'Step 2'!A:A,'Step 3 - Distributions'!A67,'Step 2'!B:B,"0")-F67</f>
        <v>665496</v>
      </c>
      <c r="M67" s="101">
        <f t="shared" si="4"/>
        <v>937682</v>
      </c>
      <c r="N67" s="101"/>
      <c r="O67" s="102">
        <f t="shared" si="2"/>
        <v>1875386</v>
      </c>
      <c r="P67" s="101">
        <f>'Allocation Worksheet'!D67</f>
        <v>1875386</v>
      </c>
      <c r="Q67" s="103">
        <f t="shared" si="3"/>
        <v>0</v>
      </c>
      <c r="R67" s="101"/>
    </row>
    <row r="68" spans="1:18">
      <c r="A68" t="s">
        <v>2149</v>
      </c>
      <c r="B68" t="s">
        <v>1437</v>
      </c>
      <c r="C68" s="101">
        <f>'65'!E$4</f>
        <v>200</v>
      </c>
      <c r="D68" s="101">
        <f>'65'!E7</f>
        <v>2138</v>
      </c>
      <c r="E68" s="101">
        <f>SUMIFS('65'!E$3:E$10000,'65'!$H$3:$H$10000,1)</f>
        <v>55267</v>
      </c>
      <c r="F68" s="101">
        <f>SUMIFS('65'!E$3:E$10000,'65'!$H$3:$H$10000,2)</f>
        <v>93099</v>
      </c>
      <c r="G68" s="101">
        <f t="shared" ref="G68:G94" si="5">SUM(C68:F68)</f>
        <v>150704</v>
      </c>
      <c r="H68" s="101"/>
      <c r="I68" s="101">
        <f>SUMIFS('Step 2'!W:W,'Step 2'!A:A,'Step 3 - Distributions'!A68,'Step 2'!B:B,"0")-C68</f>
        <v>201</v>
      </c>
      <c r="J68" s="101">
        <f>SUMIFS('Step 2'!O:O,'Step 2'!A:A,'Step 3 - Distributions'!A68)-D68</f>
        <v>2138</v>
      </c>
      <c r="K68" s="101">
        <f>SUMIFS('Step 2'!S:S,'Step 2'!A:A,'Step 3 - Distributions'!A68)-E68</f>
        <v>55265</v>
      </c>
      <c r="L68" s="101">
        <f>SUMIFS('Step 2'!Y:Y,'Step 2'!A:A,'Step 3 - Distributions'!A68)-SUMIFS('Step 2'!Y:Y,'Step 2'!A:A,'Step 3 - Distributions'!A68,'Step 2'!B:B,"0")-F68</f>
        <v>93077</v>
      </c>
      <c r="M68" s="101">
        <f t="shared" si="4"/>
        <v>150681</v>
      </c>
      <c r="N68" s="101"/>
      <c r="O68" s="102">
        <f t="shared" ref="O68:O94" si="6">G68+M68</f>
        <v>301385</v>
      </c>
      <c r="P68" s="101">
        <f>'Allocation Worksheet'!D68</f>
        <v>301385</v>
      </c>
      <c r="Q68" s="103">
        <f t="shared" ref="Q68:Q94" si="7">O68-P68</f>
        <v>0</v>
      </c>
      <c r="R68" s="101"/>
    </row>
    <row r="69" spans="1:18">
      <c r="A69" t="s">
        <v>2150</v>
      </c>
      <c r="B69" t="s">
        <v>1461</v>
      </c>
      <c r="C69" s="101">
        <f>'66'!E$4</f>
        <v>142</v>
      </c>
      <c r="D69" s="101">
        <f>'66'!E7</f>
        <v>9122</v>
      </c>
      <c r="E69" s="101">
        <f>SUMIFS('66'!E$3:E$10000,'66'!$H$3:$H$10000,1)</f>
        <v>34607</v>
      </c>
      <c r="F69" s="101">
        <f>SUMIFS('66'!E$3:E$10000,'66'!$H$3:$H$10000,2)</f>
        <v>74027</v>
      </c>
      <c r="G69" s="101">
        <f t="shared" si="5"/>
        <v>117898</v>
      </c>
      <c r="H69" s="101"/>
      <c r="I69" s="101">
        <f>SUMIFS('Step 2'!W:W,'Step 2'!A:A,'Step 3 - Distributions'!A69,'Step 2'!B:B,"0")-C69</f>
        <v>140</v>
      </c>
      <c r="J69" s="101">
        <f>SUMIFS('Step 2'!O:O,'Step 2'!A:A,'Step 3 - Distributions'!A69)-D69</f>
        <v>9122</v>
      </c>
      <c r="K69" s="101">
        <f>SUMIFS('Step 2'!S:S,'Step 2'!A:A,'Step 3 - Distributions'!A69)-E69</f>
        <v>34607</v>
      </c>
      <c r="L69" s="101">
        <f>SUMIFS('Step 2'!Y:Y,'Step 2'!A:A,'Step 3 - Distributions'!A69)-SUMIFS('Step 2'!Y:Y,'Step 2'!A:A,'Step 3 - Distributions'!A69,'Step 2'!B:B,"0")-F69</f>
        <v>74003</v>
      </c>
      <c r="M69" s="101">
        <f t="shared" ref="M69:M95" si="8">SUM(I69:L69)</f>
        <v>117872</v>
      </c>
      <c r="N69" s="101"/>
      <c r="O69" s="102">
        <f t="shared" si="6"/>
        <v>235770</v>
      </c>
      <c r="P69" s="101">
        <f>'Allocation Worksheet'!D69</f>
        <v>235770</v>
      </c>
      <c r="Q69" s="103">
        <f t="shared" si="7"/>
        <v>0</v>
      </c>
      <c r="R69" s="101"/>
    </row>
    <row r="70" spans="1:18">
      <c r="A70" t="s">
        <v>2151</v>
      </c>
      <c r="B70" t="s">
        <v>1474</v>
      </c>
      <c r="C70" s="101">
        <f>'67'!E$4</f>
        <v>162</v>
      </c>
      <c r="D70" s="101">
        <f>'67'!E7</f>
        <v>5260</v>
      </c>
      <c r="E70" s="101">
        <f>SUMIFS('67'!E$3:E$10000,'67'!$H$3:$H$10000,1)</f>
        <v>35874</v>
      </c>
      <c r="F70" s="101">
        <f>SUMIFS('67'!E$3:E$10000,'67'!$H$3:$H$10000,2)</f>
        <v>75812</v>
      </c>
      <c r="G70" s="101">
        <f t="shared" si="5"/>
        <v>117108</v>
      </c>
      <c r="H70" s="101"/>
      <c r="I70" s="101">
        <f>SUMIFS('Step 2'!W:W,'Step 2'!A:A,'Step 3 - Distributions'!A70,'Step 2'!B:B,"0")-C70</f>
        <v>162</v>
      </c>
      <c r="J70" s="101">
        <f>SUMIFS('Step 2'!O:O,'Step 2'!A:A,'Step 3 - Distributions'!A70)-D70</f>
        <v>5260</v>
      </c>
      <c r="K70" s="101">
        <f>SUMIFS('Step 2'!S:S,'Step 2'!A:A,'Step 3 - Distributions'!A70)-E70</f>
        <v>35873</v>
      </c>
      <c r="L70" s="101">
        <f>SUMIFS('Step 2'!Y:Y,'Step 2'!A:A,'Step 3 - Distributions'!A70)-SUMIFS('Step 2'!Y:Y,'Step 2'!A:A,'Step 3 - Distributions'!A70,'Step 2'!B:B,"0")-F70</f>
        <v>75796</v>
      </c>
      <c r="M70" s="101">
        <f t="shared" si="8"/>
        <v>117091</v>
      </c>
      <c r="N70" s="101"/>
      <c r="O70" s="102">
        <f t="shared" si="6"/>
        <v>234199</v>
      </c>
      <c r="P70" s="101">
        <f>'Allocation Worksheet'!D70</f>
        <v>234199</v>
      </c>
      <c r="Q70" s="103">
        <f t="shared" si="7"/>
        <v>0</v>
      </c>
      <c r="R70" s="101"/>
    </row>
    <row r="71" spans="1:18">
      <c r="A71" t="s">
        <v>2152</v>
      </c>
      <c r="B71" t="s">
        <v>1494</v>
      </c>
      <c r="C71" s="101">
        <f>'68'!E$4</f>
        <v>163</v>
      </c>
      <c r="D71" s="101">
        <f>'68'!E7</f>
        <v>13074</v>
      </c>
      <c r="E71" s="101">
        <f>SUMIFS('68'!E$3:E$10000,'68'!$H$3:$H$10000,1)</f>
        <v>35831</v>
      </c>
      <c r="F71" s="101">
        <f>SUMIFS('68'!E$3:E$10000,'68'!$H$3:$H$10000,2)</f>
        <v>85024</v>
      </c>
      <c r="G71" s="101">
        <f t="shared" si="5"/>
        <v>134092</v>
      </c>
      <c r="H71" s="101"/>
      <c r="I71" s="101">
        <f>SUMIFS('Step 2'!W:W,'Step 2'!A:A,'Step 3 - Distributions'!A71,'Step 2'!B:B,"0")-C71</f>
        <v>161</v>
      </c>
      <c r="J71" s="101">
        <f>SUMIFS('Step 2'!O:O,'Step 2'!A:A,'Step 3 - Distributions'!A71)-D71</f>
        <v>13074</v>
      </c>
      <c r="K71" s="101">
        <f>SUMIFS('Step 2'!S:S,'Step 2'!A:A,'Step 3 - Distributions'!A71)-E71</f>
        <v>35829</v>
      </c>
      <c r="L71" s="101">
        <f>SUMIFS('Step 2'!Y:Y,'Step 2'!A:A,'Step 3 - Distributions'!A71)-SUMIFS('Step 2'!Y:Y,'Step 2'!A:A,'Step 3 - Distributions'!A71,'Step 2'!B:B,"0")-F71</f>
        <v>85005</v>
      </c>
      <c r="M71" s="101">
        <f t="shared" si="8"/>
        <v>134069</v>
      </c>
      <c r="N71" s="101"/>
      <c r="O71" s="102">
        <f t="shared" si="6"/>
        <v>268161</v>
      </c>
      <c r="P71" s="101">
        <f>'Allocation Worksheet'!D71</f>
        <v>268161</v>
      </c>
      <c r="Q71" s="103">
        <f t="shared" si="7"/>
        <v>0</v>
      </c>
      <c r="R71" s="101"/>
    </row>
    <row r="72" spans="1:18">
      <c r="A72" t="s">
        <v>2153</v>
      </c>
      <c r="B72" t="s">
        <v>1515</v>
      </c>
      <c r="C72" s="101">
        <f>'69'!E$4</f>
        <v>109</v>
      </c>
      <c r="D72" s="101">
        <f>'69'!E7</f>
        <v>6180</v>
      </c>
      <c r="E72" s="101">
        <f>SUMIFS('69'!E$3:E$10000,'69'!$H$3:$H$10000,1)</f>
        <v>24982</v>
      </c>
      <c r="F72" s="101">
        <f>SUMIFS('69'!E$3:E$10000,'69'!$H$3:$H$10000,2)</f>
        <v>47529</v>
      </c>
      <c r="G72" s="101">
        <f t="shared" si="5"/>
        <v>78800</v>
      </c>
      <c r="H72" s="101"/>
      <c r="I72" s="101">
        <f>SUMIFS('Step 2'!W:W,'Step 2'!A:A,'Step 3 - Distributions'!A72,'Step 2'!B:B,"0")-C72</f>
        <v>111</v>
      </c>
      <c r="J72" s="101">
        <f>SUMIFS('Step 2'!O:O,'Step 2'!A:A,'Step 3 - Distributions'!A72)-D72</f>
        <v>6180</v>
      </c>
      <c r="K72" s="101">
        <f>SUMIFS('Step 2'!S:S,'Step 2'!A:A,'Step 3 - Distributions'!A72)-E72</f>
        <v>24980</v>
      </c>
      <c r="L72" s="101">
        <f>SUMIFS('Step 2'!Y:Y,'Step 2'!A:A,'Step 3 - Distributions'!A72)-SUMIFS('Step 2'!Y:Y,'Step 2'!A:A,'Step 3 - Distributions'!A72,'Step 2'!B:B,"0")-F72</f>
        <v>47506</v>
      </c>
      <c r="M72" s="101">
        <f t="shared" si="8"/>
        <v>78777</v>
      </c>
      <c r="N72" s="101"/>
      <c r="O72" s="102">
        <f t="shared" si="6"/>
        <v>157577</v>
      </c>
      <c r="P72" s="101">
        <f>'Allocation Worksheet'!D72</f>
        <v>157577</v>
      </c>
      <c r="Q72" s="103">
        <f t="shared" si="7"/>
        <v>0</v>
      </c>
      <c r="R72" s="101"/>
    </row>
    <row r="73" spans="1:18">
      <c r="A73" t="s">
        <v>2154</v>
      </c>
      <c r="B73" t="s">
        <v>1530</v>
      </c>
      <c r="C73" s="101">
        <f>'70'!E$4</f>
        <v>88</v>
      </c>
      <c r="D73" s="101">
        <f>'70'!E7</f>
        <v>2863</v>
      </c>
      <c r="E73" s="101">
        <f>SUMIFS('70'!E$3:E$10000,'70'!$H$3:$H$10000,1)</f>
        <v>22883</v>
      </c>
      <c r="F73" s="101">
        <f>SUMIFS('70'!E$3:E$10000,'70'!$H$3:$H$10000,2)</f>
        <v>39065</v>
      </c>
      <c r="G73" s="101">
        <f t="shared" si="5"/>
        <v>64899</v>
      </c>
      <c r="H73" s="101"/>
      <c r="I73" s="101">
        <f>SUMIFS('Step 2'!W:W,'Step 2'!A:A,'Step 3 - Distributions'!A73,'Step 2'!B:B,"0")-C73</f>
        <v>86</v>
      </c>
      <c r="J73" s="101">
        <f>SUMIFS('Step 2'!O:O,'Step 2'!A:A,'Step 3 - Distributions'!A73)-D73</f>
        <v>2862</v>
      </c>
      <c r="K73" s="101">
        <f>SUMIFS('Step 2'!S:S,'Step 2'!A:A,'Step 3 - Distributions'!A73)-E73</f>
        <v>22881</v>
      </c>
      <c r="L73" s="101">
        <f>SUMIFS('Step 2'!Y:Y,'Step 2'!A:A,'Step 3 - Distributions'!A73)-SUMIFS('Step 2'!Y:Y,'Step 2'!A:A,'Step 3 - Distributions'!A73,'Step 2'!B:B,"0")-F73</f>
        <v>39053</v>
      </c>
      <c r="M73" s="101">
        <f t="shared" si="8"/>
        <v>64882</v>
      </c>
      <c r="N73" s="101"/>
      <c r="O73" s="102">
        <f t="shared" si="6"/>
        <v>129781</v>
      </c>
      <c r="P73" s="101">
        <f>'Allocation Worksheet'!D73</f>
        <v>129781</v>
      </c>
      <c r="Q73" s="103">
        <f t="shared" si="7"/>
        <v>0</v>
      </c>
      <c r="R73" s="101"/>
    </row>
    <row r="74" spans="1:18">
      <c r="A74" t="s">
        <v>2155</v>
      </c>
      <c r="B74" t="s">
        <v>2077</v>
      </c>
      <c r="C74" s="101">
        <f>'71'!E$4</f>
        <v>1111</v>
      </c>
      <c r="D74" s="101">
        <f>'71'!E7</f>
        <v>153402</v>
      </c>
      <c r="E74" s="101">
        <f>SUMIFS('71'!E$3:E$10000,'71'!$H$3:$H$10000,1)</f>
        <v>269161</v>
      </c>
      <c r="F74" s="101">
        <f>SUMIFS('71'!E$3:E$10000,'71'!$H$3:$H$10000,2)</f>
        <v>1248997</v>
      </c>
      <c r="G74" s="101">
        <f t="shared" si="5"/>
        <v>1672671</v>
      </c>
      <c r="H74" s="101"/>
      <c r="I74" s="101">
        <f>SUMIFS('Step 2'!W:W,'Step 2'!A:A,'Step 3 - Distributions'!A74,'Step 2'!B:B,"0")-C74</f>
        <v>1109</v>
      </c>
      <c r="J74" s="101">
        <f>SUMIFS('Step 2'!O:O,'Step 2'!A:A,'Step 3 - Distributions'!A74)-D74</f>
        <v>153401</v>
      </c>
      <c r="K74" s="101">
        <f>SUMIFS('Step 2'!S:S,'Step 2'!A:A,'Step 3 - Distributions'!A74)-E74</f>
        <v>269158</v>
      </c>
      <c r="L74" s="101">
        <f>SUMIFS('Step 2'!Y:Y,'Step 2'!A:A,'Step 3 - Distributions'!A74)-SUMIFS('Step 2'!Y:Y,'Step 2'!A:A,'Step 3 - Distributions'!A74,'Step 2'!B:B,"0")-F74</f>
        <v>1248978</v>
      </c>
      <c r="M74" s="101">
        <f t="shared" si="8"/>
        <v>1672646</v>
      </c>
      <c r="N74" s="101"/>
      <c r="O74" s="102">
        <f t="shared" si="6"/>
        <v>3345317</v>
      </c>
      <c r="P74" s="101">
        <f>'Allocation Worksheet'!D74</f>
        <v>3345317</v>
      </c>
      <c r="Q74" s="103">
        <f t="shared" si="7"/>
        <v>0</v>
      </c>
      <c r="R74" s="101"/>
    </row>
    <row r="75" spans="1:18">
      <c r="A75" t="s">
        <v>2156</v>
      </c>
      <c r="B75" t="s">
        <v>1562</v>
      </c>
      <c r="C75" s="101">
        <f>'72'!E$4</f>
        <v>49</v>
      </c>
      <c r="D75" s="101">
        <f>'72'!E7</f>
        <v>1907</v>
      </c>
      <c r="E75" s="101">
        <f>SUMIFS('72'!E$3:E$10000,'72'!$H$3:$H$10000,1)</f>
        <v>11526</v>
      </c>
      <c r="F75" s="101">
        <f>SUMIFS('72'!E$3:E$10000,'72'!$H$3:$H$10000,2)</f>
        <v>28806</v>
      </c>
      <c r="G75" s="101">
        <f t="shared" si="5"/>
        <v>42288</v>
      </c>
      <c r="H75" s="101"/>
      <c r="I75" s="101">
        <f>SUMIFS('Step 2'!W:W,'Step 2'!A:A,'Step 3 - Distributions'!A75,'Step 2'!B:B,"0")-C75</f>
        <v>49</v>
      </c>
      <c r="J75" s="101">
        <f>SUMIFS('Step 2'!O:O,'Step 2'!A:A,'Step 3 - Distributions'!A75)-D75</f>
        <v>1907</v>
      </c>
      <c r="K75" s="101">
        <f>SUMIFS('Step 2'!S:S,'Step 2'!A:A,'Step 3 - Distributions'!A75)-E75</f>
        <v>11525</v>
      </c>
      <c r="L75" s="101">
        <f>SUMIFS('Step 2'!Y:Y,'Step 2'!A:A,'Step 3 - Distributions'!A75)-SUMIFS('Step 2'!Y:Y,'Step 2'!A:A,'Step 3 - Distributions'!A75,'Step 2'!B:B,"0")-F75</f>
        <v>28799</v>
      </c>
      <c r="M75" s="101">
        <f t="shared" si="8"/>
        <v>42280</v>
      </c>
      <c r="N75" s="101"/>
      <c r="O75" s="102">
        <f t="shared" si="6"/>
        <v>84568</v>
      </c>
      <c r="P75" s="101">
        <f>'Allocation Worksheet'!D75</f>
        <v>84568</v>
      </c>
      <c r="Q75" s="103">
        <f t="shared" si="7"/>
        <v>0</v>
      </c>
      <c r="R75" s="101"/>
    </row>
    <row r="76" spans="1:18">
      <c r="A76" t="s">
        <v>2157</v>
      </c>
      <c r="B76" t="s">
        <v>1572</v>
      </c>
      <c r="C76" s="101">
        <f>'73'!E$4</f>
        <v>295</v>
      </c>
      <c r="D76" s="101">
        <f>'73'!E7</f>
        <v>7881</v>
      </c>
      <c r="E76" s="101">
        <f>SUMIFS('73'!E$3:E$10000,'73'!$H$3:$H$10000,1)</f>
        <v>60397</v>
      </c>
      <c r="F76" s="101">
        <f>SUMIFS('73'!E$3:E$10000,'73'!$H$3:$H$10000,2)</f>
        <v>123888</v>
      </c>
      <c r="G76" s="101">
        <f t="shared" si="5"/>
        <v>192461</v>
      </c>
      <c r="H76" s="101"/>
      <c r="I76" s="101">
        <f>SUMIFS('Step 2'!W:W,'Step 2'!A:A,'Step 3 - Distributions'!A76,'Step 2'!B:B,"0")-C76</f>
        <v>294</v>
      </c>
      <c r="J76" s="101">
        <f>SUMIFS('Step 2'!O:O,'Step 2'!A:A,'Step 3 - Distributions'!A76)-D76</f>
        <v>7881</v>
      </c>
      <c r="K76" s="101">
        <f>SUMIFS('Step 2'!S:S,'Step 2'!A:A,'Step 3 - Distributions'!A76)-E76</f>
        <v>60395</v>
      </c>
      <c r="L76" s="101">
        <f>SUMIFS('Step 2'!Y:Y,'Step 2'!A:A,'Step 3 - Distributions'!A76)-SUMIFS('Step 2'!Y:Y,'Step 2'!A:A,'Step 3 - Distributions'!A76,'Step 2'!B:B,"0")-F76</f>
        <v>123870</v>
      </c>
      <c r="M76" s="101">
        <f t="shared" si="8"/>
        <v>192440</v>
      </c>
      <c r="N76" s="101"/>
      <c r="O76" s="102">
        <f t="shared" si="6"/>
        <v>384901</v>
      </c>
      <c r="P76" s="101">
        <f>'Allocation Worksheet'!D76</f>
        <v>384901</v>
      </c>
      <c r="Q76" s="103">
        <f t="shared" si="7"/>
        <v>0</v>
      </c>
      <c r="R76" s="101"/>
    </row>
    <row r="77" spans="1:18">
      <c r="A77" t="s">
        <v>2158</v>
      </c>
      <c r="B77" t="s">
        <v>1587</v>
      </c>
      <c r="C77" s="101">
        <f>'74'!E$4</f>
        <v>208</v>
      </c>
      <c r="D77" s="101">
        <f>'74'!E7</f>
        <v>2204</v>
      </c>
      <c r="E77" s="101">
        <f>SUMIFS('74'!E$3:E$10000,'74'!$H$3:$H$10000,1)</f>
        <v>47325</v>
      </c>
      <c r="F77" s="101">
        <f>SUMIFS('74'!E$3:E$10000,'74'!$H$3:$H$10000,2)</f>
        <v>89869</v>
      </c>
      <c r="G77" s="101">
        <f t="shared" si="5"/>
        <v>139606</v>
      </c>
      <c r="H77" s="101"/>
      <c r="I77" s="101">
        <f>SUMIFS('Step 2'!W:W,'Step 2'!A:A,'Step 3 - Distributions'!A77,'Step 2'!B:B,"0")-C77</f>
        <v>207</v>
      </c>
      <c r="J77" s="101">
        <f>SUMIFS('Step 2'!O:O,'Step 2'!A:A,'Step 3 - Distributions'!A77)-D77</f>
        <v>2204</v>
      </c>
      <c r="K77" s="101">
        <f>SUMIFS('Step 2'!S:S,'Step 2'!A:A,'Step 3 - Distributions'!A77)-E77</f>
        <v>47324</v>
      </c>
      <c r="L77" s="101">
        <f>SUMIFS('Step 2'!Y:Y,'Step 2'!A:A,'Step 3 - Distributions'!A77)-SUMIFS('Step 2'!Y:Y,'Step 2'!A:A,'Step 3 - Distributions'!A77,'Step 2'!B:B,"0")-F77</f>
        <v>89852</v>
      </c>
      <c r="M77" s="101">
        <f t="shared" si="8"/>
        <v>139587</v>
      </c>
      <c r="N77" s="101"/>
      <c r="O77" s="102">
        <f t="shared" si="6"/>
        <v>279193</v>
      </c>
      <c r="P77" s="101">
        <f>'Allocation Worksheet'!D77</f>
        <v>279193</v>
      </c>
      <c r="Q77" s="103">
        <f t="shared" si="7"/>
        <v>0</v>
      </c>
      <c r="R77" s="101"/>
    </row>
    <row r="78" spans="1:18">
      <c r="A78" t="s">
        <v>2159</v>
      </c>
      <c r="B78" t="s">
        <v>1606</v>
      </c>
      <c r="C78" s="101">
        <f>'75'!E$4</f>
        <v>71</v>
      </c>
      <c r="D78" s="101">
        <f>'75'!E7</f>
        <v>5162</v>
      </c>
      <c r="E78" s="101">
        <f>SUMIFS('75'!E$3:E$10000,'75'!$H$3:$H$10000,1)</f>
        <v>14932</v>
      </c>
      <c r="F78" s="101">
        <f>SUMIFS('75'!E$3:E$10000,'75'!$H$3:$H$10000,2)</f>
        <v>44423</v>
      </c>
      <c r="G78" s="101">
        <f t="shared" si="5"/>
        <v>64588</v>
      </c>
      <c r="H78" s="101"/>
      <c r="I78" s="101">
        <f>SUMIFS('Step 2'!W:W,'Step 2'!A:A,'Step 3 - Distributions'!A78,'Step 2'!B:B,"0")-C78</f>
        <v>74</v>
      </c>
      <c r="J78" s="101">
        <f>SUMIFS('Step 2'!O:O,'Step 2'!A:A,'Step 3 - Distributions'!A78)-D78</f>
        <v>5161</v>
      </c>
      <c r="K78" s="101">
        <f>SUMIFS('Step 2'!S:S,'Step 2'!A:A,'Step 3 - Distributions'!A78)-E78</f>
        <v>14930</v>
      </c>
      <c r="L78" s="101">
        <f>SUMIFS('Step 2'!Y:Y,'Step 2'!A:A,'Step 3 - Distributions'!A78)-SUMIFS('Step 2'!Y:Y,'Step 2'!A:A,'Step 3 - Distributions'!A78,'Step 2'!B:B,"0")-F78</f>
        <v>44406</v>
      </c>
      <c r="M78" s="101">
        <f t="shared" si="8"/>
        <v>64571</v>
      </c>
      <c r="N78" s="101"/>
      <c r="O78" s="102">
        <f t="shared" si="6"/>
        <v>129159</v>
      </c>
      <c r="P78" s="101">
        <f>'Allocation Worksheet'!D78</f>
        <v>129159</v>
      </c>
      <c r="Q78" s="103">
        <f t="shared" si="7"/>
        <v>0</v>
      </c>
      <c r="R78" s="101"/>
    </row>
    <row r="79" spans="1:18">
      <c r="A79" t="s">
        <v>2160</v>
      </c>
      <c r="B79" t="s">
        <v>1620</v>
      </c>
      <c r="C79" s="101">
        <f>'76'!E$4</f>
        <v>207</v>
      </c>
      <c r="D79" s="101">
        <f>'76'!E7</f>
        <v>8030</v>
      </c>
      <c r="E79" s="101">
        <f>SUMIFS('76'!E$3:E$10000,'76'!$H$3:$H$10000,1)</f>
        <v>48210</v>
      </c>
      <c r="F79" s="101">
        <f>SUMIFS('76'!E$3:E$10000,'76'!$H$3:$H$10000,2)</f>
        <v>86102</v>
      </c>
      <c r="G79" s="101">
        <f t="shared" si="5"/>
        <v>142549</v>
      </c>
      <c r="H79" s="101"/>
      <c r="I79" s="101">
        <f>SUMIFS('Step 2'!W:W,'Step 2'!A:A,'Step 3 - Distributions'!A79,'Step 2'!B:B,"0")-C79</f>
        <v>206</v>
      </c>
      <c r="J79" s="101">
        <f>SUMIFS('Step 2'!O:O,'Step 2'!A:A,'Step 3 - Distributions'!A79)-D79</f>
        <v>8030</v>
      </c>
      <c r="K79" s="101">
        <f>SUMIFS('Step 2'!S:S,'Step 2'!A:A,'Step 3 - Distributions'!A79)-E79</f>
        <v>48206</v>
      </c>
      <c r="L79" s="101">
        <f>SUMIFS('Step 2'!Y:Y,'Step 2'!A:A,'Step 3 - Distributions'!A79)-SUMIFS('Step 2'!Y:Y,'Step 2'!A:A,'Step 3 - Distributions'!A79,'Step 2'!B:B,"0")-F79</f>
        <v>86085</v>
      </c>
      <c r="M79" s="101">
        <f t="shared" si="8"/>
        <v>142527</v>
      </c>
      <c r="N79" s="101"/>
      <c r="O79" s="102">
        <f t="shared" si="6"/>
        <v>285076</v>
      </c>
      <c r="P79" s="101">
        <f>'Allocation Worksheet'!D79</f>
        <v>285076</v>
      </c>
      <c r="Q79" s="103">
        <f t="shared" si="7"/>
        <v>0</v>
      </c>
      <c r="R79" s="101"/>
    </row>
    <row r="80" spans="1:18">
      <c r="A80" t="s">
        <v>2161</v>
      </c>
      <c r="B80" t="s">
        <v>1637</v>
      </c>
      <c r="C80" s="101">
        <f>'77'!E$4</f>
        <v>97</v>
      </c>
      <c r="D80" s="101">
        <f>'77'!E7</f>
        <v>2940</v>
      </c>
      <c r="E80" s="101">
        <f>SUMIFS('77'!E$3:E$10000,'77'!$H$3:$H$10000,1)</f>
        <v>24247</v>
      </c>
      <c r="F80" s="101">
        <f>SUMIFS('77'!E$3:E$10000,'77'!$H$3:$H$10000,2)</f>
        <v>62027</v>
      </c>
      <c r="G80" s="101">
        <f t="shared" si="5"/>
        <v>89311</v>
      </c>
      <c r="H80" s="101"/>
      <c r="I80" s="101">
        <f>SUMIFS('Step 2'!W:W,'Step 2'!A:A,'Step 3 - Distributions'!A80,'Step 2'!B:B,"0")-C80</f>
        <v>94</v>
      </c>
      <c r="J80" s="101">
        <f>SUMIFS('Step 2'!O:O,'Step 2'!A:A,'Step 3 - Distributions'!A80)-D80</f>
        <v>2939</v>
      </c>
      <c r="K80" s="101">
        <f>SUMIFS('Step 2'!S:S,'Step 2'!A:A,'Step 3 - Distributions'!A80)-E80</f>
        <v>24246</v>
      </c>
      <c r="L80" s="101">
        <f>SUMIFS('Step 2'!Y:Y,'Step 2'!A:A,'Step 3 - Distributions'!A80)-SUMIFS('Step 2'!Y:Y,'Step 2'!A:A,'Step 3 - Distributions'!A80,'Step 2'!B:B,"0")-F80</f>
        <v>62016</v>
      </c>
      <c r="M80" s="101">
        <f t="shared" si="8"/>
        <v>89295</v>
      </c>
      <c r="N80" s="101"/>
      <c r="O80" s="102">
        <f t="shared" si="6"/>
        <v>178606</v>
      </c>
      <c r="P80" s="101">
        <f>'Allocation Worksheet'!D80</f>
        <v>178606</v>
      </c>
      <c r="Q80" s="103">
        <f t="shared" si="7"/>
        <v>0</v>
      </c>
      <c r="R80" s="101"/>
    </row>
    <row r="81" spans="1:18">
      <c r="A81" t="s">
        <v>2162</v>
      </c>
      <c r="B81" t="s">
        <v>1655</v>
      </c>
      <c r="C81" s="101">
        <f>'78'!E$4</f>
        <v>8</v>
      </c>
      <c r="D81" s="101">
        <f>'78'!E7</f>
        <v>230</v>
      </c>
      <c r="E81" s="101">
        <f>SUMIFS('78'!E$3:E$10000,'78'!$H$3:$H$10000,1)</f>
        <v>1950</v>
      </c>
      <c r="F81" s="101">
        <f>SUMIFS('78'!E$3:E$10000,'78'!$H$3:$H$10000,2)</f>
        <v>3673</v>
      </c>
      <c r="G81" s="101">
        <f t="shared" si="5"/>
        <v>5861</v>
      </c>
      <c r="H81" s="101"/>
      <c r="I81" s="101">
        <f>SUMIFS('Step 2'!W:W,'Step 2'!A:A,'Step 3 - Distributions'!A81,'Step 2'!B:B,"0")-C81</f>
        <v>7</v>
      </c>
      <c r="J81" s="101">
        <f>SUMIFS('Step 2'!O:O,'Step 2'!A:A,'Step 3 - Distributions'!A81)-D81</f>
        <v>230</v>
      </c>
      <c r="K81" s="101">
        <f>SUMIFS('Step 2'!S:S,'Step 2'!A:A,'Step 3 - Distributions'!A81)-E81</f>
        <v>1949</v>
      </c>
      <c r="L81" s="101">
        <f>SUMIFS('Step 2'!Y:Y,'Step 2'!A:A,'Step 3 - Distributions'!A81)-SUMIFS('Step 2'!Y:Y,'Step 2'!A:A,'Step 3 - Distributions'!A81,'Step 2'!B:B,"0")-F81</f>
        <v>3665</v>
      </c>
      <c r="M81" s="101">
        <f t="shared" si="8"/>
        <v>5851</v>
      </c>
      <c r="N81" s="101"/>
      <c r="O81" s="102">
        <f t="shared" si="6"/>
        <v>11712</v>
      </c>
      <c r="P81" s="101">
        <f>'Allocation Worksheet'!D81</f>
        <v>11712</v>
      </c>
      <c r="Q81" s="103">
        <f t="shared" si="7"/>
        <v>0</v>
      </c>
      <c r="R81" s="101"/>
    </row>
    <row r="82" spans="1:18">
      <c r="A82" t="s">
        <v>2163</v>
      </c>
      <c r="B82" t="s">
        <v>1663</v>
      </c>
      <c r="C82" s="101">
        <f>'79'!E$4</f>
        <v>795</v>
      </c>
      <c r="D82" s="101">
        <f>'79'!E7</f>
        <v>28307</v>
      </c>
      <c r="E82" s="101">
        <f>SUMIFS('79'!E$3:E$10000,'79'!$H$3:$H$10000,1)</f>
        <v>208637</v>
      </c>
      <c r="F82" s="101">
        <f>SUMIFS('79'!E$3:E$10000,'79'!$H$3:$H$10000,2)</f>
        <v>419896</v>
      </c>
      <c r="G82" s="101">
        <f t="shared" si="5"/>
        <v>657635</v>
      </c>
      <c r="H82" s="101"/>
      <c r="I82" s="101">
        <f>SUMIFS('Step 2'!W:W,'Step 2'!A:A,'Step 3 - Distributions'!A82,'Step 2'!B:B,"0")-C82</f>
        <v>793</v>
      </c>
      <c r="J82" s="101">
        <f>SUMIFS('Step 2'!O:O,'Step 2'!A:A,'Step 3 - Distributions'!A82)-D82</f>
        <v>28307</v>
      </c>
      <c r="K82" s="101">
        <f>SUMIFS('Step 2'!S:S,'Step 2'!A:A,'Step 3 - Distributions'!A82)-E82</f>
        <v>208635</v>
      </c>
      <c r="L82" s="101">
        <f>SUMIFS('Step 2'!Y:Y,'Step 2'!A:A,'Step 3 - Distributions'!A82)-SUMIFS('Step 2'!Y:Y,'Step 2'!A:A,'Step 3 - Distributions'!A82,'Step 2'!B:B,"0")-F82</f>
        <v>419878</v>
      </c>
      <c r="M82" s="101">
        <f t="shared" si="8"/>
        <v>657613</v>
      </c>
      <c r="N82" s="101"/>
      <c r="O82" s="102">
        <f t="shared" si="6"/>
        <v>1315248</v>
      </c>
      <c r="P82" s="101">
        <f>'Allocation Worksheet'!D82</f>
        <v>1315248</v>
      </c>
      <c r="Q82" s="103">
        <f t="shared" si="7"/>
        <v>0</v>
      </c>
      <c r="R82" s="101"/>
    </row>
    <row r="83" spans="1:18">
      <c r="A83" t="s">
        <v>2164</v>
      </c>
      <c r="B83" t="s">
        <v>1680</v>
      </c>
      <c r="C83" s="101">
        <f>'80'!E$4</f>
        <v>102</v>
      </c>
      <c r="D83" s="101">
        <f>'80'!E7</f>
        <v>1073</v>
      </c>
      <c r="E83" s="101">
        <f>SUMIFS('80'!E$3:E$10000,'80'!$H$3:$H$10000,1)</f>
        <v>24542</v>
      </c>
      <c r="F83" s="101">
        <f>SUMIFS('80'!E$3:E$10000,'80'!$H$3:$H$10000,2)</f>
        <v>56899</v>
      </c>
      <c r="G83" s="101">
        <f t="shared" si="5"/>
        <v>82616</v>
      </c>
      <c r="H83" s="101"/>
      <c r="I83" s="101">
        <f>SUMIFS('Step 2'!W:W,'Step 2'!A:A,'Step 3 - Distributions'!A83,'Step 2'!B:B,"0")-C83</f>
        <v>101</v>
      </c>
      <c r="J83" s="101">
        <f>SUMIFS('Step 2'!O:O,'Step 2'!A:A,'Step 3 - Distributions'!A83)-D83</f>
        <v>1072</v>
      </c>
      <c r="K83" s="101">
        <f>SUMIFS('Step 2'!S:S,'Step 2'!A:A,'Step 3 - Distributions'!A83)-E83</f>
        <v>24540</v>
      </c>
      <c r="L83" s="101">
        <f>SUMIFS('Step 2'!Y:Y,'Step 2'!A:A,'Step 3 - Distributions'!A83)-SUMIFS('Step 2'!Y:Y,'Step 2'!A:A,'Step 3 - Distributions'!A83,'Step 2'!B:B,"0")-F83</f>
        <v>56892</v>
      </c>
      <c r="M83" s="101">
        <f t="shared" si="8"/>
        <v>82605</v>
      </c>
      <c r="N83" s="101"/>
      <c r="O83" s="102">
        <f t="shared" si="6"/>
        <v>165221</v>
      </c>
      <c r="P83" s="101">
        <f>'Allocation Worksheet'!D83</f>
        <v>165221</v>
      </c>
      <c r="Q83" s="103">
        <f t="shared" si="7"/>
        <v>0</v>
      </c>
      <c r="R83" s="101"/>
    </row>
    <row r="84" spans="1:18">
      <c r="A84" t="s">
        <v>2165</v>
      </c>
      <c r="B84" t="s">
        <v>1692</v>
      </c>
      <c r="C84" s="101">
        <f>'81'!E$4</f>
        <v>26</v>
      </c>
      <c r="D84" s="101">
        <f>'81'!E7</f>
        <v>1509</v>
      </c>
      <c r="E84" s="101">
        <f>SUMIFS('81'!E$3:E$10000,'81'!$H$3:$H$10000,1)</f>
        <v>6032</v>
      </c>
      <c r="F84" s="101">
        <f>SUMIFS('81'!E$3:E$10000,'81'!$H$3:$H$10000,2)</f>
        <v>15082</v>
      </c>
      <c r="G84" s="101">
        <f t="shared" si="5"/>
        <v>22649</v>
      </c>
      <c r="H84" s="101"/>
      <c r="I84" s="101">
        <f>SUMIFS('Step 2'!W:W,'Step 2'!A:A,'Step 3 - Distributions'!A84,'Step 2'!B:B,"0")-C84</f>
        <v>25</v>
      </c>
      <c r="J84" s="101">
        <f>SUMIFS('Step 2'!O:O,'Step 2'!A:A,'Step 3 - Distributions'!A84)-D84</f>
        <v>1508</v>
      </c>
      <c r="K84" s="101">
        <f>SUMIFS('Step 2'!S:S,'Step 2'!A:A,'Step 3 - Distributions'!A84)-E84</f>
        <v>6032</v>
      </c>
      <c r="L84" s="101">
        <f>SUMIFS('Step 2'!Y:Y,'Step 2'!A:A,'Step 3 - Distributions'!A84)-SUMIFS('Step 2'!Y:Y,'Step 2'!A:A,'Step 3 - Distributions'!A84,'Step 2'!B:B,"0")-F84</f>
        <v>15075</v>
      </c>
      <c r="M84" s="101">
        <f t="shared" si="8"/>
        <v>22640</v>
      </c>
      <c r="N84" s="101"/>
      <c r="O84" s="102">
        <f t="shared" si="6"/>
        <v>45289</v>
      </c>
      <c r="P84" s="101">
        <f>'Allocation Worksheet'!D84</f>
        <v>45289</v>
      </c>
      <c r="Q84" s="103">
        <f t="shared" si="7"/>
        <v>0</v>
      </c>
      <c r="R84" s="101"/>
    </row>
    <row r="85" spans="1:18">
      <c r="A85" t="s">
        <v>2166</v>
      </c>
      <c r="B85" t="s">
        <v>1699</v>
      </c>
      <c r="C85" s="101">
        <f>'82'!E$4</f>
        <v>1171</v>
      </c>
      <c r="D85" s="101">
        <f>'82'!E7</f>
        <v>70329</v>
      </c>
      <c r="E85" s="101">
        <f>SUMIFS('82'!E$3:E$10000,'82'!$H$3:$H$10000,1)</f>
        <v>339341</v>
      </c>
      <c r="F85" s="101">
        <f>SUMIFS('82'!E$3:E$10000,'82'!$H$3:$H$10000,2)</f>
        <v>806146</v>
      </c>
      <c r="G85" s="101">
        <f t="shared" si="5"/>
        <v>1216987</v>
      </c>
      <c r="H85" s="101"/>
      <c r="I85" s="101">
        <f>SUMIFS('Step 2'!W:W,'Step 2'!A:A,'Step 3 - Distributions'!A85,'Step 2'!B:B,"0")-C85</f>
        <v>1171</v>
      </c>
      <c r="J85" s="101">
        <f>SUMIFS('Step 2'!O:O,'Step 2'!A:A,'Step 3 - Distributions'!A85)-D85</f>
        <v>70329</v>
      </c>
      <c r="K85" s="101">
        <f>SUMIFS('Step 2'!S:S,'Step 2'!A:A,'Step 3 - Distributions'!A85)-E85</f>
        <v>339341</v>
      </c>
      <c r="L85" s="101">
        <f>SUMIFS('Step 2'!Y:Y,'Step 2'!A:A,'Step 3 - Distributions'!A85)-SUMIFS('Step 2'!Y:Y,'Step 2'!A:A,'Step 3 - Distributions'!A85,'Step 2'!B:B,"0")-F85</f>
        <v>806134</v>
      </c>
      <c r="M85" s="101">
        <f t="shared" si="8"/>
        <v>1216975</v>
      </c>
      <c r="N85" s="101"/>
      <c r="O85" s="102">
        <f t="shared" si="6"/>
        <v>2433962</v>
      </c>
      <c r="P85" s="101">
        <f>'Allocation Worksheet'!D85</f>
        <v>2433962</v>
      </c>
      <c r="Q85" s="103">
        <f t="shared" si="7"/>
        <v>0</v>
      </c>
      <c r="R85" s="101"/>
    </row>
    <row r="86" spans="1:18">
      <c r="A86" t="s">
        <v>2167</v>
      </c>
      <c r="B86" t="s">
        <v>1709</v>
      </c>
      <c r="C86" s="101">
        <f>'83'!E$4</f>
        <v>105</v>
      </c>
      <c r="D86" s="101">
        <f>'83'!E7</f>
        <v>1807</v>
      </c>
      <c r="E86" s="101">
        <f>SUMIFS('83'!E$3:E$10000,'83'!$H$3:$H$10000,1)</f>
        <v>24872</v>
      </c>
      <c r="F86" s="101">
        <f>SUMIFS('83'!E$3:E$10000,'83'!$H$3:$H$10000,2)</f>
        <v>63397</v>
      </c>
      <c r="G86" s="101">
        <f t="shared" si="5"/>
        <v>90181</v>
      </c>
      <c r="H86" s="101"/>
      <c r="I86" s="101">
        <f>SUMIFS('Step 2'!W:W,'Step 2'!A:A,'Step 3 - Distributions'!A86,'Step 2'!B:B,"0")-C86</f>
        <v>103</v>
      </c>
      <c r="J86" s="101">
        <f>SUMIFS('Step 2'!O:O,'Step 2'!A:A,'Step 3 - Distributions'!A86)-D86</f>
        <v>1807</v>
      </c>
      <c r="K86" s="101">
        <f>SUMIFS('Step 2'!S:S,'Step 2'!A:A,'Step 3 - Distributions'!A86)-E86</f>
        <v>24870</v>
      </c>
      <c r="L86" s="101">
        <f>SUMIFS('Step 2'!Y:Y,'Step 2'!A:A,'Step 3 - Distributions'!A86)-SUMIFS('Step 2'!Y:Y,'Step 2'!A:A,'Step 3 - Distributions'!A86,'Step 2'!B:B,"0")-F86</f>
        <v>63386</v>
      </c>
      <c r="M86" s="101">
        <f t="shared" si="8"/>
        <v>90166</v>
      </c>
      <c r="N86" s="101"/>
      <c r="O86" s="102">
        <f t="shared" si="6"/>
        <v>180347</v>
      </c>
      <c r="P86" s="101">
        <f>'Allocation Worksheet'!D86</f>
        <v>180347</v>
      </c>
      <c r="Q86" s="103">
        <f t="shared" si="7"/>
        <v>0</v>
      </c>
      <c r="R86" s="101"/>
    </row>
    <row r="87" spans="1:18">
      <c r="A87" t="s">
        <v>2168</v>
      </c>
      <c r="B87" t="s">
        <v>1726</v>
      </c>
      <c r="C87" s="101">
        <f>'84'!E$4</f>
        <v>335</v>
      </c>
      <c r="D87" s="101">
        <f>'84'!E7</f>
        <v>15382</v>
      </c>
      <c r="E87" s="101">
        <f>SUMIFS('84'!E$3:E$10000,'84'!$H$3:$H$10000,1)</f>
        <v>89913</v>
      </c>
      <c r="F87" s="101">
        <f>SUMIFS('84'!E$3:E$10000,'84'!$H$3:$H$10000,2)</f>
        <v>291128</v>
      </c>
      <c r="G87" s="101">
        <f t="shared" si="5"/>
        <v>396758</v>
      </c>
      <c r="H87" s="101"/>
      <c r="I87" s="101">
        <f>SUMIFS('Step 2'!W:W,'Step 2'!A:A,'Step 3 - Distributions'!A87,'Step 2'!B:B,"0")-C87</f>
        <v>334</v>
      </c>
      <c r="J87" s="101">
        <f>SUMIFS('Step 2'!O:O,'Step 2'!A:A,'Step 3 - Distributions'!A87)-D87</f>
        <v>15382</v>
      </c>
      <c r="K87" s="101">
        <f>SUMIFS('Step 2'!S:S,'Step 2'!A:A,'Step 3 - Distributions'!A87)-E87</f>
        <v>89912</v>
      </c>
      <c r="L87" s="101">
        <f>SUMIFS('Step 2'!Y:Y,'Step 2'!A:A,'Step 3 - Distributions'!A87)-SUMIFS('Step 2'!Y:Y,'Step 2'!A:A,'Step 3 - Distributions'!A87,'Step 2'!B:B,"0")-F87</f>
        <v>291114</v>
      </c>
      <c r="M87" s="101">
        <f t="shared" si="8"/>
        <v>396742</v>
      </c>
      <c r="N87" s="101"/>
      <c r="O87" s="102">
        <f t="shared" si="6"/>
        <v>793500</v>
      </c>
      <c r="P87" s="101">
        <f>'Allocation Worksheet'!D87</f>
        <v>793500</v>
      </c>
      <c r="Q87" s="103">
        <f t="shared" si="7"/>
        <v>0</v>
      </c>
      <c r="R87" s="101"/>
    </row>
    <row r="88" spans="1:18">
      <c r="A88" t="s">
        <v>2169</v>
      </c>
      <c r="B88" t="s">
        <v>1749</v>
      </c>
      <c r="C88" s="101">
        <f>'85'!E$4</f>
        <v>219</v>
      </c>
      <c r="D88" s="101">
        <f>'85'!E7</f>
        <v>12586</v>
      </c>
      <c r="E88" s="101">
        <f>SUMIFS('85'!E$3:E$10000,'85'!$H$3:$H$10000,1)</f>
        <v>53365</v>
      </c>
      <c r="F88" s="101">
        <f>SUMIFS('85'!E$3:E$10000,'85'!$H$3:$H$10000,2)</f>
        <v>108422</v>
      </c>
      <c r="G88" s="101">
        <f t="shared" si="5"/>
        <v>174592</v>
      </c>
      <c r="H88" s="101"/>
      <c r="I88" s="101">
        <f>SUMIFS('Step 2'!W:W,'Step 2'!A:A,'Step 3 - Distributions'!A88,'Step 2'!B:B,"0")-C88</f>
        <v>220</v>
      </c>
      <c r="J88" s="101">
        <f>SUMIFS('Step 2'!O:O,'Step 2'!A:A,'Step 3 - Distributions'!A88)-D88</f>
        <v>12586</v>
      </c>
      <c r="K88" s="101">
        <f>SUMIFS('Step 2'!S:S,'Step 2'!A:A,'Step 3 - Distributions'!A88)-E88</f>
        <v>53365</v>
      </c>
      <c r="L88" s="101">
        <f>SUMIFS('Step 2'!Y:Y,'Step 2'!A:A,'Step 3 - Distributions'!A88)-SUMIFS('Step 2'!Y:Y,'Step 2'!A:A,'Step 3 - Distributions'!A88,'Step 2'!B:B,"0")-F88</f>
        <v>108406</v>
      </c>
      <c r="M88" s="101">
        <f t="shared" si="8"/>
        <v>174577</v>
      </c>
      <c r="N88" s="101"/>
      <c r="O88" s="102">
        <f t="shared" si="6"/>
        <v>349169</v>
      </c>
      <c r="P88" s="101">
        <f>'Allocation Worksheet'!D88</f>
        <v>349169</v>
      </c>
      <c r="Q88" s="103">
        <f t="shared" si="7"/>
        <v>0</v>
      </c>
      <c r="R88" s="101"/>
    </row>
    <row r="89" spans="1:18">
      <c r="A89" t="s">
        <v>2170</v>
      </c>
      <c r="B89" t="s">
        <v>1767</v>
      </c>
      <c r="C89" s="101">
        <f>'86'!E$4</f>
        <v>39</v>
      </c>
      <c r="D89" s="101">
        <f>'86'!E7</f>
        <v>831</v>
      </c>
      <c r="E89" s="101">
        <f>SUMIFS('86'!E$3:E$10000,'86'!$H$3:$H$10000,1)</f>
        <v>8588</v>
      </c>
      <c r="F89" s="101">
        <f>SUMIFS('86'!E$3:E$10000,'86'!$H$3:$H$10000,2)</f>
        <v>19159</v>
      </c>
      <c r="G89" s="101">
        <f t="shared" si="5"/>
        <v>28617</v>
      </c>
      <c r="H89" s="101"/>
      <c r="I89" s="101">
        <f>SUMIFS('Step 2'!W:W,'Step 2'!A:A,'Step 3 - Distributions'!A89,'Step 2'!B:B,"0")-C89</f>
        <v>42</v>
      </c>
      <c r="J89" s="101">
        <f>SUMIFS('Step 2'!O:O,'Step 2'!A:A,'Step 3 - Distributions'!A89)-D89</f>
        <v>831</v>
      </c>
      <c r="K89" s="101">
        <f>SUMIFS('Step 2'!S:S,'Step 2'!A:A,'Step 3 - Distributions'!A89)-E89</f>
        <v>8587</v>
      </c>
      <c r="L89" s="101">
        <f>SUMIFS('Step 2'!Y:Y,'Step 2'!A:A,'Step 3 - Distributions'!A89)-SUMIFS('Step 2'!Y:Y,'Step 2'!A:A,'Step 3 - Distributions'!A89,'Step 2'!B:B,"0")-F89</f>
        <v>19143</v>
      </c>
      <c r="M89" s="101">
        <f t="shared" si="8"/>
        <v>28603</v>
      </c>
      <c r="N89" s="101"/>
      <c r="O89" s="102">
        <f t="shared" si="6"/>
        <v>57220</v>
      </c>
      <c r="P89" s="101">
        <f>'Allocation Worksheet'!D89</f>
        <v>57220</v>
      </c>
      <c r="Q89" s="103">
        <f t="shared" si="7"/>
        <v>0</v>
      </c>
      <c r="R89" s="101"/>
    </row>
    <row r="90" spans="1:18">
      <c r="A90" t="s">
        <v>2171</v>
      </c>
      <c r="B90" t="s">
        <v>1780</v>
      </c>
      <c r="C90" s="101">
        <f>'87'!E$4</f>
        <v>185</v>
      </c>
      <c r="D90" s="101">
        <f>'87'!E7</f>
        <v>3468</v>
      </c>
      <c r="E90" s="101">
        <f>SUMIFS('87'!E$3:E$10000,'87'!$H$3:$H$10000,1)</f>
        <v>42534</v>
      </c>
      <c r="F90" s="101">
        <f>SUMIFS('87'!E$3:E$10000,'87'!$H$3:$H$10000,2)</f>
        <v>91668</v>
      </c>
      <c r="G90" s="101">
        <f t="shared" si="5"/>
        <v>137855</v>
      </c>
      <c r="H90" s="101"/>
      <c r="I90" s="101">
        <f>SUMIFS('Step 2'!W:W,'Step 2'!A:A,'Step 3 - Distributions'!A90,'Step 2'!B:B,"0")-C90</f>
        <v>182</v>
      </c>
      <c r="J90" s="101">
        <f>SUMIFS('Step 2'!O:O,'Step 2'!A:A,'Step 3 - Distributions'!A90)-D90</f>
        <v>3468</v>
      </c>
      <c r="K90" s="101">
        <f>SUMIFS('Step 2'!S:S,'Step 2'!A:A,'Step 3 - Distributions'!A90)-E90</f>
        <v>42533</v>
      </c>
      <c r="L90" s="101">
        <f>SUMIFS('Step 2'!Y:Y,'Step 2'!A:A,'Step 3 - Distributions'!A90)-SUMIFS('Step 2'!Y:Y,'Step 2'!A:A,'Step 3 - Distributions'!A90,'Step 2'!B:B,"0")-F90</f>
        <v>91659</v>
      </c>
      <c r="M90" s="101">
        <f t="shared" si="8"/>
        <v>137842</v>
      </c>
      <c r="N90" s="101"/>
      <c r="O90" s="102">
        <f t="shared" si="6"/>
        <v>275697</v>
      </c>
      <c r="P90" s="101">
        <f>'Allocation Worksheet'!D90</f>
        <v>275697</v>
      </c>
      <c r="Q90" s="103">
        <f t="shared" si="7"/>
        <v>0</v>
      </c>
      <c r="R90" s="101"/>
    </row>
    <row r="91" spans="1:18">
      <c r="A91" t="s">
        <v>2172</v>
      </c>
      <c r="B91" t="s">
        <v>1797</v>
      </c>
      <c r="C91" s="101">
        <f>'88'!E$4</f>
        <v>108</v>
      </c>
      <c r="D91" s="101">
        <f>'88'!E7</f>
        <v>5002</v>
      </c>
      <c r="E91" s="101">
        <f>SUMIFS('88'!E$3:E$10000,'88'!$H$3:$H$10000,1)</f>
        <v>20337</v>
      </c>
      <c r="F91" s="101">
        <f>SUMIFS('88'!E$3:E$10000,'88'!$H$3:$H$10000,2)</f>
        <v>62945</v>
      </c>
      <c r="G91" s="101">
        <f t="shared" si="5"/>
        <v>88392</v>
      </c>
      <c r="H91" s="101"/>
      <c r="I91" s="101">
        <f>SUMIFS('Step 2'!W:W,'Step 2'!A:A,'Step 3 - Distributions'!A91,'Step 2'!B:B,"0")-C91</f>
        <v>106</v>
      </c>
      <c r="J91" s="101">
        <f>SUMIFS('Step 2'!O:O,'Step 2'!A:A,'Step 3 - Distributions'!A91)-D91</f>
        <v>5002</v>
      </c>
      <c r="K91" s="101">
        <f>SUMIFS('Step 2'!S:S,'Step 2'!A:A,'Step 3 - Distributions'!A91)-E91</f>
        <v>20335</v>
      </c>
      <c r="L91" s="101">
        <f>SUMIFS('Step 2'!Y:Y,'Step 2'!A:A,'Step 3 - Distributions'!A91)-SUMIFS('Step 2'!Y:Y,'Step 2'!A:A,'Step 3 - Distributions'!A91,'Step 2'!B:B,"0")-F91</f>
        <v>62925</v>
      </c>
      <c r="M91" s="101">
        <f t="shared" si="8"/>
        <v>88368</v>
      </c>
      <c r="N91" s="101"/>
      <c r="O91" s="102">
        <f t="shared" si="6"/>
        <v>176760</v>
      </c>
      <c r="P91" s="101">
        <f>'Allocation Worksheet'!D91</f>
        <v>176760</v>
      </c>
      <c r="Q91" s="103">
        <f t="shared" si="7"/>
        <v>0</v>
      </c>
      <c r="R91" s="101"/>
    </row>
    <row r="92" spans="1:18">
      <c r="A92" t="s">
        <v>2173</v>
      </c>
      <c r="B92" t="s">
        <v>1816</v>
      </c>
      <c r="C92" s="101">
        <f>'89'!E$4</f>
        <v>458</v>
      </c>
      <c r="D92" s="101">
        <f>'89'!E7</f>
        <v>10711</v>
      </c>
      <c r="E92" s="101">
        <f>SUMIFS('89'!E$3:E$10000,'89'!$H$3:$H$10000,1)</f>
        <v>130238</v>
      </c>
      <c r="F92" s="101">
        <f>SUMIFS('89'!E$3:E$10000,'89'!$H$3:$H$10000,2)</f>
        <v>346244</v>
      </c>
      <c r="G92" s="101">
        <f t="shared" si="5"/>
        <v>487651</v>
      </c>
      <c r="H92" s="101"/>
      <c r="I92" s="101">
        <f>SUMIFS('Step 2'!W:W,'Step 2'!A:A,'Step 3 - Distributions'!A92,'Step 2'!B:B,"0")-C92</f>
        <v>461</v>
      </c>
      <c r="J92" s="101">
        <f>SUMIFS('Step 2'!O:O,'Step 2'!A:A,'Step 3 - Distributions'!A92)-D92</f>
        <v>10710</v>
      </c>
      <c r="K92" s="101">
        <f>SUMIFS('Step 2'!S:S,'Step 2'!A:A,'Step 3 - Distributions'!A92)-E92</f>
        <v>130237</v>
      </c>
      <c r="L92" s="101">
        <f>SUMIFS('Step 2'!Y:Y,'Step 2'!A:A,'Step 3 - Distributions'!A92)-SUMIFS('Step 2'!Y:Y,'Step 2'!A:A,'Step 3 - Distributions'!A92,'Step 2'!B:B,"0")-F92</f>
        <v>346215</v>
      </c>
      <c r="M92" s="101">
        <f t="shared" si="8"/>
        <v>487623</v>
      </c>
      <c r="N92" s="101"/>
      <c r="O92" s="102">
        <f t="shared" si="6"/>
        <v>975274</v>
      </c>
      <c r="P92" s="101">
        <f>'Allocation Worksheet'!D92</f>
        <v>975274</v>
      </c>
      <c r="Q92" s="103">
        <f t="shared" si="7"/>
        <v>0</v>
      </c>
      <c r="R92" s="101"/>
    </row>
    <row r="93" spans="1:18">
      <c r="A93" t="s">
        <v>2174</v>
      </c>
      <c r="B93" t="s">
        <v>1847</v>
      </c>
      <c r="C93" s="101">
        <f>'90'!E$4</f>
        <v>270</v>
      </c>
      <c r="D93" s="101">
        <f>'90'!E7</f>
        <v>7835</v>
      </c>
      <c r="E93" s="101">
        <f>SUMIFS('90'!E$3:E$10000,'90'!$H$3:$H$10000,1)</f>
        <v>64739</v>
      </c>
      <c r="F93" s="101">
        <f>SUMIFS('90'!E$3:E$10000,'90'!$H$3:$H$10000,2)</f>
        <v>167705</v>
      </c>
      <c r="G93" s="101">
        <f t="shared" si="5"/>
        <v>240549</v>
      </c>
      <c r="H93" s="101"/>
      <c r="I93" s="101">
        <f>SUMIFS('Step 2'!W:W,'Step 2'!A:A,'Step 3 - Distributions'!A93,'Step 2'!B:B,"0")-C93</f>
        <v>268</v>
      </c>
      <c r="J93" s="101">
        <f>SUMIFS('Step 2'!O:O,'Step 2'!A:A,'Step 3 - Distributions'!A93)-D93</f>
        <v>7835</v>
      </c>
      <c r="K93" s="101">
        <f>SUMIFS('Step 2'!S:S,'Step 2'!A:A,'Step 3 - Distributions'!A93)-E93</f>
        <v>64738</v>
      </c>
      <c r="L93" s="101">
        <f>SUMIFS('Step 2'!Y:Y,'Step 2'!A:A,'Step 3 - Distributions'!A93)-SUMIFS('Step 2'!Y:Y,'Step 2'!A:A,'Step 3 - Distributions'!A93,'Step 2'!B:B,"0")-F93</f>
        <v>167691</v>
      </c>
      <c r="M93" s="101">
        <f t="shared" si="8"/>
        <v>240532</v>
      </c>
      <c r="N93" s="101"/>
      <c r="O93" s="102">
        <f t="shared" si="6"/>
        <v>481081</v>
      </c>
      <c r="P93" s="101">
        <f>'Allocation Worksheet'!D93</f>
        <v>481081</v>
      </c>
      <c r="Q93" s="103">
        <f t="shared" si="7"/>
        <v>0</v>
      </c>
      <c r="R93" s="101"/>
    </row>
    <row r="94" spans="1:18">
      <c r="A94" t="s">
        <v>2175</v>
      </c>
      <c r="B94" t="s">
        <v>1859</v>
      </c>
      <c r="C94" s="101">
        <f>'91'!E$4</f>
        <v>279</v>
      </c>
      <c r="D94" s="101">
        <f>'91'!E7</f>
        <v>2987</v>
      </c>
      <c r="E94" s="101">
        <f>SUMIFS('91'!E$3:E$10003,'91'!$H$3:$H$10003,1)</f>
        <v>77417</v>
      </c>
      <c r="F94" s="101">
        <f>SUMIFS('91'!E$3:E$10003,'91'!$H$3:$H$10003,2)</f>
        <v>140399</v>
      </c>
      <c r="G94" s="101">
        <f t="shared" si="5"/>
        <v>221082</v>
      </c>
      <c r="H94" s="101"/>
      <c r="I94" s="101">
        <f>SUMIFS('Step 2'!W:W,'Step 2'!A:A,'Step 3 - Distributions'!A94,'Step 2'!B:B,"0")-C94</f>
        <v>278</v>
      </c>
      <c r="J94" s="101">
        <f>SUMIFS('Step 2'!O:O,'Step 2'!A:A,'Step 3 - Distributions'!A94)-D94</f>
        <v>2986</v>
      </c>
      <c r="K94" s="101">
        <f>SUMIFS('Step 2'!S:S,'Step 2'!A:A,'Step 3 - Distributions'!A94)-E94</f>
        <v>77415</v>
      </c>
      <c r="L94" s="101">
        <f>SUMIFS('Step 2'!Y:Y,'Step 2'!A:A,'Step 3 - Distributions'!A94)-SUMIFS('Step 2'!Y:Y,'Step 2'!A:A,'Step 3 - Distributions'!A94,'Step 2'!B:B,"0")-F94</f>
        <v>140382</v>
      </c>
      <c r="M94" s="101">
        <f t="shared" si="8"/>
        <v>221061</v>
      </c>
      <c r="N94" s="101"/>
      <c r="O94" s="102">
        <f t="shared" si="6"/>
        <v>442143</v>
      </c>
      <c r="P94" s="101">
        <f>'Allocation Worksheet'!D94</f>
        <v>442143</v>
      </c>
      <c r="Q94" s="103">
        <f t="shared" si="7"/>
        <v>0</v>
      </c>
      <c r="R94" s="101"/>
    </row>
    <row r="95" spans="1:18" ht="15.75" thickBot="1">
      <c r="A95" t="s">
        <v>2176</v>
      </c>
      <c r="B95" t="s">
        <v>1880</v>
      </c>
      <c r="C95" s="101">
        <f>'92'!E$4</f>
        <v>350</v>
      </c>
      <c r="D95" s="101">
        <f>'92'!E7</f>
        <v>5633</v>
      </c>
      <c r="E95" s="101">
        <f>SUMIFS('92'!E$3:E$10000,'92'!$H$3:$H$10000,1)</f>
        <v>92153</v>
      </c>
      <c r="F95" s="101">
        <f>SUMIFS('92'!E$3:E$10000,'92'!$H$3:$H$10000,2)</f>
        <v>171084</v>
      </c>
      <c r="G95" s="101">
        <f>SUM(C95:F95)</f>
        <v>269220</v>
      </c>
      <c r="H95" s="101"/>
      <c r="I95" s="101">
        <f>SUMIFS('Step 2'!W:W,'Step 2'!A:A,'Step 3 - Distributions'!A95,'Step 2'!B:B,"0")-C95</f>
        <v>350</v>
      </c>
      <c r="J95" s="101">
        <f>SUMIFS('Step 2'!O:O,'Step 2'!A:A,'Step 3 - Distributions'!A95)-D95</f>
        <v>5632</v>
      </c>
      <c r="K95" s="101">
        <f>SUMIFS('Step 2'!S:S,'Step 2'!A:A,'Step 3 - Distributions'!A95)-E95</f>
        <v>92153</v>
      </c>
      <c r="L95" s="101">
        <f>SUMIFS('Step 2'!Y:Y,'Step 2'!A:A,'Step 3 - Distributions'!A95)-SUMIFS('Step 2'!Y:Y,'Step 2'!A:A,'Step 3 - Distributions'!A95,'Step 2'!B:B,"0")-F95</f>
        <v>171072</v>
      </c>
      <c r="M95" s="101">
        <f t="shared" si="8"/>
        <v>269207</v>
      </c>
      <c r="N95" s="101"/>
      <c r="O95" s="104">
        <f>G95+M95</f>
        <v>538427</v>
      </c>
      <c r="P95" s="105">
        <f>'Allocation Worksheet'!D95</f>
        <v>538427</v>
      </c>
      <c r="Q95" s="106">
        <f>O95-P95</f>
        <v>0</v>
      </c>
      <c r="R95" s="101"/>
    </row>
    <row r="96" spans="1:18"/>
    <row r="97" spans="2:18">
      <c r="B97" t="s">
        <v>2078</v>
      </c>
      <c r="C97" s="101">
        <f>SUM(C4:C96)</f>
        <v>32885</v>
      </c>
      <c r="D97" s="101">
        <f t="shared" ref="D97:P97" si="9">SUM(D4:D96)</f>
        <v>1612679</v>
      </c>
      <c r="E97" s="101">
        <f t="shared" si="9"/>
        <v>7999770</v>
      </c>
      <c r="F97" s="101">
        <f t="shared" si="9"/>
        <v>22692507</v>
      </c>
      <c r="G97" s="101">
        <f t="shared" si="9"/>
        <v>32337841</v>
      </c>
      <c r="H97" s="101"/>
      <c r="I97" s="101">
        <f t="shared" si="9"/>
        <v>32819</v>
      </c>
      <c r="J97" s="101">
        <f t="shared" si="9"/>
        <v>1612638</v>
      </c>
      <c r="K97" s="101">
        <f t="shared" si="9"/>
        <v>7999613</v>
      </c>
      <c r="L97" s="101">
        <f t="shared" si="9"/>
        <v>22690931</v>
      </c>
      <c r="M97" s="101">
        <f t="shared" si="9"/>
        <v>32336001</v>
      </c>
      <c r="N97" s="101"/>
      <c r="O97" s="101">
        <f t="shared" si="9"/>
        <v>64673842</v>
      </c>
      <c r="P97" s="101">
        <f t="shared" si="9"/>
        <v>64673842</v>
      </c>
      <c r="R97" s="101"/>
    </row>
    <row r="98" spans="2:18"/>
    <row r="99" spans="2:18"/>
    <row r="100" spans="2:18"/>
    <row r="101" spans="2:18"/>
    <row r="102" spans="2:18">
      <c r="H102" s="101"/>
      <c r="I102" s="109"/>
      <c r="R102" s="101"/>
    </row>
    <row r="103" spans="2:18"/>
    <row r="104" spans="2:18"/>
    <row r="105" spans="2:18"/>
  </sheetData>
  <mergeCells count="4">
    <mergeCell ref="O2:Q2"/>
    <mergeCell ref="C2:G2"/>
    <mergeCell ref="I2:M2"/>
    <mergeCell ref="C1:M1"/>
  </mergeCells>
  <pageMargins left="0.7" right="0.7"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A1:J71"/>
  <sheetViews>
    <sheetView tabSelected="1" zoomScale="115" zoomScaleNormal="115" workbookViewId="0"/>
  </sheetViews>
  <sheetFormatPr defaultColWidth="9.140625" defaultRowHeight="15"/>
  <cols>
    <col min="1" max="1" width="13.140625" style="1" customWidth="1"/>
    <col min="2" max="2" width="57.140625" style="3" customWidth="1"/>
    <col min="3" max="3" width="20.42578125" style="4" customWidth="1"/>
    <col min="4" max="6" width="20.42578125" style="3" customWidth="1"/>
    <col min="7" max="7" width="9.140625" style="3" customWidth="1"/>
    <col min="8" max="16384" width="9.140625" style="3"/>
  </cols>
  <sheetData>
    <row r="1" spans="1:10">
      <c r="B1" s="2" t="s">
        <v>0</v>
      </c>
    </row>
    <row r="2" spans="1:10" ht="45.75" customHeight="1">
      <c r="B2" s="1"/>
      <c r="C2" s="6" t="s">
        <v>1</v>
      </c>
      <c r="D2" s="99" t="str">
        <f>'Allocation Worksheet'!H3</f>
        <v>2026 TOTAL BASED ON CY2025 CVET REVENUE</v>
      </c>
      <c r="E2" s="60" t="str">
        <f>'Allocation Worksheet'!H4</f>
        <v>MAY 2026 DISTRIBUTION</v>
      </c>
      <c r="F2" s="60" t="str">
        <f>'Allocation Worksheet'!H5</f>
        <v>NOVEMBER 2026 DISTRIBUTION</v>
      </c>
      <c r="J2" s="35"/>
    </row>
    <row r="3" spans="1:10">
      <c r="A3" s="7" t="s">
        <v>2</v>
      </c>
      <c r="B3" s="7" t="s">
        <v>3</v>
      </c>
      <c r="C3" s="10"/>
      <c r="D3" s="9">
        <f>'Allocation Worksheet'!$D$4</f>
        <v>287723</v>
      </c>
      <c r="E3" s="11"/>
      <c r="F3" s="11"/>
    </row>
    <row r="4" spans="1:10">
      <c r="A4" s="8">
        <v>0</v>
      </c>
      <c r="B4" s="11" t="s">
        <v>4</v>
      </c>
      <c r="C4" s="10">
        <v>1.2539999999999999E-3</v>
      </c>
      <c r="D4" s="12">
        <f>ROUND(D$3*C4,0)</f>
        <v>361</v>
      </c>
      <c r="E4" s="13">
        <f>ROUND(D4/2,0)</f>
        <v>181</v>
      </c>
      <c r="F4" s="12">
        <f>+D4-E4</f>
        <v>180</v>
      </c>
      <c r="G4" s="182"/>
    </row>
    <row r="5" spans="1:10">
      <c r="A5" s="8">
        <v>1</v>
      </c>
      <c r="B5" s="11" t="s">
        <v>5</v>
      </c>
      <c r="C5" s="10">
        <v>0.21342700000000001</v>
      </c>
      <c r="D5" s="9">
        <f>ROUND(D$3*C5,0)</f>
        <v>61408</v>
      </c>
      <c r="E5" s="11">
        <f>ROUND(D5/2,0)</f>
        <v>30704</v>
      </c>
      <c r="F5" s="9">
        <f>+D5-E5</f>
        <v>30704</v>
      </c>
    </row>
    <row r="6" spans="1:10">
      <c r="A6" s="8"/>
      <c r="B6" s="11" t="s">
        <v>6</v>
      </c>
      <c r="C6" s="14"/>
      <c r="D6" s="14">
        <v>0.17400199999999999</v>
      </c>
      <c r="E6" s="11"/>
      <c r="F6" s="11"/>
    </row>
    <row r="7" spans="1:10">
      <c r="A7" s="8"/>
      <c r="B7" s="11" t="s">
        <v>7</v>
      </c>
      <c r="C7" s="10"/>
      <c r="D7" s="225">
        <f>ROUND(D5*D6,0)</f>
        <v>10685</v>
      </c>
      <c r="E7" s="226">
        <f>ROUND(D7/2,0)</f>
        <v>5343</v>
      </c>
      <c r="F7" s="225">
        <f>+D7-E7</f>
        <v>5342</v>
      </c>
    </row>
    <row r="8" spans="1:10">
      <c r="A8" s="8"/>
      <c r="B8" s="11" t="s">
        <v>8</v>
      </c>
      <c r="C8" s="10"/>
      <c r="D8" s="12">
        <f>+D5-D7</f>
        <v>50723</v>
      </c>
      <c r="E8" s="13">
        <f>ROUND(D8/2,0)</f>
        <v>25362</v>
      </c>
      <c r="F8" s="12">
        <f>+D8-E8</f>
        <v>25361</v>
      </c>
      <c r="G8" s="182"/>
    </row>
    <row r="9" spans="1:10">
      <c r="A9" s="8">
        <v>2</v>
      </c>
      <c r="B9" s="11" t="s">
        <v>9</v>
      </c>
      <c r="C9" s="10"/>
      <c r="D9" s="9"/>
      <c r="E9" s="11"/>
      <c r="F9" s="11"/>
    </row>
    <row r="10" spans="1:10">
      <c r="A10" s="8"/>
      <c r="B10" s="11" t="s">
        <v>10</v>
      </c>
      <c r="C10" s="10">
        <v>2.2499999999999999E-4</v>
      </c>
      <c r="D10" s="12">
        <f>ROUND(D$3*C10,0)</f>
        <v>65</v>
      </c>
      <c r="E10" s="13">
        <f>ROUND(D10/2,0)</f>
        <v>33</v>
      </c>
      <c r="F10" s="12">
        <f>+D10-E10</f>
        <v>32</v>
      </c>
      <c r="G10" s="182"/>
    </row>
    <row r="11" spans="1:10">
      <c r="A11" s="8"/>
      <c r="B11" s="11" t="s">
        <v>11</v>
      </c>
      <c r="C11" s="10">
        <v>5.3999999999999998E-5</v>
      </c>
      <c r="D11" s="12">
        <f>ROUND(D$3*C11,0)</f>
        <v>16</v>
      </c>
      <c r="E11" s="13">
        <f>ROUND(D11/2,0)</f>
        <v>8</v>
      </c>
      <c r="F11" s="12">
        <f>+D11-E11</f>
        <v>8</v>
      </c>
      <c r="G11" s="182"/>
    </row>
    <row r="12" spans="1:10">
      <c r="A12" s="8">
        <v>2</v>
      </c>
      <c r="B12" s="11" t="s">
        <v>12</v>
      </c>
      <c r="C12" s="10"/>
      <c r="D12" s="9"/>
      <c r="E12" s="11"/>
      <c r="F12" s="11"/>
    </row>
    <row r="13" spans="1:10">
      <c r="A13" s="8"/>
      <c r="B13" s="11" t="s">
        <v>10</v>
      </c>
      <c r="C13" s="10">
        <v>1.042E-3</v>
      </c>
      <c r="D13" s="12">
        <f>ROUND(D$3*C13,0)</f>
        <v>300</v>
      </c>
      <c r="E13" s="13">
        <f>ROUND(D13/2,0)</f>
        <v>150</v>
      </c>
      <c r="F13" s="12">
        <f>+D13-E13</f>
        <v>150</v>
      </c>
      <c r="G13" s="182"/>
    </row>
    <row r="14" spans="1:10">
      <c r="A14" s="8"/>
      <c r="B14" s="11" t="s">
        <v>11</v>
      </c>
      <c r="C14" s="10">
        <v>4.15E-4</v>
      </c>
      <c r="D14" s="12">
        <f>ROUND(D$3*C14,0)</f>
        <v>119</v>
      </c>
      <c r="E14" s="13">
        <f>ROUND(D14/2,0)</f>
        <v>60</v>
      </c>
      <c r="F14" s="12">
        <f>+D14-E14</f>
        <v>59</v>
      </c>
      <c r="G14" s="182"/>
    </row>
    <row r="15" spans="1:10">
      <c r="A15" s="8">
        <v>2</v>
      </c>
      <c r="B15" s="11" t="s">
        <v>13</v>
      </c>
      <c r="C15" s="10"/>
      <c r="D15" s="9"/>
      <c r="E15" s="11"/>
      <c r="F15" s="11"/>
    </row>
    <row r="16" spans="1:10">
      <c r="A16" s="8"/>
      <c r="B16" s="11" t="s">
        <v>10</v>
      </c>
      <c r="C16" s="10">
        <v>3.39E-4</v>
      </c>
      <c r="D16" s="12">
        <f>ROUND(D$3*C16,0)</f>
        <v>98</v>
      </c>
      <c r="E16" s="13">
        <f>ROUND(D16/2,0)</f>
        <v>49</v>
      </c>
      <c r="F16" s="12">
        <f>+D16-E16</f>
        <v>49</v>
      </c>
      <c r="G16" s="182"/>
    </row>
    <row r="17" spans="1:7">
      <c r="A17" s="8"/>
      <c r="B17" s="11" t="s">
        <v>11</v>
      </c>
      <c r="C17" s="10">
        <v>1.01E-4</v>
      </c>
      <c r="D17" s="12">
        <f>ROUND(D$3*C17,0)</f>
        <v>29</v>
      </c>
      <c r="E17" s="13">
        <f>ROUND(D17/2,0)</f>
        <v>15</v>
      </c>
      <c r="F17" s="12">
        <f>+D17-E17</f>
        <v>14</v>
      </c>
      <c r="G17" s="182"/>
    </row>
    <row r="18" spans="1:7">
      <c r="A18" s="8">
        <v>2</v>
      </c>
      <c r="B18" s="11" t="s">
        <v>14</v>
      </c>
      <c r="C18" s="10"/>
      <c r="D18" s="9"/>
      <c r="E18" s="11"/>
      <c r="F18" s="11"/>
    </row>
    <row r="19" spans="1:7">
      <c r="A19" s="8"/>
      <c r="B19" s="11" t="s">
        <v>10</v>
      </c>
      <c r="C19" s="10">
        <v>1.46E-4</v>
      </c>
      <c r="D19" s="12">
        <f>ROUND(D$3*C19,0)</f>
        <v>42</v>
      </c>
      <c r="E19" s="13">
        <f>ROUND(D19/2,0)</f>
        <v>21</v>
      </c>
      <c r="F19" s="12">
        <f>+D19-E19</f>
        <v>21</v>
      </c>
      <c r="G19" s="182"/>
    </row>
    <row r="20" spans="1:7">
      <c r="A20" s="8"/>
      <c r="B20" s="11" t="s">
        <v>11</v>
      </c>
      <c r="C20" s="10">
        <v>5.7000000000000003E-5</v>
      </c>
      <c r="D20" s="12">
        <f>ROUND(D$3*C20,0)</f>
        <v>16</v>
      </c>
      <c r="E20" s="13">
        <f>ROUND(D20/2,0)</f>
        <v>8</v>
      </c>
      <c r="F20" s="12">
        <f>+D20-E20</f>
        <v>8</v>
      </c>
      <c r="G20" s="182"/>
    </row>
    <row r="21" spans="1:7">
      <c r="A21" s="8">
        <v>2</v>
      </c>
      <c r="B21" s="11" t="s">
        <v>15</v>
      </c>
      <c r="C21" s="10"/>
      <c r="D21" s="9"/>
      <c r="E21" s="11"/>
      <c r="F21" s="11"/>
    </row>
    <row r="22" spans="1:7">
      <c r="A22" s="8"/>
      <c r="B22" s="11" t="s">
        <v>10</v>
      </c>
      <c r="C22" s="10">
        <v>5.3200000000000003E-4</v>
      </c>
      <c r="D22" s="12">
        <f>ROUND(D$3*C22,0)</f>
        <v>153</v>
      </c>
      <c r="E22" s="13">
        <f>ROUND(D22/2,0)</f>
        <v>77</v>
      </c>
      <c r="F22" s="12">
        <f>+D22-E22</f>
        <v>76</v>
      </c>
      <c r="G22" s="182"/>
    </row>
    <row r="23" spans="1:7">
      <c r="A23" s="8"/>
      <c r="B23" s="11" t="s">
        <v>11</v>
      </c>
      <c r="C23" s="10">
        <v>2.7599999999999999E-4</v>
      </c>
      <c r="D23" s="12">
        <f>ROUND(D$3*C23,0)</f>
        <v>79</v>
      </c>
      <c r="E23" s="13">
        <f>ROUND(D23/2,0)</f>
        <v>40</v>
      </c>
      <c r="F23" s="12">
        <f>+D23-E23</f>
        <v>39</v>
      </c>
      <c r="G23" s="182"/>
    </row>
    <row r="24" spans="1:7">
      <c r="A24" s="8">
        <v>2</v>
      </c>
      <c r="B24" s="11" t="s">
        <v>16</v>
      </c>
      <c r="C24" s="10"/>
      <c r="D24" s="9"/>
      <c r="E24" s="11"/>
      <c r="F24" s="11"/>
    </row>
    <row r="25" spans="1:7">
      <c r="A25" s="8"/>
      <c r="B25" s="11" t="s">
        <v>10</v>
      </c>
      <c r="C25" s="10">
        <v>1.634E-3</v>
      </c>
      <c r="D25" s="12">
        <f>ROUND(D$3*C25,0)</f>
        <v>470</v>
      </c>
      <c r="E25" s="13">
        <f>ROUND(D25/2,0)</f>
        <v>235</v>
      </c>
      <c r="F25" s="12">
        <f>+D25-E25</f>
        <v>235</v>
      </c>
      <c r="G25" s="182"/>
    </row>
    <row r="26" spans="1:7">
      <c r="A26" s="8"/>
      <c r="B26" s="11" t="s">
        <v>11</v>
      </c>
      <c r="C26" s="10">
        <v>1.8699999999999999E-4</v>
      </c>
      <c r="D26" s="12">
        <f>ROUND(D$3*C26,0)</f>
        <v>54</v>
      </c>
      <c r="E26" s="13">
        <f>ROUND(D26/2,0)</f>
        <v>27</v>
      </c>
      <c r="F26" s="12">
        <f>+D26-E26</f>
        <v>27</v>
      </c>
      <c r="G26" s="182"/>
    </row>
    <row r="27" spans="1:7">
      <c r="A27" s="8">
        <v>2</v>
      </c>
      <c r="B27" s="11" t="s">
        <v>17</v>
      </c>
      <c r="C27" s="10"/>
      <c r="D27" s="9"/>
      <c r="E27" s="11"/>
      <c r="F27" s="11"/>
    </row>
    <row r="28" spans="1:7">
      <c r="A28" s="8"/>
      <c r="B28" s="11" t="s">
        <v>10</v>
      </c>
      <c r="C28" s="10">
        <v>5.6099999999999998E-4</v>
      </c>
      <c r="D28" s="12">
        <f>ROUND(D$3*C28,0)</f>
        <v>161</v>
      </c>
      <c r="E28" s="13">
        <f>ROUND(D28/2,0)</f>
        <v>81</v>
      </c>
      <c r="F28" s="12">
        <f>+D28-E28</f>
        <v>80</v>
      </c>
      <c r="G28" s="182"/>
    </row>
    <row r="29" spans="1:7">
      <c r="A29" s="8"/>
      <c r="B29" s="11" t="s">
        <v>11</v>
      </c>
      <c r="C29" s="10">
        <v>3.3300000000000002E-4</v>
      </c>
      <c r="D29" s="12">
        <f>ROUND(D$3*C29,0)</f>
        <v>96</v>
      </c>
      <c r="E29" s="13">
        <f>ROUND(D29/2,0)</f>
        <v>48</v>
      </c>
      <c r="F29" s="12">
        <f>+D29-E29</f>
        <v>48</v>
      </c>
      <c r="G29" s="182"/>
    </row>
    <row r="30" spans="1:7">
      <c r="A30" s="8">
        <v>2</v>
      </c>
      <c r="B30" s="11" t="s">
        <v>18</v>
      </c>
      <c r="C30" s="10"/>
      <c r="D30" s="9"/>
      <c r="E30" s="11"/>
      <c r="F30" s="11"/>
    </row>
    <row r="31" spans="1:7">
      <c r="A31" s="8"/>
      <c r="B31" s="11" t="s">
        <v>10</v>
      </c>
      <c r="C31" s="10">
        <v>1.843E-3</v>
      </c>
      <c r="D31" s="12">
        <f>ROUND(D$3*C31,0)</f>
        <v>530</v>
      </c>
      <c r="E31" s="13">
        <f>ROUND(D31/2,0)</f>
        <v>265</v>
      </c>
      <c r="F31" s="12">
        <f>+D31-E31</f>
        <v>265</v>
      </c>
      <c r="G31" s="182"/>
    </row>
    <row r="32" spans="1:7">
      <c r="A32" s="8"/>
      <c r="B32" s="11" t="s">
        <v>11</v>
      </c>
      <c r="C32" s="10">
        <v>1.27E-4</v>
      </c>
      <c r="D32" s="12">
        <f>ROUND(D$3*C32,0)</f>
        <v>37</v>
      </c>
      <c r="E32" s="13">
        <f>ROUND(D32/2,0)</f>
        <v>19</v>
      </c>
      <c r="F32" s="12">
        <f>+D32-E32</f>
        <v>18</v>
      </c>
      <c r="G32" s="182"/>
    </row>
    <row r="33" spans="1:7">
      <c r="A33" s="8">
        <v>2</v>
      </c>
      <c r="B33" s="11" t="s">
        <v>19</v>
      </c>
      <c r="C33" s="10"/>
      <c r="D33" s="9"/>
      <c r="E33" s="11"/>
      <c r="F33" s="11"/>
    </row>
    <row r="34" spans="1:7">
      <c r="A34" s="8"/>
      <c r="B34" s="11" t="s">
        <v>10</v>
      </c>
      <c r="C34" s="10">
        <v>4.8099999999999998E-4</v>
      </c>
      <c r="D34" s="12">
        <f>ROUND(D$3*C34,0)</f>
        <v>138</v>
      </c>
      <c r="E34" s="13">
        <f>ROUND(D34/2,0)</f>
        <v>69</v>
      </c>
      <c r="F34" s="12">
        <f>+D34-E34</f>
        <v>69</v>
      </c>
      <c r="G34" s="182"/>
    </row>
    <row r="35" spans="1:7">
      <c r="A35" s="8"/>
      <c r="B35" s="11" t="s">
        <v>11</v>
      </c>
      <c r="C35" s="10">
        <v>1.7100000000000001E-4</v>
      </c>
      <c r="D35" s="12">
        <f>ROUND(D$3*C35,0)</f>
        <v>49</v>
      </c>
      <c r="E35" s="13">
        <f>ROUND(D35/2,0)</f>
        <v>25</v>
      </c>
      <c r="F35" s="12">
        <f>+D35-E35</f>
        <v>24</v>
      </c>
      <c r="G35" s="182"/>
    </row>
    <row r="36" spans="1:7">
      <c r="A36" s="8">
        <v>2</v>
      </c>
      <c r="B36" s="11" t="s">
        <v>20</v>
      </c>
      <c r="C36" s="10"/>
      <c r="D36" s="9"/>
      <c r="E36" s="11"/>
      <c r="F36" s="11"/>
    </row>
    <row r="37" spans="1:7">
      <c r="A37" s="8"/>
      <c r="B37" s="11" t="s">
        <v>10</v>
      </c>
      <c r="C37" s="10">
        <v>2.7599999999999999E-4</v>
      </c>
      <c r="D37" s="12">
        <f>ROUND(D$3*C37,0)</f>
        <v>79</v>
      </c>
      <c r="E37" s="13">
        <f>ROUND(D37/2,0)</f>
        <v>40</v>
      </c>
      <c r="F37" s="12">
        <f>+D37-E37</f>
        <v>39</v>
      </c>
      <c r="G37" s="182"/>
    </row>
    <row r="38" spans="1:7">
      <c r="A38" s="8"/>
      <c r="B38" s="11" t="s">
        <v>11</v>
      </c>
      <c r="C38" s="10">
        <v>6.9999999999999994E-5</v>
      </c>
      <c r="D38" s="12">
        <f>ROUND(D$3*C38,0)</f>
        <v>20</v>
      </c>
      <c r="E38" s="13">
        <f>ROUND(D38/2,0)</f>
        <v>10</v>
      </c>
      <c r="F38" s="12">
        <f>+D38-E38</f>
        <v>10</v>
      </c>
      <c r="G38" s="182"/>
    </row>
    <row r="39" spans="1:7">
      <c r="A39" s="8">
        <v>2</v>
      </c>
      <c r="B39" s="11" t="s">
        <v>21</v>
      </c>
      <c r="C39" s="10"/>
      <c r="D39" s="9"/>
      <c r="E39" s="11"/>
      <c r="F39" s="11"/>
    </row>
    <row r="40" spans="1:7">
      <c r="A40" s="8"/>
      <c r="B40" s="11" t="s">
        <v>10</v>
      </c>
      <c r="C40" s="10">
        <v>2.5300000000000002E-4</v>
      </c>
      <c r="D40" s="12">
        <f>ROUND(D$3*C40,0)</f>
        <v>73</v>
      </c>
      <c r="E40" s="13">
        <f>ROUND(D40/2,0)</f>
        <v>37</v>
      </c>
      <c r="F40" s="12">
        <f>+D40-E40</f>
        <v>36</v>
      </c>
      <c r="G40" s="182"/>
    </row>
    <row r="41" spans="1:7">
      <c r="A41" s="8"/>
      <c r="B41" s="11" t="s">
        <v>11</v>
      </c>
      <c r="C41" s="10">
        <v>1.5999999999999999E-5</v>
      </c>
      <c r="D41" s="12">
        <f>ROUND(D$3*C41,0)</f>
        <v>5</v>
      </c>
      <c r="E41" s="13">
        <f>ROUND(D41/2,0)</f>
        <v>3</v>
      </c>
      <c r="F41" s="12">
        <f>+D41-E41</f>
        <v>2</v>
      </c>
      <c r="G41" s="182"/>
    </row>
    <row r="42" spans="1:7">
      <c r="A42" s="8">
        <v>2</v>
      </c>
      <c r="B42" s="11" t="s">
        <v>22</v>
      </c>
      <c r="C42" s="10"/>
      <c r="D42" s="9"/>
      <c r="E42" s="11"/>
      <c r="F42" s="11"/>
    </row>
    <row r="43" spans="1:7">
      <c r="A43" s="8"/>
      <c r="B43" s="11" t="s">
        <v>10</v>
      </c>
      <c r="C43" s="10">
        <v>7.2880000000000002E-3</v>
      </c>
      <c r="D43" s="12">
        <f t="shared" ref="D43:D49" si="0">ROUND(D$3*C43,0)</f>
        <v>2097</v>
      </c>
      <c r="E43" s="13">
        <f t="shared" ref="E43:E48" si="1">ROUND(D43/2,0)</f>
        <v>1049</v>
      </c>
      <c r="F43" s="12">
        <f t="shared" ref="F43:F48" si="2">+D43-E43</f>
        <v>1048</v>
      </c>
      <c r="G43" s="182"/>
    </row>
    <row r="44" spans="1:7">
      <c r="A44" s="8"/>
      <c r="B44" s="11" t="s">
        <v>11</v>
      </c>
      <c r="C44" s="10">
        <v>2.72E-4</v>
      </c>
      <c r="D44" s="12">
        <f t="shared" si="0"/>
        <v>78</v>
      </c>
      <c r="E44" s="13">
        <f t="shared" si="1"/>
        <v>39</v>
      </c>
      <c r="F44" s="12">
        <f t="shared" si="2"/>
        <v>39</v>
      </c>
      <c r="G44" s="182"/>
    </row>
    <row r="45" spans="1:7">
      <c r="A45" s="8">
        <v>3</v>
      </c>
      <c r="B45" s="11" t="s">
        <v>23</v>
      </c>
      <c r="C45" s="10">
        <v>3.4845000000000001E-2</v>
      </c>
      <c r="D45" s="12">
        <f t="shared" si="0"/>
        <v>10026</v>
      </c>
      <c r="E45" s="13">
        <f t="shared" si="1"/>
        <v>5013</v>
      </c>
      <c r="F45" s="12">
        <f t="shared" si="2"/>
        <v>5013</v>
      </c>
      <c r="G45" s="182"/>
    </row>
    <row r="46" spans="1:7">
      <c r="A46" s="8">
        <v>3</v>
      </c>
      <c r="B46" s="11" t="s">
        <v>24</v>
      </c>
      <c r="C46" s="10">
        <v>9.1036000000000006E-2</v>
      </c>
      <c r="D46" s="12">
        <f t="shared" si="0"/>
        <v>26193</v>
      </c>
      <c r="E46" s="13">
        <f t="shared" si="1"/>
        <v>13097</v>
      </c>
      <c r="F46" s="12">
        <f t="shared" si="2"/>
        <v>13096</v>
      </c>
      <c r="G46" s="182"/>
    </row>
    <row r="47" spans="1:7">
      <c r="A47" s="8">
        <v>3</v>
      </c>
      <c r="B47" s="11" t="s">
        <v>25</v>
      </c>
      <c r="C47" s="10">
        <v>1.457E-3</v>
      </c>
      <c r="D47" s="12">
        <f t="shared" si="0"/>
        <v>419</v>
      </c>
      <c r="E47" s="13">
        <f t="shared" si="1"/>
        <v>210</v>
      </c>
      <c r="F47" s="12">
        <f t="shared" si="2"/>
        <v>209</v>
      </c>
      <c r="G47" s="182"/>
    </row>
    <row r="48" spans="1:7">
      <c r="A48" s="8">
        <v>3</v>
      </c>
      <c r="B48" s="11" t="s">
        <v>26</v>
      </c>
      <c r="C48" s="10">
        <v>6.0369999999999998E-3</v>
      </c>
      <c r="D48" s="12">
        <f t="shared" si="0"/>
        <v>1737</v>
      </c>
      <c r="E48" s="13">
        <f t="shared" si="1"/>
        <v>869</v>
      </c>
      <c r="F48" s="12">
        <f t="shared" si="2"/>
        <v>868</v>
      </c>
      <c r="G48" s="182"/>
    </row>
    <row r="49" spans="1:7">
      <c r="A49" s="8">
        <v>4</v>
      </c>
      <c r="B49" s="11" t="s">
        <v>27</v>
      </c>
      <c r="C49" s="10">
        <v>0.13650200000000001</v>
      </c>
      <c r="D49" s="9">
        <f t="shared" si="0"/>
        <v>39275</v>
      </c>
      <c r="E49" s="11">
        <f>ROUND(D49/2,0)</f>
        <v>19638</v>
      </c>
      <c r="F49" s="9">
        <f>+D49-E49</f>
        <v>19637</v>
      </c>
    </row>
    <row r="50" spans="1:7">
      <c r="A50" s="8"/>
      <c r="B50" s="11" t="s">
        <v>28</v>
      </c>
      <c r="C50" s="10"/>
      <c r="D50" s="14">
        <v>0.51348400000000005</v>
      </c>
      <c r="E50" s="11"/>
      <c r="F50" s="11"/>
    </row>
    <row r="51" spans="1:7">
      <c r="A51" s="8"/>
      <c r="B51" s="11" t="s">
        <v>29</v>
      </c>
      <c r="C51" s="10"/>
      <c r="D51" s="225">
        <f>ROUND(D49*D50,0)</f>
        <v>20167</v>
      </c>
      <c r="E51" s="226">
        <f>ROUND(D51/2,0)</f>
        <v>10084</v>
      </c>
      <c r="F51" s="225">
        <f>+D51-E51</f>
        <v>10083</v>
      </c>
    </row>
    <row r="52" spans="1:7">
      <c r="A52" s="8"/>
      <c r="B52" s="11" t="s">
        <v>30</v>
      </c>
      <c r="C52" s="10"/>
      <c r="D52" s="12">
        <f>+D49-D51</f>
        <v>19108</v>
      </c>
      <c r="E52" s="13">
        <f>ROUND(D52/2,0)</f>
        <v>9554</v>
      </c>
      <c r="F52" s="12">
        <f>+D52-E52</f>
        <v>9554</v>
      </c>
      <c r="G52" s="182"/>
    </row>
    <row r="53" spans="1:7">
      <c r="A53" s="8">
        <v>4</v>
      </c>
      <c r="B53" s="11" t="s">
        <v>31</v>
      </c>
      <c r="C53" s="10">
        <v>0.31000299999999997</v>
      </c>
      <c r="D53" s="9">
        <f>ROUND(D$3*C53,0)</f>
        <v>89195</v>
      </c>
      <c r="E53" s="11">
        <f>ROUND(D53/2,0)</f>
        <v>44598</v>
      </c>
      <c r="F53" s="9">
        <f>+D53-E53</f>
        <v>44597</v>
      </c>
    </row>
    <row r="54" spans="1:7">
      <c r="A54" s="8"/>
      <c r="B54" s="11" t="s">
        <v>28</v>
      </c>
      <c r="C54" s="10"/>
      <c r="D54" s="14">
        <v>0.406918</v>
      </c>
      <c r="E54" s="11"/>
      <c r="F54" s="11"/>
    </row>
    <row r="55" spans="1:7">
      <c r="A55" s="8"/>
      <c r="B55" s="11" t="s">
        <v>29</v>
      </c>
      <c r="C55" s="10"/>
      <c r="D55" s="225">
        <f>ROUND(D53*D54,0)</f>
        <v>36295</v>
      </c>
      <c r="E55" s="226">
        <f>ROUND(D55/2,0)</f>
        <v>18148</v>
      </c>
      <c r="F55" s="225">
        <f>+D55-E55</f>
        <v>18147</v>
      </c>
    </row>
    <row r="56" spans="1:7">
      <c r="A56" s="8"/>
      <c r="B56" s="11" t="s">
        <v>30</v>
      </c>
      <c r="C56" s="10"/>
      <c r="D56" s="12">
        <f>+D53-D55</f>
        <v>52900</v>
      </c>
      <c r="E56" s="13">
        <f>ROUND(D56/2,0)</f>
        <v>26450</v>
      </c>
      <c r="F56" s="12">
        <f>+D56-E56</f>
        <v>26450</v>
      </c>
      <c r="G56" s="182"/>
    </row>
    <row r="57" spans="1:7">
      <c r="A57" s="8">
        <v>4</v>
      </c>
      <c r="B57" s="11" t="s">
        <v>32</v>
      </c>
      <c r="C57" s="10">
        <v>0.14466399999999999</v>
      </c>
      <c r="D57" s="9">
        <f>ROUND(D$3*C57,0)</f>
        <v>41623</v>
      </c>
      <c r="E57" s="11">
        <f>ROUND(D57/2,0)</f>
        <v>20812</v>
      </c>
      <c r="F57" s="9">
        <f>+D57-E57</f>
        <v>20811</v>
      </c>
    </row>
    <row r="58" spans="1:7">
      <c r="A58" s="8"/>
      <c r="B58" s="11" t="s">
        <v>28</v>
      </c>
      <c r="C58" s="10"/>
      <c r="D58" s="14">
        <v>0.45625399999999999</v>
      </c>
      <c r="E58" s="11"/>
      <c r="F58" s="11"/>
    </row>
    <row r="59" spans="1:7">
      <c r="A59" s="8"/>
      <c r="B59" s="11" t="s">
        <v>29</v>
      </c>
      <c r="C59" s="10"/>
      <c r="D59" s="225">
        <f>ROUND(D57*D58,0)</f>
        <v>18991</v>
      </c>
      <c r="E59" s="226">
        <f t="shared" ref="E59:E64" si="3">ROUND(D59/2,0)</f>
        <v>9496</v>
      </c>
      <c r="F59" s="225">
        <f t="shared" ref="F59:F64" si="4">+D59-E59</f>
        <v>9495</v>
      </c>
    </row>
    <row r="60" spans="1:7">
      <c r="A60" s="8"/>
      <c r="B60" s="11" t="s">
        <v>30</v>
      </c>
      <c r="C60" s="10"/>
      <c r="D60" s="12">
        <f>+D57-D59</f>
        <v>22632</v>
      </c>
      <c r="E60" s="13">
        <f t="shared" si="3"/>
        <v>11316</v>
      </c>
      <c r="F60" s="12">
        <f t="shared" si="4"/>
        <v>11316</v>
      </c>
      <c r="G60" s="182"/>
    </row>
    <row r="61" spans="1:7">
      <c r="A61" s="8">
        <v>5</v>
      </c>
      <c r="B61" s="11" t="s">
        <v>33</v>
      </c>
      <c r="C61" s="10">
        <v>1.0836E-2</v>
      </c>
      <c r="D61" s="12">
        <f>ROUND(D$3*C61,0)</f>
        <v>3118</v>
      </c>
      <c r="E61" s="13">
        <f t="shared" si="3"/>
        <v>1559</v>
      </c>
      <c r="F61" s="12">
        <f t="shared" si="4"/>
        <v>1559</v>
      </c>
      <c r="G61" s="182"/>
    </row>
    <row r="62" spans="1:7">
      <c r="A62" s="8">
        <v>5</v>
      </c>
      <c r="B62" s="11" t="s">
        <v>34</v>
      </c>
      <c r="C62" s="10">
        <v>1.6347E-2</v>
      </c>
      <c r="D62" s="12">
        <f>ROUND(D$3*C62,0)</f>
        <v>4703</v>
      </c>
      <c r="E62" s="13">
        <f t="shared" si="3"/>
        <v>2352</v>
      </c>
      <c r="F62" s="12">
        <f t="shared" si="4"/>
        <v>2351</v>
      </c>
      <c r="G62" s="182"/>
    </row>
    <row r="63" spans="1:7">
      <c r="A63" s="8">
        <v>5</v>
      </c>
      <c r="B63" s="11" t="s">
        <v>35</v>
      </c>
      <c r="C63" s="10">
        <v>3.2299999999999999E-4</v>
      </c>
      <c r="D63" s="12">
        <f>ROUND(D$3*C63,0)</f>
        <v>93</v>
      </c>
      <c r="E63" s="13">
        <f t="shared" si="3"/>
        <v>47</v>
      </c>
      <c r="F63" s="12">
        <f t="shared" si="4"/>
        <v>46</v>
      </c>
      <c r="G63" s="182"/>
    </row>
    <row r="64" spans="1:7">
      <c r="A64" s="8">
        <v>6</v>
      </c>
      <c r="B64" s="11" t="s">
        <v>36</v>
      </c>
      <c r="C64" s="10">
        <v>1.6569999999999974E-2</v>
      </c>
      <c r="D64" s="12">
        <f>+D3-SUM(D4:D5)-SUM(D10:D49)-D53-D57-SUM(D61:D63)</f>
        <v>4768</v>
      </c>
      <c r="E64" s="13">
        <f t="shared" si="3"/>
        <v>2384</v>
      </c>
      <c r="F64" s="12">
        <f t="shared" si="4"/>
        <v>2384</v>
      </c>
      <c r="G64" s="182"/>
    </row>
    <row r="65" spans="1:8">
      <c r="A65" s="8"/>
      <c r="B65" s="17" t="s">
        <v>37</v>
      </c>
      <c r="C65" s="10">
        <v>1</v>
      </c>
      <c r="D65" s="12">
        <f>+D4+SUM(D7:D48)+D51+D52+D55+D56+SUM(D59:D64)</f>
        <v>287723</v>
      </c>
      <c r="E65" s="12">
        <f>+E4+SUM(E7:E48)+E51+E52+E55+E56+SUM(E59:E64)</f>
        <v>143873</v>
      </c>
      <c r="F65" s="12">
        <f>+F4+SUM(F7:F48)+F51+F52+F55+F56+SUM(F59:F64)</f>
        <v>143850</v>
      </c>
    </row>
    <row r="66" spans="1:8">
      <c r="B66" s="2" t="s">
        <v>38</v>
      </c>
      <c r="D66" s="19">
        <f>+D4</f>
        <v>361</v>
      </c>
      <c r="E66" s="19">
        <f>+E4</f>
        <v>181</v>
      </c>
      <c r="F66" s="19">
        <f>+F4</f>
        <v>180</v>
      </c>
    </row>
    <row r="67" spans="1:8">
      <c r="B67" s="2" t="s">
        <v>39</v>
      </c>
      <c r="D67" s="19">
        <f>+D7</f>
        <v>10685</v>
      </c>
      <c r="E67" s="19">
        <f>+E7</f>
        <v>5343</v>
      </c>
      <c r="F67" s="19">
        <f>+F7</f>
        <v>5342</v>
      </c>
    </row>
    <row r="68" spans="1:8">
      <c r="B68" s="2" t="s">
        <v>40</v>
      </c>
      <c r="D68" s="19">
        <f>+D51+D55+D59</f>
        <v>75453</v>
      </c>
      <c r="E68" s="19">
        <f>+E51+E55+E59</f>
        <v>37728</v>
      </c>
      <c r="F68" s="19">
        <f>+F51+F55+F59</f>
        <v>37725</v>
      </c>
      <c r="H68" s="3">
        <v>1</v>
      </c>
    </row>
    <row r="69" spans="1:8">
      <c r="B69" s="2" t="s">
        <v>41</v>
      </c>
      <c r="D69" s="19">
        <f>+D65-D66-D67-D68</f>
        <v>201224</v>
      </c>
      <c r="E69" s="19">
        <f>+E65-E66-E67-E68</f>
        <v>100621</v>
      </c>
      <c r="F69" s="19">
        <f>+F65-F66-F67-F68</f>
        <v>100603</v>
      </c>
      <c r="H69" s="3">
        <v>2</v>
      </c>
    </row>
    <row r="71" spans="1:8" hidden="1">
      <c r="A71" s="1" t="s">
        <v>590</v>
      </c>
      <c r="B71" s="3" t="s">
        <v>42</v>
      </c>
      <c r="C71" s="4">
        <v>9.9999999997324451E-7</v>
      </c>
      <c r="D71" s="9"/>
    </row>
  </sheetData>
  <pageMargins left="0.7" right="0.7" top="0.75" bottom="0.75" header="0.3" footer="0.3"/>
  <pageSetup scale="5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WVB104"/>
  <sheetViews>
    <sheetView topLeftCell="A79" zoomScale="175" zoomScaleNormal="175" zoomScaleSheetLayoutView="90" workbookViewId="0">
      <selection activeCell="D91" activeCellId="4" sqref="D7:F7 D79:F79 D83:F83 D87:F87 D91:F91"/>
    </sheetView>
  </sheetViews>
  <sheetFormatPr defaultColWidth="0" defaultRowHeight="15"/>
  <cols>
    <col min="1" max="1" width="13.140625" style="1" customWidth="1"/>
    <col min="2" max="2" width="57.140625" style="3" customWidth="1"/>
    <col min="3" max="6" width="20.42578125" style="3" customWidth="1"/>
    <col min="7" max="7" width="9.140625" style="3" customWidth="1"/>
    <col min="8" max="187" width="9.140625" style="3" hidden="1"/>
    <col min="188" max="188" width="11" style="3" hidden="1"/>
    <col min="189" max="189" width="55.140625" style="3" hidden="1"/>
    <col min="190" max="246" width="9.140625" style="3" hidden="1"/>
    <col min="247" max="247" width="16.28515625" style="3" hidden="1"/>
    <col min="248" max="248" width="17.5703125" style="3" hidden="1"/>
    <col min="249" max="249" width="16" style="3" hidden="1"/>
    <col min="250" max="250" width="18.140625" style="3" hidden="1"/>
    <col min="251" max="443" width="9.140625" style="3" hidden="1"/>
    <col min="444" max="444" width="11" style="3" hidden="1"/>
    <col min="445" max="445" width="55.140625" style="3" hidden="1"/>
    <col min="446" max="502" width="9.140625" style="3" hidden="1"/>
    <col min="503" max="503" width="16.28515625" style="3" hidden="1"/>
    <col min="504" max="504" width="17.5703125" style="3" hidden="1"/>
    <col min="505" max="505" width="16" style="3" hidden="1"/>
    <col min="506" max="506" width="18.140625" style="3" hidden="1"/>
    <col min="507" max="699" width="9.140625" style="3" hidden="1"/>
    <col min="700" max="700" width="11" style="3" hidden="1"/>
    <col min="701" max="701" width="55.140625" style="3" hidden="1"/>
    <col min="702" max="758" width="9.140625" style="3" hidden="1"/>
    <col min="759" max="759" width="16.28515625" style="3" hidden="1"/>
    <col min="760" max="760" width="17.5703125" style="3" hidden="1"/>
    <col min="761" max="761" width="16" style="3" hidden="1"/>
    <col min="762" max="762" width="18.140625" style="3" hidden="1"/>
    <col min="763" max="955" width="9.140625" style="3" hidden="1"/>
    <col min="956" max="956" width="11" style="3" hidden="1"/>
    <col min="957" max="957" width="55.140625" style="3" hidden="1"/>
    <col min="958" max="1014" width="9.140625" style="3" hidden="1"/>
    <col min="1015" max="1015" width="16.28515625" style="3" hidden="1"/>
    <col min="1016" max="1016" width="17.5703125" style="3" hidden="1"/>
    <col min="1017" max="1017" width="16" style="3" hidden="1"/>
    <col min="1018" max="1018" width="18.140625" style="3" hidden="1"/>
    <col min="1019" max="1211" width="9.140625" style="3" hidden="1"/>
    <col min="1212" max="1212" width="11" style="3" hidden="1"/>
    <col min="1213" max="1213" width="55.140625" style="3" hidden="1"/>
    <col min="1214" max="1270" width="9.140625" style="3" hidden="1"/>
    <col min="1271" max="1271" width="16.28515625" style="3" hidden="1"/>
    <col min="1272" max="1272" width="17.5703125" style="3" hidden="1"/>
    <col min="1273" max="1273" width="16" style="3" hidden="1"/>
    <col min="1274" max="1274" width="18.140625" style="3" hidden="1"/>
    <col min="1275" max="1467" width="9.140625" style="3" hidden="1"/>
    <col min="1468" max="1468" width="11" style="3" hidden="1"/>
    <col min="1469" max="1469" width="55.140625" style="3" hidden="1"/>
    <col min="1470" max="1526" width="9.140625" style="3" hidden="1"/>
    <col min="1527" max="1527" width="16.28515625" style="3" hidden="1"/>
    <col min="1528" max="1528" width="17.5703125" style="3" hidden="1"/>
    <col min="1529" max="1529" width="16" style="3" hidden="1"/>
    <col min="1530" max="1530" width="18.140625" style="3" hidden="1"/>
    <col min="1531" max="1723" width="9.140625" style="3" hidden="1"/>
    <col min="1724" max="1724" width="11" style="3" hidden="1"/>
    <col min="1725" max="1725" width="55.140625" style="3" hidden="1"/>
    <col min="1726" max="1782" width="9.140625" style="3" hidden="1"/>
    <col min="1783" max="1783" width="16.28515625" style="3" hidden="1"/>
    <col min="1784" max="1784" width="17.5703125" style="3" hidden="1"/>
    <col min="1785" max="1785" width="16" style="3" hidden="1"/>
    <col min="1786" max="1786" width="18.140625" style="3" hidden="1"/>
    <col min="1787" max="1979" width="9.140625" style="3" hidden="1"/>
    <col min="1980" max="1980" width="11" style="3" hidden="1"/>
    <col min="1981" max="1981" width="55.140625" style="3" hidden="1"/>
    <col min="1982" max="2038" width="9.140625" style="3" hidden="1"/>
    <col min="2039" max="2039" width="16.28515625" style="3" hidden="1"/>
    <col min="2040" max="2040" width="17.5703125" style="3" hidden="1"/>
    <col min="2041" max="2041" width="16" style="3" hidden="1"/>
    <col min="2042" max="2042" width="18.140625" style="3" hidden="1"/>
    <col min="2043" max="2235" width="9.140625" style="3" hidden="1"/>
    <col min="2236" max="2236" width="11" style="3" hidden="1"/>
    <col min="2237" max="2237" width="55.140625" style="3" hidden="1"/>
    <col min="2238" max="2294" width="9.140625" style="3" hidden="1"/>
    <col min="2295" max="2295" width="16.28515625" style="3" hidden="1"/>
    <col min="2296" max="2296" width="17.5703125" style="3" hidden="1"/>
    <col min="2297" max="2297" width="16" style="3" hidden="1"/>
    <col min="2298" max="2298" width="18.140625" style="3" hidden="1"/>
    <col min="2299" max="2491" width="9.140625" style="3" hidden="1"/>
    <col min="2492" max="2492" width="11" style="3" hidden="1"/>
    <col min="2493" max="2493" width="55.140625" style="3" hidden="1"/>
    <col min="2494" max="2550" width="9.140625" style="3" hidden="1"/>
    <col min="2551" max="2551" width="16.28515625" style="3" hidden="1"/>
    <col min="2552" max="2552" width="17.5703125" style="3" hidden="1"/>
    <col min="2553" max="2553" width="16" style="3" hidden="1"/>
    <col min="2554" max="2554" width="18.140625" style="3" hidden="1"/>
    <col min="2555" max="2747" width="9.140625" style="3" hidden="1"/>
    <col min="2748" max="2748" width="11" style="3" hidden="1"/>
    <col min="2749" max="2749" width="55.140625" style="3" hidden="1"/>
    <col min="2750" max="2806" width="9.140625" style="3" hidden="1"/>
    <col min="2807" max="2807" width="16.28515625" style="3" hidden="1"/>
    <col min="2808" max="2808" width="17.5703125" style="3" hidden="1"/>
    <col min="2809" max="2809" width="16" style="3" hidden="1"/>
    <col min="2810" max="2810" width="18.140625" style="3" hidden="1"/>
    <col min="2811" max="3003" width="9.140625" style="3" hidden="1"/>
    <col min="3004" max="3004" width="11" style="3" hidden="1"/>
    <col min="3005" max="3005" width="55.140625" style="3" hidden="1"/>
    <col min="3006" max="3062" width="9.140625" style="3" hidden="1"/>
    <col min="3063" max="3063" width="16.28515625" style="3" hidden="1"/>
    <col min="3064" max="3064" width="17.5703125" style="3" hidden="1"/>
    <col min="3065" max="3065" width="16" style="3" hidden="1"/>
    <col min="3066" max="3066" width="18.140625" style="3" hidden="1"/>
    <col min="3067" max="3259" width="9.140625" style="3" hidden="1"/>
    <col min="3260" max="3260" width="11" style="3" hidden="1"/>
    <col min="3261" max="3261" width="55.140625" style="3" hidden="1"/>
    <col min="3262" max="3318" width="9.140625" style="3" hidden="1"/>
    <col min="3319" max="3319" width="16.28515625" style="3" hidden="1"/>
    <col min="3320" max="3320" width="17.5703125" style="3" hidden="1"/>
    <col min="3321" max="3321" width="16" style="3" hidden="1"/>
    <col min="3322" max="3322" width="18.140625" style="3" hidden="1"/>
    <col min="3323" max="3515" width="9.140625" style="3" hidden="1"/>
    <col min="3516" max="3516" width="11" style="3" hidden="1"/>
    <col min="3517" max="3517" width="55.140625" style="3" hidden="1"/>
    <col min="3518" max="3574" width="9.140625" style="3" hidden="1"/>
    <col min="3575" max="3575" width="16.28515625" style="3" hidden="1"/>
    <col min="3576" max="3576" width="17.5703125" style="3" hidden="1"/>
    <col min="3577" max="3577" width="16" style="3" hidden="1"/>
    <col min="3578" max="3578" width="18.140625" style="3" hidden="1"/>
    <col min="3579" max="3771" width="9.140625" style="3" hidden="1"/>
    <col min="3772" max="3772" width="11" style="3" hidden="1"/>
    <col min="3773" max="3773" width="55.140625" style="3" hidden="1"/>
    <col min="3774" max="3830" width="9.140625" style="3" hidden="1"/>
    <col min="3831" max="3831" width="16.28515625" style="3" hidden="1"/>
    <col min="3832" max="3832" width="17.5703125" style="3" hidden="1"/>
    <col min="3833" max="3833" width="16" style="3" hidden="1"/>
    <col min="3834" max="3834" width="18.140625" style="3" hidden="1"/>
    <col min="3835" max="4027" width="9.140625" style="3" hidden="1"/>
    <col min="4028" max="4028" width="11" style="3" hidden="1"/>
    <col min="4029" max="4029" width="55.140625" style="3" hidden="1"/>
    <col min="4030" max="4086" width="9.140625" style="3" hidden="1"/>
    <col min="4087" max="4087" width="16.28515625" style="3" hidden="1"/>
    <col min="4088" max="4088" width="17.5703125" style="3" hidden="1"/>
    <col min="4089" max="4089" width="16" style="3" hidden="1"/>
    <col min="4090" max="4090" width="18.140625" style="3" hidden="1"/>
    <col min="4091" max="4283" width="9.140625" style="3" hidden="1"/>
    <col min="4284" max="4284" width="11" style="3" hidden="1"/>
    <col min="4285" max="4285" width="55.140625" style="3" hidden="1"/>
    <col min="4286" max="4342" width="9.140625" style="3" hidden="1"/>
    <col min="4343" max="4343" width="16.28515625" style="3" hidden="1"/>
    <col min="4344" max="4344" width="17.5703125" style="3" hidden="1"/>
    <col min="4345" max="4345" width="16" style="3" hidden="1"/>
    <col min="4346" max="4346" width="18.140625" style="3" hidden="1"/>
    <col min="4347" max="4539" width="9.140625" style="3" hidden="1"/>
    <col min="4540" max="4540" width="11" style="3" hidden="1"/>
    <col min="4541" max="4541" width="55.140625" style="3" hidden="1"/>
    <col min="4542" max="4598" width="9.140625" style="3" hidden="1"/>
    <col min="4599" max="4599" width="16.28515625" style="3" hidden="1"/>
    <col min="4600" max="4600" width="17.5703125" style="3" hidden="1"/>
    <col min="4601" max="4601" width="16" style="3" hidden="1"/>
    <col min="4602" max="4602" width="18.140625" style="3" hidden="1"/>
    <col min="4603" max="4795" width="9.140625" style="3" hidden="1"/>
    <col min="4796" max="4796" width="11" style="3" hidden="1"/>
    <col min="4797" max="4797" width="55.140625" style="3" hidden="1"/>
    <col min="4798" max="4854" width="9.140625" style="3" hidden="1"/>
    <col min="4855" max="4855" width="16.28515625" style="3" hidden="1"/>
    <col min="4856" max="4856" width="17.5703125" style="3" hidden="1"/>
    <col min="4857" max="4857" width="16" style="3" hidden="1"/>
    <col min="4858" max="4858" width="18.140625" style="3" hidden="1"/>
    <col min="4859" max="5051" width="9.140625" style="3" hidden="1"/>
    <col min="5052" max="5052" width="11" style="3" hidden="1"/>
    <col min="5053" max="5053" width="55.140625" style="3" hidden="1"/>
    <col min="5054" max="5110" width="9.140625" style="3" hidden="1"/>
    <col min="5111" max="5111" width="16.28515625" style="3" hidden="1"/>
    <col min="5112" max="5112" width="17.5703125" style="3" hidden="1"/>
    <col min="5113" max="5113" width="16" style="3" hidden="1"/>
    <col min="5114" max="5114" width="18.140625" style="3" hidden="1"/>
    <col min="5115" max="5307" width="9.140625" style="3" hidden="1"/>
    <col min="5308" max="5308" width="11" style="3" hidden="1"/>
    <col min="5309" max="5309" width="55.140625" style="3" hidden="1"/>
    <col min="5310" max="5366" width="9.140625" style="3" hidden="1"/>
    <col min="5367" max="5367" width="16.28515625" style="3" hidden="1"/>
    <col min="5368" max="5368" width="17.5703125" style="3" hidden="1"/>
    <col min="5369" max="5369" width="16" style="3" hidden="1"/>
    <col min="5370" max="5370" width="18.140625" style="3" hidden="1"/>
    <col min="5371" max="5563" width="9.140625" style="3" hidden="1"/>
    <col min="5564" max="5564" width="11" style="3" hidden="1"/>
    <col min="5565" max="5565" width="55.140625" style="3" hidden="1"/>
    <col min="5566" max="5622" width="9.140625" style="3" hidden="1"/>
    <col min="5623" max="5623" width="16.28515625" style="3" hidden="1"/>
    <col min="5624" max="5624" width="17.5703125" style="3" hidden="1"/>
    <col min="5625" max="5625" width="16" style="3" hidden="1"/>
    <col min="5626" max="5626" width="18.140625" style="3" hidden="1"/>
    <col min="5627" max="5819" width="9.140625" style="3" hidden="1"/>
    <col min="5820" max="5820" width="11" style="3" hidden="1"/>
    <col min="5821" max="5821" width="55.140625" style="3" hidden="1"/>
    <col min="5822" max="5878" width="9.140625" style="3" hidden="1"/>
    <col min="5879" max="5879" width="16.28515625" style="3" hidden="1"/>
    <col min="5880" max="5880" width="17.5703125" style="3" hidden="1"/>
    <col min="5881" max="5881" width="16" style="3" hidden="1"/>
    <col min="5882" max="5882" width="18.140625" style="3" hidden="1"/>
    <col min="5883" max="6075" width="9.140625" style="3" hidden="1"/>
    <col min="6076" max="6076" width="11" style="3" hidden="1"/>
    <col min="6077" max="6077" width="55.140625" style="3" hidden="1"/>
    <col min="6078" max="6134" width="9.140625" style="3" hidden="1"/>
    <col min="6135" max="6135" width="16.28515625" style="3" hidden="1"/>
    <col min="6136" max="6136" width="17.5703125" style="3" hidden="1"/>
    <col min="6137" max="6137" width="16" style="3" hidden="1"/>
    <col min="6138" max="6138" width="18.140625" style="3" hidden="1"/>
    <col min="6139" max="6331" width="9.140625" style="3" hidden="1"/>
    <col min="6332" max="6332" width="11" style="3" hidden="1"/>
    <col min="6333" max="6333" width="55.140625" style="3" hidden="1"/>
    <col min="6334" max="6390" width="9.140625" style="3" hidden="1"/>
    <col min="6391" max="6391" width="16.28515625" style="3" hidden="1"/>
    <col min="6392" max="6392" width="17.5703125" style="3" hidden="1"/>
    <col min="6393" max="6393" width="16" style="3" hidden="1"/>
    <col min="6394" max="6394" width="18.140625" style="3" hidden="1"/>
    <col min="6395" max="6587" width="9.140625" style="3" hidden="1"/>
    <col min="6588" max="6588" width="11" style="3" hidden="1"/>
    <col min="6589" max="6589" width="55.140625" style="3" hidden="1"/>
    <col min="6590" max="6646" width="9.140625" style="3" hidden="1"/>
    <col min="6647" max="6647" width="16.28515625" style="3" hidden="1"/>
    <col min="6648" max="6648" width="17.5703125" style="3" hidden="1"/>
    <col min="6649" max="6649" width="16" style="3" hidden="1"/>
    <col min="6650" max="6650" width="18.140625" style="3" hidden="1"/>
    <col min="6651" max="6843" width="9.140625" style="3" hidden="1"/>
    <col min="6844" max="6844" width="11" style="3" hidden="1"/>
    <col min="6845" max="6845" width="55.140625" style="3" hidden="1"/>
    <col min="6846" max="6902" width="9.140625" style="3" hidden="1"/>
    <col min="6903" max="6903" width="16.28515625" style="3" hidden="1"/>
    <col min="6904" max="6904" width="17.5703125" style="3" hidden="1"/>
    <col min="6905" max="6905" width="16" style="3" hidden="1"/>
    <col min="6906" max="6906" width="18.140625" style="3" hidden="1"/>
    <col min="6907" max="7099" width="9.140625" style="3" hidden="1"/>
    <col min="7100" max="7100" width="11" style="3" hidden="1"/>
    <col min="7101" max="7101" width="55.140625" style="3" hidden="1"/>
    <col min="7102" max="7158" width="9.140625" style="3" hidden="1"/>
    <col min="7159" max="7159" width="16.28515625" style="3" hidden="1"/>
    <col min="7160" max="7160" width="17.5703125" style="3" hidden="1"/>
    <col min="7161" max="7161" width="16" style="3" hidden="1"/>
    <col min="7162" max="7162" width="18.140625" style="3" hidden="1"/>
    <col min="7163" max="7355" width="9.140625" style="3" hidden="1"/>
    <col min="7356" max="7356" width="11" style="3" hidden="1"/>
    <col min="7357" max="7357" width="55.140625" style="3" hidden="1"/>
    <col min="7358" max="7414" width="9.140625" style="3" hidden="1"/>
    <col min="7415" max="7415" width="16.28515625" style="3" hidden="1"/>
    <col min="7416" max="7416" width="17.5703125" style="3" hidden="1"/>
    <col min="7417" max="7417" width="16" style="3" hidden="1"/>
    <col min="7418" max="7418" width="18.140625" style="3" hidden="1"/>
    <col min="7419" max="7611" width="9.140625" style="3" hidden="1"/>
    <col min="7612" max="7612" width="11" style="3" hidden="1"/>
    <col min="7613" max="7613" width="55.140625" style="3" hidden="1"/>
    <col min="7614" max="7670" width="9.140625" style="3" hidden="1"/>
    <col min="7671" max="7671" width="16.28515625" style="3" hidden="1"/>
    <col min="7672" max="7672" width="17.5703125" style="3" hidden="1"/>
    <col min="7673" max="7673" width="16" style="3" hidden="1"/>
    <col min="7674" max="7674" width="18.140625" style="3" hidden="1"/>
    <col min="7675" max="7867" width="9.140625" style="3" hidden="1"/>
    <col min="7868" max="7868" width="11" style="3" hidden="1"/>
    <col min="7869" max="7869" width="55.140625" style="3" hidden="1"/>
    <col min="7870" max="7926" width="9.140625" style="3" hidden="1"/>
    <col min="7927" max="7927" width="16.28515625" style="3" hidden="1"/>
    <col min="7928" max="7928" width="17.5703125" style="3" hidden="1"/>
    <col min="7929" max="7929" width="16" style="3" hidden="1"/>
    <col min="7930" max="7930" width="18.140625" style="3" hidden="1"/>
    <col min="7931" max="8123" width="9.140625" style="3" hidden="1"/>
    <col min="8124" max="8124" width="11" style="3" hidden="1"/>
    <col min="8125" max="8125" width="55.140625" style="3" hidden="1"/>
    <col min="8126" max="8182" width="9.140625" style="3" hidden="1"/>
    <col min="8183" max="8183" width="16.28515625" style="3" hidden="1"/>
    <col min="8184" max="8184" width="17.5703125" style="3" hidden="1"/>
    <col min="8185" max="8185" width="16" style="3" hidden="1"/>
    <col min="8186" max="8186" width="18.140625" style="3" hidden="1"/>
    <col min="8187" max="8379" width="9.140625" style="3" hidden="1"/>
    <col min="8380" max="8380" width="11" style="3" hidden="1"/>
    <col min="8381" max="8381" width="55.140625" style="3" hidden="1"/>
    <col min="8382" max="8438" width="9.140625" style="3" hidden="1"/>
    <col min="8439" max="8439" width="16.28515625" style="3" hidden="1"/>
    <col min="8440" max="8440" width="17.5703125" style="3" hidden="1"/>
    <col min="8441" max="8441" width="16" style="3" hidden="1"/>
    <col min="8442" max="8442" width="18.140625" style="3" hidden="1"/>
    <col min="8443" max="8635" width="9.140625" style="3" hidden="1"/>
    <col min="8636" max="8636" width="11" style="3" hidden="1"/>
    <col min="8637" max="8637" width="55.140625" style="3" hidden="1"/>
    <col min="8638" max="8694" width="9.140625" style="3" hidden="1"/>
    <col min="8695" max="8695" width="16.28515625" style="3" hidden="1"/>
    <col min="8696" max="8696" width="17.5703125" style="3" hidden="1"/>
    <col min="8697" max="8697" width="16" style="3" hidden="1"/>
    <col min="8698" max="8698" width="18.140625" style="3" hidden="1"/>
    <col min="8699" max="8891" width="9.140625" style="3" hidden="1"/>
    <col min="8892" max="8892" width="11" style="3" hidden="1"/>
    <col min="8893" max="8893" width="55.140625" style="3" hidden="1"/>
    <col min="8894" max="8950" width="9.140625" style="3" hidden="1"/>
    <col min="8951" max="8951" width="16.28515625" style="3" hidden="1"/>
    <col min="8952" max="8952" width="17.5703125" style="3" hidden="1"/>
    <col min="8953" max="8953" width="16" style="3" hidden="1"/>
    <col min="8954" max="8954" width="18.140625" style="3" hidden="1"/>
    <col min="8955" max="9147" width="9.140625" style="3" hidden="1"/>
    <col min="9148" max="9148" width="11" style="3" hidden="1"/>
    <col min="9149" max="9149" width="55.140625" style="3" hidden="1"/>
    <col min="9150" max="9206" width="9.140625" style="3" hidden="1"/>
    <col min="9207" max="9207" width="16.28515625" style="3" hidden="1"/>
    <col min="9208" max="9208" width="17.5703125" style="3" hidden="1"/>
    <col min="9209" max="9209" width="16" style="3" hidden="1"/>
    <col min="9210" max="9210" width="18.140625" style="3" hidden="1"/>
    <col min="9211" max="9403" width="9.140625" style="3" hidden="1"/>
    <col min="9404" max="9404" width="11" style="3" hidden="1"/>
    <col min="9405" max="9405" width="55.140625" style="3" hidden="1"/>
    <col min="9406" max="9462" width="9.140625" style="3" hidden="1"/>
    <col min="9463" max="9463" width="16.28515625" style="3" hidden="1"/>
    <col min="9464" max="9464" width="17.5703125" style="3" hidden="1"/>
    <col min="9465" max="9465" width="16" style="3" hidden="1"/>
    <col min="9466" max="9466" width="18.140625" style="3" hidden="1"/>
    <col min="9467" max="9659" width="9.140625" style="3" hidden="1"/>
    <col min="9660" max="9660" width="11" style="3" hidden="1"/>
    <col min="9661" max="9661" width="55.140625" style="3" hidden="1"/>
    <col min="9662" max="9718" width="9.140625" style="3" hidden="1"/>
    <col min="9719" max="9719" width="16.28515625" style="3" hidden="1"/>
    <col min="9720" max="9720" width="17.5703125" style="3" hidden="1"/>
    <col min="9721" max="9721" width="16" style="3" hidden="1"/>
    <col min="9722" max="9722" width="18.140625" style="3" hidden="1"/>
    <col min="9723" max="9915" width="9.140625" style="3" hidden="1"/>
    <col min="9916" max="9916" width="11" style="3" hidden="1"/>
    <col min="9917" max="9917" width="55.140625" style="3" hidden="1"/>
    <col min="9918" max="9974" width="9.140625" style="3" hidden="1"/>
    <col min="9975" max="9975" width="16.28515625" style="3" hidden="1"/>
    <col min="9976" max="9976" width="17.5703125" style="3" hidden="1"/>
    <col min="9977" max="9977" width="16" style="3" hidden="1"/>
    <col min="9978" max="9978" width="18.140625" style="3" hidden="1"/>
    <col min="9979" max="10171" width="9.140625" style="3" hidden="1"/>
    <col min="10172" max="10172" width="11" style="3" hidden="1"/>
    <col min="10173" max="10173" width="55.140625" style="3" hidden="1"/>
    <col min="10174" max="10230" width="9.140625" style="3" hidden="1"/>
    <col min="10231" max="10231" width="16.28515625" style="3" hidden="1"/>
    <col min="10232" max="10232" width="17.5703125" style="3" hidden="1"/>
    <col min="10233" max="10233" width="16" style="3" hidden="1"/>
    <col min="10234" max="10234" width="18.140625" style="3" hidden="1"/>
    <col min="10235" max="10427" width="9.140625" style="3" hidden="1"/>
    <col min="10428" max="10428" width="11" style="3" hidden="1"/>
    <col min="10429" max="10429" width="55.140625" style="3" hidden="1"/>
    <col min="10430" max="10486" width="9.140625" style="3" hidden="1"/>
    <col min="10487" max="10487" width="16.28515625" style="3" hidden="1"/>
    <col min="10488" max="10488" width="17.5703125" style="3" hidden="1"/>
    <col min="10489" max="10489" width="16" style="3" hidden="1"/>
    <col min="10490" max="10490" width="18.140625" style="3" hidden="1"/>
    <col min="10491" max="10683" width="9.140625" style="3" hidden="1"/>
    <col min="10684" max="10684" width="11" style="3" hidden="1"/>
    <col min="10685" max="10685" width="55.140625" style="3" hidden="1"/>
    <col min="10686" max="10742" width="9.140625" style="3" hidden="1"/>
    <col min="10743" max="10743" width="16.28515625" style="3" hidden="1"/>
    <col min="10744" max="10744" width="17.5703125" style="3" hidden="1"/>
    <col min="10745" max="10745" width="16" style="3" hidden="1"/>
    <col min="10746" max="10746" width="18.140625" style="3" hidden="1"/>
    <col min="10747" max="10939" width="9.140625" style="3" hidden="1"/>
    <col min="10940" max="10940" width="11" style="3" hidden="1"/>
    <col min="10941" max="10941" width="55.140625" style="3" hidden="1"/>
    <col min="10942" max="10998" width="9.140625" style="3" hidden="1"/>
    <col min="10999" max="10999" width="16.28515625" style="3" hidden="1"/>
    <col min="11000" max="11000" width="17.5703125" style="3" hidden="1"/>
    <col min="11001" max="11001" width="16" style="3" hidden="1"/>
    <col min="11002" max="11002" width="18.140625" style="3" hidden="1"/>
    <col min="11003" max="11195" width="9.140625" style="3" hidden="1"/>
    <col min="11196" max="11196" width="11" style="3" hidden="1"/>
    <col min="11197" max="11197" width="55.140625" style="3" hidden="1"/>
    <col min="11198" max="11254" width="9.140625" style="3" hidden="1"/>
    <col min="11255" max="11255" width="16.28515625" style="3" hidden="1"/>
    <col min="11256" max="11256" width="17.5703125" style="3" hidden="1"/>
    <col min="11257" max="11257" width="16" style="3" hidden="1"/>
    <col min="11258" max="11258" width="18.140625" style="3" hidden="1"/>
    <col min="11259" max="11451" width="9.140625" style="3" hidden="1"/>
    <col min="11452" max="11452" width="11" style="3" hidden="1"/>
    <col min="11453" max="11453" width="55.140625" style="3" hidden="1"/>
    <col min="11454" max="11510" width="9.140625" style="3" hidden="1"/>
    <col min="11511" max="11511" width="16.28515625" style="3" hidden="1"/>
    <col min="11512" max="11512" width="17.5703125" style="3" hidden="1"/>
    <col min="11513" max="11513" width="16" style="3" hidden="1"/>
    <col min="11514" max="11514" width="18.140625" style="3" hidden="1"/>
    <col min="11515" max="11707" width="9.140625" style="3" hidden="1"/>
    <col min="11708" max="11708" width="11" style="3" hidden="1"/>
    <col min="11709" max="11709" width="55.140625" style="3" hidden="1"/>
    <col min="11710" max="11766" width="9.140625" style="3" hidden="1"/>
    <col min="11767" max="11767" width="16.28515625" style="3" hidden="1"/>
    <col min="11768" max="11768" width="17.5703125" style="3" hidden="1"/>
    <col min="11769" max="11769" width="16" style="3" hidden="1"/>
    <col min="11770" max="11770" width="18.140625" style="3" hidden="1"/>
    <col min="11771" max="11963" width="9.140625" style="3" hidden="1"/>
    <col min="11964" max="11964" width="11" style="3" hidden="1"/>
    <col min="11965" max="11965" width="55.140625" style="3" hidden="1"/>
    <col min="11966" max="12022" width="9.140625" style="3" hidden="1"/>
    <col min="12023" max="12023" width="16.28515625" style="3" hidden="1"/>
    <col min="12024" max="12024" width="17.5703125" style="3" hidden="1"/>
    <col min="12025" max="12025" width="16" style="3" hidden="1"/>
    <col min="12026" max="12026" width="18.140625" style="3" hidden="1"/>
    <col min="12027" max="12219" width="9.140625" style="3" hidden="1"/>
    <col min="12220" max="12220" width="11" style="3" hidden="1"/>
    <col min="12221" max="12221" width="55.140625" style="3" hidden="1"/>
    <col min="12222" max="12278" width="9.140625" style="3" hidden="1"/>
    <col min="12279" max="12279" width="16.28515625" style="3" hidden="1"/>
    <col min="12280" max="12280" width="17.5703125" style="3" hidden="1"/>
    <col min="12281" max="12281" width="16" style="3" hidden="1"/>
    <col min="12282" max="12282" width="18.140625" style="3" hidden="1"/>
    <col min="12283" max="12475" width="9.140625" style="3" hidden="1"/>
    <col min="12476" max="12476" width="11" style="3" hidden="1"/>
    <col min="12477" max="12477" width="55.140625" style="3" hidden="1"/>
    <col min="12478" max="12534" width="9.140625" style="3" hidden="1"/>
    <col min="12535" max="12535" width="16.28515625" style="3" hidden="1"/>
    <col min="12536" max="12536" width="17.5703125" style="3" hidden="1"/>
    <col min="12537" max="12537" width="16" style="3" hidden="1"/>
    <col min="12538" max="12538" width="18.140625" style="3" hidden="1"/>
    <col min="12539" max="12731" width="9.140625" style="3" hidden="1"/>
    <col min="12732" max="12732" width="11" style="3" hidden="1"/>
    <col min="12733" max="12733" width="55.140625" style="3" hidden="1"/>
    <col min="12734" max="12790" width="9.140625" style="3" hidden="1"/>
    <col min="12791" max="12791" width="16.28515625" style="3" hidden="1"/>
    <col min="12792" max="12792" width="17.5703125" style="3" hidden="1"/>
    <col min="12793" max="12793" width="16" style="3" hidden="1"/>
    <col min="12794" max="12794" width="18.140625" style="3" hidden="1"/>
    <col min="12795" max="12987" width="9.140625" style="3" hidden="1"/>
    <col min="12988" max="12988" width="11" style="3" hidden="1"/>
    <col min="12989" max="12989" width="55.140625" style="3" hidden="1"/>
    <col min="12990" max="13046" width="9.140625" style="3" hidden="1"/>
    <col min="13047" max="13047" width="16.28515625" style="3" hidden="1"/>
    <col min="13048" max="13048" width="17.5703125" style="3" hidden="1"/>
    <col min="13049" max="13049" width="16" style="3" hidden="1"/>
    <col min="13050" max="13050" width="18.140625" style="3" hidden="1"/>
    <col min="13051" max="13243" width="9.140625" style="3" hidden="1"/>
    <col min="13244" max="13244" width="11" style="3" hidden="1"/>
    <col min="13245" max="13245" width="55.140625" style="3" hidden="1"/>
    <col min="13246" max="13302" width="9.140625" style="3" hidden="1"/>
    <col min="13303" max="13303" width="16.28515625" style="3" hidden="1"/>
    <col min="13304" max="13304" width="17.5703125" style="3" hidden="1"/>
    <col min="13305" max="13305" width="16" style="3" hidden="1"/>
    <col min="13306" max="13306" width="18.140625" style="3" hidden="1"/>
    <col min="13307" max="13499" width="9.140625" style="3" hidden="1"/>
    <col min="13500" max="13500" width="11" style="3" hidden="1"/>
    <col min="13501" max="13501" width="55.140625" style="3" hidden="1"/>
    <col min="13502" max="13558" width="9.140625" style="3" hidden="1"/>
    <col min="13559" max="13559" width="16.28515625" style="3" hidden="1"/>
    <col min="13560" max="13560" width="17.5703125" style="3" hidden="1"/>
    <col min="13561" max="13561" width="16" style="3" hidden="1"/>
    <col min="13562" max="13562" width="18.140625" style="3" hidden="1"/>
    <col min="13563" max="13755" width="9.140625" style="3" hidden="1"/>
    <col min="13756" max="13756" width="11" style="3" hidden="1"/>
    <col min="13757" max="13757" width="55.140625" style="3" hidden="1"/>
    <col min="13758" max="13814" width="9.140625" style="3" hidden="1"/>
    <col min="13815" max="13815" width="16.28515625" style="3" hidden="1"/>
    <col min="13816" max="13816" width="17.5703125" style="3" hidden="1"/>
    <col min="13817" max="13817" width="16" style="3" hidden="1"/>
    <col min="13818" max="13818" width="18.140625" style="3" hidden="1"/>
    <col min="13819" max="14011" width="9.140625" style="3" hidden="1"/>
    <col min="14012" max="14012" width="11" style="3" hidden="1"/>
    <col min="14013" max="14013" width="55.140625" style="3" hidden="1"/>
    <col min="14014" max="14070" width="9.140625" style="3" hidden="1"/>
    <col min="14071" max="14071" width="16.28515625" style="3" hidden="1"/>
    <col min="14072" max="14072" width="17.5703125" style="3" hidden="1"/>
    <col min="14073" max="14073" width="16" style="3" hidden="1"/>
    <col min="14074" max="14074" width="18.140625" style="3" hidden="1"/>
    <col min="14075" max="14267" width="9.140625" style="3" hidden="1"/>
    <col min="14268" max="14268" width="11" style="3" hidden="1"/>
    <col min="14269" max="14269" width="55.140625" style="3" hidden="1"/>
    <col min="14270" max="14326" width="9.140625" style="3" hidden="1"/>
    <col min="14327" max="14327" width="16.28515625" style="3" hidden="1"/>
    <col min="14328" max="14328" width="17.5703125" style="3" hidden="1"/>
    <col min="14329" max="14329" width="16" style="3" hidden="1"/>
    <col min="14330" max="14330" width="18.140625" style="3" hidden="1"/>
    <col min="14331" max="14523" width="9.140625" style="3" hidden="1"/>
    <col min="14524" max="14524" width="11" style="3" hidden="1"/>
    <col min="14525" max="14525" width="55.140625" style="3" hidden="1"/>
    <col min="14526" max="14582" width="9.140625" style="3" hidden="1"/>
    <col min="14583" max="14583" width="16.28515625" style="3" hidden="1"/>
    <col min="14584" max="14584" width="17.5703125" style="3" hidden="1"/>
    <col min="14585" max="14585" width="16" style="3" hidden="1"/>
    <col min="14586" max="14586" width="18.140625" style="3" hidden="1"/>
    <col min="14587" max="14779" width="9.140625" style="3" hidden="1"/>
    <col min="14780" max="14780" width="11" style="3" hidden="1"/>
    <col min="14781" max="14781" width="55.140625" style="3" hidden="1"/>
    <col min="14782" max="14838" width="9.140625" style="3" hidden="1"/>
    <col min="14839" max="14839" width="16.28515625" style="3" hidden="1"/>
    <col min="14840" max="14840" width="17.5703125" style="3" hidden="1"/>
    <col min="14841" max="14841" width="16" style="3" hidden="1"/>
    <col min="14842" max="14842" width="18.140625" style="3" hidden="1"/>
    <col min="14843" max="15035" width="9.140625" style="3" hidden="1"/>
    <col min="15036" max="15036" width="11" style="3" hidden="1"/>
    <col min="15037" max="15037" width="55.140625" style="3" hidden="1"/>
    <col min="15038" max="15094" width="9.140625" style="3" hidden="1"/>
    <col min="15095" max="15095" width="16.28515625" style="3" hidden="1"/>
    <col min="15096" max="15096" width="17.5703125" style="3" hidden="1"/>
    <col min="15097" max="15097" width="16" style="3" hidden="1"/>
    <col min="15098" max="15098" width="18.140625" style="3" hidden="1"/>
    <col min="15099" max="15291" width="9.140625" style="3" hidden="1"/>
    <col min="15292" max="15292" width="11" style="3" hidden="1"/>
    <col min="15293" max="15293" width="55.140625" style="3" hidden="1"/>
    <col min="15294" max="15350" width="9.140625" style="3" hidden="1"/>
    <col min="15351" max="15351" width="16.28515625" style="3" hidden="1"/>
    <col min="15352" max="15352" width="17.5703125" style="3" hidden="1"/>
    <col min="15353" max="15353" width="16" style="3" hidden="1"/>
    <col min="15354" max="15354" width="18.140625" style="3" hidden="1"/>
    <col min="15355" max="15547" width="9.140625" style="3" hidden="1"/>
    <col min="15548" max="15548" width="11" style="3" hidden="1"/>
    <col min="15549" max="15549" width="55.140625" style="3" hidden="1"/>
    <col min="15550" max="15606" width="9.140625" style="3" hidden="1"/>
    <col min="15607" max="15607" width="16.28515625" style="3" hidden="1"/>
    <col min="15608" max="15608" width="17.5703125" style="3" hidden="1"/>
    <col min="15609" max="15609" width="16" style="3" hidden="1"/>
    <col min="15610" max="15610" width="18.140625" style="3" hidden="1"/>
    <col min="15611" max="15803" width="9.140625" style="3" hidden="1"/>
    <col min="15804" max="15804" width="11" style="3" hidden="1"/>
    <col min="15805" max="15805" width="55.140625" style="3" hidden="1"/>
    <col min="15806" max="15862" width="9.140625" style="3" hidden="1"/>
    <col min="15863" max="15863" width="16.28515625" style="3" hidden="1"/>
    <col min="15864" max="15864" width="17.5703125" style="3" hidden="1"/>
    <col min="15865" max="15865" width="16" style="3" hidden="1"/>
    <col min="15866" max="15866" width="18.140625" style="3" hidden="1"/>
    <col min="15867" max="16059" width="9.140625" style="3" hidden="1"/>
    <col min="16060" max="16060" width="11" style="3" hidden="1"/>
    <col min="16061" max="16061" width="55.140625" style="3" hidden="1"/>
    <col min="16062" max="16118" width="9.140625" style="3" hidden="1"/>
    <col min="16119" max="16119" width="16.28515625" style="3" hidden="1"/>
    <col min="16120" max="16120" width="17.5703125" style="3" hidden="1"/>
    <col min="16121" max="16121" width="16" style="3" hidden="1"/>
    <col min="16122" max="16122" width="18.140625" style="3" hidden="1"/>
    <col min="16123" max="16384" width="9.140625" style="3" hidden="1"/>
  </cols>
  <sheetData>
    <row r="1" spans="1:6">
      <c r="B1" s="2" t="s">
        <v>43</v>
      </c>
    </row>
    <row r="2" spans="1:6" s="22" customFormat="1" ht="45.75" customHeight="1">
      <c r="A2" s="21"/>
      <c r="B2" s="2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23">
        <f>'Allocation Worksheet'!$D$5</f>
        <v>3709709</v>
      </c>
      <c r="E3" s="11"/>
      <c r="F3" s="11"/>
    </row>
    <row r="4" spans="1:6">
      <c r="A4" s="8">
        <v>0</v>
      </c>
      <c r="B4" s="11" t="s">
        <v>4</v>
      </c>
      <c r="C4" s="10">
        <v>1.039E-3</v>
      </c>
      <c r="D4" s="25">
        <f>ROUND(D$3*C4,0)</f>
        <v>3854</v>
      </c>
      <c r="E4" s="13">
        <f>+ROUND(D4/2,0)</f>
        <v>1927</v>
      </c>
      <c r="F4" s="12">
        <f>+D4-E4</f>
        <v>1927</v>
      </c>
    </row>
    <row r="5" spans="1:6">
      <c r="A5" s="8">
        <v>1</v>
      </c>
      <c r="B5" s="11" t="s">
        <v>44</v>
      </c>
      <c r="C5" s="10">
        <v>0.18340300000000001</v>
      </c>
      <c r="D5" s="23">
        <f>ROUND(D$3*C5,0)</f>
        <v>680372</v>
      </c>
      <c r="E5" s="11">
        <f>+ROUND(D5/2,0)</f>
        <v>340186</v>
      </c>
      <c r="F5" s="9">
        <f>+D5-E5</f>
        <v>340186</v>
      </c>
    </row>
    <row r="6" spans="1:6">
      <c r="A6" s="8"/>
      <c r="B6" s="11" t="s">
        <v>6</v>
      </c>
      <c r="C6" s="11"/>
      <c r="D6" s="26">
        <v>0.28551700000000002</v>
      </c>
      <c r="E6" s="11"/>
      <c r="F6" s="11"/>
    </row>
    <row r="7" spans="1:6">
      <c r="A7" s="8"/>
      <c r="B7" s="11" t="s">
        <v>7</v>
      </c>
      <c r="C7" s="11"/>
      <c r="D7" s="227">
        <f>ROUND(D5*D6,0)</f>
        <v>194258</v>
      </c>
      <c r="E7" s="226">
        <f>+ROUND(D7/2,0)</f>
        <v>97129</v>
      </c>
      <c r="F7" s="225">
        <f>+D7-E7</f>
        <v>97129</v>
      </c>
    </row>
    <row r="8" spans="1:6">
      <c r="A8" s="8"/>
      <c r="B8" s="11" t="s">
        <v>8</v>
      </c>
      <c r="C8" s="11"/>
      <c r="D8" s="25">
        <f>+D5-D7</f>
        <v>486114</v>
      </c>
      <c r="E8" s="13">
        <f>+ROUND(D8/2,0)</f>
        <v>243057</v>
      </c>
      <c r="F8" s="12">
        <f>+D8-E8</f>
        <v>243057</v>
      </c>
    </row>
    <row r="9" spans="1:6">
      <c r="A9" s="8">
        <v>2</v>
      </c>
      <c r="B9" s="11" t="s">
        <v>45</v>
      </c>
      <c r="C9" s="11"/>
      <c r="D9" s="23"/>
      <c r="E9" s="11"/>
      <c r="F9" s="11"/>
    </row>
    <row r="10" spans="1:6">
      <c r="A10" s="8"/>
      <c r="B10" s="11" t="s">
        <v>10</v>
      </c>
      <c r="C10" s="10">
        <v>2.7399999999999999E-4</v>
      </c>
      <c r="D10" s="25">
        <f>ROUND(D$3*C10,0)</f>
        <v>1016</v>
      </c>
      <c r="E10" s="13">
        <f>+ROUND(D10/2,0)</f>
        <v>508</v>
      </c>
      <c r="F10" s="12">
        <f>+D10-E10</f>
        <v>508</v>
      </c>
    </row>
    <row r="11" spans="1:6">
      <c r="A11" s="8"/>
      <c r="B11" s="11" t="s">
        <v>11</v>
      </c>
      <c r="C11" s="10">
        <v>4.8999999999999998E-5</v>
      </c>
      <c r="D11" s="25">
        <f>ROUND(D$3*C11,0)</f>
        <v>182</v>
      </c>
      <c r="E11" s="13">
        <f>+ROUND(D11/2,0)</f>
        <v>91</v>
      </c>
      <c r="F11" s="12">
        <f>+D11-E11</f>
        <v>91</v>
      </c>
    </row>
    <row r="12" spans="1:6">
      <c r="A12" s="8">
        <v>2</v>
      </c>
      <c r="B12" s="11" t="s">
        <v>46</v>
      </c>
      <c r="C12" s="11"/>
      <c r="D12" s="23"/>
      <c r="E12" s="11"/>
      <c r="F12" s="11"/>
    </row>
    <row r="13" spans="1:6">
      <c r="A13" s="8"/>
      <c r="B13" s="11" t="s">
        <v>10</v>
      </c>
      <c r="C13" s="10">
        <v>2.6359999999999999E-3</v>
      </c>
      <c r="D13" s="25">
        <f>ROUND(D$3*C13,0)</f>
        <v>9779</v>
      </c>
      <c r="E13" s="13">
        <f>+ROUND(D13/2,0)</f>
        <v>4890</v>
      </c>
      <c r="F13" s="12">
        <f>+D13-E13</f>
        <v>4889</v>
      </c>
    </row>
    <row r="14" spans="1:6">
      <c r="A14" s="8"/>
      <c r="B14" s="11" t="s">
        <v>11</v>
      </c>
      <c r="C14" s="10">
        <v>8.6000000000000003E-5</v>
      </c>
      <c r="D14" s="25">
        <f>ROUND(D$3*C14,0)</f>
        <v>319</v>
      </c>
      <c r="E14" s="13">
        <f>+ROUND(D14/2,0)</f>
        <v>160</v>
      </c>
      <c r="F14" s="12">
        <f>+D14-E14</f>
        <v>159</v>
      </c>
    </row>
    <row r="15" spans="1:6">
      <c r="A15" s="8">
        <v>2</v>
      </c>
      <c r="B15" s="11" t="s">
        <v>47</v>
      </c>
      <c r="C15" s="11"/>
      <c r="D15" s="23"/>
      <c r="E15" s="11"/>
      <c r="F15" s="11"/>
    </row>
    <row r="16" spans="1:6">
      <c r="A16" s="8"/>
      <c r="B16" s="11" t="s">
        <v>10</v>
      </c>
      <c r="C16" s="10">
        <v>9.7E-5</v>
      </c>
      <c r="D16" s="25">
        <f>ROUND(D$3*C16,0)</f>
        <v>360</v>
      </c>
      <c r="E16" s="13">
        <f>+ROUND(D16/2,0)</f>
        <v>180</v>
      </c>
      <c r="F16" s="12">
        <f>+D16-E16</f>
        <v>180</v>
      </c>
    </row>
    <row r="17" spans="1:6">
      <c r="A17" s="8"/>
      <c r="B17" s="11" t="s">
        <v>11</v>
      </c>
      <c r="C17" s="10">
        <v>8.8999999999999995E-5</v>
      </c>
      <c r="D17" s="25">
        <f>ROUND(D$3*C17,0)</f>
        <v>330</v>
      </c>
      <c r="E17" s="13">
        <f>+ROUND(D17/2,0)</f>
        <v>165</v>
      </c>
      <c r="F17" s="12">
        <f>+D17-E17</f>
        <v>165</v>
      </c>
    </row>
    <row r="18" spans="1:6">
      <c r="A18" s="8">
        <v>2</v>
      </c>
      <c r="B18" s="11" t="s">
        <v>48</v>
      </c>
      <c r="C18" s="11"/>
      <c r="D18" s="23"/>
      <c r="E18" s="11"/>
      <c r="F18" s="11"/>
    </row>
    <row r="19" spans="1:6">
      <c r="A19" s="8"/>
      <c r="B19" s="11" t="s">
        <v>10</v>
      </c>
      <c r="C19" s="10">
        <v>9.0000000000000006E-5</v>
      </c>
      <c r="D19" s="25">
        <f>ROUND(D$3*C19,0)</f>
        <v>334</v>
      </c>
      <c r="E19" s="13">
        <f>+ROUND(D19/2,0)</f>
        <v>167</v>
      </c>
      <c r="F19" s="12">
        <f>+D19-E19</f>
        <v>167</v>
      </c>
    </row>
    <row r="20" spans="1:6">
      <c r="A20" s="8"/>
      <c r="B20" s="11" t="s">
        <v>11</v>
      </c>
      <c r="C20" s="10">
        <v>5.1999999999999997E-5</v>
      </c>
      <c r="D20" s="25">
        <f>ROUND(D$3*C20,0)</f>
        <v>193</v>
      </c>
      <c r="E20" s="13">
        <f>+ROUND(D20/2,0)</f>
        <v>97</v>
      </c>
      <c r="F20" s="12">
        <f>+D20-E20</f>
        <v>96</v>
      </c>
    </row>
    <row r="21" spans="1:6">
      <c r="A21" s="8">
        <v>2</v>
      </c>
      <c r="B21" s="11" t="s">
        <v>49</v>
      </c>
      <c r="C21" s="11"/>
      <c r="D21" s="23"/>
      <c r="E21" s="11"/>
      <c r="F21" s="11"/>
    </row>
    <row r="22" spans="1:6">
      <c r="A22" s="8"/>
      <c r="B22" s="11" t="s">
        <v>10</v>
      </c>
      <c r="C22" s="10">
        <v>3.3000000000000003E-5</v>
      </c>
      <c r="D22" s="25">
        <f>ROUND(D$3*C22,0)</f>
        <v>122</v>
      </c>
      <c r="E22" s="13">
        <f>+ROUND(D22/2,0)</f>
        <v>61</v>
      </c>
      <c r="F22" s="12">
        <f>+D22-E22</f>
        <v>61</v>
      </c>
    </row>
    <row r="23" spans="1:6">
      <c r="A23" s="8"/>
      <c r="B23" s="11" t="s">
        <v>11</v>
      </c>
      <c r="C23" s="10">
        <v>2.3E-5</v>
      </c>
      <c r="D23" s="25">
        <f>ROUND(D$3*C23,0)</f>
        <v>85</v>
      </c>
      <c r="E23" s="13">
        <f>+ROUND(D23/2,0)</f>
        <v>43</v>
      </c>
      <c r="F23" s="12">
        <f>+D23-E23</f>
        <v>42</v>
      </c>
    </row>
    <row r="24" spans="1:6">
      <c r="A24" s="8">
        <v>2</v>
      </c>
      <c r="B24" s="11" t="s">
        <v>14</v>
      </c>
      <c r="C24" s="11"/>
      <c r="D24" s="23"/>
      <c r="E24" s="11"/>
      <c r="F24" s="11"/>
    </row>
    <row r="25" spans="1:6">
      <c r="A25" s="8"/>
      <c r="B25" s="11" t="s">
        <v>10</v>
      </c>
      <c r="C25" s="10">
        <v>9.7E-5</v>
      </c>
      <c r="D25" s="25">
        <f>ROUND(D$3*C25,0)</f>
        <v>360</v>
      </c>
      <c r="E25" s="13">
        <f>+ROUND(D25/2,0)</f>
        <v>180</v>
      </c>
      <c r="F25" s="12">
        <f>+D25-E25</f>
        <v>180</v>
      </c>
    </row>
    <row r="26" spans="1:6">
      <c r="A26" s="8"/>
      <c r="B26" s="11" t="s">
        <v>11</v>
      </c>
      <c r="C26" s="10">
        <v>1.1E-5</v>
      </c>
      <c r="D26" s="25">
        <f>ROUND(D$3*C26,0)</f>
        <v>41</v>
      </c>
      <c r="E26" s="13">
        <f>+ROUND(D26/2,0)</f>
        <v>21</v>
      </c>
      <c r="F26" s="12">
        <f>+D26-E26</f>
        <v>20</v>
      </c>
    </row>
    <row r="27" spans="1:6">
      <c r="A27" s="8">
        <v>2</v>
      </c>
      <c r="B27" s="11" t="s">
        <v>50</v>
      </c>
      <c r="C27" s="11"/>
      <c r="D27" s="23"/>
      <c r="E27" s="11"/>
      <c r="F27" s="11"/>
    </row>
    <row r="28" spans="1:6">
      <c r="A28" s="8"/>
      <c r="B28" s="11" t="s">
        <v>10</v>
      </c>
      <c r="C28" s="10">
        <v>2.0999999999999999E-5</v>
      </c>
      <c r="D28" s="25">
        <f>ROUND(D$3*C28,0)</f>
        <v>78</v>
      </c>
      <c r="E28" s="13">
        <f>+ROUND(D28/2,0)</f>
        <v>39</v>
      </c>
      <c r="F28" s="12">
        <f>+D28-E28</f>
        <v>39</v>
      </c>
    </row>
    <row r="29" spans="1:6">
      <c r="A29" s="8"/>
      <c r="B29" s="11" t="s">
        <v>11</v>
      </c>
      <c r="C29" s="10">
        <v>0</v>
      </c>
      <c r="D29" s="25">
        <f>ROUND(D$3*C29,0)</f>
        <v>0</v>
      </c>
      <c r="E29" s="13">
        <f>+ROUND(D29/2,0)</f>
        <v>0</v>
      </c>
      <c r="F29" s="12">
        <f>+D29-E29</f>
        <v>0</v>
      </c>
    </row>
    <row r="30" spans="1:6">
      <c r="A30" s="8">
        <v>2</v>
      </c>
      <c r="B30" s="11" t="s">
        <v>51</v>
      </c>
      <c r="C30" s="11"/>
      <c r="D30" s="23"/>
      <c r="E30" s="11"/>
      <c r="F30" s="11"/>
    </row>
    <row r="31" spans="1:6">
      <c r="A31" s="8"/>
      <c r="B31" s="11" t="s">
        <v>10</v>
      </c>
      <c r="C31" s="10">
        <v>1.9900000000000001E-4</v>
      </c>
      <c r="D31" s="25">
        <f>ROUND(D$3*C31,0)</f>
        <v>738</v>
      </c>
      <c r="E31" s="13">
        <f>+ROUND(D31/2,0)</f>
        <v>369</v>
      </c>
      <c r="F31" s="12">
        <f>+D31-E31</f>
        <v>369</v>
      </c>
    </row>
    <row r="32" spans="1:6">
      <c r="A32" s="8"/>
      <c r="B32" s="11" t="s">
        <v>11</v>
      </c>
      <c r="C32" s="10">
        <v>8.5000000000000006E-5</v>
      </c>
      <c r="D32" s="25">
        <f>ROUND(D$3*C32,0)</f>
        <v>315</v>
      </c>
      <c r="E32" s="13">
        <f>+ROUND(D32/2,0)</f>
        <v>158</v>
      </c>
      <c r="F32" s="12">
        <f>+D32-E32</f>
        <v>157</v>
      </c>
    </row>
    <row r="33" spans="1:6">
      <c r="A33" s="8">
        <v>2</v>
      </c>
      <c r="B33" s="11" t="s">
        <v>52</v>
      </c>
      <c r="C33" s="11"/>
      <c r="D33" s="23"/>
      <c r="E33" s="11"/>
      <c r="F33" s="11"/>
    </row>
    <row r="34" spans="1:6">
      <c r="A34" s="8"/>
      <c r="B34" s="11" t="s">
        <v>10</v>
      </c>
      <c r="C34" s="10">
        <v>4.1999999999999998E-5</v>
      </c>
      <c r="D34" s="25">
        <f>ROUND(D$3*C34,0)</f>
        <v>156</v>
      </c>
      <c r="E34" s="13">
        <f>+ROUND(D34/2,0)</f>
        <v>78</v>
      </c>
      <c r="F34" s="12">
        <f>+D34-E34</f>
        <v>78</v>
      </c>
    </row>
    <row r="35" spans="1:6">
      <c r="A35" s="8"/>
      <c r="B35" s="11" t="s">
        <v>11</v>
      </c>
      <c r="C35" s="10">
        <v>3.3000000000000003E-5</v>
      </c>
      <c r="D35" s="25">
        <f>ROUND(D$3*C35,0)</f>
        <v>122</v>
      </c>
      <c r="E35" s="13">
        <f>+ROUND(D35/2,0)</f>
        <v>61</v>
      </c>
      <c r="F35" s="12">
        <f>+D35-E35</f>
        <v>61</v>
      </c>
    </row>
    <row r="36" spans="1:6">
      <c r="A36" s="8">
        <v>2</v>
      </c>
      <c r="B36" s="11" t="s">
        <v>53</v>
      </c>
      <c r="C36" s="11"/>
      <c r="D36" s="23"/>
      <c r="E36" s="11"/>
      <c r="F36" s="11"/>
    </row>
    <row r="37" spans="1:6">
      <c r="A37" s="8"/>
      <c r="B37" s="11" t="s">
        <v>10</v>
      </c>
      <c r="C37" s="10">
        <v>1.5E-5</v>
      </c>
      <c r="D37" s="25">
        <f>ROUND(D$3*C37,0)</f>
        <v>56</v>
      </c>
      <c r="E37" s="13">
        <f>+ROUND(D37/2,0)</f>
        <v>28</v>
      </c>
      <c r="F37" s="12">
        <f>+D37-E37</f>
        <v>28</v>
      </c>
    </row>
    <row r="38" spans="1:6">
      <c r="A38" s="8"/>
      <c r="B38" s="11" t="s">
        <v>11</v>
      </c>
      <c r="C38" s="10">
        <v>1.2E-5</v>
      </c>
      <c r="D38" s="25">
        <f>ROUND(D$3*C38,0)</f>
        <v>45</v>
      </c>
      <c r="E38" s="13">
        <f>+ROUND(D38/2,0)</f>
        <v>23</v>
      </c>
      <c r="F38" s="12">
        <f>+D38-E38</f>
        <v>22</v>
      </c>
    </row>
    <row r="39" spans="1:6">
      <c r="A39" s="8">
        <v>2</v>
      </c>
      <c r="B39" s="11" t="s">
        <v>54</v>
      </c>
      <c r="C39" s="11"/>
      <c r="D39" s="23"/>
      <c r="E39" s="11"/>
      <c r="F39" s="11"/>
    </row>
    <row r="40" spans="1:6">
      <c r="A40" s="8"/>
      <c r="B40" s="11" t="s">
        <v>10</v>
      </c>
      <c r="C40" s="10">
        <v>1.4100000000000001E-4</v>
      </c>
      <c r="D40" s="25">
        <f>ROUND(D$3*C40,0)</f>
        <v>523</v>
      </c>
      <c r="E40" s="13">
        <f>+ROUND(D40/2,0)</f>
        <v>262</v>
      </c>
      <c r="F40" s="12">
        <f>+D40-E40</f>
        <v>261</v>
      </c>
    </row>
    <row r="41" spans="1:6">
      <c r="A41" s="8"/>
      <c r="B41" s="11" t="s">
        <v>11</v>
      </c>
      <c r="C41" s="10">
        <v>5.3000000000000001E-5</v>
      </c>
      <c r="D41" s="25">
        <f>ROUND(D$3*C41,0)</f>
        <v>197</v>
      </c>
      <c r="E41" s="13">
        <f>+ROUND(D41/2,0)</f>
        <v>99</v>
      </c>
      <c r="F41" s="12">
        <f>+D41-E41</f>
        <v>98</v>
      </c>
    </row>
    <row r="42" spans="1:6">
      <c r="A42" s="8">
        <v>2</v>
      </c>
      <c r="B42" s="11" t="s">
        <v>55</v>
      </c>
      <c r="C42" s="11"/>
      <c r="D42" s="23"/>
      <c r="E42" s="11"/>
      <c r="F42" s="11"/>
    </row>
    <row r="43" spans="1:6">
      <c r="A43" s="8"/>
      <c r="B43" s="11" t="s">
        <v>10</v>
      </c>
      <c r="C43" s="10">
        <v>4.3000000000000002E-5</v>
      </c>
      <c r="D43" s="25">
        <f>ROUND(D$3*C43,0)</f>
        <v>160</v>
      </c>
      <c r="E43" s="13">
        <f>+ROUND(D43/2,0)</f>
        <v>80</v>
      </c>
      <c r="F43" s="12">
        <f>+D43-E43</f>
        <v>80</v>
      </c>
    </row>
    <row r="44" spans="1:6">
      <c r="A44" s="8"/>
      <c r="B44" s="11" t="s">
        <v>11</v>
      </c>
      <c r="C44" s="10">
        <v>2.5000000000000001E-5</v>
      </c>
      <c r="D44" s="25">
        <f>ROUND(D$3*C44,0)</f>
        <v>93</v>
      </c>
      <c r="E44" s="13">
        <f>+ROUND(D44/2,0)</f>
        <v>47</v>
      </c>
      <c r="F44" s="12">
        <f>+D44-E44</f>
        <v>46</v>
      </c>
    </row>
    <row r="45" spans="1:6">
      <c r="A45" s="8">
        <v>2</v>
      </c>
      <c r="B45" s="11" t="s">
        <v>16</v>
      </c>
      <c r="C45" s="11"/>
      <c r="D45" s="23"/>
      <c r="E45" s="11"/>
      <c r="F45" s="11"/>
    </row>
    <row r="46" spans="1:6">
      <c r="A46" s="8"/>
      <c r="B46" s="11" t="s">
        <v>10</v>
      </c>
      <c r="C46" s="10">
        <v>2.9E-5</v>
      </c>
      <c r="D46" s="25">
        <f>ROUND(D$3*C46,0)</f>
        <v>108</v>
      </c>
      <c r="E46" s="13">
        <f>+ROUND(D46/2,0)</f>
        <v>54</v>
      </c>
      <c r="F46" s="12">
        <f>+D46-E46</f>
        <v>54</v>
      </c>
    </row>
    <row r="47" spans="1:6">
      <c r="A47" s="8"/>
      <c r="B47" s="11" t="s">
        <v>11</v>
      </c>
      <c r="C47" s="10">
        <v>1.2E-5</v>
      </c>
      <c r="D47" s="25">
        <f>ROUND(D$3*C47,0)</f>
        <v>45</v>
      </c>
      <c r="E47" s="13">
        <f>+ROUND(D47/2,0)</f>
        <v>23</v>
      </c>
      <c r="F47" s="12">
        <f>+D47-E47</f>
        <v>22</v>
      </c>
    </row>
    <row r="48" spans="1:6">
      <c r="A48" s="8">
        <v>2</v>
      </c>
      <c r="B48" s="11" t="s">
        <v>56</v>
      </c>
      <c r="C48" s="11"/>
      <c r="D48" s="23"/>
      <c r="E48" s="11"/>
      <c r="F48" s="11"/>
    </row>
    <row r="49" spans="1:6">
      <c r="A49" s="8"/>
      <c r="B49" s="11" t="s">
        <v>10</v>
      </c>
      <c r="C49" s="10">
        <v>9.7E-5</v>
      </c>
      <c r="D49" s="25">
        <f>ROUND(D$3*C49,0)</f>
        <v>360</v>
      </c>
      <c r="E49" s="13">
        <f>+ROUND(D49/2,0)</f>
        <v>180</v>
      </c>
      <c r="F49" s="12">
        <f>+D49-E49</f>
        <v>180</v>
      </c>
    </row>
    <row r="50" spans="1:6">
      <c r="A50" s="8"/>
      <c r="B50" s="11" t="s">
        <v>11</v>
      </c>
      <c r="C50" s="10">
        <v>1.56E-4</v>
      </c>
      <c r="D50" s="25">
        <f>ROUND(D$3*C50,0)</f>
        <v>579</v>
      </c>
      <c r="E50" s="13">
        <f>+ROUND(D50/2,0)</f>
        <v>290</v>
      </c>
      <c r="F50" s="12">
        <f>+D50-E50</f>
        <v>289</v>
      </c>
    </row>
    <row r="51" spans="1:6">
      <c r="A51" s="8">
        <v>2</v>
      </c>
      <c r="B51" s="11" t="s">
        <v>57</v>
      </c>
      <c r="C51" s="11"/>
      <c r="D51" s="23"/>
      <c r="E51" s="11"/>
      <c r="F51" s="11"/>
    </row>
    <row r="52" spans="1:6">
      <c r="A52" s="8"/>
      <c r="B52" s="11" t="s">
        <v>10</v>
      </c>
      <c r="C52" s="10">
        <v>4.1999999999999998E-5</v>
      </c>
      <c r="D52" s="25">
        <f>ROUND(D$3*C52,0)</f>
        <v>156</v>
      </c>
      <c r="E52" s="13">
        <f>+ROUND(D52/2,0)</f>
        <v>78</v>
      </c>
      <c r="F52" s="12">
        <f>+D52-E52</f>
        <v>78</v>
      </c>
    </row>
    <row r="53" spans="1:6">
      <c r="A53" s="8"/>
      <c r="B53" s="11" t="s">
        <v>11</v>
      </c>
      <c r="C53" s="10">
        <v>0</v>
      </c>
      <c r="D53" s="25">
        <f>ROUND(D$3*C53,0)</f>
        <v>0</v>
      </c>
      <c r="E53" s="13">
        <f>+ROUND(D53/2,0)</f>
        <v>0</v>
      </c>
      <c r="F53" s="12">
        <f>+D53-E53</f>
        <v>0</v>
      </c>
    </row>
    <row r="54" spans="1:6">
      <c r="A54" s="8">
        <v>2</v>
      </c>
      <c r="B54" s="11" t="s">
        <v>58</v>
      </c>
      <c r="C54" s="11"/>
      <c r="D54" s="23"/>
      <c r="E54" s="11"/>
      <c r="F54" s="11"/>
    </row>
    <row r="55" spans="1:6">
      <c r="A55" s="8"/>
      <c r="B55" s="11" t="s">
        <v>10</v>
      </c>
      <c r="C55" s="10">
        <v>9.9999999999999995E-7</v>
      </c>
      <c r="D55" s="25">
        <f>ROUND(D$3*C55,0)</f>
        <v>4</v>
      </c>
      <c r="E55" s="13">
        <f>+ROUND(D55/2,0)</f>
        <v>2</v>
      </c>
      <c r="F55" s="12">
        <f>+D55-E55</f>
        <v>2</v>
      </c>
    </row>
    <row r="56" spans="1:6">
      <c r="A56" s="8"/>
      <c r="B56" s="11" t="s">
        <v>11</v>
      </c>
      <c r="C56" s="10">
        <v>9.9999999999999995E-7</v>
      </c>
      <c r="D56" s="25">
        <f>ROUND(D$3*C56,0)</f>
        <v>4</v>
      </c>
      <c r="E56" s="13">
        <f>+ROUND(D56/2,0)</f>
        <v>2</v>
      </c>
      <c r="F56" s="12">
        <f>+D56-E56</f>
        <v>2</v>
      </c>
    </row>
    <row r="57" spans="1:6">
      <c r="A57" s="8">
        <v>2</v>
      </c>
      <c r="B57" s="11" t="s">
        <v>59</v>
      </c>
      <c r="C57" s="11"/>
      <c r="D57" s="23"/>
      <c r="E57" s="11"/>
      <c r="F57" s="11"/>
    </row>
    <row r="58" spans="1:6">
      <c r="A58" s="8"/>
      <c r="B58" s="11" t="s">
        <v>10</v>
      </c>
      <c r="C58" s="10">
        <v>1.5300000000000001E-4</v>
      </c>
      <c r="D58" s="25">
        <f>ROUND(D$3*C58,0)</f>
        <v>568</v>
      </c>
      <c r="E58" s="13">
        <f>+ROUND(D58/2,0)</f>
        <v>284</v>
      </c>
      <c r="F58" s="12">
        <f>+D58-E58</f>
        <v>284</v>
      </c>
    </row>
    <row r="59" spans="1:6">
      <c r="A59" s="8"/>
      <c r="B59" s="11" t="s">
        <v>11</v>
      </c>
      <c r="C59" s="10">
        <v>6.3999999999999997E-5</v>
      </c>
      <c r="D59" s="25">
        <f>ROUND(D$3*C59,0)</f>
        <v>237</v>
      </c>
      <c r="E59" s="13">
        <f>+ROUND(D59/2,0)</f>
        <v>119</v>
      </c>
      <c r="F59" s="12">
        <f>+D59-E59</f>
        <v>118</v>
      </c>
    </row>
    <row r="60" spans="1:6">
      <c r="A60" s="8">
        <v>2</v>
      </c>
      <c r="B60" s="11" t="s">
        <v>60</v>
      </c>
      <c r="C60" s="11"/>
      <c r="D60" s="23"/>
      <c r="E60" s="11"/>
      <c r="F60" s="11"/>
    </row>
    <row r="61" spans="1:6">
      <c r="A61" s="8"/>
      <c r="B61" s="11" t="s">
        <v>10</v>
      </c>
      <c r="C61" s="10">
        <v>2.61E-4</v>
      </c>
      <c r="D61" s="25">
        <f>ROUND(D$3*C61,0)</f>
        <v>968</v>
      </c>
      <c r="E61" s="13">
        <f>+ROUND(D61/2,0)</f>
        <v>484</v>
      </c>
      <c r="F61" s="12">
        <f>+D61-E61</f>
        <v>484</v>
      </c>
    </row>
    <row r="62" spans="1:6">
      <c r="A62" s="8"/>
      <c r="B62" s="11" t="s">
        <v>11</v>
      </c>
      <c r="C62" s="10">
        <v>1.9000000000000001E-5</v>
      </c>
      <c r="D62" s="25">
        <f>ROUND(D$3*C62,0)</f>
        <v>70</v>
      </c>
      <c r="E62" s="13">
        <f>+ROUND(D62/2,0)</f>
        <v>35</v>
      </c>
      <c r="F62" s="12">
        <f>+D62-E62</f>
        <v>35</v>
      </c>
    </row>
    <row r="63" spans="1:6">
      <c r="A63" s="8">
        <v>2</v>
      </c>
      <c r="B63" s="11" t="s">
        <v>22</v>
      </c>
      <c r="C63" s="11"/>
      <c r="D63" s="23"/>
      <c r="E63" s="11"/>
      <c r="F63" s="11"/>
    </row>
    <row r="64" spans="1:6">
      <c r="A64" s="8"/>
      <c r="B64" s="11" t="s">
        <v>10</v>
      </c>
      <c r="C64" s="10">
        <v>1.389E-3</v>
      </c>
      <c r="D64" s="25">
        <f>ROUND(D$3*C64,0)</f>
        <v>5153</v>
      </c>
      <c r="E64" s="13">
        <f>+ROUND(D64/2,0)</f>
        <v>2577</v>
      </c>
      <c r="F64" s="12">
        <f>+D64-E64</f>
        <v>2576</v>
      </c>
    </row>
    <row r="65" spans="1:6">
      <c r="A65" s="8"/>
      <c r="B65" s="11" t="s">
        <v>11</v>
      </c>
      <c r="C65" s="10">
        <v>8.8999999999999995E-5</v>
      </c>
      <c r="D65" s="25">
        <f>ROUND(D$3*C65,0)</f>
        <v>330</v>
      </c>
      <c r="E65" s="13">
        <f>+ROUND(D65/2,0)</f>
        <v>165</v>
      </c>
      <c r="F65" s="12">
        <f>+D65-E65</f>
        <v>165</v>
      </c>
    </row>
    <row r="66" spans="1:6">
      <c r="A66" s="8">
        <v>2</v>
      </c>
      <c r="B66" s="11" t="s">
        <v>61</v>
      </c>
      <c r="C66" s="11"/>
      <c r="D66" s="23"/>
      <c r="E66" s="11"/>
      <c r="F66" s="11"/>
    </row>
    <row r="67" spans="1:6">
      <c r="A67" s="8"/>
      <c r="B67" s="11" t="s">
        <v>10</v>
      </c>
      <c r="C67" s="10">
        <v>1.1211E-2</v>
      </c>
      <c r="D67" s="25">
        <f t="shared" ref="D67:D77" si="0">ROUND(D$3*C67,0)</f>
        <v>41590</v>
      </c>
      <c r="E67" s="13">
        <f t="shared" ref="E67:E77" si="1">+ROUND(D67/2,0)</f>
        <v>20795</v>
      </c>
      <c r="F67" s="12">
        <f t="shared" ref="F67:F77" si="2">+D67-E67</f>
        <v>20795</v>
      </c>
    </row>
    <row r="68" spans="1:6">
      <c r="A68" s="8"/>
      <c r="B68" s="11" t="s">
        <v>11</v>
      </c>
      <c r="C68" s="10">
        <v>0</v>
      </c>
      <c r="D68" s="25">
        <f t="shared" si="0"/>
        <v>0</v>
      </c>
      <c r="E68" s="13">
        <f t="shared" si="1"/>
        <v>0</v>
      </c>
      <c r="F68" s="12">
        <f t="shared" si="2"/>
        <v>0</v>
      </c>
    </row>
    <row r="69" spans="1:6">
      <c r="A69" s="8">
        <v>3</v>
      </c>
      <c r="B69" s="11" t="s">
        <v>62</v>
      </c>
      <c r="C69" s="10">
        <v>0.17504900000000001</v>
      </c>
      <c r="D69" s="25">
        <f t="shared" si="0"/>
        <v>649381</v>
      </c>
      <c r="E69" s="13">
        <f t="shared" si="1"/>
        <v>324691</v>
      </c>
      <c r="F69" s="12">
        <f t="shared" si="2"/>
        <v>324690</v>
      </c>
    </row>
    <row r="70" spans="1:6">
      <c r="A70" s="8">
        <v>3</v>
      </c>
      <c r="B70" s="11" t="s">
        <v>63</v>
      </c>
      <c r="C70" s="10">
        <v>1.92E-4</v>
      </c>
      <c r="D70" s="25">
        <f t="shared" si="0"/>
        <v>712</v>
      </c>
      <c r="E70" s="13">
        <f t="shared" si="1"/>
        <v>356</v>
      </c>
      <c r="F70" s="12">
        <f t="shared" si="2"/>
        <v>356</v>
      </c>
    </row>
    <row r="71" spans="1:6">
      <c r="A71" s="8" t="s">
        <v>590</v>
      </c>
      <c r="B71" s="11" t="s">
        <v>64</v>
      </c>
      <c r="C71" s="10">
        <v>4.9100000000000001E-4</v>
      </c>
      <c r="D71" s="25">
        <f t="shared" si="0"/>
        <v>1821</v>
      </c>
      <c r="E71" s="13">
        <f t="shared" si="1"/>
        <v>911</v>
      </c>
      <c r="F71" s="12">
        <f t="shared" si="2"/>
        <v>910</v>
      </c>
    </row>
    <row r="72" spans="1:6">
      <c r="A72" s="8">
        <v>3</v>
      </c>
      <c r="B72" s="11" t="s">
        <v>65</v>
      </c>
      <c r="C72" s="10">
        <v>6.2200000000000005E-4</v>
      </c>
      <c r="D72" s="25">
        <f t="shared" si="0"/>
        <v>2307</v>
      </c>
      <c r="E72" s="13">
        <f t="shared" si="1"/>
        <v>1154</v>
      </c>
      <c r="F72" s="12">
        <f t="shared" si="2"/>
        <v>1153</v>
      </c>
    </row>
    <row r="73" spans="1:6">
      <c r="A73" s="8">
        <v>3</v>
      </c>
      <c r="B73" s="11" t="s">
        <v>66</v>
      </c>
      <c r="C73" s="10">
        <v>3.1700000000000001E-4</v>
      </c>
      <c r="D73" s="25">
        <f t="shared" si="0"/>
        <v>1176</v>
      </c>
      <c r="E73" s="13">
        <f t="shared" si="1"/>
        <v>588</v>
      </c>
      <c r="F73" s="12">
        <f t="shared" si="2"/>
        <v>588</v>
      </c>
    </row>
    <row r="74" spans="1:6">
      <c r="A74" s="8">
        <v>3</v>
      </c>
      <c r="B74" s="11" t="s">
        <v>67</v>
      </c>
      <c r="C74" s="10">
        <v>2.9343999999999999E-2</v>
      </c>
      <c r="D74" s="25">
        <f t="shared" si="0"/>
        <v>108858</v>
      </c>
      <c r="E74" s="13">
        <f t="shared" si="1"/>
        <v>54429</v>
      </c>
      <c r="F74" s="12">
        <f t="shared" si="2"/>
        <v>54429</v>
      </c>
    </row>
    <row r="75" spans="1:6">
      <c r="A75" s="8">
        <v>3</v>
      </c>
      <c r="B75" s="11" t="s">
        <v>68</v>
      </c>
      <c r="C75" s="10">
        <v>2.43E-4</v>
      </c>
      <c r="D75" s="25">
        <f t="shared" si="0"/>
        <v>901</v>
      </c>
      <c r="E75" s="13">
        <f t="shared" si="1"/>
        <v>451</v>
      </c>
      <c r="F75" s="12">
        <f t="shared" si="2"/>
        <v>450</v>
      </c>
    </row>
    <row r="76" spans="1:6">
      <c r="A76" s="8">
        <v>3</v>
      </c>
      <c r="B76" s="11" t="s">
        <v>69</v>
      </c>
      <c r="C76" s="10">
        <v>0</v>
      </c>
      <c r="D76" s="25">
        <f t="shared" si="0"/>
        <v>0</v>
      </c>
      <c r="E76" s="13">
        <f t="shared" si="1"/>
        <v>0</v>
      </c>
      <c r="F76" s="12">
        <f t="shared" si="2"/>
        <v>0</v>
      </c>
    </row>
    <row r="77" spans="1:6">
      <c r="A77" s="8">
        <v>4</v>
      </c>
      <c r="B77" s="11" t="s">
        <v>70</v>
      </c>
      <c r="C77" s="10">
        <v>0.124371</v>
      </c>
      <c r="D77" s="23">
        <f t="shared" si="0"/>
        <v>461380</v>
      </c>
      <c r="E77" s="11">
        <f t="shared" si="1"/>
        <v>230690</v>
      </c>
      <c r="F77" s="9">
        <f t="shared" si="2"/>
        <v>230690</v>
      </c>
    </row>
    <row r="78" spans="1:6">
      <c r="A78" s="8"/>
      <c r="B78" s="11" t="s">
        <v>28</v>
      </c>
      <c r="C78" s="11"/>
      <c r="D78" s="26">
        <v>0.45873399999999998</v>
      </c>
      <c r="E78" s="11"/>
      <c r="F78" s="11"/>
    </row>
    <row r="79" spans="1:6">
      <c r="A79" s="8"/>
      <c r="B79" s="11" t="s">
        <v>29</v>
      </c>
      <c r="C79" s="11"/>
      <c r="D79" s="227">
        <f>ROUND(D77*D78,0)</f>
        <v>211651</v>
      </c>
      <c r="E79" s="226">
        <f>+ROUND(D79/2,0)</f>
        <v>105826</v>
      </c>
      <c r="F79" s="225">
        <f>+D79-E79</f>
        <v>105825</v>
      </c>
    </row>
    <row r="80" spans="1:6">
      <c r="A80" s="8"/>
      <c r="B80" s="11" t="s">
        <v>30</v>
      </c>
      <c r="C80" s="11"/>
      <c r="D80" s="25">
        <f>+D77-D79</f>
        <v>249729</v>
      </c>
      <c r="E80" s="13">
        <f>+ROUND(D80/2,0)</f>
        <v>124865</v>
      </c>
      <c r="F80" s="12">
        <f>+D80-E80</f>
        <v>124864</v>
      </c>
    </row>
    <row r="81" spans="1:6">
      <c r="A81" s="8">
        <v>4</v>
      </c>
      <c r="B81" s="11" t="s">
        <v>71</v>
      </c>
      <c r="C81" s="10">
        <v>0.33696700000000002</v>
      </c>
      <c r="D81" s="23">
        <f>ROUND(D$3*C81,0)</f>
        <v>1250050</v>
      </c>
      <c r="E81" s="11">
        <f>+ROUND(D81/2,0)</f>
        <v>625025</v>
      </c>
      <c r="F81" s="9">
        <f>+D81-E81</f>
        <v>625025</v>
      </c>
    </row>
    <row r="82" spans="1:6">
      <c r="A82" s="8"/>
      <c r="B82" s="11" t="s">
        <v>28</v>
      </c>
      <c r="C82" s="11"/>
      <c r="D82" s="26">
        <v>0.45568399999999998</v>
      </c>
      <c r="E82" s="11"/>
      <c r="F82" s="11"/>
    </row>
    <row r="83" spans="1:6">
      <c r="A83" s="8"/>
      <c r="B83" s="11" t="s">
        <v>29</v>
      </c>
      <c r="C83" s="11"/>
      <c r="D83" s="227">
        <f>ROUND(D81*D82,0)</f>
        <v>569628</v>
      </c>
      <c r="E83" s="226">
        <f>+ROUND(D83/2,0)</f>
        <v>284814</v>
      </c>
      <c r="F83" s="225">
        <f>+D83-E83</f>
        <v>284814</v>
      </c>
    </row>
    <row r="84" spans="1:6">
      <c r="A84" s="8"/>
      <c r="B84" s="11" t="s">
        <v>30</v>
      </c>
      <c r="C84" s="11"/>
      <c r="D84" s="25">
        <f>+D81-D83</f>
        <v>680422</v>
      </c>
      <c r="E84" s="13">
        <f>+ROUND(D84/2,0)</f>
        <v>340211</v>
      </c>
      <c r="F84" s="12">
        <f>+D84-E84</f>
        <v>340211</v>
      </c>
    </row>
    <row r="85" spans="1:6">
      <c r="A85" s="8">
        <v>4</v>
      </c>
      <c r="B85" s="11" t="s">
        <v>72</v>
      </c>
      <c r="C85" s="10">
        <v>3.2927999999999999E-2</v>
      </c>
      <c r="D85" s="23">
        <f>ROUND(D$3*C85,0)</f>
        <v>122153</v>
      </c>
      <c r="E85" s="11">
        <f>+ROUND(D85/2,0)</f>
        <v>61077</v>
      </c>
      <c r="F85" s="9">
        <f>+D85-E85</f>
        <v>61076</v>
      </c>
    </row>
    <row r="86" spans="1:6">
      <c r="A86" s="8"/>
      <c r="B86" s="11" t="s">
        <v>28</v>
      </c>
      <c r="C86" s="11"/>
      <c r="D86" s="26">
        <v>0.48022399999999998</v>
      </c>
      <c r="E86" s="11"/>
      <c r="F86" s="11"/>
    </row>
    <row r="87" spans="1:6">
      <c r="A87" s="8"/>
      <c r="B87" s="11" t="s">
        <v>29</v>
      </c>
      <c r="C87" s="11"/>
      <c r="D87" s="227">
        <f>ROUND(D85*D86,0)</f>
        <v>58661</v>
      </c>
      <c r="E87" s="226">
        <f>+ROUND(D87/2,0)</f>
        <v>29331</v>
      </c>
      <c r="F87" s="225">
        <f>+D87-E87</f>
        <v>29330</v>
      </c>
    </row>
    <row r="88" spans="1:6">
      <c r="A88" s="8"/>
      <c r="B88" s="11" t="s">
        <v>30</v>
      </c>
      <c r="C88" s="11"/>
      <c r="D88" s="25">
        <f>+D85-D87</f>
        <v>63492</v>
      </c>
      <c r="E88" s="13">
        <f>+ROUND(D88/2,0)</f>
        <v>31746</v>
      </c>
      <c r="F88" s="12">
        <f>+D88-E88</f>
        <v>31746</v>
      </c>
    </row>
    <row r="89" spans="1:6">
      <c r="A89" s="8">
        <v>4</v>
      </c>
      <c r="B89" s="11" t="s">
        <v>73</v>
      </c>
      <c r="C89" s="10">
        <v>2.5451999999999999E-2</v>
      </c>
      <c r="D89" s="23">
        <f>ROUND(D$3*C89,0)</f>
        <v>94420</v>
      </c>
      <c r="E89" s="11">
        <f>+ROUND(D89/2,0)</f>
        <v>47210</v>
      </c>
      <c r="F89" s="9">
        <f>+D89-E89</f>
        <v>47210</v>
      </c>
    </row>
    <row r="90" spans="1:6">
      <c r="A90" s="8"/>
      <c r="B90" s="11" t="s">
        <v>28</v>
      </c>
      <c r="C90" s="11"/>
      <c r="D90" s="26">
        <v>0.45088099999999998</v>
      </c>
      <c r="E90" s="11"/>
      <c r="F90" s="11"/>
    </row>
    <row r="91" spans="1:6">
      <c r="A91" s="8"/>
      <c r="B91" s="11" t="s">
        <v>29</v>
      </c>
      <c r="C91" s="11"/>
      <c r="D91" s="227">
        <f>ROUND(D89*D90,0)</f>
        <v>42572</v>
      </c>
      <c r="E91" s="226">
        <f t="shared" ref="E91:E97" si="3">+ROUND(D91/2,0)</f>
        <v>21286</v>
      </c>
      <c r="F91" s="225">
        <f t="shared" ref="F91:F97" si="4">+D91-E91</f>
        <v>21286</v>
      </c>
    </row>
    <row r="92" spans="1:6">
      <c r="A92" s="8"/>
      <c r="B92" s="11" t="s">
        <v>30</v>
      </c>
      <c r="C92" s="11"/>
      <c r="D92" s="25">
        <f>+D89-D91</f>
        <v>51848</v>
      </c>
      <c r="E92" s="13">
        <f t="shared" si="3"/>
        <v>25924</v>
      </c>
      <c r="F92" s="12">
        <f t="shared" si="4"/>
        <v>25924</v>
      </c>
    </row>
    <row r="93" spans="1:6">
      <c r="A93" s="8">
        <v>5</v>
      </c>
      <c r="B93" s="11" t="s">
        <v>74</v>
      </c>
      <c r="C93" s="10">
        <v>4.5010000000000001E-2</v>
      </c>
      <c r="D93" s="25">
        <f>ROUND(D$3*C93,0)</f>
        <v>166974</v>
      </c>
      <c r="E93" s="13">
        <f t="shared" si="3"/>
        <v>83487</v>
      </c>
      <c r="F93" s="12">
        <f t="shared" si="4"/>
        <v>83487</v>
      </c>
    </row>
    <row r="94" spans="1:6">
      <c r="A94" s="8">
        <v>6</v>
      </c>
      <c r="B94" s="11" t="s">
        <v>75</v>
      </c>
      <c r="C94" s="10">
        <v>0</v>
      </c>
      <c r="D94" s="25">
        <f>ROUND(D$3*C94,0)</f>
        <v>0</v>
      </c>
      <c r="E94" s="13">
        <f t="shared" si="3"/>
        <v>0</v>
      </c>
      <c r="F94" s="12">
        <f t="shared" si="4"/>
        <v>0</v>
      </c>
    </row>
    <row r="95" spans="1:6">
      <c r="A95" s="8">
        <v>6</v>
      </c>
      <c r="B95" s="11" t="s">
        <v>76</v>
      </c>
      <c r="C95" s="10">
        <v>1.0461E-2</v>
      </c>
      <c r="D95" s="25">
        <f>ROUND(D$3*C95,0)</f>
        <v>38807</v>
      </c>
      <c r="E95" s="13">
        <f t="shared" si="3"/>
        <v>19404</v>
      </c>
      <c r="F95" s="12">
        <f t="shared" si="4"/>
        <v>19403</v>
      </c>
    </row>
    <row r="96" spans="1:6">
      <c r="A96" s="8">
        <v>6</v>
      </c>
      <c r="B96" s="11" t="s">
        <v>77</v>
      </c>
      <c r="C96" s="10">
        <v>8.3389999999999992E-3</v>
      </c>
      <c r="D96" s="25">
        <f>ROUND(D$3*C96,0)</f>
        <v>30935</v>
      </c>
      <c r="E96" s="13">
        <f t="shared" si="3"/>
        <v>15468</v>
      </c>
      <c r="F96" s="12">
        <f t="shared" si="4"/>
        <v>15467</v>
      </c>
    </row>
    <row r="97" spans="1:8">
      <c r="A97" s="8">
        <v>6</v>
      </c>
      <c r="B97" s="11" t="s">
        <v>78</v>
      </c>
      <c r="C97" s="10">
        <v>8.0419999999998826E-3</v>
      </c>
      <c r="D97" s="25">
        <f>+D3-SUM(D4:D5)-SUM(D10:D77)-D81-D85-D89-SUM(D93:D96)</f>
        <v>29832</v>
      </c>
      <c r="E97" s="13">
        <f t="shared" si="3"/>
        <v>14916</v>
      </c>
      <c r="F97" s="12">
        <f t="shared" si="4"/>
        <v>14916</v>
      </c>
    </row>
    <row r="98" spans="1:8">
      <c r="A98" s="8"/>
      <c r="B98" s="28" t="s">
        <v>37</v>
      </c>
      <c r="C98" s="10">
        <v>1</v>
      </c>
      <c r="D98" s="29">
        <f>+D4+SUM(D7:D76)+D79+D80+D83+D84+D87+D88+SUM(D91:D97)</f>
        <v>3709709</v>
      </c>
      <c r="E98" s="29">
        <f>+E4+SUM(E7:E76)+E79+E80+E83+E84+E87+E88+SUM(E91:E97)</f>
        <v>1854866</v>
      </c>
      <c r="F98" s="29">
        <f>+F4+SUM(F7:F76)+F79+F80+F83+F84+F87+F88+SUM(F91:F97)</f>
        <v>1854843</v>
      </c>
    </row>
    <row r="99" spans="1:8">
      <c r="B99" s="18" t="s">
        <v>38</v>
      </c>
      <c r="D99" s="30">
        <f>+D4</f>
        <v>3854</v>
      </c>
      <c r="E99" s="30">
        <f>+E4</f>
        <v>1927</v>
      </c>
      <c r="F99" s="30">
        <f>+F4</f>
        <v>1927</v>
      </c>
    </row>
    <row r="100" spans="1:8">
      <c r="B100" s="18" t="s">
        <v>39</v>
      </c>
      <c r="D100" s="30">
        <f>+D7</f>
        <v>194258</v>
      </c>
      <c r="E100" s="30">
        <f>+E7</f>
        <v>97129</v>
      </c>
      <c r="F100" s="30">
        <f>+F7</f>
        <v>97129</v>
      </c>
    </row>
    <row r="101" spans="1:8">
      <c r="B101" s="18" t="s">
        <v>40</v>
      </c>
      <c r="D101" s="30">
        <f>+D79+D83+D87+D91</f>
        <v>882512</v>
      </c>
      <c r="E101" s="30">
        <f>+E79+E83+E87+E91</f>
        <v>441257</v>
      </c>
      <c r="F101" s="30">
        <f>+F79+F83+F87+F91</f>
        <v>441255</v>
      </c>
      <c r="H101" s="3">
        <v>1</v>
      </c>
    </row>
    <row r="102" spans="1:8">
      <c r="B102" s="18" t="s">
        <v>41</v>
      </c>
      <c r="D102" s="30">
        <f>+D98-D99-D100-D101</f>
        <v>2629085</v>
      </c>
      <c r="E102" s="30">
        <f>+E98-E99-E100-E101</f>
        <v>1314553</v>
      </c>
      <c r="F102" s="30">
        <f>+F98-F99-F100-F101</f>
        <v>1314532</v>
      </c>
      <c r="H102" s="3">
        <v>2</v>
      </c>
    </row>
    <row r="104" spans="1:8" hidden="1">
      <c r="B104" s="3" t="s">
        <v>42</v>
      </c>
      <c r="C104" s="4">
        <v>9.9999999988303889E-7</v>
      </c>
      <c r="D104" s="23">
        <v>9.9999999988303889E-7</v>
      </c>
    </row>
  </sheetData>
  <pageMargins left="0.7" right="0.7" top="0.75" bottom="0.75" header="0.3" footer="0.3"/>
  <pageSetup scale="4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WVB73"/>
  <sheetViews>
    <sheetView topLeftCell="A41" zoomScaleNormal="100" zoomScaleSheetLayoutView="90" workbookViewId="0">
      <selection activeCell="D62" activeCellId="3" sqref="D7:F7 D54:F54 D58:F58 D62:F62"/>
    </sheetView>
  </sheetViews>
  <sheetFormatPr defaultColWidth="0" defaultRowHeight="15"/>
  <cols>
    <col min="1" max="1" width="13.140625" style="1" customWidth="1"/>
    <col min="2" max="2" width="57.140625" style="3" customWidth="1"/>
    <col min="3" max="6" width="20.42578125" style="3" customWidth="1"/>
    <col min="7" max="7" width="9.140625" style="3" customWidth="1"/>
    <col min="8" max="183" width="9.140625" style="3" hidden="1"/>
    <col min="184" max="184" width="11.140625" style="3" hidden="1"/>
    <col min="185" max="185" width="56.28515625" style="3" hidden="1"/>
    <col min="186" max="246" width="9.140625" style="3" hidden="1"/>
    <col min="247" max="247" width="16" style="3" hidden="1"/>
    <col min="248" max="248" width="12.5703125" style="3" hidden="1"/>
    <col min="249" max="249" width="16" style="3" hidden="1"/>
    <col min="250" max="250" width="17.5703125" style="3" hidden="1"/>
    <col min="251" max="439" width="9.140625" style="3" hidden="1"/>
    <col min="440" max="440" width="11.140625" style="3" hidden="1"/>
    <col min="441" max="441" width="56.28515625" style="3" hidden="1"/>
    <col min="442" max="502" width="9.140625" style="3" hidden="1"/>
    <col min="503" max="503" width="16" style="3" hidden="1"/>
    <col min="504" max="504" width="12.5703125" style="3" hidden="1"/>
    <col min="505" max="505" width="16" style="3" hidden="1"/>
    <col min="506" max="506" width="17.5703125" style="3" hidden="1"/>
    <col min="507" max="695" width="9.140625" style="3" hidden="1"/>
    <col min="696" max="696" width="11.140625" style="3" hidden="1"/>
    <col min="697" max="697" width="56.28515625" style="3" hidden="1"/>
    <col min="698" max="758" width="9.140625" style="3" hidden="1"/>
    <col min="759" max="759" width="16" style="3" hidden="1"/>
    <col min="760" max="760" width="12.5703125" style="3" hidden="1"/>
    <col min="761" max="761" width="16" style="3" hidden="1"/>
    <col min="762" max="762" width="17.5703125" style="3" hidden="1"/>
    <col min="763" max="951" width="9.140625" style="3" hidden="1"/>
    <col min="952" max="952" width="11.140625" style="3" hidden="1"/>
    <col min="953" max="953" width="56.28515625" style="3" hidden="1"/>
    <col min="954" max="1014" width="9.140625" style="3" hidden="1"/>
    <col min="1015" max="1015" width="16" style="3" hidden="1"/>
    <col min="1016" max="1016" width="12.5703125" style="3" hidden="1"/>
    <col min="1017" max="1017" width="16" style="3" hidden="1"/>
    <col min="1018" max="1018" width="17.5703125" style="3" hidden="1"/>
    <col min="1019" max="1207" width="9.140625" style="3" hidden="1"/>
    <col min="1208" max="1208" width="11.140625" style="3" hidden="1"/>
    <col min="1209" max="1209" width="56.28515625" style="3" hidden="1"/>
    <col min="1210" max="1270" width="9.140625" style="3" hidden="1"/>
    <col min="1271" max="1271" width="16" style="3" hidden="1"/>
    <col min="1272" max="1272" width="12.5703125" style="3" hidden="1"/>
    <col min="1273" max="1273" width="16" style="3" hidden="1"/>
    <col min="1274" max="1274" width="17.5703125" style="3" hidden="1"/>
    <col min="1275" max="1463" width="9.140625" style="3" hidden="1"/>
    <col min="1464" max="1464" width="11.140625" style="3" hidden="1"/>
    <col min="1465" max="1465" width="56.28515625" style="3" hidden="1"/>
    <col min="1466" max="1526" width="9.140625" style="3" hidden="1"/>
    <col min="1527" max="1527" width="16" style="3" hidden="1"/>
    <col min="1528" max="1528" width="12.5703125" style="3" hidden="1"/>
    <col min="1529" max="1529" width="16" style="3" hidden="1"/>
    <col min="1530" max="1530" width="17.5703125" style="3" hidden="1"/>
    <col min="1531" max="1719" width="9.140625" style="3" hidden="1"/>
    <col min="1720" max="1720" width="11.140625" style="3" hidden="1"/>
    <col min="1721" max="1721" width="56.28515625" style="3" hidden="1"/>
    <col min="1722" max="1782" width="9.140625" style="3" hidden="1"/>
    <col min="1783" max="1783" width="16" style="3" hidden="1"/>
    <col min="1784" max="1784" width="12.5703125" style="3" hidden="1"/>
    <col min="1785" max="1785" width="16" style="3" hidden="1"/>
    <col min="1786" max="1786" width="17.5703125" style="3" hidden="1"/>
    <col min="1787" max="1975" width="9.140625" style="3" hidden="1"/>
    <col min="1976" max="1976" width="11.140625" style="3" hidden="1"/>
    <col min="1977" max="1977" width="56.28515625" style="3" hidden="1"/>
    <col min="1978" max="2038" width="9.140625" style="3" hidden="1"/>
    <col min="2039" max="2039" width="16" style="3" hidden="1"/>
    <col min="2040" max="2040" width="12.5703125" style="3" hidden="1"/>
    <col min="2041" max="2041" width="16" style="3" hidden="1"/>
    <col min="2042" max="2042" width="17.5703125" style="3" hidden="1"/>
    <col min="2043" max="2231" width="9.140625" style="3" hidden="1"/>
    <col min="2232" max="2232" width="11.140625" style="3" hidden="1"/>
    <col min="2233" max="2233" width="56.28515625" style="3" hidden="1"/>
    <col min="2234" max="2294" width="9.140625" style="3" hidden="1"/>
    <col min="2295" max="2295" width="16" style="3" hidden="1"/>
    <col min="2296" max="2296" width="12.5703125" style="3" hidden="1"/>
    <col min="2297" max="2297" width="16" style="3" hidden="1"/>
    <col min="2298" max="2298" width="17.5703125" style="3" hidden="1"/>
    <col min="2299" max="2487" width="9.140625" style="3" hidden="1"/>
    <col min="2488" max="2488" width="11.140625" style="3" hidden="1"/>
    <col min="2489" max="2489" width="56.28515625" style="3" hidden="1"/>
    <col min="2490" max="2550" width="9.140625" style="3" hidden="1"/>
    <col min="2551" max="2551" width="16" style="3" hidden="1"/>
    <col min="2552" max="2552" width="12.5703125" style="3" hidden="1"/>
    <col min="2553" max="2553" width="16" style="3" hidden="1"/>
    <col min="2554" max="2554" width="17.5703125" style="3" hidden="1"/>
    <col min="2555" max="2743" width="9.140625" style="3" hidden="1"/>
    <col min="2744" max="2744" width="11.140625" style="3" hidden="1"/>
    <col min="2745" max="2745" width="56.28515625" style="3" hidden="1"/>
    <col min="2746" max="2806" width="9.140625" style="3" hidden="1"/>
    <col min="2807" max="2807" width="16" style="3" hidden="1"/>
    <col min="2808" max="2808" width="12.5703125" style="3" hidden="1"/>
    <col min="2809" max="2809" width="16" style="3" hidden="1"/>
    <col min="2810" max="2810" width="17.5703125" style="3" hidden="1"/>
    <col min="2811" max="2999" width="9.140625" style="3" hidden="1"/>
    <col min="3000" max="3000" width="11.140625" style="3" hidden="1"/>
    <col min="3001" max="3001" width="56.28515625" style="3" hidden="1"/>
    <col min="3002" max="3062" width="9.140625" style="3" hidden="1"/>
    <col min="3063" max="3063" width="16" style="3" hidden="1"/>
    <col min="3064" max="3064" width="12.5703125" style="3" hidden="1"/>
    <col min="3065" max="3065" width="16" style="3" hidden="1"/>
    <col min="3066" max="3066" width="17.5703125" style="3" hidden="1"/>
    <col min="3067" max="3255" width="9.140625" style="3" hidden="1"/>
    <col min="3256" max="3256" width="11.140625" style="3" hidden="1"/>
    <col min="3257" max="3257" width="56.28515625" style="3" hidden="1"/>
    <col min="3258" max="3318" width="9.140625" style="3" hidden="1"/>
    <col min="3319" max="3319" width="16" style="3" hidden="1"/>
    <col min="3320" max="3320" width="12.5703125" style="3" hidden="1"/>
    <col min="3321" max="3321" width="16" style="3" hidden="1"/>
    <col min="3322" max="3322" width="17.5703125" style="3" hidden="1"/>
    <col min="3323" max="3511" width="9.140625" style="3" hidden="1"/>
    <col min="3512" max="3512" width="11.140625" style="3" hidden="1"/>
    <col min="3513" max="3513" width="56.28515625" style="3" hidden="1"/>
    <col min="3514" max="3574" width="9.140625" style="3" hidden="1"/>
    <col min="3575" max="3575" width="16" style="3" hidden="1"/>
    <col min="3576" max="3576" width="12.5703125" style="3" hidden="1"/>
    <col min="3577" max="3577" width="16" style="3" hidden="1"/>
    <col min="3578" max="3578" width="17.5703125" style="3" hidden="1"/>
    <col min="3579" max="3767" width="9.140625" style="3" hidden="1"/>
    <col min="3768" max="3768" width="11.140625" style="3" hidden="1"/>
    <col min="3769" max="3769" width="56.28515625" style="3" hidden="1"/>
    <col min="3770" max="3830" width="9.140625" style="3" hidden="1"/>
    <col min="3831" max="3831" width="16" style="3" hidden="1"/>
    <col min="3832" max="3832" width="12.5703125" style="3" hidden="1"/>
    <col min="3833" max="3833" width="16" style="3" hidden="1"/>
    <col min="3834" max="3834" width="17.5703125" style="3" hidden="1"/>
    <col min="3835" max="4023" width="9.140625" style="3" hidden="1"/>
    <col min="4024" max="4024" width="11.140625" style="3" hidden="1"/>
    <col min="4025" max="4025" width="56.28515625" style="3" hidden="1"/>
    <col min="4026" max="4086" width="9.140625" style="3" hidden="1"/>
    <col min="4087" max="4087" width="16" style="3" hidden="1"/>
    <col min="4088" max="4088" width="12.5703125" style="3" hidden="1"/>
    <col min="4089" max="4089" width="16" style="3" hidden="1"/>
    <col min="4090" max="4090" width="17.5703125" style="3" hidden="1"/>
    <col min="4091" max="4279" width="9.140625" style="3" hidden="1"/>
    <col min="4280" max="4280" width="11.140625" style="3" hidden="1"/>
    <col min="4281" max="4281" width="56.28515625" style="3" hidden="1"/>
    <col min="4282" max="4342" width="9.140625" style="3" hidden="1"/>
    <col min="4343" max="4343" width="16" style="3" hidden="1"/>
    <col min="4344" max="4344" width="12.5703125" style="3" hidden="1"/>
    <col min="4345" max="4345" width="16" style="3" hidden="1"/>
    <col min="4346" max="4346" width="17.5703125" style="3" hidden="1"/>
    <col min="4347" max="4535" width="9.140625" style="3" hidden="1"/>
    <col min="4536" max="4536" width="11.140625" style="3" hidden="1"/>
    <col min="4537" max="4537" width="56.28515625" style="3" hidden="1"/>
    <col min="4538" max="4598" width="9.140625" style="3" hidden="1"/>
    <col min="4599" max="4599" width="16" style="3" hidden="1"/>
    <col min="4600" max="4600" width="12.5703125" style="3" hidden="1"/>
    <col min="4601" max="4601" width="16" style="3" hidden="1"/>
    <col min="4602" max="4602" width="17.5703125" style="3" hidden="1"/>
    <col min="4603" max="4791" width="9.140625" style="3" hidden="1"/>
    <col min="4792" max="4792" width="11.140625" style="3" hidden="1"/>
    <col min="4793" max="4793" width="56.28515625" style="3" hidden="1"/>
    <col min="4794" max="4854" width="9.140625" style="3" hidden="1"/>
    <col min="4855" max="4855" width="16" style="3" hidden="1"/>
    <col min="4856" max="4856" width="12.5703125" style="3" hidden="1"/>
    <col min="4857" max="4857" width="16" style="3" hidden="1"/>
    <col min="4858" max="4858" width="17.5703125" style="3" hidden="1"/>
    <col min="4859" max="5047" width="9.140625" style="3" hidden="1"/>
    <col min="5048" max="5048" width="11.140625" style="3" hidden="1"/>
    <col min="5049" max="5049" width="56.28515625" style="3" hidden="1"/>
    <col min="5050" max="5110" width="9.140625" style="3" hidden="1"/>
    <col min="5111" max="5111" width="16" style="3" hidden="1"/>
    <col min="5112" max="5112" width="12.5703125" style="3" hidden="1"/>
    <col min="5113" max="5113" width="16" style="3" hidden="1"/>
    <col min="5114" max="5114" width="17.5703125" style="3" hidden="1"/>
    <col min="5115" max="5303" width="9.140625" style="3" hidden="1"/>
    <col min="5304" max="5304" width="11.140625" style="3" hidden="1"/>
    <col min="5305" max="5305" width="56.28515625" style="3" hidden="1"/>
    <col min="5306" max="5366" width="9.140625" style="3" hidden="1"/>
    <col min="5367" max="5367" width="16" style="3" hidden="1"/>
    <col min="5368" max="5368" width="12.5703125" style="3" hidden="1"/>
    <col min="5369" max="5369" width="16" style="3" hidden="1"/>
    <col min="5370" max="5370" width="17.5703125" style="3" hidden="1"/>
    <col min="5371" max="5559" width="9.140625" style="3" hidden="1"/>
    <col min="5560" max="5560" width="11.140625" style="3" hidden="1"/>
    <col min="5561" max="5561" width="56.28515625" style="3" hidden="1"/>
    <col min="5562" max="5622" width="9.140625" style="3" hidden="1"/>
    <col min="5623" max="5623" width="16" style="3" hidden="1"/>
    <col min="5624" max="5624" width="12.5703125" style="3" hidden="1"/>
    <col min="5625" max="5625" width="16" style="3" hidden="1"/>
    <col min="5626" max="5626" width="17.5703125" style="3" hidden="1"/>
    <col min="5627" max="5815" width="9.140625" style="3" hidden="1"/>
    <col min="5816" max="5816" width="11.140625" style="3" hidden="1"/>
    <col min="5817" max="5817" width="56.28515625" style="3" hidden="1"/>
    <col min="5818" max="5878" width="9.140625" style="3" hidden="1"/>
    <col min="5879" max="5879" width="16" style="3" hidden="1"/>
    <col min="5880" max="5880" width="12.5703125" style="3" hidden="1"/>
    <col min="5881" max="5881" width="16" style="3" hidden="1"/>
    <col min="5882" max="5882" width="17.5703125" style="3" hidden="1"/>
    <col min="5883" max="6071" width="9.140625" style="3" hidden="1"/>
    <col min="6072" max="6072" width="11.140625" style="3" hidden="1"/>
    <col min="6073" max="6073" width="56.28515625" style="3" hidden="1"/>
    <col min="6074" max="6134" width="9.140625" style="3" hidden="1"/>
    <col min="6135" max="6135" width="16" style="3" hidden="1"/>
    <col min="6136" max="6136" width="12.5703125" style="3" hidden="1"/>
    <col min="6137" max="6137" width="16" style="3" hidden="1"/>
    <col min="6138" max="6138" width="17.5703125" style="3" hidden="1"/>
    <col min="6139" max="6327" width="9.140625" style="3" hidden="1"/>
    <col min="6328" max="6328" width="11.140625" style="3" hidden="1"/>
    <col min="6329" max="6329" width="56.28515625" style="3" hidden="1"/>
    <col min="6330" max="6390" width="9.140625" style="3" hidden="1"/>
    <col min="6391" max="6391" width="16" style="3" hidden="1"/>
    <col min="6392" max="6392" width="12.5703125" style="3" hidden="1"/>
    <col min="6393" max="6393" width="16" style="3" hidden="1"/>
    <col min="6394" max="6394" width="17.5703125" style="3" hidden="1"/>
    <col min="6395" max="6583" width="9.140625" style="3" hidden="1"/>
    <col min="6584" max="6584" width="11.140625" style="3" hidden="1"/>
    <col min="6585" max="6585" width="56.28515625" style="3" hidden="1"/>
    <col min="6586" max="6646" width="9.140625" style="3" hidden="1"/>
    <col min="6647" max="6647" width="16" style="3" hidden="1"/>
    <col min="6648" max="6648" width="12.5703125" style="3" hidden="1"/>
    <col min="6649" max="6649" width="16" style="3" hidden="1"/>
    <col min="6650" max="6650" width="17.5703125" style="3" hidden="1"/>
    <col min="6651" max="6839" width="9.140625" style="3" hidden="1"/>
    <col min="6840" max="6840" width="11.140625" style="3" hidden="1"/>
    <col min="6841" max="6841" width="56.28515625" style="3" hidden="1"/>
    <col min="6842" max="6902" width="9.140625" style="3" hidden="1"/>
    <col min="6903" max="6903" width="16" style="3" hidden="1"/>
    <col min="6904" max="6904" width="12.5703125" style="3" hidden="1"/>
    <col min="6905" max="6905" width="16" style="3" hidden="1"/>
    <col min="6906" max="6906" width="17.5703125" style="3" hidden="1"/>
    <col min="6907" max="7095" width="9.140625" style="3" hidden="1"/>
    <col min="7096" max="7096" width="11.140625" style="3" hidden="1"/>
    <col min="7097" max="7097" width="56.28515625" style="3" hidden="1"/>
    <col min="7098" max="7158" width="9.140625" style="3" hidden="1"/>
    <col min="7159" max="7159" width="16" style="3" hidden="1"/>
    <col min="7160" max="7160" width="12.5703125" style="3" hidden="1"/>
    <col min="7161" max="7161" width="16" style="3" hidden="1"/>
    <col min="7162" max="7162" width="17.5703125" style="3" hidden="1"/>
    <col min="7163" max="7351" width="9.140625" style="3" hidden="1"/>
    <col min="7352" max="7352" width="11.140625" style="3" hidden="1"/>
    <col min="7353" max="7353" width="56.28515625" style="3" hidden="1"/>
    <col min="7354" max="7414" width="9.140625" style="3" hidden="1"/>
    <col min="7415" max="7415" width="16" style="3" hidden="1"/>
    <col min="7416" max="7416" width="12.5703125" style="3" hidden="1"/>
    <col min="7417" max="7417" width="16" style="3" hidden="1"/>
    <col min="7418" max="7418" width="17.5703125" style="3" hidden="1"/>
    <col min="7419" max="7607" width="9.140625" style="3" hidden="1"/>
    <col min="7608" max="7608" width="11.140625" style="3" hidden="1"/>
    <col min="7609" max="7609" width="56.28515625" style="3" hidden="1"/>
    <col min="7610" max="7670" width="9.140625" style="3" hidden="1"/>
    <col min="7671" max="7671" width="16" style="3" hidden="1"/>
    <col min="7672" max="7672" width="12.5703125" style="3" hidden="1"/>
    <col min="7673" max="7673" width="16" style="3" hidden="1"/>
    <col min="7674" max="7674" width="17.5703125" style="3" hidden="1"/>
    <col min="7675" max="7863" width="9.140625" style="3" hidden="1"/>
    <col min="7864" max="7864" width="11.140625" style="3" hidden="1"/>
    <col min="7865" max="7865" width="56.28515625" style="3" hidden="1"/>
    <col min="7866" max="7926" width="9.140625" style="3" hidden="1"/>
    <col min="7927" max="7927" width="16" style="3" hidden="1"/>
    <col min="7928" max="7928" width="12.5703125" style="3" hidden="1"/>
    <col min="7929" max="7929" width="16" style="3" hidden="1"/>
    <col min="7930" max="7930" width="17.5703125" style="3" hidden="1"/>
    <col min="7931" max="8119" width="9.140625" style="3" hidden="1"/>
    <col min="8120" max="8120" width="11.140625" style="3" hidden="1"/>
    <col min="8121" max="8121" width="56.28515625" style="3" hidden="1"/>
    <col min="8122" max="8182" width="9.140625" style="3" hidden="1"/>
    <col min="8183" max="8183" width="16" style="3" hidden="1"/>
    <col min="8184" max="8184" width="12.5703125" style="3" hidden="1"/>
    <col min="8185" max="8185" width="16" style="3" hidden="1"/>
    <col min="8186" max="8186" width="17.5703125" style="3" hidden="1"/>
    <col min="8187" max="8375" width="9.140625" style="3" hidden="1"/>
    <col min="8376" max="8376" width="11.140625" style="3" hidden="1"/>
    <col min="8377" max="8377" width="56.28515625" style="3" hidden="1"/>
    <col min="8378" max="8438" width="9.140625" style="3" hidden="1"/>
    <col min="8439" max="8439" width="16" style="3" hidden="1"/>
    <col min="8440" max="8440" width="12.5703125" style="3" hidden="1"/>
    <col min="8441" max="8441" width="16" style="3" hidden="1"/>
    <col min="8442" max="8442" width="17.5703125" style="3" hidden="1"/>
    <col min="8443" max="8631" width="9.140625" style="3" hidden="1"/>
    <col min="8632" max="8632" width="11.140625" style="3" hidden="1"/>
    <col min="8633" max="8633" width="56.28515625" style="3" hidden="1"/>
    <col min="8634" max="8694" width="9.140625" style="3" hidden="1"/>
    <col min="8695" max="8695" width="16" style="3" hidden="1"/>
    <col min="8696" max="8696" width="12.5703125" style="3" hidden="1"/>
    <col min="8697" max="8697" width="16" style="3" hidden="1"/>
    <col min="8698" max="8698" width="17.5703125" style="3" hidden="1"/>
    <col min="8699" max="8887" width="9.140625" style="3" hidden="1"/>
    <col min="8888" max="8888" width="11.140625" style="3" hidden="1"/>
    <col min="8889" max="8889" width="56.28515625" style="3" hidden="1"/>
    <col min="8890" max="8950" width="9.140625" style="3" hidden="1"/>
    <col min="8951" max="8951" width="16" style="3" hidden="1"/>
    <col min="8952" max="8952" width="12.5703125" style="3" hidden="1"/>
    <col min="8953" max="8953" width="16" style="3" hidden="1"/>
    <col min="8954" max="8954" width="17.5703125" style="3" hidden="1"/>
    <col min="8955" max="9143" width="9.140625" style="3" hidden="1"/>
    <col min="9144" max="9144" width="11.140625" style="3" hidden="1"/>
    <col min="9145" max="9145" width="56.28515625" style="3" hidden="1"/>
    <col min="9146" max="9206" width="9.140625" style="3" hidden="1"/>
    <col min="9207" max="9207" width="16" style="3" hidden="1"/>
    <col min="9208" max="9208" width="12.5703125" style="3" hidden="1"/>
    <col min="9209" max="9209" width="16" style="3" hidden="1"/>
    <col min="9210" max="9210" width="17.5703125" style="3" hidden="1"/>
    <col min="9211" max="9399" width="9.140625" style="3" hidden="1"/>
    <col min="9400" max="9400" width="11.140625" style="3" hidden="1"/>
    <col min="9401" max="9401" width="56.28515625" style="3" hidden="1"/>
    <col min="9402" max="9462" width="9.140625" style="3" hidden="1"/>
    <col min="9463" max="9463" width="16" style="3" hidden="1"/>
    <col min="9464" max="9464" width="12.5703125" style="3" hidden="1"/>
    <col min="9465" max="9465" width="16" style="3" hidden="1"/>
    <col min="9466" max="9466" width="17.5703125" style="3" hidden="1"/>
    <col min="9467" max="9655" width="9.140625" style="3" hidden="1"/>
    <col min="9656" max="9656" width="11.140625" style="3" hidden="1"/>
    <col min="9657" max="9657" width="56.28515625" style="3" hidden="1"/>
    <col min="9658" max="9718" width="9.140625" style="3" hidden="1"/>
    <col min="9719" max="9719" width="16" style="3" hidden="1"/>
    <col min="9720" max="9720" width="12.5703125" style="3" hidden="1"/>
    <col min="9721" max="9721" width="16" style="3" hidden="1"/>
    <col min="9722" max="9722" width="17.5703125" style="3" hidden="1"/>
    <col min="9723" max="9911" width="9.140625" style="3" hidden="1"/>
    <col min="9912" max="9912" width="11.140625" style="3" hidden="1"/>
    <col min="9913" max="9913" width="56.28515625" style="3" hidden="1"/>
    <col min="9914" max="9974" width="9.140625" style="3" hidden="1"/>
    <col min="9975" max="9975" width="16" style="3" hidden="1"/>
    <col min="9976" max="9976" width="12.5703125" style="3" hidden="1"/>
    <col min="9977" max="9977" width="16" style="3" hidden="1"/>
    <col min="9978" max="9978" width="17.5703125" style="3" hidden="1"/>
    <col min="9979" max="10167" width="9.140625" style="3" hidden="1"/>
    <col min="10168" max="10168" width="11.140625" style="3" hidden="1"/>
    <col min="10169" max="10169" width="56.28515625" style="3" hidden="1"/>
    <col min="10170" max="10230" width="9.140625" style="3" hidden="1"/>
    <col min="10231" max="10231" width="16" style="3" hidden="1"/>
    <col min="10232" max="10232" width="12.5703125" style="3" hidden="1"/>
    <col min="10233" max="10233" width="16" style="3" hidden="1"/>
    <col min="10234" max="10234" width="17.5703125" style="3" hidden="1"/>
    <col min="10235" max="10423" width="9.140625" style="3" hidden="1"/>
    <col min="10424" max="10424" width="11.140625" style="3" hidden="1"/>
    <col min="10425" max="10425" width="56.28515625" style="3" hidden="1"/>
    <col min="10426" max="10486" width="9.140625" style="3" hidden="1"/>
    <col min="10487" max="10487" width="16" style="3" hidden="1"/>
    <col min="10488" max="10488" width="12.5703125" style="3" hidden="1"/>
    <col min="10489" max="10489" width="16" style="3" hidden="1"/>
    <col min="10490" max="10490" width="17.5703125" style="3" hidden="1"/>
    <col min="10491" max="10679" width="9.140625" style="3" hidden="1"/>
    <col min="10680" max="10680" width="11.140625" style="3" hidden="1"/>
    <col min="10681" max="10681" width="56.28515625" style="3" hidden="1"/>
    <col min="10682" max="10742" width="9.140625" style="3" hidden="1"/>
    <col min="10743" max="10743" width="16" style="3" hidden="1"/>
    <col min="10744" max="10744" width="12.5703125" style="3" hidden="1"/>
    <col min="10745" max="10745" width="16" style="3" hidden="1"/>
    <col min="10746" max="10746" width="17.5703125" style="3" hidden="1"/>
    <col min="10747" max="10935" width="9.140625" style="3" hidden="1"/>
    <col min="10936" max="10936" width="11.140625" style="3" hidden="1"/>
    <col min="10937" max="10937" width="56.28515625" style="3" hidden="1"/>
    <col min="10938" max="10998" width="9.140625" style="3" hidden="1"/>
    <col min="10999" max="10999" width="16" style="3" hidden="1"/>
    <col min="11000" max="11000" width="12.5703125" style="3" hidden="1"/>
    <col min="11001" max="11001" width="16" style="3" hidden="1"/>
    <col min="11002" max="11002" width="17.5703125" style="3" hidden="1"/>
    <col min="11003" max="11191" width="9.140625" style="3" hidden="1"/>
    <col min="11192" max="11192" width="11.140625" style="3" hidden="1"/>
    <col min="11193" max="11193" width="56.28515625" style="3" hidden="1"/>
    <col min="11194" max="11254" width="9.140625" style="3" hidden="1"/>
    <col min="11255" max="11255" width="16" style="3" hidden="1"/>
    <col min="11256" max="11256" width="12.5703125" style="3" hidden="1"/>
    <col min="11257" max="11257" width="16" style="3" hidden="1"/>
    <col min="11258" max="11258" width="17.5703125" style="3" hidden="1"/>
    <col min="11259" max="11447" width="9.140625" style="3" hidden="1"/>
    <col min="11448" max="11448" width="11.140625" style="3" hidden="1"/>
    <col min="11449" max="11449" width="56.28515625" style="3" hidden="1"/>
    <col min="11450" max="11510" width="9.140625" style="3" hidden="1"/>
    <col min="11511" max="11511" width="16" style="3" hidden="1"/>
    <col min="11512" max="11512" width="12.5703125" style="3" hidden="1"/>
    <col min="11513" max="11513" width="16" style="3" hidden="1"/>
    <col min="11514" max="11514" width="17.5703125" style="3" hidden="1"/>
    <col min="11515" max="11703" width="9.140625" style="3" hidden="1"/>
    <col min="11704" max="11704" width="11.140625" style="3" hidden="1"/>
    <col min="11705" max="11705" width="56.28515625" style="3" hidden="1"/>
    <col min="11706" max="11766" width="9.140625" style="3" hidden="1"/>
    <col min="11767" max="11767" width="16" style="3" hidden="1"/>
    <col min="11768" max="11768" width="12.5703125" style="3" hidden="1"/>
    <col min="11769" max="11769" width="16" style="3" hidden="1"/>
    <col min="11770" max="11770" width="17.5703125" style="3" hidden="1"/>
    <col min="11771" max="11959" width="9.140625" style="3" hidden="1"/>
    <col min="11960" max="11960" width="11.140625" style="3" hidden="1"/>
    <col min="11961" max="11961" width="56.28515625" style="3" hidden="1"/>
    <col min="11962" max="12022" width="9.140625" style="3" hidden="1"/>
    <col min="12023" max="12023" width="16" style="3" hidden="1"/>
    <col min="12024" max="12024" width="12.5703125" style="3" hidden="1"/>
    <col min="12025" max="12025" width="16" style="3" hidden="1"/>
    <col min="12026" max="12026" width="17.5703125" style="3" hidden="1"/>
    <col min="12027" max="12215" width="9.140625" style="3" hidden="1"/>
    <col min="12216" max="12216" width="11.140625" style="3" hidden="1"/>
    <col min="12217" max="12217" width="56.28515625" style="3" hidden="1"/>
    <col min="12218" max="12278" width="9.140625" style="3" hidden="1"/>
    <col min="12279" max="12279" width="16" style="3" hidden="1"/>
    <col min="12280" max="12280" width="12.5703125" style="3" hidden="1"/>
    <col min="12281" max="12281" width="16" style="3" hidden="1"/>
    <col min="12282" max="12282" width="17.5703125" style="3" hidden="1"/>
    <col min="12283" max="12471" width="9.140625" style="3" hidden="1"/>
    <col min="12472" max="12472" width="11.140625" style="3" hidden="1"/>
    <col min="12473" max="12473" width="56.28515625" style="3" hidden="1"/>
    <col min="12474" max="12534" width="9.140625" style="3" hidden="1"/>
    <col min="12535" max="12535" width="16" style="3" hidden="1"/>
    <col min="12536" max="12536" width="12.5703125" style="3" hidden="1"/>
    <col min="12537" max="12537" width="16" style="3" hidden="1"/>
    <col min="12538" max="12538" width="17.5703125" style="3" hidden="1"/>
    <col min="12539" max="12727" width="9.140625" style="3" hidden="1"/>
    <col min="12728" max="12728" width="11.140625" style="3" hidden="1"/>
    <col min="12729" max="12729" width="56.28515625" style="3" hidden="1"/>
    <col min="12730" max="12790" width="9.140625" style="3" hidden="1"/>
    <col min="12791" max="12791" width="16" style="3" hidden="1"/>
    <col min="12792" max="12792" width="12.5703125" style="3" hidden="1"/>
    <col min="12793" max="12793" width="16" style="3" hidden="1"/>
    <col min="12794" max="12794" width="17.5703125" style="3" hidden="1"/>
    <col min="12795" max="12983" width="9.140625" style="3" hidden="1"/>
    <col min="12984" max="12984" width="11.140625" style="3" hidden="1"/>
    <col min="12985" max="12985" width="56.28515625" style="3" hidden="1"/>
    <col min="12986" max="13046" width="9.140625" style="3" hidden="1"/>
    <col min="13047" max="13047" width="16" style="3" hidden="1"/>
    <col min="13048" max="13048" width="12.5703125" style="3" hidden="1"/>
    <col min="13049" max="13049" width="16" style="3" hidden="1"/>
    <col min="13050" max="13050" width="17.5703125" style="3" hidden="1"/>
    <col min="13051" max="13239" width="9.140625" style="3" hidden="1"/>
    <col min="13240" max="13240" width="11.140625" style="3" hidden="1"/>
    <col min="13241" max="13241" width="56.28515625" style="3" hidden="1"/>
    <col min="13242" max="13302" width="9.140625" style="3" hidden="1"/>
    <col min="13303" max="13303" width="16" style="3" hidden="1"/>
    <col min="13304" max="13304" width="12.5703125" style="3" hidden="1"/>
    <col min="13305" max="13305" width="16" style="3" hidden="1"/>
    <col min="13306" max="13306" width="17.5703125" style="3" hidden="1"/>
    <col min="13307" max="13495" width="9.140625" style="3" hidden="1"/>
    <col min="13496" max="13496" width="11.140625" style="3" hidden="1"/>
    <col min="13497" max="13497" width="56.28515625" style="3" hidden="1"/>
    <col min="13498" max="13558" width="9.140625" style="3" hidden="1"/>
    <col min="13559" max="13559" width="16" style="3" hidden="1"/>
    <col min="13560" max="13560" width="12.5703125" style="3" hidden="1"/>
    <col min="13561" max="13561" width="16" style="3" hidden="1"/>
    <col min="13562" max="13562" width="17.5703125" style="3" hidden="1"/>
    <col min="13563" max="13751" width="9.140625" style="3" hidden="1"/>
    <col min="13752" max="13752" width="11.140625" style="3" hidden="1"/>
    <col min="13753" max="13753" width="56.28515625" style="3" hidden="1"/>
    <col min="13754" max="13814" width="9.140625" style="3" hidden="1"/>
    <col min="13815" max="13815" width="16" style="3" hidden="1"/>
    <col min="13816" max="13816" width="12.5703125" style="3" hidden="1"/>
    <col min="13817" max="13817" width="16" style="3" hidden="1"/>
    <col min="13818" max="13818" width="17.5703125" style="3" hidden="1"/>
    <col min="13819" max="14007" width="9.140625" style="3" hidden="1"/>
    <col min="14008" max="14008" width="11.140625" style="3" hidden="1"/>
    <col min="14009" max="14009" width="56.28515625" style="3" hidden="1"/>
    <col min="14010" max="14070" width="9.140625" style="3" hidden="1"/>
    <col min="14071" max="14071" width="16" style="3" hidden="1"/>
    <col min="14072" max="14072" width="12.5703125" style="3" hidden="1"/>
    <col min="14073" max="14073" width="16" style="3" hidden="1"/>
    <col min="14074" max="14074" width="17.5703125" style="3" hidden="1"/>
    <col min="14075" max="14263" width="9.140625" style="3" hidden="1"/>
    <col min="14264" max="14264" width="11.140625" style="3" hidden="1"/>
    <col min="14265" max="14265" width="56.28515625" style="3" hidden="1"/>
    <col min="14266" max="14326" width="9.140625" style="3" hidden="1"/>
    <col min="14327" max="14327" width="16" style="3" hidden="1"/>
    <col min="14328" max="14328" width="12.5703125" style="3" hidden="1"/>
    <col min="14329" max="14329" width="16" style="3" hidden="1"/>
    <col min="14330" max="14330" width="17.5703125" style="3" hidden="1"/>
    <col min="14331" max="14519" width="9.140625" style="3" hidden="1"/>
    <col min="14520" max="14520" width="11.140625" style="3" hidden="1"/>
    <col min="14521" max="14521" width="56.28515625" style="3" hidden="1"/>
    <col min="14522" max="14582" width="9.140625" style="3" hidden="1"/>
    <col min="14583" max="14583" width="16" style="3" hidden="1"/>
    <col min="14584" max="14584" width="12.5703125" style="3" hidden="1"/>
    <col min="14585" max="14585" width="16" style="3" hidden="1"/>
    <col min="14586" max="14586" width="17.5703125" style="3" hidden="1"/>
    <col min="14587" max="14775" width="9.140625" style="3" hidden="1"/>
    <col min="14776" max="14776" width="11.140625" style="3" hidden="1"/>
    <col min="14777" max="14777" width="56.28515625" style="3" hidden="1"/>
    <col min="14778" max="14838" width="9.140625" style="3" hidden="1"/>
    <col min="14839" max="14839" width="16" style="3" hidden="1"/>
    <col min="14840" max="14840" width="12.5703125" style="3" hidden="1"/>
    <col min="14841" max="14841" width="16" style="3" hidden="1"/>
    <col min="14842" max="14842" width="17.5703125" style="3" hidden="1"/>
    <col min="14843" max="15031" width="9.140625" style="3" hidden="1"/>
    <col min="15032" max="15032" width="11.140625" style="3" hidden="1"/>
    <col min="15033" max="15033" width="56.28515625" style="3" hidden="1"/>
    <col min="15034" max="15094" width="9.140625" style="3" hidden="1"/>
    <col min="15095" max="15095" width="16" style="3" hidden="1"/>
    <col min="15096" max="15096" width="12.5703125" style="3" hidden="1"/>
    <col min="15097" max="15097" width="16" style="3" hidden="1"/>
    <col min="15098" max="15098" width="17.5703125" style="3" hidden="1"/>
    <col min="15099" max="15287" width="9.140625" style="3" hidden="1"/>
    <col min="15288" max="15288" width="11.140625" style="3" hidden="1"/>
    <col min="15289" max="15289" width="56.28515625" style="3" hidden="1"/>
    <col min="15290" max="15350" width="9.140625" style="3" hidden="1"/>
    <col min="15351" max="15351" width="16" style="3" hidden="1"/>
    <col min="15352" max="15352" width="12.5703125" style="3" hidden="1"/>
    <col min="15353" max="15353" width="16" style="3" hidden="1"/>
    <col min="15354" max="15354" width="17.5703125" style="3" hidden="1"/>
    <col min="15355" max="15543" width="9.140625" style="3" hidden="1"/>
    <col min="15544" max="15544" width="11.140625" style="3" hidden="1"/>
    <col min="15545" max="15545" width="56.28515625" style="3" hidden="1"/>
    <col min="15546" max="15606" width="9.140625" style="3" hidden="1"/>
    <col min="15607" max="15607" width="16" style="3" hidden="1"/>
    <col min="15608" max="15608" width="12.5703125" style="3" hidden="1"/>
    <col min="15609" max="15609" width="16" style="3" hidden="1"/>
    <col min="15610" max="15610" width="17.5703125" style="3" hidden="1"/>
    <col min="15611" max="15799" width="9.140625" style="3" hidden="1"/>
    <col min="15800" max="15800" width="11.140625" style="3" hidden="1"/>
    <col min="15801" max="15801" width="56.28515625" style="3" hidden="1"/>
    <col min="15802" max="15862" width="9.140625" style="3" hidden="1"/>
    <col min="15863" max="15863" width="16" style="3" hidden="1"/>
    <col min="15864" max="15864" width="12.5703125" style="3" hidden="1"/>
    <col min="15865" max="15865" width="16" style="3" hidden="1"/>
    <col min="15866" max="15866" width="17.5703125" style="3" hidden="1"/>
    <col min="15867" max="16055" width="9.140625" style="3" hidden="1"/>
    <col min="16056" max="16056" width="11.140625" style="3" hidden="1"/>
    <col min="16057" max="16057" width="56.28515625" style="3" hidden="1"/>
    <col min="16058" max="16118" width="9.140625" style="3" hidden="1"/>
    <col min="16119" max="16119" width="16" style="3" hidden="1"/>
    <col min="16120" max="16120" width="12.5703125" style="3" hidden="1"/>
    <col min="16121" max="16121" width="16" style="3" hidden="1"/>
    <col min="16122" max="16122" width="17.5703125" style="3" hidden="1"/>
    <col min="16123" max="16384" width="9.140625" style="3" hidden="1"/>
  </cols>
  <sheetData>
    <row r="1" spans="1:6">
      <c r="B1" s="2" t="s">
        <v>79</v>
      </c>
    </row>
    <row r="2" spans="1:6" ht="45.75" customHeight="1">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23">
        <f>'Allocation Worksheet'!$D$6</f>
        <v>665425</v>
      </c>
      <c r="E3" s="11"/>
      <c r="F3" s="11"/>
    </row>
    <row r="4" spans="1:6">
      <c r="A4" s="8">
        <v>0</v>
      </c>
      <c r="B4" s="11" t="s">
        <v>4</v>
      </c>
      <c r="C4" s="10">
        <v>1.317E-3</v>
      </c>
      <c r="D4" s="25">
        <f>ROUND(D$3*C4,0)</f>
        <v>876</v>
      </c>
      <c r="E4" s="25">
        <f>ROUND(D4/2,0)</f>
        <v>438</v>
      </c>
      <c r="F4" s="25">
        <f>D4-E4</f>
        <v>438</v>
      </c>
    </row>
    <row r="5" spans="1:6">
      <c r="A5" s="8">
        <v>1</v>
      </c>
      <c r="B5" s="11" t="s">
        <v>80</v>
      </c>
      <c r="C5" s="10">
        <v>0.18949199999999999</v>
      </c>
      <c r="D5" s="23">
        <f>ROUND(D$3*C5,0)</f>
        <v>126093</v>
      </c>
      <c r="E5" s="11">
        <f>ROUND(D5/2,0)</f>
        <v>63047</v>
      </c>
      <c r="F5" s="9">
        <f>D5-E5</f>
        <v>63046</v>
      </c>
    </row>
    <row r="6" spans="1:6">
      <c r="A6" s="8"/>
      <c r="B6" s="11" t="s">
        <v>6</v>
      </c>
      <c r="C6" s="11"/>
      <c r="D6" s="26">
        <v>0.62741499999999994</v>
      </c>
      <c r="E6" s="11"/>
      <c r="F6" s="11"/>
    </row>
    <row r="7" spans="1:6">
      <c r="A7" s="8"/>
      <c r="B7" s="11" t="s">
        <v>7</v>
      </c>
      <c r="C7" s="11"/>
      <c r="D7" s="227">
        <f>ROUND(D5*D6,0)</f>
        <v>79113</v>
      </c>
      <c r="E7" s="226">
        <f>ROUND(D7/2,0)</f>
        <v>39557</v>
      </c>
      <c r="F7" s="225">
        <f>D7-E7</f>
        <v>39556</v>
      </c>
    </row>
    <row r="8" spans="1:6">
      <c r="A8" s="8"/>
      <c r="B8" s="11" t="s">
        <v>8</v>
      </c>
      <c r="C8" s="11"/>
      <c r="D8" s="25">
        <f>D5-D7</f>
        <v>46980</v>
      </c>
      <c r="E8" s="25">
        <f>ROUND(D8/2,0)</f>
        <v>23490</v>
      </c>
      <c r="F8" s="25">
        <f>D8-E8</f>
        <v>23490</v>
      </c>
    </row>
    <row r="9" spans="1:6">
      <c r="A9" s="8">
        <v>2</v>
      </c>
      <c r="B9" s="11" t="s">
        <v>81</v>
      </c>
      <c r="C9" s="11"/>
      <c r="D9" s="23"/>
      <c r="E9" s="11"/>
      <c r="F9" s="11"/>
    </row>
    <row r="10" spans="1:6">
      <c r="A10" s="8"/>
      <c r="B10" s="11" t="s">
        <v>10</v>
      </c>
      <c r="C10" s="10">
        <v>2.12E-4</v>
      </c>
      <c r="D10" s="25">
        <f>ROUND(D$3*C10,0)</f>
        <v>141</v>
      </c>
      <c r="E10" s="25">
        <f>ROUND(D10/2,0)</f>
        <v>71</v>
      </c>
      <c r="F10" s="25">
        <f>D10-E10</f>
        <v>70</v>
      </c>
    </row>
    <row r="11" spans="1:6">
      <c r="A11" s="8"/>
      <c r="B11" s="11" t="s">
        <v>11</v>
      </c>
      <c r="C11" s="10">
        <v>1.6000000000000001E-4</v>
      </c>
      <c r="D11" s="25">
        <f>ROUND(D$3*C11,0)</f>
        <v>106</v>
      </c>
      <c r="E11" s="25">
        <f>ROUND(D11/2,0)</f>
        <v>53</v>
      </c>
      <c r="F11" s="25">
        <f>D11-E11</f>
        <v>53</v>
      </c>
    </row>
    <row r="12" spans="1:6">
      <c r="A12" s="8">
        <v>2</v>
      </c>
      <c r="B12" s="11" t="s">
        <v>82</v>
      </c>
      <c r="C12" s="11"/>
      <c r="D12" s="23"/>
      <c r="E12" s="11"/>
      <c r="F12" s="11"/>
    </row>
    <row r="13" spans="1:6">
      <c r="A13" s="8"/>
      <c r="B13" s="11" t="s">
        <v>10</v>
      </c>
      <c r="C13" s="10">
        <v>1.21E-4</v>
      </c>
      <c r="D13" s="25">
        <f>ROUND(D$3*C13,0)</f>
        <v>81</v>
      </c>
      <c r="E13" s="25">
        <f>ROUND(D13/2,0)</f>
        <v>41</v>
      </c>
      <c r="F13" s="25">
        <f>D13-E13</f>
        <v>40</v>
      </c>
    </row>
    <row r="14" spans="1:6">
      <c r="A14" s="8"/>
      <c r="B14" s="11" t="s">
        <v>11</v>
      </c>
      <c r="C14" s="10">
        <v>3.6000000000000001E-5</v>
      </c>
      <c r="D14" s="25">
        <f>ROUND(D$3*C14,0)</f>
        <v>24</v>
      </c>
      <c r="E14" s="25">
        <f>ROUND(D14/2,0)</f>
        <v>12</v>
      </c>
      <c r="F14" s="25">
        <f>D14-E14</f>
        <v>12</v>
      </c>
    </row>
    <row r="15" spans="1:6">
      <c r="A15" s="8">
        <v>2</v>
      </c>
      <c r="B15" s="11" t="s">
        <v>83</v>
      </c>
      <c r="C15" s="11"/>
      <c r="D15" s="23"/>
      <c r="E15" s="11"/>
      <c r="F15" s="11"/>
    </row>
    <row r="16" spans="1:6">
      <c r="A16" s="8"/>
      <c r="B16" s="11" t="s">
        <v>10</v>
      </c>
      <c r="C16" s="10">
        <v>4.4669999999999996E-3</v>
      </c>
      <c r="D16" s="25">
        <f>ROUND(D$3*C16,0)</f>
        <v>2972</v>
      </c>
      <c r="E16" s="25">
        <f>ROUND(D16/2,0)</f>
        <v>1486</v>
      </c>
      <c r="F16" s="25">
        <f>D16-E16</f>
        <v>1486</v>
      </c>
    </row>
    <row r="17" spans="1:6">
      <c r="A17" s="8"/>
      <c r="B17" s="11" t="s">
        <v>11</v>
      </c>
      <c r="C17" s="10">
        <v>1.9699999999999999E-4</v>
      </c>
      <c r="D17" s="25">
        <f>ROUND(D$3*C17,0)</f>
        <v>131</v>
      </c>
      <c r="E17" s="25">
        <f>ROUND(D17/2,0)</f>
        <v>66</v>
      </c>
      <c r="F17" s="25">
        <f>D17-E17</f>
        <v>65</v>
      </c>
    </row>
    <row r="18" spans="1:6">
      <c r="A18" s="8">
        <v>2</v>
      </c>
      <c r="B18" s="11" t="s">
        <v>84</v>
      </c>
      <c r="C18" s="11"/>
      <c r="D18" s="23"/>
      <c r="E18" s="11"/>
      <c r="F18" s="11"/>
    </row>
    <row r="19" spans="1:6">
      <c r="A19" s="8"/>
      <c r="B19" s="11" t="s">
        <v>10</v>
      </c>
      <c r="C19" s="10">
        <v>2.14E-4</v>
      </c>
      <c r="D19" s="25">
        <f>ROUND(D$3*C19,0)</f>
        <v>142</v>
      </c>
      <c r="E19" s="25">
        <f>ROUND(D19/2,0)</f>
        <v>71</v>
      </c>
      <c r="F19" s="25">
        <f>D19-E19</f>
        <v>71</v>
      </c>
    </row>
    <row r="20" spans="1:6">
      <c r="A20" s="8"/>
      <c r="B20" s="11" t="s">
        <v>11</v>
      </c>
      <c r="C20" s="10">
        <v>2.5900000000000001E-4</v>
      </c>
      <c r="D20" s="25">
        <f>ROUND(D$3*C20,0)</f>
        <v>172</v>
      </c>
      <c r="E20" s="25">
        <f>ROUND(D20/2,0)</f>
        <v>86</v>
      </c>
      <c r="F20" s="25">
        <f>D20-E20</f>
        <v>86</v>
      </c>
    </row>
    <row r="21" spans="1:6">
      <c r="A21" s="8">
        <v>2</v>
      </c>
      <c r="B21" s="11" t="s">
        <v>85</v>
      </c>
      <c r="C21" s="11"/>
      <c r="D21" s="23"/>
      <c r="E21" s="11"/>
      <c r="F21" s="11"/>
    </row>
    <row r="22" spans="1:6">
      <c r="A22" s="8"/>
      <c r="B22" s="11" t="s">
        <v>10</v>
      </c>
      <c r="C22" s="10">
        <v>6.3530000000000001E-3</v>
      </c>
      <c r="D22" s="25">
        <f>ROUND(D$3*C22,0)</f>
        <v>4227</v>
      </c>
      <c r="E22" s="25">
        <f>ROUND(D22/2,0)</f>
        <v>2114</v>
      </c>
      <c r="F22" s="25">
        <f>D22-E22</f>
        <v>2113</v>
      </c>
    </row>
    <row r="23" spans="1:6">
      <c r="A23" s="8"/>
      <c r="B23" s="11" t="s">
        <v>11</v>
      </c>
      <c r="C23" s="10">
        <v>2.676E-3</v>
      </c>
      <c r="D23" s="25">
        <f>ROUND(D$3*C23,0)</f>
        <v>1781</v>
      </c>
      <c r="E23" s="25">
        <f>ROUND(D23/2,0)</f>
        <v>891</v>
      </c>
      <c r="F23" s="25">
        <f>D23-E23</f>
        <v>890</v>
      </c>
    </row>
    <row r="24" spans="1:6">
      <c r="A24" s="8">
        <v>2</v>
      </c>
      <c r="B24" s="11" t="s">
        <v>86</v>
      </c>
      <c r="C24" s="11"/>
      <c r="D24" s="23"/>
      <c r="E24" s="11"/>
      <c r="F24" s="11"/>
    </row>
    <row r="25" spans="1:6">
      <c r="A25" s="8"/>
      <c r="B25" s="11" t="s">
        <v>10</v>
      </c>
      <c r="C25" s="10">
        <v>3.5199999999999999E-4</v>
      </c>
      <c r="D25" s="25">
        <f>ROUND(D$3*C25,0)</f>
        <v>234</v>
      </c>
      <c r="E25" s="25">
        <f>ROUND(D25/2,0)</f>
        <v>117</v>
      </c>
      <c r="F25" s="25">
        <f>D25-E25</f>
        <v>117</v>
      </c>
    </row>
    <row r="26" spans="1:6">
      <c r="A26" s="8"/>
      <c r="B26" s="11" t="s">
        <v>11</v>
      </c>
      <c r="C26" s="10">
        <v>1.3100000000000001E-4</v>
      </c>
      <c r="D26" s="25">
        <f>ROUND(D$3*C26,0)</f>
        <v>87</v>
      </c>
      <c r="E26" s="25">
        <f>ROUND(D26/2,0)</f>
        <v>44</v>
      </c>
      <c r="F26" s="25">
        <f>D26-E26</f>
        <v>43</v>
      </c>
    </row>
    <row r="27" spans="1:6">
      <c r="A27" s="8">
        <v>2</v>
      </c>
      <c r="B27" s="11" t="s">
        <v>87</v>
      </c>
      <c r="C27" s="11"/>
      <c r="D27" s="23"/>
      <c r="E27" s="11"/>
      <c r="F27" s="11"/>
    </row>
    <row r="28" spans="1:6">
      <c r="A28" s="8"/>
      <c r="B28" s="11" t="s">
        <v>10</v>
      </c>
      <c r="C28" s="10">
        <v>8.6799999999999996E-4</v>
      </c>
      <c r="D28" s="25">
        <f>ROUND(D$3*C28,0)</f>
        <v>578</v>
      </c>
      <c r="E28" s="25">
        <f>ROUND(D28/2,0)</f>
        <v>289</v>
      </c>
      <c r="F28" s="25">
        <f>D28-E28</f>
        <v>289</v>
      </c>
    </row>
    <row r="29" spans="1:6">
      <c r="A29" s="8"/>
      <c r="B29" s="11" t="s">
        <v>11</v>
      </c>
      <c r="C29" s="10">
        <v>7.1900000000000002E-4</v>
      </c>
      <c r="D29" s="25">
        <f>ROUND(D$3*C29,0)</f>
        <v>478</v>
      </c>
      <c r="E29" s="25">
        <f>ROUND(D29/2,0)</f>
        <v>239</v>
      </c>
      <c r="F29" s="25">
        <f>D29-E29</f>
        <v>239</v>
      </c>
    </row>
    <row r="30" spans="1:6">
      <c r="A30" s="8">
        <v>2</v>
      </c>
      <c r="B30" s="11" t="s">
        <v>49</v>
      </c>
      <c r="C30" s="11"/>
      <c r="D30" s="23"/>
      <c r="E30" s="11"/>
      <c r="F30" s="11"/>
    </row>
    <row r="31" spans="1:6">
      <c r="A31" s="8"/>
      <c r="B31" s="11" t="s">
        <v>10</v>
      </c>
      <c r="C31" s="10">
        <v>2.7799999999999998E-4</v>
      </c>
      <c r="D31" s="25">
        <f>ROUND(D$3*C31,0)</f>
        <v>185</v>
      </c>
      <c r="E31" s="25">
        <f>ROUND(D31/2,0)</f>
        <v>93</v>
      </c>
      <c r="F31" s="25">
        <f>D31-E31</f>
        <v>92</v>
      </c>
    </row>
    <row r="32" spans="1:6">
      <c r="A32" s="8"/>
      <c r="B32" s="11" t="s">
        <v>11</v>
      </c>
      <c r="C32" s="10">
        <v>1.18E-4</v>
      </c>
      <c r="D32" s="25">
        <f>ROUND(D$3*C32,0)</f>
        <v>79</v>
      </c>
      <c r="E32" s="25">
        <f>ROUND(D32/2,0)</f>
        <v>40</v>
      </c>
      <c r="F32" s="25">
        <f>D32-E32</f>
        <v>39</v>
      </c>
    </row>
    <row r="33" spans="1:6">
      <c r="A33" s="8">
        <v>2</v>
      </c>
      <c r="B33" s="11" t="s">
        <v>88</v>
      </c>
      <c r="C33" s="11"/>
      <c r="D33" s="23"/>
      <c r="E33" s="11"/>
      <c r="F33" s="11"/>
    </row>
    <row r="34" spans="1:6">
      <c r="A34" s="8"/>
      <c r="B34" s="11" t="s">
        <v>10</v>
      </c>
      <c r="C34" s="10">
        <v>7.2999999999999999E-5</v>
      </c>
      <c r="D34" s="25">
        <f>ROUND(D$3*C34,0)</f>
        <v>49</v>
      </c>
      <c r="E34" s="25">
        <f>ROUND(D34/2,0)</f>
        <v>25</v>
      </c>
      <c r="F34" s="25">
        <f>D34-E34</f>
        <v>24</v>
      </c>
    </row>
    <row r="35" spans="1:6">
      <c r="A35" s="8"/>
      <c r="B35" s="11" t="s">
        <v>11</v>
      </c>
      <c r="C35" s="10">
        <v>3.6999999999999998E-5</v>
      </c>
      <c r="D35" s="25">
        <f>ROUND(D$3*C35,0)</f>
        <v>25</v>
      </c>
      <c r="E35" s="25">
        <f>ROUND(D35/2,0)</f>
        <v>13</v>
      </c>
      <c r="F35" s="25">
        <f>D35-E35</f>
        <v>12</v>
      </c>
    </row>
    <row r="36" spans="1:6">
      <c r="A36" s="8">
        <v>2</v>
      </c>
      <c r="B36" s="11" t="s">
        <v>89</v>
      </c>
      <c r="C36" s="11"/>
      <c r="D36" s="23"/>
      <c r="E36" s="11"/>
      <c r="F36" s="11"/>
    </row>
    <row r="37" spans="1:6">
      <c r="A37" s="8"/>
      <c r="B37" s="11" t="s">
        <v>10</v>
      </c>
      <c r="C37" s="10">
        <v>1.3929999999999999E-3</v>
      </c>
      <c r="D37" s="25">
        <f>ROUND(D$3*C37,0)</f>
        <v>927</v>
      </c>
      <c r="E37" s="25">
        <f>ROUND(D37/2,0)</f>
        <v>464</v>
      </c>
      <c r="F37" s="25">
        <f>D37-E37</f>
        <v>463</v>
      </c>
    </row>
    <row r="38" spans="1:6">
      <c r="A38" s="8"/>
      <c r="B38" s="11" t="s">
        <v>11</v>
      </c>
      <c r="C38" s="10">
        <v>5.5599999999999996E-4</v>
      </c>
      <c r="D38" s="25">
        <f>ROUND(D$3*C38,0)</f>
        <v>370</v>
      </c>
      <c r="E38" s="25">
        <f>ROUND(D38/2,0)</f>
        <v>185</v>
      </c>
      <c r="F38" s="25">
        <f>D38-E38</f>
        <v>185</v>
      </c>
    </row>
    <row r="39" spans="1:6">
      <c r="A39" s="8">
        <v>2</v>
      </c>
      <c r="B39" s="11" t="s">
        <v>90</v>
      </c>
      <c r="C39" s="11"/>
      <c r="D39" s="23"/>
      <c r="E39" s="11"/>
      <c r="F39" s="11"/>
    </row>
    <row r="40" spans="1:6">
      <c r="A40" s="8"/>
      <c r="B40" s="11" t="s">
        <v>10</v>
      </c>
      <c r="C40" s="10">
        <v>2.42E-4</v>
      </c>
      <c r="D40" s="25">
        <f>ROUND(D$3*C40,0)</f>
        <v>161</v>
      </c>
      <c r="E40" s="25">
        <f>ROUND(D40/2,0)</f>
        <v>81</v>
      </c>
      <c r="F40" s="25">
        <f>D40-E40</f>
        <v>80</v>
      </c>
    </row>
    <row r="41" spans="1:6">
      <c r="A41" s="8"/>
      <c r="B41" s="11" t="s">
        <v>11</v>
      </c>
      <c r="C41" s="10">
        <v>2.4800000000000001E-4</v>
      </c>
      <c r="D41" s="25">
        <f>ROUND(D$3*C41,0)</f>
        <v>165</v>
      </c>
      <c r="E41" s="25">
        <f>ROUND(D41/2,0)</f>
        <v>83</v>
      </c>
      <c r="F41" s="25">
        <f>D41-E41</f>
        <v>82</v>
      </c>
    </row>
    <row r="42" spans="1:6">
      <c r="A42" s="8">
        <v>2</v>
      </c>
      <c r="B42" s="11" t="s">
        <v>61</v>
      </c>
      <c r="C42" s="11"/>
      <c r="D42" s="23"/>
      <c r="E42" s="11"/>
      <c r="F42" s="11"/>
    </row>
    <row r="43" spans="1:6">
      <c r="A43" s="8"/>
      <c r="B43" s="11" t="s">
        <v>10</v>
      </c>
      <c r="C43" s="10">
        <v>2.1310000000000001E-3</v>
      </c>
      <c r="D43" s="25">
        <f t="shared" ref="D43:D52" si="0">ROUND(D$3*C43,0)</f>
        <v>1418</v>
      </c>
      <c r="E43" s="25">
        <f t="shared" ref="E43:E52" si="1">ROUND(D43/2,0)</f>
        <v>709</v>
      </c>
      <c r="F43" s="25">
        <f t="shared" ref="F43:F52" si="2">D43-E43</f>
        <v>709</v>
      </c>
    </row>
    <row r="44" spans="1:6">
      <c r="A44" s="8"/>
      <c r="B44" s="11" t="s">
        <v>11</v>
      </c>
      <c r="C44" s="10">
        <v>2.8499999999999999E-4</v>
      </c>
      <c r="D44" s="25">
        <f t="shared" si="0"/>
        <v>190</v>
      </c>
      <c r="E44" s="25">
        <f t="shared" si="1"/>
        <v>95</v>
      </c>
      <c r="F44" s="25">
        <f t="shared" si="2"/>
        <v>95</v>
      </c>
    </row>
    <row r="45" spans="1:6">
      <c r="A45" s="8">
        <v>3</v>
      </c>
      <c r="B45" s="11" t="s">
        <v>91</v>
      </c>
      <c r="C45" s="10">
        <v>1.0859999999999999E-3</v>
      </c>
      <c r="D45" s="25">
        <f t="shared" si="0"/>
        <v>723</v>
      </c>
      <c r="E45" s="25">
        <f t="shared" si="1"/>
        <v>362</v>
      </c>
      <c r="F45" s="25">
        <f t="shared" si="2"/>
        <v>361</v>
      </c>
    </row>
    <row r="46" spans="1:6">
      <c r="A46" s="8">
        <v>3</v>
      </c>
      <c r="B46" s="11" t="s">
        <v>92</v>
      </c>
      <c r="C46" s="10">
        <v>0.12584300000000001</v>
      </c>
      <c r="D46" s="25">
        <f t="shared" si="0"/>
        <v>83739</v>
      </c>
      <c r="E46" s="25">
        <f t="shared" si="1"/>
        <v>41870</v>
      </c>
      <c r="F46" s="25">
        <f t="shared" si="2"/>
        <v>41869</v>
      </c>
    </row>
    <row r="47" spans="1:6">
      <c r="A47" s="8">
        <v>3</v>
      </c>
      <c r="B47" s="11" t="s">
        <v>93</v>
      </c>
      <c r="C47" s="10">
        <v>9.2900000000000003E-4</v>
      </c>
      <c r="D47" s="25">
        <f t="shared" si="0"/>
        <v>618</v>
      </c>
      <c r="E47" s="25">
        <f t="shared" si="1"/>
        <v>309</v>
      </c>
      <c r="F47" s="25">
        <f t="shared" si="2"/>
        <v>309</v>
      </c>
    </row>
    <row r="48" spans="1:6">
      <c r="A48" s="8">
        <v>3</v>
      </c>
      <c r="B48" s="11" t="s">
        <v>94</v>
      </c>
      <c r="C48" s="10">
        <v>0</v>
      </c>
      <c r="D48" s="25">
        <f t="shared" si="0"/>
        <v>0</v>
      </c>
      <c r="E48" s="25">
        <f t="shared" si="1"/>
        <v>0</v>
      </c>
      <c r="F48" s="25">
        <f t="shared" si="2"/>
        <v>0</v>
      </c>
    </row>
    <row r="49" spans="1:6">
      <c r="A49" s="8">
        <v>3</v>
      </c>
      <c r="B49" s="11" t="s">
        <v>95</v>
      </c>
      <c r="C49" s="10">
        <v>2.5999999999999998E-5</v>
      </c>
      <c r="D49" s="25">
        <f t="shared" si="0"/>
        <v>17</v>
      </c>
      <c r="E49" s="25">
        <f t="shared" si="1"/>
        <v>9</v>
      </c>
      <c r="F49" s="25">
        <f t="shared" si="2"/>
        <v>8</v>
      </c>
    </row>
    <row r="50" spans="1:6">
      <c r="A50" s="8">
        <v>3</v>
      </c>
      <c r="B50" s="11" t="s">
        <v>96</v>
      </c>
      <c r="C50" s="10">
        <v>2.6250000000000002E-3</v>
      </c>
      <c r="D50" s="25">
        <f t="shared" si="0"/>
        <v>1747</v>
      </c>
      <c r="E50" s="25">
        <f t="shared" si="1"/>
        <v>874</v>
      </c>
      <c r="F50" s="25">
        <f t="shared" si="2"/>
        <v>873</v>
      </c>
    </row>
    <row r="51" spans="1:6">
      <c r="A51" s="8">
        <v>3</v>
      </c>
      <c r="B51" s="11" t="s">
        <v>97</v>
      </c>
      <c r="C51" s="10">
        <v>4.1E-5</v>
      </c>
      <c r="D51" s="25">
        <f t="shared" si="0"/>
        <v>27</v>
      </c>
      <c r="E51" s="25">
        <f t="shared" si="1"/>
        <v>14</v>
      </c>
      <c r="F51" s="25">
        <f t="shared" si="2"/>
        <v>13</v>
      </c>
    </row>
    <row r="52" spans="1:6">
      <c r="A52" s="8">
        <v>4</v>
      </c>
      <c r="B52" s="11" t="s">
        <v>98</v>
      </c>
      <c r="C52" s="10">
        <v>0.59325000000000006</v>
      </c>
      <c r="D52" s="23">
        <f t="shared" si="0"/>
        <v>394763</v>
      </c>
      <c r="E52" s="11">
        <f t="shared" si="1"/>
        <v>197382</v>
      </c>
      <c r="F52" s="9">
        <f t="shared" si="2"/>
        <v>197381</v>
      </c>
    </row>
    <row r="53" spans="1:6">
      <c r="A53" s="8"/>
      <c r="B53" s="11" t="s">
        <v>28</v>
      </c>
      <c r="C53" s="11"/>
      <c r="D53" s="31">
        <v>0.45757999999999999</v>
      </c>
      <c r="E53" s="11"/>
      <c r="F53" s="11"/>
    </row>
    <row r="54" spans="1:6">
      <c r="A54" s="8"/>
      <c r="B54" s="11" t="s">
        <v>29</v>
      </c>
      <c r="C54" s="11"/>
      <c r="D54" s="227">
        <f>ROUND(D52*D53,0)</f>
        <v>180636</v>
      </c>
      <c r="E54" s="226">
        <f>ROUND(D54/2,0)</f>
        <v>90318</v>
      </c>
      <c r="F54" s="225">
        <f>D54-E54</f>
        <v>90318</v>
      </c>
    </row>
    <row r="55" spans="1:6">
      <c r="A55" s="8"/>
      <c r="B55" s="11" t="s">
        <v>30</v>
      </c>
      <c r="C55" s="11"/>
      <c r="D55" s="25">
        <f>D52-D54</f>
        <v>214127</v>
      </c>
      <c r="E55" s="25">
        <f>ROUND(D55/2,0)</f>
        <v>107064</v>
      </c>
      <c r="F55" s="25">
        <f>D55-E55</f>
        <v>107063</v>
      </c>
    </row>
    <row r="56" spans="1:6">
      <c r="A56" s="8">
        <v>4</v>
      </c>
      <c r="B56" s="11" t="s">
        <v>99</v>
      </c>
      <c r="C56" s="10">
        <v>9.4600000000000001E-4</v>
      </c>
      <c r="D56" s="23">
        <f>ROUND(D$3*C56,0)</f>
        <v>629</v>
      </c>
      <c r="E56" s="11">
        <f>ROUND(D56/2,0)</f>
        <v>315</v>
      </c>
      <c r="F56" s="9">
        <f>D56-E56</f>
        <v>314</v>
      </c>
    </row>
    <row r="57" spans="1:6">
      <c r="A57" s="8"/>
      <c r="B57" s="11" t="s">
        <v>28</v>
      </c>
      <c r="C57" s="11"/>
      <c r="D57" s="31">
        <v>0.48823699999999998</v>
      </c>
      <c r="E57" s="11"/>
      <c r="F57" s="11"/>
    </row>
    <row r="58" spans="1:6">
      <c r="A58" s="8"/>
      <c r="B58" s="11" t="s">
        <v>29</v>
      </c>
      <c r="C58" s="11"/>
      <c r="D58" s="227">
        <f>ROUND(D56*D57,0)</f>
        <v>307</v>
      </c>
      <c r="E58" s="226">
        <f>ROUND(D58/2,0)</f>
        <v>154</v>
      </c>
      <c r="F58" s="225">
        <f>D58-E58</f>
        <v>153</v>
      </c>
    </row>
    <row r="59" spans="1:6">
      <c r="A59" s="8"/>
      <c r="B59" s="11" t="s">
        <v>30</v>
      </c>
      <c r="C59" s="11"/>
      <c r="D59" s="25">
        <f>D56-D58</f>
        <v>322</v>
      </c>
      <c r="E59" s="25">
        <f>ROUND(D59/2,0)</f>
        <v>161</v>
      </c>
      <c r="F59" s="25">
        <f>D59-E59</f>
        <v>161</v>
      </c>
    </row>
    <row r="60" spans="1:6">
      <c r="A60" s="8">
        <v>4</v>
      </c>
      <c r="B60" s="11" t="s">
        <v>100</v>
      </c>
      <c r="C60" s="10">
        <v>3.6627E-2</v>
      </c>
      <c r="D60" s="23">
        <f>ROUND(D$3*C60,0)</f>
        <v>24373</v>
      </c>
      <c r="E60" s="11">
        <f>ROUND(D60/2,0)</f>
        <v>12187</v>
      </c>
      <c r="F60" s="9">
        <f>D60-E60</f>
        <v>12186</v>
      </c>
    </row>
    <row r="61" spans="1:6">
      <c r="A61" s="8"/>
      <c r="B61" s="11" t="s">
        <v>28</v>
      </c>
      <c r="C61" s="11"/>
      <c r="D61" s="31">
        <v>0.41181600000000002</v>
      </c>
      <c r="E61" s="11"/>
      <c r="F61" s="11"/>
    </row>
    <row r="62" spans="1:6">
      <c r="A62" s="8"/>
      <c r="B62" s="11" t="s">
        <v>29</v>
      </c>
      <c r="C62" s="11"/>
      <c r="D62" s="227">
        <f>ROUND(D60*D61,0)</f>
        <v>10037</v>
      </c>
      <c r="E62" s="226">
        <f>ROUND(D62/2,0)</f>
        <v>5019</v>
      </c>
      <c r="F62" s="225">
        <f>D62-E62</f>
        <v>5018</v>
      </c>
    </row>
    <row r="63" spans="1:6">
      <c r="A63" s="8"/>
      <c r="B63" s="11" t="s">
        <v>30</v>
      </c>
      <c r="C63" s="11"/>
      <c r="D63" s="25">
        <f>D60-D62</f>
        <v>14336</v>
      </c>
      <c r="E63" s="25">
        <f>ROUND(D63/2,0)</f>
        <v>7168</v>
      </c>
      <c r="F63" s="25">
        <f>D63-E63</f>
        <v>7168</v>
      </c>
    </row>
    <row r="64" spans="1:6">
      <c r="A64" s="8">
        <v>5</v>
      </c>
      <c r="B64" s="11" t="s">
        <v>101</v>
      </c>
      <c r="C64" s="10">
        <v>2.0565E-2</v>
      </c>
      <c r="D64" s="25">
        <f>ROUND(D$3*C64,0)</f>
        <v>13684</v>
      </c>
      <c r="E64" s="25">
        <f>ROUND(D64/2,0)</f>
        <v>6842</v>
      </c>
      <c r="F64" s="25">
        <f>D64-E64</f>
        <v>6842</v>
      </c>
    </row>
    <row r="65" spans="1:8">
      <c r="A65" s="8">
        <v>5</v>
      </c>
      <c r="B65" s="11" t="s">
        <v>102</v>
      </c>
      <c r="C65" s="10">
        <v>9.3999999999999994E-5</v>
      </c>
      <c r="D65" s="25">
        <f>ROUND(D$3*C65,0)</f>
        <v>63</v>
      </c>
      <c r="E65" s="25">
        <f>ROUND(D65/2,0)</f>
        <v>32</v>
      </c>
      <c r="F65" s="25">
        <f>D65-E65</f>
        <v>31</v>
      </c>
    </row>
    <row r="66" spans="1:8">
      <c r="A66" s="8">
        <v>6</v>
      </c>
      <c r="B66" s="11" t="s">
        <v>103</v>
      </c>
      <c r="C66" s="10">
        <v>5.0329999999998432E-3</v>
      </c>
      <c r="D66" s="25">
        <f>+D3-SUM(D4:D5)-SUM(D10:D52)-D56-D60-SUM(D64:D65)</f>
        <v>3350</v>
      </c>
      <c r="E66" s="25">
        <f>ROUND(D66/2,0)</f>
        <v>1675</v>
      </c>
      <c r="F66" s="25">
        <f>D66-E66</f>
        <v>1675</v>
      </c>
    </row>
    <row r="67" spans="1:8">
      <c r="A67" s="8"/>
      <c r="B67" s="28" t="s">
        <v>37</v>
      </c>
      <c r="C67" s="10">
        <v>1</v>
      </c>
      <c r="D67" s="12">
        <f>+D4+SUM(D7:D51)+D54+D55+D58+D59+D62+D63+D64+D65+D66</f>
        <v>665425</v>
      </c>
      <c r="E67" s="12">
        <f>+E4+SUM(E7:E51)+E54+E55+E58+E59+E62+E63+E64+E65+E66</f>
        <v>332724</v>
      </c>
      <c r="F67" s="12">
        <f>+F4+SUM(F7:F51)+F54+F55+F58+F59+F62+F63+F64+F65+F66</f>
        <v>332701</v>
      </c>
    </row>
    <row r="68" spans="1:8">
      <c r="B68" s="18" t="s">
        <v>38</v>
      </c>
      <c r="D68" s="19">
        <f>+D4</f>
        <v>876</v>
      </c>
      <c r="E68" s="19">
        <f>+E4</f>
        <v>438</v>
      </c>
      <c r="F68" s="19">
        <f>+F4</f>
        <v>438</v>
      </c>
    </row>
    <row r="69" spans="1:8">
      <c r="B69" s="2" t="s">
        <v>39</v>
      </c>
      <c r="D69" s="19">
        <f>+D7</f>
        <v>79113</v>
      </c>
      <c r="E69" s="19">
        <f>+E7</f>
        <v>39557</v>
      </c>
      <c r="F69" s="19">
        <f>+F7</f>
        <v>39556</v>
      </c>
    </row>
    <row r="70" spans="1:8">
      <c r="B70" s="2" t="s">
        <v>40</v>
      </c>
      <c r="D70" s="19">
        <f>+D54+D58+D62</f>
        <v>190980</v>
      </c>
      <c r="E70" s="19">
        <f>+E54+E58+E62</f>
        <v>95491</v>
      </c>
      <c r="F70" s="19">
        <f>+F54+F58+F62</f>
        <v>95489</v>
      </c>
      <c r="H70" s="3">
        <v>1</v>
      </c>
    </row>
    <row r="71" spans="1:8">
      <c r="A71" s="1" t="s">
        <v>590</v>
      </c>
      <c r="B71" s="18" t="s">
        <v>41</v>
      </c>
      <c r="D71" s="19">
        <f>+D67-D68-D69-D70</f>
        <v>394456</v>
      </c>
      <c r="E71" s="19">
        <f>+E67-E68-E69-E70</f>
        <v>197238</v>
      </c>
      <c r="F71" s="19">
        <f>+F67-F68-F69-F70</f>
        <v>197218</v>
      </c>
      <c r="H71" s="3">
        <v>2</v>
      </c>
    </row>
    <row r="73" spans="1:8" hidden="1">
      <c r="B73" s="3" t="s">
        <v>42</v>
      </c>
      <c r="C73" s="32">
        <v>9.9999999984314025E-7</v>
      </c>
      <c r="D73" s="3">
        <f>+D66-ROUND(D3*C66,0)</f>
        <v>1</v>
      </c>
    </row>
  </sheetData>
  <pageMargins left="0.7" right="0.7" top="0.75" bottom="0.75" header="0.3" footer="0.3"/>
  <pageSetup scale="5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WVB73"/>
  <sheetViews>
    <sheetView topLeftCell="A37" zoomScaleNormal="100" zoomScaleSheetLayoutView="90" workbookViewId="0">
      <selection activeCell="D58" activeCellId="3" sqref="D7:F7 D50:F50 D54:F54 D58:F58"/>
    </sheetView>
  </sheetViews>
  <sheetFormatPr defaultColWidth="0" defaultRowHeight="15"/>
  <cols>
    <col min="1" max="1" width="13.140625" style="1" customWidth="1"/>
    <col min="2" max="2" width="57.140625" style="3" customWidth="1"/>
    <col min="3" max="6" width="20.42578125" style="3" customWidth="1"/>
    <col min="7" max="7" width="9.140625" style="3" customWidth="1"/>
    <col min="8" max="187" width="9.140625" style="3" hidden="1"/>
    <col min="188" max="188" width="11" style="3" hidden="1"/>
    <col min="189" max="189" width="54.710937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710937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710937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710937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710937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710937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710937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710937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710937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710937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710937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710937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710937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710937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710937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710937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710937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710937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710937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710937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710937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710937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710937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710937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710937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710937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710937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710937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710937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710937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710937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710937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710937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710937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710937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710937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710937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710937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710937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710937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710937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710937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710937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710937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710937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710937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710937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710937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710937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710937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710937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710937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710937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710937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710937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710937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710937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710937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710937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710937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710937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710937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710937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104</v>
      </c>
    </row>
    <row r="2" spans="1:6" ht="45.75" customHeight="1">
      <c r="B2" s="1"/>
      <c r="C2" s="6" t="s">
        <v>1</v>
      </c>
      <c r="D2" s="60" t="str">
        <f>'Allocation Worksheet'!H3</f>
        <v>2026 TOTAL BASED ON CY2025 CVET REVENUE</v>
      </c>
      <c r="E2" s="60" t="str">
        <f>'Allocation Worksheet'!H4</f>
        <v>MAY 2026 DISTRIBUTION</v>
      </c>
      <c r="F2" s="60" t="str">
        <f>'Allocation Worksheet'!H5</f>
        <v>NOVEMBER 2026 DISTRIBUTION</v>
      </c>
    </row>
    <row r="3" spans="1:6" ht="15.75">
      <c r="A3" s="7" t="s">
        <v>2</v>
      </c>
      <c r="B3" s="7" t="s">
        <v>3</v>
      </c>
      <c r="C3" s="10"/>
      <c r="D3" s="33">
        <f>'Allocation Worksheet'!$D$7</f>
        <v>191532</v>
      </c>
      <c r="E3" s="11"/>
      <c r="F3" s="11"/>
    </row>
    <row r="4" spans="1:6">
      <c r="A4" s="8">
        <v>0</v>
      </c>
      <c r="B4" s="11" t="s">
        <v>4</v>
      </c>
      <c r="C4" s="10">
        <v>1.1900000000000001E-3</v>
      </c>
      <c r="D4" s="13">
        <f>ROUND(D$3*C4,0)</f>
        <v>228</v>
      </c>
      <c r="E4" s="13">
        <f>ROUND(D4/2,0)</f>
        <v>114</v>
      </c>
      <c r="F4" s="13">
        <f>D4-E4</f>
        <v>114</v>
      </c>
    </row>
    <row r="5" spans="1:6">
      <c r="A5" s="8">
        <v>1</v>
      </c>
      <c r="B5" s="11" t="s">
        <v>105</v>
      </c>
      <c r="C5" s="10">
        <v>0.213697</v>
      </c>
      <c r="D5" s="11">
        <f>ROUND(D$3*C5,0)</f>
        <v>40930</v>
      </c>
      <c r="E5" s="11">
        <f>ROUND(D5/2,0)</f>
        <v>20465</v>
      </c>
      <c r="F5" s="11">
        <f>D5-E5</f>
        <v>20465</v>
      </c>
    </row>
    <row r="6" spans="1:6">
      <c r="A6" s="8"/>
      <c r="B6" s="11" t="s">
        <v>6</v>
      </c>
      <c r="C6" s="11"/>
      <c r="D6" s="14">
        <v>0.15290699999999999</v>
      </c>
      <c r="E6" s="11"/>
      <c r="F6" s="11"/>
    </row>
    <row r="7" spans="1:6">
      <c r="A7" s="8"/>
      <c r="B7" s="11" t="s">
        <v>7</v>
      </c>
      <c r="C7" s="11"/>
      <c r="D7" s="225">
        <f>ROUND(D5*D6,0)</f>
        <v>6258</v>
      </c>
      <c r="E7" s="226">
        <f>ROUND(D7/2,0)</f>
        <v>3129</v>
      </c>
      <c r="F7" s="226">
        <f>D7-E7</f>
        <v>3129</v>
      </c>
    </row>
    <row r="8" spans="1:6">
      <c r="A8" s="8"/>
      <c r="B8" s="11" t="s">
        <v>8</v>
      </c>
      <c r="C8" s="11"/>
      <c r="D8" s="12">
        <f>+D5-D7</f>
        <v>34672</v>
      </c>
      <c r="E8" s="13">
        <f>ROUND(D8/2,0)</f>
        <v>17336</v>
      </c>
      <c r="F8" s="13">
        <f>D8-E8</f>
        <v>17336</v>
      </c>
    </row>
    <row r="9" spans="1:6">
      <c r="A9" s="8">
        <v>2</v>
      </c>
      <c r="B9" s="11" t="s">
        <v>106</v>
      </c>
      <c r="C9" s="11"/>
      <c r="D9" s="11"/>
      <c r="E9" s="11"/>
      <c r="F9" s="11"/>
    </row>
    <row r="10" spans="1:6">
      <c r="A10" s="8"/>
      <c r="B10" s="11" t="s">
        <v>10</v>
      </c>
      <c r="C10" s="10">
        <v>2.598E-3</v>
      </c>
      <c r="D10" s="13">
        <f>ROUND(D$3*C10,0)</f>
        <v>498</v>
      </c>
      <c r="E10" s="13">
        <f>ROUND(D10/2,0)</f>
        <v>249</v>
      </c>
      <c r="F10" s="13">
        <f>D10-E10</f>
        <v>249</v>
      </c>
    </row>
    <row r="11" spans="1:6">
      <c r="A11" s="8"/>
      <c r="B11" s="11" t="s">
        <v>11</v>
      </c>
      <c r="C11" s="10">
        <v>9.7099999999999997E-4</v>
      </c>
      <c r="D11" s="13">
        <f>ROUND(D$3*C11,0)</f>
        <v>186</v>
      </c>
      <c r="E11" s="13">
        <f>ROUND(D11/2,0)</f>
        <v>93</v>
      </c>
      <c r="F11" s="13">
        <f>D11-E11</f>
        <v>93</v>
      </c>
    </row>
    <row r="12" spans="1:6">
      <c r="A12" s="8">
        <v>2</v>
      </c>
      <c r="B12" s="11" t="s">
        <v>107</v>
      </c>
      <c r="C12" s="11"/>
      <c r="D12" s="11"/>
      <c r="E12" s="11"/>
      <c r="F12" s="11"/>
    </row>
    <row r="13" spans="1:6">
      <c r="A13" s="8"/>
      <c r="B13" s="11" t="s">
        <v>10</v>
      </c>
      <c r="C13" s="10">
        <v>4.535E-3</v>
      </c>
      <c r="D13" s="13">
        <f>ROUND(D$3*C13,0)</f>
        <v>869</v>
      </c>
      <c r="E13" s="13">
        <f>ROUND(D13/2,0)</f>
        <v>435</v>
      </c>
      <c r="F13" s="13">
        <f>D13-E13</f>
        <v>434</v>
      </c>
    </row>
    <row r="14" spans="1:6">
      <c r="A14" s="8"/>
      <c r="B14" s="11" t="s">
        <v>11</v>
      </c>
      <c r="C14" s="10">
        <v>2.0600000000000002E-3</v>
      </c>
      <c r="D14" s="13">
        <f>ROUND(D$3*C14,0)</f>
        <v>395</v>
      </c>
      <c r="E14" s="13">
        <f>ROUND(D14/2,0)</f>
        <v>198</v>
      </c>
      <c r="F14" s="13">
        <f>D14-E14</f>
        <v>197</v>
      </c>
    </row>
    <row r="15" spans="1:6">
      <c r="A15" s="8">
        <v>2</v>
      </c>
      <c r="B15" s="11" t="s">
        <v>108</v>
      </c>
      <c r="C15" s="11"/>
      <c r="D15" s="11"/>
      <c r="E15" s="11"/>
      <c r="F15" s="11"/>
    </row>
    <row r="16" spans="1:6">
      <c r="A16" s="8"/>
      <c r="B16" s="11" t="s">
        <v>10</v>
      </c>
      <c r="C16" s="10">
        <v>5.1400000000000003E-4</v>
      </c>
      <c r="D16" s="13">
        <f>ROUND(D$3*C16,0)</f>
        <v>98</v>
      </c>
      <c r="E16" s="13">
        <f>ROUND(D16/2,0)</f>
        <v>49</v>
      </c>
      <c r="F16" s="13">
        <f>D16-E16</f>
        <v>49</v>
      </c>
    </row>
    <row r="17" spans="1:6">
      <c r="A17" s="8"/>
      <c r="B17" s="11" t="s">
        <v>11</v>
      </c>
      <c r="C17" s="10">
        <v>3.3799999999999998E-4</v>
      </c>
      <c r="D17" s="13">
        <f>ROUND(D$3*C17,0)</f>
        <v>65</v>
      </c>
      <c r="E17" s="13">
        <f>ROUND(D17/2,0)</f>
        <v>33</v>
      </c>
      <c r="F17" s="13">
        <f>D17-E17</f>
        <v>32</v>
      </c>
    </row>
    <row r="18" spans="1:6">
      <c r="A18" s="8">
        <v>2</v>
      </c>
      <c r="B18" s="11" t="s">
        <v>109</v>
      </c>
      <c r="C18" s="11"/>
      <c r="D18" s="11"/>
      <c r="E18" s="11"/>
      <c r="F18" s="11"/>
    </row>
    <row r="19" spans="1:6">
      <c r="A19" s="8"/>
      <c r="B19" s="11" t="s">
        <v>10</v>
      </c>
      <c r="C19" s="10">
        <v>2.7550000000000001E-3</v>
      </c>
      <c r="D19" s="13">
        <f>ROUND(D$3*C19,0)</f>
        <v>528</v>
      </c>
      <c r="E19" s="13">
        <f>ROUND(D19/2,0)</f>
        <v>264</v>
      </c>
      <c r="F19" s="13">
        <f>D19-E19</f>
        <v>264</v>
      </c>
    </row>
    <row r="20" spans="1:6">
      <c r="A20" s="8"/>
      <c r="B20" s="11" t="s">
        <v>11</v>
      </c>
      <c r="C20" s="10">
        <v>3.57E-4</v>
      </c>
      <c r="D20" s="13">
        <f>ROUND(D$3*C20,0)</f>
        <v>68</v>
      </c>
      <c r="E20" s="13">
        <f>ROUND(D20/2,0)</f>
        <v>34</v>
      </c>
      <c r="F20" s="13">
        <f>D20-E20</f>
        <v>34</v>
      </c>
    </row>
    <row r="21" spans="1:6">
      <c r="A21" s="8">
        <v>2</v>
      </c>
      <c r="B21" s="11" t="s">
        <v>110</v>
      </c>
      <c r="C21" s="11"/>
      <c r="D21" s="11"/>
      <c r="E21" s="11"/>
      <c r="F21" s="11"/>
    </row>
    <row r="22" spans="1:6">
      <c r="A22" s="8"/>
      <c r="B22" s="11" t="s">
        <v>10</v>
      </c>
      <c r="C22" s="10">
        <v>4.6959999999999997E-3</v>
      </c>
      <c r="D22" s="13">
        <f>ROUND(D$3*C22,0)</f>
        <v>899</v>
      </c>
      <c r="E22" s="13">
        <f>ROUND(D22/2,0)</f>
        <v>450</v>
      </c>
      <c r="F22" s="13">
        <f>D22-E22</f>
        <v>449</v>
      </c>
    </row>
    <row r="23" spans="1:6">
      <c r="A23" s="8"/>
      <c r="B23" s="11" t="s">
        <v>11</v>
      </c>
      <c r="C23" s="10">
        <v>3.9020000000000001E-3</v>
      </c>
      <c r="D23" s="13">
        <f>ROUND(D$3*C23,0)</f>
        <v>747</v>
      </c>
      <c r="E23" s="13">
        <f>ROUND(D23/2,0)</f>
        <v>374</v>
      </c>
      <c r="F23" s="13">
        <f>D23-E23</f>
        <v>373</v>
      </c>
    </row>
    <row r="24" spans="1:6">
      <c r="A24" s="8">
        <v>2</v>
      </c>
      <c r="B24" s="11" t="s">
        <v>111</v>
      </c>
      <c r="C24" s="11"/>
      <c r="D24" s="11"/>
      <c r="E24" s="11"/>
      <c r="F24" s="11"/>
    </row>
    <row r="25" spans="1:6">
      <c r="A25" s="8"/>
      <c r="B25" s="11" t="s">
        <v>10</v>
      </c>
      <c r="C25" s="10">
        <v>1.194E-3</v>
      </c>
      <c r="D25" s="13">
        <f>ROUND(D$3*C25,0)</f>
        <v>229</v>
      </c>
      <c r="E25" s="13">
        <f>ROUND(D25/2,0)</f>
        <v>115</v>
      </c>
      <c r="F25" s="13">
        <f>D25-E25</f>
        <v>114</v>
      </c>
    </row>
    <row r="26" spans="1:6">
      <c r="A26" s="8"/>
      <c r="B26" s="11" t="s">
        <v>11</v>
      </c>
      <c r="C26" s="10">
        <v>5.6099999999999998E-4</v>
      </c>
      <c r="D26" s="13">
        <f>ROUND(D$3*C26,0)</f>
        <v>107</v>
      </c>
      <c r="E26" s="13">
        <f>ROUND(D26/2,0)</f>
        <v>54</v>
      </c>
      <c r="F26" s="13">
        <f>D26-E26</f>
        <v>53</v>
      </c>
    </row>
    <row r="27" spans="1:6">
      <c r="A27" s="8">
        <v>2</v>
      </c>
      <c r="B27" s="11" t="s">
        <v>112</v>
      </c>
      <c r="C27" s="11"/>
      <c r="D27" s="11"/>
      <c r="E27" s="11"/>
      <c r="F27" s="11"/>
    </row>
    <row r="28" spans="1:6">
      <c r="A28" s="8"/>
      <c r="B28" s="11" t="s">
        <v>10</v>
      </c>
      <c r="C28" s="10">
        <v>2.8600000000000001E-4</v>
      </c>
      <c r="D28" s="13">
        <f>ROUND(D$3*C28,0)</f>
        <v>55</v>
      </c>
      <c r="E28" s="13">
        <f>ROUND(D28/2,0)</f>
        <v>28</v>
      </c>
      <c r="F28" s="13">
        <f>D28-E28</f>
        <v>27</v>
      </c>
    </row>
    <row r="29" spans="1:6">
      <c r="A29" s="8"/>
      <c r="B29" s="11" t="s">
        <v>11</v>
      </c>
      <c r="C29" s="10">
        <v>9.5000000000000005E-5</v>
      </c>
      <c r="D29" s="13">
        <f>ROUND(D$3*C29,0)</f>
        <v>18</v>
      </c>
      <c r="E29" s="13">
        <f>ROUND(D29/2,0)</f>
        <v>9</v>
      </c>
      <c r="F29" s="13">
        <f>D29-E29</f>
        <v>9</v>
      </c>
    </row>
    <row r="30" spans="1:6">
      <c r="A30" s="8">
        <v>2</v>
      </c>
      <c r="B30" s="11" t="s">
        <v>113</v>
      </c>
      <c r="C30" s="11"/>
      <c r="D30" s="11"/>
      <c r="E30" s="11"/>
      <c r="F30" s="11"/>
    </row>
    <row r="31" spans="1:6">
      <c r="A31" s="8"/>
      <c r="B31" s="11" t="s">
        <v>10</v>
      </c>
      <c r="C31" s="10">
        <v>7.7999999999999999E-4</v>
      </c>
      <c r="D31" s="13">
        <f>ROUND(D$3*C31,0)</f>
        <v>149</v>
      </c>
      <c r="E31" s="13">
        <f>ROUND(D31/2,0)</f>
        <v>75</v>
      </c>
      <c r="F31" s="13">
        <f>D31-E31</f>
        <v>74</v>
      </c>
    </row>
    <row r="32" spans="1:6">
      <c r="A32" s="8"/>
      <c r="B32" s="11" t="s">
        <v>11</v>
      </c>
      <c r="C32" s="10">
        <v>3.5199999999999999E-4</v>
      </c>
      <c r="D32" s="13">
        <f>ROUND(D$3*C32,0)</f>
        <v>67</v>
      </c>
      <c r="E32" s="13">
        <f>ROUND(D32/2,0)</f>
        <v>34</v>
      </c>
      <c r="F32" s="13">
        <f>D32-E32</f>
        <v>33</v>
      </c>
    </row>
    <row r="33" spans="1:6">
      <c r="A33" s="8">
        <v>2</v>
      </c>
      <c r="B33" s="11" t="s">
        <v>114</v>
      </c>
      <c r="C33" s="11"/>
      <c r="D33" s="11"/>
      <c r="E33" s="11"/>
      <c r="F33" s="11"/>
    </row>
    <row r="34" spans="1:6">
      <c r="A34" s="8"/>
      <c r="B34" s="11" t="s">
        <v>10</v>
      </c>
      <c r="C34" s="10">
        <v>6.5200000000000002E-4</v>
      </c>
      <c r="D34" s="13">
        <f>ROUND(D$3*C34,0)</f>
        <v>125</v>
      </c>
      <c r="E34" s="13">
        <f>ROUND(D34/2,0)</f>
        <v>63</v>
      </c>
      <c r="F34" s="13">
        <f>D34-E34</f>
        <v>62</v>
      </c>
    </row>
    <row r="35" spans="1:6">
      <c r="A35" s="8"/>
      <c r="B35" s="11" t="s">
        <v>11</v>
      </c>
      <c r="C35" s="10">
        <v>1.0660000000000001E-3</v>
      </c>
      <c r="D35" s="13">
        <f>ROUND(D$3*C35,0)</f>
        <v>204</v>
      </c>
      <c r="E35" s="13">
        <f>ROUND(D35/2,0)</f>
        <v>102</v>
      </c>
      <c r="F35" s="13">
        <f>D35-E35</f>
        <v>102</v>
      </c>
    </row>
    <row r="36" spans="1:6">
      <c r="A36" s="8">
        <v>2</v>
      </c>
      <c r="B36" s="11" t="s">
        <v>20</v>
      </c>
      <c r="C36" s="11"/>
      <c r="D36" s="11"/>
      <c r="E36" s="11"/>
      <c r="F36" s="11"/>
    </row>
    <row r="37" spans="1:6">
      <c r="A37" s="8"/>
      <c r="B37" s="11" t="s">
        <v>10</v>
      </c>
      <c r="C37" s="10">
        <v>3.57E-4</v>
      </c>
      <c r="D37" s="13">
        <f>ROUND(D$3*C37,0)</f>
        <v>68</v>
      </c>
      <c r="E37" s="13">
        <f>ROUND(D37/2,0)</f>
        <v>34</v>
      </c>
      <c r="F37" s="13">
        <f>D37-E37</f>
        <v>34</v>
      </c>
    </row>
    <row r="38" spans="1:6">
      <c r="A38" s="8"/>
      <c r="B38" s="11" t="s">
        <v>11</v>
      </c>
      <c r="C38" s="10">
        <v>1.3799999999999999E-4</v>
      </c>
      <c r="D38" s="13">
        <f>ROUND(D$3*C38,0)</f>
        <v>26</v>
      </c>
      <c r="E38" s="13">
        <f>ROUND(D38/2,0)</f>
        <v>13</v>
      </c>
      <c r="F38" s="13">
        <f>D38-E38</f>
        <v>13</v>
      </c>
    </row>
    <row r="39" spans="1:6">
      <c r="A39" s="8">
        <v>2</v>
      </c>
      <c r="B39" s="11" t="s">
        <v>115</v>
      </c>
      <c r="C39" s="11"/>
      <c r="D39" s="11"/>
      <c r="E39" s="11"/>
      <c r="F39" s="11"/>
    </row>
    <row r="40" spans="1:6">
      <c r="A40" s="8"/>
      <c r="B40" s="11" t="s">
        <v>10</v>
      </c>
      <c r="C40" s="10">
        <v>1.09E-3</v>
      </c>
      <c r="D40" s="13">
        <f t="shared" ref="D40:D48" si="0">ROUND(D$3*C40,0)</f>
        <v>209</v>
      </c>
      <c r="E40" s="13">
        <f t="shared" ref="E40:E48" si="1">ROUND(D40/2,0)</f>
        <v>105</v>
      </c>
      <c r="F40" s="13">
        <f t="shared" ref="F40:F48" si="2">D40-E40</f>
        <v>104</v>
      </c>
    </row>
    <row r="41" spans="1:6">
      <c r="A41" s="8"/>
      <c r="B41" s="11" t="s">
        <v>11</v>
      </c>
      <c r="C41" s="10">
        <v>3.57E-4</v>
      </c>
      <c r="D41" s="13">
        <f t="shared" si="0"/>
        <v>68</v>
      </c>
      <c r="E41" s="13">
        <f t="shared" si="1"/>
        <v>34</v>
      </c>
      <c r="F41" s="13">
        <f t="shared" si="2"/>
        <v>34</v>
      </c>
    </row>
    <row r="42" spans="1:6">
      <c r="A42" s="8">
        <v>3</v>
      </c>
      <c r="B42" s="11" t="s">
        <v>116</v>
      </c>
      <c r="C42" s="10">
        <v>9.6599999999999995E-4</v>
      </c>
      <c r="D42" s="13">
        <f t="shared" si="0"/>
        <v>185</v>
      </c>
      <c r="E42" s="13">
        <f t="shared" si="1"/>
        <v>93</v>
      </c>
      <c r="F42" s="13">
        <f t="shared" si="2"/>
        <v>92</v>
      </c>
    </row>
    <row r="43" spans="1:6">
      <c r="A43" s="8">
        <v>3</v>
      </c>
      <c r="B43" s="11" t="s">
        <v>117</v>
      </c>
      <c r="C43" s="10">
        <v>7.3850000000000001E-3</v>
      </c>
      <c r="D43" s="13">
        <f t="shared" si="0"/>
        <v>1414</v>
      </c>
      <c r="E43" s="13">
        <f t="shared" si="1"/>
        <v>707</v>
      </c>
      <c r="F43" s="13">
        <f t="shared" si="2"/>
        <v>707</v>
      </c>
    </row>
    <row r="44" spans="1:6">
      <c r="A44" s="8">
        <v>3</v>
      </c>
      <c r="B44" s="11" t="s">
        <v>118</v>
      </c>
      <c r="C44" s="10">
        <v>1.0035000000000001E-2</v>
      </c>
      <c r="D44" s="13">
        <f t="shared" si="0"/>
        <v>1922</v>
      </c>
      <c r="E44" s="13">
        <f t="shared" si="1"/>
        <v>961</v>
      </c>
      <c r="F44" s="13">
        <f t="shared" si="2"/>
        <v>961</v>
      </c>
    </row>
    <row r="45" spans="1:6">
      <c r="A45" s="8">
        <v>3</v>
      </c>
      <c r="B45" s="11" t="s">
        <v>119</v>
      </c>
      <c r="C45" s="10">
        <v>2.8493000000000001E-2</v>
      </c>
      <c r="D45" s="13">
        <f t="shared" si="0"/>
        <v>5457</v>
      </c>
      <c r="E45" s="13">
        <f t="shared" si="1"/>
        <v>2729</v>
      </c>
      <c r="F45" s="13">
        <f t="shared" si="2"/>
        <v>2728</v>
      </c>
    </row>
    <row r="46" spans="1:6">
      <c r="A46" s="8">
        <v>3</v>
      </c>
      <c r="B46" s="11" t="s">
        <v>120</v>
      </c>
      <c r="C46" s="10">
        <v>3.869E-3</v>
      </c>
      <c r="D46" s="13">
        <f t="shared" si="0"/>
        <v>741</v>
      </c>
      <c r="E46" s="13">
        <f t="shared" si="1"/>
        <v>371</v>
      </c>
      <c r="F46" s="13">
        <f t="shared" si="2"/>
        <v>370</v>
      </c>
    </row>
    <row r="47" spans="1:6">
      <c r="A47" s="8">
        <v>3</v>
      </c>
      <c r="B47" s="11" t="s">
        <v>121</v>
      </c>
      <c r="C47" s="10">
        <v>5.025E-3</v>
      </c>
      <c r="D47" s="13">
        <f t="shared" si="0"/>
        <v>962</v>
      </c>
      <c r="E47" s="13">
        <f t="shared" si="1"/>
        <v>481</v>
      </c>
      <c r="F47" s="13">
        <f t="shared" si="2"/>
        <v>481</v>
      </c>
    </row>
    <row r="48" spans="1:6">
      <c r="A48" s="8">
        <v>4</v>
      </c>
      <c r="B48" s="11" t="s">
        <v>122</v>
      </c>
      <c r="C48" s="10">
        <v>0.60161699999999996</v>
      </c>
      <c r="D48" s="11">
        <f t="shared" si="0"/>
        <v>115229</v>
      </c>
      <c r="E48" s="11">
        <f t="shared" si="1"/>
        <v>57615</v>
      </c>
      <c r="F48" s="11">
        <f t="shared" si="2"/>
        <v>57614</v>
      </c>
    </row>
    <row r="49" spans="1:6">
      <c r="A49" s="8"/>
      <c r="B49" s="11" t="s">
        <v>28</v>
      </c>
      <c r="C49" s="11"/>
      <c r="D49" s="14">
        <v>0.45689600000000002</v>
      </c>
      <c r="E49" s="11"/>
      <c r="F49" s="11"/>
    </row>
    <row r="50" spans="1:6">
      <c r="A50" s="8"/>
      <c r="B50" s="11" t="s">
        <v>29</v>
      </c>
      <c r="C50" s="11"/>
      <c r="D50" s="225">
        <f>ROUND(D48*D49,0)</f>
        <v>52648</v>
      </c>
      <c r="E50" s="226">
        <f>ROUND(D50/2,0)</f>
        <v>26324</v>
      </c>
      <c r="F50" s="226">
        <f>D50-E50</f>
        <v>26324</v>
      </c>
    </row>
    <row r="51" spans="1:6">
      <c r="A51" s="8"/>
      <c r="B51" s="11" t="s">
        <v>30</v>
      </c>
      <c r="C51" s="11"/>
      <c r="D51" s="12">
        <f>+D48-D50</f>
        <v>62581</v>
      </c>
      <c r="E51" s="13">
        <f>ROUND(D51/2,0)</f>
        <v>31291</v>
      </c>
      <c r="F51" s="13">
        <f>D51-E51</f>
        <v>31290</v>
      </c>
    </row>
    <row r="52" spans="1:6">
      <c r="A52" s="8">
        <v>4</v>
      </c>
      <c r="B52" s="11" t="s">
        <v>123</v>
      </c>
      <c r="C52" s="10">
        <v>3.0886E-2</v>
      </c>
      <c r="D52" s="11">
        <f>ROUND(D$3*C52,0)</f>
        <v>5916</v>
      </c>
      <c r="E52" s="11">
        <f>ROUND(D52/2,0)</f>
        <v>2958</v>
      </c>
      <c r="F52" s="11">
        <f>D52-E52</f>
        <v>2958</v>
      </c>
    </row>
    <row r="53" spans="1:6">
      <c r="A53" s="8"/>
      <c r="B53" s="11" t="s">
        <v>28</v>
      </c>
      <c r="C53" s="11"/>
      <c r="D53" s="14">
        <v>0.46941100000000002</v>
      </c>
      <c r="E53" s="11"/>
      <c r="F53" s="11"/>
    </row>
    <row r="54" spans="1:6">
      <c r="A54" s="8"/>
      <c r="B54" s="11" t="s">
        <v>29</v>
      </c>
      <c r="C54" s="11"/>
      <c r="D54" s="225">
        <f>ROUND(D52*D53,0)</f>
        <v>2777</v>
      </c>
      <c r="E54" s="226">
        <f>ROUND(D54/2,0)</f>
        <v>1389</v>
      </c>
      <c r="F54" s="226">
        <f>D54-E54</f>
        <v>1388</v>
      </c>
    </row>
    <row r="55" spans="1:6">
      <c r="A55" s="8"/>
      <c r="B55" s="11" t="s">
        <v>30</v>
      </c>
      <c r="C55" s="11"/>
      <c r="D55" s="12">
        <f>+D52-D54</f>
        <v>3139</v>
      </c>
      <c r="E55" s="13">
        <f>ROUND(D55/2,0)</f>
        <v>1570</v>
      </c>
      <c r="F55" s="13">
        <f>D55-E55</f>
        <v>1569</v>
      </c>
    </row>
    <row r="56" spans="1:6">
      <c r="A56" s="8">
        <v>4</v>
      </c>
      <c r="B56" s="11" t="s">
        <v>124</v>
      </c>
      <c r="C56" s="10">
        <v>2.8920999999999999E-2</v>
      </c>
      <c r="D56" s="11">
        <f>ROUND(D$3*C56,0)</f>
        <v>5539</v>
      </c>
      <c r="E56" s="11">
        <f>ROUND(D56/2,0)</f>
        <v>2770</v>
      </c>
      <c r="F56" s="11">
        <f>D56-E56</f>
        <v>2769</v>
      </c>
    </row>
    <row r="57" spans="1:6">
      <c r="A57" s="8"/>
      <c r="B57" s="11" t="s">
        <v>28</v>
      </c>
      <c r="C57" s="11"/>
      <c r="D57" s="14">
        <v>0.55137800000000003</v>
      </c>
      <c r="E57" s="11"/>
      <c r="F57" s="11"/>
    </row>
    <row r="58" spans="1:6">
      <c r="A58" s="8"/>
      <c r="B58" s="11" t="s">
        <v>29</v>
      </c>
      <c r="C58" s="11"/>
      <c r="D58" s="225">
        <f>ROUND(D56*D57,0)</f>
        <v>3054</v>
      </c>
      <c r="E58" s="226">
        <f t="shared" ref="E58:E66" si="3">ROUND(D58/2,0)</f>
        <v>1527</v>
      </c>
      <c r="F58" s="226">
        <f t="shared" ref="F58:F66" si="4">D58-E58</f>
        <v>1527</v>
      </c>
    </row>
    <row r="59" spans="1:6">
      <c r="A59" s="8"/>
      <c r="B59" s="11" t="s">
        <v>30</v>
      </c>
      <c r="C59" s="11"/>
      <c r="D59" s="12">
        <f>+D56-D58</f>
        <v>2485</v>
      </c>
      <c r="E59" s="13">
        <f t="shared" si="3"/>
        <v>1243</v>
      </c>
      <c r="F59" s="13">
        <f t="shared" si="4"/>
        <v>1242</v>
      </c>
    </row>
    <row r="60" spans="1:6">
      <c r="A60" s="8">
        <v>5</v>
      </c>
      <c r="B60" s="11" t="s">
        <v>125</v>
      </c>
      <c r="C60" s="10">
        <v>2.0156E-2</v>
      </c>
      <c r="D60" s="13">
        <f>ROUND(D$3*C60,0)</f>
        <v>3861</v>
      </c>
      <c r="E60" s="13">
        <f t="shared" si="3"/>
        <v>1931</v>
      </c>
      <c r="F60" s="13">
        <f t="shared" si="4"/>
        <v>1930</v>
      </c>
    </row>
    <row r="61" spans="1:6">
      <c r="A61" s="8">
        <v>5</v>
      </c>
      <c r="B61" s="11" t="s">
        <v>126</v>
      </c>
      <c r="C61" s="10">
        <v>5.934E-3</v>
      </c>
      <c r="D61" s="13">
        <f>ROUND(D$3*C61,0)</f>
        <v>1137</v>
      </c>
      <c r="E61" s="13">
        <f t="shared" si="3"/>
        <v>569</v>
      </c>
      <c r="F61" s="13">
        <f t="shared" si="4"/>
        <v>568</v>
      </c>
    </row>
    <row r="62" spans="1:6">
      <c r="A62" s="8">
        <v>5</v>
      </c>
      <c r="B62" s="11" t="s">
        <v>127</v>
      </c>
      <c r="C62" s="10">
        <v>2.379E-3</v>
      </c>
      <c r="D62" s="13">
        <f>ROUND(D$3*C62,0)</f>
        <v>456</v>
      </c>
      <c r="E62" s="13">
        <f t="shared" si="3"/>
        <v>228</v>
      </c>
      <c r="F62" s="13">
        <f t="shared" si="4"/>
        <v>228</v>
      </c>
    </row>
    <row r="63" spans="1:6">
      <c r="A63" s="8">
        <v>5</v>
      </c>
      <c r="B63" s="11" t="s">
        <v>128</v>
      </c>
      <c r="C63" s="10">
        <v>5.4770000000000001E-3</v>
      </c>
      <c r="D63" s="13">
        <f>ROUND(D$3*C63,0)</f>
        <v>1049</v>
      </c>
      <c r="E63" s="13">
        <f t="shared" si="3"/>
        <v>525</v>
      </c>
      <c r="F63" s="13">
        <f t="shared" si="4"/>
        <v>524</v>
      </c>
    </row>
    <row r="64" spans="1:6">
      <c r="A64" s="8">
        <v>5</v>
      </c>
      <c r="B64" s="11" t="s">
        <v>129</v>
      </c>
      <c r="C64" s="10">
        <v>3.7919999999999998E-3</v>
      </c>
      <c r="D64" s="13">
        <f>ROUND(D$3*C64,0)</f>
        <v>726</v>
      </c>
      <c r="E64" s="13">
        <f t="shared" si="3"/>
        <v>363</v>
      </c>
      <c r="F64" s="13">
        <f t="shared" si="4"/>
        <v>363</v>
      </c>
    </row>
    <row r="65" spans="1:8">
      <c r="A65" s="8">
        <v>5</v>
      </c>
      <c r="B65" s="11" t="s">
        <v>130</v>
      </c>
      <c r="C65" s="10">
        <v>5.2400000000007996E-4</v>
      </c>
      <c r="D65" s="12">
        <f>+D3-SUM(D4:D5)-SUM(D10:D48)-D52-D56-SUM(D60:D64)</f>
        <v>102</v>
      </c>
      <c r="E65" s="13">
        <f t="shared" si="3"/>
        <v>51</v>
      </c>
      <c r="F65" s="13">
        <f t="shared" si="4"/>
        <v>51</v>
      </c>
    </row>
    <row r="66" spans="1:8">
      <c r="A66" s="8">
        <v>6</v>
      </c>
      <c r="B66" s="11" t="s">
        <v>131</v>
      </c>
      <c r="C66" s="10">
        <v>0</v>
      </c>
      <c r="D66" s="13">
        <f>ROUND(D$3*C66,0)</f>
        <v>0</v>
      </c>
      <c r="E66" s="13">
        <f t="shared" si="3"/>
        <v>0</v>
      </c>
      <c r="F66" s="13">
        <f t="shared" si="4"/>
        <v>0</v>
      </c>
    </row>
    <row r="67" spans="1:8">
      <c r="A67" s="8"/>
      <c r="B67" s="34" t="s">
        <v>37</v>
      </c>
      <c r="C67" s="10">
        <v>1</v>
      </c>
      <c r="D67" s="12">
        <f>+D4+SUM(D7:D47)+D50+D51+D54+D55+D58+SUM(D59:D66)</f>
        <v>191532</v>
      </c>
      <c r="E67" s="12">
        <f>+E4+SUM(E7:E47)+E50+E51+E54+E55+E58+SUM(E59:E66)</f>
        <v>95777</v>
      </c>
      <c r="F67" s="12">
        <f>+F4+SUM(F7:F47)+F50+F51+F54+F55+F58+SUM(F59:F66)</f>
        <v>95755</v>
      </c>
    </row>
    <row r="68" spans="1:8">
      <c r="B68" s="18" t="s">
        <v>38</v>
      </c>
      <c r="D68" s="19">
        <f>+D4</f>
        <v>228</v>
      </c>
      <c r="E68" s="19">
        <f>+E4</f>
        <v>114</v>
      </c>
      <c r="F68" s="19">
        <f>+F4</f>
        <v>114</v>
      </c>
    </row>
    <row r="69" spans="1:8">
      <c r="B69" s="2" t="s">
        <v>39</v>
      </c>
      <c r="D69" s="19">
        <f>+D7</f>
        <v>6258</v>
      </c>
      <c r="E69" s="19">
        <f>+E7</f>
        <v>3129</v>
      </c>
      <c r="F69" s="19">
        <f>+F7</f>
        <v>3129</v>
      </c>
    </row>
    <row r="70" spans="1:8">
      <c r="B70" s="2" t="s">
        <v>40</v>
      </c>
      <c r="D70" s="19">
        <f>+D50+D54+D58</f>
        <v>58479</v>
      </c>
      <c r="E70" s="19">
        <f>+E50+E54+E58</f>
        <v>29240</v>
      </c>
      <c r="F70" s="19">
        <f>+F50+F54+F58</f>
        <v>29239</v>
      </c>
      <c r="H70" s="3">
        <v>1</v>
      </c>
    </row>
    <row r="71" spans="1:8">
      <c r="A71" s="1" t="s">
        <v>590</v>
      </c>
      <c r="B71" s="18" t="s">
        <v>41</v>
      </c>
      <c r="D71" s="19">
        <f>+D67-D68-D69-D70</f>
        <v>126567</v>
      </c>
      <c r="E71" s="19">
        <f>+E67-E68-E69-E70</f>
        <v>63294</v>
      </c>
      <c r="F71" s="19">
        <f>+F67-F68-F69-F70</f>
        <v>63273</v>
      </c>
      <c r="H71" s="3">
        <v>2</v>
      </c>
    </row>
    <row r="73" spans="1:8" hidden="1">
      <c r="B73" s="3" t="s">
        <v>42</v>
      </c>
      <c r="C73" s="4">
        <v>-5.2300000000000003E-4</v>
      </c>
      <c r="D73" s="3">
        <f>+D65-ROUND(D3*C65,0)</f>
        <v>2</v>
      </c>
    </row>
  </sheetData>
  <pageMargins left="0.7" right="0.7" top="0.75" bottom="0.75" header="0.3" footer="0.3"/>
  <pageSetup scale="5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WVB71"/>
  <sheetViews>
    <sheetView zoomScaleNormal="100" zoomScaleSheetLayoutView="90" workbookViewId="0">
      <selection activeCell="D31" activeCellId="2" sqref="D7:F7 D27:F27 D31:F31"/>
    </sheetView>
  </sheetViews>
  <sheetFormatPr defaultColWidth="0" defaultRowHeight="15"/>
  <cols>
    <col min="1" max="1" width="13.140625" style="1" customWidth="1"/>
    <col min="2" max="2" width="57.140625" style="3" customWidth="1"/>
    <col min="3" max="6" width="20.42578125" style="3" customWidth="1"/>
    <col min="7" max="7" width="9.140625" style="3" customWidth="1"/>
    <col min="8" max="187" width="9.140625" style="3" hidden="1"/>
    <col min="188" max="188" width="11" style="3" hidden="1"/>
    <col min="189" max="189" width="53.140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3.140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3.140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3.140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3.140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3.140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3.140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3.140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3.140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3.140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3.140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3.140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3.140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3.140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3.140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3.140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3.140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3.140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3.140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3.140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3.140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3.140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3.140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3.140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3.140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3.140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3.140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3.140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3.140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3.140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3.140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3.140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3.140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3.140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3.140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3.140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3.140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3.140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3.140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3.140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3.140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3.140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3.140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3.140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3.140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3.140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3.140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3.140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3.140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3.140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3.140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3.140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3.140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3.140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3.140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3.140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3.140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3.140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3.140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3.140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3.140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3.140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3.140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A1" s="3"/>
      <c r="B1" s="2" t="s">
        <v>132</v>
      </c>
    </row>
    <row r="2" spans="1:6" ht="45.75" customHeight="1">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Worksheet'!$D$8</f>
        <v>115313</v>
      </c>
      <c r="E3" s="11"/>
      <c r="F3" s="11"/>
    </row>
    <row r="4" spans="1:6">
      <c r="A4" s="8">
        <v>0</v>
      </c>
      <c r="B4" s="11" t="s">
        <v>4</v>
      </c>
      <c r="C4" s="10">
        <v>8.8500000000000004E-4</v>
      </c>
      <c r="D4" s="12">
        <f>ROUND(D$3*C4,0)</f>
        <v>102</v>
      </c>
      <c r="E4" s="13">
        <f>ROUND(D4/2,0)</f>
        <v>51</v>
      </c>
      <c r="F4" s="12">
        <f>D4-E4</f>
        <v>51</v>
      </c>
    </row>
    <row r="5" spans="1:6">
      <c r="A5" s="8">
        <v>1</v>
      </c>
      <c r="B5" s="11" t="s">
        <v>133</v>
      </c>
      <c r="C5" s="10">
        <v>0.25756400000000002</v>
      </c>
      <c r="D5" s="9">
        <f>ROUND(D$3*C5,0)</f>
        <v>29700</v>
      </c>
      <c r="E5" s="11">
        <f>ROUND(D5/2,0)</f>
        <v>14850</v>
      </c>
      <c r="F5" s="9">
        <f>D5-E5</f>
        <v>14850</v>
      </c>
    </row>
    <row r="6" spans="1:6">
      <c r="A6" s="8"/>
      <c r="B6" s="11" t="s">
        <v>6</v>
      </c>
      <c r="C6" s="11"/>
      <c r="D6" s="14">
        <v>0.13148599999999999</v>
      </c>
      <c r="E6" s="11"/>
      <c r="F6" s="11"/>
    </row>
    <row r="7" spans="1:6">
      <c r="A7" s="8"/>
      <c r="B7" s="11" t="s">
        <v>7</v>
      </c>
      <c r="C7" s="11"/>
      <c r="D7" s="225">
        <f>ROUND(D5*D6,0)</f>
        <v>3905</v>
      </c>
      <c r="E7" s="226">
        <f>ROUND(D7/2,0)</f>
        <v>1953</v>
      </c>
      <c r="F7" s="225">
        <f>D7-E7</f>
        <v>1952</v>
      </c>
    </row>
    <row r="8" spans="1:6">
      <c r="A8" s="8"/>
      <c r="B8" s="11" t="s">
        <v>8</v>
      </c>
      <c r="C8" s="11"/>
      <c r="D8" s="12">
        <f>+D5-D7</f>
        <v>25795</v>
      </c>
      <c r="E8" s="13">
        <f>ROUND(D8/2,0)</f>
        <v>12898</v>
      </c>
      <c r="F8" s="12">
        <f>D8-E8</f>
        <v>12897</v>
      </c>
    </row>
    <row r="9" spans="1:6">
      <c r="A9" s="8">
        <v>2</v>
      </c>
      <c r="B9" s="11" t="s">
        <v>86</v>
      </c>
      <c r="C9" s="11"/>
      <c r="D9" s="9"/>
      <c r="E9" s="11"/>
      <c r="F9" s="11"/>
    </row>
    <row r="10" spans="1:6">
      <c r="A10" s="8"/>
      <c r="B10" s="11" t="s">
        <v>10</v>
      </c>
      <c r="C10" s="10">
        <v>3.9519999999999998E-3</v>
      </c>
      <c r="D10" s="12">
        <f>ROUND(D$3*C10,0)</f>
        <v>456</v>
      </c>
      <c r="E10" s="13">
        <f>ROUND(D10/2,0)</f>
        <v>228</v>
      </c>
      <c r="F10" s="12">
        <f>D10-E10</f>
        <v>228</v>
      </c>
    </row>
    <row r="11" spans="1:6">
      <c r="A11" s="8"/>
      <c r="B11" s="11" t="s">
        <v>11</v>
      </c>
      <c r="C11" s="10">
        <v>1.2570000000000001E-3</v>
      </c>
      <c r="D11" s="12">
        <f>ROUND(D$3*C11,0)</f>
        <v>145</v>
      </c>
      <c r="E11" s="13">
        <f>ROUND(D11/2,0)</f>
        <v>73</v>
      </c>
      <c r="F11" s="12">
        <f>D11-E11</f>
        <v>72</v>
      </c>
    </row>
    <row r="12" spans="1:6">
      <c r="A12" s="8">
        <v>2</v>
      </c>
      <c r="B12" s="11" t="s">
        <v>49</v>
      </c>
      <c r="C12" s="11"/>
      <c r="D12" s="9"/>
      <c r="E12" s="11"/>
      <c r="F12" s="11"/>
    </row>
    <row r="13" spans="1:6">
      <c r="A13" s="8"/>
      <c r="B13" s="11" t="s">
        <v>10</v>
      </c>
      <c r="C13" s="10">
        <v>1.225E-3</v>
      </c>
      <c r="D13" s="12">
        <f>ROUND(D$3*C13,0)</f>
        <v>141</v>
      </c>
      <c r="E13" s="13">
        <f>ROUND(D13/2,0)</f>
        <v>71</v>
      </c>
      <c r="F13" s="12">
        <f>D13-E13</f>
        <v>70</v>
      </c>
    </row>
    <row r="14" spans="1:6">
      <c r="A14" s="8"/>
      <c r="B14" s="11" t="s">
        <v>11</v>
      </c>
      <c r="C14" s="10">
        <v>2.5999999999999999E-3</v>
      </c>
      <c r="D14" s="12">
        <f>ROUND(D$3*C14,0)</f>
        <v>300</v>
      </c>
      <c r="E14" s="13">
        <f>ROUND(D14/2,0)</f>
        <v>150</v>
      </c>
      <c r="F14" s="12">
        <f>D14-E14</f>
        <v>150</v>
      </c>
    </row>
    <row r="15" spans="1:6">
      <c r="A15" s="8">
        <v>2</v>
      </c>
      <c r="B15" s="11" t="s">
        <v>134</v>
      </c>
      <c r="C15" s="11"/>
      <c r="D15" s="9"/>
      <c r="E15" s="11"/>
      <c r="F15" s="11"/>
    </row>
    <row r="16" spans="1:6">
      <c r="A16" s="8"/>
      <c r="B16" s="11" t="s">
        <v>10</v>
      </c>
      <c r="C16" s="10">
        <v>6.4409999999999997E-3</v>
      </c>
      <c r="D16" s="12">
        <f>ROUND(D$3*C16,0)</f>
        <v>743</v>
      </c>
      <c r="E16" s="13">
        <f>ROUND(D16/2,0)</f>
        <v>372</v>
      </c>
      <c r="F16" s="12">
        <f>D16-E16</f>
        <v>371</v>
      </c>
    </row>
    <row r="17" spans="1:6">
      <c r="A17" s="8"/>
      <c r="B17" s="11" t="s">
        <v>11</v>
      </c>
      <c r="C17" s="10">
        <v>2.13E-4</v>
      </c>
      <c r="D17" s="12">
        <f>ROUND(D$3*C17,0)</f>
        <v>25</v>
      </c>
      <c r="E17" s="13">
        <f>ROUND(D17/2,0)</f>
        <v>13</v>
      </c>
      <c r="F17" s="12">
        <f>D17-E17</f>
        <v>12</v>
      </c>
    </row>
    <row r="18" spans="1:6">
      <c r="A18" s="8">
        <v>2</v>
      </c>
      <c r="B18" s="11" t="s">
        <v>22</v>
      </c>
      <c r="C18" s="11"/>
      <c r="D18" s="9"/>
      <c r="E18" s="11"/>
      <c r="F18" s="11"/>
    </row>
    <row r="19" spans="1:6">
      <c r="A19" s="8"/>
      <c r="B19" s="11" t="s">
        <v>10</v>
      </c>
      <c r="C19" s="10">
        <v>2.5300000000000002E-4</v>
      </c>
      <c r="D19" s="12">
        <f t="shared" ref="D19:D24" si="0">ROUND(D$3*C19,0)</f>
        <v>29</v>
      </c>
      <c r="E19" s="13">
        <f t="shared" ref="E19:E25" si="1">ROUND(D19/2,0)</f>
        <v>15</v>
      </c>
      <c r="F19" s="12">
        <f t="shared" ref="F19:F25" si="2">D19-E19</f>
        <v>14</v>
      </c>
    </row>
    <row r="20" spans="1:6">
      <c r="A20" s="8"/>
      <c r="B20" s="11" t="s">
        <v>11</v>
      </c>
      <c r="C20" s="10">
        <v>1.74E-4</v>
      </c>
      <c r="D20" s="12">
        <f t="shared" si="0"/>
        <v>20</v>
      </c>
      <c r="E20" s="13">
        <f t="shared" si="1"/>
        <v>10</v>
      </c>
      <c r="F20" s="12">
        <f t="shared" si="2"/>
        <v>10</v>
      </c>
    </row>
    <row r="21" spans="1:6">
      <c r="A21" s="8">
        <v>3</v>
      </c>
      <c r="B21" s="11" t="s">
        <v>135</v>
      </c>
      <c r="C21" s="10">
        <v>0</v>
      </c>
      <c r="D21" s="12">
        <f t="shared" si="0"/>
        <v>0</v>
      </c>
      <c r="E21" s="13">
        <f t="shared" si="1"/>
        <v>0</v>
      </c>
      <c r="F21" s="12">
        <f t="shared" si="2"/>
        <v>0</v>
      </c>
    </row>
    <row r="22" spans="1:6">
      <c r="A22" s="8">
        <v>3</v>
      </c>
      <c r="B22" s="11" t="s">
        <v>136</v>
      </c>
      <c r="C22" s="10">
        <v>0.12617</v>
      </c>
      <c r="D22" s="12">
        <f t="shared" si="0"/>
        <v>14549</v>
      </c>
      <c r="E22" s="13">
        <f t="shared" si="1"/>
        <v>7275</v>
      </c>
      <c r="F22" s="12">
        <f t="shared" si="2"/>
        <v>7274</v>
      </c>
    </row>
    <row r="23" spans="1:6">
      <c r="A23" s="8">
        <v>3</v>
      </c>
      <c r="B23" s="11" t="s">
        <v>137</v>
      </c>
      <c r="C23" s="10">
        <v>3.248E-3</v>
      </c>
      <c r="D23" s="12">
        <f t="shared" si="0"/>
        <v>375</v>
      </c>
      <c r="E23" s="13">
        <f t="shared" si="1"/>
        <v>188</v>
      </c>
      <c r="F23" s="12">
        <f t="shared" si="2"/>
        <v>187</v>
      </c>
    </row>
    <row r="24" spans="1:6">
      <c r="A24" s="8">
        <v>3</v>
      </c>
      <c r="B24" s="11" t="s">
        <v>138</v>
      </c>
      <c r="C24" s="10">
        <v>0</v>
      </c>
      <c r="D24" s="12">
        <f t="shared" si="0"/>
        <v>0</v>
      </c>
      <c r="E24" s="13">
        <f t="shared" si="1"/>
        <v>0</v>
      </c>
      <c r="F24" s="12">
        <f t="shared" si="2"/>
        <v>0</v>
      </c>
    </row>
    <row r="25" spans="1:6">
      <c r="A25" s="8">
        <v>4</v>
      </c>
      <c r="B25" s="11" t="s">
        <v>139</v>
      </c>
      <c r="C25" s="10">
        <v>0.57178600000000002</v>
      </c>
      <c r="D25" s="9">
        <f>ROUND(D$3*C25,0)</f>
        <v>65934</v>
      </c>
      <c r="E25" s="11">
        <f t="shared" si="1"/>
        <v>32967</v>
      </c>
      <c r="F25" s="9">
        <f t="shared" si="2"/>
        <v>32967</v>
      </c>
    </row>
    <row r="26" spans="1:6">
      <c r="A26" s="8"/>
      <c r="B26" s="11" t="s">
        <v>28</v>
      </c>
      <c r="C26" s="11"/>
      <c r="D26" s="14">
        <v>0.41443600000000003</v>
      </c>
      <c r="E26" s="11"/>
      <c r="F26" s="11"/>
    </row>
    <row r="27" spans="1:6">
      <c r="A27" s="8"/>
      <c r="B27" s="11" t="s">
        <v>29</v>
      </c>
      <c r="C27" s="11"/>
      <c r="D27" s="225">
        <f>ROUND(D25*D26,0)</f>
        <v>27325</v>
      </c>
      <c r="E27" s="226">
        <f>ROUND(D27/2,0)</f>
        <v>13663</v>
      </c>
      <c r="F27" s="225">
        <f>D27-E27</f>
        <v>13662</v>
      </c>
    </row>
    <row r="28" spans="1:6">
      <c r="A28" s="8"/>
      <c r="B28" s="11" t="s">
        <v>30</v>
      </c>
      <c r="C28" s="11"/>
      <c r="D28" s="12">
        <f>+D25-D27</f>
        <v>38609</v>
      </c>
      <c r="E28" s="13">
        <f>ROUND(D28/2,0)</f>
        <v>19305</v>
      </c>
      <c r="F28" s="12">
        <f>D28-E28</f>
        <v>19304</v>
      </c>
    </row>
    <row r="29" spans="1:6">
      <c r="A29" s="8">
        <v>4</v>
      </c>
      <c r="B29" s="11" t="s">
        <v>140</v>
      </c>
      <c r="C29" s="10">
        <v>0</v>
      </c>
      <c r="D29" s="9">
        <f>ROUND(D$3*C29,0)</f>
        <v>0</v>
      </c>
      <c r="E29" s="11">
        <f>ROUND(D29/2,0)</f>
        <v>0</v>
      </c>
      <c r="F29" s="9">
        <f>D29-E29</f>
        <v>0</v>
      </c>
    </row>
    <row r="30" spans="1:6">
      <c r="A30" s="8"/>
      <c r="B30" s="11" t="s">
        <v>28</v>
      </c>
      <c r="C30" s="11"/>
      <c r="D30" s="14">
        <v>0.43941999999999998</v>
      </c>
      <c r="E30" s="11"/>
      <c r="F30" s="11"/>
    </row>
    <row r="31" spans="1:6">
      <c r="A31" s="8"/>
      <c r="B31" s="11" t="s">
        <v>29</v>
      </c>
      <c r="C31" s="11"/>
      <c r="D31" s="225">
        <f>ROUND(D29*D30,0)</f>
        <v>0</v>
      </c>
      <c r="E31" s="226">
        <f t="shared" ref="E31:E36" si="3">ROUND(D31/2,0)</f>
        <v>0</v>
      </c>
      <c r="F31" s="225">
        <f t="shared" ref="F31:F36" si="4">D31-E31</f>
        <v>0</v>
      </c>
    </row>
    <row r="32" spans="1:6">
      <c r="A32" s="8"/>
      <c r="B32" s="11" t="s">
        <v>30</v>
      </c>
      <c r="C32" s="11"/>
      <c r="D32" s="12">
        <f>+D29-D31</f>
        <v>0</v>
      </c>
      <c r="E32" s="13">
        <f t="shared" si="3"/>
        <v>0</v>
      </c>
      <c r="F32" s="12">
        <f t="shared" si="4"/>
        <v>0</v>
      </c>
    </row>
    <row r="33" spans="1:8">
      <c r="A33" s="8">
        <v>5</v>
      </c>
      <c r="B33" s="11" t="s">
        <v>141</v>
      </c>
      <c r="C33" s="10">
        <v>0</v>
      </c>
      <c r="D33" s="12">
        <f>ROUND(D$3*C33,0)</f>
        <v>0</v>
      </c>
      <c r="E33" s="13">
        <f t="shared" si="3"/>
        <v>0</v>
      </c>
      <c r="F33" s="12">
        <f t="shared" si="4"/>
        <v>0</v>
      </c>
    </row>
    <row r="34" spans="1:8">
      <c r="A34" s="8">
        <v>5</v>
      </c>
      <c r="B34" s="11" t="s">
        <v>142</v>
      </c>
      <c r="C34" s="10">
        <v>1.9592999999999999E-2</v>
      </c>
      <c r="D34" s="12">
        <f>ROUND(D$3*C34,0)</f>
        <v>2259</v>
      </c>
      <c r="E34" s="13">
        <f t="shared" si="3"/>
        <v>1130</v>
      </c>
      <c r="F34" s="12">
        <f t="shared" si="4"/>
        <v>1129</v>
      </c>
    </row>
    <row r="35" spans="1:8">
      <c r="A35" s="8">
        <v>5</v>
      </c>
      <c r="B35" s="11" t="s">
        <v>143</v>
      </c>
      <c r="C35" s="10">
        <v>4.6389999999999999E-3</v>
      </c>
      <c r="D35" s="12">
        <f>+D3-SUM(D4:D5)-SUM(D10:D25)-D34</f>
        <v>535</v>
      </c>
      <c r="E35" s="13">
        <f t="shared" si="3"/>
        <v>268</v>
      </c>
      <c r="F35" s="12">
        <f t="shared" si="4"/>
        <v>267</v>
      </c>
    </row>
    <row r="36" spans="1:8">
      <c r="A36" s="8">
        <v>6</v>
      </c>
      <c r="B36" s="11" t="s">
        <v>144</v>
      </c>
      <c r="C36" s="10">
        <v>0</v>
      </c>
      <c r="D36" s="12">
        <f>ROUND(D$3*C36,0)</f>
        <v>0</v>
      </c>
      <c r="E36" s="13">
        <f t="shared" si="3"/>
        <v>0</v>
      </c>
      <c r="F36" s="12">
        <f t="shared" si="4"/>
        <v>0</v>
      </c>
    </row>
    <row r="37" spans="1:8">
      <c r="A37" s="8"/>
      <c r="B37" s="34" t="s">
        <v>37</v>
      </c>
      <c r="C37" s="10">
        <v>0.99999999999999989</v>
      </c>
      <c r="D37" s="12">
        <f>+D4+SUM(D7:D24)+D27+D28+D31+D32+D33+D34+D35+D36</f>
        <v>115313</v>
      </c>
      <c r="E37" s="12">
        <f>+E4+SUM(E7:E24)+E27+E28+E31+E32+E33+E34+E35+E36</f>
        <v>57663</v>
      </c>
      <c r="F37" s="12">
        <f>+F4+SUM(F7:F24)+F27+F28+F31+F32+F33+F34+F35+F36</f>
        <v>57650</v>
      </c>
    </row>
    <row r="38" spans="1:8">
      <c r="B38" s="18" t="s">
        <v>38</v>
      </c>
      <c r="D38" s="19">
        <f>+D4</f>
        <v>102</v>
      </c>
      <c r="E38" s="19">
        <f>+E4</f>
        <v>51</v>
      </c>
      <c r="F38" s="19">
        <f>+F4</f>
        <v>51</v>
      </c>
    </row>
    <row r="39" spans="1:8">
      <c r="B39" s="2" t="s">
        <v>39</v>
      </c>
      <c r="D39" s="19">
        <f>+D7</f>
        <v>3905</v>
      </c>
      <c r="E39" s="19">
        <f>+E7</f>
        <v>1953</v>
      </c>
      <c r="F39" s="19">
        <f>+F7</f>
        <v>1952</v>
      </c>
    </row>
    <row r="40" spans="1:8">
      <c r="B40" s="2" t="s">
        <v>40</v>
      </c>
      <c r="D40" s="19">
        <f>+D27+D31</f>
        <v>27325</v>
      </c>
      <c r="E40" s="19">
        <f>+E27+E31</f>
        <v>13663</v>
      </c>
      <c r="F40" s="19">
        <f>+F27+F31</f>
        <v>13662</v>
      </c>
      <c r="H40" s="3">
        <v>1</v>
      </c>
    </row>
    <row r="41" spans="1:8">
      <c r="B41" s="18" t="s">
        <v>41</v>
      </c>
      <c r="D41" s="19">
        <f>+D37-D38-D39-D40</f>
        <v>83981</v>
      </c>
      <c r="E41" s="19">
        <f>+E37-E38-E39-E40</f>
        <v>41996</v>
      </c>
      <c r="F41" s="19">
        <f>+F37-F38-F39-F40</f>
        <v>41985</v>
      </c>
      <c r="H41" s="3">
        <v>2</v>
      </c>
    </row>
    <row r="43" spans="1:8" hidden="1">
      <c r="B43" s="3" t="s">
        <v>42</v>
      </c>
      <c r="C43" s="4">
        <v>0</v>
      </c>
      <c r="D43" s="3">
        <f>+D35-ROUND(D3*C35,0)</f>
        <v>0</v>
      </c>
    </row>
    <row r="71" spans="1:1">
      <c r="A71" s="1" t="s">
        <v>590</v>
      </c>
    </row>
  </sheetData>
  <pageMargins left="0.7" right="0.7" top="0.75" bottom="0.75" header="0.3" footer="0.3"/>
  <pageSetup scale="5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pageSetUpPr fitToPage="1"/>
  </sheetPr>
  <dimension ref="A1:WVB78"/>
  <sheetViews>
    <sheetView topLeftCell="A45" zoomScaleNormal="100" zoomScaleSheetLayoutView="90" workbookViewId="0">
      <selection activeCell="D66" activeCellId="4" sqref="D7:F7 D54:F54 D58:F58 D62:F62 D66:F66"/>
    </sheetView>
  </sheetViews>
  <sheetFormatPr defaultColWidth="0" defaultRowHeight="15"/>
  <cols>
    <col min="1" max="1" width="13.140625" style="1" customWidth="1"/>
    <col min="2" max="2" width="57.140625" style="3" customWidth="1"/>
    <col min="3" max="6" width="20.42578125" style="3" customWidth="1"/>
    <col min="7" max="7" width="9.140625" style="3" customWidth="1"/>
    <col min="8" max="187" width="9.140625" style="3" hidden="1"/>
    <col min="188" max="188" width="11" style="3" hidden="1"/>
    <col min="189" max="189" width="54.57031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57031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57031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57031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57031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57031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57031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57031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57031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57031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57031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57031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57031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57031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57031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57031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57031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57031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57031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57031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57031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57031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57031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57031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57031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57031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57031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57031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57031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57031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57031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57031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57031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57031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57031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57031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57031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57031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57031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57031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57031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57031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57031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57031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57031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57031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57031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57031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57031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57031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57031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57031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57031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57031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57031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57031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57031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57031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57031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57031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57031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57031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57031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A1" s="3"/>
      <c r="B1" s="2" t="s">
        <v>145</v>
      </c>
    </row>
    <row r="2" spans="1:6" ht="45.75" customHeight="1">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Worksheet'!$D$9</f>
        <v>505208</v>
      </c>
      <c r="E3" s="11"/>
      <c r="F3" s="11"/>
    </row>
    <row r="4" spans="1:6">
      <c r="A4" s="8">
        <v>0</v>
      </c>
      <c r="B4" s="11" t="s">
        <v>4</v>
      </c>
      <c r="C4" s="10">
        <v>1.2179999999999999E-3</v>
      </c>
      <c r="D4" s="12">
        <f>ROUND(D$3*C4,0)</f>
        <v>615</v>
      </c>
      <c r="E4" s="13">
        <f>ROUND(D4/2,0)</f>
        <v>308</v>
      </c>
      <c r="F4" s="12">
        <f>D4-E4</f>
        <v>307</v>
      </c>
    </row>
    <row r="5" spans="1:6">
      <c r="A5" s="8">
        <v>1</v>
      </c>
      <c r="B5" s="11" t="s">
        <v>146</v>
      </c>
      <c r="C5" s="10">
        <v>0.154589</v>
      </c>
      <c r="D5" s="9">
        <f>ROUND(D$3*C5,0)</f>
        <v>78100</v>
      </c>
      <c r="E5" s="11">
        <f>ROUND(D5/2,0)</f>
        <v>39050</v>
      </c>
      <c r="F5" s="9">
        <f>D5-E5</f>
        <v>39050</v>
      </c>
    </row>
    <row r="6" spans="1:6">
      <c r="A6" s="8"/>
      <c r="B6" s="11" t="s">
        <v>6</v>
      </c>
      <c r="C6" s="11"/>
      <c r="D6" s="14">
        <v>0.22176899999999999</v>
      </c>
      <c r="E6" s="11"/>
      <c r="F6" s="11"/>
    </row>
    <row r="7" spans="1:6">
      <c r="A7" s="8"/>
      <c r="B7" s="11" t="s">
        <v>7</v>
      </c>
      <c r="C7" s="11"/>
      <c r="D7" s="228">
        <f>ROUND(D5*D6,0)</f>
        <v>17320</v>
      </c>
      <c r="E7" s="229">
        <f>ROUND(D7/2,0)</f>
        <v>8660</v>
      </c>
      <c r="F7" s="228">
        <f>D7-E7</f>
        <v>8660</v>
      </c>
    </row>
    <row r="8" spans="1:6">
      <c r="A8" s="8"/>
      <c r="B8" s="11" t="s">
        <v>8</v>
      </c>
      <c r="C8" s="11"/>
      <c r="D8" s="12">
        <f>+D5-D7</f>
        <v>60780</v>
      </c>
      <c r="E8" s="13">
        <f>ROUND(D8/2,0)</f>
        <v>30390</v>
      </c>
      <c r="F8" s="12">
        <f>D8-E8</f>
        <v>30390</v>
      </c>
    </row>
    <row r="9" spans="1:6">
      <c r="A9" s="8">
        <v>2</v>
      </c>
      <c r="B9" s="11" t="s">
        <v>107</v>
      </c>
      <c r="C9" s="11"/>
      <c r="D9" s="9"/>
      <c r="E9" s="11"/>
      <c r="F9" s="11"/>
    </row>
    <row r="10" spans="1:6">
      <c r="A10" s="8"/>
      <c r="B10" s="11" t="s">
        <v>10</v>
      </c>
      <c r="C10" s="10">
        <v>7.3740000000000003E-3</v>
      </c>
      <c r="D10" s="12">
        <f>ROUND(D$3*C10,0)</f>
        <v>3725</v>
      </c>
      <c r="E10" s="13">
        <f>ROUND(D10/2,0)</f>
        <v>1863</v>
      </c>
      <c r="F10" s="12">
        <f>D10-E10</f>
        <v>1862</v>
      </c>
    </row>
    <row r="11" spans="1:6">
      <c r="A11" s="8"/>
      <c r="B11" s="11" t="s">
        <v>11</v>
      </c>
      <c r="C11" s="10">
        <v>2.0370000000000002E-3</v>
      </c>
      <c r="D11" s="12">
        <f>ROUND(D$3*C11,0)</f>
        <v>1029</v>
      </c>
      <c r="E11" s="13">
        <f>ROUND(D11/2,0)</f>
        <v>515</v>
      </c>
      <c r="F11" s="12">
        <f>D11-E11</f>
        <v>514</v>
      </c>
    </row>
    <row r="12" spans="1:6">
      <c r="A12" s="8">
        <v>2</v>
      </c>
      <c r="B12" s="11" t="s">
        <v>147</v>
      </c>
      <c r="C12" s="11"/>
      <c r="D12" s="9"/>
      <c r="E12" s="11"/>
      <c r="F12" s="11"/>
    </row>
    <row r="13" spans="1:6">
      <c r="A13" s="8"/>
      <c r="B13" s="11" t="s">
        <v>10</v>
      </c>
      <c r="C13" s="10">
        <v>0</v>
      </c>
      <c r="D13" s="12">
        <f>ROUND(D$3*C13,0)</f>
        <v>0</v>
      </c>
      <c r="E13" s="13">
        <f>ROUND(D13/2,0)</f>
        <v>0</v>
      </c>
      <c r="F13" s="12">
        <f>D13-E13</f>
        <v>0</v>
      </c>
    </row>
    <row r="14" spans="1:6">
      <c r="A14" s="8"/>
      <c r="B14" s="11" t="s">
        <v>11</v>
      </c>
      <c r="C14" s="10">
        <v>0</v>
      </c>
      <c r="D14" s="12">
        <f>ROUND(D$3*C14,0)</f>
        <v>0</v>
      </c>
      <c r="E14" s="13">
        <f>ROUND(D14/2,0)</f>
        <v>0</v>
      </c>
      <c r="F14" s="12">
        <f>D14-E14</f>
        <v>0</v>
      </c>
    </row>
    <row r="15" spans="1:6">
      <c r="A15" s="8">
        <v>2</v>
      </c>
      <c r="B15" s="11" t="s">
        <v>148</v>
      </c>
      <c r="C15" s="11"/>
      <c r="D15" s="9"/>
      <c r="E15" s="11"/>
      <c r="F15" s="11"/>
    </row>
    <row r="16" spans="1:6">
      <c r="A16" s="8"/>
      <c r="B16" s="11" t="s">
        <v>10</v>
      </c>
      <c r="C16" s="10">
        <v>1.856E-3</v>
      </c>
      <c r="D16" s="12">
        <f>ROUND(D$3*C16,0)</f>
        <v>938</v>
      </c>
      <c r="E16" s="13">
        <f>ROUND(D16/2,0)</f>
        <v>469</v>
      </c>
      <c r="F16" s="12">
        <f>D16-E16</f>
        <v>469</v>
      </c>
    </row>
    <row r="17" spans="1:6">
      <c r="A17" s="8"/>
      <c r="B17" s="11" t="s">
        <v>11</v>
      </c>
      <c r="C17" s="10">
        <v>9.3800000000000003E-4</v>
      </c>
      <c r="D17" s="12">
        <f>ROUND(D$3*C17,0)</f>
        <v>474</v>
      </c>
      <c r="E17" s="13">
        <f>ROUND(D17/2,0)</f>
        <v>237</v>
      </c>
      <c r="F17" s="12">
        <f>D17-E17</f>
        <v>237</v>
      </c>
    </row>
    <row r="18" spans="1:6">
      <c r="A18" s="8">
        <v>2</v>
      </c>
      <c r="B18" s="11" t="s">
        <v>86</v>
      </c>
      <c r="C18" s="11"/>
      <c r="D18" s="9"/>
      <c r="E18" s="11"/>
      <c r="F18" s="11"/>
    </row>
    <row r="19" spans="1:6">
      <c r="A19" s="8"/>
      <c r="B19" s="11" t="s">
        <v>10</v>
      </c>
      <c r="C19" s="10">
        <v>1.1900000000000001E-4</v>
      </c>
      <c r="D19" s="12">
        <f>ROUND(D$3*C19,0)</f>
        <v>60</v>
      </c>
      <c r="E19" s="13">
        <f>ROUND(D19/2,0)</f>
        <v>30</v>
      </c>
      <c r="F19" s="12">
        <f>D19-E19</f>
        <v>30</v>
      </c>
    </row>
    <row r="20" spans="1:6">
      <c r="A20" s="8"/>
      <c r="B20" s="11" t="s">
        <v>11</v>
      </c>
      <c r="C20" s="10">
        <v>3.6000000000000001E-5</v>
      </c>
      <c r="D20" s="12">
        <f>ROUND(D$3*C20,0)</f>
        <v>18</v>
      </c>
      <c r="E20" s="13">
        <f>ROUND(D20/2,0)</f>
        <v>9</v>
      </c>
      <c r="F20" s="12">
        <f>D20-E20</f>
        <v>9</v>
      </c>
    </row>
    <row r="21" spans="1:6">
      <c r="A21" s="8">
        <v>2</v>
      </c>
      <c r="B21" s="11" t="s">
        <v>49</v>
      </c>
      <c r="C21" s="11"/>
      <c r="D21" s="9"/>
      <c r="E21" s="11"/>
      <c r="F21" s="11"/>
    </row>
    <row r="22" spans="1:6">
      <c r="A22" s="8"/>
      <c r="B22" s="11" t="s">
        <v>10</v>
      </c>
      <c r="C22" s="10">
        <v>3.1E-4</v>
      </c>
      <c r="D22" s="12">
        <f>ROUND(D$3*C22,0)</f>
        <v>157</v>
      </c>
      <c r="E22" s="13">
        <f>ROUND(D22/2,0)</f>
        <v>79</v>
      </c>
      <c r="F22" s="12">
        <f>D22-E22</f>
        <v>78</v>
      </c>
    </row>
    <row r="23" spans="1:6">
      <c r="A23" s="8"/>
      <c r="B23" s="11" t="s">
        <v>11</v>
      </c>
      <c r="C23" s="10">
        <v>2.5999999999999998E-4</v>
      </c>
      <c r="D23" s="12">
        <f>ROUND(D$3*C23,0)</f>
        <v>131</v>
      </c>
      <c r="E23" s="13">
        <f>ROUND(D23/2,0)</f>
        <v>66</v>
      </c>
      <c r="F23" s="12">
        <f>D23-E23</f>
        <v>65</v>
      </c>
    </row>
    <row r="24" spans="1:6">
      <c r="A24" s="8">
        <v>2</v>
      </c>
      <c r="B24" s="11" t="s">
        <v>14</v>
      </c>
      <c r="C24" s="11"/>
      <c r="D24" s="9"/>
      <c r="E24" s="11"/>
      <c r="F24" s="11"/>
    </row>
    <row r="25" spans="1:6">
      <c r="A25" s="8"/>
      <c r="B25" s="11" t="s">
        <v>10</v>
      </c>
      <c r="C25" s="10">
        <v>1.12E-4</v>
      </c>
      <c r="D25" s="12">
        <f>ROUND(D$3*C25,0)</f>
        <v>57</v>
      </c>
      <c r="E25" s="13">
        <f>ROUND(D25/2,0)</f>
        <v>29</v>
      </c>
      <c r="F25" s="12">
        <f>D25-E25</f>
        <v>28</v>
      </c>
    </row>
    <row r="26" spans="1:6">
      <c r="A26" s="8"/>
      <c r="B26" s="11" t="s">
        <v>11</v>
      </c>
      <c r="C26" s="10">
        <v>6.0999999999999999E-5</v>
      </c>
      <c r="D26" s="12">
        <f>ROUND(D$3*C26,0)</f>
        <v>31</v>
      </c>
      <c r="E26" s="13">
        <f>ROUND(D26/2,0)</f>
        <v>16</v>
      </c>
      <c r="F26" s="12">
        <f>D26-E26</f>
        <v>15</v>
      </c>
    </row>
    <row r="27" spans="1:6">
      <c r="A27" s="8">
        <v>2</v>
      </c>
      <c r="B27" s="11" t="s">
        <v>53</v>
      </c>
      <c r="C27" s="11"/>
      <c r="D27" s="9"/>
      <c r="E27" s="11"/>
      <c r="F27" s="11"/>
    </row>
    <row r="28" spans="1:6">
      <c r="A28" s="8"/>
      <c r="B28" s="11" t="s">
        <v>10</v>
      </c>
      <c r="C28" s="10">
        <v>1.93E-4</v>
      </c>
      <c r="D28" s="12">
        <f>ROUND(D$3*C28,0)</f>
        <v>98</v>
      </c>
      <c r="E28" s="13">
        <f>ROUND(D28/2,0)</f>
        <v>49</v>
      </c>
      <c r="F28" s="12">
        <f>D28-E28</f>
        <v>49</v>
      </c>
    </row>
    <row r="29" spans="1:6">
      <c r="A29" s="8"/>
      <c r="B29" s="11" t="s">
        <v>11</v>
      </c>
      <c r="C29" s="10">
        <v>1.2999999999999999E-4</v>
      </c>
      <c r="D29" s="12">
        <f>ROUND(D$3*C29,0)</f>
        <v>66</v>
      </c>
      <c r="E29" s="13">
        <f>ROUND(D29/2,0)</f>
        <v>33</v>
      </c>
      <c r="F29" s="12">
        <f>D29-E29</f>
        <v>33</v>
      </c>
    </row>
    <row r="30" spans="1:6">
      <c r="A30" s="8">
        <v>2</v>
      </c>
      <c r="B30" s="11" t="s">
        <v>56</v>
      </c>
      <c r="C30" s="11"/>
      <c r="D30" s="9"/>
      <c r="E30" s="11"/>
      <c r="F30" s="11"/>
    </row>
    <row r="31" spans="1:6">
      <c r="A31" s="8"/>
      <c r="B31" s="11" t="s">
        <v>10</v>
      </c>
      <c r="C31" s="10">
        <v>4.8199999999999996E-3</v>
      </c>
      <c r="D31" s="12">
        <f>ROUND(D$3*C31,0)</f>
        <v>2435</v>
      </c>
      <c r="E31" s="13">
        <f>ROUND(D31/2,0)</f>
        <v>1218</v>
      </c>
      <c r="F31" s="12">
        <f>D31-E31</f>
        <v>1217</v>
      </c>
    </row>
    <row r="32" spans="1:6">
      <c r="A32" s="8"/>
      <c r="B32" s="11" t="s">
        <v>11</v>
      </c>
      <c r="C32" s="10">
        <v>3.8999999999999998E-3</v>
      </c>
      <c r="D32" s="12">
        <f>ROUND(D$3*C32,0)</f>
        <v>1970</v>
      </c>
      <c r="E32" s="13">
        <f>ROUND(D32/2,0)</f>
        <v>985</v>
      </c>
      <c r="F32" s="12">
        <f>D32-E32</f>
        <v>985</v>
      </c>
    </row>
    <row r="33" spans="1:6">
      <c r="A33" s="8">
        <v>2</v>
      </c>
      <c r="B33" s="11" t="s">
        <v>149</v>
      </c>
      <c r="C33" s="11"/>
      <c r="D33" s="9"/>
      <c r="E33" s="11"/>
      <c r="F33" s="11"/>
    </row>
    <row r="34" spans="1:6">
      <c r="A34" s="8"/>
      <c r="B34" s="11" t="s">
        <v>10</v>
      </c>
      <c r="C34" s="10">
        <v>4.1800000000000002E-4</v>
      </c>
      <c r="D34" s="12">
        <f>ROUND(D$3*C34,0)</f>
        <v>211</v>
      </c>
      <c r="E34" s="13">
        <f>ROUND(D34/2,0)</f>
        <v>106</v>
      </c>
      <c r="F34" s="12">
        <f>D34-E34</f>
        <v>105</v>
      </c>
    </row>
    <row r="35" spans="1:6">
      <c r="A35" s="8"/>
      <c r="B35" s="11" t="s">
        <v>11</v>
      </c>
      <c r="C35" s="10">
        <v>3.7500000000000001E-4</v>
      </c>
      <c r="D35" s="12">
        <f>ROUND(D$3*C35,0)</f>
        <v>189</v>
      </c>
      <c r="E35" s="13">
        <f>ROUND(D35/2,0)</f>
        <v>95</v>
      </c>
      <c r="F35" s="12">
        <f>D35-E35</f>
        <v>94</v>
      </c>
    </row>
    <row r="36" spans="1:6">
      <c r="A36" s="8">
        <v>2</v>
      </c>
      <c r="B36" s="11" t="s">
        <v>20</v>
      </c>
      <c r="C36" s="11"/>
      <c r="D36" s="9"/>
      <c r="E36" s="11"/>
      <c r="F36" s="11"/>
    </row>
    <row r="37" spans="1:6">
      <c r="A37" s="8"/>
      <c r="B37" s="11" t="s">
        <v>10</v>
      </c>
      <c r="C37" s="10">
        <v>3.6600000000000001E-4</v>
      </c>
      <c r="D37" s="12">
        <f>ROUND(D$3*C37,0)</f>
        <v>185</v>
      </c>
      <c r="E37" s="13">
        <f>ROUND(D37/2,0)</f>
        <v>93</v>
      </c>
      <c r="F37" s="12">
        <f>D37-E37</f>
        <v>92</v>
      </c>
    </row>
    <row r="38" spans="1:6">
      <c r="A38" s="8"/>
      <c r="B38" s="11" t="s">
        <v>11</v>
      </c>
      <c r="C38" s="10">
        <v>1.4799999999999999E-4</v>
      </c>
      <c r="D38" s="12">
        <f>ROUND(D$3*C38,0)</f>
        <v>75</v>
      </c>
      <c r="E38" s="13">
        <f>ROUND(D38/2,0)</f>
        <v>38</v>
      </c>
      <c r="F38" s="12">
        <f>D38-E38</f>
        <v>37</v>
      </c>
    </row>
    <row r="39" spans="1:6">
      <c r="A39" s="8">
        <v>2</v>
      </c>
      <c r="B39" s="11" t="s">
        <v>22</v>
      </c>
      <c r="C39" s="11"/>
      <c r="D39" s="9"/>
      <c r="E39" s="11"/>
      <c r="F39" s="11"/>
    </row>
    <row r="40" spans="1:6">
      <c r="A40" s="8"/>
      <c r="B40" s="11" t="s">
        <v>10</v>
      </c>
      <c r="C40" s="10">
        <v>4.28E-4</v>
      </c>
      <c r="D40" s="12">
        <f>ROUND(D$3*C40,0)</f>
        <v>216</v>
      </c>
      <c r="E40" s="13">
        <f>ROUND(D40/2,0)</f>
        <v>108</v>
      </c>
      <c r="F40" s="12">
        <f>D40-E40</f>
        <v>108</v>
      </c>
    </row>
    <row r="41" spans="1:6">
      <c r="A41" s="8"/>
      <c r="B41" s="11" t="s">
        <v>11</v>
      </c>
      <c r="C41" s="10">
        <v>1.9100000000000001E-4</v>
      </c>
      <c r="D41" s="12">
        <f>ROUND(D$3*C41,0)</f>
        <v>96</v>
      </c>
      <c r="E41" s="13">
        <f>ROUND(D41/2,0)</f>
        <v>48</v>
      </c>
      <c r="F41" s="12">
        <f>D41-E41</f>
        <v>48</v>
      </c>
    </row>
    <row r="42" spans="1:6">
      <c r="A42" s="8">
        <v>2</v>
      </c>
      <c r="B42" s="11" t="s">
        <v>150</v>
      </c>
      <c r="C42" s="11"/>
      <c r="D42" s="9"/>
      <c r="E42" s="11"/>
      <c r="F42" s="11"/>
    </row>
    <row r="43" spans="1:6">
      <c r="A43" s="8"/>
      <c r="B43" s="11" t="s">
        <v>10</v>
      </c>
      <c r="C43" s="10">
        <v>6.0999999999999999E-5</v>
      </c>
      <c r="D43" s="12">
        <f t="shared" ref="D43:D52" si="0">ROUND(D$3*C43,0)</f>
        <v>31</v>
      </c>
      <c r="E43" s="13">
        <f t="shared" ref="E43:E52" si="1">ROUND(D43/2,0)</f>
        <v>16</v>
      </c>
      <c r="F43" s="12">
        <f t="shared" ref="F43:F52" si="2">D43-E43</f>
        <v>15</v>
      </c>
    </row>
    <row r="44" spans="1:6">
      <c r="A44" s="8"/>
      <c r="B44" s="11" t="s">
        <v>11</v>
      </c>
      <c r="C44" s="10">
        <v>1.01E-4</v>
      </c>
      <c r="D44" s="12">
        <f t="shared" si="0"/>
        <v>51</v>
      </c>
      <c r="E44" s="13">
        <f t="shared" si="1"/>
        <v>26</v>
      </c>
      <c r="F44" s="12">
        <f t="shared" si="2"/>
        <v>25</v>
      </c>
    </row>
    <row r="45" spans="1:6">
      <c r="A45" s="8">
        <v>3</v>
      </c>
      <c r="B45" s="11" t="s">
        <v>151</v>
      </c>
      <c r="C45" s="10">
        <v>9.4700000000000003E-4</v>
      </c>
      <c r="D45" s="12">
        <f t="shared" si="0"/>
        <v>478</v>
      </c>
      <c r="E45" s="13">
        <f t="shared" si="1"/>
        <v>239</v>
      </c>
      <c r="F45" s="12">
        <f t="shared" si="2"/>
        <v>239</v>
      </c>
    </row>
    <row r="46" spans="1:6">
      <c r="A46" s="8">
        <v>3</v>
      </c>
      <c r="B46" s="11" t="s">
        <v>152</v>
      </c>
      <c r="C46" s="10">
        <v>2.3800000000000001E-4</v>
      </c>
      <c r="D46" s="12">
        <f t="shared" si="0"/>
        <v>120</v>
      </c>
      <c r="E46" s="13">
        <f t="shared" si="1"/>
        <v>60</v>
      </c>
      <c r="F46" s="12">
        <f t="shared" si="2"/>
        <v>60</v>
      </c>
    </row>
    <row r="47" spans="1:6">
      <c r="A47" s="8">
        <v>3</v>
      </c>
      <c r="B47" s="11" t="s">
        <v>153</v>
      </c>
      <c r="C47" s="10">
        <v>3.073E-2</v>
      </c>
      <c r="D47" s="12">
        <f t="shared" si="0"/>
        <v>15525</v>
      </c>
      <c r="E47" s="13">
        <f t="shared" si="1"/>
        <v>7763</v>
      </c>
      <c r="F47" s="12">
        <f t="shared" si="2"/>
        <v>7762</v>
      </c>
    </row>
    <row r="48" spans="1:6">
      <c r="A48" s="8">
        <v>3</v>
      </c>
      <c r="B48" s="11" t="s">
        <v>154</v>
      </c>
      <c r="C48" s="10">
        <v>1.7100000000000001E-4</v>
      </c>
      <c r="D48" s="12">
        <f t="shared" si="0"/>
        <v>86</v>
      </c>
      <c r="E48" s="13">
        <f t="shared" si="1"/>
        <v>43</v>
      </c>
      <c r="F48" s="12">
        <f t="shared" si="2"/>
        <v>43</v>
      </c>
    </row>
    <row r="49" spans="1:6">
      <c r="A49" s="8">
        <v>3</v>
      </c>
      <c r="B49" s="11" t="s">
        <v>155</v>
      </c>
      <c r="C49" s="10">
        <v>0</v>
      </c>
      <c r="D49" s="12">
        <f t="shared" si="0"/>
        <v>0</v>
      </c>
      <c r="E49" s="13">
        <f t="shared" si="1"/>
        <v>0</v>
      </c>
      <c r="F49" s="12">
        <f t="shared" si="2"/>
        <v>0</v>
      </c>
    </row>
    <row r="50" spans="1:6">
      <c r="A50" s="8">
        <v>3</v>
      </c>
      <c r="B50" s="11" t="s">
        <v>156</v>
      </c>
      <c r="C50" s="10">
        <v>2.3969999999999998E-3</v>
      </c>
      <c r="D50" s="12">
        <f t="shared" si="0"/>
        <v>1211</v>
      </c>
      <c r="E50" s="13">
        <f t="shared" si="1"/>
        <v>606</v>
      </c>
      <c r="F50" s="12">
        <f t="shared" si="2"/>
        <v>605</v>
      </c>
    </row>
    <row r="51" spans="1:6">
      <c r="A51" s="8">
        <v>3</v>
      </c>
      <c r="B51" s="11" t="s">
        <v>157</v>
      </c>
      <c r="C51" s="10">
        <v>1.2015E-2</v>
      </c>
      <c r="D51" s="12">
        <f t="shared" si="0"/>
        <v>6070</v>
      </c>
      <c r="E51" s="13">
        <f t="shared" si="1"/>
        <v>3035</v>
      </c>
      <c r="F51" s="12">
        <f t="shared" si="2"/>
        <v>3035</v>
      </c>
    </row>
    <row r="52" spans="1:6">
      <c r="A52" s="8">
        <v>4</v>
      </c>
      <c r="B52" s="11" t="s">
        <v>158</v>
      </c>
      <c r="C52" s="10">
        <v>0.145348</v>
      </c>
      <c r="D52" s="9">
        <f t="shared" si="0"/>
        <v>73431</v>
      </c>
      <c r="E52" s="11">
        <f t="shared" si="1"/>
        <v>36716</v>
      </c>
      <c r="F52" s="9">
        <f t="shared" si="2"/>
        <v>36715</v>
      </c>
    </row>
    <row r="53" spans="1:6">
      <c r="A53" s="8"/>
      <c r="B53" s="11" t="s">
        <v>28</v>
      </c>
      <c r="C53" s="11"/>
      <c r="D53" s="14">
        <v>0.43420599999999998</v>
      </c>
      <c r="E53" s="11"/>
      <c r="F53" s="11"/>
    </row>
    <row r="54" spans="1:6">
      <c r="A54" s="8"/>
      <c r="B54" s="11" t="s">
        <v>29</v>
      </c>
      <c r="C54" s="11"/>
      <c r="D54" s="228">
        <f>ROUND(D52*D53,0)</f>
        <v>31884</v>
      </c>
      <c r="E54" s="229">
        <f>ROUND(D54/2,0)</f>
        <v>15942</v>
      </c>
      <c r="F54" s="228">
        <f>D54-E54</f>
        <v>15942</v>
      </c>
    </row>
    <row r="55" spans="1:6">
      <c r="A55" s="8"/>
      <c r="B55" s="11" t="s">
        <v>30</v>
      </c>
      <c r="C55" s="11"/>
      <c r="D55" s="12">
        <f>+D52-D54</f>
        <v>41547</v>
      </c>
      <c r="E55" s="13">
        <f>ROUND(D55/2,0)</f>
        <v>20774</v>
      </c>
      <c r="F55" s="12">
        <f>D55-E55</f>
        <v>20773</v>
      </c>
    </row>
    <row r="56" spans="1:6">
      <c r="A56" s="8">
        <v>4</v>
      </c>
      <c r="B56" s="11" t="s">
        <v>159</v>
      </c>
      <c r="C56" s="10">
        <v>0.48934100000000003</v>
      </c>
      <c r="D56" s="9">
        <f>ROUND(D$3*C56,0)</f>
        <v>247219</v>
      </c>
      <c r="E56" s="11">
        <f>ROUND(D56/2,0)</f>
        <v>123610</v>
      </c>
      <c r="F56" s="9">
        <f>D56-E56</f>
        <v>123609</v>
      </c>
    </row>
    <row r="57" spans="1:6">
      <c r="A57" s="8"/>
      <c r="B57" s="11" t="s">
        <v>28</v>
      </c>
      <c r="C57" s="11"/>
      <c r="D57" s="14">
        <v>0.385326</v>
      </c>
      <c r="E57" s="11"/>
      <c r="F57" s="11"/>
    </row>
    <row r="58" spans="1:6">
      <c r="A58" s="8"/>
      <c r="B58" s="11" t="s">
        <v>29</v>
      </c>
      <c r="C58" s="11"/>
      <c r="D58" s="228">
        <f>ROUND(D56*D57,0)</f>
        <v>95260</v>
      </c>
      <c r="E58" s="229">
        <f>ROUND(D58/2,0)</f>
        <v>47630</v>
      </c>
      <c r="F58" s="228">
        <f>D58-E58</f>
        <v>47630</v>
      </c>
    </row>
    <row r="59" spans="1:6">
      <c r="A59" s="8"/>
      <c r="B59" s="11" t="s">
        <v>30</v>
      </c>
      <c r="C59" s="11"/>
      <c r="D59" s="12">
        <f>+D56-D58</f>
        <v>151959</v>
      </c>
      <c r="E59" s="13">
        <f>ROUND(D59/2,0)</f>
        <v>75980</v>
      </c>
      <c r="F59" s="12">
        <f>D59-E59</f>
        <v>75979</v>
      </c>
    </row>
    <row r="60" spans="1:6">
      <c r="A60" s="8">
        <v>4</v>
      </c>
      <c r="B60" s="11" t="s">
        <v>160</v>
      </c>
      <c r="C60" s="10">
        <v>2.0445000000000001E-2</v>
      </c>
      <c r="D60" s="9">
        <f>ROUND(D$3*C60,0)</f>
        <v>10329</v>
      </c>
      <c r="E60" s="11">
        <f>ROUND(D60/2,0)</f>
        <v>5165</v>
      </c>
      <c r="F60" s="9">
        <f>D60-E60</f>
        <v>5164</v>
      </c>
    </row>
    <row r="61" spans="1:6">
      <c r="A61" s="8"/>
      <c r="B61" s="11" t="s">
        <v>28</v>
      </c>
      <c r="C61" s="11"/>
      <c r="D61" s="14">
        <v>0.49457099999999998</v>
      </c>
      <c r="E61" s="11"/>
      <c r="F61" s="11"/>
    </row>
    <row r="62" spans="1:6">
      <c r="A62" s="8"/>
      <c r="B62" s="11" t="s">
        <v>29</v>
      </c>
      <c r="C62" s="11"/>
      <c r="D62" s="228">
        <f>ROUND(D60*D61,0)</f>
        <v>5108</v>
      </c>
      <c r="E62" s="229">
        <f>ROUND(D62/2,0)</f>
        <v>2554</v>
      </c>
      <c r="F62" s="228">
        <f>D62-E62</f>
        <v>2554</v>
      </c>
    </row>
    <row r="63" spans="1:6">
      <c r="A63" s="8"/>
      <c r="B63" s="11" t="s">
        <v>30</v>
      </c>
      <c r="C63" s="11"/>
      <c r="D63" s="12">
        <f>+D60-D62</f>
        <v>5221</v>
      </c>
      <c r="E63" s="13">
        <f>ROUND(D63/2,0)</f>
        <v>2611</v>
      </c>
      <c r="F63" s="12">
        <f>D63-E63</f>
        <v>2610</v>
      </c>
    </row>
    <row r="64" spans="1:6">
      <c r="A64" s="8">
        <v>4</v>
      </c>
      <c r="B64" s="11" t="s">
        <v>161</v>
      </c>
      <c r="C64" s="10">
        <v>9.9436999999999998E-2</v>
      </c>
      <c r="D64" s="9">
        <f>ROUND(D$3*C64,0)</f>
        <v>50236</v>
      </c>
      <c r="E64" s="11">
        <f>ROUND(D64/2,0)</f>
        <v>25118</v>
      </c>
      <c r="F64" s="9">
        <f>D64-E64</f>
        <v>25118</v>
      </c>
    </row>
    <row r="65" spans="1:8">
      <c r="A65" s="8"/>
      <c r="B65" s="11" t="s">
        <v>28</v>
      </c>
      <c r="C65" s="11"/>
      <c r="D65" s="14">
        <v>0.43268299999999998</v>
      </c>
      <c r="E65" s="11"/>
      <c r="F65" s="11"/>
    </row>
    <row r="66" spans="1:8">
      <c r="A66" s="8"/>
      <c r="B66" s="11" t="s">
        <v>29</v>
      </c>
      <c r="C66" s="11"/>
      <c r="D66" s="228">
        <f>ROUND(D64*D65,0)</f>
        <v>21736</v>
      </c>
      <c r="E66" s="229">
        <f t="shared" ref="E66:E71" si="3">ROUND(D66/2,0)</f>
        <v>10868</v>
      </c>
      <c r="F66" s="228">
        <f t="shared" ref="F66:F71" si="4">D66-E66</f>
        <v>10868</v>
      </c>
    </row>
    <row r="67" spans="1:8">
      <c r="A67" s="8"/>
      <c r="B67" s="11" t="s">
        <v>30</v>
      </c>
      <c r="C67" s="11"/>
      <c r="D67" s="12">
        <f>+D64-D66</f>
        <v>28500</v>
      </c>
      <c r="E67" s="13">
        <f t="shared" si="3"/>
        <v>14250</v>
      </c>
      <c r="F67" s="12">
        <f t="shared" si="4"/>
        <v>14250</v>
      </c>
    </row>
    <row r="68" spans="1:8">
      <c r="A68" s="8">
        <v>5</v>
      </c>
      <c r="B68" s="11" t="s">
        <v>162</v>
      </c>
      <c r="C68" s="10">
        <v>7.7279999999999996E-3</v>
      </c>
      <c r="D68" s="12">
        <f>ROUND(D$3*C68,0)</f>
        <v>3904</v>
      </c>
      <c r="E68" s="13">
        <f t="shared" si="3"/>
        <v>1952</v>
      </c>
      <c r="F68" s="12">
        <f t="shared" si="4"/>
        <v>1952</v>
      </c>
    </row>
    <row r="69" spans="1:8">
      <c r="A69" s="8">
        <v>5</v>
      </c>
      <c r="B69" s="11" t="s">
        <v>163</v>
      </c>
      <c r="C69" s="10">
        <v>7.2009999999999999E-3</v>
      </c>
      <c r="D69" s="12">
        <f>ROUND(D$3*C69,0)</f>
        <v>3638</v>
      </c>
      <c r="E69" s="13">
        <f t="shared" si="3"/>
        <v>1819</v>
      </c>
      <c r="F69" s="12">
        <f t="shared" si="4"/>
        <v>1819</v>
      </c>
    </row>
    <row r="70" spans="1:8">
      <c r="A70" s="8">
        <v>5</v>
      </c>
      <c r="B70" s="11" t="s">
        <v>164</v>
      </c>
      <c r="C70" s="10">
        <v>3.9609999999998813E-3</v>
      </c>
      <c r="D70" s="12">
        <f>+D3-SUM(D4:D5)-SUM(D10:D52)-D56-D60-D64-SUM(D68:D69)</f>
        <v>2003</v>
      </c>
      <c r="E70" s="13">
        <f t="shared" si="3"/>
        <v>1002</v>
      </c>
      <c r="F70" s="12">
        <f t="shared" si="4"/>
        <v>1001</v>
      </c>
    </row>
    <row r="71" spans="1:8">
      <c r="A71" s="8" t="s">
        <v>590</v>
      </c>
      <c r="B71" s="11" t="s">
        <v>165</v>
      </c>
      <c r="C71" s="10">
        <v>0</v>
      </c>
      <c r="D71" s="12">
        <f>ROUND(D$3*C71,0)</f>
        <v>0</v>
      </c>
      <c r="E71" s="13">
        <f t="shared" si="3"/>
        <v>0</v>
      </c>
      <c r="F71" s="12">
        <f t="shared" si="4"/>
        <v>0</v>
      </c>
    </row>
    <row r="72" spans="1:8">
      <c r="A72" s="8"/>
      <c r="B72" s="28" t="s">
        <v>37</v>
      </c>
      <c r="C72" s="10">
        <v>1</v>
      </c>
      <c r="D72" s="12">
        <f>+D4+SUM(D7:D51)+D54+D55+D58+D59+D62+D63+D66+D67+D68+D69+D70+D71</f>
        <v>505208</v>
      </c>
      <c r="E72" s="12">
        <f>+E4+SUM(E7:E51)+E54+E55+E58+E59+E62+E63+E66+E67+E68+E69+E70+E71</f>
        <v>252614</v>
      </c>
      <c r="F72" s="12">
        <f>+F4+SUM(F7:F51)+F54+F55+F58+F59+F62+F63+F66+F67+F68+F69+F70+F71</f>
        <v>252594</v>
      </c>
    </row>
    <row r="73" spans="1:8">
      <c r="B73" s="18" t="s">
        <v>38</v>
      </c>
      <c r="D73" s="19">
        <f>+D4</f>
        <v>615</v>
      </c>
      <c r="E73" s="19">
        <f>+E4</f>
        <v>308</v>
      </c>
      <c r="F73" s="19">
        <f>+F4</f>
        <v>307</v>
      </c>
    </row>
    <row r="74" spans="1:8">
      <c r="B74" s="2" t="s">
        <v>39</v>
      </c>
      <c r="D74" s="19">
        <f>+D7</f>
        <v>17320</v>
      </c>
      <c r="E74" s="19">
        <f>+E7</f>
        <v>8660</v>
      </c>
      <c r="F74" s="19">
        <f>+F7</f>
        <v>8660</v>
      </c>
    </row>
    <row r="75" spans="1:8">
      <c r="B75" s="2" t="s">
        <v>40</v>
      </c>
      <c r="D75" s="19">
        <f>+D54+D58+D62+D66</f>
        <v>153988</v>
      </c>
      <c r="E75" s="19">
        <f>+E54+E58+E62+E66</f>
        <v>76994</v>
      </c>
      <c r="F75" s="19">
        <f>+F54+F58+F62+F66</f>
        <v>76994</v>
      </c>
      <c r="H75" s="3">
        <v>1</v>
      </c>
    </row>
    <row r="76" spans="1:8">
      <c r="B76" s="18" t="s">
        <v>41</v>
      </c>
      <c r="D76" s="19">
        <f>+D72-D73-D74-D75</f>
        <v>333285</v>
      </c>
      <c r="E76" s="19">
        <f>+E72-E73-E74-E75</f>
        <v>166652</v>
      </c>
      <c r="F76" s="19">
        <f>+F72-F73-F74-F75</f>
        <v>166633</v>
      </c>
      <c r="H76" s="3">
        <v>2</v>
      </c>
    </row>
    <row r="78" spans="1:8" hidden="1">
      <c r="B78" s="3" t="s">
        <v>42</v>
      </c>
      <c r="C78" s="4">
        <v>1.9999999998814369E-6</v>
      </c>
      <c r="D78" s="3">
        <f>+D70-ROUND(D3*C70,0)</f>
        <v>2</v>
      </c>
    </row>
  </sheetData>
  <pageMargins left="0.7" right="0.7" top="0.75" bottom="0.75" header="0.3" footer="0.3"/>
  <pageSetup scale="5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pageSetUpPr fitToPage="1"/>
  </sheetPr>
  <dimension ref="A1:WVB71"/>
  <sheetViews>
    <sheetView zoomScaleNormal="100" zoomScaleSheetLayoutView="90" workbookViewId="0">
      <selection activeCell="D24" activeCellId="1" sqref="D7:F7 D24:F24"/>
    </sheetView>
  </sheetViews>
  <sheetFormatPr defaultColWidth="0" defaultRowHeight="15"/>
  <cols>
    <col min="1" max="1" width="13.140625" style="1" customWidth="1"/>
    <col min="2" max="2" width="57.140625" style="3" customWidth="1"/>
    <col min="3" max="6" width="20.42578125" style="3" customWidth="1"/>
    <col min="7" max="7" width="9.140625" style="3" customWidth="1"/>
    <col min="8" max="187" width="9.140625" style="3" hidden="1"/>
    <col min="188" max="188" width="11" style="3" hidden="1"/>
    <col min="189" max="189" width="53.140625" style="3" hidden="1"/>
    <col min="190" max="246" width="9.140625" style="3" hidden="1"/>
    <col min="247" max="247" width="16.28515625" style="3" hidden="1"/>
    <col min="248" max="248" width="17.5703125" style="3" hidden="1"/>
    <col min="249" max="249" width="16" style="3" hidden="1"/>
    <col min="250" max="250" width="18.140625" style="3" hidden="1"/>
    <col min="251" max="443" width="9.140625" style="3" hidden="1"/>
    <col min="444" max="444" width="11" style="3" hidden="1"/>
    <col min="445" max="445" width="53.140625" style="3" hidden="1"/>
    <col min="446" max="502" width="9.140625" style="3" hidden="1"/>
    <col min="503" max="503" width="16.28515625" style="3" hidden="1"/>
    <col min="504" max="504" width="17.5703125" style="3" hidden="1"/>
    <col min="505" max="505" width="16" style="3" hidden="1"/>
    <col min="506" max="506" width="18.140625" style="3" hidden="1"/>
    <col min="507" max="699" width="9.140625" style="3" hidden="1"/>
    <col min="700" max="700" width="11" style="3" hidden="1"/>
    <col min="701" max="701" width="53.140625" style="3" hidden="1"/>
    <col min="702" max="758" width="9.140625" style="3" hidden="1"/>
    <col min="759" max="759" width="16.28515625" style="3" hidden="1"/>
    <col min="760" max="760" width="17.5703125" style="3" hidden="1"/>
    <col min="761" max="761" width="16" style="3" hidden="1"/>
    <col min="762" max="762" width="18.140625" style="3" hidden="1"/>
    <col min="763" max="955" width="9.140625" style="3" hidden="1"/>
    <col min="956" max="956" width="11" style="3" hidden="1"/>
    <col min="957" max="957" width="53.140625" style="3" hidden="1"/>
    <col min="958" max="1014" width="9.140625" style="3" hidden="1"/>
    <col min="1015" max="1015" width="16.28515625" style="3" hidden="1"/>
    <col min="1016" max="1016" width="17.5703125" style="3" hidden="1"/>
    <col min="1017" max="1017" width="16" style="3" hidden="1"/>
    <col min="1018" max="1018" width="18.140625" style="3" hidden="1"/>
    <col min="1019" max="1211" width="9.140625" style="3" hidden="1"/>
    <col min="1212" max="1212" width="11" style="3" hidden="1"/>
    <col min="1213" max="1213" width="53.140625" style="3" hidden="1"/>
    <col min="1214" max="1270" width="9.140625" style="3" hidden="1"/>
    <col min="1271" max="1271" width="16.28515625" style="3" hidden="1"/>
    <col min="1272" max="1272" width="17.5703125" style="3" hidden="1"/>
    <col min="1273" max="1273" width="16" style="3" hidden="1"/>
    <col min="1274" max="1274" width="18.140625" style="3" hidden="1"/>
    <col min="1275" max="1467" width="9.140625" style="3" hidden="1"/>
    <col min="1468" max="1468" width="11" style="3" hidden="1"/>
    <col min="1469" max="1469" width="53.140625" style="3" hidden="1"/>
    <col min="1470" max="1526" width="9.140625" style="3" hidden="1"/>
    <col min="1527" max="1527" width="16.28515625" style="3" hidden="1"/>
    <col min="1528" max="1528" width="17.5703125" style="3" hidden="1"/>
    <col min="1529" max="1529" width="16" style="3" hidden="1"/>
    <col min="1530" max="1530" width="18.140625" style="3" hidden="1"/>
    <col min="1531" max="1723" width="9.140625" style="3" hidden="1"/>
    <col min="1724" max="1724" width="11" style="3" hidden="1"/>
    <col min="1725" max="1725" width="53.140625" style="3" hidden="1"/>
    <col min="1726" max="1782" width="9.140625" style="3" hidden="1"/>
    <col min="1783" max="1783" width="16.28515625" style="3" hidden="1"/>
    <col min="1784" max="1784" width="17.5703125" style="3" hidden="1"/>
    <col min="1785" max="1785" width="16" style="3" hidden="1"/>
    <col min="1786" max="1786" width="18.140625" style="3" hidden="1"/>
    <col min="1787" max="1979" width="9.140625" style="3" hidden="1"/>
    <col min="1980" max="1980" width="11" style="3" hidden="1"/>
    <col min="1981" max="1981" width="53.140625" style="3" hidden="1"/>
    <col min="1982" max="2038" width="9.140625" style="3" hidden="1"/>
    <col min="2039" max="2039" width="16.28515625" style="3" hidden="1"/>
    <col min="2040" max="2040" width="17.5703125" style="3" hidden="1"/>
    <col min="2041" max="2041" width="16" style="3" hidden="1"/>
    <col min="2042" max="2042" width="18.140625" style="3" hidden="1"/>
    <col min="2043" max="2235" width="9.140625" style="3" hidden="1"/>
    <col min="2236" max="2236" width="11" style="3" hidden="1"/>
    <col min="2237" max="2237" width="53.140625" style="3" hidden="1"/>
    <col min="2238" max="2294" width="9.140625" style="3" hidden="1"/>
    <col min="2295" max="2295" width="16.28515625" style="3" hidden="1"/>
    <col min="2296" max="2296" width="17.5703125" style="3" hidden="1"/>
    <col min="2297" max="2297" width="16" style="3" hidden="1"/>
    <col min="2298" max="2298" width="18.140625" style="3" hidden="1"/>
    <col min="2299" max="2491" width="9.140625" style="3" hidden="1"/>
    <col min="2492" max="2492" width="11" style="3" hidden="1"/>
    <col min="2493" max="2493" width="53.140625" style="3" hidden="1"/>
    <col min="2494" max="2550" width="9.140625" style="3" hidden="1"/>
    <col min="2551" max="2551" width="16.28515625" style="3" hidden="1"/>
    <col min="2552" max="2552" width="17.5703125" style="3" hidden="1"/>
    <col min="2553" max="2553" width="16" style="3" hidden="1"/>
    <col min="2554" max="2554" width="18.140625" style="3" hidden="1"/>
    <col min="2555" max="2747" width="9.140625" style="3" hidden="1"/>
    <col min="2748" max="2748" width="11" style="3" hidden="1"/>
    <col min="2749" max="2749" width="53.140625" style="3" hidden="1"/>
    <col min="2750" max="2806" width="9.140625" style="3" hidden="1"/>
    <col min="2807" max="2807" width="16.28515625" style="3" hidden="1"/>
    <col min="2808" max="2808" width="17.5703125" style="3" hidden="1"/>
    <col min="2809" max="2809" width="16" style="3" hidden="1"/>
    <col min="2810" max="2810" width="18.140625" style="3" hidden="1"/>
    <col min="2811" max="3003" width="9.140625" style="3" hidden="1"/>
    <col min="3004" max="3004" width="11" style="3" hidden="1"/>
    <col min="3005" max="3005" width="53.140625" style="3" hidden="1"/>
    <col min="3006" max="3062" width="9.140625" style="3" hidden="1"/>
    <col min="3063" max="3063" width="16.28515625" style="3" hidden="1"/>
    <col min="3064" max="3064" width="17.5703125" style="3" hidden="1"/>
    <col min="3065" max="3065" width="16" style="3" hidden="1"/>
    <col min="3066" max="3066" width="18.140625" style="3" hidden="1"/>
    <col min="3067" max="3259" width="9.140625" style="3" hidden="1"/>
    <col min="3260" max="3260" width="11" style="3" hidden="1"/>
    <col min="3261" max="3261" width="53.140625" style="3" hidden="1"/>
    <col min="3262" max="3318" width="9.140625" style="3" hidden="1"/>
    <col min="3319" max="3319" width="16.28515625" style="3" hidden="1"/>
    <col min="3320" max="3320" width="17.5703125" style="3" hidden="1"/>
    <col min="3321" max="3321" width="16" style="3" hidden="1"/>
    <col min="3322" max="3322" width="18.140625" style="3" hidden="1"/>
    <col min="3323" max="3515" width="9.140625" style="3" hidden="1"/>
    <col min="3516" max="3516" width="11" style="3" hidden="1"/>
    <col min="3517" max="3517" width="53.140625" style="3" hidden="1"/>
    <col min="3518" max="3574" width="9.140625" style="3" hidden="1"/>
    <col min="3575" max="3575" width="16.28515625" style="3" hidden="1"/>
    <col min="3576" max="3576" width="17.5703125" style="3" hidden="1"/>
    <col min="3577" max="3577" width="16" style="3" hidden="1"/>
    <col min="3578" max="3578" width="18.140625" style="3" hidden="1"/>
    <col min="3579" max="3771" width="9.140625" style="3" hidden="1"/>
    <col min="3772" max="3772" width="11" style="3" hidden="1"/>
    <col min="3773" max="3773" width="53.140625" style="3" hidden="1"/>
    <col min="3774" max="3830" width="9.140625" style="3" hidden="1"/>
    <col min="3831" max="3831" width="16.28515625" style="3" hidden="1"/>
    <col min="3832" max="3832" width="17.5703125" style="3" hidden="1"/>
    <col min="3833" max="3833" width="16" style="3" hidden="1"/>
    <col min="3834" max="3834" width="18.140625" style="3" hidden="1"/>
    <col min="3835" max="4027" width="9.140625" style="3" hidden="1"/>
    <col min="4028" max="4028" width="11" style="3" hidden="1"/>
    <col min="4029" max="4029" width="53.140625" style="3" hidden="1"/>
    <col min="4030" max="4086" width="9.140625" style="3" hidden="1"/>
    <col min="4087" max="4087" width="16.28515625" style="3" hidden="1"/>
    <col min="4088" max="4088" width="17.5703125" style="3" hidden="1"/>
    <col min="4089" max="4089" width="16" style="3" hidden="1"/>
    <col min="4090" max="4090" width="18.140625" style="3" hidden="1"/>
    <col min="4091" max="4283" width="9.140625" style="3" hidden="1"/>
    <col min="4284" max="4284" width="11" style="3" hidden="1"/>
    <col min="4285" max="4285" width="53.140625" style="3" hidden="1"/>
    <col min="4286" max="4342" width="9.140625" style="3" hidden="1"/>
    <col min="4343" max="4343" width="16.28515625" style="3" hidden="1"/>
    <col min="4344" max="4344" width="17.5703125" style="3" hidden="1"/>
    <col min="4345" max="4345" width="16" style="3" hidden="1"/>
    <col min="4346" max="4346" width="18.140625" style="3" hidden="1"/>
    <col min="4347" max="4539" width="9.140625" style="3" hidden="1"/>
    <col min="4540" max="4540" width="11" style="3" hidden="1"/>
    <col min="4541" max="4541" width="53.140625" style="3" hidden="1"/>
    <col min="4542" max="4598" width="9.140625" style="3" hidden="1"/>
    <col min="4599" max="4599" width="16.28515625" style="3" hidden="1"/>
    <col min="4600" max="4600" width="17.5703125" style="3" hidden="1"/>
    <col min="4601" max="4601" width="16" style="3" hidden="1"/>
    <col min="4602" max="4602" width="18.140625" style="3" hidden="1"/>
    <col min="4603" max="4795" width="9.140625" style="3" hidden="1"/>
    <col min="4796" max="4796" width="11" style="3" hidden="1"/>
    <col min="4797" max="4797" width="53.140625" style="3" hidden="1"/>
    <col min="4798" max="4854" width="9.140625" style="3" hidden="1"/>
    <col min="4855" max="4855" width="16.28515625" style="3" hidden="1"/>
    <col min="4856" max="4856" width="17.5703125" style="3" hidden="1"/>
    <col min="4857" max="4857" width="16" style="3" hidden="1"/>
    <col min="4858" max="4858" width="18.140625" style="3" hidden="1"/>
    <col min="4859" max="5051" width="9.140625" style="3" hidden="1"/>
    <col min="5052" max="5052" width="11" style="3" hidden="1"/>
    <col min="5053" max="5053" width="53.140625" style="3" hidden="1"/>
    <col min="5054" max="5110" width="9.140625" style="3" hidden="1"/>
    <col min="5111" max="5111" width="16.28515625" style="3" hidden="1"/>
    <col min="5112" max="5112" width="17.5703125" style="3" hidden="1"/>
    <col min="5113" max="5113" width="16" style="3" hidden="1"/>
    <col min="5114" max="5114" width="18.140625" style="3" hidden="1"/>
    <col min="5115" max="5307" width="9.140625" style="3" hidden="1"/>
    <col min="5308" max="5308" width="11" style="3" hidden="1"/>
    <col min="5309" max="5309" width="53.140625" style="3" hidden="1"/>
    <col min="5310" max="5366" width="9.140625" style="3" hidden="1"/>
    <col min="5367" max="5367" width="16.28515625" style="3" hidden="1"/>
    <col min="5368" max="5368" width="17.5703125" style="3" hidden="1"/>
    <col min="5369" max="5369" width="16" style="3" hidden="1"/>
    <col min="5370" max="5370" width="18.140625" style="3" hidden="1"/>
    <col min="5371" max="5563" width="9.140625" style="3" hidden="1"/>
    <col min="5564" max="5564" width="11" style="3" hidden="1"/>
    <col min="5565" max="5565" width="53.140625" style="3" hidden="1"/>
    <col min="5566" max="5622" width="9.140625" style="3" hidden="1"/>
    <col min="5623" max="5623" width="16.28515625" style="3" hidden="1"/>
    <col min="5624" max="5624" width="17.5703125" style="3" hidden="1"/>
    <col min="5625" max="5625" width="16" style="3" hidden="1"/>
    <col min="5626" max="5626" width="18.140625" style="3" hidden="1"/>
    <col min="5627" max="5819" width="9.140625" style="3" hidden="1"/>
    <col min="5820" max="5820" width="11" style="3" hidden="1"/>
    <col min="5821" max="5821" width="53.140625" style="3" hidden="1"/>
    <col min="5822" max="5878" width="9.140625" style="3" hidden="1"/>
    <col min="5879" max="5879" width="16.28515625" style="3" hidden="1"/>
    <col min="5880" max="5880" width="17.5703125" style="3" hidden="1"/>
    <col min="5881" max="5881" width="16" style="3" hidden="1"/>
    <col min="5882" max="5882" width="18.140625" style="3" hidden="1"/>
    <col min="5883" max="6075" width="9.140625" style="3" hidden="1"/>
    <col min="6076" max="6076" width="11" style="3" hidden="1"/>
    <col min="6077" max="6077" width="53.140625" style="3" hidden="1"/>
    <col min="6078" max="6134" width="9.140625" style="3" hidden="1"/>
    <col min="6135" max="6135" width="16.28515625" style="3" hidden="1"/>
    <col min="6136" max="6136" width="17.5703125" style="3" hidden="1"/>
    <col min="6137" max="6137" width="16" style="3" hidden="1"/>
    <col min="6138" max="6138" width="18.140625" style="3" hidden="1"/>
    <col min="6139" max="6331" width="9.140625" style="3" hidden="1"/>
    <col min="6332" max="6332" width="11" style="3" hidden="1"/>
    <col min="6333" max="6333" width="53.140625" style="3" hidden="1"/>
    <col min="6334" max="6390" width="9.140625" style="3" hidden="1"/>
    <col min="6391" max="6391" width="16.28515625" style="3" hidden="1"/>
    <col min="6392" max="6392" width="17.5703125" style="3" hidden="1"/>
    <col min="6393" max="6393" width="16" style="3" hidden="1"/>
    <col min="6394" max="6394" width="18.140625" style="3" hidden="1"/>
    <col min="6395" max="6587" width="9.140625" style="3" hidden="1"/>
    <col min="6588" max="6588" width="11" style="3" hidden="1"/>
    <col min="6589" max="6589" width="53.140625" style="3" hidden="1"/>
    <col min="6590" max="6646" width="9.140625" style="3" hidden="1"/>
    <col min="6647" max="6647" width="16.28515625" style="3" hidden="1"/>
    <col min="6648" max="6648" width="17.5703125" style="3" hidden="1"/>
    <col min="6649" max="6649" width="16" style="3" hidden="1"/>
    <col min="6650" max="6650" width="18.140625" style="3" hidden="1"/>
    <col min="6651" max="6843" width="9.140625" style="3" hidden="1"/>
    <col min="6844" max="6844" width="11" style="3" hidden="1"/>
    <col min="6845" max="6845" width="53.140625" style="3" hidden="1"/>
    <col min="6846" max="6902" width="9.140625" style="3" hidden="1"/>
    <col min="6903" max="6903" width="16.28515625" style="3" hidden="1"/>
    <col min="6904" max="6904" width="17.5703125" style="3" hidden="1"/>
    <col min="6905" max="6905" width="16" style="3" hidden="1"/>
    <col min="6906" max="6906" width="18.140625" style="3" hidden="1"/>
    <col min="6907" max="7099" width="9.140625" style="3" hidden="1"/>
    <col min="7100" max="7100" width="11" style="3" hidden="1"/>
    <col min="7101" max="7101" width="53.140625" style="3" hidden="1"/>
    <col min="7102" max="7158" width="9.140625" style="3" hidden="1"/>
    <col min="7159" max="7159" width="16.28515625" style="3" hidden="1"/>
    <col min="7160" max="7160" width="17.5703125" style="3" hidden="1"/>
    <col min="7161" max="7161" width="16" style="3" hidden="1"/>
    <col min="7162" max="7162" width="18.140625" style="3" hidden="1"/>
    <col min="7163" max="7355" width="9.140625" style="3" hidden="1"/>
    <col min="7356" max="7356" width="11" style="3" hidden="1"/>
    <col min="7357" max="7357" width="53.140625" style="3" hidden="1"/>
    <col min="7358" max="7414" width="9.140625" style="3" hidden="1"/>
    <col min="7415" max="7415" width="16.28515625" style="3" hidden="1"/>
    <col min="7416" max="7416" width="17.5703125" style="3" hidden="1"/>
    <col min="7417" max="7417" width="16" style="3" hidden="1"/>
    <col min="7418" max="7418" width="18.140625" style="3" hidden="1"/>
    <col min="7419" max="7611" width="9.140625" style="3" hidden="1"/>
    <col min="7612" max="7612" width="11" style="3" hidden="1"/>
    <col min="7613" max="7613" width="53.140625" style="3" hidden="1"/>
    <col min="7614" max="7670" width="9.140625" style="3" hidden="1"/>
    <col min="7671" max="7671" width="16.28515625" style="3" hidden="1"/>
    <col min="7672" max="7672" width="17.5703125" style="3" hidden="1"/>
    <col min="7673" max="7673" width="16" style="3" hidden="1"/>
    <col min="7674" max="7674" width="18.140625" style="3" hidden="1"/>
    <col min="7675" max="7867" width="9.140625" style="3" hidden="1"/>
    <col min="7868" max="7868" width="11" style="3" hidden="1"/>
    <col min="7869" max="7869" width="53.140625" style="3" hidden="1"/>
    <col min="7870" max="7926" width="9.140625" style="3" hidden="1"/>
    <col min="7927" max="7927" width="16.28515625" style="3" hidden="1"/>
    <col min="7928" max="7928" width="17.5703125" style="3" hidden="1"/>
    <col min="7929" max="7929" width="16" style="3" hidden="1"/>
    <col min="7930" max="7930" width="18.140625" style="3" hidden="1"/>
    <col min="7931" max="8123" width="9.140625" style="3" hidden="1"/>
    <col min="8124" max="8124" width="11" style="3" hidden="1"/>
    <col min="8125" max="8125" width="53.140625" style="3" hidden="1"/>
    <col min="8126" max="8182" width="9.140625" style="3" hidden="1"/>
    <col min="8183" max="8183" width="16.28515625" style="3" hidden="1"/>
    <col min="8184" max="8184" width="17.5703125" style="3" hidden="1"/>
    <col min="8185" max="8185" width="16" style="3" hidden="1"/>
    <col min="8186" max="8186" width="18.140625" style="3" hidden="1"/>
    <col min="8187" max="8379" width="9.140625" style="3" hidden="1"/>
    <col min="8380" max="8380" width="11" style="3" hidden="1"/>
    <col min="8381" max="8381" width="53.140625" style="3" hidden="1"/>
    <col min="8382" max="8438" width="9.140625" style="3" hidden="1"/>
    <col min="8439" max="8439" width="16.28515625" style="3" hidden="1"/>
    <col min="8440" max="8440" width="17.5703125" style="3" hidden="1"/>
    <col min="8441" max="8441" width="16" style="3" hidden="1"/>
    <col min="8442" max="8442" width="18.140625" style="3" hidden="1"/>
    <col min="8443" max="8635" width="9.140625" style="3" hidden="1"/>
    <col min="8636" max="8636" width="11" style="3" hidden="1"/>
    <col min="8637" max="8637" width="53.140625" style="3" hidden="1"/>
    <col min="8638" max="8694" width="9.140625" style="3" hidden="1"/>
    <col min="8695" max="8695" width="16.28515625" style="3" hidden="1"/>
    <col min="8696" max="8696" width="17.5703125" style="3" hidden="1"/>
    <col min="8697" max="8697" width="16" style="3" hidden="1"/>
    <col min="8698" max="8698" width="18.140625" style="3" hidden="1"/>
    <col min="8699" max="8891" width="9.140625" style="3" hidden="1"/>
    <col min="8892" max="8892" width="11" style="3" hidden="1"/>
    <col min="8893" max="8893" width="53.140625" style="3" hidden="1"/>
    <col min="8894" max="8950" width="9.140625" style="3" hidden="1"/>
    <col min="8951" max="8951" width="16.28515625" style="3" hidden="1"/>
    <col min="8952" max="8952" width="17.5703125" style="3" hidden="1"/>
    <col min="8953" max="8953" width="16" style="3" hidden="1"/>
    <col min="8954" max="8954" width="18.140625" style="3" hidden="1"/>
    <col min="8955" max="9147" width="9.140625" style="3" hidden="1"/>
    <col min="9148" max="9148" width="11" style="3" hidden="1"/>
    <col min="9149" max="9149" width="53.140625" style="3" hidden="1"/>
    <col min="9150" max="9206" width="9.140625" style="3" hidden="1"/>
    <col min="9207" max="9207" width="16.28515625" style="3" hidden="1"/>
    <col min="9208" max="9208" width="17.5703125" style="3" hidden="1"/>
    <col min="9209" max="9209" width="16" style="3" hidden="1"/>
    <col min="9210" max="9210" width="18.140625" style="3" hidden="1"/>
    <col min="9211" max="9403" width="9.140625" style="3" hidden="1"/>
    <col min="9404" max="9404" width="11" style="3" hidden="1"/>
    <col min="9405" max="9405" width="53.140625" style="3" hidden="1"/>
    <col min="9406" max="9462" width="9.140625" style="3" hidden="1"/>
    <col min="9463" max="9463" width="16.28515625" style="3" hidden="1"/>
    <col min="9464" max="9464" width="17.5703125" style="3" hidden="1"/>
    <col min="9465" max="9465" width="16" style="3" hidden="1"/>
    <col min="9466" max="9466" width="18.140625" style="3" hidden="1"/>
    <col min="9467" max="9659" width="9.140625" style="3" hidden="1"/>
    <col min="9660" max="9660" width="11" style="3" hidden="1"/>
    <col min="9661" max="9661" width="53.140625" style="3" hidden="1"/>
    <col min="9662" max="9718" width="9.140625" style="3" hidden="1"/>
    <col min="9719" max="9719" width="16.28515625" style="3" hidden="1"/>
    <col min="9720" max="9720" width="17.5703125" style="3" hidden="1"/>
    <col min="9721" max="9721" width="16" style="3" hidden="1"/>
    <col min="9722" max="9722" width="18.140625" style="3" hidden="1"/>
    <col min="9723" max="9915" width="9.140625" style="3" hidden="1"/>
    <col min="9916" max="9916" width="11" style="3" hidden="1"/>
    <col min="9917" max="9917" width="53.140625" style="3" hidden="1"/>
    <col min="9918" max="9974" width="9.140625" style="3" hidden="1"/>
    <col min="9975" max="9975" width="16.28515625" style="3" hidden="1"/>
    <col min="9976" max="9976" width="17.5703125" style="3" hidden="1"/>
    <col min="9977" max="9977" width="16" style="3" hidden="1"/>
    <col min="9978" max="9978" width="18.140625" style="3" hidden="1"/>
    <col min="9979" max="10171" width="9.140625" style="3" hidden="1"/>
    <col min="10172" max="10172" width="11" style="3" hidden="1"/>
    <col min="10173" max="10173" width="53.140625" style="3" hidden="1"/>
    <col min="10174" max="10230" width="9.140625" style="3" hidden="1"/>
    <col min="10231" max="10231" width="16.28515625" style="3" hidden="1"/>
    <col min="10232" max="10232" width="17.5703125" style="3" hidden="1"/>
    <col min="10233" max="10233" width="16" style="3" hidden="1"/>
    <col min="10234" max="10234" width="18.140625" style="3" hidden="1"/>
    <col min="10235" max="10427" width="9.140625" style="3" hidden="1"/>
    <col min="10428" max="10428" width="11" style="3" hidden="1"/>
    <col min="10429" max="10429" width="53.140625" style="3" hidden="1"/>
    <col min="10430" max="10486" width="9.140625" style="3" hidden="1"/>
    <col min="10487" max="10487" width="16.28515625" style="3" hidden="1"/>
    <col min="10488" max="10488" width="17.5703125" style="3" hidden="1"/>
    <col min="10489" max="10489" width="16" style="3" hidden="1"/>
    <col min="10490" max="10490" width="18.140625" style="3" hidden="1"/>
    <col min="10491" max="10683" width="9.140625" style="3" hidden="1"/>
    <col min="10684" max="10684" width="11" style="3" hidden="1"/>
    <col min="10685" max="10685" width="53.140625" style="3" hidden="1"/>
    <col min="10686" max="10742" width="9.140625" style="3" hidden="1"/>
    <col min="10743" max="10743" width="16.28515625" style="3" hidden="1"/>
    <col min="10744" max="10744" width="17.5703125" style="3" hidden="1"/>
    <col min="10745" max="10745" width="16" style="3" hidden="1"/>
    <col min="10746" max="10746" width="18.140625" style="3" hidden="1"/>
    <col min="10747" max="10939" width="9.140625" style="3" hidden="1"/>
    <col min="10940" max="10940" width="11" style="3" hidden="1"/>
    <col min="10941" max="10941" width="53.140625" style="3" hidden="1"/>
    <col min="10942" max="10998" width="9.140625" style="3" hidden="1"/>
    <col min="10999" max="10999" width="16.28515625" style="3" hidden="1"/>
    <col min="11000" max="11000" width="17.5703125" style="3" hidden="1"/>
    <col min="11001" max="11001" width="16" style="3" hidden="1"/>
    <col min="11002" max="11002" width="18.140625" style="3" hidden="1"/>
    <col min="11003" max="11195" width="9.140625" style="3" hidden="1"/>
    <col min="11196" max="11196" width="11" style="3" hidden="1"/>
    <col min="11197" max="11197" width="53.140625" style="3" hidden="1"/>
    <col min="11198" max="11254" width="9.140625" style="3" hidden="1"/>
    <col min="11255" max="11255" width="16.28515625" style="3" hidden="1"/>
    <col min="11256" max="11256" width="17.5703125" style="3" hidden="1"/>
    <col min="11257" max="11257" width="16" style="3" hidden="1"/>
    <col min="11258" max="11258" width="18.140625" style="3" hidden="1"/>
    <col min="11259" max="11451" width="9.140625" style="3" hidden="1"/>
    <col min="11452" max="11452" width="11" style="3" hidden="1"/>
    <col min="11453" max="11453" width="53.140625" style="3" hidden="1"/>
    <col min="11454" max="11510" width="9.140625" style="3" hidden="1"/>
    <col min="11511" max="11511" width="16.28515625" style="3" hidden="1"/>
    <col min="11512" max="11512" width="17.5703125" style="3" hidden="1"/>
    <col min="11513" max="11513" width="16" style="3" hidden="1"/>
    <col min="11514" max="11514" width="18.140625" style="3" hidden="1"/>
    <col min="11515" max="11707" width="9.140625" style="3" hidden="1"/>
    <col min="11708" max="11708" width="11" style="3" hidden="1"/>
    <col min="11709" max="11709" width="53.140625" style="3" hidden="1"/>
    <col min="11710" max="11766" width="9.140625" style="3" hidden="1"/>
    <col min="11767" max="11767" width="16.28515625" style="3" hidden="1"/>
    <col min="11768" max="11768" width="17.5703125" style="3" hidden="1"/>
    <col min="11769" max="11769" width="16" style="3" hidden="1"/>
    <col min="11770" max="11770" width="18.140625" style="3" hidden="1"/>
    <col min="11771" max="11963" width="9.140625" style="3" hidden="1"/>
    <col min="11964" max="11964" width="11" style="3" hidden="1"/>
    <col min="11965" max="11965" width="53.140625" style="3" hidden="1"/>
    <col min="11966" max="12022" width="9.140625" style="3" hidden="1"/>
    <col min="12023" max="12023" width="16.28515625" style="3" hidden="1"/>
    <col min="12024" max="12024" width="17.5703125" style="3" hidden="1"/>
    <col min="12025" max="12025" width="16" style="3" hidden="1"/>
    <col min="12026" max="12026" width="18.140625" style="3" hidden="1"/>
    <col min="12027" max="12219" width="9.140625" style="3" hidden="1"/>
    <col min="12220" max="12220" width="11" style="3" hidden="1"/>
    <col min="12221" max="12221" width="53.140625" style="3" hidden="1"/>
    <col min="12222" max="12278" width="9.140625" style="3" hidden="1"/>
    <col min="12279" max="12279" width="16.28515625" style="3" hidden="1"/>
    <col min="12280" max="12280" width="17.5703125" style="3" hidden="1"/>
    <col min="12281" max="12281" width="16" style="3" hidden="1"/>
    <col min="12282" max="12282" width="18.140625" style="3" hidden="1"/>
    <col min="12283" max="12475" width="9.140625" style="3" hidden="1"/>
    <col min="12476" max="12476" width="11" style="3" hidden="1"/>
    <col min="12477" max="12477" width="53.140625" style="3" hidden="1"/>
    <col min="12478" max="12534" width="9.140625" style="3" hidden="1"/>
    <col min="12535" max="12535" width="16.28515625" style="3" hidden="1"/>
    <col min="12536" max="12536" width="17.5703125" style="3" hidden="1"/>
    <col min="12537" max="12537" width="16" style="3" hidden="1"/>
    <col min="12538" max="12538" width="18.140625" style="3" hidden="1"/>
    <col min="12539" max="12731" width="9.140625" style="3" hidden="1"/>
    <col min="12732" max="12732" width="11" style="3" hidden="1"/>
    <col min="12733" max="12733" width="53.140625" style="3" hidden="1"/>
    <col min="12734" max="12790" width="9.140625" style="3" hidden="1"/>
    <col min="12791" max="12791" width="16.28515625" style="3" hidden="1"/>
    <col min="12792" max="12792" width="17.5703125" style="3" hidden="1"/>
    <col min="12793" max="12793" width="16" style="3" hidden="1"/>
    <col min="12794" max="12794" width="18.140625" style="3" hidden="1"/>
    <col min="12795" max="12987" width="9.140625" style="3" hidden="1"/>
    <col min="12988" max="12988" width="11" style="3" hidden="1"/>
    <col min="12989" max="12989" width="53.140625" style="3" hidden="1"/>
    <col min="12990" max="13046" width="9.140625" style="3" hidden="1"/>
    <col min="13047" max="13047" width="16.28515625" style="3" hidden="1"/>
    <col min="13048" max="13048" width="17.5703125" style="3" hidden="1"/>
    <col min="13049" max="13049" width="16" style="3" hidden="1"/>
    <col min="13050" max="13050" width="18.140625" style="3" hidden="1"/>
    <col min="13051" max="13243" width="9.140625" style="3" hidden="1"/>
    <col min="13244" max="13244" width="11" style="3" hidden="1"/>
    <col min="13245" max="13245" width="53.140625" style="3" hidden="1"/>
    <col min="13246" max="13302" width="9.140625" style="3" hidden="1"/>
    <col min="13303" max="13303" width="16.28515625" style="3" hidden="1"/>
    <col min="13304" max="13304" width="17.5703125" style="3" hidden="1"/>
    <col min="13305" max="13305" width="16" style="3" hidden="1"/>
    <col min="13306" max="13306" width="18.140625" style="3" hidden="1"/>
    <col min="13307" max="13499" width="9.140625" style="3" hidden="1"/>
    <col min="13500" max="13500" width="11" style="3" hidden="1"/>
    <col min="13501" max="13501" width="53.140625" style="3" hidden="1"/>
    <col min="13502" max="13558" width="9.140625" style="3" hidden="1"/>
    <col min="13559" max="13559" width="16.28515625" style="3" hidden="1"/>
    <col min="13560" max="13560" width="17.5703125" style="3" hidden="1"/>
    <col min="13561" max="13561" width="16" style="3" hidden="1"/>
    <col min="13562" max="13562" width="18.140625" style="3" hidden="1"/>
    <col min="13563" max="13755" width="9.140625" style="3" hidden="1"/>
    <col min="13756" max="13756" width="11" style="3" hidden="1"/>
    <col min="13757" max="13757" width="53.140625" style="3" hidden="1"/>
    <col min="13758" max="13814" width="9.140625" style="3" hidden="1"/>
    <col min="13815" max="13815" width="16.28515625" style="3" hidden="1"/>
    <col min="13816" max="13816" width="17.5703125" style="3" hidden="1"/>
    <col min="13817" max="13817" width="16" style="3" hidden="1"/>
    <col min="13818" max="13818" width="18.140625" style="3" hidden="1"/>
    <col min="13819" max="14011" width="9.140625" style="3" hidden="1"/>
    <col min="14012" max="14012" width="11" style="3" hidden="1"/>
    <col min="14013" max="14013" width="53.140625" style="3" hidden="1"/>
    <col min="14014" max="14070" width="9.140625" style="3" hidden="1"/>
    <col min="14071" max="14071" width="16.28515625" style="3" hidden="1"/>
    <col min="14072" max="14072" width="17.5703125" style="3" hidden="1"/>
    <col min="14073" max="14073" width="16" style="3" hidden="1"/>
    <col min="14074" max="14074" width="18.140625" style="3" hidden="1"/>
    <col min="14075" max="14267" width="9.140625" style="3" hidden="1"/>
    <col min="14268" max="14268" width="11" style="3" hidden="1"/>
    <col min="14269" max="14269" width="53.140625" style="3" hidden="1"/>
    <col min="14270" max="14326" width="9.140625" style="3" hidden="1"/>
    <col min="14327" max="14327" width="16.28515625" style="3" hidden="1"/>
    <col min="14328" max="14328" width="17.5703125" style="3" hidden="1"/>
    <col min="14329" max="14329" width="16" style="3" hidden="1"/>
    <col min="14330" max="14330" width="18.140625" style="3" hidden="1"/>
    <col min="14331" max="14523" width="9.140625" style="3" hidden="1"/>
    <col min="14524" max="14524" width="11" style="3" hidden="1"/>
    <col min="14525" max="14525" width="53.140625" style="3" hidden="1"/>
    <col min="14526" max="14582" width="9.140625" style="3" hidden="1"/>
    <col min="14583" max="14583" width="16.28515625" style="3" hidden="1"/>
    <col min="14584" max="14584" width="17.5703125" style="3" hidden="1"/>
    <col min="14585" max="14585" width="16" style="3" hidden="1"/>
    <col min="14586" max="14586" width="18.140625" style="3" hidden="1"/>
    <col min="14587" max="14779" width="9.140625" style="3" hidden="1"/>
    <col min="14780" max="14780" width="11" style="3" hidden="1"/>
    <col min="14781" max="14781" width="53.140625" style="3" hidden="1"/>
    <col min="14782" max="14838" width="9.140625" style="3" hidden="1"/>
    <col min="14839" max="14839" width="16.28515625" style="3" hidden="1"/>
    <col min="14840" max="14840" width="17.5703125" style="3" hidden="1"/>
    <col min="14841" max="14841" width="16" style="3" hidden="1"/>
    <col min="14842" max="14842" width="18.140625" style="3" hidden="1"/>
    <col min="14843" max="15035" width="9.140625" style="3" hidden="1"/>
    <col min="15036" max="15036" width="11" style="3" hidden="1"/>
    <col min="15037" max="15037" width="53.140625" style="3" hidden="1"/>
    <col min="15038" max="15094" width="9.140625" style="3" hidden="1"/>
    <col min="15095" max="15095" width="16.28515625" style="3" hidden="1"/>
    <col min="15096" max="15096" width="17.5703125" style="3" hidden="1"/>
    <col min="15097" max="15097" width="16" style="3" hidden="1"/>
    <col min="15098" max="15098" width="18.140625" style="3" hidden="1"/>
    <col min="15099" max="15291" width="9.140625" style="3" hidden="1"/>
    <col min="15292" max="15292" width="11" style="3" hidden="1"/>
    <col min="15293" max="15293" width="53.140625" style="3" hidden="1"/>
    <col min="15294" max="15350" width="9.140625" style="3" hidden="1"/>
    <col min="15351" max="15351" width="16.28515625" style="3" hidden="1"/>
    <col min="15352" max="15352" width="17.5703125" style="3" hidden="1"/>
    <col min="15353" max="15353" width="16" style="3" hidden="1"/>
    <col min="15354" max="15354" width="18.140625" style="3" hidden="1"/>
    <col min="15355" max="15547" width="9.140625" style="3" hidden="1"/>
    <col min="15548" max="15548" width="11" style="3" hidden="1"/>
    <col min="15549" max="15549" width="53.140625" style="3" hidden="1"/>
    <col min="15550" max="15606" width="9.140625" style="3" hidden="1"/>
    <col min="15607" max="15607" width="16.28515625" style="3" hidden="1"/>
    <col min="15608" max="15608" width="17.5703125" style="3" hidden="1"/>
    <col min="15609" max="15609" width="16" style="3" hidden="1"/>
    <col min="15610" max="15610" width="18.140625" style="3" hidden="1"/>
    <col min="15611" max="15803" width="9.140625" style="3" hidden="1"/>
    <col min="15804" max="15804" width="11" style="3" hidden="1"/>
    <col min="15805" max="15805" width="53.140625" style="3" hidden="1"/>
    <col min="15806" max="15862" width="9.140625" style="3" hidden="1"/>
    <col min="15863" max="15863" width="16.28515625" style="3" hidden="1"/>
    <col min="15864" max="15864" width="17.5703125" style="3" hidden="1"/>
    <col min="15865" max="15865" width="16" style="3" hidden="1"/>
    <col min="15866" max="15866" width="18.140625" style="3" hidden="1"/>
    <col min="15867" max="16059" width="9.140625" style="3" hidden="1"/>
    <col min="16060" max="16060" width="11" style="3" hidden="1"/>
    <col min="16061" max="16061" width="53.140625" style="3" hidden="1"/>
    <col min="16062" max="16118" width="9.140625" style="3" hidden="1"/>
    <col min="16119" max="16119" width="16.28515625" style="3" hidden="1"/>
    <col min="16120" max="16120" width="17.5703125" style="3" hidden="1"/>
    <col min="16121" max="16121" width="16" style="3" hidden="1"/>
    <col min="16122" max="16122" width="18.140625" style="3" hidden="1"/>
    <col min="16123" max="16384" width="9.140625" style="3" hidden="1"/>
  </cols>
  <sheetData>
    <row r="1" spans="1:6">
      <c r="A1" s="3"/>
      <c r="B1" s="2" t="s">
        <v>166</v>
      </c>
    </row>
    <row r="2" spans="1:6" ht="45.75" customHeight="1">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Worksheet'!$D$10</f>
        <v>148145</v>
      </c>
      <c r="E3" s="11"/>
      <c r="F3" s="11"/>
    </row>
    <row r="4" spans="1:6">
      <c r="A4" s="8">
        <v>0</v>
      </c>
      <c r="B4" s="11" t="s">
        <v>4</v>
      </c>
      <c r="C4" s="10">
        <v>1.4270000000000001E-3</v>
      </c>
      <c r="D4" s="12">
        <f>ROUND(D$3*C4,0)</f>
        <v>211</v>
      </c>
      <c r="E4" s="13">
        <f>ROUND(D4/2,0)</f>
        <v>106</v>
      </c>
      <c r="F4" s="12">
        <f>D4-E4</f>
        <v>105</v>
      </c>
    </row>
    <row r="5" spans="1:6">
      <c r="A5" s="8">
        <v>1</v>
      </c>
      <c r="B5" s="11" t="s">
        <v>167</v>
      </c>
      <c r="C5" s="10">
        <v>0.242421</v>
      </c>
      <c r="D5" s="9">
        <f>ROUND(D$3*C5,0)</f>
        <v>35913</v>
      </c>
      <c r="E5" s="11">
        <f>ROUND(D5/2,0)</f>
        <v>17957</v>
      </c>
      <c r="F5" s="9">
        <f>D5-E5</f>
        <v>17956</v>
      </c>
    </row>
    <row r="6" spans="1:6">
      <c r="A6" s="8"/>
      <c r="B6" s="11" t="s">
        <v>6</v>
      </c>
      <c r="C6" s="11"/>
      <c r="D6" s="14">
        <v>0.14463799999999999</v>
      </c>
      <c r="E6" s="11"/>
      <c r="F6" s="11"/>
    </row>
    <row r="7" spans="1:6">
      <c r="A7" s="8"/>
      <c r="B7" s="11" t="s">
        <v>7</v>
      </c>
      <c r="C7" s="11"/>
      <c r="D7" s="225">
        <f>ROUND(D5*D6,0)</f>
        <v>5194</v>
      </c>
      <c r="E7" s="226">
        <f>ROUND(D7/2,0)</f>
        <v>2597</v>
      </c>
      <c r="F7" s="225">
        <f>D7-E7</f>
        <v>2597</v>
      </c>
    </row>
    <row r="8" spans="1:6">
      <c r="A8" s="8"/>
      <c r="B8" s="11" t="s">
        <v>8</v>
      </c>
      <c r="C8" s="11"/>
      <c r="D8" s="12">
        <f>+D5-D7</f>
        <v>30719</v>
      </c>
      <c r="E8" s="13">
        <f>ROUND(D8/2,0)</f>
        <v>15360</v>
      </c>
      <c r="F8" s="12">
        <f>D8-E8</f>
        <v>15359</v>
      </c>
    </row>
    <row r="9" spans="1:6">
      <c r="A9" s="8">
        <v>2</v>
      </c>
      <c r="B9" s="11" t="s">
        <v>168</v>
      </c>
      <c r="C9" s="11"/>
      <c r="D9" s="9"/>
      <c r="E9" s="11"/>
      <c r="F9" s="11"/>
    </row>
    <row r="10" spans="1:6">
      <c r="A10" s="8"/>
      <c r="B10" s="11" t="s">
        <v>10</v>
      </c>
      <c r="C10" s="10">
        <v>3.0200000000000001E-3</v>
      </c>
      <c r="D10" s="12">
        <f>ROUND(D$3*C10,0)</f>
        <v>447</v>
      </c>
      <c r="E10" s="13">
        <f>ROUND(D10/2,0)</f>
        <v>224</v>
      </c>
      <c r="F10" s="12">
        <f>D10-E10</f>
        <v>223</v>
      </c>
    </row>
    <row r="11" spans="1:6">
      <c r="A11" s="8"/>
      <c r="B11" s="11" t="s">
        <v>11</v>
      </c>
      <c r="C11" s="10">
        <v>9.6000000000000002E-4</v>
      </c>
      <c r="D11" s="12">
        <f>ROUND(D$3*C11,0)</f>
        <v>142</v>
      </c>
      <c r="E11" s="13">
        <f>ROUND(D11/2,0)</f>
        <v>71</v>
      </c>
      <c r="F11" s="12">
        <f>D11-E11</f>
        <v>71</v>
      </c>
    </row>
    <row r="12" spans="1:6">
      <c r="A12" s="8">
        <v>2</v>
      </c>
      <c r="B12" s="11" t="s">
        <v>49</v>
      </c>
      <c r="C12" s="11"/>
      <c r="D12" s="9"/>
      <c r="E12" s="11"/>
      <c r="F12" s="11"/>
    </row>
    <row r="13" spans="1:6">
      <c r="A13" s="8"/>
      <c r="B13" s="11" t="s">
        <v>10</v>
      </c>
      <c r="C13" s="10">
        <v>2.264E-3</v>
      </c>
      <c r="D13" s="12">
        <f>ROUND(D$3*C13,0)</f>
        <v>335</v>
      </c>
      <c r="E13" s="13">
        <f>ROUND(D13/2,0)</f>
        <v>168</v>
      </c>
      <c r="F13" s="12">
        <f>D13-E13</f>
        <v>167</v>
      </c>
    </row>
    <row r="14" spans="1:6">
      <c r="A14" s="8"/>
      <c r="B14" s="11" t="s">
        <v>11</v>
      </c>
      <c r="C14" s="10">
        <v>1.359E-3</v>
      </c>
      <c r="D14" s="12">
        <f>ROUND(D$3*C14,0)</f>
        <v>201</v>
      </c>
      <c r="E14" s="13">
        <f>ROUND(D14/2,0)</f>
        <v>101</v>
      </c>
      <c r="F14" s="12">
        <f>D14-E14</f>
        <v>100</v>
      </c>
    </row>
    <row r="15" spans="1:6">
      <c r="A15" s="8">
        <v>2</v>
      </c>
      <c r="B15" s="11" t="s">
        <v>169</v>
      </c>
      <c r="C15" s="11"/>
      <c r="D15" s="9"/>
      <c r="E15" s="11"/>
      <c r="F15" s="11"/>
    </row>
    <row r="16" spans="1:6">
      <c r="A16" s="8"/>
      <c r="B16" s="11" t="s">
        <v>10</v>
      </c>
      <c r="C16" s="10">
        <v>4.3059999999999999E-3</v>
      </c>
      <c r="D16" s="12">
        <f>ROUND(D$3*C16,0)</f>
        <v>638</v>
      </c>
      <c r="E16" s="13">
        <f>ROUND(D16/2,0)</f>
        <v>319</v>
      </c>
      <c r="F16" s="12">
        <f>D16-E16</f>
        <v>319</v>
      </c>
    </row>
    <row r="17" spans="1:8">
      <c r="A17" s="8"/>
      <c r="B17" s="11" t="s">
        <v>11</v>
      </c>
      <c r="C17" s="10">
        <v>8.4900000000000004E-4</v>
      </c>
      <c r="D17" s="12">
        <f>ROUND(D$3*C17,0)</f>
        <v>126</v>
      </c>
      <c r="E17" s="13">
        <f>ROUND(D17/2,0)</f>
        <v>63</v>
      </c>
      <c r="F17" s="12">
        <f>D17-E17</f>
        <v>63</v>
      </c>
    </row>
    <row r="18" spans="1:8">
      <c r="A18" s="8">
        <v>2</v>
      </c>
      <c r="B18" s="11" t="s">
        <v>22</v>
      </c>
      <c r="C18" s="11"/>
      <c r="D18" s="9"/>
      <c r="E18" s="11"/>
      <c r="F18" s="11"/>
    </row>
    <row r="19" spans="1:8">
      <c r="A19" s="8"/>
      <c r="B19" s="11" t="s">
        <v>10</v>
      </c>
      <c r="C19" s="10">
        <v>5.7580000000000001E-3</v>
      </c>
      <c r="D19" s="12">
        <f>ROUND(D$3*C19,0)</f>
        <v>853</v>
      </c>
      <c r="E19" s="13">
        <f>ROUND(D19/2,0)</f>
        <v>427</v>
      </c>
      <c r="F19" s="12">
        <f>D19-E19</f>
        <v>426</v>
      </c>
    </row>
    <row r="20" spans="1:8">
      <c r="A20" s="8"/>
      <c r="B20" s="11" t="s">
        <v>11</v>
      </c>
      <c r="C20" s="10">
        <v>1.655E-3</v>
      </c>
      <c r="D20" s="12">
        <f>ROUND(D$3*C20,0)</f>
        <v>245</v>
      </c>
      <c r="E20" s="13">
        <f>ROUND(D20/2,0)</f>
        <v>123</v>
      </c>
      <c r="F20" s="12">
        <f>D20-E20</f>
        <v>122</v>
      </c>
    </row>
    <row r="21" spans="1:8">
      <c r="A21" s="8">
        <v>3</v>
      </c>
      <c r="B21" s="11" t="s">
        <v>170</v>
      </c>
      <c r="C21" s="10">
        <v>2.307E-3</v>
      </c>
      <c r="D21" s="12">
        <f>ROUND(D$3*C21,0)</f>
        <v>342</v>
      </c>
      <c r="E21" s="13">
        <f>ROUND(D21/2,0)</f>
        <v>171</v>
      </c>
      <c r="F21" s="12">
        <f>D21-E21</f>
        <v>171</v>
      </c>
    </row>
    <row r="22" spans="1:8">
      <c r="A22" s="8">
        <v>4</v>
      </c>
      <c r="B22" s="11" t="s">
        <v>171</v>
      </c>
      <c r="C22" s="10">
        <v>0.69649399999999995</v>
      </c>
      <c r="D22" s="9">
        <f>ROUND(D$3*C22,0)</f>
        <v>103182</v>
      </c>
      <c r="E22" s="11">
        <f>ROUND(D22/2,0)</f>
        <v>51591</v>
      </c>
      <c r="F22" s="9">
        <f>D22-E22</f>
        <v>51591</v>
      </c>
    </row>
    <row r="23" spans="1:8">
      <c r="A23" s="8"/>
      <c r="B23" s="11" t="s">
        <v>28</v>
      </c>
      <c r="C23" s="11"/>
      <c r="D23" s="14">
        <v>0.439749</v>
      </c>
      <c r="E23" s="11"/>
      <c r="F23" s="11"/>
    </row>
    <row r="24" spans="1:8">
      <c r="A24" s="8"/>
      <c r="B24" s="11" t="s">
        <v>29</v>
      </c>
      <c r="C24" s="11"/>
      <c r="D24" s="225">
        <f>ROUND(D22*D23,0)</f>
        <v>45374</v>
      </c>
      <c r="E24" s="226">
        <f>ROUND(D24/2,0)</f>
        <v>22687</v>
      </c>
      <c r="F24" s="225">
        <f>D24-E24</f>
        <v>22687</v>
      </c>
    </row>
    <row r="25" spans="1:8">
      <c r="A25" s="8"/>
      <c r="B25" s="11" t="s">
        <v>30</v>
      </c>
      <c r="C25" s="11"/>
      <c r="D25" s="12">
        <f>+D22-D24</f>
        <v>57808</v>
      </c>
      <c r="E25" s="13">
        <f>ROUND(D25/2,0)</f>
        <v>28904</v>
      </c>
      <c r="F25" s="12">
        <f>D25-E25</f>
        <v>28904</v>
      </c>
    </row>
    <row r="26" spans="1:8">
      <c r="A26" s="8">
        <v>5</v>
      </c>
      <c r="B26" s="11" t="s">
        <v>172</v>
      </c>
      <c r="C26" s="10">
        <v>2.0102999999999999E-2</v>
      </c>
      <c r="D26" s="12">
        <f>ROUND(D$3*C26,0)</f>
        <v>2978</v>
      </c>
      <c r="E26" s="13">
        <f>ROUND(D26/2,0)</f>
        <v>1489</v>
      </c>
      <c r="F26" s="12">
        <f>D26-E26</f>
        <v>1489</v>
      </c>
    </row>
    <row r="27" spans="1:8">
      <c r="A27" s="8">
        <v>6</v>
      </c>
      <c r="B27" s="11" t="s">
        <v>173</v>
      </c>
      <c r="C27" s="10">
        <v>1.5705E-2</v>
      </c>
      <c r="D27" s="12">
        <f>ROUND(D$3*C27,0)</f>
        <v>2327</v>
      </c>
      <c r="E27" s="13">
        <f>ROUND(D27/2,0)</f>
        <v>1164</v>
      </c>
      <c r="F27" s="12">
        <f>D27-E27</f>
        <v>1163</v>
      </c>
    </row>
    <row r="28" spans="1:8">
      <c r="A28" s="8">
        <v>6</v>
      </c>
      <c r="B28" s="11" t="s">
        <v>174</v>
      </c>
      <c r="C28" s="10">
        <v>1.372E-3</v>
      </c>
      <c r="D28" s="12">
        <f>+D3-SUM(D4:D5)-SUM(D10:D22)-SUM(D26:D27)</f>
        <v>205</v>
      </c>
      <c r="E28" s="13">
        <f>ROUND(D28/2,0)</f>
        <v>103</v>
      </c>
      <c r="F28" s="12">
        <f>D28-E28</f>
        <v>102</v>
      </c>
    </row>
    <row r="29" spans="1:8">
      <c r="A29" s="8"/>
      <c r="B29" s="28" t="s">
        <v>37</v>
      </c>
      <c r="C29" s="10">
        <v>0.99999999999999989</v>
      </c>
      <c r="D29" s="12">
        <f>+D4+SUM(D7:D21)+D24+D25+D26+D27+D28</f>
        <v>148145</v>
      </c>
      <c r="E29" s="12">
        <f>+E4+SUM(E7:E21)+E24+E25+E26+E27+E28</f>
        <v>74077</v>
      </c>
      <c r="F29" s="12">
        <f>+F4+SUM(F7:F21)+F24+F25+F26+F27+F28</f>
        <v>74068</v>
      </c>
    </row>
    <row r="30" spans="1:8">
      <c r="B30" s="18" t="s">
        <v>38</v>
      </c>
      <c r="D30" s="19">
        <f>+D4</f>
        <v>211</v>
      </c>
      <c r="E30" s="19">
        <f>+E4</f>
        <v>106</v>
      </c>
      <c r="F30" s="19">
        <f>+F4</f>
        <v>105</v>
      </c>
    </row>
    <row r="31" spans="1:8">
      <c r="B31" s="2" t="s">
        <v>39</v>
      </c>
      <c r="D31" s="19">
        <f>+D7</f>
        <v>5194</v>
      </c>
      <c r="E31" s="19">
        <f>+E7</f>
        <v>2597</v>
      </c>
      <c r="F31" s="19">
        <f>+F7</f>
        <v>2597</v>
      </c>
    </row>
    <row r="32" spans="1:8">
      <c r="B32" s="2" t="s">
        <v>40</v>
      </c>
      <c r="D32" s="19">
        <f>+D24</f>
        <v>45374</v>
      </c>
      <c r="E32" s="19">
        <f>+E24</f>
        <v>22687</v>
      </c>
      <c r="F32" s="19">
        <f>+F24</f>
        <v>22687</v>
      </c>
      <c r="H32" s="3">
        <v>1</v>
      </c>
    </row>
    <row r="33" spans="2:8">
      <c r="B33" s="18" t="s">
        <v>41</v>
      </c>
      <c r="D33" s="19">
        <f>+D29-D30-D31-D32</f>
        <v>97366</v>
      </c>
      <c r="E33" s="19">
        <f>+E29-E30-E31-E32</f>
        <v>48687</v>
      </c>
      <c r="F33" s="19">
        <f>+F29-F30-F31-F32</f>
        <v>48679</v>
      </c>
      <c r="H33" s="3">
        <v>2</v>
      </c>
    </row>
    <row r="35" spans="2:8" hidden="1">
      <c r="B35" s="3" t="s">
        <v>42</v>
      </c>
      <c r="D35" s="9">
        <f>+D28-ROUND(D$3*C28,0)</f>
        <v>2</v>
      </c>
    </row>
    <row r="71" spans="1:1">
      <c r="A71" s="1" t="s">
        <v>590</v>
      </c>
    </row>
  </sheetData>
  <pageMargins left="0.7" right="0.7" top="0.75" bottom="0.75" header="0.3" footer="0.3"/>
  <pageSetup scale="5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WVB82"/>
  <sheetViews>
    <sheetView topLeftCell="A49" zoomScaleNormal="100" zoomScaleSheetLayoutView="90" workbookViewId="0">
      <selection activeCell="D70" activeCellId="4" sqref="D7:F7 D58:F58 D62:F62 D66:F66 D70:F70"/>
    </sheetView>
  </sheetViews>
  <sheetFormatPr defaultColWidth="0" defaultRowHeight="15"/>
  <cols>
    <col min="1" max="1" width="13.140625" style="1" customWidth="1"/>
    <col min="2" max="2" width="57.140625" style="3" customWidth="1"/>
    <col min="3" max="6" width="20.42578125" style="3" customWidth="1"/>
    <col min="7" max="7" width="9.140625" style="3" customWidth="1"/>
    <col min="8" max="187" width="9.140625" style="3" hidden="1"/>
    <col min="188" max="188" width="11" style="3" hidden="1"/>
    <col min="189" max="189" width="54.140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140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140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140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140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140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140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140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140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140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140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140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140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140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140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140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140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140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140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140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140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140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140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140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140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140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140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140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140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140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140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140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140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140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140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140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140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140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140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140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140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140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140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140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140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140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140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140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140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140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140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140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140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140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140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140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140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140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140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140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140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140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140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175</v>
      </c>
    </row>
    <row r="2" spans="1:6" ht="45.75" customHeight="1">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Worksheet'!$D$11</f>
        <v>234042</v>
      </c>
      <c r="E3" s="11"/>
      <c r="F3" s="11"/>
    </row>
    <row r="4" spans="1:6">
      <c r="A4" s="8">
        <v>0</v>
      </c>
      <c r="B4" s="11" t="s">
        <v>4</v>
      </c>
      <c r="C4" s="10">
        <v>1.281E-3</v>
      </c>
      <c r="D4" s="12">
        <f>ROUND(D$3*C4,0)</f>
        <v>300</v>
      </c>
      <c r="E4" s="13">
        <f>ROUND(D4/2,0)</f>
        <v>150</v>
      </c>
      <c r="F4" s="12">
        <f>D4-E4</f>
        <v>150</v>
      </c>
    </row>
    <row r="5" spans="1:6">
      <c r="A5" s="8">
        <v>1</v>
      </c>
      <c r="B5" s="11" t="s">
        <v>176</v>
      </c>
      <c r="C5" s="10">
        <v>0.19517399999999999</v>
      </c>
      <c r="D5" s="9">
        <f>ROUND(D$3*C5,0)</f>
        <v>45679</v>
      </c>
      <c r="E5" s="11">
        <f>ROUND(D5/2,0)</f>
        <v>22840</v>
      </c>
      <c r="F5" s="9">
        <f>D5-E5</f>
        <v>22839</v>
      </c>
    </row>
    <row r="6" spans="1:6">
      <c r="A6" s="8"/>
      <c r="B6" s="11" t="s">
        <v>6</v>
      </c>
      <c r="C6" s="11"/>
      <c r="D6" s="14">
        <v>9.8448999999999995E-2</v>
      </c>
      <c r="E6" s="11"/>
      <c r="F6" s="11"/>
    </row>
    <row r="7" spans="1:6">
      <c r="A7" s="8"/>
      <c r="B7" s="11" t="s">
        <v>7</v>
      </c>
      <c r="C7" s="11"/>
      <c r="D7" s="225">
        <f>ROUND(D5*D6,0)</f>
        <v>4497</v>
      </c>
      <c r="E7" s="226">
        <f>ROUND(D7/2,0)</f>
        <v>2249</v>
      </c>
      <c r="F7" s="225">
        <f>D7-E7</f>
        <v>2248</v>
      </c>
    </row>
    <row r="8" spans="1:6">
      <c r="A8" s="8"/>
      <c r="B8" s="11" t="s">
        <v>8</v>
      </c>
      <c r="C8" s="11"/>
      <c r="D8" s="12">
        <f>+D5-D7</f>
        <v>41182</v>
      </c>
      <c r="E8" s="13">
        <f>ROUND(D8/2,0)</f>
        <v>20591</v>
      </c>
      <c r="F8" s="12">
        <f>D8-E8</f>
        <v>20591</v>
      </c>
    </row>
    <row r="9" spans="1:6">
      <c r="A9" s="8">
        <v>2</v>
      </c>
      <c r="B9" s="11" t="s">
        <v>46</v>
      </c>
      <c r="C9" s="11"/>
      <c r="D9" s="9"/>
      <c r="E9" s="11"/>
      <c r="F9" s="11"/>
    </row>
    <row r="10" spans="1:6">
      <c r="A10" s="8"/>
      <c r="B10" s="11" t="s">
        <v>10</v>
      </c>
      <c r="C10" s="10">
        <v>2.4499999999999999E-4</v>
      </c>
      <c r="D10" s="12">
        <f>ROUND(D$3*C10,0)</f>
        <v>57</v>
      </c>
      <c r="E10" s="13">
        <f>ROUND(D10/2,0)</f>
        <v>29</v>
      </c>
      <c r="F10" s="12">
        <f>D10-E10</f>
        <v>28</v>
      </c>
    </row>
    <row r="11" spans="1:6">
      <c r="A11" s="8"/>
      <c r="B11" s="11" t="s">
        <v>11</v>
      </c>
      <c r="C11" s="10">
        <v>1.75E-4</v>
      </c>
      <c r="D11" s="12">
        <f>ROUND(D$3*C11,0)</f>
        <v>41</v>
      </c>
      <c r="E11" s="13">
        <f>ROUND(D11/2,0)</f>
        <v>21</v>
      </c>
      <c r="F11" s="12">
        <f>D11-E11</f>
        <v>20</v>
      </c>
    </row>
    <row r="12" spans="1:6">
      <c r="A12" s="8">
        <v>2</v>
      </c>
      <c r="B12" s="11" t="s">
        <v>177</v>
      </c>
      <c r="C12" s="11"/>
      <c r="D12" s="9"/>
      <c r="E12" s="11"/>
      <c r="F12" s="11"/>
    </row>
    <row r="13" spans="1:6">
      <c r="A13" s="8"/>
      <c r="B13" s="11" t="s">
        <v>10</v>
      </c>
      <c r="C13" s="10">
        <v>4.3540000000000002E-3</v>
      </c>
      <c r="D13" s="12">
        <f>ROUND(D$3*C13,0)</f>
        <v>1019</v>
      </c>
      <c r="E13" s="13">
        <f>ROUND(D13/2,0)</f>
        <v>510</v>
      </c>
      <c r="F13" s="12">
        <f>D13-E13</f>
        <v>509</v>
      </c>
    </row>
    <row r="14" spans="1:6">
      <c r="A14" s="8"/>
      <c r="B14" s="11" t="s">
        <v>11</v>
      </c>
      <c r="C14" s="10">
        <v>1.281E-3</v>
      </c>
      <c r="D14" s="12">
        <f>ROUND(D$3*C14,0)</f>
        <v>300</v>
      </c>
      <c r="E14" s="13">
        <f>ROUND(D14/2,0)</f>
        <v>150</v>
      </c>
      <c r="F14" s="12">
        <f>D14-E14</f>
        <v>150</v>
      </c>
    </row>
    <row r="15" spans="1:6">
      <c r="A15" s="8">
        <v>2</v>
      </c>
      <c r="B15" s="11" t="s">
        <v>178</v>
      </c>
      <c r="C15" s="11"/>
      <c r="D15" s="9"/>
      <c r="E15" s="11"/>
      <c r="F15" s="11"/>
    </row>
    <row r="16" spans="1:6">
      <c r="A16" s="8"/>
      <c r="B16" s="11" t="s">
        <v>10</v>
      </c>
      <c r="C16" s="10">
        <v>5.0199999999999995E-4</v>
      </c>
      <c r="D16" s="12">
        <f>ROUND(D$3*C16,0)</f>
        <v>117</v>
      </c>
      <c r="E16" s="13">
        <f>ROUND(D16/2,0)</f>
        <v>59</v>
      </c>
      <c r="F16" s="12">
        <f>D16-E16</f>
        <v>58</v>
      </c>
    </row>
    <row r="17" spans="1:6">
      <c r="A17" s="8"/>
      <c r="B17" s="11" t="s">
        <v>11</v>
      </c>
      <c r="C17" s="10">
        <v>2.5700000000000001E-4</v>
      </c>
      <c r="D17" s="12">
        <f>ROUND(D$3*C17,0)</f>
        <v>60</v>
      </c>
      <c r="E17" s="13">
        <f>ROUND(D17/2,0)</f>
        <v>30</v>
      </c>
      <c r="F17" s="12">
        <f>D17-E17</f>
        <v>30</v>
      </c>
    </row>
    <row r="18" spans="1:6">
      <c r="A18" s="8">
        <v>2</v>
      </c>
      <c r="B18" s="11" t="s">
        <v>81</v>
      </c>
      <c r="C18" s="11"/>
      <c r="D18" s="9"/>
      <c r="E18" s="11"/>
      <c r="F18" s="11"/>
    </row>
    <row r="19" spans="1:6">
      <c r="A19" s="8"/>
      <c r="B19" s="11" t="s">
        <v>10</v>
      </c>
      <c r="C19" s="10">
        <v>8.2899999999999998E-4</v>
      </c>
      <c r="D19" s="12">
        <f>ROUND(D$3*C19,0)</f>
        <v>194</v>
      </c>
      <c r="E19" s="13">
        <f>ROUND(D19/2,0)</f>
        <v>97</v>
      </c>
      <c r="F19" s="12">
        <f>D19-E19</f>
        <v>97</v>
      </c>
    </row>
    <row r="20" spans="1:6">
      <c r="A20" s="8"/>
      <c r="B20" s="11" t="s">
        <v>11</v>
      </c>
      <c r="C20" s="10">
        <v>4.1300000000000001E-4</v>
      </c>
      <c r="D20" s="12">
        <f>ROUND(D$3*C20,0)</f>
        <v>97</v>
      </c>
      <c r="E20" s="13">
        <f>ROUND(D20/2,0)</f>
        <v>49</v>
      </c>
      <c r="F20" s="12">
        <f>D20-E20</f>
        <v>48</v>
      </c>
    </row>
    <row r="21" spans="1:6">
      <c r="A21" s="8">
        <v>2</v>
      </c>
      <c r="B21" s="11" t="s">
        <v>179</v>
      </c>
      <c r="C21" s="11"/>
      <c r="D21" s="9"/>
      <c r="E21" s="11"/>
      <c r="F21" s="11"/>
    </row>
    <row r="22" spans="1:6">
      <c r="A22" s="8"/>
      <c r="B22" s="11" t="s">
        <v>10</v>
      </c>
      <c r="C22" s="10">
        <v>2.1570000000000001E-3</v>
      </c>
      <c r="D22" s="12">
        <f>ROUND(D$3*C22,0)</f>
        <v>505</v>
      </c>
      <c r="E22" s="13">
        <f>ROUND(D22/2,0)</f>
        <v>253</v>
      </c>
      <c r="F22" s="12">
        <f>D22-E22</f>
        <v>252</v>
      </c>
    </row>
    <row r="23" spans="1:6">
      <c r="A23" s="8"/>
      <c r="B23" s="11" t="s">
        <v>11</v>
      </c>
      <c r="C23" s="10">
        <v>6.6600000000000003E-4</v>
      </c>
      <c r="D23" s="12">
        <f>ROUND(D$3*C23,0)</f>
        <v>156</v>
      </c>
      <c r="E23" s="13">
        <f>ROUND(D23/2,0)</f>
        <v>78</v>
      </c>
      <c r="F23" s="12">
        <f>D23-E23</f>
        <v>78</v>
      </c>
    </row>
    <row r="24" spans="1:6">
      <c r="A24" s="8">
        <v>2</v>
      </c>
      <c r="B24" s="11" t="s">
        <v>180</v>
      </c>
      <c r="C24" s="11"/>
      <c r="D24" s="9"/>
      <c r="E24" s="11"/>
      <c r="F24" s="11"/>
    </row>
    <row r="25" spans="1:6">
      <c r="A25" s="8"/>
      <c r="B25" s="11" t="s">
        <v>10</v>
      </c>
      <c r="C25" s="10">
        <v>9.9700000000000006E-4</v>
      </c>
      <c r="D25" s="12">
        <f>ROUND(D$3*C25,0)</f>
        <v>233</v>
      </c>
      <c r="E25" s="13">
        <f>ROUND(D25/2,0)</f>
        <v>117</v>
      </c>
      <c r="F25" s="12">
        <f>D25-E25</f>
        <v>116</v>
      </c>
    </row>
    <row r="26" spans="1:6">
      <c r="A26" s="8"/>
      <c r="B26" s="11" t="s">
        <v>11</v>
      </c>
      <c r="C26" s="10">
        <v>6.0400000000000004E-4</v>
      </c>
      <c r="D26" s="12">
        <f>ROUND(D$3*C26,0)</f>
        <v>141</v>
      </c>
      <c r="E26" s="13">
        <f>ROUND(D26/2,0)</f>
        <v>71</v>
      </c>
      <c r="F26" s="12">
        <f>D26-E26</f>
        <v>70</v>
      </c>
    </row>
    <row r="27" spans="1:6">
      <c r="A27" s="8">
        <v>2</v>
      </c>
      <c r="B27" s="11" t="s">
        <v>49</v>
      </c>
      <c r="C27" s="11"/>
      <c r="D27" s="9"/>
      <c r="E27" s="11"/>
      <c r="F27" s="11"/>
    </row>
    <row r="28" spans="1:6">
      <c r="A28" s="8"/>
      <c r="B28" s="11" t="s">
        <v>10</v>
      </c>
      <c r="C28" s="10">
        <v>2.3749999999999999E-3</v>
      </c>
      <c r="D28" s="12">
        <f>ROUND(D$3*C28,0)</f>
        <v>556</v>
      </c>
      <c r="E28" s="13">
        <f>ROUND(D28/2,0)</f>
        <v>278</v>
      </c>
      <c r="F28" s="12">
        <f>D28-E28</f>
        <v>278</v>
      </c>
    </row>
    <row r="29" spans="1:6">
      <c r="A29" s="8"/>
      <c r="B29" s="11" t="s">
        <v>11</v>
      </c>
      <c r="C29" s="10">
        <v>1.09E-3</v>
      </c>
      <c r="D29" s="12">
        <f>ROUND(D$3*C29,0)</f>
        <v>255</v>
      </c>
      <c r="E29" s="13">
        <f>ROUND(D29/2,0)</f>
        <v>128</v>
      </c>
      <c r="F29" s="12">
        <f>D29-E29</f>
        <v>127</v>
      </c>
    </row>
    <row r="30" spans="1:6">
      <c r="A30" s="8">
        <v>2</v>
      </c>
      <c r="B30" s="11" t="s">
        <v>14</v>
      </c>
      <c r="C30" s="5"/>
      <c r="D30" s="5"/>
      <c r="E30" s="6"/>
      <c r="F30" s="11"/>
    </row>
    <row r="31" spans="1:6">
      <c r="A31" s="8"/>
      <c r="B31" s="11" t="s">
        <v>10</v>
      </c>
      <c r="C31" s="10">
        <v>6.6600000000000003E-4</v>
      </c>
      <c r="D31" s="12">
        <f>ROUND(D$3*C31,0)</f>
        <v>156</v>
      </c>
      <c r="E31" s="13">
        <f>ROUND(D31/2,0)</f>
        <v>78</v>
      </c>
      <c r="F31" s="12">
        <f>D31-E31</f>
        <v>78</v>
      </c>
    </row>
    <row r="32" spans="1:6">
      <c r="A32" s="8"/>
      <c r="B32" s="11" t="s">
        <v>11</v>
      </c>
      <c r="C32" s="10">
        <v>2.0249999999999999E-3</v>
      </c>
      <c r="D32" s="12">
        <f>ROUND(D$3*C32,0)</f>
        <v>474</v>
      </c>
      <c r="E32" s="13">
        <f>ROUND(D32/2,0)</f>
        <v>237</v>
      </c>
      <c r="F32" s="12">
        <f>D32-E32</f>
        <v>237</v>
      </c>
    </row>
    <row r="33" spans="1:6">
      <c r="A33" s="8">
        <v>2</v>
      </c>
      <c r="B33" s="11" t="s">
        <v>181</v>
      </c>
      <c r="C33" s="11"/>
      <c r="D33" s="9"/>
      <c r="E33" s="11"/>
      <c r="F33" s="11"/>
    </row>
    <row r="34" spans="1:6">
      <c r="A34" s="8"/>
      <c r="B34" s="11" t="s">
        <v>10</v>
      </c>
      <c r="C34" s="10">
        <v>7.3999999999999999E-4</v>
      </c>
      <c r="D34" s="12">
        <f>ROUND(D$3*C34,0)</f>
        <v>173</v>
      </c>
      <c r="E34" s="13">
        <f>ROUND(D34/2,0)</f>
        <v>87</v>
      </c>
      <c r="F34" s="12">
        <f>D34-E34</f>
        <v>86</v>
      </c>
    </row>
    <row r="35" spans="1:6">
      <c r="A35" s="8"/>
      <c r="B35" s="11" t="s">
        <v>11</v>
      </c>
      <c r="C35" s="10">
        <v>4.4000000000000002E-4</v>
      </c>
      <c r="D35" s="12">
        <f>ROUND(D$3*C35,0)</f>
        <v>103</v>
      </c>
      <c r="E35" s="13">
        <f>ROUND(D35/2,0)</f>
        <v>52</v>
      </c>
      <c r="F35" s="12">
        <f>D35-E35</f>
        <v>51</v>
      </c>
    </row>
    <row r="36" spans="1:6">
      <c r="A36" s="8">
        <v>2</v>
      </c>
      <c r="B36" s="11" t="s">
        <v>52</v>
      </c>
      <c r="C36" s="11"/>
      <c r="D36" s="9"/>
      <c r="E36" s="11"/>
      <c r="F36" s="11"/>
    </row>
    <row r="37" spans="1:6">
      <c r="A37" s="8"/>
      <c r="B37" s="11" t="s">
        <v>10</v>
      </c>
      <c r="C37" s="10">
        <v>1.702E-3</v>
      </c>
      <c r="D37" s="12">
        <f>ROUND(D$3*C37,0)</f>
        <v>398</v>
      </c>
      <c r="E37" s="13">
        <f>ROUND(D37/2,0)</f>
        <v>199</v>
      </c>
      <c r="F37" s="12">
        <f>D37-E37</f>
        <v>199</v>
      </c>
    </row>
    <row r="38" spans="1:6">
      <c r="A38" s="8"/>
      <c r="B38" s="11" t="s">
        <v>11</v>
      </c>
      <c r="C38" s="10">
        <v>1.1950000000000001E-3</v>
      </c>
      <c r="D38" s="12">
        <f>ROUND(D$3*C38,0)</f>
        <v>280</v>
      </c>
      <c r="E38" s="13">
        <f>ROUND(D38/2,0)</f>
        <v>140</v>
      </c>
      <c r="F38" s="12">
        <f>D38-E38</f>
        <v>140</v>
      </c>
    </row>
    <row r="39" spans="1:6">
      <c r="A39" s="8">
        <v>2</v>
      </c>
      <c r="B39" s="11" t="s">
        <v>16</v>
      </c>
      <c r="C39" s="11"/>
      <c r="D39" s="9"/>
      <c r="E39" s="11"/>
      <c r="F39" s="11"/>
    </row>
    <row r="40" spans="1:6">
      <c r="A40" s="8"/>
      <c r="B40" s="11" t="s">
        <v>10</v>
      </c>
      <c r="C40" s="10">
        <v>3.3530000000000001E-3</v>
      </c>
      <c r="D40" s="12">
        <f>ROUND(D$3*C40,0)</f>
        <v>785</v>
      </c>
      <c r="E40" s="13">
        <f>ROUND(D40/2,0)</f>
        <v>393</v>
      </c>
      <c r="F40" s="12">
        <f>D40-E40</f>
        <v>392</v>
      </c>
    </row>
    <row r="41" spans="1:6">
      <c r="A41" s="8"/>
      <c r="B41" s="11" t="s">
        <v>11</v>
      </c>
      <c r="C41" s="10">
        <v>8.0999999999999996E-4</v>
      </c>
      <c r="D41" s="12">
        <f>ROUND(D$3*C41,0)</f>
        <v>190</v>
      </c>
      <c r="E41" s="13">
        <f>ROUND(D41/2,0)</f>
        <v>95</v>
      </c>
      <c r="F41" s="12">
        <f>D41-E41</f>
        <v>95</v>
      </c>
    </row>
    <row r="42" spans="1:6">
      <c r="A42" s="8">
        <v>2</v>
      </c>
      <c r="B42" s="11" t="s">
        <v>182</v>
      </c>
      <c r="C42" s="11"/>
      <c r="D42" s="9"/>
      <c r="E42" s="11"/>
      <c r="F42" s="11"/>
    </row>
    <row r="43" spans="1:6">
      <c r="A43" s="8"/>
      <c r="B43" s="11" t="s">
        <v>10</v>
      </c>
      <c r="C43" s="10">
        <v>5.22E-4</v>
      </c>
      <c r="D43" s="12">
        <f>ROUND(D$3*C43,0)</f>
        <v>122</v>
      </c>
      <c r="E43" s="13">
        <f>ROUND(D43/2,0)</f>
        <v>61</v>
      </c>
      <c r="F43" s="12">
        <f>D43-E43</f>
        <v>61</v>
      </c>
    </row>
    <row r="44" spans="1:6">
      <c r="A44" s="8"/>
      <c r="B44" s="11" t="s">
        <v>11</v>
      </c>
      <c r="C44" s="10">
        <v>3.2699999999999998E-4</v>
      </c>
      <c r="D44" s="12">
        <f>ROUND(D$3*C44,0)</f>
        <v>77</v>
      </c>
      <c r="E44" s="13">
        <f>ROUND(D44/2,0)</f>
        <v>39</v>
      </c>
      <c r="F44" s="12">
        <f>D44-E44</f>
        <v>38</v>
      </c>
    </row>
    <row r="45" spans="1:6">
      <c r="A45" s="8">
        <v>2</v>
      </c>
      <c r="B45" s="11" t="s">
        <v>183</v>
      </c>
      <c r="C45" s="11"/>
      <c r="D45" s="9"/>
      <c r="E45" s="11"/>
      <c r="F45" s="11"/>
    </row>
    <row r="46" spans="1:6">
      <c r="A46" s="8"/>
      <c r="B46" s="11" t="s">
        <v>10</v>
      </c>
      <c r="C46" s="10">
        <v>1.0009999999999999E-3</v>
      </c>
      <c r="D46" s="12">
        <f>ROUND(D$3*C46,0)</f>
        <v>234</v>
      </c>
      <c r="E46" s="13">
        <f>ROUND(D46/2,0)</f>
        <v>117</v>
      </c>
      <c r="F46" s="12">
        <f>D46-E46</f>
        <v>117</v>
      </c>
    </row>
    <row r="47" spans="1:6">
      <c r="A47" s="8"/>
      <c r="B47" s="11" t="s">
        <v>11</v>
      </c>
      <c r="C47" s="10">
        <v>3.2299999999999999E-4</v>
      </c>
      <c r="D47" s="12">
        <f>ROUND(D$3*C47,0)</f>
        <v>76</v>
      </c>
      <c r="E47" s="13">
        <f>ROUND(D47/2,0)</f>
        <v>38</v>
      </c>
      <c r="F47" s="12">
        <f>D47-E47</f>
        <v>38</v>
      </c>
    </row>
    <row r="48" spans="1:6">
      <c r="A48" s="8">
        <v>2</v>
      </c>
      <c r="B48" s="11" t="s">
        <v>22</v>
      </c>
      <c r="C48" s="11"/>
      <c r="D48" s="9"/>
      <c r="E48" s="11"/>
      <c r="F48" s="11"/>
    </row>
    <row r="49" spans="1:6">
      <c r="A49" s="8"/>
      <c r="B49" s="11" t="s">
        <v>10</v>
      </c>
      <c r="C49" s="10">
        <v>1.7799999999999999E-3</v>
      </c>
      <c r="D49" s="12">
        <f t="shared" ref="D49:D56" si="0">ROUND(D$3*C49,0)</f>
        <v>417</v>
      </c>
      <c r="E49" s="13">
        <f t="shared" ref="E49:E56" si="1">ROUND(D49/2,0)</f>
        <v>209</v>
      </c>
      <c r="F49" s="12">
        <f t="shared" ref="F49:F56" si="2">D49-E49</f>
        <v>208</v>
      </c>
    </row>
    <row r="50" spans="1:6">
      <c r="A50" s="8"/>
      <c r="B50" s="11" t="s">
        <v>11</v>
      </c>
      <c r="C50" s="10">
        <v>4.1300000000000001E-4</v>
      </c>
      <c r="D50" s="12">
        <f t="shared" si="0"/>
        <v>97</v>
      </c>
      <c r="E50" s="13">
        <f t="shared" si="1"/>
        <v>49</v>
      </c>
      <c r="F50" s="12">
        <f t="shared" si="2"/>
        <v>48</v>
      </c>
    </row>
    <row r="51" spans="1:6">
      <c r="A51" s="8">
        <v>3</v>
      </c>
      <c r="B51" s="11" t="s">
        <v>184</v>
      </c>
      <c r="C51" s="10">
        <v>5.7320000000000001E-3</v>
      </c>
      <c r="D51" s="12">
        <f t="shared" si="0"/>
        <v>1342</v>
      </c>
      <c r="E51" s="13">
        <f t="shared" si="1"/>
        <v>671</v>
      </c>
      <c r="F51" s="12">
        <f t="shared" si="2"/>
        <v>671</v>
      </c>
    </row>
    <row r="52" spans="1:6">
      <c r="A52" s="8">
        <v>3</v>
      </c>
      <c r="B52" s="11" t="s">
        <v>185</v>
      </c>
      <c r="C52" s="10">
        <v>2.068E-3</v>
      </c>
      <c r="D52" s="12">
        <f t="shared" si="0"/>
        <v>484</v>
      </c>
      <c r="E52" s="13">
        <f t="shared" si="1"/>
        <v>242</v>
      </c>
      <c r="F52" s="12">
        <f t="shared" si="2"/>
        <v>242</v>
      </c>
    </row>
    <row r="53" spans="1:6">
      <c r="A53" s="8">
        <v>3</v>
      </c>
      <c r="B53" s="11" t="s">
        <v>186</v>
      </c>
      <c r="C53" s="10">
        <v>1.6670000000000001E-2</v>
      </c>
      <c r="D53" s="12">
        <f t="shared" si="0"/>
        <v>3901</v>
      </c>
      <c r="E53" s="13">
        <f t="shared" si="1"/>
        <v>1951</v>
      </c>
      <c r="F53" s="12">
        <f t="shared" si="2"/>
        <v>1950</v>
      </c>
    </row>
    <row r="54" spans="1:6">
      <c r="A54" s="8">
        <v>3</v>
      </c>
      <c r="B54" s="11" t="s">
        <v>187</v>
      </c>
      <c r="C54" s="10">
        <v>2.4957E-2</v>
      </c>
      <c r="D54" s="12">
        <f t="shared" si="0"/>
        <v>5841</v>
      </c>
      <c r="E54" s="13">
        <f t="shared" si="1"/>
        <v>2921</v>
      </c>
      <c r="F54" s="12">
        <f t="shared" si="2"/>
        <v>2920</v>
      </c>
    </row>
    <row r="55" spans="1:6">
      <c r="A55" s="8">
        <v>3</v>
      </c>
      <c r="B55" s="11" t="s">
        <v>188</v>
      </c>
      <c r="C55" s="10">
        <v>4.75E-4</v>
      </c>
      <c r="D55" s="12">
        <f t="shared" si="0"/>
        <v>111</v>
      </c>
      <c r="E55" s="13">
        <f t="shared" si="1"/>
        <v>56</v>
      </c>
      <c r="F55" s="12">
        <f t="shared" si="2"/>
        <v>55</v>
      </c>
    </row>
    <row r="56" spans="1:6">
      <c r="A56" s="8">
        <v>4</v>
      </c>
      <c r="B56" s="11" t="s">
        <v>189</v>
      </c>
      <c r="C56" s="10">
        <v>0.26967099999999999</v>
      </c>
      <c r="D56" s="9">
        <f t="shared" si="0"/>
        <v>63114</v>
      </c>
      <c r="E56" s="11">
        <f t="shared" si="1"/>
        <v>31557</v>
      </c>
      <c r="F56" s="9">
        <f t="shared" si="2"/>
        <v>31557</v>
      </c>
    </row>
    <row r="57" spans="1:6">
      <c r="A57" s="8"/>
      <c r="B57" s="11" t="s">
        <v>28</v>
      </c>
      <c r="C57" s="11"/>
      <c r="D57" s="14">
        <v>0.53313200000000005</v>
      </c>
      <c r="E57" s="11"/>
      <c r="F57" s="11"/>
    </row>
    <row r="58" spans="1:6">
      <c r="A58" s="8"/>
      <c r="B58" s="11" t="s">
        <v>29</v>
      </c>
      <c r="C58" s="11"/>
      <c r="D58" s="225">
        <f>ROUND(D56*D57,0)</f>
        <v>33648</v>
      </c>
      <c r="E58" s="226">
        <f>ROUND(D58/2,0)</f>
        <v>16824</v>
      </c>
      <c r="F58" s="225">
        <f>D58-E58</f>
        <v>16824</v>
      </c>
    </row>
    <row r="59" spans="1:6">
      <c r="A59" s="8"/>
      <c r="B59" s="11" t="s">
        <v>30</v>
      </c>
      <c r="C59" s="11"/>
      <c r="D59" s="12">
        <f>+D56-D58</f>
        <v>29466</v>
      </c>
      <c r="E59" s="13">
        <f>ROUND(D59/2,0)</f>
        <v>14733</v>
      </c>
      <c r="F59" s="12">
        <f>D59-E59</f>
        <v>14733</v>
      </c>
    </row>
    <row r="60" spans="1:6">
      <c r="A60" s="8">
        <v>4</v>
      </c>
      <c r="B60" s="11" t="s">
        <v>190</v>
      </c>
      <c r="C60" s="10">
        <v>0.28865800000000003</v>
      </c>
      <c r="D60" s="9">
        <f>ROUND(D$3*C60,0)</f>
        <v>67558</v>
      </c>
      <c r="E60" s="11">
        <f>ROUND(D60/2,0)</f>
        <v>33779</v>
      </c>
      <c r="F60" s="9">
        <f>D60-E60</f>
        <v>33779</v>
      </c>
    </row>
    <row r="61" spans="1:6">
      <c r="A61" s="8"/>
      <c r="B61" s="11" t="s">
        <v>28</v>
      </c>
      <c r="C61" s="11"/>
      <c r="D61" s="14">
        <v>0.37595200000000001</v>
      </c>
      <c r="E61" s="11"/>
      <c r="F61" s="11"/>
    </row>
    <row r="62" spans="1:6">
      <c r="A62" s="8"/>
      <c r="B62" s="11" t="s">
        <v>29</v>
      </c>
      <c r="C62" s="11"/>
      <c r="D62" s="225">
        <f>ROUND(D60*D61,0)</f>
        <v>25399</v>
      </c>
      <c r="E62" s="226">
        <f>ROUND(D62/2,0)</f>
        <v>12700</v>
      </c>
      <c r="F62" s="225">
        <f>D62-E62</f>
        <v>12699</v>
      </c>
    </row>
    <row r="63" spans="1:6">
      <c r="A63" s="8"/>
      <c r="B63" s="11" t="s">
        <v>30</v>
      </c>
      <c r="C63" s="11"/>
      <c r="D63" s="12">
        <f>+D60-D62</f>
        <v>42159</v>
      </c>
      <c r="E63" s="13">
        <f>ROUND(D63/2,0)</f>
        <v>21080</v>
      </c>
      <c r="F63" s="12">
        <f>D63-E63</f>
        <v>21079</v>
      </c>
    </row>
    <row r="64" spans="1:6">
      <c r="A64" s="8">
        <v>4</v>
      </c>
      <c r="B64" s="11" t="s">
        <v>191</v>
      </c>
      <c r="C64" s="10">
        <v>3.2024999999999998E-2</v>
      </c>
      <c r="D64" s="9">
        <f>ROUND(D$3*C64,0)</f>
        <v>7495</v>
      </c>
      <c r="E64" s="11">
        <f>ROUND(D64/2,0)</f>
        <v>3748</v>
      </c>
      <c r="F64" s="9">
        <f>D64-E64</f>
        <v>3747</v>
      </c>
    </row>
    <row r="65" spans="1:8">
      <c r="A65" s="8"/>
      <c r="B65" s="11" t="s">
        <v>28</v>
      </c>
      <c r="C65" s="11"/>
      <c r="D65" s="14">
        <v>0.43913000000000002</v>
      </c>
      <c r="E65" s="11"/>
      <c r="F65" s="11"/>
    </row>
    <row r="66" spans="1:8">
      <c r="A66" s="8"/>
      <c r="B66" s="11" t="s">
        <v>29</v>
      </c>
      <c r="C66" s="11"/>
      <c r="D66" s="225">
        <f>ROUND(D64*D65,0)</f>
        <v>3291</v>
      </c>
      <c r="E66" s="226">
        <f>ROUND(D66/2,0)</f>
        <v>1646</v>
      </c>
      <c r="F66" s="225">
        <f>D66-E66</f>
        <v>1645</v>
      </c>
    </row>
    <row r="67" spans="1:8">
      <c r="A67" s="8"/>
      <c r="B67" s="11" t="s">
        <v>30</v>
      </c>
      <c r="C67" s="11"/>
      <c r="D67" s="12">
        <f>+D64-D66</f>
        <v>4204</v>
      </c>
      <c r="E67" s="13">
        <f>ROUND(D67/2,0)</f>
        <v>2102</v>
      </c>
      <c r="F67" s="12">
        <f>D67-E67</f>
        <v>2102</v>
      </c>
    </row>
    <row r="68" spans="1:8">
      <c r="A68" s="8">
        <v>4</v>
      </c>
      <c r="B68" s="11" t="s">
        <v>192</v>
      </c>
      <c r="C68" s="10">
        <v>0.101062</v>
      </c>
      <c r="D68" s="9">
        <f>ROUND(D$3*C68,0)</f>
        <v>23653</v>
      </c>
      <c r="E68" s="11">
        <f>ROUND(D68/2,0)</f>
        <v>11827</v>
      </c>
      <c r="F68" s="9">
        <f>D68-E68</f>
        <v>11826</v>
      </c>
    </row>
    <row r="69" spans="1:8">
      <c r="A69" s="8"/>
      <c r="B69" s="11" t="s">
        <v>28</v>
      </c>
      <c r="C69" s="11"/>
      <c r="D69" s="14">
        <v>0.49465300000000001</v>
      </c>
      <c r="E69" s="11"/>
      <c r="F69" s="11"/>
    </row>
    <row r="70" spans="1:8">
      <c r="A70" s="8"/>
      <c r="B70" s="11" t="s">
        <v>29</v>
      </c>
      <c r="C70" s="11"/>
      <c r="D70" s="225">
        <f>ROUND(D68*D69,0)</f>
        <v>11700</v>
      </c>
      <c r="E70" s="226">
        <f t="shared" ref="E70:E75" si="3">ROUND(D70/2,0)</f>
        <v>5850</v>
      </c>
      <c r="F70" s="225">
        <f t="shared" ref="F70:F75" si="4">D70-E70</f>
        <v>5850</v>
      </c>
    </row>
    <row r="71" spans="1:8">
      <c r="A71" s="8" t="s">
        <v>590</v>
      </c>
      <c r="B71" s="11" t="s">
        <v>30</v>
      </c>
      <c r="C71" s="11"/>
      <c r="D71" s="12">
        <f>+D68-D70</f>
        <v>11953</v>
      </c>
      <c r="E71" s="13">
        <f t="shared" si="3"/>
        <v>5977</v>
      </c>
      <c r="F71" s="12">
        <f t="shared" si="4"/>
        <v>5976</v>
      </c>
    </row>
    <row r="72" spans="1:8">
      <c r="A72" s="8">
        <v>5</v>
      </c>
      <c r="B72" s="11" t="s">
        <v>193</v>
      </c>
      <c r="C72" s="10">
        <v>1.456E-3</v>
      </c>
      <c r="D72" s="12">
        <f>ROUND(D$3*C72,0)</f>
        <v>341</v>
      </c>
      <c r="E72" s="13">
        <f t="shared" si="3"/>
        <v>171</v>
      </c>
      <c r="F72" s="12">
        <f t="shared" si="4"/>
        <v>170</v>
      </c>
    </row>
    <row r="73" spans="1:8">
      <c r="A73" s="8">
        <v>5</v>
      </c>
      <c r="B73" s="11" t="s">
        <v>194</v>
      </c>
      <c r="C73" s="10">
        <v>1.4938E-2</v>
      </c>
      <c r="D73" s="12">
        <f>ROUND(D$3*C73,0)</f>
        <v>3496</v>
      </c>
      <c r="E73" s="13">
        <f t="shared" si="3"/>
        <v>1748</v>
      </c>
      <c r="F73" s="12">
        <f t="shared" si="4"/>
        <v>1748</v>
      </c>
    </row>
    <row r="74" spans="1:8">
      <c r="A74" s="8">
        <v>5</v>
      </c>
      <c r="B74" s="11" t="s">
        <v>195</v>
      </c>
      <c r="C74" s="10">
        <v>1.4591E-2</v>
      </c>
      <c r="D74" s="12">
        <f>+D3-SUM(D4:D5)-SUM(D10:D56)-D60-D64-D68-SUM(D72:D73)</f>
        <v>3414</v>
      </c>
      <c r="E74" s="13">
        <f t="shared" si="3"/>
        <v>1707</v>
      </c>
      <c r="F74" s="12">
        <f t="shared" si="4"/>
        <v>1707</v>
      </c>
    </row>
    <row r="75" spans="1:8">
      <c r="A75" s="8">
        <v>6</v>
      </c>
      <c r="B75" s="11" t="s">
        <v>196</v>
      </c>
      <c r="C75" s="10">
        <v>0</v>
      </c>
      <c r="D75" s="12">
        <f>ROUND(D$3*C75,0)</f>
        <v>0</v>
      </c>
      <c r="E75" s="13">
        <f t="shared" si="3"/>
        <v>0</v>
      </c>
      <c r="F75" s="12">
        <f t="shared" si="4"/>
        <v>0</v>
      </c>
    </row>
    <row r="76" spans="1:8">
      <c r="A76" s="8"/>
      <c r="B76" s="28" t="s">
        <v>37</v>
      </c>
      <c r="C76" s="10">
        <v>1</v>
      </c>
      <c r="D76" s="12">
        <f>+D4+SUM(D7:D55)+D58+D59+D62+D63+D66+D67+D70+D71+D72+D73+D74+D75</f>
        <v>234042</v>
      </c>
      <c r="E76" s="12">
        <f>+E4+SUM(E7:E55)+E58+E59+E62+E63+E66+E67+E70+E71+E72+E73+E74+E75</f>
        <v>117033</v>
      </c>
      <c r="F76" s="12">
        <f>+F4+SUM(F7:F55)+F58+F59+F62+F63+F66+F67+F70+F71+F72+F73+F74+F75</f>
        <v>117009</v>
      </c>
    </row>
    <row r="77" spans="1:8">
      <c r="B77" s="18" t="s">
        <v>38</v>
      </c>
      <c r="D77" s="19">
        <f>+D4</f>
        <v>300</v>
      </c>
      <c r="E77" s="19">
        <f>+E4</f>
        <v>150</v>
      </c>
      <c r="F77" s="19">
        <f>+F4</f>
        <v>150</v>
      </c>
    </row>
    <row r="78" spans="1:8">
      <c r="B78" s="2" t="s">
        <v>39</v>
      </c>
      <c r="D78" s="19">
        <f>+D7</f>
        <v>4497</v>
      </c>
      <c r="E78" s="19">
        <f>+E7</f>
        <v>2249</v>
      </c>
      <c r="F78" s="19">
        <f>+F7</f>
        <v>2248</v>
      </c>
    </row>
    <row r="79" spans="1:8">
      <c r="B79" s="2" t="s">
        <v>40</v>
      </c>
      <c r="D79" s="19">
        <f>+D58+D62+D66+D70</f>
        <v>74038</v>
      </c>
      <c r="E79" s="19">
        <f>+E58+E62+E66+E70</f>
        <v>37020</v>
      </c>
      <c r="F79" s="19">
        <f>+F58+F62+F66+F70</f>
        <v>37018</v>
      </c>
      <c r="H79" s="3">
        <v>1</v>
      </c>
    </row>
    <row r="80" spans="1:8">
      <c r="B80" s="18" t="s">
        <v>41</v>
      </c>
      <c r="D80" s="19">
        <f>+D76-D77-D78-D79</f>
        <v>155207</v>
      </c>
      <c r="E80" s="19">
        <f>+E76-E77-E78-E79</f>
        <v>77614</v>
      </c>
      <c r="F80" s="19">
        <f>+F76-F77-F78-F79</f>
        <v>77593</v>
      </c>
      <c r="H80" s="3">
        <v>2</v>
      </c>
    </row>
    <row r="82" spans="2:4" hidden="1">
      <c r="B82" s="3" t="s">
        <v>42</v>
      </c>
      <c r="C82" s="4">
        <v>0</v>
      </c>
      <c r="D82" s="3">
        <f>+D74-ROUND(D3*C74,0)</f>
        <v>-1</v>
      </c>
    </row>
  </sheetData>
  <pageMargins left="0.7" right="0.7" top="0.75" bottom="0.75" header="0.3" footer="0.3"/>
  <pageSetup scale="5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4"/>
  <sheetViews>
    <sheetView workbookViewId="0">
      <selection activeCell="A4" sqref="A4:I14"/>
    </sheetView>
  </sheetViews>
  <sheetFormatPr defaultRowHeight="15"/>
  <cols>
    <col min="1" max="1" width="12.140625" bestFit="1" customWidth="1"/>
    <col min="7" max="7" width="11.5703125" bestFit="1" customWidth="1"/>
  </cols>
  <sheetData>
    <row r="1" spans="1:9" s="63" customFormat="1">
      <c r="A1" s="63" t="s">
        <v>2005</v>
      </c>
      <c r="B1" s="63" t="s">
        <v>2006</v>
      </c>
      <c r="G1" s="63" t="s">
        <v>2007</v>
      </c>
      <c r="H1" s="63" t="s">
        <v>2008</v>
      </c>
    </row>
    <row r="3" spans="1:9">
      <c r="A3" t="s">
        <v>2009</v>
      </c>
    </row>
    <row r="4" spans="1:9">
      <c r="A4" s="247" t="s">
        <v>2010</v>
      </c>
      <c r="B4" s="247"/>
      <c r="C4" s="247"/>
      <c r="D4" s="247"/>
      <c r="E4" s="247"/>
      <c r="F4" s="247"/>
      <c r="G4" s="247"/>
      <c r="H4" s="247"/>
      <c r="I4" s="247"/>
    </row>
    <row r="5" spans="1:9">
      <c r="A5" s="247"/>
      <c r="B5" s="247"/>
      <c r="C5" s="247"/>
      <c r="D5" s="247"/>
      <c r="E5" s="247"/>
      <c r="F5" s="247"/>
      <c r="G5" s="247"/>
      <c r="H5" s="247"/>
      <c r="I5" s="247"/>
    </row>
    <row r="6" spans="1:9">
      <c r="A6" s="247"/>
      <c r="B6" s="247"/>
      <c r="C6" s="247"/>
      <c r="D6" s="247"/>
      <c r="E6" s="247"/>
      <c r="F6" s="247"/>
      <c r="G6" s="247"/>
      <c r="H6" s="247"/>
      <c r="I6" s="247"/>
    </row>
    <row r="7" spans="1:9">
      <c r="A7" s="247"/>
      <c r="B7" s="247"/>
      <c r="C7" s="247"/>
      <c r="D7" s="247"/>
      <c r="E7" s="247"/>
      <c r="F7" s="247"/>
      <c r="G7" s="247"/>
      <c r="H7" s="247"/>
      <c r="I7" s="247"/>
    </row>
    <row r="8" spans="1:9">
      <c r="A8" s="247"/>
      <c r="B8" s="247"/>
      <c r="C8" s="247"/>
      <c r="D8" s="247"/>
      <c r="E8" s="247"/>
      <c r="F8" s="247"/>
      <c r="G8" s="247"/>
      <c r="H8" s="247"/>
      <c r="I8" s="247"/>
    </row>
    <row r="9" spans="1:9">
      <c r="A9" s="247"/>
      <c r="B9" s="247"/>
      <c r="C9" s="247"/>
      <c r="D9" s="247"/>
      <c r="E9" s="247"/>
      <c r="F9" s="247"/>
      <c r="G9" s="247"/>
      <c r="H9" s="247"/>
      <c r="I9" s="247"/>
    </row>
    <row r="10" spans="1:9">
      <c r="A10" s="247"/>
      <c r="B10" s="247"/>
      <c r="C10" s="247"/>
      <c r="D10" s="247"/>
      <c r="E10" s="247"/>
      <c r="F10" s="247"/>
      <c r="G10" s="247"/>
      <c r="H10" s="247"/>
      <c r="I10" s="247"/>
    </row>
    <row r="11" spans="1:9">
      <c r="A11" s="247"/>
      <c r="B11" s="247"/>
      <c r="C11" s="247"/>
      <c r="D11" s="247"/>
      <c r="E11" s="247"/>
      <c r="F11" s="247"/>
      <c r="G11" s="247"/>
      <c r="H11" s="247"/>
      <c r="I11" s="247"/>
    </row>
    <row r="12" spans="1:9">
      <c r="A12" s="247"/>
      <c r="B12" s="247"/>
      <c r="C12" s="247"/>
      <c r="D12" s="247"/>
      <c r="E12" s="247"/>
      <c r="F12" s="247"/>
      <c r="G12" s="247"/>
      <c r="H12" s="247"/>
      <c r="I12" s="247"/>
    </row>
    <row r="13" spans="1:9">
      <c r="A13" s="247"/>
      <c r="B13" s="247"/>
      <c r="C13" s="247"/>
      <c r="D13" s="247"/>
      <c r="E13" s="247"/>
      <c r="F13" s="247"/>
      <c r="G13" s="247"/>
      <c r="H13" s="247"/>
      <c r="I13" s="247"/>
    </row>
    <row r="14" spans="1:9">
      <c r="A14" s="247"/>
      <c r="B14" s="247"/>
      <c r="C14" s="247"/>
      <c r="D14" s="247"/>
      <c r="E14" s="247"/>
      <c r="F14" s="247"/>
      <c r="G14" s="247"/>
      <c r="H14" s="247"/>
      <c r="I14" s="247"/>
    </row>
  </sheetData>
  <mergeCells count="1">
    <mergeCell ref="A4:I1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WVB82"/>
  <sheetViews>
    <sheetView topLeftCell="A49" zoomScaleNormal="100" zoomScaleSheetLayoutView="90" workbookViewId="0">
      <selection activeCell="D70" activeCellId="4" sqref="D7:F7 D58:F58 D62:F62 D66:F66 D70:F70"/>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28515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28515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28515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28515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28515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28515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28515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28515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28515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28515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28515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28515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28515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28515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28515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28515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28515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28515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28515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28515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28515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28515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28515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28515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28515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28515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28515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28515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28515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28515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28515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28515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28515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28515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28515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28515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28515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28515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28515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28515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28515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28515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28515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28515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28515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28515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28515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28515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28515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28515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28515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28515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28515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28515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28515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28515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28515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28515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28515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28515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28515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28515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28515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197</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Worksheet'!$D$12</f>
        <v>366695</v>
      </c>
      <c r="E3" s="11"/>
      <c r="F3" s="11"/>
    </row>
    <row r="4" spans="1:6">
      <c r="A4" s="8">
        <v>0</v>
      </c>
      <c r="B4" s="11" t="s">
        <v>4</v>
      </c>
      <c r="C4" s="10">
        <v>1.036E-3</v>
      </c>
      <c r="D4" s="12">
        <f>ROUND(D$3*C4,0)</f>
        <v>380</v>
      </c>
      <c r="E4" s="13">
        <f>ROUND(D4/2,0)</f>
        <v>190</v>
      </c>
      <c r="F4" s="12">
        <f>D4-E4</f>
        <v>190</v>
      </c>
    </row>
    <row r="5" spans="1:6">
      <c r="A5" s="8">
        <v>1</v>
      </c>
      <c r="B5" s="11" t="s">
        <v>198</v>
      </c>
      <c r="C5" s="10">
        <v>0.23255999999999999</v>
      </c>
      <c r="D5" s="9">
        <f>ROUND(D$3*C5,0)</f>
        <v>85279</v>
      </c>
      <c r="E5" s="11">
        <f>ROUND(D5/2,0)</f>
        <v>42640</v>
      </c>
      <c r="F5" s="9">
        <f>D5-E5</f>
        <v>42639</v>
      </c>
    </row>
    <row r="6" spans="1:6">
      <c r="A6" s="8"/>
      <c r="B6" s="11" t="s">
        <v>6</v>
      </c>
      <c r="C6" s="11"/>
      <c r="D6" s="14">
        <v>0.28138800000000003</v>
      </c>
      <c r="E6" s="11"/>
      <c r="F6" s="11"/>
    </row>
    <row r="7" spans="1:6">
      <c r="A7" s="8"/>
      <c r="B7" s="11" t="s">
        <v>7</v>
      </c>
      <c r="C7" s="11"/>
      <c r="D7" s="225">
        <f>ROUND(D5*D6,0)</f>
        <v>23996</v>
      </c>
      <c r="E7" s="226">
        <f>ROUND(D7/2,0)</f>
        <v>11998</v>
      </c>
      <c r="F7" s="225">
        <f>D7-E7</f>
        <v>11998</v>
      </c>
    </row>
    <row r="8" spans="1:6">
      <c r="A8" s="8"/>
      <c r="B8" s="11" t="s">
        <v>8</v>
      </c>
      <c r="C8" s="11"/>
      <c r="D8" s="12">
        <f>+D5-D7</f>
        <v>61283</v>
      </c>
      <c r="E8" s="13">
        <f>ROUND(D8/2,0)</f>
        <v>30642</v>
      </c>
      <c r="F8" s="12">
        <f>D8-E8</f>
        <v>30641</v>
      </c>
    </row>
    <row r="9" spans="1:6">
      <c r="A9" s="8">
        <v>2</v>
      </c>
      <c r="B9" s="11" t="s">
        <v>46</v>
      </c>
      <c r="C9" s="11"/>
      <c r="D9" s="9"/>
      <c r="E9" s="11"/>
      <c r="F9" s="11"/>
    </row>
    <row r="10" spans="1:6">
      <c r="A10" s="8"/>
      <c r="B10" s="11" t="s">
        <v>10</v>
      </c>
      <c r="C10" s="10">
        <v>7.1599999999999995E-4</v>
      </c>
      <c r="D10" s="12">
        <f>ROUND(D$3*C10,0)</f>
        <v>263</v>
      </c>
      <c r="E10" s="13">
        <f>ROUND(D10/2,0)</f>
        <v>132</v>
      </c>
      <c r="F10" s="12">
        <f>D10-E10</f>
        <v>131</v>
      </c>
    </row>
    <row r="11" spans="1:6">
      <c r="A11" s="8"/>
      <c r="B11" s="11" t="s">
        <v>11</v>
      </c>
      <c r="C11" s="10">
        <v>4.15E-4</v>
      </c>
      <c r="D11" s="12">
        <f>ROUND(D$3*C11,0)</f>
        <v>152</v>
      </c>
      <c r="E11" s="13">
        <f>ROUND(D11/2,0)</f>
        <v>76</v>
      </c>
      <c r="F11" s="12">
        <f>D11-E11</f>
        <v>76</v>
      </c>
    </row>
    <row r="12" spans="1:6">
      <c r="A12" s="8">
        <v>2</v>
      </c>
      <c r="B12" s="11" t="s">
        <v>199</v>
      </c>
      <c r="C12" s="11"/>
      <c r="D12" s="9"/>
      <c r="E12" s="11"/>
      <c r="F12" s="11"/>
    </row>
    <row r="13" spans="1:6">
      <c r="A13" s="8"/>
      <c r="B13" s="11" t="s">
        <v>10</v>
      </c>
      <c r="C13" s="10">
        <v>3.5E-4</v>
      </c>
      <c r="D13" s="12">
        <f>ROUND(D$3*C13,0)</f>
        <v>128</v>
      </c>
      <c r="E13" s="13">
        <f>ROUND(D13/2,0)</f>
        <v>64</v>
      </c>
      <c r="F13" s="12">
        <f>D13-E13</f>
        <v>64</v>
      </c>
    </row>
    <row r="14" spans="1:6">
      <c r="A14" s="8"/>
      <c r="B14" s="11" t="s">
        <v>11</v>
      </c>
      <c r="C14" s="10">
        <v>2.5599999999999999E-4</v>
      </c>
      <c r="D14" s="12">
        <f>ROUND(D$3*C14,0)</f>
        <v>94</v>
      </c>
      <c r="E14" s="13">
        <f>ROUND(D14/2,0)</f>
        <v>47</v>
      </c>
      <c r="F14" s="12">
        <f>D14-E14</f>
        <v>47</v>
      </c>
    </row>
    <row r="15" spans="1:6">
      <c r="A15" s="8">
        <v>2</v>
      </c>
      <c r="B15" s="11" t="s">
        <v>200</v>
      </c>
      <c r="C15" s="11"/>
      <c r="D15" s="9"/>
      <c r="E15" s="11"/>
      <c r="F15" s="11"/>
    </row>
    <row r="16" spans="1:6">
      <c r="A16" s="8"/>
      <c r="B16" s="11" t="s">
        <v>10</v>
      </c>
      <c r="C16" s="10">
        <v>5.1400000000000003E-4</v>
      </c>
      <c r="D16" s="12">
        <f>ROUND(D$3*C16,0)</f>
        <v>188</v>
      </c>
      <c r="E16" s="13">
        <f>ROUND(D16/2,0)</f>
        <v>94</v>
      </c>
      <c r="F16" s="12">
        <f>D16-E16</f>
        <v>94</v>
      </c>
    </row>
    <row r="17" spans="1:6">
      <c r="A17" s="8"/>
      <c r="B17" s="11" t="s">
        <v>11</v>
      </c>
      <c r="C17" s="10">
        <v>1.0900000000000001E-4</v>
      </c>
      <c r="D17" s="12">
        <f>ROUND(D$3*C17,0)</f>
        <v>40</v>
      </c>
      <c r="E17" s="13">
        <f>ROUND(D17/2,0)</f>
        <v>20</v>
      </c>
      <c r="F17" s="12">
        <f>D17-E17</f>
        <v>20</v>
      </c>
    </row>
    <row r="18" spans="1:6">
      <c r="A18" s="8">
        <v>2</v>
      </c>
      <c r="B18" s="11" t="s">
        <v>81</v>
      </c>
      <c r="C18" s="11"/>
      <c r="D18" s="9"/>
      <c r="E18" s="11"/>
      <c r="F18" s="11"/>
    </row>
    <row r="19" spans="1:6">
      <c r="A19" s="8"/>
      <c r="B19" s="11" t="s">
        <v>10</v>
      </c>
      <c r="C19" s="10">
        <v>8.0000000000000007E-5</v>
      </c>
      <c r="D19" s="12">
        <f>ROUND(D$3*C19,0)</f>
        <v>29</v>
      </c>
      <c r="E19" s="13">
        <f>ROUND(D19/2,0)</f>
        <v>15</v>
      </c>
      <c r="F19" s="12">
        <f>D19-E19</f>
        <v>14</v>
      </c>
    </row>
    <row r="20" spans="1:6">
      <c r="A20" s="8"/>
      <c r="B20" s="11" t="s">
        <v>11</v>
      </c>
      <c r="C20" s="10">
        <v>2.2900000000000001E-4</v>
      </c>
      <c r="D20" s="12">
        <f>ROUND(D$3*C20,0)</f>
        <v>84</v>
      </c>
      <c r="E20" s="13">
        <f>ROUND(D20/2,0)</f>
        <v>42</v>
      </c>
      <c r="F20" s="12">
        <f>D20-E20</f>
        <v>42</v>
      </c>
    </row>
    <row r="21" spans="1:6">
      <c r="A21" s="8">
        <v>2</v>
      </c>
      <c r="B21" s="11" t="s">
        <v>147</v>
      </c>
      <c r="C21" s="11"/>
      <c r="D21" s="9"/>
      <c r="E21" s="11"/>
      <c r="F21" s="11"/>
    </row>
    <row r="22" spans="1:6">
      <c r="A22" s="8"/>
      <c r="B22" s="11" t="s">
        <v>10</v>
      </c>
      <c r="C22" s="10">
        <v>7.3099999999999999E-4</v>
      </c>
      <c r="D22" s="12">
        <f>ROUND(D$3*C22,0)</f>
        <v>268</v>
      </c>
      <c r="E22" s="13">
        <f>ROUND(D22/2,0)</f>
        <v>134</v>
      </c>
      <c r="F22" s="12">
        <f>D22-E22</f>
        <v>134</v>
      </c>
    </row>
    <row r="23" spans="1:6">
      <c r="A23" s="8"/>
      <c r="B23" s="11" t="s">
        <v>11</v>
      </c>
      <c r="C23" s="10">
        <v>6.4599999999999998E-4</v>
      </c>
      <c r="D23" s="12">
        <f>ROUND(D$3*C23,0)</f>
        <v>237</v>
      </c>
      <c r="E23" s="13">
        <f>ROUND(D23/2,0)</f>
        <v>119</v>
      </c>
      <c r="F23" s="12">
        <f>D23-E23</f>
        <v>118</v>
      </c>
    </row>
    <row r="24" spans="1:6">
      <c r="A24" s="8">
        <v>2</v>
      </c>
      <c r="B24" s="11" t="s">
        <v>179</v>
      </c>
      <c r="C24" s="11"/>
      <c r="D24" s="9"/>
      <c r="E24" s="11"/>
      <c r="F24" s="11"/>
    </row>
    <row r="25" spans="1:6">
      <c r="A25" s="8"/>
      <c r="B25" s="11" t="s">
        <v>10</v>
      </c>
      <c r="C25" s="10">
        <v>4.9700000000000005E-4</v>
      </c>
      <c r="D25" s="12">
        <f>ROUND(D$3*C25,0)</f>
        <v>182</v>
      </c>
      <c r="E25" s="13">
        <f>ROUND(D25/2,0)</f>
        <v>91</v>
      </c>
      <c r="F25" s="12">
        <f>D25-E25</f>
        <v>91</v>
      </c>
    </row>
    <row r="26" spans="1:6">
      <c r="A26" s="8"/>
      <c r="B26" s="11" t="s">
        <v>11</v>
      </c>
      <c r="C26" s="10">
        <v>3.2299999999999999E-4</v>
      </c>
      <c r="D26" s="12">
        <f>ROUND(D$3*C26,0)</f>
        <v>118</v>
      </c>
      <c r="E26" s="13">
        <f>ROUND(D26/2,0)</f>
        <v>59</v>
      </c>
      <c r="F26" s="12">
        <f>D26-E26</f>
        <v>59</v>
      </c>
    </row>
    <row r="27" spans="1:6">
      <c r="A27" s="8">
        <v>2</v>
      </c>
      <c r="B27" s="11" t="s">
        <v>201</v>
      </c>
      <c r="C27" s="11"/>
      <c r="D27" s="9"/>
      <c r="E27" s="11"/>
      <c r="F27" s="11"/>
    </row>
    <row r="28" spans="1:6">
      <c r="A28" s="8"/>
      <c r="B28" s="11" t="s">
        <v>10</v>
      </c>
      <c r="C28" s="10">
        <v>4.3470000000000002E-3</v>
      </c>
      <c r="D28" s="12">
        <f>ROUND(D$3*C28,0)</f>
        <v>1594</v>
      </c>
      <c r="E28" s="13">
        <f>ROUND(D28/2,0)</f>
        <v>797</v>
      </c>
      <c r="F28" s="12">
        <f>D28-E28</f>
        <v>797</v>
      </c>
    </row>
    <row r="29" spans="1:6">
      <c r="A29" s="8"/>
      <c r="B29" s="11" t="s">
        <v>11</v>
      </c>
      <c r="C29" s="10">
        <v>4.2700000000000002E-4</v>
      </c>
      <c r="D29" s="12">
        <f>ROUND(D$3*C29,0)</f>
        <v>157</v>
      </c>
      <c r="E29" s="13">
        <f>ROUND(D29/2,0)</f>
        <v>79</v>
      </c>
      <c r="F29" s="12">
        <f>D29-E29</f>
        <v>78</v>
      </c>
    </row>
    <row r="30" spans="1:6">
      <c r="A30" s="8">
        <v>2</v>
      </c>
      <c r="B30" s="11" t="s">
        <v>86</v>
      </c>
      <c r="C30" s="5"/>
      <c r="D30" s="5"/>
      <c r="E30" s="6"/>
      <c r="F30" s="11"/>
    </row>
    <row r="31" spans="1:6">
      <c r="A31" s="8"/>
      <c r="B31" s="11" t="s">
        <v>10</v>
      </c>
      <c r="C31" s="10">
        <v>7.4600000000000003E-4</v>
      </c>
      <c r="D31" s="12">
        <f>ROUND(D$3*C31,0)</f>
        <v>274</v>
      </c>
      <c r="E31" s="13">
        <f>ROUND(D31/2,0)</f>
        <v>137</v>
      </c>
      <c r="F31" s="12">
        <f>D31-E31</f>
        <v>137</v>
      </c>
    </row>
    <row r="32" spans="1:6">
      <c r="A32" s="8"/>
      <c r="B32" s="11" t="s">
        <v>11</v>
      </c>
      <c r="C32" s="10">
        <v>5.8399999999999999E-4</v>
      </c>
      <c r="D32" s="12">
        <f>ROUND(D$3*C32,0)</f>
        <v>214</v>
      </c>
      <c r="E32" s="13">
        <f>ROUND(D32/2,0)</f>
        <v>107</v>
      </c>
      <c r="F32" s="12">
        <f>D32-E32</f>
        <v>107</v>
      </c>
    </row>
    <row r="33" spans="1:6">
      <c r="A33" s="8">
        <v>2</v>
      </c>
      <c r="B33" s="11" t="s">
        <v>49</v>
      </c>
      <c r="C33" s="11"/>
      <c r="D33" s="9"/>
      <c r="E33" s="11"/>
      <c r="F33" s="11"/>
    </row>
    <row r="34" spans="1:6">
      <c r="A34" s="8"/>
      <c r="B34" s="11" t="s">
        <v>10</v>
      </c>
      <c r="C34" s="10">
        <v>5.9599999999999996E-4</v>
      </c>
      <c r="D34" s="12">
        <f>ROUND(D$3*C34,0)</f>
        <v>219</v>
      </c>
      <c r="E34" s="13">
        <f>ROUND(D34/2,0)</f>
        <v>110</v>
      </c>
      <c r="F34" s="12">
        <f>D34-E34</f>
        <v>109</v>
      </c>
    </row>
    <row r="35" spans="1:6">
      <c r="A35" s="8"/>
      <c r="B35" s="11" t="s">
        <v>11</v>
      </c>
      <c r="C35" s="10">
        <v>3.8000000000000002E-4</v>
      </c>
      <c r="D35" s="12">
        <f>ROUND(D$3*C35,0)</f>
        <v>139</v>
      </c>
      <c r="E35" s="13">
        <f>ROUND(D35/2,0)</f>
        <v>70</v>
      </c>
      <c r="F35" s="12">
        <f>D35-E35</f>
        <v>69</v>
      </c>
    </row>
    <row r="36" spans="1:6">
      <c r="A36" s="8">
        <v>2</v>
      </c>
      <c r="B36" s="11" t="s">
        <v>14</v>
      </c>
      <c r="C36" s="11"/>
      <c r="D36" s="9"/>
      <c r="E36" s="11"/>
      <c r="F36" s="11"/>
    </row>
    <row r="37" spans="1:6">
      <c r="A37" s="8"/>
      <c r="B37" s="11" t="s">
        <v>10</v>
      </c>
      <c r="C37" s="10">
        <v>4.0000000000000002E-4</v>
      </c>
      <c r="D37" s="12">
        <f>ROUND(D$3*C37,0)</f>
        <v>147</v>
      </c>
      <c r="E37" s="13">
        <f>ROUND(D37/2,0)</f>
        <v>74</v>
      </c>
      <c r="F37" s="12">
        <f>D37-E37</f>
        <v>73</v>
      </c>
    </row>
    <row r="38" spans="1:6">
      <c r="A38" s="8"/>
      <c r="B38" s="11" t="s">
        <v>11</v>
      </c>
      <c r="C38" s="10">
        <v>2.7300000000000002E-4</v>
      </c>
      <c r="D38" s="12">
        <f>ROUND(D$3*C38,0)</f>
        <v>100</v>
      </c>
      <c r="E38" s="13">
        <f>ROUND(D38/2,0)</f>
        <v>50</v>
      </c>
      <c r="F38" s="12">
        <f>D38-E38</f>
        <v>50</v>
      </c>
    </row>
    <row r="39" spans="1:6">
      <c r="A39" s="8">
        <v>2</v>
      </c>
      <c r="B39" s="11" t="s">
        <v>202</v>
      </c>
      <c r="C39" s="11"/>
      <c r="D39" s="9"/>
      <c r="E39" s="11"/>
      <c r="F39" s="11"/>
    </row>
    <row r="40" spans="1:6">
      <c r="A40" s="8"/>
      <c r="B40" s="11" t="s">
        <v>10</v>
      </c>
      <c r="C40" s="10">
        <v>3.4499999999999998E-4</v>
      </c>
      <c r="D40" s="12">
        <f>ROUND(D$3*C40,0)</f>
        <v>127</v>
      </c>
      <c r="E40" s="13">
        <f>ROUND(D40/2,0)</f>
        <v>64</v>
      </c>
      <c r="F40" s="12">
        <f>D40-E40</f>
        <v>63</v>
      </c>
    </row>
    <row r="41" spans="1:6">
      <c r="A41" s="8"/>
      <c r="B41" s="11" t="s">
        <v>11</v>
      </c>
      <c r="C41" s="10">
        <v>2.3900000000000001E-4</v>
      </c>
      <c r="D41" s="12">
        <f>ROUND(D$3*C41,0)</f>
        <v>88</v>
      </c>
      <c r="E41" s="13">
        <f>ROUND(D41/2,0)</f>
        <v>44</v>
      </c>
      <c r="F41" s="12">
        <f>D41-E41</f>
        <v>44</v>
      </c>
    </row>
    <row r="42" spans="1:6">
      <c r="A42" s="8">
        <v>2</v>
      </c>
      <c r="B42" s="11" t="s">
        <v>203</v>
      </c>
      <c r="C42" s="11"/>
      <c r="D42" s="9"/>
      <c r="E42" s="11"/>
      <c r="F42" s="11"/>
    </row>
    <row r="43" spans="1:6">
      <c r="A43" s="8"/>
      <c r="B43" s="11" t="s">
        <v>10</v>
      </c>
      <c r="C43" s="10">
        <v>4.1800000000000002E-4</v>
      </c>
      <c r="D43" s="12">
        <f>ROUND(D$3*C43,0)</f>
        <v>153</v>
      </c>
      <c r="E43" s="13">
        <f>ROUND(D43/2,0)</f>
        <v>77</v>
      </c>
      <c r="F43" s="12">
        <f>D43-E43</f>
        <v>76</v>
      </c>
    </row>
    <row r="44" spans="1:6">
      <c r="A44" s="8"/>
      <c r="B44" s="11" t="s">
        <v>11</v>
      </c>
      <c r="C44" s="10">
        <v>7.7800000000000005E-4</v>
      </c>
      <c r="D44" s="12">
        <f>ROUND(D$3*C44,0)</f>
        <v>285</v>
      </c>
      <c r="E44" s="13">
        <f>ROUND(D44/2,0)</f>
        <v>143</v>
      </c>
      <c r="F44" s="12">
        <f>D44-E44</f>
        <v>142</v>
      </c>
    </row>
    <row r="45" spans="1:6">
      <c r="A45" s="8">
        <v>2</v>
      </c>
      <c r="B45" s="11" t="s">
        <v>204</v>
      </c>
      <c r="C45" s="11"/>
      <c r="D45" s="9"/>
      <c r="E45" s="11"/>
      <c r="F45" s="11"/>
    </row>
    <row r="46" spans="1:6">
      <c r="A46" s="8"/>
      <c r="B46" s="11" t="s">
        <v>10</v>
      </c>
      <c r="C46" s="10">
        <v>5.0900000000000001E-4</v>
      </c>
      <c r="D46" s="12">
        <f>ROUND(D$3*C46,0)</f>
        <v>187</v>
      </c>
      <c r="E46" s="13">
        <f>ROUND(D46/2,0)</f>
        <v>94</v>
      </c>
      <c r="F46" s="12">
        <f>D46-E46</f>
        <v>93</v>
      </c>
    </row>
    <row r="47" spans="1:6">
      <c r="A47" s="8"/>
      <c r="B47" s="11" t="s">
        <v>11</v>
      </c>
      <c r="C47" s="10">
        <v>6.5399999999999996E-4</v>
      </c>
      <c r="D47" s="12">
        <f>ROUND(D$3*C47,0)</f>
        <v>240</v>
      </c>
      <c r="E47" s="13">
        <f>ROUND(D47/2,0)</f>
        <v>120</v>
      </c>
      <c r="F47" s="12">
        <f>D47-E47</f>
        <v>120</v>
      </c>
    </row>
    <row r="48" spans="1:6">
      <c r="A48" s="8">
        <v>2</v>
      </c>
      <c r="B48" s="11" t="s">
        <v>22</v>
      </c>
      <c r="C48" s="11"/>
      <c r="D48" s="9"/>
      <c r="E48" s="11"/>
      <c r="F48" s="11"/>
    </row>
    <row r="49" spans="1:6">
      <c r="A49" s="8"/>
      <c r="B49" s="11" t="s">
        <v>10</v>
      </c>
      <c r="C49" s="10">
        <v>1.9380000000000001E-3</v>
      </c>
      <c r="D49" s="12">
        <f t="shared" ref="D49:D56" si="0">ROUND(D$3*C49,0)</f>
        <v>711</v>
      </c>
      <c r="E49" s="13">
        <f t="shared" ref="E49:E56" si="1">ROUND(D49/2,0)</f>
        <v>356</v>
      </c>
      <c r="F49" s="12">
        <f t="shared" ref="F49:F56" si="2">D49-E49</f>
        <v>355</v>
      </c>
    </row>
    <row r="50" spans="1:6">
      <c r="A50" s="8"/>
      <c r="B50" s="11" t="s">
        <v>11</v>
      </c>
      <c r="C50" s="10">
        <v>1.0889999999999999E-3</v>
      </c>
      <c r="D50" s="12">
        <f t="shared" si="0"/>
        <v>399</v>
      </c>
      <c r="E50" s="13">
        <f t="shared" si="1"/>
        <v>200</v>
      </c>
      <c r="F50" s="12">
        <f t="shared" si="2"/>
        <v>199</v>
      </c>
    </row>
    <row r="51" spans="1:6">
      <c r="A51" s="8">
        <v>3</v>
      </c>
      <c r="B51" s="11" t="s">
        <v>205</v>
      </c>
      <c r="C51" s="10">
        <v>4.8060000000000004E-3</v>
      </c>
      <c r="D51" s="12">
        <f t="shared" si="0"/>
        <v>1762</v>
      </c>
      <c r="E51" s="13">
        <f t="shared" si="1"/>
        <v>881</v>
      </c>
      <c r="F51" s="12">
        <f t="shared" si="2"/>
        <v>881</v>
      </c>
    </row>
    <row r="52" spans="1:6">
      <c r="A52" s="8">
        <v>3</v>
      </c>
      <c r="B52" s="11" t="s">
        <v>206</v>
      </c>
      <c r="C52" s="10">
        <v>0.14824799999999999</v>
      </c>
      <c r="D52" s="12">
        <f t="shared" si="0"/>
        <v>54362</v>
      </c>
      <c r="E52" s="13">
        <f t="shared" si="1"/>
        <v>27181</v>
      </c>
      <c r="F52" s="12">
        <f t="shared" si="2"/>
        <v>27181</v>
      </c>
    </row>
    <row r="53" spans="1:6">
      <c r="A53" s="8">
        <v>3</v>
      </c>
      <c r="B53" s="11" t="s">
        <v>207</v>
      </c>
      <c r="C53" s="10">
        <v>2.1999999999999999E-5</v>
      </c>
      <c r="D53" s="12">
        <f t="shared" si="0"/>
        <v>8</v>
      </c>
      <c r="E53" s="13">
        <f t="shared" si="1"/>
        <v>4</v>
      </c>
      <c r="F53" s="12">
        <f t="shared" si="2"/>
        <v>4</v>
      </c>
    </row>
    <row r="54" spans="1:6">
      <c r="A54" s="8">
        <v>3</v>
      </c>
      <c r="B54" s="11" t="s">
        <v>208</v>
      </c>
      <c r="C54" s="10">
        <v>3.5300000000000002E-4</v>
      </c>
      <c r="D54" s="12">
        <f t="shared" si="0"/>
        <v>129</v>
      </c>
      <c r="E54" s="13">
        <f t="shared" si="1"/>
        <v>65</v>
      </c>
      <c r="F54" s="12">
        <f t="shared" si="2"/>
        <v>64</v>
      </c>
    </row>
    <row r="55" spans="1:6">
      <c r="A55" s="8">
        <v>3</v>
      </c>
      <c r="B55" s="11" t="s">
        <v>209</v>
      </c>
      <c r="C55" s="10">
        <v>3.2810000000000001E-3</v>
      </c>
      <c r="D55" s="12">
        <f t="shared" si="0"/>
        <v>1203</v>
      </c>
      <c r="E55" s="13">
        <f t="shared" si="1"/>
        <v>602</v>
      </c>
      <c r="F55" s="12">
        <f t="shared" si="2"/>
        <v>601</v>
      </c>
    </row>
    <row r="56" spans="1:6">
      <c r="A56" s="8">
        <v>4</v>
      </c>
      <c r="B56" s="11" t="s">
        <v>210</v>
      </c>
      <c r="C56" s="10">
        <v>4.7120000000000002E-2</v>
      </c>
      <c r="D56" s="9">
        <f t="shared" si="0"/>
        <v>17279</v>
      </c>
      <c r="E56" s="11">
        <f t="shared" si="1"/>
        <v>8640</v>
      </c>
      <c r="F56" s="9">
        <f t="shared" si="2"/>
        <v>8639</v>
      </c>
    </row>
    <row r="57" spans="1:6">
      <c r="A57" s="8"/>
      <c r="B57" s="11" t="s">
        <v>28</v>
      </c>
      <c r="C57" s="11"/>
      <c r="D57" s="14">
        <v>0.54480600000000001</v>
      </c>
      <c r="E57" s="11"/>
      <c r="F57" s="11"/>
    </row>
    <row r="58" spans="1:6">
      <c r="A58" s="8"/>
      <c r="B58" s="11" t="s">
        <v>29</v>
      </c>
      <c r="C58" s="11"/>
      <c r="D58" s="225">
        <f>ROUND(D56*D57,0)</f>
        <v>9414</v>
      </c>
      <c r="E58" s="226">
        <f>ROUND(D58/2,0)</f>
        <v>4707</v>
      </c>
      <c r="F58" s="225">
        <f>D58-E58</f>
        <v>4707</v>
      </c>
    </row>
    <row r="59" spans="1:6">
      <c r="A59" s="8"/>
      <c r="B59" s="11" t="s">
        <v>30</v>
      </c>
      <c r="C59" s="11"/>
      <c r="D59" s="12">
        <f>+D56-D58</f>
        <v>7865</v>
      </c>
      <c r="E59" s="13">
        <f>ROUND(D59/2,0)</f>
        <v>3933</v>
      </c>
      <c r="F59" s="12">
        <f>D59-E59</f>
        <v>3932</v>
      </c>
    </row>
    <row r="60" spans="1:6">
      <c r="A60" s="8">
        <v>4</v>
      </c>
      <c r="B60" s="11" t="s">
        <v>211</v>
      </c>
      <c r="C60" s="10">
        <v>0.22808100000000001</v>
      </c>
      <c r="D60" s="9">
        <f>ROUND(D$3*C60,0)</f>
        <v>83636</v>
      </c>
      <c r="E60" s="11">
        <f>ROUND(D60/2,0)</f>
        <v>41818</v>
      </c>
      <c r="F60" s="9">
        <f>D60-E60</f>
        <v>41818</v>
      </c>
    </row>
    <row r="61" spans="1:6">
      <c r="A61" s="8"/>
      <c r="B61" s="11" t="s">
        <v>28</v>
      </c>
      <c r="C61" s="11"/>
      <c r="D61" s="14">
        <v>0.32965800000000001</v>
      </c>
      <c r="E61" s="11"/>
      <c r="F61" s="11"/>
    </row>
    <row r="62" spans="1:6">
      <c r="A62" s="8"/>
      <c r="B62" s="11" t="s">
        <v>29</v>
      </c>
      <c r="C62" s="11"/>
      <c r="D62" s="225">
        <f>ROUND(D60*D61,0)</f>
        <v>27571</v>
      </c>
      <c r="E62" s="226">
        <f>ROUND(D62/2,0)</f>
        <v>13786</v>
      </c>
      <c r="F62" s="225">
        <f>D62-E62</f>
        <v>13785</v>
      </c>
    </row>
    <row r="63" spans="1:6">
      <c r="A63" s="8"/>
      <c r="B63" s="11" t="s">
        <v>30</v>
      </c>
      <c r="C63" s="11"/>
      <c r="D63" s="12">
        <f>+D60-D62</f>
        <v>56065</v>
      </c>
      <c r="E63" s="13">
        <f>ROUND(D63/2,0)</f>
        <v>28033</v>
      </c>
      <c r="F63" s="12">
        <f>D63-E63</f>
        <v>28032</v>
      </c>
    </row>
    <row r="64" spans="1:6">
      <c r="A64" s="8">
        <v>4</v>
      </c>
      <c r="B64" s="11" t="s">
        <v>212</v>
      </c>
      <c r="C64" s="10">
        <v>8.1248000000000001E-2</v>
      </c>
      <c r="D64" s="9">
        <f>ROUND(D$3*C64,0)</f>
        <v>29793</v>
      </c>
      <c r="E64" s="11">
        <f>ROUND(D64/2,0)</f>
        <v>14897</v>
      </c>
      <c r="F64" s="9">
        <f>D64-E64</f>
        <v>14896</v>
      </c>
    </row>
    <row r="65" spans="1:8">
      <c r="A65" s="8"/>
      <c r="B65" s="11" t="s">
        <v>28</v>
      </c>
      <c r="C65" s="11"/>
      <c r="D65" s="14">
        <v>0.42049799999999998</v>
      </c>
      <c r="E65" s="11"/>
      <c r="F65" s="11"/>
    </row>
    <row r="66" spans="1:8">
      <c r="A66" s="8"/>
      <c r="B66" s="11" t="s">
        <v>29</v>
      </c>
      <c r="C66" s="11"/>
      <c r="D66" s="225">
        <f>ROUND(D64*D65,0)</f>
        <v>12528</v>
      </c>
      <c r="E66" s="226">
        <f>ROUND(D66/2,0)</f>
        <v>6264</v>
      </c>
      <c r="F66" s="225">
        <f>D66-E66</f>
        <v>6264</v>
      </c>
    </row>
    <row r="67" spans="1:8">
      <c r="A67" s="8"/>
      <c r="B67" s="11" t="s">
        <v>30</v>
      </c>
      <c r="C67" s="11"/>
      <c r="D67" s="12">
        <f>+D64-D66</f>
        <v>17265</v>
      </c>
      <c r="E67" s="13">
        <f>ROUND(D67/2,0)</f>
        <v>8633</v>
      </c>
      <c r="F67" s="12">
        <f>D67-E67</f>
        <v>8632</v>
      </c>
    </row>
    <row r="68" spans="1:8">
      <c r="A68" s="8">
        <v>4</v>
      </c>
      <c r="B68" s="11" t="s">
        <v>213</v>
      </c>
      <c r="C68" s="10">
        <v>0.20543600000000001</v>
      </c>
      <c r="D68" s="9">
        <f>ROUND(D$3*C68,0)</f>
        <v>75332</v>
      </c>
      <c r="E68" s="11">
        <f>ROUND(D68/2,0)</f>
        <v>37666</v>
      </c>
      <c r="F68" s="9">
        <f>D68-E68</f>
        <v>37666</v>
      </c>
    </row>
    <row r="69" spans="1:8">
      <c r="A69" s="8"/>
      <c r="B69" s="11" t="s">
        <v>28</v>
      </c>
      <c r="C69" s="11"/>
      <c r="D69" s="14">
        <v>0.48886400000000002</v>
      </c>
      <c r="E69" s="11"/>
      <c r="F69" s="11"/>
    </row>
    <row r="70" spans="1:8">
      <c r="A70" s="8"/>
      <c r="B70" s="11" t="s">
        <v>29</v>
      </c>
      <c r="C70" s="11"/>
      <c r="D70" s="225">
        <f>ROUND(D68*D69,0)</f>
        <v>36827</v>
      </c>
      <c r="E70" s="226">
        <f t="shared" ref="E70:E75" si="3">ROUND(D70/2,0)</f>
        <v>18414</v>
      </c>
      <c r="F70" s="225">
        <f t="shared" ref="F70:F75" si="4">D70-E70</f>
        <v>18413</v>
      </c>
    </row>
    <row r="71" spans="1:8">
      <c r="A71" s="8" t="s">
        <v>590</v>
      </c>
      <c r="B71" s="11" t="s">
        <v>30</v>
      </c>
      <c r="C71" s="11"/>
      <c r="D71" s="12">
        <f>+D68-D70</f>
        <v>38505</v>
      </c>
      <c r="E71" s="13">
        <f t="shared" si="3"/>
        <v>19253</v>
      </c>
      <c r="F71" s="12">
        <f t="shared" si="4"/>
        <v>19252</v>
      </c>
    </row>
    <row r="72" spans="1:8">
      <c r="A72" s="8">
        <v>5</v>
      </c>
      <c r="B72" s="11" t="s">
        <v>214</v>
      </c>
      <c r="C72" s="10">
        <v>2.4320999999999999E-2</v>
      </c>
      <c r="D72" s="12">
        <f>ROUND(D$3*C72,0)</f>
        <v>8918</v>
      </c>
      <c r="E72" s="13">
        <f t="shared" si="3"/>
        <v>4459</v>
      </c>
      <c r="F72" s="12">
        <f t="shared" si="4"/>
        <v>4459</v>
      </c>
    </row>
    <row r="73" spans="1:8">
      <c r="A73" s="8">
        <v>5</v>
      </c>
      <c r="B73" s="11" t="s">
        <v>215</v>
      </c>
      <c r="C73" s="10">
        <v>1.683E-3</v>
      </c>
      <c r="D73" s="12">
        <f>ROUND(D$3*C73,0)</f>
        <v>617</v>
      </c>
      <c r="E73" s="13">
        <f t="shared" si="3"/>
        <v>309</v>
      </c>
      <c r="F73" s="12">
        <f t="shared" si="4"/>
        <v>308</v>
      </c>
    </row>
    <row r="74" spans="1:8">
      <c r="A74" s="8">
        <v>5</v>
      </c>
      <c r="B74" s="11" t="s">
        <v>216</v>
      </c>
      <c r="C74" s="10">
        <v>3.2160000000000001E-3</v>
      </c>
      <c r="D74" s="12">
        <f>+D3-SUM(D4:D5)-SUM(D10:D56)-D60-D64-D68-SUM(D72:D73)</f>
        <v>1180</v>
      </c>
      <c r="E74" s="13">
        <f t="shared" si="3"/>
        <v>590</v>
      </c>
      <c r="F74" s="12">
        <f t="shared" si="4"/>
        <v>590</v>
      </c>
    </row>
    <row r="75" spans="1:8">
      <c r="A75" s="8">
        <v>6</v>
      </c>
      <c r="B75" s="11" t="s">
        <v>217</v>
      </c>
      <c r="C75" s="10">
        <v>0</v>
      </c>
      <c r="D75" s="12">
        <f>ROUND(D$3*C75,0)</f>
        <v>0</v>
      </c>
      <c r="E75" s="13">
        <f t="shared" si="3"/>
        <v>0</v>
      </c>
      <c r="F75" s="12">
        <f t="shared" si="4"/>
        <v>0</v>
      </c>
    </row>
    <row r="76" spans="1:8">
      <c r="A76" s="8"/>
      <c r="B76" s="28" t="s">
        <v>37</v>
      </c>
      <c r="C76" s="10">
        <v>1</v>
      </c>
      <c r="D76" s="12">
        <f>+D4+SUM(D7:D55)+D58+D59+D62+D63+D66+D67+D70+D71+D72+D73+D74+D75</f>
        <v>366695</v>
      </c>
      <c r="E76" s="12">
        <f>+E4+SUM(E7:E55)+E58+E59+E62+E63+E66+E67+E70+E71+E72+E73+E74+E75</f>
        <v>183359</v>
      </c>
      <c r="F76" s="12">
        <f>+F4+SUM(F7:F55)+F58+F59+F62+F63+F66+F67+F70+F71+F72+F73+F74+F75</f>
        <v>183336</v>
      </c>
    </row>
    <row r="77" spans="1:8">
      <c r="B77" s="18" t="s">
        <v>38</v>
      </c>
      <c r="D77" s="19">
        <f>+D4</f>
        <v>380</v>
      </c>
      <c r="E77" s="19">
        <f>+E4</f>
        <v>190</v>
      </c>
      <c r="F77" s="19">
        <f>+F4</f>
        <v>190</v>
      </c>
    </row>
    <row r="78" spans="1:8">
      <c r="B78" s="2" t="s">
        <v>39</v>
      </c>
      <c r="D78" s="19">
        <f>+D7</f>
        <v>23996</v>
      </c>
      <c r="E78" s="19">
        <f>+E7</f>
        <v>11998</v>
      </c>
      <c r="F78" s="19">
        <f>+F7</f>
        <v>11998</v>
      </c>
    </row>
    <row r="79" spans="1:8">
      <c r="B79" s="2" t="s">
        <v>40</v>
      </c>
      <c r="D79" s="19">
        <f>+D58+D62+D66+D70</f>
        <v>86340</v>
      </c>
      <c r="E79" s="19">
        <f>+E58+E62+E66+E70</f>
        <v>43171</v>
      </c>
      <c r="F79" s="19">
        <f>+F58+F62+F66+F70</f>
        <v>43169</v>
      </c>
      <c r="H79" s="3">
        <v>1</v>
      </c>
    </row>
    <row r="80" spans="1:8">
      <c r="B80" s="18" t="s">
        <v>41</v>
      </c>
      <c r="D80" s="19">
        <f>+D76-D77-D78-D79</f>
        <v>255979</v>
      </c>
      <c r="E80" s="19">
        <f>+E76-E77-E78-E79</f>
        <v>128000</v>
      </c>
      <c r="F80" s="19">
        <f>+F76-F77-F78-F79</f>
        <v>127979</v>
      </c>
      <c r="H80" s="3">
        <v>2</v>
      </c>
    </row>
    <row r="82" spans="2:4" hidden="1">
      <c r="B82" s="3" t="s">
        <v>42</v>
      </c>
      <c r="C82" s="4">
        <v>0</v>
      </c>
      <c r="D82" s="3">
        <f>+D74-ROUND(D3*C74,0)</f>
        <v>1</v>
      </c>
    </row>
  </sheetData>
  <pageMargins left="0.7" right="0.7" top="0.75" bottom="0.75" header="0.3" footer="0.3"/>
  <pageSetup scale="5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pageSetUpPr fitToPage="1"/>
  </sheetPr>
  <dimension ref="A1:WVB78"/>
  <sheetViews>
    <sheetView topLeftCell="A36" zoomScaleNormal="100" zoomScaleSheetLayoutView="90" workbookViewId="0">
      <selection activeCell="D61" sqref="D61:F61"/>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425781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425781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425781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425781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425781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425781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425781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425781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425781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425781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425781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425781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425781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425781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425781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425781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425781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425781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425781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425781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425781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425781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425781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425781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425781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425781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425781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425781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425781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425781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425781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425781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425781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425781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425781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425781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425781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425781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425781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425781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425781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425781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425781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425781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425781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425781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425781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425781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425781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425781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425781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425781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425781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425781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425781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425781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425781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425781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425781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425781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425781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425781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425781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218</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Worksheet'!$D$13</f>
        <v>1494199</v>
      </c>
      <c r="E3" s="11"/>
      <c r="F3" s="11"/>
    </row>
    <row r="4" spans="1:6">
      <c r="A4" s="8">
        <v>0</v>
      </c>
      <c r="B4" s="11" t="s">
        <v>4</v>
      </c>
      <c r="C4" s="10">
        <v>8.9999999999999998E-4</v>
      </c>
      <c r="D4" s="12">
        <f>ROUND(D$3*C4,0)</f>
        <v>1345</v>
      </c>
      <c r="E4" s="13">
        <f>ROUND(D4/2,0)</f>
        <v>673</v>
      </c>
      <c r="F4" s="12">
        <f>D4-E4</f>
        <v>672</v>
      </c>
    </row>
    <row r="5" spans="1:6">
      <c r="A5" s="8">
        <v>1</v>
      </c>
      <c r="B5" s="11" t="s">
        <v>219</v>
      </c>
      <c r="C5" s="10">
        <v>0.16949500000000001</v>
      </c>
      <c r="D5" s="9">
        <f>ROUND(D$3*C5,0)</f>
        <v>253259</v>
      </c>
      <c r="E5" s="11">
        <f>ROUND(D5/2,0)</f>
        <v>126630</v>
      </c>
      <c r="F5" s="9">
        <f>D5-E5</f>
        <v>126629</v>
      </c>
    </row>
    <row r="6" spans="1:6">
      <c r="A6" s="8"/>
      <c r="B6" s="11" t="s">
        <v>6</v>
      </c>
      <c r="C6" s="11"/>
      <c r="D6" s="14">
        <v>0.38001600000000002</v>
      </c>
      <c r="E6" s="11"/>
      <c r="F6" s="11"/>
    </row>
    <row r="7" spans="1:6">
      <c r="A7" s="8"/>
      <c r="B7" s="11" t="s">
        <v>7</v>
      </c>
      <c r="C7" s="11"/>
      <c r="D7" s="228">
        <f>ROUND(D5*D6,0)</f>
        <v>96242</v>
      </c>
      <c r="E7" s="229">
        <f>ROUND(D7/2,0)</f>
        <v>48121</v>
      </c>
      <c r="F7" s="228">
        <f>D7-E7</f>
        <v>48121</v>
      </c>
    </row>
    <row r="8" spans="1:6">
      <c r="A8" s="8"/>
      <c r="B8" s="11" t="s">
        <v>8</v>
      </c>
      <c r="C8" s="11"/>
      <c r="D8" s="12">
        <f>+D5-D7</f>
        <v>157017</v>
      </c>
      <c r="E8" s="13">
        <f>ROUND(D8/2,0)</f>
        <v>78509</v>
      </c>
      <c r="F8" s="12">
        <f>D8-E8</f>
        <v>78508</v>
      </c>
    </row>
    <row r="9" spans="1:6">
      <c r="A9" s="8">
        <v>2</v>
      </c>
      <c r="B9" s="11" t="s">
        <v>199</v>
      </c>
      <c r="C9" s="11"/>
      <c r="D9" s="9"/>
      <c r="E9" s="11"/>
      <c r="F9" s="11"/>
    </row>
    <row r="10" spans="1:6">
      <c r="A10" s="8"/>
      <c r="B10" s="11" t="s">
        <v>10</v>
      </c>
      <c r="C10" s="10">
        <v>0</v>
      </c>
      <c r="D10" s="12">
        <f>ROUND(D$3*C10,0)</f>
        <v>0</v>
      </c>
      <c r="E10" s="13">
        <f>ROUND(D10/2,0)</f>
        <v>0</v>
      </c>
      <c r="F10" s="12">
        <f>D10-E10</f>
        <v>0</v>
      </c>
    </row>
    <row r="11" spans="1:6">
      <c r="A11" s="8"/>
      <c r="B11" s="11" t="s">
        <v>11</v>
      </c>
      <c r="C11" s="10">
        <v>0</v>
      </c>
      <c r="D11" s="12">
        <f>ROUND(D$3*C11,0)</f>
        <v>0</v>
      </c>
      <c r="E11" s="13">
        <f>ROUND(D11/2,0)</f>
        <v>0</v>
      </c>
      <c r="F11" s="12">
        <f>D11-E11</f>
        <v>0</v>
      </c>
    </row>
    <row r="12" spans="1:6">
      <c r="A12" s="8">
        <v>2</v>
      </c>
      <c r="B12" s="11" t="s">
        <v>220</v>
      </c>
      <c r="C12" s="11"/>
      <c r="D12" s="9"/>
      <c r="E12" s="11"/>
      <c r="F12" s="11"/>
    </row>
    <row r="13" spans="1:6">
      <c r="A13" s="8"/>
      <c r="B13" s="11" t="s">
        <v>10</v>
      </c>
      <c r="C13" s="10">
        <v>4.3399999999999998E-4</v>
      </c>
      <c r="D13" s="12">
        <f>ROUND(D$3*C13,0)</f>
        <v>648</v>
      </c>
      <c r="E13" s="13">
        <f>ROUND(D13/2,0)</f>
        <v>324</v>
      </c>
      <c r="F13" s="12">
        <f>D13-E13</f>
        <v>324</v>
      </c>
    </row>
    <row r="14" spans="1:6">
      <c r="A14" s="8"/>
      <c r="B14" s="11" t="s">
        <v>11</v>
      </c>
      <c r="C14" s="10">
        <v>0</v>
      </c>
      <c r="D14" s="12">
        <f>ROUND(D$3*C14,0)</f>
        <v>0</v>
      </c>
      <c r="E14" s="13">
        <f>ROUND(D14/2,0)</f>
        <v>0</v>
      </c>
      <c r="F14" s="12">
        <f>D14-E14</f>
        <v>0</v>
      </c>
    </row>
    <row r="15" spans="1:6">
      <c r="A15" s="8">
        <v>2</v>
      </c>
      <c r="B15" s="11" t="s">
        <v>221</v>
      </c>
      <c r="C15" s="11"/>
      <c r="D15" s="9"/>
      <c r="E15" s="11"/>
      <c r="F15" s="11"/>
    </row>
    <row r="16" spans="1:6">
      <c r="A16" s="8"/>
      <c r="B16" s="11" t="s">
        <v>10</v>
      </c>
      <c r="C16" s="10">
        <v>4.64E-4</v>
      </c>
      <c r="D16" s="12">
        <f>ROUND(D$3*C16,0)</f>
        <v>693</v>
      </c>
      <c r="E16" s="13">
        <f>ROUND(D16/2,0)</f>
        <v>347</v>
      </c>
      <c r="F16" s="12">
        <f>D16-E16</f>
        <v>346</v>
      </c>
    </row>
    <row r="17" spans="1:6">
      <c r="A17" s="8"/>
      <c r="B17" s="11" t="s">
        <v>11</v>
      </c>
      <c r="C17" s="10">
        <v>0</v>
      </c>
      <c r="D17" s="12">
        <f>ROUND(D$3*C17,0)</f>
        <v>0</v>
      </c>
      <c r="E17" s="13">
        <f>ROUND(D17/2,0)</f>
        <v>0</v>
      </c>
      <c r="F17" s="12">
        <f>D17-E17</f>
        <v>0</v>
      </c>
    </row>
    <row r="18" spans="1:6">
      <c r="A18" s="8">
        <v>2</v>
      </c>
      <c r="B18" s="11" t="s">
        <v>222</v>
      </c>
      <c r="C18" s="11"/>
      <c r="D18" s="9"/>
      <c r="E18" s="11"/>
      <c r="F18" s="11"/>
    </row>
    <row r="19" spans="1:6">
      <c r="A19" s="8"/>
      <c r="B19" s="11" t="s">
        <v>10</v>
      </c>
      <c r="C19" s="10">
        <v>9.7850000000000003E-3</v>
      </c>
      <c r="D19" s="12">
        <f>ROUND(D$3*C19,0)</f>
        <v>14621</v>
      </c>
      <c r="E19" s="13">
        <f>ROUND(D19/2,0)</f>
        <v>7311</v>
      </c>
      <c r="F19" s="12">
        <f>D19-E19</f>
        <v>7310</v>
      </c>
    </row>
    <row r="20" spans="1:6">
      <c r="A20" s="8"/>
      <c r="B20" s="11" t="s">
        <v>11</v>
      </c>
      <c r="C20" s="10">
        <v>8.8099999999999995E-4</v>
      </c>
      <c r="D20" s="12">
        <f>ROUND(D$3*C20,0)</f>
        <v>1316</v>
      </c>
      <c r="E20" s="13">
        <f>ROUND(D20/2,0)</f>
        <v>658</v>
      </c>
      <c r="F20" s="12">
        <f>D20-E20</f>
        <v>658</v>
      </c>
    </row>
    <row r="21" spans="1:6">
      <c r="A21" s="8">
        <v>2</v>
      </c>
      <c r="B21" s="11" t="s">
        <v>16</v>
      </c>
      <c r="C21" s="11"/>
      <c r="D21" s="9"/>
      <c r="E21" s="11"/>
      <c r="F21" s="11"/>
    </row>
    <row r="22" spans="1:6">
      <c r="A22" s="8"/>
      <c r="B22" s="11" t="s">
        <v>10</v>
      </c>
      <c r="C22" s="10">
        <v>3.9999999999999998E-6</v>
      </c>
      <c r="D22" s="12">
        <f>ROUND(D$3*C22,0)</f>
        <v>6</v>
      </c>
      <c r="E22" s="13">
        <f>ROUND(D22/2,0)</f>
        <v>3</v>
      </c>
      <c r="F22" s="12">
        <f>D22-E22</f>
        <v>3</v>
      </c>
    </row>
    <row r="23" spans="1:6">
      <c r="A23" s="8"/>
      <c r="B23" s="11" t="s">
        <v>11</v>
      </c>
      <c r="C23" s="10">
        <v>0</v>
      </c>
      <c r="D23" s="12">
        <f>ROUND(D$3*C23,0)</f>
        <v>0</v>
      </c>
      <c r="E23" s="13">
        <f>ROUND(D23/2,0)</f>
        <v>0</v>
      </c>
      <c r="F23" s="12">
        <f>D23-E23</f>
        <v>0</v>
      </c>
    </row>
    <row r="24" spans="1:6">
      <c r="A24" s="8">
        <v>2</v>
      </c>
      <c r="B24" s="11" t="s">
        <v>223</v>
      </c>
      <c r="C24" s="11"/>
      <c r="D24" s="9"/>
      <c r="E24" s="11"/>
      <c r="F24" s="11"/>
    </row>
    <row r="25" spans="1:6">
      <c r="A25" s="8"/>
      <c r="B25" s="11" t="s">
        <v>10</v>
      </c>
      <c r="C25" s="10">
        <v>1.5E-5</v>
      </c>
      <c r="D25" s="12">
        <f>ROUND(D$3*C25,0)</f>
        <v>22</v>
      </c>
      <c r="E25" s="13">
        <f>ROUND(D25/2,0)</f>
        <v>11</v>
      </c>
      <c r="F25" s="12">
        <f>D25-E25</f>
        <v>11</v>
      </c>
    </row>
    <row r="26" spans="1:6">
      <c r="A26" s="8"/>
      <c r="B26" s="11" t="s">
        <v>11</v>
      </c>
      <c r="C26" s="10">
        <v>0</v>
      </c>
      <c r="D26" s="12">
        <f>ROUND(D$3*C26,0)</f>
        <v>0</v>
      </c>
      <c r="E26" s="13">
        <f>ROUND(D26/2,0)</f>
        <v>0</v>
      </c>
      <c r="F26" s="12">
        <f>D26-E26</f>
        <v>0</v>
      </c>
    </row>
    <row r="27" spans="1:6">
      <c r="A27" s="8">
        <v>2</v>
      </c>
      <c r="B27" s="11" t="s">
        <v>224</v>
      </c>
      <c r="C27" s="11"/>
      <c r="D27" s="9"/>
      <c r="E27" s="11"/>
      <c r="F27" s="11"/>
    </row>
    <row r="28" spans="1:6">
      <c r="A28" s="8"/>
      <c r="B28" s="11" t="s">
        <v>10</v>
      </c>
      <c r="C28" s="10">
        <v>5.0000000000000004E-6</v>
      </c>
      <c r="D28" s="12">
        <f>ROUND(D$3*C28,0)</f>
        <v>7</v>
      </c>
      <c r="E28" s="13">
        <f>ROUND(D28/2,0)</f>
        <v>4</v>
      </c>
      <c r="F28" s="12">
        <f>D28-E28</f>
        <v>3</v>
      </c>
    </row>
    <row r="29" spans="1:6">
      <c r="A29" s="8"/>
      <c r="B29" s="11" t="s">
        <v>11</v>
      </c>
      <c r="C29" s="10">
        <v>0</v>
      </c>
      <c r="D29" s="12">
        <f>ROUND(D$3*C29,0)</f>
        <v>0</v>
      </c>
      <c r="E29" s="13">
        <f>ROUND(D29/2,0)</f>
        <v>0</v>
      </c>
      <c r="F29" s="12">
        <f>D29-E29</f>
        <v>0</v>
      </c>
    </row>
    <row r="30" spans="1:6">
      <c r="A30" s="8">
        <v>2</v>
      </c>
      <c r="B30" s="11" t="s">
        <v>225</v>
      </c>
      <c r="C30" s="5"/>
      <c r="D30" s="5"/>
      <c r="E30" s="6"/>
      <c r="F30" s="11"/>
    </row>
    <row r="31" spans="1:6">
      <c r="A31" s="8"/>
      <c r="B31" s="11" t="s">
        <v>10</v>
      </c>
      <c r="C31" s="10">
        <v>4.8899999999999996E-4</v>
      </c>
      <c r="D31" s="12">
        <f>ROUND(D$3*C31,0)</f>
        <v>731</v>
      </c>
      <c r="E31" s="13">
        <f>ROUND(D31/2,0)</f>
        <v>366</v>
      </c>
      <c r="F31" s="12">
        <f>D31-E31</f>
        <v>365</v>
      </c>
    </row>
    <row r="32" spans="1:6">
      <c r="A32" s="8"/>
      <c r="B32" s="11" t="s">
        <v>11</v>
      </c>
      <c r="C32" s="10">
        <v>0</v>
      </c>
      <c r="D32" s="12">
        <f>ROUND(D$3*C32,0)</f>
        <v>0</v>
      </c>
      <c r="E32" s="13">
        <f>ROUND(D32/2,0)</f>
        <v>0</v>
      </c>
      <c r="F32" s="12">
        <f>D32-E32</f>
        <v>0</v>
      </c>
    </row>
    <row r="33" spans="1:6">
      <c r="A33" s="8">
        <v>2</v>
      </c>
      <c r="B33" s="11" t="s">
        <v>20</v>
      </c>
      <c r="C33" s="11"/>
      <c r="D33" s="9"/>
      <c r="E33" s="11"/>
      <c r="F33" s="11"/>
    </row>
    <row r="34" spans="1:6">
      <c r="A34" s="8"/>
      <c r="B34" s="11" t="s">
        <v>10</v>
      </c>
      <c r="C34" s="10">
        <v>2.7300000000000002E-4</v>
      </c>
      <c r="D34" s="12">
        <f>ROUND(D$3*C34,0)</f>
        <v>408</v>
      </c>
      <c r="E34" s="13">
        <f>ROUND(D34/2,0)</f>
        <v>204</v>
      </c>
      <c r="F34" s="12">
        <f>D34-E34</f>
        <v>204</v>
      </c>
    </row>
    <row r="35" spans="1:6">
      <c r="A35" s="8"/>
      <c r="B35" s="11" t="s">
        <v>11</v>
      </c>
      <c r="C35" s="10">
        <v>0</v>
      </c>
      <c r="D35" s="12">
        <f>ROUND(D$3*C35,0)</f>
        <v>0</v>
      </c>
      <c r="E35" s="13">
        <f>ROUND(D35/2,0)</f>
        <v>0</v>
      </c>
      <c r="F35" s="12">
        <f>D35-E35</f>
        <v>0</v>
      </c>
    </row>
    <row r="36" spans="1:6">
      <c r="A36" s="8">
        <v>2</v>
      </c>
      <c r="B36" s="11" t="s">
        <v>226</v>
      </c>
      <c r="C36" s="11"/>
      <c r="D36" s="9"/>
      <c r="E36" s="11"/>
      <c r="F36" s="11"/>
    </row>
    <row r="37" spans="1:6">
      <c r="A37" s="8"/>
      <c r="B37" s="11" t="s">
        <v>10</v>
      </c>
      <c r="C37" s="10">
        <v>4.6E-5</v>
      </c>
      <c r="D37" s="12">
        <f>ROUND(D$3*C37,0)</f>
        <v>69</v>
      </c>
      <c r="E37" s="13">
        <f>ROUND(D37/2,0)</f>
        <v>35</v>
      </c>
      <c r="F37" s="12">
        <f>D37-E37</f>
        <v>34</v>
      </c>
    </row>
    <row r="38" spans="1:6">
      <c r="A38" s="8"/>
      <c r="B38" s="11" t="s">
        <v>11</v>
      </c>
      <c r="C38" s="10">
        <v>0</v>
      </c>
      <c r="D38" s="12">
        <f>ROUND(D$3*C38,0)</f>
        <v>0</v>
      </c>
      <c r="E38" s="13">
        <f>ROUND(D38/2,0)</f>
        <v>0</v>
      </c>
      <c r="F38" s="12">
        <f>D38-E38</f>
        <v>0</v>
      </c>
    </row>
    <row r="39" spans="1:6">
      <c r="A39" s="8">
        <v>2</v>
      </c>
      <c r="B39" s="11" t="s">
        <v>22</v>
      </c>
      <c r="C39" s="11"/>
      <c r="D39" s="9"/>
      <c r="E39" s="11"/>
      <c r="F39" s="11"/>
    </row>
    <row r="40" spans="1:6">
      <c r="A40" s="8"/>
      <c r="B40" s="11" t="s">
        <v>10</v>
      </c>
      <c r="C40" s="10">
        <v>1.2999999999999999E-5</v>
      </c>
      <c r="D40" s="12">
        <f>ROUND(D$3*C40,0)</f>
        <v>19</v>
      </c>
      <c r="E40" s="13">
        <f>ROUND(D40/2,0)</f>
        <v>10</v>
      </c>
      <c r="F40" s="12">
        <f>D40-E40</f>
        <v>9</v>
      </c>
    </row>
    <row r="41" spans="1:6">
      <c r="A41" s="8"/>
      <c r="B41" s="11" t="s">
        <v>11</v>
      </c>
      <c r="C41" s="10">
        <v>0</v>
      </c>
      <c r="D41" s="12">
        <f>ROUND(D$3*C41,0)</f>
        <v>0</v>
      </c>
      <c r="E41" s="13">
        <f>ROUND(D41/2,0)</f>
        <v>0</v>
      </c>
      <c r="F41" s="12">
        <f>D41-E41</f>
        <v>0</v>
      </c>
    </row>
    <row r="42" spans="1:6">
      <c r="A42" s="8">
        <v>2</v>
      </c>
      <c r="B42" s="11" t="s">
        <v>227</v>
      </c>
      <c r="C42" s="11"/>
      <c r="D42" s="9"/>
      <c r="E42" s="11"/>
      <c r="F42" s="11"/>
    </row>
    <row r="43" spans="1:6">
      <c r="A43" s="8"/>
      <c r="B43" s="11" t="s">
        <v>10</v>
      </c>
      <c r="C43" s="10">
        <v>1.93E-4</v>
      </c>
      <c r="D43" s="12">
        <f t="shared" ref="D43:D51" si="0">ROUND(D$3*C43,0)</f>
        <v>288</v>
      </c>
      <c r="E43" s="13">
        <f t="shared" ref="E43:E51" si="1">ROUND(D43/2,0)</f>
        <v>144</v>
      </c>
      <c r="F43" s="12">
        <f t="shared" ref="F43:F51" si="2">D43-E43</f>
        <v>144</v>
      </c>
    </row>
    <row r="44" spans="1:6">
      <c r="A44" s="8"/>
      <c r="B44" s="11" t="s">
        <v>11</v>
      </c>
      <c r="C44" s="10">
        <v>8.3999999999999995E-5</v>
      </c>
      <c r="D44" s="12">
        <f t="shared" si="0"/>
        <v>126</v>
      </c>
      <c r="E44" s="13">
        <f t="shared" si="1"/>
        <v>63</v>
      </c>
      <c r="F44" s="12">
        <f t="shared" si="2"/>
        <v>63</v>
      </c>
    </row>
    <row r="45" spans="1:6">
      <c r="A45" s="8">
        <v>3</v>
      </c>
      <c r="B45" s="11" t="s">
        <v>228</v>
      </c>
      <c r="C45" s="10">
        <v>1.9919999999999998E-3</v>
      </c>
      <c r="D45" s="12">
        <f t="shared" si="0"/>
        <v>2976</v>
      </c>
      <c r="E45" s="13">
        <f t="shared" si="1"/>
        <v>1488</v>
      </c>
      <c r="F45" s="12">
        <f t="shared" si="2"/>
        <v>1488</v>
      </c>
    </row>
    <row r="46" spans="1:6">
      <c r="A46" s="8">
        <v>3</v>
      </c>
      <c r="B46" s="11" t="s">
        <v>229</v>
      </c>
      <c r="C46" s="10">
        <v>0.117618</v>
      </c>
      <c r="D46" s="12">
        <f t="shared" si="0"/>
        <v>175745</v>
      </c>
      <c r="E46" s="13">
        <f t="shared" si="1"/>
        <v>87873</v>
      </c>
      <c r="F46" s="12">
        <f t="shared" si="2"/>
        <v>87872</v>
      </c>
    </row>
    <row r="47" spans="1:6">
      <c r="A47" s="8">
        <v>3</v>
      </c>
      <c r="B47" s="11" t="s">
        <v>230</v>
      </c>
      <c r="C47" s="10">
        <v>0.169097</v>
      </c>
      <c r="D47" s="12">
        <f t="shared" si="0"/>
        <v>252665</v>
      </c>
      <c r="E47" s="13">
        <f t="shared" si="1"/>
        <v>126333</v>
      </c>
      <c r="F47" s="12">
        <f t="shared" si="2"/>
        <v>126332</v>
      </c>
    </row>
    <row r="48" spans="1:6">
      <c r="A48" s="8">
        <v>3</v>
      </c>
      <c r="B48" s="11" t="s">
        <v>231</v>
      </c>
      <c r="C48" s="10">
        <v>7.6499999999999995E-4</v>
      </c>
      <c r="D48" s="12">
        <f t="shared" si="0"/>
        <v>1143</v>
      </c>
      <c r="E48" s="13">
        <f t="shared" si="1"/>
        <v>572</v>
      </c>
      <c r="F48" s="12">
        <f t="shared" si="2"/>
        <v>571</v>
      </c>
    </row>
    <row r="49" spans="1:6">
      <c r="A49" s="8">
        <v>3</v>
      </c>
      <c r="B49" s="11" t="s">
        <v>232</v>
      </c>
      <c r="C49" s="10">
        <v>9.4830000000000001E-3</v>
      </c>
      <c r="D49" s="12">
        <f t="shared" si="0"/>
        <v>14169</v>
      </c>
      <c r="E49" s="13">
        <f t="shared" si="1"/>
        <v>7085</v>
      </c>
      <c r="F49" s="12">
        <f t="shared" si="2"/>
        <v>7084</v>
      </c>
    </row>
    <row r="50" spans="1:6">
      <c r="A50" s="8">
        <v>3</v>
      </c>
      <c r="B50" s="11" t="s">
        <v>233</v>
      </c>
      <c r="C50" s="10">
        <v>4.2400000000000001E-4</v>
      </c>
      <c r="D50" s="12">
        <f t="shared" si="0"/>
        <v>634</v>
      </c>
      <c r="E50" s="13">
        <f t="shared" si="1"/>
        <v>317</v>
      </c>
      <c r="F50" s="12">
        <f t="shared" si="2"/>
        <v>317</v>
      </c>
    </row>
    <row r="51" spans="1:6">
      <c r="A51" s="8">
        <v>4</v>
      </c>
      <c r="B51" s="11" t="s">
        <v>234</v>
      </c>
      <c r="C51" s="10">
        <v>9.9511000000000002E-2</v>
      </c>
      <c r="D51" s="9">
        <f t="shared" si="0"/>
        <v>148689</v>
      </c>
      <c r="E51" s="11">
        <f t="shared" si="1"/>
        <v>74345</v>
      </c>
      <c r="F51" s="9">
        <f t="shared" si="2"/>
        <v>74344</v>
      </c>
    </row>
    <row r="52" spans="1:6">
      <c r="A52" s="8"/>
      <c r="B52" s="11" t="s">
        <v>28</v>
      </c>
      <c r="C52" s="11"/>
      <c r="D52" s="14">
        <v>0.40416099999999999</v>
      </c>
      <c r="E52" s="11"/>
      <c r="F52" s="11"/>
    </row>
    <row r="53" spans="1:6">
      <c r="A53" s="8"/>
      <c r="B53" s="11" t="s">
        <v>29</v>
      </c>
      <c r="C53" s="11"/>
      <c r="D53" s="228">
        <f>ROUND(D51*D52,0)</f>
        <v>60094</v>
      </c>
      <c r="E53" s="229">
        <f>ROUND(D53/2,0)</f>
        <v>30047</v>
      </c>
      <c r="F53" s="228">
        <f>D53-E53</f>
        <v>30047</v>
      </c>
    </row>
    <row r="54" spans="1:6">
      <c r="A54" s="8"/>
      <c r="B54" s="11" t="s">
        <v>30</v>
      </c>
      <c r="C54" s="11"/>
      <c r="D54" s="12">
        <f>+D51-D53</f>
        <v>88595</v>
      </c>
      <c r="E54" s="13">
        <f>ROUND(D54/2,0)</f>
        <v>44298</v>
      </c>
      <c r="F54" s="12">
        <f>D54-E54</f>
        <v>44297</v>
      </c>
    </row>
    <row r="55" spans="1:6">
      <c r="A55" s="8">
        <v>4</v>
      </c>
      <c r="B55" s="11" t="s">
        <v>235</v>
      </c>
      <c r="C55" s="10">
        <v>0.30374499999999999</v>
      </c>
      <c r="D55" s="9">
        <f>ROUND(D$3*C55,0)</f>
        <v>453855</v>
      </c>
      <c r="E55" s="11">
        <f>ROUND(D55/2,0)</f>
        <v>226928</v>
      </c>
      <c r="F55" s="9">
        <f>D55-E55</f>
        <v>226927</v>
      </c>
    </row>
    <row r="56" spans="1:6">
      <c r="A56" s="8"/>
      <c r="B56" s="11" t="s">
        <v>28</v>
      </c>
      <c r="C56" s="11"/>
      <c r="D56" s="14">
        <v>0.48830000000000001</v>
      </c>
      <c r="E56" s="11"/>
      <c r="F56" s="11"/>
    </row>
    <row r="57" spans="1:6">
      <c r="A57" s="8"/>
      <c r="B57" s="11" t="s">
        <v>29</v>
      </c>
      <c r="C57" s="11"/>
      <c r="D57" s="228">
        <f>ROUND(D55*D56,0)</f>
        <v>221617</v>
      </c>
      <c r="E57" s="229">
        <f>ROUND(D57/2,0)</f>
        <v>110809</v>
      </c>
      <c r="F57" s="228">
        <f>D57-E57</f>
        <v>110808</v>
      </c>
    </row>
    <row r="58" spans="1:6">
      <c r="A58" s="8"/>
      <c r="B58" s="11" t="s">
        <v>30</v>
      </c>
      <c r="C58" s="11"/>
      <c r="D58" s="12">
        <f>+D55-D57</f>
        <v>232238</v>
      </c>
      <c r="E58" s="13">
        <f>ROUND(D58/2,0)</f>
        <v>116119</v>
      </c>
      <c r="F58" s="12">
        <f>D58-E58</f>
        <v>116119</v>
      </c>
    </row>
    <row r="59" spans="1:6" s="169" customFormat="1">
      <c r="A59" s="165">
        <v>4</v>
      </c>
      <c r="B59" s="166" t="s">
        <v>236</v>
      </c>
      <c r="C59" s="167">
        <v>6.9823999999999997E-2</v>
      </c>
      <c r="D59" s="168">
        <f>ROUND(D$3*C59,0)</f>
        <v>104331</v>
      </c>
      <c r="E59" s="166">
        <f>ROUND(D59/2,0)</f>
        <v>52166</v>
      </c>
      <c r="F59" s="168">
        <f>D59-E59</f>
        <v>52165</v>
      </c>
    </row>
    <row r="60" spans="1:6" s="169" customFormat="1">
      <c r="A60" s="165"/>
      <c r="B60" s="166" t="s">
        <v>28</v>
      </c>
      <c r="C60" s="166"/>
      <c r="D60" s="170">
        <v>0.40515800000000002</v>
      </c>
      <c r="E60" s="166"/>
      <c r="F60" s="166"/>
    </row>
    <row r="61" spans="1:6" s="169" customFormat="1">
      <c r="A61" s="165"/>
      <c r="B61" s="166" t="s">
        <v>29</v>
      </c>
      <c r="C61" s="166"/>
      <c r="D61" s="230">
        <f>ROUND(D59*D60,0)</f>
        <v>42271</v>
      </c>
      <c r="E61" s="231">
        <f t="shared" ref="E61:E71" si="3">ROUND(D61/2,0)</f>
        <v>21136</v>
      </c>
      <c r="F61" s="230">
        <f t="shared" ref="F61:F71" si="4">D61-E61</f>
        <v>21135</v>
      </c>
    </row>
    <row r="62" spans="1:6" s="169" customFormat="1">
      <c r="A62" s="165"/>
      <c r="B62" s="166" t="s">
        <v>30</v>
      </c>
      <c r="C62" s="166"/>
      <c r="D62" s="171">
        <f>+D59-D61</f>
        <v>62060</v>
      </c>
      <c r="E62" s="172">
        <f t="shared" si="3"/>
        <v>31030</v>
      </c>
      <c r="F62" s="171">
        <f t="shared" si="4"/>
        <v>31030</v>
      </c>
    </row>
    <row r="63" spans="1:6">
      <c r="A63" s="8">
        <v>5</v>
      </c>
      <c r="B63" s="11" t="s">
        <v>237</v>
      </c>
      <c r="C63" s="10">
        <v>5.7390000000000002E-3</v>
      </c>
      <c r="D63" s="12">
        <f t="shared" ref="D63:D70" si="5">ROUND(D$3*C63,0)</f>
        <v>8575</v>
      </c>
      <c r="E63" s="13">
        <f t="shared" si="3"/>
        <v>4288</v>
      </c>
      <c r="F63" s="12">
        <f t="shared" si="4"/>
        <v>4287</v>
      </c>
    </row>
    <row r="64" spans="1:6">
      <c r="A64" s="8">
        <v>5</v>
      </c>
      <c r="B64" s="11" t="s">
        <v>238</v>
      </c>
      <c r="C64" s="10">
        <v>2.4490000000000001E-2</v>
      </c>
      <c r="D64" s="12">
        <f t="shared" si="5"/>
        <v>36593</v>
      </c>
      <c r="E64" s="13">
        <f t="shared" si="3"/>
        <v>18297</v>
      </c>
      <c r="F64" s="12">
        <f t="shared" si="4"/>
        <v>18296</v>
      </c>
    </row>
    <row r="65" spans="1:8">
      <c r="A65" s="8">
        <v>6</v>
      </c>
      <c r="B65" s="11" t="s">
        <v>239</v>
      </c>
      <c r="C65" s="10">
        <v>1.232E-3</v>
      </c>
      <c r="D65" s="12">
        <f t="shared" si="5"/>
        <v>1841</v>
      </c>
      <c r="E65" s="13">
        <f t="shared" si="3"/>
        <v>921</v>
      </c>
      <c r="F65" s="12">
        <f t="shared" si="4"/>
        <v>920</v>
      </c>
    </row>
    <row r="66" spans="1:8">
      <c r="A66" s="8">
        <v>6</v>
      </c>
      <c r="B66" s="11" t="s">
        <v>240</v>
      </c>
      <c r="C66" s="10">
        <v>0</v>
      </c>
      <c r="D66" s="12">
        <f t="shared" si="5"/>
        <v>0</v>
      </c>
      <c r="E66" s="13">
        <f t="shared" si="3"/>
        <v>0</v>
      </c>
      <c r="F66" s="12">
        <f t="shared" si="4"/>
        <v>0</v>
      </c>
    </row>
    <row r="67" spans="1:8">
      <c r="A67" s="8">
        <v>6</v>
      </c>
      <c r="B67" s="11" t="s">
        <v>241</v>
      </c>
      <c r="C67" s="10">
        <v>5.7910000000000001E-3</v>
      </c>
      <c r="D67" s="12">
        <f t="shared" si="5"/>
        <v>8653</v>
      </c>
      <c r="E67" s="13">
        <f t="shared" si="3"/>
        <v>4327</v>
      </c>
      <c r="F67" s="12">
        <f t="shared" si="4"/>
        <v>4326</v>
      </c>
    </row>
    <row r="68" spans="1:8">
      <c r="A68" s="8">
        <v>6</v>
      </c>
      <c r="B68" s="11" t="s">
        <v>242</v>
      </c>
      <c r="C68" s="10">
        <v>1.8E-5</v>
      </c>
      <c r="D68" s="12">
        <f t="shared" si="5"/>
        <v>27</v>
      </c>
      <c r="E68" s="13">
        <f t="shared" si="3"/>
        <v>14</v>
      </c>
      <c r="F68" s="12">
        <f t="shared" si="4"/>
        <v>13</v>
      </c>
    </row>
    <row r="69" spans="1:8">
      <c r="A69" s="8">
        <v>6</v>
      </c>
      <c r="B69" s="11" t="s">
        <v>243</v>
      </c>
      <c r="C69" s="10">
        <v>1.08E-4</v>
      </c>
      <c r="D69" s="12">
        <f t="shared" si="5"/>
        <v>161</v>
      </c>
      <c r="E69" s="13">
        <f t="shared" si="3"/>
        <v>81</v>
      </c>
      <c r="F69" s="12">
        <f t="shared" si="4"/>
        <v>80</v>
      </c>
    </row>
    <row r="70" spans="1:8">
      <c r="A70" s="8">
        <v>6</v>
      </c>
      <c r="B70" s="11" t="s">
        <v>244</v>
      </c>
      <c r="C70" s="10">
        <v>6.9620000000000003E-3</v>
      </c>
      <c r="D70" s="12">
        <f t="shared" si="5"/>
        <v>10403</v>
      </c>
      <c r="E70" s="13">
        <f t="shared" si="3"/>
        <v>5202</v>
      </c>
      <c r="F70" s="12">
        <f t="shared" si="4"/>
        <v>5201</v>
      </c>
    </row>
    <row r="71" spans="1:8">
      <c r="A71" s="8" t="s">
        <v>590</v>
      </c>
      <c r="B71" s="11" t="s">
        <v>245</v>
      </c>
      <c r="C71" s="10">
        <v>1.2E-4</v>
      </c>
      <c r="D71" s="12">
        <f>+D3-SUM(D4:D5)-SUM(D10:D51)-D55-D59-SUM(D63:D70)</f>
        <v>181</v>
      </c>
      <c r="E71" s="13">
        <f t="shared" si="3"/>
        <v>91</v>
      </c>
      <c r="F71" s="12">
        <f t="shared" si="4"/>
        <v>90</v>
      </c>
    </row>
    <row r="72" spans="1:8">
      <c r="A72" s="8"/>
      <c r="B72" s="28" t="s">
        <v>37</v>
      </c>
      <c r="C72" s="10">
        <v>1</v>
      </c>
      <c r="D72" s="12">
        <f>+D4+SUM(D7:D50)+D53+D54+D57+D58+D61+D62+D63+D64+D65+D66+D67+D68+D69+D70+D71</f>
        <v>1494199</v>
      </c>
      <c r="E72" s="12">
        <f>+E4+SUM(E7:E50)+E53+E54+E57+E58+E61+E62+E63+E64+E65+E66+E67+E68+E69+E70+E71</f>
        <v>747111</v>
      </c>
      <c r="F72" s="12">
        <f>+F4+SUM(F7:F50)+F53+F54+F57+F58+F61+F62+F63+F64+F65+F66+F67+F68+F69+F70+F71</f>
        <v>747088</v>
      </c>
    </row>
    <row r="73" spans="1:8">
      <c r="B73" s="18" t="s">
        <v>38</v>
      </c>
      <c r="D73" s="19">
        <f>+D4</f>
        <v>1345</v>
      </c>
      <c r="E73" s="19">
        <f>+E4</f>
        <v>673</v>
      </c>
      <c r="F73" s="19">
        <f>+F4</f>
        <v>672</v>
      </c>
    </row>
    <row r="74" spans="1:8">
      <c r="B74" s="2" t="s">
        <v>39</v>
      </c>
      <c r="D74" s="19">
        <f>+D7</f>
        <v>96242</v>
      </c>
      <c r="E74" s="19">
        <f>+E7</f>
        <v>48121</v>
      </c>
      <c r="F74" s="19">
        <f>+F7</f>
        <v>48121</v>
      </c>
    </row>
    <row r="75" spans="1:8">
      <c r="B75" s="2" t="s">
        <v>40</v>
      </c>
      <c r="D75" s="19">
        <f>+D53+D57+D61</f>
        <v>323982</v>
      </c>
      <c r="E75" s="19">
        <f>+E53+E57+E61</f>
        <v>161992</v>
      </c>
      <c r="F75" s="19">
        <f>+F53+F57+F61</f>
        <v>161990</v>
      </c>
      <c r="H75" s="3">
        <v>1</v>
      </c>
    </row>
    <row r="76" spans="1:8">
      <c r="B76" s="18" t="s">
        <v>41</v>
      </c>
      <c r="D76" s="19">
        <f>+D72-D73-D74-D75</f>
        <v>1072630</v>
      </c>
      <c r="E76" s="19">
        <f>+E72-E73-E74-E75</f>
        <v>536325</v>
      </c>
      <c r="F76" s="19">
        <f>+F72-F73-F74-F75</f>
        <v>536305</v>
      </c>
      <c r="H76" s="3">
        <v>2</v>
      </c>
    </row>
    <row r="78" spans="1:8" hidden="1">
      <c r="B78" s="3" t="s">
        <v>42</v>
      </c>
      <c r="C78" s="4">
        <v>0</v>
      </c>
      <c r="D78" s="3">
        <f>+D71-ROUND(D3*C71,0)</f>
        <v>2</v>
      </c>
    </row>
  </sheetData>
  <pageMargins left="0.7" right="0.7" top="0.75" bottom="0.75" header="0.3" footer="0.3"/>
  <pageSetup scale="5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pageSetUpPr fitToPage="1"/>
  </sheetPr>
  <dimension ref="A1:WVB71"/>
  <sheetViews>
    <sheetView topLeftCell="A34" zoomScaleNormal="100" zoomScaleSheetLayoutView="90" workbookViewId="0">
      <selection activeCell="D55" activeCellId="2" sqref="D7:F7 D51:F51 D55:F55"/>
    </sheetView>
  </sheetViews>
  <sheetFormatPr defaultColWidth="0" defaultRowHeight="15"/>
  <cols>
    <col min="1" max="1" width="13.140625" style="1" customWidth="1"/>
    <col min="2" max="2" width="57.140625" style="3" customWidth="1"/>
    <col min="3" max="6" width="20.42578125" style="3" customWidth="1"/>
    <col min="7" max="7" width="9.140625" style="3" customWidth="1"/>
    <col min="8" max="187" width="9.140625" style="3" hidden="1"/>
    <col min="188" max="188" width="12.5703125" style="3" hidden="1"/>
    <col min="189" max="189" width="53.28515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2.5703125" style="3" hidden="1"/>
    <col min="445" max="445" width="53.28515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2.5703125" style="3" hidden="1"/>
    <col min="701" max="701" width="53.28515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2.5703125" style="3" hidden="1"/>
    <col min="957" max="957" width="53.28515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2.5703125" style="3" hidden="1"/>
    <col min="1213" max="1213" width="53.28515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2.5703125" style="3" hidden="1"/>
    <col min="1469" max="1469" width="53.28515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2.5703125" style="3" hidden="1"/>
    <col min="1725" max="1725" width="53.28515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2.5703125" style="3" hidden="1"/>
    <col min="1981" max="1981" width="53.28515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2.5703125" style="3" hidden="1"/>
    <col min="2237" max="2237" width="53.28515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2.5703125" style="3" hidden="1"/>
    <col min="2493" max="2493" width="53.28515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2.5703125" style="3" hidden="1"/>
    <col min="2749" max="2749" width="53.28515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2.5703125" style="3" hidden="1"/>
    <col min="3005" max="3005" width="53.28515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2.5703125" style="3" hidden="1"/>
    <col min="3261" max="3261" width="53.28515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2.5703125" style="3" hidden="1"/>
    <col min="3517" max="3517" width="53.28515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2.5703125" style="3" hidden="1"/>
    <col min="3773" max="3773" width="53.28515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2.5703125" style="3" hidden="1"/>
    <col min="4029" max="4029" width="53.28515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2.5703125" style="3" hidden="1"/>
    <col min="4285" max="4285" width="53.28515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2.5703125" style="3" hidden="1"/>
    <col min="4541" max="4541" width="53.28515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2.5703125" style="3" hidden="1"/>
    <col min="4797" max="4797" width="53.28515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2.5703125" style="3" hidden="1"/>
    <col min="5053" max="5053" width="53.28515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2.5703125" style="3" hidden="1"/>
    <col min="5309" max="5309" width="53.28515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2.5703125" style="3" hidden="1"/>
    <col min="5565" max="5565" width="53.28515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2.5703125" style="3" hidden="1"/>
    <col min="5821" max="5821" width="53.28515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2.5703125" style="3" hidden="1"/>
    <col min="6077" max="6077" width="53.28515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2.5703125" style="3" hidden="1"/>
    <col min="6333" max="6333" width="53.28515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2.5703125" style="3" hidden="1"/>
    <col min="6589" max="6589" width="53.28515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2.5703125" style="3" hidden="1"/>
    <col min="6845" max="6845" width="53.28515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2.5703125" style="3" hidden="1"/>
    <col min="7101" max="7101" width="53.28515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2.5703125" style="3" hidden="1"/>
    <col min="7357" max="7357" width="53.28515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2.5703125" style="3" hidden="1"/>
    <col min="7613" max="7613" width="53.28515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2.5703125" style="3" hidden="1"/>
    <col min="7869" max="7869" width="53.28515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2.5703125" style="3" hidden="1"/>
    <col min="8125" max="8125" width="53.28515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2.5703125" style="3" hidden="1"/>
    <col min="8381" max="8381" width="53.28515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2.5703125" style="3" hidden="1"/>
    <col min="8637" max="8637" width="53.28515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2.5703125" style="3" hidden="1"/>
    <col min="8893" max="8893" width="53.28515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2.5703125" style="3" hidden="1"/>
    <col min="9149" max="9149" width="53.28515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2.5703125" style="3" hidden="1"/>
    <col min="9405" max="9405" width="53.28515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2.5703125" style="3" hidden="1"/>
    <col min="9661" max="9661" width="53.28515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2.5703125" style="3" hidden="1"/>
    <col min="9917" max="9917" width="53.28515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2.5703125" style="3" hidden="1"/>
    <col min="10173" max="10173" width="53.28515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2.5703125" style="3" hidden="1"/>
    <col min="10429" max="10429" width="53.28515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2.5703125" style="3" hidden="1"/>
    <col min="10685" max="10685" width="53.28515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2.5703125" style="3" hidden="1"/>
    <col min="10941" max="10941" width="53.28515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2.5703125" style="3" hidden="1"/>
    <col min="11197" max="11197" width="53.28515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2.5703125" style="3" hidden="1"/>
    <col min="11453" max="11453" width="53.28515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2.5703125" style="3" hidden="1"/>
    <col min="11709" max="11709" width="53.28515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2.5703125" style="3" hidden="1"/>
    <col min="11965" max="11965" width="53.28515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2.5703125" style="3" hidden="1"/>
    <col min="12221" max="12221" width="53.28515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2.5703125" style="3" hidden="1"/>
    <col min="12477" max="12477" width="53.28515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2.5703125" style="3" hidden="1"/>
    <col min="12733" max="12733" width="53.28515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2.5703125" style="3" hidden="1"/>
    <col min="12989" max="12989" width="53.28515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2.5703125" style="3" hidden="1"/>
    <col min="13245" max="13245" width="53.28515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2.5703125" style="3" hidden="1"/>
    <col min="13501" max="13501" width="53.28515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2.5703125" style="3" hidden="1"/>
    <col min="13757" max="13757" width="53.28515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2.5703125" style="3" hidden="1"/>
    <col min="14013" max="14013" width="53.28515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2.5703125" style="3" hidden="1"/>
    <col min="14269" max="14269" width="53.28515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2.5703125" style="3" hidden="1"/>
    <col min="14525" max="14525" width="53.28515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2.5703125" style="3" hidden="1"/>
    <col min="14781" max="14781" width="53.28515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2.5703125" style="3" hidden="1"/>
    <col min="15037" max="15037" width="53.28515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2.5703125" style="3" hidden="1"/>
    <col min="15293" max="15293" width="53.28515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2.5703125" style="3" hidden="1"/>
    <col min="15549" max="15549" width="53.28515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2.5703125" style="3" hidden="1"/>
    <col min="15805" max="15805" width="53.28515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2.5703125" style="3" hidden="1"/>
    <col min="16061" max="16061" width="53.28515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246</v>
      </c>
    </row>
    <row r="2" spans="1:6" ht="45.75" customHeight="1">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Worksheet'!$D$14</f>
        <v>250440</v>
      </c>
      <c r="E3" s="11"/>
      <c r="F3" s="11"/>
    </row>
    <row r="4" spans="1:6">
      <c r="A4" s="8">
        <v>0</v>
      </c>
      <c r="B4" s="11" t="s">
        <v>4</v>
      </c>
      <c r="C4" s="10">
        <v>1.325E-3</v>
      </c>
      <c r="D4" s="12">
        <f>ROUND(D$3*C4,0)</f>
        <v>332</v>
      </c>
      <c r="E4" s="13">
        <f>ROUND(D4/2,0)</f>
        <v>166</v>
      </c>
      <c r="F4" s="12">
        <f>D4-E4</f>
        <v>166</v>
      </c>
    </row>
    <row r="5" spans="1:6">
      <c r="A5" s="8">
        <v>1</v>
      </c>
      <c r="B5" s="11" t="s">
        <v>247</v>
      </c>
      <c r="C5" s="10">
        <v>0.16377900000000001</v>
      </c>
      <c r="D5" s="9">
        <f>ROUND(D$3*C5,0)</f>
        <v>41017</v>
      </c>
      <c r="E5" s="11">
        <f>ROUND(D5/2,0)</f>
        <v>20509</v>
      </c>
      <c r="F5" s="9">
        <f>D5-E5</f>
        <v>20508</v>
      </c>
    </row>
    <row r="6" spans="1:6">
      <c r="A6" s="8"/>
      <c r="B6" s="11" t="s">
        <v>6</v>
      </c>
      <c r="C6" s="11"/>
      <c r="D6" s="14">
        <v>0.109068</v>
      </c>
      <c r="E6" s="11"/>
      <c r="F6" s="11"/>
    </row>
    <row r="7" spans="1:6">
      <c r="A7" s="8"/>
      <c r="B7" s="11" t="s">
        <v>7</v>
      </c>
      <c r="C7" s="11"/>
      <c r="D7" s="225">
        <f>ROUND(D5*D6,0)</f>
        <v>4474</v>
      </c>
      <c r="E7" s="226">
        <f>ROUND(D7/2,0)</f>
        <v>2237</v>
      </c>
      <c r="F7" s="225">
        <f>D7-E7</f>
        <v>2237</v>
      </c>
    </row>
    <row r="8" spans="1:6">
      <c r="A8" s="8"/>
      <c r="B8" s="11" t="s">
        <v>8</v>
      </c>
      <c r="C8" s="11"/>
      <c r="D8" s="12">
        <f>+D5-D7</f>
        <v>36543</v>
      </c>
      <c r="E8" s="13">
        <f>ROUND(D8/2,0)</f>
        <v>18272</v>
      </c>
      <c r="F8" s="12">
        <f>D8-E8</f>
        <v>18271</v>
      </c>
    </row>
    <row r="9" spans="1:6">
      <c r="A9" s="8">
        <v>2</v>
      </c>
      <c r="B9" s="11" t="s">
        <v>248</v>
      </c>
      <c r="C9" s="11"/>
      <c r="D9" s="9"/>
      <c r="E9" s="11"/>
      <c r="F9" s="11"/>
    </row>
    <row r="10" spans="1:6">
      <c r="A10" s="8"/>
      <c r="B10" s="11" t="s">
        <v>10</v>
      </c>
      <c r="C10" s="10">
        <v>2.4710000000000001E-3</v>
      </c>
      <c r="D10" s="12">
        <f>ROUND(D$3*C10,0)</f>
        <v>619</v>
      </c>
      <c r="E10" s="13">
        <f>ROUND(D10/2,0)</f>
        <v>310</v>
      </c>
      <c r="F10" s="12">
        <f>D10-E10</f>
        <v>309</v>
      </c>
    </row>
    <row r="11" spans="1:6">
      <c r="A11" s="8"/>
      <c r="B11" s="11" t="s">
        <v>11</v>
      </c>
      <c r="C11" s="10">
        <v>3.1300000000000002E-4</v>
      </c>
      <c r="D11" s="12">
        <f>ROUND(D$3*C11,0)</f>
        <v>78</v>
      </c>
      <c r="E11" s="13">
        <f>ROUND(D11/2,0)</f>
        <v>39</v>
      </c>
      <c r="F11" s="12">
        <f>D11-E11</f>
        <v>39</v>
      </c>
    </row>
    <row r="12" spans="1:6">
      <c r="A12" s="8">
        <v>2</v>
      </c>
      <c r="B12" s="11" t="s">
        <v>249</v>
      </c>
      <c r="C12" s="11"/>
      <c r="D12" s="9"/>
      <c r="E12" s="11"/>
      <c r="F12" s="11"/>
    </row>
    <row r="13" spans="1:6">
      <c r="A13" s="8"/>
      <c r="B13" s="11" t="s">
        <v>10</v>
      </c>
      <c r="C13" s="10">
        <v>2.2599999999999999E-4</v>
      </c>
      <c r="D13" s="12">
        <f>ROUND(D$3*C13,0)</f>
        <v>57</v>
      </c>
      <c r="E13" s="13">
        <f>ROUND(D13/2,0)</f>
        <v>29</v>
      </c>
      <c r="F13" s="12">
        <f>D13-E13</f>
        <v>28</v>
      </c>
    </row>
    <row r="14" spans="1:6">
      <c r="A14" s="8"/>
      <c r="B14" s="11" t="s">
        <v>11</v>
      </c>
      <c r="C14" s="10">
        <v>1.7799999999999999E-4</v>
      </c>
      <c r="D14" s="12">
        <f>ROUND(D$3*C14,0)</f>
        <v>45</v>
      </c>
      <c r="E14" s="13">
        <f>ROUND(D14/2,0)</f>
        <v>23</v>
      </c>
      <c r="F14" s="12">
        <f>D14-E14</f>
        <v>22</v>
      </c>
    </row>
    <row r="15" spans="1:6">
      <c r="A15" s="8">
        <v>2</v>
      </c>
      <c r="B15" s="11" t="s">
        <v>250</v>
      </c>
      <c r="C15" s="11"/>
      <c r="D15" s="9"/>
      <c r="E15" s="11"/>
      <c r="F15" s="11"/>
    </row>
    <row r="16" spans="1:6">
      <c r="A16" s="8"/>
      <c r="B16" s="11" t="s">
        <v>10</v>
      </c>
      <c r="C16" s="10">
        <v>2.464E-3</v>
      </c>
      <c r="D16" s="12">
        <f>ROUND(D$3*C16,0)</f>
        <v>617</v>
      </c>
      <c r="E16" s="13">
        <f>ROUND(D16/2,0)</f>
        <v>309</v>
      </c>
      <c r="F16" s="12">
        <f>D16-E16</f>
        <v>308</v>
      </c>
    </row>
    <row r="17" spans="1:6">
      <c r="A17" s="8"/>
      <c r="B17" s="11" t="s">
        <v>11</v>
      </c>
      <c r="C17" s="10">
        <v>2.3470000000000001E-3</v>
      </c>
      <c r="D17" s="12">
        <f>ROUND(D$3*C17,0)</f>
        <v>588</v>
      </c>
      <c r="E17" s="13">
        <f>ROUND(D17/2,0)</f>
        <v>294</v>
      </c>
      <c r="F17" s="12">
        <f>D17-E17</f>
        <v>294</v>
      </c>
    </row>
    <row r="18" spans="1:6">
      <c r="A18" s="8">
        <v>2</v>
      </c>
      <c r="B18" s="11" t="s">
        <v>86</v>
      </c>
      <c r="C18" s="11"/>
      <c r="D18" s="9"/>
      <c r="E18" s="11"/>
      <c r="F18" s="11"/>
    </row>
    <row r="19" spans="1:6">
      <c r="A19" s="8"/>
      <c r="B19" s="11" t="s">
        <v>10</v>
      </c>
      <c r="C19" s="10">
        <v>9.8829999999999994E-3</v>
      </c>
      <c r="D19" s="12">
        <f>ROUND(D$3*C19,0)</f>
        <v>2475</v>
      </c>
      <c r="E19" s="13">
        <f>ROUND(D19/2,0)</f>
        <v>1238</v>
      </c>
      <c r="F19" s="12">
        <f>D19-E19</f>
        <v>1237</v>
      </c>
    </row>
    <row r="20" spans="1:6">
      <c r="A20" s="8"/>
      <c r="B20" s="11" t="s">
        <v>11</v>
      </c>
      <c r="C20" s="10">
        <v>2.307E-3</v>
      </c>
      <c r="D20" s="12">
        <f>ROUND(D$3*C20,0)</f>
        <v>578</v>
      </c>
      <c r="E20" s="13">
        <f>ROUND(D20/2,0)</f>
        <v>289</v>
      </c>
      <c r="F20" s="12">
        <f>D20-E20</f>
        <v>289</v>
      </c>
    </row>
    <row r="21" spans="1:6">
      <c r="A21" s="8">
        <v>2</v>
      </c>
      <c r="B21" s="11" t="s">
        <v>49</v>
      </c>
      <c r="C21" s="11"/>
      <c r="D21" s="9"/>
      <c r="E21" s="11"/>
      <c r="F21" s="11"/>
    </row>
    <row r="22" spans="1:6">
      <c r="A22" s="8"/>
      <c r="B22" s="11" t="s">
        <v>10</v>
      </c>
      <c r="C22" s="10">
        <v>9.3499999999999996E-4</v>
      </c>
      <c r="D22" s="12">
        <f>ROUND(D$3*C22,0)</f>
        <v>234</v>
      </c>
      <c r="E22" s="13">
        <f>ROUND(D22/2,0)</f>
        <v>117</v>
      </c>
      <c r="F22" s="12">
        <f>D22-E22</f>
        <v>117</v>
      </c>
    </row>
    <row r="23" spans="1:6">
      <c r="A23" s="8"/>
      <c r="B23" s="11" t="s">
        <v>11</v>
      </c>
      <c r="C23" s="10">
        <v>1.3760000000000001E-3</v>
      </c>
      <c r="D23" s="12">
        <f>ROUND(D$3*C23,0)</f>
        <v>345</v>
      </c>
      <c r="E23" s="13">
        <f>ROUND(D23/2,0)</f>
        <v>173</v>
      </c>
      <c r="F23" s="12">
        <f>D23-E23</f>
        <v>172</v>
      </c>
    </row>
    <row r="24" spans="1:6">
      <c r="A24" s="8">
        <v>2</v>
      </c>
      <c r="B24" s="11" t="s">
        <v>251</v>
      </c>
      <c r="C24" s="11"/>
      <c r="D24" s="9"/>
      <c r="E24" s="11"/>
      <c r="F24" s="11"/>
    </row>
    <row r="25" spans="1:6">
      <c r="A25" s="8"/>
      <c r="B25" s="11" t="s">
        <v>10</v>
      </c>
      <c r="C25" s="10">
        <v>1.8270000000000001E-3</v>
      </c>
      <c r="D25" s="12">
        <f>ROUND(D$3*C25,0)</f>
        <v>458</v>
      </c>
      <c r="E25" s="13">
        <f>ROUND(D25/2,0)</f>
        <v>229</v>
      </c>
      <c r="F25" s="12">
        <f>D25-E25</f>
        <v>229</v>
      </c>
    </row>
    <row r="26" spans="1:6">
      <c r="A26" s="8"/>
      <c r="B26" s="11" t="s">
        <v>11</v>
      </c>
      <c r="C26" s="10">
        <v>3.68E-4</v>
      </c>
      <c r="D26" s="12">
        <f>ROUND(D$3*C26,0)</f>
        <v>92</v>
      </c>
      <c r="E26" s="13">
        <f>ROUND(D26/2,0)</f>
        <v>46</v>
      </c>
      <c r="F26" s="12">
        <f>D26-E26</f>
        <v>46</v>
      </c>
    </row>
    <row r="27" spans="1:6">
      <c r="A27" s="8">
        <v>2</v>
      </c>
      <c r="B27" s="11" t="s">
        <v>56</v>
      </c>
      <c r="C27" s="11"/>
      <c r="D27" s="9"/>
      <c r="E27" s="11"/>
      <c r="F27" s="11"/>
    </row>
    <row r="28" spans="1:6">
      <c r="A28" s="8"/>
      <c r="B28" s="11" t="s">
        <v>10</v>
      </c>
      <c r="C28" s="10">
        <v>2.9100000000000003E-4</v>
      </c>
      <c r="D28" s="12">
        <f>ROUND(D$3*C28,0)</f>
        <v>73</v>
      </c>
      <c r="E28" s="13">
        <f>ROUND(D28/2,0)</f>
        <v>37</v>
      </c>
      <c r="F28" s="12">
        <f>D28-E28</f>
        <v>36</v>
      </c>
    </row>
    <row r="29" spans="1:6">
      <c r="A29" s="8"/>
      <c r="B29" s="11" t="s">
        <v>11</v>
      </c>
      <c r="C29" s="10">
        <v>1.16E-4</v>
      </c>
      <c r="D29" s="12">
        <f>ROUND(D$3*C29,0)</f>
        <v>29</v>
      </c>
      <c r="E29" s="13">
        <f>ROUND(D29/2,0)</f>
        <v>15</v>
      </c>
      <c r="F29" s="12">
        <f>D29-E29</f>
        <v>14</v>
      </c>
    </row>
    <row r="30" spans="1:6">
      <c r="A30" s="8">
        <v>2</v>
      </c>
      <c r="B30" s="11" t="s">
        <v>252</v>
      </c>
      <c r="C30" s="11"/>
      <c r="D30" s="9"/>
      <c r="E30" s="11"/>
      <c r="F30" s="11"/>
    </row>
    <row r="31" spans="1:6">
      <c r="A31" s="8"/>
      <c r="B31" s="11" t="s">
        <v>10</v>
      </c>
      <c r="C31" s="10">
        <v>1.0900000000000001E-4</v>
      </c>
      <c r="D31" s="12">
        <f>ROUND(D$3*C31,0)</f>
        <v>27</v>
      </c>
      <c r="E31" s="13">
        <f>ROUND(D31/2,0)</f>
        <v>14</v>
      </c>
      <c r="F31" s="12">
        <f>D31-E31</f>
        <v>13</v>
      </c>
    </row>
    <row r="32" spans="1:6">
      <c r="A32" s="8"/>
      <c r="B32" s="11" t="s">
        <v>11</v>
      </c>
      <c r="C32" s="10">
        <v>4.5100000000000001E-4</v>
      </c>
      <c r="D32" s="12">
        <f>ROUND(D$3*C32,0)</f>
        <v>113</v>
      </c>
      <c r="E32" s="13">
        <f>ROUND(D32/2,0)</f>
        <v>57</v>
      </c>
      <c r="F32" s="12">
        <f>D32-E32</f>
        <v>56</v>
      </c>
    </row>
    <row r="33" spans="1:6">
      <c r="A33" s="8">
        <v>2</v>
      </c>
      <c r="B33" s="11" t="s">
        <v>253</v>
      </c>
      <c r="C33" s="11"/>
      <c r="D33" s="9"/>
      <c r="E33" s="11"/>
      <c r="F33" s="11"/>
    </row>
    <row r="34" spans="1:6">
      <c r="A34" s="8"/>
      <c r="B34" s="11" t="s">
        <v>10</v>
      </c>
      <c r="C34" s="10">
        <v>4.7699999999999999E-4</v>
      </c>
      <c r="D34" s="12">
        <f>ROUND(D$3*C34,0)</f>
        <v>119</v>
      </c>
      <c r="E34" s="13">
        <f>ROUND(D34/2,0)</f>
        <v>60</v>
      </c>
      <c r="F34" s="12">
        <f>D34-E34</f>
        <v>59</v>
      </c>
    </row>
    <row r="35" spans="1:6">
      <c r="A35" s="8"/>
      <c r="B35" s="11" t="s">
        <v>11</v>
      </c>
      <c r="C35" s="10">
        <v>2.5799999999999998E-4</v>
      </c>
      <c r="D35" s="12">
        <f>ROUND(D$3*C35,0)</f>
        <v>65</v>
      </c>
      <c r="E35" s="13">
        <f>ROUND(D35/2,0)</f>
        <v>33</v>
      </c>
      <c r="F35" s="12">
        <f>D35-E35</f>
        <v>32</v>
      </c>
    </row>
    <row r="36" spans="1:6">
      <c r="A36" s="8">
        <v>2</v>
      </c>
      <c r="B36" s="11" t="s">
        <v>169</v>
      </c>
      <c r="C36" s="11"/>
      <c r="D36" s="9"/>
      <c r="E36" s="11"/>
      <c r="F36" s="11"/>
    </row>
    <row r="37" spans="1:6">
      <c r="A37" s="8"/>
      <c r="B37" s="11" t="s">
        <v>10</v>
      </c>
      <c r="C37" s="10">
        <v>1.0839999999999999E-3</v>
      </c>
      <c r="D37" s="12">
        <f>ROUND(D$3*C37,0)</f>
        <v>271</v>
      </c>
      <c r="E37" s="13">
        <f>ROUND(D37/2,0)</f>
        <v>136</v>
      </c>
      <c r="F37" s="12">
        <f>D37-E37</f>
        <v>135</v>
      </c>
    </row>
    <row r="38" spans="1:6">
      <c r="A38" s="8"/>
      <c r="B38" s="11" t="s">
        <v>11</v>
      </c>
      <c r="C38" s="10">
        <v>1.1169999999999999E-3</v>
      </c>
      <c r="D38" s="12">
        <f>ROUND(D$3*C38,0)</f>
        <v>280</v>
      </c>
      <c r="E38" s="13">
        <f>ROUND(D38/2,0)</f>
        <v>140</v>
      </c>
      <c r="F38" s="12">
        <f>D38-E38</f>
        <v>140</v>
      </c>
    </row>
    <row r="39" spans="1:6">
      <c r="A39" s="8">
        <v>2</v>
      </c>
      <c r="B39" s="11" t="s">
        <v>22</v>
      </c>
      <c r="C39" s="11"/>
      <c r="D39" s="9"/>
      <c r="E39" s="11"/>
      <c r="F39" s="11"/>
    </row>
    <row r="40" spans="1:6">
      <c r="A40" s="8"/>
      <c r="B40" s="11" t="s">
        <v>10</v>
      </c>
      <c r="C40" s="10">
        <v>1.8200000000000001E-4</v>
      </c>
      <c r="D40" s="12">
        <f t="shared" ref="D40:D49" si="0">ROUND(D$3*C40,0)</f>
        <v>46</v>
      </c>
      <c r="E40" s="13">
        <f t="shared" ref="E40:E49" si="1">ROUND(D40/2,0)</f>
        <v>23</v>
      </c>
      <c r="F40" s="12">
        <f t="shared" ref="F40:F49" si="2">D40-E40</f>
        <v>23</v>
      </c>
    </row>
    <row r="41" spans="1:6">
      <c r="A41" s="8"/>
      <c r="B41" s="11" t="s">
        <v>11</v>
      </c>
      <c r="C41" s="10">
        <v>1.3100000000000001E-4</v>
      </c>
      <c r="D41" s="12">
        <f t="shared" si="0"/>
        <v>33</v>
      </c>
      <c r="E41" s="13">
        <f t="shared" si="1"/>
        <v>17</v>
      </c>
      <c r="F41" s="12">
        <f t="shared" si="2"/>
        <v>16</v>
      </c>
    </row>
    <row r="42" spans="1:6">
      <c r="A42" s="8">
        <v>3</v>
      </c>
      <c r="B42" s="11" t="s">
        <v>254</v>
      </c>
      <c r="C42" s="10">
        <v>2.9363E-2</v>
      </c>
      <c r="D42" s="12">
        <f t="shared" si="0"/>
        <v>7354</v>
      </c>
      <c r="E42" s="12">
        <f t="shared" si="1"/>
        <v>3677</v>
      </c>
      <c r="F42" s="12">
        <f t="shared" si="2"/>
        <v>3677</v>
      </c>
    </row>
    <row r="43" spans="1:6">
      <c r="A43" s="8">
        <v>3</v>
      </c>
      <c r="B43" s="11" t="s">
        <v>255</v>
      </c>
      <c r="C43" s="10">
        <v>2.9E-5</v>
      </c>
      <c r="D43" s="12">
        <f t="shared" si="0"/>
        <v>7</v>
      </c>
      <c r="E43" s="12">
        <f t="shared" si="1"/>
        <v>4</v>
      </c>
      <c r="F43" s="12">
        <f t="shared" si="2"/>
        <v>3</v>
      </c>
    </row>
    <row r="44" spans="1:6">
      <c r="A44" s="8">
        <v>3</v>
      </c>
      <c r="B44" s="11" t="s">
        <v>256</v>
      </c>
      <c r="C44" s="10">
        <v>0</v>
      </c>
      <c r="D44" s="12">
        <f t="shared" si="0"/>
        <v>0</v>
      </c>
      <c r="E44" s="12">
        <f t="shared" si="1"/>
        <v>0</v>
      </c>
      <c r="F44" s="12">
        <f t="shared" si="2"/>
        <v>0</v>
      </c>
    </row>
    <row r="45" spans="1:6">
      <c r="A45" s="8">
        <v>3</v>
      </c>
      <c r="B45" s="11" t="s">
        <v>257</v>
      </c>
      <c r="C45" s="10">
        <v>0</v>
      </c>
      <c r="D45" s="12">
        <f t="shared" si="0"/>
        <v>0</v>
      </c>
      <c r="E45" s="12">
        <f t="shared" si="1"/>
        <v>0</v>
      </c>
      <c r="F45" s="12">
        <f t="shared" si="2"/>
        <v>0</v>
      </c>
    </row>
    <row r="46" spans="1:6">
      <c r="A46" s="8">
        <v>3</v>
      </c>
      <c r="B46" s="11" t="s">
        <v>258</v>
      </c>
      <c r="C46" s="10">
        <v>1.1280000000000001E-3</v>
      </c>
      <c r="D46" s="12">
        <f t="shared" si="0"/>
        <v>282</v>
      </c>
      <c r="E46" s="12">
        <f t="shared" si="1"/>
        <v>141</v>
      </c>
      <c r="F46" s="12">
        <f t="shared" si="2"/>
        <v>141</v>
      </c>
    </row>
    <row r="47" spans="1:6">
      <c r="A47" s="8">
        <v>3</v>
      </c>
      <c r="B47" s="11" t="s">
        <v>259</v>
      </c>
      <c r="C47" s="10">
        <v>8.3299999999999997E-4</v>
      </c>
      <c r="D47" s="12">
        <f t="shared" si="0"/>
        <v>209</v>
      </c>
      <c r="E47" s="12">
        <f t="shared" si="1"/>
        <v>105</v>
      </c>
      <c r="F47" s="12">
        <f t="shared" si="2"/>
        <v>104</v>
      </c>
    </row>
    <row r="48" spans="1:6">
      <c r="A48" s="8">
        <v>3</v>
      </c>
      <c r="B48" s="11" t="s">
        <v>260</v>
      </c>
      <c r="C48" s="10">
        <v>0</v>
      </c>
      <c r="D48" s="12">
        <f t="shared" si="0"/>
        <v>0</v>
      </c>
      <c r="E48" s="12">
        <f t="shared" si="1"/>
        <v>0</v>
      </c>
      <c r="F48" s="12">
        <f t="shared" si="2"/>
        <v>0</v>
      </c>
    </row>
    <row r="49" spans="1:8">
      <c r="A49" s="8">
        <v>4</v>
      </c>
      <c r="B49" s="11" t="s">
        <v>261</v>
      </c>
      <c r="C49" s="10">
        <v>0.70628500000000005</v>
      </c>
      <c r="D49" s="9">
        <f t="shared" si="0"/>
        <v>176882</v>
      </c>
      <c r="E49" s="11">
        <f t="shared" si="1"/>
        <v>88441</v>
      </c>
      <c r="F49" s="9">
        <f t="shared" si="2"/>
        <v>88441</v>
      </c>
    </row>
    <row r="50" spans="1:8">
      <c r="A50" s="8"/>
      <c r="B50" s="11" t="s">
        <v>28</v>
      </c>
      <c r="C50" s="11"/>
      <c r="D50" s="14">
        <v>0.37822099999999997</v>
      </c>
      <c r="E50" s="11"/>
      <c r="F50" s="11"/>
    </row>
    <row r="51" spans="1:8">
      <c r="A51" s="8"/>
      <c r="B51" s="11" t="s">
        <v>29</v>
      </c>
      <c r="C51" s="11"/>
      <c r="D51" s="225">
        <f>ROUND(D49*D50,0)</f>
        <v>66900</v>
      </c>
      <c r="E51" s="226">
        <f>ROUND(D51/2,0)</f>
        <v>33450</v>
      </c>
      <c r="F51" s="225">
        <f>D51-E51</f>
        <v>33450</v>
      </c>
    </row>
    <row r="52" spans="1:8">
      <c r="A52" s="8"/>
      <c r="B52" s="11" t="s">
        <v>30</v>
      </c>
      <c r="C52" s="11"/>
      <c r="D52" s="12">
        <f>+D49-D51</f>
        <v>109982</v>
      </c>
      <c r="E52" s="12">
        <f>ROUND(D52/2,0)</f>
        <v>54991</v>
      </c>
      <c r="F52" s="12">
        <f>D52-E52</f>
        <v>54991</v>
      </c>
    </row>
    <row r="53" spans="1:8">
      <c r="A53" s="8">
        <v>4</v>
      </c>
      <c r="B53" s="11" t="s">
        <v>262</v>
      </c>
      <c r="C53" s="10">
        <v>6.0432E-2</v>
      </c>
      <c r="D53" s="9">
        <f>ROUND(D$3*C53,0)</f>
        <v>15135</v>
      </c>
      <c r="E53" s="11">
        <f>ROUND(D53/2,0)</f>
        <v>7568</v>
      </c>
      <c r="F53" s="9">
        <f>D53-E53</f>
        <v>7567</v>
      </c>
    </row>
    <row r="54" spans="1:8">
      <c r="A54" s="8"/>
      <c r="B54" s="11" t="s">
        <v>28</v>
      </c>
      <c r="C54" s="11"/>
      <c r="D54" s="14">
        <v>0.38711699999999999</v>
      </c>
      <c r="E54" s="11"/>
      <c r="F54" s="11"/>
    </row>
    <row r="55" spans="1:8">
      <c r="A55" s="8"/>
      <c r="B55" s="11" t="s">
        <v>29</v>
      </c>
      <c r="C55" s="11"/>
      <c r="D55" s="225">
        <f>ROUND(D53*D54,0)</f>
        <v>5859</v>
      </c>
      <c r="E55" s="226">
        <f>ROUND(D55/2,0)</f>
        <v>2930</v>
      </c>
      <c r="F55" s="225">
        <f>D55-E55</f>
        <v>2929</v>
      </c>
    </row>
    <row r="56" spans="1:8">
      <c r="A56" s="8"/>
      <c r="B56" s="11" t="s">
        <v>30</v>
      </c>
      <c r="C56" s="11"/>
      <c r="D56" s="12">
        <f>+D53-D55</f>
        <v>9276</v>
      </c>
      <c r="E56" s="12">
        <f>ROUND(D56/2,0)</f>
        <v>4638</v>
      </c>
      <c r="F56" s="12">
        <f>D56-E56</f>
        <v>4638</v>
      </c>
    </row>
    <row r="57" spans="1:8">
      <c r="A57" s="8">
        <v>5</v>
      </c>
      <c r="B57" s="11" t="s">
        <v>263</v>
      </c>
      <c r="C57" s="10">
        <v>7.9150000000000002E-3</v>
      </c>
      <c r="D57" s="12">
        <f>+D3-SUM(D4:D5)-SUM(D10:D49)-D53</f>
        <v>1980</v>
      </c>
      <c r="E57" s="12">
        <f>ROUND(D57/2,0)</f>
        <v>990</v>
      </c>
      <c r="F57" s="12">
        <f>D57-E57</f>
        <v>990</v>
      </c>
    </row>
    <row r="58" spans="1:8">
      <c r="A58" s="8">
        <v>6</v>
      </c>
      <c r="B58" s="11" t="s">
        <v>264</v>
      </c>
      <c r="C58" s="10">
        <v>0</v>
      </c>
      <c r="D58" s="12">
        <f>ROUND(D$3*C58,0)</f>
        <v>0</v>
      </c>
      <c r="E58" s="12">
        <f>ROUND(D58/2,0)</f>
        <v>0</v>
      </c>
      <c r="F58" s="12">
        <f>D58-E58</f>
        <v>0</v>
      </c>
    </row>
    <row r="59" spans="1:8">
      <c r="A59" s="8"/>
      <c r="B59" s="28" t="s">
        <v>37</v>
      </c>
      <c r="C59" s="10">
        <v>1</v>
      </c>
      <c r="D59" s="12">
        <f>+D4+SUM(D7:D48)+SUM(D51:D52)+SUM(D55:D58)</f>
        <v>250440</v>
      </c>
      <c r="E59" s="12">
        <f>+E4+SUM(E7:E48)+SUM(E51:E52)+SUM(E55:E58)</f>
        <v>125229</v>
      </c>
      <c r="F59" s="12">
        <f>+F4+SUM(F7:F48)+SUM(F51:F52)+SUM(F55:F58)</f>
        <v>125211</v>
      </c>
    </row>
    <row r="60" spans="1:8">
      <c r="B60" s="18" t="s">
        <v>38</v>
      </c>
      <c r="D60" s="19">
        <f>+D4</f>
        <v>332</v>
      </c>
      <c r="E60" s="19">
        <f>+E4</f>
        <v>166</v>
      </c>
      <c r="F60" s="19">
        <f>+F4</f>
        <v>166</v>
      </c>
    </row>
    <row r="61" spans="1:8">
      <c r="B61" s="2" t="s">
        <v>39</v>
      </c>
      <c r="D61" s="19">
        <f>+D7</f>
        <v>4474</v>
      </c>
      <c r="E61" s="19">
        <f>+E7</f>
        <v>2237</v>
      </c>
      <c r="F61" s="19">
        <f>+F7</f>
        <v>2237</v>
      </c>
    </row>
    <row r="62" spans="1:8">
      <c r="B62" s="2" t="s">
        <v>40</v>
      </c>
      <c r="D62" s="19">
        <f>+D51+D55</f>
        <v>72759</v>
      </c>
      <c r="E62" s="19">
        <f>+E51+E55</f>
        <v>36380</v>
      </c>
      <c r="F62" s="19">
        <f>+F51+F55</f>
        <v>36379</v>
      </c>
      <c r="H62" s="3">
        <v>1</v>
      </c>
    </row>
    <row r="63" spans="1:8">
      <c r="B63" s="18" t="s">
        <v>41</v>
      </c>
      <c r="D63" s="19">
        <f>+D59-D60-D61-D62</f>
        <v>172875</v>
      </c>
      <c r="E63" s="19">
        <f>+E59-E60-E61-E62</f>
        <v>86446</v>
      </c>
      <c r="F63" s="19">
        <f>+F59-F60-F61-F62</f>
        <v>86429</v>
      </c>
      <c r="H63" s="3">
        <v>2</v>
      </c>
    </row>
    <row r="65" spans="1:4" hidden="1">
      <c r="B65" s="3" t="s">
        <v>42</v>
      </c>
      <c r="C65" s="4">
        <v>0</v>
      </c>
      <c r="D65" s="3">
        <f>+D57-ROUND(D3*C57,0)</f>
        <v>-2</v>
      </c>
    </row>
    <row r="71" spans="1:4">
      <c r="A71" s="1" t="s">
        <v>590</v>
      </c>
    </row>
  </sheetData>
  <pageMargins left="0.7" right="0.7" top="0.75" bottom="0.75" header="0.3" footer="0.3"/>
  <pageSetup scale="5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pageSetUpPr fitToPage="1"/>
  </sheetPr>
  <dimension ref="A1:WVB85"/>
  <sheetViews>
    <sheetView topLeftCell="A50" zoomScaleNormal="100" zoomScaleSheetLayoutView="90" workbookViewId="0">
      <selection activeCell="D71" activeCellId="4" sqref="D7:F7 D59:F59 D63:F63 D67:F67 D71:F71"/>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0.5703125" style="3" hidden="1"/>
    <col min="189" max="189" width="53.28515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0.5703125" style="3" hidden="1"/>
    <col min="445" max="445" width="53.28515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0.5703125" style="3" hidden="1"/>
    <col min="701" max="701" width="53.28515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0.5703125" style="3" hidden="1"/>
    <col min="957" max="957" width="53.28515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0.5703125" style="3" hidden="1"/>
    <col min="1213" max="1213" width="53.28515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0.5703125" style="3" hidden="1"/>
    <col min="1469" max="1469" width="53.28515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0.5703125" style="3" hidden="1"/>
    <col min="1725" max="1725" width="53.28515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0.5703125" style="3" hidden="1"/>
    <col min="1981" max="1981" width="53.28515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0.5703125" style="3" hidden="1"/>
    <col min="2237" max="2237" width="53.28515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0.5703125" style="3" hidden="1"/>
    <col min="2493" max="2493" width="53.28515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0.5703125" style="3" hidden="1"/>
    <col min="2749" max="2749" width="53.28515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0.5703125" style="3" hidden="1"/>
    <col min="3005" max="3005" width="53.28515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0.5703125" style="3" hidden="1"/>
    <col min="3261" max="3261" width="53.28515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0.5703125" style="3" hidden="1"/>
    <col min="3517" max="3517" width="53.28515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0.5703125" style="3" hidden="1"/>
    <col min="3773" max="3773" width="53.28515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0.5703125" style="3" hidden="1"/>
    <col min="4029" max="4029" width="53.28515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0.5703125" style="3" hidden="1"/>
    <col min="4285" max="4285" width="53.28515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0.5703125" style="3" hidden="1"/>
    <col min="4541" max="4541" width="53.28515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0.5703125" style="3" hidden="1"/>
    <col min="4797" max="4797" width="53.28515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0.5703125" style="3" hidden="1"/>
    <col min="5053" max="5053" width="53.28515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0.5703125" style="3" hidden="1"/>
    <col min="5309" max="5309" width="53.28515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0.5703125" style="3" hidden="1"/>
    <col min="5565" max="5565" width="53.28515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0.5703125" style="3" hidden="1"/>
    <col min="5821" max="5821" width="53.28515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0.5703125" style="3" hidden="1"/>
    <col min="6077" max="6077" width="53.28515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0.5703125" style="3" hidden="1"/>
    <col min="6333" max="6333" width="53.28515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0.5703125" style="3" hidden="1"/>
    <col min="6589" max="6589" width="53.28515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0.5703125" style="3" hidden="1"/>
    <col min="6845" max="6845" width="53.28515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0.5703125" style="3" hidden="1"/>
    <col min="7101" max="7101" width="53.28515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0.5703125" style="3" hidden="1"/>
    <col min="7357" max="7357" width="53.28515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0.5703125" style="3" hidden="1"/>
    <col min="7613" max="7613" width="53.28515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0.5703125" style="3" hidden="1"/>
    <col min="7869" max="7869" width="53.28515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0.5703125" style="3" hidden="1"/>
    <col min="8125" max="8125" width="53.28515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0.5703125" style="3" hidden="1"/>
    <col min="8381" max="8381" width="53.28515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0.5703125" style="3" hidden="1"/>
    <col min="8637" max="8637" width="53.28515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0.5703125" style="3" hidden="1"/>
    <col min="8893" max="8893" width="53.28515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0.5703125" style="3" hidden="1"/>
    <col min="9149" max="9149" width="53.28515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0.5703125" style="3" hidden="1"/>
    <col min="9405" max="9405" width="53.28515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0.5703125" style="3" hidden="1"/>
    <col min="9661" max="9661" width="53.28515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0.5703125" style="3" hidden="1"/>
    <col min="9917" max="9917" width="53.28515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0.5703125" style="3" hidden="1"/>
    <col min="10173" max="10173" width="53.28515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0.5703125" style="3" hidden="1"/>
    <col min="10429" max="10429" width="53.28515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0.5703125" style="3" hidden="1"/>
    <col min="10685" max="10685" width="53.28515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0.5703125" style="3" hidden="1"/>
    <col min="10941" max="10941" width="53.28515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0.5703125" style="3" hidden="1"/>
    <col min="11197" max="11197" width="53.28515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0.5703125" style="3" hidden="1"/>
    <col min="11453" max="11453" width="53.28515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0.5703125" style="3" hidden="1"/>
    <col min="11709" max="11709" width="53.28515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0.5703125" style="3" hidden="1"/>
    <col min="11965" max="11965" width="53.28515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0.5703125" style="3" hidden="1"/>
    <col min="12221" max="12221" width="53.28515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0.5703125" style="3" hidden="1"/>
    <col min="12477" max="12477" width="53.28515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0.5703125" style="3" hidden="1"/>
    <col min="12733" max="12733" width="53.28515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0.5703125" style="3" hidden="1"/>
    <col min="12989" max="12989" width="53.28515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0.5703125" style="3" hidden="1"/>
    <col min="13245" max="13245" width="53.28515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0.5703125" style="3" hidden="1"/>
    <col min="13501" max="13501" width="53.28515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0.5703125" style="3" hidden="1"/>
    <col min="13757" max="13757" width="53.28515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0.5703125" style="3" hidden="1"/>
    <col min="14013" max="14013" width="53.28515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0.5703125" style="3" hidden="1"/>
    <col min="14269" max="14269" width="53.28515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0.5703125" style="3" hidden="1"/>
    <col min="14525" max="14525" width="53.28515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0.5703125" style="3" hidden="1"/>
    <col min="14781" max="14781" width="53.28515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0.5703125" style="3" hidden="1"/>
    <col min="15037" max="15037" width="53.28515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0.5703125" style="3" hidden="1"/>
    <col min="15293" max="15293" width="53.28515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0.5703125" style="3" hidden="1"/>
    <col min="15549" max="15549" width="53.28515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0.5703125" style="3" hidden="1"/>
    <col min="15805" max="15805" width="53.28515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0.5703125" style="3" hidden="1"/>
    <col min="16061" max="16061" width="53.28515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265</v>
      </c>
    </row>
    <row r="2" spans="1:6" ht="60">
      <c r="C2" s="6" t="s">
        <v>1</v>
      </c>
      <c r="D2" s="60" t="str">
        <f>'Allocation Worksheet'!H3</f>
        <v>2026 TOTAL BASED ON CY2025 CVET REVENUE</v>
      </c>
      <c r="E2" s="60" t="str">
        <f>'Allocation Worksheet'!H4</f>
        <v>MAY 2026 DISTRIBUTION</v>
      </c>
      <c r="F2" s="60" t="str">
        <f>'Allocation Worksheet'!H5</f>
        <v>NOVEMBER 2026 DISTRIBUTION</v>
      </c>
    </row>
    <row r="3" spans="1:6">
      <c r="A3" s="8" t="s">
        <v>2</v>
      </c>
      <c r="B3" s="8" t="s">
        <v>3</v>
      </c>
      <c r="C3" s="10"/>
      <c r="D3" s="9">
        <f>'Allocation Worksheet'!$D$15</f>
        <v>485063</v>
      </c>
      <c r="E3" s="11"/>
      <c r="F3" s="11"/>
    </row>
    <row r="4" spans="1:6">
      <c r="A4" s="8">
        <v>0</v>
      </c>
      <c r="B4" s="11" t="s">
        <v>4</v>
      </c>
      <c r="C4" s="10">
        <v>1.0499999999999999E-3</v>
      </c>
      <c r="D4" s="12">
        <f>ROUND(D$3*C4,0)</f>
        <v>509</v>
      </c>
      <c r="E4" s="13">
        <f>ROUND(D4/2,0)</f>
        <v>255</v>
      </c>
      <c r="F4" s="12">
        <f>D4-E4</f>
        <v>254</v>
      </c>
    </row>
    <row r="5" spans="1:6">
      <c r="A5" s="8">
        <v>1</v>
      </c>
      <c r="B5" s="11" t="s">
        <v>266</v>
      </c>
      <c r="C5" s="10">
        <v>0.34461999999999998</v>
      </c>
      <c r="D5" s="9">
        <f>ROUND(D$3*C5,0)</f>
        <v>167162</v>
      </c>
      <c r="E5" s="11">
        <f>ROUND(D5/2,0)</f>
        <v>83581</v>
      </c>
      <c r="F5" s="9">
        <f>D5-E5</f>
        <v>83581</v>
      </c>
    </row>
    <row r="6" spans="1:6">
      <c r="A6" s="8"/>
      <c r="B6" s="11" t="s">
        <v>6</v>
      </c>
      <c r="C6" s="11"/>
      <c r="D6" s="14">
        <v>9.4759999999999997E-2</v>
      </c>
      <c r="E6" s="11"/>
      <c r="F6" s="11"/>
    </row>
    <row r="7" spans="1:6">
      <c r="A7" s="8"/>
      <c r="B7" s="11" t="s">
        <v>7</v>
      </c>
      <c r="C7" s="11"/>
      <c r="D7" s="225">
        <f>ROUND(D5*D6,0)</f>
        <v>15840</v>
      </c>
      <c r="E7" s="226">
        <f>ROUND(D7/2,0)</f>
        <v>7920</v>
      </c>
      <c r="F7" s="225">
        <f>D7-E7</f>
        <v>7920</v>
      </c>
    </row>
    <row r="8" spans="1:6">
      <c r="A8" s="8"/>
      <c r="B8" s="11" t="s">
        <v>8</v>
      </c>
      <c r="C8" s="11"/>
      <c r="D8" s="12">
        <f>+D5-D7</f>
        <v>151322</v>
      </c>
      <c r="E8" s="13">
        <f>ROUND(D8/2,0)</f>
        <v>75661</v>
      </c>
      <c r="F8" s="12">
        <f>D8-E8</f>
        <v>75661</v>
      </c>
    </row>
    <row r="9" spans="1:6">
      <c r="A9" s="8">
        <v>2</v>
      </c>
      <c r="B9" s="11" t="s">
        <v>107</v>
      </c>
      <c r="C9" s="11"/>
      <c r="D9" s="9"/>
      <c r="E9" s="11"/>
      <c r="F9" s="11"/>
    </row>
    <row r="10" spans="1:6">
      <c r="A10" s="8"/>
      <c r="B10" s="11" t="s">
        <v>10</v>
      </c>
      <c r="C10" s="10">
        <v>7.0870000000000004E-3</v>
      </c>
      <c r="D10" s="12">
        <f>ROUND(D$3*C10,0)</f>
        <v>3438</v>
      </c>
      <c r="E10" s="13">
        <f>ROUND(D10/2,0)</f>
        <v>1719</v>
      </c>
      <c r="F10" s="12">
        <f>D10-E10</f>
        <v>1719</v>
      </c>
    </row>
    <row r="11" spans="1:6">
      <c r="A11" s="8"/>
      <c r="B11" s="11" t="s">
        <v>11</v>
      </c>
      <c r="C11" s="10">
        <v>1.3730000000000001E-3</v>
      </c>
      <c r="D11" s="12">
        <f>ROUND(D$3*C11,0)</f>
        <v>666</v>
      </c>
      <c r="E11" s="13">
        <f>ROUND(D11/2,0)</f>
        <v>333</v>
      </c>
      <c r="F11" s="12">
        <f>D11-E11</f>
        <v>333</v>
      </c>
    </row>
    <row r="12" spans="1:6">
      <c r="A12" s="8">
        <v>2</v>
      </c>
      <c r="B12" s="11" t="s">
        <v>267</v>
      </c>
      <c r="C12" s="11"/>
      <c r="D12" s="9"/>
      <c r="E12" s="11"/>
      <c r="F12" s="11"/>
    </row>
    <row r="13" spans="1:6">
      <c r="A13" s="8"/>
      <c r="B13" s="11" t="s">
        <v>10</v>
      </c>
      <c r="C13" s="10">
        <v>8.9400000000000005E-4</v>
      </c>
      <c r="D13" s="12">
        <f>ROUND(D$3*C13,0)</f>
        <v>434</v>
      </c>
      <c r="E13" s="13">
        <f>ROUND(D13/2,0)</f>
        <v>217</v>
      </c>
      <c r="F13" s="12">
        <f>D13-E13</f>
        <v>217</v>
      </c>
    </row>
    <row r="14" spans="1:6">
      <c r="A14" s="8"/>
      <c r="B14" s="11" t="s">
        <v>11</v>
      </c>
      <c r="C14" s="10">
        <v>5.13E-4</v>
      </c>
      <c r="D14" s="12">
        <f>ROUND(D$3*C14,0)</f>
        <v>249</v>
      </c>
      <c r="E14" s="13">
        <f>ROUND(D14/2,0)</f>
        <v>125</v>
      </c>
      <c r="F14" s="12">
        <f>D14-E14</f>
        <v>124</v>
      </c>
    </row>
    <row r="15" spans="1:6">
      <c r="A15" s="8">
        <v>2</v>
      </c>
      <c r="B15" s="11" t="s">
        <v>49</v>
      </c>
      <c r="C15" s="11"/>
      <c r="D15" s="9"/>
      <c r="E15" s="11"/>
      <c r="F15" s="11"/>
    </row>
    <row r="16" spans="1:6">
      <c r="A16" s="8"/>
      <c r="B16" s="11" t="s">
        <v>10</v>
      </c>
      <c r="C16" s="10">
        <v>4.6999999999999999E-4</v>
      </c>
      <c r="D16" s="12">
        <f>ROUND(D$3*C16,0)</f>
        <v>228</v>
      </c>
      <c r="E16" s="13">
        <f>ROUND(D16/2,0)</f>
        <v>114</v>
      </c>
      <c r="F16" s="12">
        <f>D16-E16</f>
        <v>114</v>
      </c>
    </row>
    <row r="17" spans="1:6">
      <c r="A17" s="8"/>
      <c r="B17" s="11" t="s">
        <v>11</v>
      </c>
      <c r="C17" s="10">
        <v>3.8499999999999998E-4</v>
      </c>
      <c r="D17" s="12">
        <f>ROUND(D$3*C17,0)</f>
        <v>187</v>
      </c>
      <c r="E17" s="13">
        <f>ROUND(D17/2,0)</f>
        <v>94</v>
      </c>
      <c r="F17" s="12">
        <f>D17-E17</f>
        <v>93</v>
      </c>
    </row>
    <row r="18" spans="1:6">
      <c r="A18" s="8">
        <v>2</v>
      </c>
      <c r="B18" s="11" t="s">
        <v>268</v>
      </c>
      <c r="C18" s="11"/>
      <c r="D18" s="9"/>
      <c r="E18" s="11"/>
      <c r="F18" s="11"/>
    </row>
    <row r="19" spans="1:6" ht="16.899999999999999" customHeight="1">
      <c r="A19" s="8"/>
      <c r="B19" s="11" t="s">
        <v>10</v>
      </c>
      <c r="C19" s="10">
        <v>1.358E-3</v>
      </c>
      <c r="D19" s="12">
        <f>ROUND(D$3*C19,0)</f>
        <v>659</v>
      </c>
      <c r="E19" s="13">
        <f>ROUND(D19/2,0)</f>
        <v>330</v>
      </c>
      <c r="F19" s="12">
        <f>D19-E19</f>
        <v>329</v>
      </c>
    </row>
    <row r="20" spans="1:6">
      <c r="A20" s="8"/>
      <c r="B20" s="11" t="s">
        <v>11</v>
      </c>
      <c r="C20" s="10">
        <v>6.1200000000000002E-4</v>
      </c>
      <c r="D20" s="12">
        <f>ROUND(D$3*C20,0)</f>
        <v>297</v>
      </c>
      <c r="E20" s="13">
        <f>ROUND(D20/2,0)</f>
        <v>149</v>
      </c>
      <c r="F20" s="12">
        <f>D20-E20</f>
        <v>148</v>
      </c>
    </row>
    <row r="21" spans="1:6">
      <c r="A21" s="8">
        <v>2</v>
      </c>
      <c r="B21" s="11" t="s">
        <v>269</v>
      </c>
      <c r="C21" s="11"/>
      <c r="D21" s="9"/>
      <c r="E21" s="11"/>
      <c r="F21" s="11"/>
    </row>
    <row r="22" spans="1:6">
      <c r="A22" s="8"/>
      <c r="B22" s="11" t="s">
        <v>10</v>
      </c>
      <c r="C22" s="10">
        <v>1.1969999999999999E-3</v>
      </c>
      <c r="D22" s="12">
        <f>ROUND(D$3*C22,0)</f>
        <v>581</v>
      </c>
      <c r="E22" s="13">
        <f>ROUND(D22/2,0)</f>
        <v>291</v>
      </c>
      <c r="F22" s="12">
        <f>D22-E22</f>
        <v>290</v>
      </c>
    </row>
    <row r="23" spans="1:6">
      <c r="A23" s="8"/>
      <c r="B23" s="11" t="s">
        <v>11</v>
      </c>
      <c r="C23" s="10">
        <v>3.8299999999999999E-4</v>
      </c>
      <c r="D23" s="12">
        <f>ROUND(D$3*C23,0)</f>
        <v>186</v>
      </c>
      <c r="E23" s="13">
        <f>ROUND(D23/2,0)</f>
        <v>93</v>
      </c>
      <c r="F23" s="12">
        <f>D23-E23</f>
        <v>93</v>
      </c>
    </row>
    <row r="24" spans="1:6">
      <c r="A24" s="8">
        <v>2</v>
      </c>
      <c r="B24" s="11" t="s">
        <v>52</v>
      </c>
      <c r="C24" s="11"/>
      <c r="D24" s="9"/>
      <c r="E24" s="11"/>
      <c r="F24" s="11"/>
    </row>
    <row r="25" spans="1:6">
      <c r="A25" s="8"/>
      <c r="B25" s="11" t="s">
        <v>10</v>
      </c>
      <c r="C25" s="10">
        <v>5.7700000000000004E-4</v>
      </c>
      <c r="D25" s="12">
        <f>ROUND(D$3*C25,0)</f>
        <v>280</v>
      </c>
      <c r="E25" s="13">
        <f>ROUND(D25/2,0)</f>
        <v>140</v>
      </c>
      <c r="F25" s="12">
        <f>D25-E25</f>
        <v>140</v>
      </c>
    </row>
    <row r="26" spans="1:6">
      <c r="A26" s="8"/>
      <c r="B26" s="11" t="s">
        <v>11</v>
      </c>
      <c r="C26" s="10">
        <v>3.6400000000000001E-4</v>
      </c>
      <c r="D26" s="12">
        <f>ROUND(D$3*C26,0)</f>
        <v>177</v>
      </c>
      <c r="E26" s="13">
        <f>ROUND(D26/2,0)</f>
        <v>89</v>
      </c>
      <c r="F26" s="12">
        <f>D26-E26</f>
        <v>88</v>
      </c>
    </row>
    <row r="27" spans="1:6">
      <c r="A27" s="8">
        <v>2</v>
      </c>
      <c r="B27" s="11" t="s">
        <v>270</v>
      </c>
      <c r="C27" s="11"/>
      <c r="D27" s="9"/>
      <c r="E27" s="11"/>
      <c r="F27" s="11"/>
    </row>
    <row r="28" spans="1:6">
      <c r="A28" s="8"/>
      <c r="B28" s="11" t="s">
        <v>10</v>
      </c>
      <c r="C28" s="10">
        <v>7.3800000000000005E-4</v>
      </c>
      <c r="D28" s="12">
        <f>ROUND(D$3*C28,0)</f>
        <v>358</v>
      </c>
      <c r="E28" s="13">
        <f>ROUND(D28/2,0)</f>
        <v>179</v>
      </c>
      <c r="F28" s="12">
        <f>D28-E28</f>
        <v>179</v>
      </c>
    </row>
    <row r="29" spans="1:6">
      <c r="A29" s="8"/>
      <c r="B29" s="11" t="s">
        <v>11</v>
      </c>
      <c r="C29" s="10">
        <v>1.1440000000000001E-3</v>
      </c>
      <c r="D29" s="12">
        <f>ROUND(D$3*C29,0)</f>
        <v>555</v>
      </c>
      <c r="E29" s="13">
        <f>ROUND(D29/2,0)</f>
        <v>278</v>
      </c>
      <c r="F29" s="12">
        <f>D29-E29</f>
        <v>277</v>
      </c>
    </row>
    <row r="30" spans="1:6">
      <c r="A30" s="8">
        <v>2</v>
      </c>
      <c r="B30" s="11" t="s">
        <v>224</v>
      </c>
      <c r="C30" s="11"/>
      <c r="D30" s="9"/>
      <c r="E30" s="11"/>
      <c r="F30" s="11"/>
    </row>
    <row r="31" spans="1:6">
      <c r="A31" s="8"/>
      <c r="B31" s="11" t="s">
        <v>10</v>
      </c>
      <c r="C31" s="10">
        <v>4.8299999999999998E-4</v>
      </c>
      <c r="D31" s="12">
        <f>ROUND(D$3*C31,0)</f>
        <v>234</v>
      </c>
      <c r="E31" s="13">
        <f>ROUND(D31/2,0)</f>
        <v>117</v>
      </c>
      <c r="F31" s="12">
        <f>D31-E31</f>
        <v>117</v>
      </c>
    </row>
    <row r="32" spans="1:6">
      <c r="A32" s="8"/>
      <c r="B32" s="11" t="s">
        <v>11</v>
      </c>
      <c r="C32" s="10">
        <v>2.5900000000000001E-4</v>
      </c>
      <c r="D32" s="12">
        <f>ROUND(D$3*C32,0)</f>
        <v>126</v>
      </c>
      <c r="E32" s="13">
        <f>ROUND(D32/2,0)</f>
        <v>63</v>
      </c>
      <c r="F32" s="12">
        <f>D32-E32</f>
        <v>63</v>
      </c>
    </row>
    <row r="33" spans="1:6">
      <c r="A33" s="8">
        <v>2</v>
      </c>
      <c r="B33" s="11" t="s">
        <v>56</v>
      </c>
      <c r="C33" s="11"/>
      <c r="D33" s="9"/>
      <c r="E33" s="11"/>
      <c r="F33" s="11"/>
    </row>
    <row r="34" spans="1:6">
      <c r="A34" s="8"/>
      <c r="B34" s="11" t="s">
        <v>10</v>
      </c>
      <c r="C34" s="10">
        <v>1.9989999999999999E-3</v>
      </c>
      <c r="D34" s="12">
        <f>ROUND(D$3*C34,0)</f>
        <v>970</v>
      </c>
      <c r="E34" s="13">
        <f>ROUND(D34/2,0)</f>
        <v>485</v>
      </c>
      <c r="F34" s="12">
        <f>D34-E34</f>
        <v>485</v>
      </c>
    </row>
    <row r="35" spans="1:6">
      <c r="A35" s="8"/>
      <c r="B35" s="11" t="s">
        <v>11</v>
      </c>
      <c r="C35" s="10">
        <v>1.17E-3</v>
      </c>
      <c r="D35" s="12">
        <f>ROUND(D$3*C35,0)</f>
        <v>568</v>
      </c>
      <c r="E35" s="13">
        <f>ROUND(D35/2,0)</f>
        <v>284</v>
      </c>
      <c r="F35" s="12">
        <f>D35-E35</f>
        <v>284</v>
      </c>
    </row>
    <row r="36" spans="1:6">
      <c r="A36" s="8">
        <v>2</v>
      </c>
      <c r="B36" s="11" t="s">
        <v>271</v>
      </c>
      <c r="C36" s="11"/>
      <c r="D36" s="9"/>
      <c r="E36" s="11"/>
      <c r="F36" s="11"/>
    </row>
    <row r="37" spans="1:6">
      <c r="A37" s="8"/>
      <c r="B37" s="11" t="s">
        <v>10</v>
      </c>
      <c r="C37" s="10">
        <v>1.268E-3</v>
      </c>
      <c r="D37" s="12">
        <f>ROUND(D$3*C37,0)</f>
        <v>615</v>
      </c>
      <c r="E37" s="13">
        <f>ROUND(D37/2,0)</f>
        <v>308</v>
      </c>
      <c r="F37" s="12">
        <f>D37-E37</f>
        <v>307</v>
      </c>
    </row>
    <row r="38" spans="1:6">
      <c r="A38" s="8"/>
      <c r="B38" s="11" t="s">
        <v>11</v>
      </c>
      <c r="C38" s="10">
        <v>6.0899999999999995E-4</v>
      </c>
      <c r="D38" s="12">
        <f>ROUND(D$3*C38,0)</f>
        <v>295</v>
      </c>
      <c r="E38" s="13">
        <f>ROUND(D38/2,0)</f>
        <v>148</v>
      </c>
      <c r="F38" s="12">
        <f>D38-E38</f>
        <v>147</v>
      </c>
    </row>
    <row r="39" spans="1:6">
      <c r="A39" s="8">
        <v>2</v>
      </c>
      <c r="B39" s="11" t="s">
        <v>149</v>
      </c>
      <c r="C39" s="11"/>
      <c r="D39" s="9"/>
      <c r="E39" s="11"/>
      <c r="F39" s="11"/>
    </row>
    <row r="40" spans="1:6">
      <c r="A40" s="8"/>
      <c r="B40" s="11" t="s">
        <v>10</v>
      </c>
      <c r="C40" s="10">
        <v>3.1399999999999999E-4</v>
      </c>
      <c r="D40" s="12">
        <f>ROUND(D$3*C40,0)</f>
        <v>152</v>
      </c>
      <c r="E40" s="13">
        <f>ROUND(D40/2,0)</f>
        <v>76</v>
      </c>
      <c r="F40" s="12">
        <f>D40-E40</f>
        <v>76</v>
      </c>
    </row>
    <row r="41" spans="1:6">
      <c r="A41" s="8"/>
      <c r="B41" s="11" t="s">
        <v>11</v>
      </c>
      <c r="C41" s="10">
        <v>1.47E-4</v>
      </c>
      <c r="D41" s="12">
        <f>ROUND(D$3*C41,0)</f>
        <v>71</v>
      </c>
      <c r="E41" s="13">
        <f>ROUND(D41/2,0)</f>
        <v>36</v>
      </c>
      <c r="F41" s="12">
        <f>D41-E41</f>
        <v>35</v>
      </c>
    </row>
    <row r="42" spans="1:6">
      <c r="A42" s="8">
        <v>2</v>
      </c>
      <c r="B42" s="11" t="s">
        <v>20</v>
      </c>
      <c r="C42" s="11"/>
      <c r="D42" s="9"/>
      <c r="E42" s="11"/>
      <c r="F42" s="11"/>
    </row>
    <row r="43" spans="1:6">
      <c r="A43" s="8"/>
      <c r="B43" s="11" t="s">
        <v>10</v>
      </c>
      <c r="C43" s="10">
        <v>2.61E-4</v>
      </c>
      <c r="D43" s="12">
        <f>ROUND(D$3*C43,0)</f>
        <v>127</v>
      </c>
      <c r="E43" s="13">
        <f>ROUND(D43/2,0)</f>
        <v>64</v>
      </c>
      <c r="F43" s="12">
        <f>D43-E43</f>
        <v>63</v>
      </c>
    </row>
    <row r="44" spans="1:6">
      <c r="A44" s="8"/>
      <c r="B44" s="11" t="s">
        <v>11</v>
      </c>
      <c r="C44" s="10">
        <v>1.07E-4</v>
      </c>
      <c r="D44" s="12">
        <f>ROUND(D$3*C44,0)</f>
        <v>52</v>
      </c>
      <c r="E44" s="13">
        <f>ROUND(D44/2,0)</f>
        <v>26</v>
      </c>
      <c r="F44" s="12">
        <f>D44-E44</f>
        <v>26</v>
      </c>
    </row>
    <row r="45" spans="1:6">
      <c r="A45" s="8">
        <v>2</v>
      </c>
      <c r="B45" s="11" t="s">
        <v>272</v>
      </c>
      <c r="C45" s="11"/>
      <c r="D45" s="9"/>
      <c r="E45" s="11"/>
      <c r="F45" s="11"/>
    </row>
    <row r="46" spans="1:6">
      <c r="A46" s="8"/>
      <c r="B46" s="11" t="s">
        <v>10</v>
      </c>
      <c r="C46" s="10">
        <v>2.8600000000000001E-4</v>
      </c>
      <c r="D46" s="12">
        <f>ROUND(D$3*C46,0)</f>
        <v>139</v>
      </c>
      <c r="E46" s="13">
        <f>ROUND(D46/2,0)</f>
        <v>70</v>
      </c>
      <c r="F46" s="12">
        <f>D46-E46</f>
        <v>69</v>
      </c>
    </row>
    <row r="47" spans="1:6">
      <c r="A47" s="8"/>
      <c r="B47" s="11" t="s">
        <v>11</v>
      </c>
      <c r="C47" s="10">
        <v>1.4300000000000001E-4</v>
      </c>
      <c r="D47" s="12">
        <f>ROUND(D$3*C47,0)</f>
        <v>69</v>
      </c>
      <c r="E47" s="13">
        <f>ROUND(D47/2,0)</f>
        <v>35</v>
      </c>
      <c r="F47" s="12">
        <f>D47-E47</f>
        <v>34</v>
      </c>
    </row>
    <row r="48" spans="1:6">
      <c r="A48" s="8">
        <v>2</v>
      </c>
      <c r="B48" s="11" t="s">
        <v>22</v>
      </c>
      <c r="C48" s="11"/>
      <c r="D48" s="9"/>
      <c r="E48" s="11"/>
      <c r="F48" s="11"/>
    </row>
    <row r="49" spans="1:6">
      <c r="A49" s="8"/>
      <c r="B49" s="11" t="s">
        <v>10</v>
      </c>
      <c r="C49" s="10">
        <v>8.6399999999999997E-4</v>
      </c>
      <c r="D49" s="12">
        <f t="shared" ref="D49:D57" si="0">ROUND(D$3*C49,0)</f>
        <v>419</v>
      </c>
      <c r="E49" s="13">
        <f t="shared" ref="E49:E57" si="1">ROUND(D49/2,0)</f>
        <v>210</v>
      </c>
      <c r="F49" s="12">
        <f t="shared" ref="F49:F57" si="2">D49-E49</f>
        <v>209</v>
      </c>
    </row>
    <row r="50" spans="1:6">
      <c r="A50" s="8"/>
      <c r="B50" s="11" t="s">
        <v>11</v>
      </c>
      <c r="C50" s="10">
        <v>4.0400000000000001E-4</v>
      </c>
      <c r="D50" s="12">
        <f t="shared" si="0"/>
        <v>196</v>
      </c>
      <c r="E50" s="13">
        <f t="shared" si="1"/>
        <v>98</v>
      </c>
      <c r="F50" s="12">
        <f t="shared" si="2"/>
        <v>98</v>
      </c>
    </row>
    <row r="51" spans="1:6">
      <c r="A51" s="8">
        <v>3</v>
      </c>
      <c r="B51" s="11" t="s">
        <v>273</v>
      </c>
      <c r="C51" s="10">
        <v>6.0780000000000001E-3</v>
      </c>
      <c r="D51" s="12">
        <f t="shared" si="0"/>
        <v>2948</v>
      </c>
      <c r="E51" s="13">
        <f t="shared" si="1"/>
        <v>1474</v>
      </c>
      <c r="F51" s="12">
        <f t="shared" si="2"/>
        <v>1474</v>
      </c>
    </row>
    <row r="52" spans="1:6">
      <c r="A52" s="8">
        <v>3</v>
      </c>
      <c r="B52" s="11" t="s">
        <v>274</v>
      </c>
      <c r="C52" s="10">
        <v>5.8868999999999998E-2</v>
      </c>
      <c r="D52" s="12">
        <f t="shared" si="0"/>
        <v>28555</v>
      </c>
      <c r="E52" s="13">
        <f t="shared" si="1"/>
        <v>14278</v>
      </c>
      <c r="F52" s="12">
        <f t="shared" si="2"/>
        <v>14277</v>
      </c>
    </row>
    <row r="53" spans="1:6">
      <c r="A53" s="8">
        <v>3</v>
      </c>
      <c r="B53" s="11" t="s">
        <v>275</v>
      </c>
      <c r="C53" s="10">
        <v>3.8700000000000002E-3</v>
      </c>
      <c r="D53" s="12">
        <f t="shared" si="0"/>
        <v>1877</v>
      </c>
      <c r="E53" s="13">
        <f t="shared" si="1"/>
        <v>939</v>
      </c>
      <c r="F53" s="12">
        <f t="shared" si="2"/>
        <v>938</v>
      </c>
    </row>
    <row r="54" spans="1:6">
      <c r="A54" s="8">
        <v>3</v>
      </c>
      <c r="B54" s="11" t="s">
        <v>276</v>
      </c>
      <c r="C54" s="10">
        <v>1.6080000000000001E-3</v>
      </c>
      <c r="D54" s="12">
        <f t="shared" si="0"/>
        <v>780</v>
      </c>
      <c r="E54" s="13">
        <f t="shared" si="1"/>
        <v>390</v>
      </c>
      <c r="F54" s="12">
        <f t="shared" si="2"/>
        <v>390</v>
      </c>
    </row>
    <row r="55" spans="1:6">
      <c r="A55" s="8">
        <v>3</v>
      </c>
      <c r="B55" s="11" t="s">
        <v>277</v>
      </c>
      <c r="C55" s="10">
        <v>1.768E-3</v>
      </c>
      <c r="D55" s="12">
        <f t="shared" si="0"/>
        <v>858</v>
      </c>
      <c r="E55" s="13">
        <f t="shared" si="1"/>
        <v>429</v>
      </c>
      <c r="F55" s="12">
        <f t="shared" si="2"/>
        <v>429</v>
      </c>
    </row>
    <row r="56" spans="1:6">
      <c r="A56" s="8">
        <v>3</v>
      </c>
      <c r="B56" s="11" t="s">
        <v>278</v>
      </c>
      <c r="C56" s="10">
        <v>2.3280000000000002E-3</v>
      </c>
      <c r="D56" s="12">
        <f t="shared" si="0"/>
        <v>1129</v>
      </c>
      <c r="E56" s="13">
        <f t="shared" si="1"/>
        <v>565</v>
      </c>
      <c r="F56" s="12">
        <f t="shared" si="2"/>
        <v>564</v>
      </c>
    </row>
    <row r="57" spans="1:6">
      <c r="A57" s="8">
        <v>4</v>
      </c>
      <c r="B57" s="11" t="s">
        <v>279</v>
      </c>
      <c r="C57" s="10">
        <v>9.8963999999999996E-2</v>
      </c>
      <c r="D57" s="9">
        <f t="shared" si="0"/>
        <v>48004</v>
      </c>
      <c r="E57" s="11">
        <f t="shared" si="1"/>
        <v>24002</v>
      </c>
      <c r="F57" s="9">
        <f t="shared" si="2"/>
        <v>24002</v>
      </c>
    </row>
    <row r="58" spans="1:6">
      <c r="A58" s="8"/>
      <c r="B58" s="11" t="s">
        <v>28</v>
      </c>
      <c r="C58" s="11"/>
      <c r="D58" s="14">
        <v>0.52315999999999996</v>
      </c>
      <c r="E58" s="11"/>
      <c r="F58" s="11"/>
    </row>
    <row r="59" spans="1:6">
      <c r="A59" s="8"/>
      <c r="B59" s="11" t="s">
        <v>29</v>
      </c>
      <c r="C59" s="11"/>
      <c r="D59" s="225">
        <f>ROUND(D57*D58,0)</f>
        <v>25114</v>
      </c>
      <c r="E59" s="226">
        <f>ROUND(D59/2,0)</f>
        <v>12557</v>
      </c>
      <c r="F59" s="225">
        <f>D59-E59</f>
        <v>12557</v>
      </c>
    </row>
    <row r="60" spans="1:6">
      <c r="A60" s="8"/>
      <c r="B60" s="11" t="s">
        <v>30</v>
      </c>
      <c r="C60" s="11"/>
      <c r="D60" s="12">
        <f>+D57-D59</f>
        <v>22890</v>
      </c>
      <c r="E60" s="13">
        <f>ROUND(D60/2,0)</f>
        <v>11445</v>
      </c>
      <c r="F60" s="12">
        <f>D60-E60</f>
        <v>11445</v>
      </c>
    </row>
    <row r="61" spans="1:6">
      <c r="A61" s="8">
        <v>4</v>
      </c>
      <c r="B61" s="11" t="s">
        <v>280</v>
      </c>
      <c r="C61" s="10">
        <v>0.183749</v>
      </c>
      <c r="D61" s="9">
        <f>ROUND(D$3*C61,0)</f>
        <v>89130</v>
      </c>
      <c r="E61" s="11">
        <f>ROUND(D61/2,0)</f>
        <v>44565</v>
      </c>
      <c r="F61" s="9">
        <f>D61-E61</f>
        <v>44565</v>
      </c>
    </row>
    <row r="62" spans="1:6">
      <c r="A62" s="8"/>
      <c r="B62" s="11" t="s">
        <v>28</v>
      </c>
      <c r="C62" s="11"/>
      <c r="D62" s="14">
        <v>0.40146100000000001</v>
      </c>
      <c r="E62" s="11"/>
      <c r="F62" s="11"/>
    </row>
    <row r="63" spans="1:6">
      <c r="A63" s="8"/>
      <c r="B63" s="11" t="s">
        <v>29</v>
      </c>
      <c r="C63" s="11"/>
      <c r="D63" s="225">
        <f>ROUND(D61*D62,0)</f>
        <v>35782</v>
      </c>
      <c r="E63" s="226">
        <f>ROUND(D63/2,0)</f>
        <v>17891</v>
      </c>
      <c r="F63" s="225">
        <f>D63-E63</f>
        <v>17891</v>
      </c>
    </row>
    <row r="64" spans="1:6">
      <c r="A64" s="8"/>
      <c r="B64" s="11" t="s">
        <v>30</v>
      </c>
      <c r="C64" s="11"/>
      <c r="D64" s="12">
        <f>+D61-D63</f>
        <v>53348</v>
      </c>
      <c r="E64" s="13">
        <f>ROUND(D64/2,0)</f>
        <v>26674</v>
      </c>
      <c r="F64" s="12">
        <f>D64-E64</f>
        <v>26674</v>
      </c>
    </row>
    <row r="65" spans="1:6">
      <c r="A65" s="8">
        <v>4</v>
      </c>
      <c r="B65" s="11" t="s">
        <v>281</v>
      </c>
      <c r="C65" s="10">
        <v>0.18451200000000001</v>
      </c>
      <c r="D65" s="9">
        <f>ROUND(D$3*C65,0)</f>
        <v>89500</v>
      </c>
      <c r="E65" s="11">
        <f>ROUND(D65/2,0)</f>
        <v>44750</v>
      </c>
      <c r="F65" s="9">
        <f>D65-E65</f>
        <v>44750</v>
      </c>
    </row>
    <row r="66" spans="1:6">
      <c r="A66" s="8"/>
      <c r="B66" s="11" t="s">
        <v>28</v>
      </c>
      <c r="C66" s="11"/>
      <c r="D66" s="14">
        <v>0.40509600000000001</v>
      </c>
      <c r="E66" s="11"/>
      <c r="F66" s="11"/>
    </row>
    <row r="67" spans="1:6">
      <c r="A67" s="8"/>
      <c r="B67" s="11" t="s">
        <v>29</v>
      </c>
      <c r="C67" s="11"/>
      <c r="D67" s="225">
        <f>ROUND(D65*D66,0)</f>
        <v>36256</v>
      </c>
      <c r="E67" s="226">
        <f>ROUND(D67/2,0)</f>
        <v>18128</v>
      </c>
      <c r="F67" s="225">
        <f>D67-E67</f>
        <v>18128</v>
      </c>
    </row>
    <row r="68" spans="1:6">
      <c r="A68" s="8"/>
      <c r="B68" s="11" t="s">
        <v>30</v>
      </c>
      <c r="C68" s="11"/>
      <c r="D68" s="12">
        <f>+D65-D67</f>
        <v>53244</v>
      </c>
      <c r="E68" s="13">
        <f>ROUND(D68/2,0)</f>
        <v>26622</v>
      </c>
      <c r="F68" s="12">
        <f>D68-E68</f>
        <v>26622</v>
      </c>
    </row>
    <row r="69" spans="1:6">
      <c r="A69" s="8">
        <v>4</v>
      </c>
      <c r="B69" s="11" t="s">
        <v>191</v>
      </c>
      <c r="C69" s="10">
        <v>5.1616000000000002E-2</v>
      </c>
      <c r="D69" s="9">
        <f>ROUND(D$3*C69,0)</f>
        <v>25037</v>
      </c>
      <c r="E69" s="11">
        <f>ROUND(D69/2,0)</f>
        <v>12519</v>
      </c>
      <c r="F69" s="9">
        <f>D69-E69</f>
        <v>12518</v>
      </c>
    </row>
    <row r="70" spans="1:6">
      <c r="A70" s="8"/>
      <c r="B70" s="11" t="s">
        <v>28</v>
      </c>
      <c r="C70" s="11"/>
      <c r="D70" s="14">
        <v>0.43918299999999999</v>
      </c>
      <c r="E70" s="11"/>
      <c r="F70" s="11"/>
    </row>
    <row r="71" spans="1:6">
      <c r="A71" s="8" t="s">
        <v>590</v>
      </c>
      <c r="B71" s="11" t="s">
        <v>29</v>
      </c>
      <c r="C71" s="11"/>
      <c r="D71" s="225">
        <f>ROUND(D69*D70,0)</f>
        <v>10996</v>
      </c>
      <c r="E71" s="226">
        <f t="shared" ref="E71:E78" si="3">ROUND(D71/2,0)</f>
        <v>5498</v>
      </c>
      <c r="F71" s="225">
        <f t="shared" ref="F71:F78" si="4">D71-E71</f>
        <v>5498</v>
      </c>
    </row>
    <row r="72" spans="1:6">
      <c r="A72" s="8"/>
      <c r="B72" s="11" t="s">
        <v>30</v>
      </c>
      <c r="C72" s="11"/>
      <c r="D72" s="12">
        <f>+D69-D71</f>
        <v>14041</v>
      </c>
      <c r="E72" s="13">
        <f t="shared" si="3"/>
        <v>7021</v>
      </c>
      <c r="F72" s="12">
        <f t="shared" si="4"/>
        <v>7020</v>
      </c>
    </row>
    <row r="73" spans="1:6">
      <c r="A73" s="8">
        <v>5</v>
      </c>
      <c r="B73" s="11" t="s">
        <v>282</v>
      </c>
      <c r="C73" s="10">
        <v>1.3486E-2</v>
      </c>
      <c r="D73" s="12">
        <f>ROUND(D$3*C73,0)</f>
        <v>6542</v>
      </c>
      <c r="E73" s="13">
        <f t="shared" si="3"/>
        <v>3271</v>
      </c>
      <c r="F73" s="12">
        <f t="shared" si="4"/>
        <v>3271</v>
      </c>
    </row>
    <row r="74" spans="1:6">
      <c r="A74" s="8">
        <v>5</v>
      </c>
      <c r="B74" s="11" t="s">
        <v>283</v>
      </c>
      <c r="C74" s="10">
        <v>2.3649999999999999E-3</v>
      </c>
      <c r="D74" s="12">
        <f>ROUND(D$3*C74,0)</f>
        <v>1147</v>
      </c>
      <c r="E74" s="13">
        <f t="shared" si="3"/>
        <v>574</v>
      </c>
      <c r="F74" s="12">
        <f t="shared" si="4"/>
        <v>573</v>
      </c>
    </row>
    <row r="75" spans="1:6">
      <c r="A75" s="8">
        <v>5</v>
      </c>
      <c r="B75" s="11" t="s">
        <v>284</v>
      </c>
      <c r="C75" s="10">
        <v>1.6146000000000001E-2</v>
      </c>
      <c r="D75" s="12">
        <f>ROUND(D$3*C75,0)</f>
        <v>7832</v>
      </c>
      <c r="E75" s="13">
        <f t="shared" si="3"/>
        <v>3916</v>
      </c>
      <c r="F75" s="12">
        <f t="shared" si="4"/>
        <v>3916</v>
      </c>
    </row>
    <row r="76" spans="1:6">
      <c r="A76" s="8">
        <v>5</v>
      </c>
      <c r="B76" s="11" t="s">
        <v>285</v>
      </c>
      <c r="C76" s="10">
        <v>2.3019999999999998E-3</v>
      </c>
      <c r="D76" s="12">
        <f>ROUND(D$3*C76,0)</f>
        <v>1117</v>
      </c>
      <c r="E76" s="13">
        <f t="shared" si="3"/>
        <v>559</v>
      </c>
      <c r="F76" s="12">
        <f t="shared" si="4"/>
        <v>558</v>
      </c>
    </row>
    <row r="77" spans="1:6">
      <c r="A77" s="8">
        <v>6</v>
      </c>
      <c r="B77" s="11" t="s">
        <v>286</v>
      </c>
      <c r="C77" s="10">
        <v>1.2600000000000389E-3</v>
      </c>
      <c r="D77" s="12">
        <f>+D3-SUM(D4:D5)-SUM(D10:D57)-D61-D65-D69-SUM(D73:D76)</f>
        <v>608</v>
      </c>
      <c r="E77" s="13">
        <f t="shared" si="3"/>
        <v>304</v>
      </c>
      <c r="F77" s="12">
        <f t="shared" si="4"/>
        <v>304</v>
      </c>
    </row>
    <row r="78" spans="1:6">
      <c r="A78" s="36">
        <v>6</v>
      </c>
      <c r="B78" s="37" t="s">
        <v>287</v>
      </c>
      <c r="C78" s="10">
        <v>0</v>
      </c>
      <c r="D78" s="12">
        <f>ROUND(D$3*C78,0)</f>
        <v>0</v>
      </c>
      <c r="E78" s="13">
        <f t="shared" si="3"/>
        <v>0</v>
      </c>
      <c r="F78" s="12">
        <f t="shared" si="4"/>
        <v>0</v>
      </c>
    </row>
    <row r="79" spans="1:6">
      <c r="A79" s="8"/>
      <c r="B79" s="28" t="s">
        <v>288</v>
      </c>
      <c r="C79" s="10">
        <v>1</v>
      </c>
      <c r="D79" s="38">
        <f>+D4+SUM(D7:D56)+SUM(D59:D60)+SUM(D63:D64)+SUM(D67:D68)+SUM(D71:D78)</f>
        <v>485063</v>
      </c>
      <c r="E79" s="38">
        <f>+E4+SUM(E7:E56)+SUM(E59:E60)+SUM(E63:E64)+SUM(E67:E68)+SUM(E71:E78)</f>
        <v>242542</v>
      </c>
      <c r="F79" s="38">
        <f>+F4+SUM(F7:F56)+SUM(F59:F60)+SUM(F63:F64)+SUM(F67:F68)+SUM(F71:F78)</f>
        <v>242521</v>
      </c>
    </row>
    <row r="80" spans="1:6">
      <c r="B80" s="18" t="s">
        <v>38</v>
      </c>
      <c r="D80" s="19">
        <f>+D4</f>
        <v>509</v>
      </c>
      <c r="E80" s="19">
        <f>+E4</f>
        <v>255</v>
      </c>
      <c r="F80" s="19">
        <f>+F4</f>
        <v>254</v>
      </c>
    </row>
    <row r="81" spans="2:8">
      <c r="B81" s="2" t="s">
        <v>39</v>
      </c>
      <c r="D81" s="19">
        <f>+D7</f>
        <v>15840</v>
      </c>
      <c r="E81" s="19">
        <f>+E7</f>
        <v>7920</v>
      </c>
      <c r="F81" s="19">
        <f>+F7</f>
        <v>7920</v>
      </c>
    </row>
    <row r="82" spans="2:8">
      <c r="B82" s="2" t="s">
        <v>40</v>
      </c>
      <c r="D82" s="19">
        <f>+D59+D63+D67+D71</f>
        <v>108148</v>
      </c>
      <c r="E82" s="19">
        <f>+E59+E63+E67+E71</f>
        <v>54074</v>
      </c>
      <c r="F82" s="19">
        <f>+F59+F63+F67+F71</f>
        <v>54074</v>
      </c>
      <c r="H82" s="3">
        <v>1</v>
      </c>
    </row>
    <row r="83" spans="2:8">
      <c r="B83" s="18" t="s">
        <v>41</v>
      </c>
      <c r="D83" s="19">
        <f>+D79-D80-D81-D82</f>
        <v>360566</v>
      </c>
      <c r="E83" s="19">
        <f>+E79-E80-E81-E82</f>
        <v>180293</v>
      </c>
      <c r="F83" s="19">
        <f>+F79-F80-F81-F82</f>
        <v>180273</v>
      </c>
      <c r="H83" s="3">
        <v>2</v>
      </c>
    </row>
    <row r="85" spans="2:8" hidden="1">
      <c r="B85" s="3" t="s">
        <v>42</v>
      </c>
      <c r="C85" s="4">
        <v>3.0000000000387789E-6</v>
      </c>
      <c r="D85" s="3">
        <f>+D77-ROUND(D3*C77,0)</f>
        <v>-3</v>
      </c>
      <c r="E85" s="39"/>
      <c r="F85" s="40"/>
    </row>
  </sheetData>
  <pageMargins left="0.7" right="0.7" top="0.75" bottom="0.75" header="0.3" footer="0.3"/>
  <pageSetup scale="5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WVB71"/>
  <sheetViews>
    <sheetView topLeftCell="A22" zoomScaleNormal="100" zoomScaleSheetLayoutView="90" workbookViewId="0">
      <selection activeCell="D43" activeCellId="1" sqref="D7:F7 D43:F43"/>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6.28515625" style="3" hidden="1"/>
    <col min="190" max="246" width="9.140625" style="3" hidden="1"/>
    <col min="247" max="247" width="16.28515625" style="3" hidden="1"/>
    <col min="248" max="248" width="17.5703125" style="3" hidden="1"/>
    <col min="249" max="249" width="16" style="3" hidden="1"/>
    <col min="250" max="250" width="18.140625" style="3" hidden="1"/>
    <col min="251" max="443" width="9.140625" style="3" hidden="1"/>
    <col min="444" max="444" width="11" style="3" hidden="1"/>
    <col min="445" max="445" width="56.28515625" style="3" hidden="1"/>
    <col min="446" max="502" width="9.140625" style="3" hidden="1"/>
    <col min="503" max="503" width="16.28515625" style="3" hidden="1"/>
    <col min="504" max="504" width="17.5703125" style="3" hidden="1"/>
    <col min="505" max="505" width="16" style="3" hidden="1"/>
    <col min="506" max="506" width="18.140625" style="3" hidden="1"/>
    <col min="507" max="699" width="9.140625" style="3" hidden="1"/>
    <col min="700" max="700" width="11" style="3" hidden="1"/>
    <col min="701" max="701" width="56.28515625" style="3" hidden="1"/>
    <col min="702" max="758" width="9.140625" style="3" hidden="1"/>
    <col min="759" max="759" width="16.28515625" style="3" hidden="1"/>
    <col min="760" max="760" width="17.5703125" style="3" hidden="1"/>
    <col min="761" max="761" width="16" style="3" hidden="1"/>
    <col min="762" max="762" width="18.140625" style="3" hidden="1"/>
    <col min="763" max="955" width="9.140625" style="3" hidden="1"/>
    <col min="956" max="956" width="11" style="3" hidden="1"/>
    <col min="957" max="957" width="56.28515625" style="3" hidden="1"/>
    <col min="958" max="1014" width="9.140625" style="3" hidden="1"/>
    <col min="1015" max="1015" width="16.28515625" style="3" hidden="1"/>
    <col min="1016" max="1016" width="17.5703125" style="3" hidden="1"/>
    <col min="1017" max="1017" width="16" style="3" hidden="1"/>
    <col min="1018" max="1018" width="18.140625" style="3" hidden="1"/>
    <col min="1019" max="1211" width="9.140625" style="3" hidden="1"/>
    <col min="1212" max="1212" width="11" style="3" hidden="1"/>
    <col min="1213" max="1213" width="56.28515625" style="3" hidden="1"/>
    <col min="1214" max="1270" width="9.140625" style="3" hidden="1"/>
    <col min="1271" max="1271" width="16.28515625" style="3" hidden="1"/>
    <col min="1272" max="1272" width="17.5703125" style="3" hidden="1"/>
    <col min="1273" max="1273" width="16" style="3" hidden="1"/>
    <col min="1274" max="1274" width="18.140625" style="3" hidden="1"/>
    <col min="1275" max="1467" width="9.140625" style="3" hidden="1"/>
    <col min="1468" max="1468" width="11" style="3" hidden="1"/>
    <col min="1469" max="1469" width="56.28515625" style="3" hidden="1"/>
    <col min="1470" max="1526" width="9.140625" style="3" hidden="1"/>
    <col min="1527" max="1527" width="16.28515625" style="3" hidden="1"/>
    <col min="1528" max="1528" width="17.5703125" style="3" hidden="1"/>
    <col min="1529" max="1529" width="16" style="3" hidden="1"/>
    <col min="1530" max="1530" width="18.140625" style="3" hidden="1"/>
    <col min="1531" max="1723" width="9.140625" style="3" hidden="1"/>
    <col min="1724" max="1724" width="11" style="3" hidden="1"/>
    <col min="1725" max="1725" width="56.28515625" style="3" hidden="1"/>
    <col min="1726" max="1782" width="9.140625" style="3" hidden="1"/>
    <col min="1783" max="1783" width="16.28515625" style="3" hidden="1"/>
    <col min="1784" max="1784" width="17.5703125" style="3" hidden="1"/>
    <col min="1785" max="1785" width="16" style="3" hidden="1"/>
    <col min="1786" max="1786" width="18.140625" style="3" hidden="1"/>
    <col min="1787" max="1979" width="9.140625" style="3" hidden="1"/>
    <col min="1980" max="1980" width="11" style="3" hidden="1"/>
    <col min="1981" max="1981" width="56.28515625" style="3" hidden="1"/>
    <col min="1982" max="2038" width="9.140625" style="3" hidden="1"/>
    <col min="2039" max="2039" width="16.28515625" style="3" hidden="1"/>
    <col min="2040" max="2040" width="17.5703125" style="3" hidden="1"/>
    <col min="2041" max="2041" width="16" style="3" hidden="1"/>
    <col min="2042" max="2042" width="18.140625" style="3" hidden="1"/>
    <col min="2043" max="2235" width="9.140625" style="3" hidden="1"/>
    <col min="2236" max="2236" width="11" style="3" hidden="1"/>
    <col min="2237" max="2237" width="56.28515625" style="3" hidden="1"/>
    <col min="2238" max="2294" width="9.140625" style="3" hidden="1"/>
    <col min="2295" max="2295" width="16.28515625" style="3" hidden="1"/>
    <col min="2296" max="2296" width="17.5703125" style="3" hidden="1"/>
    <col min="2297" max="2297" width="16" style="3" hidden="1"/>
    <col min="2298" max="2298" width="18.140625" style="3" hidden="1"/>
    <col min="2299" max="2491" width="9.140625" style="3" hidden="1"/>
    <col min="2492" max="2492" width="11" style="3" hidden="1"/>
    <col min="2493" max="2493" width="56.28515625" style="3" hidden="1"/>
    <col min="2494" max="2550" width="9.140625" style="3" hidden="1"/>
    <col min="2551" max="2551" width="16.28515625" style="3" hidden="1"/>
    <col min="2552" max="2552" width="17.5703125" style="3" hidden="1"/>
    <col min="2553" max="2553" width="16" style="3" hidden="1"/>
    <col min="2554" max="2554" width="18.140625" style="3" hidden="1"/>
    <col min="2555" max="2747" width="9.140625" style="3" hidden="1"/>
    <col min="2748" max="2748" width="11" style="3" hidden="1"/>
    <col min="2749" max="2749" width="56.28515625" style="3" hidden="1"/>
    <col min="2750" max="2806" width="9.140625" style="3" hidden="1"/>
    <col min="2807" max="2807" width="16.28515625" style="3" hidden="1"/>
    <col min="2808" max="2808" width="17.5703125" style="3" hidden="1"/>
    <col min="2809" max="2809" width="16" style="3" hidden="1"/>
    <col min="2810" max="2810" width="18.140625" style="3" hidden="1"/>
    <col min="2811" max="3003" width="9.140625" style="3" hidden="1"/>
    <col min="3004" max="3004" width="11" style="3" hidden="1"/>
    <col min="3005" max="3005" width="56.28515625" style="3" hidden="1"/>
    <col min="3006" max="3062" width="9.140625" style="3" hidden="1"/>
    <col min="3063" max="3063" width="16.28515625" style="3" hidden="1"/>
    <col min="3064" max="3064" width="17.5703125" style="3" hidden="1"/>
    <col min="3065" max="3065" width="16" style="3" hidden="1"/>
    <col min="3066" max="3066" width="18.140625" style="3" hidden="1"/>
    <col min="3067" max="3259" width="9.140625" style="3" hidden="1"/>
    <col min="3260" max="3260" width="11" style="3" hidden="1"/>
    <col min="3261" max="3261" width="56.28515625" style="3" hidden="1"/>
    <col min="3262" max="3318" width="9.140625" style="3" hidden="1"/>
    <col min="3319" max="3319" width="16.28515625" style="3" hidden="1"/>
    <col min="3320" max="3320" width="17.5703125" style="3" hidden="1"/>
    <col min="3321" max="3321" width="16" style="3" hidden="1"/>
    <col min="3322" max="3322" width="18.140625" style="3" hidden="1"/>
    <col min="3323" max="3515" width="9.140625" style="3" hidden="1"/>
    <col min="3516" max="3516" width="11" style="3" hidden="1"/>
    <col min="3517" max="3517" width="56.28515625" style="3" hidden="1"/>
    <col min="3518" max="3574" width="9.140625" style="3" hidden="1"/>
    <col min="3575" max="3575" width="16.28515625" style="3" hidden="1"/>
    <col min="3576" max="3576" width="17.5703125" style="3" hidden="1"/>
    <col min="3577" max="3577" width="16" style="3" hidden="1"/>
    <col min="3578" max="3578" width="18.140625" style="3" hidden="1"/>
    <col min="3579" max="3771" width="9.140625" style="3" hidden="1"/>
    <col min="3772" max="3772" width="11" style="3" hidden="1"/>
    <col min="3773" max="3773" width="56.28515625" style="3" hidden="1"/>
    <col min="3774" max="3830" width="9.140625" style="3" hidden="1"/>
    <col min="3831" max="3831" width="16.28515625" style="3" hidden="1"/>
    <col min="3832" max="3832" width="17.5703125" style="3" hidden="1"/>
    <col min="3833" max="3833" width="16" style="3" hidden="1"/>
    <col min="3834" max="3834" width="18.140625" style="3" hidden="1"/>
    <col min="3835" max="4027" width="9.140625" style="3" hidden="1"/>
    <col min="4028" max="4028" width="11" style="3" hidden="1"/>
    <col min="4029" max="4029" width="56.28515625" style="3" hidden="1"/>
    <col min="4030" max="4086" width="9.140625" style="3" hidden="1"/>
    <col min="4087" max="4087" width="16.28515625" style="3" hidden="1"/>
    <col min="4088" max="4088" width="17.5703125" style="3" hidden="1"/>
    <col min="4089" max="4089" width="16" style="3" hidden="1"/>
    <col min="4090" max="4090" width="18.140625" style="3" hidden="1"/>
    <col min="4091" max="4283" width="9.140625" style="3" hidden="1"/>
    <col min="4284" max="4284" width="11" style="3" hidden="1"/>
    <col min="4285" max="4285" width="56.28515625" style="3" hidden="1"/>
    <col min="4286" max="4342" width="9.140625" style="3" hidden="1"/>
    <col min="4343" max="4343" width="16.28515625" style="3" hidden="1"/>
    <col min="4344" max="4344" width="17.5703125" style="3" hidden="1"/>
    <col min="4345" max="4345" width="16" style="3" hidden="1"/>
    <col min="4346" max="4346" width="18.140625" style="3" hidden="1"/>
    <col min="4347" max="4539" width="9.140625" style="3" hidden="1"/>
    <col min="4540" max="4540" width="11" style="3" hidden="1"/>
    <col min="4541" max="4541" width="56.28515625" style="3" hidden="1"/>
    <col min="4542" max="4598" width="9.140625" style="3" hidden="1"/>
    <col min="4599" max="4599" width="16.28515625" style="3" hidden="1"/>
    <col min="4600" max="4600" width="17.5703125" style="3" hidden="1"/>
    <col min="4601" max="4601" width="16" style="3" hidden="1"/>
    <col min="4602" max="4602" width="18.140625" style="3" hidden="1"/>
    <col min="4603" max="4795" width="9.140625" style="3" hidden="1"/>
    <col min="4796" max="4796" width="11" style="3" hidden="1"/>
    <col min="4797" max="4797" width="56.28515625" style="3" hidden="1"/>
    <col min="4798" max="4854" width="9.140625" style="3" hidden="1"/>
    <col min="4855" max="4855" width="16.28515625" style="3" hidden="1"/>
    <col min="4856" max="4856" width="17.5703125" style="3" hidden="1"/>
    <col min="4857" max="4857" width="16" style="3" hidden="1"/>
    <col min="4858" max="4858" width="18.140625" style="3" hidden="1"/>
    <col min="4859" max="5051" width="9.140625" style="3" hidden="1"/>
    <col min="5052" max="5052" width="11" style="3" hidden="1"/>
    <col min="5053" max="5053" width="56.28515625" style="3" hidden="1"/>
    <col min="5054" max="5110" width="9.140625" style="3" hidden="1"/>
    <col min="5111" max="5111" width="16.28515625" style="3" hidden="1"/>
    <col min="5112" max="5112" width="17.5703125" style="3" hidden="1"/>
    <col min="5113" max="5113" width="16" style="3" hidden="1"/>
    <col min="5114" max="5114" width="18.140625" style="3" hidden="1"/>
    <col min="5115" max="5307" width="9.140625" style="3" hidden="1"/>
    <col min="5308" max="5308" width="11" style="3" hidden="1"/>
    <col min="5309" max="5309" width="56.28515625" style="3" hidden="1"/>
    <col min="5310" max="5366" width="9.140625" style="3" hidden="1"/>
    <col min="5367" max="5367" width="16.28515625" style="3" hidden="1"/>
    <col min="5368" max="5368" width="17.5703125" style="3" hidden="1"/>
    <col min="5369" max="5369" width="16" style="3" hidden="1"/>
    <col min="5370" max="5370" width="18.140625" style="3" hidden="1"/>
    <col min="5371" max="5563" width="9.140625" style="3" hidden="1"/>
    <col min="5564" max="5564" width="11" style="3" hidden="1"/>
    <col min="5565" max="5565" width="56.28515625" style="3" hidden="1"/>
    <col min="5566" max="5622" width="9.140625" style="3" hidden="1"/>
    <col min="5623" max="5623" width="16.28515625" style="3" hidden="1"/>
    <col min="5624" max="5624" width="17.5703125" style="3" hidden="1"/>
    <col min="5625" max="5625" width="16" style="3" hidden="1"/>
    <col min="5626" max="5626" width="18.140625" style="3" hidden="1"/>
    <col min="5627" max="5819" width="9.140625" style="3" hidden="1"/>
    <col min="5820" max="5820" width="11" style="3" hidden="1"/>
    <col min="5821" max="5821" width="56.28515625" style="3" hidden="1"/>
    <col min="5822" max="5878" width="9.140625" style="3" hidden="1"/>
    <col min="5879" max="5879" width="16.28515625" style="3" hidden="1"/>
    <col min="5880" max="5880" width="17.5703125" style="3" hidden="1"/>
    <col min="5881" max="5881" width="16" style="3" hidden="1"/>
    <col min="5882" max="5882" width="18.140625" style="3" hidden="1"/>
    <col min="5883" max="6075" width="9.140625" style="3" hidden="1"/>
    <col min="6076" max="6076" width="11" style="3" hidden="1"/>
    <col min="6077" max="6077" width="56.28515625" style="3" hidden="1"/>
    <col min="6078" max="6134" width="9.140625" style="3" hidden="1"/>
    <col min="6135" max="6135" width="16.28515625" style="3" hidden="1"/>
    <col min="6136" max="6136" width="17.5703125" style="3" hidden="1"/>
    <col min="6137" max="6137" width="16" style="3" hidden="1"/>
    <col min="6138" max="6138" width="18.140625" style="3" hidden="1"/>
    <col min="6139" max="6331" width="9.140625" style="3" hidden="1"/>
    <col min="6332" max="6332" width="11" style="3" hidden="1"/>
    <col min="6333" max="6333" width="56.28515625" style="3" hidden="1"/>
    <col min="6334" max="6390" width="9.140625" style="3" hidden="1"/>
    <col min="6391" max="6391" width="16.28515625" style="3" hidden="1"/>
    <col min="6392" max="6392" width="17.5703125" style="3" hidden="1"/>
    <col min="6393" max="6393" width="16" style="3" hidden="1"/>
    <col min="6394" max="6394" width="18.140625" style="3" hidden="1"/>
    <col min="6395" max="6587" width="9.140625" style="3" hidden="1"/>
    <col min="6588" max="6588" width="11" style="3" hidden="1"/>
    <col min="6589" max="6589" width="56.28515625" style="3" hidden="1"/>
    <col min="6590" max="6646" width="9.140625" style="3" hidden="1"/>
    <col min="6647" max="6647" width="16.28515625" style="3" hidden="1"/>
    <col min="6648" max="6648" width="17.5703125" style="3" hidden="1"/>
    <col min="6649" max="6649" width="16" style="3" hidden="1"/>
    <col min="6650" max="6650" width="18.140625" style="3" hidden="1"/>
    <col min="6651" max="6843" width="9.140625" style="3" hidden="1"/>
    <col min="6844" max="6844" width="11" style="3" hidden="1"/>
    <col min="6845" max="6845" width="56.28515625" style="3" hidden="1"/>
    <col min="6846" max="6902" width="9.140625" style="3" hidden="1"/>
    <col min="6903" max="6903" width="16.28515625" style="3" hidden="1"/>
    <col min="6904" max="6904" width="17.5703125" style="3" hidden="1"/>
    <col min="6905" max="6905" width="16" style="3" hidden="1"/>
    <col min="6906" max="6906" width="18.140625" style="3" hidden="1"/>
    <col min="6907" max="7099" width="9.140625" style="3" hidden="1"/>
    <col min="7100" max="7100" width="11" style="3" hidden="1"/>
    <col min="7101" max="7101" width="56.28515625" style="3" hidden="1"/>
    <col min="7102" max="7158" width="9.140625" style="3" hidden="1"/>
    <col min="7159" max="7159" width="16.28515625" style="3" hidden="1"/>
    <col min="7160" max="7160" width="17.5703125" style="3" hidden="1"/>
    <col min="7161" max="7161" width="16" style="3" hidden="1"/>
    <col min="7162" max="7162" width="18.140625" style="3" hidden="1"/>
    <col min="7163" max="7355" width="9.140625" style="3" hidden="1"/>
    <col min="7356" max="7356" width="11" style="3" hidden="1"/>
    <col min="7357" max="7357" width="56.28515625" style="3" hidden="1"/>
    <col min="7358" max="7414" width="9.140625" style="3" hidden="1"/>
    <col min="7415" max="7415" width="16.28515625" style="3" hidden="1"/>
    <col min="7416" max="7416" width="17.5703125" style="3" hidden="1"/>
    <col min="7417" max="7417" width="16" style="3" hidden="1"/>
    <col min="7418" max="7418" width="18.140625" style="3" hidden="1"/>
    <col min="7419" max="7611" width="9.140625" style="3" hidden="1"/>
    <col min="7612" max="7612" width="11" style="3" hidden="1"/>
    <col min="7613" max="7613" width="56.28515625" style="3" hidden="1"/>
    <col min="7614" max="7670" width="9.140625" style="3" hidden="1"/>
    <col min="7671" max="7671" width="16.28515625" style="3" hidden="1"/>
    <col min="7672" max="7672" width="17.5703125" style="3" hidden="1"/>
    <col min="7673" max="7673" width="16" style="3" hidden="1"/>
    <col min="7674" max="7674" width="18.140625" style="3" hidden="1"/>
    <col min="7675" max="7867" width="9.140625" style="3" hidden="1"/>
    <col min="7868" max="7868" width="11" style="3" hidden="1"/>
    <col min="7869" max="7869" width="56.28515625" style="3" hidden="1"/>
    <col min="7870" max="7926" width="9.140625" style="3" hidden="1"/>
    <col min="7927" max="7927" width="16.28515625" style="3" hidden="1"/>
    <col min="7928" max="7928" width="17.5703125" style="3" hidden="1"/>
    <col min="7929" max="7929" width="16" style="3" hidden="1"/>
    <col min="7930" max="7930" width="18.140625" style="3" hidden="1"/>
    <col min="7931" max="8123" width="9.140625" style="3" hidden="1"/>
    <col min="8124" max="8124" width="11" style="3" hidden="1"/>
    <col min="8125" max="8125" width="56.28515625" style="3" hidden="1"/>
    <col min="8126" max="8182" width="9.140625" style="3" hidden="1"/>
    <col min="8183" max="8183" width="16.28515625" style="3" hidden="1"/>
    <col min="8184" max="8184" width="17.5703125" style="3" hidden="1"/>
    <col min="8185" max="8185" width="16" style="3" hidden="1"/>
    <col min="8186" max="8186" width="18.140625" style="3" hidden="1"/>
    <col min="8187" max="8379" width="9.140625" style="3" hidden="1"/>
    <col min="8380" max="8380" width="11" style="3" hidden="1"/>
    <col min="8381" max="8381" width="56.28515625" style="3" hidden="1"/>
    <col min="8382" max="8438" width="9.140625" style="3" hidden="1"/>
    <col min="8439" max="8439" width="16.28515625" style="3" hidden="1"/>
    <col min="8440" max="8440" width="17.5703125" style="3" hidden="1"/>
    <col min="8441" max="8441" width="16" style="3" hidden="1"/>
    <col min="8442" max="8442" width="18.140625" style="3" hidden="1"/>
    <col min="8443" max="8635" width="9.140625" style="3" hidden="1"/>
    <col min="8636" max="8636" width="11" style="3" hidden="1"/>
    <col min="8637" max="8637" width="56.28515625" style="3" hidden="1"/>
    <col min="8638" max="8694" width="9.140625" style="3" hidden="1"/>
    <col min="8695" max="8695" width="16.28515625" style="3" hidden="1"/>
    <col min="8696" max="8696" width="17.5703125" style="3" hidden="1"/>
    <col min="8697" max="8697" width="16" style="3" hidden="1"/>
    <col min="8698" max="8698" width="18.140625" style="3" hidden="1"/>
    <col min="8699" max="8891" width="9.140625" style="3" hidden="1"/>
    <col min="8892" max="8892" width="11" style="3" hidden="1"/>
    <col min="8893" max="8893" width="56.28515625" style="3" hidden="1"/>
    <col min="8894" max="8950" width="9.140625" style="3" hidden="1"/>
    <col min="8951" max="8951" width="16.28515625" style="3" hidden="1"/>
    <col min="8952" max="8952" width="17.5703125" style="3" hidden="1"/>
    <col min="8953" max="8953" width="16" style="3" hidden="1"/>
    <col min="8954" max="8954" width="18.140625" style="3" hidden="1"/>
    <col min="8955" max="9147" width="9.140625" style="3" hidden="1"/>
    <col min="9148" max="9148" width="11" style="3" hidden="1"/>
    <col min="9149" max="9149" width="56.28515625" style="3" hidden="1"/>
    <col min="9150" max="9206" width="9.140625" style="3" hidden="1"/>
    <col min="9207" max="9207" width="16.28515625" style="3" hidden="1"/>
    <col min="9208" max="9208" width="17.5703125" style="3" hidden="1"/>
    <col min="9209" max="9209" width="16" style="3" hidden="1"/>
    <col min="9210" max="9210" width="18.140625" style="3" hidden="1"/>
    <col min="9211" max="9403" width="9.140625" style="3" hidden="1"/>
    <col min="9404" max="9404" width="11" style="3" hidden="1"/>
    <col min="9405" max="9405" width="56.28515625" style="3" hidden="1"/>
    <col min="9406" max="9462" width="9.140625" style="3" hidden="1"/>
    <col min="9463" max="9463" width="16.28515625" style="3" hidden="1"/>
    <col min="9464" max="9464" width="17.5703125" style="3" hidden="1"/>
    <col min="9465" max="9465" width="16" style="3" hidden="1"/>
    <col min="9466" max="9466" width="18.140625" style="3" hidden="1"/>
    <col min="9467" max="9659" width="9.140625" style="3" hidden="1"/>
    <col min="9660" max="9660" width="11" style="3" hidden="1"/>
    <col min="9661" max="9661" width="56.28515625" style="3" hidden="1"/>
    <col min="9662" max="9718" width="9.140625" style="3" hidden="1"/>
    <col min="9719" max="9719" width="16.28515625" style="3" hidden="1"/>
    <col min="9720" max="9720" width="17.5703125" style="3" hidden="1"/>
    <col min="9721" max="9721" width="16" style="3" hidden="1"/>
    <col min="9722" max="9722" width="18.140625" style="3" hidden="1"/>
    <col min="9723" max="9915" width="9.140625" style="3" hidden="1"/>
    <col min="9916" max="9916" width="11" style="3" hidden="1"/>
    <col min="9917" max="9917" width="56.28515625" style="3" hidden="1"/>
    <col min="9918" max="9974" width="9.140625" style="3" hidden="1"/>
    <col min="9975" max="9975" width="16.28515625" style="3" hidden="1"/>
    <col min="9976" max="9976" width="17.5703125" style="3" hidden="1"/>
    <col min="9977" max="9977" width="16" style="3" hidden="1"/>
    <col min="9978" max="9978" width="18.140625" style="3" hidden="1"/>
    <col min="9979" max="10171" width="9.140625" style="3" hidden="1"/>
    <col min="10172" max="10172" width="11" style="3" hidden="1"/>
    <col min="10173" max="10173" width="56.28515625" style="3" hidden="1"/>
    <col min="10174" max="10230" width="9.140625" style="3" hidden="1"/>
    <col min="10231" max="10231" width="16.28515625" style="3" hidden="1"/>
    <col min="10232" max="10232" width="17.5703125" style="3" hidden="1"/>
    <col min="10233" max="10233" width="16" style="3" hidden="1"/>
    <col min="10234" max="10234" width="18.140625" style="3" hidden="1"/>
    <col min="10235" max="10427" width="9.140625" style="3" hidden="1"/>
    <col min="10428" max="10428" width="11" style="3" hidden="1"/>
    <col min="10429" max="10429" width="56.28515625" style="3" hidden="1"/>
    <col min="10430" max="10486" width="9.140625" style="3" hidden="1"/>
    <col min="10487" max="10487" width="16.28515625" style="3" hidden="1"/>
    <col min="10488" max="10488" width="17.5703125" style="3" hidden="1"/>
    <col min="10489" max="10489" width="16" style="3" hidden="1"/>
    <col min="10490" max="10490" width="18.140625" style="3" hidden="1"/>
    <col min="10491" max="10683" width="9.140625" style="3" hidden="1"/>
    <col min="10684" max="10684" width="11" style="3" hidden="1"/>
    <col min="10685" max="10685" width="56.28515625" style="3" hidden="1"/>
    <col min="10686" max="10742" width="9.140625" style="3" hidden="1"/>
    <col min="10743" max="10743" width="16.28515625" style="3" hidden="1"/>
    <col min="10744" max="10744" width="17.5703125" style="3" hidden="1"/>
    <col min="10745" max="10745" width="16" style="3" hidden="1"/>
    <col min="10746" max="10746" width="18.140625" style="3" hidden="1"/>
    <col min="10747" max="10939" width="9.140625" style="3" hidden="1"/>
    <col min="10940" max="10940" width="11" style="3" hidden="1"/>
    <col min="10941" max="10941" width="56.28515625" style="3" hidden="1"/>
    <col min="10942" max="10998" width="9.140625" style="3" hidden="1"/>
    <col min="10999" max="10999" width="16.28515625" style="3" hidden="1"/>
    <col min="11000" max="11000" width="17.5703125" style="3" hidden="1"/>
    <col min="11001" max="11001" width="16" style="3" hidden="1"/>
    <col min="11002" max="11002" width="18.140625" style="3" hidden="1"/>
    <col min="11003" max="11195" width="9.140625" style="3" hidden="1"/>
    <col min="11196" max="11196" width="11" style="3" hidden="1"/>
    <col min="11197" max="11197" width="56.28515625" style="3" hidden="1"/>
    <col min="11198" max="11254" width="9.140625" style="3" hidden="1"/>
    <col min="11255" max="11255" width="16.28515625" style="3" hidden="1"/>
    <col min="11256" max="11256" width="17.5703125" style="3" hidden="1"/>
    <col min="11257" max="11257" width="16" style="3" hidden="1"/>
    <col min="11258" max="11258" width="18.140625" style="3" hidden="1"/>
    <col min="11259" max="11451" width="9.140625" style="3" hidden="1"/>
    <col min="11452" max="11452" width="11" style="3" hidden="1"/>
    <col min="11453" max="11453" width="56.28515625" style="3" hidden="1"/>
    <col min="11454" max="11510" width="9.140625" style="3" hidden="1"/>
    <col min="11511" max="11511" width="16.28515625" style="3" hidden="1"/>
    <col min="11512" max="11512" width="17.5703125" style="3" hidden="1"/>
    <col min="11513" max="11513" width="16" style="3" hidden="1"/>
    <col min="11514" max="11514" width="18.140625" style="3" hidden="1"/>
    <col min="11515" max="11707" width="9.140625" style="3" hidden="1"/>
    <col min="11708" max="11708" width="11" style="3" hidden="1"/>
    <col min="11709" max="11709" width="56.28515625" style="3" hidden="1"/>
    <col min="11710" max="11766" width="9.140625" style="3" hidden="1"/>
    <col min="11767" max="11767" width="16.28515625" style="3" hidden="1"/>
    <col min="11768" max="11768" width="17.5703125" style="3" hidden="1"/>
    <col min="11769" max="11769" width="16" style="3" hidden="1"/>
    <col min="11770" max="11770" width="18.140625" style="3" hidden="1"/>
    <col min="11771" max="11963" width="9.140625" style="3" hidden="1"/>
    <col min="11964" max="11964" width="11" style="3" hidden="1"/>
    <col min="11965" max="11965" width="56.28515625" style="3" hidden="1"/>
    <col min="11966" max="12022" width="9.140625" style="3" hidden="1"/>
    <col min="12023" max="12023" width="16.28515625" style="3" hidden="1"/>
    <col min="12024" max="12024" width="17.5703125" style="3" hidden="1"/>
    <col min="12025" max="12025" width="16" style="3" hidden="1"/>
    <col min="12026" max="12026" width="18.140625" style="3" hidden="1"/>
    <col min="12027" max="12219" width="9.140625" style="3" hidden="1"/>
    <col min="12220" max="12220" width="11" style="3" hidden="1"/>
    <col min="12221" max="12221" width="56.28515625" style="3" hidden="1"/>
    <col min="12222" max="12278" width="9.140625" style="3" hidden="1"/>
    <col min="12279" max="12279" width="16.28515625" style="3" hidden="1"/>
    <col min="12280" max="12280" width="17.5703125" style="3" hidden="1"/>
    <col min="12281" max="12281" width="16" style="3" hidden="1"/>
    <col min="12282" max="12282" width="18.140625" style="3" hidden="1"/>
    <col min="12283" max="12475" width="9.140625" style="3" hidden="1"/>
    <col min="12476" max="12476" width="11" style="3" hidden="1"/>
    <col min="12477" max="12477" width="56.28515625" style="3" hidden="1"/>
    <col min="12478" max="12534" width="9.140625" style="3" hidden="1"/>
    <col min="12535" max="12535" width="16.28515625" style="3" hidden="1"/>
    <col min="12536" max="12536" width="17.5703125" style="3" hidden="1"/>
    <col min="12537" max="12537" width="16" style="3" hidden="1"/>
    <col min="12538" max="12538" width="18.140625" style="3" hidden="1"/>
    <col min="12539" max="12731" width="9.140625" style="3" hidden="1"/>
    <col min="12732" max="12732" width="11" style="3" hidden="1"/>
    <col min="12733" max="12733" width="56.28515625" style="3" hidden="1"/>
    <col min="12734" max="12790" width="9.140625" style="3" hidden="1"/>
    <col min="12791" max="12791" width="16.28515625" style="3" hidden="1"/>
    <col min="12792" max="12792" width="17.5703125" style="3" hidden="1"/>
    <col min="12793" max="12793" width="16" style="3" hidden="1"/>
    <col min="12794" max="12794" width="18.140625" style="3" hidden="1"/>
    <col min="12795" max="12987" width="9.140625" style="3" hidden="1"/>
    <col min="12988" max="12988" width="11" style="3" hidden="1"/>
    <col min="12989" max="12989" width="56.28515625" style="3" hidden="1"/>
    <col min="12990" max="13046" width="9.140625" style="3" hidden="1"/>
    <col min="13047" max="13047" width="16.28515625" style="3" hidden="1"/>
    <col min="13048" max="13048" width="17.5703125" style="3" hidden="1"/>
    <col min="13049" max="13049" width="16" style="3" hidden="1"/>
    <col min="13050" max="13050" width="18.140625" style="3" hidden="1"/>
    <col min="13051" max="13243" width="9.140625" style="3" hidden="1"/>
    <col min="13244" max="13244" width="11" style="3" hidden="1"/>
    <col min="13245" max="13245" width="56.28515625" style="3" hidden="1"/>
    <col min="13246" max="13302" width="9.140625" style="3" hidden="1"/>
    <col min="13303" max="13303" width="16.28515625" style="3" hidden="1"/>
    <col min="13304" max="13304" width="17.5703125" style="3" hidden="1"/>
    <col min="13305" max="13305" width="16" style="3" hidden="1"/>
    <col min="13306" max="13306" width="18.140625" style="3" hidden="1"/>
    <col min="13307" max="13499" width="9.140625" style="3" hidden="1"/>
    <col min="13500" max="13500" width="11" style="3" hidden="1"/>
    <col min="13501" max="13501" width="56.28515625" style="3" hidden="1"/>
    <col min="13502" max="13558" width="9.140625" style="3" hidden="1"/>
    <col min="13559" max="13559" width="16.28515625" style="3" hidden="1"/>
    <col min="13560" max="13560" width="17.5703125" style="3" hidden="1"/>
    <col min="13561" max="13561" width="16" style="3" hidden="1"/>
    <col min="13562" max="13562" width="18.140625" style="3" hidden="1"/>
    <col min="13563" max="13755" width="9.140625" style="3" hidden="1"/>
    <col min="13756" max="13756" width="11" style="3" hidden="1"/>
    <col min="13757" max="13757" width="56.28515625" style="3" hidden="1"/>
    <col min="13758" max="13814" width="9.140625" style="3" hidden="1"/>
    <col min="13815" max="13815" width="16.28515625" style="3" hidden="1"/>
    <col min="13816" max="13816" width="17.5703125" style="3" hidden="1"/>
    <col min="13817" max="13817" width="16" style="3" hidden="1"/>
    <col min="13818" max="13818" width="18.140625" style="3" hidden="1"/>
    <col min="13819" max="14011" width="9.140625" style="3" hidden="1"/>
    <col min="14012" max="14012" width="11" style="3" hidden="1"/>
    <col min="14013" max="14013" width="56.28515625" style="3" hidden="1"/>
    <col min="14014" max="14070" width="9.140625" style="3" hidden="1"/>
    <col min="14071" max="14071" width="16.28515625" style="3" hidden="1"/>
    <col min="14072" max="14072" width="17.5703125" style="3" hidden="1"/>
    <col min="14073" max="14073" width="16" style="3" hidden="1"/>
    <col min="14074" max="14074" width="18.140625" style="3" hidden="1"/>
    <col min="14075" max="14267" width="9.140625" style="3" hidden="1"/>
    <col min="14268" max="14268" width="11" style="3" hidden="1"/>
    <col min="14269" max="14269" width="56.28515625" style="3" hidden="1"/>
    <col min="14270" max="14326" width="9.140625" style="3" hidden="1"/>
    <col min="14327" max="14327" width="16.28515625" style="3" hidden="1"/>
    <col min="14328" max="14328" width="17.5703125" style="3" hidden="1"/>
    <col min="14329" max="14329" width="16" style="3" hidden="1"/>
    <col min="14330" max="14330" width="18.140625" style="3" hidden="1"/>
    <col min="14331" max="14523" width="9.140625" style="3" hidden="1"/>
    <col min="14524" max="14524" width="11" style="3" hidden="1"/>
    <col min="14525" max="14525" width="56.28515625" style="3" hidden="1"/>
    <col min="14526" max="14582" width="9.140625" style="3" hidden="1"/>
    <col min="14583" max="14583" width="16.28515625" style="3" hidden="1"/>
    <col min="14584" max="14584" width="17.5703125" style="3" hidden="1"/>
    <col min="14585" max="14585" width="16" style="3" hidden="1"/>
    <col min="14586" max="14586" width="18.140625" style="3" hidden="1"/>
    <col min="14587" max="14779" width="9.140625" style="3" hidden="1"/>
    <col min="14780" max="14780" width="11" style="3" hidden="1"/>
    <col min="14781" max="14781" width="56.28515625" style="3" hidden="1"/>
    <col min="14782" max="14838" width="9.140625" style="3" hidden="1"/>
    <col min="14839" max="14839" width="16.28515625" style="3" hidden="1"/>
    <col min="14840" max="14840" width="17.5703125" style="3" hidden="1"/>
    <col min="14841" max="14841" width="16" style="3" hidden="1"/>
    <col min="14842" max="14842" width="18.140625" style="3" hidden="1"/>
    <col min="14843" max="15035" width="9.140625" style="3" hidden="1"/>
    <col min="15036" max="15036" width="11" style="3" hidden="1"/>
    <col min="15037" max="15037" width="56.28515625" style="3" hidden="1"/>
    <col min="15038" max="15094" width="9.140625" style="3" hidden="1"/>
    <col min="15095" max="15095" width="16.28515625" style="3" hidden="1"/>
    <col min="15096" max="15096" width="17.5703125" style="3" hidden="1"/>
    <col min="15097" max="15097" width="16" style="3" hidden="1"/>
    <col min="15098" max="15098" width="18.140625" style="3" hidden="1"/>
    <col min="15099" max="15291" width="9.140625" style="3" hidden="1"/>
    <col min="15292" max="15292" width="11" style="3" hidden="1"/>
    <col min="15293" max="15293" width="56.28515625" style="3" hidden="1"/>
    <col min="15294" max="15350" width="9.140625" style="3" hidden="1"/>
    <col min="15351" max="15351" width="16.28515625" style="3" hidden="1"/>
    <col min="15352" max="15352" width="17.5703125" style="3" hidden="1"/>
    <col min="15353" max="15353" width="16" style="3" hidden="1"/>
    <col min="15354" max="15354" width="18.140625" style="3" hidden="1"/>
    <col min="15355" max="15547" width="9.140625" style="3" hidden="1"/>
    <col min="15548" max="15548" width="11" style="3" hidden="1"/>
    <col min="15549" max="15549" width="56.28515625" style="3" hidden="1"/>
    <col min="15550" max="15606" width="9.140625" style="3" hidden="1"/>
    <col min="15607" max="15607" width="16.28515625" style="3" hidden="1"/>
    <col min="15608" max="15608" width="17.5703125" style="3" hidden="1"/>
    <col min="15609" max="15609" width="16" style="3" hidden="1"/>
    <col min="15610" max="15610" width="18.140625" style="3" hidden="1"/>
    <col min="15611" max="15803" width="9.140625" style="3" hidden="1"/>
    <col min="15804" max="15804" width="11" style="3" hidden="1"/>
    <col min="15805" max="15805" width="56.28515625" style="3" hidden="1"/>
    <col min="15806" max="15862" width="9.140625" style="3" hidden="1"/>
    <col min="15863" max="15863" width="16.28515625" style="3" hidden="1"/>
    <col min="15864" max="15864" width="17.5703125" style="3" hidden="1"/>
    <col min="15865" max="15865" width="16" style="3" hidden="1"/>
    <col min="15866" max="15866" width="18.140625" style="3" hidden="1"/>
    <col min="15867" max="16059" width="9.140625" style="3" hidden="1"/>
    <col min="16060" max="16060" width="11" style="3" hidden="1"/>
    <col min="16061" max="16061" width="56.28515625" style="3" hidden="1"/>
    <col min="16062" max="16118" width="9.140625" style="3" hidden="1"/>
    <col min="16119" max="16119" width="16.28515625" style="3" hidden="1"/>
    <col min="16120" max="16120" width="17.5703125" style="3" hidden="1"/>
    <col min="16121" max="16121" width="16" style="3" hidden="1"/>
    <col min="16122" max="16122" width="18.140625" style="3" hidden="1"/>
    <col min="16123" max="16384" width="9.140625" style="3" hidden="1"/>
  </cols>
  <sheetData>
    <row r="1" spans="1:6">
      <c r="B1" s="2" t="s">
        <v>289</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Worksheet'!$D$16</f>
        <v>21687</v>
      </c>
      <c r="E3" s="11"/>
      <c r="F3" s="11"/>
    </row>
    <row r="4" spans="1:6">
      <c r="A4" s="8">
        <v>0</v>
      </c>
      <c r="B4" s="11" t="s">
        <v>4</v>
      </c>
      <c r="C4" s="10">
        <v>1.0089999999999999E-3</v>
      </c>
      <c r="D4" s="12">
        <f>ROUND(D$3*C4,0)</f>
        <v>22</v>
      </c>
      <c r="E4" s="13">
        <f>ROUND(D4/2,0)</f>
        <v>11</v>
      </c>
      <c r="F4" s="12">
        <f>D4-E4</f>
        <v>11</v>
      </c>
    </row>
    <row r="5" spans="1:6">
      <c r="A5" s="8">
        <v>1</v>
      </c>
      <c r="B5" s="11" t="s">
        <v>290</v>
      </c>
      <c r="C5" s="10">
        <v>0.32181399999999999</v>
      </c>
      <c r="D5" s="9">
        <f>ROUND(D$3*C5,0)</f>
        <v>6979</v>
      </c>
      <c r="E5" s="11">
        <f>ROUND(D5/2,0)</f>
        <v>3490</v>
      </c>
      <c r="F5" s="9">
        <f>D5-E5</f>
        <v>3489</v>
      </c>
    </row>
    <row r="6" spans="1:6">
      <c r="A6" s="8"/>
      <c r="B6" s="11" t="s">
        <v>6</v>
      </c>
      <c r="C6" s="11"/>
      <c r="D6" s="14">
        <v>0.34007199999999999</v>
      </c>
      <c r="E6" s="11"/>
      <c r="F6" s="11"/>
    </row>
    <row r="7" spans="1:6">
      <c r="A7" s="8"/>
      <c r="B7" s="11" t="s">
        <v>7</v>
      </c>
      <c r="C7" s="11"/>
      <c r="D7" s="225">
        <f>ROUND(D5*D6,0)</f>
        <v>2373</v>
      </c>
      <c r="E7" s="226">
        <f>ROUND(D7/2,0)</f>
        <v>1187</v>
      </c>
      <c r="F7" s="225">
        <f>D7-E7</f>
        <v>1186</v>
      </c>
    </row>
    <row r="8" spans="1:6">
      <c r="A8" s="8"/>
      <c r="B8" s="11" t="s">
        <v>8</v>
      </c>
      <c r="C8" s="11"/>
      <c r="D8" s="12">
        <f>+D5-D7</f>
        <v>4606</v>
      </c>
      <c r="E8" s="13">
        <f>ROUND(D8/2,0)</f>
        <v>2303</v>
      </c>
      <c r="F8" s="12">
        <f>D8-E8</f>
        <v>2303</v>
      </c>
    </row>
    <row r="9" spans="1:6">
      <c r="A9" s="8">
        <v>2</v>
      </c>
      <c r="B9" s="11" t="s">
        <v>200</v>
      </c>
      <c r="C9" s="11"/>
      <c r="D9" s="9"/>
      <c r="E9" s="11"/>
      <c r="F9" s="11"/>
    </row>
    <row r="10" spans="1:6">
      <c r="A10" s="8"/>
      <c r="B10" s="11" t="s">
        <v>10</v>
      </c>
      <c r="C10" s="10">
        <v>7.5699999999999997E-4</v>
      </c>
      <c r="D10" s="12">
        <f>ROUND(D$3*C10,0)</f>
        <v>16</v>
      </c>
      <c r="E10" s="13">
        <f>ROUND(D10/2,0)</f>
        <v>8</v>
      </c>
      <c r="F10" s="12">
        <f>D10-E10</f>
        <v>8</v>
      </c>
    </row>
    <row r="11" spans="1:6">
      <c r="A11" s="8"/>
      <c r="B11" s="11" t="s">
        <v>11</v>
      </c>
      <c r="C11" s="10">
        <v>0</v>
      </c>
      <c r="D11" s="12">
        <f>ROUND(D$3*C11,0)</f>
        <v>0</v>
      </c>
      <c r="E11" s="13">
        <f>ROUND(D11/2,0)</f>
        <v>0</v>
      </c>
      <c r="F11" s="12">
        <f>D11-E11</f>
        <v>0</v>
      </c>
    </row>
    <row r="12" spans="1:6">
      <c r="A12" s="8">
        <v>2</v>
      </c>
      <c r="B12" s="11" t="s">
        <v>291</v>
      </c>
      <c r="C12" s="11"/>
      <c r="D12" s="9"/>
      <c r="E12" s="11"/>
      <c r="F12" s="11"/>
    </row>
    <row r="13" spans="1:6">
      <c r="A13" s="8"/>
      <c r="B13" s="11" t="s">
        <v>10</v>
      </c>
      <c r="C13" s="10">
        <v>2.52E-4</v>
      </c>
      <c r="D13" s="12">
        <f>ROUND(D$3*C13,0)</f>
        <v>5</v>
      </c>
      <c r="E13" s="13">
        <f>ROUND(D13/2,0)</f>
        <v>3</v>
      </c>
      <c r="F13" s="12">
        <f>D13-E13</f>
        <v>2</v>
      </c>
    </row>
    <row r="14" spans="1:6">
      <c r="A14" s="8"/>
      <c r="B14" s="11" t="s">
        <v>11</v>
      </c>
      <c r="C14" s="10">
        <v>2.9399999999999999E-4</v>
      </c>
      <c r="D14" s="12">
        <f>ROUND(D$3*C14,0)</f>
        <v>6</v>
      </c>
      <c r="E14" s="13">
        <f>ROUND(D14/2,0)</f>
        <v>3</v>
      </c>
      <c r="F14" s="12">
        <f>D14-E14</f>
        <v>3</v>
      </c>
    </row>
    <row r="15" spans="1:6">
      <c r="A15" s="8">
        <v>2</v>
      </c>
      <c r="B15" s="11" t="s">
        <v>268</v>
      </c>
      <c r="C15" s="11"/>
      <c r="D15" s="9"/>
      <c r="E15" s="11"/>
      <c r="F15" s="11"/>
    </row>
    <row r="16" spans="1:6">
      <c r="A16" s="8"/>
      <c r="B16" s="11" t="s">
        <v>10</v>
      </c>
      <c r="C16" s="10">
        <v>0</v>
      </c>
      <c r="D16" s="12">
        <f>ROUND(D$3*C16,0)</f>
        <v>0</v>
      </c>
      <c r="E16" s="13">
        <f>ROUND(D16/2,0)</f>
        <v>0</v>
      </c>
      <c r="F16" s="12">
        <f>D16-E16</f>
        <v>0</v>
      </c>
    </row>
    <row r="17" spans="1:6">
      <c r="A17" s="8"/>
      <c r="B17" s="11" t="s">
        <v>11</v>
      </c>
      <c r="C17" s="10">
        <v>0</v>
      </c>
      <c r="D17" s="12">
        <f>ROUND(D$3*C17,0)</f>
        <v>0</v>
      </c>
      <c r="E17" s="13">
        <f>ROUND(D17/2,0)</f>
        <v>0</v>
      </c>
      <c r="F17" s="12">
        <f>D17-E17</f>
        <v>0</v>
      </c>
    </row>
    <row r="18" spans="1:6">
      <c r="A18" s="8">
        <v>2</v>
      </c>
      <c r="B18" s="11" t="s">
        <v>181</v>
      </c>
      <c r="C18" s="11"/>
      <c r="D18" s="9"/>
      <c r="E18" s="11"/>
      <c r="F18" s="11"/>
    </row>
    <row r="19" spans="1:6" ht="14.45" customHeight="1">
      <c r="A19" s="8"/>
      <c r="B19" s="11" t="s">
        <v>10</v>
      </c>
      <c r="C19" s="10">
        <v>3.4889999999999999E-3</v>
      </c>
      <c r="D19" s="12">
        <f>ROUND(D$3*C19,0)</f>
        <v>76</v>
      </c>
      <c r="E19" s="13">
        <f>ROUND(D19/2,0)</f>
        <v>38</v>
      </c>
      <c r="F19" s="12">
        <f>D19-E19</f>
        <v>38</v>
      </c>
    </row>
    <row r="20" spans="1:6">
      <c r="A20" s="8"/>
      <c r="B20" s="11" t="s">
        <v>11</v>
      </c>
      <c r="C20" s="10">
        <v>0</v>
      </c>
      <c r="D20" s="12">
        <f>ROUND(D$3*C20,0)</f>
        <v>0</v>
      </c>
      <c r="E20" s="13">
        <f>ROUND(D20/2,0)</f>
        <v>0</v>
      </c>
      <c r="F20" s="12">
        <f>D20-E20</f>
        <v>0</v>
      </c>
    </row>
    <row r="21" spans="1:6">
      <c r="A21" s="8">
        <v>2</v>
      </c>
      <c r="B21" s="11" t="s">
        <v>88</v>
      </c>
      <c r="C21" s="11"/>
      <c r="D21" s="9"/>
      <c r="E21" s="11"/>
      <c r="F21" s="11"/>
    </row>
    <row r="22" spans="1:6">
      <c r="A22" s="8"/>
      <c r="B22" s="11" t="s">
        <v>10</v>
      </c>
      <c r="C22" s="10">
        <v>4.1999999999999998E-5</v>
      </c>
      <c r="D22" s="12">
        <f>ROUND(D$3*C22,0)</f>
        <v>1</v>
      </c>
      <c r="E22" s="13">
        <f>ROUND(D22/2,0)</f>
        <v>1</v>
      </c>
      <c r="F22" s="12">
        <f>D22-E22</f>
        <v>0</v>
      </c>
    </row>
    <row r="23" spans="1:6">
      <c r="A23" s="8"/>
      <c r="B23" s="11" t="s">
        <v>11</v>
      </c>
      <c r="C23" s="10">
        <v>4.1999999999999998E-5</v>
      </c>
      <c r="D23" s="12">
        <f>ROUND(D$3*C23,0)</f>
        <v>1</v>
      </c>
      <c r="E23" s="13">
        <f>ROUND(D23/2,0)</f>
        <v>1</v>
      </c>
      <c r="F23" s="12">
        <f>D23-E23</f>
        <v>0</v>
      </c>
    </row>
    <row r="24" spans="1:6">
      <c r="A24" s="8">
        <v>2</v>
      </c>
      <c r="B24" s="11" t="s">
        <v>292</v>
      </c>
      <c r="C24" s="11"/>
      <c r="D24" s="9"/>
      <c r="E24" s="11"/>
      <c r="F24" s="11"/>
    </row>
    <row r="25" spans="1:6">
      <c r="A25" s="8"/>
      <c r="B25" s="11" t="s">
        <v>10</v>
      </c>
      <c r="C25" s="10">
        <v>1.6819999999999999E-3</v>
      </c>
      <c r="D25" s="12">
        <f>ROUND(D$3*C25,0)</f>
        <v>36</v>
      </c>
      <c r="E25" s="13">
        <f>ROUND(D25/2,0)</f>
        <v>18</v>
      </c>
      <c r="F25" s="12">
        <f>D25-E25</f>
        <v>18</v>
      </c>
    </row>
    <row r="26" spans="1:6">
      <c r="A26" s="8"/>
      <c r="B26" s="11" t="s">
        <v>11</v>
      </c>
      <c r="C26" s="10">
        <v>0</v>
      </c>
      <c r="D26" s="12">
        <f>ROUND(D$3*C26,0)</f>
        <v>0</v>
      </c>
      <c r="E26" s="13">
        <f>ROUND(D26/2,0)</f>
        <v>0</v>
      </c>
      <c r="F26" s="12">
        <f>D26-E26</f>
        <v>0</v>
      </c>
    </row>
    <row r="27" spans="1:6">
      <c r="A27" s="8">
        <v>2</v>
      </c>
      <c r="B27" s="11" t="s">
        <v>293</v>
      </c>
      <c r="C27" s="11"/>
      <c r="D27" s="9"/>
      <c r="E27" s="11"/>
      <c r="F27" s="11"/>
    </row>
    <row r="28" spans="1:6">
      <c r="A28" s="8"/>
      <c r="B28" s="11" t="s">
        <v>10</v>
      </c>
      <c r="C28" s="10">
        <v>1.766E-3</v>
      </c>
      <c r="D28" s="12">
        <f>ROUND(D$3*C28,0)</f>
        <v>38</v>
      </c>
      <c r="E28" s="13">
        <f>ROUND(D28/2,0)</f>
        <v>19</v>
      </c>
      <c r="F28" s="12">
        <f>D28-E28</f>
        <v>19</v>
      </c>
    </row>
    <row r="29" spans="1:6">
      <c r="A29" s="8"/>
      <c r="B29" s="11" t="s">
        <v>11</v>
      </c>
      <c r="C29" s="10">
        <v>0</v>
      </c>
      <c r="D29" s="12">
        <f>ROUND(D$3*C29,0)</f>
        <v>0</v>
      </c>
      <c r="E29" s="13">
        <f>ROUND(D29/2,0)</f>
        <v>0</v>
      </c>
      <c r="F29" s="12">
        <f>D29-E29</f>
        <v>0</v>
      </c>
    </row>
    <row r="30" spans="1:6">
      <c r="A30" s="8">
        <v>2</v>
      </c>
      <c r="B30" s="11" t="s">
        <v>20</v>
      </c>
      <c r="C30" s="11"/>
      <c r="D30" s="9"/>
      <c r="E30" s="11"/>
      <c r="F30" s="11"/>
    </row>
    <row r="31" spans="1:6">
      <c r="A31" s="8"/>
      <c r="B31" s="11" t="s">
        <v>10</v>
      </c>
      <c r="C31" s="10">
        <v>3.7800000000000003E-4</v>
      </c>
      <c r="D31" s="12">
        <f>ROUND(D$3*C31,0)</f>
        <v>8</v>
      </c>
      <c r="E31" s="13">
        <f>ROUND(D31/2,0)</f>
        <v>4</v>
      </c>
      <c r="F31" s="12">
        <f>D31-E31</f>
        <v>4</v>
      </c>
    </row>
    <row r="32" spans="1:6">
      <c r="A32" s="8"/>
      <c r="B32" s="11" t="s">
        <v>11</v>
      </c>
      <c r="C32" s="10">
        <v>0</v>
      </c>
      <c r="D32" s="12">
        <f>ROUND(D$3*C32,0)</f>
        <v>0</v>
      </c>
      <c r="E32" s="13">
        <f>ROUND(D32/2,0)</f>
        <v>0</v>
      </c>
      <c r="F32" s="12">
        <f>D32-E32</f>
        <v>0</v>
      </c>
    </row>
    <row r="33" spans="1:6">
      <c r="A33" s="8">
        <v>2</v>
      </c>
      <c r="B33" s="11" t="s">
        <v>294</v>
      </c>
      <c r="C33" s="11"/>
      <c r="D33" s="9"/>
      <c r="E33" s="11"/>
      <c r="F33" s="11"/>
    </row>
    <row r="34" spans="1:6">
      <c r="A34" s="8"/>
      <c r="B34" s="11" t="s">
        <v>10</v>
      </c>
      <c r="C34" s="10">
        <v>2.3960000000000001E-3</v>
      </c>
      <c r="D34" s="12">
        <f t="shared" ref="D34:D41" si="0">ROUND(D$3*C34,0)</f>
        <v>52</v>
      </c>
      <c r="E34" s="13">
        <f t="shared" ref="E34:E41" si="1">ROUND(D34/2,0)</f>
        <v>26</v>
      </c>
      <c r="F34" s="12">
        <f t="shared" ref="F34:F41" si="2">D34-E34</f>
        <v>26</v>
      </c>
    </row>
    <row r="35" spans="1:6">
      <c r="A35" s="8"/>
      <c r="B35" s="11" t="s">
        <v>11</v>
      </c>
      <c r="C35" s="10">
        <v>0</v>
      </c>
      <c r="D35" s="12">
        <f t="shared" si="0"/>
        <v>0</v>
      </c>
      <c r="E35" s="13">
        <f t="shared" si="1"/>
        <v>0</v>
      </c>
      <c r="F35" s="12">
        <f t="shared" si="2"/>
        <v>0</v>
      </c>
    </row>
    <row r="36" spans="1:6">
      <c r="A36" s="8">
        <v>3</v>
      </c>
      <c r="B36" s="11" t="s">
        <v>295</v>
      </c>
      <c r="C36" s="10">
        <v>0</v>
      </c>
      <c r="D36" s="12">
        <f t="shared" si="0"/>
        <v>0</v>
      </c>
      <c r="E36" s="13">
        <f t="shared" si="1"/>
        <v>0</v>
      </c>
      <c r="F36" s="12">
        <f t="shared" si="2"/>
        <v>0</v>
      </c>
    </row>
    <row r="37" spans="1:6">
      <c r="A37" s="8">
        <v>3</v>
      </c>
      <c r="B37" s="11" t="s">
        <v>296</v>
      </c>
      <c r="C37" s="10">
        <v>8.4919999999999995E-3</v>
      </c>
      <c r="D37" s="12">
        <f t="shared" si="0"/>
        <v>184</v>
      </c>
      <c r="E37" s="13">
        <f t="shared" si="1"/>
        <v>92</v>
      </c>
      <c r="F37" s="12">
        <f t="shared" si="2"/>
        <v>92</v>
      </c>
    </row>
    <row r="38" spans="1:6">
      <c r="A38" s="8">
        <v>3</v>
      </c>
      <c r="B38" s="11" t="s">
        <v>297</v>
      </c>
      <c r="C38" s="10">
        <v>0</v>
      </c>
      <c r="D38" s="12">
        <f t="shared" si="0"/>
        <v>0</v>
      </c>
      <c r="E38" s="13">
        <f t="shared" si="1"/>
        <v>0</v>
      </c>
      <c r="F38" s="12">
        <f t="shared" si="2"/>
        <v>0</v>
      </c>
    </row>
    <row r="39" spans="1:6">
      <c r="A39" s="8">
        <v>3</v>
      </c>
      <c r="B39" s="11" t="s">
        <v>298</v>
      </c>
      <c r="C39" s="10">
        <v>3.447E-3</v>
      </c>
      <c r="D39" s="12">
        <f t="shared" si="0"/>
        <v>75</v>
      </c>
      <c r="E39" s="13">
        <f t="shared" si="1"/>
        <v>38</v>
      </c>
      <c r="F39" s="12">
        <f t="shared" si="2"/>
        <v>37</v>
      </c>
    </row>
    <row r="40" spans="1:6">
      <c r="A40" s="8">
        <v>3</v>
      </c>
      <c r="B40" s="11" t="s">
        <v>299</v>
      </c>
      <c r="C40" s="10">
        <v>1.219E-3</v>
      </c>
      <c r="D40" s="12">
        <f t="shared" si="0"/>
        <v>26</v>
      </c>
      <c r="E40" s="13">
        <f t="shared" si="1"/>
        <v>13</v>
      </c>
      <c r="F40" s="12">
        <f t="shared" si="2"/>
        <v>13</v>
      </c>
    </row>
    <row r="41" spans="1:6">
      <c r="A41" s="8">
        <v>4</v>
      </c>
      <c r="B41" s="11" t="s">
        <v>300</v>
      </c>
      <c r="C41" s="10">
        <v>0.57977000000000001</v>
      </c>
      <c r="D41" s="9">
        <f t="shared" si="0"/>
        <v>12573</v>
      </c>
      <c r="E41" s="11">
        <f t="shared" si="1"/>
        <v>6287</v>
      </c>
      <c r="F41" s="9">
        <f t="shared" si="2"/>
        <v>6286</v>
      </c>
    </row>
    <row r="42" spans="1:6">
      <c r="A42" s="8"/>
      <c r="B42" s="11" t="s">
        <v>28</v>
      </c>
      <c r="C42" s="11"/>
      <c r="D42" s="14">
        <v>0.334123</v>
      </c>
      <c r="E42" s="11"/>
      <c r="F42" s="11"/>
    </row>
    <row r="43" spans="1:6">
      <c r="A43" s="8"/>
      <c r="B43" s="11" t="s">
        <v>29</v>
      </c>
      <c r="C43" s="11"/>
      <c r="D43" s="225">
        <f>ROUND(D41*D42,0)</f>
        <v>4201</v>
      </c>
      <c r="E43" s="226">
        <f t="shared" ref="E43:E49" si="3">ROUND(D43/2,0)</f>
        <v>2101</v>
      </c>
      <c r="F43" s="225">
        <f t="shared" ref="F43:F49" si="4">D43-E43</f>
        <v>2100</v>
      </c>
    </row>
    <row r="44" spans="1:6">
      <c r="A44" s="8"/>
      <c r="B44" s="11" t="s">
        <v>30</v>
      </c>
      <c r="C44" s="11"/>
      <c r="D44" s="12">
        <f>+D41-D43</f>
        <v>8372</v>
      </c>
      <c r="E44" s="13">
        <f t="shared" si="3"/>
        <v>4186</v>
      </c>
      <c r="F44" s="12">
        <f t="shared" si="4"/>
        <v>4186</v>
      </c>
    </row>
    <row r="45" spans="1:6">
      <c r="A45" s="8">
        <v>5</v>
      </c>
      <c r="B45" s="11" t="s">
        <v>301</v>
      </c>
      <c r="C45" s="10">
        <v>1.257E-2</v>
      </c>
      <c r="D45" s="12">
        <f>ROUND(D$3*C45,0)</f>
        <v>273</v>
      </c>
      <c r="E45" s="13">
        <f t="shared" si="3"/>
        <v>137</v>
      </c>
      <c r="F45" s="12">
        <f t="shared" si="4"/>
        <v>136</v>
      </c>
    </row>
    <row r="46" spans="1:6">
      <c r="A46" s="8">
        <v>6</v>
      </c>
      <c r="B46" s="11" t="s">
        <v>302</v>
      </c>
      <c r="C46" s="10">
        <v>1.917E-2</v>
      </c>
      <c r="D46" s="12">
        <f>ROUND(D$3*C46,0)</f>
        <v>416</v>
      </c>
      <c r="E46" s="13">
        <f t="shared" si="3"/>
        <v>208</v>
      </c>
      <c r="F46" s="12">
        <f t="shared" si="4"/>
        <v>208</v>
      </c>
    </row>
    <row r="47" spans="1:6">
      <c r="A47" s="8">
        <v>6</v>
      </c>
      <c r="B47" s="11" t="s">
        <v>303</v>
      </c>
      <c r="C47" s="10">
        <v>1.7319999999999999E-2</v>
      </c>
      <c r="D47" s="12">
        <f>ROUND(D$3*C47,0)</f>
        <v>376</v>
      </c>
      <c r="E47" s="13">
        <f t="shared" si="3"/>
        <v>188</v>
      </c>
      <c r="F47" s="12">
        <f t="shared" si="4"/>
        <v>188</v>
      </c>
    </row>
    <row r="48" spans="1:6">
      <c r="A48" s="8">
        <v>6</v>
      </c>
      <c r="B48" s="11" t="s">
        <v>304</v>
      </c>
      <c r="C48" s="10">
        <v>1.1393E-2</v>
      </c>
      <c r="D48" s="12">
        <f>ROUND(D$3*C48,0)</f>
        <v>247</v>
      </c>
      <c r="E48" s="13">
        <f t="shared" si="3"/>
        <v>124</v>
      </c>
      <c r="F48" s="12">
        <f t="shared" si="4"/>
        <v>123</v>
      </c>
    </row>
    <row r="49" spans="1:8">
      <c r="A49" s="8">
        <v>6</v>
      </c>
      <c r="B49" s="11" t="s">
        <v>305</v>
      </c>
      <c r="C49" s="10">
        <v>1.2697999999999987E-2</v>
      </c>
      <c r="D49" s="12">
        <f>+D3-SUM(D4:D5)-SUM(D10:D41)-SUM(D45:D48)</f>
        <v>277</v>
      </c>
      <c r="E49" s="13">
        <f t="shared" si="3"/>
        <v>139</v>
      </c>
      <c r="F49" s="12">
        <f t="shared" si="4"/>
        <v>138</v>
      </c>
    </row>
    <row r="50" spans="1:8">
      <c r="A50" s="8"/>
      <c r="B50" s="28" t="s">
        <v>288</v>
      </c>
      <c r="C50" s="10">
        <v>1</v>
      </c>
      <c r="D50" s="12">
        <f>+D4+SUM(D7:D40)+SUM(D43:D49)</f>
        <v>21687</v>
      </c>
      <c r="E50" s="12">
        <f>+E4+SUM(E7:E40)+SUM(E43:E49)</f>
        <v>10848</v>
      </c>
      <c r="F50" s="12">
        <f>+F4+SUM(F7:F40)+SUM(F43:F49)</f>
        <v>10839</v>
      </c>
    </row>
    <row r="51" spans="1:8">
      <c r="B51" s="18" t="s">
        <v>38</v>
      </c>
      <c r="D51" s="19">
        <f>+D4</f>
        <v>22</v>
      </c>
      <c r="E51" s="19">
        <f>+E4</f>
        <v>11</v>
      </c>
      <c r="F51" s="19">
        <f>+F4</f>
        <v>11</v>
      </c>
    </row>
    <row r="52" spans="1:8">
      <c r="B52" s="2" t="s">
        <v>39</v>
      </c>
      <c r="D52" s="19">
        <f>+D7</f>
        <v>2373</v>
      </c>
      <c r="E52" s="19">
        <f>+E7</f>
        <v>1187</v>
      </c>
      <c r="F52" s="19">
        <f>+F7</f>
        <v>1186</v>
      </c>
    </row>
    <row r="53" spans="1:8">
      <c r="B53" s="2" t="s">
        <v>40</v>
      </c>
      <c r="D53" s="19">
        <f>+D43</f>
        <v>4201</v>
      </c>
      <c r="E53" s="19">
        <f>+E43</f>
        <v>2101</v>
      </c>
      <c r="F53" s="19">
        <f>+F43</f>
        <v>2100</v>
      </c>
      <c r="H53" s="3">
        <v>1</v>
      </c>
    </row>
    <row r="54" spans="1:8">
      <c r="B54" s="18" t="s">
        <v>41</v>
      </c>
      <c r="D54" s="19">
        <f>+D50-D51-D52-D53</f>
        <v>15091</v>
      </c>
      <c r="E54" s="19">
        <f>+E50-E51-E52-E53</f>
        <v>7549</v>
      </c>
      <c r="F54" s="19">
        <f>+F50-F51-F52-F53</f>
        <v>7542</v>
      </c>
      <c r="H54" s="3">
        <v>2</v>
      </c>
    </row>
    <row r="56" spans="1:8" hidden="1">
      <c r="B56" s="3" t="s">
        <v>42</v>
      </c>
      <c r="C56" s="4">
        <v>1.9999999999863877E-6</v>
      </c>
      <c r="D56" s="3">
        <f>+D49-ROUND(D3*C49,0)</f>
        <v>2</v>
      </c>
    </row>
    <row r="71" spans="1:1">
      <c r="A71" s="1" t="s">
        <v>590</v>
      </c>
    </row>
  </sheetData>
  <pageMargins left="0.7" right="0.7" top="0.75" bottom="0.75" header="0.3" footer="0.3"/>
  <pageSetup scale="6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WVB71"/>
  <sheetViews>
    <sheetView topLeftCell="A35" zoomScaleNormal="100" zoomScaleSheetLayoutView="90" workbookViewId="0">
      <selection activeCell="D56" activeCellId="3" sqref="D7:F7 D48:F48 D52:F52 D56:F56"/>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425781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425781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425781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425781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425781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425781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425781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425781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425781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425781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425781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425781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425781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425781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425781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425781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425781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425781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425781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425781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425781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425781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425781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425781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425781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425781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425781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425781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425781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425781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425781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425781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425781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425781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425781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425781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425781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425781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425781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425781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425781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425781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425781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425781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425781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425781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425781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425781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425781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425781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425781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425781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425781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425781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425781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425781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425781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425781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425781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425781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425781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425781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425781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306</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ht="15.75">
      <c r="A3" s="7" t="s">
        <v>2</v>
      </c>
      <c r="B3" s="7" t="s">
        <v>3</v>
      </c>
      <c r="C3" s="10"/>
      <c r="D3" s="33">
        <f>'Allocation Worksheet'!$D$17</f>
        <v>476173</v>
      </c>
      <c r="E3" s="11"/>
      <c r="F3" s="11"/>
    </row>
    <row r="4" spans="1:6">
      <c r="A4" s="8">
        <v>0</v>
      </c>
      <c r="B4" s="11" t="s">
        <v>4</v>
      </c>
      <c r="C4" s="10">
        <v>1.2359999999999999E-3</v>
      </c>
      <c r="D4" s="13">
        <f>ROUND(D$3*C4,0)</f>
        <v>589</v>
      </c>
      <c r="E4" s="13">
        <f>ROUND(D4/2,0)</f>
        <v>295</v>
      </c>
      <c r="F4" s="13">
        <f>D4-E4</f>
        <v>294</v>
      </c>
    </row>
    <row r="5" spans="1:6">
      <c r="A5" s="8">
        <v>1</v>
      </c>
      <c r="B5" s="11" t="s">
        <v>307</v>
      </c>
      <c r="C5" s="10">
        <v>0.245833</v>
      </c>
      <c r="D5" s="11">
        <f>ROUND(D$3*C5,0)</f>
        <v>117059</v>
      </c>
      <c r="E5" s="11">
        <f>ROUND(D5/2,0)</f>
        <v>58530</v>
      </c>
      <c r="F5" s="11">
        <f>D5-E5</f>
        <v>58529</v>
      </c>
    </row>
    <row r="6" spans="1:6">
      <c r="A6" s="8"/>
      <c r="B6" s="11" t="s">
        <v>6</v>
      </c>
      <c r="C6" s="11"/>
      <c r="D6" s="14">
        <v>0.11137900000000001</v>
      </c>
      <c r="E6" s="11"/>
      <c r="F6" s="11"/>
    </row>
    <row r="7" spans="1:6">
      <c r="A7" s="8"/>
      <c r="B7" s="11" t="s">
        <v>7</v>
      </c>
      <c r="C7" s="11"/>
      <c r="D7" s="225">
        <f>ROUND(D5*D6,0)</f>
        <v>13038</v>
      </c>
      <c r="E7" s="226">
        <f>ROUND(D7/2,0)</f>
        <v>6519</v>
      </c>
      <c r="F7" s="226">
        <f>D7-E7</f>
        <v>6519</v>
      </c>
    </row>
    <row r="8" spans="1:6">
      <c r="A8" s="8"/>
      <c r="B8" s="11" t="s">
        <v>8</v>
      </c>
      <c r="C8" s="11"/>
      <c r="D8" s="13">
        <f>+D5-D7</f>
        <v>104021</v>
      </c>
      <c r="E8" s="13">
        <f>ROUND(D8/2,0)</f>
        <v>52011</v>
      </c>
      <c r="F8" s="13">
        <f>D8-E8</f>
        <v>52010</v>
      </c>
    </row>
    <row r="9" spans="1:6">
      <c r="A9" s="8">
        <v>2</v>
      </c>
      <c r="B9" s="11" t="s">
        <v>308</v>
      </c>
      <c r="C9" s="11"/>
      <c r="D9" s="11"/>
      <c r="E9" s="11"/>
      <c r="F9" s="11"/>
    </row>
    <row r="10" spans="1:6">
      <c r="A10" s="8"/>
      <c r="B10" s="11" t="s">
        <v>10</v>
      </c>
      <c r="C10" s="10">
        <v>1.0430000000000001E-3</v>
      </c>
      <c r="D10" s="13">
        <f>ROUND(D$3*C10,0)</f>
        <v>497</v>
      </c>
      <c r="E10" s="13">
        <f>ROUND(D10/2,0)</f>
        <v>249</v>
      </c>
      <c r="F10" s="13">
        <f>D10-E10</f>
        <v>248</v>
      </c>
    </row>
    <row r="11" spans="1:6">
      <c r="A11" s="8"/>
      <c r="B11" s="11" t="s">
        <v>11</v>
      </c>
      <c r="C11" s="10">
        <v>9.19E-4</v>
      </c>
      <c r="D11" s="13">
        <f>ROUND(D$3*C11,0)</f>
        <v>438</v>
      </c>
      <c r="E11" s="13">
        <f>ROUND(D11/2,0)</f>
        <v>219</v>
      </c>
      <c r="F11" s="13">
        <f>D11-E11</f>
        <v>219</v>
      </c>
    </row>
    <row r="12" spans="1:6">
      <c r="A12" s="8">
        <v>2</v>
      </c>
      <c r="B12" s="11" t="s">
        <v>309</v>
      </c>
      <c r="C12" s="11"/>
      <c r="D12" s="11"/>
      <c r="E12" s="11"/>
      <c r="F12" s="11"/>
    </row>
    <row r="13" spans="1:6">
      <c r="A13" s="8"/>
      <c r="B13" s="11" t="s">
        <v>10</v>
      </c>
      <c r="C13" s="10">
        <v>3.3500000000000001E-4</v>
      </c>
      <c r="D13" s="13">
        <f>ROUND(D$3*C13,0)</f>
        <v>160</v>
      </c>
      <c r="E13" s="13">
        <f>ROUND(D13/2,0)</f>
        <v>80</v>
      </c>
      <c r="F13" s="13">
        <f>D13-E13</f>
        <v>80</v>
      </c>
    </row>
    <row r="14" spans="1:6">
      <c r="A14" s="8"/>
      <c r="B14" s="11" t="s">
        <v>11</v>
      </c>
      <c r="C14" s="10">
        <v>5.3999999999999998E-5</v>
      </c>
      <c r="D14" s="13">
        <f>ROUND(D$3*C14,0)</f>
        <v>26</v>
      </c>
      <c r="E14" s="13">
        <f>ROUND(D14/2,0)</f>
        <v>13</v>
      </c>
      <c r="F14" s="13">
        <f>D14-E14</f>
        <v>13</v>
      </c>
    </row>
    <row r="15" spans="1:6">
      <c r="A15" s="8">
        <v>2</v>
      </c>
      <c r="B15" s="11" t="s">
        <v>310</v>
      </c>
      <c r="C15" s="11"/>
      <c r="D15" s="11"/>
      <c r="E15" s="11"/>
      <c r="F15" s="11"/>
    </row>
    <row r="16" spans="1:6">
      <c r="A16" s="8"/>
      <c r="B16" s="11" t="s">
        <v>10</v>
      </c>
      <c r="C16" s="10">
        <v>5.2400000000000005E-4</v>
      </c>
      <c r="D16" s="13">
        <f>ROUND(D$3*C16,0)</f>
        <v>250</v>
      </c>
      <c r="E16" s="13">
        <f>ROUND(D16/2,0)</f>
        <v>125</v>
      </c>
      <c r="F16" s="13">
        <f>D16-E16</f>
        <v>125</v>
      </c>
    </row>
    <row r="17" spans="1:6">
      <c r="A17" s="8"/>
      <c r="B17" s="11" t="s">
        <v>11</v>
      </c>
      <c r="C17" s="10">
        <v>3.39E-4</v>
      </c>
      <c r="D17" s="13">
        <f>ROUND(D$3*C17,0)</f>
        <v>161</v>
      </c>
      <c r="E17" s="13">
        <f>ROUND(D17/2,0)</f>
        <v>81</v>
      </c>
      <c r="F17" s="13">
        <f>D17-E17</f>
        <v>80</v>
      </c>
    </row>
    <row r="18" spans="1:6">
      <c r="A18" s="8">
        <v>2</v>
      </c>
      <c r="B18" s="11" t="s">
        <v>86</v>
      </c>
      <c r="C18" s="11"/>
      <c r="D18" s="11"/>
      <c r="E18" s="11"/>
      <c r="F18" s="11"/>
    </row>
    <row r="19" spans="1:6">
      <c r="A19" s="8"/>
      <c r="B19" s="11" t="s">
        <v>10</v>
      </c>
      <c r="C19" s="10">
        <v>1.36E-4</v>
      </c>
      <c r="D19" s="13">
        <f>ROUND(D$3*C19,0)</f>
        <v>65</v>
      </c>
      <c r="E19" s="13">
        <f>ROUND(D19/2,0)</f>
        <v>33</v>
      </c>
      <c r="F19" s="13">
        <f>D19-E19</f>
        <v>32</v>
      </c>
    </row>
    <row r="20" spans="1:6">
      <c r="A20" s="8"/>
      <c r="B20" s="11" t="s">
        <v>11</v>
      </c>
      <c r="C20" s="10">
        <v>0</v>
      </c>
      <c r="D20" s="13">
        <f>ROUND(D$3*C20,0)</f>
        <v>0</v>
      </c>
      <c r="E20" s="13">
        <f>ROUND(D20/2,0)</f>
        <v>0</v>
      </c>
      <c r="F20" s="13">
        <f>D20-E20</f>
        <v>0</v>
      </c>
    </row>
    <row r="21" spans="1:6">
      <c r="A21" s="8">
        <v>2</v>
      </c>
      <c r="B21" s="11" t="s">
        <v>52</v>
      </c>
      <c r="C21" s="11"/>
      <c r="D21" s="11"/>
      <c r="E21" s="11"/>
      <c r="F21" s="11"/>
    </row>
    <row r="22" spans="1:6">
      <c r="A22" s="8"/>
      <c r="B22" s="11" t="s">
        <v>10</v>
      </c>
      <c r="C22" s="10">
        <v>2.8499999999999999E-4</v>
      </c>
      <c r="D22" s="13">
        <f>ROUND(D$3*C22,0)</f>
        <v>136</v>
      </c>
      <c r="E22" s="13">
        <f>ROUND(D22/2,0)</f>
        <v>68</v>
      </c>
      <c r="F22" s="13">
        <f>D22-E22</f>
        <v>68</v>
      </c>
    </row>
    <row r="23" spans="1:6">
      <c r="A23" s="8"/>
      <c r="B23" s="11" t="s">
        <v>11</v>
      </c>
      <c r="C23" s="10">
        <v>2.3900000000000001E-4</v>
      </c>
      <c r="D23" s="13">
        <f>ROUND(D$3*C23,0)</f>
        <v>114</v>
      </c>
      <c r="E23" s="13">
        <f>ROUND(D23/2,0)</f>
        <v>57</v>
      </c>
      <c r="F23" s="13">
        <f>D23-E23</f>
        <v>57</v>
      </c>
    </row>
    <row r="24" spans="1:6">
      <c r="A24" s="8">
        <v>2</v>
      </c>
      <c r="B24" s="11" t="s">
        <v>311</v>
      </c>
      <c r="C24" s="11"/>
      <c r="D24" s="11"/>
      <c r="E24" s="11"/>
      <c r="F24" s="11"/>
    </row>
    <row r="25" spans="1:6">
      <c r="A25" s="8"/>
      <c r="B25" s="11" t="s">
        <v>10</v>
      </c>
      <c r="C25" s="10">
        <v>3.8699999999999997E-4</v>
      </c>
      <c r="D25" s="13">
        <f>ROUND(D$3*C25,0)</f>
        <v>184</v>
      </c>
      <c r="E25" s="13">
        <f>ROUND(D25/2,0)</f>
        <v>92</v>
      </c>
      <c r="F25" s="13">
        <f>D25-E25</f>
        <v>92</v>
      </c>
    </row>
    <row r="26" spans="1:6">
      <c r="A26" s="8"/>
      <c r="B26" s="11" t="s">
        <v>11</v>
      </c>
      <c r="C26" s="10">
        <v>0</v>
      </c>
      <c r="D26" s="13">
        <f>ROUND(D$3*C26,0)</f>
        <v>0</v>
      </c>
      <c r="E26" s="13">
        <f>ROUND(D26/2,0)</f>
        <v>0</v>
      </c>
      <c r="F26" s="13">
        <f>D26-E26</f>
        <v>0</v>
      </c>
    </row>
    <row r="27" spans="1:6">
      <c r="A27" s="8">
        <v>2</v>
      </c>
      <c r="B27" s="11" t="s">
        <v>312</v>
      </c>
      <c r="C27" s="11"/>
      <c r="D27" s="11"/>
      <c r="E27" s="11"/>
      <c r="F27" s="11"/>
    </row>
    <row r="28" spans="1:6">
      <c r="A28" s="8"/>
      <c r="B28" s="11" t="s">
        <v>10</v>
      </c>
      <c r="C28" s="10">
        <v>1.3990000000000001E-3</v>
      </c>
      <c r="D28" s="13">
        <f>ROUND(D$3*C28,0)</f>
        <v>666</v>
      </c>
      <c r="E28" s="13">
        <f>ROUND(D28/2,0)</f>
        <v>333</v>
      </c>
      <c r="F28" s="13">
        <f>D28-E28</f>
        <v>333</v>
      </c>
    </row>
    <row r="29" spans="1:6">
      <c r="A29" s="8"/>
      <c r="B29" s="11" t="s">
        <v>11</v>
      </c>
      <c r="C29" s="10">
        <v>1.9100000000000001E-4</v>
      </c>
      <c r="D29" s="13">
        <f>ROUND(D$3*C29,0)</f>
        <v>91</v>
      </c>
      <c r="E29" s="13">
        <f>ROUND(D29/2,0)</f>
        <v>46</v>
      </c>
      <c r="F29" s="13">
        <f>D29-E29</f>
        <v>45</v>
      </c>
    </row>
    <row r="30" spans="1:6">
      <c r="A30" s="8">
        <v>2</v>
      </c>
      <c r="B30" s="11" t="s">
        <v>169</v>
      </c>
      <c r="C30" s="11"/>
      <c r="D30" s="11"/>
      <c r="E30" s="11"/>
      <c r="F30" s="11"/>
    </row>
    <row r="31" spans="1:6">
      <c r="A31" s="8"/>
      <c r="B31" s="11" t="s">
        <v>10</v>
      </c>
      <c r="C31" s="10">
        <v>7.18E-4</v>
      </c>
      <c r="D31" s="13">
        <f>ROUND(D$3*C31,0)</f>
        <v>342</v>
      </c>
      <c r="E31" s="13">
        <f>ROUND(D31/2,0)</f>
        <v>171</v>
      </c>
      <c r="F31" s="13">
        <f>D31-E31</f>
        <v>171</v>
      </c>
    </row>
    <row r="32" spans="1:6">
      <c r="A32" s="8"/>
      <c r="B32" s="11" t="s">
        <v>11</v>
      </c>
      <c r="C32" s="10">
        <v>1.8200000000000001E-4</v>
      </c>
      <c r="D32" s="13">
        <f>ROUND(D$3*C32,0)</f>
        <v>87</v>
      </c>
      <c r="E32" s="13">
        <f>ROUND(D32/2,0)</f>
        <v>44</v>
      </c>
      <c r="F32" s="13">
        <f>D32-E32</f>
        <v>43</v>
      </c>
    </row>
    <row r="33" spans="1:6">
      <c r="A33" s="8">
        <v>2</v>
      </c>
      <c r="B33" s="11" t="s">
        <v>313</v>
      </c>
      <c r="C33" s="11"/>
      <c r="D33" s="11"/>
      <c r="E33" s="11"/>
      <c r="F33" s="11"/>
    </row>
    <row r="34" spans="1:6">
      <c r="A34" s="8"/>
      <c r="B34" s="11" t="s">
        <v>10</v>
      </c>
      <c r="C34" s="10">
        <v>2.14E-4</v>
      </c>
      <c r="D34" s="13">
        <f>ROUND(D$3*C34,0)</f>
        <v>102</v>
      </c>
      <c r="E34" s="13">
        <f>ROUND(D34/2,0)</f>
        <v>51</v>
      </c>
      <c r="F34" s="13">
        <f>D34-E34</f>
        <v>51</v>
      </c>
    </row>
    <row r="35" spans="1:6">
      <c r="A35" s="8"/>
      <c r="B35" s="11" t="s">
        <v>11</v>
      </c>
      <c r="C35" s="10">
        <v>0</v>
      </c>
      <c r="D35" s="13">
        <f>ROUND(D$3*C35,0)</f>
        <v>0</v>
      </c>
      <c r="E35" s="13">
        <f>ROUND(D35/2,0)</f>
        <v>0</v>
      </c>
      <c r="F35" s="13">
        <f>D35-E35</f>
        <v>0</v>
      </c>
    </row>
    <row r="36" spans="1:6">
      <c r="A36" s="8">
        <v>2</v>
      </c>
      <c r="B36" s="11" t="s">
        <v>22</v>
      </c>
      <c r="C36" s="11"/>
      <c r="D36" s="11"/>
      <c r="E36" s="11"/>
      <c r="F36" s="11"/>
    </row>
    <row r="37" spans="1:6">
      <c r="A37" s="8"/>
      <c r="B37" s="11" t="s">
        <v>10</v>
      </c>
      <c r="C37" s="10">
        <v>1.4161E-2</v>
      </c>
      <c r="D37" s="13">
        <f t="shared" ref="D37:D46" si="0">ROUND(D$3*C37,0)</f>
        <v>6743</v>
      </c>
      <c r="E37" s="13">
        <f t="shared" ref="E37:E46" si="1">ROUND(D37/2,0)</f>
        <v>3372</v>
      </c>
      <c r="F37" s="13">
        <f t="shared" ref="F37:F46" si="2">D37-E37</f>
        <v>3371</v>
      </c>
    </row>
    <row r="38" spans="1:6">
      <c r="A38" s="8"/>
      <c r="B38" s="11" t="s">
        <v>11</v>
      </c>
      <c r="C38" s="10">
        <v>2.8499999999999999E-4</v>
      </c>
      <c r="D38" s="13">
        <f t="shared" si="0"/>
        <v>136</v>
      </c>
      <c r="E38" s="13">
        <f t="shared" si="1"/>
        <v>68</v>
      </c>
      <c r="F38" s="13">
        <f t="shared" si="2"/>
        <v>68</v>
      </c>
    </row>
    <row r="39" spans="1:6">
      <c r="A39" s="8">
        <v>3</v>
      </c>
      <c r="B39" s="11" t="s">
        <v>314</v>
      </c>
      <c r="C39" s="10">
        <v>3.4E-5</v>
      </c>
      <c r="D39" s="13">
        <f t="shared" si="0"/>
        <v>16</v>
      </c>
      <c r="E39" s="13">
        <f t="shared" si="1"/>
        <v>8</v>
      </c>
      <c r="F39" s="13">
        <f t="shared" si="2"/>
        <v>8</v>
      </c>
    </row>
    <row r="40" spans="1:6">
      <c r="A40" s="8">
        <v>3</v>
      </c>
      <c r="B40" s="11" t="s">
        <v>315</v>
      </c>
      <c r="C40" s="10">
        <v>1.9100000000000001E-4</v>
      </c>
      <c r="D40" s="13">
        <f t="shared" si="0"/>
        <v>91</v>
      </c>
      <c r="E40" s="13">
        <f t="shared" si="1"/>
        <v>46</v>
      </c>
      <c r="F40" s="13">
        <f t="shared" si="2"/>
        <v>45</v>
      </c>
    </row>
    <row r="41" spans="1:6">
      <c r="A41" s="8">
        <v>3</v>
      </c>
      <c r="B41" s="11" t="s">
        <v>316</v>
      </c>
      <c r="C41" s="10">
        <v>1.2570000000000001E-3</v>
      </c>
      <c r="D41" s="13">
        <f t="shared" si="0"/>
        <v>599</v>
      </c>
      <c r="E41" s="13">
        <f t="shared" si="1"/>
        <v>300</v>
      </c>
      <c r="F41" s="13">
        <f t="shared" si="2"/>
        <v>299</v>
      </c>
    </row>
    <row r="42" spans="1:6">
      <c r="A42" s="8">
        <v>3</v>
      </c>
      <c r="B42" s="11" t="s">
        <v>317</v>
      </c>
      <c r="C42" s="10">
        <v>5.8640000000000003E-3</v>
      </c>
      <c r="D42" s="13">
        <f t="shared" si="0"/>
        <v>2792</v>
      </c>
      <c r="E42" s="13">
        <f t="shared" si="1"/>
        <v>1396</v>
      </c>
      <c r="F42" s="13">
        <f t="shared" si="2"/>
        <v>1396</v>
      </c>
    </row>
    <row r="43" spans="1:6">
      <c r="A43" s="8">
        <v>3</v>
      </c>
      <c r="B43" s="11" t="s">
        <v>318</v>
      </c>
      <c r="C43" s="10">
        <v>1.7110000000000001E-3</v>
      </c>
      <c r="D43" s="13">
        <f t="shared" si="0"/>
        <v>815</v>
      </c>
      <c r="E43" s="13">
        <f t="shared" si="1"/>
        <v>408</v>
      </c>
      <c r="F43" s="13">
        <f t="shared" si="2"/>
        <v>407</v>
      </c>
    </row>
    <row r="44" spans="1:6">
      <c r="A44" s="8">
        <v>3</v>
      </c>
      <c r="B44" s="11" t="s">
        <v>319</v>
      </c>
      <c r="C44" s="10">
        <v>1.673E-3</v>
      </c>
      <c r="D44" s="13">
        <f t="shared" si="0"/>
        <v>797</v>
      </c>
      <c r="E44" s="13">
        <f t="shared" si="1"/>
        <v>399</v>
      </c>
      <c r="F44" s="13">
        <f t="shared" si="2"/>
        <v>398</v>
      </c>
    </row>
    <row r="45" spans="1:6">
      <c r="A45" s="8">
        <v>3</v>
      </c>
      <c r="B45" s="11" t="s">
        <v>320</v>
      </c>
      <c r="C45" s="10">
        <v>0.100928</v>
      </c>
      <c r="D45" s="13">
        <f t="shared" si="0"/>
        <v>48059</v>
      </c>
      <c r="E45" s="13">
        <f t="shared" si="1"/>
        <v>24030</v>
      </c>
      <c r="F45" s="13">
        <f t="shared" si="2"/>
        <v>24029</v>
      </c>
    </row>
    <row r="46" spans="1:6">
      <c r="A46" s="8">
        <v>4</v>
      </c>
      <c r="B46" s="11" t="s">
        <v>321</v>
      </c>
      <c r="C46" s="10">
        <v>9.9961999999999995E-2</v>
      </c>
      <c r="D46" s="11">
        <f t="shared" si="0"/>
        <v>47599</v>
      </c>
      <c r="E46" s="11">
        <f t="shared" si="1"/>
        <v>23800</v>
      </c>
      <c r="F46" s="11">
        <f t="shared" si="2"/>
        <v>23799</v>
      </c>
    </row>
    <row r="47" spans="1:6">
      <c r="A47" s="8"/>
      <c r="B47" s="11" t="s">
        <v>28</v>
      </c>
      <c r="C47" s="11"/>
      <c r="D47" s="14">
        <v>0.476047</v>
      </c>
      <c r="E47" s="11"/>
      <c r="F47" s="11"/>
    </row>
    <row r="48" spans="1:6">
      <c r="A48" s="8"/>
      <c r="B48" s="11" t="s">
        <v>29</v>
      </c>
      <c r="C48" s="11"/>
      <c r="D48" s="225">
        <f>ROUND(D46*D47,0)</f>
        <v>22659</v>
      </c>
      <c r="E48" s="226">
        <f>ROUND(D48/2,0)</f>
        <v>11330</v>
      </c>
      <c r="F48" s="226">
        <f>D48-E48</f>
        <v>11329</v>
      </c>
    </row>
    <row r="49" spans="1:6">
      <c r="A49" s="8"/>
      <c r="B49" s="11" t="s">
        <v>30</v>
      </c>
      <c r="C49" s="11"/>
      <c r="D49" s="13">
        <f>+D46-D48</f>
        <v>24940</v>
      </c>
      <c r="E49" s="13">
        <f>ROUND(D49/2,0)</f>
        <v>12470</v>
      </c>
      <c r="F49" s="13">
        <f>D49-E49</f>
        <v>12470</v>
      </c>
    </row>
    <row r="50" spans="1:6">
      <c r="A50" s="8">
        <v>4</v>
      </c>
      <c r="B50" s="11" t="s">
        <v>322</v>
      </c>
      <c r="C50" s="10">
        <v>0.11271</v>
      </c>
      <c r="D50" s="11">
        <f>ROUND(D$3*C50,0)</f>
        <v>53669</v>
      </c>
      <c r="E50" s="11">
        <f>ROUND(D50/2,0)</f>
        <v>26835</v>
      </c>
      <c r="F50" s="11">
        <f>D50-E50</f>
        <v>26834</v>
      </c>
    </row>
    <row r="51" spans="1:6">
      <c r="A51" s="8"/>
      <c r="B51" s="11" t="s">
        <v>28</v>
      </c>
      <c r="C51" s="11"/>
      <c r="D51" s="14">
        <v>0.42667899999999997</v>
      </c>
      <c r="E51" s="11"/>
      <c r="F51" s="11"/>
    </row>
    <row r="52" spans="1:6">
      <c r="A52" s="8"/>
      <c r="B52" s="11" t="s">
        <v>29</v>
      </c>
      <c r="C52" s="11"/>
      <c r="D52" s="225">
        <f>ROUND(D50*D51,0)</f>
        <v>22899</v>
      </c>
      <c r="E52" s="226">
        <f>ROUND(D52/2,0)</f>
        <v>11450</v>
      </c>
      <c r="F52" s="226">
        <f>D52-E52</f>
        <v>11449</v>
      </c>
    </row>
    <row r="53" spans="1:6">
      <c r="A53" s="8"/>
      <c r="B53" s="11" t="s">
        <v>30</v>
      </c>
      <c r="C53" s="11"/>
      <c r="D53" s="13">
        <f>+D50-D52</f>
        <v>30770</v>
      </c>
      <c r="E53" s="13">
        <f>ROUND(D53/2,0)</f>
        <v>15385</v>
      </c>
      <c r="F53" s="13">
        <f>D53-E53</f>
        <v>15385</v>
      </c>
    </row>
    <row r="54" spans="1:6">
      <c r="A54" s="8">
        <v>4</v>
      </c>
      <c r="B54" s="11" t="s">
        <v>323</v>
      </c>
      <c r="C54" s="10">
        <v>0.38101200000000002</v>
      </c>
      <c r="D54" s="11">
        <f>ROUND(D$3*C54,0)</f>
        <v>181428</v>
      </c>
      <c r="E54" s="11">
        <f>ROUND(D54/2,0)</f>
        <v>90714</v>
      </c>
      <c r="F54" s="11">
        <f>D54-E54</f>
        <v>90714</v>
      </c>
    </row>
    <row r="55" spans="1:6">
      <c r="A55" s="8"/>
      <c r="B55" s="11" t="s">
        <v>28</v>
      </c>
      <c r="C55" s="11"/>
      <c r="D55" s="14">
        <v>0.400592</v>
      </c>
      <c r="E55" s="11"/>
      <c r="F55" s="11"/>
    </row>
    <row r="56" spans="1:6">
      <c r="A56" s="8"/>
      <c r="B56" s="11" t="s">
        <v>29</v>
      </c>
      <c r="C56" s="11"/>
      <c r="D56" s="225">
        <f>ROUND(D54*D55,0)</f>
        <v>72679</v>
      </c>
      <c r="E56" s="226">
        <f t="shared" ref="E56:E62" si="3">ROUND(D56/2,0)</f>
        <v>36340</v>
      </c>
      <c r="F56" s="226">
        <f t="shared" ref="F56:F62" si="4">D56-E56</f>
        <v>36339</v>
      </c>
    </row>
    <row r="57" spans="1:6">
      <c r="A57" s="8"/>
      <c r="B57" s="11" t="s">
        <v>30</v>
      </c>
      <c r="C57" s="11"/>
      <c r="D57" s="13">
        <f>+D54-D56</f>
        <v>108749</v>
      </c>
      <c r="E57" s="13">
        <f t="shared" si="3"/>
        <v>54375</v>
      </c>
      <c r="F57" s="13">
        <f t="shared" si="4"/>
        <v>54374</v>
      </c>
    </row>
    <row r="58" spans="1:6">
      <c r="A58" s="8">
        <v>5</v>
      </c>
      <c r="B58" s="11" t="s">
        <v>324</v>
      </c>
      <c r="C58" s="10">
        <v>3.4299999999999999E-4</v>
      </c>
      <c r="D58" s="13">
        <f>ROUND(D$3*C58,0)</f>
        <v>163</v>
      </c>
      <c r="E58" s="13">
        <f t="shared" si="3"/>
        <v>82</v>
      </c>
      <c r="F58" s="13">
        <f t="shared" si="4"/>
        <v>81</v>
      </c>
    </row>
    <row r="59" spans="1:6">
      <c r="A59" s="8">
        <v>5</v>
      </c>
      <c r="B59" s="11" t="s">
        <v>325</v>
      </c>
      <c r="C59" s="10">
        <v>2.0639000000000001E-2</v>
      </c>
      <c r="D59" s="13">
        <f>ROUND(D$3*C59,0)</f>
        <v>9828</v>
      </c>
      <c r="E59" s="13">
        <f t="shared" si="3"/>
        <v>4914</v>
      </c>
      <c r="F59" s="13">
        <f t="shared" si="4"/>
        <v>4914</v>
      </c>
    </row>
    <row r="60" spans="1:6">
      <c r="A60" s="8">
        <v>6</v>
      </c>
      <c r="B60" s="11" t="s">
        <v>326</v>
      </c>
      <c r="C60" s="10">
        <v>3.0869999999999999E-3</v>
      </c>
      <c r="D60" s="13">
        <f>ROUND(D$3*C60,0)</f>
        <v>1470</v>
      </c>
      <c r="E60" s="13">
        <f t="shared" si="3"/>
        <v>735</v>
      </c>
      <c r="F60" s="13">
        <f t="shared" si="4"/>
        <v>735</v>
      </c>
    </row>
    <row r="61" spans="1:6">
      <c r="A61" s="8">
        <v>6</v>
      </c>
      <c r="B61" s="11" t="s">
        <v>327</v>
      </c>
      <c r="C61" s="10">
        <v>1.634E-3</v>
      </c>
      <c r="D61" s="13">
        <f>ROUND(D$3*C61,0)</f>
        <v>778</v>
      </c>
      <c r="E61" s="13">
        <f t="shared" si="3"/>
        <v>389</v>
      </c>
      <c r="F61" s="13">
        <f t="shared" si="4"/>
        <v>389</v>
      </c>
    </row>
    <row r="62" spans="1:6">
      <c r="A62" s="8">
        <v>6</v>
      </c>
      <c r="B62" s="11" t="s">
        <v>328</v>
      </c>
      <c r="C62" s="10">
        <v>4.75E-4</v>
      </c>
      <c r="D62" s="13">
        <f>+D3-SUM(D4:D5)-SUM(D10:D46)-D50-D54-SUM(D58:D61)</f>
        <v>223</v>
      </c>
      <c r="E62" s="13">
        <f t="shared" si="3"/>
        <v>112</v>
      </c>
      <c r="F62" s="13">
        <f t="shared" si="4"/>
        <v>111</v>
      </c>
    </row>
    <row r="63" spans="1:6">
      <c r="A63" s="8"/>
      <c r="B63" s="28" t="s">
        <v>288</v>
      </c>
      <c r="C63" s="10">
        <v>0.99999999999999989</v>
      </c>
      <c r="D63" s="12">
        <f>+D4+SUM(D7:D45)+SUM(D48:D49)+SUM(D52:D53)+SUM(D56:D62)</f>
        <v>476173</v>
      </c>
      <c r="E63" s="12">
        <f>+E4+SUM(E7:E45)+SUM(E48:E49)+SUM(E52:E53)+SUM(E56:E62)</f>
        <v>238096</v>
      </c>
      <c r="F63" s="12">
        <f>+F4+SUM(F7:F45)+SUM(F48:F49)+SUM(F52:F53)+SUM(F56:F62)</f>
        <v>238077</v>
      </c>
    </row>
    <row r="64" spans="1:6">
      <c r="B64" s="18" t="s">
        <v>38</v>
      </c>
      <c r="D64" s="19">
        <f>+D4</f>
        <v>589</v>
      </c>
      <c r="E64" s="19">
        <f>+E4</f>
        <v>295</v>
      </c>
      <c r="F64" s="19">
        <f>+F4</f>
        <v>294</v>
      </c>
    </row>
    <row r="65" spans="1:8">
      <c r="B65" s="2" t="s">
        <v>39</v>
      </c>
      <c r="D65" s="19">
        <f>+D7</f>
        <v>13038</v>
      </c>
      <c r="E65" s="19">
        <f>+E7</f>
        <v>6519</v>
      </c>
      <c r="F65" s="19">
        <f>+F7</f>
        <v>6519</v>
      </c>
    </row>
    <row r="66" spans="1:8">
      <c r="B66" s="2" t="s">
        <v>40</v>
      </c>
      <c r="D66" s="19">
        <f>+D48+D52+D56</f>
        <v>118237</v>
      </c>
      <c r="E66" s="19">
        <f>+E48+E52+E56</f>
        <v>59120</v>
      </c>
      <c r="F66" s="19">
        <f>+F48+F52+F56</f>
        <v>59117</v>
      </c>
      <c r="H66" s="3">
        <v>1</v>
      </c>
    </row>
    <row r="67" spans="1:8">
      <c r="B67" s="18" t="s">
        <v>41</v>
      </c>
      <c r="D67" s="19">
        <f>+D63-D64-D65-D66</f>
        <v>344309</v>
      </c>
      <c r="E67" s="19">
        <f>+E63-E64-E65-E66</f>
        <v>172162</v>
      </c>
      <c r="F67" s="19">
        <f>+F63-F64-F65-F66</f>
        <v>172147</v>
      </c>
      <c r="H67" s="3">
        <v>2</v>
      </c>
    </row>
    <row r="69" spans="1:8" hidden="1">
      <c r="B69" s="3" t="s">
        <v>42</v>
      </c>
      <c r="C69" s="4">
        <v>0</v>
      </c>
      <c r="D69" s="3">
        <f>+D62-ROUND(D3*C62,0)</f>
        <v>-3</v>
      </c>
    </row>
    <row r="71" spans="1:8">
      <c r="A71" s="1" t="s">
        <v>590</v>
      </c>
    </row>
  </sheetData>
  <pageMargins left="0.7" right="0.7" top="0.75" bottom="0.75" header="0.3" footer="0.3"/>
  <pageSetup scale="6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fitToPage="1"/>
  </sheetPr>
  <dimension ref="A1:WVB79"/>
  <sheetViews>
    <sheetView topLeftCell="A47" zoomScaleNormal="100" zoomScaleSheetLayoutView="100" workbookViewId="0">
      <selection activeCell="D68" activeCellId="3" sqref="D7:F7 D60:F60 D64:F64 D68:F68"/>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24" width="9.140625" style="3" hidden="1"/>
    <col min="25" max="25" width="11.28515625" style="3" hidden="1"/>
    <col min="26" max="187" width="9.140625" style="3" hidden="1"/>
    <col min="188" max="188" width="11" style="3" hidden="1"/>
    <col min="189" max="189" width="56.28515625" style="3" hidden="1"/>
    <col min="190" max="246" width="9.140625" style="3" hidden="1"/>
    <col min="247" max="247" width="16.28515625" style="3" hidden="1"/>
    <col min="248" max="248" width="17.5703125" style="3" hidden="1"/>
    <col min="249" max="249" width="16" style="3" hidden="1"/>
    <col min="250" max="250" width="18.140625" style="3" hidden="1"/>
    <col min="251" max="443" width="9.140625" style="3" hidden="1"/>
    <col min="444" max="444" width="11" style="3" hidden="1"/>
    <col min="445" max="445" width="56.28515625" style="3" hidden="1"/>
    <col min="446" max="502" width="9.140625" style="3" hidden="1"/>
    <col min="503" max="503" width="16.28515625" style="3" hidden="1"/>
    <col min="504" max="504" width="17.5703125" style="3" hidden="1"/>
    <col min="505" max="505" width="16" style="3" hidden="1"/>
    <col min="506" max="506" width="18.140625" style="3" hidden="1"/>
    <col min="507" max="699" width="9.140625" style="3" hidden="1"/>
    <col min="700" max="700" width="11" style="3" hidden="1"/>
    <col min="701" max="701" width="56.28515625" style="3" hidden="1"/>
    <col min="702" max="758" width="9.140625" style="3" hidden="1"/>
    <col min="759" max="759" width="16.28515625" style="3" hidden="1"/>
    <col min="760" max="760" width="17.5703125" style="3" hidden="1"/>
    <col min="761" max="761" width="16" style="3" hidden="1"/>
    <col min="762" max="762" width="18.140625" style="3" hidden="1"/>
    <col min="763" max="955" width="9.140625" style="3" hidden="1"/>
    <col min="956" max="956" width="11" style="3" hidden="1"/>
    <col min="957" max="957" width="56.28515625" style="3" hidden="1"/>
    <col min="958" max="1014" width="9.140625" style="3" hidden="1"/>
    <col min="1015" max="1015" width="16.28515625" style="3" hidden="1"/>
    <col min="1016" max="1016" width="17.5703125" style="3" hidden="1"/>
    <col min="1017" max="1017" width="16" style="3" hidden="1"/>
    <col min="1018" max="1018" width="18.140625" style="3" hidden="1"/>
    <col min="1019" max="1211" width="9.140625" style="3" hidden="1"/>
    <col min="1212" max="1212" width="11" style="3" hidden="1"/>
    <col min="1213" max="1213" width="56.28515625" style="3" hidden="1"/>
    <col min="1214" max="1270" width="9.140625" style="3" hidden="1"/>
    <col min="1271" max="1271" width="16.28515625" style="3" hidden="1"/>
    <col min="1272" max="1272" width="17.5703125" style="3" hidden="1"/>
    <col min="1273" max="1273" width="16" style="3" hidden="1"/>
    <col min="1274" max="1274" width="18.140625" style="3" hidden="1"/>
    <col min="1275" max="1467" width="9.140625" style="3" hidden="1"/>
    <col min="1468" max="1468" width="11" style="3" hidden="1"/>
    <col min="1469" max="1469" width="56.28515625" style="3" hidden="1"/>
    <col min="1470" max="1526" width="9.140625" style="3" hidden="1"/>
    <col min="1527" max="1527" width="16.28515625" style="3" hidden="1"/>
    <col min="1528" max="1528" width="17.5703125" style="3" hidden="1"/>
    <col min="1529" max="1529" width="16" style="3" hidden="1"/>
    <col min="1530" max="1530" width="18.140625" style="3" hidden="1"/>
    <col min="1531" max="1723" width="9.140625" style="3" hidden="1"/>
    <col min="1724" max="1724" width="11" style="3" hidden="1"/>
    <col min="1725" max="1725" width="56.28515625" style="3" hidden="1"/>
    <col min="1726" max="1782" width="9.140625" style="3" hidden="1"/>
    <col min="1783" max="1783" width="16.28515625" style="3" hidden="1"/>
    <col min="1784" max="1784" width="17.5703125" style="3" hidden="1"/>
    <col min="1785" max="1785" width="16" style="3" hidden="1"/>
    <col min="1786" max="1786" width="18.140625" style="3" hidden="1"/>
    <col min="1787" max="1979" width="9.140625" style="3" hidden="1"/>
    <col min="1980" max="1980" width="11" style="3" hidden="1"/>
    <col min="1981" max="1981" width="56.28515625" style="3" hidden="1"/>
    <col min="1982" max="2038" width="9.140625" style="3" hidden="1"/>
    <col min="2039" max="2039" width="16.28515625" style="3" hidden="1"/>
    <col min="2040" max="2040" width="17.5703125" style="3" hidden="1"/>
    <col min="2041" max="2041" width="16" style="3" hidden="1"/>
    <col min="2042" max="2042" width="18.140625" style="3" hidden="1"/>
    <col min="2043" max="2235" width="9.140625" style="3" hidden="1"/>
    <col min="2236" max="2236" width="11" style="3" hidden="1"/>
    <col min="2237" max="2237" width="56.28515625" style="3" hidden="1"/>
    <col min="2238" max="2294" width="9.140625" style="3" hidden="1"/>
    <col min="2295" max="2295" width="16.28515625" style="3" hidden="1"/>
    <col min="2296" max="2296" width="17.5703125" style="3" hidden="1"/>
    <col min="2297" max="2297" width="16" style="3" hidden="1"/>
    <col min="2298" max="2298" width="18.140625" style="3" hidden="1"/>
    <col min="2299" max="2491" width="9.140625" style="3" hidden="1"/>
    <col min="2492" max="2492" width="11" style="3" hidden="1"/>
    <col min="2493" max="2493" width="56.28515625" style="3" hidden="1"/>
    <col min="2494" max="2550" width="9.140625" style="3" hidden="1"/>
    <col min="2551" max="2551" width="16.28515625" style="3" hidden="1"/>
    <col min="2552" max="2552" width="17.5703125" style="3" hidden="1"/>
    <col min="2553" max="2553" width="16" style="3" hidden="1"/>
    <col min="2554" max="2554" width="18.140625" style="3" hidden="1"/>
    <col min="2555" max="2747" width="9.140625" style="3" hidden="1"/>
    <col min="2748" max="2748" width="11" style="3" hidden="1"/>
    <col min="2749" max="2749" width="56.28515625" style="3" hidden="1"/>
    <col min="2750" max="2806" width="9.140625" style="3" hidden="1"/>
    <col min="2807" max="2807" width="16.28515625" style="3" hidden="1"/>
    <col min="2808" max="2808" width="17.5703125" style="3" hidden="1"/>
    <col min="2809" max="2809" width="16" style="3" hidden="1"/>
    <col min="2810" max="2810" width="18.140625" style="3" hidden="1"/>
    <col min="2811" max="3003" width="9.140625" style="3" hidden="1"/>
    <col min="3004" max="3004" width="11" style="3" hidden="1"/>
    <col min="3005" max="3005" width="56.28515625" style="3" hidden="1"/>
    <col min="3006" max="3062" width="9.140625" style="3" hidden="1"/>
    <col min="3063" max="3063" width="16.28515625" style="3" hidden="1"/>
    <col min="3064" max="3064" width="17.5703125" style="3" hidden="1"/>
    <col min="3065" max="3065" width="16" style="3" hidden="1"/>
    <col min="3066" max="3066" width="18.140625" style="3" hidden="1"/>
    <col min="3067" max="3259" width="9.140625" style="3" hidden="1"/>
    <col min="3260" max="3260" width="11" style="3" hidden="1"/>
    <col min="3261" max="3261" width="56.28515625" style="3" hidden="1"/>
    <col min="3262" max="3318" width="9.140625" style="3" hidden="1"/>
    <col min="3319" max="3319" width="16.28515625" style="3" hidden="1"/>
    <col min="3320" max="3320" width="17.5703125" style="3" hidden="1"/>
    <col min="3321" max="3321" width="16" style="3" hidden="1"/>
    <col min="3322" max="3322" width="18.140625" style="3" hidden="1"/>
    <col min="3323" max="3515" width="9.140625" style="3" hidden="1"/>
    <col min="3516" max="3516" width="11" style="3" hidden="1"/>
    <col min="3517" max="3517" width="56.28515625" style="3" hidden="1"/>
    <col min="3518" max="3574" width="9.140625" style="3" hidden="1"/>
    <col min="3575" max="3575" width="16.28515625" style="3" hidden="1"/>
    <col min="3576" max="3576" width="17.5703125" style="3" hidden="1"/>
    <col min="3577" max="3577" width="16" style="3" hidden="1"/>
    <col min="3578" max="3578" width="18.140625" style="3" hidden="1"/>
    <col min="3579" max="3771" width="9.140625" style="3" hidden="1"/>
    <col min="3772" max="3772" width="11" style="3" hidden="1"/>
    <col min="3773" max="3773" width="56.28515625" style="3" hidden="1"/>
    <col min="3774" max="3830" width="9.140625" style="3" hidden="1"/>
    <col min="3831" max="3831" width="16.28515625" style="3" hidden="1"/>
    <col min="3832" max="3832" width="17.5703125" style="3" hidden="1"/>
    <col min="3833" max="3833" width="16" style="3" hidden="1"/>
    <col min="3834" max="3834" width="18.140625" style="3" hidden="1"/>
    <col min="3835" max="4027" width="9.140625" style="3" hidden="1"/>
    <col min="4028" max="4028" width="11" style="3" hidden="1"/>
    <col min="4029" max="4029" width="56.28515625" style="3" hidden="1"/>
    <col min="4030" max="4086" width="9.140625" style="3" hidden="1"/>
    <col min="4087" max="4087" width="16.28515625" style="3" hidden="1"/>
    <col min="4088" max="4088" width="17.5703125" style="3" hidden="1"/>
    <col min="4089" max="4089" width="16" style="3" hidden="1"/>
    <col min="4090" max="4090" width="18.140625" style="3" hidden="1"/>
    <col min="4091" max="4283" width="9.140625" style="3" hidden="1"/>
    <col min="4284" max="4284" width="11" style="3" hidden="1"/>
    <col min="4285" max="4285" width="56.28515625" style="3" hidden="1"/>
    <col min="4286" max="4342" width="9.140625" style="3" hidden="1"/>
    <col min="4343" max="4343" width="16.28515625" style="3" hidden="1"/>
    <col min="4344" max="4344" width="17.5703125" style="3" hidden="1"/>
    <col min="4345" max="4345" width="16" style="3" hidden="1"/>
    <col min="4346" max="4346" width="18.140625" style="3" hidden="1"/>
    <col min="4347" max="4539" width="9.140625" style="3" hidden="1"/>
    <col min="4540" max="4540" width="11" style="3" hidden="1"/>
    <col min="4541" max="4541" width="56.28515625" style="3" hidden="1"/>
    <col min="4542" max="4598" width="9.140625" style="3" hidden="1"/>
    <col min="4599" max="4599" width="16.28515625" style="3" hidden="1"/>
    <col min="4600" max="4600" width="17.5703125" style="3" hidden="1"/>
    <col min="4601" max="4601" width="16" style="3" hidden="1"/>
    <col min="4602" max="4602" width="18.140625" style="3" hidden="1"/>
    <col min="4603" max="4795" width="9.140625" style="3" hidden="1"/>
    <col min="4796" max="4796" width="11" style="3" hidden="1"/>
    <col min="4797" max="4797" width="56.28515625" style="3" hidden="1"/>
    <col min="4798" max="4854" width="9.140625" style="3" hidden="1"/>
    <col min="4855" max="4855" width="16.28515625" style="3" hidden="1"/>
    <col min="4856" max="4856" width="17.5703125" style="3" hidden="1"/>
    <col min="4857" max="4857" width="16" style="3" hidden="1"/>
    <col min="4858" max="4858" width="18.140625" style="3" hidden="1"/>
    <col min="4859" max="5051" width="9.140625" style="3" hidden="1"/>
    <col min="5052" max="5052" width="11" style="3" hidden="1"/>
    <col min="5053" max="5053" width="56.28515625" style="3" hidden="1"/>
    <col min="5054" max="5110" width="9.140625" style="3" hidden="1"/>
    <col min="5111" max="5111" width="16.28515625" style="3" hidden="1"/>
    <col min="5112" max="5112" width="17.5703125" style="3" hidden="1"/>
    <col min="5113" max="5113" width="16" style="3" hidden="1"/>
    <col min="5114" max="5114" width="18.140625" style="3" hidden="1"/>
    <col min="5115" max="5307" width="9.140625" style="3" hidden="1"/>
    <col min="5308" max="5308" width="11" style="3" hidden="1"/>
    <col min="5309" max="5309" width="56.28515625" style="3" hidden="1"/>
    <col min="5310" max="5366" width="9.140625" style="3" hidden="1"/>
    <col min="5367" max="5367" width="16.28515625" style="3" hidden="1"/>
    <col min="5368" max="5368" width="17.5703125" style="3" hidden="1"/>
    <col min="5369" max="5369" width="16" style="3" hidden="1"/>
    <col min="5370" max="5370" width="18.140625" style="3" hidden="1"/>
    <col min="5371" max="5563" width="9.140625" style="3" hidden="1"/>
    <col min="5564" max="5564" width="11" style="3" hidden="1"/>
    <col min="5565" max="5565" width="56.28515625" style="3" hidden="1"/>
    <col min="5566" max="5622" width="9.140625" style="3" hidden="1"/>
    <col min="5623" max="5623" width="16.28515625" style="3" hidden="1"/>
    <col min="5624" max="5624" width="17.5703125" style="3" hidden="1"/>
    <col min="5625" max="5625" width="16" style="3" hidden="1"/>
    <col min="5626" max="5626" width="18.140625" style="3" hidden="1"/>
    <col min="5627" max="5819" width="9.140625" style="3" hidden="1"/>
    <col min="5820" max="5820" width="11" style="3" hidden="1"/>
    <col min="5821" max="5821" width="56.28515625" style="3" hidden="1"/>
    <col min="5822" max="5878" width="9.140625" style="3" hidden="1"/>
    <col min="5879" max="5879" width="16.28515625" style="3" hidden="1"/>
    <col min="5880" max="5880" width="17.5703125" style="3" hidden="1"/>
    <col min="5881" max="5881" width="16" style="3" hidden="1"/>
    <col min="5882" max="5882" width="18.140625" style="3" hidden="1"/>
    <col min="5883" max="6075" width="9.140625" style="3" hidden="1"/>
    <col min="6076" max="6076" width="11" style="3" hidden="1"/>
    <col min="6077" max="6077" width="56.28515625" style="3" hidden="1"/>
    <col min="6078" max="6134" width="9.140625" style="3" hidden="1"/>
    <col min="6135" max="6135" width="16.28515625" style="3" hidden="1"/>
    <col min="6136" max="6136" width="17.5703125" style="3" hidden="1"/>
    <col min="6137" max="6137" width="16" style="3" hidden="1"/>
    <col min="6138" max="6138" width="18.140625" style="3" hidden="1"/>
    <col min="6139" max="6331" width="9.140625" style="3" hidden="1"/>
    <col min="6332" max="6332" width="11" style="3" hidden="1"/>
    <col min="6333" max="6333" width="56.28515625" style="3" hidden="1"/>
    <col min="6334" max="6390" width="9.140625" style="3" hidden="1"/>
    <col min="6391" max="6391" width="16.28515625" style="3" hidden="1"/>
    <col min="6392" max="6392" width="17.5703125" style="3" hidden="1"/>
    <col min="6393" max="6393" width="16" style="3" hidden="1"/>
    <col min="6394" max="6394" width="18.140625" style="3" hidden="1"/>
    <col min="6395" max="6587" width="9.140625" style="3" hidden="1"/>
    <col min="6588" max="6588" width="11" style="3" hidden="1"/>
    <col min="6589" max="6589" width="56.28515625" style="3" hidden="1"/>
    <col min="6590" max="6646" width="9.140625" style="3" hidden="1"/>
    <col min="6647" max="6647" width="16.28515625" style="3" hidden="1"/>
    <col min="6648" max="6648" width="17.5703125" style="3" hidden="1"/>
    <col min="6649" max="6649" width="16" style="3" hidden="1"/>
    <col min="6650" max="6650" width="18.140625" style="3" hidden="1"/>
    <col min="6651" max="6843" width="9.140625" style="3" hidden="1"/>
    <col min="6844" max="6844" width="11" style="3" hidden="1"/>
    <col min="6845" max="6845" width="56.28515625" style="3" hidden="1"/>
    <col min="6846" max="6902" width="9.140625" style="3" hidden="1"/>
    <col min="6903" max="6903" width="16.28515625" style="3" hidden="1"/>
    <col min="6904" max="6904" width="17.5703125" style="3" hidden="1"/>
    <col min="6905" max="6905" width="16" style="3" hidden="1"/>
    <col min="6906" max="6906" width="18.140625" style="3" hidden="1"/>
    <col min="6907" max="7099" width="9.140625" style="3" hidden="1"/>
    <col min="7100" max="7100" width="11" style="3" hidden="1"/>
    <col min="7101" max="7101" width="56.28515625" style="3" hidden="1"/>
    <col min="7102" max="7158" width="9.140625" style="3" hidden="1"/>
    <col min="7159" max="7159" width="16.28515625" style="3" hidden="1"/>
    <col min="7160" max="7160" width="17.5703125" style="3" hidden="1"/>
    <col min="7161" max="7161" width="16" style="3" hidden="1"/>
    <col min="7162" max="7162" width="18.140625" style="3" hidden="1"/>
    <col min="7163" max="7355" width="9.140625" style="3" hidden="1"/>
    <col min="7356" max="7356" width="11" style="3" hidden="1"/>
    <col min="7357" max="7357" width="56.28515625" style="3" hidden="1"/>
    <col min="7358" max="7414" width="9.140625" style="3" hidden="1"/>
    <col min="7415" max="7415" width="16.28515625" style="3" hidden="1"/>
    <col min="7416" max="7416" width="17.5703125" style="3" hidden="1"/>
    <col min="7417" max="7417" width="16" style="3" hidden="1"/>
    <col min="7418" max="7418" width="18.140625" style="3" hidden="1"/>
    <col min="7419" max="7611" width="9.140625" style="3" hidden="1"/>
    <col min="7612" max="7612" width="11" style="3" hidden="1"/>
    <col min="7613" max="7613" width="56.28515625" style="3" hidden="1"/>
    <col min="7614" max="7670" width="9.140625" style="3" hidden="1"/>
    <col min="7671" max="7671" width="16.28515625" style="3" hidden="1"/>
    <col min="7672" max="7672" width="17.5703125" style="3" hidden="1"/>
    <col min="7673" max="7673" width="16" style="3" hidden="1"/>
    <col min="7674" max="7674" width="18.140625" style="3" hidden="1"/>
    <col min="7675" max="7867" width="9.140625" style="3" hidden="1"/>
    <col min="7868" max="7868" width="11" style="3" hidden="1"/>
    <col min="7869" max="7869" width="56.28515625" style="3" hidden="1"/>
    <col min="7870" max="7926" width="9.140625" style="3" hidden="1"/>
    <col min="7927" max="7927" width="16.28515625" style="3" hidden="1"/>
    <col min="7928" max="7928" width="17.5703125" style="3" hidden="1"/>
    <col min="7929" max="7929" width="16" style="3" hidden="1"/>
    <col min="7930" max="7930" width="18.140625" style="3" hidden="1"/>
    <col min="7931" max="8123" width="9.140625" style="3" hidden="1"/>
    <col min="8124" max="8124" width="11" style="3" hidden="1"/>
    <col min="8125" max="8125" width="56.28515625" style="3" hidden="1"/>
    <col min="8126" max="8182" width="9.140625" style="3" hidden="1"/>
    <col min="8183" max="8183" width="16.28515625" style="3" hidden="1"/>
    <col min="8184" max="8184" width="17.5703125" style="3" hidden="1"/>
    <col min="8185" max="8185" width="16" style="3" hidden="1"/>
    <col min="8186" max="8186" width="18.140625" style="3" hidden="1"/>
    <col min="8187" max="8379" width="9.140625" style="3" hidden="1"/>
    <col min="8380" max="8380" width="11" style="3" hidden="1"/>
    <col min="8381" max="8381" width="56.28515625" style="3" hidden="1"/>
    <col min="8382" max="8438" width="9.140625" style="3" hidden="1"/>
    <col min="8439" max="8439" width="16.28515625" style="3" hidden="1"/>
    <col min="8440" max="8440" width="17.5703125" style="3" hidden="1"/>
    <col min="8441" max="8441" width="16" style="3" hidden="1"/>
    <col min="8442" max="8442" width="18.140625" style="3" hidden="1"/>
    <col min="8443" max="8635" width="9.140625" style="3" hidden="1"/>
    <col min="8636" max="8636" width="11" style="3" hidden="1"/>
    <col min="8637" max="8637" width="56.28515625" style="3" hidden="1"/>
    <col min="8638" max="8694" width="9.140625" style="3" hidden="1"/>
    <col min="8695" max="8695" width="16.28515625" style="3" hidden="1"/>
    <col min="8696" max="8696" width="17.5703125" style="3" hidden="1"/>
    <col min="8697" max="8697" width="16" style="3" hidden="1"/>
    <col min="8698" max="8698" width="18.140625" style="3" hidden="1"/>
    <col min="8699" max="8891" width="9.140625" style="3" hidden="1"/>
    <col min="8892" max="8892" width="11" style="3" hidden="1"/>
    <col min="8893" max="8893" width="56.28515625" style="3" hidden="1"/>
    <col min="8894" max="8950" width="9.140625" style="3" hidden="1"/>
    <col min="8951" max="8951" width="16.28515625" style="3" hidden="1"/>
    <col min="8952" max="8952" width="17.5703125" style="3" hidden="1"/>
    <col min="8953" max="8953" width="16" style="3" hidden="1"/>
    <col min="8954" max="8954" width="18.140625" style="3" hidden="1"/>
    <col min="8955" max="9147" width="9.140625" style="3" hidden="1"/>
    <col min="9148" max="9148" width="11" style="3" hidden="1"/>
    <col min="9149" max="9149" width="56.28515625" style="3" hidden="1"/>
    <col min="9150" max="9206" width="9.140625" style="3" hidden="1"/>
    <col min="9207" max="9207" width="16.28515625" style="3" hidden="1"/>
    <col min="9208" max="9208" width="17.5703125" style="3" hidden="1"/>
    <col min="9209" max="9209" width="16" style="3" hidden="1"/>
    <col min="9210" max="9210" width="18.140625" style="3" hidden="1"/>
    <col min="9211" max="9403" width="9.140625" style="3" hidden="1"/>
    <col min="9404" max="9404" width="11" style="3" hidden="1"/>
    <col min="9405" max="9405" width="56.28515625" style="3" hidden="1"/>
    <col min="9406" max="9462" width="9.140625" style="3" hidden="1"/>
    <col min="9463" max="9463" width="16.28515625" style="3" hidden="1"/>
    <col min="9464" max="9464" width="17.5703125" style="3" hidden="1"/>
    <col min="9465" max="9465" width="16" style="3" hidden="1"/>
    <col min="9466" max="9466" width="18.140625" style="3" hidden="1"/>
    <col min="9467" max="9659" width="9.140625" style="3" hidden="1"/>
    <col min="9660" max="9660" width="11" style="3" hidden="1"/>
    <col min="9661" max="9661" width="56.28515625" style="3" hidden="1"/>
    <col min="9662" max="9718" width="9.140625" style="3" hidden="1"/>
    <col min="9719" max="9719" width="16.28515625" style="3" hidden="1"/>
    <col min="9720" max="9720" width="17.5703125" style="3" hidden="1"/>
    <col min="9721" max="9721" width="16" style="3" hidden="1"/>
    <col min="9722" max="9722" width="18.140625" style="3" hidden="1"/>
    <col min="9723" max="9915" width="9.140625" style="3" hidden="1"/>
    <col min="9916" max="9916" width="11" style="3" hidden="1"/>
    <col min="9917" max="9917" width="56.28515625" style="3" hidden="1"/>
    <col min="9918" max="9974" width="9.140625" style="3" hidden="1"/>
    <col min="9975" max="9975" width="16.28515625" style="3" hidden="1"/>
    <col min="9976" max="9976" width="17.5703125" style="3" hidden="1"/>
    <col min="9977" max="9977" width="16" style="3" hidden="1"/>
    <col min="9978" max="9978" width="18.140625" style="3" hidden="1"/>
    <col min="9979" max="10171" width="9.140625" style="3" hidden="1"/>
    <col min="10172" max="10172" width="11" style="3" hidden="1"/>
    <col min="10173" max="10173" width="56.28515625" style="3" hidden="1"/>
    <col min="10174" max="10230" width="9.140625" style="3" hidden="1"/>
    <col min="10231" max="10231" width="16.28515625" style="3" hidden="1"/>
    <col min="10232" max="10232" width="17.5703125" style="3" hidden="1"/>
    <col min="10233" max="10233" width="16" style="3" hidden="1"/>
    <col min="10234" max="10234" width="18.140625" style="3" hidden="1"/>
    <col min="10235" max="10427" width="9.140625" style="3" hidden="1"/>
    <col min="10428" max="10428" width="11" style="3" hidden="1"/>
    <col min="10429" max="10429" width="56.28515625" style="3" hidden="1"/>
    <col min="10430" max="10486" width="9.140625" style="3" hidden="1"/>
    <col min="10487" max="10487" width="16.28515625" style="3" hidden="1"/>
    <col min="10488" max="10488" width="17.5703125" style="3" hidden="1"/>
    <col min="10489" max="10489" width="16" style="3" hidden="1"/>
    <col min="10490" max="10490" width="18.140625" style="3" hidden="1"/>
    <col min="10491" max="10683" width="9.140625" style="3" hidden="1"/>
    <col min="10684" max="10684" width="11" style="3" hidden="1"/>
    <col min="10685" max="10685" width="56.28515625" style="3" hidden="1"/>
    <col min="10686" max="10742" width="9.140625" style="3" hidden="1"/>
    <col min="10743" max="10743" width="16.28515625" style="3" hidden="1"/>
    <col min="10744" max="10744" width="17.5703125" style="3" hidden="1"/>
    <col min="10745" max="10745" width="16" style="3" hidden="1"/>
    <col min="10746" max="10746" width="18.140625" style="3" hidden="1"/>
    <col min="10747" max="10939" width="9.140625" style="3" hidden="1"/>
    <col min="10940" max="10940" width="11" style="3" hidden="1"/>
    <col min="10941" max="10941" width="56.28515625" style="3" hidden="1"/>
    <col min="10942" max="10998" width="9.140625" style="3" hidden="1"/>
    <col min="10999" max="10999" width="16.28515625" style="3" hidden="1"/>
    <col min="11000" max="11000" width="17.5703125" style="3" hidden="1"/>
    <col min="11001" max="11001" width="16" style="3" hidden="1"/>
    <col min="11002" max="11002" width="18.140625" style="3" hidden="1"/>
    <col min="11003" max="11195" width="9.140625" style="3" hidden="1"/>
    <col min="11196" max="11196" width="11" style="3" hidden="1"/>
    <col min="11197" max="11197" width="56.28515625" style="3" hidden="1"/>
    <col min="11198" max="11254" width="9.140625" style="3" hidden="1"/>
    <col min="11255" max="11255" width="16.28515625" style="3" hidden="1"/>
    <col min="11256" max="11256" width="17.5703125" style="3" hidden="1"/>
    <col min="11257" max="11257" width="16" style="3" hidden="1"/>
    <col min="11258" max="11258" width="18.140625" style="3" hidden="1"/>
    <col min="11259" max="11451" width="9.140625" style="3" hidden="1"/>
    <col min="11452" max="11452" width="11" style="3" hidden="1"/>
    <col min="11453" max="11453" width="56.28515625" style="3" hidden="1"/>
    <col min="11454" max="11510" width="9.140625" style="3" hidden="1"/>
    <col min="11511" max="11511" width="16.28515625" style="3" hidden="1"/>
    <col min="11512" max="11512" width="17.5703125" style="3" hidden="1"/>
    <col min="11513" max="11513" width="16" style="3" hidden="1"/>
    <col min="11514" max="11514" width="18.140625" style="3" hidden="1"/>
    <col min="11515" max="11707" width="9.140625" style="3" hidden="1"/>
    <col min="11708" max="11708" width="11" style="3" hidden="1"/>
    <col min="11709" max="11709" width="56.28515625" style="3" hidden="1"/>
    <col min="11710" max="11766" width="9.140625" style="3" hidden="1"/>
    <col min="11767" max="11767" width="16.28515625" style="3" hidden="1"/>
    <col min="11768" max="11768" width="17.5703125" style="3" hidden="1"/>
    <col min="11769" max="11769" width="16" style="3" hidden="1"/>
    <col min="11770" max="11770" width="18.140625" style="3" hidden="1"/>
    <col min="11771" max="11963" width="9.140625" style="3" hidden="1"/>
    <col min="11964" max="11964" width="11" style="3" hidden="1"/>
    <col min="11965" max="11965" width="56.28515625" style="3" hidden="1"/>
    <col min="11966" max="12022" width="9.140625" style="3" hidden="1"/>
    <col min="12023" max="12023" width="16.28515625" style="3" hidden="1"/>
    <col min="12024" max="12024" width="17.5703125" style="3" hidden="1"/>
    <col min="12025" max="12025" width="16" style="3" hidden="1"/>
    <col min="12026" max="12026" width="18.140625" style="3" hidden="1"/>
    <col min="12027" max="12219" width="9.140625" style="3" hidden="1"/>
    <col min="12220" max="12220" width="11" style="3" hidden="1"/>
    <col min="12221" max="12221" width="56.28515625" style="3" hidden="1"/>
    <col min="12222" max="12278" width="9.140625" style="3" hidden="1"/>
    <col min="12279" max="12279" width="16.28515625" style="3" hidden="1"/>
    <col min="12280" max="12280" width="17.5703125" style="3" hidden="1"/>
    <col min="12281" max="12281" width="16" style="3" hidden="1"/>
    <col min="12282" max="12282" width="18.140625" style="3" hidden="1"/>
    <col min="12283" max="12475" width="9.140625" style="3" hidden="1"/>
    <col min="12476" max="12476" width="11" style="3" hidden="1"/>
    <col min="12477" max="12477" width="56.28515625" style="3" hidden="1"/>
    <col min="12478" max="12534" width="9.140625" style="3" hidden="1"/>
    <col min="12535" max="12535" width="16.28515625" style="3" hidden="1"/>
    <col min="12536" max="12536" width="17.5703125" style="3" hidden="1"/>
    <col min="12537" max="12537" width="16" style="3" hidden="1"/>
    <col min="12538" max="12538" width="18.140625" style="3" hidden="1"/>
    <col min="12539" max="12731" width="9.140625" style="3" hidden="1"/>
    <col min="12732" max="12732" width="11" style="3" hidden="1"/>
    <col min="12733" max="12733" width="56.28515625" style="3" hidden="1"/>
    <col min="12734" max="12790" width="9.140625" style="3" hidden="1"/>
    <col min="12791" max="12791" width="16.28515625" style="3" hidden="1"/>
    <col min="12792" max="12792" width="17.5703125" style="3" hidden="1"/>
    <col min="12793" max="12793" width="16" style="3" hidden="1"/>
    <col min="12794" max="12794" width="18.140625" style="3" hidden="1"/>
    <col min="12795" max="12987" width="9.140625" style="3" hidden="1"/>
    <col min="12988" max="12988" width="11" style="3" hidden="1"/>
    <col min="12989" max="12989" width="56.28515625" style="3" hidden="1"/>
    <col min="12990" max="13046" width="9.140625" style="3" hidden="1"/>
    <col min="13047" max="13047" width="16.28515625" style="3" hidden="1"/>
    <col min="13048" max="13048" width="17.5703125" style="3" hidden="1"/>
    <col min="13049" max="13049" width="16" style="3" hidden="1"/>
    <col min="13050" max="13050" width="18.140625" style="3" hidden="1"/>
    <col min="13051" max="13243" width="9.140625" style="3" hidden="1"/>
    <col min="13244" max="13244" width="11" style="3" hidden="1"/>
    <col min="13245" max="13245" width="56.28515625" style="3" hidden="1"/>
    <col min="13246" max="13302" width="9.140625" style="3" hidden="1"/>
    <col min="13303" max="13303" width="16.28515625" style="3" hidden="1"/>
    <col min="13304" max="13304" width="17.5703125" style="3" hidden="1"/>
    <col min="13305" max="13305" width="16" style="3" hidden="1"/>
    <col min="13306" max="13306" width="18.140625" style="3" hidden="1"/>
    <col min="13307" max="13499" width="9.140625" style="3" hidden="1"/>
    <col min="13500" max="13500" width="11" style="3" hidden="1"/>
    <col min="13501" max="13501" width="56.28515625" style="3" hidden="1"/>
    <col min="13502" max="13558" width="9.140625" style="3" hidden="1"/>
    <col min="13559" max="13559" width="16.28515625" style="3" hidden="1"/>
    <col min="13560" max="13560" width="17.5703125" style="3" hidden="1"/>
    <col min="13561" max="13561" width="16" style="3" hidden="1"/>
    <col min="13562" max="13562" width="18.140625" style="3" hidden="1"/>
    <col min="13563" max="13755" width="9.140625" style="3" hidden="1"/>
    <col min="13756" max="13756" width="11" style="3" hidden="1"/>
    <col min="13757" max="13757" width="56.28515625" style="3" hidden="1"/>
    <col min="13758" max="13814" width="9.140625" style="3" hidden="1"/>
    <col min="13815" max="13815" width="16.28515625" style="3" hidden="1"/>
    <col min="13816" max="13816" width="17.5703125" style="3" hidden="1"/>
    <col min="13817" max="13817" width="16" style="3" hidden="1"/>
    <col min="13818" max="13818" width="18.140625" style="3" hidden="1"/>
    <col min="13819" max="14011" width="9.140625" style="3" hidden="1"/>
    <col min="14012" max="14012" width="11" style="3" hidden="1"/>
    <col min="14013" max="14013" width="56.28515625" style="3" hidden="1"/>
    <col min="14014" max="14070" width="9.140625" style="3" hidden="1"/>
    <col min="14071" max="14071" width="16.28515625" style="3" hidden="1"/>
    <col min="14072" max="14072" width="17.5703125" style="3" hidden="1"/>
    <col min="14073" max="14073" width="16" style="3" hidden="1"/>
    <col min="14074" max="14074" width="18.140625" style="3" hidden="1"/>
    <col min="14075" max="14267" width="9.140625" style="3" hidden="1"/>
    <col min="14268" max="14268" width="11" style="3" hidden="1"/>
    <col min="14269" max="14269" width="56.28515625" style="3" hidden="1"/>
    <col min="14270" max="14326" width="9.140625" style="3" hidden="1"/>
    <col min="14327" max="14327" width="16.28515625" style="3" hidden="1"/>
    <col min="14328" max="14328" width="17.5703125" style="3" hidden="1"/>
    <col min="14329" max="14329" width="16" style="3" hidden="1"/>
    <col min="14330" max="14330" width="18.140625" style="3" hidden="1"/>
    <col min="14331" max="14523" width="9.140625" style="3" hidden="1"/>
    <col min="14524" max="14524" width="11" style="3" hidden="1"/>
    <col min="14525" max="14525" width="56.28515625" style="3" hidden="1"/>
    <col min="14526" max="14582" width="9.140625" style="3" hidden="1"/>
    <col min="14583" max="14583" width="16.28515625" style="3" hidden="1"/>
    <col min="14584" max="14584" width="17.5703125" style="3" hidden="1"/>
    <col min="14585" max="14585" width="16" style="3" hidden="1"/>
    <col min="14586" max="14586" width="18.140625" style="3" hidden="1"/>
    <col min="14587" max="14779" width="9.140625" style="3" hidden="1"/>
    <col min="14780" max="14780" width="11" style="3" hidden="1"/>
    <col min="14781" max="14781" width="56.28515625" style="3" hidden="1"/>
    <col min="14782" max="14838" width="9.140625" style="3" hidden="1"/>
    <col min="14839" max="14839" width="16.28515625" style="3" hidden="1"/>
    <col min="14840" max="14840" width="17.5703125" style="3" hidden="1"/>
    <col min="14841" max="14841" width="16" style="3" hidden="1"/>
    <col min="14842" max="14842" width="18.140625" style="3" hidden="1"/>
    <col min="14843" max="15035" width="9.140625" style="3" hidden="1"/>
    <col min="15036" max="15036" width="11" style="3" hidden="1"/>
    <col min="15037" max="15037" width="56.28515625" style="3" hidden="1"/>
    <col min="15038" max="15094" width="9.140625" style="3" hidden="1"/>
    <col min="15095" max="15095" width="16.28515625" style="3" hidden="1"/>
    <col min="15096" max="15096" width="17.5703125" style="3" hidden="1"/>
    <col min="15097" max="15097" width="16" style="3" hidden="1"/>
    <col min="15098" max="15098" width="18.140625" style="3" hidden="1"/>
    <col min="15099" max="15291" width="9.140625" style="3" hidden="1"/>
    <col min="15292" max="15292" width="11" style="3" hidden="1"/>
    <col min="15293" max="15293" width="56.28515625" style="3" hidden="1"/>
    <col min="15294" max="15350" width="9.140625" style="3" hidden="1"/>
    <col min="15351" max="15351" width="16.28515625" style="3" hidden="1"/>
    <col min="15352" max="15352" width="17.5703125" style="3" hidden="1"/>
    <col min="15353" max="15353" width="16" style="3" hidden="1"/>
    <col min="15354" max="15354" width="18.140625" style="3" hidden="1"/>
    <col min="15355" max="15547" width="9.140625" style="3" hidden="1"/>
    <col min="15548" max="15548" width="11" style="3" hidden="1"/>
    <col min="15549" max="15549" width="56.28515625" style="3" hidden="1"/>
    <col min="15550" max="15606" width="9.140625" style="3" hidden="1"/>
    <col min="15607" max="15607" width="16.28515625" style="3" hidden="1"/>
    <col min="15608" max="15608" width="17.5703125" style="3" hidden="1"/>
    <col min="15609" max="15609" width="16" style="3" hidden="1"/>
    <col min="15610" max="15610" width="18.140625" style="3" hidden="1"/>
    <col min="15611" max="15803" width="9.140625" style="3" hidden="1"/>
    <col min="15804" max="15804" width="11" style="3" hidden="1"/>
    <col min="15805" max="15805" width="56.28515625" style="3" hidden="1"/>
    <col min="15806" max="15862" width="9.140625" style="3" hidden="1"/>
    <col min="15863" max="15863" width="16.28515625" style="3" hidden="1"/>
    <col min="15864" max="15864" width="17.5703125" style="3" hidden="1"/>
    <col min="15865" max="15865" width="16" style="3" hidden="1"/>
    <col min="15866" max="15866" width="18.140625" style="3" hidden="1"/>
    <col min="15867" max="16059" width="9.140625" style="3" hidden="1"/>
    <col min="16060" max="16060" width="11" style="3" hidden="1"/>
    <col min="16061" max="16061" width="56.28515625" style="3" hidden="1"/>
    <col min="16062" max="16118" width="9.140625" style="3" hidden="1"/>
    <col min="16119" max="16119" width="16.28515625" style="3" hidden="1"/>
    <col min="16120" max="16120" width="17.5703125" style="3" hidden="1"/>
    <col min="16121" max="16121" width="16" style="3" hidden="1"/>
    <col min="16122" max="16122" width="18.140625" style="3" hidden="1"/>
    <col min="16123" max="16384" width="9.140625" style="3" hidden="1"/>
  </cols>
  <sheetData>
    <row r="1" spans="1:25">
      <c r="B1" s="2" t="s">
        <v>329</v>
      </c>
    </row>
    <row r="2" spans="1:25" ht="60">
      <c r="B2" s="1"/>
      <c r="C2" s="6" t="s">
        <v>1</v>
      </c>
      <c r="D2" s="60" t="str">
        <f>'Allocation Worksheet'!H3</f>
        <v>2026 TOTAL BASED ON CY2025 CVET REVENUE</v>
      </c>
      <c r="E2" s="60" t="str">
        <f>'Allocation Worksheet'!H4</f>
        <v>MAY 2026 DISTRIBUTION</v>
      </c>
      <c r="F2" s="60" t="str">
        <f>'Allocation Worksheet'!H5</f>
        <v>NOVEMBER 2026 DISTRIBUTION</v>
      </c>
    </row>
    <row r="3" spans="1:25">
      <c r="A3" s="7" t="s">
        <v>2</v>
      </c>
      <c r="B3" s="7" t="s">
        <v>3</v>
      </c>
      <c r="C3" s="10"/>
      <c r="D3" s="9">
        <f>'Allocation Worksheet'!$D$18</f>
        <v>195990</v>
      </c>
      <c r="E3" s="11"/>
      <c r="F3" s="11"/>
    </row>
    <row r="4" spans="1:25">
      <c r="A4" s="8">
        <v>0</v>
      </c>
      <c r="B4" s="11" t="s">
        <v>4</v>
      </c>
      <c r="C4" s="10">
        <v>1.1720000000000001E-3</v>
      </c>
      <c r="D4" s="12">
        <f>ROUND(D$3*C4,0)</f>
        <v>230</v>
      </c>
      <c r="E4" s="13">
        <f>ROUND(D4/2,0)</f>
        <v>115</v>
      </c>
      <c r="F4" s="12">
        <f>D4-E4</f>
        <v>115</v>
      </c>
    </row>
    <row r="5" spans="1:25">
      <c r="A5" s="8">
        <v>1</v>
      </c>
      <c r="B5" s="11" t="s">
        <v>330</v>
      </c>
      <c r="C5" s="10">
        <v>0.20582600000000001</v>
      </c>
      <c r="D5" s="9">
        <f>ROUND(D$3*C5,0)</f>
        <v>40340</v>
      </c>
      <c r="E5" s="11">
        <f>ROUND(D5/2,0)</f>
        <v>20170</v>
      </c>
      <c r="F5" s="9">
        <f>D5-E5</f>
        <v>20170</v>
      </c>
      <c r="Y5" s="100"/>
    </row>
    <row r="6" spans="1:25">
      <c r="A6" s="8"/>
      <c r="B6" s="11" t="s">
        <v>6</v>
      </c>
      <c r="C6" s="11"/>
      <c r="D6" s="14">
        <v>0.23113700000000001</v>
      </c>
      <c r="E6" s="11"/>
      <c r="F6" s="11"/>
      <c r="Y6" s="100"/>
    </row>
    <row r="7" spans="1:25">
      <c r="A7" s="8"/>
      <c r="B7" s="11" t="s">
        <v>7</v>
      </c>
      <c r="C7" s="11"/>
      <c r="D7" s="225">
        <f>ROUND(D5*D6,0)</f>
        <v>9324</v>
      </c>
      <c r="E7" s="226">
        <f>ROUND(D7/2,0)</f>
        <v>4662</v>
      </c>
      <c r="F7" s="225">
        <f>D7-E7</f>
        <v>4662</v>
      </c>
      <c r="Y7" s="100"/>
    </row>
    <row r="8" spans="1:25">
      <c r="A8" s="8"/>
      <c r="B8" s="11" t="s">
        <v>8</v>
      </c>
      <c r="C8" s="11"/>
      <c r="D8" s="12">
        <f>+D5-D7</f>
        <v>31016</v>
      </c>
      <c r="E8" s="13">
        <f>ROUND(D8/2,0)</f>
        <v>15508</v>
      </c>
      <c r="F8" s="12">
        <f>D8-E8</f>
        <v>15508</v>
      </c>
    </row>
    <row r="9" spans="1:25">
      <c r="A9" s="8">
        <v>2</v>
      </c>
      <c r="B9" s="11" t="s">
        <v>331</v>
      </c>
      <c r="C9" s="11"/>
      <c r="D9" s="9"/>
      <c r="E9" s="11"/>
      <c r="F9" s="11"/>
    </row>
    <row r="10" spans="1:25">
      <c r="A10" s="8"/>
      <c r="B10" s="11" t="s">
        <v>10</v>
      </c>
      <c r="C10" s="10">
        <v>8.5599999999999999E-4</v>
      </c>
      <c r="D10" s="12">
        <f>ROUND(D$3*C10,0)</f>
        <v>168</v>
      </c>
      <c r="E10" s="13">
        <f>ROUND(D10/2,0)</f>
        <v>84</v>
      </c>
      <c r="F10" s="12">
        <f>D10-E10</f>
        <v>84</v>
      </c>
    </row>
    <row r="11" spans="1:25">
      <c r="A11" s="8"/>
      <c r="B11" s="11" t="s">
        <v>11</v>
      </c>
      <c r="C11" s="10">
        <v>1.5799999999999999E-4</v>
      </c>
      <c r="D11" s="12">
        <f>ROUND(D$3*C11,0)</f>
        <v>31</v>
      </c>
      <c r="E11" s="13">
        <f>ROUND(D11/2,0)</f>
        <v>16</v>
      </c>
      <c r="F11" s="12">
        <f>D11-E11</f>
        <v>15</v>
      </c>
    </row>
    <row r="12" spans="1:25">
      <c r="A12" s="8">
        <v>2</v>
      </c>
      <c r="B12" s="11" t="s">
        <v>107</v>
      </c>
      <c r="C12" s="11"/>
      <c r="D12" s="9"/>
      <c r="E12" s="11"/>
      <c r="F12" s="11"/>
    </row>
    <row r="13" spans="1:25">
      <c r="A13" s="8"/>
      <c r="B13" s="11" t="s">
        <v>10</v>
      </c>
      <c r="C13" s="10">
        <v>1.0790000000000001E-3</v>
      </c>
      <c r="D13" s="12">
        <f>ROUND(D$3*C13,0)</f>
        <v>211</v>
      </c>
      <c r="E13" s="13">
        <f>ROUND(D13/2,0)</f>
        <v>106</v>
      </c>
      <c r="F13" s="12">
        <f>D13-E13</f>
        <v>105</v>
      </c>
    </row>
    <row r="14" spans="1:25">
      <c r="A14" s="8"/>
      <c r="B14" s="11" t="s">
        <v>11</v>
      </c>
      <c r="C14" s="10">
        <v>2.23E-4</v>
      </c>
      <c r="D14" s="12">
        <f>ROUND(D$3*C14,0)</f>
        <v>44</v>
      </c>
      <c r="E14" s="13">
        <f>ROUND(D14/2,0)</f>
        <v>22</v>
      </c>
      <c r="F14" s="12">
        <f>D14-E14</f>
        <v>22</v>
      </c>
    </row>
    <row r="15" spans="1:25">
      <c r="A15" s="8">
        <v>2</v>
      </c>
      <c r="B15" s="11" t="s">
        <v>81</v>
      </c>
      <c r="C15" s="11"/>
      <c r="D15" s="9"/>
      <c r="E15" s="11"/>
      <c r="F15" s="11"/>
    </row>
    <row r="16" spans="1:25">
      <c r="A16" s="8"/>
      <c r="B16" s="11" t="s">
        <v>10</v>
      </c>
      <c r="C16" s="10">
        <v>3.3E-4</v>
      </c>
      <c r="D16" s="12">
        <f>ROUND(D$3*C16,0)</f>
        <v>65</v>
      </c>
      <c r="E16" s="11">
        <f>ROUND(D16/2,0)</f>
        <v>33</v>
      </c>
      <c r="F16" s="9">
        <f>D16-E16</f>
        <v>32</v>
      </c>
    </row>
    <row r="17" spans="1:6">
      <c r="A17" s="8"/>
      <c r="B17" s="11" t="s">
        <v>11</v>
      </c>
      <c r="C17" s="10">
        <v>3.86E-4</v>
      </c>
      <c r="D17" s="12">
        <f>ROUND(D$3*C17,0)</f>
        <v>76</v>
      </c>
      <c r="E17" s="13">
        <f>ROUND(D17/2,0)</f>
        <v>38</v>
      </c>
      <c r="F17" s="12">
        <f>D17-E17</f>
        <v>38</v>
      </c>
    </row>
    <row r="18" spans="1:6">
      <c r="A18" s="8">
        <v>2</v>
      </c>
      <c r="B18" s="11" t="s">
        <v>86</v>
      </c>
      <c r="C18" s="11"/>
      <c r="D18" s="9"/>
      <c r="E18" s="11"/>
      <c r="F18" s="11"/>
    </row>
    <row r="19" spans="1:6">
      <c r="A19" s="8"/>
      <c r="B19" s="11" t="s">
        <v>10</v>
      </c>
      <c r="C19" s="10">
        <v>5.9500000000000004E-4</v>
      </c>
      <c r="D19" s="12">
        <f>ROUND(D$3*C19,0)</f>
        <v>117</v>
      </c>
      <c r="E19" s="13">
        <f>ROUND(D19/2,0)</f>
        <v>59</v>
      </c>
      <c r="F19" s="12">
        <f>D19-E19</f>
        <v>58</v>
      </c>
    </row>
    <row r="20" spans="1:6">
      <c r="A20" s="8"/>
      <c r="B20" s="11" t="s">
        <v>11</v>
      </c>
      <c r="C20" s="10">
        <v>7.4399999999999998E-4</v>
      </c>
      <c r="D20" s="12">
        <f>ROUND(D$3*C20,0)</f>
        <v>146</v>
      </c>
      <c r="E20" s="13">
        <f>ROUND(D20/2,0)</f>
        <v>73</v>
      </c>
      <c r="F20" s="12">
        <f>D20-E20</f>
        <v>73</v>
      </c>
    </row>
    <row r="21" spans="1:6">
      <c r="A21" s="8">
        <v>2</v>
      </c>
      <c r="B21" s="11" t="s">
        <v>332</v>
      </c>
      <c r="C21" s="11"/>
      <c r="D21" s="9"/>
      <c r="E21" s="11"/>
      <c r="F21" s="11"/>
    </row>
    <row r="22" spans="1:6">
      <c r="A22" s="8"/>
      <c r="B22" s="11" t="s">
        <v>10</v>
      </c>
      <c r="C22" s="10">
        <v>5.0199999999999995E-4</v>
      </c>
      <c r="D22" s="12">
        <f>ROUND(D$3*C22,0)</f>
        <v>98</v>
      </c>
      <c r="E22" s="13">
        <f>ROUND(D22/2,0)</f>
        <v>49</v>
      </c>
      <c r="F22" s="12">
        <f>D22-E22</f>
        <v>49</v>
      </c>
    </row>
    <row r="23" spans="1:6">
      <c r="A23" s="8"/>
      <c r="B23" s="11" t="s">
        <v>11</v>
      </c>
      <c r="C23" s="10">
        <v>2.3699999999999999E-4</v>
      </c>
      <c r="D23" s="12">
        <f>ROUND(D$3*C23,0)</f>
        <v>46</v>
      </c>
      <c r="E23" s="13">
        <f>ROUND(D23/2,0)</f>
        <v>23</v>
      </c>
      <c r="F23" s="12">
        <f>D23-E23</f>
        <v>23</v>
      </c>
    </row>
    <row r="24" spans="1:6" ht="15.75" customHeight="1">
      <c r="A24" s="8">
        <v>2</v>
      </c>
      <c r="B24" s="11" t="s">
        <v>49</v>
      </c>
      <c r="C24" s="11"/>
      <c r="D24" s="9"/>
      <c r="E24" s="11"/>
      <c r="F24" s="11"/>
    </row>
    <row r="25" spans="1:6" ht="15.75" customHeight="1">
      <c r="A25" s="8"/>
      <c r="B25" s="11" t="s">
        <v>10</v>
      </c>
      <c r="C25" s="10">
        <v>8.2299999999999995E-4</v>
      </c>
      <c r="D25" s="12">
        <f>ROUND(D$3*C25,0)</f>
        <v>161</v>
      </c>
      <c r="E25" s="13">
        <f>ROUND(D25/2,0)</f>
        <v>81</v>
      </c>
      <c r="F25" s="12">
        <f>D25-E25</f>
        <v>80</v>
      </c>
    </row>
    <row r="26" spans="1:6" ht="15.75" customHeight="1">
      <c r="A26" s="8"/>
      <c r="B26" s="11" t="s">
        <v>11</v>
      </c>
      <c r="C26" s="10">
        <v>5.1599999999999997E-4</v>
      </c>
      <c r="D26" s="12">
        <f>ROUND(D$3*C26,0)</f>
        <v>101</v>
      </c>
      <c r="E26" s="13">
        <f>ROUND(D26/2,0)</f>
        <v>51</v>
      </c>
      <c r="F26" s="12">
        <f>D26-E26</f>
        <v>50</v>
      </c>
    </row>
    <row r="27" spans="1:6">
      <c r="A27" s="8">
        <v>2</v>
      </c>
      <c r="B27" s="11" t="s">
        <v>333</v>
      </c>
      <c r="C27" s="11"/>
      <c r="D27" s="9"/>
      <c r="E27" s="11"/>
      <c r="F27" s="11"/>
    </row>
    <row r="28" spans="1:6">
      <c r="A28" s="8"/>
      <c r="B28" s="11" t="s">
        <v>10</v>
      </c>
      <c r="C28" s="10">
        <v>2.5999999999999998E-4</v>
      </c>
      <c r="D28" s="12">
        <f>ROUND(D$3*C28,0)</f>
        <v>51</v>
      </c>
      <c r="E28" s="13">
        <f>ROUND(D28/2,0)</f>
        <v>26</v>
      </c>
      <c r="F28" s="12">
        <f>D28-E28</f>
        <v>25</v>
      </c>
    </row>
    <row r="29" spans="1:6">
      <c r="A29" s="8"/>
      <c r="B29" s="11" t="s">
        <v>11</v>
      </c>
      <c r="C29" s="10">
        <v>2.2800000000000001E-4</v>
      </c>
      <c r="D29" s="12">
        <f>ROUND(D$3*C29,0)</f>
        <v>45</v>
      </c>
      <c r="E29" s="13">
        <f>ROUND(D29/2,0)</f>
        <v>23</v>
      </c>
      <c r="F29" s="12">
        <f>D29-E29</f>
        <v>22</v>
      </c>
    </row>
    <row r="30" spans="1:6">
      <c r="A30" s="8">
        <v>2</v>
      </c>
      <c r="B30" s="11" t="s">
        <v>334</v>
      </c>
      <c r="C30" s="11"/>
      <c r="D30" s="9"/>
      <c r="E30" s="11"/>
      <c r="F30" s="11"/>
    </row>
    <row r="31" spans="1:6">
      <c r="A31" s="8"/>
      <c r="B31" s="11" t="s">
        <v>10</v>
      </c>
      <c r="C31" s="10">
        <v>1.6739999999999999E-3</v>
      </c>
      <c r="D31" s="12">
        <f>ROUND(D$3*C31,0)</f>
        <v>328</v>
      </c>
      <c r="E31" s="13">
        <f>ROUND(D31/2,0)</f>
        <v>164</v>
      </c>
      <c r="F31" s="12">
        <f>D31-E31</f>
        <v>164</v>
      </c>
    </row>
    <row r="32" spans="1:6">
      <c r="A32" s="8"/>
      <c r="B32" s="11" t="s">
        <v>11</v>
      </c>
      <c r="C32" s="10">
        <v>1.26E-4</v>
      </c>
      <c r="D32" s="12">
        <f>ROUND(D$3*C32,0)</f>
        <v>25</v>
      </c>
      <c r="E32" s="13">
        <f>ROUND(D32/2,0)</f>
        <v>13</v>
      </c>
      <c r="F32" s="12">
        <f>D32-E32</f>
        <v>12</v>
      </c>
    </row>
    <row r="33" spans="1:6">
      <c r="A33" s="8">
        <v>2</v>
      </c>
      <c r="B33" s="11" t="s">
        <v>335</v>
      </c>
      <c r="C33" s="11"/>
      <c r="D33" s="9"/>
      <c r="E33" s="11"/>
      <c r="F33" s="11"/>
    </row>
    <row r="34" spans="1:6">
      <c r="A34" s="8"/>
      <c r="B34" s="11" t="s">
        <v>10</v>
      </c>
      <c r="C34" s="10">
        <v>3.1599999999999998E-4</v>
      </c>
      <c r="D34" s="12">
        <f>ROUND(D$3*C34,0)</f>
        <v>62</v>
      </c>
      <c r="E34" s="13">
        <f>ROUND(D34/2,0)</f>
        <v>31</v>
      </c>
      <c r="F34" s="12">
        <f>D34-E34</f>
        <v>31</v>
      </c>
    </row>
    <row r="35" spans="1:6">
      <c r="A35" s="8"/>
      <c r="B35" s="11" t="s">
        <v>11</v>
      </c>
      <c r="C35" s="10">
        <v>2.7399999999999999E-4</v>
      </c>
      <c r="D35" s="12">
        <f>ROUND(D$3*C35,0)</f>
        <v>54</v>
      </c>
      <c r="E35" s="13">
        <f>ROUND(D35/2,0)</f>
        <v>27</v>
      </c>
      <c r="F35" s="12">
        <f>D35-E35</f>
        <v>27</v>
      </c>
    </row>
    <row r="36" spans="1:6">
      <c r="A36" s="8">
        <v>2</v>
      </c>
      <c r="B36" s="11" t="s">
        <v>336</v>
      </c>
      <c r="C36" s="11"/>
      <c r="D36" s="9"/>
      <c r="E36" s="11"/>
      <c r="F36" s="11"/>
    </row>
    <row r="37" spans="1:6">
      <c r="A37" s="8"/>
      <c r="B37" s="11" t="s">
        <v>10</v>
      </c>
      <c r="C37" s="10">
        <v>9.5299999999999996E-4</v>
      </c>
      <c r="D37" s="12">
        <f>ROUND(D$3*C37,0)</f>
        <v>187</v>
      </c>
      <c r="E37" s="13">
        <f>ROUND(D37/2,0)</f>
        <v>94</v>
      </c>
      <c r="F37" s="12">
        <f>D37-E37</f>
        <v>93</v>
      </c>
    </row>
    <row r="38" spans="1:6">
      <c r="A38" s="8"/>
      <c r="B38" s="11" t="s">
        <v>11</v>
      </c>
      <c r="C38" s="10">
        <v>6.2799999999999998E-4</v>
      </c>
      <c r="D38" s="12">
        <f>ROUND(D$3*C38,0)</f>
        <v>123</v>
      </c>
      <c r="E38" s="13">
        <f>ROUND(D38/2,0)</f>
        <v>62</v>
      </c>
      <c r="F38" s="12">
        <f>D38-E38</f>
        <v>61</v>
      </c>
    </row>
    <row r="39" spans="1:6">
      <c r="A39" s="8">
        <v>2</v>
      </c>
      <c r="B39" s="11" t="s">
        <v>337</v>
      </c>
      <c r="C39" s="11"/>
      <c r="D39" s="9"/>
      <c r="E39" s="11"/>
      <c r="F39" s="11"/>
    </row>
    <row r="40" spans="1:6">
      <c r="A40" s="8"/>
      <c r="B40" s="11" t="s">
        <v>10</v>
      </c>
      <c r="C40" s="10">
        <v>6.7900000000000002E-4</v>
      </c>
      <c r="D40" s="12">
        <f>ROUND(D$3*C40,0)</f>
        <v>133</v>
      </c>
      <c r="E40" s="13">
        <f>ROUND(D40/2,0)</f>
        <v>67</v>
      </c>
      <c r="F40" s="12">
        <f>D40-E40</f>
        <v>66</v>
      </c>
    </row>
    <row r="41" spans="1:6">
      <c r="A41" s="8"/>
      <c r="B41" s="11" t="s">
        <v>11</v>
      </c>
      <c r="C41" s="10">
        <v>6.4599999999999998E-4</v>
      </c>
      <c r="D41" s="12">
        <f>ROUND(D$3*C41,0)</f>
        <v>127</v>
      </c>
      <c r="E41" s="13">
        <f>ROUND(D41/2,0)</f>
        <v>64</v>
      </c>
      <c r="F41" s="12">
        <f>D41-E41</f>
        <v>63</v>
      </c>
    </row>
    <row r="42" spans="1:6">
      <c r="A42" s="8">
        <v>2</v>
      </c>
      <c r="B42" s="11" t="s">
        <v>338</v>
      </c>
      <c r="C42" s="11"/>
      <c r="D42" s="9"/>
      <c r="E42" s="11"/>
      <c r="F42" s="11"/>
    </row>
    <row r="43" spans="1:6">
      <c r="A43" s="8"/>
      <c r="B43" s="11" t="s">
        <v>10</v>
      </c>
      <c r="C43" s="10">
        <v>3.7199999999999999E-4</v>
      </c>
      <c r="D43" s="12">
        <f>ROUND(D$3*C43,0)</f>
        <v>73</v>
      </c>
      <c r="E43" s="13">
        <f>ROUND(D43/2,0)</f>
        <v>37</v>
      </c>
      <c r="F43" s="12">
        <f>D43-E43</f>
        <v>36</v>
      </c>
    </row>
    <row r="44" spans="1:6">
      <c r="A44" s="8"/>
      <c r="B44" s="11" t="s">
        <v>11</v>
      </c>
      <c r="C44" s="10">
        <v>2.1900000000000001E-4</v>
      </c>
      <c r="D44" s="12">
        <f>ROUND(D$3*C44,0)</f>
        <v>43</v>
      </c>
      <c r="E44" s="13">
        <f>ROUND(D44/2,0)</f>
        <v>22</v>
      </c>
      <c r="F44" s="12">
        <f>D44-E44</f>
        <v>21</v>
      </c>
    </row>
    <row r="45" spans="1:6">
      <c r="A45" s="8">
        <v>2</v>
      </c>
      <c r="B45" s="11" t="s">
        <v>22</v>
      </c>
      <c r="C45" s="11"/>
      <c r="D45" s="9"/>
      <c r="E45" s="11"/>
      <c r="F45" s="11"/>
    </row>
    <row r="46" spans="1:6">
      <c r="A46" s="8"/>
      <c r="B46" s="11" t="s">
        <v>10</v>
      </c>
      <c r="C46" s="10">
        <v>5.6700000000000001E-4</v>
      </c>
      <c r="D46" s="12">
        <f>ROUND(D$3*C46,0)</f>
        <v>111</v>
      </c>
      <c r="E46" s="13">
        <f>ROUND(D46/2,0)</f>
        <v>56</v>
      </c>
      <c r="F46" s="12">
        <f>D46-E46</f>
        <v>55</v>
      </c>
    </row>
    <row r="47" spans="1:6">
      <c r="A47" s="8"/>
      <c r="B47" s="11" t="s">
        <v>11</v>
      </c>
      <c r="C47" s="10">
        <v>2.9300000000000002E-4</v>
      </c>
      <c r="D47" s="12">
        <f>ROUND(D$3*C47,0)</f>
        <v>57</v>
      </c>
      <c r="E47" s="13">
        <f>ROUND(D47/2,0)</f>
        <v>29</v>
      </c>
      <c r="F47" s="12">
        <f>D47-E47</f>
        <v>28</v>
      </c>
    </row>
    <row r="48" spans="1:6">
      <c r="A48" s="8">
        <v>2</v>
      </c>
      <c r="B48" s="11" t="s">
        <v>115</v>
      </c>
      <c r="C48" s="11"/>
      <c r="D48" s="9"/>
      <c r="E48" s="11"/>
      <c r="F48" s="11"/>
    </row>
    <row r="49" spans="1:6">
      <c r="A49" s="8"/>
      <c r="B49" s="11" t="s">
        <v>10</v>
      </c>
      <c r="C49" s="10">
        <v>4.1999999999999998E-5</v>
      </c>
      <c r="D49" s="12">
        <f t="shared" ref="D49:D58" si="0">ROUND(D$3*C49,0)</f>
        <v>8</v>
      </c>
      <c r="E49" s="13">
        <f t="shared" ref="E49:E58" si="1">ROUND(D49/2,0)</f>
        <v>4</v>
      </c>
      <c r="F49" s="12">
        <f t="shared" ref="F49:F58" si="2">D49-E49</f>
        <v>4</v>
      </c>
    </row>
    <row r="50" spans="1:6">
      <c r="A50" s="8"/>
      <c r="B50" s="11" t="s">
        <v>11</v>
      </c>
      <c r="C50" s="10">
        <v>3.3000000000000003E-5</v>
      </c>
      <c r="D50" s="12">
        <f t="shared" si="0"/>
        <v>6</v>
      </c>
      <c r="E50" s="13">
        <f t="shared" si="1"/>
        <v>3</v>
      </c>
      <c r="F50" s="12">
        <f t="shared" si="2"/>
        <v>3</v>
      </c>
    </row>
    <row r="51" spans="1:6">
      <c r="A51" s="8">
        <v>3</v>
      </c>
      <c r="B51" s="11" t="s">
        <v>339</v>
      </c>
      <c r="C51" s="10">
        <v>4.5586000000000002E-2</v>
      </c>
      <c r="D51" s="12">
        <f t="shared" si="0"/>
        <v>8934</v>
      </c>
      <c r="E51" s="13">
        <f t="shared" si="1"/>
        <v>4467</v>
      </c>
      <c r="F51" s="12">
        <f t="shared" si="2"/>
        <v>4467</v>
      </c>
    </row>
    <row r="52" spans="1:6">
      <c r="A52" s="8">
        <v>3</v>
      </c>
      <c r="B52" s="11" t="s">
        <v>340</v>
      </c>
      <c r="C52" s="10">
        <v>2.088E-3</v>
      </c>
      <c r="D52" s="12">
        <f t="shared" si="0"/>
        <v>409</v>
      </c>
      <c r="E52" s="13">
        <f t="shared" si="1"/>
        <v>205</v>
      </c>
      <c r="F52" s="12">
        <f t="shared" si="2"/>
        <v>204</v>
      </c>
    </row>
    <row r="53" spans="1:6">
      <c r="A53" s="8">
        <v>3</v>
      </c>
      <c r="B53" s="11" t="s">
        <v>341</v>
      </c>
      <c r="C53" s="10">
        <v>3.7651999999999998E-2</v>
      </c>
      <c r="D53" s="12">
        <f t="shared" si="0"/>
        <v>7379</v>
      </c>
      <c r="E53" s="13">
        <f t="shared" si="1"/>
        <v>3690</v>
      </c>
      <c r="F53" s="12">
        <f t="shared" si="2"/>
        <v>3689</v>
      </c>
    </row>
    <row r="54" spans="1:6">
      <c r="A54" s="8">
        <v>3</v>
      </c>
      <c r="B54" s="11" t="s">
        <v>342</v>
      </c>
      <c r="C54" s="10">
        <v>1.4578000000000001E-2</v>
      </c>
      <c r="D54" s="12">
        <f t="shared" si="0"/>
        <v>2857</v>
      </c>
      <c r="E54" s="13">
        <f t="shared" si="1"/>
        <v>1429</v>
      </c>
      <c r="F54" s="12">
        <f t="shared" si="2"/>
        <v>1428</v>
      </c>
    </row>
    <row r="55" spans="1:6">
      <c r="A55" s="8">
        <v>3</v>
      </c>
      <c r="B55" s="11" t="s">
        <v>343</v>
      </c>
      <c r="C55" s="10">
        <v>1.7699999999999999E-4</v>
      </c>
      <c r="D55" s="12">
        <f t="shared" si="0"/>
        <v>35</v>
      </c>
      <c r="E55" s="13">
        <f t="shared" si="1"/>
        <v>18</v>
      </c>
      <c r="F55" s="12">
        <f t="shared" si="2"/>
        <v>17</v>
      </c>
    </row>
    <row r="56" spans="1:6">
      <c r="A56" s="8">
        <v>3</v>
      </c>
      <c r="B56" s="11" t="s">
        <v>344</v>
      </c>
      <c r="C56" s="10">
        <v>1.95E-4</v>
      </c>
      <c r="D56" s="12">
        <f t="shared" si="0"/>
        <v>38</v>
      </c>
      <c r="E56" s="13">
        <f t="shared" si="1"/>
        <v>19</v>
      </c>
      <c r="F56" s="12">
        <f t="shared" si="2"/>
        <v>19</v>
      </c>
    </row>
    <row r="57" spans="1:6">
      <c r="A57" s="8">
        <v>3</v>
      </c>
      <c r="B57" s="11" t="s">
        <v>345</v>
      </c>
      <c r="C57" s="10">
        <v>7.1050000000000002E-3</v>
      </c>
      <c r="D57" s="12">
        <f t="shared" si="0"/>
        <v>1393</v>
      </c>
      <c r="E57" s="13">
        <f t="shared" si="1"/>
        <v>697</v>
      </c>
      <c r="F57" s="12">
        <f t="shared" si="2"/>
        <v>696</v>
      </c>
    </row>
    <row r="58" spans="1:6">
      <c r="A58" s="8">
        <v>4</v>
      </c>
      <c r="B58" s="11" t="s">
        <v>346</v>
      </c>
      <c r="C58" s="10">
        <v>0.16728999999999999</v>
      </c>
      <c r="D58" s="9">
        <f t="shared" si="0"/>
        <v>32787</v>
      </c>
      <c r="E58" s="11">
        <f t="shared" si="1"/>
        <v>16394</v>
      </c>
      <c r="F58" s="9">
        <f t="shared" si="2"/>
        <v>16393</v>
      </c>
    </row>
    <row r="59" spans="1:6">
      <c r="A59" s="8"/>
      <c r="B59" s="11" t="s">
        <v>28</v>
      </c>
      <c r="C59" s="11"/>
      <c r="D59" s="14">
        <v>0.68069100000000005</v>
      </c>
      <c r="E59" s="11"/>
      <c r="F59" s="11"/>
    </row>
    <row r="60" spans="1:6">
      <c r="A60" s="8"/>
      <c r="B60" s="11" t="s">
        <v>29</v>
      </c>
      <c r="C60" s="11"/>
      <c r="D60" s="225">
        <f>ROUND(D58*D59,0)</f>
        <v>22318</v>
      </c>
      <c r="E60" s="226">
        <f>ROUND(D60/2,0)</f>
        <v>11159</v>
      </c>
      <c r="F60" s="225">
        <f>D60-E60</f>
        <v>11159</v>
      </c>
    </row>
    <row r="61" spans="1:6">
      <c r="A61" s="8"/>
      <c r="B61" s="11" t="s">
        <v>30</v>
      </c>
      <c r="C61" s="11"/>
      <c r="D61" s="12">
        <f>+D58-D60</f>
        <v>10469</v>
      </c>
      <c r="E61" s="13">
        <f>ROUND(D61/2,0)</f>
        <v>5235</v>
      </c>
      <c r="F61" s="12">
        <f>D61-E61</f>
        <v>5234</v>
      </c>
    </row>
    <row r="62" spans="1:6">
      <c r="A62" s="8">
        <v>4</v>
      </c>
      <c r="B62" s="11" t="s">
        <v>347</v>
      </c>
      <c r="C62" s="10">
        <v>0.25068099999999999</v>
      </c>
      <c r="D62" s="9">
        <f>ROUND(D$3*C62,0)</f>
        <v>49131</v>
      </c>
      <c r="E62" s="11">
        <f>ROUND(D62/2,0)</f>
        <v>24566</v>
      </c>
      <c r="F62" s="9">
        <f>D62-E62</f>
        <v>24565</v>
      </c>
    </row>
    <row r="63" spans="1:6">
      <c r="A63" s="8"/>
      <c r="B63" s="11" t="s">
        <v>28</v>
      </c>
      <c r="C63" s="11"/>
      <c r="D63" s="14">
        <v>0.412856</v>
      </c>
      <c r="E63" s="11"/>
      <c r="F63" s="11"/>
    </row>
    <row r="64" spans="1:6">
      <c r="A64" s="8"/>
      <c r="B64" s="11" t="s">
        <v>29</v>
      </c>
      <c r="C64" s="11"/>
      <c r="D64" s="225">
        <f>ROUND(D62*D63,0)</f>
        <v>20284</v>
      </c>
      <c r="E64" s="226">
        <f>ROUND(D64/2,0)</f>
        <v>10142</v>
      </c>
      <c r="F64" s="225">
        <f>D64-E64</f>
        <v>10142</v>
      </c>
    </row>
    <row r="65" spans="1:8">
      <c r="A65" s="8"/>
      <c r="B65" s="11" t="s">
        <v>30</v>
      </c>
      <c r="C65" s="11"/>
      <c r="D65" s="12">
        <f>+D62-D64</f>
        <v>28847</v>
      </c>
      <c r="E65" s="13">
        <f>ROUND(D65/2,0)</f>
        <v>14424</v>
      </c>
      <c r="F65" s="12">
        <f>D65-E65</f>
        <v>14423</v>
      </c>
    </row>
    <row r="66" spans="1:8">
      <c r="A66" s="8">
        <v>4</v>
      </c>
      <c r="B66" s="11" t="s">
        <v>348</v>
      </c>
      <c r="C66" s="10">
        <v>0.20757</v>
      </c>
      <c r="D66" s="9">
        <f>ROUND(D$3*C66,0)</f>
        <v>40682</v>
      </c>
      <c r="E66" s="11">
        <f>ROUND(D66/2,0)</f>
        <v>20341</v>
      </c>
      <c r="F66" s="9">
        <f>D66-E66</f>
        <v>20341</v>
      </c>
    </row>
    <row r="67" spans="1:8">
      <c r="A67" s="8"/>
      <c r="B67" s="11" t="s">
        <v>28</v>
      </c>
      <c r="C67" s="11"/>
      <c r="D67" s="14">
        <v>0.37912400000000002</v>
      </c>
      <c r="E67" s="11"/>
      <c r="F67" s="11"/>
    </row>
    <row r="68" spans="1:8">
      <c r="A68" s="8"/>
      <c r="B68" s="11" t="s">
        <v>29</v>
      </c>
      <c r="C68" s="11"/>
      <c r="D68" s="225">
        <f>ROUND(D66*D67,0)</f>
        <v>15424</v>
      </c>
      <c r="E68" s="226">
        <f>ROUND(D68/2,0)</f>
        <v>7712</v>
      </c>
      <c r="F68" s="225">
        <f>D68-E68</f>
        <v>7712</v>
      </c>
    </row>
    <row r="69" spans="1:8">
      <c r="A69" s="8"/>
      <c r="B69" s="11" t="s">
        <v>30</v>
      </c>
      <c r="C69" s="11"/>
      <c r="D69" s="12">
        <f>+D66-D68</f>
        <v>25258</v>
      </c>
      <c r="E69" s="13">
        <f>ROUND(D69/2,0)</f>
        <v>12629</v>
      </c>
      <c r="F69" s="12">
        <f>D69-E69</f>
        <v>12629</v>
      </c>
    </row>
    <row r="70" spans="1:8">
      <c r="A70" s="8">
        <v>5</v>
      </c>
      <c r="B70" s="11" t="s">
        <v>349</v>
      </c>
      <c r="C70" s="10">
        <v>1.9805E-2</v>
      </c>
      <c r="D70" s="12">
        <f>ROUND(D$3*C70,0)</f>
        <v>3882</v>
      </c>
      <c r="E70" s="13">
        <f>ROUND(D70/2,0)</f>
        <v>1941</v>
      </c>
      <c r="F70" s="12">
        <f>D70-E70</f>
        <v>1941</v>
      </c>
    </row>
    <row r="71" spans="1:8">
      <c r="A71" s="8" t="s">
        <v>590</v>
      </c>
      <c r="B71" s="11" t="s">
        <v>350</v>
      </c>
      <c r="C71" s="10">
        <v>2.3064999999999999E-2</v>
      </c>
      <c r="D71" s="12">
        <f>ROUND(D$3*C71,0)</f>
        <v>4521</v>
      </c>
      <c r="E71" s="13">
        <f>ROUND(D71/2,0)</f>
        <v>2261</v>
      </c>
      <c r="F71" s="12">
        <f>D71-E71</f>
        <v>2260</v>
      </c>
    </row>
    <row r="72" spans="1:8">
      <c r="A72" s="8">
        <v>6</v>
      </c>
      <c r="B72" s="11" t="s">
        <v>351</v>
      </c>
      <c r="C72" s="10">
        <v>3.4510000000000929E-3</v>
      </c>
      <c r="D72" s="12">
        <f>+D3-SUM(D4:D5)-SUM(D10:D58)-D62-D66-SUM(D70:D71)</f>
        <v>675</v>
      </c>
      <c r="E72" s="13">
        <f>ROUND(D72/2,0)</f>
        <v>338</v>
      </c>
      <c r="F72" s="12">
        <f>D72-E72</f>
        <v>337</v>
      </c>
    </row>
    <row r="73" spans="1:8">
      <c r="A73" s="8"/>
      <c r="B73" s="28" t="s">
        <v>288</v>
      </c>
      <c r="C73" s="10">
        <v>1</v>
      </c>
      <c r="D73" s="12">
        <f>+D4+(SUM(D7:D57)+SUM(D60:D61)+SUM(D64:D65)+SUM(D68:D72))</f>
        <v>195990</v>
      </c>
      <c r="E73" s="12">
        <f>+E4+(SUM(E7:E57)+SUM(E60:E61)+SUM(E64:E65)+SUM(E68:E72))</f>
        <v>98008</v>
      </c>
      <c r="F73" s="12">
        <f>+F4+(SUM(F7:F57)+SUM(F60:F61)+SUM(F64:F65)+SUM(F68:F72))</f>
        <v>97982</v>
      </c>
    </row>
    <row r="74" spans="1:8">
      <c r="B74" s="18" t="s">
        <v>38</v>
      </c>
      <c r="D74" s="19">
        <f>+D4</f>
        <v>230</v>
      </c>
      <c r="E74" s="19">
        <f>+E4</f>
        <v>115</v>
      </c>
      <c r="F74" s="19">
        <f>+F4</f>
        <v>115</v>
      </c>
    </row>
    <row r="75" spans="1:8">
      <c r="B75" s="2" t="s">
        <v>39</v>
      </c>
      <c r="D75" s="19">
        <f>+D7</f>
        <v>9324</v>
      </c>
      <c r="E75" s="19">
        <f>+E7</f>
        <v>4662</v>
      </c>
      <c r="F75" s="19">
        <f>+F7</f>
        <v>4662</v>
      </c>
    </row>
    <row r="76" spans="1:8">
      <c r="B76" s="2" t="s">
        <v>40</v>
      </c>
      <c r="D76" s="19">
        <f>+D60+D64+D68</f>
        <v>58026</v>
      </c>
      <c r="E76" s="19">
        <f>+E60+E64+E68</f>
        <v>29013</v>
      </c>
      <c r="F76" s="19">
        <f>+F60+F64+F68</f>
        <v>29013</v>
      </c>
      <c r="H76" s="3">
        <v>1</v>
      </c>
    </row>
    <row r="77" spans="1:8">
      <c r="B77" s="18" t="s">
        <v>41</v>
      </c>
      <c r="D77" s="19">
        <f>+D73-D74-D75-D76</f>
        <v>128410</v>
      </c>
      <c r="E77" s="19">
        <f>+E73-E74-E75-E76</f>
        <v>64218</v>
      </c>
      <c r="F77" s="19">
        <f>+F73-F74-F75-F76</f>
        <v>64192</v>
      </c>
      <c r="H77" s="3">
        <v>2</v>
      </c>
    </row>
    <row r="79" spans="1:8" hidden="1">
      <c r="B79" s="3" t="s">
        <v>42</v>
      </c>
      <c r="C79" s="4">
        <v>1.0000000000929404E-6</v>
      </c>
      <c r="D79" s="3">
        <f>+D72-ROUND(D3*C72,0)</f>
        <v>-1</v>
      </c>
    </row>
  </sheetData>
  <pageMargins left="0.7" right="0.7" top="0.75" bottom="0.75" header="0.3" footer="0.3"/>
  <pageSetup scale="5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pageSetUpPr fitToPage="1"/>
  </sheetPr>
  <dimension ref="A1:WVB71"/>
  <sheetViews>
    <sheetView topLeftCell="A28" zoomScaleNormal="100" zoomScaleSheetLayoutView="90" workbookViewId="0">
      <selection activeCell="D49" activeCellId="2" sqref="D7:F7 D44:F44 D49:F49"/>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6" style="3" hidden="1"/>
    <col min="190" max="246" width="9.140625" style="3" hidden="1"/>
    <col min="247" max="247" width="16.28515625" style="3" hidden="1"/>
    <col min="248" max="248" width="17.5703125" style="3" hidden="1"/>
    <col min="249" max="249" width="16" style="3" hidden="1"/>
    <col min="250" max="250" width="18.140625" style="3" hidden="1"/>
    <col min="251" max="443" width="9.140625" style="3" hidden="1"/>
    <col min="444" max="444" width="11" style="3" hidden="1"/>
    <col min="445" max="445" width="56" style="3" hidden="1"/>
    <col min="446" max="502" width="9.140625" style="3" hidden="1"/>
    <col min="503" max="503" width="16.28515625" style="3" hidden="1"/>
    <col min="504" max="504" width="17.5703125" style="3" hidden="1"/>
    <col min="505" max="505" width="16" style="3" hidden="1"/>
    <col min="506" max="506" width="18.140625" style="3" hidden="1"/>
    <col min="507" max="699" width="9.140625" style="3" hidden="1"/>
    <col min="700" max="700" width="11" style="3" hidden="1"/>
    <col min="701" max="701" width="56" style="3" hidden="1"/>
    <col min="702" max="758" width="9.140625" style="3" hidden="1"/>
    <col min="759" max="759" width="16.28515625" style="3" hidden="1"/>
    <col min="760" max="760" width="17.5703125" style="3" hidden="1"/>
    <col min="761" max="761" width="16" style="3" hidden="1"/>
    <col min="762" max="762" width="18.140625" style="3" hidden="1"/>
    <col min="763" max="955" width="9.140625" style="3" hidden="1"/>
    <col min="956" max="956" width="11" style="3" hidden="1"/>
    <col min="957" max="957" width="56" style="3" hidden="1"/>
    <col min="958" max="1014" width="9.140625" style="3" hidden="1"/>
    <col min="1015" max="1015" width="16.28515625" style="3" hidden="1"/>
    <col min="1016" max="1016" width="17.5703125" style="3" hidden="1"/>
    <col min="1017" max="1017" width="16" style="3" hidden="1"/>
    <col min="1018" max="1018" width="18.140625" style="3" hidden="1"/>
    <col min="1019" max="1211" width="9.140625" style="3" hidden="1"/>
    <col min="1212" max="1212" width="11" style="3" hidden="1"/>
    <col min="1213" max="1213" width="56" style="3" hidden="1"/>
    <col min="1214" max="1270" width="9.140625" style="3" hidden="1"/>
    <col min="1271" max="1271" width="16.28515625" style="3" hidden="1"/>
    <col min="1272" max="1272" width="17.5703125" style="3" hidden="1"/>
    <col min="1273" max="1273" width="16" style="3" hidden="1"/>
    <col min="1274" max="1274" width="18.140625" style="3" hidden="1"/>
    <col min="1275" max="1467" width="9.140625" style="3" hidden="1"/>
    <col min="1468" max="1468" width="11" style="3" hidden="1"/>
    <col min="1469" max="1469" width="56" style="3" hidden="1"/>
    <col min="1470" max="1526" width="9.140625" style="3" hidden="1"/>
    <col min="1527" max="1527" width="16.28515625" style="3" hidden="1"/>
    <col min="1528" max="1528" width="17.5703125" style="3" hidden="1"/>
    <col min="1529" max="1529" width="16" style="3" hidden="1"/>
    <col min="1530" max="1530" width="18.140625" style="3" hidden="1"/>
    <col min="1531" max="1723" width="9.140625" style="3" hidden="1"/>
    <col min="1724" max="1724" width="11" style="3" hidden="1"/>
    <col min="1725" max="1725" width="56" style="3" hidden="1"/>
    <col min="1726" max="1782" width="9.140625" style="3" hidden="1"/>
    <col min="1783" max="1783" width="16.28515625" style="3" hidden="1"/>
    <col min="1784" max="1784" width="17.5703125" style="3" hidden="1"/>
    <col min="1785" max="1785" width="16" style="3" hidden="1"/>
    <col min="1786" max="1786" width="18.140625" style="3" hidden="1"/>
    <col min="1787" max="1979" width="9.140625" style="3" hidden="1"/>
    <col min="1980" max="1980" width="11" style="3" hidden="1"/>
    <col min="1981" max="1981" width="56" style="3" hidden="1"/>
    <col min="1982" max="2038" width="9.140625" style="3" hidden="1"/>
    <col min="2039" max="2039" width="16.28515625" style="3" hidden="1"/>
    <col min="2040" max="2040" width="17.5703125" style="3" hidden="1"/>
    <col min="2041" max="2041" width="16" style="3" hidden="1"/>
    <col min="2042" max="2042" width="18.140625" style="3" hidden="1"/>
    <col min="2043" max="2235" width="9.140625" style="3" hidden="1"/>
    <col min="2236" max="2236" width="11" style="3" hidden="1"/>
    <col min="2237" max="2237" width="56" style="3" hidden="1"/>
    <col min="2238" max="2294" width="9.140625" style="3" hidden="1"/>
    <col min="2295" max="2295" width="16.28515625" style="3" hidden="1"/>
    <col min="2296" max="2296" width="17.5703125" style="3" hidden="1"/>
    <col min="2297" max="2297" width="16" style="3" hidden="1"/>
    <col min="2298" max="2298" width="18.140625" style="3" hidden="1"/>
    <col min="2299" max="2491" width="9.140625" style="3" hidden="1"/>
    <col min="2492" max="2492" width="11" style="3" hidden="1"/>
    <col min="2493" max="2493" width="56" style="3" hidden="1"/>
    <col min="2494" max="2550" width="9.140625" style="3" hidden="1"/>
    <col min="2551" max="2551" width="16.28515625" style="3" hidden="1"/>
    <col min="2552" max="2552" width="17.5703125" style="3" hidden="1"/>
    <col min="2553" max="2553" width="16" style="3" hidden="1"/>
    <col min="2554" max="2554" width="18.140625" style="3" hidden="1"/>
    <col min="2555" max="2747" width="9.140625" style="3" hidden="1"/>
    <col min="2748" max="2748" width="11" style="3" hidden="1"/>
    <col min="2749" max="2749" width="56" style="3" hidden="1"/>
    <col min="2750" max="2806" width="9.140625" style="3" hidden="1"/>
    <col min="2807" max="2807" width="16.28515625" style="3" hidden="1"/>
    <col min="2808" max="2808" width="17.5703125" style="3" hidden="1"/>
    <col min="2809" max="2809" width="16" style="3" hidden="1"/>
    <col min="2810" max="2810" width="18.140625" style="3" hidden="1"/>
    <col min="2811" max="3003" width="9.140625" style="3" hidden="1"/>
    <col min="3004" max="3004" width="11" style="3" hidden="1"/>
    <col min="3005" max="3005" width="56" style="3" hidden="1"/>
    <col min="3006" max="3062" width="9.140625" style="3" hidden="1"/>
    <col min="3063" max="3063" width="16.28515625" style="3" hidden="1"/>
    <col min="3064" max="3064" width="17.5703125" style="3" hidden="1"/>
    <col min="3065" max="3065" width="16" style="3" hidden="1"/>
    <col min="3066" max="3066" width="18.140625" style="3" hidden="1"/>
    <col min="3067" max="3259" width="9.140625" style="3" hidden="1"/>
    <col min="3260" max="3260" width="11" style="3" hidden="1"/>
    <col min="3261" max="3261" width="56" style="3" hidden="1"/>
    <col min="3262" max="3318" width="9.140625" style="3" hidden="1"/>
    <col min="3319" max="3319" width="16.28515625" style="3" hidden="1"/>
    <col min="3320" max="3320" width="17.5703125" style="3" hidden="1"/>
    <col min="3321" max="3321" width="16" style="3" hidden="1"/>
    <col min="3322" max="3322" width="18.140625" style="3" hidden="1"/>
    <col min="3323" max="3515" width="9.140625" style="3" hidden="1"/>
    <col min="3516" max="3516" width="11" style="3" hidden="1"/>
    <col min="3517" max="3517" width="56" style="3" hidden="1"/>
    <col min="3518" max="3574" width="9.140625" style="3" hidden="1"/>
    <col min="3575" max="3575" width="16.28515625" style="3" hidden="1"/>
    <col min="3576" max="3576" width="17.5703125" style="3" hidden="1"/>
    <col min="3577" max="3577" width="16" style="3" hidden="1"/>
    <col min="3578" max="3578" width="18.140625" style="3" hidden="1"/>
    <col min="3579" max="3771" width="9.140625" style="3" hidden="1"/>
    <col min="3772" max="3772" width="11" style="3" hidden="1"/>
    <col min="3773" max="3773" width="56" style="3" hidden="1"/>
    <col min="3774" max="3830" width="9.140625" style="3" hidden="1"/>
    <col min="3831" max="3831" width="16.28515625" style="3" hidden="1"/>
    <col min="3832" max="3832" width="17.5703125" style="3" hidden="1"/>
    <col min="3833" max="3833" width="16" style="3" hidden="1"/>
    <col min="3834" max="3834" width="18.140625" style="3" hidden="1"/>
    <col min="3835" max="4027" width="9.140625" style="3" hidden="1"/>
    <col min="4028" max="4028" width="11" style="3" hidden="1"/>
    <col min="4029" max="4029" width="56" style="3" hidden="1"/>
    <col min="4030" max="4086" width="9.140625" style="3" hidden="1"/>
    <col min="4087" max="4087" width="16.28515625" style="3" hidden="1"/>
    <col min="4088" max="4088" width="17.5703125" style="3" hidden="1"/>
    <col min="4089" max="4089" width="16" style="3" hidden="1"/>
    <col min="4090" max="4090" width="18.140625" style="3" hidden="1"/>
    <col min="4091" max="4283" width="9.140625" style="3" hidden="1"/>
    <col min="4284" max="4284" width="11" style="3" hidden="1"/>
    <col min="4285" max="4285" width="56" style="3" hidden="1"/>
    <col min="4286" max="4342" width="9.140625" style="3" hidden="1"/>
    <col min="4343" max="4343" width="16.28515625" style="3" hidden="1"/>
    <col min="4344" max="4344" width="17.5703125" style="3" hidden="1"/>
    <col min="4345" max="4345" width="16" style="3" hidden="1"/>
    <col min="4346" max="4346" width="18.140625" style="3" hidden="1"/>
    <col min="4347" max="4539" width="9.140625" style="3" hidden="1"/>
    <col min="4540" max="4540" width="11" style="3" hidden="1"/>
    <col min="4541" max="4541" width="56" style="3" hidden="1"/>
    <col min="4542" max="4598" width="9.140625" style="3" hidden="1"/>
    <col min="4599" max="4599" width="16.28515625" style="3" hidden="1"/>
    <col min="4600" max="4600" width="17.5703125" style="3" hidden="1"/>
    <col min="4601" max="4601" width="16" style="3" hidden="1"/>
    <col min="4602" max="4602" width="18.140625" style="3" hidden="1"/>
    <col min="4603" max="4795" width="9.140625" style="3" hidden="1"/>
    <col min="4796" max="4796" width="11" style="3" hidden="1"/>
    <col min="4797" max="4797" width="56" style="3" hidden="1"/>
    <col min="4798" max="4854" width="9.140625" style="3" hidden="1"/>
    <col min="4855" max="4855" width="16.28515625" style="3" hidden="1"/>
    <col min="4856" max="4856" width="17.5703125" style="3" hidden="1"/>
    <col min="4857" max="4857" width="16" style="3" hidden="1"/>
    <col min="4858" max="4858" width="18.140625" style="3" hidden="1"/>
    <col min="4859" max="5051" width="9.140625" style="3" hidden="1"/>
    <col min="5052" max="5052" width="11" style="3" hidden="1"/>
    <col min="5053" max="5053" width="56" style="3" hidden="1"/>
    <col min="5054" max="5110" width="9.140625" style="3" hidden="1"/>
    <col min="5111" max="5111" width="16.28515625" style="3" hidden="1"/>
    <col min="5112" max="5112" width="17.5703125" style="3" hidden="1"/>
    <col min="5113" max="5113" width="16" style="3" hidden="1"/>
    <col min="5114" max="5114" width="18.140625" style="3" hidden="1"/>
    <col min="5115" max="5307" width="9.140625" style="3" hidden="1"/>
    <col min="5308" max="5308" width="11" style="3" hidden="1"/>
    <col min="5309" max="5309" width="56" style="3" hidden="1"/>
    <col min="5310" max="5366" width="9.140625" style="3" hidden="1"/>
    <col min="5367" max="5367" width="16.28515625" style="3" hidden="1"/>
    <col min="5368" max="5368" width="17.5703125" style="3" hidden="1"/>
    <col min="5369" max="5369" width="16" style="3" hidden="1"/>
    <col min="5370" max="5370" width="18.140625" style="3" hidden="1"/>
    <col min="5371" max="5563" width="9.140625" style="3" hidden="1"/>
    <col min="5564" max="5564" width="11" style="3" hidden="1"/>
    <col min="5565" max="5565" width="56" style="3" hidden="1"/>
    <col min="5566" max="5622" width="9.140625" style="3" hidden="1"/>
    <col min="5623" max="5623" width="16.28515625" style="3" hidden="1"/>
    <col min="5624" max="5624" width="17.5703125" style="3" hidden="1"/>
    <col min="5625" max="5625" width="16" style="3" hidden="1"/>
    <col min="5626" max="5626" width="18.140625" style="3" hidden="1"/>
    <col min="5627" max="5819" width="9.140625" style="3" hidden="1"/>
    <col min="5820" max="5820" width="11" style="3" hidden="1"/>
    <col min="5821" max="5821" width="56" style="3" hidden="1"/>
    <col min="5822" max="5878" width="9.140625" style="3" hidden="1"/>
    <col min="5879" max="5879" width="16.28515625" style="3" hidden="1"/>
    <col min="5880" max="5880" width="17.5703125" style="3" hidden="1"/>
    <col min="5881" max="5881" width="16" style="3" hidden="1"/>
    <col min="5882" max="5882" width="18.140625" style="3" hidden="1"/>
    <col min="5883" max="6075" width="9.140625" style="3" hidden="1"/>
    <col min="6076" max="6076" width="11" style="3" hidden="1"/>
    <col min="6077" max="6077" width="56" style="3" hidden="1"/>
    <col min="6078" max="6134" width="9.140625" style="3" hidden="1"/>
    <col min="6135" max="6135" width="16.28515625" style="3" hidden="1"/>
    <col min="6136" max="6136" width="17.5703125" style="3" hidden="1"/>
    <col min="6137" max="6137" width="16" style="3" hidden="1"/>
    <col min="6138" max="6138" width="18.140625" style="3" hidden="1"/>
    <col min="6139" max="6331" width="9.140625" style="3" hidden="1"/>
    <col min="6332" max="6332" width="11" style="3" hidden="1"/>
    <col min="6333" max="6333" width="56" style="3" hidden="1"/>
    <col min="6334" max="6390" width="9.140625" style="3" hidden="1"/>
    <col min="6391" max="6391" width="16.28515625" style="3" hidden="1"/>
    <col min="6392" max="6392" width="17.5703125" style="3" hidden="1"/>
    <col min="6393" max="6393" width="16" style="3" hidden="1"/>
    <col min="6394" max="6394" width="18.140625" style="3" hidden="1"/>
    <col min="6395" max="6587" width="9.140625" style="3" hidden="1"/>
    <col min="6588" max="6588" width="11" style="3" hidden="1"/>
    <col min="6589" max="6589" width="56" style="3" hidden="1"/>
    <col min="6590" max="6646" width="9.140625" style="3" hidden="1"/>
    <col min="6647" max="6647" width="16.28515625" style="3" hidden="1"/>
    <col min="6648" max="6648" width="17.5703125" style="3" hidden="1"/>
    <col min="6649" max="6649" width="16" style="3" hidden="1"/>
    <col min="6650" max="6650" width="18.140625" style="3" hidden="1"/>
    <col min="6651" max="6843" width="9.140625" style="3" hidden="1"/>
    <col min="6844" max="6844" width="11" style="3" hidden="1"/>
    <col min="6845" max="6845" width="56" style="3" hidden="1"/>
    <col min="6846" max="6902" width="9.140625" style="3" hidden="1"/>
    <col min="6903" max="6903" width="16.28515625" style="3" hidden="1"/>
    <col min="6904" max="6904" width="17.5703125" style="3" hidden="1"/>
    <col min="6905" max="6905" width="16" style="3" hidden="1"/>
    <col min="6906" max="6906" width="18.140625" style="3" hidden="1"/>
    <col min="6907" max="7099" width="9.140625" style="3" hidden="1"/>
    <col min="7100" max="7100" width="11" style="3" hidden="1"/>
    <col min="7101" max="7101" width="56" style="3" hidden="1"/>
    <col min="7102" max="7158" width="9.140625" style="3" hidden="1"/>
    <col min="7159" max="7159" width="16.28515625" style="3" hidden="1"/>
    <col min="7160" max="7160" width="17.5703125" style="3" hidden="1"/>
    <col min="7161" max="7161" width="16" style="3" hidden="1"/>
    <col min="7162" max="7162" width="18.140625" style="3" hidden="1"/>
    <col min="7163" max="7355" width="9.140625" style="3" hidden="1"/>
    <col min="7356" max="7356" width="11" style="3" hidden="1"/>
    <col min="7357" max="7357" width="56" style="3" hidden="1"/>
    <col min="7358" max="7414" width="9.140625" style="3" hidden="1"/>
    <col min="7415" max="7415" width="16.28515625" style="3" hidden="1"/>
    <col min="7416" max="7416" width="17.5703125" style="3" hidden="1"/>
    <col min="7417" max="7417" width="16" style="3" hidden="1"/>
    <col min="7418" max="7418" width="18.140625" style="3" hidden="1"/>
    <col min="7419" max="7611" width="9.140625" style="3" hidden="1"/>
    <col min="7612" max="7612" width="11" style="3" hidden="1"/>
    <col min="7613" max="7613" width="56" style="3" hidden="1"/>
    <col min="7614" max="7670" width="9.140625" style="3" hidden="1"/>
    <col min="7671" max="7671" width="16.28515625" style="3" hidden="1"/>
    <col min="7672" max="7672" width="17.5703125" style="3" hidden="1"/>
    <col min="7673" max="7673" width="16" style="3" hidden="1"/>
    <col min="7674" max="7674" width="18.140625" style="3" hidden="1"/>
    <col min="7675" max="7867" width="9.140625" style="3" hidden="1"/>
    <col min="7868" max="7868" width="11" style="3" hidden="1"/>
    <col min="7869" max="7869" width="56" style="3" hidden="1"/>
    <col min="7870" max="7926" width="9.140625" style="3" hidden="1"/>
    <col min="7927" max="7927" width="16.28515625" style="3" hidden="1"/>
    <col min="7928" max="7928" width="17.5703125" style="3" hidden="1"/>
    <col min="7929" max="7929" width="16" style="3" hidden="1"/>
    <col min="7930" max="7930" width="18.140625" style="3" hidden="1"/>
    <col min="7931" max="8123" width="9.140625" style="3" hidden="1"/>
    <col min="8124" max="8124" width="11" style="3" hidden="1"/>
    <col min="8125" max="8125" width="56" style="3" hidden="1"/>
    <col min="8126" max="8182" width="9.140625" style="3" hidden="1"/>
    <col min="8183" max="8183" width="16.28515625" style="3" hidden="1"/>
    <col min="8184" max="8184" width="17.5703125" style="3" hidden="1"/>
    <col min="8185" max="8185" width="16" style="3" hidden="1"/>
    <col min="8186" max="8186" width="18.140625" style="3" hidden="1"/>
    <col min="8187" max="8379" width="9.140625" style="3" hidden="1"/>
    <col min="8380" max="8380" width="11" style="3" hidden="1"/>
    <col min="8381" max="8381" width="56" style="3" hidden="1"/>
    <col min="8382" max="8438" width="9.140625" style="3" hidden="1"/>
    <col min="8439" max="8439" width="16.28515625" style="3" hidden="1"/>
    <col min="8440" max="8440" width="17.5703125" style="3" hidden="1"/>
    <col min="8441" max="8441" width="16" style="3" hidden="1"/>
    <col min="8442" max="8442" width="18.140625" style="3" hidden="1"/>
    <col min="8443" max="8635" width="9.140625" style="3" hidden="1"/>
    <col min="8636" max="8636" width="11" style="3" hidden="1"/>
    <col min="8637" max="8637" width="56" style="3" hidden="1"/>
    <col min="8638" max="8694" width="9.140625" style="3" hidden="1"/>
    <col min="8695" max="8695" width="16.28515625" style="3" hidden="1"/>
    <col min="8696" max="8696" width="17.5703125" style="3" hidden="1"/>
    <col min="8697" max="8697" width="16" style="3" hidden="1"/>
    <col min="8698" max="8698" width="18.140625" style="3" hidden="1"/>
    <col min="8699" max="8891" width="9.140625" style="3" hidden="1"/>
    <col min="8892" max="8892" width="11" style="3" hidden="1"/>
    <col min="8893" max="8893" width="56" style="3" hidden="1"/>
    <col min="8894" max="8950" width="9.140625" style="3" hidden="1"/>
    <col min="8951" max="8951" width="16.28515625" style="3" hidden="1"/>
    <col min="8952" max="8952" width="17.5703125" style="3" hidden="1"/>
    <col min="8953" max="8953" width="16" style="3" hidden="1"/>
    <col min="8954" max="8954" width="18.140625" style="3" hidden="1"/>
    <col min="8955" max="9147" width="9.140625" style="3" hidden="1"/>
    <col min="9148" max="9148" width="11" style="3" hidden="1"/>
    <col min="9149" max="9149" width="56" style="3" hidden="1"/>
    <col min="9150" max="9206" width="9.140625" style="3" hidden="1"/>
    <col min="9207" max="9207" width="16.28515625" style="3" hidden="1"/>
    <col min="9208" max="9208" width="17.5703125" style="3" hidden="1"/>
    <col min="9209" max="9209" width="16" style="3" hidden="1"/>
    <col min="9210" max="9210" width="18.140625" style="3" hidden="1"/>
    <col min="9211" max="9403" width="9.140625" style="3" hidden="1"/>
    <col min="9404" max="9404" width="11" style="3" hidden="1"/>
    <col min="9405" max="9405" width="56" style="3" hidden="1"/>
    <col min="9406" max="9462" width="9.140625" style="3" hidden="1"/>
    <col min="9463" max="9463" width="16.28515625" style="3" hidden="1"/>
    <col min="9464" max="9464" width="17.5703125" style="3" hidden="1"/>
    <col min="9465" max="9465" width="16" style="3" hidden="1"/>
    <col min="9466" max="9466" width="18.140625" style="3" hidden="1"/>
    <col min="9467" max="9659" width="9.140625" style="3" hidden="1"/>
    <col min="9660" max="9660" width="11" style="3" hidden="1"/>
    <col min="9661" max="9661" width="56" style="3" hidden="1"/>
    <col min="9662" max="9718" width="9.140625" style="3" hidden="1"/>
    <col min="9719" max="9719" width="16.28515625" style="3" hidden="1"/>
    <col min="9720" max="9720" width="17.5703125" style="3" hidden="1"/>
    <col min="9721" max="9721" width="16" style="3" hidden="1"/>
    <col min="9722" max="9722" width="18.140625" style="3" hidden="1"/>
    <col min="9723" max="9915" width="9.140625" style="3" hidden="1"/>
    <col min="9916" max="9916" width="11" style="3" hidden="1"/>
    <col min="9917" max="9917" width="56" style="3" hidden="1"/>
    <col min="9918" max="9974" width="9.140625" style="3" hidden="1"/>
    <col min="9975" max="9975" width="16.28515625" style="3" hidden="1"/>
    <col min="9976" max="9976" width="17.5703125" style="3" hidden="1"/>
    <col min="9977" max="9977" width="16" style="3" hidden="1"/>
    <col min="9978" max="9978" width="18.140625" style="3" hidden="1"/>
    <col min="9979" max="10171" width="9.140625" style="3" hidden="1"/>
    <col min="10172" max="10172" width="11" style="3" hidden="1"/>
    <col min="10173" max="10173" width="56" style="3" hidden="1"/>
    <col min="10174" max="10230" width="9.140625" style="3" hidden="1"/>
    <col min="10231" max="10231" width="16.28515625" style="3" hidden="1"/>
    <col min="10232" max="10232" width="17.5703125" style="3" hidden="1"/>
    <col min="10233" max="10233" width="16" style="3" hidden="1"/>
    <col min="10234" max="10234" width="18.140625" style="3" hidden="1"/>
    <col min="10235" max="10427" width="9.140625" style="3" hidden="1"/>
    <col min="10428" max="10428" width="11" style="3" hidden="1"/>
    <col min="10429" max="10429" width="56" style="3" hidden="1"/>
    <col min="10430" max="10486" width="9.140625" style="3" hidden="1"/>
    <col min="10487" max="10487" width="16.28515625" style="3" hidden="1"/>
    <col min="10488" max="10488" width="17.5703125" style="3" hidden="1"/>
    <col min="10489" max="10489" width="16" style="3" hidden="1"/>
    <col min="10490" max="10490" width="18.140625" style="3" hidden="1"/>
    <col min="10491" max="10683" width="9.140625" style="3" hidden="1"/>
    <col min="10684" max="10684" width="11" style="3" hidden="1"/>
    <col min="10685" max="10685" width="56" style="3" hidden="1"/>
    <col min="10686" max="10742" width="9.140625" style="3" hidden="1"/>
    <col min="10743" max="10743" width="16.28515625" style="3" hidden="1"/>
    <col min="10744" max="10744" width="17.5703125" style="3" hidden="1"/>
    <col min="10745" max="10745" width="16" style="3" hidden="1"/>
    <col min="10746" max="10746" width="18.140625" style="3" hidden="1"/>
    <col min="10747" max="10939" width="9.140625" style="3" hidden="1"/>
    <col min="10940" max="10940" width="11" style="3" hidden="1"/>
    <col min="10941" max="10941" width="56" style="3" hidden="1"/>
    <col min="10942" max="10998" width="9.140625" style="3" hidden="1"/>
    <col min="10999" max="10999" width="16.28515625" style="3" hidden="1"/>
    <col min="11000" max="11000" width="17.5703125" style="3" hidden="1"/>
    <col min="11001" max="11001" width="16" style="3" hidden="1"/>
    <col min="11002" max="11002" width="18.140625" style="3" hidden="1"/>
    <col min="11003" max="11195" width="9.140625" style="3" hidden="1"/>
    <col min="11196" max="11196" width="11" style="3" hidden="1"/>
    <col min="11197" max="11197" width="56" style="3" hidden="1"/>
    <col min="11198" max="11254" width="9.140625" style="3" hidden="1"/>
    <col min="11255" max="11255" width="16.28515625" style="3" hidden="1"/>
    <col min="11256" max="11256" width="17.5703125" style="3" hidden="1"/>
    <col min="11257" max="11257" width="16" style="3" hidden="1"/>
    <col min="11258" max="11258" width="18.140625" style="3" hidden="1"/>
    <col min="11259" max="11451" width="9.140625" style="3" hidden="1"/>
    <col min="11452" max="11452" width="11" style="3" hidden="1"/>
    <col min="11453" max="11453" width="56" style="3" hidden="1"/>
    <col min="11454" max="11510" width="9.140625" style="3" hidden="1"/>
    <col min="11511" max="11511" width="16.28515625" style="3" hidden="1"/>
    <col min="11512" max="11512" width="17.5703125" style="3" hidden="1"/>
    <col min="11513" max="11513" width="16" style="3" hidden="1"/>
    <col min="11514" max="11514" width="18.140625" style="3" hidden="1"/>
    <col min="11515" max="11707" width="9.140625" style="3" hidden="1"/>
    <col min="11708" max="11708" width="11" style="3" hidden="1"/>
    <col min="11709" max="11709" width="56" style="3" hidden="1"/>
    <col min="11710" max="11766" width="9.140625" style="3" hidden="1"/>
    <col min="11767" max="11767" width="16.28515625" style="3" hidden="1"/>
    <col min="11768" max="11768" width="17.5703125" style="3" hidden="1"/>
    <col min="11769" max="11769" width="16" style="3" hidden="1"/>
    <col min="11770" max="11770" width="18.140625" style="3" hidden="1"/>
    <col min="11771" max="11963" width="9.140625" style="3" hidden="1"/>
    <col min="11964" max="11964" width="11" style="3" hidden="1"/>
    <col min="11965" max="11965" width="56" style="3" hidden="1"/>
    <col min="11966" max="12022" width="9.140625" style="3" hidden="1"/>
    <col min="12023" max="12023" width="16.28515625" style="3" hidden="1"/>
    <col min="12024" max="12024" width="17.5703125" style="3" hidden="1"/>
    <col min="12025" max="12025" width="16" style="3" hidden="1"/>
    <col min="12026" max="12026" width="18.140625" style="3" hidden="1"/>
    <col min="12027" max="12219" width="9.140625" style="3" hidden="1"/>
    <col min="12220" max="12220" width="11" style="3" hidden="1"/>
    <col min="12221" max="12221" width="56" style="3" hidden="1"/>
    <col min="12222" max="12278" width="9.140625" style="3" hidden="1"/>
    <col min="12279" max="12279" width="16.28515625" style="3" hidden="1"/>
    <col min="12280" max="12280" width="17.5703125" style="3" hidden="1"/>
    <col min="12281" max="12281" width="16" style="3" hidden="1"/>
    <col min="12282" max="12282" width="18.140625" style="3" hidden="1"/>
    <col min="12283" max="12475" width="9.140625" style="3" hidden="1"/>
    <col min="12476" max="12476" width="11" style="3" hidden="1"/>
    <col min="12477" max="12477" width="56" style="3" hidden="1"/>
    <col min="12478" max="12534" width="9.140625" style="3" hidden="1"/>
    <col min="12535" max="12535" width="16.28515625" style="3" hidden="1"/>
    <col min="12536" max="12536" width="17.5703125" style="3" hidden="1"/>
    <col min="12537" max="12537" width="16" style="3" hidden="1"/>
    <col min="12538" max="12538" width="18.140625" style="3" hidden="1"/>
    <col min="12539" max="12731" width="9.140625" style="3" hidden="1"/>
    <col min="12732" max="12732" width="11" style="3" hidden="1"/>
    <col min="12733" max="12733" width="56" style="3" hidden="1"/>
    <col min="12734" max="12790" width="9.140625" style="3" hidden="1"/>
    <col min="12791" max="12791" width="16.28515625" style="3" hidden="1"/>
    <col min="12792" max="12792" width="17.5703125" style="3" hidden="1"/>
    <col min="12793" max="12793" width="16" style="3" hidden="1"/>
    <col min="12794" max="12794" width="18.140625" style="3" hidden="1"/>
    <col min="12795" max="12987" width="9.140625" style="3" hidden="1"/>
    <col min="12988" max="12988" width="11" style="3" hidden="1"/>
    <col min="12989" max="12989" width="56" style="3" hidden="1"/>
    <col min="12990" max="13046" width="9.140625" style="3" hidden="1"/>
    <col min="13047" max="13047" width="16.28515625" style="3" hidden="1"/>
    <col min="13048" max="13048" width="17.5703125" style="3" hidden="1"/>
    <col min="13049" max="13049" width="16" style="3" hidden="1"/>
    <col min="13050" max="13050" width="18.140625" style="3" hidden="1"/>
    <col min="13051" max="13243" width="9.140625" style="3" hidden="1"/>
    <col min="13244" max="13244" width="11" style="3" hidden="1"/>
    <col min="13245" max="13245" width="56" style="3" hidden="1"/>
    <col min="13246" max="13302" width="9.140625" style="3" hidden="1"/>
    <col min="13303" max="13303" width="16.28515625" style="3" hidden="1"/>
    <col min="13304" max="13304" width="17.5703125" style="3" hidden="1"/>
    <col min="13305" max="13305" width="16" style="3" hidden="1"/>
    <col min="13306" max="13306" width="18.140625" style="3" hidden="1"/>
    <col min="13307" max="13499" width="9.140625" style="3" hidden="1"/>
    <col min="13500" max="13500" width="11" style="3" hidden="1"/>
    <col min="13501" max="13501" width="56" style="3" hidden="1"/>
    <col min="13502" max="13558" width="9.140625" style="3" hidden="1"/>
    <col min="13559" max="13559" width="16.28515625" style="3" hidden="1"/>
    <col min="13560" max="13560" width="17.5703125" style="3" hidden="1"/>
    <col min="13561" max="13561" width="16" style="3" hidden="1"/>
    <col min="13562" max="13562" width="18.140625" style="3" hidden="1"/>
    <col min="13563" max="13755" width="9.140625" style="3" hidden="1"/>
    <col min="13756" max="13756" width="11" style="3" hidden="1"/>
    <col min="13757" max="13757" width="56" style="3" hidden="1"/>
    <col min="13758" max="13814" width="9.140625" style="3" hidden="1"/>
    <col min="13815" max="13815" width="16.28515625" style="3" hidden="1"/>
    <col min="13816" max="13816" width="17.5703125" style="3" hidden="1"/>
    <col min="13817" max="13817" width="16" style="3" hidden="1"/>
    <col min="13818" max="13818" width="18.140625" style="3" hidden="1"/>
    <col min="13819" max="14011" width="9.140625" style="3" hidden="1"/>
    <col min="14012" max="14012" width="11" style="3" hidden="1"/>
    <col min="14013" max="14013" width="56" style="3" hidden="1"/>
    <col min="14014" max="14070" width="9.140625" style="3" hidden="1"/>
    <col min="14071" max="14071" width="16.28515625" style="3" hidden="1"/>
    <col min="14072" max="14072" width="17.5703125" style="3" hidden="1"/>
    <col min="14073" max="14073" width="16" style="3" hidden="1"/>
    <col min="14074" max="14074" width="18.140625" style="3" hidden="1"/>
    <col min="14075" max="14267" width="9.140625" style="3" hidden="1"/>
    <col min="14268" max="14268" width="11" style="3" hidden="1"/>
    <col min="14269" max="14269" width="56" style="3" hidden="1"/>
    <col min="14270" max="14326" width="9.140625" style="3" hidden="1"/>
    <col min="14327" max="14327" width="16.28515625" style="3" hidden="1"/>
    <col min="14328" max="14328" width="17.5703125" style="3" hidden="1"/>
    <col min="14329" max="14329" width="16" style="3" hidden="1"/>
    <col min="14330" max="14330" width="18.140625" style="3" hidden="1"/>
    <col min="14331" max="14523" width="9.140625" style="3" hidden="1"/>
    <col min="14524" max="14524" width="11" style="3" hidden="1"/>
    <col min="14525" max="14525" width="56" style="3" hidden="1"/>
    <col min="14526" max="14582" width="9.140625" style="3" hidden="1"/>
    <col min="14583" max="14583" width="16.28515625" style="3" hidden="1"/>
    <col min="14584" max="14584" width="17.5703125" style="3" hidden="1"/>
    <col min="14585" max="14585" width="16" style="3" hidden="1"/>
    <col min="14586" max="14586" width="18.140625" style="3" hidden="1"/>
    <col min="14587" max="14779" width="9.140625" style="3" hidden="1"/>
    <col min="14780" max="14780" width="11" style="3" hidden="1"/>
    <col min="14781" max="14781" width="56" style="3" hidden="1"/>
    <col min="14782" max="14838" width="9.140625" style="3" hidden="1"/>
    <col min="14839" max="14839" width="16.28515625" style="3" hidden="1"/>
    <col min="14840" max="14840" width="17.5703125" style="3" hidden="1"/>
    <col min="14841" max="14841" width="16" style="3" hidden="1"/>
    <col min="14842" max="14842" width="18.140625" style="3" hidden="1"/>
    <col min="14843" max="15035" width="9.140625" style="3" hidden="1"/>
    <col min="15036" max="15036" width="11" style="3" hidden="1"/>
    <col min="15037" max="15037" width="56" style="3" hidden="1"/>
    <col min="15038" max="15094" width="9.140625" style="3" hidden="1"/>
    <col min="15095" max="15095" width="16.28515625" style="3" hidden="1"/>
    <col min="15096" max="15096" width="17.5703125" style="3" hidden="1"/>
    <col min="15097" max="15097" width="16" style="3" hidden="1"/>
    <col min="15098" max="15098" width="18.140625" style="3" hidden="1"/>
    <col min="15099" max="15291" width="9.140625" style="3" hidden="1"/>
    <col min="15292" max="15292" width="11" style="3" hidden="1"/>
    <col min="15293" max="15293" width="56" style="3" hidden="1"/>
    <col min="15294" max="15350" width="9.140625" style="3" hidden="1"/>
    <col min="15351" max="15351" width="16.28515625" style="3" hidden="1"/>
    <col min="15352" max="15352" width="17.5703125" style="3" hidden="1"/>
    <col min="15353" max="15353" width="16" style="3" hidden="1"/>
    <col min="15354" max="15354" width="18.140625" style="3" hidden="1"/>
    <col min="15355" max="15547" width="9.140625" style="3" hidden="1"/>
    <col min="15548" max="15548" width="11" style="3" hidden="1"/>
    <col min="15549" max="15549" width="56" style="3" hidden="1"/>
    <col min="15550" max="15606" width="9.140625" style="3" hidden="1"/>
    <col min="15607" max="15607" width="16.28515625" style="3" hidden="1"/>
    <col min="15608" max="15608" width="17.5703125" style="3" hidden="1"/>
    <col min="15609" max="15609" width="16" style="3" hidden="1"/>
    <col min="15610" max="15610" width="18.140625" style="3" hidden="1"/>
    <col min="15611" max="15803" width="9.140625" style="3" hidden="1"/>
    <col min="15804" max="15804" width="11" style="3" hidden="1"/>
    <col min="15805" max="15805" width="56" style="3" hidden="1"/>
    <col min="15806" max="15862" width="9.140625" style="3" hidden="1"/>
    <col min="15863" max="15863" width="16.28515625" style="3" hidden="1"/>
    <col min="15864" max="15864" width="17.5703125" style="3" hidden="1"/>
    <col min="15865" max="15865" width="16" style="3" hidden="1"/>
    <col min="15866" max="15866" width="18.140625" style="3" hidden="1"/>
    <col min="15867" max="16059" width="9.140625" style="3" hidden="1"/>
    <col min="16060" max="16060" width="11" style="3" hidden="1"/>
    <col min="16061" max="16061" width="56" style="3" hidden="1"/>
    <col min="16062" max="16118" width="9.140625" style="3" hidden="1"/>
    <col min="16119" max="16119" width="16.28515625" style="3" hidden="1"/>
    <col min="16120" max="16120" width="17.5703125" style="3" hidden="1"/>
    <col min="16121" max="16121" width="16" style="3" hidden="1"/>
    <col min="16122" max="16122" width="18.140625" style="3" hidden="1"/>
    <col min="16123" max="16384" width="9.140625" style="3" hidden="1"/>
  </cols>
  <sheetData>
    <row r="1" spans="1:6">
      <c r="B1" s="2" t="s">
        <v>352</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Worksheet'!$D$19</f>
        <v>325842</v>
      </c>
      <c r="E3" s="11"/>
      <c r="F3" s="11"/>
    </row>
    <row r="4" spans="1:6">
      <c r="A4" s="8">
        <v>0</v>
      </c>
      <c r="B4" s="11" t="s">
        <v>4</v>
      </c>
      <c r="C4" s="10">
        <v>1.5269999999999999E-3</v>
      </c>
      <c r="D4" s="12">
        <f>ROUND(D$3*C4,0)</f>
        <v>498</v>
      </c>
      <c r="E4" s="13">
        <f>ROUND(D4/2,0)</f>
        <v>249</v>
      </c>
      <c r="F4" s="12">
        <f>D4-E4</f>
        <v>249</v>
      </c>
    </row>
    <row r="5" spans="1:6">
      <c r="A5" s="8">
        <v>1</v>
      </c>
      <c r="B5" s="11" t="s">
        <v>353</v>
      </c>
      <c r="C5" s="10">
        <v>0.20996200000000001</v>
      </c>
      <c r="D5" s="9">
        <f>ROUND(D$3*C5,0)</f>
        <v>68414</v>
      </c>
      <c r="E5" s="11">
        <f>ROUND(D5/2,0)</f>
        <v>34207</v>
      </c>
      <c r="F5" s="9">
        <f>D5-E5</f>
        <v>34207</v>
      </c>
    </row>
    <row r="6" spans="1:6">
      <c r="A6" s="8"/>
      <c r="B6" s="11" t="s">
        <v>6</v>
      </c>
      <c r="C6" s="11"/>
      <c r="D6" s="14">
        <v>0.20225299999999999</v>
      </c>
      <c r="E6" s="11"/>
      <c r="F6" s="11"/>
    </row>
    <row r="7" spans="1:6">
      <c r="A7" s="8"/>
      <c r="B7" s="11" t="s">
        <v>7</v>
      </c>
      <c r="C7" s="11"/>
      <c r="D7" s="225">
        <f>ROUND(D5*D6,0)</f>
        <v>13837</v>
      </c>
      <c r="E7" s="226">
        <f>ROUND(D7/2,0)</f>
        <v>6919</v>
      </c>
      <c r="F7" s="225">
        <f>D7-E7</f>
        <v>6918</v>
      </c>
    </row>
    <row r="8" spans="1:6">
      <c r="A8" s="8"/>
      <c r="B8" s="11" t="s">
        <v>8</v>
      </c>
      <c r="C8" s="11"/>
      <c r="D8" s="12">
        <f>+D5-D7</f>
        <v>54577</v>
      </c>
      <c r="E8" s="13">
        <f>ROUND(D8/2,0)</f>
        <v>27289</v>
      </c>
      <c r="F8" s="12">
        <f>D8-E8</f>
        <v>27288</v>
      </c>
    </row>
    <row r="9" spans="1:6">
      <c r="A9" s="8">
        <v>2</v>
      </c>
      <c r="B9" s="11" t="s">
        <v>46</v>
      </c>
      <c r="C9" s="11"/>
      <c r="D9" s="9"/>
      <c r="E9" s="11"/>
      <c r="F9" s="11"/>
    </row>
    <row r="10" spans="1:6">
      <c r="A10" s="8"/>
      <c r="B10" s="11" t="s">
        <v>10</v>
      </c>
      <c r="C10" s="10">
        <v>4.08E-4</v>
      </c>
      <c r="D10" s="12">
        <f>ROUND(D$3*C10,0)</f>
        <v>133</v>
      </c>
      <c r="E10" s="13">
        <f>ROUND(D10/2,0)</f>
        <v>67</v>
      </c>
      <c r="F10" s="12">
        <f>D10-E10</f>
        <v>66</v>
      </c>
    </row>
    <row r="11" spans="1:6">
      <c r="A11" s="8"/>
      <c r="B11" s="11" t="s">
        <v>11</v>
      </c>
      <c r="C11" s="10">
        <v>3.0800000000000001E-4</v>
      </c>
      <c r="D11" s="12">
        <f>ROUND(D$3*C11,0)</f>
        <v>100</v>
      </c>
      <c r="E11" s="13">
        <f>ROUND(D11/2,0)</f>
        <v>50</v>
      </c>
      <c r="F11" s="12">
        <f>D11-E11</f>
        <v>50</v>
      </c>
    </row>
    <row r="12" spans="1:6">
      <c r="A12" s="8">
        <v>2</v>
      </c>
      <c r="B12" s="11" t="s">
        <v>81</v>
      </c>
      <c r="C12" s="11"/>
      <c r="D12" s="9"/>
      <c r="E12" s="11"/>
      <c r="F12" s="11"/>
    </row>
    <row r="13" spans="1:6">
      <c r="A13" s="8"/>
      <c r="B13" s="11" t="s">
        <v>10</v>
      </c>
      <c r="C13" s="10">
        <v>3.4459999999999998E-3</v>
      </c>
      <c r="D13" s="12">
        <f>ROUND(D$3*C13,0)</f>
        <v>1123</v>
      </c>
      <c r="E13" s="13">
        <f>ROUND(D13/2,0)</f>
        <v>562</v>
      </c>
      <c r="F13" s="12">
        <f>D13-E13</f>
        <v>561</v>
      </c>
    </row>
    <row r="14" spans="1:6">
      <c r="A14" s="8"/>
      <c r="B14" s="11" t="s">
        <v>11</v>
      </c>
      <c r="C14" s="10">
        <v>2.735E-3</v>
      </c>
      <c r="D14" s="12">
        <f>ROUND(D$3*C14,0)</f>
        <v>891</v>
      </c>
      <c r="E14" s="13">
        <f>ROUND(D14/2,0)</f>
        <v>446</v>
      </c>
      <c r="F14" s="12">
        <f>D14-E14</f>
        <v>445</v>
      </c>
    </row>
    <row r="15" spans="1:6">
      <c r="A15" s="8">
        <v>2</v>
      </c>
      <c r="B15" s="11" t="s">
        <v>147</v>
      </c>
      <c r="C15" s="11"/>
      <c r="D15" s="9"/>
      <c r="E15" s="11"/>
      <c r="F15" s="11"/>
    </row>
    <row r="16" spans="1:6">
      <c r="A16" s="8"/>
      <c r="B16" s="11" t="s">
        <v>10</v>
      </c>
      <c r="C16" s="10">
        <v>3.2400000000000001E-4</v>
      </c>
      <c r="D16" s="12">
        <f>ROUND(D$3*C16,0)</f>
        <v>106</v>
      </c>
      <c r="E16" s="13">
        <f>ROUND(D16/2,0)</f>
        <v>53</v>
      </c>
      <c r="F16" s="12">
        <f>D16-E16</f>
        <v>53</v>
      </c>
    </row>
    <row r="17" spans="1:6">
      <c r="A17" s="8"/>
      <c r="B17" s="11" t="s">
        <v>11</v>
      </c>
      <c r="C17" s="10">
        <v>6.7000000000000002E-5</v>
      </c>
      <c r="D17" s="12">
        <f>ROUND(D$3*C17,0)</f>
        <v>22</v>
      </c>
      <c r="E17" s="13">
        <f>ROUND(D17/2,0)</f>
        <v>11</v>
      </c>
      <c r="F17" s="12">
        <f>D17-E17</f>
        <v>11</v>
      </c>
    </row>
    <row r="18" spans="1:6">
      <c r="A18" s="8">
        <v>2</v>
      </c>
      <c r="B18" s="11" t="s">
        <v>354</v>
      </c>
      <c r="C18" s="11"/>
      <c r="D18" s="9"/>
      <c r="E18" s="11"/>
      <c r="F18" s="11"/>
    </row>
    <row r="19" spans="1:6">
      <c r="A19" s="8"/>
      <c r="B19" s="11" t="s">
        <v>10</v>
      </c>
      <c r="C19" s="10">
        <v>7.27E-4</v>
      </c>
      <c r="D19" s="12">
        <f>ROUND(D$3*C19,0)</f>
        <v>237</v>
      </c>
      <c r="E19" s="13">
        <f>ROUND(D19/2,0)</f>
        <v>119</v>
      </c>
      <c r="F19" s="12">
        <f>D19-E19</f>
        <v>118</v>
      </c>
    </row>
    <row r="20" spans="1:6">
      <c r="A20" s="8"/>
      <c r="B20" s="11" t="s">
        <v>11</v>
      </c>
      <c r="C20" s="10">
        <v>1.4300000000000001E-4</v>
      </c>
      <c r="D20" s="12">
        <f>ROUND(D$3*C20,0)</f>
        <v>47</v>
      </c>
      <c r="E20" s="13">
        <f>ROUND(D20/2,0)</f>
        <v>24</v>
      </c>
      <c r="F20" s="12">
        <f>D20-E20</f>
        <v>23</v>
      </c>
    </row>
    <row r="21" spans="1:6">
      <c r="A21" s="8">
        <v>2</v>
      </c>
      <c r="B21" s="11" t="s">
        <v>49</v>
      </c>
      <c r="C21" s="11"/>
      <c r="D21" s="9"/>
      <c r="E21" s="11"/>
      <c r="F21" s="11"/>
    </row>
    <row r="22" spans="1:6">
      <c r="A22" s="8"/>
      <c r="B22" s="11" t="s">
        <v>10</v>
      </c>
      <c r="C22" s="10">
        <v>1.854E-3</v>
      </c>
      <c r="D22" s="12">
        <f>ROUND(D$3*C22,0)</f>
        <v>604</v>
      </c>
      <c r="E22" s="13">
        <f>ROUND(D22/2,0)</f>
        <v>302</v>
      </c>
      <c r="F22" s="12">
        <f>D22-E22</f>
        <v>302</v>
      </c>
    </row>
    <row r="23" spans="1:6">
      <c r="A23" s="8"/>
      <c r="B23" s="11" t="s">
        <v>11</v>
      </c>
      <c r="C23" s="10">
        <v>3.97E-4</v>
      </c>
      <c r="D23" s="12">
        <f>ROUND(D$3*C23,0)</f>
        <v>129</v>
      </c>
      <c r="E23" s="13">
        <f>ROUND(D23/2,0)</f>
        <v>65</v>
      </c>
      <c r="F23" s="12">
        <f>D23-E23</f>
        <v>64</v>
      </c>
    </row>
    <row r="24" spans="1:6">
      <c r="A24" s="8">
        <v>2</v>
      </c>
      <c r="B24" s="11" t="s">
        <v>53</v>
      </c>
      <c r="C24" s="11"/>
      <c r="D24" s="9"/>
      <c r="E24" s="11"/>
      <c r="F24" s="11"/>
    </row>
    <row r="25" spans="1:6">
      <c r="A25" s="8"/>
      <c r="B25" s="11" t="s">
        <v>10</v>
      </c>
      <c r="C25" s="10">
        <v>1.3979999999999999E-3</v>
      </c>
      <c r="D25" s="12">
        <f>ROUND(D$3*C25,0)</f>
        <v>456</v>
      </c>
      <c r="E25" s="13">
        <f>ROUND(D25/2,0)</f>
        <v>228</v>
      </c>
      <c r="F25" s="12">
        <f>D25-E25</f>
        <v>228</v>
      </c>
    </row>
    <row r="26" spans="1:6">
      <c r="A26" s="8"/>
      <c r="B26" s="11" t="s">
        <v>11</v>
      </c>
      <c r="C26" s="10">
        <v>7.8899999999999999E-4</v>
      </c>
      <c r="D26" s="12">
        <f>ROUND(D$3*C26,0)</f>
        <v>257</v>
      </c>
      <c r="E26" s="13">
        <f>ROUND(D26/2,0)</f>
        <v>129</v>
      </c>
      <c r="F26" s="12">
        <f>D26-E26</f>
        <v>128</v>
      </c>
    </row>
    <row r="27" spans="1:6">
      <c r="A27" s="8">
        <v>2</v>
      </c>
      <c r="B27" s="11" t="s">
        <v>355</v>
      </c>
      <c r="C27" s="11"/>
      <c r="D27" s="9"/>
      <c r="E27" s="11"/>
      <c r="F27" s="11"/>
    </row>
    <row r="28" spans="1:6">
      <c r="A28" s="8"/>
      <c r="B28" s="11" t="s">
        <v>10</v>
      </c>
      <c r="C28" s="10">
        <v>1.6590000000000001E-3</v>
      </c>
      <c r="D28" s="12">
        <f>ROUND(D$3*C28,0)</f>
        <v>541</v>
      </c>
      <c r="E28" s="13">
        <f>ROUND(D28/2,0)</f>
        <v>271</v>
      </c>
      <c r="F28" s="12">
        <f>D28-E28</f>
        <v>270</v>
      </c>
    </row>
    <row r="29" spans="1:6">
      <c r="A29" s="8"/>
      <c r="B29" s="11" t="s">
        <v>11</v>
      </c>
      <c r="C29" s="10">
        <v>7.7499999999999997E-4</v>
      </c>
      <c r="D29" s="12">
        <f>ROUND(D$3*C29,0)</f>
        <v>253</v>
      </c>
      <c r="E29" s="13">
        <f>ROUND(D29/2,0)</f>
        <v>127</v>
      </c>
      <c r="F29" s="12">
        <f>D29-E29</f>
        <v>126</v>
      </c>
    </row>
    <row r="30" spans="1:6">
      <c r="A30" s="8">
        <v>2</v>
      </c>
      <c r="B30" s="11" t="s">
        <v>90</v>
      </c>
      <c r="C30" s="11"/>
      <c r="D30" s="9"/>
      <c r="E30" s="11"/>
      <c r="F30" s="11"/>
    </row>
    <row r="31" spans="1:6">
      <c r="A31" s="8"/>
      <c r="B31" s="11" t="s">
        <v>10</v>
      </c>
      <c r="C31" s="10">
        <v>4.5669999999999999E-3</v>
      </c>
      <c r="D31" s="12">
        <f>ROUND(D$3*C31,0)</f>
        <v>1488</v>
      </c>
      <c r="E31" s="13">
        <f>ROUND(D31/2,0)</f>
        <v>744</v>
      </c>
      <c r="F31" s="12">
        <f>D31-E31</f>
        <v>744</v>
      </c>
    </row>
    <row r="32" spans="1:6">
      <c r="A32" s="8"/>
      <c r="B32" s="11" t="s">
        <v>11</v>
      </c>
      <c r="C32" s="10">
        <v>6.9899999999999997E-4</v>
      </c>
      <c r="D32" s="12">
        <f>ROUND(D$3*C32,0)</f>
        <v>228</v>
      </c>
      <c r="E32" s="13">
        <f>ROUND(D32/2,0)</f>
        <v>114</v>
      </c>
      <c r="F32" s="12">
        <f>D32-E32</f>
        <v>114</v>
      </c>
    </row>
    <row r="33" spans="1:6">
      <c r="A33" s="8">
        <v>2</v>
      </c>
      <c r="B33" s="11" t="s">
        <v>22</v>
      </c>
      <c r="C33" s="11"/>
      <c r="D33" s="9"/>
      <c r="E33" s="11"/>
      <c r="F33" s="11"/>
    </row>
    <row r="34" spans="1:6">
      <c r="A34" s="8"/>
      <c r="B34" s="11" t="s">
        <v>10</v>
      </c>
      <c r="C34" s="10">
        <v>5.3200000000000001E-3</v>
      </c>
      <c r="D34" s="12">
        <f t="shared" ref="D34:D42" si="0">ROUND(D$3*C34,0)</f>
        <v>1733</v>
      </c>
      <c r="E34" s="13">
        <f t="shared" ref="E34:E42" si="1">ROUND(D34/2,0)</f>
        <v>867</v>
      </c>
      <c r="F34" s="12">
        <f t="shared" ref="F34:F42" si="2">D34-E34</f>
        <v>866</v>
      </c>
    </row>
    <row r="35" spans="1:6">
      <c r="A35" s="8"/>
      <c r="B35" s="11" t="s">
        <v>11</v>
      </c>
      <c r="C35" s="10">
        <v>2.8609999999999998E-3</v>
      </c>
      <c r="D35" s="12">
        <f t="shared" si="0"/>
        <v>932</v>
      </c>
      <c r="E35" s="13">
        <f t="shared" si="1"/>
        <v>466</v>
      </c>
      <c r="F35" s="12">
        <f t="shared" si="2"/>
        <v>466</v>
      </c>
    </row>
    <row r="36" spans="1:6">
      <c r="A36" s="8">
        <v>3</v>
      </c>
      <c r="B36" s="11" t="s">
        <v>356</v>
      </c>
      <c r="C36" s="10">
        <v>6.3630999999999993E-2</v>
      </c>
      <c r="D36" s="12">
        <f t="shared" si="0"/>
        <v>20734</v>
      </c>
      <c r="E36" s="13">
        <f t="shared" si="1"/>
        <v>10367</v>
      </c>
      <c r="F36" s="12">
        <f t="shared" si="2"/>
        <v>10367</v>
      </c>
    </row>
    <row r="37" spans="1:6">
      <c r="A37" s="8">
        <v>3</v>
      </c>
      <c r="B37" s="11" t="s">
        <v>357</v>
      </c>
      <c r="C37" s="10">
        <v>0</v>
      </c>
      <c r="D37" s="12">
        <f t="shared" si="0"/>
        <v>0</v>
      </c>
      <c r="E37" s="13">
        <f t="shared" si="1"/>
        <v>0</v>
      </c>
      <c r="F37" s="12">
        <f t="shared" si="2"/>
        <v>0</v>
      </c>
    </row>
    <row r="38" spans="1:6">
      <c r="A38" s="8">
        <v>3</v>
      </c>
      <c r="B38" s="11" t="s">
        <v>358</v>
      </c>
      <c r="C38" s="10">
        <v>4.8000000000000001E-5</v>
      </c>
      <c r="D38" s="12">
        <f t="shared" si="0"/>
        <v>16</v>
      </c>
      <c r="E38" s="13">
        <f t="shared" si="1"/>
        <v>8</v>
      </c>
      <c r="F38" s="12">
        <f t="shared" si="2"/>
        <v>8</v>
      </c>
    </row>
    <row r="39" spans="1:6">
      <c r="A39" s="8">
        <v>3</v>
      </c>
      <c r="B39" s="11" t="s">
        <v>359</v>
      </c>
      <c r="C39" s="10">
        <v>6.4640000000000001E-3</v>
      </c>
      <c r="D39" s="12">
        <f t="shared" si="0"/>
        <v>2106</v>
      </c>
      <c r="E39" s="13">
        <f t="shared" si="1"/>
        <v>1053</v>
      </c>
      <c r="F39" s="12">
        <f t="shared" si="2"/>
        <v>1053</v>
      </c>
    </row>
    <row r="40" spans="1:6">
      <c r="A40" s="8">
        <v>3</v>
      </c>
      <c r="B40" s="11" t="s">
        <v>360</v>
      </c>
      <c r="C40" s="10">
        <v>1.4E-5</v>
      </c>
      <c r="D40" s="12">
        <f t="shared" si="0"/>
        <v>5</v>
      </c>
      <c r="E40" s="13">
        <f t="shared" si="1"/>
        <v>3</v>
      </c>
      <c r="F40" s="12">
        <f t="shared" si="2"/>
        <v>2</v>
      </c>
    </row>
    <row r="41" spans="1:6">
      <c r="A41" s="8">
        <v>3</v>
      </c>
      <c r="B41" s="11" t="s">
        <v>361</v>
      </c>
      <c r="C41" s="10">
        <v>6.6169999999999996E-3</v>
      </c>
      <c r="D41" s="12">
        <f t="shared" si="0"/>
        <v>2156</v>
      </c>
      <c r="E41" s="13">
        <f t="shared" si="1"/>
        <v>1078</v>
      </c>
      <c r="F41" s="12">
        <f t="shared" si="2"/>
        <v>1078</v>
      </c>
    </row>
    <row r="42" spans="1:6">
      <c r="A42" s="8">
        <v>4</v>
      </c>
      <c r="B42" s="11" t="s">
        <v>362</v>
      </c>
      <c r="C42" s="10">
        <v>0.37912000000000001</v>
      </c>
      <c r="D42" s="9">
        <f t="shared" si="0"/>
        <v>123533</v>
      </c>
      <c r="E42" s="11">
        <f t="shared" si="1"/>
        <v>61767</v>
      </c>
      <c r="F42" s="9">
        <f t="shared" si="2"/>
        <v>61766</v>
      </c>
    </row>
    <row r="43" spans="1:6">
      <c r="A43" s="8"/>
      <c r="B43" s="11" t="s">
        <v>28</v>
      </c>
      <c r="C43" s="11"/>
      <c r="D43" s="14">
        <v>0.52469100000000002</v>
      </c>
      <c r="E43" s="11"/>
      <c r="F43" s="11"/>
    </row>
    <row r="44" spans="1:6">
      <c r="A44" s="8"/>
      <c r="B44" s="11" t="s">
        <v>29</v>
      </c>
      <c r="C44" s="11"/>
      <c r="D44" s="225">
        <f>ROUND(D42*D43,0)</f>
        <v>64817</v>
      </c>
      <c r="E44" s="226">
        <f>ROUND(D44/2,0)</f>
        <v>32409</v>
      </c>
      <c r="F44" s="225">
        <f>D44-E44</f>
        <v>32408</v>
      </c>
    </row>
    <row r="45" spans="1:6">
      <c r="A45" s="8"/>
      <c r="B45" s="11" t="s">
        <v>30</v>
      </c>
      <c r="C45" s="11"/>
      <c r="D45" s="12">
        <f>+D42-D44</f>
        <v>58716</v>
      </c>
      <c r="E45" s="13">
        <f>ROUND(D45/2,0)</f>
        <v>29358</v>
      </c>
      <c r="F45" s="12">
        <f>D45-E45</f>
        <v>29358</v>
      </c>
    </row>
    <row r="46" spans="1:6">
      <c r="A46" s="8">
        <v>4</v>
      </c>
      <c r="B46" s="11" t="s">
        <v>363</v>
      </c>
      <c r="C46" s="10">
        <v>9.8670000000000008E-3</v>
      </c>
      <c r="D46" s="12">
        <f>ROUND(D$3*C46,0)</f>
        <v>3215</v>
      </c>
      <c r="E46" s="13">
        <f>ROUND(D46/2,0)</f>
        <v>1608</v>
      </c>
      <c r="F46" s="12">
        <f>D46-E46</f>
        <v>1607</v>
      </c>
    </row>
    <row r="47" spans="1:6">
      <c r="A47" s="8">
        <v>4</v>
      </c>
      <c r="B47" s="11" t="s">
        <v>364</v>
      </c>
      <c r="C47" s="10">
        <v>0.27818799999999999</v>
      </c>
      <c r="D47" s="9">
        <f>ROUND(D$3*C47,0)</f>
        <v>90645</v>
      </c>
      <c r="E47" s="11">
        <f>ROUND(D47/2,0)</f>
        <v>45323</v>
      </c>
      <c r="F47" s="9">
        <f>D47-E47</f>
        <v>45322</v>
      </c>
    </row>
    <row r="48" spans="1:6">
      <c r="A48" s="8"/>
      <c r="B48" s="11" t="s">
        <v>28</v>
      </c>
      <c r="C48" s="11"/>
      <c r="D48" s="14">
        <v>0.43104700000000001</v>
      </c>
      <c r="E48" s="11"/>
      <c r="F48" s="11"/>
    </row>
    <row r="49" spans="1:8">
      <c r="A49" s="8"/>
      <c r="B49" s="11" t="s">
        <v>29</v>
      </c>
      <c r="C49" s="11"/>
      <c r="D49" s="225">
        <f>ROUND(D47*D48,0)</f>
        <v>39072</v>
      </c>
      <c r="E49" s="226">
        <f>ROUND(D49/2,0)</f>
        <v>19536</v>
      </c>
      <c r="F49" s="225">
        <f>D49-E49</f>
        <v>19536</v>
      </c>
    </row>
    <row r="50" spans="1:8">
      <c r="A50" s="8"/>
      <c r="B50" s="11" t="s">
        <v>30</v>
      </c>
      <c r="C50" s="11"/>
      <c r="D50" s="12">
        <f>+D47-D49</f>
        <v>51573</v>
      </c>
      <c r="E50" s="13">
        <f>ROUND(D50/2,0)</f>
        <v>25787</v>
      </c>
      <c r="F50" s="12">
        <f>D50-E50</f>
        <v>25786</v>
      </c>
    </row>
    <row r="51" spans="1:8">
      <c r="A51" s="8">
        <v>5</v>
      </c>
      <c r="B51" s="11" t="s">
        <v>365</v>
      </c>
      <c r="C51" s="10">
        <v>1.0343E-2</v>
      </c>
      <c r="D51" s="12">
        <f>ROUND(D$3*C51,0)</f>
        <v>3370</v>
      </c>
      <c r="E51" s="13">
        <f>ROUND(D51/2,0)</f>
        <v>1685</v>
      </c>
      <c r="F51" s="12">
        <f>D51-E51</f>
        <v>1685</v>
      </c>
    </row>
    <row r="52" spans="1:8">
      <c r="A52" s="8">
        <v>6</v>
      </c>
      <c r="B52" s="11" t="s">
        <v>366</v>
      </c>
      <c r="C52" s="10">
        <v>5.7419999999999997E-3</v>
      </c>
      <c r="D52" s="12">
        <f>+D3-SUM(D4:D5)-SUM(D10:D42)-SUM(D46:D47)-D51</f>
        <v>1870</v>
      </c>
      <c r="E52" s="13">
        <f>ROUND(D52/2,0)</f>
        <v>935</v>
      </c>
      <c r="F52" s="12">
        <f>D52-E52</f>
        <v>935</v>
      </c>
    </row>
    <row r="53" spans="1:8">
      <c r="A53" s="8"/>
      <c r="B53" s="28" t="s">
        <v>288</v>
      </c>
      <c r="C53" s="10">
        <v>1</v>
      </c>
      <c r="D53" s="12">
        <f>+D4+SUM(D7:D41)+SUM(D44:D46)+SUM(D49:D52)</f>
        <v>325842</v>
      </c>
      <c r="E53" s="12">
        <f>+E4+SUM(E7:E41)+SUM(E44:E46)+SUM(E49:E52)</f>
        <v>162929</v>
      </c>
      <c r="F53" s="12">
        <f>+F4+SUM(F7:F41)+SUM(F44:F46)+SUM(F49:F52)</f>
        <v>162913</v>
      </c>
    </row>
    <row r="54" spans="1:8">
      <c r="B54" s="18" t="s">
        <v>38</v>
      </c>
      <c r="C54" s="19">
        <v>1.5269999999999999E-3</v>
      </c>
      <c r="D54" s="19">
        <f>+D4</f>
        <v>498</v>
      </c>
      <c r="E54" s="19">
        <f>+E4</f>
        <v>249</v>
      </c>
      <c r="F54" s="19">
        <f>+F4</f>
        <v>249</v>
      </c>
    </row>
    <row r="55" spans="1:8">
      <c r="B55" s="2" t="s">
        <v>39</v>
      </c>
      <c r="C55" s="19">
        <v>0</v>
      </c>
      <c r="D55" s="19">
        <f>+D7</f>
        <v>13837</v>
      </c>
      <c r="E55" s="19">
        <f>+E7</f>
        <v>6919</v>
      </c>
      <c r="F55" s="19">
        <f>+F7</f>
        <v>6918</v>
      </c>
    </row>
    <row r="56" spans="1:8">
      <c r="B56" s="2" t="s">
        <v>40</v>
      </c>
      <c r="C56" s="19">
        <v>0</v>
      </c>
      <c r="D56" s="19">
        <f>+D44+D49</f>
        <v>103889</v>
      </c>
      <c r="E56" s="19">
        <f>+E44+E49</f>
        <v>51945</v>
      </c>
      <c r="F56" s="19">
        <f>+F44+F49</f>
        <v>51944</v>
      </c>
      <c r="H56" s="3">
        <v>1</v>
      </c>
    </row>
    <row r="57" spans="1:8">
      <c r="B57" s="18" t="s">
        <v>41</v>
      </c>
      <c r="C57" s="19">
        <v>0.99847300000000005</v>
      </c>
      <c r="D57" s="19">
        <f>+D53-D54-D55-D56</f>
        <v>207618</v>
      </c>
      <c r="E57" s="19">
        <f>+E53-E54-E55-E56</f>
        <v>103816</v>
      </c>
      <c r="F57" s="19">
        <f>+F53-F54-F55-F56</f>
        <v>103802</v>
      </c>
      <c r="H57" s="3">
        <v>2</v>
      </c>
    </row>
    <row r="59" spans="1:8" hidden="1">
      <c r="B59" s="3" t="s">
        <v>42</v>
      </c>
      <c r="C59" s="4">
        <v>0</v>
      </c>
      <c r="D59" s="3">
        <f>+D52-ROUND(D3*C52,0)</f>
        <v>-1</v>
      </c>
    </row>
    <row r="71" spans="1:1">
      <c r="A71" s="1" t="s">
        <v>590</v>
      </c>
    </row>
  </sheetData>
  <pageMargins left="0.7" right="0.7" top="0.75" bottom="0.75" header="0.3" footer="0.3"/>
  <pageSetup scale="6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pageSetUpPr fitToPage="1"/>
  </sheetPr>
  <dimension ref="A1:WVB90"/>
  <sheetViews>
    <sheetView topLeftCell="A56" zoomScaleNormal="100" zoomScaleSheetLayoutView="80" workbookViewId="0">
      <selection activeCell="D77" activeCellId="4" sqref="D7:F7 D65:F65 D69:F69 D73:F73 D77:F77"/>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425781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425781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425781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425781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425781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425781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425781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425781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425781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425781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425781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425781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425781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425781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425781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425781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425781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425781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425781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425781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425781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425781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425781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425781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425781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425781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425781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425781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425781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425781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425781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425781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425781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425781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425781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425781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425781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425781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425781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425781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425781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425781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425781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425781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425781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425781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425781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425781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425781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425781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425781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425781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425781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425781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425781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425781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425781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425781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425781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425781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425781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425781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425781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367</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Worksheet'!$D$20</f>
        <v>289644</v>
      </c>
      <c r="E3" s="11"/>
      <c r="F3" s="11"/>
    </row>
    <row r="4" spans="1:6">
      <c r="A4" s="8">
        <v>0</v>
      </c>
      <c r="B4" s="11" t="s">
        <v>4</v>
      </c>
      <c r="C4" s="10">
        <v>1.268E-3</v>
      </c>
      <c r="D4" s="12">
        <f>ROUND(D$3*C4,0)</f>
        <v>367</v>
      </c>
      <c r="E4" s="13">
        <f>ROUND(D4/2,0)</f>
        <v>184</v>
      </c>
      <c r="F4" s="12">
        <f>D4-E4</f>
        <v>183</v>
      </c>
    </row>
    <row r="5" spans="1:6">
      <c r="A5" s="8">
        <v>1</v>
      </c>
      <c r="B5" s="11" t="s">
        <v>368</v>
      </c>
      <c r="C5" s="10">
        <v>0.17787</v>
      </c>
      <c r="D5" s="9">
        <f>ROUND(D$3*C5,0)</f>
        <v>51519</v>
      </c>
      <c r="E5" s="11">
        <f>ROUND(D5/2,0)</f>
        <v>25760</v>
      </c>
      <c r="F5" s="9">
        <f>D5-E5</f>
        <v>25759</v>
      </c>
    </row>
    <row r="6" spans="1:6">
      <c r="A6" s="8"/>
      <c r="B6" s="11" t="s">
        <v>6</v>
      </c>
      <c r="C6" s="11"/>
      <c r="D6" s="14">
        <v>0.24379400000000001</v>
      </c>
      <c r="E6" s="11"/>
      <c r="F6" s="11"/>
    </row>
    <row r="7" spans="1:6">
      <c r="A7" s="8"/>
      <c r="B7" s="11" t="s">
        <v>7</v>
      </c>
      <c r="C7" s="11"/>
      <c r="D7" s="228">
        <f>ROUND(D5*D6,0)</f>
        <v>12560</v>
      </c>
      <c r="E7" s="229">
        <f>ROUND(D7/2,0)</f>
        <v>6280</v>
      </c>
      <c r="F7" s="228">
        <f>D7-E7</f>
        <v>6280</v>
      </c>
    </row>
    <row r="8" spans="1:6">
      <c r="A8" s="8"/>
      <c r="B8" s="11" t="s">
        <v>8</v>
      </c>
      <c r="C8" s="11"/>
      <c r="D8" s="12">
        <f>+D5-D7</f>
        <v>38959</v>
      </c>
      <c r="E8" s="13">
        <f>ROUND(D8/2,0)</f>
        <v>19480</v>
      </c>
      <c r="F8" s="12">
        <f>D8-E8</f>
        <v>19479</v>
      </c>
    </row>
    <row r="9" spans="1:6">
      <c r="A9" s="8">
        <v>2</v>
      </c>
      <c r="B9" s="11" t="s">
        <v>369</v>
      </c>
      <c r="C9" s="11"/>
      <c r="D9" s="9"/>
      <c r="E9" s="11"/>
      <c r="F9" s="11"/>
    </row>
    <row r="10" spans="1:6">
      <c r="A10" s="8"/>
      <c r="B10" s="11" t="s">
        <v>10</v>
      </c>
      <c r="C10" s="10">
        <v>7.6800000000000002E-4</v>
      </c>
      <c r="D10" s="12">
        <f>ROUND(D$3*C10,0)</f>
        <v>222</v>
      </c>
      <c r="E10" s="13">
        <f>ROUND(D10/2,0)</f>
        <v>111</v>
      </c>
      <c r="F10" s="12">
        <f>D10-E10</f>
        <v>111</v>
      </c>
    </row>
    <row r="11" spans="1:6">
      <c r="A11" s="8"/>
      <c r="B11" s="11" t="s">
        <v>11</v>
      </c>
      <c r="C11" s="10">
        <v>5.6300000000000002E-4</v>
      </c>
      <c r="D11" s="12">
        <f>ROUND(D$3*C11,0)</f>
        <v>163</v>
      </c>
      <c r="E11" s="13">
        <f>ROUND(D11/2,0)</f>
        <v>82</v>
      </c>
      <c r="F11" s="12">
        <f>D11-E11</f>
        <v>81</v>
      </c>
    </row>
    <row r="12" spans="1:6">
      <c r="A12" s="8">
        <v>2</v>
      </c>
      <c r="B12" s="11" t="s">
        <v>370</v>
      </c>
      <c r="C12" s="11"/>
      <c r="D12" s="9"/>
      <c r="E12" s="11"/>
      <c r="F12" s="11"/>
    </row>
    <row r="13" spans="1:6">
      <c r="A13" s="8"/>
      <c r="B13" s="11" t="s">
        <v>10</v>
      </c>
      <c r="C13" s="10">
        <v>7.8700000000000005E-4</v>
      </c>
      <c r="D13" s="12">
        <f>ROUND(D$3*C13,0)</f>
        <v>228</v>
      </c>
      <c r="E13" s="13">
        <f>ROUND(D13/2,0)</f>
        <v>114</v>
      </c>
      <c r="F13" s="12">
        <f>D13-E13</f>
        <v>114</v>
      </c>
    </row>
    <row r="14" spans="1:6">
      <c r="A14" s="8"/>
      <c r="B14" s="11" t="s">
        <v>11</v>
      </c>
      <c r="C14" s="10">
        <v>5.6300000000000002E-4</v>
      </c>
      <c r="D14" s="12">
        <f>ROUND(D$3*C14,0)</f>
        <v>163</v>
      </c>
      <c r="E14" s="13">
        <f>ROUND(D14/2,0)</f>
        <v>82</v>
      </c>
      <c r="F14" s="12">
        <f>D14-E14</f>
        <v>81</v>
      </c>
    </row>
    <row r="15" spans="1:6">
      <c r="A15" s="8">
        <v>2</v>
      </c>
      <c r="B15" s="11" t="s">
        <v>371</v>
      </c>
      <c r="C15" s="11"/>
      <c r="D15" s="9"/>
      <c r="E15" s="11"/>
      <c r="F15" s="11"/>
    </row>
    <row r="16" spans="1:6">
      <c r="A16" s="8"/>
      <c r="B16" s="11" t="s">
        <v>10</v>
      </c>
      <c r="C16" s="10">
        <v>6.2E-4</v>
      </c>
      <c r="D16" s="12">
        <f>ROUND(D$3*C16,0)</f>
        <v>180</v>
      </c>
      <c r="E16" s="13">
        <f>ROUND(D16/2,0)</f>
        <v>90</v>
      </c>
      <c r="F16" s="12">
        <f>D16-E16</f>
        <v>90</v>
      </c>
    </row>
    <row r="17" spans="1:6">
      <c r="A17" s="8"/>
      <c r="B17" s="11" t="s">
        <v>11</v>
      </c>
      <c r="C17" s="10">
        <v>3.21E-4</v>
      </c>
      <c r="D17" s="12">
        <f>ROUND(D$3*C17,0)</f>
        <v>93</v>
      </c>
      <c r="E17" s="13">
        <f>ROUND(D17/2,0)</f>
        <v>47</v>
      </c>
      <c r="F17" s="12">
        <f>D17-E17</f>
        <v>46</v>
      </c>
    </row>
    <row r="18" spans="1:6">
      <c r="A18" s="8">
        <v>2</v>
      </c>
      <c r="B18" s="11" t="s">
        <v>372</v>
      </c>
      <c r="C18" s="11"/>
      <c r="D18" s="9"/>
      <c r="E18" s="11"/>
      <c r="F18" s="11"/>
    </row>
    <row r="19" spans="1:6">
      <c r="A19" s="8"/>
      <c r="B19" s="11" t="s">
        <v>10</v>
      </c>
      <c r="C19" s="10">
        <v>5.6300000000000002E-4</v>
      </c>
      <c r="D19" s="12">
        <f>ROUND(D$3*C19,0)</f>
        <v>163</v>
      </c>
      <c r="E19" s="13">
        <f>ROUND(D19/2,0)</f>
        <v>82</v>
      </c>
      <c r="F19" s="12">
        <f>D19-E19</f>
        <v>81</v>
      </c>
    </row>
    <row r="20" spans="1:6">
      <c r="A20" s="8"/>
      <c r="B20" s="11" t="s">
        <v>11</v>
      </c>
      <c r="C20" s="10">
        <v>5.6999999999999998E-4</v>
      </c>
      <c r="D20" s="12">
        <f>ROUND(D$3*C20,0)</f>
        <v>165</v>
      </c>
      <c r="E20" s="13">
        <f>ROUND(D20/2,0)</f>
        <v>83</v>
      </c>
      <c r="F20" s="12">
        <f>D20-E20</f>
        <v>82</v>
      </c>
    </row>
    <row r="21" spans="1:6">
      <c r="A21" s="8">
        <v>2</v>
      </c>
      <c r="B21" s="11" t="s">
        <v>109</v>
      </c>
      <c r="C21" s="11"/>
      <c r="D21" s="9"/>
      <c r="E21" s="11"/>
      <c r="F21" s="11"/>
    </row>
    <row r="22" spans="1:6">
      <c r="A22" s="8"/>
      <c r="B22" s="11" t="s">
        <v>10</v>
      </c>
      <c r="C22" s="10">
        <v>2.2750000000000001E-3</v>
      </c>
      <c r="D22" s="12">
        <f>ROUND(D$3*C22,0)</f>
        <v>659</v>
      </c>
      <c r="E22" s="13">
        <f>ROUND(D22/2,0)</f>
        <v>330</v>
      </c>
      <c r="F22" s="12">
        <f>D22-E22</f>
        <v>329</v>
      </c>
    </row>
    <row r="23" spans="1:6">
      <c r="A23" s="8"/>
      <c r="B23" s="11" t="s">
        <v>11</v>
      </c>
      <c r="C23" s="10">
        <v>8.2799999999999996E-4</v>
      </c>
      <c r="D23" s="12">
        <f>ROUND(D$3*C23,0)</f>
        <v>240</v>
      </c>
      <c r="E23" s="13">
        <f>ROUND(D23/2,0)</f>
        <v>120</v>
      </c>
      <c r="F23" s="12">
        <f>D23-E23</f>
        <v>120</v>
      </c>
    </row>
    <row r="24" spans="1:6">
      <c r="A24" s="8">
        <v>2</v>
      </c>
      <c r="B24" s="11" t="s">
        <v>49</v>
      </c>
      <c r="C24" s="11"/>
      <c r="D24" s="9"/>
      <c r="E24" s="11"/>
      <c r="F24" s="11"/>
    </row>
    <row r="25" spans="1:6">
      <c r="A25" s="8"/>
      <c r="B25" s="11" t="s">
        <v>10</v>
      </c>
      <c r="C25" s="10">
        <v>2.5799999999999998E-3</v>
      </c>
      <c r="D25" s="12">
        <f>ROUND(D$3*C25,0)</f>
        <v>747</v>
      </c>
      <c r="E25" s="13">
        <f>ROUND(D25/2,0)</f>
        <v>374</v>
      </c>
      <c r="F25" s="12">
        <f>D25-E25</f>
        <v>373</v>
      </c>
    </row>
    <row r="26" spans="1:6">
      <c r="A26" s="8"/>
      <c r="B26" s="11" t="s">
        <v>11</v>
      </c>
      <c r="C26" s="10">
        <v>2.0200000000000001E-3</v>
      </c>
      <c r="D26" s="12">
        <f>ROUND(D$3*C26,0)</f>
        <v>585</v>
      </c>
      <c r="E26" s="13">
        <f>ROUND(D26/2,0)</f>
        <v>293</v>
      </c>
      <c r="F26" s="12">
        <f>D26-E26</f>
        <v>292</v>
      </c>
    </row>
    <row r="27" spans="1:6">
      <c r="A27" s="8">
        <v>2</v>
      </c>
      <c r="B27" s="11" t="s">
        <v>373</v>
      </c>
      <c r="C27" s="11"/>
      <c r="D27" s="9"/>
      <c r="E27" s="11"/>
      <c r="F27" s="11"/>
    </row>
    <row r="28" spans="1:6">
      <c r="A28" s="8"/>
      <c r="B28" s="11" t="s">
        <v>10</v>
      </c>
      <c r="C28" s="10">
        <v>4.5600000000000003E-4</v>
      </c>
      <c r="D28" s="12">
        <f>ROUND(D$3*C28,0)</f>
        <v>132</v>
      </c>
      <c r="E28" s="13">
        <f>ROUND(D28/2,0)</f>
        <v>66</v>
      </c>
      <c r="F28" s="12">
        <f>D28-E28</f>
        <v>66</v>
      </c>
    </row>
    <row r="29" spans="1:6">
      <c r="A29" s="8"/>
      <c r="B29" s="11" t="s">
        <v>11</v>
      </c>
      <c r="C29" s="10">
        <v>6.3E-5</v>
      </c>
      <c r="D29" s="12">
        <f>ROUND(D$3*C29,0)</f>
        <v>18</v>
      </c>
      <c r="E29" s="13">
        <f>ROUND(D29/2,0)</f>
        <v>9</v>
      </c>
      <c r="F29" s="12">
        <f>D29-E29</f>
        <v>9</v>
      </c>
    </row>
    <row r="30" spans="1:6">
      <c r="A30" s="8">
        <v>2</v>
      </c>
      <c r="B30" s="11" t="s">
        <v>374</v>
      </c>
      <c r="C30" s="11"/>
      <c r="D30" s="9"/>
      <c r="E30" s="11"/>
      <c r="F30" s="11"/>
    </row>
    <row r="31" spans="1:6">
      <c r="A31" s="8"/>
      <c r="B31" s="11" t="s">
        <v>10</v>
      </c>
      <c r="C31" s="10">
        <v>0</v>
      </c>
      <c r="D31" s="12">
        <f>ROUND(D$3*C31,0)</f>
        <v>0</v>
      </c>
      <c r="E31" s="13">
        <f>ROUND(D31/2,0)</f>
        <v>0</v>
      </c>
      <c r="F31" s="12">
        <f>D31-E31</f>
        <v>0</v>
      </c>
    </row>
    <row r="32" spans="1:6">
      <c r="A32" s="8"/>
      <c r="B32" s="11" t="s">
        <v>11</v>
      </c>
      <c r="C32" s="10">
        <v>0</v>
      </c>
      <c r="D32" s="12">
        <f>ROUND(D$3*C32,0)</f>
        <v>0</v>
      </c>
      <c r="E32" s="13">
        <f>ROUND(D32/2,0)</f>
        <v>0</v>
      </c>
      <c r="F32" s="12">
        <f>D32-E32</f>
        <v>0</v>
      </c>
    </row>
    <row r="33" spans="1:6">
      <c r="A33" s="8">
        <v>2</v>
      </c>
      <c r="B33" s="11" t="s">
        <v>114</v>
      </c>
      <c r="C33" s="11"/>
      <c r="D33" s="9"/>
      <c r="E33" s="11"/>
      <c r="F33" s="11"/>
    </row>
    <row r="34" spans="1:6">
      <c r="A34" s="8"/>
      <c r="B34" s="11" t="s">
        <v>10</v>
      </c>
      <c r="C34" s="10">
        <v>4.66E-4</v>
      </c>
      <c r="D34" s="12">
        <f>ROUND(D$3*C34,0)</f>
        <v>135</v>
      </c>
      <c r="E34" s="13">
        <f>ROUND(D34/2,0)</f>
        <v>68</v>
      </c>
      <c r="F34" s="12">
        <f>D34-E34</f>
        <v>67</v>
      </c>
    </row>
    <row r="35" spans="1:6">
      <c r="A35" s="8"/>
      <c r="B35" s="11" t="s">
        <v>11</v>
      </c>
      <c r="C35" s="10">
        <v>2.05E-4</v>
      </c>
      <c r="D35" s="12">
        <f>ROUND(D$3*C35,0)</f>
        <v>59</v>
      </c>
      <c r="E35" s="13">
        <f>ROUND(D35/2,0)</f>
        <v>30</v>
      </c>
      <c r="F35" s="12">
        <f>D35-E35</f>
        <v>29</v>
      </c>
    </row>
    <row r="36" spans="1:6">
      <c r="A36" s="8">
        <v>2</v>
      </c>
      <c r="B36" s="11" t="s">
        <v>375</v>
      </c>
      <c r="C36" s="11"/>
      <c r="D36" s="9"/>
      <c r="E36" s="11"/>
      <c r="F36" s="11"/>
    </row>
    <row r="37" spans="1:6">
      <c r="A37" s="8"/>
      <c r="B37" s="11" t="s">
        <v>10</v>
      </c>
      <c r="C37" s="10">
        <v>5.6999999999999998E-4</v>
      </c>
      <c r="D37" s="12">
        <f>ROUND(D$3*C37,0)</f>
        <v>165</v>
      </c>
      <c r="E37" s="13">
        <f>ROUND(D37/2,0)</f>
        <v>83</v>
      </c>
      <c r="F37" s="12">
        <f>D37-E37</f>
        <v>82</v>
      </c>
    </row>
    <row r="38" spans="1:6">
      <c r="A38" s="8"/>
      <c r="B38" s="11" t="s">
        <v>11</v>
      </c>
      <c r="C38" s="10">
        <v>1.7899999999999999E-4</v>
      </c>
      <c r="D38" s="12">
        <f>ROUND(D$3*C38,0)</f>
        <v>52</v>
      </c>
      <c r="E38" s="13">
        <f>ROUND(D38/2,0)</f>
        <v>26</v>
      </c>
      <c r="F38" s="12">
        <f>D38-E38</f>
        <v>26</v>
      </c>
    </row>
    <row r="39" spans="1:6">
      <c r="A39" s="8">
        <v>2</v>
      </c>
      <c r="B39" s="11" t="s">
        <v>376</v>
      </c>
      <c r="C39" s="11"/>
      <c r="D39" s="9"/>
      <c r="E39" s="11"/>
      <c r="F39" s="11"/>
    </row>
    <row r="40" spans="1:6">
      <c r="A40" s="8"/>
      <c r="B40" s="11" t="s">
        <v>10</v>
      </c>
      <c r="C40" s="10">
        <v>1.2080000000000001E-3</v>
      </c>
      <c r="D40" s="12">
        <f>ROUND(D$3*C40,0)</f>
        <v>350</v>
      </c>
      <c r="E40" s="13">
        <f>ROUND(D40/2,0)</f>
        <v>175</v>
      </c>
      <c r="F40" s="12">
        <f>D40-E40</f>
        <v>175</v>
      </c>
    </row>
    <row r="41" spans="1:6">
      <c r="A41" s="8"/>
      <c r="B41" s="11" t="s">
        <v>11</v>
      </c>
      <c r="C41" s="10">
        <v>9.4700000000000003E-4</v>
      </c>
      <c r="D41" s="12">
        <f>ROUND(D$3*C41,0)</f>
        <v>274</v>
      </c>
      <c r="E41" s="13">
        <f>ROUND(D41/2,0)</f>
        <v>137</v>
      </c>
      <c r="F41" s="12">
        <f>D41-E41</f>
        <v>137</v>
      </c>
    </row>
    <row r="42" spans="1:6">
      <c r="A42" s="8">
        <v>2</v>
      </c>
      <c r="B42" s="11" t="s">
        <v>377</v>
      </c>
      <c r="C42" s="11"/>
      <c r="D42" s="9"/>
      <c r="E42" s="11"/>
      <c r="F42" s="11"/>
    </row>
    <row r="43" spans="1:6">
      <c r="A43" s="8"/>
      <c r="B43" s="11" t="s">
        <v>10</v>
      </c>
      <c r="C43" s="10">
        <v>1.067E-3</v>
      </c>
      <c r="D43" s="12">
        <f>ROUND(D$3*C43,0)</f>
        <v>309</v>
      </c>
      <c r="E43" s="13">
        <f>ROUND(D43/2,0)</f>
        <v>155</v>
      </c>
      <c r="F43" s="12">
        <f>D43-E43</f>
        <v>154</v>
      </c>
    </row>
    <row r="44" spans="1:6">
      <c r="A44" s="8"/>
      <c r="B44" s="11" t="s">
        <v>11</v>
      </c>
      <c r="C44" s="10">
        <v>4.3399999999999998E-4</v>
      </c>
      <c r="D44" s="12">
        <f>ROUND(D$3*C44,0)</f>
        <v>126</v>
      </c>
      <c r="E44" s="13">
        <f>ROUND(D44/2,0)</f>
        <v>63</v>
      </c>
      <c r="F44" s="12">
        <f>D44-E44</f>
        <v>63</v>
      </c>
    </row>
    <row r="45" spans="1:6">
      <c r="A45" s="8">
        <v>2</v>
      </c>
      <c r="B45" s="11" t="s">
        <v>378</v>
      </c>
      <c r="C45" s="11"/>
      <c r="D45" s="9"/>
      <c r="E45" s="11"/>
      <c r="F45" s="11"/>
    </row>
    <row r="46" spans="1:6">
      <c r="A46" s="8"/>
      <c r="B46" s="11" t="s">
        <v>10</v>
      </c>
      <c r="C46" s="10">
        <v>3.9300000000000001E-4</v>
      </c>
      <c r="D46" s="12">
        <f>ROUND(D$3*C46,0)</f>
        <v>114</v>
      </c>
      <c r="E46" s="13">
        <f>ROUND(D46/2,0)</f>
        <v>57</v>
      </c>
      <c r="F46" s="12">
        <f>D46-E46</f>
        <v>57</v>
      </c>
    </row>
    <row r="47" spans="1:6">
      <c r="A47" s="8"/>
      <c r="B47" s="11" t="s">
        <v>11</v>
      </c>
      <c r="C47" s="10">
        <v>1.54E-4</v>
      </c>
      <c r="D47" s="12">
        <f>ROUND(D$3*C47,0)</f>
        <v>45</v>
      </c>
      <c r="E47" s="13">
        <f>ROUND(D47/2,0)</f>
        <v>23</v>
      </c>
      <c r="F47" s="12">
        <f>D47-E47</f>
        <v>22</v>
      </c>
    </row>
    <row r="48" spans="1:6">
      <c r="A48" s="8">
        <v>2</v>
      </c>
      <c r="B48" s="11" t="s">
        <v>20</v>
      </c>
      <c r="C48" s="11"/>
      <c r="D48" s="9"/>
      <c r="E48" s="11"/>
      <c r="F48" s="11"/>
    </row>
    <row r="49" spans="1:6">
      <c r="A49" s="8"/>
      <c r="B49" s="11" t="s">
        <v>10</v>
      </c>
      <c r="C49" s="10">
        <v>7.0200000000000004E-4</v>
      </c>
      <c r="D49" s="12">
        <f>ROUND(D$3*C49,0)</f>
        <v>203</v>
      </c>
      <c r="E49" s="13">
        <f>ROUND(D49/2,0)</f>
        <v>102</v>
      </c>
      <c r="F49" s="12">
        <f>D49-E49</f>
        <v>101</v>
      </c>
    </row>
    <row r="50" spans="1:6">
      <c r="A50" s="8"/>
      <c r="B50" s="11" t="s">
        <v>11</v>
      </c>
      <c r="C50" s="10">
        <v>9.0000000000000002E-6</v>
      </c>
      <c r="D50" s="12">
        <f>ROUND(D$3*C50,0)</f>
        <v>3</v>
      </c>
      <c r="E50" s="13">
        <f>ROUND(D50/2,0)</f>
        <v>2</v>
      </c>
      <c r="F50" s="12">
        <f>D50-E50</f>
        <v>1</v>
      </c>
    </row>
    <row r="51" spans="1:6">
      <c r="A51" s="8">
        <v>2</v>
      </c>
      <c r="B51" s="11" t="s">
        <v>379</v>
      </c>
      <c r="C51" s="11"/>
      <c r="D51" s="9"/>
      <c r="E51" s="11"/>
      <c r="F51" s="11"/>
    </row>
    <row r="52" spans="1:6">
      <c r="A52" s="8"/>
      <c r="B52" s="11" t="s">
        <v>10</v>
      </c>
      <c r="C52" s="10">
        <v>2.0579999999999999E-3</v>
      </c>
      <c r="D52" s="12">
        <f t="shared" ref="D52:D63" si="0">ROUND(D$3*C52,0)</f>
        <v>596</v>
      </c>
      <c r="E52" s="13">
        <f t="shared" ref="E52:E63" si="1">ROUND(D52/2,0)</f>
        <v>298</v>
      </c>
      <c r="F52" s="12">
        <f t="shared" ref="F52:F63" si="2">D52-E52</f>
        <v>298</v>
      </c>
    </row>
    <row r="53" spans="1:6">
      <c r="A53" s="8"/>
      <c r="B53" s="11" t="s">
        <v>11</v>
      </c>
      <c r="C53" s="10">
        <v>2.7700000000000001E-4</v>
      </c>
      <c r="D53" s="12">
        <f t="shared" si="0"/>
        <v>80</v>
      </c>
      <c r="E53" s="13">
        <f t="shared" si="1"/>
        <v>40</v>
      </c>
      <c r="F53" s="12">
        <f t="shared" si="2"/>
        <v>40</v>
      </c>
    </row>
    <row r="54" spans="1:6">
      <c r="A54" s="8">
        <v>3</v>
      </c>
      <c r="B54" s="11" t="s">
        <v>380</v>
      </c>
      <c r="C54" s="10">
        <v>0</v>
      </c>
      <c r="D54" s="12">
        <f t="shared" si="0"/>
        <v>0</v>
      </c>
      <c r="E54" s="13">
        <f t="shared" si="1"/>
        <v>0</v>
      </c>
      <c r="F54" s="12">
        <f t="shared" si="2"/>
        <v>0</v>
      </c>
    </row>
    <row r="55" spans="1:6">
      <c r="A55" s="8">
        <v>3</v>
      </c>
      <c r="B55" s="11" t="s">
        <v>381</v>
      </c>
      <c r="C55" s="10">
        <v>0</v>
      </c>
      <c r="D55" s="12">
        <f t="shared" si="0"/>
        <v>0</v>
      </c>
      <c r="E55" s="13">
        <f t="shared" si="1"/>
        <v>0</v>
      </c>
      <c r="F55" s="12">
        <f t="shared" si="2"/>
        <v>0</v>
      </c>
    </row>
    <row r="56" spans="1:6">
      <c r="A56" s="8">
        <v>3</v>
      </c>
      <c r="B56" s="11" t="s">
        <v>382</v>
      </c>
      <c r="C56" s="10">
        <v>2.0254000000000001E-2</v>
      </c>
      <c r="D56" s="12">
        <f t="shared" si="0"/>
        <v>5866</v>
      </c>
      <c r="E56" s="13">
        <f t="shared" si="1"/>
        <v>2933</v>
      </c>
      <c r="F56" s="12">
        <f t="shared" si="2"/>
        <v>2933</v>
      </c>
    </row>
    <row r="57" spans="1:6">
      <c r="A57" s="8">
        <v>3</v>
      </c>
      <c r="B57" s="11" t="s">
        <v>383</v>
      </c>
      <c r="C57" s="10">
        <v>1.8127000000000001E-2</v>
      </c>
      <c r="D57" s="12">
        <f t="shared" si="0"/>
        <v>5250</v>
      </c>
      <c r="E57" s="13">
        <f t="shared" si="1"/>
        <v>2625</v>
      </c>
      <c r="F57" s="12">
        <f t="shared" si="2"/>
        <v>2625</v>
      </c>
    </row>
    <row r="58" spans="1:6">
      <c r="A58" s="8">
        <v>3</v>
      </c>
      <c r="B58" s="11" t="s">
        <v>384</v>
      </c>
      <c r="C58" s="10">
        <v>1.6800000000000001E-3</v>
      </c>
      <c r="D58" s="12">
        <f t="shared" si="0"/>
        <v>487</v>
      </c>
      <c r="E58" s="13">
        <f t="shared" si="1"/>
        <v>244</v>
      </c>
      <c r="F58" s="12">
        <f t="shared" si="2"/>
        <v>243</v>
      </c>
    </row>
    <row r="59" spans="1:6">
      <c r="A59" s="8">
        <v>3</v>
      </c>
      <c r="B59" s="11" t="s">
        <v>385</v>
      </c>
      <c r="C59" s="10">
        <v>6.4147999999999997E-2</v>
      </c>
      <c r="D59" s="12">
        <f t="shared" si="0"/>
        <v>18580</v>
      </c>
      <c r="E59" s="13">
        <f t="shared" si="1"/>
        <v>9290</v>
      </c>
      <c r="F59" s="12">
        <f t="shared" si="2"/>
        <v>9290</v>
      </c>
    </row>
    <row r="60" spans="1:6">
      <c r="A60" s="8">
        <v>3</v>
      </c>
      <c r="B60" s="11" t="s">
        <v>386</v>
      </c>
      <c r="C60" s="10">
        <v>0</v>
      </c>
      <c r="D60" s="12">
        <f t="shared" si="0"/>
        <v>0</v>
      </c>
      <c r="E60" s="13">
        <f t="shared" si="1"/>
        <v>0</v>
      </c>
      <c r="F60" s="12">
        <f t="shared" si="2"/>
        <v>0</v>
      </c>
    </row>
    <row r="61" spans="1:6">
      <c r="A61" s="8">
        <v>3</v>
      </c>
      <c r="B61" s="11" t="s">
        <v>387</v>
      </c>
      <c r="C61" s="10">
        <v>4.2499999999999998E-4</v>
      </c>
      <c r="D61" s="12">
        <f t="shared" si="0"/>
        <v>123</v>
      </c>
      <c r="E61" s="13">
        <f t="shared" si="1"/>
        <v>62</v>
      </c>
      <c r="F61" s="12">
        <f t="shared" si="2"/>
        <v>61</v>
      </c>
    </row>
    <row r="62" spans="1:6">
      <c r="A62" s="8">
        <v>3</v>
      </c>
      <c r="B62" s="11" t="s">
        <v>388</v>
      </c>
      <c r="C62" s="10">
        <v>2.9919999999999999E-2</v>
      </c>
      <c r="D62" s="12">
        <f t="shared" si="0"/>
        <v>8666</v>
      </c>
      <c r="E62" s="13">
        <f t="shared" si="1"/>
        <v>4333</v>
      </c>
      <c r="F62" s="12">
        <f t="shared" si="2"/>
        <v>4333</v>
      </c>
    </row>
    <row r="63" spans="1:6">
      <c r="A63" s="8">
        <v>4</v>
      </c>
      <c r="B63" s="11" t="s">
        <v>389</v>
      </c>
      <c r="C63" s="10">
        <v>0.26269700000000001</v>
      </c>
      <c r="D63" s="9">
        <f t="shared" si="0"/>
        <v>76089</v>
      </c>
      <c r="E63" s="11">
        <f t="shared" si="1"/>
        <v>38045</v>
      </c>
      <c r="F63" s="9">
        <f t="shared" si="2"/>
        <v>38044</v>
      </c>
    </row>
    <row r="64" spans="1:6">
      <c r="A64" s="8"/>
      <c r="B64" s="11" t="s">
        <v>28</v>
      </c>
      <c r="C64" s="11"/>
      <c r="D64" s="14">
        <v>0.43253399999999997</v>
      </c>
      <c r="E64" s="11"/>
      <c r="F64" s="11"/>
    </row>
    <row r="65" spans="1:6">
      <c r="A65" s="8"/>
      <c r="B65" s="11" t="s">
        <v>29</v>
      </c>
      <c r="C65" s="11"/>
      <c r="D65" s="228">
        <f>ROUND(D63*D64,0)</f>
        <v>32911</v>
      </c>
      <c r="E65" s="229">
        <f>ROUND(D65/2,0)</f>
        <v>16456</v>
      </c>
      <c r="F65" s="228">
        <f>D65-E65</f>
        <v>16455</v>
      </c>
    </row>
    <row r="66" spans="1:6">
      <c r="A66" s="8"/>
      <c r="B66" s="11" t="s">
        <v>30</v>
      </c>
      <c r="C66" s="11"/>
      <c r="D66" s="12">
        <f>+D63-D65</f>
        <v>43178</v>
      </c>
      <c r="E66" s="13">
        <f>ROUND(D66/2,0)</f>
        <v>21589</v>
      </c>
      <c r="F66" s="12">
        <f>D66-E66</f>
        <v>21589</v>
      </c>
    </row>
    <row r="67" spans="1:6">
      <c r="A67" s="8">
        <v>4</v>
      </c>
      <c r="B67" s="11" t="s">
        <v>390</v>
      </c>
      <c r="C67" s="10">
        <v>0.19134300000000001</v>
      </c>
      <c r="D67" s="9">
        <f>ROUND(D$3*C67,0)</f>
        <v>55421</v>
      </c>
      <c r="E67" s="11">
        <f>ROUND(D67/2,0)</f>
        <v>27711</v>
      </c>
      <c r="F67" s="9">
        <f>D67-E67</f>
        <v>27710</v>
      </c>
    </row>
    <row r="68" spans="1:6">
      <c r="A68" s="8"/>
      <c r="B68" s="11" t="s">
        <v>28</v>
      </c>
      <c r="C68" s="11"/>
      <c r="D68" s="14">
        <v>0.419437</v>
      </c>
      <c r="E68" s="11"/>
      <c r="F68" s="11"/>
    </row>
    <row r="69" spans="1:6">
      <c r="A69" s="8"/>
      <c r="B69" s="11" t="s">
        <v>29</v>
      </c>
      <c r="C69" s="11"/>
      <c r="D69" s="228">
        <f>ROUND(D67*D68,0)</f>
        <v>23246</v>
      </c>
      <c r="E69" s="229">
        <f>ROUND(D69/2,0)</f>
        <v>11623</v>
      </c>
      <c r="F69" s="228">
        <f>D69-E69</f>
        <v>11623</v>
      </c>
    </row>
    <row r="70" spans="1:6">
      <c r="A70" s="8"/>
      <c r="B70" s="11" t="s">
        <v>30</v>
      </c>
      <c r="C70" s="11"/>
      <c r="D70" s="12">
        <f>+D67-D69</f>
        <v>32175</v>
      </c>
      <c r="E70" s="13">
        <f>ROUND(D70/2,0)</f>
        <v>16088</v>
      </c>
      <c r="F70" s="12">
        <f>D70-E70</f>
        <v>16087</v>
      </c>
    </row>
    <row r="71" spans="1:6">
      <c r="A71" s="8" t="s">
        <v>590</v>
      </c>
      <c r="B71" s="11" t="s">
        <v>391</v>
      </c>
      <c r="C71" s="10">
        <v>0.16623099999999999</v>
      </c>
      <c r="D71" s="9">
        <f>ROUND(D$3*C71,0)</f>
        <v>48148</v>
      </c>
      <c r="E71" s="11">
        <f>ROUND(D71/2,0)</f>
        <v>24074</v>
      </c>
      <c r="F71" s="9">
        <f>D71-E71</f>
        <v>24074</v>
      </c>
    </row>
    <row r="72" spans="1:6">
      <c r="A72" s="8"/>
      <c r="B72" s="11" t="s">
        <v>28</v>
      </c>
      <c r="C72" s="11"/>
      <c r="D72" s="14">
        <v>0.46364</v>
      </c>
      <c r="E72" s="11"/>
      <c r="F72" s="11"/>
    </row>
    <row r="73" spans="1:6">
      <c r="A73" s="8"/>
      <c r="B73" s="11" t="s">
        <v>29</v>
      </c>
      <c r="C73" s="11"/>
      <c r="D73" s="228">
        <f>ROUND(D71*D72,0)</f>
        <v>22323</v>
      </c>
      <c r="E73" s="229">
        <f>ROUND(D73/2,0)</f>
        <v>11162</v>
      </c>
      <c r="F73" s="228">
        <f>D73-E73</f>
        <v>11161</v>
      </c>
    </row>
    <row r="74" spans="1:6">
      <c r="A74" s="8"/>
      <c r="B74" s="11" t="s">
        <v>30</v>
      </c>
      <c r="C74" s="11"/>
      <c r="D74" s="12">
        <f>+D71-D73</f>
        <v>25825</v>
      </c>
      <c r="E74" s="13">
        <f>ROUND(D74/2,0)</f>
        <v>12913</v>
      </c>
      <c r="F74" s="12">
        <f>D74-E74</f>
        <v>12912</v>
      </c>
    </row>
    <row r="75" spans="1:6">
      <c r="A75" s="8">
        <v>4</v>
      </c>
      <c r="B75" s="11" t="s">
        <v>392</v>
      </c>
      <c r="C75" s="10">
        <v>1.1334E-2</v>
      </c>
      <c r="D75" s="9">
        <f>ROUND(D$3*C75,0)</f>
        <v>3283</v>
      </c>
      <c r="E75" s="11">
        <f>ROUND(D75/2,0)</f>
        <v>1642</v>
      </c>
      <c r="F75" s="9">
        <f>D75-E75</f>
        <v>1641</v>
      </c>
    </row>
    <row r="76" spans="1:6">
      <c r="A76" s="8"/>
      <c r="B76" s="11" t="s">
        <v>28</v>
      </c>
      <c r="C76" s="11"/>
      <c r="D76" s="14">
        <v>0.59018099999999996</v>
      </c>
      <c r="E76" s="11"/>
      <c r="F76" s="11"/>
    </row>
    <row r="77" spans="1:6">
      <c r="A77" s="8"/>
      <c r="B77" s="11" t="s">
        <v>29</v>
      </c>
      <c r="C77" s="11"/>
      <c r="D77" s="228">
        <f>ROUND(D75*D76,0)</f>
        <v>1938</v>
      </c>
      <c r="E77" s="229">
        <f t="shared" ref="E77:E83" si="3">ROUND(D77/2,0)</f>
        <v>969</v>
      </c>
      <c r="F77" s="228">
        <f t="shared" ref="F77:F83" si="4">D77-E77</f>
        <v>969</v>
      </c>
    </row>
    <row r="78" spans="1:6">
      <c r="A78" s="8"/>
      <c r="B78" s="11" t="s">
        <v>30</v>
      </c>
      <c r="C78" s="11"/>
      <c r="D78" s="12">
        <f>+D75-D77</f>
        <v>1345</v>
      </c>
      <c r="E78" s="13">
        <f t="shared" si="3"/>
        <v>673</v>
      </c>
      <c r="F78" s="12">
        <f t="shared" si="4"/>
        <v>672</v>
      </c>
    </row>
    <row r="79" spans="1:6">
      <c r="A79" s="8">
        <v>5</v>
      </c>
      <c r="B79" s="11" t="s">
        <v>393</v>
      </c>
      <c r="C79" s="10">
        <v>3.3010000000000001E-3</v>
      </c>
      <c r="D79" s="12">
        <f>ROUND(D$3*C79,0)</f>
        <v>956</v>
      </c>
      <c r="E79" s="13">
        <f t="shared" si="3"/>
        <v>478</v>
      </c>
      <c r="F79" s="12">
        <f t="shared" si="4"/>
        <v>478</v>
      </c>
    </row>
    <row r="80" spans="1:6">
      <c r="A80" s="8">
        <v>5</v>
      </c>
      <c r="B80" s="11" t="s">
        <v>394</v>
      </c>
      <c r="C80" s="10">
        <v>2.9229999999999998E-3</v>
      </c>
      <c r="D80" s="12">
        <f>ROUND(D$3*C80,0)</f>
        <v>847</v>
      </c>
      <c r="E80" s="13">
        <f t="shared" si="3"/>
        <v>424</v>
      </c>
      <c r="F80" s="12">
        <f t="shared" si="4"/>
        <v>423</v>
      </c>
    </row>
    <row r="81" spans="1:8">
      <c r="A81" s="8">
        <v>5</v>
      </c>
      <c r="B81" s="11" t="s">
        <v>395</v>
      </c>
      <c r="C81" s="10">
        <v>1.3082999999999999E-2</v>
      </c>
      <c r="D81" s="12">
        <f>ROUND(D$3*C81,0)</f>
        <v>3789</v>
      </c>
      <c r="E81" s="13">
        <f t="shared" si="3"/>
        <v>1895</v>
      </c>
      <c r="F81" s="12">
        <f t="shared" si="4"/>
        <v>1894</v>
      </c>
    </row>
    <row r="82" spans="1:8">
      <c r="A82" s="8">
        <v>5</v>
      </c>
      <c r="B82" s="11" t="s">
        <v>396</v>
      </c>
      <c r="C82" s="10">
        <v>8.7980000000000003E-3</v>
      </c>
      <c r="D82" s="12">
        <f>ROUND(D$3*C82,0)</f>
        <v>2548</v>
      </c>
      <c r="E82" s="13">
        <f t="shared" si="3"/>
        <v>1274</v>
      </c>
      <c r="F82" s="12">
        <f t="shared" si="4"/>
        <v>1274</v>
      </c>
    </row>
    <row r="83" spans="1:8">
      <c r="A83" s="8">
        <v>6</v>
      </c>
      <c r="B83" s="11" t="s">
        <v>397</v>
      </c>
      <c r="C83" s="10">
        <v>4.9519999999999564E-3</v>
      </c>
      <c r="D83" s="12">
        <f>+D3-SUM(D4:D5)-SUM(D10:D63)-D67-D71-D75-SUM(D79:D82)</f>
        <v>1436</v>
      </c>
      <c r="E83" s="13">
        <f t="shared" si="3"/>
        <v>718</v>
      </c>
      <c r="F83" s="12">
        <f t="shared" si="4"/>
        <v>718</v>
      </c>
    </row>
    <row r="84" spans="1:8">
      <c r="A84" s="8"/>
      <c r="B84" s="28" t="s">
        <v>288</v>
      </c>
      <c r="C84" s="10">
        <v>1</v>
      </c>
      <c r="D84" s="12">
        <f>+D4+SUM(D7:D62)+SUM(D65:D66)+SUM(D69:D70)+SUM(D73:D74)+SUM(D77:D83)</f>
        <v>289644</v>
      </c>
      <c r="E84" s="12">
        <f>+E4+SUM(E7:E62)+SUM(E65:E66)+SUM(E69:E70)+SUM(E73:E74)+SUM(E77:E83)</f>
        <v>144835</v>
      </c>
      <c r="F84" s="12">
        <f>+F4+SUM(F7:F62)+SUM(F65:F66)+SUM(F69:F70)+SUM(F73:F74)+SUM(F77:F83)</f>
        <v>144809</v>
      </c>
    </row>
    <row r="85" spans="1:8">
      <c r="B85" s="18" t="s">
        <v>38</v>
      </c>
      <c r="D85" s="19">
        <f>+D4</f>
        <v>367</v>
      </c>
      <c r="E85" s="19">
        <f>+E4</f>
        <v>184</v>
      </c>
      <c r="F85" s="19">
        <f>+F4</f>
        <v>183</v>
      </c>
    </row>
    <row r="86" spans="1:8">
      <c r="B86" s="2" t="s">
        <v>39</v>
      </c>
      <c r="D86" s="19">
        <f>+D7</f>
        <v>12560</v>
      </c>
      <c r="E86" s="19">
        <f>+E7</f>
        <v>6280</v>
      </c>
      <c r="F86" s="19">
        <f>+F7</f>
        <v>6280</v>
      </c>
    </row>
    <row r="87" spans="1:8">
      <c r="B87" s="2" t="s">
        <v>40</v>
      </c>
      <c r="D87" s="19">
        <f>+D65+D69+D73+D77</f>
        <v>80418</v>
      </c>
      <c r="E87" s="19">
        <f>+E65+E69+E73+E77</f>
        <v>40210</v>
      </c>
      <c r="F87" s="19">
        <f>+F65+F69+F73+F77</f>
        <v>40208</v>
      </c>
      <c r="H87" s="3">
        <v>1</v>
      </c>
    </row>
    <row r="88" spans="1:8">
      <c r="B88" s="18" t="s">
        <v>41</v>
      </c>
      <c r="D88" s="19">
        <f>+D84-D85-D86-D87</f>
        <v>196299</v>
      </c>
      <c r="E88" s="19">
        <f>+E84-E85-E86-E87</f>
        <v>98161</v>
      </c>
      <c r="F88" s="19">
        <f>+F84-F85-F86-F87</f>
        <v>98138</v>
      </c>
      <c r="H88" s="3">
        <v>2</v>
      </c>
    </row>
    <row r="90" spans="1:8" hidden="1">
      <c r="B90" s="3" t="s">
        <v>42</v>
      </c>
      <c r="C90" s="4">
        <v>-1.0000000000435008E-6</v>
      </c>
      <c r="D90" s="3">
        <f>+D83-ROUND(D3*C83,0)</f>
        <v>2</v>
      </c>
    </row>
  </sheetData>
  <pageMargins left="0.7" right="0.7" top="0.75" bottom="0.75" header="0.3" footer="0.3"/>
  <pageSetup scale="5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pageSetUpPr fitToPage="1"/>
  </sheetPr>
  <dimension ref="A1:WVB92"/>
  <sheetViews>
    <sheetView topLeftCell="A58" zoomScaleNormal="100" zoomScaleSheetLayoutView="90" workbookViewId="0">
      <selection activeCell="D79" activeCellId="7" sqref="D7:F7 D55:F55 D59:F59 D63:F63 D67:F67 D71:F71 D75:F75 D79:F79"/>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398</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Worksheet'!$D$21</f>
        <v>1065146</v>
      </c>
      <c r="E3" s="11"/>
      <c r="F3" s="11"/>
    </row>
    <row r="4" spans="1:6">
      <c r="A4" s="8">
        <v>0</v>
      </c>
      <c r="B4" s="11" t="s">
        <v>4</v>
      </c>
      <c r="C4" s="10">
        <v>8.3799999999999999E-4</v>
      </c>
      <c r="D4" s="12">
        <f>ROUND(D$3*C4,0)</f>
        <v>893</v>
      </c>
      <c r="E4" s="13">
        <f>ROUND(D4/2,0)</f>
        <v>447</v>
      </c>
      <c r="F4" s="12">
        <f>D4-E4</f>
        <v>446</v>
      </c>
    </row>
    <row r="5" spans="1:6">
      <c r="A5" s="8">
        <v>1</v>
      </c>
      <c r="B5" s="11" t="s">
        <v>399</v>
      </c>
      <c r="C5" s="10">
        <v>0.23000300000000001</v>
      </c>
      <c r="D5" s="9">
        <f>ROUND(D$3*C5,0)</f>
        <v>244987</v>
      </c>
      <c r="E5" s="11">
        <f>ROUND(D5/2,0)</f>
        <v>122494</v>
      </c>
      <c r="F5" s="9">
        <f>D5-E5</f>
        <v>122493</v>
      </c>
    </row>
    <row r="6" spans="1:6">
      <c r="A6" s="8"/>
      <c r="B6" s="11" t="s">
        <v>6</v>
      </c>
      <c r="C6" s="11"/>
      <c r="D6" s="14">
        <v>0.378996</v>
      </c>
      <c r="E6" s="11"/>
      <c r="F6" s="11"/>
    </row>
    <row r="7" spans="1:6">
      <c r="A7" s="8"/>
      <c r="B7" s="11" t="s">
        <v>7</v>
      </c>
      <c r="C7" s="11"/>
      <c r="D7" s="225">
        <f>ROUND(D5*D6,0)</f>
        <v>92849</v>
      </c>
      <c r="E7" s="226">
        <f>ROUND(D7/2,0)</f>
        <v>46425</v>
      </c>
      <c r="F7" s="225">
        <f>D7-E7</f>
        <v>46424</v>
      </c>
    </row>
    <row r="8" spans="1:6">
      <c r="A8" s="8"/>
      <c r="B8" s="11" t="s">
        <v>8</v>
      </c>
      <c r="C8" s="11"/>
      <c r="D8" s="12">
        <f>+D5-D7</f>
        <v>152138</v>
      </c>
      <c r="E8" s="13">
        <f>ROUND(D8/2,0)</f>
        <v>76069</v>
      </c>
      <c r="F8" s="12">
        <f>D8-E8</f>
        <v>76069</v>
      </c>
    </row>
    <row r="9" spans="1:6">
      <c r="A9" s="8">
        <v>2</v>
      </c>
      <c r="B9" s="11" t="s">
        <v>107</v>
      </c>
      <c r="C9" s="11"/>
      <c r="D9" s="9"/>
      <c r="E9" s="11"/>
      <c r="F9" s="11"/>
    </row>
    <row r="10" spans="1:6">
      <c r="A10" s="8"/>
      <c r="B10" s="11" t="s">
        <v>10</v>
      </c>
      <c r="C10" s="10">
        <v>6.8380000000000003E-3</v>
      </c>
      <c r="D10" s="12">
        <f>ROUND(D$3*C10,0)</f>
        <v>7283</v>
      </c>
      <c r="E10" s="13">
        <f>ROUND(D10/2,0)</f>
        <v>3642</v>
      </c>
      <c r="F10" s="12">
        <f>D10-E10</f>
        <v>3641</v>
      </c>
    </row>
    <row r="11" spans="1:6">
      <c r="A11" s="8"/>
      <c r="B11" s="11" t="s">
        <v>11</v>
      </c>
      <c r="C11" s="10">
        <v>8.2600000000000002E-4</v>
      </c>
      <c r="D11" s="12">
        <f>ROUND(D$3*C11,0)</f>
        <v>880</v>
      </c>
      <c r="E11" s="13">
        <f>ROUND(D11/2,0)</f>
        <v>440</v>
      </c>
      <c r="F11" s="12">
        <f>D11-E11</f>
        <v>440</v>
      </c>
    </row>
    <row r="12" spans="1:6">
      <c r="A12" s="8">
        <v>2</v>
      </c>
      <c r="B12" s="11" t="s">
        <v>400</v>
      </c>
      <c r="C12" s="11"/>
      <c r="D12" s="9"/>
      <c r="E12" s="11"/>
      <c r="F12" s="11"/>
    </row>
    <row r="13" spans="1:6">
      <c r="A13" s="8"/>
      <c r="B13" s="11" t="s">
        <v>10</v>
      </c>
      <c r="C13" s="10">
        <v>3.9399999999999998E-4</v>
      </c>
      <c r="D13" s="12">
        <f>ROUND(D$3*C13,0)</f>
        <v>420</v>
      </c>
      <c r="E13" s="13">
        <f>ROUND(D13/2,0)</f>
        <v>210</v>
      </c>
      <c r="F13" s="12">
        <f>D13-E13</f>
        <v>210</v>
      </c>
    </row>
    <row r="14" spans="1:6">
      <c r="A14" s="8"/>
      <c r="B14" s="11" t="s">
        <v>11</v>
      </c>
      <c r="C14" s="10">
        <v>2.0000000000000001E-4</v>
      </c>
      <c r="D14" s="12">
        <f>ROUND(D$3*C14,0)</f>
        <v>213</v>
      </c>
      <c r="E14" s="13">
        <f>ROUND(D14/2,0)</f>
        <v>107</v>
      </c>
      <c r="F14" s="12">
        <f>D14-E14</f>
        <v>106</v>
      </c>
    </row>
    <row r="15" spans="1:6">
      <c r="A15" s="8">
        <v>2</v>
      </c>
      <c r="B15" s="11" t="s">
        <v>401</v>
      </c>
      <c r="C15" s="11"/>
      <c r="D15" s="9"/>
      <c r="E15" s="11"/>
      <c r="F15" s="11"/>
    </row>
    <row r="16" spans="1:6">
      <c r="A16" s="8"/>
      <c r="B16" s="11" t="s">
        <v>10</v>
      </c>
      <c r="C16" s="10">
        <v>1.37E-4</v>
      </c>
      <c r="D16" s="12">
        <f>ROUND(D$3*C16,0)</f>
        <v>146</v>
      </c>
      <c r="E16" s="13">
        <f>ROUND(D16/2,0)</f>
        <v>73</v>
      </c>
      <c r="F16" s="12">
        <f>D16-E16</f>
        <v>73</v>
      </c>
    </row>
    <row r="17" spans="1:6">
      <c r="A17" s="8"/>
      <c r="B17" s="11" t="s">
        <v>11</v>
      </c>
      <c r="C17" s="10">
        <v>4.73E-4</v>
      </c>
      <c r="D17" s="12">
        <f>ROUND(D$3*C17,0)</f>
        <v>504</v>
      </c>
      <c r="E17" s="13">
        <f>ROUND(D17/2,0)</f>
        <v>252</v>
      </c>
      <c r="F17" s="12">
        <f>D17-E17</f>
        <v>252</v>
      </c>
    </row>
    <row r="18" spans="1:6">
      <c r="A18" s="8">
        <v>2</v>
      </c>
      <c r="B18" s="11" t="s">
        <v>86</v>
      </c>
      <c r="C18" s="11"/>
      <c r="D18" s="9"/>
      <c r="E18" s="11"/>
      <c r="F18" s="11"/>
    </row>
    <row r="19" spans="1:6">
      <c r="A19" s="8"/>
      <c r="B19" s="11" t="s">
        <v>10</v>
      </c>
      <c r="C19" s="10">
        <v>2.1900000000000001E-4</v>
      </c>
      <c r="D19" s="12">
        <f>ROUND(D$3*C19,0)</f>
        <v>233</v>
      </c>
      <c r="E19" s="13">
        <f>ROUND(D19/2,0)</f>
        <v>117</v>
      </c>
      <c r="F19" s="12">
        <f>D19-E19</f>
        <v>116</v>
      </c>
    </row>
    <row r="20" spans="1:6">
      <c r="A20" s="8"/>
      <c r="B20" s="11" t="s">
        <v>11</v>
      </c>
      <c r="C20" s="10">
        <v>7.4999999999999993E-5</v>
      </c>
      <c r="D20" s="12">
        <f>ROUND(D$3*C20,0)</f>
        <v>80</v>
      </c>
      <c r="E20" s="13">
        <f>ROUND(D20/2,0)</f>
        <v>40</v>
      </c>
      <c r="F20" s="12">
        <f>D20-E20</f>
        <v>40</v>
      </c>
    </row>
    <row r="21" spans="1:6">
      <c r="A21" s="8">
        <v>2</v>
      </c>
      <c r="B21" s="11" t="s">
        <v>181</v>
      </c>
      <c r="C21" s="11"/>
      <c r="D21" s="9"/>
      <c r="E21" s="11"/>
      <c r="F21" s="11"/>
    </row>
    <row r="22" spans="1:6">
      <c r="A22" s="8"/>
      <c r="B22" s="11" t="s">
        <v>10</v>
      </c>
      <c r="C22" s="10">
        <v>1.47E-4</v>
      </c>
      <c r="D22" s="12">
        <f>ROUND(D$3*C22,0)</f>
        <v>157</v>
      </c>
      <c r="E22" s="13">
        <f>ROUND(D22/2,0)</f>
        <v>79</v>
      </c>
      <c r="F22" s="12">
        <f>D22-E22</f>
        <v>78</v>
      </c>
    </row>
    <row r="23" spans="1:6">
      <c r="A23" s="8"/>
      <c r="B23" s="11" t="s">
        <v>11</v>
      </c>
      <c r="C23" s="10">
        <v>1.25E-4</v>
      </c>
      <c r="D23" s="12">
        <f>ROUND(D$3*C23,0)</f>
        <v>133</v>
      </c>
      <c r="E23" s="13">
        <f>ROUND(D23/2,0)</f>
        <v>67</v>
      </c>
      <c r="F23" s="12">
        <f>D23-E23</f>
        <v>66</v>
      </c>
    </row>
    <row r="24" spans="1:6">
      <c r="A24" s="8">
        <v>2</v>
      </c>
      <c r="B24" s="11" t="s">
        <v>16</v>
      </c>
      <c r="C24" s="11"/>
      <c r="D24" s="9"/>
      <c r="E24" s="11"/>
      <c r="F24" s="11"/>
    </row>
    <row r="25" spans="1:6">
      <c r="A25" s="8"/>
      <c r="B25" s="11" t="s">
        <v>10</v>
      </c>
      <c r="C25" s="10">
        <v>7.5500000000000003E-4</v>
      </c>
      <c r="D25" s="12">
        <f>ROUND(D$3*C25,0)</f>
        <v>804</v>
      </c>
      <c r="E25" s="13">
        <f>ROUND(D25/2,0)</f>
        <v>402</v>
      </c>
      <c r="F25" s="12">
        <f>D25-E25</f>
        <v>402</v>
      </c>
    </row>
    <row r="26" spans="1:6">
      <c r="A26" s="8"/>
      <c r="B26" s="11" t="s">
        <v>11</v>
      </c>
      <c r="C26" s="10">
        <v>3.57E-4</v>
      </c>
      <c r="D26" s="12">
        <f>ROUND(D$3*C26,0)</f>
        <v>380</v>
      </c>
      <c r="E26" s="13">
        <f>ROUND(D26/2,0)</f>
        <v>190</v>
      </c>
      <c r="F26" s="12">
        <f>D26-E26</f>
        <v>190</v>
      </c>
    </row>
    <row r="27" spans="1:6">
      <c r="A27" s="8">
        <v>2</v>
      </c>
      <c r="B27" s="11" t="s">
        <v>402</v>
      </c>
      <c r="C27" s="11"/>
      <c r="D27" s="9"/>
      <c r="E27" s="11"/>
      <c r="F27" s="11"/>
    </row>
    <row r="28" spans="1:6">
      <c r="A28" s="8"/>
      <c r="B28" s="11" t="s">
        <v>10</v>
      </c>
      <c r="C28" s="10">
        <v>3.5799999999999997E-4</v>
      </c>
      <c r="D28" s="12">
        <f>ROUND(D$3*C28,0)</f>
        <v>381</v>
      </c>
      <c r="E28" s="13">
        <f>ROUND(D28/2,0)</f>
        <v>191</v>
      </c>
      <c r="F28" s="12">
        <f>D28-E28</f>
        <v>190</v>
      </c>
    </row>
    <row r="29" spans="1:6">
      <c r="A29" s="8"/>
      <c r="B29" s="11" t="s">
        <v>11</v>
      </c>
      <c r="C29" s="10">
        <v>1.95E-4</v>
      </c>
      <c r="D29" s="12">
        <f>ROUND(D$3*C29,0)</f>
        <v>208</v>
      </c>
      <c r="E29" s="13">
        <f>ROUND(D29/2,0)</f>
        <v>104</v>
      </c>
      <c r="F29" s="12">
        <f>D29-E29</f>
        <v>104</v>
      </c>
    </row>
    <row r="30" spans="1:6">
      <c r="A30" s="8">
        <v>2</v>
      </c>
      <c r="B30" s="11" t="s">
        <v>403</v>
      </c>
      <c r="C30" s="11"/>
      <c r="D30" s="9"/>
      <c r="E30" s="11"/>
      <c r="F30" s="11"/>
    </row>
    <row r="31" spans="1:6">
      <c r="A31" s="8"/>
      <c r="B31" s="11" t="s">
        <v>10</v>
      </c>
      <c r="C31" s="10">
        <v>1.7699999999999999E-4</v>
      </c>
      <c r="D31" s="12">
        <f>ROUND(D$3*C31,0)</f>
        <v>189</v>
      </c>
      <c r="E31" s="13">
        <f>ROUND(D31/2,0)</f>
        <v>95</v>
      </c>
      <c r="F31" s="12">
        <f>D31-E31</f>
        <v>94</v>
      </c>
    </row>
    <row r="32" spans="1:6">
      <c r="A32" s="8"/>
      <c r="B32" s="11" t="s">
        <v>11</v>
      </c>
      <c r="C32" s="10">
        <v>3.8999999999999999E-5</v>
      </c>
      <c r="D32" s="12">
        <f>ROUND(D$3*C32,0)</f>
        <v>42</v>
      </c>
      <c r="E32" s="13">
        <f>ROUND(D32/2,0)</f>
        <v>21</v>
      </c>
      <c r="F32" s="12">
        <f>D32-E32</f>
        <v>21</v>
      </c>
    </row>
    <row r="33" spans="1:6">
      <c r="A33" s="8">
        <v>2</v>
      </c>
      <c r="B33" s="11" t="s">
        <v>56</v>
      </c>
      <c r="C33" s="11"/>
      <c r="D33" s="9"/>
      <c r="E33" s="11"/>
      <c r="F33" s="11"/>
    </row>
    <row r="34" spans="1:6">
      <c r="A34" s="8"/>
      <c r="B34" s="11" t="s">
        <v>10</v>
      </c>
      <c r="C34" s="10">
        <v>2.4000000000000001E-5</v>
      </c>
      <c r="D34" s="12">
        <f>ROUND(D$3*C34,0)</f>
        <v>26</v>
      </c>
      <c r="E34" s="13">
        <f>ROUND(D34/2,0)</f>
        <v>13</v>
      </c>
      <c r="F34" s="12">
        <f>D34-E34</f>
        <v>13</v>
      </c>
    </row>
    <row r="35" spans="1:6">
      <c r="A35" s="8"/>
      <c r="B35" s="11" t="s">
        <v>11</v>
      </c>
      <c r="C35" s="10">
        <v>1.5E-5</v>
      </c>
      <c r="D35" s="12">
        <f>ROUND(D$3*C35,0)</f>
        <v>16</v>
      </c>
      <c r="E35" s="13">
        <f>ROUND(D35/2,0)</f>
        <v>8</v>
      </c>
      <c r="F35" s="12">
        <f>D35-E35</f>
        <v>8</v>
      </c>
    </row>
    <row r="36" spans="1:6">
      <c r="A36" s="8">
        <v>2</v>
      </c>
      <c r="B36" s="11" t="s">
        <v>404</v>
      </c>
      <c r="C36" s="11"/>
      <c r="D36" s="9"/>
      <c r="E36" s="11"/>
      <c r="F36" s="11"/>
    </row>
    <row r="37" spans="1:6">
      <c r="A37" s="8"/>
      <c r="B37" s="11" t="s">
        <v>10</v>
      </c>
      <c r="C37" s="10">
        <v>2.5500000000000002E-3</v>
      </c>
      <c r="D37" s="12">
        <f>ROUND(D$3*C37,0)</f>
        <v>2716</v>
      </c>
      <c r="E37" s="13">
        <f>ROUND(D37/2,0)</f>
        <v>1358</v>
      </c>
      <c r="F37" s="12">
        <f>D37-E37</f>
        <v>1358</v>
      </c>
    </row>
    <row r="38" spans="1:6">
      <c r="A38" s="8"/>
      <c r="B38" s="11" t="s">
        <v>11</v>
      </c>
      <c r="C38" s="10">
        <v>1.5479999999999999E-3</v>
      </c>
      <c r="D38" s="12">
        <f>ROUND(D$3*C38,0)</f>
        <v>1649</v>
      </c>
      <c r="E38" s="13">
        <f>ROUND(D38/2,0)</f>
        <v>825</v>
      </c>
      <c r="F38" s="12">
        <f>D38-E38</f>
        <v>824</v>
      </c>
    </row>
    <row r="39" spans="1:6">
      <c r="A39" s="8">
        <v>2</v>
      </c>
      <c r="B39" s="11" t="s">
        <v>20</v>
      </c>
      <c r="C39" s="11"/>
      <c r="D39" s="9"/>
      <c r="E39" s="11"/>
      <c r="F39" s="11"/>
    </row>
    <row r="40" spans="1:6">
      <c r="A40" s="8"/>
      <c r="B40" s="11" t="s">
        <v>10</v>
      </c>
      <c r="C40" s="10">
        <v>1.8900000000000001E-4</v>
      </c>
      <c r="D40" s="12">
        <f>ROUND(D$3*C40,0)</f>
        <v>201</v>
      </c>
      <c r="E40" s="13">
        <f>ROUND(D40/2,0)</f>
        <v>101</v>
      </c>
      <c r="F40" s="12">
        <f>D40-E40</f>
        <v>100</v>
      </c>
    </row>
    <row r="41" spans="1:6">
      <c r="A41" s="8"/>
      <c r="B41" s="11" t="s">
        <v>11</v>
      </c>
      <c r="C41" s="10">
        <v>8.6000000000000003E-5</v>
      </c>
      <c r="D41" s="12">
        <f>ROUND(D$3*C41,0)</f>
        <v>92</v>
      </c>
      <c r="E41" s="13">
        <f>ROUND(D41/2,0)</f>
        <v>46</v>
      </c>
      <c r="F41" s="12">
        <f>D41-E41</f>
        <v>46</v>
      </c>
    </row>
    <row r="42" spans="1:6">
      <c r="A42" s="8">
        <v>2</v>
      </c>
      <c r="B42" s="11" t="s">
        <v>22</v>
      </c>
      <c r="C42" s="11"/>
      <c r="D42" s="9"/>
      <c r="E42" s="11"/>
      <c r="F42" s="11"/>
    </row>
    <row r="43" spans="1:6">
      <c r="A43" s="8"/>
      <c r="B43" s="11" t="s">
        <v>10</v>
      </c>
      <c r="C43" s="10">
        <v>2.5300000000000002E-4</v>
      </c>
      <c r="D43" s="12">
        <f t="shared" ref="D43:D53" si="0">ROUND(D$3*C43,0)</f>
        <v>269</v>
      </c>
      <c r="E43" s="13">
        <f t="shared" ref="E43:E53" si="1">ROUND(D43/2,0)</f>
        <v>135</v>
      </c>
      <c r="F43" s="12">
        <f t="shared" ref="F43:F53" si="2">D43-E43</f>
        <v>134</v>
      </c>
    </row>
    <row r="44" spans="1:6">
      <c r="A44" s="8"/>
      <c r="B44" s="11" t="s">
        <v>11</v>
      </c>
      <c r="C44" s="10">
        <v>1.3899999999999999E-4</v>
      </c>
      <c r="D44" s="12">
        <f t="shared" si="0"/>
        <v>148</v>
      </c>
      <c r="E44" s="13">
        <f t="shared" si="1"/>
        <v>74</v>
      </c>
      <c r="F44" s="12">
        <f t="shared" si="2"/>
        <v>74</v>
      </c>
    </row>
    <row r="45" spans="1:6">
      <c r="A45" s="8">
        <v>3</v>
      </c>
      <c r="B45" s="11" t="s">
        <v>405</v>
      </c>
      <c r="C45" s="10">
        <v>4.86E-4</v>
      </c>
      <c r="D45" s="12">
        <f t="shared" si="0"/>
        <v>518</v>
      </c>
      <c r="E45" s="13">
        <f t="shared" si="1"/>
        <v>259</v>
      </c>
      <c r="F45" s="12">
        <f t="shared" si="2"/>
        <v>259</v>
      </c>
    </row>
    <row r="46" spans="1:6">
      <c r="A46" s="8">
        <v>3</v>
      </c>
      <c r="B46" s="11" t="s">
        <v>406</v>
      </c>
      <c r="C46" s="10">
        <v>0</v>
      </c>
      <c r="D46" s="12">
        <f t="shared" si="0"/>
        <v>0</v>
      </c>
      <c r="E46" s="13">
        <f t="shared" si="1"/>
        <v>0</v>
      </c>
      <c r="F46" s="12">
        <f t="shared" si="2"/>
        <v>0</v>
      </c>
    </row>
    <row r="47" spans="1:6">
      <c r="A47" s="8">
        <v>3</v>
      </c>
      <c r="B47" s="11" t="s">
        <v>407</v>
      </c>
      <c r="C47" s="10">
        <v>7.0254999999999998E-2</v>
      </c>
      <c r="D47" s="12">
        <f t="shared" si="0"/>
        <v>74832</v>
      </c>
      <c r="E47" s="13">
        <f t="shared" si="1"/>
        <v>37416</v>
      </c>
      <c r="F47" s="12">
        <f t="shared" si="2"/>
        <v>37416</v>
      </c>
    </row>
    <row r="48" spans="1:6">
      <c r="A48" s="8">
        <v>3</v>
      </c>
      <c r="B48" s="11" t="s">
        <v>408</v>
      </c>
      <c r="C48" s="10">
        <v>2.2000000000000001E-3</v>
      </c>
      <c r="D48" s="12">
        <f t="shared" si="0"/>
        <v>2343</v>
      </c>
      <c r="E48" s="13">
        <f t="shared" si="1"/>
        <v>1172</v>
      </c>
      <c r="F48" s="12">
        <f t="shared" si="2"/>
        <v>1171</v>
      </c>
    </row>
    <row r="49" spans="1:6">
      <c r="A49" s="8">
        <v>3</v>
      </c>
      <c r="B49" s="11" t="s">
        <v>409</v>
      </c>
      <c r="C49" s="10">
        <v>1.64E-4</v>
      </c>
      <c r="D49" s="12">
        <f t="shared" si="0"/>
        <v>175</v>
      </c>
      <c r="E49" s="13">
        <f t="shared" si="1"/>
        <v>88</v>
      </c>
      <c r="F49" s="12">
        <f t="shared" si="2"/>
        <v>87</v>
      </c>
    </row>
    <row r="50" spans="1:6">
      <c r="A50" s="8">
        <v>3</v>
      </c>
      <c r="B50" s="11" t="s">
        <v>410</v>
      </c>
      <c r="C50" s="10">
        <v>0.104111</v>
      </c>
      <c r="D50" s="12">
        <f t="shared" si="0"/>
        <v>110893</v>
      </c>
      <c r="E50" s="13">
        <f t="shared" si="1"/>
        <v>55447</v>
      </c>
      <c r="F50" s="12">
        <f t="shared" si="2"/>
        <v>55446</v>
      </c>
    </row>
    <row r="51" spans="1:6">
      <c r="A51" s="8">
        <v>3</v>
      </c>
      <c r="B51" s="11" t="s">
        <v>411</v>
      </c>
      <c r="C51" s="10">
        <v>5.8E-5</v>
      </c>
      <c r="D51" s="12">
        <f t="shared" si="0"/>
        <v>62</v>
      </c>
      <c r="E51" s="13">
        <f t="shared" si="1"/>
        <v>31</v>
      </c>
      <c r="F51" s="12">
        <f t="shared" si="2"/>
        <v>31</v>
      </c>
    </row>
    <row r="52" spans="1:6">
      <c r="A52" s="8">
        <v>3</v>
      </c>
      <c r="B52" s="11" t="s">
        <v>412</v>
      </c>
      <c r="C52" s="10">
        <v>9.7599999999999998E-4</v>
      </c>
      <c r="D52" s="12">
        <f t="shared" si="0"/>
        <v>1040</v>
      </c>
      <c r="E52" s="13">
        <f t="shared" si="1"/>
        <v>520</v>
      </c>
      <c r="F52" s="12">
        <f t="shared" si="2"/>
        <v>520</v>
      </c>
    </row>
    <row r="53" spans="1:6">
      <c r="A53" s="8">
        <v>4</v>
      </c>
      <c r="B53" s="11" t="s">
        <v>413</v>
      </c>
      <c r="C53" s="10">
        <v>1.9642E-2</v>
      </c>
      <c r="D53" s="9">
        <f t="shared" si="0"/>
        <v>20922</v>
      </c>
      <c r="E53" s="11">
        <f t="shared" si="1"/>
        <v>10461</v>
      </c>
      <c r="F53" s="9">
        <f t="shared" si="2"/>
        <v>10461</v>
      </c>
    </row>
    <row r="54" spans="1:6">
      <c r="A54" s="8"/>
      <c r="B54" s="11" t="s">
        <v>28</v>
      </c>
      <c r="C54" s="11"/>
      <c r="D54" s="14">
        <v>0.39561000000000002</v>
      </c>
      <c r="E54" s="11"/>
      <c r="F54" s="11"/>
    </row>
    <row r="55" spans="1:6">
      <c r="A55" s="8"/>
      <c r="B55" s="11" t="s">
        <v>29</v>
      </c>
      <c r="C55" s="11"/>
      <c r="D55" s="225">
        <f>ROUND(D53*D54,0)</f>
        <v>8277</v>
      </c>
      <c r="E55" s="226">
        <f>ROUND(D55/2,0)</f>
        <v>4139</v>
      </c>
      <c r="F55" s="225">
        <f>D55-E55</f>
        <v>4138</v>
      </c>
    </row>
    <row r="56" spans="1:6">
      <c r="A56" s="8"/>
      <c r="B56" s="11" t="s">
        <v>30</v>
      </c>
      <c r="C56" s="11"/>
      <c r="D56" s="12">
        <f>+D53-D55</f>
        <v>12645</v>
      </c>
      <c r="E56" s="13">
        <f>ROUND(D56/2,0)</f>
        <v>6323</v>
      </c>
      <c r="F56" s="12">
        <f>D56-E56</f>
        <v>6322</v>
      </c>
    </row>
    <row r="57" spans="1:6">
      <c r="A57" s="8">
        <v>4</v>
      </c>
      <c r="B57" s="11" t="s">
        <v>414</v>
      </c>
      <c r="C57" s="10">
        <v>0.225244</v>
      </c>
      <c r="D57" s="9">
        <f>ROUND(D$3*C57,0)</f>
        <v>239918</v>
      </c>
      <c r="E57" s="11">
        <f>ROUND(D57/2,0)</f>
        <v>119959</v>
      </c>
      <c r="F57" s="9">
        <f>D57-E57</f>
        <v>119959</v>
      </c>
    </row>
    <row r="58" spans="1:6">
      <c r="A58" s="8"/>
      <c r="B58" s="11" t="s">
        <v>28</v>
      </c>
      <c r="C58" s="11"/>
      <c r="D58" s="14">
        <v>0.44757799999999998</v>
      </c>
      <c r="E58" s="11"/>
      <c r="F58" s="11"/>
    </row>
    <row r="59" spans="1:6">
      <c r="A59" s="8"/>
      <c r="B59" s="11" t="s">
        <v>29</v>
      </c>
      <c r="C59" s="11"/>
      <c r="D59" s="225">
        <f>ROUND(D57*D58,0)</f>
        <v>107382</v>
      </c>
      <c r="E59" s="226">
        <f>ROUND(D59/2,0)</f>
        <v>53691</v>
      </c>
      <c r="F59" s="225">
        <f>D59-E59</f>
        <v>53691</v>
      </c>
    </row>
    <row r="60" spans="1:6">
      <c r="A60" s="8"/>
      <c r="B60" s="11" t="s">
        <v>30</v>
      </c>
      <c r="C60" s="11"/>
      <c r="D60" s="12">
        <f>+D57-D59</f>
        <v>132536</v>
      </c>
      <c r="E60" s="13">
        <f>ROUND(D60/2,0)</f>
        <v>66268</v>
      </c>
      <c r="F60" s="12">
        <f>D60-E60</f>
        <v>66268</v>
      </c>
    </row>
    <row r="61" spans="1:6">
      <c r="A61" s="8">
        <v>4</v>
      </c>
      <c r="B61" s="11" t="s">
        <v>415</v>
      </c>
      <c r="C61" s="10">
        <v>5.1880000000000003E-2</v>
      </c>
      <c r="D61" s="9">
        <f>ROUND(D$3*C61,0)</f>
        <v>55260</v>
      </c>
      <c r="E61" s="11">
        <f>ROUND(D61/2,0)</f>
        <v>27630</v>
      </c>
      <c r="F61" s="9">
        <f>D61-E61</f>
        <v>27630</v>
      </c>
    </row>
    <row r="62" spans="1:6">
      <c r="A62" s="8"/>
      <c r="B62" s="11" t="s">
        <v>28</v>
      </c>
      <c r="C62" s="11"/>
      <c r="D62" s="14">
        <v>0.41563600000000001</v>
      </c>
      <c r="E62" s="11"/>
      <c r="F62" s="11"/>
    </row>
    <row r="63" spans="1:6">
      <c r="A63" s="8"/>
      <c r="B63" s="11" t="s">
        <v>29</v>
      </c>
      <c r="C63" s="11"/>
      <c r="D63" s="225">
        <f>ROUND(D61*D62,0)</f>
        <v>22968</v>
      </c>
      <c r="E63" s="226">
        <f>ROUND(D63/2,0)</f>
        <v>11484</v>
      </c>
      <c r="F63" s="225">
        <f>D63-E63</f>
        <v>11484</v>
      </c>
    </row>
    <row r="64" spans="1:6">
      <c r="A64" s="8"/>
      <c r="B64" s="11" t="s">
        <v>30</v>
      </c>
      <c r="C64" s="11"/>
      <c r="D64" s="12">
        <f>+D61-D63</f>
        <v>32292</v>
      </c>
      <c r="E64" s="13">
        <f>ROUND(D64/2,0)</f>
        <v>16146</v>
      </c>
      <c r="F64" s="12">
        <f>D64-E64</f>
        <v>16146</v>
      </c>
    </row>
    <row r="65" spans="1:6">
      <c r="A65" s="8">
        <v>4</v>
      </c>
      <c r="B65" s="11" t="s">
        <v>416</v>
      </c>
      <c r="C65" s="10">
        <v>1.9325999999999999E-2</v>
      </c>
      <c r="D65" s="9">
        <f>ROUND(D$3*C65,0)</f>
        <v>20585</v>
      </c>
      <c r="E65" s="11">
        <f>ROUND(D65/2,0)</f>
        <v>10293</v>
      </c>
      <c r="F65" s="9">
        <f>D65-E65</f>
        <v>10292</v>
      </c>
    </row>
    <row r="66" spans="1:6">
      <c r="A66" s="8"/>
      <c r="B66" s="11" t="s">
        <v>28</v>
      </c>
      <c r="C66" s="11"/>
      <c r="D66" s="14">
        <v>0.49643300000000001</v>
      </c>
      <c r="E66" s="11"/>
      <c r="F66" s="11"/>
    </row>
    <row r="67" spans="1:6">
      <c r="A67" s="8"/>
      <c r="B67" s="11" t="s">
        <v>29</v>
      </c>
      <c r="C67" s="11"/>
      <c r="D67" s="225">
        <f>ROUND(D65*D66,0)</f>
        <v>10219</v>
      </c>
      <c r="E67" s="226">
        <f>ROUND(D67/2,0)</f>
        <v>5110</v>
      </c>
      <c r="F67" s="225">
        <f>D67-E67</f>
        <v>5109</v>
      </c>
    </row>
    <row r="68" spans="1:6">
      <c r="A68" s="8"/>
      <c r="B68" s="11" t="s">
        <v>30</v>
      </c>
      <c r="C68" s="11"/>
      <c r="D68" s="12">
        <f>+D65-D67</f>
        <v>10366</v>
      </c>
      <c r="E68" s="13">
        <f>ROUND(D68/2,0)</f>
        <v>5183</v>
      </c>
      <c r="F68" s="12">
        <f>D68-E68</f>
        <v>5183</v>
      </c>
    </row>
    <row r="69" spans="1:6">
      <c r="A69" s="8">
        <v>4</v>
      </c>
      <c r="B69" s="11" t="s">
        <v>417</v>
      </c>
      <c r="C69" s="10">
        <v>7.7600000000000004E-3</v>
      </c>
      <c r="D69" s="9">
        <f>ROUND(D$3*C69,0)</f>
        <v>8266</v>
      </c>
      <c r="E69" s="11">
        <f>ROUND(D69/2,0)</f>
        <v>4133</v>
      </c>
      <c r="F69" s="9">
        <f>D69-E69</f>
        <v>4133</v>
      </c>
    </row>
    <row r="70" spans="1:6">
      <c r="A70" s="8"/>
      <c r="B70" s="11" t="s">
        <v>28</v>
      </c>
      <c r="C70" s="11"/>
      <c r="D70" s="14">
        <v>0.41642699999999999</v>
      </c>
      <c r="E70" s="11"/>
      <c r="F70" s="11"/>
    </row>
    <row r="71" spans="1:6">
      <c r="A71" s="8" t="s">
        <v>590</v>
      </c>
      <c r="B71" s="11" t="s">
        <v>29</v>
      </c>
      <c r="C71" s="11"/>
      <c r="D71" s="225">
        <f>ROUND(D69*D70,0)</f>
        <v>3442</v>
      </c>
      <c r="E71" s="226">
        <f>ROUND(D71/2,0)</f>
        <v>1721</v>
      </c>
      <c r="F71" s="225">
        <f>D71-E71</f>
        <v>1721</v>
      </c>
    </row>
    <row r="72" spans="1:6">
      <c r="A72" s="8"/>
      <c r="B72" s="11" t="s">
        <v>30</v>
      </c>
      <c r="C72" s="11"/>
      <c r="D72" s="12">
        <f>+D69-D71</f>
        <v>4824</v>
      </c>
      <c r="E72" s="13">
        <f>ROUND(D72/2,0)</f>
        <v>2412</v>
      </c>
      <c r="F72" s="12">
        <f>D72-E72</f>
        <v>2412</v>
      </c>
    </row>
    <row r="73" spans="1:6">
      <c r="A73" s="8">
        <v>4</v>
      </c>
      <c r="B73" s="11" t="s">
        <v>418</v>
      </c>
      <c r="C73" s="10">
        <v>1.3414000000000001E-2</v>
      </c>
      <c r="D73" s="9">
        <f>ROUND(D$3*C73,0)</f>
        <v>14288</v>
      </c>
      <c r="E73" s="11">
        <f>ROUND(D73/2,0)</f>
        <v>7144</v>
      </c>
      <c r="F73" s="9">
        <f>D73-E73</f>
        <v>7144</v>
      </c>
    </row>
    <row r="74" spans="1:6">
      <c r="A74" s="8"/>
      <c r="B74" s="11" t="s">
        <v>28</v>
      </c>
      <c r="C74" s="11"/>
      <c r="D74" s="14">
        <v>0.46119399999999999</v>
      </c>
      <c r="E74" s="11"/>
      <c r="F74" s="11"/>
    </row>
    <row r="75" spans="1:6">
      <c r="A75" s="8"/>
      <c r="B75" s="11" t="s">
        <v>29</v>
      </c>
      <c r="C75" s="11"/>
      <c r="D75" s="225">
        <f>ROUND(D73*D74,0)</f>
        <v>6590</v>
      </c>
      <c r="E75" s="226">
        <f>ROUND(D75/2,0)</f>
        <v>3295</v>
      </c>
      <c r="F75" s="225">
        <f>D75-E75</f>
        <v>3295</v>
      </c>
    </row>
    <row r="76" spans="1:6">
      <c r="A76" s="8"/>
      <c r="B76" s="11" t="s">
        <v>30</v>
      </c>
      <c r="C76" s="11"/>
      <c r="D76" s="12">
        <f>+D73-D75</f>
        <v>7698</v>
      </c>
      <c r="E76" s="13">
        <f>ROUND(D76/2,0)</f>
        <v>3849</v>
      </c>
      <c r="F76" s="12">
        <f>D76-E76</f>
        <v>3849</v>
      </c>
    </row>
    <row r="77" spans="1:6">
      <c r="A77" s="8">
        <v>4</v>
      </c>
      <c r="B77" s="11" t="s">
        <v>419</v>
      </c>
      <c r="C77" s="10">
        <v>0.170291</v>
      </c>
      <c r="D77" s="9">
        <f>ROUND(D$3*C77,0)</f>
        <v>181385</v>
      </c>
      <c r="E77" s="11">
        <f>ROUND(D77/2,0)</f>
        <v>90693</v>
      </c>
      <c r="F77" s="9">
        <f>D77-E77</f>
        <v>90692</v>
      </c>
    </row>
    <row r="78" spans="1:6">
      <c r="A78" s="8"/>
      <c r="B78" s="11" t="s">
        <v>28</v>
      </c>
      <c r="C78" s="11"/>
      <c r="D78" s="14">
        <v>0.48746899999999999</v>
      </c>
      <c r="E78" s="11"/>
      <c r="F78" s="11"/>
    </row>
    <row r="79" spans="1:6">
      <c r="A79" s="8"/>
      <c r="B79" s="11" t="s">
        <v>29</v>
      </c>
      <c r="C79" s="11"/>
      <c r="D79" s="225">
        <f>ROUND(D77*D78,0)</f>
        <v>88420</v>
      </c>
      <c r="E79" s="226">
        <f t="shared" ref="E79:E85" si="3">ROUND(D79/2,0)</f>
        <v>44210</v>
      </c>
      <c r="F79" s="225">
        <f t="shared" ref="F79:F85" si="4">D79-E79</f>
        <v>44210</v>
      </c>
    </row>
    <row r="80" spans="1:6">
      <c r="A80" s="8"/>
      <c r="B80" s="11" t="s">
        <v>30</v>
      </c>
      <c r="C80" s="11"/>
      <c r="D80" s="12">
        <f>+D77-D79</f>
        <v>92965</v>
      </c>
      <c r="E80" s="13">
        <f t="shared" si="3"/>
        <v>46483</v>
      </c>
      <c r="F80" s="12">
        <f t="shared" si="4"/>
        <v>46482</v>
      </c>
    </row>
    <row r="81" spans="1:8">
      <c r="A81" s="8">
        <v>5</v>
      </c>
      <c r="B81" s="11" t="s">
        <v>420</v>
      </c>
      <c r="C81" s="10">
        <v>1.9574000000000001E-2</v>
      </c>
      <c r="D81" s="12">
        <f>ROUND(D$3*C81,0)</f>
        <v>20849</v>
      </c>
      <c r="E81" s="13">
        <f t="shared" si="3"/>
        <v>10425</v>
      </c>
      <c r="F81" s="12">
        <f t="shared" si="4"/>
        <v>10424</v>
      </c>
    </row>
    <row r="82" spans="1:8">
      <c r="A82" s="8">
        <v>6</v>
      </c>
      <c r="B82" s="11" t="s">
        <v>421</v>
      </c>
      <c r="C82" s="10">
        <v>2.467E-3</v>
      </c>
      <c r="D82" s="12">
        <f>ROUND(D$3*C82,0)</f>
        <v>2628</v>
      </c>
      <c r="E82" s="13">
        <f t="shared" si="3"/>
        <v>1314</v>
      </c>
      <c r="F82" s="12">
        <f t="shared" si="4"/>
        <v>1314</v>
      </c>
    </row>
    <row r="83" spans="1:8">
      <c r="A83" s="8">
        <v>6</v>
      </c>
      <c r="B83" s="11" t="s">
        <v>422</v>
      </c>
      <c r="C83" s="10">
        <v>2.0219999999999999E-3</v>
      </c>
      <c r="D83" s="12">
        <f>ROUND(D$3*C83,0)</f>
        <v>2154</v>
      </c>
      <c r="E83" s="13">
        <f t="shared" si="3"/>
        <v>1077</v>
      </c>
      <c r="F83" s="12">
        <f t="shared" si="4"/>
        <v>1077</v>
      </c>
    </row>
    <row r="84" spans="1:8">
      <c r="A84" s="8">
        <v>6</v>
      </c>
      <c r="B84" s="11" t="s">
        <v>423</v>
      </c>
      <c r="C84" s="10">
        <v>1.1150999999999999E-2</v>
      </c>
      <c r="D84" s="12">
        <f>ROUND(D$3*C84,0)</f>
        <v>11877</v>
      </c>
      <c r="E84" s="13">
        <f t="shared" si="3"/>
        <v>5939</v>
      </c>
      <c r="F84" s="12">
        <f t="shared" si="4"/>
        <v>5938</v>
      </c>
    </row>
    <row r="85" spans="1:8">
      <c r="A85" s="8">
        <v>6</v>
      </c>
      <c r="B85" s="11" t="s">
        <v>424</v>
      </c>
      <c r="C85" s="10">
        <v>3.201900000000002E-2</v>
      </c>
      <c r="D85" s="12">
        <f>+D3-SUM(D4:D5)-SUM(D10:D53)-D57-D61-D65-D69-D73-D77-SUM(D81:D84)</f>
        <v>34101</v>
      </c>
      <c r="E85" s="13">
        <f t="shared" si="3"/>
        <v>17051</v>
      </c>
      <c r="F85" s="12">
        <f t="shared" si="4"/>
        <v>17050</v>
      </c>
    </row>
    <row r="86" spans="1:8">
      <c r="A86" s="8"/>
      <c r="B86" s="28" t="s">
        <v>425</v>
      </c>
      <c r="C86" s="10">
        <v>1</v>
      </c>
      <c r="D86" s="12">
        <f>+D4+SUM(D7:D52)+SUM(D55:D56)+SUM(D59:D60)+SUM(D63:D64)+SUM(D67:D68)+SUM(D71:D72)+SUM(D75:D76)+SUM(D79:D85)</f>
        <v>1065146</v>
      </c>
      <c r="E86" s="12">
        <f>+E4+SUM(E7:E52)+SUM(E55:E56)+SUM(E59:E60)+SUM(E63:E64)+SUM(E67:E68)+SUM(E71:E72)+SUM(E75:E76)+SUM(E79:E85)</f>
        <v>532584</v>
      </c>
      <c r="F86" s="12">
        <f>+F4+SUM(F7:F52)+SUM(F55:F56)+SUM(F59:F60)+SUM(F63:F64)+SUM(F67:F68)+SUM(F71:F72)+SUM(F75:F76)+SUM(F79:F85)</f>
        <v>532562</v>
      </c>
    </row>
    <row r="87" spans="1:8">
      <c r="B87" s="18" t="s">
        <v>38</v>
      </c>
      <c r="D87" s="19">
        <f>+D4</f>
        <v>893</v>
      </c>
      <c r="E87" s="19">
        <f>+E4</f>
        <v>447</v>
      </c>
      <c r="F87" s="19">
        <f>+F4</f>
        <v>446</v>
      </c>
    </row>
    <row r="88" spans="1:8">
      <c r="B88" s="2" t="s">
        <v>39</v>
      </c>
      <c r="D88" s="19">
        <f>+D7</f>
        <v>92849</v>
      </c>
      <c r="E88" s="19">
        <f>+E7</f>
        <v>46425</v>
      </c>
      <c r="F88" s="19">
        <f>+F7</f>
        <v>46424</v>
      </c>
    </row>
    <row r="89" spans="1:8">
      <c r="B89" s="2" t="s">
        <v>40</v>
      </c>
      <c r="D89" s="19">
        <f>+D55+D59+D63+D67+D71+D75+D79</f>
        <v>247298</v>
      </c>
      <c r="E89" s="19">
        <f>+E55+E59+E63+E67+E71+E75+E79</f>
        <v>123650</v>
      </c>
      <c r="F89" s="19">
        <f>+F55+F59+F63+F67+F71+F75+F79</f>
        <v>123648</v>
      </c>
      <c r="H89" s="3">
        <v>1</v>
      </c>
    </row>
    <row r="90" spans="1:8">
      <c r="B90" s="18" t="s">
        <v>41</v>
      </c>
      <c r="D90" s="19">
        <f>+D86-D87-D88-D89</f>
        <v>724106</v>
      </c>
      <c r="E90" s="19">
        <f>+E86-E87-E88-E89</f>
        <v>362062</v>
      </c>
      <c r="F90" s="19">
        <f>+F86-F87-F88-F89</f>
        <v>362044</v>
      </c>
      <c r="H90" s="3">
        <v>2</v>
      </c>
    </row>
    <row r="92" spans="1:8" hidden="1">
      <c r="B92" s="3" t="s">
        <v>42</v>
      </c>
      <c r="C92" s="4">
        <v>2.0000000000228169E-6</v>
      </c>
      <c r="D92" s="3">
        <f>+D85-ROUND(D3*C85,0)</f>
        <v>-4</v>
      </c>
    </row>
  </sheetData>
  <pageMargins left="0.7" right="0.7" top="0.75" bottom="0.75" header="0.3" footer="0.3"/>
  <pageSetup scale="5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5"/>
  <sheetViews>
    <sheetView workbookViewId="0">
      <selection activeCell="O42" sqref="O42"/>
    </sheetView>
  </sheetViews>
  <sheetFormatPr defaultColWidth="0" defaultRowHeight="15"/>
  <cols>
    <col min="1" max="1" width="20.42578125" bestFit="1" customWidth="1"/>
    <col min="2" max="2" width="6" bestFit="1" customWidth="1"/>
    <col min="3" max="3" width="8.28515625" bestFit="1" customWidth="1"/>
    <col min="4" max="4" width="8.140625" bestFit="1" customWidth="1"/>
    <col min="5" max="5" width="5.140625" bestFit="1" customWidth="1"/>
    <col min="6" max="6" width="7" bestFit="1" customWidth="1"/>
    <col min="7" max="7" width="15" style="46" bestFit="1" customWidth="1"/>
    <col min="8" max="8" width="9.140625" customWidth="1"/>
    <col min="9" max="9" width="9.140625" hidden="1" customWidth="1"/>
    <col min="10" max="10" width="14.28515625" hidden="1" customWidth="1"/>
    <col min="11" max="11" width="13.7109375" hidden="1" customWidth="1"/>
    <col min="12" max="16384" width="9.140625" hidden="1"/>
  </cols>
  <sheetData>
    <row r="1" spans="1:10" ht="16.5" thickTop="1" thickBot="1">
      <c r="A1" s="111" t="s">
        <v>1992</v>
      </c>
      <c r="B1" t="s">
        <v>2061</v>
      </c>
      <c r="E1" s="112"/>
      <c r="F1" s="112"/>
      <c r="G1" s="46">
        <f>SUM(G3:G16)</f>
        <v>-64673847.140000001</v>
      </c>
    </row>
    <row r="2" spans="1:10" ht="16.5" thickTop="1" thickBot="1">
      <c r="A2" s="209" t="s">
        <v>3</v>
      </c>
      <c r="B2" s="209" t="s">
        <v>1993</v>
      </c>
      <c r="C2" s="209" t="s">
        <v>1994</v>
      </c>
      <c r="D2" s="209" t="s">
        <v>1995</v>
      </c>
      <c r="E2" s="209" t="s">
        <v>1996</v>
      </c>
      <c r="F2" s="209" t="s">
        <v>1997</v>
      </c>
      <c r="G2" s="209" t="s">
        <v>1998</v>
      </c>
    </row>
    <row r="3" spans="1:10" ht="15.75" thickTop="1">
      <c r="A3" t="s">
        <v>1999</v>
      </c>
      <c r="B3" t="s">
        <v>2000</v>
      </c>
      <c r="C3" t="s">
        <v>2001</v>
      </c>
      <c r="D3" t="s">
        <v>2083</v>
      </c>
      <c r="E3" s="112">
        <v>2025</v>
      </c>
      <c r="F3" s="112">
        <v>7</v>
      </c>
      <c r="G3" s="210">
        <v>-5755045.8099999996</v>
      </c>
      <c r="J3" s="47"/>
    </row>
    <row r="4" spans="1:10">
      <c r="A4" t="s">
        <v>1999</v>
      </c>
      <c r="B4" t="s">
        <v>2000</v>
      </c>
      <c r="C4" t="s">
        <v>2001</v>
      </c>
      <c r="D4" t="s">
        <v>2083</v>
      </c>
      <c r="E4" s="112">
        <v>2025</v>
      </c>
      <c r="F4" s="112">
        <v>8</v>
      </c>
      <c r="G4" s="210">
        <v>-9644391.5099999998</v>
      </c>
      <c r="J4" s="47"/>
    </row>
    <row r="5" spans="1:10">
      <c r="A5" t="s">
        <v>1999</v>
      </c>
      <c r="B5" t="s">
        <v>2000</v>
      </c>
      <c r="C5" t="s">
        <v>2001</v>
      </c>
      <c r="D5" t="s">
        <v>2083</v>
      </c>
      <c r="E5" s="112">
        <v>2025</v>
      </c>
      <c r="F5" s="112">
        <v>9</v>
      </c>
      <c r="G5" s="210">
        <v>-10706086.93</v>
      </c>
      <c r="J5" s="47"/>
    </row>
    <row r="6" spans="1:10">
      <c r="A6" t="s">
        <v>1999</v>
      </c>
      <c r="B6" t="s">
        <v>2000</v>
      </c>
      <c r="C6" t="s">
        <v>2001</v>
      </c>
      <c r="D6" t="s">
        <v>2083</v>
      </c>
      <c r="E6" s="112">
        <v>2025</v>
      </c>
      <c r="F6" s="112">
        <v>10</v>
      </c>
      <c r="G6" s="210">
        <v>-8293815.6500000004</v>
      </c>
      <c r="J6" s="47"/>
    </row>
    <row r="7" spans="1:10">
      <c r="A7" t="s">
        <v>1999</v>
      </c>
      <c r="B7" t="s">
        <v>2000</v>
      </c>
      <c r="C7" t="s">
        <v>2001</v>
      </c>
      <c r="D7" t="s">
        <v>2083</v>
      </c>
      <c r="E7" s="112">
        <v>2025</v>
      </c>
      <c r="F7" s="112">
        <v>11</v>
      </c>
      <c r="G7" s="210">
        <v>-4639841.84</v>
      </c>
      <c r="J7" s="47"/>
    </row>
    <row r="8" spans="1:10">
      <c r="A8" t="s">
        <v>1999</v>
      </c>
      <c r="B8" t="s">
        <v>2000</v>
      </c>
      <c r="C8" t="s">
        <v>2001</v>
      </c>
      <c r="D8" t="s">
        <v>2083</v>
      </c>
      <c r="E8" s="112">
        <v>2025</v>
      </c>
      <c r="F8" s="112">
        <v>12</v>
      </c>
      <c r="G8" s="210">
        <v>-4609493.33</v>
      </c>
      <c r="J8" s="47"/>
    </row>
    <row r="9" spans="1:10">
      <c r="A9" t="s">
        <v>1999</v>
      </c>
      <c r="B9" t="s">
        <v>2000</v>
      </c>
      <c r="C9" t="s">
        <v>2001</v>
      </c>
      <c r="D9" t="s">
        <v>2083</v>
      </c>
      <c r="E9" s="112">
        <v>2026</v>
      </c>
      <c r="F9" s="112">
        <v>1</v>
      </c>
      <c r="G9" s="210">
        <v>-1625893.22</v>
      </c>
      <c r="J9" s="47"/>
    </row>
    <row r="10" spans="1:10">
      <c r="A10" t="s">
        <v>1999</v>
      </c>
      <c r="B10" t="s">
        <v>2000</v>
      </c>
      <c r="C10" t="s">
        <v>2001</v>
      </c>
      <c r="D10" t="s">
        <v>6413</v>
      </c>
      <c r="E10" s="112">
        <v>2026</v>
      </c>
      <c r="F10" s="112">
        <v>1</v>
      </c>
      <c r="G10" s="210">
        <v>-1860149.38</v>
      </c>
      <c r="J10" s="47"/>
    </row>
    <row r="11" spans="1:10">
      <c r="A11" t="s">
        <v>1999</v>
      </c>
      <c r="B11" t="s">
        <v>2000</v>
      </c>
      <c r="C11" t="s">
        <v>2001</v>
      </c>
      <c r="D11" t="s">
        <v>2083</v>
      </c>
      <c r="E11" s="112">
        <v>2026</v>
      </c>
      <c r="F11" s="112">
        <v>2</v>
      </c>
      <c r="G11" s="210">
        <v>1625893.22</v>
      </c>
      <c r="J11" s="47"/>
    </row>
    <row r="12" spans="1:10">
      <c r="A12" t="s">
        <v>1999</v>
      </c>
      <c r="B12" t="s">
        <v>2000</v>
      </c>
      <c r="C12" t="s">
        <v>2001</v>
      </c>
      <c r="D12" t="s">
        <v>6413</v>
      </c>
      <c r="E12" s="112">
        <v>2026</v>
      </c>
      <c r="F12" s="112">
        <v>2</v>
      </c>
      <c r="G12" s="210">
        <v>-4814960.5599999996</v>
      </c>
      <c r="J12" s="47"/>
    </row>
    <row r="13" spans="1:10">
      <c r="A13" t="s">
        <v>1999</v>
      </c>
      <c r="B13" t="s">
        <v>2000</v>
      </c>
      <c r="C13" t="s">
        <v>2001</v>
      </c>
      <c r="D13" t="s">
        <v>6413</v>
      </c>
      <c r="E13" s="112">
        <v>2026</v>
      </c>
      <c r="F13" s="112">
        <v>3</v>
      </c>
      <c r="G13" s="210">
        <v>-3463339.73</v>
      </c>
      <c r="J13" s="47"/>
    </row>
    <row r="14" spans="1:10">
      <c r="A14" t="s">
        <v>1999</v>
      </c>
      <c r="B14" t="s">
        <v>2000</v>
      </c>
      <c r="C14" t="s">
        <v>2001</v>
      </c>
      <c r="D14" t="s">
        <v>6413</v>
      </c>
      <c r="E14" s="112">
        <v>2026</v>
      </c>
      <c r="F14" s="112">
        <v>4</v>
      </c>
      <c r="G14" s="210">
        <v>-4078824.7</v>
      </c>
      <c r="J14" s="47"/>
    </row>
    <row r="15" spans="1:10">
      <c r="A15" t="s">
        <v>1999</v>
      </c>
      <c r="B15" t="s">
        <v>2000</v>
      </c>
      <c r="C15" t="s">
        <v>2001</v>
      </c>
      <c r="D15" t="s">
        <v>6413</v>
      </c>
      <c r="E15" s="112">
        <v>2026</v>
      </c>
      <c r="F15" s="112">
        <v>5</v>
      </c>
      <c r="G15" s="210">
        <v>-2555931.6800000002</v>
      </c>
      <c r="J15" s="47"/>
    </row>
    <row r="16" spans="1:10">
      <c r="A16" t="s">
        <v>1999</v>
      </c>
      <c r="B16" t="s">
        <v>2000</v>
      </c>
      <c r="C16" t="s">
        <v>2001</v>
      </c>
      <c r="D16" t="s">
        <v>6413</v>
      </c>
      <c r="E16" s="112">
        <v>2026</v>
      </c>
      <c r="F16" s="112">
        <v>6</v>
      </c>
      <c r="G16" s="210">
        <v>-4251966.0199999996</v>
      </c>
      <c r="J16" s="47"/>
    </row>
    <row r="19" spans="2:10">
      <c r="J19" s="47"/>
    </row>
    <row r="25" spans="2:10">
      <c r="B25" s="57"/>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pageSetUpPr fitToPage="1"/>
  </sheetPr>
  <dimension ref="A1:WVB78"/>
  <sheetViews>
    <sheetView topLeftCell="A43" zoomScaleNormal="100" zoomScaleSheetLayoutView="90" workbookViewId="0">
      <selection activeCell="D64" activeCellId="4" sqref="D7:F7 D52:F52 D56:F56 D60:F60 D64:F64"/>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5703125" style="3" hidden="1"/>
    <col min="190" max="246" width="9.140625" style="3" hidden="1"/>
    <col min="247" max="247" width="16.28515625" style="3" hidden="1"/>
    <col min="248" max="248" width="17.5703125" style="3" hidden="1"/>
    <col min="249" max="249" width="16" style="3" hidden="1"/>
    <col min="250" max="250" width="18.140625" style="3" hidden="1"/>
    <col min="251" max="443" width="9.140625" style="3" hidden="1"/>
    <col min="444" max="444" width="11" style="3" hidden="1"/>
    <col min="445" max="445" width="54.5703125" style="3" hidden="1"/>
    <col min="446" max="502" width="9.140625" style="3" hidden="1"/>
    <col min="503" max="503" width="16.28515625" style="3" hidden="1"/>
    <col min="504" max="504" width="17.5703125" style="3" hidden="1"/>
    <col min="505" max="505" width="16" style="3" hidden="1"/>
    <col min="506" max="506" width="18.140625" style="3" hidden="1"/>
    <col min="507" max="699" width="9.140625" style="3" hidden="1"/>
    <col min="700" max="700" width="11" style="3" hidden="1"/>
    <col min="701" max="701" width="54.5703125" style="3" hidden="1"/>
    <col min="702" max="758" width="9.140625" style="3" hidden="1"/>
    <col min="759" max="759" width="16.28515625" style="3" hidden="1"/>
    <col min="760" max="760" width="17.5703125" style="3" hidden="1"/>
    <col min="761" max="761" width="16" style="3" hidden="1"/>
    <col min="762" max="762" width="18.140625" style="3" hidden="1"/>
    <col min="763" max="955" width="9.140625" style="3" hidden="1"/>
    <col min="956" max="956" width="11" style="3" hidden="1"/>
    <col min="957" max="957" width="54.5703125" style="3" hidden="1"/>
    <col min="958" max="1014" width="9.140625" style="3" hidden="1"/>
    <col min="1015" max="1015" width="16.28515625" style="3" hidden="1"/>
    <col min="1016" max="1016" width="17.5703125" style="3" hidden="1"/>
    <col min="1017" max="1017" width="16" style="3" hidden="1"/>
    <col min="1018" max="1018" width="18.140625" style="3" hidden="1"/>
    <col min="1019" max="1211" width="9.140625" style="3" hidden="1"/>
    <col min="1212" max="1212" width="11" style="3" hidden="1"/>
    <col min="1213" max="1213" width="54.5703125" style="3" hidden="1"/>
    <col min="1214" max="1270" width="9.140625" style="3" hidden="1"/>
    <col min="1271" max="1271" width="16.28515625" style="3" hidden="1"/>
    <col min="1272" max="1272" width="17.5703125" style="3" hidden="1"/>
    <col min="1273" max="1273" width="16" style="3" hidden="1"/>
    <col min="1274" max="1274" width="18.140625" style="3" hidden="1"/>
    <col min="1275" max="1467" width="9.140625" style="3" hidden="1"/>
    <col min="1468" max="1468" width="11" style="3" hidden="1"/>
    <col min="1469" max="1469" width="54.5703125" style="3" hidden="1"/>
    <col min="1470" max="1526" width="9.140625" style="3" hidden="1"/>
    <col min="1527" max="1527" width="16.28515625" style="3" hidden="1"/>
    <col min="1528" max="1528" width="17.5703125" style="3" hidden="1"/>
    <col min="1529" max="1529" width="16" style="3" hidden="1"/>
    <col min="1530" max="1530" width="18.140625" style="3" hidden="1"/>
    <col min="1531" max="1723" width="9.140625" style="3" hidden="1"/>
    <col min="1724" max="1724" width="11" style="3" hidden="1"/>
    <col min="1725" max="1725" width="54.5703125" style="3" hidden="1"/>
    <col min="1726" max="1782" width="9.140625" style="3" hidden="1"/>
    <col min="1783" max="1783" width="16.28515625" style="3" hidden="1"/>
    <col min="1784" max="1784" width="17.5703125" style="3" hidden="1"/>
    <col min="1785" max="1785" width="16" style="3" hidden="1"/>
    <col min="1786" max="1786" width="18.140625" style="3" hidden="1"/>
    <col min="1787" max="1979" width="9.140625" style="3" hidden="1"/>
    <col min="1980" max="1980" width="11" style="3" hidden="1"/>
    <col min="1981" max="1981" width="54.5703125" style="3" hidden="1"/>
    <col min="1982" max="2038" width="9.140625" style="3" hidden="1"/>
    <col min="2039" max="2039" width="16.28515625" style="3" hidden="1"/>
    <col min="2040" max="2040" width="17.5703125" style="3" hidden="1"/>
    <col min="2041" max="2041" width="16" style="3" hidden="1"/>
    <col min="2042" max="2042" width="18.140625" style="3" hidden="1"/>
    <col min="2043" max="2235" width="9.140625" style="3" hidden="1"/>
    <col min="2236" max="2236" width="11" style="3" hidden="1"/>
    <col min="2237" max="2237" width="54.5703125" style="3" hidden="1"/>
    <col min="2238" max="2294" width="9.140625" style="3" hidden="1"/>
    <col min="2295" max="2295" width="16.28515625" style="3" hidden="1"/>
    <col min="2296" max="2296" width="17.5703125" style="3" hidden="1"/>
    <col min="2297" max="2297" width="16" style="3" hidden="1"/>
    <col min="2298" max="2298" width="18.140625" style="3" hidden="1"/>
    <col min="2299" max="2491" width="9.140625" style="3" hidden="1"/>
    <col min="2492" max="2492" width="11" style="3" hidden="1"/>
    <col min="2493" max="2493" width="54.5703125" style="3" hidden="1"/>
    <col min="2494" max="2550" width="9.140625" style="3" hidden="1"/>
    <col min="2551" max="2551" width="16.28515625" style="3" hidden="1"/>
    <col min="2552" max="2552" width="17.5703125" style="3" hidden="1"/>
    <col min="2553" max="2553" width="16" style="3" hidden="1"/>
    <col min="2554" max="2554" width="18.140625" style="3" hidden="1"/>
    <col min="2555" max="2747" width="9.140625" style="3" hidden="1"/>
    <col min="2748" max="2748" width="11" style="3" hidden="1"/>
    <col min="2749" max="2749" width="54.5703125" style="3" hidden="1"/>
    <col min="2750" max="2806" width="9.140625" style="3" hidden="1"/>
    <col min="2807" max="2807" width="16.28515625" style="3" hidden="1"/>
    <col min="2808" max="2808" width="17.5703125" style="3" hidden="1"/>
    <col min="2809" max="2809" width="16" style="3" hidden="1"/>
    <col min="2810" max="2810" width="18.140625" style="3" hidden="1"/>
    <col min="2811" max="3003" width="9.140625" style="3" hidden="1"/>
    <col min="3004" max="3004" width="11" style="3" hidden="1"/>
    <col min="3005" max="3005" width="54.5703125" style="3" hidden="1"/>
    <col min="3006" max="3062" width="9.140625" style="3" hidden="1"/>
    <col min="3063" max="3063" width="16.28515625" style="3" hidden="1"/>
    <col min="3064" max="3064" width="17.5703125" style="3" hidden="1"/>
    <col min="3065" max="3065" width="16" style="3" hidden="1"/>
    <col min="3066" max="3066" width="18.140625" style="3" hidden="1"/>
    <col min="3067" max="3259" width="9.140625" style="3" hidden="1"/>
    <col min="3260" max="3260" width="11" style="3" hidden="1"/>
    <col min="3261" max="3261" width="54.5703125" style="3" hidden="1"/>
    <col min="3262" max="3318" width="9.140625" style="3" hidden="1"/>
    <col min="3319" max="3319" width="16.28515625" style="3" hidden="1"/>
    <col min="3320" max="3320" width="17.5703125" style="3" hidden="1"/>
    <col min="3321" max="3321" width="16" style="3" hidden="1"/>
    <col min="3322" max="3322" width="18.140625" style="3" hidden="1"/>
    <col min="3323" max="3515" width="9.140625" style="3" hidden="1"/>
    <col min="3516" max="3516" width="11" style="3" hidden="1"/>
    <col min="3517" max="3517" width="54.5703125" style="3" hidden="1"/>
    <col min="3518" max="3574" width="9.140625" style="3" hidden="1"/>
    <col min="3575" max="3575" width="16.28515625" style="3" hidden="1"/>
    <col min="3576" max="3576" width="17.5703125" style="3" hidden="1"/>
    <col min="3577" max="3577" width="16" style="3" hidden="1"/>
    <col min="3578" max="3578" width="18.140625" style="3" hidden="1"/>
    <col min="3579" max="3771" width="9.140625" style="3" hidden="1"/>
    <col min="3772" max="3772" width="11" style="3" hidden="1"/>
    <col min="3773" max="3773" width="54.5703125" style="3" hidden="1"/>
    <col min="3774" max="3830" width="9.140625" style="3" hidden="1"/>
    <col min="3831" max="3831" width="16.28515625" style="3" hidden="1"/>
    <col min="3832" max="3832" width="17.5703125" style="3" hidden="1"/>
    <col min="3833" max="3833" width="16" style="3" hidden="1"/>
    <col min="3834" max="3834" width="18.140625" style="3" hidden="1"/>
    <col min="3835" max="4027" width="9.140625" style="3" hidden="1"/>
    <col min="4028" max="4028" width="11" style="3" hidden="1"/>
    <col min="4029" max="4029" width="54.5703125" style="3" hidden="1"/>
    <col min="4030" max="4086" width="9.140625" style="3" hidden="1"/>
    <col min="4087" max="4087" width="16.28515625" style="3" hidden="1"/>
    <col min="4088" max="4088" width="17.5703125" style="3" hidden="1"/>
    <col min="4089" max="4089" width="16" style="3" hidden="1"/>
    <col min="4090" max="4090" width="18.140625" style="3" hidden="1"/>
    <col min="4091" max="4283" width="9.140625" style="3" hidden="1"/>
    <col min="4284" max="4284" width="11" style="3" hidden="1"/>
    <col min="4285" max="4285" width="54.5703125" style="3" hidden="1"/>
    <col min="4286" max="4342" width="9.140625" style="3" hidden="1"/>
    <col min="4343" max="4343" width="16.28515625" style="3" hidden="1"/>
    <col min="4344" max="4344" width="17.5703125" style="3" hidden="1"/>
    <col min="4345" max="4345" width="16" style="3" hidden="1"/>
    <col min="4346" max="4346" width="18.140625" style="3" hidden="1"/>
    <col min="4347" max="4539" width="9.140625" style="3" hidden="1"/>
    <col min="4540" max="4540" width="11" style="3" hidden="1"/>
    <col min="4541" max="4541" width="54.5703125" style="3" hidden="1"/>
    <col min="4542" max="4598" width="9.140625" style="3" hidden="1"/>
    <col min="4599" max="4599" width="16.28515625" style="3" hidden="1"/>
    <col min="4600" max="4600" width="17.5703125" style="3" hidden="1"/>
    <col min="4601" max="4601" width="16" style="3" hidden="1"/>
    <col min="4602" max="4602" width="18.140625" style="3" hidden="1"/>
    <col min="4603" max="4795" width="9.140625" style="3" hidden="1"/>
    <col min="4796" max="4796" width="11" style="3" hidden="1"/>
    <col min="4797" max="4797" width="54.5703125" style="3" hidden="1"/>
    <col min="4798" max="4854" width="9.140625" style="3" hidden="1"/>
    <col min="4855" max="4855" width="16.28515625" style="3" hidden="1"/>
    <col min="4856" max="4856" width="17.5703125" style="3" hidden="1"/>
    <col min="4857" max="4857" width="16" style="3" hidden="1"/>
    <col min="4858" max="4858" width="18.140625" style="3" hidden="1"/>
    <col min="4859" max="5051" width="9.140625" style="3" hidden="1"/>
    <col min="5052" max="5052" width="11" style="3" hidden="1"/>
    <col min="5053" max="5053" width="54.5703125" style="3" hidden="1"/>
    <col min="5054" max="5110" width="9.140625" style="3" hidden="1"/>
    <col min="5111" max="5111" width="16.28515625" style="3" hidden="1"/>
    <col min="5112" max="5112" width="17.5703125" style="3" hidden="1"/>
    <col min="5113" max="5113" width="16" style="3" hidden="1"/>
    <col min="5114" max="5114" width="18.140625" style="3" hidden="1"/>
    <col min="5115" max="5307" width="9.140625" style="3" hidden="1"/>
    <col min="5308" max="5308" width="11" style="3" hidden="1"/>
    <col min="5309" max="5309" width="54.5703125" style="3" hidden="1"/>
    <col min="5310" max="5366" width="9.140625" style="3" hidden="1"/>
    <col min="5367" max="5367" width="16.28515625" style="3" hidden="1"/>
    <col min="5368" max="5368" width="17.5703125" style="3" hidden="1"/>
    <col min="5369" max="5369" width="16" style="3" hidden="1"/>
    <col min="5370" max="5370" width="18.140625" style="3" hidden="1"/>
    <col min="5371" max="5563" width="9.140625" style="3" hidden="1"/>
    <col min="5564" max="5564" width="11" style="3" hidden="1"/>
    <col min="5565" max="5565" width="54.5703125" style="3" hidden="1"/>
    <col min="5566" max="5622" width="9.140625" style="3" hidden="1"/>
    <col min="5623" max="5623" width="16.28515625" style="3" hidden="1"/>
    <col min="5624" max="5624" width="17.5703125" style="3" hidden="1"/>
    <col min="5625" max="5625" width="16" style="3" hidden="1"/>
    <col min="5626" max="5626" width="18.140625" style="3" hidden="1"/>
    <col min="5627" max="5819" width="9.140625" style="3" hidden="1"/>
    <col min="5820" max="5820" width="11" style="3" hidden="1"/>
    <col min="5821" max="5821" width="54.5703125" style="3" hidden="1"/>
    <col min="5822" max="5878" width="9.140625" style="3" hidden="1"/>
    <col min="5879" max="5879" width="16.28515625" style="3" hidden="1"/>
    <col min="5880" max="5880" width="17.5703125" style="3" hidden="1"/>
    <col min="5881" max="5881" width="16" style="3" hidden="1"/>
    <col min="5882" max="5882" width="18.140625" style="3" hidden="1"/>
    <col min="5883" max="6075" width="9.140625" style="3" hidden="1"/>
    <col min="6076" max="6076" width="11" style="3" hidden="1"/>
    <col min="6077" max="6077" width="54.5703125" style="3" hidden="1"/>
    <col min="6078" max="6134" width="9.140625" style="3" hidden="1"/>
    <col min="6135" max="6135" width="16.28515625" style="3" hidden="1"/>
    <col min="6136" max="6136" width="17.5703125" style="3" hidden="1"/>
    <col min="6137" max="6137" width="16" style="3" hidden="1"/>
    <col min="6138" max="6138" width="18.140625" style="3" hidden="1"/>
    <col min="6139" max="6331" width="9.140625" style="3" hidden="1"/>
    <col min="6332" max="6332" width="11" style="3" hidden="1"/>
    <col min="6333" max="6333" width="54.5703125" style="3" hidden="1"/>
    <col min="6334" max="6390" width="9.140625" style="3" hidden="1"/>
    <col min="6391" max="6391" width="16.28515625" style="3" hidden="1"/>
    <col min="6392" max="6392" width="17.5703125" style="3" hidden="1"/>
    <col min="6393" max="6393" width="16" style="3" hidden="1"/>
    <col min="6394" max="6394" width="18.140625" style="3" hidden="1"/>
    <col min="6395" max="6587" width="9.140625" style="3" hidden="1"/>
    <col min="6588" max="6588" width="11" style="3" hidden="1"/>
    <col min="6589" max="6589" width="54.5703125" style="3" hidden="1"/>
    <col min="6590" max="6646" width="9.140625" style="3" hidden="1"/>
    <col min="6647" max="6647" width="16.28515625" style="3" hidden="1"/>
    <col min="6648" max="6648" width="17.5703125" style="3" hidden="1"/>
    <col min="6649" max="6649" width="16" style="3" hidden="1"/>
    <col min="6650" max="6650" width="18.140625" style="3" hidden="1"/>
    <col min="6651" max="6843" width="9.140625" style="3" hidden="1"/>
    <col min="6844" max="6844" width="11" style="3" hidden="1"/>
    <col min="6845" max="6845" width="54.5703125" style="3" hidden="1"/>
    <col min="6846" max="6902" width="9.140625" style="3" hidden="1"/>
    <col min="6903" max="6903" width="16.28515625" style="3" hidden="1"/>
    <col min="6904" max="6904" width="17.5703125" style="3" hidden="1"/>
    <col min="6905" max="6905" width="16" style="3" hidden="1"/>
    <col min="6906" max="6906" width="18.140625" style="3" hidden="1"/>
    <col min="6907" max="7099" width="9.140625" style="3" hidden="1"/>
    <col min="7100" max="7100" width="11" style="3" hidden="1"/>
    <col min="7101" max="7101" width="54.5703125" style="3" hidden="1"/>
    <col min="7102" max="7158" width="9.140625" style="3" hidden="1"/>
    <col min="7159" max="7159" width="16.28515625" style="3" hidden="1"/>
    <col min="7160" max="7160" width="17.5703125" style="3" hidden="1"/>
    <col min="7161" max="7161" width="16" style="3" hidden="1"/>
    <col min="7162" max="7162" width="18.140625" style="3" hidden="1"/>
    <col min="7163" max="7355" width="9.140625" style="3" hidden="1"/>
    <col min="7356" max="7356" width="11" style="3" hidden="1"/>
    <col min="7357" max="7357" width="54.5703125" style="3" hidden="1"/>
    <col min="7358" max="7414" width="9.140625" style="3" hidden="1"/>
    <col min="7415" max="7415" width="16.28515625" style="3" hidden="1"/>
    <col min="7416" max="7416" width="17.5703125" style="3" hidden="1"/>
    <col min="7417" max="7417" width="16" style="3" hidden="1"/>
    <col min="7418" max="7418" width="18.140625" style="3" hidden="1"/>
    <col min="7419" max="7611" width="9.140625" style="3" hidden="1"/>
    <col min="7612" max="7612" width="11" style="3" hidden="1"/>
    <col min="7613" max="7613" width="54.5703125" style="3" hidden="1"/>
    <col min="7614" max="7670" width="9.140625" style="3" hidden="1"/>
    <col min="7671" max="7671" width="16.28515625" style="3" hidden="1"/>
    <col min="7672" max="7672" width="17.5703125" style="3" hidden="1"/>
    <col min="7673" max="7673" width="16" style="3" hidden="1"/>
    <col min="7674" max="7674" width="18.140625" style="3" hidden="1"/>
    <col min="7675" max="7867" width="9.140625" style="3" hidden="1"/>
    <col min="7868" max="7868" width="11" style="3" hidden="1"/>
    <col min="7869" max="7869" width="54.5703125" style="3" hidden="1"/>
    <col min="7870" max="7926" width="9.140625" style="3" hidden="1"/>
    <col min="7927" max="7927" width="16.28515625" style="3" hidden="1"/>
    <col min="7928" max="7928" width="17.5703125" style="3" hidden="1"/>
    <col min="7929" max="7929" width="16" style="3" hidden="1"/>
    <col min="7930" max="7930" width="18.140625" style="3" hidden="1"/>
    <col min="7931" max="8123" width="9.140625" style="3" hidden="1"/>
    <col min="8124" max="8124" width="11" style="3" hidden="1"/>
    <col min="8125" max="8125" width="54.5703125" style="3" hidden="1"/>
    <col min="8126" max="8182" width="9.140625" style="3" hidden="1"/>
    <col min="8183" max="8183" width="16.28515625" style="3" hidden="1"/>
    <col min="8184" max="8184" width="17.5703125" style="3" hidden="1"/>
    <col min="8185" max="8185" width="16" style="3" hidden="1"/>
    <col min="8186" max="8186" width="18.140625" style="3" hidden="1"/>
    <col min="8187" max="8379" width="9.140625" style="3" hidden="1"/>
    <col min="8380" max="8380" width="11" style="3" hidden="1"/>
    <col min="8381" max="8381" width="54.5703125" style="3" hidden="1"/>
    <col min="8382" max="8438" width="9.140625" style="3" hidden="1"/>
    <col min="8439" max="8439" width="16.28515625" style="3" hidden="1"/>
    <col min="8440" max="8440" width="17.5703125" style="3" hidden="1"/>
    <col min="8441" max="8441" width="16" style="3" hidden="1"/>
    <col min="8442" max="8442" width="18.140625" style="3" hidden="1"/>
    <col min="8443" max="8635" width="9.140625" style="3" hidden="1"/>
    <col min="8636" max="8636" width="11" style="3" hidden="1"/>
    <col min="8637" max="8637" width="54.5703125" style="3" hidden="1"/>
    <col min="8638" max="8694" width="9.140625" style="3" hidden="1"/>
    <col min="8695" max="8695" width="16.28515625" style="3" hidden="1"/>
    <col min="8696" max="8696" width="17.5703125" style="3" hidden="1"/>
    <col min="8697" max="8697" width="16" style="3" hidden="1"/>
    <col min="8698" max="8698" width="18.140625" style="3" hidden="1"/>
    <col min="8699" max="8891" width="9.140625" style="3" hidden="1"/>
    <col min="8892" max="8892" width="11" style="3" hidden="1"/>
    <col min="8893" max="8893" width="54.5703125" style="3" hidden="1"/>
    <col min="8894" max="8950" width="9.140625" style="3" hidden="1"/>
    <col min="8951" max="8951" width="16.28515625" style="3" hidden="1"/>
    <col min="8952" max="8952" width="17.5703125" style="3" hidden="1"/>
    <col min="8953" max="8953" width="16" style="3" hidden="1"/>
    <col min="8954" max="8954" width="18.140625" style="3" hidden="1"/>
    <col min="8955" max="9147" width="9.140625" style="3" hidden="1"/>
    <col min="9148" max="9148" width="11" style="3" hidden="1"/>
    <col min="9149" max="9149" width="54.5703125" style="3" hidden="1"/>
    <col min="9150" max="9206" width="9.140625" style="3" hidden="1"/>
    <col min="9207" max="9207" width="16.28515625" style="3" hidden="1"/>
    <col min="9208" max="9208" width="17.5703125" style="3" hidden="1"/>
    <col min="9209" max="9209" width="16" style="3" hidden="1"/>
    <col min="9210" max="9210" width="18.140625" style="3" hidden="1"/>
    <col min="9211" max="9403" width="9.140625" style="3" hidden="1"/>
    <col min="9404" max="9404" width="11" style="3" hidden="1"/>
    <col min="9405" max="9405" width="54.5703125" style="3" hidden="1"/>
    <col min="9406" max="9462" width="9.140625" style="3" hidden="1"/>
    <col min="9463" max="9463" width="16.28515625" style="3" hidden="1"/>
    <col min="9464" max="9464" width="17.5703125" style="3" hidden="1"/>
    <col min="9465" max="9465" width="16" style="3" hidden="1"/>
    <col min="9466" max="9466" width="18.140625" style="3" hidden="1"/>
    <col min="9467" max="9659" width="9.140625" style="3" hidden="1"/>
    <col min="9660" max="9660" width="11" style="3" hidden="1"/>
    <col min="9661" max="9661" width="54.5703125" style="3" hidden="1"/>
    <col min="9662" max="9718" width="9.140625" style="3" hidden="1"/>
    <col min="9719" max="9719" width="16.28515625" style="3" hidden="1"/>
    <col min="9720" max="9720" width="17.5703125" style="3" hidden="1"/>
    <col min="9721" max="9721" width="16" style="3" hidden="1"/>
    <col min="9722" max="9722" width="18.140625" style="3" hidden="1"/>
    <col min="9723" max="9915" width="9.140625" style="3" hidden="1"/>
    <col min="9916" max="9916" width="11" style="3" hidden="1"/>
    <col min="9917" max="9917" width="54.5703125" style="3" hidden="1"/>
    <col min="9918" max="9974" width="9.140625" style="3" hidden="1"/>
    <col min="9975" max="9975" width="16.28515625" style="3" hidden="1"/>
    <col min="9976" max="9976" width="17.5703125" style="3" hidden="1"/>
    <col min="9977" max="9977" width="16" style="3" hidden="1"/>
    <col min="9978" max="9978" width="18.140625" style="3" hidden="1"/>
    <col min="9979" max="10171" width="9.140625" style="3" hidden="1"/>
    <col min="10172" max="10172" width="11" style="3" hidden="1"/>
    <col min="10173" max="10173" width="54.5703125" style="3" hidden="1"/>
    <col min="10174" max="10230" width="9.140625" style="3" hidden="1"/>
    <col min="10231" max="10231" width="16.28515625" style="3" hidden="1"/>
    <col min="10232" max="10232" width="17.5703125" style="3" hidden="1"/>
    <col min="10233" max="10233" width="16" style="3" hidden="1"/>
    <col min="10234" max="10234" width="18.140625" style="3" hidden="1"/>
    <col min="10235" max="10427" width="9.140625" style="3" hidden="1"/>
    <col min="10428" max="10428" width="11" style="3" hidden="1"/>
    <col min="10429" max="10429" width="54.5703125" style="3" hidden="1"/>
    <col min="10430" max="10486" width="9.140625" style="3" hidden="1"/>
    <col min="10487" max="10487" width="16.28515625" style="3" hidden="1"/>
    <col min="10488" max="10488" width="17.5703125" style="3" hidden="1"/>
    <col min="10489" max="10489" width="16" style="3" hidden="1"/>
    <col min="10490" max="10490" width="18.140625" style="3" hidden="1"/>
    <col min="10491" max="10683" width="9.140625" style="3" hidden="1"/>
    <col min="10684" max="10684" width="11" style="3" hidden="1"/>
    <col min="10685" max="10685" width="54.5703125" style="3" hidden="1"/>
    <col min="10686" max="10742" width="9.140625" style="3" hidden="1"/>
    <col min="10743" max="10743" width="16.28515625" style="3" hidden="1"/>
    <col min="10744" max="10744" width="17.5703125" style="3" hidden="1"/>
    <col min="10745" max="10745" width="16" style="3" hidden="1"/>
    <col min="10746" max="10746" width="18.140625" style="3" hidden="1"/>
    <col min="10747" max="10939" width="9.140625" style="3" hidden="1"/>
    <col min="10940" max="10940" width="11" style="3" hidden="1"/>
    <col min="10941" max="10941" width="54.5703125" style="3" hidden="1"/>
    <col min="10942" max="10998" width="9.140625" style="3" hidden="1"/>
    <col min="10999" max="10999" width="16.28515625" style="3" hidden="1"/>
    <col min="11000" max="11000" width="17.5703125" style="3" hidden="1"/>
    <col min="11001" max="11001" width="16" style="3" hidden="1"/>
    <col min="11002" max="11002" width="18.140625" style="3" hidden="1"/>
    <col min="11003" max="11195" width="9.140625" style="3" hidden="1"/>
    <col min="11196" max="11196" width="11" style="3" hidden="1"/>
    <col min="11197" max="11197" width="54.5703125" style="3" hidden="1"/>
    <col min="11198" max="11254" width="9.140625" style="3" hidden="1"/>
    <col min="11255" max="11255" width="16.28515625" style="3" hidden="1"/>
    <col min="11256" max="11256" width="17.5703125" style="3" hidden="1"/>
    <col min="11257" max="11257" width="16" style="3" hidden="1"/>
    <col min="11258" max="11258" width="18.140625" style="3" hidden="1"/>
    <col min="11259" max="11451" width="9.140625" style="3" hidden="1"/>
    <col min="11452" max="11452" width="11" style="3" hidden="1"/>
    <col min="11453" max="11453" width="54.5703125" style="3" hidden="1"/>
    <col min="11454" max="11510" width="9.140625" style="3" hidden="1"/>
    <col min="11511" max="11511" width="16.28515625" style="3" hidden="1"/>
    <col min="11512" max="11512" width="17.5703125" style="3" hidden="1"/>
    <col min="11513" max="11513" width="16" style="3" hidden="1"/>
    <col min="11514" max="11514" width="18.140625" style="3" hidden="1"/>
    <col min="11515" max="11707" width="9.140625" style="3" hidden="1"/>
    <col min="11708" max="11708" width="11" style="3" hidden="1"/>
    <col min="11709" max="11709" width="54.5703125" style="3" hidden="1"/>
    <col min="11710" max="11766" width="9.140625" style="3" hidden="1"/>
    <col min="11767" max="11767" width="16.28515625" style="3" hidden="1"/>
    <col min="11768" max="11768" width="17.5703125" style="3" hidden="1"/>
    <col min="11769" max="11769" width="16" style="3" hidden="1"/>
    <col min="11770" max="11770" width="18.140625" style="3" hidden="1"/>
    <col min="11771" max="11963" width="9.140625" style="3" hidden="1"/>
    <col min="11964" max="11964" width="11" style="3" hidden="1"/>
    <col min="11965" max="11965" width="54.5703125" style="3" hidden="1"/>
    <col min="11966" max="12022" width="9.140625" style="3" hidden="1"/>
    <col min="12023" max="12023" width="16.28515625" style="3" hidden="1"/>
    <col min="12024" max="12024" width="17.5703125" style="3" hidden="1"/>
    <col min="12025" max="12025" width="16" style="3" hidden="1"/>
    <col min="12026" max="12026" width="18.140625" style="3" hidden="1"/>
    <col min="12027" max="12219" width="9.140625" style="3" hidden="1"/>
    <col min="12220" max="12220" width="11" style="3" hidden="1"/>
    <col min="12221" max="12221" width="54.5703125" style="3" hidden="1"/>
    <col min="12222" max="12278" width="9.140625" style="3" hidden="1"/>
    <col min="12279" max="12279" width="16.28515625" style="3" hidden="1"/>
    <col min="12280" max="12280" width="17.5703125" style="3" hidden="1"/>
    <col min="12281" max="12281" width="16" style="3" hidden="1"/>
    <col min="12282" max="12282" width="18.140625" style="3" hidden="1"/>
    <col min="12283" max="12475" width="9.140625" style="3" hidden="1"/>
    <col min="12476" max="12476" width="11" style="3" hidden="1"/>
    <col min="12477" max="12477" width="54.5703125" style="3" hidden="1"/>
    <col min="12478" max="12534" width="9.140625" style="3" hidden="1"/>
    <col min="12535" max="12535" width="16.28515625" style="3" hidden="1"/>
    <col min="12536" max="12536" width="17.5703125" style="3" hidden="1"/>
    <col min="12537" max="12537" width="16" style="3" hidden="1"/>
    <col min="12538" max="12538" width="18.140625" style="3" hidden="1"/>
    <col min="12539" max="12731" width="9.140625" style="3" hidden="1"/>
    <col min="12732" max="12732" width="11" style="3" hidden="1"/>
    <col min="12733" max="12733" width="54.5703125" style="3" hidden="1"/>
    <col min="12734" max="12790" width="9.140625" style="3" hidden="1"/>
    <col min="12791" max="12791" width="16.28515625" style="3" hidden="1"/>
    <col min="12792" max="12792" width="17.5703125" style="3" hidden="1"/>
    <col min="12793" max="12793" width="16" style="3" hidden="1"/>
    <col min="12794" max="12794" width="18.140625" style="3" hidden="1"/>
    <col min="12795" max="12987" width="9.140625" style="3" hidden="1"/>
    <col min="12988" max="12988" width="11" style="3" hidden="1"/>
    <col min="12989" max="12989" width="54.5703125" style="3" hidden="1"/>
    <col min="12990" max="13046" width="9.140625" style="3" hidden="1"/>
    <col min="13047" max="13047" width="16.28515625" style="3" hidden="1"/>
    <col min="13048" max="13048" width="17.5703125" style="3" hidden="1"/>
    <col min="13049" max="13049" width="16" style="3" hidden="1"/>
    <col min="13050" max="13050" width="18.140625" style="3" hidden="1"/>
    <col min="13051" max="13243" width="9.140625" style="3" hidden="1"/>
    <col min="13244" max="13244" width="11" style="3" hidden="1"/>
    <col min="13245" max="13245" width="54.5703125" style="3" hidden="1"/>
    <col min="13246" max="13302" width="9.140625" style="3" hidden="1"/>
    <col min="13303" max="13303" width="16.28515625" style="3" hidden="1"/>
    <col min="13304" max="13304" width="17.5703125" style="3" hidden="1"/>
    <col min="13305" max="13305" width="16" style="3" hidden="1"/>
    <col min="13306" max="13306" width="18.140625" style="3" hidden="1"/>
    <col min="13307" max="13499" width="9.140625" style="3" hidden="1"/>
    <col min="13500" max="13500" width="11" style="3" hidden="1"/>
    <col min="13501" max="13501" width="54.5703125" style="3" hidden="1"/>
    <col min="13502" max="13558" width="9.140625" style="3" hidden="1"/>
    <col min="13559" max="13559" width="16.28515625" style="3" hidden="1"/>
    <col min="13560" max="13560" width="17.5703125" style="3" hidden="1"/>
    <col min="13561" max="13561" width="16" style="3" hidden="1"/>
    <col min="13562" max="13562" width="18.140625" style="3" hidden="1"/>
    <col min="13563" max="13755" width="9.140625" style="3" hidden="1"/>
    <col min="13756" max="13756" width="11" style="3" hidden="1"/>
    <col min="13757" max="13757" width="54.5703125" style="3" hidden="1"/>
    <col min="13758" max="13814" width="9.140625" style="3" hidden="1"/>
    <col min="13815" max="13815" width="16.28515625" style="3" hidden="1"/>
    <col min="13816" max="13816" width="17.5703125" style="3" hidden="1"/>
    <col min="13817" max="13817" width="16" style="3" hidden="1"/>
    <col min="13818" max="13818" width="18.140625" style="3" hidden="1"/>
    <col min="13819" max="14011" width="9.140625" style="3" hidden="1"/>
    <col min="14012" max="14012" width="11" style="3" hidden="1"/>
    <col min="14013" max="14013" width="54.5703125" style="3" hidden="1"/>
    <col min="14014" max="14070" width="9.140625" style="3" hidden="1"/>
    <col min="14071" max="14071" width="16.28515625" style="3" hidden="1"/>
    <col min="14072" max="14072" width="17.5703125" style="3" hidden="1"/>
    <col min="14073" max="14073" width="16" style="3" hidden="1"/>
    <col min="14074" max="14074" width="18.140625" style="3" hidden="1"/>
    <col min="14075" max="14267" width="9.140625" style="3" hidden="1"/>
    <col min="14268" max="14268" width="11" style="3" hidden="1"/>
    <col min="14269" max="14269" width="54.5703125" style="3" hidden="1"/>
    <col min="14270" max="14326" width="9.140625" style="3" hidden="1"/>
    <col min="14327" max="14327" width="16.28515625" style="3" hidden="1"/>
    <col min="14328" max="14328" width="17.5703125" style="3" hidden="1"/>
    <col min="14329" max="14329" width="16" style="3" hidden="1"/>
    <col min="14330" max="14330" width="18.140625" style="3" hidden="1"/>
    <col min="14331" max="14523" width="9.140625" style="3" hidden="1"/>
    <col min="14524" max="14524" width="11" style="3" hidden="1"/>
    <col min="14525" max="14525" width="54.5703125" style="3" hidden="1"/>
    <col min="14526" max="14582" width="9.140625" style="3" hidden="1"/>
    <col min="14583" max="14583" width="16.28515625" style="3" hidden="1"/>
    <col min="14584" max="14584" width="17.5703125" style="3" hidden="1"/>
    <col min="14585" max="14585" width="16" style="3" hidden="1"/>
    <col min="14586" max="14586" width="18.140625" style="3" hidden="1"/>
    <col min="14587" max="14779" width="9.140625" style="3" hidden="1"/>
    <col min="14780" max="14780" width="11" style="3" hidden="1"/>
    <col min="14781" max="14781" width="54.5703125" style="3" hidden="1"/>
    <col min="14782" max="14838" width="9.140625" style="3" hidden="1"/>
    <col min="14839" max="14839" width="16.28515625" style="3" hidden="1"/>
    <col min="14840" max="14840" width="17.5703125" style="3" hidden="1"/>
    <col min="14841" max="14841" width="16" style="3" hidden="1"/>
    <col min="14842" max="14842" width="18.140625" style="3" hidden="1"/>
    <col min="14843" max="15035" width="9.140625" style="3" hidden="1"/>
    <col min="15036" max="15036" width="11" style="3" hidden="1"/>
    <col min="15037" max="15037" width="54.5703125" style="3" hidden="1"/>
    <col min="15038" max="15094" width="9.140625" style="3" hidden="1"/>
    <col min="15095" max="15095" width="16.28515625" style="3" hidden="1"/>
    <col min="15096" max="15096" width="17.5703125" style="3" hidden="1"/>
    <col min="15097" max="15097" width="16" style="3" hidden="1"/>
    <col min="15098" max="15098" width="18.140625" style="3" hidden="1"/>
    <col min="15099" max="15291" width="9.140625" style="3" hidden="1"/>
    <col min="15292" max="15292" width="11" style="3" hidden="1"/>
    <col min="15293" max="15293" width="54.5703125" style="3" hidden="1"/>
    <col min="15294" max="15350" width="9.140625" style="3" hidden="1"/>
    <col min="15351" max="15351" width="16.28515625" style="3" hidden="1"/>
    <col min="15352" max="15352" width="17.5703125" style="3" hidden="1"/>
    <col min="15353" max="15353" width="16" style="3" hidden="1"/>
    <col min="15354" max="15354" width="18.140625" style="3" hidden="1"/>
    <col min="15355" max="15547" width="9.140625" style="3" hidden="1"/>
    <col min="15548" max="15548" width="11" style="3" hidden="1"/>
    <col min="15549" max="15549" width="54.5703125" style="3" hidden="1"/>
    <col min="15550" max="15606" width="9.140625" style="3" hidden="1"/>
    <col min="15607" max="15607" width="16.28515625" style="3" hidden="1"/>
    <col min="15608" max="15608" width="17.5703125" style="3" hidden="1"/>
    <col min="15609" max="15609" width="16" style="3" hidden="1"/>
    <col min="15610" max="15610" width="18.140625" style="3" hidden="1"/>
    <col min="15611" max="15803" width="9.140625" style="3" hidden="1"/>
    <col min="15804" max="15804" width="11" style="3" hidden="1"/>
    <col min="15805" max="15805" width="54.5703125" style="3" hidden="1"/>
    <col min="15806" max="15862" width="9.140625" style="3" hidden="1"/>
    <col min="15863" max="15863" width="16.28515625" style="3" hidden="1"/>
    <col min="15864" max="15864" width="17.5703125" style="3" hidden="1"/>
    <col min="15865" max="15865" width="16" style="3" hidden="1"/>
    <col min="15866" max="15866" width="18.140625" style="3" hidden="1"/>
    <col min="15867" max="16059" width="9.140625" style="3" hidden="1"/>
    <col min="16060" max="16060" width="11" style="3" hidden="1"/>
    <col min="16061" max="16061" width="54.5703125" style="3" hidden="1"/>
    <col min="16062" max="16118" width="9.140625" style="3" hidden="1"/>
    <col min="16119" max="16119" width="16.28515625" style="3" hidden="1"/>
    <col min="16120" max="16120" width="17.5703125" style="3" hidden="1"/>
    <col min="16121" max="16121" width="16" style="3" hidden="1"/>
    <col min="16122" max="16122" width="18.140625" style="3" hidden="1"/>
    <col min="16123" max="16384" width="9.140625" style="3" hidden="1"/>
  </cols>
  <sheetData>
    <row r="1" spans="1:6">
      <c r="B1" s="2" t="s">
        <v>426</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ht="15.75" customHeight="1">
      <c r="A3" s="7" t="s">
        <v>2</v>
      </c>
      <c r="B3" s="7" t="s">
        <v>3</v>
      </c>
      <c r="C3" s="10"/>
      <c r="D3" s="9">
        <f>'Allocation Worksheet'!$D$22</f>
        <v>640955</v>
      </c>
      <c r="E3" s="11"/>
      <c r="F3" s="11"/>
    </row>
    <row r="4" spans="1:6">
      <c r="A4" s="8">
        <v>0</v>
      </c>
      <c r="B4" s="11" t="s">
        <v>4</v>
      </c>
      <c r="C4" s="10">
        <v>1.3240000000000001E-3</v>
      </c>
      <c r="D4" s="12">
        <f>ROUND(D$3*C4,0)</f>
        <v>849</v>
      </c>
      <c r="E4" s="13">
        <f>ROUND(D4/2,0)</f>
        <v>425</v>
      </c>
      <c r="F4" s="12">
        <f>D4-E4</f>
        <v>424</v>
      </c>
    </row>
    <row r="5" spans="1:6">
      <c r="A5" s="8">
        <v>1</v>
      </c>
      <c r="B5" s="11" t="s">
        <v>427</v>
      </c>
      <c r="C5" s="10">
        <v>0.123831</v>
      </c>
      <c r="D5" s="9">
        <f>ROUND(D$3*C5,0)</f>
        <v>79370</v>
      </c>
      <c r="E5" s="11">
        <f>ROUND(D5/2,0)</f>
        <v>39685</v>
      </c>
      <c r="F5" s="9">
        <f>D5-E5</f>
        <v>39685</v>
      </c>
    </row>
    <row r="6" spans="1:6">
      <c r="A6" s="8"/>
      <c r="B6" s="11" t="s">
        <v>6</v>
      </c>
      <c r="C6" s="11"/>
      <c r="D6" s="14">
        <v>0.18373200000000001</v>
      </c>
      <c r="E6" s="11"/>
      <c r="F6" s="11"/>
    </row>
    <row r="7" spans="1:6">
      <c r="A7" s="8"/>
      <c r="B7" s="11" t="s">
        <v>7</v>
      </c>
      <c r="C7" s="11"/>
      <c r="D7" s="225">
        <f>ROUND(D5*D6,0)</f>
        <v>14583</v>
      </c>
      <c r="E7" s="226">
        <f>ROUND(D7/2,0)</f>
        <v>7292</v>
      </c>
      <c r="F7" s="225">
        <f>D7-E7</f>
        <v>7291</v>
      </c>
    </row>
    <row r="8" spans="1:6">
      <c r="A8" s="8"/>
      <c r="B8" s="11" t="s">
        <v>8</v>
      </c>
      <c r="C8" s="11"/>
      <c r="D8" s="12">
        <f>+D5-D7</f>
        <v>64787</v>
      </c>
      <c r="E8" s="13">
        <f>ROUND(D8/2,0)</f>
        <v>32394</v>
      </c>
      <c r="F8" s="12">
        <f>D8-E8</f>
        <v>32393</v>
      </c>
    </row>
    <row r="9" spans="1:6">
      <c r="A9" s="8">
        <v>2</v>
      </c>
      <c r="B9" s="11" t="s">
        <v>428</v>
      </c>
      <c r="C9" s="11"/>
      <c r="D9" s="9"/>
      <c r="E9" s="11"/>
      <c r="F9" s="11"/>
    </row>
    <row r="10" spans="1:6">
      <c r="A10" s="8"/>
      <c r="B10" s="11" t="s">
        <v>10</v>
      </c>
      <c r="C10" s="10">
        <v>8.7699999999999996E-4</v>
      </c>
      <c r="D10" s="12">
        <f>ROUND(D$3*C10,0)</f>
        <v>562</v>
      </c>
      <c r="E10" s="13">
        <f>ROUND(D10/2,0)</f>
        <v>281</v>
      </c>
      <c r="F10" s="12">
        <f>D10-E10</f>
        <v>281</v>
      </c>
    </row>
    <row r="11" spans="1:6">
      <c r="A11" s="8"/>
      <c r="B11" s="11" t="s">
        <v>11</v>
      </c>
      <c r="C11" s="10">
        <v>9.3999999999999994E-5</v>
      </c>
      <c r="D11" s="12">
        <f>ROUND(D$3*C11,0)</f>
        <v>60</v>
      </c>
      <c r="E11" s="13">
        <f>ROUND(D11/2,0)</f>
        <v>30</v>
      </c>
      <c r="F11" s="12">
        <f>D11-E11</f>
        <v>30</v>
      </c>
    </row>
    <row r="12" spans="1:6">
      <c r="A12" s="8">
        <v>2</v>
      </c>
      <c r="B12" s="11" t="s">
        <v>200</v>
      </c>
      <c r="C12" s="11"/>
      <c r="D12" s="9"/>
      <c r="E12" s="11"/>
      <c r="F12" s="11"/>
    </row>
    <row r="13" spans="1:6">
      <c r="A13" s="8"/>
      <c r="B13" s="11" t="s">
        <v>10</v>
      </c>
      <c r="C13" s="10">
        <v>3.4699999999999998E-4</v>
      </c>
      <c r="D13" s="12">
        <f>ROUND(D$3*C13,0)</f>
        <v>222</v>
      </c>
      <c r="E13" s="13">
        <f>ROUND(D13/2,0)</f>
        <v>111</v>
      </c>
      <c r="F13" s="12">
        <f>D13-E13</f>
        <v>111</v>
      </c>
    </row>
    <row r="14" spans="1:6">
      <c r="A14" s="8"/>
      <c r="B14" s="11" t="s">
        <v>11</v>
      </c>
      <c r="C14" s="10">
        <v>2.6200000000000003E-4</v>
      </c>
      <c r="D14" s="12">
        <f>ROUND(D$3*C14,0)</f>
        <v>168</v>
      </c>
      <c r="E14" s="13">
        <f>ROUND(D14/2,0)</f>
        <v>84</v>
      </c>
      <c r="F14" s="12">
        <f>D14-E14</f>
        <v>84</v>
      </c>
    </row>
    <row r="15" spans="1:6">
      <c r="A15" s="8">
        <v>2</v>
      </c>
      <c r="B15" s="11" t="s">
        <v>249</v>
      </c>
      <c r="C15" s="11"/>
      <c r="D15" s="9"/>
      <c r="E15" s="11"/>
      <c r="F15" s="11"/>
    </row>
    <row r="16" spans="1:6">
      <c r="A16" s="8"/>
      <c r="B16" s="11" t="s">
        <v>10</v>
      </c>
      <c r="C16" s="10">
        <v>1.3760000000000001E-3</v>
      </c>
      <c r="D16" s="12">
        <f>ROUND(D$3*C16,0)</f>
        <v>882</v>
      </c>
      <c r="E16" s="13">
        <f>ROUND(D16/2,0)</f>
        <v>441</v>
      </c>
      <c r="F16" s="12">
        <f>D16-E16</f>
        <v>441</v>
      </c>
    </row>
    <row r="17" spans="1:6">
      <c r="A17" s="8"/>
      <c r="B17" s="11" t="s">
        <v>11</v>
      </c>
      <c r="C17" s="10">
        <v>1.3100000000000001E-4</v>
      </c>
      <c r="D17" s="12">
        <f>ROUND(D$3*C17,0)</f>
        <v>84</v>
      </c>
      <c r="E17" s="13">
        <f>ROUND(D17/2,0)</f>
        <v>42</v>
      </c>
      <c r="F17" s="12">
        <f>D17-E17</f>
        <v>42</v>
      </c>
    </row>
    <row r="18" spans="1:6">
      <c r="A18" s="8">
        <v>2</v>
      </c>
      <c r="B18" s="11" t="s">
        <v>429</v>
      </c>
      <c r="C18" s="11"/>
      <c r="D18" s="9"/>
      <c r="E18" s="11"/>
      <c r="F18" s="11"/>
    </row>
    <row r="19" spans="1:6">
      <c r="A19" s="8"/>
      <c r="B19" s="11" t="s">
        <v>10</v>
      </c>
      <c r="C19" s="10">
        <v>2.5599999999999999E-4</v>
      </c>
      <c r="D19" s="12">
        <f>ROUND(D$3*C19,0)</f>
        <v>164</v>
      </c>
      <c r="E19" s="13">
        <f>ROUND(D19/2,0)</f>
        <v>82</v>
      </c>
      <c r="F19" s="12">
        <f>D19-E19</f>
        <v>82</v>
      </c>
    </row>
    <row r="20" spans="1:6">
      <c r="A20" s="8"/>
      <c r="B20" s="11" t="s">
        <v>11</v>
      </c>
      <c r="C20" s="10">
        <v>0</v>
      </c>
      <c r="D20" s="12">
        <f>ROUND(D$3*C20,0)</f>
        <v>0</v>
      </c>
      <c r="E20" s="13">
        <f>ROUND(D20/2,0)</f>
        <v>0</v>
      </c>
      <c r="F20" s="12">
        <f>D20-E20</f>
        <v>0</v>
      </c>
    </row>
    <row r="21" spans="1:6">
      <c r="A21" s="8">
        <v>2</v>
      </c>
      <c r="B21" s="11" t="s">
        <v>430</v>
      </c>
      <c r="C21" s="11"/>
      <c r="D21" s="9"/>
      <c r="E21" s="11"/>
      <c r="F21" s="11"/>
    </row>
    <row r="22" spans="1:6">
      <c r="A22" s="8"/>
      <c r="B22" s="11" t="s">
        <v>10</v>
      </c>
      <c r="C22" s="10">
        <v>7.1400000000000001E-4</v>
      </c>
      <c r="D22" s="12">
        <f>ROUND(D$3*C22,0)</f>
        <v>458</v>
      </c>
      <c r="E22" s="13">
        <f>ROUND(D22/2,0)</f>
        <v>229</v>
      </c>
      <c r="F22" s="12">
        <f>D22-E22</f>
        <v>229</v>
      </c>
    </row>
    <row r="23" spans="1:6">
      <c r="A23" s="8"/>
      <c r="B23" s="11" t="s">
        <v>11</v>
      </c>
      <c r="C23" s="10">
        <v>2.0599999999999999E-4</v>
      </c>
      <c r="D23" s="12">
        <f>ROUND(D$3*C23,0)</f>
        <v>132</v>
      </c>
      <c r="E23" s="13">
        <f>ROUND(D23/2,0)</f>
        <v>66</v>
      </c>
      <c r="F23" s="12">
        <f>D23-E23</f>
        <v>66</v>
      </c>
    </row>
    <row r="24" spans="1:6">
      <c r="A24" s="8">
        <v>2</v>
      </c>
      <c r="B24" s="11" t="s">
        <v>431</v>
      </c>
      <c r="C24" s="11"/>
      <c r="D24" s="9"/>
      <c r="E24" s="11"/>
      <c r="F24" s="11"/>
    </row>
    <row r="25" spans="1:6">
      <c r="A25" s="8"/>
      <c r="B25" s="11" t="s">
        <v>10</v>
      </c>
      <c r="C25" s="10">
        <v>1.8799999999999999E-4</v>
      </c>
      <c r="D25" s="12">
        <f>ROUND(D$3*C25,0)</f>
        <v>120</v>
      </c>
      <c r="E25" s="13">
        <f>ROUND(D25/2,0)</f>
        <v>60</v>
      </c>
      <c r="F25" s="12">
        <f>D25-E25</f>
        <v>60</v>
      </c>
    </row>
    <row r="26" spans="1:6">
      <c r="A26" s="8"/>
      <c r="B26" s="11" t="s">
        <v>11</v>
      </c>
      <c r="C26" s="10">
        <v>2.2000000000000001E-4</v>
      </c>
      <c r="D26" s="12">
        <f>ROUND(D$3*C26,0)</f>
        <v>141</v>
      </c>
      <c r="E26" s="13">
        <f>ROUND(D26/2,0)</f>
        <v>71</v>
      </c>
      <c r="F26" s="12">
        <f>D26-E26</f>
        <v>70</v>
      </c>
    </row>
    <row r="27" spans="1:6">
      <c r="A27" s="8">
        <v>2</v>
      </c>
      <c r="B27" s="11" t="s">
        <v>432</v>
      </c>
      <c r="C27" s="11"/>
      <c r="D27" s="9"/>
      <c r="E27" s="11"/>
      <c r="F27" s="11"/>
    </row>
    <row r="28" spans="1:6">
      <c r="A28" s="8"/>
      <c r="B28" s="11" t="s">
        <v>10</v>
      </c>
      <c r="C28" s="10">
        <v>4.55E-4</v>
      </c>
      <c r="D28" s="12">
        <f>ROUND(D$3*C28,0)</f>
        <v>292</v>
      </c>
      <c r="E28" s="13">
        <f>ROUND(D28/2,0)</f>
        <v>146</v>
      </c>
      <c r="F28" s="12">
        <f>D28-E28</f>
        <v>146</v>
      </c>
    </row>
    <row r="29" spans="1:6">
      <c r="A29" s="8"/>
      <c r="B29" s="11" t="s">
        <v>11</v>
      </c>
      <c r="C29" s="10">
        <v>2.5700000000000001E-4</v>
      </c>
      <c r="D29" s="12">
        <f>ROUND(D$3*C29,0)</f>
        <v>165</v>
      </c>
      <c r="E29" s="13">
        <f>ROUND(D29/2,0)</f>
        <v>83</v>
      </c>
      <c r="F29" s="12">
        <f>D29-E29</f>
        <v>82</v>
      </c>
    </row>
    <row r="30" spans="1:6">
      <c r="A30" s="8">
        <v>2</v>
      </c>
      <c r="B30" s="11" t="s">
        <v>49</v>
      </c>
      <c r="C30" s="11"/>
      <c r="D30" s="9"/>
      <c r="E30" s="11"/>
      <c r="F30" s="11"/>
    </row>
    <row r="31" spans="1:6">
      <c r="A31" s="8"/>
      <c r="B31" s="11" t="s">
        <v>10</v>
      </c>
      <c r="C31" s="10">
        <v>1.194E-3</v>
      </c>
      <c r="D31" s="12">
        <f>ROUND(D$3*C31,0)</f>
        <v>765</v>
      </c>
      <c r="E31" s="13">
        <f>ROUND(D31/2,0)</f>
        <v>383</v>
      </c>
      <c r="F31" s="12">
        <f>D31-E31</f>
        <v>382</v>
      </c>
    </row>
    <row r="32" spans="1:6">
      <c r="A32" s="8"/>
      <c r="B32" s="11" t="s">
        <v>11</v>
      </c>
      <c r="C32" s="10">
        <v>8.25E-4</v>
      </c>
      <c r="D32" s="12">
        <f>ROUND(D$3*C32,0)</f>
        <v>529</v>
      </c>
      <c r="E32" s="13">
        <f>ROUND(D32/2,0)</f>
        <v>265</v>
      </c>
      <c r="F32" s="12">
        <f>D32-E32</f>
        <v>264</v>
      </c>
    </row>
    <row r="33" spans="1:6">
      <c r="A33" s="8">
        <v>2</v>
      </c>
      <c r="B33" s="11" t="s">
        <v>14</v>
      </c>
      <c r="C33" s="11"/>
      <c r="D33" s="9"/>
      <c r="E33" s="11"/>
      <c r="F33" s="11"/>
    </row>
    <row r="34" spans="1:6">
      <c r="A34" s="8"/>
      <c r="B34" s="11" t="s">
        <v>10</v>
      </c>
      <c r="C34" s="10">
        <v>1.3799999999999999E-4</v>
      </c>
      <c r="D34" s="12">
        <f>ROUND(D$3*C34,0)</f>
        <v>88</v>
      </c>
      <c r="E34" s="13">
        <f>ROUND(D34/2,0)</f>
        <v>44</v>
      </c>
      <c r="F34" s="12">
        <f>D34-E34</f>
        <v>44</v>
      </c>
    </row>
    <row r="35" spans="1:6">
      <c r="A35" s="8"/>
      <c r="B35" s="11" t="s">
        <v>11</v>
      </c>
      <c r="C35" s="10">
        <v>7.7000000000000001E-5</v>
      </c>
      <c r="D35" s="12">
        <f>ROUND(D$3*C35,0)</f>
        <v>49</v>
      </c>
      <c r="E35" s="13">
        <f>ROUND(D35/2,0)</f>
        <v>25</v>
      </c>
      <c r="F35" s="12">
        <f>D35-E35</f>
        <v>24</v>
      </c>
    </row>
    <row r="36" spans="1:6">
      <c r="A36" s="8">
        <v>2</v>
      </c>
      <c r="B36" s="11" t="s">
        <v>52</v>
      </c>
      <c r="C36" s="11"/>
      <c r="D36" s="9"/>
      <c r="E36" s="11"/>
      <c r="F36" s="11"/>
    </row>
    <row r="37" spans="1:6">
      <c r="A37" s="8"/>
      <c r="B37" s="11" t="s">
        <v>10</v>
      </c>
      <c r="C37" s="10">
        <v>8.3299999999999997E-4</v>
      </c>
      <c r="D37" s="12">
        <f>ROUND(D$3*C37,0)</f>
        <v>534</v>
      </c>
      <c r="E37" s="13">
        <f>ROUND(D37/2,0)</f>
        <v>267</v>
      </c>
      <c r="F37" s="12">
        <f>D37-E37</f>
        <v>267</v>
      </c>
    </row>
    <row r="38" spans="1:6">
      <c r="A38" s="8"/>
      <c r="B38" s="11" t="s">
        <v>11</v>
      </c>
      <c r="C38" s="10">
        <v>5.7700000000000004E-4</v>
      </c>
      <c r="D38" s="12">
        <f>ROUND(D$3*C38,0)</f>
        <v>370</v>
      </c>
      <c r="E38" s="13">
        <f>ROUND(D38/2,0)</f>
        <v>185</v>
      </c>
      <c r="F38" s="12">
        <f>D38-E38</f>
        <v>185</v>
      </c>
    </row>
    <row r="39" spans="1:6">
      <c r="A39" s="8">
        <v>2</v>
      </c>
      <c r="B39" s="11" t="s">
        <v>53</v>
      </c>
      <c r="C39" s="11"/>
      <c r="D39" s="9"/>
      <c r="E39" s="11"/>
      <c r="F39" s="11"/>
    </row>
    <row r="40" spans="1:6">
      <c r="A40" s="8"/>
      <c r="B40" s="11" t="s">
        <v>10</v>
      </c>
      <c r="C40" s="10">
        <v>2.2599999999999999E-4</v>
      </c>
      <c r="D40" s="12">
        <f>ROUND(D$3*C40,0)</f>
        <v>145</v>
      </c>
      <c r="E40" s="13">
        <f>ROUND(D40/2,0)</f>
        <v>73</v>
      </c>
      <c r="F40" s="12">
        <f>D40-E40</f>
        <v>72</v>
      </c>
    </row>
    <row r="41" spans="1:6">
      <c r="A41" s="8"/>
      <c r="B41" s="11" t="s">
        <v>11</v>
      </c>
      <c r="C41" s="10">
        <v>1.46E-4</v>
      </c>
      <c r="D41" s="12">
        <f>ROUND(D$3*C41,0)</f>
        <v>94</v>
      </c>
      <c r="E41" s="13">
        <f>ROUND(D41/2,0)</f>
        <v>47</v>
      </c>
      <c r="F41" s="12">
        <f>D41-E41</f>
        <v>47</v>
      </c>
    </row>
    <row r="42" spans="1:6">
      <c r="A42" s="8">
        <v>2</v>
      </c>
      <c r="B42" s="11" t="s">
        <v>292</v>
      </c>
      <c r="C42" s="11"/>
      <c r="D42" s="9"/>
      <c r="E42" s="11"/>
      <c r="F42" s="11"/>
    </row>
    <row r="43" spans="1:6">
      <c r="A43" s="8"/>
      <c r="B43" s="11" t="s">
        <v>10</v>
      </c>
      <c r="C43" s="10">
        <v>1.0510000000000001E-3</v>
      </c>
      <c r="D43" s="12">
        <f t="shared" ref="D43:D50" si="0">ROUND(D$3*C43,0)</f>
        <v>674</v>
      </c>
      <c r="E43" s="13">
        <f t="shared" ref="E43:E50" si="1">ROUND(D43/2,0)</f>
        <v>337</v>
      </c>
      <c r="F43" s="12">
        <f t="shared" ref="F43:F50" si="2">D43-E43</f>
        <v>337</v>
      </c>
    </row>
    <row r="44" spans="1:6">
      <c r="A44" s="8"/>
      <c r="B44" s="11" t="s">
        <v>11</v>
      </c>
      <c r="C44" s="10">
        <v>8.5000000000000006E-5</v>
      </c>
      <c r="D44" s="12">
        <f t="shared" si="0"/>
        <v>54</v>
      </c>
      <c r="E44" s="13">
        <f t="shared" si="1"/>
        <v>27</v>
      </c>
      <c r="F44" s="12">
        <f t="shared" si="2"/>
        <v>27</v>
      </c>
    </row>
    <row r="45" spans="1:6">
      <c r="A45" s="8">
        <v>3</v>
      </c>
      <c r="B45" s="11" t="s">
        <v>433</v>
      </c>
      <c r="C45" s="10">
        <v>5.6999999999999998E-4</v>
      </c>
      <c r="D45" s="12">
        <f t="shared" si="0"/>
        <v>365</v>
      </c>
      <c r="E45" s="13">
        <f t="shared" si="1"/>
        <v>183</v>
      </c>
      <c r="F45" s="12">
        <f t="shared" si="2"/>
        <v>182</v>
      </c>
    </row>
    <row r="46" spans="1:6">
      <c r="A46" s="8">
        <v>3</v>
      </c>
      <c r="B46" s="11" t="s">
        <v>434</v>
      </c>
      <c r="C46" s="10">
        <v>6.3699999999999998E-3</v>
      </c>
      <c r="D46" s="12">
        <f t="shared" si="0"/>
        <v>4083</v>
      </c>
      <c r="E46" s="13">
        <f t="shared" si="1"/>
        <v>2042</v>
      </c>
      <c r="F46" s="12">
        <f t="shared" si="2"/>
        <v>2041</v>
      </c>
    </row>
    <row r="47" spans="1:6">
      <c r="A47" s="8">
        <v>3</v>
      </c>
      <c r="B47" s="11" t="s">
        <v>435</v>
      </c>
      <c r="C47" s="10">
        <v>5.1440000000000001E-3</v>
      </c>
      <c r="D47" s="12">
        <f t="shared" si="0"/>
        <v>3297</v>
      </c>
      <c r="E47" s="13">
        <f t="shared" si="1"/>
        <v>1649</v>
      </c>
      <c r="F47" s="12">
        <f t="shared" si="2"/>
        <v>1648</v>
      </c>
    </row>
    <row r="48" spans="1:6">
      <c r="A48" s="8">
        <v>3</v>
      </c>
      <c r="B48" s="11" t="s">
        <v>436</v>
      </c>
      <c r="C48" s="10">
        <v>5.4966000000000001E-2</v>
      </c>
      <c r="D48" s="12">
        <f t="shared" si="0"/>
        <v>35231</v>
      </c>
      <c r="E48" s="13">
        <f t="shared" si="1"/>
        <v>17616</v>
      </c>
      <c r="F48" s="12">
        <f t="shared" si="2"/>
        <v>17615</v>
      </c>
    </row>
    <row r="49" spans="1:6">
      <c r="A49" s="8">
        <v>3</v>
      </c>
      <c r="B49" s="11" t="s">
        <v>437</v>
      </c>
      <c r="C49" s="10">
        <v>6.9264999999999993E-2</v>
      </c>
      <c r="D49" s="12">
        <f t="shared" si="0"/>
        <v>44396</v>
      </c>
      <c r="E49" s="13">
        <f t="shared" si="1"/>
        <v>22198</v>
      </c>
      <c r="F49" s="12">
        <f t="shared" si="2"/>
        <v>22198</v>
      </c>
    </row>
    <row r="50" spans="1:6">
      <c r="A50" s="8">
        <v>4</v>
      </c>
      <c r="B50" s="11" t="s">
        <v>438</v>
      </c>
      <c r="C50" s="10">
        <v>0.26164399999999999</v>
      </c>
      <c r="D50" s="9">
        <f t="shared" si="0"/>
        <v>167702</v>
      </c>
      <c r="E50" s="11">
        <f t="shared" si="1"/>
        <v>83851</v>
      </c>
      <c r="F50" s="9">
        <f t="shared" si="2"/>
        <v>83851</v>
      </c>
    </row>
    <row r="51" spans="1:6">
      <c r="A51" s="8"/>
      <c r="B51" s="11" t="s">
        <v>28</v>
      </c>
      <c r="C51" s="11"/>
      <c r="D51" s="14">
        <v>0.42733900000000002</v>
      </c>
      <c r="E51" s="11"/>
      <c r="F51" s="11"/>
    </row>
    <row r="52" spans="1:6">
      <c r="A52" s="8"/>
      <c r="B52" s="11" t="s">
        <v>29</v>
      </c>
      <c r="C52" s="11"/>
      <c r="D52" s="225">
        <f>ROUND(D50*D51,0)</f>
        <v>71666</v>
      </c>
      <c r="E52" s="226">
        <f>ROUND(D52/2,0)</f>
        <v>35833</v>
      </c>
      <c r="F52" s="225">
        <f>D52-E52</f>
        <v>35833</v>
      </c>
    </row>
    <row r="53" spans="1:6">
      <c r="A53" s="8"/>
      <c r="B53" s="11" t="s">
        <v>30</v>
      </c>
      <c r="C53" s="11"/>
      <c r="D53" s="12">
        <f>+D50-D52</f>
        <v>96036</v>
      </c>
      <c r="E53" s="13">
        <f>ROUND(D53/2,0)</f>
        <v>48018</v>
      </c>
      <c r="F53" s="12">
        <f>D53-E53</f>
        <v>48018</v>
      </c>
    </row>
    <row r="54" spans="1:6">
      <c r="A54" s="8">
        <v>4</v>
      </c>
      <c r="B54" s="11" t="s">
        <v>439</v>
      </c>
      <c r="C54" s="10">
        <v>9.3826999999999994E-2</v>
      </c>
      <c r="D54" s="9">
        <f>ROUND(D$3*C54,0)</f>
        <v>60139</v>
      </c>
      <c r="E54" s="11">
        <f>ROUND(D54/2,0)</f>
        <v>30070</v>
      </c>
      <c r="F54" s="9">
        <f>D54-E54</f>
        <v>30069</v>
      </c>
    </row>
    <row r="55" spans="1:6">
      <c r="A55" s="8"/>
      <c r="B55" s="11" t="s">
        <v>28</v>
      </c>
      <c r="C55" s="11"/>
      <c r="D55" s="14">
        <v>0.45052399999999998</v>
      </c>
      <c r="E55" s="11"/>
      <c r="F55" s="11"/>
    </row>
    <row r="56" spans="1:6">
      <c r="A56" s="8"/>
      <c r="B56" s="11" t="s">
        <v>29</v>
      </c>
      <c r="C56" s="11"/>
      <c r="D56" s="225">
        <f>ROUND(D54*D55,0)</f>
        <v>27094</v>
      </c>
      <c r="E56" s="226">
        <f>ROUND(D56/2,0)</f>
        <v>13547</v>
      </c>
      <c r="F56" s="225">
        <f>D56-E56</f>
        <v>13547</v>
      </c>
    </row>
    <row r="57" spans="1:6">
      <c r="A57" s="8"/>
      <c r="B57" s="11" t="s">
        <v>30</v>
      </c>
      <c r="C57" s="11"/>
      <c r="D57" s="12">
        <f>+D54-D56</f>
        <v>33045</v>
      </c>
      <c r="E57" s="13">
        <f>ROUND(D57/2,0)</f>
        <v>16523</v>
      </c>
      <c r="F57" s="12">
        <f>D57-E57</f>
        <v>16522</v>
      </c>
    </row>
    <row r="58" spans="1:6">
      <c r="A58" s="8">
        <v>4</v>
      </c>
      <c r="B58" s="11" t="s">
        <v>440</v>
      </c>
      <c r="C58" s="10">
        <v>0.122852</v>
      </c>
      <c r="D58" s="9">
        <f>ROUND(D$3*C58,0)</f>
        <v>78743</v>
      </c>
      <c r="E58" s="11">
        <f>ROUND(D58/2,0)</f>
        <v>39372</v>
      </c>
      <c r="F58" s="9">
        <f>D58-E58</f>
        <v>39371</v>
      </c>
    </row>
    <row r="59" spans="1:6">
      <c r="A59" s="8"/>
      <c r="B59" s="11" t="s">
        <v>28</v>
      </c>
      <c r="C59" s="11"/>
      <c r="D59" s="14">
        <v>0.41065099999999999</v>
      </c>
      <c r="E59" s="11"/>
      <c r="F59" s="11"/>
    </row>
    <row r="60" spans="1:6">
      <c r="A60" s="8"/>
      <c r="B60" s="11" t="s">
        <v>29</v>
      </c>
      <c r="C60" s="11"/>
      <c r="D60" s="225">
        <f>ROUND(D58*D59,0)</f>
        <v>32336</v>
      </c>
      <c r="E60" s="226">
        <f>ROUND(D60/2,0)</f>
        <v>16168</v>
      </c>
      <c r="F60" s="225">
        <f>D60-E60</f>
        <v>16168</v>
      </c>
    </row>
    <row r="61" spans="1:6">
      <c r="A61" s="8"/>
      <c r="B61" s="11" t="s">
        <v>30</v>
      </c>
      <c r="C61" s="11"/>
      <c r="D61" s="12">
        <f>+D58-D60</f>
        <v>46407</v>
      </c>
      <c r="E61" s="13">
        <f>ROUND(D61/2,0)</f>
        <v>23204</v>
      </c>
      <c r="F61" s="12">
        <f>D61-E61</f>
        <v>23203</v>
      </c>
    </row>
    <row r="62" spans="1:6">
      <c r="A62" s="8">
        <v>4</v>
      </c>
      <c r="B62" s="11" t="s">
        <v>441</v>
      </c>
      <c r="C62" s="10">
        <v>0.22958200000000001</v>
      </c>
      <c r="D62" s="9">
        <f>ROUND(D$3*C62,0)</f>
        <v>147152</v>
      </c>
      <c r="E62" s="11">
        <f>ROUND(D62/2,0)</f>
        <v>73576</v>
      </c>
      <c r="F62" s="9">
        <f>D62-E62</f>
        <v>73576</v>
      </c>
    </row>
    <row r="63" spans="1:6">
      <c r="A63" s="8"/>
      <c r="B63" s="11" t="s">
        <v>28</v>
      </c>
      <c r="C63" s="11"/>
      <c r="D63" s="14">
        <v>0.389594</v>
      </c>
      <c r="E63" s="11"/>
      <c r="F63" s="11"/>
    </row>
    <row r="64" spans="1:6">
      <c r="A64" s="8"/>
      <c r="B64" s="11" t="s">
        <v>29</v>
      </c>
      <c r="C64" s="11"/>
      <c r="D64" s="225">
        <f>ROUND(D62*D63,0)</f>
        <v>57330</v>
      </c>
      <c r="E64" s="226">
        <f t="shared" ref="E64:E71" si="3">ROUND(D64/2,0)</f>
        <v>28665</v>
      </c>
      <c r="F64" s="225">
        <f t="shared" ref="F64:F71" si="4">D64-E64</f>
        <v>28665</v>
      </c>
    </row>
    <row r="65" spans="1:8">
      <c r="A65" s="8"/>
      <c r="B65" s="11" t="s">
        <v>30</v>
      </c>
      <c r="C65" s="11"/>
      <c r="D65" s="12">
        <f>+D62-D64</f>
        <v>89822</v>
      </c>
      <c r="E65" s="13">
        <f t="shared" si="3"/>
        <v>44911</v>
      </c>
      <c r="F65" s="12">
        <f t="shared" si="4"/>
        <v>44911</v>
      </c>
    </row>
    <row r="66" spans="1:8">
      <c r="A66" s="8">
        <v>5</v>
      </c>
      <c r="B66" s="11" t="s">
        <v>442</v>
      </c>
      <c r="C66" s="10">
        <v>4.9909999999999998E-3</v>
      </c>
      <c r="D66" s="12">
        <f>ROUND(D$3*C66,0)</f>
        <v>3199</v>
      </c>
      <c r="E66" s="13">
        <f t="shared" si="3"/>
        <v>1600</v>
      </c>
      <c r="F66" s="12">
        <f t="shared" si="4"/>
        <v>1599</v>
      </c>
    </row>
    <row r="67" spans="1:8">
      <c r="A67" s="8">
        <v>5</v>
      </c>
      <c r="B67" s="11" t="s">
        <v>443</v>
      </c>
      <c r="C67" s="10">
        <v>5.4840000000000002E-3</v>
      </c>
      <c r="D67" s="12">
        <f>ROUND(D$3*C67,0)</f>
        <v>3515</v>
      </c>
      <c r="E67" s="13">
        <f t="shared" si="3"/>
        <v>1758</v>
      </c>
      <c r="F67" s="12">
        <f t="shared" si="4"/>
        <v>1757</v>
      </c>
    </row>
    <row r="68" spans="1:8">
      <c r="A68" s="8">
        <v>5</v>
      </c>
      <c r="B68" s="11" t="s">
        <v>444</v>
      </c>
      <c r="C68" s="10">
        <v>4.5459999999999997E-3</v>
      </c>
      <c r="D68" s="12">
        <f>ROUND(D$3*C68,0)</f>
        <v>2914</v>
      </c>
      <c r="E68" s="13">
        <f t="shared" si="3"/>
        <v>1457</v>
      </c>
      <c r="F68" s="12">
        <f t="shared" si="4"/>
        <v>1457</v>
      </c>
    </row>
    <row r="69" spans="1:8">
      <c r="A69" s="8">
        <v>6</v>
      </c>
      <c r="B69" s="11" t="s">
        <v>445</v>
      </c>
      <c r="C69" s="10">
        <v>3.7239999999999999E-3</v>
      </c>
      <c r="D69" s="12">
        <f>ROUND(D$3*C69,0)</f>
        <v>2387</v>
      </c>
      <c r="E69" s="13">
        <f t="shared" si="3"/>
        <v>1194</v>
      </c>
      <c r="F69" s="12">
        <f t="shared" si="4"/>
        <v>1193</v>
      </c>
    </row>
    <row r="70" spans="1:8">
      <c r="A70" s="8">
        <v>6</v>
      </c>
      <c r="B70" s="11" t="s">
        <v>446</v>
      </c>
      <c r="C70" s="10">
        <v>0</v>
      </c>
      <c r="D70" s="12">
        <f>ROUND(D$3*C70,0)</f>
        <v>0</v>
      </c>
      <c r="E70" s="13">
        <f t="shared" si="3"/>
        <v>0</v>
      </c>
      <c r="F70" s="12">
        <f t="shared" si="4"/>
        <v>0</v>
      </c>
    </row>
    <row r="71" spans="1:8">
      <c r="A71" s="8" t="s">
        <v>590</v>
      </c>
      <c r="B71" s="11" t="s">
        <v>447</v>
      </c>
      <c r="C71" s="10">
        <v>1.3450000000001516E-3</v>
      </c>
      <c r="D71" s="12">
        <f>+D3-SUM(D4:D5)-SUM(D10:D50)-D54-D58-D62-SUM(D66:D70)</f>
        <v>861</v>
      </c>
      <c r="E71" s="13">
        <f t="shared" si="3"/>
        <v>431</v>
      </c>
      <c r="F71" s="12">
        <f t="shared" si="4"/>
        <v>430</v>
      </c>
    </row>
    <row r="72" spans="1:8">
      <c r="A72" s="8"/>
      <c r="B72" s="28" t="s">
        <v>288</v>
      </c>
      <c r="C72" s="10">
        <v>1</v>
      </c>
      <c r="D72" s="12">
        <f>+D4+SUM(D7:D49)+SUM(D52:D53)+SUM(D56:D57)+SUM(D60:D61)+SUM(D64:D71)</f>
        <v>640955</v>
      </c>
      <c r="E72" s="12">
        <f>+E4+SUM(E7:E49)+SUM(E52:E53)+SUM(E56:E57)+SUM(E60:E61)+SUM(E64:E71)</f>
        <v>320487</v>
      </c>
      <c r="F72" s="12">
        <f>+F4+SUM(F7:F49)+SUM(F52:F53)+SUM(F56:F57)+SUM(F60:F61)+SUM(F64:F71)</f>
        <v>320468</v>
      </c>
    </row>
    <row r="73" spans="1:8">
      <c r="B73" s="18" t="s">
        <v>38</v>
      </c>
      <c r="D73" s="19">
        <f>+D4</f>
        <v>849</v>
      </c>
      <c r="E73" s="19">
        <f>+E4</f>
        <v>425</v>
      </c>
      <c r="F73" s="19">
        <f>+F4</f>
        <v>424</v>
      </c>
    </row>
    <row r="74" spans="1:8">
      <c r="B74" s="2" t="s">
        <v>39</v>
      </c>
      <c r="D74" s="19">
        <f>+D7</f>
        <v>14583</v>
      </c>
      <c r="E74" s="19">
        <f>+E7</f>
        <v>7292</v>
      </c>
      <c r="F74" s="19">
        <f>+F7</f>
        <v>7291</v>
      </c>
    </row>
    <row r="75" spans="1:8">
      <c r="B75" s="2" t="s">
        <v>40</v>
      </c>
      <c r="D75" s="19">
        <f>+D52+D56+D60+D64</f>
        <v>188426</v>
      </c>
      <c r="E75" s="19">
        <f>+E52+E56+E60+E64</f>
        <v>94213</v>
      </c>
      <c r="F75" s="19">
        <f>+F52+F56+F60+F64</f>
        <v>94213</v>
      </c>
      <c r="H75" s="3">
        <v>1</v>
      </c>
    </row>
    <row r="76" spans="1:8">
      <c r="B76" s="18" t="s">
        <v>41</v>
      </c>
      <c r="D76" s="19">
        <f>+D72-D73-D74-D75</f>
        <v>437097</v>
      </c>
      <c r="E76" s="19">
        <f>+E72-E73-E74-E75</f>
        <v>218557</v>
      </c>
      <c r="F76" s="19">
        <f>+F72-F73-F74-F75</f>
        <v>218540</v>
      </c>
      <c r="H76" s="3">
        <v>2</v>
      </c>
    </row>
    <row r="78" spans="1:8" hidden="1">
      <c r="B78" s="3" t="s">
        <v>42</v>
      </c>
      <c r="C78" s="4">
        <v>-9.9999999984834442E-7</v>
      </c>
      <c r="D78" s="3">
        <f>+D71-ROUND(D3*C71,0)</f>
        <v>-1</v>
      </c>
    </row>
  </sheetData>
  <pageMargins left="0.7" right="0.7" top="0.75" bottom="0.75" header="0.3" footer="0.3"/>
  <pageSetup scale="5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pageSetUpPr fitToPage="1"/>
  </sheetPr>
  <dimension ref="A1:WVB105"/>
  <sheetViews>
    <sheetView topLeftCell="A69" zoomScaleNormal="100" zoomScaleSheetLayoutView="90" workbookViewId="0">
      <selection activeCell="D90" activeCellId="7" sqref="D7:F7 D66:F66 D70:F70 D74:F74 D78:F78 D82:F82 D86:F86 D90:F90"/>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3.8554687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3.8554687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3.8554687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3.8554687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3.8554687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3.8554687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3.8554687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3.8554687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3.8554687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3.8554687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3.8554687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3.8554687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3.8554687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3.8554687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3.8554687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3.8554687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3.8554687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3.8554687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3.8554687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3.8554687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3.8554687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3.8554687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3.8554687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3.8554687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3.8554687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3.8554687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3.8554687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3.8554687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3.8554687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3.8554687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3.8554687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3.8554687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3.8554687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3.8554687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3.8554687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3.8554687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3.8554687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3.8554687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3.8554687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3.8554687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3.8554687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3.8554687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3.8554687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3.8554687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3.8554687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3.8554687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3.8554687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3.8554687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3.8554687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3.8554687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3.8554687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3.8554687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3.8554687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3.8554687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3.8554687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3.8554687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3.8554687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3.8554687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3.8554687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3.8554687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3.8554687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3.8554687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3.8554687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41" t="s">
        <v>590</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Worksheet'!$D$23</f>
        <v>1968593</v>
      </c>
      <c r="E3" s="11"/>
      <c r="F3" s="11"/>
    </row>
    <row r="4" spans="1:6">
      <c r="A4" s="23">
        <v>0</v>
      </c>
      <c r="B4" s="9" t="s">
        <v>4</v>
      </c>
      <c r="C4" s="10">
        <v>1.1360000000000001E-3</v>
      </c>
      <c r="D4" s="12">
        <f>ROUND(D$3*C4,0)</f>
        <v>2236</v>
      </c>
      <c r="E4" s="13">
        <f>ROUND(D4/2,0)</f>
        <v>1118</v>
      </c>
      <c r="F4" s="12">
        <f>D4-E4</f>
        <v>1118</v>
      </c>
    </row>
    <row r="5" spans="1:6">
      <c r="A5" s="23">
        <v>1</v>
      </c>
      <c r="B5" s="9" t="s">
        <v>448</v>
      </c>
      <c r="C5" s="10">
        <v>0.17275499999999999</v>
      </c>
      <c r="D5" s="9">
        <f>ROUND(D$3*C5,0)</f>
        <v>340084</v>
      </c>
      <c r="E5" s="11">
        <f>ROUND(D5/2,0)</f>
        <v>170042</v>
      </c>
      <c r="F5" s="9">
        <f>D5-E5</f>
        <v>170042</v>
      </c>
    </row>
    <row r="6" spans="1:6">
      <c r="A6" s="23"/>
      <c r="B6" s="11" t="s">
        <v>6</v>
      </c>
      <c r="C6" s="11"/>
      <c r="D6" s="14">
        <v>0.28568199999999999</v>
      </c>
      <c r="E6" s="11"/>
      <c r="F6" s="11"/>
    </row>
    <row r="7" spans="1:6">
      <c r="A7" s="23"/>
      <c r="B7" s="11" t="s">
        <v>7</v>
      </c>
      <c r="C7" s="11"/>
      <c r="D7" s="225">
        <f>ROUND(D5*D6,0)</f>
        <v>97156</v>
      </c>
      <c r="E7" s="226">
        <f>ROUND(D7/2,0)</f>
        <v>48578</v>
      </c>
      <c r="F7" s="225">
        <f>D7-E7</f>
        <v>48578</v>
      </c>
    </row>
    <row r="8" spans="1:6">
      <c r="A8" s="23"/>
      <c r="B8" s="11" t="s">
        <v>8</v>
      </c>
      <c r="C8" s="11"/>
      <c r="D8" s="12">
        <f>+D5-D7</f>
        <v>242928</v>
      </c>
      <c r="E8" s="13">
        <f>ROUND(D8/2,0)</f>
        <v>121464</v>
      </c>
      <c r="F8" s="12">
        <f>D8-E8</f>
        <v>121464</v>
      </c>
    </row>
    <row r="9" spans="1:6">
      <c r="A9" s="23">
        <v>2</v>
      </c>
      <c r="B9" s="9" t="s">
        <v>449</v>
      </c>
      <c r="C9" s="11"/>
      <c r="D9" s="9"/>
      <c r="E9" s="11"/>
      <c r="F9" s="11"/>
    </row>
    <row r="10" spans="1:6">
      <c r="A10" s="23"/>
      <c r="B10" s="9" t="s">
        <v>10</v>
      </c>
      <c r="C10" s="10">
        <v>2.4459999999999998E-3</v>
      </c>
      <c r="D10" s="12">
        <f>ROUND(D$3*C10,0)</f>
        <v>4815</v>
      </c>
      <c r="E10" s="13">
        <f>ROUND(D10/2,0)</f>
        <v>2408</v>
      </c>
      <c r="F10" s="12">
        <f>D10-E10</f>
        <v>2407</v>
      </c>
    </row>
    <row r="11" spans="1:6">
      <c r="A11" s="23"/>
      <c r="B11" s="9" t="s">
        <v>11</v>
      </c>
      <c r="C11" s="10">
        <v>4.0499999999999998E-4</v>
      </c>
      <c r="D11" s="12">
        <f>ROUND(D$3*C11,0)</f>
        <v>797</v>
      </c>
      <c r="E11" s="13">
        <f>ROUND(D11/2,0)</f>
        <v>399</v>
      </c>
      <c r="F11" s="12">
        <f>D11-E11</f>
        <v>398</v>
      </c>
    </row>
    <row r="12" spans="1:6">
      <c r="A12" s="23">
        <v>2</v>
      </c>
      <c r="B12" s="9" t="s">
        <v>450</v>
      </c>
      <c r="C12" s="11"/>
      <c r="D12" s="9"/>
      <c r="E12" s="11"/>
      <c r="F12" s="11"/>
    </row>
    <row r="13" spans="1:6">
      <c r="A13" s="23"/>
      <c r="B13" s="9" t="s">
        <v>10</v>
      </c>
      <c r="C13" s="10">
        <v>9.7999999999999997E-5</v>
      </c>
      <c r="D13" s="12">
        <f>ROUND(D$3*C13,0)</f>
        <v>193</v>
      </c>
      <c r="E13" s="13">
        <f>ROUND(D13/2,0)</f>
        <v>97</v>
      </c>
      <c r="F13" s="12">
        <f>D13-E13</f>
        <v>96</v>
      </c>
    </row>
    <row r="14" spans="1:6">
      <c r="A14" s="23"/>
      <c r="B14" s="9" t="s">
        <v>11</v>
      </c>
      <c r="C14" s="10">
        <v>2.52E-4</v>
      </c>
      <c r="D14" s="12">
        <f>ROUND(D$3*C14,0)</f>
        <v>496</v>
      </c>
      <c r="E14" s="13">
        <f>ROUND(D14/2,0)</f>
        <v>248</v>
      </c>
      <c r="F14" s="12">
        <f>D14-E14</f>
        <v>248</v>
      </c>
    </row>
    <row r="15" spans="1:6">
      <c r="A15" s="23">
        <v>2</v>
      </c>
      <c r="B15" s="9" t="s">
        <v>451</v>
      </c>
      <c r="C15" s="11"/>
      <c r="D15" s="9"/>
      <c r="E15" s="11"/>
      <c r="F15" s="11"/>
    </row>
    <row r="16" spans="1:6">
      <c r="A16" s="23"/>
      <c r="B16" s="9" t="s">
        <v>10</v>
      </c>
      <c r="C16" s="10">
        <v>1.2310000000000001E-3</v>
      </c>
      <c r="D16" s="12">
        <f>ROUND(D$3*C16,0)</f>
        <v>2423</v>
      </c>
      <c r="E16" s="13">
        <f>ROUND(D16/2,0)</f>
        <v>1212</v>
      </c>
      <c r="F16" s="12">
        <f>D16-E16</f>
        <v>1211</v>
      </c>
    </row>
    <row r="17" spans="1:6">
      <c r="A17" s="23"/>
      <c r="B17" s="9" t="s">
        <v>11</v>
      </c>
      <c r="C17" s="10">
        <v>1.5799999999999999E-4</v>
      </c>
      <c r="D17" s="12">
        <f>ROUND(D$3*C17,0)</f>
        <v>311</v>
      </c>
      <c r="E17" s="13">
        <f>ROUND(D17/2,0)</f>
        <v>156</v>
      </c>
      <c r="F17" s="12">
        <f>D17-E17</f>
        <v>155</v>
      </c>
    </row>
    <row r="18" spans="1:6">
      <c r="A18" s="23">
        <v>2</v>
      </c>
      <c r="B18" s="9" t="s">
        <v>147</v>
      </c>
      <c r="C18" s="11"/>
      <c r="D18" s="9"/>
      <c r="E18" s="11"/>
      <c r="F18" s="11"/>
    </row>
    <row r="19" spans="1:6">
      <c r="A19" s="23"/>
      <c r="B19" s="9" t="s">
        <v>10</v>
      </c>
      <c r="C19" s="10">
        <v>9.5500000000000001E-4</v>
      </c>
      <c r="D19" s="12">
        <f>ROUND(D$3*C19,0)</f>
        <v>1880</v>
      </c>
      <c r="E19" s="13">
        <f>ROUND(D19/2,0)</f>
        <v>940</v>
      </c>
      <c r="F19" s="12">
        <f>D19-E19</f>
        <v>940</v>
      </c>
    </row>
    <row r="20" spans="1:6">
      <c r="A20" s="23"/>
      <c r="B20" s="9" t="s">
        <v>11</v>
      </c>
      <c r="C20" s="10">
        <v>5.9999999999999995E-4</v>
      </c>
      <c r="D20" s="12">
        <f>ROUND(D$3*C20,0)</f>
        <v>1181</v>
      </c>
      <c r="E20" s="13">
        <f>ROUND(D20/2,0)</f>
        <v>591</v>
      </c>
      <c r="F20" s="12">
        <f>D20-E20</f>
        <v>590</v>
      </c>
    </row>
    <row r="21" spans="1:6">
      <c r="A21" s="23">
        <v>2</v>
      </c>
      <c r="B21" s="9" t="s">
        <v>370</v>
      </c>
      <c r="C21" s="11"/>
      <c r="D21" s="9"/>
      <c r="E21" s="11"/>
      <c r="F21" s="11"/>
    </row>
    <row r="22" spans="1:6">
      <c r="A22" s="23"/>
      <c r="B22" s="9" t="s">
        <v>10</v>
      </c>
      <c r="C22" s="10">
        <v>3.127E-3</v>
      </c>
      <c r="D22" s="12">
        <f>ROUND(D$3*C22,0)</f>
        <v>6156</v>
      </c>
      <c r="E22" s="13">
        <f>ROUND(D22/2,0)</f>
        <v>3078</v>
      </c>
      <c r="F22" s="12">
        <f>D22-E22</f>
        <v>3078</v>
      </c>
    </row>
    <row r="23" spans="1:6">
      <c r="A23" s="23"/>
      <c r="B23" s="9" t="s">
        <v>11</v>
      </c>
      <c r="C23" s="10">
        <v>2.02E-4</v>
      </c>
      <c r="D23" s="12">
        <f>ROUND(D$3*C23,0)</f>
        <v>398</v>
      </c>
      <c r="E23" s="13">
        <f>ROUND(D23/2,0)</f>
        <v>199</v>
      </c>
      <c r="F23" s="12">
        <f>D23-E23</f>
        <v>199</v>
      </c>
    </row>
    <row r="24" spans="1:6">
      <c r="A24" s="23">
        <v>2</v>
      </c>
      <c r="B24" s="9" t="s">
        <v>452</v>
      </c>
      <c r="C24" s="11"/>
      <c r="D24" s="9"/>
      <c r="E24" s="11"/>
      <c r="F24" s="11"/>
    </row>
    <row r="25" spans="1:6">
      <c r="A25" s="23"/>
      <c r="B25" s="9" t="s">
        <v>10</v>
      </c>
      <c r="C25" s="10">
        <v>2.905E-3</v>
      </c>
      <c r="D25" s="12">
        <f>ROUND(D$3*C25,0)</f>
        <v>5719</v>
      </c>
      <c r="E25" s="13">
        <f>ROUND(D25/2,0)</f>
        <v>2860</v>
      </c>
      <c r="F25" s="12">
        <f>D25-E25</f>
        <v>2859</v>
      </c>
    </row>
    <row r="26" spans="1:6">
      <c r="A26" s="23"/>
      <c r="B26" s="9" t="s">
        <v>11</v>
      </c>
      <c r="C26" s="10">
        <v>7.3499999999999998E-4</v>
      </c>
      <c r="D26" s="12">
        <f>ROUND(D$3*C26,0)</f>
        <v>1447</v>
      </c>
      <c r="E26" s="13">
        <f>ROUND(D26/2,0)</f>
        <v>724</v>
      </c>
      <c r="F26" s="12">
        <f>D26-E26</f>
        <v>723</v>
      </c>
    </row>
    <row r="27" spans="1:6">
      <c r="A27" s="23">
        <v>2</v>
      </c>
      <c r="B27" s="9" t="s">
        <v>86</v>
      </c>
      <c r="C27" s="11"/>
      <c r="D27" s="9"/>
      <c r="E27" s="11"/>
      <c r="F27" s="11"/>
    </row>
    <row r="28" spans="1:6">
      <c r="A28" s="23"/>
      <c r="B28" s="9" t="s">
        <v>10</v>
      </c>
      <c r="C28" s="10">
        <v>9.2500000000000004E-4</v>
      </c>
      <c r="D28" s="12">
        <f>ROUND(D$3*C28,0)</f>
        <v>1821</v>
      </c>
      <c r="E28" s="13">
        <f>ROUND(D28/2,0)</f>
        <v>911</v>
      </c>
      <c r="F28" s="12">
        <f>D28-E28</f>
        <v>910</v>
      </c>
    </row>
    <row r="29" spans="1:6">
      <c r="A29" s="23"/>
      <c r="B29" s="9" t="s">
        <v>11</v>
      </c>
      <c r="C29" s="10">
        <v>2.0599999999999999E-4</v>
      </c>
      <c r="D29" s="12">
        <f>ROUND(D$3*C29,0)</f>
        <v>406</v>
      </c>
      <c r="E29" s="13">
        <f>ROUND(D29/2,0)</f>
        <v>203</v>
      </c>
      <c r="F29" s="12">
        <f>D29-E29</f>
        <v>203</v>
      </c>
    </row>
    <row r="30" spans="1:6">
      <c r="A30" s="23">
        <v>2</v>
      </c>
      <c r="B30" s="9" t="s">
        <v>49</v>
      </c>
      <c r="C30" s="11"/>
      <c r="D30" s="9"/>
      <c r="E30" s="11"/>
      <c r="F30" s="11"/>
    </row>
    <row r="31" spans="1:6">
      <c r="A31" s="23"/>
      <c r="B31" s="9" t="s">
        <v>10</v>
      </c>
      <c r="C31" s="10">
        <v>1.8860000000000001E-3</v>
      </c>
      <c r="D31" s="12">
        <f>ROUND(D$3*C31,0)</f>
        <v>3713</v>
      </c>
      <c r="E31" s="13">
        <f>ROUND(D31/2,0)</f>
        <v>1857</v>
      </c>
      <c r="F31" s="12">
        <f>D31-E31</f>
        <v>1856</v>
      </c>
    </row>
    <row r="32" spans="1:6">
      <c r="A32" s="23"/>
      <c r="B32" s="9" t="s">
        <v>11</v>
      </c>
      <c r="C32" s="10">
        <v>1.2290000000000001E-3</v>
      </c>
      <c r="D32" s="12">
        <f>ROUND(D$3*C32,0)</f>
        <v>2419</v>
      </c>
      <c r="E32" s="13">
        <f>ROUND(D32/2,0)</f>
        <v>1210</v>
      </c>
      <c r="F32" s="12">
        <f>D32-E32</f>
        <v>1209</v>
      </c>
    </row>
    <row r="33" spans="1:6">
      <c r="A33" s="23">
        <v>2</v>
      </c>
      <c r="B33" s="9" t="s">
        <v>14</v>
      </c>
      <c r="C33" s="11"/>
      <c r="D33" s="9"/>
      <c r="E33" s="11"/>
      <c r="F33" s="11"/>
    </row>
    <row r="34" spans="1:6">
      <c r="A34" s="23"/>
      <c r="B34" s="9" t="s">
        <v>10</v>
      </c>
      <c r="C34" s="10">
        <v>1.915E-3</v>
      </c>
      <c r="D34" s="12">
        <f>ROUND(D$3*C34,0)</f>
        <v>3770</v>
      </c>
      <c r="E34" s="13">
        <f>ROUND(D34/2,0)</f>
        <v>1885</v>
      </c>
      <c r="F34" s="12">
        <f>D34-E34</f>
        <v>1885</v>
      </c>
    </row>
    <row r="35" spans="1:6">
      <c r="A35" s="23"/>
      <c r="B35" s="9" t="s">
        <v>11</v>
      </c>
      <c r="C35" s="10">
        <v>1.0039999999999999E-3</v>
      </c>
      <c r="D35" s="12">
        <f>ROUND(D$3*C35,0)</f>
        <v>1976</v>
      </c>
      <c r="E35" s="13">
        <f>ROUND(D35/2,0)</f>
        <v>988</v>
      </c>
      <c r="F35" s="12">
        <f>D35-E35</f>
        <v>988</v>
      </c>
    </row>
    <row r="36" spans="1:6">
      <c r="A36" s="23">
        <v>2</v>
      </c>
      <c r="B36" s="9" t="s">
        <v>453</v>
      </c>
      <c r="C36" s="11"/>
      <c r="D36" s="9"/>
      <c r="E36" s="11"/>
      <c r="F36" s="11"/>
    </row>
    <row r="37" spans="1:6">
      <c r="A37" s="23"/>
      <c r="B37" s="9" t="s">
        <v>10</v>
      </c>
      <c r="C37" s="10">
        <v>1.2E-5</v>
      </c>
      <c r="D37" s="12">
        <f>ROUND(D$3*C37,0)</f>
        <v>24</v>
      </c>
      <c r="E37" s="13">
        <f>ROUND(D37/2,0)</f>
        <v>12</v>
      </c>
      <c r="F37" s="12">
        <f>D37-E37</f>
        <v>12</v>
      </c>
    </row>
    <row r="38" spans="1:6">
      <c r="A38" s="23"/>
      <c r="B38" s="9" t="s">
        <v>11</v>
      </c>
      <c r="C38" s="10">
        <v>9.9999999999999995E-7</v>
      </c>
      <c r="D38" s="12">
        <f>ROUND(D$3*C38,0)</f>
        <v>2</v>
      </c>
      <c r="E38" s="13">
        <f>ROUND(D38/2,0)</f>
        <v>1</v>
      </c>
      <c r="F38" s="12">
        <f>D38-E38</f>
        <v>1</v>
      </c>
    </row>
    <row r="39" spans="1:6">
      <c r="A39" s="23">
        <v>2</v>
      </c>
      <c r="B39" s="9" t="s">
        <v>454</v>
      </c>
      <c r="C39" s="11"/>
      <c r="D39" s="9"/>
      <c r="E39" s="11"/>
      <c r="F39" s="11"/>
    </row>
    <row r="40" spans="1:6">
      <c r="A40" s="23"/>
      <c r="B40" s="9" t="s">
        <v>10</v>
      </c>
      <c r="C40" s="10">
        <v>1.348E-3</v>
      </c>
      <c r="D40" s="12">
        <f>ROUND(D$3*C40,0)</f>
        <v>2654</v>
      </c>
      <c r="E40" s="13">
        <f>ROUND(D40/2,0)</f>
        <v>1327</v>
      </c>
      <c r="F40" s="12">
        <f>D40-E40</f>
        <v>1327</v>
      </c>
    </row>
    <row r="41" spans="1:6">
      <c r="A41" s="23"/>
      <c r="B41" s="9" t="s">
        <v>11</v>
      </c>
      <c r="C41" s="10">
        <v>7.7999999999999999E-4</v>
      </c>
      <c r="D41" s="12">
        <f>ROUND(D$3*C41,0)</f>
        <v>1536</v>
      </c>
      <c r="E41" s="13">
        <f>ROUND(D41/2,0)</f>
        <v>768</v>
      </c>
      <c r="F41" s="12">
        <f>D41-E41</f>
        <v>768</v>
      </c>
    </row>
    <row r="42" spans="1:6">
      <c r="A42" s="23">
        <v>2</v>
      </c>
      <c r="B42" s="9" t="s">
        <v>455</v>
      </c>
      <c r="C42" s="11"/>
      <c r="D42" s="9"/>
      <c r="E42" s="11"/>
      <c r="F42" s="11"/>
    </row>
    <row r="43" spans="1:6">
      <c r="A43" s="23"/>
      <c r="B43" s="9" t="s">
        <v>10</v>
      </c>
      <c r="C43" s="10">
        <v>1.34E-4</v>
      </c>
      <c r="D43" s="12">
        <f>ROUND(D$3*C43,0)</f>
        <v>264</v>
      </c>
      <c r="E43" s="13">
        <f>ROUND(D43/2,0)</f>
        <v>132</v>
      </c>
      <c r="F43" s="12">
        <f>D43-E43</f>
        <v>132</v>
      </c>
    </row>
    <row r="44" spans="1:6">
      <c r="A44" s="23"/>
      <c r="B44" s="9" t="s">
        <v>11</v>
      </c>
      <c r="C44" s="10">
        <v>1.2E-5</v>
      </c>
      <c r="D44" s="12">
        <f>ROUND(D$3*C44,0)</f>
        <v>24</v>
      </c>
      <c r="E44" s="13">
        <f>ROUND(D44/2,0)</f>
        <v>12</v>
      </c>
      <c r="F44" s="12">
        <f>D44-E44</f>
        <v>12</v>
      </c>
    </row>
    <row r="45" spans="1:6">
      <c r="A45" s="23">
        <v>2</v>
      </c>
      <c r="B45" s="9" t="s">
        <v>456</v>
      </c>
      <c r="C45" s="11"/>
      <c r="D45" s="9"/>
      <c r="E45" s="11"/>
      <c r="F45" s="11"/>
    </row>
    <row r="46" spans="1:6">
      <c r="A46" s="23"/>
      <c r="B46" s="9" t="s">
        <v>10</v>
      </c>
      <c r="C46" s="10">
        <v>2.408E-3</v>
      </c>
      <c r="D46" s="12">
        <f>ROUND(D$3*C46,0)</f>
        <v>4740</v>
      </c>
      <c r="E46" s="13">
        <f>ROUND(D46/2,0)</f>
        <v>2370</v>
      </c>
      <c r="F46" s="12">
        <f>D46-E46</f>
        <v>2370</v>
      </c>
    </row>
    <row r="47" spans="1:6">
      <c r="A47" s="23"/>
      <c r="B47" s="9" t="s">
        <v>11</v>
      </c>
      <c r="C47" s="10">
        <v>2.7900000000000001E-4</v>
      </c>
      <c r="D47" s="12">
        <f>ROUND(D$3*C47,0)</f>
        <v>549</v>
      </c>
      <c r="E47" s="13">
        <f>ROUND(D47/2,0)</f>
        <v>275</v>
      </c>
      <c r="F47" s="12">
        <f>D47-E47</f>
        <v>274</v>
      </c>
    </row>
    <row r="48" spans="1:6">
      <c r="A48" s="23">
        <v>2</v>
      </c>
      <c r="B48" s="9" t="s">
        <v>20</v>
      </c>
      <c r="C48" s="11"/>
      <c r="D48" s="9"/>
      <c r="E48" s="11"/>
      <c r="F48" s="11"/>
    </row>
    <row r="49" spans="1:6">
      <c r="A49" s="23"/>
      <c r="B49" s="9" t="s">
        <v>10</v>
      </c>
      <c r="C49" s="10">
        <v>4.1199999999999999E-4</v>
      </c>
      <c r="D49" s="12">
        <f>ROUND(D$3*C49,0)</f>
        <v>811</v>
      </c>
      <c r="E49" s="13">
        <f>ROUND(D49/2,0)</f>
        <v>406</v>
      </c>
      <c r="F49" s="12">
        <f>D49-E49</f>
        <v>405</v>
      </c>
    </row>
    <row r="50" spans="1:6">
      <c r="A50" s="23"/>
      <c r="B50" s="9" t="s">
        <v>11</v>
      </c>
      <c r="C50" s="10">
        <v>1.56E-4</v>
      </c>
      <c r="D50" s="12">
        <f>ROUND(D$3*C50,0)</f>
        <v>307</v>
      </c>
      <c r="E50" s="13">
        <f>ROUND(D50/2,0)</f>
        <v>154</v>
      </c>
      <c r="F50" s="12">
        <f>D50-E50</f>
        <v>153</v>
      </c>
    </row>
    <row r="51" spans="1:6">
      <c r="A51" s="23">
        <v>2</v>
      </c>
      <c r="B51" s="9" t="s">
        <v>22</v>
      </c>
      <c r="C51" s="11"/>
      <c r="D51" s="9"/>
      <c r="E51" s="11"/>
      <c r="F51" s="11"/>
    </row>
    <row r="52" spans="1:6">
      <c r="A52" s="23"/>
      <c r="B52" s="9" t="s">
        <v>10</v>
      </c>
      <c r="C52" s="10">
        <v>2.4899999999999998E-4</v>
      </c>
      <c r="D52" s="12">
        <f>ROUND(D$3*C52,0)</f>
        <v>490</v>
      </c>
      <c r="E52" s="13">
        <f>ROUND(D52/2,0)</f>
        <v>245</v>
      </c>
      <c r="F52" s="12">
        <f>D52-E52</f>
        <v>245</v>
      </c>
    </row>
    <row r="53" spans="1:6">
      <c r="A53" s="23"/>
      <c r="B53" s="9" t="s">
        <v>11</v>
      </c>
      <c r="C53" s="10">
        <v>2.43E-4</v>
      </c>
      <c r="D53" s="12">
        <f>ROUND(D$3*C53,0)</f>
        <v>478</v>
      </c>
      <c r="E53" s="13">
        <f>ROUND(D53/2,0)</f>
        <v>239</v>
      </c>
      <c r="F53" s="12">
        <f>D53-E53</f>
        <v>239</v>
      </c>
    </row>
    <row r="54" spans="1:6">
      <c r="A54" s="23">
        <v>2</v>
      </c>
      <c r="B54" s="9" t="s">
        <v>115</v>
      </c>
      <c r="C54" s="11"/>
      <c r="D54" s="9"/>
      <c r="E54" s="11"/>
      <c r="F54" s="11"/>
    </row>
    <row r="55" spans="1:6">
      <c r="A55" s="23"/>
      <c r="B55" s="9" t="s">
        <v>10</v>
      </c>
      <c r="C55" s="10">
        <v>3.57E-4</v>
      </c>
      <c r="D55" s="12">
        <f t="shared" ref="D55:D64" si="0">ROUND(D$3*C55,0)</f>
        <v>703</v>
      </c>
      <c r="E55" s="13">
        <f t="shared" ref="E55:E64" si="1">ROUND(D55/2,0)</f>
        <v>352</v>
      </c>
      <c r="F55" s="12">
        <f t="shared" ref="F55:F64" si="2">D55-E55</f>
        <v>351</v>
      </c>
    </row>
    <row r="56" spans="1:6">
      <c r="A56" s="23"/>
      <c r="B56" s="9" t="s">
        <v>11</v>
      </c>
      <c r="C56" s="10">
        <v>1.73E-4</v>
      </c>
      <c r="D56" s="12">
        <f t="shared" si="0"/>
        <v>341</v>
      </c>
      <c r="E56" s="13">
        <f t="shared" si="1"/>
        <v>171</v>
      </c>
      <c r="F56" s="12">
        <f t="shared" si="2"/>
        <v>170</v>
      </c>
    </row>
    <row r="57" spans="1:6">
      <c r="A57" s="23">
        <v>3</v>
      </c>
      <c r="B57" s="9" t="s">
        <v>457</v>
      </c>
      <c r="C57" s="10">
        <v>3.8440000000000002E-3</v>
      </c>
      <c r="D57" s="12">
        <f t="shared" si="0"/>
        <v>7567</v>
      </c>
      <c r="E57" s="13">
        <f t="shared" si="1"/>
        <v>3784</v>
      </c>
      <c r="F57" s="12">
        <f t="shared" si="2"/>
        <v>3783</v>
      </c>
    </row>
    <row r="58" spans="1:6">
      <c r="A58" s="23">
        <v>3</v>
      </c>
      <c r="B58" s="9" t="s">
        <v>458</v>
      </c>
      <c r="C58" s="10">
        <v>0.129026</v>
      </c>
      <c r="D58" s="12">
        <f t="shared" si="0"/>
        <v>254000</v>
      </c>
      <c r="E58" s="13">
        <f t="shared" si="1"/>
        <v>127000</v>
      </c>
      <c r="F58" s="12">
        <f t="shared" si="2"/>
        <v>127000</v>
      </c>
    </row>
    <row r="59" spans="1:6">
      <c r="A59" s="23">
        <v>3</v>
      </c>
      <c r="B59" s="9" t="s">
        <v>459</v>
      </c>
      <c r="C59" s="10">
        <v>3.9271E-2</v>
      </c>
      <c r="D59" s="12">
        <f t="shared" si="0"/>
        <v>77309</v>
      </c>
      <c r="E59" s="13">
        <f t="shared" si="1"/>
        <v>38655</v>
      </c>
      <c r="F59" s="12">
        <f t="shared" si="2"/>
        <v>38654</v>
      </c>
    </row>
    <row r="60" spans="1:6">
      <c r="A60" s="23">
        <v>3</v>
      </c>
      <c r="B60" s="9" t="s">
        <v>460</v>
      </c>
      <c r="C60" s="10">
        <v>5.1980000000000004E-3</v>
      </c>
      <c r="D60" s="12">
        <f t="shared" si="0"/>
        <v>10233</v>
      </c>
      <c r="E60" s="13">
        <f t="shared" si="1"/>
        <v>5117</v>
      </c>
      <c r="F60" s="12">
        <f t="shared" si="2"/>
        <v>5116</v>
      </c>
    </row>
    <row r="61" spans="1:6">
      <c r="A61" s="23">
        <v>3</v>
      </c>
      <c r="B61" s="9" t="s">
        <v>461</v>
      </c>
      <c r="C61" s="10">
        <v>0</v>
      </c>
      <c r="D61" s="12">
        <f t="shared" si="0"/>
        <v>0</v>
      </c>
      <c r="E61" s="13">
        <f t="shared" si="1"/>
        <v>0</v>
      </c>
      <c r="F61" s="12">
        <f t="shared" si="2"/>
        <v>0</v>
      </c>
    </row>
    <row r="62" spans="1:6">
      <c r="A62" s="23">
        <v>3</v>
      </c>
      <c r="B62" s="9" t="s">
        <v>462</v>
      </c>
      <c r="C62" s="10">
        <v>4.104E-3</v>
      </c>
      <c r="D62" s="12">
        <f t="shared" si="0"/>
        <v>8079</v>
      </c>
      <c r="E62" s="13">
        <f t="shared" si="1"/>
        <v>4040</v>
      </c>
      <c r="F62" s="12">
        <f t="shared" si="2"/>
        <v>4039</v>
      </c>
    </row>
    <row r="63" spans="1:6">
      <c r="A63" s="23">
        <v>3</v>
      </c>
      <c r="B63" s="9" t="s">
        <v>463</v>
      </c>
      <c r="C63" s="10">
        <v>2.483E-3</v>
      </c>
      <c r="D63" s="12">
        <f t="shared" si="0"/>
        <v>4888</v>
      </c>
      <c r="E63" s="13">
        <f t="shared" si="1"/>
        <v>2444</v>
      </c>
      <c r="F63" s="12">
        <f t="shared" si="2"/>
        <v>2444</v>
      </c>
    </row>
    <row r="64" spans="1:6">
      <c r="A64" s="23">
        <v>4</v>
      </c>
      <c r="B64" s="9" t="s">
        <v>464</v>
      </c>
      <c r="C64" s="10">
        <v>4.9917000000000003E-2</v>
      </c>
      <c r="D64" s="9">
        <f t="shared" si="0"/>
        <v>98266</v>
      </c>
      <c r="E64" s="11">
        <f t="shared" si="1"/>
        <v>49133</v>
      </c>
      <c r="F64" s="9">
        <f t="shared" si="2"/>
        <v>49133</v>
      </c>
    </row>
    <row r="65" spans="1:6">
      <c r="A65" s="23"/>
      <c r="B65" s="11" t="s">
        <v>28</v>
      </c>
      <c r="C65" s="11"/>
      <c r="D65" s="14">
        <v>0.35947699999999999</v>
      </c>
      <c r="E65" s="11"/>
      <c r="F65" s="11"/>
    </row>
    <row r="66" spans="1:6">
      <c r="A66" s="23"/>
      <c r="B66" s="11" t="s">
        <v>29</v>
      </c>
      <c r="C66" s="11"/>
      <c r="D66" s="225">
        <f>ROUND(D64*D65,0)</f>
        <v>35324</v>
      </c>
      <c r="E66" s="226">
        <f>ROUND(D66/2,0)</f>
        <v>17662</v>
      </c>
      <c r="F66" s="225">
        <f>D66-E66</f>
        <v>17662</v>
      </c>
    </row>
    <row r="67" spans="1:6">
      <c r="A67" s="23"/>
      <c r="B67" s="11" t="s">
        <v>30</v>
      </c>
      <c r="C67" s="11"/>
      <c r="D67" s="12">
        <f>+D64-D66</f>
        <v>62942</v>
      </c>
      <c r="E67" s="13">
        <f>ROUND(D67/2,0)</f>
        <v>31471</v>
      </c>
      <c r="F67" s="12">
        <f>D67-E67</f>
        <v>31471</v>
      </c>
    </row>
    <row r="68" spans="1:6">
      <c r="A68" s="23">
        <v>4</v>
      </c>
      <c r="B68" s="9" t="s">
        <v>465</v>
      </c>
      <c r="C68" s="10">
        <v>6.0722999999999999E-2</v>
      </c>
      <c r="D68" s="9">
        <f>ROUND(D$3*C68,0)</f>
        <v>119539</v>
      </c>
      <c r="E68" s="11">
        <f>ROUND(D68/2,0)</f>
        <v>59770</v>
      </c>
      <c r="F68" s="9">
        <f>D68-E68</f>
        <v>59769</v>
      </c>
    </row>
    <row r="69" spans="1:6">
      <c r="A69" s="23"/>
      <c r="B69" s="11" t="s">
        <v>28</v>
      </c>
      <c r="C69" s="11"/>
      <c r="D69" s="14">
        <v>0.36151899999999998</v>
      </c>
      <c r="E69" s="11"/>
      <c r="F69" s="11"/>
    </row>
    <row r="70" spans="1:6">
      <c r="A70" s="23"/>
      <c r="B70" s="11" t="s">
        <v>29</v>
      </c>
      <c r="C70" s="11"/>
      <c r="D70" s="225">
        <f>ROUND(D68*D69,0)</f>
        <v>43216</v>
      </c>
      <c r="E70" s="226">
        <f>ROUND(D70/2,0)</f>
        <v>21608</v>
      </c>
      <c r="F70" s="225">
        <f>D70-E70</f>
        <v>21608</v>
      </c>
    </row>
    <row r="71" spans="1:6">
      <c r="A71" s="23" t="s">
        <v>590</v>
      </c>
      <c r="B71" s="11" t="s">
        <v>30</v>
      </c>
      <c r="C71" s="11"/>
      <c r="D71" s="12">
        <f>+D68-D70</f>
        <v>76323</v>
      </c>
      <c r="E71" s="13">
        <f>ROUND(D71/2,0)</f>
        <v>38162</v>
      </c>
      <c r="F71" s="12">
        <f>D71-E71</f>
        <v>38161</v>
      </c>
    </row>
    <row r="72" spans="1:6">
      <c r="A72" s="23">
        <v>4</v>
      </c>
      <c r="B72" s="9" t="s">
        <v>466</v>
      </c>
      <c r="C72" s="10">
        <v>0.188446</v>
      </c>
      <c r="D72" s="9">
        <f>ROUND(D$3*C72,0)</f>
        <v>370973</v>
      </c>
      <c r="E72" s="11">
        <f>ROUND(D72/2,0)</f>
        <v>185487</v>
      </c>
      <c r="F72" s="9">
        <f>D72-E72</f>
        <v>185486</v>
      </c>
    </row>
    <row r="73" spans="1:6">
      <c r="A73" s="23"/>
      <c r="B73" s="11" t="s">
        <v>28</v>
      </c>
      <c r="C73" s="11"/>
      <c r="D73" s="14">
        <v>0.394895</v>
      </c>
      <c r="E73" s="11"/>
      <c r="F73" s="11"/>
    </row>
    <row r="74" spans="1:6">
      <c r="A74" s="23"/>
      <c r="B74" s="11" t="s">
        <v>29</v>
      </c>
      <c r="C74" s="11"/>
      <c r="D74" s="225">
        <f>ROUND(D72*D73,0)</f>
        <v>146495</v>
      </c>
      <c r="E74" s="226">
        <f>ROUND(D74/2,0)</f>
        <v>73248</v>
      </c>
      <c r="F74" s="225">
        <f>D74-E74</f>
        <v>73247</v>
      </c>
    </row>
    <row r="75" spans="1:6">
      <c r="A75" s="23"/>
      <c r="B75" s="11" t="s">
        <v>30</v>
      </c>
      <c r="C75" s="11"/>
      <c r="D75" s="12">
        <f>+D72-D74</f>
        <v>224478</v>
      </c>
      <c r="E75" s="13">
        <f>ROUND(D75/2,0)</f>
        <v>112239</v>
      </c>
      <c r="F75" s="12">
        <f>D75-E75</f>
        <v>112239</v>
      </c>
    </row>
    <row r="76" spans="1:6">
      <c r="A76" s="23">
        <v>4</v>
      </c>
      <c r="B76" s="9" t="s">
        <v>467</v>
      </c>
      <c r="C76" s="10">
        <v>5.1456000000000002E-2</v>
      </c>
      <c r="D76" s="9">
        <f>ROUND(D$3*C76,0)</f>
        <v>101296</v>
      </c>
      <c r="E76" s="11">
        <f>ROUND(D76/2,0)</f>
        <v>50648</v>
      </c>
      <c r="F76" s="9">
        <f>D76-E76</f>
        <v>50648</v>
      </c>
    </row>
    <row r="77" spans="1:6">
      <c r="A77" s="23"/>
      <c r="B77" s="11" t="s">
        <v>28</v>
      </c>
      <c r="C77" s="11"/>
      <c r="D77" s="14">
        <v>0.38996199999999998</v>
      </c>
      <c r="E77" s="11"/>
      <c r="F77" s="11"/>
    </row>
    <row r="78" spans="1:6">
      <c r="A78" s="23"/>
      <c r="B78" s="11" t="s">
        <v>29</v>
      </c>
      <c r="C78" s="11"/>
      <c r="D78" s="225">
        <f>ROUND(D76*D77,0)</f>
        <v>39502</v>
      </c>
      <c r="E78" s="226">
        <f>ROUND(D78/2,0)</f>
        <v>19751</v>
      </c>
      <c r="F78" s="225">
        <f>D78-E78</f>
        <v>19751</v>
      </c>
    </row>
    <row r="79" spans="1:6">
      <c r="A79" s="23"/>
      <c r="B79" s="11" t="s">
        <v>30</v>
      </c>
      <c r="C79" s="11"/>
      <c r="D79" s="12">
        <f>+D76-D78</f>
        <v>61794</v>
      </c>
      <c r="E79" s="13">
        <f>ROUND(D79/2,0)</f>
        <v>30897</v>
      </c>
      <c r="F79" s="12">
        <f>D79-E79</f>
        <v>30897</v>
      </c>
    </row>
    <row r="80" spans="1:6">
      <c r="A80" s="23">
        <v>4</v>
      </c>
      <c r="B80" s="9" t="s">
        <v>468</v>
      </c>
      <c r="C80" s="10">
        <v>0.12719800000000001</v>
      </c>
      <c r="D80" s="9">
        <f>ROUND(D$3*C80,0)</f>
        <v>250401</v>
      </c>
      <c r="E80" s="11">
        <f>ROUND(D80/2,0)</f>
        <v>125201</v>
      </c>
      <c r="F80" s="9">
        <f>D80-E80</f>
        <v>125200</v>
      </c>
    </row>
    <row r="81" spans="1:6">
      <c r="A81" s="23"/>
      <c r="B81" s="11" t="s">
        <v>28</v>
      </c>
      <c r="C81" s="11"/>
      <c r="D81" s="14">
        <v>0.35937000000000002</v>
      </c>
      <c r="E81" s="11"/>
      <c r="F81" s="11"/>
    </row>
    <row r="82" spans="1:6">
      <c r="A82" s="23"/>
      <c r="B82" s="11" t="s">
        <v>29</v>
      </c>
      <c r="C82" s="11"/>
      <c r="D82" s="225">
        <f>ROUND(D80*D81,0)</f>
        <v>89987</v>
      </c>
      <c r="E82" s="226">
        <f>ROUND(D82/2,0)</f>
        <v>44994</v>
      </c>
      <c r="F82" s="225">
        <f>D82-E82</f>
        <v>44993</v>
      </c>
    </row>
    <row r="83" spans="1:6">
      <c r="A83" s="23"/>
      <c r="B83" s="11" t="s">
        <v>30</v>
      </c>
      <c r="C83" s="11"/>
      <c r="D83" s="12">
        <f>+D80-D82</f>
        <v>160414</v>
      </c>
      <c r="E83" s="13">
        <f>ROUND(D83/2,0)</f>
        <v>80207</v>
      </c>
      <c r="F83" s="12">
        <f>D83-E83</f>
        <v>80207</v>
      </c>
    </row>
    <row r="84" spans="1:6">
      <c r="A84" s="23">
        <v>4</v>
      </c>
      <c r="B84" s="9" t="s">
        <v>469</v>
      </c>
      <c r="C84" s="10">
        <v>7.0122000000000004E-2</v>
      </c>
      <c r="D84" s="9">
        <f>ROUND(D$3*C84,0)</f>
        <v>138042</v>
      </c>
      <c r="E84" s="11">
        <f>ROUND(D84/2,0)</f>
        <v>69021</v>
      </c>
      <c r="F84" s="9">
        <f>D84-E84</f>
        <v>69021</v>
      </c>
    </row>
    <row r="85" spans="1:6">
      <c r="A85" s="23"/>
      <c r="B85" s="11" t="s">
        <v>28</v>
      </c>
      <c r="C85" s="11"/>
      <c r="D85" s="14">
        <v>0.41023300000000001</v>
      </c>
      <c r="E85" s="11"/>
      <c r="F85" s="11"/>
    </row>
    <row r="86" spans="1:6">
      <c r="A86" s="23"/>
      <c r="B86" s="11" t="s">
        <v>29</v>
      </c>
      <c r="C86" s="11"/>
      <c r="D86" s="225">
        <f>ROUND(D84*D85,0)</f>
        <v>56629</v>
      </c>
      <c r="E86" s="226">
        <f>ROUND(D86/2,0)</f>
        <v>28315</v>
      </c>
      <c r="F86" s="225">
        <f>D86-E86</f>
        <v>28314</v>
      </c>
    </row>
    <row r="87" spans="1:6">
      <c r="A87" s="23"/>
      <c r="B87" s="11" t="s">
        <v>30</v>
      </c>
      <c r="C87" s="11"/>
      <c r="D87" s="12">
        <f>+D84-D86</f>
        <v>81413</v>
      </c>
      <c r="E87" s="13">
        <f>ROUND(D87/2,0)</f>
        <v>40707</v>
      </c>
      <c r="F87" s="12">
        <f>D87-E87</f>
        <v>40706</v>
      </c>
    </row>
    <row r="88" spans="1:6">
      <c r="A88" s="23">
        <v>4</v>
      </c>
      <c r="B88" s="9" t="s">
        <v>470</v>
      </c>
      <c r="C88" s="10">
        <v>4.0780999999999998E-2</v>
      </c>
      <c r="D88" s="9">
        <f>ROUND(D$3*C88,0)</f>
        <v>80281</v>
      </c>
      <c r="E88" s="11">
        <f>ROUND(D88/2,0)</f>
        <v>40141</v>
      </c>
      <c r="F88" s="9">
        <f>D88-E88</f>
        <v>40140</v>
      </c>
    </row>
    <row r="89" spans="1:6">
      <c r="A89" s="23"/>
      <c r="B89" s="11" t="s">
        <v>28</v>
      </c>
      <c r="C89" s="11"/>
      <c r="D89" s="14">
        <v>0.384266</v>
      </c>
      <c r="E89" s="11"/>
      <c r="F89" s="11"/>
    </row>
    <row r="90" spans="1:6">
      <c r="A90" s="23"/>
      <c r="B90" s="11" t="s">
        <v>29</v>
      </c>
      <c r="C90" s="11"/>
      <c r="D90" s="225">
        <f>ROUND(D88*D89,0)</f>
        <v>30849</v>
      </c>
      <c r="E90" s="226">
        <f t="shared" ref="E90:E98" si="3">ROUND(D90/2,0)</f>
        <v>15425</v>
      </c>
      <c r="F90" s="225">
        <f t="shared" ref="F90:F98" si="4">D90-E90</f>
        <v>15424</v>
      </c>
    </row>
    <row r="91" spans="1:6">
      <c r="A91" s="23"/>
      <c r="B91" s="11" t="s">
        <v>30</v>
      </c>
      <c r="C91" s="11"/>
      <c r="D91" s="12">
        <f>+D88-D90</f>
        <v>49432</v>
      </c>
      <c r="E91" s="13">
        <f t="shared" si="3"/>
        <v>24716</v>
      </c>
      <c r="F91" s="12">
        <f t="shared" si="4"/>
        <v>24716</v>
      </c>
    </row>
    <row r="92" spans="1:6">
      <c r="A92" s="23">
        <v>5</v>
      </c>
      <c r="B92" s="9" t="s">
        <v>471</v>
      </c>
      <c r="C92" s="10">
        <v>7.3700000000000002E-4</v>
      </c>
      <c r="D92" s="12">
        <f>ROUND(D$3*C92,0)</f>
        <v>1451</v>
      </c>
      <c r="E92" s="13">
        <f t="shared" si="3"/>
        <v>726</v>
      </c>
      <c r="F92" s="12">
        <f t="shared" si="4"/>
        <v>725</v>
      </c>
    </row>
    <row r="93" spans="1:6">
      <c r="A93" s="23">
        <v>5</v>
      </c>
      <c r="B93" s="9" t="s">
        <v>472</v>
      </c>
      <c r="C93" s="10">
        <v>1.2592000000000001E-2</v>
      </c>
      <c r="D93" s="12">
        <f>ROUND(D$3*C93,0)</f>
        <v>24789</v>
      </c>
      <c r="E93" s="13">
        <f t="shared" si="3"/>
        <v>12395</v>
      </c>
      <c r="F93" s="12">
        <f t="shared" si="4"/>
        <v>12394</v>
      </c>
    </row>
    <row r="94" spans="1:6">
      <c r="A94" s="23">
        <v>5</v>
      </c>
      <c r="B94" s="9" t="s">
        <v>473</v>
      </c>
      <c r="C94" s="10">
        <v>8.1449999999999995E-3</v>
      </c>
      <c r="D94" s="12">
        <f>ROUND(D$3*C94,0)</f>
        <v>16034</v>
      </c>
      <c r="E94" s="13">
        <f t="shared" si="3"/>
        <v>8017</v>
      </c>
      <c r="F94" s="12">
        <f t="shared" si="4"/>
        <v>8017</v>
      </c>
    </row>
    <row r="95" spans="1:6">
      <c r="A95" s="23">
        <v>5</v>
      </c>
      <c r="B95" s="9" t="s">
        <v>474</v>
      </c>
      <c r="C95" s="10">
        <v>2.4499999999999999E-3</v>
      </c>
      <c r="D95" s="12">
        <f>ROUND(D$3*C95,0)</f>
        <v>4823</v>
      </c>
      <c r="E95" s="13">
        <f t="shared" si="3"/>
        <v>2412</v>
      </c>
      <c r="F95" s="12">
        <f t="shared" si="4"/>
        <v>2411</v>
      </c>
    </row>
    <row r="96" spans="1:6">
      <c r="A96" s="23">
        <v>5</v>
      </c>
      <c r="B96" s="9" t="s">
        <v>475</v>
      </c>
      <c r="C96" s="10">
        <v>1.0430000000000001E-3</v>
      </c>
      <c r="D96" s="12">
        <f>ROUND(D$3*C96,0)</f>
        <v>2053</v>
      </c>
      <c r="E96" s="13">
        <f t="shared" si="3"/>
        <v>1027</v>
      </c>
      <c r="F96" s="12">
        <f t="shared" si="4"/>
        <v>1026</v>
      </c>
    </row>
    <row r="97" spans="1:8">
      <c r="A97" s="23">
        <v>5</v>
      </c>
      <c r="B97" s="9" t="s">
        <v>476</v>
      </c>
      <c r="C97" s="10">
        <v>1.7300000000001203E-3</v>
      </c>
      <c r="D97" s="12">
        <f>+D3-SUM(D4:D5)-SUM(D10:D64)-D68-D72-D76-D80-D84-D88-SUM(D92:D96)</f>
        <v>3405</v>
      </c>
      <c r="E97" s="13">
        <f t="shared" si="3"/>
        <v>1703</v>
      </c>
      <c r="F97" s="12">
        <f t="shared" si="4"/>
        <v>1702</v>
      </c>
    </row>
    <row r="98" spans="1:8">
      <c r="A98" s="23">
        <v>6</v>
      </c>
      <c r="B98" s="9" t="s">
        <v>477</v>
      </c>
      <c r="C98" s="10">
        <v>0</v>
      </c>
      <c r="D98" s="12">
        <f>ROUND(D$3*C98,0)</f>
        <v>0</v>
      </c>
      <c r="E98" s="13">
        <f t="shared" si="3"/>
        <v>0</v>
      </c>
      <c r="F98" s="12">
        <f t="shared" si="4"/>
        <v>0</v>
      </c>
    </row>
    <row r="99" spans="1:8">
      <c r="A99" s="8"/>
      <c r="B99" s="28" t="s">
        <v>288</v>
      </c>
      <c r="C99" s="10">
        <v>1</v>
      </c>
      <c r="D99" s="12">
        <f>+D4+SUM(D7:D63)+SUM(D66:D67)+SUM(D70:D71)+SUM(D74:D75)+SUM(D78:D79)+SUM(D82:D83)+SUM(D86:D87)+SUM(D90:D98)</f>
        <v>1968593</v>
      </c>
      <c r="E99" s="12">
        <f>+E4+SUM(E7:E63)+SUM(E66:E67)+SUM(E70:E71)+SUM(E74:E75)+SUM(E78:E79)+SUM(E82:E83)+SUM(E86:E87)+SUM(E90:E98)</f>
        <v>984312</v>
      </c>
      <c r="F99" s="12">
        <f>+F4+SUM(F7:F63)+SUM(F66:F67)+SUM(F70:F71)+SUM(F74:F75)+SUM(F78:F79)+SUM(F82:F83)+SUM(F86:F87)+SUM(F90:F98)</f>
        <v>984281</v>
      </c>
    </row>
    <row r="100" spans="1:8">
      <c r="B100" s="18" t="s">
        <v>38</v>
      </c>
      <c r="D100" s="19">
        <f>+D4</f>
        <v>2236</v>
      </c>
      <c r="E100" s="19">
        <f>+E4</f>
        <v>1118</v>
      </c>
      <c r="F100" s="19">
        <f>+F4</f>
        <v>1118</v>
      </c>
    </row>
    <row r="101" spans="1:8">
      <c r="B101" s="2" t="s">
        <v>39</v>
      </c>
      <c r="D101" s="19">
        <f>+D7</f>
        <v>97156</v>
      </c>
      <c r="E101" s="19">
        <f>+E7</f>
        <v>48578</v>
      </c>
      <c r="F101" s="19">
        <f>+F7</f>
        <v>48578</v>
      </c>
    </row>
    <row r="102" spans="1:8">
      <c r="B102" s="2" t="s">
        <v>40</v>
      </c>
      <c r="D102" s="19">
        <f>+D66+D70+D74+D78+D82+D86+D90</f>
        <v>442002</v>
      </c>
      <c r="E102" s="19">
        <f>+E66+E70+E74+E78+E82+E86+E90</f>
        <v>221003</v>
      </c>
      <c r="F102" s="19">
        <f>+F66+F70+F74+F78+F82+F86+F90</f>
        <v>220999</v>
      </c>
      <c r="H102" s="3">
        <v>1</v>
      </c>
    </row>
    <row r="103" spans="1:8">
      <c r="B103" s="18" t="s">
        <v>41</v>
      </c>
      <c r="D103" s="19">
        <f>+D99-D100-D101-D102</f>
        <v>1427199</v>
      </c>
      <c r="E103" s="19">
        <f>+E99-E100-E101-E102</f>
        <v>713613</v>
      </c>
      <c r="F103" s="19">
        <f>+F99-F100-F101-F102</f>
        <v>713586</v>
      </c>
      <c r="H103" s="3">
        <v>2</v>
      </c>
    </row>
    <row r="105" spans="1:8" hidden="1">
      <c r="B105" s="3" t="s">
        <v>42</v>
      </c>
      <c r="C105" s="4">
        <v>-1.9999999998797022E-6</v>
      </c>
      <c r="D105" s="3">
        <f>+D98-ROUND(D30*C98,0)</f>
        <v>0</v>
      </c>
    </row>
  </sheetData>
  <pageMargins left="0.7" right="0.7" top="0.75" bottom="0.75" header="0.3" footer="0.3"/>
  <pageSetup scale="44"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pageSetUpPr fitToPage="1"/>
  </sheetPr>
  <dimension ref="A1:WVB71"/>
  <sheetViews>
    <sheetView topLeftCell="A19" zoomScaleNormal="100" zoomScaleSheetLayoutView="90" workbookViewId="0">
      <selection activeCell="D40" activeCellId="1" sqref="D7:F7 D40:F40"/>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3.140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3.140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3.140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3.140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3.140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3.140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3.140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3.140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3.140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3.140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3.140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3.140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3.140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3.140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3.140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3.140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3.140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3.140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3.140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3.140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3.140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3.140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3.140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3.140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3.140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3.140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3.140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3.140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3.140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3.140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3.140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3.140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3.140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3.140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3.140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3.140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3.140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3.140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3.140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3.140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3.140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3.140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3.140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3.140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3.140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3.140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3.140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3.140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3.140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3.140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3.140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3.140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3.140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3.140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3.140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3.140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3.140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3.140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3.140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3.140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3.140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3.140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3.140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478</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ht="18" customHeight="1">
      <c r="A3" s="7" t="s">
        <v>2</v>
      </c>
      <c r="B3" s="7" t="s">
        <v>3</v>
      </c>
      <c r="C3" s="10"/>
      <c r="D3" s="9">
        <f>'Allocation Worksheet'!$D$24</f>
        <v>116534</v>
      </c>
      <c r="E3" s="11"/>
      <c r="F3" s="11"/>
    </row>
    <row r="4" spans="1:6">
      <c r="A4" s="8">
        <v>0</v>
      </c>
      <c r="B4" s="11" t="s">
        <v>4</v>
      </c>
      <c r="C4" s="10">
        <v>1.103E-3</v>
      </c>
      <c r="D4" s="12">
        <f>ROUND(D$3*C4,0)</f>
        <v>129</v>
      </c>
      <c r="E4" s="13">
        <f>ROUND(D4/2,0)</f>
        <v>65</v>
      </c>
      <c r="F4" s="12">
        <f>D4-E4</f>
        <v>64</v>
      </c>
    </row>
    <row r="5" spans="1:6">
      <c r="A5" s="8">
        <v>1</v>
      </c>
      <c r="B5" s="11" t="s">
        <v>479</v>
      </c>
      <c r="C5" s="10">
        <v>0.28837800000000002</v>
      </c>
      <c r="D5" s="9">
        <f>ROUND(D$3*C5,0)</f>
        <v>33606</v>
      </c>
      <c r="E5" s="11">
        <f>ROUND(D5/2,0)</f>
        <v>16803</v>
      </c>
      <c r="F5" s="9">
        <f>D5-E5</f>
        <v>16803</v>
      </c>
    </row>
    <row r="6" spans="1:6">
      <c r="A6" s="8"/>
      <c r="B6" s="11" t="s">
        <v>6</v>
      </c>
      <c r="C6" s="11"/>
      <c r="D6" s="14">
        <v>0.29178700000000002</v>
      </c>
      <c r="E6" s="11"/>
      <c r="F6" s="11"/>
    </row>
    <row r="7" spans="1:6">
      <c r="A7" s="8"/>
      <c r="B7" s="11" t="s">
        <v>7</v>
      </c>
      <c r="C7" s="11"/>
      <c r="D7" s="225">
        <f>ROUND(D5*D6,0)</f>
        <v>9806</v>
      </c>
      <c r="E7" s="226">
        <f>ROUND(D7/2,0)</f>
        <v>4903</v>
      </c>
      <c r="F7" s="225">
        <f>D7-E7</f>
        <v>4903</v>
      </c>
    </row>
    <row r="8" spans="1:6">
      <c r="A8" s="8"/>
      <c r="B8" s="11" t="s">
        <v>8</v>
      </c>
      <c r="C8" s="11"/>
      <c r="D8" s="12">
        <f>+D5-D7</f>
        <v>23800</v>
      </c>
      <c r="E8" s="13">
        <f>ROUND(D8/2,0)</f>
        <v>11900</v>
      </c>
      <c r="F8" s="12">
        <f>D8-E8</f>
        <v>11900</v>
      </c>
    </row>
    <row r="9" spans="1:6">
      <c r="A9" s="8">
        <v>2</v>
      </c>
      <c r="B9" s="11" t="s">
        <v>429</v>
      </c>
      <c r="C9" s="11"/>
      <c r="D9" s="9"/>
      <c r="E9" s="11"/>
      <c r="F9" s="11"/>
    </row>
    <row r="10" spans="1:6">
      <c r="A10" s="8"/>
      <c r="B10" s="11" t="s">
        <v>10</v>
      </c>
      <c r="C10" s="10">
        <v>1.2199999999999999E-3</v>
      </c>
      <c r="D10" s="12">
        <f>ROUND(D$3*C10,0)</f>
        <v>142</v>
      </c>
      <c r="E10" s="13">
        <f>ROUND(D10/2,0)</f>
        <v>71</v>
      </c>
      <c r="F10" s="12">
        <f>D10-E10</f>
        <v>71</v>
      </c>
    </row>
    <row r="11" spans="1:6">
      <c r="A11" s="8"/>
      <c r="B11" s="11" t="s">
        <v>11</v>
      </c>
      <c r="C11" s="10">
        <v>3.1300000000000002E-4</v>
      </c>
      <c r="D11" s="12">
        <f>ROUND(D$3*C11,0)</f>
        <v>36</v>
      </c>
      <c r="E11" s="13">
        <f>ROUND(D11/2,0)</f>
        <v>18</v>
      </c>
      <c r="F11" s="12">
        <f>D11-E11</f>
        <v>18</v>
      </c>
    </row>
    <row r="12" spans="1:6">
      <c r="A12" s="8">
        <v>2</v>
      </c>
      <c r="B12" s="11" t="s">
        <v>480</v>
      </c>
      <c r="C12" s="11"/>
      <c r="D12" s="9"/>
      <c r="E12" s="11"/>
      <c r="F12" s="11"/>
    </row>
    <row r="13" spans="1:6">
      <c r="A13" s="8"/>
      <c r="B13" s="11" t="s">
        <v>10</v>
      </c>
      <c r="C13" s="10">
        <v>3.7460000000000002E-3</v>
      </c>
      <c r="D13" s="12">
        <f>ROUND(D$3*C13,0)</f>
        <v>437</v>
      </c>
      <c r="E13" s="13">
        <f>ROUND(D13/2,0)</f>
        <v>219</v>
      </c>
      <c r="F13" s="12">
        <f>D13-E13</f>
        <v>218</v>
      </c>
    </row>
    <row r="14" spans="1:6">
      <c r="A14" s="8"/>
      <c r="B14" s="11" t="s">
        <v>11</v>
      </c>
      <c r="C14" s="10">
        <v>3.5199999999999999E-4</v>
      </c>
      <c r="D14" s="12">
        <f>ROUND(D$3*C14,0)</f>
        <v>41</v>
      </c>
      <c r="E14" s="13">
        <f>ROUND(D14/2,0)</f>
        <v>21</v>
      </c>
      <c r="F14" s="12">
        <f>D14-E14</f>
        <v>20</v>
      </c>
    </row>
    <row r="15" spans="1:6">
      <c r="A15" s="8">
        <v>2</v>
      </c>
      <c r="B15" s="11" t="s">
        <v>481</v>
      </c>
      <c r="C15" s="11"/>
      <c r="D15" s="9"/>
      <c r="E15" s="11"/>
      <c r="F15" s="11"/>
    </row>
    <row r="16" spans="1:6">
      <c r="A16" s="8"/>
      <c r="B16" s="11" t="s">
        <v>10</v>
      </c>
      <c r="C16" s="10">
        <v>1.9599999999999999E-4</v>
      </c>
      <c r="D16" s="12">
        <f>ROUND(D$3*C16,0)</f>
        <v>23</v>
      </c>
      <c r="E16" s="13">
        <f>ROUND(D16/2,0)</f>
        <v>12</v>
      </c>
      <c r="F16" s="12">
        <f>D16-E16</f>
        <v>11</v>
      </c>
    </row>
    <row r="17" spans="1:6">
      <c r="A17" s="8"/>
      <c r="B17" s="11" t="s">
        <v>11</v>
      </c>
      <c r="C17" s="10">
        <v>3.8999999999999999E-5</v>
      </c>
      <c r="D17" s="12">
        <f>ROUND(D$3*C17,0)</f>
        <v>5</v>
      </c>
      <c r="E17" s="13">
        <f>ROUND(D17/2,0)</f>
        <v>3</v>
      </c>
      <c r="F17" s="12">
        <f>D17-E17</f>
        <v>2</v>
      </c>
    </row>
    <row r="18" spans="1:6">
      <c r="A18" s="8">
        <v>2</v>
      </c>
      <c r="B18" s="11" t="s">
        <v>86</v>
      </c>
      <c r="C18" s="11"/>
      <c r="D18" s="9"/>
      <c r="E18" s="11"/>
      <c r="F18" s="11"/>
    </row>
    <row r="19" spans="1:6">
      <c r="A19" s="8"/>
      <c r="B19" s="11" t="s">
        <v>10</v>
      </c>
      <c r="C19" s="10">
        <v>1.5020000000000001E-3</v>
      </c>
      <c r="D19" s="12">
        <f>ROUND(D$3*C19,0)</f>
        <v>175</v>
      </c>
      <c r="E19" s="13">
        <f>ROUND(D19/2,0)</f>
        <v>88</v>
      </c>
      <c r="F19" s="12">
        <f>D19-E19</f>
        <v>87</v>
      </c>
    </row>
    <row r="20" spans="1:6">
      <c r="A20" s="8"/>
      <c r="B20" s="11" t="s">
        <v>11</v>
      </c>
      <c r="C20" s="10">
        <v>1.56E-4</v>
      </c>
      <c r="D20" s="12">
        <f>ROUND(D$3*C20,0)</f>
        <v>18</v>
      </c>
      <c r="E20" s="13">
        <f>ROUND(D20/2,0)</f>
        <v>9</v>
      </c>
      <c r="F20" s="12">
        <f>D20-E20</f>
        <v>9</v>
      </c>
    </row>
    <row r="21" spans="1:6">
      <c r="A21" s="8">
        <v>2</v>
      </c>
      <c r="B21" s="11" t="s">
        <v>49</v>
      </c>
      <c r="C21" s="11"/>
      <c r="D21" s="9"/>
      <c r="E21" s="11"/>
      <c r="F21" s="11"/>
    </row>
    <row r="22" spans="1:6">
      <c r="A22" s="8"/>
      <c r="B22" s="11" t="s">
        <v>10</v>
      </c>
      <c r="C22" s="10">
        <v>1.4E-3</v>
      </c>
      <c r="D22" s="12">
        <f>ROUND(D$3*C22,0)</f>
        <v>163</v>
      </c>
      <c r="E22" s="13">
        <f>ROUND(D22/2,0)</f>
        <v>82</v>
      </c>
      <c r="F22" s="12">
        <f>D22-E22</f>
        <v>81</v>
      </c>
    </row>
    <row r="23" spans="1:6">
      <c r="A23" s="8"/>
      <c r="B23" s="11" t="s">
        <v>11</v>
      </c>
      <c r="C23" s="10">
        <v>4.3800000000000002E-4</v>
      </c>
      <c r="D23" s="12">
        <f>ROUND(D$3*C23,0)</f>
        <v>51</v>
      </c>
      <c r="E23" s="13">
        <f>ROUND(D23/2,0)</f>
        <v>26</v>
      </c>
      <c r="F23" s="12">
        <f>D23-E23</f>
        <v>25</v>
      </c>
    </row>
    <row r="24" spans="1:6">
      <c r="A24" s="8">
        <v>2</v>
      </c>
      <c r="B24" s="11" t="s">
        <v>291</v>
      </c>
      <c r="C24" s="11"/>
      <c r="D24" s="9"/>
      <c r="E24" s="11"/>
      <c r="F24" s="11"/>
    </row>
    <row r="25" spans="1:6">
      <c r="A25" s="8"/>
      <c r="B25" s="11" t="s">
        <v>10</v>
      </c>
      <c r="C25" s="10">
        <v>5.6300000000000002E-4</v>
      </c>
      <c r="D25" s="12">
        <f>ROUND(D$3*C25,0)</f>
        <v>66</v>
      </c>
      <c r="E25" s="13">
        <f>ROUND(D25/2,0)</f>
        <v>33</v>
      </c>
      <c r="F25" s="12">
        <f>D25-E25</f>
        <v>33</v>
      </c>
    </row>
    <row r="26" spans="1:6">
      <c r="A26" s="8"/>
      <c r="B26" s="11" t="s">
        <v>11</v>
      </c>
      <c r="C26" s="10">
        <v>1.56E-4</v>
      </c>
      <c r="D26" s="12">
        <f>ROUND(D$3*C26,0)</f>
        <v>18</v>
      </c>
      <c r="E26" s="13">
        <f>ROUND(D26/2,0)</f>
        <v>9</v>
      </c>
      <c r="F26" s="12">
        <f>D26-E26</f>
        <v>9</v>
      </c>
    </row>
    <row r="27" spans="1:6">
      <c r="A27" s="8">
        <v>2</v>
      </c>
      <c r="B27" s="11" t="s">
        <v>482</v>
      </c>
      <c r="C27" s="11"/>
      <c r="D27" s="9"/>
      <c r="E27" s="11"/>
      <c r="F27" s="11"/>
    </row>
    <row r="28" spans="1:6">
      <c r="A28" s="8"/>
      <c r="B28" s="11" t="s">
        <v>10</v>
      </c>
      <c r="C28" s="10">
        <v>1.2830000000000001E-3</v>
      </c>
      <c r="D28" s="12">
        <f>ROUND(D$3*C28,0)</f>
        <v>150</v>
      </c>
      <c r="E28" s="13">
        <f>ROUND(D28/2,0)</f>
        <v>75</v>
      </c>
      <c r="F28" s="12">
        <f>D28-E28</f>
        <v>75</v>
      </c>
    </row>
    <row r="29" spans="1:6">
      <c r="A29" s="8"/>
      <c r="B29" s="11" t="s">
        <v>11</v>
      </c>
      <c r="C29" s="10">
        <v>1.64E-4</v>
      </c>
      <c r="D29" s="12">
        <f>ROUND(D$3*C29,0)</f>
        <v>19</v>
      </c>
      <c r="E29" s="13">
        <f>ROUND(D29/2,0)</f>
        <v>10</v>
      </c>
      <c r="F29" s="12">
        <f>D29-E29</f>
        <v>9</v>
      </c>
    </row>
    <row r="30" spans="1:6">
      <c r="A30" s="8">
        <v>2</v>
      </c>
      <c r="B30" s="11" t="s">
        <v>252</v>
      </c>
      <c r="C30" s="11"/>
      <c r="D30" s="9"/>
      <c r="E30" s="11"/>
      <c r="F30" s="11"/>
    </row>
    <row r="31" spans="1:6">
      <c r="A31" s="8"/>
      <c r="B31" s="11" t="s">
        <v>10</v>
      </c>
      <c r="C31" s="10">
        <v>1.2589999999999999E-3</v>
      </c>
      <c r="D31" s="12">
        <f>ROUND(D$3*C31,0)</f>
        <v>147</v>
      </c>
      <c r="E31" s="13">
        <f>ROUND(D31/2,0)</f>
        <v>74</v>
      </c>
      <c r="F31" s="12">
        <f>D31-E31</f>
        <v>73</v>
      </c>
    </row>
    <row r="32" spans="1:6">
      <c r="A32" s="8"/>
      <c r="B32" s="11" t="s">
        <v>11</v>
      </c>
      <c r="C32" s="10">
        <v>7.9799999999999999E-4</v>
      </c>
      <c r="D32" s="12">
        <f>ROUND(D$3*C32,0)</f>
        <v>93</v>
      </c>
      <c r="E32" s="13">
        <f>ROUND(D32/2,0)</f>
        <v>47</v>
      </c>
      <c r="F32" s="12">
        <f>D32-E32</f>
        <v>46</v>
      </c>
    </row>
    <row r="33" spans="1:8">
      <c r="A33" s="8">
        <v>2</v>
      </c>
      <c r="B33" s="11" t="s">
        <v>483</v>
      </c>
      <c r="C33" s="11"/>
      <c r="D33" s="9"/>
      <c r="E33" s="11"/>
      <c r="F33" s="11"/>
    </row>
    <row r="34" spans="1:8">
      <c r="A34" s="8"/>
      <c r="B34" s="11" t="s">
        <v>10</v>
      </c>
      <c r="C34" s="10">
        <v>8.4500000000000005E-4</v>
      </c>
      <c r="D34" s="12">
        <f>ROUND(D$3*C34,0)</f>
        <v>98</v>
      </c>
      <c r="E34" s="13">
        <f>ROUND(D34/2,0)</f>
        <v>49</v>
      </c>
      <c r="F34" s="12">
        <f>D34-E34</f>
        <v>49</v>
      </c>
    </row>
    <row r="35" spans="1:8">
      <c r="A35" s="8"/>
      <c r="B35" s="11" t="s">
        <v>11</v>
      </c>
      <c r="C35" s="10">
        <v>2.5000000000000001E-4</v>
      </c>
      <c r="D35" s="12">
        <f>ROUND(D$3*C35,0)</f>
        <v>29</v>
      </c>
      <c r="E35" s="13">
        <f>ROUND(D35/2,0)</f>
        <v>15</v>
      </c>
      <c r="F35" s="12">
        <f>D35-E35</f>
        <v>14</v>
      </c>
    </row>
    <row r="36" spans="1:8">
      <c r="A36" s="8">
        <v>3</v>
      </c>
      <c r="B36" s="11" t="s">
        <v>484</v>
      </c>
      <c r="C36" s="10">
        <v>0.16173799999999999</v>
      </c>
      <c r="D36" s="12">
        <f>ROUND(D$3*C36,0)</f>
        <v>18848</v>
      </c>
      <c r="E36" s="13">
        <f>ROUND(D36/2,0)</f>
        <v>9424</v>
      </c>
      <c r="F36" s="12">
        <f>D36-E36</f>
        <v>9424</v>
      </c>
    </row>
    <row r="37" spans="1:8">
      <c r="A37" s="8">
        <v>3</v>
      </c>
      <c r="B37" s="11" t="s">
        <v>485</v>
      </c>
      <c r="C37" s="10">
        <v>1.3060000000000001E-3</v>
      </c>
      <c r="D37" s="12">
        <f>ROUND(D$3*C37,0)</f>
        <v>152</v>
      </c>
      <c r="E37" s="13">
        <f>ROUND(D37/2,0)</f>
        <v>76</v>
      </c>
      <c r="F37" s="12">
        <f>D37-E37</f>
        <v>76</v>
      </c>
    </row>
    <row r="38" spans="1:8">
      <c r="A38" s="8">
        <v>4</v>
      </c>
      <c r="B38" s="11" t="s">
        <v>486</v>
      </c>
      <c r="C38" s="10">
        <v>0.50625299999999995</v>
      </c>
      <c r="D38" s="9">
        <f>ROUND(D$3*C38,0)</f>
        <v>58996</v>
      </c>
      <c r="E38" s="11">
        <f>ROUND(D38/2,0)</f>
        <v>29498</v>
      </c>
      <c r="F38" s="9">
        <f>D38-E38</f>
        <v>29498</v>
      </c>
    </row>
    <row r="39" spans="1:8">
      <c r="A39" s="8"/>
      <c r="B39" s="11" t="s">
        <v>28</v>
      </c>
      <c r="C39" s="11"/>
      <c r="D39" s="14">
        <v>0.51203299999999996</v>
      </c>
      <c r="E39" s="11"/>
      <c r="F39" s="11"/>
    </row>
    <row r="40" spans="1:8">
      <c r="A40" s="8"/>
      <c r="B40" s="11" t="s">
        <v>29</v>
      </c>
      <c r="C40" s="11"/>
      <c r="D40" s="225">
        <f>ROUND(D38*D39,0)</f>
        <v>30208</v>
      </c>
      <c r="E40" s="226">
        <f>ROUND(D40/2,0)</f>
        <v>15104</v>
      </c>
      <c r="F40" s="225">
        <f>D40-E40</f>
        <v>15104</v>
      </c>
    </row>
    <row r="41" spans="1:8">
      <c r="A41" s="8"/>
      <c r="B41" s="11" t="s">
        <v>30</v>
      </c>
      <c r="C41" s="11"/>
      <c r="D41" s="12">
        <f>+D38-D40</f>
        <v>28788</v>
      </c>
      <c r="E41" s="13">
        <f>ROUND(D41/2,0)</f>
        <v>14394</v>
      </c>
      <c r="F41" s="12">
        <f>D41-E41</f>
        <v>14394</v>
      </c>
    </row>
    <row r="42" spans="1:8">
      <c r="A42" s="8">
        <v>5</v>
      </c>
      <c r="B42" s="11" t="s">
        <v>487</v>
      </c>
      <c r="C42" s="10">
        <v>2.6542000000000066E-2</v>
      </c>
      <c r="D42" s="12">
        <f>+D3-SUM(D4:D5)-SUM(D10:D38)</f>
        <v>3092</v>
      </c>
      <c r="E42" s="13">
        <f>ROUND(D42/2,0)</f>
        <v>1546</v>
      </c>
      <c r="F42" s="12">
        <f>D42-E42</f>
        <v>1546</v>
      </c>
    </row>
    <row r="43" spans="1:8">
      <c r="A43" s="8">
        <v>6</v>
      </c>
      <c r="B43" s="11" t="s">
        <v>488</v>
      </c>
      <c r="C43" s="10">
        <v>0</v>
      </c>
      <c r="D43" s="12">
        <f>ROUND(D$3*C43,0)</f>
        <v>0</v>
      </c>
      <c r="E43" s="13">
        <f>ROUND(D43/2,0)</f>
        <v>0</v>
      </c>
      <c r="F43" s="12">
        <f>D43-E43</f>
        <v>0</v>
      </c>
    </row>
    <row r="44" spans="1:8">
      <c r="A44" s="8"/>
      <c r="B44" s="28" t="s">
        <v>288</v>
      </c>
      <c r="C44" s="10">
        <v>1</v>
      </c>
      <c r="D44" s="12">
        <f>+D4+SUM(D7:D37)+SUM(D40:D43)</f>
        <v>116534</v>
      </c>
      <c r="E44" s="12">
        <f>+E4+SUM(E7:E37)+SUM(E40:E43)</f>
        <v>58273</v>
      </c>
      <c r="F44" s="12">
        <f>+F4+SUM(F7:F37)+SUM(F40:F43)</f>
        <v>58261</v>
      </c>
    </row>
    <row r="45" spans="1:8">
      <c r="B45" s="18" t="s">
        <v>38</v>
      </c>
      <c r="D45" s="19">
        <f>+D4</f>
        <v>129</v>
      </c>
      <c r="E45" s="19">
        <f>+E4</f>
        <v>65</v>
      </c>
      <c r="F45" s="19">
        <f>+F4</f>
        <v>64</v>
      </c>
    </row>
    <row r="46" spans="1:8">
      <c r="B46" s="2" t="s">
        <v>39</v>
      </c>
      <c r="D46" s="19">
        <f>+D7</f>
        <v>9806</v>
      </c>
      <c r="E46" s="19">
        <f>+E7</f>
        <v>4903</v>
      </c>
      <c r="F46" s="19">
        <f>+F7</f>
        <v>4903</v>
      </c>
    </row>
    <row r="47" spans="1:8">
      <c r="B47" s="2" t="s">
        <v>40</v>
      </c>
      <c r="D47" s="19">
        <f>+D40</f>
        <v>30208</v>
      </c>
      <c r="E47" s="19">
        <f>+E40</f>
        <v>15104</v>
      </c>
      <c r="F47" s="19">
        <f>+F40</f>
        <v>15104</v>
      </c>
      <c r="H47" s="3">
        <v>1</v>
      </c>
    </row>
    <row r="48" spans="1:8">
      <c r="B48" s="18" t="s">
        <v>41</v>
      </c>
      <c r="D48" s="19">
        <f>+D44-D45-D46-D47</f>
        <v>76391</v>
      </c>
      <c r="E48" s="19">
        <f>+E44-E45-E46-E47</f>
        <v>38201</v>
      </c>
      <c r="F48" s="19">
        <f>+F44-F45-F46-F47</f>
        <v>38190</v>
      </c>
      <c r="H48" s="3">
        <v>2</v>
      </c>
    </row>
    <row r="50" spans="2:4" hidden="1">
      <c r="B50" s="3" t="s">
        <v>42</v>
      </c>
      <c r="C50" s="4">
        <v>-9.999999999350806E-7</v>
      </c>
      <c r="D50" s="3">
        <f>+D42-ROUND(D3*C42,0)</f>
        <v>-1</v>
      </c>
    </row>
    <row r="71" spans="1:1">
      <c r="A71" s="1" t="s">
        <v>590</v>
      </c>
    </row>
  </sheetData>
  <pageMargins left="0.7" right="0.7" top="0.75" bottom="0.75" header="0.3" footer="0.3"/>
  <pageSetup scale="64"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pageSetUpPr fitToPage="1"/>
  </sheetPr>
  <dimension ref="A1:WVB71"/>
  <sheetViews>
    <sheetView zoomScaleNormal="100" zoomScaleSheetLayoutView="90" workbookViewId="0">
      <selection activeCell="D29" activeCellId="1" sqref="D7:F7 D29:F29"/>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28515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28515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28515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28515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28515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28515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28515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28515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28515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28515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28515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28515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28515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28515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28515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28515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28515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28515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28515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28515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28515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28515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28515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28515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28515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28515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28515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28515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28515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28515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28515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28515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28515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28515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28515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28515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28515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28515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28515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28515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28515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28515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28515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28515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28515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28515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28515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28515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28515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28515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28515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28515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28515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28515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28515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28515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28515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28515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28515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28515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28515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28515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28515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489</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Worksheet'!$D$25</f>
        <v>390393</v>
      </c>
      <c r="E3" s="11"/>
      <c r="F3" s="11"/>
    </row>
    <row r="4" spans="1:6">
      <c r="A4" s="42">
        <v>0</v>
      </c>
      <c r="B4" s="24" t="s">
        <v>4</v>
      </c>
      <c r="C4" s="10">
        <v>9.9200000000000004E-4</v>
      </c>
      <c r="D4" s="12">
        <f>ROUND(D$3*C4,0)</f>
        <v>387</v>
      </c>
      <c r="E4" s="13">
        <f>ROUND(D4/2,0)</f>
        <v>194</v>
      </c>
      <c r="F4" s="12">
        <f>D4-E4</f>
        <v>193</v>
      </c>
    </row>
    <row r="5" spans="1:6">
      <c r="A5" s="42">
        <v>1</v>
      </c>
      <c r="B5" s="24" t="s">
        <v>490</v>
      </c>
      <c r="C5" s="10">
        <v>0.149034</v>
      </c>
      <c r="D5" s="9">
        <f>ROUND(D$3*C5,0)</f>
        <v>58182</v>
      </c>
      <c r="E5" s="11">
        <f>ROUND(D5/2,0)</f>
        <v>29091</v>
      </c>
      <c r="F5" s="9">
        <f>D5-E5</f>
        <v>29091</v>
      </c>
    </row>
    <row r="6" spans="1:6">
      <c r="A6" s="42"/>
      <c r="B6" s="11" t="s">
        <v>6</v>
      </c>
      <c r="C6" s="11"/>
      <c r="D6" s="14">
        <v>0.35183399999999998</v>
      </c>
      <c r="E6" s="11"/>
      <c r="F6" s="11"/>
    </row>
    <row r="7" spans="1:6">
      <c r="A7" s="42"/>
      <c r="B7" s="11" t="s">
        <v>7</v>
      </c>
      <c r="C7" s="11"/>
      <c r="D7" s="225">
        <f>ROUND(D5*D6,0)</f>
        <v>20470</v>
      </c>
      <c r="E7" s="226">
        <f>ROUND(D7/2,0)</f>
        <v>10235</v>
      </c>
      <c r="F7" s="225">
        <f>D7-E7</f>
        <v>10235</v>
      </c>
    </row>
    <row r="8" spans="1:6">
      <c r="A8" s="42"/>
      <c r="B8" s="11" t="s">
        <v>8</v>
      </c>
      <c r="C8" s="11"/>
      <c r="D8" s="12">
        <f>+D5-D7</f>
        <v>37712</v>
      </c>
      <c r="E8" s="13">
        <f>ROUND(D8/2,0)</f>
        <v>18856</v>
      </c>
      <c r="F8" s="12">
        <f>D8-E8</f>
        <v>18856</v>
      </c>
    </row>
    <row r="9" spans="1:6">
      <c r="A9" s="42">
        <v>2</v>
      </c>
      <c r="B9" s="24" t="s">
        <v>372</v>
      </c>
      <c r="C9" s="11"/>
      <c r="D9" s="9"/>
      <c r="E9" s="11"/>
      <c r="F9" s="11"/>
    </row>
    <row r="10" spans="1:6">
      <c r="A10" s="42"/>
      <c r="B10" s="24" t="s">
        <v>10</v>
      </c>
      <c r="C10" s="10">
        <v>6.9999999999999999E-6</v>
      </c>
      <c r="D10" s="12">
        <f>ROUND(D$3*C10,0)</f>
        <v>3</v>
      </c>
      <c r="E10" s="13">
        <f>ROUND(D10/2,0)</f>
        <v>2</v>
      </c>
      <c r="F10" s="12">
        <f>D10-E10</f>
        <v>1</v>
      </c>
    </row>
    <row r="11" spans="1:6">
      <c r="A11" s="42"/>
      <c r="B11" s="24" t="s">
        <v>11</v>
      </c>
      <c r="C11" s="10">
        <v>5.0000000000000004E-6</v>
      </c>
      <c r="D11" s="12">
        <f>ROUND(D$3*C11,0)</f>
        <v>2</v>
      </c>
      <c r="E11" s="13">
        <f>ROUND(D11/2,0)</f>
        <v>1</v>
      </c>
      <c r="F11" s="12">
        <f>D11-E11</f>
        <v>1</v>
      </c>
    </row>
    <row r="12" spans="1:6">
      <c r="A12" s="42">
        <v>2</v>
      </c>
      <c r="B12" s="24" t="s">
        <v>491</v>
      </c>
      <c r="C12" s="11"/>
      <c r="D12" s="9"/>
      <c r="E12" s="11"/>
      <c r="F12" s="11"/>
    </row>
    <row r="13" spans="1:6">
      <c r="A13" s="42"/>
      <c r="B13" s="24" t="s">
        <v>10</v>
      </c>
      <c r="C13" s="10">
        <v>1.1400000000000001E-4</v>
      </c>
      <c r="D13" s="12">
        <f>ROUND(D$3*C13,0)</f>
        <v>45</v>
      </c>
      <c r="E13" s="13">
        <f>ROUND(D13/2,0)</f>
        <v>23</v>
      </c>
      <c r="F13" s="12">
        <f>D13-E13</f>
        <v>22</v>
      </c>
    </row>
    <row r="14" spans="1:6">
      <c r="A14" s="42"/>
      <c r="B14" s="24" t="s">
        <v>11</v>
      </c>
      <c r="C14" s="10">
        <v>1.3999999999999999E-4</v>
      </c>
      <c r="D14" s="12">
        <f>ROUND(D$3*C14,0)</f>
        <v>55</v>
      </c>
      <c r="E14" s="13">
        <f>ROUND(D14/2,0)</f>
        <v>28</v>
      </c>
      <c r="F14" s="12">
        <f>D14-E14</f>
        <v>27</v>
      </c>
    </row>
    <row r="15" spans="1:6">
      <c r="A15" s="42">
        <v>2</v>
      </c>
      <c r="B15" s="24" t="s">
        <v>492</v>
      </c>
      <c r="C15" s="11"/>
      <c r="D15" s="9"/>
      <c r="E15" s="11"/>
      <c r="F15" s="11"/>
    </row>
    <row r="16" spans="1:6">
      <c r="A16" s="42"/>
      <c r="B16" s="24" t="s">
        <v>10</v>
      </c>
      <c r="C16" s="10">
        <v>4.7600000000000002E-4</v>
      </c>
      <c r="D16" s="12">
        <f>ROUND(D$3*C16,0)</f>
        <v>186</v>
      </c>
      <c r="E16" s="13">
        <f>ROUND(D16/2,0)</f>
        <v>93</v>
      </c>
      <c r="F16" s="12">
        <f>D16-E16</f>
        <v>93</v>
      </c>
    </row>
    <row r="17" spans="1:6">
      <c r="A17" s="42"/>
      <c r="B17" s="24" t="s">
        <v>11</v>
      </c>
      <c r="C17" s="10">
        <v>1.3190000000000001E-3</v>
      </c>
      <c r="D17" s="12">
        <f>ROUND(D$3*C17,0)</f>
        <v>515</v>
      </c>
      <c r="E17" s="13">
        <f>ROUND(D17/2,0)</f>
        <v>258</v>
      </c>
      <c r="F17" s="12">
        <f>D17-E17</f>
        <v>257</v>
      </c>
    </row>
    <row r="18" spans="1:6">
      <c r="A18" s="42">
        <v>2</v>
      </c>
      <c r="B18" s="24" t="s">
        <v>50</v>
      </c>
      <c r="C18" s="11"/>
      <c r="D18" s="9"/>
      <c r="E18" s="11"/>
      <c r="F18" s="11"/>
    </row>
    <row r="19" spans="1:6">
      <c r="A19" s="42"/>
      <c r="B19" s="24" t="s">
        <v>10</v>
      </c>
      <c r="C19" s="10">
        <v>1.3209999999999999E-3</v>
      </c>
      <c r="D19" s="12">
        <f>ROUND(D$3*C19,0)</f>
        <v>516</v>
      </c>
      <c r="E19" s="13">
        <f>ROUND(D19/2,0)</f>
        <v>258</v>
      </c>
      <c r="F19" s="12">
        <f>D19-E19</f>
        <v>258</v>
      </c>
    </row>
    <row r="20" spans="1:6">
      <c r="A20" s="42"/>
      <c r="B20" s="24" t="s">
        <v>11</v>
      </c>
      <c r="C20" s="10">
        <v>1.127E-3</v>
      </c>
      <c r="D20" s="12">
        <f>ROUND(D$3*C20,0)</f>
        <v>440</v>
      </c>
      <c r="E20" s="13">
        <f>ROUND(D20/2,0)</f>
        <v>220</v>
      </c>
      <c r="F20" s="12">
        <f>D20-E20</f>
        <v>220</v>
      </c>
    </row>
    <row r="21" spans="1:6">
      <c r="A21" s="42">
        <v>2</v>
      </c>
      <c r="B21" s="24" t="s">
        <v>493</v>
      </c>
      <c r="C21" s="11"/>
      <c r="D21" s="9"/>
      <c r="E21" s="11"/>
      <c r="F21" s="11"/>
    </row>
    <row r="22" spans="1:6">
      <c r="A22" s="42"/>
      <c r="B22" s="24" t="s">
        <v>10</v>
      </c>
      <c r="C22" s="10">
        <v>4.0590000000000001E-3</v>
      </c>
      <c r="D22" s="12">
        <f t="shared" ref="D22:D27" si="0">ROUND(D$3*C22,0)</f>
        <v>1585</v>
      </c>
      <c r="E22" s="13">
        <f t="shared" ref="E22:E27" si="1">ROUND(D22/2,0)</f>
        <v>793</v>
      </c>
      <c r="F22" s="12">
        <f t="shared" ref="F22:F27" si="2">D22-E22</f>
        <v>792</v>
      </c>
    </row>
    <row r="23" spans="1:6">
      <c r="A23" s="42"/>
      <c r="B23" s="24" t="s">
        <v>11</v>
      </c>
      <c r="C23" s="10">
        <v>7.6999999999999996E-4</v>
      </c>
      <c r="D23" s="12">
        <f t="shared" si="0"/>
        <v>301</v>
      </c>
      <c r="E23" s="13">
        <f t="shared" si="1"/>
        <v>151</v>
      </c>
      <c r="F23" s="12">
        <f t="shared" si="2"/>
        <v>150</v>
      </c>
    </row>
    <row r="24" spans="1:6">
      <c r="A24" s="42">
        <v>3</v>
      </c>
      <c r="B24" s="24" t="s">
        <v>494</v>
      </c>
      <c r="C24" s="10">
        <v>8.7500000000000002E-4</v>
      </c>
      <c r="D24" s="12">
        <f t="shared" si="0"/>
        <v>342</v>
      </c>
      <c r="E24" s="13">
        <f t="shared" si="1"/>
        <v>171</v>
      </c>
      <c r="F24" s="12">
        <f t="shared" si="2"/>
        <v>171</v>
      </c>
    </row>
    <row r="25" spans="1:6">
      <c r="A25" s="42">
        <v>3</v>
      </c>
      <c r="B25" s="24" t="s">
        <v>495</v>
      </c>
      <c r="C25" s="10">
        <v>4.5100000000000001E-4</v>
      </c>
      <c r="D25" s="12">
        <f t="shared" si="0"/>
        <v>176</v>
      </c>
      <c r="E25" s="13">
        <f t="shared" si="1"/>
        <v>88</v>
      </c>
      <c r="F25" s="12">
        <f t="shared" si="2"/>
        <v>88</v>
      </c>
    </row>
    <row r="26" spans="1:6">
      <c r="A26" s="42">
        <v>3</v>
      </c>
      <c r="B26" s="24" t="s">
        <v>496</v>
      </c>
      <c r="C26" s="10">
        <v>0.23466699999999999</v>
      </c>
      <c r="D26" s="12">
        <f t="shared" si="0"/>
        <v>91612</v>
      </c>
      <c r="E26" s="13">
        <f t="shared" si="1"/>
        <v>45806</v>
      </c>
      <c r="F26" s="12">
        <f t="shared" si="2"/>
        <v>45806</v>
      </c>
    </row>
    <row r="27" spans="1:6">
      <c r="A27" s="42">
        <v>4</v>
      </c>
      <c r="B27" s="24" t="s">
        <v>497</v>
      </c>
      <c r="C27" s="10">
        <v>0.570295</v>
      </c>
      <c r="D27" s="9">
        <f t="shared" si="0"/>
        <v>222639</v>
      </c>
      <c r="E27" s="11">
        <f t="shared" si="1"/>
        <v>111320</v>
      </c>
      <c r="F27" s="9">
        <f t="shared" si="2"/>
        <v>111319</v>
      </c>
    </row>
    <row r="28" spans="1:6">
      <c r="A28" s="42"/>
      <c r="B28" s="11" t="s">
        <v>28</v>
      </c>
      <c r="C28" s="11"/>
      <c r="D28" s="14">
        <v>0.40936099999999997</v>
      </c>
      <c r="E28" s="11"/>
      <c r="F28" s="11"/>
    </row>
    <row r="29" spans="1:6">
      <c r="A29" s="42"/>
      <c r="B29" s="11" t="s">
        <v>29</v>
      </c>
      <c r="C29" s="11"/>
      <c r="D29" s="225">
        <f>ROUND(D27*D28,0)</f>
        <v>91140</v>
      </c>
      <c r="E29" s="226">
        <f>ROUND(D29/2,0)</f>
        <v>45570</v>
      </c>
      <c r="F29" s="225">
        <f>D29-E29</f>
        <v>45570</v>
      </c>
    </row>
    <row r="30" spans="1:6">
      <c r="A30" s="42"/>
      <c r="B30" s="11" t="s">
        <v>30</v>
      </c>
      <c r="C30" s="11"/>
      <c r="D30" s="12">
        <f>+D27-D29</f>
        <v>131499</v>
      </c>
      <c r="E30" s="13">
        <f>ROUND(D30/2,0)</f>
        <v>65750</v>
      </c>
      <c r="F30" s="12">
        <f>D30-E30</f>
        <v>65749</v>
      </c>
    </row>
    <row r="31" spans="1:6">
      <c r="A31" s="42">
        <v>5</v>
      </c>
      <c r="B31" s="24" t="s">
        <v>498</v>
      </c>
      <c r="C31" s="10">
        <v>2.8225E-2</v>
      </c>
      <c r="D31" s="12">
        <f>ROUND(D$3*C31,0)</f>
        <v>11019</v>
      </c>
      <c r="E31" s="13">
        <f>ROUND(D31/2,0)</f>
        <v>5510</v>
      </c>
      <c r="F31" s="12">
        <f>D31-E31</f>
        <v>5509</v>
      </c>
    </row>
    <row r="32" spans="1:6">
      <c r="A32" s="42">
        <v>6</v>
      </c>
      <c r="B32" s="24" t="s">
        <v>499</v>
      </c>
      <c r="C32" s="10">
        <v>0</v>
      </c>
      <c r="D32" s="12">
        <f>ROUND(D$3*C32,0)</f>
        <v>0</v>
      </c>
      <c r="E32" s="13">
        <f>ROUND(D32/2,0)</f>
        <v>0</v>
      </c>
      <c r="F32" s="12">
        <f>D32-E32</f>
        <v>0</v>
      </c>
    </row>
    <row r="33" spans="1:8">
      <c r="A33" s="42">
        <v>6</v>
      </c>
      <c r="B33" s="24" t="s">
        <v>500</v>
      </c>
      <c r="C33" s="10">
        <v>6.1230000000001006E-3</v>
      </c>
      <c r="D33" s="12">
        <f>+D3-SUM(D4:D5)-SUM(D10:D27)-SUM(D31:D32)</f>
        <v>2388</v>
      </c>
      <c r="E33" s="13">
        <f>ROUND(D33/2,0)</f>
        <v>1194</v>
      </c>
      <c r="F33" s="12">
        <f>D33-E33</f>
        <v>1194</v>
      </c>
    </row>
    <row r="34" spans="1:8">
      <c r="A34" s="8"/>
      <c r="B34" s="28" t="s">
        <v>288</v>
      </c>
      <c r="C34" s="10">
        <v>1</v>
      </c>
      <c r="D34" s="12">
        <f>+D4+SUM(D7:D26)+SUM(D29:D33)</f>
        <v>390393</v>
      </c>
      <c r="E34" s="12">
        <f>+E4+SUM(E7:E26)+SUM(E29:E33)</f>
        <v>195201</v>
      </c>
      <c r="F34" s="12">
        <f>+F4+SUM(F7:F26)+SUM(F29:F33)</f>
        <v>195192</v>
      </c>
    </row>
    <row r="35" spans="1:8">
      <c r="B35" s="18" t="s">
        <v>38</v>
      </c>
      <c r="D35" s="19">
        <f>+D4</f>
        <v>387</v>
      </c>
      <c r="E35" s="19">
        <f>+E4</f>
        <v>194</v>
      </c>
      <c r="F35" s="19">
        <f>+F4</f>
        <v>193</v>
      </c>
    </row>
    <row r="36" spans="1:8">
      <c r="B36" s="2" t="s">
        <v>39</v>
      </c>
      <c r="D36" s="19">
        <f>+D7</f>
        <v>20470</v>
      </c>
      <c r="E36" s="19">
        <f>+E7</f>
        <v>10235</v>
      </c>
      <c r="F36" s="19">
        <f>+F7</f>
        <v>10235</v>
      </c>
    </row>
    <row r="37" spans="1:8">
      <c r="B37" s="2" t="s">
        <v>40</v>
      </c>
      <c r="D37" s="19">
        <f>+D29</f>
        <v>91140</v>
      </c>
      <c r="E37" s="19">
        <f>+E29</f>
        <v>45570</v>
      </c>
      <c r="F37" s="19">
        <f>+F29</f>
        <v>45570</v>
      </c>
      <c r="H37" s="3">
        <v>1</v>
      </c>
    </row>
    <row r="38" spans="1:8">
      <c r="B38" s="18" t="s">
        <v>41</v>
      </c>
      <c r="D38" s="19">
        <f>+D34-D35-D36-D37</f>
        <v>278396</v>
      </c>
      <c r="E38" s="19">
        <f>+E34-E35-E36-E37</f>
        <v>139202</v>
      </c>
      <c r="F38" s="19">
        <f>+F34-F35-F36-F37</f>
        <v>139194</v>
      </c>
      <c r="H38" s="3">
        <v>2</v>
      </c>
    </row>
    <row r="40" spans="1:8" hidden="1">
      <c r="B40" s="3" t="s">
        <v>42</v>
      </c>
      <c r="C40" s="4">
        <v>2.0000000001008794E-6</v>
      </c>
      <c r="D40" s="3">
        <f>+D33-ROUND(D3*C33,0)</f>
        <v>-2</v>
      </c>
    </row>
    <row r="71" spans="1:1">
      <c r="A71" s="1" t="s">
        <v>590</v>
      </c>
    </row>
  </sheetData>
  <pageMargins left="0.7" right="0.7" top="0.75" bottom="0.75" header="0.3" footer="0.3"/>
  <pageSetup scale="6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pageSetUpPr fitToPage="1"/>
  </sheetPr>
  <dimension ref="A1:WVB72"/>
  <sheetViews>
    <sheetView topLeftCell="A39" zoomScaleNormal="100" zoomScaleSheetLayoutView="90" workbookViewId="0">
      <selection activeCell="D60" activeCellId="3" sqref="D7:F7 D52:F52 D56:F56 D60:F60"/>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57031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57031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57031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57031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57031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57031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57031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57031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57031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57031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57031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57031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57031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57031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57031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57031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57031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57031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57031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57031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57031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57031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57031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57031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57031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57031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57031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57031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57031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57031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57031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57031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57031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57031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57031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57031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57031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57031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57031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57031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57031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57031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57031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57031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57031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57031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57031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57031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57031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57031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57031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57031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57031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57031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57031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57031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57031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57031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57031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57031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57031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57031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57031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501</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Worksheet'!$D$26</f>
        <v>99816</v>
      </c>
      <c r="E3" s="13"/>
      <c r="F3" s="12"/>
    </row>
    <row r="4" spans="1:6">
      <c r="A4" s="8">
        <v>0</v>
      </c>
      <c r="B4" s="11" t="s">
        <v>4</v>
      </c>
      <c r="C4" s="10">
        <v>1.6069999999999999E-3</v>
      </c>
      <c r="D4" s="12">
        <f>ROUND(D$3*C4,0)</f>
        <v>160</v>
      </c>
      <c r="E4" s="13">
        <f>ROUND(D4/2,0)</f>
        <v>80</v>
      </c>
      <c r="F4" s="12">
        <f>D4-E4</f>
        <v>80</v>
      </c>
    </row>
    <row r="5" spans="1:6">
      <c r="A5" s="8">
        <v>1</v>
      </c>
      <c r="B5" s="11" t="s">
        <v>502</v>
      </c>
      <c r="C5" s="10">
        <v>0.220917</v>
      </c>
      <c r="D5" s="9">
        <f>ROUND(D$3*C5,0)</f>
        <v>22051</v>
      </c>
      <c r="E5" s="11">
        <f>ROUND(D5/2,0)</f>
        <v>11026</v>
      </c>
      <c r="F5" s="9">
        <f>D5-E5</f>
        <v>11025</v>
      </c>
    </row>
    <row r="6" spans="1:6">
      <c r="A6" s="8"/>
      <c r="B6" s="11" t="s">
        <v>6</v>
      </c>
      <c r="C6" s="11"/>
      <c r="D6" s="14">
        <v>0.233317</v>
      </c>
      <c r="E6" s="11"/>
      <c r="F6" s="11"/>
    </row>
    <row r="7" spans="1:6">
      <c r="A7" s="8"/>
      <c r="B7" s="11" t="s">
        <v>7</v>
      </c>
      <c r="C7" s="11"/>
      <c r="D7" s="228">
        <f>ROUND(D5*D6,0)</f>
        <v>5145</v>
      </c>
      <c r="E7" s="229">
        <f>ROUND(D7/2,0)</f>
        <v>2573</v>
      </c>
      <c r="F7" s="228">
        <f>D7-E7</f>
        <v>2572</v>
      </c>
    </row>
    <row r="8" spans="1:6">
      <c r="A8" s="8"/>
      <c r="B8" s="11" t="s">
        <v>8</v>
      </c>
      <c r="C8" s="11"/>
      <c r="D8" s="12">
        <f>+D5-D7</f>
        <v>16906</v>
      </c>
      <c r="E8" s="13">
        <f>ROUND(D8/2,0)</f>
        <v>8453</v>
      </c>
      <c r="F8" s="12">
        <f>D8-E8</f>
        <v>8453</v>
      </c>
    </row>
    <row r="9" spans="1:6">
      <c r="A9" s="8">
        <v>2</v>
      </c>
      <c r="B9" s="11" t="s">
        <v>503</v>
      </c>
      <c r="C9" s="11"/>
      <c r="D9" s="9"/>
      <c r="E9" s="11"/>
      <c r="F9" s="11"/>
    </row>
    <row r="10" spans="1:6">
      <c r="A10" s="8"/>
      <c r="B10" s="11" t="s">
        <v>10</v>
      </c>
      <c r="C10" s="10">
        <v>9.1299999999999997E-4</v>
      </c>
      <c r="D10" s="12">
        <f>ROUND(D$3*C10,0)</f>
        <v>91</v>
      </c>
      <c r="E10" s="13">
        <f>ROUND(D10/2,0)</f>
        <v>46</v>
      </c>
      <c r="F10" s="12">
        <f>D10-E10</f>
        <v>45</v>
      </c>
    </row>
    <row r="11" spans="1:6">
      <c r="A11" s="8"/>
      <c r="B11" s="11" t="s">
        <v>11</v>
      </c>
      <c r="C11" s="10">
        <v>9.77E-4</v>
      </c>
      <c r="D11" s="12">
        <f>ROUND(D$3*C11,0)</f>
        <v>98</v>
      </c>
      <c r="E11" s="13">
        <f>ROUND(D11/2,0)</f>
        <v>49</v>
      </c>
      <c r="F11" s="12">
        <f>D11-E11</f>
        <v>49</v>
      </c>
    </row>
    <row r="12" spans="1:6">
      <c r="A12" s="8">
        <v>2</v>
      </c>
      <c r="B12" s="11" t="s">
        <v>504</v>
      </c>
      <c r="C12" s="11"/>
      <c r="D12" s="9"/>
      <c r="E12" s="11"/>
      <c r="F12" s="11"/>
    </row>
    <row r="13" spans="1:6">
      <c r="A13" s="8"/>
      <c r="B13" s="11" t="s">
        <v>10</v>
      </c>
      <c r="C13" s="10">
        <v>8.2200000000000003E-4</v>
      </c>
      <c r="D13" s="12">
        <f>ROUND(D$3*C13,0)</f>
        <v>82</v>
      </c>
      <c r="E13" s="13">
        <f>ROUND(D13/2,0)</f>
        <v>41</v>
      </c>
      <c r="F13" s="12">
        <f>D13-E13</f>
        <v>41</v>
      </c>
    </row>
    <row r="14" spans="1:6">
      <c r="A14" s="8"/>
      <c r="B14" s="11" t="s">
        <v>11</v>
      </c>
      <c r="C14" s="10">
        <v>3.4699999999999998E-4</v>
      </c>
      <c r="D14" s="12">
        <f>ROUND(D$3*C14,0)</f>
        <v>35</v>
      </c>
      <c r="E14" s="13">
        <f>ROUND(D14/2,0)</f>
        <v>18</v>
      </c>
      <c r="F14" s="12">
        <f>D14-E14</f>
        <v>17</v>
      </c>
    </row>
    <row r="15" spans="1:6">
      <c r="A15" s="8">
        <v>2</v>
      </c>
      <c r="B15" s="11" t="s">
        <v>505</v>
      </c>
      <c r="C15" s="11"/>
      <c r="D15" s="9"/>
      <c r="E15" s="11"/>
      <c r="F15" s="11"/>
    </row>
    <row r="16" spans="1:6">
      <c r="A16" s="8"/>
      <c r="B16" s="11" t="s">
        <v>10</v>
      </c>
      <c r="C16" s="10">
        <v>4.2900000000000002E-4</v>
      </c>
      <c r="D16" s="12">
        <f>ROUND(D$3*C16,0)</f>
        <v>43</v>
      </c>
      <c r="E16" s="13">
        <f>ROUND(D16/2,0)</f>
        <v>22</v>
      </c>
      <c r="F16" s="12">
        <f>D16-E16</f>
        <v>21</v>
      </c>
    </row>
    <row r="17" spans="1:6">
      <c r="A17" s="8"/>
      <c r="B17" s="11" t="s">
        <v>11</v>
      </c>
      <c r="C17" s="10">
        <v>3.8400000000000001E-4</v>
      </c>
      <c r="D17" s="12">
        <f>ROUND(D$3*C17,0)</f>
        <v>38</v>
      </c>
      <c r="E17" s="13">
        <f>ROUND(D17/2,0)</f>
        <v>19</v>
      </c>
      <c r="F17" s="12">
        <f>D17-E17</f>
        <v>19</v>
      </c>
    </row>
    <row r="18" spans="1:6">
      <c r="A18" s="8">
        <v>2</v>
      </c>
      <c r="B18" s="11" t="s">
        <v>49</v>
      </c>
      <c r="C18" s="11"/>
      <c r="D18" s="9"/>
      <c r="E18" s="11"/>
      <c r="F18" s="11"/>
    </row>
    <row r="19" spans="1:6">
      <c r="A19" s="8"/>
      <c r="B19" s="11" t="s">
        <v>10</v>
      </c>
      <c r="C19" s="10">
        <v>9.1299999999999997E-4</v>
      </c>
      <c r="D19" s="12">
        <f>ROUND(D$3*C19,0)</f>
        <v>91</v>
      </c>
      <c r="E19" s="13">
        <f>ROUND(D19/2,0)</f>
        <v>46</v>
      </c>
      <c r="F19" s="12">
        <f>D19-E19</f>
        <v>45</v>
      </c>
    </row>
    <row r="20" spans="1:6">
      <c r="A20" s="8"/>
      <c r="B20" s="11" t="s">
        <v>11</v>
      </c>
      <c r="C20" s="10">
        <v>7.2999999999999996E-4</v>
      </c>
      <c r="D20" s="12">
        <f>ROUND(D$3*C20,0)</f>
        <v>73</v>
      </c>
      <c r="E20" s="13">
        <f>ROUND(D20/2,0)</f>
        <v>37</v>
      </c>
      <c r="F20" s="12">
        <f>D20-E20</f>
        <v>36</v>
      </c>
    </row>
    <row r="21" spans="1:6">
      <c r="A21" s="8">
        <v>2</v>
      </c>
      <c r="B21" s="11" t="s">
        <v>335</v>
      </c>
      <c r="C21" s="11"/>
      <c r="D21" s="9"/>
      <c r="E21" s="11"/>
      <c r="F21" s="11"/>
    </row>
    <row r="22" spans="1:6">
      <c r="A22" s="8"/>
      <c r="B22" s="11" t="s">
        <v>10</v>
      </c>
      <c r="C22" s="10">
        <v>6.3000000000000003E-4</v>
      </c>
      <c r="D22" s="12">
        <f>ROUND(D$3*C22,0)</f>
        <v>63</v>
      </c>
      <c r="E22" s="13">
        <f>ROUND(D22/2,0)</f>
        <v>32</v>
      </c>
      <c r="F22" s="12">
        <f>D22-E22</f>
        <v>31</v>
      </c>
    </row>
    <row r="23" spans="1:6">
      <c r="A23" s="8"/>
      <c r="B23" s="11" t="s">
        <v>11</v>
      </c>
      <c r="C23" s="10">
        <v>4.6E-5</v>
      </c>
      <c r="D23" s="12">
        <f>ROUND(D$3*C23,0)</f>
        <v>5</v>
      </c>
      <c r="E23" s="13">
        <f>ROUND(D23/2,0)</f>
        <v>3</v>
      </c>
      <c r="F23" s="12">
        <f>D23-E23</f>
        <v>2</v>
      </c>
    </row>
    <row r="24" spans="1:6">
      <c r="A24" s="8">
        <v>2</v>
      </c>
      <c r="B24" s="11" t="s">
        <v>506</v>
      </c>
      <c r="C24" s="11"/>
      <c r="D24" s="9"/>
      <c r="E24" s="11"/>
      <c r="F24" s="11"/>
    </row>
    <row r="25" spans="1:6">
      <c r="A25" s="8"/>
      <c r="B25" s="11" t="s">
        <v>10</v>
      </c>
      <c r="C25" s="10">
        <v>1.5709999999999999E-3</v>
      </c>
      <c r="D25" s="12">
        <f>ROUND(D$3*C25,0)</f>
        <v>157</v>
      </c>
      <c r="E25" s="13">
        <f>ROUND(D25/2,0)</f>
        <v>79</v>
      </c>
      <c r="F25" s="12">
        <f>D25-E25</f>
        <v>78</v>
      </c>
    </row>
    <row r="26" spans="1:6">
      <c r="A26" s="8"/>
      <c r="B26" s="11" t="s">
        <v>11</v>
      </c>
      <c r="C26" s="10">
        <v>2.6480000000000002E-3</v>
      </c>
      <c r="D26" s="12">
        <f>ROUND(D$3*C26,0)</f>
        <v>264</v>
      </c>
      <c r="E26" s="13">
        <f>ROUND(D26/2,0)</f>
        <v>132</v>
      </c>
      <c r="F26" s="12">
        <f>D26-E26</f>
        <v>132</v>
      </c>
    </row>
    <row r="27" spans="1:6">
      <c r="A27" s="8">
        <v>2</v>
      </c>
      <c r="B27" s="11" t="s">
        <v>114</v>
      </c>
      <c r="C27" s="11"/>
      <c r="D27" s="9"/>
      <c r="E27" s="11"/>
      <c r="F27" s="11"/>
    </row>
    <row r="28" spans="1:6">
      <c r="A28" s="8"/>
      <c r="B28" s="11" t="s">
        <v>10</v>
      </c>
      <c r="C28" s="10">
        <v>1.3879999999999999E-3</v>
      </c>
      <c r="D28" s="12">
        <f>ROUND(D$3*C28,0)</f>
        <v>139</v>
      </c>
      <c r="E28" s="13">
        <f>ROUND(D28/2,0)</f>
        <v>70</v>
      </c>
      <c r="F28" s="12">
        <f>D28-E28</f>
        <v>69</v>
      </c>
    </row>
    <row r="29" spans="1:6">
      <c r="A29" s="8"/>
      <c r="B29" s="11" t="s">
        <v>11</v>
      </c>
      <c r="C29" s="10">
        <v>1.1869999999999999E-3</v>
      </c>
      <c r="D29" s="12">
        <f>ROUND(D$3*C29,0)</f>
        <v>118</v>
      </c>
      <c r="E29" s="13">
        <f>ROUND(D29/2,0)</f>
        <v>59</v>
      </c>
      <c r="F29" s="12">
        <f>D29-E29</f>
        <v>59</v>
      </c>
    </row>
    <row r="30" spans="1:6">
      <c r="A30" s="8">
        <v>2</v>
      </c>
      <c r="B30" s="11" t="s">
        <v>507</v>
      </c>
      <c r="C30" s="11"/>
      <c r="D30" s="9"/>
      <c r="E30" s="11"/>
      <c r="F30" s="11"/>
    </row>
    <row r="31" spans="1:6">
      <c r="A31" s="8"/>
      <c r="B31" s="11" t="s">
        <v>10</v>
      </c>
      <c r="C31" s="10">
        <v>8.2200000000000003E-4</v>
      </c>
      <c r="D31" s="12">
        <f>ROUND(D$3*C31,0)</f>
        <v>82</v>
      </c>
      <c r="E31" s="13">
        <f>ROUND(D31/2,0)</f>
        <v>41</v>
      </c>
      <c r="F31" s="12">
        <f>D31-E31</f>
        <v>41</v>
      </c>
    </row>
    <row r="32" spans="1:6">
      <c r="A32" s="8"/>
      <c r="B32" s="11" t="s">
        <v>11</v>
      </c>
      <c r="C32" s="10">
        <v>3.2899999999999997E-4</v>
      </c>
      <c r="D32" s="12">
        <f>ROUND(D$3*C32,0)</f>
        <v>33</v>
      </c>
      <c r="E32" s="13">
        <f>ROUND(D32/2,0)</f>
        <v>17</v>
      </c>
      <c r="F32" s="12">
        <f>D32-E32</f>
        <v>16</v>
      </c>
    </row>
    <row r="33" spans="1:6">
      <c r="A33" s="8">
        <v>2</v>
      </c>
      <c r="B33" s="11" t="s">
        <v>378</v>
      </c>
      <c r="C33" s="11"/>
      <c r="D33" s="9"/>
      <c r="E33" s="11"/>
      <c r="F33" s="11"/>
    </row>
    <row r="34" spans="1:6">
      <c r="A34" s="8"/>
      <c r="B34" s="11" t="s">
        <v>10</v>
      </c>
      <c r="C34" s="10">
        <v>8.4189999999999994E-3</v>
      </c>
      <c r="D34" s="12">
        <f>ROUND(D$3*C34,0)</f>
        <v>840</v>
      </c>
      <c r="E34" s="13">
        <f>ROUND(D34/2,0)</f>
        <v>420</v>
      </c>
      <c r="F34" s="12">
        <f>D34-E34</f>
        <v>420</v>
      </c>
    </row>
    <row r="35" spans="1:6">
      <c r="A35" s="8"/>
      <c r="B35" s="11" t="s">
        <v>11</v>
      </c>
      <c r="C35" s="10">
        <v>3.4420000000000002E-3</v>
      </c>
      <c r="D35" s="12">
        <f>ROUND(D$3*C35,0)</f>
        <v>344</v>
      </c>
      <c r="E35" s="13">
        <f>ROUND(D35/2,0)</f>
        <v>172</v>
      </c>
      <c r="F35" s="12">
        <f>D35-E35</f>
        <v>172</v>
      </c>
    </row>
    <row r="36" spans="1:6">
      <c r="A36" s="8">
        <v>2</v>
      </c>
      <c r="B36" s="11" t="s">
        <v>169</v>
      </c>
      <c r="C36" s="11"/>
      <c r="D36" s="9"/>
      <c r="E36" s="11"/>
      <c r="F36" s="11"/>
    </row>
    <row r="37" spans="1:6">
      <c r="A37" s="8"/>
      <c r="B37" s="11" t="s">
        <v>10</v>
      </c>
      <c r="C37" s="10">
        <v>4.0090000000000004E-3</v>
      </c>
      <c r="D37" s="12">
        <f>ROUND(D$3*C37,0)</f>
        <v>400</v>
      </c>
      <c r="E37" s="13">
        <f>ROUND(D37/2,0)</f>
        <v>200</v>
      </c>
      <c r="F37" s="12">
        <f>D37-E37</f>
        <v>200</v>
      </c>
    </row>
    <row r="38" spans="1:6">
      <c r="A38" s="8"/>
      <c r="B38" s="11" t="s">
        <v>11</v>
      </c>
      <c r="C38" s="10">
        <v>1.361E-3</v>
      </c>
      <c r="D38" s="12">
        <f>ROUND(D$3*C38,0)</f>
        <v>136</v>
      </c>
      <c r="E38" s="13">
        <f>ROUND(D38/2,0)</f>
        <v>68</v>
      </c>
      <c r="F38" s="12">
        <f>D38-E38</f>
        <v>68</v>
      </c>
    </row>
    <row r="39" spans="1:6">
      <c r="A39" s="8">
        <v>2</v>
      </c>
      <c r="B39" s="11" t="s">
        <v>21</v>
      </c>
      <c r="C39" s="11"/>
      <c r="D39" s="9"/>
      <c r="E39" s="11"/>
      <c r="F39" s="11"/>
    </row>
    <row r="40" spans="1:6">
      <c r="A40" s="8"/>
      <c r="B40" s="11" t="s">
        <v>10</v>
      </c>
      <c r="C40" s="10">
        <v>9.3099999999999997E-4</v>
      </c>
      <c r="D40" s="12">
        <f t="shared" ref="D40:D50" si="0">ROUND(D$3*C40,0)</f>
        <v>93</v>
      </c>
      <c r="E40" s="13">
        <f t="shared" ref="E40:E50" si="1">ROUND(D40/2,0)</f>
        <v>47</v>
      </c>
      <c r="F40" s="12">
        <f t="shared" ref="F40:F50" si="2">D40-E40</f>
        <v>46</v>
      </c>
    </row>
    <row r="41" spans="1:6">
      <c r="A41" s="8"/>
      <c r="B41" s="11" t="s">
        <v>11</v>
      </c>
      <c r="C41" s="10">
        <v>4.66E-4</v>
      </c>
      <c r="D41" s="12">
        <f t="shared" si="0"/>
        <v>47</v>
      </c>
      <c r="E41" s="13">
        <f t="shared" si="1"/>
        <v>24</v>
      </c>
      <c r="F41" s="12">
        <f t="shared" si="2"/>
        <v>23</v>
      </c>
    </row>
    <row r="42" spans="1:6">
      <c r="A42" s="8">
        <v>3</v>
      </c>
      <c r="B42" s="11" t="s">
        <v>508</v>
      </c>
      <c r="C42" s="10">
        <v>6.2550000000000001E-3</v>
      </c>
      <c r="D42" s="12">
        <f t="shared" si="0"/>
        <v>624</v>
      </c>
      <c r="E42" s="13">
        <f t="shared" si="1"/>
        <v>312</v>
      </c>
      <c r="F42" s="12">
        <f t="shared" si="2"/>
        <v>312</v>
      </c>
    </row>
    <row r="43" spans="1:6">
      <c r="A43" s="8">
        <v>3</v>
      </c>
      <c r="B43" s="11" t="s">
        <v>509</v>
      </c>
      <c r="C43" s="10">
        <v>1.2729000000000001E-2</v>
      </c>
      <c r="D43" s="12">
        <f t="shared" si="0"/>
        <v>1271</v>
      </c>
      <c r="E43" s="13">
        <f t="shared" si="1"/>
        <v>636</v>
      </c>
      <c r="F43" s="12">
        <f t="shared" si="2"/>
        <v>635</v>
      </c>
    </row>
    <row r="44" spans="1:6">
      <c r="A44" s="8">
        <v>3</v>
      </c>
      <c r="B44" s="11" t="s">
        <v>510</v>
      </c>
      <c r="C44" s="10">
        <v>1.3879999999999999E-3</v>
      </c>
      <c r="D44" s="12">
        <f t="shared" si="0"/>
        <v>139</v>
      </c>
      <c r="E44" s="13">
        <f t="shared" si="1"/>
        <v>70</v>
      </c>
      <c r="F44" s="12">
        <f t="shared" si="2"/>
        <v>69</v>
      </c>
    </row>
    <row r="45" spans="1:6">
      <c r="A45" s="8">
        <v>3</v>
      </c>
      <c r="B45" s="11" t="s">
        <v>511</v>
      </c>
      <c r="C45" s="10">
        <v>2.0100000000000001E-4</v>
      </c>
      <c r="D45" s="12">
        <f t="shared" si="0"/>
        <v>20</v>
      </c>
      <c r="E45" s="13">
        <f t="shared" si="1"/>
        <v>10</v>
      </c>
      <c r="F45" s="12">
        <f t="shared" si="2"/>
        <v>10</v>
      </c>
    </row>
    <row r="46" spans="1:6">
      <c r="A46" s="8">
        <v>3</v>
      </c>
      <c r="B46" s="11" t="s">
        <v>512</v>
      </c>
      <c r="C46" s="10">
        <v>6.7599999999999995E-4</v>
      </c>
      <c r="D46" s="12">
        <f t="shared" si="0"/>
        <v>67</v>
      </c>
      <c r="E46" s="13">
        <f t="shared" si="1"/>
        <v>34</v>
      </c>
      <c r="F46" s="12">
        <f t="shared" si="2"/>
        <v>33</v>
      </c>
    </row>
    <row r="47" spans="1:6">
      <c r="A47" s="8">
        <v>3</v>
      </c>
      <c r="B47" s="11" t="s">
        <v>513</v>
      </c>
      <c r="C47" s="10">
        <v>9.0000000000000002E-6</v>
      </c>
      <c r="D47" s="12">
        <f t="shared" si="0"/>
        <v>1</v>
      </c>
      <c r="E47" s="13">
        <f t="shared" si="1"/>
        <v>1</v>
      </c>
      <c r="F47" s="12">
        <f t="shared" si="2"/>
        <v>0</v>
      </c>
    </row>
    <row r="48" spans="1:6">
      <c r="A48" s="8">
        <v>3</v>
      </c>
      <c r="B48" s="11" t="s">
        <v>514</v>
      </c>
      <c r="C48" s="10">
        <v>3.1870000000000002E-3</v>
      </c>
      <c r="D48" s="12">
        <f t="shared" si="0"/>
        <v>318</v>
      </c>
      <c r="E48" s="13">
        <f t="shared" si="1"/>
        <v>159</v>
      </c>
      <c r="F48" s="12">
        <f t="shared" si="2"/>
        <v>159</v>
      </c>
    </row>
    <row r="49" spans="1:6">
      <c r="A49" s="8">
        <v>3</v>
      </c>
      <c r="B49" s="11" t="s">
        <v>515</v>
      </c>
      <c r="C49" s="10">
        <v>1.55E-4</v>
      </c>
      <c r="D49" s="12">
        <f t="shared" si="0"/>
        <v>15</v>
      </c>
      <c r="E49" s="13">
        <f t="shared" si="1"/>
        <v>8</v>
      </c>
      <c r="F49" s="12">
        <f t="shared" si="2"/>
        <v>7</v>
      </c>
    </row>
    <row r="50" spans="1:6">
      <c r="A50" s="8">
        <v>4</v>
      </c>
      <c r="B50" s="11" t="s">
        <v>516</v>
      </c>
      <c r="C50" s="10">
        <v>0.11621099999999999</v>
      </c>
      <c r="D50" s="9">
        <f t="shared" si="0"/>
        <v>11600</v>
      </c>
      <c r="E50" s="11">
        <f t="shared" si="1"/>
        <v>5800</v>
      </c>
      <c r="F50" s="9">
        <f t="shared" si="2"/>
        <v>5800</v>
      </c>
    </row>
    <row r="51" spans="1:6">
      <c r="A51" s="8"/>
      <c r="B51" s="11" t="s">
        <v>28</v>
      </c>
      <c r="C51" s="11"/>
      <c r="D51" s="14">
        <v>0.41362100000000002</v>
      </c>
      <c r="E51" s="11"/>
      <c r="F51" s="11"/>
    </row>
    <row r="52" spans="1:6">
      <c r="A52" s="8"/>
      <c r="B52" s="11" t="s">
        <v>29</v>
      </c>
      <c r="C52" s="11"/>
      <c r="D52" s="228">
        <f>ROUND(D50*D51,0)</f>
        <v>4798</v>
      </c>
      <c r="E52" s="229">
        <f>ROUND(D52/2,0)</f>
        <v>2399</v>
      </c>
      <c r="F52" s="228">
        <f>D52-E52</f>
        <v>2399</v>
      </c>
    </row>
    <row r="53" spans="1:6">
      <c r="A53" s="8"/>
      <c r="B53" s="11" t="s">
        <v>30</v>
      </c>
      <c r="C53" s="11"/>
      <c r="D53" s="12">
        <f>+D50-D52</f>
        <v>6802</v>
      </c>
      <c r="E53" s="13">
        <f>ROUND(D53/2,0)</f>
        <v>3401</v>
      </c>
      <c r="F53" s="12">
        <f>D53-E53</f>
        <v>3401</v>
      </c>
    </row>
    <row r="54" spans="1:6">
      <c r="A54" s="8">
        <v>4</v>
      </c>
      <c r="B54" s="11" t="s">
        <v>517</v>
      </c>
      <c r="C54" s="10">
        <v>0.28880699999999998</v>
      </c>
      <c r="D54" s="9">
        <f>ROUND(D$3*C54,0)</f>
        <v>28828</v>
      </c>
      <c r="E54" s="11">
        <f>ROUND(D54/2,0)</f>
        <v>14414</v>
      </c>
      <c r="F54" s="9">
        <f>D54-E54</f>
        <v>14414</v>
      </c>
    </row>
    <row r="55" spans="1:6">
      <c r="A55" s="8"/>
      <c r="B55" s="11" t="s">
        <v>28</v>
      </c>
      <c r="C55" s="11"/>
      <c r="D55" s="14">
        <v>0.45889000000000002</v>
      </c>
      <c r="E55" s="11"/>
      <c r="F55" s="11"/>
    </row>
    <row r="56" spans="1:6">
      <c r="A56" s="8"/>
      <c r="B56" s="11" t="s">
        <v>29</v>
      </c>
      <c r="C56" s="11"/>
      <c r="D56" s="228">
        <f>ROUND(D54*D55,0)</f>
        <v>13229</v>
      </c>
      <c r="E56" s="229">
        <f>ROUND(D56/2,0)</f>
        <v>6615</v>
      </c>
      <c r="F56" s="228">
        <f>D56-E56</f>
        <v>6614</v>
      </c>
    </row>
    <row r="57" spans="1:6">
      <c r="A57" s="8"/>
      <c r="B57" s="11" t="s">
        <v>30</v>
      </c>
      <c r="C57" s="11"/>
      <c r="D57" s="12">
        <f>+D54-D56</f>
        <v>15599</v>
      </c>
      <c r="E57" s="13">
        <f>ROUND(D57/2,0)</f>
        <v>7800</v>
      </c>
      <c r="F57" s="12">
        <f>D57-E57</f>
        <v>7799</v>
      </c>
    </row>
    <row r="58" spans="1:6">
      <c r="A58" s="8">
        <v>4</v>
      </c>
      <c r="B58" s="11" t="s">
        <v>518</v>
      </c>
      <c r="C58" s="10">
        <v>0.279503</v>
      </c>
      <c r="D58" s="9">
        <f>ROUND(D$3*C58,0)</f>
        <v>27899</v>
      </c>
      <c r="E58" s="11">
        <f>ROUND(D58/2,0)</f>
        <v>13950</v>
      </c>
      <c r="F58" s="9">
        <f>D58-E58</f>
        <v>13949</v>
      </c>
    </row>
    <row r="59" spans="1:6">
      <c r="A59" s="8"/>
      <c r="B59" s="11" t="s">
        <v>28</v>
      </c>
      <c r="C59" s="11"/>
      <c r="D59" s="14">
        <v>0.49110100000000001</v>
      </c>
      <c r="E59" s="11"/>
      <c r="F59" s="11"/>
    </row>
    <row r="60" spans="1:6">
      <c r="A60" s="8"/>
      <c r="B60" s="11" t="s">
        <v>29</v>
      </c>
      <c r="C60" s="11"/>
      <c r="D60" s="228">
        <f>ROUND(D58*D59,0)</f>
        <v>13701</v>
      </c>
      <c r="E60" s="229">
        <f t="shared" ref="E60:E65" si="3">ROUND(D60/2,0)</f>
        <v>6851</v>
      </c>
      <c r="F60" s="228">
        <f t="shared" ref="F60:F65" si="4">D60-E60</f>
        <v>6850</v>
      </c>
    </row>
    <row r="61" spans="1:6">
      <c r="A61" s="8"/>
      <c r="B61" s="11" t="s">
        <v>30</v>
      </c>
      <c r="C61" s="11"/>
      <c r="D61" s="12">
        <f>+D58-D60</f>
        <v>14198</v>
      </c>
      <c r="E61" s="13">
        <f t="shared" si="3"/>
        <v>7099</v>
      </c>
      <c r="F61" s="12">
        <f t="shared" si="4"/>
        <v>7099</v>
      </c>
    </row>
    <row r="62" spans="1:6">
      <c r="A62" s="8">
        <v>5</v>
      </c>
      <c r="B62" s="11" t="s">
        <v>519</v>
      </c>
      <c r="C62" s="10">
        <v>4.9579999999999997E-3</v>
      </c>
      <c r="D62" s="12">
        <f>ROUND(D$3*C62,0)</f>
        <v>495</v>
      </c>
      <c r="E62" s="13">
        <f t="shared" si="3"/>
        <v>248</v>
      </c>
      <c r="F62" s="12">
        <f t="shared" si="4"/>
        <v>247</v>
      </c>
    </row>
    <row r="63" spans="1:6">
      <c r="A63" s="8">
        <v>5</v>
      </c>
      <c r="B63" s="11" t="s">
        <v>520</v>
      </c>
      <c r="C63" s="10">
        <v>1.1743E-2</v>
      </c>
      <c r="D63" s="12">
        <f>ROUND(D$3*C63,0)</f>
        <v>1172</v>
      </c>
      <c r="E63" s="13">
        <f t="shared" si="3"/>
        <v>586</v>
      </c>
      <c r="F63" s="12">
        <f t="shared" si="4"/>
        <v>586</v>
      </c>
    </row>
    <row r="64" spans="1:6">
      <c r="A64" s="8">
        <v>5</v>
      </c>
      <c r="B64" s="11" t="s">
        <v>521</v>
      </c>
      <c r="C64" s="10">
        <v>3.0409999999999999E-3</v>
      </c>
      <c r="D64" s="12">
        <f>ROUND(D$3*C64,0)</f>
        <v>304</v>
      </c>
      <c r="E64" s="13">
        <f t="shared" si="3"/>
        <v>152</v>
      </c>
      <c r="F64" s="12">
        <f t="shared" si="4"/>
        <v>152</v>
      </c>
    </row>
    <row r="65" spans="1:8">
      <c r="A65" s="8">
        <v>6</v>
      </c>
      <c r="B65" s="11" t="s">
        <v>522</v>
      </c>
      <c r="C65" s="10">
        <v>1.5849000000000002E-2</v>
      </c>
      <c r="D65" s="12">
        <f>+D3-SUM(D4:D5)-SUM(D10:D50)-D54-D58-SUM(D62:D64)</f>
        <v>1580</v>
      </c>
      <c r="E65" s="13">
        <f t="shared" si="3"/>
        <v>790</v>
      </c>
      <c r="F65" s="12">
        <f t="shared" si="4"/>
        <v>790</v>
      </c>
    </row>
    <row r="66" spans="1:8">
      <c r="A66" s="8"/>
      <c r="B66" s="28" t="s">
        <v>288</v>
      </c>
      <c r="C66" s="10">
        <v>1</v>
      </c>
      <c r="D66" s="12">
        <f>+D4+SUM(D7:D49)+SUM(D52:D53)+SUM(D56:D57)+SUM(D60:D65)</f>
        <v>99816</v>
      </c>
      <c r="E66" s="12">
        <f>+E4+SUM(E7:E49)+SUM(E52:E53)+SUM(E56:E57)+SUM(E60:E65)</f>
        <v>49919</v>
      </c>
      <c r="F66" s="12">
        <f>+F4+SUM(F7:F49)+SUM(F52:F53)+SUM(F56:F57)+SUM(F60:F65)</f>
        <v>49897</v>
      </c>
    </row>
    <row r="67" spans="1:8">
      <c r="B67" s="18" t="s">
        <v>38</v>
      </c>
      <c r="D67" s="19">
        <f>+D4</f>
        <v>160</v>
      </c>
      <c r="E67" s="19">
        <f>+E4</f>
        <v>80</v>
      </c>
      <c r="F67" s="19">
        <f>+F4</f>
        <v>80</v>
      </c>
    </row>
    <row r="68" spans="1:8">
      <c r="B68" s="2" t="s">
        <v>39</v>
      </c>
      <c r="D68" s="19">
        <f>+D7</f>
        <v>5145</v>
      </c>
      <c r="E68" s="19">
        <f>+E7</f>
        <v>2573</v>
      </c>
      <c r="F68" s="19">
        <f>+F7</f>
        <v>2572</v>
      </c>
    </row>
    <row r="69" spans="1:8">
      <c r="B69" s="2" t="s">
        <v>40</v>
      </c>
      <c r="D69" s="19">
        <f>+D52+D56+D60</f>
        <v>31728</v>
      </c>
      <c r="E69" s="19">
        <f>+E52+E56+E60</f>
        <v>15865</v>
      </c>
      <c r="F69" s="19">
        <f>+F52+F56+F60</f>
        <v>15863</v>
      </c>
      <c r="H69" s="3">
        <v>1</v>
      </c>
    </row>
    <row r="70" spans="1:8">
      <c r="B70" s="18" t="s">
        <v>41</v>
      </c>
      <c r="D70" s="19">
        <f>+D66-D67-D68-D69</f>
        <v>62783</v>
      </c>
      <c r="E70" s="19">
        <f>+E66-E67-E68-E69</f>
        <v>31401</v>
      </c>
      <c r="F70" s="19">
        <f>+F66-F67-F68-F69</f>
        <v>31382</v>
      </c>
      <c r="H70" s="3">
        <v>2</v>
      </c>
    </row>
    <row r="71" spans="1:8">
      <c r="A71" s="1" t="s">
        <v>590</v>
      </c>
    </row>
    <row r="72" spans="1:8" hidden="1">
      <c r="B72" s="3" t="s">
        <v>42</v>
      </c>
      <c r="C72" s="4">
        <v>-2.9999999999995308E-6</v>
      </c>
      <c r="D72" s="3">
        <f>+D65-ROUND(D3*C65,0)</f>
        <v>-2</v>
      </c>
    </row>
  </sheetData>
  <pageMargins left="0.7" right="0.7" top="0.75" bottom="0.75" header="0.3" footer="0.3"/>
  <pageSetup scale="63"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pageSetUpPr fitToPage="1"/>
  </sheetPr>
  <dimension ref="A1:WVB76"/>
  <sheetViews>
    <sheetView topLeftCell="A43" zoomScaleNormal="100" zoomScaleSheetLayoutView="90" workbookViewId="0">
      <selection activeCell="D64" activeCellId="3" sqref="D7:F7 D56:F56 D60:F60 D64:F64"/>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7109375" style="3" hidden="1"/>
    <col min="190" max="246" width="9.140625" style="3" hidden="1"/>
    <col min="247" max="247" width="16.28515625" style="3" hidden="1"/>
    <col min="248" max="248" width="17.5703125" style="3" hidden="1"/>
    <col min="249" max="249" width="16" style="3" hidden="1"/>
    <col min="250" max="250" width="18.140625" style="3" hidden="1"/>
    <col min="251" max="443" width="9.140625" style="3" hidden="1"/>
    <col min="444" max="444" width="11" style="3" hidden="1"/>
    <col min="445" max="445" width="54.7109375" style="3" hidden="1"/>
    <col min="446" max="502" width="9.140625" style="3" hidden="1"/>
    <col min="503" max="503" width="16.28515625" style="3" hidden="1"/>
    <col min="504" max="504" width="17.5703125" style="3" hidden="1"/>
    <col min="505" max="505" width="16" style="3" hidden="1"/>
    <col min="506" max="506" width="18.140625" style="3" hidden="1"/>
    <col min="507" max="699" width="9.140625" style="3" hidden="1"/>
    <col min="700" max="700" width="11" style="3" hidden="1"/>
    <col min="701" max="701" width="54.7109375" style="3" hidden="1"/>
    <col min="702" max="758" width="9.140625" style="3" hidden="1"/>
    <col min="759" max="759" width="16.28515625" style="3" hidden="1"/>
    <col min="760" max="760" width="17.5703125" style="3" hidden="1"/>
    <col min="761" max="761" width="16" style="3" hidden="1"/>
    <col min="762" max="762" width="18.140625" style="3" hidden="1"/>
    <col min="763" max="955" width="9.140625" style="3" hidden="1"/>
    <col min="956" max="956" width="11" style="3" hidden="1"/>
    <col min="957" max="957" width="54.7109375" style="3" hidden="1"/>
    <col min="958" max="1014" width="9.140625" style="3" hidden="1"/>
    <col min="1015" max="1015" width="16.28515625" style="3" hidden="1"/>
    <col min="1016" max="1016" width="17.5703125" style="3" hidden="1"/>
    <col min="1017" max="1017" width="16" style="3" hidden="1"/>
    <col min="1018" max="1018" width="18.140625" style="3" hidden="1"/>
    <col min="1019" max="1211" width="9.140625" style="3" hidden="1"/>
    <col min="1212" max="1212" width="11" style="3" hidden="1"/>
    <col min="1213" max="1213" width="54.7109375" style="3" hidden="1"/>
    <col min="1214" max="1270" width="9.140625" style="3" hidden="1"/>
    <col min="1271" max="1271" width="16.28515625" style="3" hidden="1"/>
    <col min="1272" max="1272" width="17.5703125" style="3" hidden="1"/>
    <col min="1273" max="1273" width="16" style="3" hidden="1"/>
    <col min="1274" max="1274" width="18.140625" style="3" hidden="1"/>
    <col min="1275" max="1467" width="9.140625" style="3" hidden="1"/>
    <col min="1468" max="1468" width="11" style="3" hidden="1"/>
    <col min="1469" max="1469" width="54.7109375" style="3" hidden="1"/>
    <col min="1470" max="1526" width="9.140625" style="3" hidden="1"/>
    <col min="1527" max="1527" width="16.28515625" style="3" hidden="1"/>
    <col min="1528" max="1528" width="17.5703125" style="3" hidden="1"/>
    <col min="1529" max="1529" width="16" style="3" hidden="1"/>
    <col min="1530" max="1530" width="18.140625" style="3" hidden="1"/>
    <col min="1531" max="1723" width="9.140625" style="3" hidden="1"/>
    <col min="1724" max="1724" width="11" style="3" hidden="1"/>
    <col min="1725" max="1725" width="54.7109375" style="3" hidden="1"/>
    <col min="1726" max="1782" width="9.140625" style="3" hidden="1"/>
    <col min="1783" max="1783" width="16.28515625" style="3" hidden="1"/>
    <col min="1784" max="1784" width="17.5703125" style="3" hidden="1"/>
    <col min="1785" max="1785" width="16" style="3" hidden="1"/>
    <col min="1786" max="1786" width="18.140625" style="3" hidden="1"/>
    <col min="1787" max="1979" width="9.140625" style="3" hidden="1"/>
    <col min="1980" max="1980" width="11" style="3" hidden="1"/>
    <col min="1981" max="1981" width="54.7109375" style="3" hidden="1"/>
    <col min="1982" max="2038" width="9.140625" style="3" hidden="1"/>
    <col min="2039" max="2039" width="16.28515625" style="3" hidden="1"/>
    <col min="2040" max="2040" width="17.5703125" style="3" hidden="1"/>
    <col min="2041" max="2041" width="16" style="3" hidden="1"/>
    <col min="2042" max="2042" width="18.140625" style="3" hidden="1"/>
    <col min="2043" max="2235" width="9.140625" style="3" hidden="1"/>
    <col min="2236" max="2236" width="11" style="3" hidden="1"/>
    <col min="2237" max="2237" width="54.7109375" style="3" hidden="1"/>
    <col min="2238" max="2294" width="9.140625" style="3" hidden="1"/>
    <col min="2295" max="2295" width="16.28515625" style="3" hidden="1"/>
    <col min="2296" max="2296" width="17.5703125" style="3" hidden="1"/>
    <col min="2297" max="2297" width="16" style="3" hidden="1"/>
    <col min="2298" max="2298" width="18.140625" style="3" hidden="1"/>
    <col min="2299" max="2491" width="9.140625" style="3" hidden="1"/>
    <col min="2492" max="2492" width="11" style="3" hidden="1"/>
    <col min="2493" max="2493" width="54.7109375" style="3" hidden="1"/>
    <col min="2494" max="2550" width="9.140625" style="3" hidden="1"/>
    <col min="2551" max="2551" width="16.28515625" style="3" hidden="1"/>
    <col min="2552" max="2552" width="17.5703125" style="3" hidden="1"/>
    <col min="2553" max="2553" width="16" style="3" hidden="1"/>
    <col min="2554" max="2554" width="18.140625" style="3" hidden="1"/>
    <col min="2555" max="2747" width="9.140625" style="3" hidden="1"/>
    <col min="2748" max="2748" width="11" style="3" hidden="1"/>
    <col min="2749" max="2749" width="54.7109375" style="3" hidden="1"/>
    <col min="2750" max="2806" width="9.140625" style="3" hidden="1"/>
    <col min="2807" max="2807" width="16.28515625" style="3" hidden="1"/>
    <col min="2808" max="2808" width="17.5703125" style="3" hidden="1"/>
    <col min="2809" max="2809" width="16" style="3" hidden="1"/>
    <col min="2810" max="2810" width="18.140625" style="3" hidden="1"/>
    <col min="2811" max="3003" width="9.140625" style="3" hidden="1"/>
    <col min="3004" max="3004" width="11" style="3" hidden="1"/>
    <col min="3005" max="3005" width="54.7109375" style="3" hidden="1"/>
    <col min="3006" max="3062" width="9.140625" style="3" hidden="1"/>
    <col min="3063" max="3063" width="16.28515625" style="3" hidden="1"/>
    <col min="3064" max="3064" width="17.5703125" style="3" hidden="1"/>
    <col min="3065" max="3065" width="16" style="3" hidden="1"/>
    <col min="3066" max="3066" width="18.140625" style="3" hidden="1"/>
    <col min="3067" max="3259" width="9.140625" style="3" hidden="1"/>
    <col min="3260" max="3260" width="11" style="3" hidden="1"/>
    <col min="3261" max="3261" width="54.7109375" style="3" hidden="1"/>
    <col min="3262" max="3318" width="9.140625" style="3" hidden="1"/>
    <col min="3319" max="3319" width="16.28515625" style="3" hidden="1"/>
    <col min="3320" max="3320" width="17.5703125" style="3" hidden="1"/>
    <col min="3321" max="3321" width="16" style="3" hidden="1"/>
    <col min="3322" max="3322" width="18.140625" style="3" hidden="1"/>
    <col min="3323" max="3515" width="9.140625" style="3" hidden="1"/>
    <col min="3516" max="3516" width="11" style="3" hidden="1"/>
    <col min="3517" max="3517" width="54.7109375" style="3" hidden="1"/>
    <col min="3518" max="3574" width="9.140625" style="3" hidden="1"/>
    <col min="3575" max="3575" width="16.28515625" style="3" hidden="1"/>
    <col min="3576" max="3576" width="17.5703125" style="3" hidden="1"/>
    <col min="3577" max="3577" width="16" style="3" hidden="1"/>
    <col min="3578" max="3578" width="18.140625" style="3" hidden="1"/>
    <col min="3579" max="3771" width="9.140625" style="3" hidden="1"/>
    <col min="3772" max="3772" width="11" style="3" hidden="1"/>
    <col min="3773" max="3773" width="54.7109375" style="3" hidden="1"/>
    <col min="3774" max="3830" width="9.140625" style="3" hidden="1"/>
    <col min="3831" max="3831" width="16.28515625" style="3" hidden="1"/>
    <col min="3832" max="3832" width="17.5703125" style="3" hidden="1"/>
    <col min="3833" max="3833" width="16" style="3" hidden="1"/>
    <col min="3834" max="3834" width="18.140625" style="3" hidden="1"/>
    <col min="3835" max="4027" width="9.140625" style="3" hidden="1"/>
    <col min="4028" max="4028" width="11" style="3" hidden="1"/>
    <col min="4029" max="4029" width="54.7109375" style="3" hidden="1"/>
    <col min="4030" max="4086" width="9.140625" style="3" hidden="1"/>
    <col min="4087" max="4087" width="16.28515625" style="3" hidden="1"/>
    <col min="4088" max="4088" width="17.5703125" style="3" hidden="1"/>
    <col min="4089" max="4089" width="16" style="3" hidden="1"/>
    <col min="4090" max="4090" width="18.140625" style="3" hidden="1"/>
    <col min="4091" max="4283" width="9.140625" style="3" hidden="1"/>
    <col min="4284" max="4284" width="11" style="3" hidden="1"/>
    <col min="4285" max="4285" width="54.7109375" style="3" hidden="1"/>
    <col min="4286" max="4342" width="9.140625" style="3" hidden="1"/>
    <col min="4343" max="4343" width="16.28515625" style="3" hidden="1"/>
    <col min="4344" max="4344" width="17.5703125" style="3" hidden="1"/>
    <col min="4345" max="4345" width="16" style="3" hidden="1"/>
    <col min="4346" max="4346" width="18.140625" style="3" hidden="1"/>
    <col min="4347" max="4539" width="9.140625" style="3" hidden="1"/>
    <col min="4540" max="4540" width="11" style="3" hidden="1"/>
    <col min="4541" max="4541" width="54.7109375" style="3" hidden="1"/>
    <col min="4542" max="4598" width="9.140625" style="3" hidden="1"/>
    <col min="4599" max="4599" width="16.28515625" style="3" hidden="1"/>
    <col min="4600" max="4600" width="17.5703125" style="3" hidden="1"/>
    <col min="4601" max="4601" width="16" style="3" hidden="1"/>
    <col min="4602" max="4602" width="18.140625" style="3" hidden="1"/>
    <col min="4603" max="4795" width="9.140625" style="3" hidden="1"/>
    <col min="4796" max="4796" width="11" style="3" hidden="1"/>
    <col min="4797" max="4797" width="54.7109375" style="3" hidden="1"/>
    <col min="4798" max="4854" width="9.140625" style="3" hidden="1"/>
    <col min="4855" max="4855" width="16.28515625" style="3" hidden="1"/>
    <col min="4856" max="4856" width="17.5703125" style="3" hidden="1"/>
    <col min="4857" max="4857" width="16" style="3" hidden="1"/>
    <col min="4858" max="4858" width="18.140625" style="3" hidden="1"/>
    <col min="4859" max="5051" width="9.140625" style="3" hidden="1"/>
    <col min="5052" max="5052" width="11" style="3" hidden="1"/>
    <col min="5053" max="5053" width="54.7109375" style="3" hidden="1"/>
    <col min="5054" max="5110" width="9.140625" style="3" hidden="1"/>
    <col min="5111" max="5111" width="16.28515625" style="3" hidden="1"/>
    <col min="5112" max="5112" width="17.5703125" style="3" hidden="1"/>
    <col min="5113" max="5113" width="16" style="3" hidden="1"/>
    <col min="5114" max="5114" width="18.140625" style="3" hidden="1"/>
    <col min="5115" max="5307" width="9.140625" style="3" hidden="1"/>
    <col min="5308" max="5308" width="11" style="3" hidden="1"/>
    <col min="5309" max="5309" width="54.7109375" style="3" hidden="1"/>
    <col min="5310" max="5366" width="9.140625" style="3" hidden="1"/>
    <col min="5367" max="5367" width="16.28515625" style="3" hidden="1"/>
    <col min="5368" max="5368" width="17.5703125" style="3" hidden="1"/>
    <col min="5369" max="5369" width="16" style="3" hidden="1"/>
    <col min="5370" max="5370" width="18.140625" style="3" hidden="1"/>
    <col min="5371" max="5563" width="9.140625" style="3" hidden="1"/>
    <col min="5564" max="5564" width="11" style="3" hidden="1"/>
    <col min="5565" max="5565" width="54.7109375" style="3" hidden="1"/>
    <col min="5566" max="5622" width="9.140625" style="3" hidden="1"/>
    <col min="5623" max="5623" width="16.28515625" style="3" hidden="1"/>
    <col min="5624" max="5624" width="17.5703125" style="3" hidden="1"/>
    <col min="5625" max="5625" width="16" style="3" hidden="1"/>
    <col min="5626" max="5626" width="18.140625" style="3" hidden="1"/>
    <col min="5627" max="5819" width="9.140625" style="3" hidden="1"/>
    <col min="5820" max="5820" width="11" style="3" hidden="1"/>
    <col min="5821" max="5821" width="54.7109375" style="3" hidden="1"/>
    <col min="5822" max="5878" width="9.140625" style="3" hidden="1"/>
    <col min="5879" max="5879" width="16.28515625" style="3" hidden="1"/>
    <col min="5880" max="5880" width="17.5703125" style="3" hidden="1"/>
    <col min="5881" max="5881" width="16" style="3" hidden="1"/>
    <col min="5882" max="5882" width="18.140625" style="3" hidden="1"/>
    <col min="5883" max="6075" width="9.140625" style="3" hidden="1"/>
    <col min="6076" max="6076" width="11" style="3" hidden="1"/>
    <col min="6077" max="6077" width="54.7109375" style="3" hidden="1"/>
    <col min="6078" max="6134" width="9.140625" style="3" hidden="1"/>
    <col min="6135" max="6135" width="16.28515625" style="3" hidden="1"/>
    <col min="6136" max="6136" width="17.5703125" style="3" hidden="1"/>
    <col min="6137" max="6137" width="16" style="3" hidden="1"/>
    <col min="6138" max="6138" width="18.140625" style="3" hidden="1"/>
    <col min="6139" max="6331" width="9.140625" style="3" hidden="1"/>
    <col min="6332" max="6332" width="11" style="3" hidden="1"/>
    <col min="6333" max="6333" width="54.7109375" style="3" hidden="1"/>
    <col min="6334" max="6390" width="9.140625" style="3" hidden="1"/>
    <col min="6391" max="6391" width="16.28515625" style="3" hidden="1"/>
    <col min="6392" max="6392" width="17.5703125" style="3" hidden="1"/>
    <col min="6393" max="6393" width="16" style="3" hidden="1"/>
    <col min="6394" max="6394" width="18.140625" style="3" hidden="1"/>
    <col min="6395" max="6587" width="9.140625" style="3" hidden="1"/>
    <col min="6588" max="6588" width="11" style="3" hidden="1"/>
    <col min="6589" max="6589" width="54.7109375" style="3" hidden="1"/>
    <col min="6590" max="6646" width="9.140625" style="3" hidden="1"/>
    <col min="6647" max="6647" width="16.28515625" style="3" hidden="1"/>
    <col min="6648" max="6648" width="17.5703125" style="3" hidden="1"/>
    <col min="6649" max="6649" width="16" style="3" hidden="1"/>
    <col min="6650" max="6650" width="18.140625" style="3" hidden="1"/>
    <col min="6651" max="6843" width="9.140625" style="3" hidden="1"/>
    <col min="6844" max="6844" width="11" style="3" hidden="1"/>
    <col min="6845" max="6845" width="54.7109375" style="3" hidden="1"/>
    <col min="6846" max="6902" width="9.140625" style="3" hidden="1"/>
    <col min="6903" max="6903" width="16.28515625" style="3" hidden="1"/>
    <col min="6904" max="6904" width="17.5703125" style="3" hidden="1"/>
    <col min="6905" max="6905" width="16" style="3" hidden="1"/>
    <col min="6906" max="6906" width="18.140625" style="3" hidden="1"/>
    <col min="6907" max="7099" width="9.140625" style="3" hidden="1"/>
    <col min="7100" max="7100" width="11" style="3" hidden="1"/>
    <col min="7101" max="7101" width="54.7109375" style="3" hidden="1"/>
    <col min="7102" max="7158" width="9.140625" style="3" hidden="1"/>
    <col min="7159" max="7159" width="16.28515625" style="3" hidden="1"/>
    <col min="7160" max="7160" width="17.5703125" style="3" hidden="1"/>
    <col min="7161" max="7161" width="16" style="3" hidden="1"/>
    <col min="7162" max="7162" width="18.140625" style="3" hidden="1"/>
    <col min="7163" max="7355" width="9.140625" style="3" hidden="1"/>
    <col min="7356" max="7356" width="11" style="3" hidden="1"/>
    <col min="7357" max="7357" width="54.7109375" style="3" hidden="1"/>
    <col min="7358" max="7414" width="9.140625" style="3" hidden="1"/>
    <col min="7415" max="7415" width="16.28515625" style="3" hidden="1"/>
    <col min="7416" max="7416" width="17.5703125" style="3" hidden="1"/>
    <col min="7417" max="7417" width="16" style="3" hidden="1"/>
    <col min="7418" max="7418" width="18.140625" style="3" hidden="1"/>
    <col min="7419" max="7611" width="9.140625" style="3" hidden="1"/>
    <col min="7612" max="7612" width="11" style="3" hidden="1"/>
    <col min="7613" max="7613" width="54.7109375" style="3" hidden="1"/>
    <col min="7614" max="7670" width="9.140625" style="3" hidden="1"/>
    <col min="7671" max="7671" width="16.28515625" style="3" hidden="1"/>
    <col min="7672" max="7672" width="17.5703125" style="3" hidden="1"/>
    <col min="7673" max="7673" width="16" style="3" hidden="1"/>
    <col min="7674" max="7674" width="18.140625" style="3" hidden="1"/>
    <col min="7675" max="7867" width="9.140625" style="3" hidden="1"/>
    <col min="7868" max="7868" width="11" style="3" hidden="1"/>
    <col min="7869" max="7869" width="54.7109375" style="3" hidden="1"/>
    <col min="7870" max="7926" width="9.140625" style="3" hidden="1"/>
    <col min="7927" max="7927" width="16.28515625" style="3" hidden="1"/>
    <col min="7928" max="7928" width="17.5703125" style="3" hidden="1"/>
    <col min="7929" max="7929" width="16" style="3" hidden="1"/>
    <col min="7930" max="7930" width="18.140625" style="3" hidden="1"/>
    <col min="7931" max="8123" width="9.140625" style="3" hidden="1"/>
    <col min="8124" max="8124" width="11" style="3" hidden="1"/>
    <col min="8125" max="8125" width="54.7109375" style="3" hidden="1"/>
    <col min="8126" max="8182" width="9.140625" style="3" hidden="1"/>
    <col min="8183" max="8183" width="16.28515625" style="3" hidden="1"/>
    <col min="8184" max="8184" width="17.5703125" style="3" hidden="1"/>
    <col min="8185" max="8185" width="16" style="3" hidden="1"/>
    <col min="8186" max="8186" width="18.140625" style="3" hidden="1"/>
    <col min="8187" max="8379" width="9.140625" style="3" hidden="1"/>
    <col min="8380" max="8380" width="11" style="3" hidden="1"/>
    <col min="8381" max="8381" width="54.7109375" style="3" hidden="1"/>
    <col min="8382" max="8438" width="9.140625" style="3" hidden="1"/>
    <col min="8439" max="8439" width="16.28515625" style="3" hidden="1"/>
    <col min="8440" max="8440" width="17.5703125" style="3" hidden="1"/>
    <col min="8441" max="8441" width="16" style="3" hidden="1"/>
    <col min="8442" max="8442" width="18.140625" style="3" hidden="1"/>
    <col min="8443" max="8635" width="9.140625" style="3" hidden="1"/>
    <col min="8636" max="8636" width="11" style="3" hidden="1"/>
    <col min="8637" max="8637" width="54.7109375" style="3" hidden="1"/>
    <col min="8638" max="8694" width="9.140625" style="3" hidden="1"/>
    <col min="8695" max="8695" width="16.28515625" style="3" hidden="1"/>
    <col min="8696" max="8696" width="17.5703125" style="3" hidden="1"/>
    <col min="8697" max="8697" width="16" style="3" hidden="1"/>
    <col min="8698" max="8698" width="18.140625" style="3" hidden="1"/>
    <col min="8699" max="8891" width="9.140625" style="3" hidden="1"/>
    <col min="8892" max="8892" width="11" style="3" hidden="1"/>
    <col min="8893" max="8893" width="54.7109375" style="3" hidden="1"/>
    <col min="8894" max="8950" width="9.140625" style="3" hidden="1"/>
    <col min="8951" max="8951" width="16.28515625" style="3" hidden="1"/>
    <col min="8952" max="8952" width="17.5703125" style="3" hidden="1"/>
    <col min="8953" max="8953" width="16" style="3" hidden="1"/>
    <col min="8954" max="8954" width="18.140625" style="3" hidden="1"/>
    <col min="8955" max="9147" width="9.140625" style="3" hidden="1"/>
    <col min="9148" max="9148" width="11" style="3" hidden="1"/>
    <col min="9149" max="9149" width="54.7109375" style="3" hidden="1"/>
    <col min="9150" max="9206" width="9.140625" style="3" hidden="1"/>
    <col min="9207" max="9207" width="16.28515625" style="3" hidden="1"/>
    <col min="9208" max="9208" width="17.5703125" style="3" hidden="1"/>
    <col min="9209" max="9209" width="16" style="3" hidden="1"/>
    <col min="9210" max="9210" width="18.140625" style="3" hidden="1"/>
    <col min="9211" max="9403" width="9.140625" style="3" hidden="1"/>
    <col min="9404" max="9404" width="11" style="3" hidden="1"/>
    <col min="9405" max="9405" width="54.7109375" style="3" hidden="1"/>
    <col min="9406" max="9462" width="9.140625" style="3" hidden="1"/>
    <col min="9463" max="9463" width="16.28515625" style="3" hidden="1"/>
    <col min="9464" max="9464" width="17.5703125" style="3" hidden="1"/>
    <col min="9465" max="9465" width="16" style="3" hidden="1"/>
    <col min="9466" max="9466" width="18.140625" style="3" hidden="1"/>
    <col min="9467" max="9659" width="9.140625" style="3" hidden="1"/>
    <col min="9660" max="9660" width="11" style="3" hidden="1"/>
    <col min="9661" max="9661" width="54.7109375" style="3" hidden="1"/>
    <col min="9662" max="9718" width="9.140625" style="3" hidden="1"/>
    <col min="9719" max="9719" width="16.28515625" style="3" hidden="1"/>
    <col min="9720" max="9720" width="17.5703125" style="3" hidden="1"/>
    <col min="9721" max="9721" width="16" style="3" hidden="1"/>
    <col min="9722" max="9722" width="18.140625" style="3" hidden="1"/>
    <col min="9723" max="9915" width="9.140625" style="3" hidden="1"/>
    <col min="9916" max="9916" width="11" style="3" hidden="1"/>
    <col min="9917" max="9917" width="54.7109375" style="3" hidden="1"/>
    <col min="9918" max="9974" width="9.140625" style="3" hidden="1"/>
    <col min="9975" max="9975" width="16.28515625" style="3" hidden="1"/>
    <col min="9976" max="9976" width="17.5703125" style="3" hidden="1"/>
    <col min="9977" max="9977" width="16" style="3" hidden="1"/>
    <col min="9978" max="9978" width="18.140625" style="3" hidden="1"/>
    <col min="9979" max="10171" width="9.140625" style="3" hidden="1"/>
    <col min="10172" max="10172" width="11" style="3" hidden="1"/>
    <col min="10173" max="10173" width="54.7109375" style="3" hidden="1"/>
    <col min="10174" max="10230" width="9.140625" style="3" hidden="1"/>
    <col min="10231" max="10231" width="16.28515625" style="3" hidden="1"/>
    <col min="10232" max="10232" width="17.5703125" style="3" hidden="1"/>
    <col min="10233" max="10233" width="16" style="3" hidden="1"/>
    <col min="10234" max="10234" width="18.140625" style="3" hidden="1"/>
    <col min="10235" max="10427" width="9.140625" style="3" hidden="1"/>
    <col min="10428" max="10428" width="11" style="3" hidden="1"/>
    <col min="10429" max="10429" width="54.7109375" style="3" hidden="1"/>
    <col min="10430" max="10486" width="9.140625" style="3" hidden="1"/>
    <col min="10487" max="10487" width="16.28515625" style="3" hidden="1"/>
    <col min="10488" max="10488" width="17.5703125" style="3" hidden="1"/>
    <col min="10489" max="10489" width="16" style="3" hidden="1"/>
    <col min="10490" max="10490" width="18.140625" style="3" hidden="1"/>
    <col min="10491" max="10683" width="9.140625" style="3" hidden="1"/>
    <col min="10684" max="10684" width="11" style="3" hidden="1"/>
    <col min="10685" max="10685" width="54.7109375" style="3" hidden="1"/>
    <col min="10686" max="10742" width="9.140625" style="3" hidden="1"/>
    <col min="10743" max="10743" width="16.28515625" style="3" hidden="1"/>
    <col min="10744" max="10744" width="17.5703125" style="3" hidden="1"/>
    <col min="10745" max="10745" width="16" style="3" hidden="1"/>
    <col min="10746" max="10746" width="18.140625" style="3" hidden="1"/>
    <col min="10747" max="10939" width="9.140625" style="3" hidden="1"/>
    <col min="10940" max="10940" width="11" style="3" hidden="1"/>
    <col min="10941" max="10941" width="54.7109375" style="3" hidden="1"/>
    <col min="10942" max="10998" width="9.140625" style="3" hidden="1"/>
    <col min="10999" max="10999" width="16.28515625" style="3" hidden="1"/>
    <col min="11000" max="11000" width="17.5703125" style="3" hidden="1"/>
    <col min="11001" max="11001" width="16" style="3" hidden="1"/>
    <col min="11002" max="11002" width="18.140625" style="3" hidden="1"/>
    <col min="11003" max="11195" width="9.140625" style="3" hidden="1"/>
    <col min="11196" max="11196" width="11" style="3" hidden="1"/>
    <col min="11197" max="11197" width="54.7109375" style="3" hidden="1"/>
    <col min="11198" max="11254" width="9.140625" style="3" hidden="1"/>
    <col min="11255" max="11255" width="16.28515625" style="3" hidden="1"/>
    <col min="11256" max="11256" width="17.5703125" style="3" hidden="1"/>
    <col min="11257" max="11257" width="16" style="3" hidden="1"/>
    <col min="11258" max="11258" width="18.140625" style="3" hidden="1"/>
    <col min="11259" max="11451" width="9.140625" style="3" hidden="1"/>
    <col min="11452" max="11452" width="11" style="3" hidden="1"/>
    <col min="11453" max="11453" width="54.7109375" style="3" hidden="1"/>
    <col min="11454" max="11510" width="9.140625" style="3" hidden="1"/>
    <col min="11511" max="11511" width="16.28515625" style="3" hidden="1"/>
    <col min="11512" max="11512" width="17.5703125" style="3" hidden="1"/>
    <col min="11513" max="11513" width="16" style="3" hidden="1"/>
    <col min="11514" max="11514" width="18.140625" style="3" hidden="1"/>
    <col min="11515" max="11707" width="9.140625" style="3" hidden="1"/>
    <col min="11708" max="11708" width="11" style="3" hidden="1"/>
    <col min="11709" max="11709" width="54.7109375" style="3" hidden="1"/>
    <col min="11710" max="11766" width="9.140625" style="3" hidden="1"/>
    <col min="11767" max="11767" width="16.28515625" style="3" hidden="1"/>
    <col min="11768" max="11768" width="17.5703125" style="3" hidden="1"/>
    <col min="11769" max="11769" width="16" style="3" hidden="1"/>
    <col min="11770" max="11770" width="18.140625" style="3" hidden="1"/>
    <col min="11771" max="11963" width="9.140625" style="3" hidden="1"/>
    <col min="11964" max="11964" width="11" style="3" hidden="1"/>
    <col min="11965" max="11965" width="54.7109375" style="3" hidden="1"/>
    <col min="11966" max="12022" width="9.140625" style="3" hidden="1"/>
    <col min="12023" max="12023" width="16.28515625" style="3" hidden="1"/>
    <col min="12024" max="12024" width="17.5703125" style="3" hidden="1"/>
    <col min="12025" max="12025" width="16" style="3" hidden="1"/>
    <col min="12026" max="12026" width="18.140625" style="3" hidden="1"/>
    <col min="12027" max="12219" width="9.140625" style="3" hidden="1"/>
    <col min="12220" max="12220" width="11" style="3" hidden="1"/>
    <col min="12221" max="12221" width="54.7109375" style="3" hidden="1"/>
    <col min="12222" max="12278" width="9.140625" style="3" hidden="1"/>
    <col min="12279" max="12279" width="16.28515625" style="3" hidden="1"/>
    <col min="12280" max="12280" width="17.5703125" style="3" hidden="1"/>
    <col min="12281" max="12281" width="16" style="3" hidden="1"/>
    <col min="12282" max="12282" width="18.140625" style="3" hidden="1"/>
    <col min="12283" max="12475" width="9.140625" style="3" hidden="1"/>
    <col min="12476" max="12476" width="11" style="3" hidden="1"/>
    <col min="12477" max="12477" width="54.7109375" style="3" hidden="1"/>
    <col min="12478" max="12534" width="9.140625" style="3" hidden="1"/>
    <col min="12535" max="12535" width="16.28515625" style="3" hidden="1"/>
    <col min="12536" max="12536" width="17.5703125" style="3" hidden="1"/>
    <col min="12537" max="12537" width="16" style="3" hidden="1"/>
    <col min="12538" max="12538" width="18.140625" style="3" hidden="1"/>
    <col min="12539" max="12731" width="9.140625" style="3" hidden="1"/>
    <col min="12732" max="12732" width="11" style="3" hidden="1"/>
    <col min="12733" max="12733" width="54.7109375" style="3" hidden="1"/>
    <col min="12734" max="12790" width="9.140625" style="3" hidden="1"/>
    <col min="12791" max="12791" width="16.28515625" style="3" hidden="1"/>
    <col min="12792" max="12792" width="17.5703125" style="3" hidden="1"/>
    <col min="12793" max="12793" width="16" style="3" hidden="1"/>
    <col min="12794" max="12794" width="18.140625" style="3" hidden="1"/>
    <col min="12795" max="12987" width="9.140625" style="3" hidden="1"/>
    <col min="12988" max="12988" width="11" style="3" hidden="1"/>
    <col min="12989" max="12989" width="54.7109375" style="3" hidden="1"/>
    <col min="12990" max="13046" width="9.140625" style="3" hidden="1"/>
    <col min="13047" max="13047" width="16.28515625" style="3" hidden="1"/>
    <col min="13048" max="13048" width="17.5703125" style="3" hidden="1"/>
    <col min="13049" max="13049" width="16" style="3" hidden="1"/>
    <col min="13050" max="13050" width="18.140625" style="3" hidden="1"/>
    <col min="13051" max="13243" width="9.140625" style="3" hidden="1"/>
    <col min="13244" max="13244" width="11" style="3" hidden="1"/>
    <col min="13245" max="13245" width="54.7109375" style="3" hidden="1"/>
    <col min="13246" max="13302" width="9.140625" style="3" hidden="1"/>
    <col min="13303" max="13303" width="16.28515625" style="3" hidden="1"/>
    <col min="13304" max="13304" width="17.5703125" style="3" hidden="1"/>
    <col min="13305" max="13305" width="16" style="3" hidden="1"/>
    <col min="13306" max="13306" width="18.140625" style="3" hidden="1"/>
    <col min="13307" max="13499" width="9.140625" style="3" hidden="1"/>
    <col min="13500" max="13500" width="11" style="3" hidden="1"/>
    <col min="13501" max="13501" width="54.7109375" style="3" hidden="1"/>
    <col min="13502" max="13558" width="9.140625" style="3" hidden="1"/>
    <col min="13559" max="13559" width="16.28515625" style="3" hidden="1"/>
    <col min="13560" max="13560" width="17.5703125" style="3" hidden="1"/>
    <col min="13561" max="13561" width="16" style="3" hidden="1"/>
    <col min="13562" max="13562" width="18.140625" style="3" hidden="1"/>
    <col min="13563" max="13755" width="9.140625" style="3" hidden="1"/>
    <col min="13756" max="13756" width="11" style="3" hidden="1"/>
    <col min="13757" max="13757" width="54.7109375" style="3" hidden="1"/>
    <col min="13758" max="13814" width="9.140625" style="3" hidden="1"/>
    <col min="13815" max="13815" width="16.28515625" style="3" hidden="1"/>
    <col min="13816" max="13816" width="17.5703125" style="3" hidden="1"/>
    <col min="13817" max="13817" width="16" style="3" hidden="1"/>
    <col min="13818" max="13818" width="18.140625" style="3" hidden="1"/>
    <col min="13819" max="14011" width="9.140625" style="3" hidden="1"/>
    <col min="14012" max="14012" width="11" style="3" hidden="1"/>
    <col min="14013" max="14013" width="54.7109375" style="3" hidden="1"/>
    <col min="14014" max="14070" width="9.140625" style="3" hidden="1"/>
    <col min="14071" max="14071" width="16.28515625" style="3" hidden="1"/>
    <col min="14072" max="14072" width="17.5703125" style="3" hidden="1"/>
    <col min="14073" max="14073" width="16" style="3" hidden="1"/>
    <col min="14074" max="14074" width="18.140625" style="3" hidden="1"/>
    <col min="14075" max="14267" width="9.140625" style="3" hidden="1"/>
    <col min="14268" max="14268" width="11" style="3" hidden="1"/>
    <col min="14269" max="14269" width="54.7109375" style="3" hidden="1"/>
    <col min="14270" max="14326" width="9.140625" style="3" hidden="1"/>
    <col min="14327" max="14327" width="16.28515625" style="3" hidden="1"/>
    <col min="14328" max="14328" width="17.5703125" style="3" hidden="1"/>
    <col min="14329" max="14329" width="16" style="3" hidden="1"/>
    <col min="14330" max="14330" width="18.140625" style="3" hidden="1"/>
    <col min="14331" max="14523" width="9.140625" style="3" hidden="1"/>
    <col min="14524" max="14524" width="11" style="3" hidden="1"/>
    <col min="14525" max="14525" width="54.7109375" style="3" hidden="1"/>
    <col min="14526" max="14582" width="9.140625" style="3" hidden="1"/>
    <col min="14583" max="14583" width="16.28515625" style="3" hidden="1"/>
    <col min="14584" max="14584" width="17.5703125" style="3" hidden="1"/>
    <col min="14585" max="14585" width="16" style="3" hidden="1"/>
    <col min="14586" max="14586" width="18.140625" style="3" hidden="1"/>
    <col min="14587" max="14779" width="9.140625" style="3" hidden="1"/>
    <col min="14780" max="14780" width="11" style="3" hidden="1"/>
    <col min="14781" max="14781" width="54.7109375" style="3" hidden="1"/>
    <col min="14782" max="14838" width="9.140625" style="3" hidden="1"/>
    <col min="14839" max="14839" width="16.28515625" style="3" hidden="1"/>
    <col min="14840" max="14840" width="17.5703125" style="3" hidden="1"/>
    <col min="14841" max="14841" width="16" style="3" hidden="1"/>
    <col min="14842" max="14842" width="18.140625" style="3" hidden="1"/>
    <col min="14843" max="15035" width="9.140625" style="3" hidden="1"/>
    <col min="15036" max="15036" width="11" style="3" hidden="1"/>
    <col min="15037" max="15037" width="54.7109375" style="3" hidden="1"/>
    <col min="15038" max="15094" width="9.140625" style="3" hidden="1"/>
    <col min="15095" max="15095" width="16.28515625" style="3" hidden="1"/>
    <col min="15096" max="15096" width="17.5703125" style="3" hidden="1"/>
    <col min="15097" max="15097" width="16" style="3" hidden="1"/>
    <col min="15098" max="15098" width="18.140625" style="3" hidden="1"/>
    <col min="15099" max="15291" width="9.140625" style="3" hidden="1"/>
    <col min="15292" max="15292" width="11" style="3" hidden="1"/>
    <col min="15293" max="15293" width="54.7109375" style="3" hidden="1"/>
    <col min="15294" max="15350" width="9.140625" style="3" hidden="1"/>
    <col min="15351" max="15351" width="16.28515625" style="3" hidden="1"/>
    <col min="15352" max="15352" width="17.5703125" style="3" hidden="1"/>
    <col min="15353" max="15353" width="16" style="3" hidden="1"/>
    <col min="15354" max="15354" width="18.140625" style="3" hidden="1"/>
    <col min="15355" max="15547" width="9.140625" style="3" hidden="1"/>
    <col min="15548" max="15548" width="11" style="3" hidden="1"/>
    <col min="15549" max="15549" width="54.7109375" style="3" hidden="1"/>
    <col min="15550" max="15606" width="9.140625" style="3" hidden="1"/>
    <col min="15607" max="15607" width="16.28515625" style="3" hidden="1"/>
    <col min="15608" max="15608" width="17.5703125" style="3" hidden="1"/>
    <col min="15609" max="15609" width="16" style="3" hidden="1"/>
    <col min="15610" max="15610" width="18.140625" style="3" hidden="1"/>
    <col min="15611" max="15803" width="9.140625" style="3" hidden="1"/>
    <col min="15804" max="15804" width="11" style="3" hidden="1"/>
    <col min="15805" max="15805" width="54.7109375" style="3" hidden="1"/>
    <col min="15806" max="15862" width="9.140625" style="3" hidden="1"/>
    <col min="15863" max="15863" width="16.28515625" style="3" hidden="1"/>
    <col min="15864" max="15864" width="17.5703125" style="3" hidden="1"/>
    <col min="15865" max="15865" width="16" style="3" hidden="1"/>
    <col min="15866" max="15866" width="18.140625" style="3" hidden="1"/>
    <col min="15867" max="16059" width="9.140625" style="3" hidden="1"/>
    <col min="16060" max="16060" width="11" style="3" hidden="1"/>
    <col min="16061" max="16061" width="54.7109375" style="3" hidden="1"/>
    <col min="16062" max="16118" width="9.140625" style="3" hidden="1"/>
    <col min="16119" max="16119" width="16.28515625" style="3" hidden="1"/>
    <col min="16120" max="16120" width="17.5703125" style="3" hidden="1"/>
    <col min="16121" max="16121" width="16" style="3" hidden="1"/>
    <col min="16122" max="16122" width="18.140625" style="3" hidden="1"/>
    <col min="16123" max="16384" width="9.140625" style="3" hidden="1"/>
  </cols>
  <sheetData>
    <row r="1" spans="1:6">
      <c r="B1" s="2" t="s">
        <v>523</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Worksheet'!$D$27</f>
        <v>152983</v>
      </c>
      <c r="E3" s="11"/>
      <c r="F3" s="11"/>
    </row>
    <row r="4" spans="1:6">
      <c r="A4" s="8">
        <v>0</v>
      </c>
      <c r="B4" s="11" t="s">
        <v>4</v>
      </c>
      <c r="C4" s="10">
        <v>1.4829999999999999E-3</v>
      </c>
      <c r="D4" s="12">
        <f>ROUND(D$3*C4,0)</f>
        <v>227</v>
      </c>
      <c r="E4" s="13">
        <f>ROUND(D4/2,0)</f>
        <v>114</v>
      </c>
      <c r="F4" s="12">
        <f>D4-E4</f>
        <v>113</v>
      </c>
    </row>
    <row r="5" spans="1:6">
      <c r="A5" s="8">
        <v>1</v>
      </c>
      <c r="B5" s="11" t="s">
        <v>524</v>
      </c>
      <c r="C5" s="10">
        <v>0.17039699999999999</v>
      </c>
      <c r="D5" s="9">
        <f>ROUND(D$3*C5,0)</f>
        <v>26068</v>
      </c>
      <c r="E5" s="11">
        <f>ROUND(D5/2,0)</f>
        <v>13034</v>
      </c>
      <c r="F5" s="9">
        <f>D5-E5</f>
        <v>13034</v>
      </c>
    </row>
    <row r="6" spans="1:6">
      <c r="A6" s="8"/>
      <c r="B6" s="11" t="s">
        <v>6</v>
      </c>
      <c r="C6" s="11"/>
      <c r="D6" s="14">
        <v>0.227018</v>
      </c>
      <c r="E6" s="11"/>
      <c r="F6" s="11"/>
    </row>
    <row r="7" spans="1:6">
      <c r="A7" s="8"/>
      <c r="B7" s="11" t="s">
        <v>7</v>
      </c>
      <c r="C7" s="11"/>
      <c r="D7" s="225">
        <f>ROUND(D5*D6,0)</f>
        <v>5918</v>
      </c>
      <c r="E7" s="226">
        <f>ROUND(D7/2,0)</f>
        <v>2959</v>
      </c>
      <c r="F7" s="225">
        <f>D7-E7</f>
        <v>2959</v>
      </c>
    </row>
    <row r="8" spans="1:6">
      <c r="A8" s="8"/>
      <c r="B8" s="11" t="s">
        <v>8</v>
      </c>
      <c r="C8" s="11"/>
      <c r="D8" s="12">
        <f>+D5-D7</f>
        <v>20150</v>
      </c>
      <c r="E8" s="13">
        <f>ROUND(D8/2,0)</f>
        <v>10075</v>
      </c>
      <c r="F8" s="12">
        <f>D8-E8</f>
        <v>10075</v>
      </c>
    </row>
    <row r="9" spans="1:6">
      <c r="A9" s="8">
        <v>2</v>
      </c>
      <c r="B9" s="11" t="s">
        <v>525</v>
      </c>
      <c r="C9" s="11"/>
      <c r="D9" s="9"/>
      <c r="E9" s="11"/>
      <c r="F9" s="11"/>
    </row>
    <row r="10" spans="1:6">
      <c r="A10" s="8"/>
      <c r="B10" s="11" t="s">
        <v>10</v>
      </c>
      <c r="C10" s="10">
        <v>4.1100000000000002E-4</v>
      </c>
      <c r="D10" s="12">
        <f>ROUND(D$3*C10,0)</f>
        <v>63</v>
      </c>
      <c r="E10" s="13">
        <f>ROUND(D10/2,0)</f>
        <v>32</v>
      </c>
      <c r="F10" s="12">
        <f>D10-E10</f>
        <v>31</v>
      </c>
    </row>
    <row r="11" spans="1:6">
      <c r="A11" s="8"/>
      <c r="B11" s="11" t="s">
        <v>11</v>
      </c>
      <c r="C11" s="10">
        <v>2.03E-4</v>
      </c>
      <c r="D11" s="12">
        <f>ROUND(D$3*C11,0)</f>
        <v>31</v>
      </c>
      <c r="E11" s="13">
        <f>ROUND(D11/2,0)</f>
        <v>16</v>
      </c>
      <c r="F11" s="12">
        <f>D11-E11</f>
        <v>15</v>
      </c>
    </row>
    <row r="12" spans="1:6">
      <c r="A12" s="8">
        <v>2</v>
      </c>
      <c r="B12" s="11" t="s">
        <v>526</v>
      </c>
      <c r="C12" s="11"/>
      <c r="D12" s="9"/>
      <c r="E12" s="11"/>
      <c r="F12" s="11"/>
    </row>
    <row r="13" spans="1:6">
      <c r="A13" s="8"/>
      <c r="B13" s="11" t="s">
        <v>10</v>
      </c>
      <c r="C13" s="10">
        <v>6.9099999999999999E-4</v>
      </c>
      <c r="D13" s="12">
        <f>ROUND(D$3*C13,0)</f>
        <v>106</v>
      </c>
      <c r="E13" s="13">
        <f>ROUND(D13/2,0)</f>
        <v>53</v>
      </c>
      <c r="F13" s="12">
        <f>D13-E13</f>
        <v>53</v>
      </c>
    </row>
    <row r="14" spans="1:6">
      <c r="A14" s="8"/>
      <c r="B14" s="11" t="s">
        <v>11</v>
      </c>
      <c r="C14" s="10">
        <v>1.6100000000000001E-4</v>
      </c>
      <c r="D14" s="12">
        <f>ROUND(D$3*C14,0)</f>
        <v>25</v>
      </c>
      <c r="E14" s="13">
        <f>ROUND(D14/2,0)</f>
        <v>13</v>
      </c>
      <c r="F14" s="12">
        <f>D14-E14</f>
        <v>12</v>
      </c>
    </row>
    <row r="15" spans="1:6">
      <c r="A15" s="8">
        <v>2</v>
      </c>
      <c r="B15" s="11" t="s">
        <v>527</v>
      </c>
      <c r="C15" s="11"/>
      <c r="D15" s="9"/>
      <c r="E15" s="11"/>
      <c r="F15" s="11"/>
    </row>
    <row r="16" spans="1:6">
      <c r="A16" s="8"/>
      <c r="B16" s="11" t="s">
        <v>10</v>
      </c>
      <c r="C16" s="10">
        <v>1.209E-3</v>
      </c>
      <c r="D16" s="12">
        <f>ROUND(D$3*C16,0)</f>
        <v>185</v>
      </c>
      <c r="E16" s="13">
        <f>ROUND(D16/2,0)</f>
        <v>93</v>
      </c>
      <c r="F16" s="12">
        <f>D16-E16</f>
        <v>92</v>
      </c>
    </row>
    <row r="17" spans="1:6">
      <c r="A17" s="8"/>
      <c r="B17" s="11" t="s">
        <v>11</v>
      </c>
      <c r="C17" s="10">
        <v>3.9300000000000001E-4</v>
      </c>
      <c r="D17" s="12">
        <f>ROUND(D$3*C17,0)</f>
        <v>60</v>
      </c>
      <c r="E17" s="13">
        <f>ROUND(D17/2,0)</f>
        <v>30</v>
      </c>
      <c r="F17" s="12">
        <f>D17-E17</f>
        <v>30</v>
      </c>
    </row>
    <row r="18" spans="1:6">
      <c r="A18" s="8">
        <v>2</v>
      </c>
      <c r="B18" s="11" t="s">
        <v>369</v>
      </c>
      <c r="C18" s="11"/>
      <c r="D18" s="9"/>
      <c r="E18" s="11"/>
      <c r="F18" s="11"/>
    </row>
    <row r="19" spans="1:6">
      <c r="A19" s="8"/>
      <c r="B19" s="11" t="s">
        <v>10</v>
      </c>
      <c r="C19" s="10">
        <v>6.3699999999999998E-4</v>
      </c>
      <c r="D19" s="12">
        <f>ROUND(D$3*C19,0)</f>
        <v>97</v>
      </c>
      <c r="E19" s="13">
        <f>ROUND(D19/2,0)</f>
        <v>49</v>
      </c>
      <c r="F19" s="12">
        <f>D19-E19</f>
        <v>48</v>
      </c>
    </row>
    <row r="20" spans="1:6">
      <c r="A20" s="8"/>
      <c r="B20" s="11" t="s">
        <v>11</v>
      </c>
      <c r="C20" s="10">
        <v>1.9100000000000001E-4</v>
      </c>
      <c r="D20" s="12">
        <f>ROUND(D$3*C20,0)</f>
        <v>29</v>
      </c>
      <c r="E20" s="13">
        <f>ROUND(D20/2,0)</f>
        <v>15</v>
      </c>
      <c r="F20" s="12">
        <f>D20-E20</f>
        <v>14</v>
      </c>
    </row>
    <row r="21" spans="1:6">
      <c r="A21" s="8">
        <v>2</v>
      </c>
      <c r="B21" s="11" t="s">
        <v>371</v>
      </c>
      <c r="C21" s="11"/>
      <c r="D21" s="9"/>
      <c r="E21" s="11"/>
      <c r="F21" s="11"/>
    </row>
    <row r="22" spans="1:6">
      <c r="A22" s="8"/>
      <c r="B22" s="11" t="s">
        <v>10</v>
      </c>
      <c r="C22" s="10">
        <v>1.1900000000000001E-4</v>
      </c>
      <c r="D22" s="12">
        <f>ROUND(D$3*C22,0)</f>
        <v>18</v>
      </c>
      <c r="E22" s="13">
        <f>ROUND(D22/2,0)</f>
        <v>9</v>
      </c>
      <c r="F22" s="12">
        <f>D22-E22</f>
        <v>9</v>
      </c>
    </row>
    <row r="23" spans="1:6">
      <c r="A23" s="8"/>
      <c r="B23" s="11" t="s">
        <v>11</v>
      </c>
      <c r="C23" s="10">
        <v>2.4000000000000001E-5</v>
      </c>
      <c r="D23" s="12">
        <f>ROUND(D$3*C23,0)</f>
        <v>4</v>
      </c>
      <c r="E23" s="13">
        <f>ROUND(D23/2,0)</f>
        <v>2</v>
      </c>
      <c r="F23" s="12">
        <f>D23-E23</f>
        <v>2</v>
      </c>
    </row>
    <row r="24" spans="1:6">
      <c r="A24" s="8">
        <v>2</v>
      </c>
      <c r="B24" s="11" t="s">
        <v>528</v>
      </c>
      <c r="C24" s="11"/>
      <c r="D24" s="9"/>
      <c r="E24" s="11"/>
      <c r="F24" s="11"/>
    </row>
    <row r="25" spans="1:6">
      <c r="A25" s="8"/>
      <c r="B25" s="11" t="s">
        <v>10</v>
      </c>
      <c r="C25" s="10">
        <v>1.73E-4</v>
      </c>
      <c r="D25" s="12">
        <f>ROUND(D$3*C25,0)</f>
        <v>26</v>
      </c>
      <c r="E25" s="13">
        <f>ROUND(D25/2,0)</f>
        <v>13</v>
      </c>
      <c r="F25" s="12">
        <f>D25-E25</f>
        <v>13</v>
      </c>
    </row>
    <row r="26" spans="1:6">
      <c r="A26" s="8"/>
      <c r="B26" s="11" t="s">
        <v>11</v>
      </c>
      <c r="C26" s="10">
        <v>1.13E-4</v>
      </c>
      <c r="D26" s="12">
        <f>ROUND(D$3*C26,0)</f>
        <v>17</v>
      </c>
      <c r="E26" s="13">
        <f>ROUND(D26/2,0)</f>
        <v>9</v>
      </c>
      <c r="F26" s="12">
        <f>D26-E26</f>
        <v>8</v>
      </c>
    </row>
    <row r="27" spans="1:6">
      <c r="A27" s="8">
        <v>2</v>
      </c>
      <c r="B27" s="11" t="s">
        <v>529</v>
      </c>
      <c r="C27" s="11"/>
      <c r="D27" s="9"/>
      <c r="E27" s="11"/>
      <c r="F27" s="11"/>
    </row>
    <row r="28" spans="1:6">
      <c r="A28" s="8"/>
      <c r="B28" s="11" t="s">
        <v>10</v>
      </c>
      <c r="C28" s="10">
        <v>2.0730000000000002E-3</v>
      </c>
      <c r="D28" s="12">
        <f>ROUND(D$3*C28,0)</f>
        <v>317</v>
      </c>
      <c r="E28" s="13">
        <f>ROUND(D28/2,0)</f>
        <v>159</v>
      </c>
      <c r="F28" s="12">
        <f>D28-E28</f>
        <v>158</v>
      </c>
    </row>
    <row r="29" spans="1:6">
      <c r="A29" s="8"/>
      <c r="B29" s="11" t="s">
        <v>11</v>
      </c>
      <c r="C29" s="10">
        <v>1.078E-3</v>
      </c>
      <c r="D29" s="12">
        <f>ROUND(D$3*C29,0)</f>
        <v>165</v>
      </c>
      <c r="E29" s="13">
        <f>ROUND(D29/2,0)</f>
        <v>83</v>
      </c>
      <c r="F29" s="12">
        <f>D29-E29</f>
        <v>82</v>
      </c>
    </row>
    <row r="30" spans="1:6">
      <c r="A30" s="8">
        <v>2</v>
      </c>
      <c r="B30" s="11" t="s">
        <v>530</v>
      </c>
      <c r="C30" s="11"/>
      <c r="D30" s="9"/>
      <c r="E30" s="11"/>
      <c r="F30" s="11"/>
    </row>
    <row r="31" spans="1:6">
      <c r="A31" s="8"/>
      <c r="B31" s="11" t="s">
        <v>10</v>
      </c>
      <c r="C31" s="10">
        <v>1.0009999999999999E-3</v>
      </c>
      <c r="D31" s="12">
        <f>ROUND(D$3*C31,0)</f>
        <v>153</v>
      </c>
      <c r="E31" s="13">
        <f>ROUND(D31/2,0)</f>
        <v>77</v>
      </c>
      <c r="F31" s="12">
        <f>D31-E31</f>
        <v>76</v>
      </c>
    </row>
    <row r="32" spans="1:6">
      <c r="A32" s="8"/>
      <c r="B32" s="11" t="s">
        <v>11</v>
      </c>
      <c r="C32" s="10">
        <v>2.7999999999999998E-4</v>
      </c>
      <c r="D32" s="12">
        <f>ROUND(D$3*C32,0)</f>
        <v>43</v>
      </c>
      <c r="E32" s="13">
        <f>ROUND(D32/2,0)</f>
        <v>22</v>
      </c>
      <c r="F32" s="12">
        <f>D32-E32</f>
        <v>21</v>
      </c>
    </row>
    <row r="33" spans="1:6">
      <c r="A33" s="8">
        <v>2</v>
      </c>
      <c r="B33" s="11" t="s">
        <v>252</v>
      </c>
      <c r="C33" s="11"/>
      <c r="D33" s="12"/>
      <c r="E33" s="13"/>
      <c r="F33" s="12"/>
    </row>
    <row r="34" spans="1:6">
      <c r="A34" s="8"/>
      <c r="B34" s="11" t="s">
        <v>10</v>
      </c>
      <c r="C34" s="10">
        <v>5.7799999999999995E-4</v>
      </c>
      <c r="D34" s="12">
        <f>ROUND(D$3*C34,0)</f>
        <v>88</v>
      </c>
      <c r="E34" s="13">
        <f>ROUND(D34/2,0)</f>
        <v>44</v>
      </c>
      <c r="F34" s="12">
        <f>D34-E34</f>
        <v>44</v>
      </c>
    </row>
    <row r="35" spans="1:6">
      <c r="A35" s="8"/>
      <c r="B35" s="11" t="s">
        <v>11</v>
      </c>
      <c r="C35" s="10">
        <v>1.4300000000000001E-4</v>
      </c>
      <c r="D35" s="12">
        <f>ROUND(D$3*C35,0)</f>
        <v>22</v>
      </c>
      <c r="E35" s="13">
        <f>ROUND(D35/2,0)</f>
        <v>11</v>
      </c>
      <c r="F35" s="12">
        <f>D35-E35</f>
        <v>11</v>
      </c>
    </row>
    <row r="36" spans="1:6">
      <c r="A36" s="8">
        <v>2</v>
      </c>
      <c r="B36" s="11" t="s">
        <v>531</v>
      </c>
      <c r="C36" s="11"/>
      <c r="D36" s="9"/>
      <c r="E36" s="11"/>
      <c r="F36" s="11"/>
    </row>
    <row r="37" spans="1:6">
      <c r="A37" s="8"/>
      <c r="B37" s="11" t="s">
        <v>10</v>
      </c>
      <c r="C37" s="10">
        <v>9.9500000000000001E-4</v>
      </c>
      <c r="D37" s="12">
        <f>ROUND(D$3*C37,0)</f>
        <v>152</v>
      </c>
      <c r="E37" s="13">
        <f>ROUND(D37/2,0)</f>
        <v>76</v>
      </c>
      <c r="F37" s="12">
        <f>D37-E37</f>
        <v>76</v>
      </c>
    </row>
    <row r="38" spans="1:6">
      <c r="A38" s="8"/>
      <c r="B38" s="11" t="s">
        <v>11</v>
      </c>
      <c r="C38" s="10">
        <v>1.07E-4</v>
      </c>
      <c r="D38" s="12">
        <f>ROUND(D$3*C38,0)</f>
        <v>16</v>
      </c>
      <c r="E38" s="13">
        <f>ROUND(D38/2,0)</f>
        <v>8</v>
      </c>
      <c r="F38" s="12">
        <f>D38-E38</f>
        <v>8</v>
      </c>
    </row>
    <row r="39" spans="1:6">
      <c r="A39" s="8">
        <v>2</v>
      </c>
      <c r="B39" s="11" t="s">
        <v>532</v>
      </c>
      <c r="C39" s="11"/>
      <c r="D39" s="9"/>
      <c r="E39" s="11"/>
      <c r="F39" s="11"/>
    </row>
    <row r="40" spans="1:6">
      <c r="A40" s="8"/>
      <c r="B40" s="11" t="s">
        <v>10</v>
      </c>
      <c r="C40" s="10">
        <v>3.6900000000000002E-4</v>
      </c>
      <c r="D40" s="12">
        <f>ROUND(D$3*C40,0)</f>
        <v>56</v>
      </c>
      <c r="E40" s="13">
        <f>ROUND(D40/2,0)</f>
        <v>28</v>
      </c>
      <c r="F40" s="12">
        <f>D40-E40</f>
        <v>28</v>
      </c>
    </row>
    <row r="41" spans="1:6">
      <c r="A41" s="8"/>
      <c r="B41" s="11" t="s">
        <v>11</v>
      </c>
      <c r="C41" s="10">
        <v>1.55E-4</v>
      </c>
      <c r="D41" s="12">
        <f>ROUND(D$3*C41,0)</f>
        <v>24</v>
      </c>
      <c r="E41" s="13">
        <f>ROUND(D41/2,0)</f>
        <v>12</v>
      </c>
      <c r="F41" s="12">
        <f>D41-E41</f>
        <v>12</v>
      </c>
    </row>
    <row r="42" spans="1:6">
      <c r="A42" s="8">
        <v>2</v>
      </c>
      <c r="B42" s="11" t="s">
        <v>59</v>
      </c>
      <c r="C42" s="11"/>
      <c r="D42" s="9"/>
      <c r="E42" s="11"/>
      <c r="F42" s="11"/>
    </row>
    <row r="43" spans="1:6">
      <c r="A43" s="8"/>
      <c r="B43" s="11" t="s">
        <v>10</v>
      </c>
      <c r="C43" s="10">
        <v>5.7200000000000003E-4</v>
      </c>
      <c r="D43" s="12">
        <f>ROUND(D$3*C43,0)</f>
        <v>88</v>
      </c>
      <c r="E43" s="13">
        <f>ROUND(D43/2,0)</f>
        <v>44</v>
      </c>
      <c r="F43" s="12">
        <f>D43-E43</f>
        <v>44</v>
      </c>
    </row>
    <row r="44" spans="1:6">
      <c r="A44" s="8"/>
      <c r="B44" s="11" t="s">
        <v>11</v>
      </c>
      <c r="C44" s="10">
        <v>4.5300000000000001E-4</v>
      </c>
      <c r="D44" s="12">
        <f>ROUND(D$3*C44,0)</f>
        <v>69</v>
      </c>
      <c r="E44" s="13">
        <f>ROUND(D44/2,0)</f>
        <v>35</v>
      </c>
      <c r="F44" s="12">
        <f>D44-E44</f>
        <v>34</v>
      </c>
    </row>
    <row r="45" spans="1:6">
      <c r="A45" s="8">
        <v>2</v>
      </c>
      <c r="B45" s="11" t="s">
        <v>533</v>
      </c>
      <c r="C45" s="11"/>
      <c r="D45" s="9"/>
      <c r="E45" s="11"/>
      <c r="F45" s="11"/>
    </row>
    <row r="46" spans="1:6">
      <c r="A46" s="8"/>
      <c r="B46" s="11" t="s">
        <v>10</v>
      </c>
      <c r="C46" s="10">
        <v>8.4599999999999996E-4</v>
      </c>
      <c r="D46" s="12">
        <f t="shared" ref="D46:D54" si="0">ROUND(D$3*C46,0)</f>
        <v>129</v>
      </c>
      <c r="E46" s="13">
        <f t="shared" ref="E46:E54" si="1">ROUND(D46/2,0)</f>
        <v>65</v>
      </c>
      <c r="F46" s="12">
        <f t="shared" ref="F46:F54" si="2">D46-E46</f>
        <v>64</v>
      </c>
    </row>
    <row r="47" spans="1:6">
      <c r="A47" s="8"/>
      <c r="B47" s="11" t="s">
        <v>11</v>
      </c>
      <c r="C47" s="10">
        <v>5.7799999999999995E-4</v>
      </c>
      <c r="D47" s="12">
        <f t="shared" si="0"/>
        <v>88</v>
      </c>
      <c r="E47" s="13">
        <f t="shared" si="1"/>
        <v>44</v>
      </c>
      <c r="F47" s="12">
        <f t="shared" si="2"/>
        <v>44</v>
      </c>
    </row>
    <row r="48" spans="1:6">
      <c r="A48" s="8">
        <v>3</v>
      </c>
      <c r="B48" s="11" t="s">
        <v>534</v>
      </c>
      <c r="C48" s="10">
        <v>3.0980000000000001E-3</v>
      </c>
      <c r="D48" s="12">
        <f t="shared" si="0"/>
        <v>474</v>
      </c>
      <c r="E48" s="13">
        <f t="shared" si="1"/>
        <v>237</v>
      </c>
      <c r="F48" s="12">
        <f t="shared" si="2"/>
        <v>237</v>
      </c>
    </row>
    <row r="49" spans="1:6">
      <c r="A49" s="8">
        <v>3</v>
      </c>
      <c r="B49" s="11" t="s">
        <v>535</v>
      </c>
      <c r="C49" s="10">
        <v>6.5589999999999997E-3</v>
      </c>
      <c r="D49" s="12">
        <f t="shared" si="0"/>
        <v>1003</v>
      </c>
      <c r="E49" s="13">
        <f t="shared" si="1"/>
        <v>502</v>
      </c>
      <c r="F49" s="12">
        <f t="shared" si="2"/>
        <v>501</v>
      </c>
    </row>
    <row r="50" spans="1:6">
      <c r="A50" s="8">
        <v>3</v>
      </c>
      <c r="B50" s="11" t="s">
        <v>536</v>
      </c>
      <c r="C50" s="10">
        <v>6.0000000000000002E-6</v>
      </c>
      <c r="D50" s="12">
        <f t="shared" si="0"/>
        <v>1</v>
      </c>
      <c r="E50" s="13">
        <f t="shared" si="1"/>
        <v>1</v>
      </c>
      <c r="F50" s="12">
        <f t="shared" si="2"/>
        <v>0</v>
      </c>
    </row>
    <row r="51" spans="1:6">
      <c r="A51" s="8">
        <v>3</v>
      </c>
      <c r="B51" s="11" t="s">
        <v>537</v>
      </c>
      <c r="C51" s="10">
        <v>8.6399999999999997E-4</v>
      </c>
      <c r="D51" s="12">
        <f t="shared" si="0"/>
        <v>132</v>
      </c>
      <c r="E51" s="13">
        <f t="shared" si="1"/>
        <v>66</v>
      </c>
      <c r="F51" s="12">
        <f t="shared" si="2"/>
        <v>66</v>
      </c>
    </row>
    <row r="52" spans="1:6">
      <c r="A52" s="8">
        <v>3</v>
      </c>
      <c r="B52" s="11" t="s">
        <v>538</v>
      </c>
      <c r="C52" s="10">
        <v>1.2E-5</v>
      </c>
      <c r="D52" s="12">
        <f t="shared" si="0"/>
        <v>2</v>
      </c>
      <c r="E52" s="13">
        <f t="shared" si="1"/>
        <v>1</v>
      </c>
      <c r="F52" s="12">
        <f t="shared" si="2"/>
        <v>1</v>
      </c>
    </row>
    <row r="53" spans="1:6">
      <c r="A53" s="8">
        <v>3</v>
      </c>
      <c r="B53" s="11" t="s">
        <v>539</v>
      </c>
      <c r="C53" s="10">
        <v>2.1800000000000001E-3</v>
      </c>
      <c r="D53" s="12">
        <f t="shared" si="0"/>
        <v>334</v>
      </c>
      <c r="E53" s="13">
        <f t="shared" si="1"/>
        <v>167</v>
      </c>
      <c r="F53" s="12">
        <f t="shared" si="2"/>
        <v>167</v>
      </c>
    </row>
    <row r="54" spans="1:6">
      <c r="A54" s="8">
        <v>4</v>
      </c>
      <c r="B54" s="11" t="s">
        <v>540</v>
      </c>
      <c r="C54" s="10">
        <v>0.19261300000000001</v>
      </c>
      <c r="D54" s="9">
        <f t="shared" si="0"/>
        <v>29467</v>
      </c>
      <c r="E54" s="11">
        <f t="shared" si="1"/>
        <v>14734</v>
      </c>
      <c r="F54" s="9">
        <f t="shared" si="2"/>
        <v>14733</v>
      </c>
    </row>
    <row r="55" spans="1:6">
      <c r="A55" s="8"/>
      <c r="B55" s="11" t="s">
        <v>28</v>
      </c>
      <c r="C55" s="11"/>
      <c r="D55" s="14">
        <v>0.52623500000000001</v>
      </c>
      <c r="E55" s="11"/>
      <c r="F55" s="11"/>
    </row>
    <row r="56" spans="1:6">
      <c r="A56" s="8"/>
      <c r="B56" s="11" t="s">
        <v>29</v>
      </c>
      <c r="C56" s="11"/>
      <c r="D56" s="225">
        <f>ROUND(D54*D55,0)</f>
        <v>15507</v>
      </c>
      <c r="E56" s="226">
        <f>ROUND(D56/2,0)</f>
        <v>7754</v>
      </c>
      <c r="F56" s="225">
        <f>D56-E56</f>
        <v>7753</v>
      </c>
    </row>
    <row r="57" spans="1:6">
      <c r="A57" s="8"/>
      <c r="B57" s="11" t="s">
        <v>30</v>
      </c>
      <c r="C57" s="11"/>
      <c r="D57" s="12">
        <f>+D54-D56</f>
        <v>13960</v>
      </c>
      <c r="E57" s="13">
        <f>ROUND(D57/2,0)</f>
        <v>6980</v>
      </c>
      <c r="F57" s="12">
        <f>D57-E57</f>
        <v>6980</v>
      </c>
    </row>
    <row r="58" spans="1:6">
      <c r="A58" s="8">
        <v>4</v>
      </c>
      <c r="B58" s="11" t="s">
        <v>541</v>
      </c>
      <c r="C58" s="10">
        <v>0.55850599999999995</v>
      </c>
      <c r="D58" s="9">
        <f>ROUND(D$3*C58,0)</f>
        <v>85442</v>
      </c>
      <c r="E58" s="11">
        <f>ROUND(D58/2,0)</f>
        <v>42721</v>
      </c>
      <c r="F58" s="9">
        <f>D58-E58</f>
        <v>42721</v>
      </c>
    </row>
    <row r="59" spans="1:6">
      <c r="A59" s="8"/>
      <c r="B59" s="11" t="s">
        <v>28</v>
      </c>
      <c r="C59" s="11"/>
      <c r="D59" s="14">
        <v>0.42430200000000001</v>
      </c>
      <c r="E59" s="11"/>
      <c r="F59" s="11"/>
    </row>
    <row r="60" spans="1:6">
      <c r="A60" s="8"/>
      <c r="B60" s="11" t="s">
        <v>29</v>
      </c>
      <c r="C60" s="11"/>
      <c r="D60" s="225">
        <f>ROUND(D58*D59,0)</f>
        <v>36253</v>
      </c>
      <c r="E60" s="226">
        <f>ROUND(D60/2,0)</f>
        <v>18127</v>
      </c>
      <c r="F60" s="225">
        <f>D60-E60</f>
        <v>18126</v>
      </c>
    </row>
    <row r="61" spans="1:6">
      <c r="A61" s="8"/>
      <c r="B61" s="11" t="s">
        <v>30</v>
      </c>
      <c r="C61" s="11"/>
      <c r="D61" s="12">
        <f>+D58-D60</f>
        <v>49189</v>
      </c>
      <c r="E61" s="13">
        <f>ROUND(D61/2,0)</f>
        <v>24595</v>
      </c>
      <c r="F61" s="12">
        <f>D61-E61</f>
        <v>24594</v>
      </c>
    </row>
    <row r="62" spans="1:6">
      <c r="A62" s="8">
        <v>4</v>
      </c>
      <c r="B62" s="11" t="s">
        <v>542</v>
      </c>
      <c r="C62" s="10">
        <v>2.6016999999999998E-2</v>
      </c>
      <c r="D62" s="9">
        <f>ROUND(D$3*C62,0)</f>
        <v>3980</v>
      </c>
      <c r="E62" s="11">
        <f>ROUND(D62/2,0)</f>
        <v>1990</v>
      </c>
      <c r="F62" s="9">
        <f>D62-E62</f>
        <v>1990</v>
      </c>
    </row>
    <row r="63" spans="1:6">
      <c r="A63" s="8"/>
      <c r="B63" s="11" t="s">
        <v>28</v>
      </c>
      <c r="C63" s="11"/>
      <c r="D63" s="14">
        <v>0.39339400000000002</v>
      </c>
      <c r="E63" s="11"/>
      <c r="F63" s="11"/>
    </row>
    <row r="64" spans="1:6">
      <c r="A64" s="8"/>
      <c r="B64" s="11" t="s">
        <v>29</v>
      </c>
      <c r="C64" s="11"/>
      <c r="D64" s="225">
        <f>ROUND(D62*D63,0)</f>
        <v>1566</v>
      </c>
      <c r="E64" s="226">
        <f t="shared" ref="E64:E69" si="3">ROUND(D64/2,0)</f>
        <v>783</v>
      </c>
      <c r="F64" s="225">
        <f t="shared" ref="F64:F69" si="4">D64-E64</f>
        <v>783</v>
      </c>
    </row>
    <row r="65" spans="1:8">
      <c r="A65" s="8"/>
      <c r="B65" s="11" t="s">
        <v>30</v>
      </c>
      <c r="C65" s="11"/>
      <c r="D65" s="12">
        <f>+D62-D64</f>
        <v>2414</v>
      </c>
      <c r="E65" s="13">
        <f t="shared" si="3"/>
        <v>1207</v>
      </c>
      <c r="F65" s="12">
        <f t="shared" si="4"/>
        <v>1207</v>
      </c>
    </row>
    <row r="66" spans="1:8">
      <c r="A66" s="8">
        <v>5</v>
      </c>
      <c r="B66" s="11" t="s">
        <v>543</v>
      </c>
      <c r="C66" s="10">
        <v>4.6649999999999999E-3</v>
      </c>
      <c r="D66" s="12">
        <f>ROUND(D$3*C66,0)</f>
        <v>714</v>
      </c>
      <c r="E66" s="13">
        <f t="shared" si="3"/>
        <v>357</v>
      </c>
      <c r="F66" s="12">
        <f t="shared" si="4"/>
        <v>357</v>
      </c>
    </row>
    <row r="67" spans="1:8">
      <c r="A67" s="8">
        <v>5</v>
      </c>
      <c r="B67" s="11" t="s">
        <v>544</v>
      </c>
      <c r="C67" s="10">
        <v>1.1592999999999999E-2</v>
      </c>
      <c r="D67" s="12">
        <f>ROUND(D$3*C67,0)</f>
        <v>1774</v>
      </c>
      <c r="E67" s="13">
        <f t="shared" si="3"/>
        <v>887</v>
      </c>
      <c r="F67" s="12">
        <f t="shared" si="4"/>
        <v>887</v>
      </c>
    </row>
    <row r="68" spans="1:8">
      <c r="A68" s="8">
        <v>6</v>
      </c>
      <c r="B68" s="11" t="s">
        <v>545</v>
      </c>
      <c r="C68" s="10">
        <v>5.7489999999999998E-3</v>
      </c>
      <c r="D68" s="12">
        <f>ROUND(D$3*C68,0)</f>
        <v>879</v>
      </c>
      <c r="E68" s="13">
        <f t="shared" si="3"/>
        <v>440</v>
      </c>
      <c r="F68" s="12">
        <f t="shared" si="4"/>
        <v>439</v>
      </c>
    </row>
    <row r="69" spans="1:8">
      <c r="A69" s="8">
        <v>6</v>
      </c>
      <c r="B69" s="11" t="s">
        <v>546</v>
      </c>
      <c r="C69" s="10">
        <v>2.7049999999999999E-3</v>
      </c>
      <c r="D69" s="12">
        <f>+D3-SUM(D4:D5)-SUM(D10:D54)-D58-D62-SUM(D66:D68)</f>
        <v>415</v>
      </c>
      <c r="E69" s="13">
        <f t="shared" si="3"/>
        <v>208</v>
      </c>
      <c r="F69" s="12">
        <f t="shared" si="4"/>
        <v>207</v>
      </c>
    </row>
    <row r="70" spans="1:8">
      <c r="A70" s="8"/>
      <c r="B70" s="28" t="s">
        <v>288</v>
      </c>
      <c r="C70" s="10">
        <v>0.99999999999999989</v>
      </c>
      <c r="D70" s="12">
        <f>+D4+SUM(D7:D53)+SUM(D56:D57)+SUM(D60:D61)+SUM(D64:D69)</f>
        <v>152983</v>
      </c>
      <c r="E70" s="12">
        <f>+E4+SUM(E7:E53)+SUM(E56:E57)+SUM(E60:E61)+SUM(E64:E69)</f>
        <v>76502</v>
      </c>
      <c r="F70" s="12">
        <f>+F4+SUM(F7:F53)+SUM(F56:F57)+SUM(F60:F61)+SUM(F64:F69)</f>
        <v>76481</v>
      </c>
    </row>
    <row r="71" spans="1:8">
      <c r="A71" s="1" t="s">
        <v>590</v>
      </c>
      <c r="B71" s="18" t="s">
        <v>38</v>
      </c>
      <c r="D71" s="19">
        <f>+D4</f>
        <v>227</v>
      </c>
      <c r="E71" s="19">
        <f>+E4</f>
        <v>114</v>
      </c>
      <c r="F71" s="19">
        <f>+F4</f>
        <v>113</v>
      </c>
    </row>
    <row r="72" spans="1:8">
      <c r="B72" s="2" t="s">
        <v>39</v>
      </c>
      <c r="D72" s="19">
        <f>+D7</f>
        <v>5918</v>
      </c>
      <c r="E72" s="19">
        <f>+E7</f>
        <v>2959</v>
      </c>
      <c r="F72" s="19">
        <f>+F7</f>
        <v>2959</v>
      </c>
    </row>
    <row r="73" spans="1:8">
      <c r="B73" s="2" t="s">
        <v>40</v>
      </c>
      <c r="D73" s="19">
        <f>+D56+D60+D64</f>
        <v>53326</v>
      </c>
      <c r="E73" s="19">
        <f>+E56+E60+E64</f>
        <v>26664</v>
      </c>
      <c r="F73" s="19">
        <f>+F56+F60+F64</f>
        <v>26662</v>
      </c>
      <c r="H73" s="3">
        <v>1</v>
      </c>
    </row>
    <row r="74" spans="1:8">
      <c r="B74" s="18" t="s">
        <v>41</v>
      </c>
      <c r="D74" s="19">
        <f>+D70-D71-D72-D73</f>
        <v>93512</v>
      </c>
      <c r="E74" s="19">
        <f>+E70-E71-E72-E73</f>
        <v>46765</v>
      </c>
      <c r="F74" s="19">
        <f>+F70-F71-F72-F73</f>
        <v>46747</v>
      </c>
      <c r="H74" s="3">
        <v>2</v>
      </c>
    </row>
    <row r="76" spans="1:8" hidden="1">
      <c r="B76" s="3" t="s">
        <v>42</v>
      </c>
      <c r="C76" s="4">
        <v>0</v>
      </c>
      <c r="D76" s="3">
        <f>+D69-ROUND(D3*C69,0)</f>
        <v>1</v>
      </c>
    </row>
  </sheetData>
  <pageMargins left="0.7" right="0.7" top="0.75" bottom="0.75" header="0.3" footer="0.3"/>
  <pageSetup scale="6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WVB71"/>
  <sheetViews>
    <sheetView topLeftCell="A34" zoomScaleNormal="100" zoomScaleSheetLayoutView="90" workbookViewId="0">
      <selection activeCell="D55" activeCellId="5" sqref="D7:F7 D39:F39 D43:F43 D47:F47 D51:F51 D55:F55"/>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140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140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140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140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140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140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140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140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140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140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140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140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140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140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140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140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140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140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140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140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140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140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140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140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140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140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140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140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140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140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140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140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140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140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140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140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140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140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140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140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140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140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140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140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140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140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140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140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140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140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140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140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140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140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140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140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140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140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140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140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140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140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140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547</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Worksheet'!$D$28</f>
        <v>235697</v>
      </c>
      <c r="E3" s="11"/>
      <c r="F3" s="11"/>
    </row>
    <row r="4" spans="1:6">
      <c r="A4" s="8">
        <v>0</v>
      </c>
      <c r="B4" s="11" t="s">
        <v>4</v>
      </c>
      <c r="C4" s="10">
        <v>1.284E-3</v>
      </c>
      <c r="D4" s="12">
        <f>ROUND(D$3*C4,0)</f>
        <v>303</v>
      </c>
      <c r="E4" s="13">
        <f>ROUND(D4/2,0)</f>
        <v>152</v>
      </c>
      <c r="F4" s="12">
        <f>D4-E4</f>
        <v>151</v>
      </c>
    </row>
    <row r="5" spans="1:6">
      <c r="A5" s="8">
        <v>1</v>
      </c>
      <c r="B5" s="11" t="s">
        <v>548</v>
      </c>
      <c r="C5" s="10">
        <v>0.21143600000000001</v>
      </c>
      <c r="D5" s="9">
        <f>ROUND(D$3*C5,0)</f>
        <v>49835</v>
      </c>
      <c r="E5" s="11">
        <f>ROUND(D5/2,0)</f>
        <v>24918</v>
      </c>
      <c r="F5" s="9">
        <f>D5-E5</f>
        <v>24917</v>
      </c>
    </row>
    <row r="6" spans="1:6">
      <c r="A6" s="8"/>
      <c r="B6" s="11" t="s">
        <v>6</v>
      </c>
      <c r="C6" s="11"/>
      <c r="D6" s="14">
        <v>0.309666</v>
      </c>
      <c r="E6" s="11"/>
      <c r="F6" s="11"/>
    </row>
    <row r="7" spans="1:6">
      <c r="A7" s="8"/>
      <c r="B7" s="11" t="s">
        <v>7</v>
      </c>
      <c r="C7" s="11"/>
      <c r="D7" s="225">
        <f>ROUND(D5*D6,0)</f>
        <v>15432</v>
      </c>
      <c r="E7" s="226">
        <f>ROUND(D7/2,0)</f>
        <v>7716</v>
      </c>
      <c r="F7" s="225">
        <f>D7-E7</f>
        <v>7716</v>
      </c>
    </row>
    <row r="8" spans="1:6">
      <c r="A8" s="8"/>
      <c r="B8" s="11" t="s">
        <v>8</v>
      </c>
      <c r="C8" s="11"/>
      <c r="D8" s="12">
        <f>+D5-D7</f>
        <v>34403</v>
      </c>
      <c r="E8" s="13">
        <f>ROUND(D8/2,0)</f>
        <v>17202</v>
      </c>
      <c r="F8" s="12">
        <f>D8-E8</f>
        <v>17201</v>
      </c>
    </row>
    <row r="9" spans="1:6">
      <c r="A9" s="8">
        <v>2</v>
      </c>
      <c r="B9" s="11" t="s">
        <v>549</v>
      </c>
      <c r="C9" s="11"/>
      <c r="D9" s="9"/>
      <c r="E9" s="11"/>
      <c r="F9" s="11"/>
    </row>
    <row r="10" spans="1:6">
      <c r="A10" s="8"/>
      <c r="B10" s="11" t="s">
        <v>10</v>
      </c>
      <c r="C10" s="10">
        <v>1.083E-3</v>
      </c>
      <c r="D10" s="12">
        <f>ROUND(D$3*C10,0)</f>
        <v>255</v>
      </c>
      <c r="E10" s="13">
        <f>ROUND(D10/2,0)</f>
        <v>128</v>
      </c>
      <c r="F10" s="12">
        <f>D10-E10</f>
        <v>127</v>
      </c>
    </row>
    <row r="11" spans="1:6">
      <c r="A11" s="8"/>
      <c r="B11" s="11" t="s">
        <v>11</v>
      </c>
      <c r="C11" s="10">
        <v>8.1999999999999998E-4</v>
      </c>
      <c r="D11" s="12">
        <f>ROUND(D$3*C11,0)</f>
        <v>193</v>
      </c>
      <c r="E11" s="13">
        <f>ROUND(D11/2,0)</f>
        <v>97</v>
      </c>
      <c r="F11" s="12">
        <f>D11-E11</f>
        <v>96</v>
      </c>
    </row>
    <row r="12" spans="1:6">
      <c r="A12" s="8">
        <v>2</v>
      </c>
      <c r="B12" s="11" t="s">
        <v>550</v>
      </c>
      <c r="C12" s="11"/>
      <c r="D12" s="9"/>
      <c r="E12" s="11"/>
      <c r="F12" s="11"/>
    </row>
    <row r="13" spans="1:6">
      <c r="A13" s="8"/>
      <c r="B13" s="11" t="s">
        <v>10</v>
      </c>
      <c r="C13" s="10">
        <v>1.902E-3</v>
      </c>
      <c r="D13" s="12">
        <f>ROUND(D$3*C13,0)</f>
        <v>448</v>
      </c>
      <c r="E13" s="13">
        <f>ROUND(D13/2,0)</f>
        <v>224</v>
      </c>
      <c r="F13" s="12">
        <f>D13-E13</f>
        <v>224</v>
      </c>
    </row>
    <row r="14" spans="1:6">
      <c r="A14" s="8"/>
      <c r="B14" s="11" t="s">
        <v>11</v>
      </c>
      <c r="C14" s="10">
        <v>2.0960000000000002E-3</v>
      </c>
      <c r="D14" s="12">
        <f>ROUND(D$3*C14,0)</f>
        <v>494</v>
      </c>
      <c r="E14" s="13">
        <f>ROUND(D14/2,0)</f>
        <v>247</v>
      </c>
      <c r="F14" s="12">
        <f>D14-E14</f>
        <v>247</v>
      </c>
    </row>
    <row r="15" spans="1:6">
      <c r="A15" s="8">
        <v>2</v>
      </c>
      <c r="B15" s="11" t="s">
        <v>181</v>
      </c>
      <c r="C15" s="11"/>
      <c r="D15" s="9"/>
      <c r="E15" s="11"/>
      <c r="F15" s="11"/>
    </row>
    <row r="16" spans="1:6">
      <c r="A16" s="8"/>
      <c r="B16" s="11" t="s">
        <v>10</v>
      </c>
      <c r="C16" s="10">
        <v>6.9999999999999999E-4</v>
      </c>
      <c r="D16" s="12">
        <f>ROUND(D$3*C16,0)</f>
        <v>165</v>
      </c>
      <c r="E16" s="13">
        <f>ROUND(D16/2,0)</f>
        <v>83</v>
      </c>
      <c r="F16" s="12">
        <f>D16-E16</f>
        <v>82</v>
      </c>
    </row>
    <row r="17" spans="1:6">
      <c r="A17" s="8"/>
      <c r="B17" s="11" t="s">
        <v>11</v>
      </c>
      <c r="C17" s="10">
        <v>7.9299999999999998E-4</v>
      </c>
      <c r="D17" s="12">
        <f>ROUND(D$3*C17,0)</f>
        <v>187</v>
      </c>
      <c r="E17" s="13">
        <f>ROUND(D17/2,0)</f>
        <v>94</v>
      </c>
      <c r="F17" s="12">
        <f>D17-E17</f>
        <v>93</v>
      </c>
    </row>
    <row r="18" spans="1:6">
      <c r="A18" s="8">
        <v>2</v>
      </c>
      <c r="B18" s="11" t="s">
        <v>551</v>
      </c>
      <c r="C18" s="11"/>
      <c r="D18" s="9"/>
      <c r="E18" s="11"/>
      <c r="F18" s="11"/>
    </row>
    <row r="19" spans="1:6">
      <c r="A19" s="8"/>
      <c r="B19" s="11" t="s">
        <v>10</v>
      </c>
      <c r="C19" s="10">
        <v>1.137E-3</v>
      </c>
      <c r="D19" s="12">
        <f>ROUND(D$3*C19,0)</f>
        <v>268</v>
      </c>
      <c r="E19" s="13">
        <f>ROUND(D19/2,0)</f>
        <v>134</v>
      </c>
      <c r="F19" s="12">
        <f>D19-E19</f>
        <v>134</v>
      </c>
    </row>
    <row r="20" spans="1:6">
      <c r="A20" s="8"/>
      <c r="B20" s="11" t="s">
        <v>11</v>
      </c>
      <c r="C20" s="10">
        <v>7.8899999999999999E-4</v>
      </c>
      <c r="D20" s="12">
        <f>ROUND(D$3*C20,0)</f>
        <v>186</v>
      </c>
      <c r="E20" s="13">
        <f>ROUND(D20/2,0)</f>
        <v>93</v>
      </c>
      <c r="F20" s="12">
        <f>D20-E20</f>
        <v>93</v>
      </c>
    </row>
    <row r="21" spans="1:6">
      <c r="A21" s="8">
        <v>2</v>
      </c>
      <c r="B21" s="11" t="s">
        <v>114</v>
      </c>
      <c r="C21" s="11"/>
      <c r="D21" s="9"/>
      <c r="E21" s="11"/>
      <c r="F21" s="11"/>
    </row>
    <row r="22" spans="1:6">
      <c r="A22" s="8"/>
      <c r="B22" s="11" t="s">
        <v>10</v>
      </c>
      <c r="C22" s="10">
        <v>9.5100000000000002E-4</v>
      </c>
      <c r="D22" s="12">
        <f>ROUND(D$3*C22,0)</f>
        <v>224</v>
      </c>
      <c r="E22" s="13">
        <f>ROUND(D22/2,0)</f>
        <v>112</v>
      </c>
      <c r="F22" s="12">
        <f>D22-E22</f>
        <v>112</v>
      </c>
    </row>
    <row r="23" spans="1:6">
      <c r="A23" s="8"/>
      <c r="B23" s="11" t="s">
        <v>11</v>
      </c>
      <c r="C23" s="10">
        <v>5.9900000000000003E-4</v>
      </c>
      <c r="D23" s="12">
        <f>ROUND(D$3*C23,0)</f>
        <v>141</v>
      </c>
      <c r="E23" s="13">
        <f>ROUND(D23/2,0)</f>
        <v>71</v>
      </c>
      <c r="F23" s="12">
        <f>D23-E23</f>
        <v>70</v>
      </c>
    </row>
    <row r="24" spans="1:6">
      <c r="A24" s="8">
        <v>2</v>
      </c>
      <c r="B24" s="11" t="s">
        <v>552</v>
      </c>
      <c r="C24" s="11"/>
      <c r="D24" s="9"/>
      <c r="E24" s="11"/>
      <c r="F24" s="11"/>
    </row>
    <row r="25" spans="1:6">
      <c r="A25" s="8"/>
      <c r="B25" s="11" t="s">
        <v>10</v>
      </c>
      <c r="C25" s="10">
        <v>1.0555999999999999E-2</v>
      </c>
      <c r="D25" s="12">
        <f>ROUND(D$3*C25,0)</f>
        <v>2488</v>
      </c>
      <c r="E25" s="13">
        <f>ROUND(D25/2,0)</f>
        <v>1244</v>
      </c>
      <c r="F25" s="12">
        <f>D25-E25</f>
        <v>1244</v>
      </c>
    </row>
    <row r="26" spans="1:6">
      <c r="A26" s="8"/>
      <c r="B26" s="11" t="s">
        <v>11</v>
      </c>
      <c r="C26" s="10">
        <v>5.6100000000000004E-3</v>
      </c>
      <c r="D26" s="12">
        <f>ROUND(D$3*C26,0)</f>
        <v>1322</v>
      </c>
      <c r="E26" s="13">
        <f>ROUND(D26/2,0)</f>
        <v>661</v>
      </c>
      <c r="F26" s="12">
        <f>D26-E26</f>
        <v>661</v>
      </c>
    </row>
    <row r="27" spans="1:6">
      <c r="A27" s="8">
        <v>2</v>
      </c>
      <c r="B27" s="11" t="s">
        <v>20</v>
      </c>
      <c r="C27" s="11"/>
      <c r="D27" s="9"/>
      <c r="E27" s="11"/>
      <c r="F27" s="11"/>
    </row>
    <row r="28" spans="1:6">
      <c r="A28" s="8"/>
      <c r="B28" s="11" t="s">
        <v>10</v>
      </c>
      <c r="C28" s="10">
        <v>1.245E-3</v>
      </c>
      <c r="D28" s="12">
        <f>ROUND(D$3*C28,0)</f>
        <v>293</v>
      </c>
      <c r="E28" s="13">
        <f>ROUND(D28/2,0)</f>
        <v>147</v>
      </c>
      <c r="F28" s="12">
        <f>D28-E28</f>
        <v>146</v>
      </c>
    </row>
    <row r="29" spans="1:6">
      <c r="A29" s="8"/>
      <c r="B29" s="11" t="s">
        <v>11</v>
      </c>
      <c r="C29" s="10">
        <v>6.5700000000000003E-4</v>
      </c>
      <c r="D29" s="12">
        <f>ROUND(D$3*C29,0)</f>
        <v>155</v>
      </c>
      <c r="E29" s="13">
        <f>ROUND(D29/2,0)</f>
        <v>78</v>
      </c>
      <c r="F29" s="12">
        <f>D29-E29</f>
        <v>77</v>
      </c>
    </row>
    <row r="30" spans="1:6">
      <c r="A30" s="8">
        <v>2</v>
      </c>
      <c r="B30" s="11" t="s">
        <v>61</v>
      </c>
      <c r="C30" s="11"/>
      <c r="D30" s="9"/>
      <c r="E30" s="11"/>
      <c r="F30" s="11"/>
    </row>
    <row r="31" spans="1:6">
      <c r="A31" s="8"/>
      <c r="B31" s="11" t="s">
        <v>10</v>
      </c>
      <c r="C31" s="10">
        <v>5.7600000000000001E-4</v>
      </c>
      <c r="D31" s="12">
        <f t="shared" ref="D31:D37" si="0">ROUND(D$3*C31,0)</f>
        <v>136</v>
      </c>
      <c r="E31" s="13">
        <f t="shared" ref="E31:E37" si="1">ROUND(D31/2,0)</f>
        <v>68</v>
      </c>
      <c r="F31" s="12">
        <f t="shared" ref="F31:F37" si="2">D31-E31</f>
        <v>68</v>
      </c>
    </row>
    <row r="32" spans="1:6">
      <c r="A32" s="8"/>
      <c r="B32" s="11" t="s">
        <v>11</v>
      </c>
      <c r="C32" s="10">
        <v>4.2900000000000002E-4</v>
      </c>
      <c r="D32" s="12">
        <f t="shared" si="0"/>
        <v>101</v>
      </c>
      <c r="E32" s="13">
        <f t="shared" si="1"/>
        <v>51</v>
      </c>
      <c r="F32" s="12">
        <f t="shared" si="2"/>
        <v>50</v>
      </c>
    </row>
    <row r="33" spans="1:6">
      <c r="A33" s="8">
        <v>3</v>
      </c>
      <c r="B33" s="11" t="s">
        <v>553</v>
      </c>
      <c r="C33" s="10">
        <v>3.1700000000000001E-4</v>
      </c>
      <c r="D33" s="12">
        <f t="shared" si="0"/>
        <v>75</v>
      </c>
      <c r="E33" s="13">
        <f t="shared" si="1"/>
        <v>38</v>
      </c>
      <c r="F33" s="12">
        <f t="shared" si="2"/>
        <v>37</v>
      </c>
    </row>
    <row r="34" spans="1:6">
      <c r="A34" s="8">
        <v>3</v>
      </c>
      <c r="B34" s="11" t="s">
        <v>554</v>
      </c>
      <c r="C34" s="10">
        <v>9.0899999999999998E-4</v>
      </c>
      <c r="D34" s="12">
        <f t="shared" si="0"/>
        <v>214</v>
      </c>
      <c r="E34" s="13">
        <f t="shared" si="1"/>
        <v>107</v>
      </c>
      <c r="F34" s="12">
        <f t="shared" si="2"/>
        <v>107</v>
      </c>
    </row>
    <row r="35" spans="1:6">
      <c r="A35" s="8">
        <v>3</v>
      </c>
      <c r="B35" s="11" t="s">
        <v>555</v>
      </c>
      <c r="C35" s="10">
        <v>2.3159999999999999E-3</v>
      </c>
      <c r="D35" s="12">
        <f t="shared" si="0"/>
        <v>546</v>
      </c>
      <c r="E35" s="13">
        <f t="shared" si="1"/>
        <v>273</v>
      </c>
      <c r="F35" s="12">
        <f t="shared" si="2"/>
        <v>273</v>
      </c>
    </row>
    <row r="36" spans="1:6">
      <c r="A36" s="8">
        <v>3</v>
      </c>
      <c r="B36" s="11" t="s">
        <v>556</v>
      </c>
      <c r="C36" s="10">
        <v>5.1677000000000001E-2</v>
      </c>
      <c r="D36" s="12">
        <f t="shared" si="0"/>
        <v>12180</v>
      </c>
      <c r="E36" s="13">
        <f t="shared" si="1"/>
        <v>6090</v>
      </c>
      <c r="F36" s="12">
        <f t="shared" si="2"/>
        <v>6090</v>
      </c>
    </row>
    <row r="37" spans="1:6">
      <c r="A37" s="8">
        <v>4</v>
      </c>
      <c r="B37" s="11" t="s">
        <v>210</v>
      </c>
      <c r="C37" s="10">
        <v>5.6375000000000001E-2</v>
      </c>
      <c r="D37" s="9">
        <f t="shared" si="0"/>
        <v>13287</v>
      </c>
      <c r="E37" s="11">
        <f t="shared" si="1"/>
        <v>6644</v>
      </c>
      <c r="F37" s="9">
        <f t="shared" si="2"/>
        <v>6643</v>
      </c>
    </row>
    <row r="38" spans="1:6">
      <c r="A38" s="8"/>
      <c r="B38" s="11" t="s">
        <v>28</v>
      </c>
      <c r="C38" s="11"/>
      <c r="D38" s="14">
        <v>0.544678</v>
      </c>
      <c r="E38" s="11"/>
      <c r="F38" s="11"/>
    </row>
    <row r="39" spans="1:6">
      <c r="A39" s="8"/>
      <c r="B39" s="11" t="s">
        <v>29</v>
      </c>
      <c r="C39" s="11"/>
      <c r="D39" s="225">
        <f>ROUND(D37*D38,0)</f>
        <v>7237</v>
      </c>
      <c r="E39" s="226">
        <f>ROUND(D39/2,0)</f>
        <v>3619</v>
      </c>
      <c r="F39" s="225">
        <f>D39-E39</f>
        <v>3618</v>
      </c>
    </row>
    <row r="40" spans="1:6">
      <c r="A40" s="8"/>
      <c r="B40" s="11" t="s">
        <v>30</v>
      </c>
      <c r="C40" s="11"/>
      <c r="D40" s="12">
        <f>+D37-D39</f>
        <v>6050</v>
      </c>
      <c r="E40" s="13">
        <f>ROUND(D40/2,0)</f>
        <v>3025</v>
      </c>
      <c r="F40" s="12">
        <f>D40-E40</f>
        <v>3025</v>
      </c>
    </row>
    <row r="41" spans="1:6">
      <c r="A41" s="8">
        <v>4</v>
      </c>
      <c r="B41" s="11" t="s">
        <v>557</v>
      </c>
      <c r="C41" s="10">
        <v>2.3725E-2</v>
      </c>
      <c r="D41" s="9">
        <f>ROUND(D$3*C41,0)</f>
        <v>5592</v>
      </c>
      <c r="E41" s="11">
        <f>ROUND(D41/2,0)</f>
        <v>2796</v>
      </c>
      <c r="F41" s="9">
        <f>D41-E41</f>
        <v>2796</v>
      </c>
    </row>
    <row r="42" spans="1:6">
      <c r="A42" s="8"/>
      <c r="B42" s="11" t="s">
        <v>28</v>
      </c>
      <c r="C42" s="11"/>
      <c r="D42" s="14">
        <v>0.48516999999999999</v>
      </c>
      <c r="E42" s="11"/>
      <c r="F42" s="11"/>
    </row>
    <row r="43" spans="1:6">
      <c r="A43" s="8"/>
      <c r="B43" s="11" t="s">
        <v>29</v>
      </c>
      <c r="C43" s="11"/>
      <c r="D43" s="225">
        <f>ROUND(D41*D42,0)</f>
        <v>2713</v>
      </c>
      <c r="E43" s="226">
        <f>ROUND(D43/2,0)</f>
        <v>1357</v>
      </c>
      <c r="F43" s="225">
        <f>D43-E43</f>
        <v>1356</v>
      </c>
    </row>
    <row r="44" spans="1:6">
      <c r="A44" s="8"/>
      <c r="B44" s="11" t="s">
        <v>30</v>
      </c>
      <c r="C44" s="11"/>
      <c r="D44" s="12">
        <f>+D41-D43</f>
        <v>2879</v>
      </c>
      <c r="E44" s="13">
        <f>ROUND(D44/2,0)</f>
        <v>1440</v>
      </c>
      <c r="F44" s="12">
        <f>D44-E44</f>
        <v>1439</v>
      </c>
    </row>
    <row r="45" spans="1:6">
      <c r="A45" s="8">
        <v>4</v>
      </c>
      <c r="B45" s="11" t="s">
        <v>558</v>
      </c>
      <c r="C45" s="10">
        <v>0.45790700000000001</v>
      </c>
      <c r="D45" s="9">
        <f>ROUND(D$3*C45,0)</f>
        <v>107927</v>
      </c>
      <c r="E45" s="11">
        <f>ROUND(D45/2,0)</f>
        <v>53964</v>
      </c>
      <c r="F45" s="9">
        <f>D45-E45</f>
        <v>53963</v>
      </c>
    </row>
    <row r="46" spans="1:6">
      <c r="A46" s="8"/>
      <c r="B46" s="11" t="s">
        <v>28</v>
      </c>
      <c r="C46" s="11"/>
      <c r="D46" s="14">
        <v>0.48539900000000002</v>
      </c>
      <c r="E46" s="11"/>
      <c r="F46" s="11"/>
    </row>
    <row r="47" spans="1:6">
      <c r="A47" s="8"/>
      <c r="B47" s="11" t="s">
        <v>29</v>
      </c>
      <c r="C47" s="11"/>
      <c r="D47" s="225">
        <f>ROUND(D45*D46,0)</f>
        <v>52388</v>
      </c>
      <c r="E47" s="226">
        <f>ROUND(D47/2,0)</f>
        <v>26194</v>
      </c>
      <c r="F47" s="225">
        <f>D47-E47</f>
        <v>26194</v>
      </c>
    </row>
    <row r="48" spans="1:6">
      <c r="A48" s="8"/>
      <c r="B48" s="11" t="s">
        <v>30</v>
      </c>
      <c r="C48" s="11"/>
      <c r="D48" s="12">
        <f>+D45-D47</f>
        <v>55539</v>
      </c>
      <c r="E48" s="13">
        <f>ROUND(D48/2,0)</f>
        <v>27770</v>
      </c>
      <c r="F48" s="12">
        <f>D48-E48</f>
        <v>27769</v>
      </c>
    </row>
    <row r="49" spans="1:8">
      <c r="A49" s="8">
        <v>4</v>
      </c>
      <c r="B49" s="11" t="s">
        <v>559</v>
      </c>
      <c r="C49" s="10">
        <v>7.0931999999999995E-2</v>
      </c>
      <c r="D49" s="9">
        <f>ROUND(D$3*C49,0)</f>
        <v>16718</v>
      </c>
      <c r="E49" s="11">
        <f>ROUND(D49/2,0)</f>
        <v>8359</v>
      </c>
      <c r="F49" s="9">
        <f>D49-E49</f>
        <v>8359</v>
      </c>
    </row>
    <row r="50" spans="1:8">
      <c r="A50" s="8"/>
      <c r="B50" s="11" t="s">
        <v>28</v>
      </c>
      <c r="C50" s="11"/>
      <c r="D50" s="14">
        <v>0.37658999999999998</v>
      </c>
      <c r="E50" s="11"/>
      <c r="F50" s="11"/>
    </row>
    <row r="51" spans="1:8">
      <c r="A51" s="8"/>
      <c r="B51" s="11" t="s">
        <v>29</v>
      </c>
      <c r="C51" s="11"/>
      <c r="D51" s="225">
        <f>ROUND(D49*D50,0)</f>
        <v>6296</v>
      </c>
      <c r="E51" s="226">
        <f>ROUND(D51/2,0)</f>
        <v>3148</v>
      </c>
      <c r="F51" s="225">
        <f>D51-E51</f>
        <v>3148</v>
      </c>
    </row>
    <row r="52" spans="1:8">
      <c r="A52" s="8"/>
      <c r="B52" s="11" t="s">
        <v>30</v>
      </c>
      <c r="C52" s="11"/>
      <c r="D52" s="12">
        <f>+D49-D51</f>
        <v>10422</v>
      </c>
      <c r="E52" s="13">
        <f>ROUND(D52/2,0)</f>
        <v>5211</v>
      </c>
      <c r="F52" s="12">
        <f>D52-E52</f>
        <v>5211</v>
      </c>
    </row>
    <row r="53" spans="1:8">
      <c r="A53" s="8">
        <v>4</v>
      </c>
      <c r="B53" s="11" t="s">
        <v>560</v>
      </c>
      <c r="C53" s="10">
        <v>4.7451E-2</v>
      </c>
      <c r="D53" s="9">
        <f>ROUND(D$3*C53,0)</f>
        <v>11184</v>
      </c>
      <c r="E53" s="11">
        <f>ROUND(D53/2,0)</f>
        <v>5592</v>
      </c>
      <c r="F53" s="9">
        <f>D53-E53</f>
        <v>5592</v>
      </c>
    </row>
    <row r="54" spans="1:8">
      <c r="A54" s="8"/>
      <c r="B54" s="11" t="s">
        <v>28</v>
      </c>
      <c r="C54" s="11"/>
      <c r="D54" s="14">
        <v>0.50499400000000005</v>
      </c>
      <c r="E54" s="11"/>
      <c r="F54" s="11"/>
    </row>
    <row r="55" spans="1:8">
      <c r="A55" s="8"/>
      <c r="B55" s="11" t="s">
        <v>29</v>
      </c>
      <c r="C55" s="11"/>
      <c r="D55" s="225">
        <f>ROUND(D53*D54,0)</f>
        <v>5648</v>
      </c>
      <c r="E55" s="226">
        <f t="shared" ref="E55:E60" si="3">ROUND(D55/2,0)</f>
        <v>2824</v>
      </c>
      <c r="F55" s="225">
        <f t="shared" ref="F55:F60" si="4">D55-E55</f>
        <v>2824</v>
      </c>
    </row>
    <row r="56" spans="1:8">
      <c r="A56" s="8"/>
      <c r="B56" s="11" t="s">
        <v>30</v>
      </c>
      <c r="C56" s="11"/>
      <c r="D56" s="12">
        <f>+D53-D55</f>
        <v>5536</v>
      </c>
      <c r="E56" s="13">
        <f t="shared" si="3"/>
        <v>2768</v>
      </c>
      <c r="F56" s="12">
        <f t="shared" si="4"/>
        <v>2768</v>
      </c>
    </row>
    <row r="57" spans="1:8">
      <c r="A57" s="8">
        <v>5</v>
      </c>
      <c r="B57" s="11" t="s">
        <v>561</v>
      </c>
      <c r="C57" s="10">
        <v>3.6849999999999999E-3</v>
      </c>
      <c r="D57" s="12">
        <f>ROUND(D$3*C57,0)</f>
        <v>869</v>
      </c>
      <c r="E57" s="13">
        <f t="shared" si="3"/>
        <v>435</v>
      </c>
      <c r="F57" s="12">
        <f t="shared" si="4"/>
        <v>434</v>
      </c>
    </row>
    <row r="58" spans="1:8">
      <c r="A58" s="8">
        <v>5</v>
      </c>
      <c r="B58" s="11" t="s">
        <v>562</v>
      </c>
      <c r="C58" s="10">
        <v>4.1071000000000003E-2</v>
      </c>
      <c r="D58" s="12">
        <f>ROUND(D$3*C58,0)</f>
        <v>9680</v>
      </c>
      <c r="E58" s="13">
        <f t="shared" si="3"/>
        <v>4840</v>
      </c>
      <c r="F58" s="12">
        <f t="shared" si="4"/>
        <v>4840</v>
      </c>
    </row>
    <row r="59" spans="1:8">
      <c r="A59" s="8">
        <v>5</v>
      </c>
      <c r="B59" s="11" t="s">
        <v>563</v>
      </c>
      <c r="C59" s="10">
        <v>9.7199999999997289E-4</v>
      </c>
      <c r="D59" s="12">
        <f>+D3-SUM(D4:D5)-SUM(D10:D37)-D41-D45-D49-D53-SUM(D57:D58)</f>
        <v>231</v>
      </c>
      <c r="E59" s="13">
        <f t="shared" si="3"/>
        <v>116</v>
      </c>
      <c r="F59" s="12">
        <f t="shared" si="4"/>
        <v>115</v>
      </c>
    </row>
    <row r="60" spans="1:8">
      <c r="A60" s="8">
        <v>6</v>
      </c>
      <c r="B60" s="11" t="s">
        <v>564</v>
      </c>
      <c r="C60" s="10">
        <v>0</v>
      </c>
      <c r="D60" s="12">
        <f>ROUND(D$3*C60,0)</f>
        <v>0</v>
      </c>
      <c r="E60" s="13">
        <f t="shared" si="3"/>
        <v>0</v>
      </c>
      <c r="F60" s="12">
        <f t="shared" si="4"/>
        <v>0</v>
      </c>
    </row>
    <row r="61" spans="1:8">
      <c r="A61" s="8"/>
      <c r="B61" s="28" t="s">
        <v>288</v>
      </c>
      <c r="C61" s="10">
        <v>1</v>
      </c>
      <c r="D61" s="12">
        <f>+D4+SUM(D7:D36)+SUM(D39:D40)+SUM(D43:D44)+SUM(D47:D48)+SUM(D51:D52)+SUM(D55:D60)</f>
        <v>235697</v>
      </c>
      <c r="E61" s="12">
        <f>+E4+SUM(E7:E36)+SUM(E39:E40)+SUM(E43:E44)+SUM(E47:E48)+SUM(E51:E52)+SUM(E55:E60)</f>
        <v>117857</v>
      </c>
      <c r="F61" s="12">
        <f>+F4+SUM(F7:F36)+SUM(F39:F40)+SUM(F43:F44)+SUM(F47:F48)+SUM(F51:F52)+SUM(F55:F60)</f>
        <v>117840</v>
      </c>
    </row>
    <row r="62" spans="1:8">
      <c r="B62" s="18" t="s">
        <v>38</v>
      </c>
      <c r="D62" s="19">
        <f>+D4</f>
        <v>303</v>
      </c>
      <c r="E62" s="19">
        <f>+E4</f>
        <v>152</v>
      </c>
      <c r="F62" s="19">
        <f>+F4</f>
        <v>151</v>
      </c>
    </row>
    <row r="63" spans="1:8">
      <c r="B63" s="2" t="s">
        <v>39</v>
      </c>
      <c r="D63" s="19">
        <f>+D7</f>
        <v>15432</v>
      </c>
      <c r="E63" s="19">
        <f>+E7</f>
        <v>7716</v>
      </c>
      <c r="F63" s="19">
        <f>+F7</f>
        <v>7716</v>
      </c>
    </row>
    <row r="64" spans="1:8">
      <c r="B64" s="2" t="s">
        <v>40</v>
      </c>
      <c r="D64" s="19">
        <f>+D39+D43+D47+D51+D55</f>
        <v>74282</v>
      </c>
      <c r="E64" s="19">
        <f>+E39+E43+E47+E51+E55</f>
        <v>37142</v>
      </c>
      <c r="F64" s="19">
        <f>+F39+F43+F47+F51+F55</f>
        <v>37140</v>
      </c>
      <c r="H64" s="3">
        <v>1</v>
      </c>
    </row>
    <row r="65" spans="1:8">
      <c r="B65" s="18" t="s">
        <v>41</v>
      </c>
      <c r="D65" s="19">
        <f>+D61-D62-D63-D64</f>
        <v>145680</v>
      </c>
      <c r="E65" s="19">
        <f>+E61-E62-E63-E64</f>
        <v>72847</v>
      </c>
      <c r="F65" s="19">
        <f>+F61-F62-F63-F64</f>
        <v>72833</v>
      </c>
      <c r="H65" s="3">
        <v>2</v>
      </c>
    </row>
    <row r="67" spans="1:8" hidden="1">
      <c r="B67" s="3" t="s">
        <v>42</v>
      </c>
      <c r="C67" s="4">
        <v>-2.0000000000271537E-6</v>
      </c>
      <c r="D67" s="3">
        <f>+D59-ROUND(D3*C59,0)</f>
        <v>2</v>
      </c>
    </row>
    <row r="71" spans="1:8">
      <c r="A71" s="1" t="s">
        <v>590</v>
      </c>
    </row>
  </sheetData>
  <pageMargins left="0.7" right="0.7" top="0.75" bottom="0.75" header="0.3" footer="0.3"/>
  <pageSetup scale="6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pageSetUpPr fitToPage="1"/>
  </sheetPr>
  <dimension ref="A1:WVB73"/>
  <sheetViews>
    <sheetView topLeftCell="A38" zoomScaleNormal="100" zoomScaleSheetLayoutView="90" workbookViewId="0">
      <selection activeCell="D59" activeCellId="3" sqref="D7:F7 D51:F51 D55:F55 D59:F59"/>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3.140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3.140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3.140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3.140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3.140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3.140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3.140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3.140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3.140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3.140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3.140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3.140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3.140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3.140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3.140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3.140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3.140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3.140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3.140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3.140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3.140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3.140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3.140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3.140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3.140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3.140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3.140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3.140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3.140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3.140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3.140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3.140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3.140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3.140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3.140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3.140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3.140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3.140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3.140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3.140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3.140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3.140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3.140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3.140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3.140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3.140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3.140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3.140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3.140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3.140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3.140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3.140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3.140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3.140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3.140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3.140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3.140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3.140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3.140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3.140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3.140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3.140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3.140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565</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ht="20.25" customHeight="1">
      <c r="A3" s="7" t="s">
        <v>2</v>
      </c>
      <c r="B3" s="7" t="s">
        <v>3</v>
      </c>
      <c r="C3" s="10"/>
      <c r="D3" s="9">
        <f>'Allocation Worksheet'!$D$29</f>
        <v>609989</v>
      </c>
      <c r="E3" s="11"/>
      <c r="F3" s="11"/>
    </row>
    <row r="4" spans="1:6">
      <c r="A4" s="8">
        <v>0</v>
      </c>
      <c r="B4" s="11" t="s">
        <v>4</v>
      </c>
      <c r="C4" s="10">
        <v>1.0679999999999999E-3</v>
      </c>
      <c r="D4" s="12">
        <f>ROUND(D$3*C4,0)</f>
        <v>651</v>
      </c>
      <c r="E4" s="13">
        <f>ROUND(D4/2,0)</f>
        <v>326</v>
      </c>
      <c r="F4" s="12">
        <f>D4-E4</f>
        <v>325</v>
      </c>
    </row>
    <row r="5" spans="1:6">
      <c r="A5" s="8">
        <v>1</v>
      </c>
      <c r="B5" s="11" t="s">
        <v>566</v>
      </c>
      <c r="C5" s="10">
        <v>0.23131099999999999</v>
      </c>
      <c r="D5" s="9">
        <f>ROUND(D$3*C5,0)</f>
        <v>141097</v>
      </c>
      <c r="E5" s="11">
        <f>ROUND(D5/2,0)</f>
        <v>70549</v>
      </c>
      <c r="F5" s="9">
        <f>D5-E5</f>
        <v>70548</v>
      </c>
    </row>
    <row r="6" spans="1:6">
      <c r="A6" s="8"/>
      <c r="B6" s="11" t="s">
        <v>6</v>
      </c>
      <c r="C6" s="11"/>
      <c r="D6" s="14">
        <v>0.14757899999999999</v>
      </c>
      <c r="E6" s="11"/>
      <c r="F6" s="11"/>
    </row>
    <row r="7" spans="1:6">
      <c r="A7" s="8"/>
      <c r="B7" s="11" t="s">
        <v>7</v>
      </c>
      <c r="C7" s="11"/>
      <c r="D7" s="225">
        <f>ROUND(D5*D6,0)</f>
        <v>20823</v>
      </c>
      <c r="E7" s="226">
        <f>ROUND(D7/2,0)</f>
        <v>10412</v>
      </c>
      <c r="F7" s="225">
        <f>D7-E7</f>
        <v>10411</v>
      </c>
    </row>
    <row r="8" spans="1:6">
      <c r="A8" s="8"/>
      <c r="B8" s="11" t="s">
        <v>8</v>
      </c>
      <c r="C8" s="11"/>
      <c r="D8" s="12">
        <f>+D5-D7</f>
        <v>120274</v>
      </c>
      <c r="E8" s="13">
        <f>ROUND(D8/2,0)</f>
        <v>60137</v>
      </c>
      <c r="F8" s="12">
        <f>D8-E8</f>
        <v>60137</v>
      </c>
    </row>
    <row r="9" spans="1:6">
      <c r="A9" s="8">
        <v>2</v>
      </c>
      <c r="B9" s="11" t="s">
        <v>567</v>
      </c>
      <c r="C9" s="11"/>
      <c r="D9" s="9"/>
      <c r="E9" s="11"/>
      <c r="F9" s="11"/>
    </row>
    <row r="10" spans="1:6">
      <c r="A10" s="8"/>
      <c r="B10" s="11" t="s">
        <v>10</v>
      </c>
      <c r="C10" s="10">
        <v>2.3930000000000002E-3</v>
      </c>
      <c r="D10" s="12">
        <f>ROUND(D$3*C10,0)</f>
        <v>1460</v>
      </c>
      <c r="E10" s="13">
        <f>ROUND(D10/2,0)</f>
        <v>730</v>
      </c>
      <c r="F10" s="12">
        <f>D10-E10</f>
        <v>730</v>
      </c>
    </row>
    <row r="11" spans="1:6">
      <c r="A11" s="8"/>
      <c r="B11" s="11" t="s">
        <v>11</v>
      </c>
      <c r="C11" s="10">
        <v>1.513E-3</v>
      </c>
      <c r="D11" s="12">
        <f>ROUND(D$3*C11,0)</f>
        <v>923</v>
      </c>
      <c r="E11" s="13">
        <f>ROUND(D11/2,0)</f>
        <v>462</v>
      </c>
      <c r="F11" s="12">
        <f>D11-E11</f>
        <v>461</v>
      </c>
    </row>
    <row r="12" spans="1:6">
      <c r="A12" s="8">
        <v>2</v>
      </c>
      <c r="B12" s="11" t="s">
        <v>107</v>
      </c>
      <c r="C12" s="11"/>
      <c r="D12" s="9"/>
      <c r="E12" s="11"/>
      <c r="F12" s="11"/>
    </row>
    <row r="13" spans="1:6">
      <c r="A13" s="8"/>
      <c r="B13" s="11" t="s">
        <v>10</v>
      </c>
      <c r="C13" s="10">
        <v>1.077E-3</v>
      </c>
      <c r="D13" s="12">
        <f>ROUND(D$3*C13,0)</f>
        <v>657</v>
      </c>
      <c r="E13" s="13">
        <f>ROUND(D13/2,0)</f>
        <v>329</v>
      </c>
      <c r="F13" s="12">
        <f>D13-E13</f>
        <v>328</v>
      </c>
    </row>
    <row r="14" spans="1:6">
      <c r="A14" s="8"/>
      <c r="B14" s="11" t="s">
        <v>11</v>
      </c>
      <c r="C14" s="10">
        <v>6.9899999999999997E-4</v>
      </c>
      <c r="D14" s="12">
        <f>ROUND(D$3*C14,0)</f>
        <v>426</v>
      </c>
      <c r="E14" s="13">
        <f>ROUND(D14/2,0)</f>
        <v>213</v>
      </c>
      <c r="F14" s="12">
        <f>D14-E14</f>
        <v>213</v>
      </c>
    </row>
    <row r="15" spans="1:6">
      <c r="A15" s="8">
        <v>2</v>
      </c>
      <c r="B15" s="11" t="s">
        <v>429</v>
      </c>
      <c r="C15" s="11"/>
      <c r="D15" s="9"/>
      <c r="E15" s="11"/>
      <c r="F15" s="11"/>
    </row>
    <row r="16" spans="1:6">
      <c r="A16" s="8"/>
      <c r="B16" s="11" t="s">
        <v>10</v>
      </c>
      <c r="C16" s="10">
        <v>1.5219999999999999E-3</v>
      </c>
      <c r="D16" s="12">
        <f>ROUND(D$3*C16,0)</f>
        <v>928</v>
      </c>
      <c r="E16" s="13">
        <f>ROUND(D16/2,0)</f>
        <v>464</v>
      </c>
      <c r="F16" s="12">
        <f>D16-E16</f>
        <v>464</v>
      </c>
    </row>
    <row r="17" spans="1:6">
      <c r="A17" s="8"/>
      <c r="B17" s="11" t="s">
        <v>11</v>
      </c>
      <c r="C17" s="10">
        <v>8.0400000000000003E-4</v>
      </c>
      <c r="D17" s="12">
        <f>ROUND(D$3*C17,0)</f>
        <v>490</v>
      </c>
      <c r="E17" s="13">
        <f>ROUND(D17/2,0)</f>
        <v>245</v>
      </c>
      <c r="F17" s="12">
        <f>D17-E17</f>
        <v>245</v>
      </c>
    </row>
    <row r="18" spans="1:6">
      <c r="A18" s="8">
        <v>2</v>
      </c>
      <c r="B18" s="11" t="s">
        <v>268</v>
      </c>
      <c r="C18" s="11"/>
      <c r="D18" s="9"/>
      <c r="E18" s="11"/>
      <c r="F18" s="11"/>
    </row>
    <row r="19" spans="1:6">
      <c r="A19" s="8"/>
      <c r="B19" s="11" t="s">
        <v>10</v>
      </c>
      <c r="C19" s="10">
        <v>8.7000000000000001E-4</v>
      </c>
      <c r="D19" s="12">
        <f>ROUND(D$3*C19,0)</f>
        <v>531</v>
      </c>
      <c r="E19" s="13">
        <f>ROUND(D19/2,0)</f>
        <v>266</v>
      </c>
      <c r="F19" s="12">
        <f>D19-E19</f>
        <v>265</v>
      </c>
    </row>
    <row r="20" spans="1:6">
      <c r="A20" s="8"/>
      <c r="B20" s="11" t="s">
        <v>11</v>
      </c>
      <c r="C20" s="10">
        <v>7.2900000000000005E-4</v>
      </c>
      <c r="D20" s="12">
        <f>ROUND(D$3*C20,0)</f>
        <v>445</v>
      </c>
      <c r="E20" s="13">
        <f>ROUND(D20/2,0)</f>
        <v>223</v>
      </c>
      <c r="F20" s="12">
        <f>D20-E20</f>
        <v>222</v>
      </c>
    </row>
    <row r="21" spans="1:6">
      <c r="A21" s="8">
        <v>2</v>
      </c>
      <c r="B21" s="11" t="s">
        <v>568</v>
      </c>
      <c r="C21" s="11"/>
      <c r="D21" s="9"/>
      <c r="E21" s="11"/>
      <c r="F21" s="11"/>
    </row>
    <row r="22" spans="1:6">
      <c r="A22" s="8"/>
      <c r="B22" s="11" t="s">
        <v>10</v>
      </c>
      <c r="C22" s="10">
        <v>5.1999999999999995E-4</v>
      </c>
      <c r="D22" s="12">
        <f>ROUND(D$3*C22,0)</f>
        <v>317</v>
      </c>
      <c r="E22" s="13">
        <f>ROUND(D22/2,0)</f>
        <v>159</v>
      </c>
      <c r="F22" s="12">
        <f>D22-E22</f>
        <v>158</v>
      </c>
    </row>
    <row r="23" spans="1:6">
      <c r="A23" s="8"/>
      <c r="B23" s="11" t="s">
        <v>11</v>
      </c>
      <c r="C23" s="10">
        <v>0</v>
      </c>
      <c r="D23" s="12">
        <f>ROUND(D$3*C23,0)</f>
        <v>0</v>
      </c>
      <c r="E23" s="13">
        <f>ROUND(D23/2,0)</f>
        <v>0</v>
      </c>
      <c r="F23" s="12">
        <f>D23-E23</f>
        <v>0</v>
      </c>
    </row>
    <row r="24" spans="1:6">
      <c r="A24" s="8">
        <v>2</v>
      </c>
      <c r="B24" s="11" t="s">
        <v>292</v>
      </c>
      <c r="C24" s="11"/>
      <c r="D24" s="9"/>
      <c r="E24" s="11"/>
      <c r="F24" s="11"/>
    </row>
    <row r="25" spans="1:6">
      <c r="A25" s="8"/>
      <c r="B25" s="11" t="s">
        <v>10</v>
      </c>
      <c r="C25" s="10">
        <v>1.6969999999999999E-2</v>
      </c>
      <c r="D25" s="12">
        <f>ROUND(D$3*C25,0)</f>
        <v>10352</v>
      </c>
      <c r="E25" s="13">
        <f>ROUND(D25/2,0)</f>
        <v>5176</v>
      </c>
      <c r="F25" s="12">
        <f>D25-E25</f>
        <v>5176</v>
      </c>
    </row>
    <row r="26" spans="1:6">
      <c r="A26" s="8"/>
      <c r="B26" s="11" t="s">
        <v>11</v>
      </c>
      <c r="C26" s="10">
        <v>9.7920000000000004E-3</v>
      </c>
      <c r="D26" s="12">
        <f>ROUND(D$3*C26,0)</f>
        <v>5973</v>
      </c>
      <c r="E26" s="13">
        <f>ROUND(D26/2,0)</f>
        <v>2987</v>
      </c>
      <c r="F26" s="12">
        <f>D26-E26</f>
        <v>2986</v>
      </c>
    </row>
    <row r="27" spans="1:6">
      <c r="A27" s="8">
        <v>2</v>
      </c>
      <c r="B27" s="11" t="s">
        <v>20</v>
      </c>
      <c r="C27" s="11"/>
      <c r="D27" s="9"/>
      <c r="E27" s="11"/>
      <c r="F27" s="11"/>
    </row>
    <row r="28" spans="1:6">
      <c r="A28" s="8"/>
      <c r="B28" s="11" t="s">
        <v>10</v>
      </c>
      <c r="C28" s="10">
        <v>2.9129999999999998E-3</v>
      </c>
      <c r="D28" s="12">
        <f>ROUND(D$3*C28,0)</f>
        <v>1777</v>
      </c>
      <c r="E28" s="13">
        <f>ROUND(D28/2,0)</f>
        <v>889</v>
      </c>
      <c r="F28" s="12">
        <f>D28-E28</f>
        <v>888</v>
      </c>
    </row>
    <row r="29" spans="1:6">
      <c r="A29" s="8"/>
      <c r="B29" s="11" t="s">
        <v>11</v>
      </c>
      <c r="C29" s="10">
        <v>2.1129999999999999E-3</v>
      </c>
      <c r="D29" s="12">
        <f>ROUND(D$3*C29,0)</f>
        <v>1289</v>
      </c>
      <c r="E29" s="13">
        <f>ROUND(D29/2,0)</f>
        <v>645</v>
      </c>
      <c r="F29" s="12">
        <f>D29-E29</f>
        <v>644</v>
      </c>
    </row>
    <row r="30" spans="1:6">
      <c r="A30" s="8">
        <v>2</v>
      </c>
      <c r="B30" s="11" t="s">
        <v>21</v>
      </c>
      <c r="C30" s="11"/>
      <c r="D30" s="9"/>
      <c r="E30" s="11"/>
      <c r="F30" s="11"/>
    </row>
    <row r="31" spans="1:6">
      <c r="A31" s="8"/>
      <c r="B31" s="11" t="s">
        <v>10</v>
      </c>
      <c r="C31" s="10">
        <v>6.3199999999999997E-4</v>
      </c>
      <c r="D31" s="12">
        <f>ROUND(D$3*C31,0)</f>
        <v>386</v>
      </c>
      <c r="E31" s="13">
        <f>ROUND(D31/2,0)</f>
        <v>193</v>
      </c>
      <c r="F31" s="12">
        <f>D31-E31</f>
        <v>193</v>
      </c>
    </row>
    <row r="32" spans="1:6">
      <c r="A32" s="8"/>
      <c r="B32" s="11" t="s">
        <v>11</v>
      </c>
      <c r="C32" s="10">
        <v>0</v>
      </c>
      <c r="D32" s="12">
        <f>ROUND(D$3*C32,0)</f>
        <v>0</v>
      </c>
      <c r="E32" s="13">
        <f>ROUND(D32/2,0)</f>
        <v>0</v>
      </c>
      <c r="F32" s="12">
        <f>D32-E32</f>
        <v>0</v>
      </c>
    </row>
    <row r="33" spans="1:6">
      <c r="A33" s="8">
        <v>2</v>
      </c>
      <c r="B33" s="11" t="s">
        <v>22</v>
      </c>
      <c r="C33" s="11"/>
      <c r="D33" s="9"/>
      <c r="E33" s="11"/>
      <c r="F33" s="11"/>
    </row>
    <row r="34" spans="1:6">
      <c r="A34" s="8"/>
      <c r="B34" s="11" t="s">
        <v>10</v>
      </c>
      <c r="C34" s="10">
        <v>5.0600000000000005E-4</v>
      </c>
      <c r="D34" s="12">
        <f>ROUND(D$3*C34,0)</f>
        <v>309</v>
      </c>
      <c r="E34" s="13">
        <f>ROUND(D34/2,0)</f>
        <v>155</v>
      </c>
      <c r="F34" s="12">
        <f>D34-E34</f>
        <v>154</v>
      </c>
    </row>
    <row r="35" spans="1:6">
      <c r="A35" s="8"/>
      <c r="B35" s="11" t="s">
        <v>11</v>
      </c>
      <c r="C35" s="10">
        <v>6.6000000000000005E-5</v>
      </c>
      <c r="D35" s="12">
        <f>ROUND(D$3*C35,0)</f>
        <v>40</v>
      </c>
      <c r="E35" s="13">
        <f>ROUND(D35/2,0)</f>
        <v>20</v>
      </c>
      <c r="F35" s="12">
        <f>D35-E35</f>
        <v>20</v>
      </c>
    </row>
    <row r="36" spans="1:6">
      <c r="A36" s="8">
        <v>2</v>
      </c>
      <c r="B36" s="11" t="s">
        <v>569</v>
      </c>
      <c r="C36" s="11"/>
      <c r="D36" s="9"/>
      <c r="E36" s="11"/>
      <c r="F36" s="11"/>
    </row>
    <row r="37" spans="1:6">
      <c r="A37" s="8"/>
      <c r="B37" s="11" t="s">
        <v>10</v>
      </c>
      <c r="C37" s="10">
        <v>6.1300000000000005E-4</v>
      </c>
      <c r="D37" s="12">
        <f t="shared" ref="D37:D49" si="0">ROUND(D$3*C37,0)</f>
        <v>374</v>
      </c>
      <c r="E37" s="13">
        <f t="shared" ref="E37:E49" si="1">ROUND(D37/2,0)</f>
        <v>187</v>
      </c>
      <c r="F37" s="12">
        <f t="shared" ref="F37:F49" si="2">D37-E37</f>
        <v>187</v>
      </c>
    </row>
    <row r="38" spans="1:6">
      <c r="A38" s="8"/>
      <c r="B38" s="11" t="s">
        <v>11</v>
      </c>
      <c r="C38" s="10">
        <v>4.6500000000000003E-4</v>
      </c>
      <c r="D38" s="12">
        <f t="shared" si="0"/>
        <v>284</v>
      </c>
      <c r="E38" s="13">
        <f t="shared" si="1"/>
        <v>142</v>
      </c>
      <c r="F38" s="12">
        <f t="shared" si="2"/>
        <v>142</v>
      </c>
    </row>
    <row r="39" spans="1:6">
      <c r="A39" s="8">
        <v>3</v>
      </c>
      <c r="B39" s="11" t="s">
        <v>570</v>
      </c>
      <c r="C39" s="10">
        <v>3.6949999999999999E-3</v>
      </c>
      <c r="D39" s="12">
        <f t="shared" si="0"/>
        <v>2254</v>
      </c>
      <c r="E39" s="13">
        <f t="shared" si="1"/>
        <v>1127</v>
      </c>
      <c r="F39" s="12">
        <f t="shared" si="2"/>
        <v>1127</v>
      </c>
    </row>
    <row r="40" spans="1:6">
      <c r="A40" s="8">
        <v>3</v>
      </c>
      <c r="B40" s="11" t="s">
        <v>571</v>
      </c>
      <c r="C40" s="10">
        <v>3.1399999999999999E-4</v>
      </c>
      <c r="D40" s="12">
        <f t="shared" si="0"/>
        <v>192</v>
      </c>
      <c r="E40" s="13">
        <f t="shared" si="1"/>
        <v>96</v>
      </c>
      <c r="F40" s="12">
        <f t="shared" si="2"/>
        <v>96</v>
      </c>
    </row>
    <row r="41" spans="1:6">
      <c r="A41" s="8">
        <v>3</v>
      </c>
      <c r="B41" s="11" t="s">
        <v>572</v>
      </c>
      <c r="C41" s="10">
        <v>1.3940000000000001E-3</v>
      </c>
      <c r="D41" s="12">
        <f t="shared" si="0"/>
        <v>850</v>
      </c>
      <c r="E41" s="13">
        <f t="shared" si="1"/>
        <v>425</v>
      </c>
      <c r="F41" s="12">
        <f t="shared" si="2"/>
        <v>425</v>
      </c>
    </row>
    <row r="42" spans="1:6">
      <c r="A42" s="8">
        <v>3</v>
      </c>
      <c r="B42" s="11" t="s">
        <v>573</v>
      </c>
      <c r="C42" s="10">
        <v>4.0000000000000003E-5</v>
      </c>
      <c r="D42" s="12">
        <f t="shared" si="0"/>
        <v>24</v>
      </c>
      <c r="E42" s="13">
        <f t="shared" si="1"/>
        <v>12</v>
      </c>
      <c r="F42" s="12">
        <f t="shared" si="2"/>
        <v>12</v>
      </c>
    </row>
    <row r="43" spans="1:6">
      <c r="A43" s="8">
        <v>3</v>
      </c>
      <c r="B43" s="11" t="s">
        <v>574</v>
      </c>
      <c r="C43" s="10">
        <v>9.9500000000000001E-4</v>
      </c>
      <c r="D43" s="12">
        <f t="shared" si="0"/>
        <v>607</v>
      </c>
      <c r="E43" s="13">
        <f t="shared" si="1"/>
        <v>304</v>
      </c>
      <c r="F43" s="12">
        <f t="shared" si="2"/>
        <v>303</v>
      </c>
    </row>
    <row r="44" spans="1:6">
      <c r="A44" s="8">
        <v>3</v>
      </c>
      <c r="B44" s="11" t="s">
        <v>575</v>
      </c>
      <c r="C44" s="10">
        <v>7.9319999999999998E-3</v>
      </c>
      <c r="D44" s="12">
        <f t="shared" si="0"/>
        <v>4838</v>
      </c>
      <c r="E44" s="13">
        <f t="shared" si="1"/>
        <v>2419</v>
      </c>
      <c r="F44" s="12">
        <f t="shared" si="2"/>
        <v>2419</v>
      </c>
    </row>
    <row r="45" spans="1:6">
      <c r="A45" s="8">
        <v>3</v>
      </c>
      <c r="B45" s="11" t="s">
        <v>576</v>
      </c>
      <c r="C45" s="10">
        <v>3.2699999999999999E-3</v>
      </c>
      <c r="D45" s="12">
        <f t="shared" si="0"/>
        <v>1995</v>
      </c>
      <c r="E45" s="13">
        <f t="shared" si="1"/>
        <v>998</v>
      </c>
      <c r="F45" s="12">
        <f t="shared" si="2"/>
        <v>997</v>
      </c>
    </row>
    <row r="46" spans="1:6">
      <c r="A46" s="8">
        <v>3</v>
      </c>
      <c r="B46" s="11" t="s">
        <v>577</v>
      </c>
      <c r="C46" s="10">
        <v>6.9999999999999994E-5</v>
      </c>
      <c r="D46" s="12">
        <f t="shared" si="0"/>
        <v>43</v>
      </c>
      <c r="E46" s="13">
        <f t="shared" si="1"/>
        <v>22</v>
      </c>
      <c r="F46" s="12">
        <f t="shared" si="2"/>
        <v>21</v>
      </c>
    </row>
    <row r="47" spans="1:6">
      <c r="A47" s="8">
        <v>3</v>
      </c>
      <c r="B47" s="11" t="s">
        <v>578</v>
      </c>
      <c r="C47" s="10">
        <v>3.3415E-2</v>
      </c>
      <c r="D47" s="12">
        <f t="shared" si="0"/>
        <v>20383</v>
      </c>
      <c r="E47" s="13">
        <f t="shared" si="1"/>
        <v>10192</v>
      </c>
      <c r="F47" s="12">
        <f t="shared" si="2"/>
        <v>10191</v>
      </c>
    </row>
    <row r="48" spans="1:6">
      <c r="A48" s="8">
        <v>3</v>
      </c>
      <c r="B48" s="11" t="s">
        <v>579</v>
      </c>
      <c r="C48" s="10">
        <v>0</v>
      </c>
      <c r="D48" s="12">
        <f t="shared" si="0"/>
        <v>0</v>
      </c>
      <c r="E48" s="13">
        <f t="shared" si="1"/>
        <v>0</v>
      </c>
      <c r="F48" s="12">
        <f t="shared" si="2"/>
        <v>0</v>
      </c>
    </row>
    <row r="49" spans="1:6">
      <c r="A49" s="8">
        <v>4</v>
      </c>
      <c r="B49" s="11" t="s">
        <v>580</v>
      </c>
      <c r="C49" s="10">
        <v>0.249777</v>
      </c>
      <c r="D49" s="9">
        <f t="shared" si="0"/>
        <v>152361</v>
      </c>
      <c r="E49" s="11">
        <f t="shared" si="1"/>
        <v>76181</v>
      </c>
      <c r="F49" s="9">
        <f t="shared" si="2"/>
        <v>76180</v>
      </c>
    </row>
    <row r="50" spans="1:6">
      <c r="A50" s="8"/>
      <c r="B50" s="11" t="s">
        <v>28</v>
      </c>
      <c r="C50" s="11"/>
      <c r="D50" s="14">
        <v>0.49513499999999999</v>
      </c>
      <c r="E50" s="11"/>
      <c r="F50" s="11"/>
    </row>
    <row r="51" spans="1:6">
      <c r="A51" s="8"/>
      <c r="B51" s="11" t="s">
        <v>29</v>
      </c>
      <c r="C51" s="11"/>
      <c r="D51" s="225">
        <f>ROUND(D49*D50,0)</f>
        <v>75439</v>
      </c>
      <c r="E51" s="226">
        <f>ROUND(D51/2,0)</f>
        <v>37720</v>
      </c>
      <c r="F51" s="225">
        <f>D51-E51</f>
        <v>37719</v>
      </c>
    </row>
    <row r="52" spans="1:6">
      <c r="A52" s="8"/>
      <c r="B52" s="11" t="s">
        <v>30</v>
      </c>
      <c r="C52" s="11"/>
      <c r="D52" s="12">
        <f>+D49-D51</f>
        <v>76922</v>
      </c>
      <c r="E52" s="13">
        <f>ROUND(D52/2,0)</f>
        <v>38461</v>
      </c>
      <c r="F52" s="12">
        <f>D52-E52</f>
        <v>38461</v>
      </c>
    </row>
    <row r="53" spans="1:6">
      <c r="A53" s="8">
        <v>4</v>
      </c>
      <c r="B53" s="11" t="s">
        <v>581</v>
      </c>
      <c r="C53" s="10">
        <v>0.208508</v>
      </c>
      <c r="D53" s="9">
        <f>ROUND(D$3*C53,0)</f>
        <v>127188</v>
      </c>
      <c r="E53" s="11">
        <f>ROUND(D53/2,0)</f>
        <v>63594</v>
      </c>
      <c r="F53" s="9">
        <f>D53-E53</f>
        <v>63594</v>
      </c>
    </row>
    <row r="54" spans="1:6">
      <c r="A54" s="8"/>
      <c r="B54" s="11" t="s">
        <v>28</v>
      </c>
      <c r="C54" s="11"/>
      <c r="D54" s="14">
        <v>0.45051099999999999</v>
      </c>
      <c r="E54" s="11"/>
      <c r="F54" s="11"/>
    </row>
    <row r="55" spans="1:6">
      <c r="A55" s="8"/>
      <c r="B55" s="11" t="s">
        <v>29</v>
      </c>
      <c r="C55" s="11"/>
      <c r="D55" s="225">
        <f>ROUND(D53*D54,0)</f>
        <v>57300</v>
      </c>
      <c r="E55" s="226">
        <f>ROUND(D55/2,0)</f>
        <v>28650</v>
      </c>
      <c r="F55" s="225">
        <f>D55-E55</f>
        <v>28650</v>
      </c>
    </row>
    <row r="56" spans="1:6">
      <c r="A56" s="8"/>
      <c r="B56" s="11" t="s">
        <v>30</v>
      </c>
      <c r="C56" s="11"/>
      <c r="D56" s="12">
        <f>+D53-D55</f>
        <v>69888</v>
      </c>
      <c r="E56" s="13">
        <f>ROUND(D56/2,0)</f>
        <v>34944</v>
      </c>
      <c r="F56" s="12">
        <f>D56-E56</f>
        <v>34944</v>
      </c>
    </row>
    <row r="57" spans="1:6">
      <c r="A57" s="8">
        <v>4</v>
      </c>
      <c r="B57" s="11" t="s">
        <v>582</v>
      </c>
      <c r="C57" s="10">
        <v>0.15966900000000001</v>
      </c>
      <c r="D57" s="9">
        <f>ROUND(D$3*C57,0)</f>
        <v>97396</v>
      </c>
      <c r="E57" s="11">
        <f>ROUND(D57/2,0)</f>
        <v>48698</v>
      </c>
      <c r="F57" s="9">
        <f>D57-E57</f>
        <v>48698</v>
      </c>
    </row>
    <row r="58" spans="1:6">
      <c r="A58" s="8"/>
      <c r="B58" s="11" t="s">
        <v>28</v>
      </c>
      <c r="C58" s="11"/>
      <c r="D58" s="14">
        <v>0.48452499999999998</v>
      </c>
      <c r="E58" s="11"/>
      <c r="F58" s="11"/>
    </row>
    <row r="59" spans="1:6">
      <c r="A59" s="8"/>
      <c r="B59" s="11" t="s">
        <v>29</v>
      </c>
      <c r="C59" s="11"/>
      <c r="D59" s="225">
        <f>ROUND(D57*D58,0)</f>
        <v>47191</v>
      </c>
      <c r="E59" s="226">
        <f t="shared" ref="E59:E66" si="3">ROUND(D59/2,0)</f>
        <v>23596</v>
      </c>
      <c r="F59" s="225">
        <f t="shared" ref="F59:F66" si="4">D59-E59</f>
        <v>23595</v>
      </c>
    </row>
    <row r="60" spans="1:6">
      <c r="A60" s="8"/>
      <c r="B60" s="11" t="s">
        <v>30</v>
      </c>
      <c r="C60" s="11"/>
      <c r="D60" s="12">
        <f>+D57-D59</f>
        <v>50205</v>
      </c>
      <c r="E60" s="13">
        <f t="shared" si="3"/>
        <v>25103</v>
      </c>
      <c r="F60" s="12">
        <f t="shared" si="4"/>
        <v>25102</v>
      </c>
    </row>
    <row r="61" spans="1:6">
      <c r="A61" s="8">
        <v>5</v>
      </c>
      <c r="B61" s="11" t="s">
        <v>583</v>
      </c>
      <c r="C61" s="10">
        <v>7.6189999999999999E-3</v>
      </c>
      <c r="D61" s="12">
        <f>ROUND(D$3*C61,0)</f>
        <v>4648</v>
      </c>
      <c r="E61" s="13">
        <f t="shared" si="3"/>
        <v>2324</v>
      </c>
      <c r="F61" s="12">
        <f t="shared" si="4"/>
        <v>2324</v>
      </c>
    </row>
    <row r="62" spans="1:6">
      <c r="A62" s="8">
        <v>5</v>
      </c>
      <c r="B62" s="11" t="s">
        <v>584</v>
      </c>
      <c r="C62" s="10">
        <v>5.1110000000000001E-3</v>
      </c>
      <c r="D62" s="12">
        <f>ROUND(D$3*C62,0)</f>
        <v>3118</v>
      </c>
      <c r="E62" s="13">
        <f t="shared" si="3"/>
        <v>1559</v>
      </c>
      <c r="F62" s="12">
        <f t="shared" si="4"/>
        <v>1559</v>
      </c>
    </row>
    <row r="63" spans="1:6">
      <c r="A63" s="8">
        <v>5</v>
      </c>
      <c r="B63" s="11" t="s">
        <v>585</v>
      </c>
      <c r="C63" s="10">
        <v>1.743E-3</v>
      </c>
      <c r="D63" s="12">
        <f>ROUND(D$3*C63,0)</f>
        <v>1063</v>
      </c>
      <c r="E63" s="13">
        <f t="shared" si="3"/>
        <v>532</v>
      </c>
      <c r="F63" s="12">
        <f t="shared" si="4"/>
        <v>531</v>
      </c>
    </row>
    <row r="64" spans="1:6">
      <c r="A64" s="8">
        <v>5</v>
      </c>
      <c r="B64" s="11" t="s">
        <v>586</v>
      </c>
      <c r="C64" s="10">
        <v>1.1068E-2</v>
      </c>
      <c r="D64" s="12">
        <f>ROUND(D$3*C64,0)</f>
        <v>6751</v>
      </c>
      <c r="E64" s="13">
        <f t="shared" si="3"/>
        <v>3376</v>
      </c>
      <c r="F64" s="12">
        <f t="shared" si="4"/>
        <v>3375</v>
      </c>
    </row>
    <row r="65" spans="1:8">
      <c r="A65" s="8">
        <v>6</v>
      </c>
      <c r="B65" s="11" t="s">
        <v>587</v>
      </c>
      <c r="C65" s="10">
        <v>2.6519999999999998E-2</v>
      </c>
      <c r="D65" s="12">
        <f>ROUND(D$3*C65,0)</f>
        <v>16177</v>
      </c>
      <c r="E65" s="13">
        <f t="shared" si="3"/>
        <v>8089</v>
      </c>
      <c r="F65" s="12">
        <f t="shared" si="4"/>
        <v>8088</v>
      </c>
    </row>
    <row r="66" spans="1:8">
      <c r="A66" s="8">
        <v>6</v>
      </c>
      <c r="B66" s="11" t="s">
        <v>588</v>
      </c>
      <c r="C66" s="10">
        <v>2.284E-3</v>
      </c>
      <c r="D66" s="12">
        <f>+D3-SUM(D4:D5)-SUM(D10:D49)-D53-D57-SUM(D61:D65)</f>
        <v>1392</v>
      </c>
      <c r="E66" s="13">
        <f t="shared" si="3"/>
        <v>696</v>
      </c>
      <c r="F66" s="12">
        <f t="shared" si="4"/>
        <v>696</v>
      </c>
    </row>
    <row r="67" spans="1:8">
      <c r="A67" s="8"/>
      <c r="B67" s="28" t="s">
        <v>288</v>
      </c>
      <c r="C67" s="10">
        <v>1.0000000000000002</v>
      </c>
      <c r="D67" s="12">
        <f>+D4+SUM(D7:D48)+SUM(D51:D52)+SUM(D55:D56)+SUM(D59:D66)</f>
        <v>609989</v>
      </c>
      <c r="E67" s="12">
        <f>+E4+SUM(E7:E48)+SUM(E51:E52)+SUM(E55:E56)+SUM(E59:E66)</f>
        <v>305005</v>
      </c>
      <c r="F67" s="12">
        <f>+F4+SUM(F7:F48)+SUM(F51:F52)+SUM(F55:F56)+SUM(F59:F66)</f>
        <v>304984</v>
      </c>
    </row>
    <row r="68" spans="1:8">
      <c r="B68" s="18" t="s">
        <v>38</v>
      </c>
      <c r="D68" s="19">
        <f>+D4</f>
        <v>651</v>
      </c>
      <c r="E68" s="19">
        <f>+E4</f>
        <v>326</v>
      </c>
      <c r="F68" s="19">
        <f>+F4</f>
        <v>325</v>
      </c>
    </row>
    <row r="69" spans="1:8">
      <c r="B69" s="2" t="s">
        <v>39</v>
      </c>
      <c r="D69" s="19">
        <f>+D7</f>
        <v>20823</v>
      </c>
      <c r="E69" s="19">
        <f>+E7</f>
        <v>10412</v>
      </c>
      <c r="F69" s="19">
        <f>+F7</f>
        <v>10411</v>
      </c>
    </row>
    <row r="70" spans="1:8">
      <c r="B70" s="2" t="s">
        <v>40</v>
      </c>
      <c r="D70" s="19">
        <f>+D51+D55+D59</f>
        <v>179930</v>
      </c>
      <c r="E70" s="19">
        <f>+E51+E55+E59</f>
        <v>89966</v>
      </c>
      <c r="F70" s="19">
        <f>+F51+F55+F59</f>
        <v>89964</v>
      </c>
      <c r="H70" s="3">
        <v>1</v>
      </c>
    </row>
    <row r="71" spans="1:8">
      <c r="A71" s="1" t="s">
        <v>590</v>
      </c>
      <c r="B71" s="18" t="s">
        <v>41</v>
      </c>
      <c r="D71" s="19">
        <f>+D67-D68-D69-D70</f>
        <v>408585</v>
      </c>
      <c r="E71" s="19">
        <f>+E67-E68-E69-E70</f>
        <v>204301</v>
      </c>
      <c r="F71" s="19">
        <f>+F67-F68-F69-F70</f>
        <v>204284</v>
      </c>
      <c r="H71" s="3">
        <v>2</v>
      </c>
    </row>
    <row r="73" spans="1:8" hidden="1">
      <c r="B73" s="3" t="s">
        <v>42</v>
      </c>
      <c r="C73" s="4">
        <v>0</v>
      </c>
      <c r="D73" s="3">
        <f>+D66-ROUND(D3*C66,0)</f>
        <v>-1</v>
      </c>
    </row>
  </sheetData>
  <pageMargins left="0.7" right="0.7" top="0.75" bottom="0.75" header="0.3" footer="0.3"/>
  <pageSetup scale="63"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WVB95"/>
  <sheetViews>
    <sheetView topLeftCell="A56" zoomScaleNormal="100" zoomScaleSheetLayoutView="90" workbookViewId="0">
      <selection activeCell="D77" activeCellId="5" sqref="D7:F7 D61:F61 D65:F65 D69:F69 D73:F73 D77:F77"/>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3.42578125" style="3" hidden="1"/>
    <col min="190" max="246" width="9.140625" style="3" hidden="1"/>
    <col min="247" max="247" width="16.28515625" style="3" hidden="1"/>
    <col min="248" max="248" width="17.5703125" style="3" hidden="1"/>
    <col min="249" max="249" width="16" style="3" hidden="1"/>
    <col min="250" max="250" width="18.140625" style="3" hidden="1"/>
    <col min="251" max="443" width="9.140625" style="3" hidden="1"/>
    <col min="444" max="444" width="11" style="3" hidden="1"/>
    <col min="445" max="445" width="53.42578125" style="3" hidden="1"/>
    <col min="446" max="502" width="9.140625" style="3" hidden="1"/>
    <col min="503" max="503" width="16.28515625" style="3" hidden="1"/>
    <col min="504" max="504" width="17.5703125" style="3" hidden="1"/>
    <col min="505" max="505" width="16" style="3" hidden="1"/>
    <col min="506" max="506" width="18.140625" style="3" hidden="1"/>
    <col min="507" max="699" width="9.140625" style="3" hidden="1"/>
    <col min="700" max="700" width="11" style="3" hidden="1"/>
    <col min="701" max="701" width="53.42578125" style="3" hidden="1"/>
    <col min="702" max="758" width="9.140625" style="3" hidden="1"/>
    <col min="759" max="759" width="16.28515625" style="3" hidden="1"/>
    <col min="760" max="760" width="17.5703125" style="3" hidden="1"/>
    <col min="761" max="761" width="16" style="3" hidden="1"/>
    <col min="762" max="762" width="18.140625" style="3" hidden="1"/>
    <col min="763" max="955" width="9.140625" style="3" hidden="1"/>
    <col min="956" max="956" width="11" style="3" hidden="1"/>
    <col min="957" max="957" width="53.42578125" style="3" hidden="1"/>
    <col min="958" max="1014" width="9.140625" style="3" hidden="1"/>
    <col min="1015" max="1015" width="16.28515625" style="3" hidden="1"/>
    <col min="1016" max="1016" width="17.5703125" style="3" hidden="1"/>
    <col min="1017" max="1017" width="16" style="3" hidden="1"/>
    <col min="1018" max="1018" width="18.140625" style="3" hidden="1"/>
    <col min="1019" max="1211" width="9.140625" style="3" hidden="1"/>
    <col min="1212" max="1212" width="11" style="3" hidden="1"/>
    <col min="1213" max="1213" width="53.42578125" style="3" hidden="1"/>
    <col min="1214" max="1270" width="9.140625" style="3" hidden="1"/>
    <col min="1271" max="1271" width="16.28515625" style="3" hidden="1"/>
    <col min="1272" max="1272" width="17.5703125" style="3" hidden="1"/>
    <col min="1273" max="1273" width="16" style="3" hidden="1"/>
    <col min="1274" max="1274" width="18.140625" style="3" hidden="1"/>
    <col min="1275" max="1467" width="9.140625" style="3" hidden="1"/>
    <col min="1468" max="1468" width="11" style="3" hidden="1"/>
    <col min="1469" max="1469" width="53.42578125" style="3" hidden="1"/>
    <col min="1470" max="1526" width="9.140625" style="3" hidden="1"/>
    <col min="1527" max="1527" width="16.28515625" style="3" hidden="1"/>
    <col min="1528" max="1528" width="17.5703125" style="3" hidden="1"/>
    <col min="1529" max="1529" width="16" style="3" hidden="1"/>
    <col min="1530" max="1530" width="18.140625" style="3" hidden="1"/>
    <col min="1531" max="1723" width="9.140625" style="3" hidden="1"/>
    <col min="1724" max="1724" width="11" style="3" hidden="1"/>
    <col min="1725" max="1725" width="53.42578125" style="3" hidden="1"/>
    <col min="1726" max="1782" width="9.140625" style="3" hidden="1"/>
    <col min="1783" max="1783" width="16.28515625" style="3" hidden="1"/>
    <col min="1784" max="1784" width="17.5703125" style="3" hidden="1"/>
    <col min="1785" max="1785" width="16" style="3" hidden="1"/>
    <col min="1786" max="1786" width="18.140625" style="3" hidden="1"/>
    <col min="1787" max="1979" width="9.140625" style="3" hidden="1"/>
    <col min="1980" max="1980" width="11" style="3" hidden="1"/>
    <col min="1981" max="1981" width="53.42578125" style="3" hidden="1"/>
    <col min="1982" max="2038" width="9.140625" style="3" hidden="1"/>
    <col min="2039" max="2039" width="16.28515625" style="3" hidden="1"/>
    <col min="2040" max="2040" width="17.5703125" style="3" hidden="1"/>
    <col min="2041" max="2041" width="16" style="3" hidden="1"/>
    <col min="2042" max="2042" width="18.140625" style="3" hidden="1"/>
    <col min="2043" max="2235" width="9.140625" style="3" hidden="1"/>
    <col min="2236" max="2236" width="11" style="3" hidden="1"/>
    <col min="2237" max="2237" width="53.42578125" style="3" hidden="1"/>
    <col min="2238" max="2294" width="9.140625" style="3" hidden="1"/>
    <col min="2295" max="2295" width="16.28515625" style="3" hidden="1"/>
    <col min="2296" max="2296" width="17.5703125" style="3" hidden="1"/>
    <col min="2297" max="2297" width="16" style="3" hidden="1"/>
    <col min="2298" max="2298" width="18.140625" style="3" hidden="1"/>
    <col min="2299" max="2491" width="9.140625" style="3" hidden="1"/>
    <col min="2492" max="2492" width="11" style="3" hidden="1"/>
    <col min="2493" max="2493" width="53.42578125" style="3" hidden="1"/>
    <col min="2494" max="2550" width="9.140625" style="3" hidden="1"/>
    <col min="2551" max="2551" width="16.28515625" style="3" hidden="1"/>
    <col min="2552" max="2552" width="17.5703125" style="3" hidden="1"/>
    <col min="2553" max="2553" width="16" style="3" hidden="1"/>
    <col min="2554" max="2554" width="18.140625" style="3" hidden="1"/>
    <col min="2555" max="2747" width="9.140625" style="3" hidden="1"/>
    <col min="2748" max="2748" width="11" style="3" hidden="1"/>
    <col min="2749" max="2749" width="53.42578125" style="3" hidden="1"/>
    <col min="2750" max="2806" width="9.140625" style="3" hidden="1"/>
    <col min="2807" max="2807" width="16.28515625" style="3" hidden="1"/>
    <col min="2808" max="2808" width="17.5703125" style="3" hidden="1"/>
    <col min="2809" max="2809" width="16" style="3" hidden="1"/>
    <col min="2810" max="2810" width="18.140625" style="3" hidden="1"/>
    <col min="2811" max="3003" width="9.140625" style="3" hidden="1"/>
    <col min="3004" max="3004" width="11" style="3" hidden="1"/>
    <col min="3005" max="3005" width="53.42578125" style="3" hidden="1"/>
    <col min="3006" max="3062" width="9.140625" style="3" hidden="1"/>
    <col min="3063" max="3063" width="16.28515625" style="3" hidden="1"/>
    <col min="3064" max="3064" width="17.5703125" style="3" hidden="1"/>
    <col min="3065" max="3065" width="16" style="3" hidden="1"/>
    <col min="3066" max="3066" width="18.140625" style="3" hidden="1"/>
    <col min="3067" max="3259" width="9.140625" style="3" hidden="1"/>
    <col min="3260" max="3260" width="11" style="3" hidden="1"/>
    <col min="3261" max="3261" width="53.42578125" style="3" hidden="1"/>
    <col min="3262" max="3318" width="9.140625" style="3" hidden="1"/>
    <col min="3319" max="3319" width="16.28515625" style="3" hidden="1"/>
    <col min="3320" max="3320" width="17.5703125" style="3" hidden="1"/>
    <col min="3321" max="3321" width="16" style="3" hidden="1"/>
    <col min="3322" max="3322" width="18.140625" style="3" hidden="1"/>
    <col min="3323" max="3515" width="9.140625" style="3" hidden="1"/>
    <col min="3516" max="3516" width="11" style="3" hidden="1"/>
    <col min="3517" max="3517" width="53.42578125" style="3" hidden="1"/>
    <col min="3518" max="3574" width="9.140625" style="3" hidden="1"/>
    <col min="3575" max="3575" width="16.28515625" style="3" hidden="1"/>
    <col min="3576" max="3576" width="17.5703125" style="3" hidden="1"/>
    <col min="3577" max="3577" width="16" style="3" hidden="1"/>
    <col min="3578" max="3578" width="18.140625" style="3" hidden="1"/>
    <col min="3579" max="3771" width="9.140625" style="3" hidden="1"/>
    <col min="3772" max="3772" width="11" style="3" hidden="1"/>
    <col min="3773" max="3773" width="53.42578125" style="3" hidden="1"/>
    <col min="3774" max="3830" width="9.140625" style="3" hidden="1"/>
    <col min="3831" max="3831" width="16.28515625" style="3" hidden="1"/>
    <col min="3832" max="3832" width="17.5703125" style="3" hidden="1"/>
    <col min="3833" max="3833" width="16" style="3" hidden="1"/>
    <col min="3834" max="3834" width="18.140625" style="3" hidden="1"/>
    <col min="3835" max="4027" width="9.140625" style="3" hidden="1"/>
    <col min="4028" max="4028" width="11" style="3" hidden="1"/>
    <col min="4029" max="4029" width="53.42578125" style="3" hidden="1"/>
    <col min="4030" max="4086" width="9.140625" style="3" hidden="1"/>
    <col min="4087" max="4087" width="16.28515625" style="3" hidden="1"/>
    <col min="4088" max="4088" width="17.5703125" style="3" hidden="1"/>
    <col min="4089" max="4089" width="16" style="3" hidden="1"/>
    <col min="4090" max="4090" width="18.140625" style="3" hidden="1"/>
    <col min="4091" max="4283" width="9.140625" style="3" hidden="1"/>
    <col min="4284" max="4284" width="11" style="3" hidden="1"/>
    <col min="4285" max="4285" width="53.42578125" style="3" hidden="1"/>
    <col min="4286" max="4342" width="9.140625" style="3" hidden="1"/>
    <col min="4343" max="4343" width="16.28515625" style="3" hidden="1"/>
    <col min="4344" max="4344" width="17.5703125" style="3" hidden="1"/>
    <col min="4345" max="4345" width="16" style="3" hidden="1"/>
    <col min="4346" max="4346" width="18.140625" style="3" hidden="1"/>
    <col min="4347" max="4539" width="9.140625" style="3" hidden="1"/>
    <col min="4540" max="4540" width="11" style="3" hidden="1"/>
    <col min="4541" max="4541" width="53.42578125" style="3" hidden="1"/>
    <col min="4542" max="4598" width="9.140625" style="3" hidden="1"/>
    <col min="4599" max="4599" width="16.28515625" style="3" hidden="1"/>
    <col min="4600" max="4600" width="17.5703125" style="3" hidden="1"/>
    <col min="4601" max="4601" width="16" style="3" hidden="1"/>
    <col min="4602" max="4602" width="18.140625" style="3" hidden="1"/>
    <col min="4603" max="4795" width="9.140625" style="3" hidden="1"/>
    <col min="4796" max="4796" width="11" style="3" hidden="1"/>
    <col min="4797" max="4797" width="53.42578125" style="3" hidden="1"/>
    <col min="4798" max="4854" width="9.140625" style="3" hidden="1"/>
    <col min="4855" max="4855" width="16.28515625" style="3" hidden="1"/>
    <col min="4856" max="4856" width="17.5703125" style="3" hidden="1"/>
    <col min="4857" max="4857" width="16" style="3" hidden="1"/>
    <col min="4858" max="4858" width="18.140625" style="3" hidden="1"/>
    <col min="4859" max="5051" width="9.140625" style="3" hidden="1"/>
    <col min="5052" max="5052" width="11" style="3" hidden="1"/>
    <col min="5053" max="5053" width="53.42578125" style="3" hidden="1"/>
    <col min="5054" max="5110" width="9.140625" style="3" hidden="1"/>
    <col min="5111" max="5111" width="16.28515625" style="3" hidden="1"/>
    <col min="5112" max="5112" width="17.5703125" style="3" hidden="1"/>
    <col min="5113" max="5113" width="16" style="3" hidden="1"/>
    <col min="5114" max="5114" width="18.140625" style="3" hidden="1"/>
    <col min="5115" max="5307" width="9.140625" style="3" hidden="1"/>
    <col min="5308" max="5308" width="11" style="3" hidden="1"/>
    <col min="5309" max="5309" width="53.42578125" style="3" hidden="1"/>
    <col min="5310" max="5366" width="9.140625" style="3" hidden="1"/>
    <col min="5367" max="5367" width="16.28515625" style="3" hidden="1"/>
    <col min="5368" max="5368" width="17.5703125" style="3" hidden="1"/>
    <col min="5369" max="5369" width="16" style="3" hidden="1"/>
    <col min="5370" max="5370" width="18.140625" style="3" hidden="1"/>
    <col min="5371" max="5563" width="9.140625" style="3" hidden="1"/>
    <col min="5564" max="5564" width="11" style="3" hidden="1"/>
    <col min="5565" max="5565" width="53.42578125" style="3" hidden="1"/>
    <col min="5566" max="5622" width="9.140625" style="3" hidden="1"/>
    <col min="5623" max="5623" width="16.28515625" style="3" hidden="1"/>
    <col min="5624" max="5624" width="17.5703125" style="3" hidden="1"/>
    <col min="5625" max="5625" width="16" style="3" hidden="1"/>
    <col min="5626" max="5626" width="18.140625" style="3" hidden="1"/>
    <col min="5627" max="5819" width="9.140625" style="3" hidden="1"/>
    <col min="5820" max="5820" width="11" style="3" hidden="1"/>
    <col min="5821" max="5821" width="53.42578125" style="3" hidden="1"/>
    <col min="5822" max="5878" width="9.140625" style="3" hidden="1"/>
    <col min="5879" max="5879" width="16.28515625" style="3" hidden="1"/>
    <col min="5880" max="5880" width="17.5703125" style="3" hidden="1"/>
    <col min="5881" max="5881" width="16" style="3" hidden="1"/>
    <col min="5882" max="5882" width="18.140625" style="3" hidden="1"/>
    <col min="5883" max="6075" width="9.140625" style="3" hidden="1"/>
    <col min="6076" max="6076" width="11" style="3" hidden="1"/>
    <col min="6077" max="6077" width="53.42578125" style="3" hidden="1"/>
    <col min="6078" max="6134" width="9.140625" style="3" hidden="1"/>
    <col min="6135" max="6135" width="16.28515625" style="3" hidden="1"/>
    <col min="6136" max="6136" width="17.5703125" style="3" hidden="1"/>
    <col min="6137" max="6137" width="16" style="3" hidden="1"/>
    <col min="6138" max="6138" width="18.140625" style="3" hidden="1"/>
    <col min="6139" max="6331" width="9.140625" style="3" hidden="1"/>
    <col min="6332" max="6332" width="11" style="3" hidden="1"/>
    <col min="6333" max="6333" width="53.42578125" style="3" hidden="1"/>
    <col min="6334" max="6390" width="9.140625" style="3" hidden="1"/>
    <col min="6391" max="6391" width="16.28515625" style="3" hidden="1"/>
    <col min="6392" max="6392" width="17.5703125" style="3" hidden="1"/>
    <col min="6393" max="6393" width="16" style="3" hidden="1"/>
    <col min="6394" max="6394" width="18.140625" style="3" hidden="1"/>
    <col min="6395" max="6587" width="9.140625" style="3" hidden="1"/>
    <col min="6588" max="6588" width="11" style="3" hidden="1"/>
    <col min="6589" max="6589" width="53.42578125" style="3" hidden="1"/>
    <col min="6590" max="6646" width="9.140625" style="3" hidden="1"/>
    <col min="6647" max="6647" width="16.28515625" style="3" hidden="1"/>
    <col min="6648" max="6648" width="17.5703125" style="3" hidden="1"/>
    <col min="6649" max="6649" width="16" style="3" hidden="1"/>
    <col min="6650" max="6650" width="18.140625" style="3" hidden="1"/>
    <col min="6651" max="6843" width="9.140625" style="3" hidden="1"/>
    <col min="6844" max="6844" width="11" style="3" hidden="1"/>
    <col min="6845" max="6845" width="53.42578125" style="3" hidden="1"/>
    <col min="6846" max="6902" width="9.140625" style="3" hidden="1"/>
    <col min="6903" max="6903" width="16.28515625" style="3" hidden="1"/>
    <col min="6904" max="6904" width="17.5703125" style="3" hidden="1"/>
    <col min="6905" max="6905" width="16" style="3" hidden="1"/>
    <col min="6906" max="6906" width="18.140625" style="3" hidden="1"/>
    <col min="6907" max="7099" width="9.140625" style="3" hidden="1"/>
    <col min="7100" max="7100" width="11" style="3" hidden="1"/>
    <col min="7101" max="7101" width="53.42578125" style="3" hidden="1"/>
    <col min="7102" max="7158" width="9.140625" style="3" hidden="1"/>
    <col min="7159" max="7159" width="16.28515625" style="3" hidden="1"/>
    <col min="7160" max="7160" width="17.5703125" style="3" hidden="1"/>
    <col min="7161" max="7161" width="16" style="3" hidden="1"/>
    <col min="7162" max="7162" width="18.140625" style="3" hidden="1"/>
    <col min="7163" max="7355" width="9.140625" style="3" hidden="1"/>
    <col min="7356" max="7356" width="11" style="3" hidden="1"/>
    <col min="7357" max="7357" width="53.42578125" style="3" hidden="1"/>
    <col min="7358" max="7414" width="9.140625" style="3" hidden="1"/>
    <col min="7415" max="7415" width="16.28515625" style="3" hidden="1"/>
    <col min="7416" max="7416" width="17.5703125" style="3" hidden="1"/>
    <col min="7417" max="7417" width="16" style="3" hidden="1"/>
    <col min="7418" max="7418" width="18.140625" style="3" hidden="1"/>
    <col min="7419" max="7611" width="9.140625" style="3" hidden="1"/>
    <col min="7612" max="7612" width="11" style="3" hidden="1"/>
    <col min="7613" max="7613" width="53.42578125" style="3" hidden="1"/>
    <col min="7614" max="7670" width="9.140625" style="3" hidden="1"/>
    <col min="7671" max="7671" width="16.28515625" style="3" hidden="1"/>
    <col min="7672" max="7672" width="17.5703125" style="3" hidden="1"/>
    <col min="7673" max="7673" width="16" style="3" hidden="1"/>
    <col min="7674" max="7674" width="18.140625" style="3" hidden="1"/>
    <col min="7675" max="7867" width="9.140625" style="3" hidden="1"/>
    <col min="7868" max="7868" width="11" style="3" hidden="1"/>
    <col min="7869" max="7869" width="53.42578125" style="3" hidden="1"/>
    <col min="7870" max="7926" width="9.140625" style="3" hidden="1"/>
    <col min="7927" max="7927" width="16.28515625" style="3" hidden="1"/>
    <col min="7928" max="7928" width="17.5703125" style="3" hidden="1"/>
    <col min="7929" max="7929" width="16" style="3" hidden="1"/>
    <col min="7930" max="7930" width="18.140625" style="3" hidden="1"/>
    <col min="7931" max="8123" width="9.140625" style="3" hidden="1"/>
    <col min="8124" max="8124" width="11" style="3" hidden="1"/>
    <col min="8125" max="8125" width="53.42578125" style="3" hidden="1"/>
    <col min="8126" max="8182" width="9.140625" style="3" hidden="1"/>
    <col min="8183" max="8183" width="16.28515625" style="3" hidden="1"/>
    <col min="8184" max="8184" width="17.5703125" style="3" hidden="1"/>
    <col min="8185" max="8185" width="16" style="3" hidden="1"/>
    <col min="8186" max="8186" width="18.140625" style="3" hidden="1"/>
    <col min="8187" max="8379" width="9.140625" style="3" hidden="1"/>
    <col min="8380" max="8380" width="11" style="3" hidden="1"/>
    <col min="8381" max="8381" width="53.42578125" style="3" hidden="1"/>
    <col min="8382" max="8438" width="9.140625" style="3" hidden="1"/>
    <col min="8439" max="8439" width="16.28515625" style="3" hidden="1"/>
    <col min="8440" max="8440" width="17.5703125" style="3" hidden="1"/>
    <col min="8441" max="8441" width="16" style="3" hidden="1"/>
    <col min="8442" max="8442" width="18.140625" style="3" hidden="1"/>
    <col min="8443" max="8635" width="9.140625" style="3" hidden="1"/>
    <col min="8636" max="8636" width="11" style="3" hidden="1"/>
    <col min="8637" max="8637" width="53.42578125" style="3" hidden="1"/>
    <col min="8638" max="8694" width="9.140625" style="3" hidden="1"/>
    <col min="8695" max="8695" width="16.28515625" style="3" hidden="1"/>
    <col min="8696" max="8696" width="17.5703125" style="3" hidden="1"/>
    <col min="8697" max="8697" width="16" style="3" hidden="1"/>
    <col min="8698" max="8698" width="18.140625" style="3" hidden="1"/>
    <col min="8699" max="8891" width="9.140625" style="3" hidden="1"/>
    <col min="8892" max="8892" width="11" style="3" hidden="1"/>
    <col min="8893" max="8893" width="53.42578125" style="3" hidden="1"/>
    <col min="8894" max="8950" width="9.140625" style="3" hidden="1"/>
    <col min="8951" max="8951" width="16.28515625" style="3" hidden="1"/>
    <col min="8952" max="8952" width="17.5703125" style="3" hidden="1"/>
    <col min="8953" max="8953" width="16" style="3" hidden="1"/>
    <col min="8954" max="8954" width="18.140625" style="3" hidden="1"/>
    <col min="8955" max="9147" width="9.140625" style="3" hidden="1"/>
    <col min="9148" max="9148" width="11" style="3" hidden="1"/>
    <col min="9149" max="9149" width="53.42578125" style="3" hidden="1"/>
    <col min="9150" max="9206" width="9.140625" style="3" hidden="1"/>
    <col min="9207" max="9207" width="16.28515625" style="3" hidden="1"/>
    <col min="9208" max="9208" width="17.5703125" style="3" hidden="1"/>
    <col min="9209" max="9209" width="16" style="3" hidden="1"/>
    <col min="9210" max="9210" width="18.140625" style="3" hidden="1"/>
    <col min="9211" max="9403" width="9.140625" style="3" hidden="1"/>
    <col min="9404" max="9404" width="11" style="3" hidden="1"/>
    <col min="9405" max="9405" width="53.42578125" style="3" hidden="1"/>
    <col min="9406" max="9462" width="9.140625" style="3" hidden="1"/>
    <col min="9463" max="9463" width="16.28515625" style="3" hidden="1"/>
    <col min="9464" max="9464" width="17.5703125" style="3" hidden="1"/>
    <col min="9465" max="9465" width="16" style="3" hidden="1"/>
    <col min="9466" max="9466" width="18.140625" style="3" hidden="1"/>
    <col min="9467" max="9659" width="9.140625" style="3" hidden="1"/>
    <col min="9660" max="9660" width="11" style="3" hidden="1"/>
    <col min="9661" max="9661" width="53.42578125" style="3" hidden="1"/>
    <col min="9662" max="9718" width="9.140625" style="3" hidden="1"/>
    <col min="9719" max="9719" width="16.28515625" style="3" hidden="1"/>
    <col min="9720" max="9720" width="17.5703125" style="3" hidden="1"/>
    <col min="9721" max="9721" width="16" style="3" hidden="1"/>
    <col min="9722" max="9722" width="18.140625" style="3" hidden="1"/>
    <col min="9723" max="9915" width="9.140625" style="3" hidden="1"/>
    <col min="9916" max="9916" width="11" style="3" hidden="1"/>
    <col min="9917" max="9917" width="53.42578125" style="3" hidden="1"/>
    <col min="9918" max="9974" width="9.140625" style="3" hidden="1"/>
    <col min="9975" max="9975" width="16.28515625" style="3" hidden="1"/>
    <col min="9976" max="9976" width="17.5703125" style="3" hidden="1"/>
    <col min="9977" max="9977" width="16" style="3" hidden="1"/>
    <col min="9978" max="9978" width="18.140625" style="3" hidden="1"/>
    <col min="9979" max="10171" width="9.140625" style="3" hidden="1"/>
    <col min="10172" max="10172" width="11" style="3" hidden="1"/>
    <col min="10173" max="10173" width="53.42578125" style="3" hidden="1"/>
    <col min="10174" max="10230" width="9.140625" style="3" hidden="1"/>
    <col min="10231" max="10231" width="16.28515625" style="3" hidden="1"/>
    <col min="10232" max="10232" width="17.5703125" style="3" hidden="1"/>
    <col min="10233" max="10233" width="16" style="3" hidden="1"/>
    <col min="10234" max="10234" width="18.140625" style="3" hidden="1"/>
    <col min="10235" max="10427" width="9.140625" style="3" hidden="1"/>
    <col min="10428" max="10428" width="11" style="3" hidden="1"/>
    <col min="10429" max="10429" width="53.42578125" style="3" hidden="1"/>
    <col min="10430" max="10486" width="9.140625" style="3" hidden="1"/>
    <col min="10487" max="10487" width="16.28515625" style="3" hidden="1"/>
    <col min="10488" max="10488" width="17.5703125" style="3" hidden="1"/>
    <col min="10489" max="10489" width="16" style="3" hidden="1"/>
    <col min="10490" max="10490" width="18.140625" style="3" hidden="1"/>
    <col min="10491" max="10683" width="9.140625" style="3" hidden="1"/>
    <col min="10684" max="10684" width="11" style="3" hidden="1"/>
    <col min="10685" max="10685" width="53.42578125" style="3" hidden="1"/>
    <col min="10686" max="10742" width="9.140625" style="3" hidden="1"/>
    <col min="10743" max="10743" width="16.28515625" style="3" hidden="1"/>
    <col min="10744" max="10744" width="17.5703125" style="3" hidden="1"/>
    <col min="10745" max="10745" width="16" style="3" hidden="1"/>
    <col min="10746" max="10746" width="18.140625" style="3" hidden="1"/>
    <col min="10747" max="10939" width="9.140625" style="3" hidden="1"/>
    <col min="10940" max="10940" width="11" style="3" hidden="1"/>
    <col min="10941" max="10941" width="53.42578125" style="3" hidden="1"/>
    <col min="10942" max="10998" width="9.140625" style="3" hidden="1"/>
    <col min="10999" max="10999" width="16.28515625" style="3" hidden="1"/>
    <col min="11000" max="11000" width="17.5703125" style="3" hidden="1"/>
    <col min="11001" max="11001" width="16" style="3" hidden="1"/>
    <col min="11002" max="11002" width="18.140625" style="3" hidden="1"/>
    <col min="11003" max="11195" width="9.140625" style="3" hidden="1"/>
    <col min="11196" max="11196" width="11" style="3" hidden="1"/>
    <col min="11197" max="11197" width="53.42578125" style="3" hidden="1"/>
    <col min="11198" max="11254" width="9.140625" style="3" hidden="1"/>
    <col min="11255" max="11255" width="16.28515625" style="3" hidden="1"/>
    <col min="11256" max="11256" width="17.5703125" style="3" hidden="1"/>
    <col min="11257" max="11257" width="16" style="3" hidden="1"/>
    <col min="11258" max="11258" width="18.140625" style="3" hidden="1"/>
    <col min="11259" max="11451" width="9.140625" style="3" hidden="1"/>
    <col min="11452" max="11452" width="11" style="3" hidden="1"/>
    <col min="11453" max="11453" width="53.42578125" style="3" hidden="1"/>
    <col min="11454" max="11510" width="9.140625" style="3" hidden="1"/>
    <col min="11511" max="11511" width="16.28515625" style="3" hidden="1"/>
    <col min="11512" max="11512" width="17.5703125" style="3" hidden="1"/>
    <col min="11513" max="11513" width="16" style="3" hidden="1"/>
    <col min="11514" max="11514" width="18.140625" style="3" hidden="1"/>
    <col min="11515" max="11707" width="9.140625" style="3" hidden="1"/>
    <col min="11708" max="11708" width="11" style="3" hidden="1"/>
    <col min="11709" max="11709" width="53.42578125" style="3" hidden="1"/>
    <col min="11710" max="11766" width="9.140625" style="3" hidden="1"/>
    <col min="11767" max="11767" width="16.28515625" style="3" hidden="1"/>
    <col min="11768" max="11768" width="17.5703125" style="3" hidden="1"/>
    <col min="11769" max="11769" width="16" style="3" hidden="1"/>
    <col min="11770" max="11770" width="18.140625" style="3" hidden="1"/>
    <col min="11771" max="11963" width="9.140625" style="3" hidden="1"/>
    <col min="11964" max="11964" width="11" style="3" hidden="1"/>
    <col min="11965" max="11965" width="53.42578125" style="3" hidden="1"/>
    <col min="11966" max="12022" width="9.140625" style="3" hidden="1"/>
    <col min="12023" max="12023" width="16.28515625" style="3" hidden="1"/>
    <col min="12024" max="12024" width="17.5703125" style="3" hidden="1"/>
    <col min="12025" max="12025" width="16" style="3" hidden="1"/>
    <col min="12026" max="12026" width="18.140625" style="3" hidden="1"/>
    <col min="12027" max="12219" width="9.140625" style="3" hidden="1"/>
    <col min="12220" max="12220" width="11" style="3" hidden="1"/>
    <col min="12221" max="12221" width="53.42578125" style="3" hidden="1"/>
    <col min="12222" max="12278" width="9.140625" style="3" hidden="1"/>
    <col min="12279" max="12279" width="16.28515625" style="3" hidden="1"/>
    <col min="12280" max="12280" width="17.5703125" style="3" hidden="1"/>
    <col min="12281" max="12281" width="16" style="3" hidden="1"/>
    <col min="12282" max="12282" width="18.140625" style="3" hidden="1"/>
    <col min="12283" max="12475" width="9.140625" style="3" hidden="1"/>
    <col min="12476" max="12476" width="11" style="3" hidden="1"/>
    <col min="12477" max="12477" width="53.42578125" style="3" hidden="1"/>
    <col min="12478" max="12534" width="9.140625" style="3" hidden="1"/>
    <col min="12535" max="12535" width="16.28515625" style="3" hidden="1"/>
    <col min="12536" max="12536" width="17.5703125" style="3" hidden="1"/>
    <col min="12537" max="12537" width="16" style="3" hidden="1"/>
    <col min="12538" max="12538" width="18.140625" style="3" hidden="1"/>
    <col min="12539" max="12731" width="9.140625" style="3" hidden="1"/>
    <col min="12732" max="12732" width="11" style="3" hidden="1"/>
    <col min="12733" max="12733" width="53.42578125" style="3" hidden="1"/>
    <col min="12734" max="12790" width="9.140625" style="3" hidden="1"/>
    <col min="12791" max="12791" width="16.28515625" style="3" hidden="1"/>
    <col min="12792" max="12792" width="17.5703125" style="3" hidden="1"/>
    <col min="12793" max="12793" width="16" style="3" hidden="1"/>
    <col min="12794" max="12794" width="18.140625" style="3" hidden="1"/>
    <col min="12795" max="12987" width="9.140625" style="3" hidden="1"/>
    <col min="12988" max="12988" width="11" style="3" hidden="1"/>
    <col min="12989" max="12989" width="53.42578125" style="3" hidden="1"/>
    <col min="12990" max="13046" width="9.140625" style="3" hidden="1"/>
    <col min="13047" max="13047" width="16.28515625" style="3" hidden="1"/>
    <col min="13048" max="13048" width="17.5703125" style="3" hidden="1"/>
    <col min="13049" max="13049" width="16" style="3" hidden="1"/>
    <col min="13050" max="13050" width="18.140625" style="3" hidden="1"/>
    <col min="13051" max="13243" width="9.140625" style="3" hidden="1"/>
    <col min="13244" max="13244" width="11" style="3" hidden="1"/>
    <col min="13245" max="13245" width="53.42578125" style="3" hidden="1"/>
    <col min="13246" max="13302" width="9.140625" style="3" hidden="1"/>
    <col min="13303" max="13303" width="16.28515625" style="3" hidden="1"/>
    <col min="13304" max="13304" width="17.5703125" style="3" hidden="1"/>
    <col min="13305" max="13305" width="16" style="3" hidden="1"/>
    <col min="13306" max="13306" width="18.140625" style="3" hidden="1"/>
    <col min="13307" max="13499" width="9.140625" style="3" hidden="1"/>
    <col min="13500" max="13500" width="11" style="3" hidden="1"/>
    <col min="13501" max="13501" width="53.42578125" style="3" hidden="1"/>
    <col min="13502" max="13558" width="9.140625" style="3" hidden="1"/>
    <col min="13559" max="13559" width="16.28515625" style="3" hidden="1"/>
    <col min="13560" max="13560" width="17.5703125" style="3" hidden="1"/>
    <col min="13561" max="13561" width="16" style="3" hidden="1"/>
    <col min="13562" max="13562" width="18.140625" style="3" hidden="1"/>
    <col min="13563" max="13755" width="9.140625" style="3" hidden="1"/>
    <col min="13756" max="13756" width="11" style="3" hidden="1"/>
    <col min="13757" max="13757" width="53.42578125" style="3" hidden="1"/>
    <col min="13758" max="13814" width="9.140625" style="3" hidden="1"/>
    <col min="13815" max="13815" width="16.28515625" style="3" hidden="1"/>
    <col min="13816" max="13816" width="17.5703125" style="3" hidden="1"/>
    <col min="13817" max="13817" width="16" style="3" hidden="1"/>
    <col min="13818" max="13818" width="18.140625" style="3" hidden="1"/>
    <col min="13819" max="14011" width="9.140625" style="3" hidden="1"/>
    <col min="14012" max="14012" width="11" style="3" hidden="1"/>
    <col min="14013" max="14013" width="53.42578125" style="3" hidden="1"/>
    <col min="14014" max="14070" width="9.140625" style="3" hidden="1"/>
    <col min="14071" max="14071" width="16.28515625" style="3" hidden="1"/>
    <col min="14072" max="14072" width="17.5703125" style="3" hidden="1"/>
    <col min="14073" max="14073" width="16" style="3" hidden="1"/>
    <col min="14074" max="14074" width="18.140625" style="3" hidden="1"/>
    <col min="14075" max="14267" width="9.140625" style="3" hidden="1"/>
    <col min="14268" max="14268" width="11" style="3" hidden="1"/>
    <col min="14269" max="14269" width="53.42578125" style="3" hidden="1"/>
    <col min="14270" max="14326" width="9.140625" style="3" hidden="1"/>
    <col min="14327" max="14327" width="16.28515625" style="3" hidden="1"/>
    <col min="14328" max="14328" width="17.5703125" style="3" hidden="1"/>
    <col min="14329" max="14329" width="16" style="3" hidden="1"/>
    <col min="14330" max="14330" width="18.140625" style="3" hidden="1"/>
    <col min="14331" max="14523" width="9.140625" style="3" hidden="1"/>
    <col min="14524" max="14524" width="11" style="3" hidden="1"/>
    <col min="14525" max="14525" width="53.42578125" style="3" hidden="1"/>
    <col min="14526" max="14582" width="9.140625" style="3" hidden="1"/>
    <col min="14583" max="14583" width="16.28515625" style="3" hidden="1"/>
    <col min="14584" max="14584" width="17.5703125" style="3" hidden="1"/>
    <col min="14585" max="14585" width="16" style="3" hidden="1"/>
    <col min="14586" max="14586" width="18.140625" style="3" hidden="1"/>
    <col min="14587" max="14779" width="9.140625" style="3" hidden="1"/>
    <col min="14780" max="14780" width="11" style="3" hidden="1"/>
    <col min="14781" max="14781" width="53.42578125" style="3" hidden="1"/>
    <col min="14782" max="14838" width="9.140625" style="3" hidden="1"/>
    <col min="14839" max="14839" width="16.28515625" style="3" hidden="1"/>
    <col min="14840" max="14840" width="17.5703125" style="3" hidden="1"/>
    <col min="14841" max="14841" width="16" style="3" hidden="1"/>
    <col min="14842" max="14842" width="18.140625" style="3" hidden="1"/>
    <col min="14843" max="15035" width="9.140625" style="3" hidden="1"/>
    <col min="15036" max="15036" width="11" style="3" hidden="1"/>
    <col min="15037" max="15037" width="53.42578125" style="3" hidden="1"/>
    <col min="15038" max="15094" width="9.140625" style="3" hidden="1"/>
    <col min="15095" max="15095" width="16.28515625" style="3" hidden="1"/>
    <col min="15096" max="15096" width="17.5703125" style="3" hidden="1"/>
    <col min="15097" max="15097" width="16" style="3" hidden="1"/>
    <col min="15098" max="15098" width="18.140625" style="3" hidden="1"/>
    <col min="15099" max="15291" width="9.140625" style="3" hidden="1"/>
    <col min="15292" max="15292" width="11" style="3" hidden="1"/>
    <col min="15293" max="15293" width="53.42578125" style="3" hidden="1"/>
    <col min="15294" max="15350" width="9.140625" style="3" hidden="1"/>
    <col min="15351" max="15351" width="16.28515625" style="3" hidden="1"/>
    <col min="15352" max="15352" width="17.5703125" style="3" hidden="1"/>
    <col min="15353" max="15353" width="16" style="3" hidden="1"/>
    <col min="15354" max="15354" width="18.140625" style="3" hidden="1"/>
    <col min="15355" max="15547" width="9.140625" style="3" hidden="1"/>
    <col min="15548" max="15548" width="11" style="3" hidden="1"/>
    <col min="15549" max="15549" width="53.42578125" style="3" hidden="1"/>
    <col min="15550" max="15606" width="9.140625" style="3" hidden="1"/>
    <col min="15607" max="15607" width="16.28515625" style="3" hidden="1"/>
    <col min="15608" max="15608" width="17.5703125" style="3" hidden="1"/>
    <col min="15609" max="15609" width="16" style="3" hidden="1"/>
    <col min="15610" max="15610" width="18.140625" style="3" hidden="1"/>
    <col min="15611" max="15803" width="9.140625" style="3" hidden="1"/>
    <col min="15804" max="15804" width="11" style="3" hidden="1"/>
    <col min="15805" max="15805" width="53.42578125" style="3" hidden="1"/>
    <col min="15806" max="15862" width="9.140625" style="3" hidden="1"/>
    <col min="15863" max="15863" width="16.28515625" style="3" hidden="1"/>
    <col min="15864" max="15864" width="17.5703125" style="3" hidden="1"/>
    <col min="15865" max="15865" width="16" style="3" hidden="1"/>
    <col min="15866" max="15866" width="18.140625" style="3" hidden="1"/>
    <col min="15867" max="16059" width="9.140625" style="3" hidden="1"/>
    <col min="16060" max="16060" width="11" style="3" hidden="1"/>
    <col min="16061" max="16061" width="53.42578125" style="3" hidden="1"/>
    <col min="16062" max="16118" width="9.140625" style="3" hidden="1"/>
    <col min="16119" max="16119" width="16.28515625" style="3" hidden="1"/>
    <col min="16120" max="16120" width="17.5703125" style="3" hidden="1"/>
    <col min="16121" max="16121" width="16" style="3" hidden="1"/>
    <col min="16122" max="16122" width="18.140625" style="3" hidden="1"/>
    <col min="16123" max="16384" width="9.140625" style="3" hidden="1"/>
  </cols>
  <sheetData>
    <row r="1" spans="1:6">
      <c r="B1" s="2" t="s">
        <v>589</v>
      </c>
    </row>
    <row r="2" spans="1:6" ht="60">
      <c r="B2" s="1" t="s">
        <v>590</v>
      </c>
      <c r="C2" s="6" t="s">
        <v>1</v>
      </c>
      <c r="D2" s="60" t="str">
        <f>'Allocation Worksheet'!H3</f>
        <v>2026 TOTAL BASED ON CY2025 CVET REVENUE</v>
      </c>
      <c r="E2" s="60" t="str">
        <f>'Allocation Worksheet'!H4</f>
        <v>MAY 2026 DISTRIBUTION</v>
      </c>
      <c r="F2" s="60" t="str">
        <f>'Allocation Worksheet'!H5</f>
        <v>NOVEMBER 2026 DISTRIBUTION</v>
      </c>
    </row>
    <row r="3" spans="1:6" ht="18" customHeight="1">
      <c r="A3" s="7" t="s">
        <v>2</v>
      </c>
      <c r="B3" s="7" t="s">
        <v>3</v>
      </c>
      <c r="C3" s="10"/>
      <c r="D3" s="9">
        <f>'Allocation Worksheet'!$D$30</f>
        <v>461505</v>
      </c>
      <c r="E3" s="11"/>
      <c r="F3" s="11"/>
    </row>
    <row r="4" spans="1:6">
      <c r="A4" s="8">
        <v>0</v>
      </c>
      <c r="B4" s="11" t="s">
        <v>4</v>
      </c>
      <c r="C4" s="10">
        <v>1.041E-3</v>
      </c>
      <c r="D4" s="12">
        <f>ROUND(D$3*C4,0)</f>
        <v>480</v>
      </c>
      <c r="E4" s="13">
        <f>ROUND(D4/2,0)</f>
        <v>240</v>
      </c>
      <c r="F4" s="12">
        <f>D4-E4</f>
        <v>240</v>
      </c>
    </row>
    <row r="5" spans="1:6">
      <c r="A5" s="8">
        <v>1</v>
      </c>
      <c r="B5" s="11" t="s">
        <v>591</v>
      </c>
      <c r="C5" s="10">
        <v>0.25596099999999999</v>
      </c>
      <c r="D5" s="9">
        <f>ROUND(D$3*C5,0)</f>
        <v>118127</v>
      </c>
      <c r="E5" s="11">
        <f>ROUND(D5/2,0)</f>
        <v>59064</v>
      </c>
      <c r="F5" s="9">
        <f>D5-E5</f>
        <v>59063</v>
      </c>
    </row>
    <row r="6" spans="1:6">
      <c r="A6" s="8"/>
      <c r="B6" s="11" t="s">
        <v>6</v>
      </c>
      <c r="C6" s="11"/>
      <c r="D6" s="14">
        <v>0.30824200000000002</v>
      </c>
      <c r="E6" s="11"/>
      <c r="F6" s="11"/>
    </row>
    <row r="7" spans="1:6">
      <c r="A7" s="8"/>
      <c r="B7" s="11" t="s">
        <v>7</v>
      </c>
      <c r="C7" s="11"/>
      <c r="D7" s="225">
        <f>ROUND(D5*D6,0)</f>
        <v>36412</v>
      </c>
      <c r="E7" s="226">
        <f>ROUND(D7/2,0)</f>
        <v>18206</v>
      </c>
      <c r="F7" s="225">
        <f>D7-E7</f>
        <v>18206</v>
      </c>
    </row>
    <row r="8" spans="1:6">
      <c r="A8" s="8"/>
      <c r="B8" s="11" t="s">
        <v>8</v>
      </c>
      <c r="C8" s="11"/>
      <c r="D8" s="12">
        <f>+D5-D7</f>
        <v>81715</v>
      </c>
      <c r="E8" s="13">
        <f>ROUND(D8/2,0)</f>
        <v>40858</v>
      </c>
      <c r="F8" s="12">
        <f>D8-E8</f>
        <v>40857</v>
      </c>
    </row>
    <row r="9" spans="1:6">
      <c r="A9" s="8">
        <v>2</v>
      </c>
      <c r="B9" s="11" t="s">
        <v>107</v>
      </c>
      <c r="C9" s="11"/>
      <c r="D9" s="9"/>
      <c r="E9" s="11"/>
      <c r="F9" s="11"/>
    </row>
    <row r="10" spans="1:6">
      <c r="A10" s="8"/>
      <c r="B10" s="11" t="s">
        <v>10</v>
      </c>
      <c r="C10" s="10">
        <v>4.8500000000000001E-3</v>
      </c>
      <c r="D10" s="12">
        <f>ROUND(D$3*C10,0)</f>
        <v>2238</v>
      </c>
      <c r="E10" s="13">
        <f>ROUND(D10/2,0)</f>
        <v>1119</v>
      </c>
      <c r="F10" s="12">
        <f>D10-E10</f>
        <v>1119</v>
      </c>
    </row>
    <row r="11" spans="1:6">
      <c r="A11" s="8"/>
      <c r="B11" s="11" t="s">
        <v>11</v>
      </c>
      <c r="C11" s="10">
        <v>5.9199999999999997E-4</v>
      </c>
      <c r="D11" s="12">
        <f>ROUND(D$3*C11,0)</f>
        <v>273</v>
      </c>
      <c r="E11" s="13">
        <f>ROUND(D11/2,0)</f>
        <v>137</v>
      </c>
      <c r="F11" s="12">
        <f>D11-E11</f>
        <v>136</v>
      </c>
    </row>
    <row r="12" spans="1:6">
      <c r="A12" s="8">
        <v>2</v>
      </c>
      <c r="B12" s="11" t="s">
        <v>592</v>
      </c>
      <c r="C12" s="11"/>
      <c r="D12" s="9"/>
      <c r="E12" s="11"/>
      <c r="F12" s="11"/>
    </row>
    <row r="13" spans="1:6">
      <c r="A13" s="8"/>
      <c r="B13" s="11" t="s">
        <v>10</v>
      </c>
      <c r="C13" s="10">
        <v>2.6069999999999999E-3</v>
      </c>
      <c r="D13" s="12">
        <f>ROUND(D$3*C13,0)</f>
        <v>1203</v>
      </c>
      <c r="E13" s="13">
        <f>ROUND(D13/2,0)</f>
        <v>602</v>
      </c>
      <c r="F13" s="12">
        <f>D13-E13</f>
        <v>601</v>
      </c>
    </row>
    <row r="14" spans="1:6">
      <c r="A14" s="8"/>
      <c r="B14" s="11" t="s">
        <v>11</v>
      </c>
      <c r="C14" s="10">
        <v>1.317E-3</v>
      </c>
      <c r="D14" s="12">
        <f>ROUND(D$3*C14,0)</f>
        <v>608</v>
      </c>
      <c r="E14" s="13">
        <f>ROUND(D14/2,0)</f>
        <v>304</v>
      </c>
      <c r="F14" s="12">
        <f>D14-E14</f>
        <v>304</v>
      </c>
    </row>
    <row r="15" spans="1:6">
      <c r="A15" s="8">
        <v>2</v>
      </c>
      <c r="B15" s="11" t="s">
        <v>372</v>
      </c>
      <c r="C15" s="11"/>
      <c r="D15" s="9"/>
      <c r="E15" s="11"/>
      <c r="F15" s="11"/>
    </row>
    <row r="16" spans="1:6">
      <c r="A16" s="8"/>
      <c r="B16" s="11" t="s">
        <v>10</v>
      </c>
      <c r="C16" s="10">
        <v>1.4419999999999999E-3</v>
      </c>
      <c r="D16" s="12">
        <f>ROUND(D$3*C16,0)</f>
        <v>665</v>
      </c>
      <c r="E16" s="13">
        <f>ROUND(D16/2,0)</f>
        <v>333</v>
      </c>
      <c r="F16" s="12">
        <f>D16-E16</f>
        <v>332</v>
      </c>
    </row>
    <row r="17" spans="1:6">
      <c r="A17" s="8"/>
      <c r="B17" s="11" t="s">
        <v>11</v>
      </c>
      <c r="C17" s="10">
        <v>1.4799999999999999E-4</v>
      </c>
      <c r="D17" s="12">
        <f>ROUND(D$3*C17,0)</f>
        <v>68</v>
      </c>
      <c r="E17" s="13">
        <f>ROUND(D17/2,0)</f>
        <v>34</v>
      </c>
      <c r="F17" s="12">
        <f>D17-E17</f>
        <v>34</v>
      </c>
    </row>
    <row r="18" spans="1:6">
      <c r="A18" s="8">
        <v>2</v>
      </c>
      <c r="B18" s="11" t="s">
        <v>593</v>
      </c>
      <c r="C18" s="11"/>
      <c r="D18" s="9"/>
      <c r="E18" s="11"/>
      <c r="F18" s="11"/>
    </row>
    <row r="19" spans="1:6">
      <c r="A19" s="8"/>
      <c r="B19" s="11" t="s">
        <v>10</v>
      </c>
      <c r="C19" s="10">
        <v>4.8200000000000001E-4</v>
      </c>
      <c r="D19" s="12">
        <f>ROUND(D$3*C19,0)</f>
        <v>222</v>
      </c>
      <c r="E19" s="13">
        <f>ROUND(D19/2,0)</f>
        <v>111</v>
      </c>
      <c r="F19" s="12">
        <f>D19-E19</f>
        <v>111</v>
      </c>
    </row>
    <row r="20" spans="1:6">
      <c r="A20" s="8"/>
      <c r="B20" s="11" t="s">
        <v>11</v>
      </c>
      <c r="C20" s="10">
        <v>4.6000000000000001E-4</v>
      </c>
      <c r="D20" s="12">
        <f>ROUND(D$3*C20,0)</f>
        <v>212</v>
      </c>
      <c r="E20" s="13">
        <f>ROUND(D20/2,0)</f>
        <v>106</v>
      </c>
      <c r="F20" s="12">
        <f>D20-E20</f>
        <v>106</v>
      </c>
    </row>
    <row r="21" spans="1:6">
      <c r="A21" s="8">
        <v>2</v>
      </c>
      <c r="B21" s="11" t="s">
        <v>14</v>
      </c>
      <c r="C21" s="11"/>
      <c r="D21" s="9"/>
      <c r="E21" s="11"/>
      <c r="F21" s="11"/>
    </row>
    <row r="22" spans="1:6">
      <c r="A22" s="8"/>
      <c r="B22" s="11" t="s">
        <v>10</v>
      </c>
      <c r="C22" s="10">
        <v>2.7399999999999999E-4</v>
      </c>
      <c r="D22" s="12">
        <f>ROUND(D$3*C22,0)</f>
        <v>126</v>
      </c>
      <c r="E22" s="13">
        <f>ROUND(D22/2,0)</f>
        <v>63</v>
      </c>
      <c r="F22" s="12">
        <f>D22-E22</f>
        <v>63</v>
      </c>
    </row>
    <row r="23" spans="1:6">
      <c r="A23" s="8"/>
      <c r="B23" s="11" t="s">
        <v>11</v>
      </c>
      <c r="C23" s="10">
        <v>1.2999999999999999E-4</v>
      </c>
      <c r="D23" s="12">
        <f>ROUND(D$3*C23,0)</f>
        <v>60</v>
      </c>
      <c r="E23" s="13">
        <f>ROUND(D23/2,0)</f>
        <v>30</v>
      </c>
      <c r="F23" s="12">
        <f>D23-E23</f>
        <v>30</v>
      </c>
    </row>
    <row r="24" spans="1:6">
      <c r="A24" s="8">
        <v>2</v>
      </c>
      <c r="B24" s="11" t="s">
        <v>181</v>
      </c>
      <c r="C24" s="11"/>
      <c r="D24" s="9"/>
      <c r="E24" s="11"/>
      <c r="F24" s="11"/>
    </row>
    <row r="25" spans="1:6">
      <c r="A25" s="8"/>
      <c r="B25" s="11" t="s">
        <v>10</v>
      </c>
      <c r="C25" s="10">
        <v>3.8900000000000002E-4</v>
      </c>
      <c r="D25" s="12">
        <f>ROUND(D$3*C25,0)</f>
        <v>180</v>
      </c>
      <c r="E25" s="13">
        <f>ROUND(D25/2,0)</f>
        <v>90</v>
      </c>
      <c r="F25" s="12">
        <f>D25-E25</f>
        <v>90</v>
      </c>
    </row>
    <row r="26" spans="1:6">
      <c r="A26" s="8"/>
      <c r="B26" s="11" t="s">
        <v>11</v>
      </c>
      <c r="C26" s="10">
        <v>3.0200000000000002E-4</v>
      </c>
      <c r="D26" s="12">
        <f>ROUND(D$3*C26,0)</f>
        <v>139</v>
      </c>
      <c r="E26" s="13">
        <f>ROUND(D26/2,0)</f>
        <v>70</v>
      </c>
      <c r="F26" s="12">
        <f>D26-E26</f>
        <v>69</v>
      </c>
    </row>
    <row r="27" spans="1:6">
      <c r="A27" s="8">
        <v>2</v>
      </c>
      <c r="B27" s="11" t="s">
        <v>594</v>
      </c>
      <c r="C27" s="11"/>
      <c r="D27" s="9"/>
      <c r="E27" s="11"/>
      <c r="F27" s="11"/>
    </row>
    <row r="28" spans="1:6">
      <c r="A28" s="8"/>
      <c r="B28" s="11" t="s">
        <v>10</v>
      </c>
      <c r="C28" s="10">
        <v>2.8709999999999999E-3</v>
      </c>
      <c r="D28" s="12">
        <f>ROUND(D$3*C28,0)</f>
        <v>1325</v>
      </c>
      <c r="E28" s="13">
        <f>ROUND(D28/2,0)</f>
        <v>663</v>
      </c>
      <c r="F28" s="12">
        <f>D28-E28</f>
        <v>662</v>
      </c>
    </row>
    <row r="29" spans="1:6">
      <c r="A29" s="8"/>
      <c r="B29" s="11" t="s">
        <v>11</v>
      </c>
      <c r="C29" s="10">
        <v>7.5600000000000005E-4</v>
      </c>
      <c r="D29" s="12">
        <f>ROUND(D$3*C29,0)</f>
        <v>349</v>
      </c>
      <c r="E29" s="13">
        <f>ROUND(D29/2,0)</f>
        <v>175</v>
      </c>
      <c r="F29" s="12">
        <f>D29-E29</f>
        <v>174</v>
      </c>
    </row>
    <row r="30" spans="1:6">
      <c r="A30" s="8">
        <v>2</v>
      </c>
      <c r="B30" s="11" t="s">
        <v>16</v>
      </c>
      <c r="C30" s="11"/>
      <c r="D30" s="9"/>
      <c r="E30" s="11"/>
      <c r="F30" s="11"/>
    </row>
    <row r="31" spans="1:6">
      <c r="A31" s="8"/>
      <c r="B31" s="11" t="s">
        <v>10</v>
      </c>
      <c r="C31" s="10">
        <v>5.8999999999999998E-5</v>
      </c>
      <c r="D31" s="12">
        <f>ROUND(D$3*C31,0)</f>
        <v>27</v>
      </c>
      <c r="E31" s="13">
        <f>ROUND(D31/2,0)</f>
        <v>14</v>
      </c>
      <c r="F31" s="12">
        <f>D31-E31</f>
        <v>13</v>
      </c>
    </row>
    <row r="32" spans="1:6">
      <c r="A32" s="8"/>
      <c r="B32" s="11" t="s">
        <v>11</v>
      </c>
      <c r="C32" s="10">
        <v>4.6999999999999997E-5</v>
      </c>
      <c r="D32" s="12">
        <f>ROUND(D$3*C32,0)</f>
        <v>22</v>
      </c>
      <c r="E32" s="13">
        <f>ROUND(D32/2,0)</f>
        <v>11</v>
      </c>
      <c r="F32" s="12">
        <f>D32-E32</f>
        <v>11</v>
      </c>
    </row>
    <row r="33" spans="1:6">
      <c r="A33" s="8">
        <v>2</v>
      </c>
      <c r="B33" s="11" t="s">
        <v>57</v>
      </c>
      <c r="C33" s="11"/>
      <c r="D33" s="9"/>
      <c r="E33" s="11"/>
      <c r="F33" s="11"/>
    </row>
    <row r="34" spans="1:6">
      <c r="A34" s="8"/>
      <c r="B34" s="11" t="s">
        <v>10</v>
      </c>
      <c r="C34" s="10">
        <v>1.4999999999999999E-4</v>
      </c>
      <c r="D34" s="12">
        <f>ROUND(D$3*C34,0)</f>
        <v>69</v>
      </c>
      <c r="E34" s="13">
        <f>ROUND(D34/2,0)</f>
        <v>35</v>
      </c>
      <c r="F34" s="12">
        <f>D34-E34</f>
        <v>34</v>
      </c>
    </row>
    <row r="35" spans="1:6">
      <c r="A35" s="8"/>
      <c r="B35" s="11" t="s">
        <v>11</v>
      </c>
      <c r="C35" s="10">
        <v>4.5000000000000003E-5</v>
      </c>
      <c r="D35" s="12">
        <f>ROUND(D$3*C35,0)</f>
        <v>21</v>
      </c>
      <c r="E35" s="13">
        <f>ROUND(D35/2,0)</f>
        <v>11</v>
      </c>
      <c r="F35" s="12">
        <f>D35-E35</f>
        <v>10</v>
      </c>
    </row>
    <row r="36" spans="1:6">
      <c r="A36" s="8">
        <v>2</v>
      </c>
      <c r="B36" s="11" t="s">
        <v>114</v>
      </c>
      <c r="C36" s="11"/>
      <c r="D36" s="9"/>
      <c r="E36" s="11"/>
      <c r="F36" s="11"/>
    </row>
    <row r="37" spans="1:6">
      <c r="A37" s="8"/>
      <c r="B37" s="11" t="s">
        <v>10</v>
      </c>
      <c r="C37" s="10">
        <v>1.66E-4</v>
      </c>
      <c r="D37" s="12">
        <f>ROUND(D$3*C37,0)</f>
        <v>77</v>
      </c>
      <c r="E37" s="13">
        <f>ROUND(D37/2,0)</f>
        <v>39</v>
      </c>
      <c r="F37" s="12">
        <f>D37-E37</f>
        <v>38</v>
      </c>
    </row>
    <row r="38" spans="1:6">
      <c r="A38" s="8"/>
      <c r="B38" s="11" t="s">
        <v>11</v>
      </c>
      <c r="C38" s="10">
        <v>9.7E-5</v>
      </c>
      <c r="D38" s="12">
        <f>ROUND(D$3*C38,0)</f>
        <v>45</v>
      </c>
      <c r="E38" s="13">
        <f>ROUND(D38/2,0)</f>
        <v>23</v>
      </c>
      <c r="F38" s="12">
        <f>D38-E38</f>
        <v>22</v>
      </c>
    </row>
    <row r="39" spans="1:6">
      <c r="A39" s="8">
        <v>2</v>
      </c>
      <c r="B39" s="11" t="s">
        <v>595</v>
      </c>
      <c r="C39" s="11"/>
      <c r="D39" s="9"/>
      <c r="E39" s="11"/>
      <c r="F39" s="11"/>
    </row>
    <row r="40" spans="1:6">
      <c r="A40" s="8"/>
      <c r="B40" s="11" t="s">
        <v>10</v>
      </c>
      <c r="C40" s="10">
        <v>5.1900000000000004E-4</v>
      </c>
      <c r="D40" s="12">
        <f>ROUND(D$3*C40,0)</f>
        <v>240</v>
      </c>
      <c r="E40" s="13">
        <f>ROUND(D40/2,0)</f>
        <v>120</v>
      </c>
      <c r="F40" s="12">
        <f>D40-E40</f>
        <v>120</v>
      </c>
    </row>
    <row r="41" spans="1:6">
      <c r="A41" s="8"/>
      <c r="B41" s="11" t="s">
        <v>11</v>
      </c>
      <c r="C41" s="10">
        <v>8.7000000000000001E-5</v>
      </c>
      <c r="D41" s="12">
        <f>ROUND(D$3*C41,0)</f>
        <v>40</v>
      </c>
      <c r="E41" s="13">
        <f>ROUND(D41/2,0)</f>
        <v>20</v>
      </c>
      <c r="F41" s="12">
        <f>D41-E41</f>
        <v>20</v>
      </c>
    </row>
    <row r="42" spans="1:6">
      <c r="A42" s="8">
        <v>2</v>
      </c>
      <c r="B42" s="11" t="s">
        <v>169</v>
      </c>
      <c r="C42" s="11"/>
      <c r="D42" s="9"/>
      <c r="E42" s="11"/>
      <c r="F42" s="11"/>
    </row>
    <row r="43" spans="1:6">
      <c r="A43" s="8"/>
      <c r="B43" s="11" t="s">
        <v>10</v>
      </c>
      <c r="C43" s="10">
        <v>5.3300000000000005E-4</v>
      </c>
      <c r="D43" s="12">
        <f>ROUND(D$3*C43,0)</f>
        <v>246</v>
      </c>
      <c r="E43" s="13">
        <f>ROUND(D43/2,0)</f>
        <v>123</v>
      </c>
      <c r="F43" s="12">
        <f>D43-E43</f>
        <v>123</v>
      </c>
    </row>
    <row r="44" spans="1:6">
      <c r="A44" s="8"/>
      <c r="B44" s="11" t="s">
        <v>11</v>
      </c>
      <c r="C44" s="10">
        <v>2.5700000000000001E-4</v>
      </c>
      <c r="D44" s="12">
        <f>ROUND(D$3*C44,0)</f>
        <v>119</v>
      </c>
      <c r="E44" s="13">
        <f>ROUND(D44/2,0)</f>
        <v>60</v>
      </c>
      <c r="F44" s="12">
        <f>D44-E44</f>
        <v>59</v>
      </c>
    </row>
    <row r="45" spans="1:6">
      <c r="A45" s="8">
        <v>2</v>
      </c>
      <c r="B45" s="11" t="s">
        <v>22</v>
      </c>
      <c r="C45" s="11"/>
      <c r="D45" s="9"/>
      <c r="E45" s="11"/>
      <c r="F45" s="11"/>
    </row>
    <row r="46" spans="1:6">
      <c r="A46" s="8"/>
      <c r="B46" s="11" t="s">
        <v>10</v>
      </c>
      <c r="C46" s="10">
        <v>1.4200000000000001E-4</v>
      </c>
      <c r="D46" s="12">
        <f t="shared" ref="D46:D59" si="0">ROUND(D$3*C46,0)</f>
        <v>66</v>
      </c>
      <c r="E46" s="13">
        <f t="shared" ref="E46:E59" si="1">ROUND(D46/2,0)</f>
        <v>33</v>
      </c>
      <c r="F46" s="12">
        <f t="shared" ref="F46:F59" si="2">D46-E46</f>
        <v>33</v>
      </c>
    </row>
    <row r="47" spans="1:6">
      <c r="A47" s="8"/>
      <c r="B47" s="11" t="s">
        <v>11</v>
      </c>
      <c r="C47" s="10">
        <v>1.01E-4</v>
      </c>
      <c r="D47" s="12">
        <f t="shared" si="0"/>
        <v>47</v>
      </c>
      <c r="E47" s="13">
        <f t="shared" si="1"/>
        <v>24</v>
      </c>
      <c r="F47" s="12">
        <f t="shared" si="2"/>
        <v>23</v>
      </c>
    </row>
    <row r="48" spans="1:6">
      <c r="A48" s="8">
        <v>3</v>
      </c>
      <c r="B48" s="11" t="s">
        <v>596</v>
      </c>
      <c r="C48" s="10">
        <v>1.5999999999999999E-5</v>
      </c>
      <c r="D48" s="12">
        <f t="shared" si="0"/>
        <v>7</v>
      </c>
      <c r="E48" s="13">
        <f t="shared" si="1"/>
        <v>4</v>
      </c>
      <c r="F48" s="12">
        <f t="shared" si="2"/>
        <v>3</v>
      </c>
    </row>
    <row r="49" spans="1:6">
      <c r="A49" s="8">
        <v>3</v>
      </c>
      <c r="B49" s="11" t="s">
        <v>597</v>
      </c>
      <c r="C49" s="10">
        <v>3.3470000000000001E-3</v>
      </c>
      <c r="D49" s="12">
        <f t="shared" si="0"/>
        <v>1545</v>
      </c>
      <c r="E49" s="13">
        <f t="shared" si="1"/>
        <v>773</v>
      </c>
      <c r="F49" s="12">
        <f t="shared" si="2"/>
        <v>772</v>
      </c>
    </row>
    <row r="50" spans="1:6">
      <c r="A50" s="8">
        <v>3</v>
      </c>
      <c r="B50" s="11" t="s">
        <v>598</v>
      </c>
      <c r="C50" s="10">
        <v>5.7000000000000003E-5</v>
      </c>
      <c r="D50" s="12">
        <f t="shared" si="0"/>
        <v>26</v>
      </c>
      <c r="E50" s="13">
        <f t="shared" si="1"/>
        <v>13</v>
      </c>
      <c r="F50" s="12">
        <f t="shared" si="2"/>
        <v>13</v>
      </c>
    </row>
    <row r="51" spans="1:6">
      <c r="A51" s="8">
        <v>3</v>
      </c>
      <c r="B51" s="11" t="s">
        <v>599</v>
      </c>
      <c r="C51" s="10">
        <v>2.0767999999999998E-2</v>
      </c>
      <c r="D51" s="12">
        <f t="shared" si="0"/>
        <v>9585</v>
      </c>
      <c r="E51" s="13">
        <f t="shared" si="1"/>
        <v>4793</v>
      </c>
      <c r="F51" s="12">
        <f t="shared" si="2"/>
        <v>4792</v>
      </c>
    </row>
    <row r="52" spans="1:6">
      <c r="A52" s="8">
        <v>3</v>
      </c>
      <c r="B52" s="11" t="s">
        <v>600</v>
      </c>
      <c r="C52" s="10">
        <v>5.5669999999999999E-3</v>
      </c>
      <c r="D52" s="12">
        <f t="shared" si="0"/>
        <v>2569</v>
      </c>
      <c r="E52" s="13">
        <f t="shared" si="1"/>
        <v>1285</v>
      </c>
      <c r="F52" s="12">
        <f t="shared" si="2"/>
        <v>1284</v>
      </c>
    </row>
    <row r="53" spans="1:6">
      <c r="A53" s="8">
        <v>3</v>
      </c>
      <c r="B53" s="11" t="s">
        <v>601</v>
      </c>
      <c r="C53" s="10">
        <v>0.118852</v>
      </c>
      <c r="D53" s="12">
        <f t="shared" si="0"/>
        <v>54851</v>
      </c>
      <c r="E53" s="13">
        <f t="shared" si="1"/>
        <v>27426</v>
      </c>
      <c r="F53" s="12">
        <f t="shared" si="2"/>
        <v>27425</v>
      </c>
    </row>
    <row r="54" spans="1:6">
      <c r="A54" s="8">
        <v>3</v>
      </c>
      <c r="B54" s="11" t="s">
        <v>602</v>
      </c>
      <c r="C54" s="10">
        <v>9.6400000000000001E-4</v>
      </c>
      <c r="D54" s="12">
        <f t="shared" si="0"/>
        <v>445</v>
      </c>
      <c r="E54" s="13">
        <f t="shared" si="1"/>
        <v>223</v>
      </c>
      <c r="F54" s="12">
        <f t="shared" si="2"/>
        <v>222</v>
      </c>
    </row>
    <row r="55" spans="1:6">
      <c r="A55" s="8">
        <v>3</v>
      </c>
      <c r="B55" s="11" t="s">
        <v>603</v>
      </c>
      <c r="C55" s="10">
        <v>1.0269999999999999E-3</v>
      </c>
      <c r="D55" s="12">
        <f t="shared" si="0"/>
        <v>474</v>
      </c>
      <c r="E55" s="13">
        <f t="shared" si="1"/>
        <v>237</v>
      </c>
      <c r="F55" s="12">
        <f t="shared" si="2"/>
        <v>237</v>
      </c>
    </row>
    <row r="56" spans="1:6">
      <c r="A56" s="8">
        <v>3</v>
      </c>
      <c r="B56" s="11" t="s">
        <v>604</v>
      </c>
      <c r="C56" s="10">
        <v>2.8800000000000001E-4</v>
      </c>
      <c r="D56" s="12">
        <f t="shared" si="0"/>
        <v>133</v>
      </c>
      <c r="E56" s="13">
        <f t="shared" si="1"/>
        <v>67</v>
      </c>
      <c r="F56" s="12">
        <f t="shared" si="2"/>
        <v>66</v>
      </c>
    </row>
    <row r="57" spans="1:6">
      <c r="A57" s="8">
        <v>3</v>
      </c>
      <c r="B57" s="11" t="s">
        <v>605</v>
      </c>
      <c r="C57" s="10">
        <v>1.126E-3</v>
      </c>
      <c r="D57" s="12">
        <f t="shared" si="0"/>
        <v>520</v>
      </c>
      <c r="E57" s="13">
        <f t="shared" si="1"/>
        <v>260</v>
      </c>
      <c r="F57" s="12">
        <f t="shared" si="2"/>
        <v>260</v>
      </c>
    </row>
    <row r="58" spans="1:6">
      <c r="A58" s="8">
        <v>3</v>
      </c>
      <c r="B58" s="11" t="s">
        <v>606</v>
      </c>
      <c r="C58" s="10">
        <v>5.1180000000000002E-3</v>
      </c>
      <c r="D58" s="12">
        <f t="shared" si="0"/>
        <v>2362</v>
      </c>
      <c r="E58" s="13">
        <f t="shared" si="1"/>
        <v>1181</v>
      </c>
      <c r="F58" s="12">
        <f t="shared" si="2"/>
        <v>1181</v>
      </c>
    </row>
    <row r="59" spans="1:6">
      <c r="A59" s="8">
        <v>4</v>
      </c>
      <c r="B59" s="11" t="s">
        <v>607</v>
      </c>
      <c r="C59" s="10">
        <v>4.7364000000000003E-2</v>
      </c>
      <c r="D59" s="9">
        <f t="shared" si="0"/>
        <v>21859</v>
      </c>
      <c r="E59" s="11">
        <f t="shared" si="1"/>
        <v>10930</v>
      </c>
      <c r="F59" s="9">
        <f t="shared" si="2"/>
        <v>10929</v>
      </c>
    </row>
    <row r="60" spans="1:6">
      <c r="A60" s="8"/>
      <c r="B60" s="11" t="s">
        <v>28</v>
      </c>
      <c r="C60" s="11"/>
      <c r="D60" s="14">
        <v>0.45738400000000001</v>
      </c>
      <c r="E60" s="11"/>
      <c r="F60" s="11"/>
    </row>
    <row r="61" spans="1:6">
      <c r="A61" s="8"/>
      <c r="B61" s="11" t="s">
        <v>29</v>
      </c>
      <c r="C61" s="11"/>
      <c r="D61" s="225">
        <f>ROUND(D59*D60,0)</f>
        <v>9998</v>
      </c>
      <c r="E61" s="226">
        <f>ROUND(D61/2,0)</f>
        <v>4999</v>
      </c>
      <c r="F61" s="225">
        <f>D61-E61</f>
        <v>4999</v>
      </c>
    </row>
    <row r="62" spans="1:6">
      <c r="A62" s="8"/>
      <c r="B62" s="11" t="s">
        <v>30</v>
      </c>
      <c r="C62" s="11"/>
      <c r="D62" s="12">
        <f>+D59-D61</f>
        <v>11861</v>
      </c>
      <c r="E62" s="13">
        <f>ROUND(D62/2,0)</f>
        <v>5931</v>
      </c>
      <c r="F62" s="12">
        <f>D62-E62</f>
        <v>5930</v>
      </c>
    </row>
    <row r="63" spans="1:6">
      <c r="A63" s="8">
        <v>4</v>
      </c>
      <c r="B63" s="11" t="s">
        <v>608</v>
      </c>
      <c r="C63" s="10">
        <v>9.0134000000000006E-2</v>
      </c>
      <c r="D63" s="9">
        <f>ROUND(D$3*C63,0)</f>
        <v>41597</v>
      </c>
      <c r="E63" s="11">
        <f>ROUND(D63/2,0)</f>
        <v>20799</v>
      </c>
      <c r="F63" s="9">
        <f>D63-E63</f>
        <v>20798</v>
      </c>
    </row>
    <row r="64" spans="1:6">
      <c r="A64" s="8"/>
      <c r="B64" s="11" t="s">
        <v>28</v>
      </c>
      <c r="C64" s="11"/>
      <c r="D64" s="14">
        <v>0.45816000000000001</v>
      </c>
      <c r="E64" s="11"/>
      <c r="F64" s="11"/>
    </row>
    <row r="65" spans="1:6">
      <c r="A65" s="8"/>
      <c r="B65" s="11" t="s">
        <v>29</v>
      </c>
      <c r="C65" s="11"/>
      <c r="D65" s="225">
        <f>ROUND(D63*D64,0)</f>
        <v>19058</v>
      </c>
      <c r="E65" s="226">
        <f>ROUND(D65/2,0)</f>
        <v>9529</v>
      </c>
      <c r="F65" s="225">
        <f>D65-E65</f>
        <v>9529</v>
      </c>
    </row>
    <row r="66" spans="1:6">
      <c r="A66" s="8"/>
      <c r="B66" s="11" t="s">
        <v>30</v>
      </c>
      <c r="C66" s="11"/>
      <c r="D66" s="12">
        <f>+D63-D65</f>
        <v>22539</v>
      </c>
      <c r="E66" s="13">
        <f>ROUND(D66/2,0)</f>
        <v>11270</v>
      </c>
      <c r="F66" s="12">
        <f>D66-E66</f>
        <v>11269</v>
      </c>
    </row>
    <row r="67" spans="1:6">
      <c r="A67" s="8">
        <v>4</v>
      </c>
      <c r="B67" s="11" t="s">
        <v>609</v>
      </c>
      <c r="C67" s="10">
        <v>0.23348099999999999</v>
      </c>
      <c r="D67" s="9">
        <f>ROUND(D$3*C67,0)</f>
        <v>107753</v>
      </c>
      <c r="E67" s="11">
        <f>ROUND(D67/2,0)</f>
        <v>53877</v>
      </c>
      <c r="F67" s="9">
        <f>D67-E67</f>
        <v>53876</v>
      </c>
    </row>
    <row r="68" spans="1:6">
      <c r="A68" s="8"/>
      <c r="B68" s="11" t="s">
        <v>28</v>
      </c>
      <c r="C68" s="11"/>
      <c r="D68" s="14">
        <v>0.63361900000000004</v>
      </c>
      <c r="E68" s="11"/>
      <c r="F68" s="11"/>
    </row>
    <row r="69" spans="1:6">
      <c r="A69" s="8"/>
      <c r="B69" s="11" t="s">
        <v>29</v>
      </c>
      <c r="C69" s="11"/>
      <c r="D69" s="225">
        <f>ROUND(D67*D68,0)</f>
        <v>68274</v>
      </c>
      <c r="E69" s="226">
        <f>ROUND(D69/2,0)</f>
        <v>34137</v>
      </c>
      <c r="F69" s="225">
        <f>D69-E69</f>
        <v>34137</v>
      </c>
    </row>
    <row r="70" spans="1:6">
      <c r="A70" s="8"/>
      <c r="B70" s="11" t="s">
        <v>30</v>
      </c>
      <c r="C70" s="11"/>
      <c r="D70" s="12">
        <f>+D67-D69</f>
        <v>39479</v>
      </c>
      <c r="E70" s="13">
        <f>ROUND(D70/2,0)</f>
        <v>19740</v>
      </c>
      <c r="F70" s="12">
        <f>D70-E70</f>
        <v>19739</v>
      </c>
    </row>
    <row r="71" spans="1:6">
      <c r="A71" s="8" t="s">
        <v>590</v>
      </c>
      <c r="B71" s="11" t="s">
        <v>610</v>
      </c>
      <c r="C71" s="10">
        <v>0.100768</v>
      </c>
      <c r="D71" s="9">
        <f>ROUND(D$3*C71,0)</f>
        <v>46505</v>
      </c>
      <c r="E71" s="11">
        <f>ROUND(D71/2,0)</f>
        <v>23253</v>
      </c>
      <c r="F71" s="9">
        <f>D71-E71</f>
        <v>23252</v>
      </c>
    </row>
    <row r="72" spans="1:6">
      <c r="A72" s="8"/>
      <c r="B72" s="11" t="s">
        <v>28</v>
      </c>
      <c r="C72" s="11"/>
      <c r="D72" s="14">
        <v>0.416881</v>
      </c>
      <c r="E72" s="11"/>
      <c r="F72" s="11"/>
    </row>
    <row r="73" spans="1:6">
      <c r="A73" s="8"/>
      <c r="B73" s="11" t="s">
        <v>29</v>
      </c>
      <c r="C73" s="11"/>
      <c r="D73" s="225">
        <f>ROUND(D71*D72,0)</f>
        <v>19387</v>
      </c>
      <c r="E73" s="226">
        <f>ROUND(D73/2,0)</f>
        <v>9694</v>
      </c>
      <c r="F73" s="225">
        <f>D73-E73</f>
        <v>9693</v>
      </c>
    </row>
    <row r="74" spans="1:6">
      <c r="A74" s="8"/>
      <c r="B74" s="11" t="s">
        <v>30</v>
      </c>
      <c r="C74" s="11"/>
      <c r="D74" s="12">
        <f>+D71-D73</f>
        <v>27118</v>
      </c>
      <c r="E74" s="13">
        <f>ROUND(D74/2,0)</f>
        <v>13559</v>
      </c>
      <c r="F74" s="12">
        <f>D74-E74</f>
        <v>13559</v>
      </c>
    </row>
    <row r="75" spans="1:6">
      <c r="A75" s="8">
        <v>4</v>
      </c>
      <c r="B75" s="11" t="s">
        <v>611</v>
      </c>
      <c r="C75" s="10">
        <v>5.9463000000000002E-2</v>
      </c>
      <c r="D75" s="9">
        <f>ROUND(D$3*C75,0)</f>
        <v>27442</v>
      </c>
      <c r="E75" s="11">
        <f>ROUND(D75/2,0)</f>
        <v>13721</v>
      </c>
      <c r="F75" s="9">
        <f>D75-E75</f>
        <v>13721</v>
      </c>
    </row>
    <row r="76" spans="1:6">
      <c r="A76" s="8"/>
      <c r="B76" s="11" t="s">
        <v>28</v>
      </c>
      <c r="C76" s="11"/>
      <c r="D76" s="14">
        <v>0.415018</v>
      </c>
      <c r="E76" s="11"/>
      <c r="F76" s="11"/>
    </row>
    <row r="77" spans="1:6">
      <c r="A77" s="8"/>
      <c r="B77" s="11" t="s">
        <v>29</v>
      </c>
      <c r="C77" s="11"/>
      <c r="D77" s="225">
        <f>ROUND(D75*D76,0)</f>
        <v>11389</v>
      </c>
      <c r="E77" s="226">
        <f t="shared" ref="E77:E88" si="3">ROUND(D77/2,0)</f>
        <v>5695</v>
      </c>
      <c r="F77" s="225">
        <f t="shared" ref="F77:F88" si="4">D77-E77</f>
        <v>5694</v>
      </c>
    </row>
    <row r="78" spans="1:6">
      <c r="A78" s="8"/>
      <c r="B78" s="11" t="s">
        <v>30</v>
      </c>
      <c r="C78" s="11"/>
      <c r="D78" s="12">
        <f>+D75-D77</f>
        <v>16053</v>
      </c>
      <c r="E78" s="13">
        <f t="shared" si="3"/>
        <v>8027</v>
      </c>
      <c r="F78" s="12">
        <f t="shared" si="4"/>
        <v>8026</v>
      </c>
    </row>
    <row r="79" spans="1:6">
      <c r="A79" s="8">
        <v>5</v>
      </c>
      <c r="B79" s="11" t="s">
        <v>612</v>
      </c>
      <c r="C79" s="10">
        <v>1.22E-4</v>
      </c>
      <c r="D79" s="12">
        <f t="shared" ref="D79:D87" si="5">ROUND(D$3*C79,0)</f>
        <v>56</v>
      </c>
      <c r="E79" s="13">
        <f t="shared" si="3"/>
        <v>28</v>
      </c>
      <c r="F79" s="12">
        <f t="shared" si="4"/>
        <v>28</v>
      </c>
    </row>
    <row r="80" spans="1:6">
      <c r="A80" s="8">
        <v>5</v>
      </c>
      <c r="B80" s="11" t="s">
        <v>613</v>
      </c>
      <c r="C80" s="10">
        <v>1.9999999999999999E-6</v>
      </c>
      <c r="D80" s="12">
        <f t="shared" si="5"/>
        <v>1</v>
      </c>
      <c r="E80" s="13">
        <f t="shared" si="3"/>
        <v>1</v>
      </c>
      <c r="F80" s="12">
        <f t="shared" si="4"/>
        <v>0</v>
      </c>
    </row>
    <row r="81" spans="1:8">
      <c r="A81" s="8">
        <v>5</v>
      </c>
      <c r="B81" s="11" t="s">
        <v>614</v>
      </c>
      <c r="C81" s="10">
        <v>1.977E-3</v>
      </c>
      <c r="D81" s="12">
        <f t="shared" si="5"/>
        <v>912</v>
      </c>
      <c r="E81" s="13">
        <f t="shared" si="3"/>
        <v>456</v>
      </c>
      <c r="F81" s="12">
        <f t="shared" si="4"/>
        <v>456</v>
      </c>
    </row>
    <row r="82" spans="1:8">
      <c r="A82" s="8">
        <v>5</v>
      </c>
      <c r="B82" s="11" t="s">
        <v>615</v>
      </c>
      <c r="C82" s="10">
        <v>1.1566E-2</v>
      </c>
      <c r="D82" s="12">
        <f t="shared" si="5"/>
        <v>5338</v>
      </c>
      <c r="E82" s="13">
        <f t="shared" si="3"/>
        <v>2669</v>
      </c>
      <c r="F82" s="12">
        <f t="shared" si="4"/>
        <v>2669</v>
      </c>
    </row>
    <row r="83" spans="1:8">
      <c r="A83" s="8">
        <v>5</v>
      </c>
      <c r="B83" s="11" t="s">
        <v>616</v>
      </c>
      <c r="C83" s="10">
        <v>8.6899999999999998E-4</v>
      </c>
      <c r="D83" s="12">
        <f t="shared" si="5"/>
        <v>401</v>
      </c>
      <c r="E83" s="13">
        <f t="shared" si="3"/>
        <v>201</v>
      </c>
      <c r="F83" s="12">
        <f t="shared" si="4"/>
        <v>200</v>
      </c>
    </row>
    <row r="84" spans="1:8">
      <c r="A84" s="8">
        <v>5</v>
      </c>
      <c r="B84" s="11" t="s">
        <v>617</v>
      </c>
      <c r="C84" s="10">
        <v>1.6636999999999999E-2</v>
      </c>
      <c r="D84" s="12">
        <f t="shared" si="5"/>
        <v>7678</v>
      </c>
      <c r="E84" s="13">
        <f t="shared" si="3"/>
        <v>3839</v>
      </c>
      <c r="F84" s="12">
        <f t="shared" si="4"/>
        <v>3839</v>
      </c>
    </row>
    <row r="85" spans="1:8">
      <c r="A85" s="8">
        <v>5</v>
      </c>
      <c r="B85" s="11" t="s">
        <v>618</v>
      </c>
      <c r="C85" s="10">
        <v>6.3E-5</v>
      </c>
      <c r="D85" s="12">
        <f t="shared" si="5"/>
        <v>29</v>
      </c>
      <c r="E85" s="13">
        <f t="shared" si="3"/>
        <v>15</v>
      </c>
      <c r="F85" s="12">
        <f t="shared" si="4"/>
        <v>14</v>
      </c>
    </row>
    <row r="86" spans="1:8">
      <c r="A86" s="8">
        <v>5</v>
      </c>
      <c r="B86" s="11" t="s">
        <v>619</v>
      </c>
      <c r="C86" s="10">
        <v>6.6699999999999995E-4</v>
      </c>
      <c r="D86" s="12">
        <f t="shared" si="5"/>
        <v>308</v>
      </c>
      <c r="E86" s="13">
        <f t="shared" si="3"/>
        <v>154</v>
      </c>
      <c r="F86" s="12">
        <f t="shared" si="4"/>
        <v>154</v>
      </c>
    </row>
    <row r="87" spans="1:8">
      <c r="A87" s="8">
        <v>5</v>
      </c>
      <c r="B87" s="11" t="s">
        <v>620</v>
      </c>
      <c r="C87" s="10">
        <v>1.4319999999999999E-3</v>
      </c>
      <c r="D87" s="12">
        <f t="shared" si="5"/>
        <v>661</v>
      </c>
      <c r="E87" s="13">
        <f t="shared" si="3"/>
        <v>331</v>
      </c>
      <c r="F87" s="12">
        <f t="shared" si="4"/>
        <v>330</v>
      </c>
    </row>
    <row r="88" spans="1:8">
      <c r="A88" s="8">
        <v>6</v>
      </c>
      <c r="B88" s="11" t="s">
        <v>422</v>
      </c>
      <c r="C88" s="10">
        <v>2.4999999999999467E-3</v>
      </c>
      <c r="D88" s="12">
        <f>+D3-SUM(D4:D5)-SUM(D10:D59)-D63-D67-D71-D75-SUM(D79:D87)</f>
        <v>1154</v>
      </c>
      <c r="E88" s="13">
        <f t="shared" si="3"/>
        <v>577</v>
      </c>
      <c r="F88" s="12">
        <f t="shared" si="4"/>
        <v>577</v>
      </c>
    </row>
    <row r="89" spans="1:8">
      <c r="A89" s="8"/>
      <c r="B89" s="28" t="s">
        <v>288</v>
      </c>
      <c r="C89" s="10">
        <v>1</v>
      </c>
      <c r="D89" s="12">
        <f>+D4+SUM(D7:D58)+SUM(D61:D62)+SUM(D65:D66)+SUM(D69:D70)+SUM(D73:D74)+SUM(D77:D88)</f>
        <v>461505</v>
      </c>
      <c r="E89" s="12">
        <f>+E4+SUM(E7:E58)+SUM(E61:E62)+SUM(E65:E66)+SUM(E69:E70)+SUM(E73:E74)+SUM(E77:E88)</f>
        <v>230768</v>
      </c>
      <c r="F89" s="12">
        <f>+F4+SUM(F7:F58)+SUM(F61:F62)+SUM(F65:F66)+SUM(F69:F70)+SUM(F73:F74)+SUM(F77:F88)</f>
        <v>230737</v>
      </c>
    </row>
    <row r="90" spans="1:8">
      <c r="B90" s="18" t="s">
        <v>38</v>
      </c>
      <c r="D90" s="19">
        <f>+D4</f>
        <v>480</v>
      </c>
      <c r="E90" s="19">
        <f>+E4</f>
        <v>240</v>
      </c>
      <c r="F90" s="19">
        <f>+F4</f>
        <v>240</v>
      </c>
    </row>
    <row r="91" spans="1:8">
      <c r="B91" s="2" t="s">
        <v>39</v>
      </c>
      <c r="D91" s="19">
        <f>+D7</f>
        <v>36412</v>
      </c>
      <c r="E91" s="19">
        <f>+E7</f>
        <v>18206</v>
      </c>
      <c r="F91" s="19">
        <f>+F7</f>
        <v>18206</v>
      </c>
    </row>
    <row r="92" spans="1:8">
      <c r="B92" s="2" t="s">
        <v>40</v>
      </c>
      <c r="D92" s="19">
        <f>+D61+D65+D69+D73+D77</f>
        <v>128106</v>
      </c>
      <c r="E92" s="19">
        <f>+E61+E65+E69+E73+E77</f>
        <v>64054</v>
      </c>
      <c r="F92" s="19">
        <f>+F61+F65+F69+F73+F77</f>
        <v>64052</v>
      </c>
      <c r="H92" s="3">
        <v>1</v>
      </c>
    </row>
    <row r="93" spans="1:8">
      <c r="B93" s="18" t="s">
        <v>41</v>
      </c>
      <c r="D93" s="19">
        <f>+D89-D90-D91-D92</f>
        <v>296507</v>
      </c>
      <c r="E93" s="19">
        <f>+E89-E90-E91-E92</f>
        <v>148268</v>
      </c>
      <c r="F93" s="19">
        <f>+F89-F90-F91-F92</f>
        <v>148239</v>
      </c>
      <c r="H93" s="3">
        <v>2</v>
      </c>
    </row>
    <row r="95" spans="1:8" hidden="1">
      <c r="B95" s="3" t="s">
        <v>42</v>
      </c>
      <c r="C95" s="4">
        <v>1.9999999999469227E-6</v>
      </c>
      <c r="D95" s="3">
        <v>-2</v>
      </c>
    </row>
  </sheetData>
  <pageMargins left="0.7" right="0.7" top="0.75" bottom="0.75" header="0.3" footer="0.3"/>
  <pageSetup scale="4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pageSetUpPr fitToPage="1"/>
  </sheetPr>
  <dimension ref="A1:WVB92"/>
  <sheetViews>
    <sheetView topLeftCell="A58" zoomScaleNormal="100" zoomScaleSheetLayoutView="90" workbookViewId="0">
      <selection activeCell="D79" activeCellId="5" sqref="D7:F7 D63:F63 D67:F67 D71:F71 D75:F75 D79:F79"/>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3.28515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3.28515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3.28515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3.28515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3.28515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3.28515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3.28515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3.28515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3.28515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3.28515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3.28515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3.28515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3.28515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3.28515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3.28515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3.28515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3.28515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3.28515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3.28515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3.28515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3.28515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3.28515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3.28515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3.28515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3.28515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3.28515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3.28515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3.28515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3.28515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3.28515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3.28515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3.28515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3.28515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3.28515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3.28515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3.28515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3.28515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3.28515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3.28515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3.28515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3.28515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3.28515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3.28515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3.28515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3.28515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3.28515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3.28515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3.28515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3.28515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3.28515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3.28515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3.28515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3.28515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3.28515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3.28515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3.28515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3.28515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3.28515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3.28515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3.28515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3.28515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3.28515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3.28515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621</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Worksheet'!$D$31</f>
        <v>251555</v>
      </c>
      <c r="E3" s="11"/>
      <c r="F3" s="11"/>
    </row>
    <row r="4" spans="1:6">
      <c r="A4" s="8">
        <v>0</v>
      </c>
      <c r="B4" s="11" t="s">
        <v>4</v>
      </c>
      <c r="C4" s="10">
        <v>1.1119999999999999E-3</v>
      </c>
      <c r="D4" s="12">
        <f>ROUND(D$3*C4,0)</f>
        <v>280</v>
      </c>
      <c r="E4" s="13">
        <f>ROUND(D4/2,0)</f>
        <v>140</v>
      </c>
      <c r="F4" s="12">
        <f>D4-E4</f>
        <v>140</v>
      </c>
    </row>
    <row r="5" spans="1:6">
      <c r="A5" s="8">
        <v>1</v>
      </c>
      <c r="B5" s="11" t="s">
        <v>622</v>
      </c>
      <c r="C5" s="10">
        <v>0.24518200000000001</v>
      </c>
      <c r="D5" s="9">
        <f>ROUND(D$3*C5,0)</f>
        <v>61677</v>
      </c>
      <c r="E5" s="11">
        <f>ROUND(D5/2,0)</f>
        <v>30839</v>
      </c>
      <c r="F5" s="9">
        <f>D5-E5</f>
        <v>30838</v>
      </c>
    </row>
    <row r="6" spans="1:6">
      <c r="A6" s="8"/>
      <c r="B6" s="11" t="s">
        <v>6</v>
      </c>
      <c r="C6" s="11"/>
      <c r="D6" s="14">
        <v>0.25052600000000003</v>
      </c>
      <c r="E6" s="11"/>
      <c r="F6" s="11"/>
    </row>
    <row r="7" spans="1:6">
      <c r="A7" s="8"/>
      <c r="B7" s="11" t="s">
        <v>7</v>
      </c>
      <c r="C7" s="11"/>
      <c r="D7" s="225">
        <f>ROUND(D5*D6,0)</f>
        <v>15452</v>
      </c>
      <c r="E7" s="226">
        <f>ROUND(D7/2,0)</f>
        <v>7726</v>
      </c>
      <c r="F7" s="225">
        <f>D7-E7</f>
        <v>7726</v>
      </c>
    </row>
    <row r="8" spans="1:6">
      <c r="A8" s="8"/>
      <c r="B8" s="11" t="s">
        <v>8</v>
      </c>
      <c r="C8" s="11"/>
      <c r="D8" s="12">
        <f>+D5-D7</f>
        <v>46225</v>
      </c>
      <c r="E8" s="13">
        <f>ROUND(D8/2,0)</f>
        <v>23113</v>
      </c>
      <c r="F8" s="12">
        <f>D8-E8</f>
        <v>23112</v>
      </c>
    </row>
    <row r="9" spans="1:6">
      <c r="A9" s="8">
        <v>2</v>
      </c>
      <c r="B9" s="11" t="s">
        <v>623</v>
      </c>
      <c r="C9" s="11"/>
      <c r="D9" s="9"/>
      <c r="E9" s="11"/>
      <c r="F9" s="11"/>
    </row>
    <row r="10" spans="1:6">
      <c r="A10" s="8"/>
      <c r="B10" s="11" t="s">
        <v>10</v>
      </c>
      <c r="C10" s="10">
        <v>1.967E-3</v>
      </c>
      <c r="D10" s="12">
        <f>ROUND(D$3*C10,0)</f>
        <v>495</v>
      </c>
      <c r="E10" s="13">
        <f>ROUND(D10/2,0)</f>
        <v>248</v>
      </c>
      <c r="F10" s="12">
        <f>D10-E10</f>
        <v>247</v>
      </c>
    </row>
    <row r="11" spans="1:6">
      <c r="A11" s="8"/>
      <c r="B11" s="11" t="s">
        <v>11</v>
      </c>
      <c r="C11" s="10">
        <v>1.6410000000000001E-3</v>
      </c>
      <c r="D11" s="12">
        <f>ROUND(D$3*C11,0)</f>
        <v>413</v>
      </c>
      <c r="E11" s="13">
        <f>ROUND(D11/2,0)</f>
        <v>207</v>
      </c>
      <c r="F11" s="12">
        <f>D11-E11</f>
        <v>206</v>
      </c>
    </row>
    <row r="12" spans="1:6">
      <c r="A12" s="8">
        <v>2</v>
      </c>
      <c r="B12" s="11" t="s">
        <v>249</v>
      </c>
      <c r="C12" s="11"/>
      <c r="D12" s="9"/>
      <c r="E12" s="11"/>
      <c r="F12" s="11"/>
    </row>
    <row r="13" spans="1:6">
      <c r="A13" s="8"/>
      <c r="B13" s="11" t="s">
        <v>10</v>
      </c>
      <c r="C13" s="10">
        <v>2.8299999999999999E-4</v>
      </c>
      <c r="D13" s="12">
        <f>ROUND(D$3*C13,0)</f>
        <v>71</v>
      </c>
      <c r="E13" s="13">
        <f>ROUND(D13/2,0)</f>
        <v>36</v>
      </c>
      <c r="F13" s="12">
        <f>D13-E13</f>
        <v>35</v>
      </c>
    </row>
    <row r="14" spans="1:6">
      <c r="A14" s="8"/>
      <c r="B14" s="11" t="s">
        <v>11</v>
      </c>
      <c r="C14" s="10">
        <v>1.0900000000000001E-4</v>
      </c>
      <c r="D14" s="12">
        <f>ROUND(D$3*C14,0)</f>
        <v>27</v>
      </c>
      <c r="E14" s="13">
        <f>ROUND(D14/2,0)</f>
        <v>14</v>
      </c>
      <c r="F14" s="12">
        <f>D14-E14</f>
        <v>13</v>
      </c>
    </row>
    <row r="15" spans="1:6">
      <c r="A15" s="8">
        <v>2</v>
      </c>
      <c r="B15" s="11" t="s">
        <v>107</v>
      </c>
      <c r="C15" s="11"/>
      <c r="D15" s="12"/>
      <c r="E15" s="11"/>
      <c r="F15" s="11"/>
    </row>
    <row r="16" spans="1:6">
      <c r="A16" s="8"/>
      <c r="B16" s="11" t="s">
        <v>10</v>
      </c>
      <c r="C16" s="10">
        <v>7.7200000000000001E-4</v>
      </c>
      <c r="D16" s="12">
        <f>ROUND(D$3*C16,0)</f>
        <v>194</v>
      </c>
      <c r="E16" s="13">
        <f>ROUND(D16/2,0)</f>
        <v>97</v>
      </c>
      <c r="F16" s="12">
        <f>D16-E16</f>
        <v>97</v>
      </c>
    </row>
    <row r="17" spans="1:6">
      <c r="A17" s="8"/>
      <c r="B17" s="11" t="s">
        <v>11</v>
      </c>
      <c r="C17" s="10">
        <v>6.6699999999999995E-4</v>
      </c>
      <c r="D17" s="12">
        <f>ROUND(D$3*C17,0)</f>
        <v>168</v>
      </c>
      <c r="E17" s="13">
        <f>ROUND(D17/2,0)</f>
        <v>84</v>
      </c>
      <c r="F17" s="12">
        <f>D17-E17</f>
        <v>84</v>
      </c>
    </row>
    <row r="18" spans="1:6">
      <c r="A18" s="8">
        <v>2</v>
      </c>
      <c r="B18" s="11" t="s">
        <v>624</v>
      </c>
      <c r="C18" s="11"/>
      <c r="D18" s="9"/>
      <c r="E18" s="11"/>
      <c r="F18" s="11"/>
    </row>
    <row r="19" spans="1:6">
      <c r="A19" s="8"/>
      <c r="B19" s="11" t="s">
        <v>10</v>
      </c>
      <c r="C19" s="10">
        <v>1.815E-3</v>
      </c>
      <c r="D19" s="12">
        <f>ROUND(D$3*C19,0)</f>
        <v>457</v>
      </c>
      <c r="E19" s="13">
        <f>ROUND(D19/2,0)</f>
        <v>229</v>
      </c>
      <c r="F19" s="12">
        <f>D19-E19</f>
        <v>228</v>
      </c>
    </row>
    <row r="20" spans="1:6">
      <c r="A20" s="8"/>
      <c r="B20" s="11" t="s">
        <v>11</v>
      </c>
      <c r="C20" s="10">
        <v>7.1699999999999997E-4</v>
      </c>
      <c r="D20" s="12">
        <f>ROUND(D$3*C20,0)</f>
        <v>180</v>
      </c>
      <c r="E20" s="13">
        <f>ROUND(D20/2,0)</f>
        <v>90</v>
      </c>
      <c r="F20" s="12">
        <f>D20-E20</f>
        <v>90</v>
      </c>
    </row>
    <row r="21" spans="1:6">
      <c r="A21" s="8">
        <v>2</v>
      </c>
      <c r="B21" s="11" t="s">
        <v>109</v>
      </c>
      <c r="C21" s="11"/>
      <c r="D21" s="9"/>
      <c r="E21" s="11"/>
      <c r="F21" s="11"/>
    </row>
    <row r="22" spans="1:6">
      <c r="A22" s="8"/>
      <c r="B22" s="11" t="s">
        <v>10</v>
      </c>
      <c r="C22" s="10">
        <v>5.5099999999999995E-4</v>
      </c>
      <c r="D22" s="12">
        <f>ROUND(D$3*C22,0)</f>
        <v>139</v>
      </c>
      <c r="E22" s="13">
        <f>ROUND(D22/2,0)</f>
        <v>70</v>
      </c>
      <c r="F22" s="12">
        <f>D22-E22</f>
        <v>69</v>
      </c>
    </row>
    <row r="23" spans="1:6">
      <c r="A23" s="8"/>
      <c r="B23" s="11" t="s">
        <v>11</v>
      </c>
      <c r="C23" s="10">
        <v>2.5000000000000001E-4</v>
      </c>
      <c r="D23" s="12">
        <f>ROUND(D$3*C23,0)</f>
        <v>63</v>
      </c>
      <c r="E23" s="13">
        <f>ROUND(D23/2,0)</f>
        <v>32</v>
      </c>
      <c r="F23" s="12">
        <f>D23-E23</f>
        <v>31</v>
      </c>
    </row>
    <row r="24" spans="1:6">
      <c r="A24" s="8">
        <v>2</v>
      </c>
      <c r="B24" s="11" t="s">
        <v>528</v>
      </c>
      <c r="C24" s="11"/>
      <c r="D24" s="9"/>
      <c r="E24" s="11"/>
      <c r="F24" s="11"/>
    </row>
    <row r="25" spans="1:6">
      <c r="A25" s="8"/>
      <c r="B25" s="11" t="s">
        <v>10</v>
      </c>
      <c r="C25" s="10">
        <v>2.065E-3</v>
      </c>
      <c r="D25" s="12">
        <f>ROUND(D$3*C25,0)</f>
        <v>519</v>
      </c>
      <c r="E25" s="13">
        <f>ROUND(D25/2,0)</f>
        <v>260</v>
      </c>
      <c r="F25" s="12">
        <f>D25-E25</f>
        <v>259</v>
      </c>
    </row>
    <row r="26" spans="1:6">
      <c r="A26" s="8"/>
      <c r="B26" s="11" t="s">
        <v>11</v>
      </c>
      <c r="C26" s="10">
        <v>1.699E-3</v>
      </c>
      <c r="D26" s="12">
        <f>ROUND(D$3*C26,0)</f>
        <v>427</v>
      </c>
      <c r="E26" s="13">
        <f>ROUND(D26/2,0)</f>
        <v>214</v>
      </c>
      <c r="F26" s="12">
        <f>D26-E26</f>
        <v>213</v>
      </c>
    </row>
    <row r="27" spans="1:6">
      <c r="A27" s="8">
        <v>2</v>
      </c>
      <c r="B27" s="11" t="s">
        <v>49</v>
      </c>
      <c r="C27" s="11"/>
      <c r="D27" s="9"/>
      <c r="E27" s="11"/>
      <c r="F27" s="11"/>
    </row>
    <row r="28" spans="1:6">
      <c r="A28" s="8"/>
      <c r="B28" s="11" t="s">
        <v>10</v>
      </c>
      <c r="C28" s="10">
        <v>1.9599999999999999E-4</v>
      </c>
      <c r="D28" s="12">
        <f>ROUND(D$3*C28,0)</f>
        <v>49</v>
      </c>
      <c r="E28" s="13">
        <f>ROUND(D28/2,0)</f>
        <v>25</v>
      </c>
      <c r="F28" s="12">
        <f>D28-E28</f>
        <v>24</v>
      </c>
    </row>
    <row r="29" spans="1:6">
      <c r="A29" s="8"/>
      <c r="B29" s="11" t="s">
        <v>11</v>
      </c>
      <c r="C29" s="10">
        <v>8.7000000000000001E-5</v>
      </c>
      <c r="D29" s="12">
        <f>ROUND(D$3*C29,0)</f>
        <v>22</v>
      </c>
      <c r="E29" s="13">
        <f>ROUND(D29/2,0)</f>
        <v>11</v>
      </c>
      <c r="F29" s="12">
        <f>D29-E29</f>
        <v>11</v>
      </c>
    </row>
    <row r="30" spans="1:6">
      <c r="A30" s="8">
        <v>2</v>
      </c>
      <c r="B30" s="11" t="s">
        <v>14</v>
      </c>
      <c r="C30" s="11"/>
      <c r="D30" s="9"/>
      <c r="E30" s="11"/>
      <c r="F30" s="11"/>
    </row>
    <row r="31" spans="1:6">
      <c r="A31" s="8"/>
      <c r="B31" s="11" t="s">
        <v>10</v>
      </c>
      <c r="C31" s="10">
        <v>4.9600000000000002E-4</v>
      </c>
      <c r="D31" s="12">
        <f>ROUND(D$3*C31,0)</f>
        <v>125</v>
      </c>
      <c r="E31" s="13">
        <f>ROUND(D31/2,0)</f>
        <v>63</v>
      </c>
      <c r="F31" s="12">
        <f>D31-E31</f>
        <v>62</v>
      </c>
    </row>
    <row r="32" spans="1:6">
      <c r="A32" s="8"/>
      <c r="B32" s="11" t="s">
        <v>11</v>
      </c>
      <c r="C32" s="10">
        <v>1.45E-4</v>
      </c>
      <c r="D32" s="12">
        <f>ROUND(D$3*C32,0)</f>
        <v>36</v>
      </c>
      <c r="E32" s="13">
        <f>ROUND(D32/2,0)</f>
        <v>18</v>
      </c>
      <c r="F32" s="12">
        <f>D32-E32</f>
        <v>18</v>
      </c>
    </row>
    <row r="33" spans="1:6">
      <c r="A33" s="8">
        <v>2</v>
      </c>
      <c r="B33" s="11" t="s">
        <v>114</v>
      </c>
      <c r="C33" s="11"/>
      <c r="D33" s="9"/>
      <c r="E33" s="11"/>
      <c r="F33" s="11"/>
    </row>
    <row r="34" spans="1:6">
      <c r="A34" s="8"/>
      <c r="B34" s="11" t="s">
        <v>10</v>
      </c>
      <c r="C34" s="10">
        <v>2.5509999999999999E-3</v>
      </c>
      <c r="D34" s="12">
        <f>ROUND(D$3*C34,0)</f>
        <v>642</v>
      </c>
      <c r="E34" s="13">
        <f>ROUND(D34/2,0)</f>
        <v>321</v>
      </c>
      <c r="F34" s="12">
        <f>D34-E34</f>
        <v>321</v>
      </c>
    </row>
    <row r="35" spans="1:6">
      <c r="A35" s="8"/>
      <c r="B35" s="11" t="s">
        <v>11</v>
      </c>
      <c r="C35" s="10">
        <v>1.261E-3</v>
      </c>
      <c r="D35" s="12">
        <f>ROUND(D$3*C35,0)</f>
        <v>317</v>
      </c>
      <c r="E35" s="13">
        <f>ROUND(D35/2,0)</f>
        <v>159</v>
      </c>
      <c r="F35" s="12">
        <f>D35-E35</f>
        <v>158</v>
      </c>
    </row>
    <row r="36" spans="1:6">
      <c r="A36" s="8">
        <v>2</v>
      </c>
      <c r="B36" s="11" t="s">
        <v>625</v>
      </c>
      <c r="C36" s="11"/>
      <c r="D36" s="9"/>
      <c r="E36" s="11"/>
      <c r="F36" s="11"/>
    </row>
    <row r="37" spans="1:6">
      <c r="A37" s="8"/>
      <c r="B37" s="11" t="s">
        <v>10</v>
      </c>
      <c r="C37" s="10">
        <v>7.7200000000000001E-4</v>
      </c>
      <c r="D37" s="12">
        <f>ROUND(D$3*C37,0)</f>
        <v>194</v>
      </c>
      <c r="E37" s="13">
        <f>ROUND(D37/2,0)</f>
        <v>97</v>
      </c>
      <c r="F37" s="12">
        <f>D37-E37</f>
        <v>97</v>
      </c>
    </row>
    <row r="38" spans="1:6">
      <c r="A38" s="8"/>
      <c r="B38" s="11" t="s">
        <v>11</v>
      </c>
      <c r="C38" s="10">
        <v>4.0900000000000002E-4</v>
      </c>
      <c r="D38" s="12">
        <f>ROUND(D$3*C38,0)</f>
        <v>103</v>
      </c>
      <c r="E38" s="13">
        <f>ROUND(D38/2,0)</f>
        <v>52</v>
      </c>
      <c r="F38" s="12">
        <f>D38-E38</f>
        <v>51</v>
      </c>
    </row>
    <row r="39" spans="1:6">
      <c r="A39" s="8">
        <v>2</v>
      </c>
      <c r="B39" s="11" t="s">
        <v>377</v>
      </c>
      <c r="C39" s="11"/>
      <c r="D39" s="9"/>
      <c r="E39" s="11"/>
      <c r="F39" s="11"/>
    </row>
    <row r="40" spans="1:6">
      <c r="A40" s="8"/>
      <c r="B40" s="11" t="s">
        <v>10</v>
      </c>
      <c r="C40" s="10">
        <v>3.3300000000000002E-4</v>
      </c>
      <c r="D40" s="12">
        <f>ROUND(D$3*C40,0)</f>
        <v>84</v>
      </c>
      <c r="E40" s="13">
        <f>ROUND(D40/2,0)</f>
        <v>42</v>
      </c>
      <c r="F40" s="12">
        <f>D40-E40</f>
        <v>42</v>
      </c>
    </row>
    <row r="41" spans="1:6">
      <c r="A41" s="8"/>
      <c r="B41" s="11" t="s">
        <v>11</v>
      </c>
      <c r="C41" s="10">
        <v>1.6699999999999999E-4</v>
      </c>
      <c r="D41" s="12">
        <f>ROUND(D$3*C41,0)</f>
        <v>42</v>
      </c>
      <c r="E41" s="13">
        <f>ROUND(D41/2,0)</f>
        <v>21</v>
      </c>
      <c r="F41" s="12">
        <f>D41-E41</f>
        <v>21</v>
      </c>
    </row>
    <row r="42" spans="1:6">
      <c r="A42" s="8">
        <v>2</v>
      </c>
      <c r="B42" s="11" t="s">
        <v>626</v>
      </c>
      <c r="C42" s="11"/>
      <c r="D42" s="9"/>
      <c r="E42" s="11"/>
      <c r="F42" s="11"/>
    </row>
    <row r="43" spans="1:6">
      <c r="A43" s="8"/>
      <c r="B43" s="11" t="s">
        <v>10</v>
      </c>
      <c r="C43" s="10">
        <v>7.025E-3</v>
      </c>
      <c r="D43" s="12">
        <f>ROUND(D$3*C43,0)</f>
        <v>1767</v>
      </c>
      <c r="E43" s="13">
        <f>ROUND(D43/2,0)</f>
        <v>884</v>
      </c>
      <c r="F43" s="12">
        <f>D43-E43</f>
        <v>883</v>
      </c>
    </row>
    <row r="44" spans="1:6">
      <c r="A44" s="8"/>
      <c r="B44" s="11" t="s">
        <v>11</v>
      </c>
      <c r="C44" s="10">
        <v>2.163E-3</v>
      </c>
      <c r="D44" s="12">
        <f>ROUND(D$3*C44,0)</f>
        <v>544</v>
      </c>
      <c r="E44" s="13">
        <f>ROUND(D44/2,0)</f>
        <v>272</v>
      </c>
      <c r="F44" s="12">
        <f>D44-E44</f>
        <v>272</v>
      </c>
    </row>
    <row r="45" spans="1:6">
      <c r="A45" s="8">
        <v>2</v>
      </c>
      <c r="B45" s="11" t="s">
        <v>627</v>
      </c>
      <c r="C45" s="11"/>
      <c r="D45" s="9"/>
      <c r="E45" s="11"/>
      <c r="F45" s="11"/>
    </row>
    <row r="46" spans="1:6">
      <c r="A46" s="8"/>
      <c r="B46" s="11" t="s">
        <v>10</v>
      </c>
      <c r="C46" s="10">
        <v>5.1099999999999995E-4</v>
      </c>
      <c r="D46" s="12">
        <f>ROUND(D$3*C46,0)</f>
        <v>129</v>
      </c>
      <c r="E46" s="13">
        <f>ROUND(D46/2,0)</f>
        <v>65</v>
      </c>
      <c r="F46" s="12">
        <f>D46-E46</f>
        <v>64</v>
      </c>
    </row>
    <row r="47" spans="1:6">
      <c r="A47" s="8"/>
      <c r="B47" s="11" t="s">
        <v>11</v>
      </c>
      <c r="C47" s="10">
        <v>3.19E-4</v>
      </c>
      <c r="D47" s="12">
        <f>ROUND(D$3*C47,0)</f>
        <v>80</v>
      </c>
      <c r="E47" s="13">
        <f>ROUND(D47/2,0)</f>
        <v>40</v>
      </c>
      <c r="F47" s="12">
        <f>D47-E47</f>
        <v>40</v>
      </c>
    </row>
    <row r="48" spans="1:6">
      <c r="A48" s="8">
        <v>2</v>
      </c>
      <c r="B48" s="11" t="s">
        <v>22</v>
      </c>
      <c r="C48" s="11"/>
      <c r="D48" s="9"/>
      <c r="E48" s="11"/>
      <c r="F48" s="11"/>
    </row>
    <row r="49" spans="1:6">
      <c r="A49" s="8"/>
      <c r="B49" s="11" t="s">
        <v>10</v>
      </c>
      <c r="C49" s="10">
        <v>1.5070000000000001E-3</v>
      </c>
      <c r="D49" s="12">
        <f>ROUND(D$3*C49,0)</f>
        <v>379</v>
      </c>
      <c r="E49" s="13">
        <f>ROUND(D49/2,0)</f>
        <v>190</v>
      </c>
      <c r="F49" s="12">
        <f>D49-E49</f>
        <v>189</v>
      </c>
    </row>
    <row r="50" spans="1:6">
      <c r="A50" s="8"/>
      <c r="B50" s="11" t="s">
        <v>11</v>
      </c>
      <c r="C50" s="10">
        <v>2.6800000000000001E-4</v>
      </c>
      <c r="D50" s="12">
        <f>ROUND(D$3*C50,0)</f>
        <v>67</v>
      </c>
      <c r="E50" s="13">
        <f>ROUND(D50/2,0)</f>
        <v>34</v>
      </c>
      <c r="F50" s="12">
        <f>D50-E50</f>
        <v>33</v>
      </c>
    </row>
    <row r="51" spans="1:6">
      <c r="A51" s="8">
        <v>2</v>
      </c>
      <c r="B51" s="11" t="s">
        <v>628</v>
      </c>
      <c r="C51" s="11"/>
      <c r="D51" s="9"/>
      <c r="E51" s="11"/>
      <c r="F51" s="11"/>
    </row>
    <row r="52" spans="1:6">
      <c r="A52" s="8"/>
      <c r="B52" s="11" t="s">
        <v>10</v>
      </c>
      <c r="C52" s="10">
        <v>5.4599999999999996E-3</v>
      </c>
      <c r="D52" s="12">
        <f t="shared" ref="D52:D61" si="0">ROUND(D$3*C52,0)</f>
        <v>1373</v>
      </c>
      <c r="E52" s="13">
        <f t="shared" ref="E52:E61" si="1">ROUND(D52/2,0)</f>
        <v>687</v>
      </c>
      <c r="F52" s="12">
        <f t="shared" ref="F52:F61" si="2">D52-E52</f>
        <v>686</v>
      </c>
    </row>
    <row r="53" spans="1:6">
      <c r="A53" s="8"/>
      <c r="B53" s="11" t="s">
        <v>11</v>
      </c>
      <c r="C53" s="10">
        <v>2.1879999999999998E-3</v>
      </c>
      <c r="D53" s="12">
        <f t="shared" si="0"/>
        <v>550</v>
      </c>
      <c r="E53" s="13">
        <f t="shared" si="1"/>
        <v>275</v>
      </c>
      <c r="F53" s="12">
        <f t="shared" si="2"/>
        <v>275</v>
      </c>
    </row>
    <row r="54" spans="1:6">
      <c r="A54" s="8">
        <v>3</v>
      </c>
      <c r="B54" s="11" t="s">
        <v>629</v>
      </c>
      <c r="C54" s="10">
        <v>4.5030000000000001E-3</v>
      </c>
      <c r="D54" s="12">
        <f t="shared" si="0"/>
        <v>1133</v>
      </c>
      <c r="E54" s="13">
        <f t="shared" si="1"/>
        <v>567</v>
      </c>
      <c r="F54" s="12">
        <f t="shared" si="2"/>
        <v>566</v>
      </c>
    </row>
    <row r="55" spans="1:6">
      <c r="A55" s="8">
        <v>3</v>
      </c>
      <c r="B55" s="11" t="s">
        <v>630</v>
      </c>
      <c r="C55" s="10">
        <v>5.1190000000000003E-3</v>
      </c>
      <c r="D55" s="12">
        <f t="shared" si="0"/>
        <v>1288</v>
      </c>
      <c r="E55" s="13">
        <f t="shared" si="1"/>
        <v>644</v>
      </c>
      <c r="F55" s="12">
        <f t="shared" si="2"/>
        <v>644</v>
      </c>
    </row>
    <row r="56" spans="1:6">
      <c r="A56" s="8">
        <v>3</v>
      </c>
      <c r="B56" s="11" t="s">
        <v>631</v>
      </c>
      <c r="C56" s="10">
        <v>2.8975999999999998E-2</v>
      </c>
      <c r="D56" s="12">
        <f t="shared" si="0"/>
        <v>7289</v>
      </c>
      <c r="E56" s="13">
        <f t="shared" si="1"/>
        <v>3645</v>
      </c>
      <c r="F56" s="12">
        <f t="shared" si="2"/>
        <v>3644</v>
      </c>
    </row>
    <row r="57" spans="1:6">
      <c r="A57" s="8">
        <v>3</v>
      </c>
      <c r="B57" s="11" t="s">
        <v>632</v>
      </c>
      <c r="C57" s="10">
        <v>1.699E-3</v>
      </c>
      <c r="D57" s="12">
        <f t="shared" si="0"/>
        <v>427</v>
      </c>
      <c r="E57" s="13">
        <f t="shared" si="1"/>
        <v>214</v>
      </c>
      <c r="F57" s="12">
        <f t="shared" si="2"/>
        <v>213</v>
      </c>
    </row>
    <row r="58" spans="1:6">
      <c r="A58" s="8">
        <v>3</v>
      </c>
      <c r="B58" s="11" t="s">
        <v>633</v>
      </c>
      <c r="C58" s="10">
        <v>8.9499999999999996E-4</v>
      </c>
      <c r="D58" s="12">
        <f t="shared" si="0"/>
        <v>225</v>
      </c>
      <c r="E58" s="13">
        <f t="shared" si="1"/>
        <v>113</v>
      </c>
      <c r="F58" s="12">
        <f t="shared" si="2"/>
        <v>112</v>
      </c>
    </row>
    <row r="59" spans="1:6">
      <c r="A59" s="8">
        <v>3</v>
      </c>
      <c r="B59" s="11" t="s">
        <v>634</v>
      </c>
      <c r="C59" s="10">
        <v>6.9999999999999999E-6</v>
      </c>
      <c r="D59" s="12">
        <f t="shared" si="0"/>
        <v>2</v>
      </c>
      <c r="E59" s="13">
        <f t="shared" si="1"/>
        <v>1</v>
      </c>
      <c r="F59" s="12">
        <f t="shared" si="2"/>
        <v>1</v>
      </c>
    </row>
    <row r="60" spans="1:6">
      <c r="A60" s="8">
        <v>3</v>
      </c>
      <c r="B60" s="11" t="s">
        <v>635</v>
      </c>
      <c r="C60" s="10">
        <v>2.8579999999999999E-3</v>
      </c>
      <c r="D60" s="12">
        <f t="shared" si="0"/>
        <v>719</v>
      </c>
      <c r="E60" s="13">
        <f t="shared" si="1"/>
        <v>360</v>
      </c>
      <c r="F60" s="12">
        <f t="shared" si="2"/>
        <v>359</v>
      </c>
    </row>
    <row r="61" spans="1:6">
      <c r="A61" s="8">
        <v>4</v>
      </c>
      <c r="B61" s="11" t="s">
        <v>636</v>
      </c>
      <c r="C61" s="10">
        <v>0.161467</v>
      </c>
      <c r="D61" s="9">
        <f t="shared" si="0"/>
        <v>40618</v>
      </c>
      <c r="E61" s="11">
        <f t="shared" si="1"/>
        <v>20309</v>
      </c>
      <c r="F61" s="9">
        <f t="shared" si="2"/>
        <v>20309</v>
      </c>
    </row>
    <row r="62" spans="1:6">
      <c r="A62" s="8"/>
      <c r="B62" s="11" t="s">
        <v>28</v>
      </c>
      <c r="C62" s="11"/>
      <c r="D62" s="14">
        <v>0.38264199999999998</v>
      </c>
      <c r="E62" s="11"/>
      <c r="F62" s="11"/>
    </row>
    <row r="63" spans="1:6">
      <c r="A63" s="8"/>
      <c r="B63" s="11" t="s">
        <v>29</v>
      </c>
      <c r="C63" s="11"/>
      <c r="D63" s="225">
        <f>ROUND(D61*D62,0)</f>
        <v>15542</v>
      </c>
      <c r="E63" s="226">
        <f>ROUND(D63/2,0)</f>
        <v>7771</v>
      </c>
      <c r="F63" s="225">
        <f>D63-E63</f>
        <v>7771</v>
      </c>
    </row>
    <row r="64" spans="1:6">
      <c r="A64" s="8"/>
      <c r="B64" s="11" t="s">
        <v>30</v>
      </c>
      <c r="C64" s="11"/>
      <c r="D64" s="12">
        <f>+D61-D63</f>
        <v>25076</v>
      </c>
      <c r="E64" s="13">
        <f>ROUND(D64/2,0)</f>
        <v>12538</v>
      </c>
      <c r="F64" s="12">
        <f>D64-E64</f>
        <v>12538</v>
      </c>
    </row>
    <row r="65" spans="1:6">
      <c r="A65" s="8">
        <v>4</v>
      </c>
      <c r="B65" s="11" t="s">
        <v>637</v>
      </c>
      <c r="C65" s="10">
        <v>7.9298999999999994E-2</v>
      </c>
      <c r="D65" s="9">
        <f>ROUND(D$3*C65,0)</f>
        <v>19948</v>
      </c>
      <c r="E65" s="11">
        <f>ROUND(D65/2,0)</f>
        <v>9974</v>
      </c>
      <c r="F65" s="9">
        <f>D65-E65</f>
        <v>9974</v>
      </c>
    </row>
    <row r="66" spans="1:6">
      <c r="A66" s="8"/>
      <c r="B66" s="11" t="s">
        <v>28</v>
      </c>
      <c r="C66" s="11"/>
      <c r="D66" s="14">
        <v>0.31083100000000002</v>
      </c>
      <c r="E66" s="11"/>
      <c r="F66" s="11"/>
    </row>
    <row r="67" spans="1:6">
      <c r="A67" s="8"/>
      <c r="B67" s="11" t="s">
        <v>29</v>
      </c>
      <c r="C67" s="11"/>
      <c r="D67" s="225">
        <f>ROUND(D65*D66,0)</f>
        <v>6200</v>
      </c>
      <c r="E67" s="226">
        <f>ROUND(D67/2,0)</f>
        <v>3100</v>
      </c>
      <c r="F67" s="225">
        <f>D67-E67</f>
        <v>3100</v>
      </c>
    </row>
    <row r="68" spans="1:6">
      <c r="A68" s="8"/>
      <c r="B68" s="11" t="s">
        <v>30</v>
      </c>
      <c r="C68" s="11"/>
      <c r="D68" s="12">
        <f>+D65-D67</f>
        <v>13748</v>
      </c>
      <c r="E68" s="13">
        <f>ROUND(D68/2,0)</f>
        <v>6874</v>
      </c>
      <c r="F68" s="12">
        <f>D68-E68</f>
        <v>6874</v>
      </c>
    </row>
    <row r="69" spans="1:6">
      <c r="A69" s="8">
        <v>4</v>
      </c>
      <c r="B69" s="11" t="s">
        <v>638</v>
      </c>
      <c r="C69" s="10">
        <v>0.158884</v>
      </c>
      <c r="D69" s="9">
        <f>ROUND(D$3*C69,0)</f>
        <v>39968</v>
      </c>
      <c r="E69" s="11">
        <f>ROUND(D69/2,0)</f>
        <v>19984</v>
      </c>
      <c r="F69" s="9">
        <f>D69-E69</f>
        <v>19984</v>
      </c>
    </row>
    <row r="70" spans="1:6">
      <c r="A70" s="8"/>
      <c r="B70" s="11" t="s">
        <v>28</v>
      </c>
      <c r="C70" s="11"/>
      <c r="D70" s="14">
        <v>0.37047000000000002</v>
      </c>
      <c r="E70" s="11"/>
      <c r="F70" s="11"/>
    </row>
    <row r="71" spans="1:6">
      <c r="A71" s="8" t="s">
        <v>590</v>
      </c>
      <c r="B71" s="11" t="s">
        <v>29</v>
      </c>
      <c r="C71" s="11"/>
      <c r="D71" s="225">
        <f>ROUND(D69*D70,0)</f>
        <v>14807</v>
      </c>
      <c r="E71" s="226">
        <f>ROUND(D71/2,0)</f>
        <v>7404</v>
      </c>
      <c r="F71" s="225">
        <f>D71-E71</f>
        <v>7403</v>
      </c>
    </row>
    <row r="72" spans="1:6">
      <c r="A72" s="8"/>
      <c r="B72" s="11" t="s">
        <v>30</v>
      </c>
      <c r="C72" s="11"/>
      <c r="D72" s="12">
        <f>+D69-D71</f>
        <v>25161</v>
      </c>
      <c r="E72" s="13">
        <f>ROUND(D72/2,0)</f>
        <v>12581</v>
      </c>
      <c r="F72" s="12">
        <f>D72-E72</f>
        <v>12580</v>
      </c>
    </row>
    <row r="73" spans="1:6">
      <c r="A73" s="8">
        <v>4</v>
      </c>
      <c r="B73" s="11" t="s">
        <v>262</v>
      </c>
      <c r="C73" s="10">
        <v>5.3384000000000001E-2</v>
      </c>
      <c r="D73" s="9">
        <f>ROUND(D$3*C73,0)</f>
        <v>13429</v>
      </c>
      <c r="E73" s="11">
        <f>ROUND(D73/2,0)</f>
        <v>6715</v>
      </c>
      <c r="F73" s="9">
        <f>D73-E73</f>
        <v>6714</v>
      </c>
    </row>
    <row r="74" spans="1:6">
      <c r="A74" s="8"/>
      <c r="B74" s="11" t="s">
        <v>28</v>
      </c>
      <c r="C74" s="11"/>
      <c r="D74" s="14">
        <v>0.38742599999999999</v>
      </c>
      <c r="E74" s="11"/>
      <c r="F74" s="11"/>
    </row>
    <row r="75" spans="1:6">
      <c r="A75" s="8"/>
      <c r="B75" s="11" t="s">
        <v>29</v>
      </c>
      <c r="C75" s="11"/>
      <c r="D75" s="225">
        <f>ROUND(D73*D74,0)</f>
        <v>5203</v>
      </c>
      <c r="E75" s="226">
        <f>ROUND(D75/2,0)</f>
        <v>2602</v>
      </c>
      <c r="F75" s="225">
        <f>D75-E75</f>
        <v>2601</v>
      </c>
    </row>
    <row r="76" spans="1:6">
      <c r="A76" s="8"/>
      <c r="B76" s="11" t="s">
        <v>30</v>
      </c>
      <c r="C76" s="11"/>
      <c r="D76" s="12">
        <f>+D73-D75</f>
        <v>8226</v>
      </c>
      <c r="E76" s="13">
        <f>ROUND(D76/2,0)</f>
        <v>4113</v>
      </c>
      <c r="F76" s="12">
        <f>D76-E76</f>
        <v>4113</v>
      </c>
    </row>
    <row r="77" spans="1:6">
      <c r="A77" s="8">
        <v>4</v>
      </c>
      <c r="B77" s="11" t="s">
        <v>639</v>
      </c>
      <c r="C77" s="10">
        <v>0.19684199999999999</v>
      </c>
      <c r="D77" s="9">
        <f>ROUND(D$3*C77,0)</f>
        <v>49517</v>
      </c>
      <c r="E77" s="11">
        <f>ROUND(D77/2,0)</f>
        <v>24759</v>
      </c>
      <c r="F77" s="9">
        <f>D77-E77</f>
        <v>24758</v>
      </c>
    </row>
    <row r="78" spans="1:6">
      <c r="A78" s="8"/>
      <c r="B78" s="11" t="s">
        <v>28</v>
      </c>
      <c r="C78" s="11"/>
      <c r="D78" s="14">
        <v>0.50756800000000002</v>
      </c>
      <c r="E78" s="11"/>
      <c r="F78" s="11"/>
    </row>
    <row r="79" spans="1:6">
      <c r="A79" s="8"/>
      <c r="B79" s="11" t="s">
        <v>29</v>
      </c>
      <c r="C79" s="11"/>
      <c r="D79" s="225">
        <f>ROUND(D77*D78,0)</f>
        <v>25133</v>
      </c>
      <c r="E79" s="226">
        <f t="shared" ref="E79:E85" si="3">ROUND(D79/2,0)</f>
        <v>12567</v>
      </c>
      <c r="F79" s="225">
        <f t="shared" ref="F79:F85" si="4">D79-E79</f>
        <v>12566</v>
      </c>
    </row>
    <row r="80" spans="1:6">
      <c r="A80" s="8"/>
      <c r="B80" s="11" t="s">
        <v>30</v>
      </c>
      <c r="C80" s="11"/>
      <c r="D80" s="12">
        <f>+D77-D79</f>
        <v>24384</v>
      </c>
      <c r="E80" s="13">
        <f t="shared" si="3"/>
        <v>12192</v>
      </c>
      <c r="F80" s="12">
        <f t="shared" si="4"/>
        <v>12192</v>
      </c>
    </row>
    <row r="81" spans="1:8">
      <c r="A81" s="8">
        <v>5</v>
      </c>
      <c r="B81" s="11" t="s">
        <v>640</v>
      </c>
      <c r="C81" s="10">
        <v>1.4369E-2</v>
      </c>
      <c r="D81" s="12">
        <f>ROUND(D$3*C81,0)</f>
        <v>3615</v>
      </c>
      <c r="E81" s="13">
        <f t="shared" si="3"/>
        <v>1808</v>
      </c>
      <c r="F81" s="12">
        <f t="shared" si="4"/>
        <v>1807</v>
      </c>
    </row>
    <row r="82" spans="1:8">
      <c r="A82" s="8">
        <v>5</v>
      </c>
      <c r="B82" s="11" t="s">
        <v>641</v>
      </c>
      <c r="C82" s="10">
        <v>5.1099999999999995E-4</v>
      </c>
      <c r="D82" s="12">
        <f>ROUND(D$3*C82,0)</f>
        <v>129</v>
      </c>
      <c r="E82" s="13">
        <f t="shared" si="3"/>
        <v>65</v>
      </c>
      <c r="F82" s="12">
        <f t="shared" si="4"/>
        <v>64</v>
      </c>
    </row>
    <row r="83" spans="1:8">
      <c r="A83" s="8">
        <v>5</v>
      </c>
      <c r="B83" s="11" t="s">
        <v>642</v>
      </c>
      <c r="C83" s="10">
        <v>5.7970000000000001E-3</v>
      </c>
      <c r="D83" s="12">
        <f>ROUND(D$3*C83,0)</f>
        <v>1458</v>
      </c>
      <c r="E83" s="13">
        <f t="shared" si="3"/>
        <v>729</v>
      </c>
      <c r="F83" s="12">
        <f t="shared" si="4"/>
        <v>729</v>
      </c>
    </row>
    <row r="84" spans="1:8">
      <c r="A84" s="8">
        <v>5</v>
      </c>
      <c r="B84" s="11" t="s">
        <v>643</v>
      </c>
      <c r="C84" s="10">
        <v>7.0199999999998042E-4</v>
      </c>
      <c r="D84" s="12">
        <f>+D3-SUM(D4:D5)-SUM(D10:D61)-D65-D69-D73-D77-SUM(D81:D83)</f>
        <v>177</v>
      </c>
      <c r="E84" s="13">
        <f t="shared" si="3"/>
        <v>89</v>
      </c>
      <c r="F84" s="12">
        <f t="shared" si="4"/>
        <v>88</v>
      </c>
    </row>
    <row r="85" spans="1:8">
      <c r="A85" s="8">
        <v>6</v>
      </c>
      <c r="B85" s="11" t="s">
        <v>644</v>
      </c>
      <c r="C85" s="10">
        <v>0</v>
      </c>
      <c r="D85" s="12">
        <f>ROUND(D$3*C85,0)</f>
        <v>0</v>
      </c>
      <c r="E85" s="13">
        <f t="shared" si="3"/>
        <v>0</v>
      </c>
      <c r="F85" s="12">
        <f t="shared" si="4"/>
        <v>0</v>
      </c>
    </row>
    <row r="86" spans="1:8">
      <c r="A86" s="8"/>
      <c r="B86" s="28" t="s">
        <v>288</v>
      </c>
      <c r="C86" s="10">
        <v>1</v>
      </c>
      <c r="D86" s="12">
        <f>+D4+SUM(D7:D60)+SUM(D63:D64)+SUM(D67:D68)+SUM(D71:D72)+SUM(D75:D76)+SUM(D79:D85)</f>
        <v>251555</v>
      </c>
      <c r="E86" s="12">
        <f>+E4+SUM(E7:E60)+SUM(E63:E64)+SUM(E67:E68)+SUM(E71:E72)+SUM(E75:E76)+SUM(E79:E85)</f>
        <v>125793</v>
      </c>
      <c r="F86" s="12">
        <f>+F4+SUM(F7:F60)+SUM(F63:F64)+SUM(F67:F68)+SUM(F71:F72)+SUM(F75:F76)+SUM(F79:F85)</f>
        <v>125762</v>
      </c>
    </row>
    <row r="87" spans="1:8">
      <c r="B87" s="18" t="s">
        <v>38</v>
      </c>
      <c r="D87" s="19">
        <f>+D4</f>
        <v>280</v>
      </c>
      <c r="E87" s="19">
        <f>+E4</f>
        <v>140</v>
      </c>
      <c r="F87" s="19">
        <f>+F4</f>
        <v>140</v>
      </c>
    </row>
    <row r="88" spans="1:8">
      <c r="B88" s="2" t="s">
        <v>39</v>
      </c>
      <c r="D88" s="19">
        <f>+D7</f>
        <v>15452</v>
      </c>
      <c r="E88" s="19">
        <f>+E7</f>
        <v>7726</v>
      </c>
      <c r="F88" s="19">
        <f>+F7</f>
        <v>7726</v>
      </c>
    </row>
    <row r="89" spans="1:8">
      <c r="B89" s="2" t="s">
        <v>40</v>
      </c>
      <c r="D89" s="19">
        <f>+D63+D67+D71+D75+D79</f>
        <v>66885</v>
      </c>
      <c r="E89" s="19">
        <f>+E63+E67+E71+E75+E79</f>
        <v>33444</v>
      </c>
      <c r="F89" s="19">
        <f>+F63+F67+F71+F75+F79</f>
        <v>33441</v>
      </c>
      <c r="H89" s="3">
        <v>1</v>
      </c>
    </row>
    <row r="90" spans="1:8">
      <c r="B90" s="18" t="s">
        <v>41</v>
      </c>
      <c r="D90" s="19">
        <f>+D86-D87-D88-D89</f>
        <v>168938</v>
      </c>
      <c r="E90" s="19">
        <f>+E86-E87-E88-E89</f>
        <v>84483</v>
      </c>
      <c r="F90" s="19">
        <f>+F86-F87-F88-F89</f>
        <v>84455</v>
      </c>
      <c r="H90" s="3">
        <v>2</v>
      </c>
    </row>
    <row r="92" spans="1:8" hidden="1">
      <c r="B92" s="3" t="s">
        <v>42</v>
      </c>
      <c r="C92" s="4">
        <v>-1.0000000000195399E-6</v>
      </c>
      <c r="D92" s="3">
        <f>+D84-ROUND(D3*C84,0)</f>
        <v>0</v>
      </c>
    </row>
  </sheetData>
  <pageMargins left="0.7" right="0.7" top="0.75" bottom="0.75" header="0.3" footer="0.3"/>
  <pageSetup scale="5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5"/>
  <sheetViews>
    <sheetView zoomScale="160" zoomScaleNormal="160" workbookViewId="0">
      <selection activeCell="O42" sqref="O42"/>
    </sheetView>
  </sheetViews>
  <sheetFormatPr defaultColWidth="0" defaultRowHeight="15"/>
  <cols>
    <col min="1" max="1" width="20.42578125" bestFit="1" customWidth="1"/>
    <col min="2" max="2" width="6.28515625" bestFit="1" customWidth="1"/>
    <col min="3" max="3" width="8.42578125" bestFit="1" customWidth="1"/>
    <col min="4" max="4" width="8.140625" bestFit="1" customWidth="1"/>
    <col min="5" max="5" width="5.140625" bestFit="1" customWidth="1"/>
    <col min="6" max="6" width="7" bestFit="1" customWidth="1"/>
    <col min="7" max="7" width="15.140625" style="46" bestFit="1" customWidth="1"/>
    <col min="8" max="8" width="9.140625" customWidth="1"/>
    <col min="9" max="9" width="9.140625" hidden="1" customWidth="1"/>
    <col min="10" max="10" width="14.28515625" hidden="1" customWidth="1"/>
    <col min="11" max="16384" width="9.140625" hidden="1"/>
  </cols>
  <sheetData>
    <row r="1" spans="1:10" ht="16.5" thickTop="1" thickBot="1">
      <c r="A1" s="111" t="s">
        <v>1992</v>
      </c>
      <c r="B1" t="s">
        <v>2061</v>
      </c>
      <c r="E1" s="112"/>
      <c r="F1" s="112"/>
      <c r="G1" s="46">
        <v>-66698220.93</v>
      </c>
    </row>
    <row r="2" spans="1:10" ht="16.5" thickTop="1" thickBot="1">
      <c r="A2" s="111" t="s">
        <v>3</v>
      </c>
      <c r="B2" s="111" t="s">
        <v>1993</v>
      </c>
      <c r="C2" s="111" t="s">
        <v>1994</v>
      </c>
      <c r="D2" s="111" t="s">
        <v>1995</v>
      </c>
      <c r="E2" s="111" t="s">
        <v>1996</v>
      </c>
      <c r="F2" s="111" t="s">
        <v>1997</v>
      </c>
      <c r="G2" s="150" t="s">
        <v>1998</v>
      </c>
    </row>
    <row r="3" spans="1:10" ht="15.75" thickTop="1">
      <c r="A3" t="s">
        <v>1999</v>
      </c>
      <c r="B3" t="s">
        <v>2000</v>
      </c>
      <c r="C3" t="s">
        <v>2001</v>
      </c>
      <c r="D3" t="s">
        <v>2081</v>
      </c>
      <c r="E3" s="112">
        <v>2024</v>
      </c>
      <c r="F3" s="112">
        <v>7</v>
      </c>
      <c r="G3" s="46">
        <v>-5624064.0899999999</v>
      </c>
      <c r="J3" s="47"/>
    </row>
    <row r="4" spans="1:10">
      <c r="A4" t="s">
        <v>1999</v>
      </c>
      <c r="B4" t="s">
        <v>2000</v>
      </c>
      <c r="C4" t="s">
        <v>2001</v>
      </c>
      <c r="D4" t="s">
        <v>2081</v>
      </c>
      <c r="E4" s="112">
        <v>2024</v>
      </c>
      <c r="F4" s="112">
        <v>8</v>
      </c>
      <c r="G4" s="46">
        <v>-10083450.4</v>
      </c>
      <c r="J4" s="47"/>
    </row>
    <row r="5" spans="1:10">
      <c r="A5" t="s">
        <v>1999</v>
      </c>
      <c r="B5" t="s">
        <v>2000</v>
      </c>
      <c r="C5" t="s">
        <v>2001</v>
      </c>
      <c r="D5" t="s">
        <v>2081</v>
      </c>
      <c r="E5" s="112">
        <v>2024</v>
      </c>
      <c r="F5" s="112">
        <v>9</v>
      </c>
      <c r="G5" s="46">
        <v>-11197953.279999999</v>
      </c>
      <c r="J5" s="47"/>
    </row>
    <row r="6" spans="1:10">
      <c r="A6" t="s">
        <v>1999</v>
      </c>
      <c r="B6" t="s">
        <v>2000</v>
      </c>
      <c r="C6" t="s">
        <v>2001</v>
      </c>
      <c r="D6" t="s">
        <v>2081</v>
      </c>
      <c r="E6" s="112">
        <v>2024</v>
      </c>
      <c r="F6" s="112">
        <v>10</v>
      </c>
      <c r="G6" s="46">
        <v>-9007222.0700000003</v>
      </c>
      <c r="J6" s="47"/>
    </row>
    <row r="7" spans="1:10">
      <c r="A7" t="s">
        <v>1999</v>
      </c>
      <c r="B7" t="s">
        <v>2000</v>
      </c>
      <c r="C7" t="s">
        <v>2001</v>
      </c>
      <c r="D7" t="s">
        <v>2081</v>
      </c>
      <c r="E7" s="112">
        <v>2024</v>
      </c>
      <c r="F7" s="112">
        <v>11</v>
      </c>
      <c r="G7" s="46">
        <v>-4924682.7699999996</v>
      </c>
      <c r="J7" s="47"/>
    </row>
    <row r="8" spans="1:10">
      <c r="A8" t="s">
        <v>1999</v>
      </c>
      <c r="B8" t="s">
        <v>2000</v>
      </c>
      <c r="C8" t="s">
        <v>2001</v>
      </c>
      <c r="D8" t="s">
        <v>2081</v>
      </c>
      <c r="E8" s="112">
        <v>2024</v>
      </c>
      <c r="F8" s="112">
        <v>12</v>
      </c>
      <c r="G8" s="46">
        <v>-4427834.4800000004</v>
      </c>
      <c r="J8" s="47"/>
    </row>
    <row r="9" spans="1:10">
      <c r="A9" t="s">
        <v>1999</v>
      </c>
      <c r="B9" t="s">
        <v>2000</v>
      </c>
      <c r="C9" t="s">
        <v>2001</v>
      </c>
      <c r="D9" t="s">
        <v>2083</v>
      </c>
      <c r="E9" s="112">
        <v>2025</v>
      </c>
      <c r="F9" s="112">
        <v>1</v>
      </c>
      <c r="G9" s="46">
        <v>-3034413.64</v>
      </c>
      <c r="J9" s="47"/>
    </row>
    <row r="10" spans="1:10">
      <c r="A10" t="s">
        <v>1999</v>
      </c>
      <c r="B10" t="s">
        <v>2000</v>
      </c>
      <c r="C10" t="s">
        <v>2001</v>
      </c>
      <c r="D10" t="s">
        <v>2083</v>
      </c>
      <c r="E10" s="112">
        <v>2025</v>
      </c>
      <c r="F10" s="112">
        <v>2</v>
      </c>
      <c r="G10" s="46">
        <v>-3555866.73</v>
      </c>
      <c r="J10" s="47"/>
    </row>
    <row r="11" spans="1:10">
      <c r="A11" t="s">
        <v>1999</v>
      </c>
      <c r="B11" t="s">
        <v>2000</v>
      </c>
      <c r="C11" t="s">
        <v>2001</v>
      </c>
      <c r="D11" t="s">
        <v>2083</v>
      </c>
      <c r="E11" s="112">
        <v>2025</v>
      </c>
      <c r="F11" s="112">
        <v>3</v>
      </c>
      <c r="G11" s="46">
        <v>-3306962.94</v>
      </c>
      <c r="J11" s="47"/>
    </row>
    <row r="12" spans="1:10">
      <c r="A12" t="s">
        <v>1999</v>
      </c>
      <c r="B12" t="s">
        <v>2000</v>
      </c>
      <c r="C12" t="s">
        <v>2001</v>
      </c>
      <c r="D12" t="s">
        <v>2083</v>
      </c>
      <c r="E12" s="112">
        <v>2025</v>
      </c>
      <c r="F12" s="112">
        <v>4</v>
      </c>
      <c r="G12" s="46">
        <v>-4460329.74</v>
      </c>
      <c r="J12" s="47"/>
    </row>
    <row r="13" spans="1:10">
      <c r="A13" t="s">
        <v>1999</v>
      </c>
      <c r="B13" t="s">
        <v>2000</v>
      </c>
      <c r="C13" t="s">
        <v>2001</v>
      </c>
      <c r="D13" t="s">
        <v>2083</v>
      </c>
      <c r="E13" s="112">
        <v>2025</v>
      </c>
      <c r="F13" s="112">
        <v>5</v>
      </c>
      <c r="G13" s="46">
        <v>-2862257.85</v>
      </c>
      <c r="J13" s="47"/>
    </row>
    <row r="14" spans="1:10">
      <c r="A14" t="s">
        <v>1999</v>
      </c>
      <c r="B14" t="s">
        <v>2000</v>
      </c>
      <c r="C14" t="s">
        <v>2001</v>
      </c>
      <c r="D14" t="s">
        <v>2083</v>
      </c>
      <c r="E14" s="112">
        <v>2025</v>
      </c>
      <c r="F14" s="112">
        <v>6</v>
      </c>
      <c r="G14" s="46">
        <v>-4213182.9400000004</v>
      </c>
      <c r="J14" s="47"/>
    </row>
    <row r="15" spans="1:10">
      <c r="G15" s="56"/>
      <c r="J15" s="47"/>
    </row>
    <row r="16" spans="1:10">
      <c r="G16" s="56"/>
      <c r="J16" s="47"/>
    </row>
    <row r="19" spans="2:10">
      <c r="J19" s="47"/>
    </row>
    <row r="25" spans="2:10">
      <c r="B25" s="57"/>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pageSetUpPr fitToPage="1"/>
  </sheetPr>
  <dimension ref="A1:WVB79"/>
  <sheetViews>
    <sheetView topLeftCell="A45" zoomScaleNormal="100" zoomScaleSheetLayoutView="90" workbookViewId="0">
      <selection activeCell="D66" activeCellId="6" sqref="D7:F7 D46:F46 D50:F50 D54:F54 D58:F58 D62:F62 D66:F66"/>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5.140625" style="3" hidden="1"/>
    <col min="190" max="246" width="9.140625" style="3" hidden="1"/>
    <col min="247" max="247" width="16.28515625" style="3" hidden="1"/>
    <col min="248" max="248" width="17.5703125" style="3" hidden="1"/>
    <col min="249" max="249" width="16" style="3" hidden="1"/>
    <col min="250" max="250" width="18.140625" style="3" hidden="1"/>
    <col min="251" max="443" width="9.140625" style="3" hidden="1"/>
    <col min="444" max="444" width="11" style="3" hidden="1"/>
    <col min="445" max="445" width="55.140625" style="3" hidden="1"/>
    <col min="446" max="502" width="9.140625" style="3" hidden="1"/>
    <col min="503" max="503" width="16.28515625" style="3" hidden="1"/>
    <col min="504" max="504" width="17.5703125" style="3" hidden="1"/>
    <col min="505" max="505" width="16" style="3" hidden="1"/>
    <col min="506" max="506" width="18.140625" style="3" hidden="1"/>
    <col min="507" max="699" width="9.140625" style="3" hidden="1"/>
    <col min="700" max="700" width="11" style="3" hidden="1"/>
    <col min="701" max="701" width="55.140625" style="3" hidden="1"/>
    <col min="702" max="758" width="9.140625" style="3" hidden="1"/>
    <col min="759" max="759" width="16.28515625" style="3" hidden="1"/>
    <col min="760" max="760" width="17.5703125" style="3" hidden="1"/>
    <col min="761" max="761" width="16" style="3" hidden="1"/>
    <col min="762" max="762" width="18.140625" style="3" hidden="1"/>
    <col min="763" max="955" width="9.140625" style="3" hidden="1"/>
    <col min="956" max="956" width="11" style="3" hidden="1"/>
    <col min="957" max="957" width="55.140625" style="3" hidden="1"/>
    <col min="958" max="1014" width="9.140625" style="3" hidden="1"/>
    <col min="1015" max="1015" width="16.28515625" style="3" hidden="1"/>
    <col min="1016" max="1016" width="17.5703125" style="3" hidden="1"/>
    <col min="1017" max="1017" width="16" style="3" hidden="1"/>
    <col min="1018" max="1018" width="18.140625" style="3" hidden="1"/>
    <col min="1019" max="1211" width="9.140625" style="3" hidden="1"/>
    <col min="1212" max="1212" width="11" style="3" hidden="1"/>
    <col min="1213" max="1213" width="55.140625" style="3" hidden="1"/>
    <col min="1214" max="1270" width="9.140625" style="3" hidden="1"/>
    <col min="1271" max="1271" width="16.28515625" style="3" hidden="1"/>
    <col min="1272" max="1272" width="17.5703125" style="3" hidden="1"/>
    <col min="1273" max="1273" width="16" style="3" hidden="1"/>
    <col min="1274" max="1274" width="18.140625" style="3" hidden="1"/>
    <col min="1275" max="1467" width="9.140625" style="3" hidden="1"/>
    <col min="1468" max="1468" width="11" style="3" hidden="1"/>
    <col min="1469" max="1469" width="55.140625" style="3" hidden="1"/>
    <col min="1470" max="1526" width="9.140625" style="3" hidden="1"/>
    <col min="1527" max="1527" width="16.28515625" style="3" hidden="1"/>
    <col min="1528" max="1528" width="17.5703125" style="3" hidden="1"/>
    <col min="1529" max="1529" width="16" style="3" hidden="1"/>
    <col min="1530" max="1530" width="18.140625" style="3" hidden="1"/>
    <col min="1531" max="1723" width="9.140625" style="3" hidden="1"/>
    <col min="1724" max="1724" width="11" style="3" hidden="1"/>
    <col min="1725" max="1725" width="55.140625" style="3" hidden="1"/>
    <col min="1726" max="1782" width="9.140625" style="3" hidden="1"/>
    <col min="1783" max="1783" width="16.28515625" style="3" hidden="1"/>
    <col min="1784" max="1784" width="17.5703125" style="3" hidden="1"/>
    <col min="1785" max="1785" width="16" style="3" hidden="1"/>
    <col min="1786" max="1786" width="18.140625" style="3" hidden="1"/>
    <col min="1787" max="1979" width="9.140625" style="3" hidden="1"/>
    <col min="1980" max="1980" width="11" style="3" hidden="1"/>
    <col min="1981" max="1981" width="55.140625" style="3" hidden="1"/>
    <col min="1982" max="2038" width="9.140625" style="3" hidden="1"/>
    <col min="2039" max="2039" width="16.28515625" style="3" hidden="1"/>
    <col min="2040" max="2040" width="17.5703125" style="3" hidden="1"/>
    <col min="2041" max="2041" width="16" style="3" hidden="1"/>
    <col min="2042" max="2042" width="18.140625" style="3" hidden="1"/>
    <col min="2043" max="2235" width="9.140625" style="3" hidden="1"/>
    <col min="2236" max="2236" width="11" style="3" hidden="1"/>
    <col min="2237" max="2237" width="55.140625" style="3" hidden="1"/>
    <col min="2238" max="2294" width="9.140625" style="3" hidden="1"/>
    <col min="2295" max="2295" width="16.28515625" style="3" hidden="1"/>
    <col min="2296" max="2296" width="17.5703125" style="3" hidden="1"/>
    <col min="2297" max="2297" width="16" style="3" hidden="1"/>
    <col min="2298" max="2298" width="18.140625" style="3" hidden="1"/>
    <col min="2299" max="2491" width="9.140625" style="3" hidden="1"/>
    <col min="2492" max="2492" width="11" style="3" hidden="1"/>
    <col min="2493" max="2493" width="55.140625" style="3" hidden="1"/>
    <col min="2494" max="2550" width="9.140625" style="3" hidden="1"/>
    <col min="2551" max="2551" width="16.28515625" style="3" hidden="1"/>
    <col min="2552" max="2552" width="17.5703125" style="3" hidden="1"/>
    <col min="2553" max="2553" width="16" style="3" hidden="1"/>
    <col min="2554" max="2554" width="18.140625" style="3" hidden="1"/>
    <col min="2555" max="2747" width="9.140625" style="3" hidden="1"/>
    <col min="2748" max="2748" width="11" style="3" hidden="1"/>
    <col min="2749" max="2749" width="55.140625" style="3" hidden="1"/>
    <col min="2750" max="2806" width="9.140625" style="3" hidden="1"/>
    <col min="2807" max="2807" width="16.28515625" style="3" hidden="1"/>
    <col min="2808" max="2808" width="17.5703125" style="3" hidden="1"/>
    <col min="2809" max="2809" width="16" style="3" hidden="1"/>
    <col min="2810" max="2810" width="18.140625" style="3" hidden="1"/>
    <col min="2811" max="3003" width="9.140625" style="3" hidden="1"/>
    <col min="3004" max="3004" width="11" style="3" hidden="1"/>
    <col min="3005" max="3005" width="55.140625" style="3" hidden="1"/>
    <col min="3006" max="3062" width="9.140625" style="3" hidden="1"/>
    <col min="3063" max="3063" width="16.28515625" style="3" hidden="1"/>
    <col min="3064" max="3064" width="17.5703125" style="3" hidden="1"/>
    <col min="3065" max="3065" width="16" style="3" hidden="1"/>
    <col min="3066" max="3066" width="18.140625" style="3" hidden="1"/>
    <col min="3067" max="3259" width="9.140625" style="3" hidden="1"/>
    <col min="3260" max="3260" width="11" style="3" hidden="1"/>
    <col min="3261" max="3261" width="55.140625" style="3" hidden="1"/>
    <col min="3262" max="3318" width="9.140625" style="3" hidden="1"/>
    <col min="3319" max="3319" width="16.28515625" style="3" hidden="1"/>
    <col min="3320" max="3320" width="17.5703125" style="3" hidden="1"/>
    <col min="3321" max="3321" width="16" style="3" hidden="1"/>
    <col min="3322" max="3322" width="18.140625" style="3" hidden="1"/>
    <col min="3323" max="3515" width="9.140625" style="3" hidden="1"/>
    <col min="3516" max="3516" width="11" style="3" hidden="1"/>
    <col min="3517" max="3517" width="55.140625" style="3" hidden="1"/>
    <col min="3518" max="3574" width="9.140625" style="3" hidden="1"/>
    <col min="3575" max="3575" width="16.28515625" style="3" hidden="1"/>
    <col min="3576" max="3576" width="17.5703125" style="3" hidden="1"/>
    <col min="3577" max="3577" width="16" style="3" hidden="1"/>
    <col min="3578" max="3578" width="18.140625" style="3" hidden="1"/>
    <col min="3579" max="3771" width="9.140625" style="3" hidden="1"/>
    <col min="3772" max="3772" width="11" style="3" hidden="1"/>
    <col min="3773" max="3773" width="55.140625" style="3" hidden="1"/>
    <col min="3774" max="3830" width="9.140625" style="3" hidden="1"/>
    <col min="3831" max="3831" width="16.28515625" style="3" hidden="1"/>
    <col min="3832" max="3832" width="17.5703125" style="3" hidden="1"/>
    <col min="3833" max="3833" width="16" style="3" hidden="1"/>
    <col min="3834" max="3834" width="18.140625" style="3" hidden="1"/>
    <col min="3835" max="4027" width="9.140625" style="3" hidden="1"/>
    <col min="4028" max="4028" width="11" style="3" hidden="1"/>
    <col min="4029" max="4029" width="55.140625" style="3" hidden="1"/>
    <col min="4030" max="4086" width="9.140625" style="3" hidden="1"/>
    <col min="4087" max="4087" width="16.28515625" style="3" hidden="1"/>
    <col min="4088" max="4088" width="17.5703125" style="3" hidden="1"/>
    <col min="4089" max="4089" width="16" style="3" hidden="1"/>
    <col min="4090" max="4090" width="18.140625" style="3" hidden="1"/>
    <col min="4091" max="4283" width="9.140625" style="3" hidden="1"/>
    <col min="4284" max="4284" width="11" style="3" hidden="1"/>
    <col min="4285" max="4285" width="55.140625" style="3" hidden="1"/>
    <col min="4286" max="4342" width="9.140625" style="3" hidden="1"/>
    <col min="4343" max="4343" width="16.28515625" style="3" hidden="1"/>
    <col min="4344" max="4344" width="17.5703125" style="3" hidden="1"/>
    <col min="4345" max="4345" width="16" style="3" hidden="1"/>
    <col min="4346" max="4346" width="18.140625" style="3" hidden="1"/>
    <col min="4347" max="4539" width="9.140625" style="3" hidden="1"/>
    <col min="4540" max="4540" width="11" style="3" hidden="1"/>
    <col min="4541" max="4541" width="55.140625" style="3" hidden="1"/>
    <col min="4542" max="4598" width="9.140625" style="3" hidden="1"/>
    <col min="4599" max="4599" width="16.28515625" style="3" hidden="1"/>
    <col min="4600" max="4600" width="17.5703125" style="3" hidden="1"/>
    <col min="4601" max="4601" width="16" style="3" hidden="1"/>
    <col min="4602" max="4602" width="18.140625" style="3" hidden="1"/>
    <col min="4603" max="4795" width="9.140625" style="3" hidden="1"/>
    <col min="4796" max="4796" width="11" style="3" hidden="1"/>
    <col min="4797" max="4797" width="55.140625" style="3" hidden="1"/>
    <col min="4798" max="4854" width="9.140625" style="3" hidden="1"/>
    <col min="4855" max="4855" width="16.28515625" style="3" hidden="1"/>
    <col min="4856" max="4856" width="17.5703125" style="3" hidden="1"/>
    <col min="4857" max="4857" width="16" style="3" hidden="1"/>
    <col min="4858" max="4858" width="18.140625" style="3" hidden="1"/>
    <col min="4859" max="5051" width="9.140625" style="3" hidden="1"/>
    <col min="5052" max="5052" width="11" style="3" hidden="1"/>
    <col min="5053" max="5053" width="55.140625" style="3" hidden="1"/>
    <col min="5054" max="5110" width="9.140625" style="3" hidden="1"/>
    <col min="5111" max="5111" width="16.28515625" style="3" hidden="1"/>
    <col min="5112" max="5112" width="17.5703125" style="3" hidden="1"/>
    <col min="5113" max="5113" width="16" style="3" hidden="1"/>
    <col min="5114" max="5114" width="18.140625" style="3" hidden="1"/>
    <col min="5115" max="5307" width="9.140625" style="3" hidden="1"/>
    <col min="5308" max="5308" width="11" style="3" hidden="1"/>
    <col min="5309" max="5309" width="55.140625" style="3" hidden="1"/>
    <col min="5310" max="5366" width="9.140625" style="3" hidden="1"/>
    <col min="5367" max="5367" width="16.28515625" style="3" hidden="1"/>
    <col min="5368" max="5368" width="17.5703125" style="3" hidden="1"/>
    <col min="5369" max="5369" width="16" style="3" hidden="1"/>
    <col min="5370" max="5370" width="18.140625" style="3" hidden="1"/>
    <col min="5371" max="5563" width="9.140625" style="3" hidden="1"/>
    <col min="5564" max="5564" width="11" style="3" hidden="1"/>
    <col min="5565" max="5565" width="55.140625" style="3" hidden="1"/>
    <col min="5566" max="5622" width="9.140625" style="3" hidden="1"/>
    <col min="5623" max="5623" width="16.28515625" style="3" hidden="1"/>
    <col min="5624" max="5624" width="17.5703125" style="3" hidden="1"/>
    <col min="5625" max="5625" width="16" style="3" hidden="1"/>
    <col min="5626" max="5626" width="18.140625" style="3" hidden="1"/>
    <col min="5627" max="5819" width="9.140625" style="3" hidden="1"/>
    <col min="5820" max="5820" width="11" style="3" hidden="1"/>
    <col min="5821" max="5821" width="55.140625" style="3" hidden="1"/>
    <col min="5822" max="5878" width="9.140625" style="3" hidden="1"/>
    <col min="5879" max="5879" width="16.28515625" style="3" hidden="1"/>
    <col min="5880" max="5880" width="17.5703125" style="3" hidden="1"/>
    <col min="5881" max="5881" width="16" style="3" hidden="1"/>
    <col min="5882" max="5882" width="18.140625" style="3" hidden="1"/>
    <col min="5883" max="6075" width="9.140625" style="3" hidden="1"/>
    <col min="6076" max="6076" width="11" style="3" hidden="1"/>
    <col min="6077" max="6077" width="55.140625" style="3" hidden="1"/>
    <col min="6078" max="6134" width="9.140625" style="3" hidden="1"/>
    <col min="6135" max="6135" width="16.28515625" style="3" hidden="1"/>
    <col min="6136" max="6136" width="17.5703125" style="3" hidden="1"/>
    <col min="6137" max="6137" width="16" style="3" hidden="1"/>
    <col min="6138" max="6138" width="18.140625" style="3" hidden="1"/>
    <col min="6139" max="6331" width="9.140625" style="3" hidden="1"/>
    <col min="6332" max="6332" width="11" style="3" hidden="1"/>
    <col min="6333" max="6333" width="55.140625" style="3" hidden="1"/>
    <col min="6334" max="6390" width="9.140625" style="3" hidden="1"/>
    <col min="6391" max="6391" width="16.28515625" style="3" hidden="1"/>
    <col min="6392" max="6392" width="17.5703125" style="3" hidden="1"/>
    <col min="6393" max="6393" width="16" style="3" hidden="1"/>
    <col min="6394" max="6394" width="18.140625" style="3" hidden="1"/>
    <col min="6395" max="6587" width="9.140625" style="3" hidden="1"/>
    <col min="6588" max="6588" width="11" style="3" hidden="1"/>
    <col min="6589" max="6589" width="55.140625" style="3" hidden="1"/>
    <col min="6590" max="6646" width="9.140625" style="3" hidden="1"/>
    <col min="6647" max="6647" width="16.28515625" style="3" hidden="1"/>
    <col min="6648" max="6648" width="17.5703125" style="3" hidden="1"/>
    <col min="6649" max="6649" width="16" style="3" hidden="1"/>
    <col min="6650" max="6650" width="18.140625" style="3" hidden="1"/>
    <col min="6651" max="6843" width="9.140625" style="3" hidden="1"/>
    <col min="6844" max="6844" width="11" style="3" hidden="1"/>
    <col min="6845" max="6845" width="55.140625" style="3" hidden="1"/>
    <col min="6846" max="6902" width="9.140625" style="3" hidden="1"/>
    <col min="6903" max="6903" width="16.28515625" style="3" hidden="1"/>
    <col min="6904" max="6904" width="17.5703125" style="3" hidden="1"/>
    <col min="6905" max="6905" width="16" style="3" hidden="1"/>
    <col min="6906" max="6906" width="18.140625" style="3" hidden="1"/>
    <col min="6907" max="7099" width="9.140625" style="3" hidden="1"/>
    <col min="7100" max="7100" width="11" style="3" hidden="1"/>
    <col min="7101" max="7101" width="55.140625" style="3" hidden="1"/>
    <col min="7102" max="7158" width="9.140625" style="3" hidden="1"/>
    <col min="7159" max="7159" width="16.28515625" style="3" hidden="1"/>
    <col min="7160" max="7160" width="17.5703125" style="3" hidden="1"/>
    <col min="7161" max="7161" width="16" style="3" hidden="1"/>
    <col min="7162" max="7162" width="18.140625" style="3" hidden="1"/>
    <col min="7163" max="7355" width="9.140625" style="3" hidden="1"/>
    <col min="7356" max="7356" width="11" style="3" hidden="1"/>
    <col min="7357" max="7357" width="55.140625" style="3" hidden="1"/>
    <col min="7358" max="7414" width="9.140625" style="3" hidden="1"/>
    <col min="7415" max="7415" width="16.28515625" style="3" hidden="1"/>
    <col min="7416" max="7416" width="17.5703125" style="3" hidden="1"/>
    <col min="7417" max="7417" width="16" style="3" hidden="1"/>
    <col min="7418" max="7418" width="18.140625" style="3" hidden="1"/>
    <col min="7419" max="7611" width="9.140625" style="3" hidden="1"/>
    <col min="7612" max="7612" width="11" style="3" hidden="1"/>
    <col min="7613" max="7613" width="55.140625" style="3" hidden="1"/>
    <col min="7614" max="7670" width="9.140625" style="3" hidden="1"/>
    <col min="7671" max="7671" width="16.28515625" style="3" hidden="1"/>
    <col min="7672" max="7672" width="17.5703125" style="3" hidden="1"/>
    <col min="7673" max="7673" width="16" style="3" hidden="1"/>
    <col min="7674" max="7674" width="18.140625" style="3" hidden="1"/>
    <col min="7675" max="7867" width="9.140625" style="3" hidden="1"/>
    <col min="7868" max="7868" width="11" style="3" hidden="1"/>
    <col min="7869" max="7869" width="55.140625" style="3" hidden="1"/>
    <col min="7870" max="7926" width="9.140625" style="3" hidden="1"/>
    <col min="7927" max="7927" width="16.28515625" style="3" hidden="1"/>
    <col min="7928" max="7928" width="17.5703125" style="3" hidden="1"/>
    <col min="7929" max="7929" width="16" style="3" hidden="1"/>
    <col min="7930" max="7930" width="18.140625" style="3" hidden="1"/>
    <col min="7931" max="8123" width="9.140625" style="3" hidden="1"/>
    <col min="8124" max="8124" width="11" style="3" hidden="1"/>
    <col min="8125" max="8125" width="55.140625" style="3" hidden="1"/>
    <col min="8126" max="8182" width="9.140625" style="3" hidden="1"/>
    <col min="8183" max="8183" width="16.28515625" style="3" hidden="1"/>
    <col min="8184" max="8184" width="17.5703125" style="3" hidden="1"/>
    <col min="8185" max="8185" width="16" style="3" hidden="1"/>
    <col min="8186" max="8186" width="18.140625" style="3" hidden="1"/>
    <col min="8187" max="8379" width="9.140625" style="3" hidden="1"/>
    <col min="8380" max="8380" width="11" style="3" hidden="1"/>
    <col min="8381" max="8381" width="55.140625" style="3" hidden="1"/>
    <col min="8382" max="8438" width="9.140625" style="3" hidden="1"/>
    <col min="8439" max="8439" width="16.28515625" style="3" hidden="1"/>
    <col min="8440" max="8440" width="17.5703125" style="3" hidden="1"/>
    <col min="8441" max="8441" width="16" style="3" hidden="1"/>
    <col min="8442" max="8442" width="18.140625" style="3" hidden="1"/>
    <col min="8443" max="8635" width="9.140625" style="3" hidden="1"/>
    <col min="8636" max="8636" width="11" style="3" hidden="1"/>
    <col min="8637" max="8637" width="55.140625" style="3" hidden="1"/>
    <col min="8638" max="8694" width="9.140625" style="3" hidden="1"/>
    <col min="8695" max="8695" width="16.28515625" style="3" hidden="1"/>
    <col min="8696" max="8696" width="17.5703125" style="3" hidden="1"/>
    <col min="8697" max="8697" width="16" style="3" hidden="1"/>
    <col min="8698" max="8698" width="18.140625" style="3" hidden="1"/>
    <col min="8699" max="8891" width="9.140625" style="3" hidden="1"/>
    <col min="8892" max="8892" width="11" style="3" hidden="1"/>
    <col min="8893" max="8893" width="55.140625" style="3" hidden="1"/>
    <col min="8894" max="8950" width="9.140625" style="3" hidden="1"/>
    <col min="8951" max="8951" width="16.28515625" style="3" hidden="1"/>
    <col min="8952" max="8952" width="17.5703125" style="3" hidden="1"/>
    <col min="8953" max="8953" width="16" style="3" hidden="1"/>
    <col min="8954" max="8954" width="18.140625" style="3" hidden="1"/>
    <col min="8955" max="9147" width="9.140625" style="3" hidden="1"/>
    <col min="9148" max="9148" width="11" style="3" hidden="1"/>
    <col min="9149" max="9149" width="55.140625" style="3" hidden="1"/>
    <col min="9150" max="9206" width="9.140625" style="3" hidden="1"/>
    <col min="9207" max="9207" width="16.28515625" style="3" hidden="1"/>
    <col min="9208" max="9208" width="17.5703125" style="3" hidden="1"/>
    <col min="9209" max="9209" width="16" style="3" hidden="1"/>
    <col min="9210" max="9210" width="18.140625" style="3" hidden="1"/>
    <col min="9211" max="9403" width="9.140625" style="3" hidden="1"/>
    <col min="9404" max="9404" width="11" style="3" hidden="1"/>
    <col min="9405" max="9405" width="55.140625" style="3" hidden="1"/>
    <col min="9406" max="9462" width="9.140625" style="3" hidden="1"/>
    <col min="9463" max="9463" width="16.28515625" style="3" hidden="1"/>
    <col min="9464" max="9464" width="17.5703125" style="3" hidden="1"/>
    <col min="9465" max="9465" width="16" style="3" hidden="1"/>
    <col min="9466" max="9466" width="18.140625" style="3" hidden="1"/>
    <col min="9467" max="9659" width="9.140625" style="3" hidden="1"/>
    <col min="9660" max="9660" width="11" style="3" hidden="1"/>
    <col min="9661" max="9661" width="55.140625" style="3" hidden="1"/>
    <col min="9662" max="9718" width="9.140625" style="3" hidden="1"/>
    <col min="9719" max="9719" width="16.28515625" style="3" hidden="1"/>
    <col min="9720" max="9720" width="17.5703125" style="3" hidden="1"/>
    <col min="9721" max="9721" width="16" style="3" hidden="1"/>
    <col min="9722" max="9722" width="18.140625" style="3" hidden="1"/>
    <col min="9723" max="9915" width="9.140625" style="3" hidden="1"/>
    <col min="9916" max="9916" width="11" style="3" hidden="1"/>
    <col min="9917" max="9917" width="55.140625" style="3" hidden="1"/>
    <col min="9918" max="9974" width="9.140625" style="3" hidden="1"/>
    <col min="9975" max="9975" width="16.28515625" style="3" hidden="1"/>
    <col min="9976" max="9976" width="17.5703125" style="3" hidden="1"/>
    <col min="9977" max="9977" width="16" style="3" hidden="1"/>
    <col min="9978" max="9978" width="18.140625" style="3" hidden="1"/>
    <col min="9979" max="10171" width="9.140625" style="3" hidden="1"/>
    <col min="10172" max="10172" width="11" style="3" hidden="1"/>
    <col min="10173" max="10173" width="55.140625" style="3" hidden="1"/>
    <col min="10174" max="10230" width="9.140625" style="3" hidden="1"/>
    <col min="10231" max="10231" width="16.28515625" style="3" hidden="1"/>
    <col min="10232" max="10232" width="17.5703125" style="3" hidden="1"/>
    <col min="10233" max="10233" width="16" style="3" hidden="1"/>
    <col min="10234" max="10234" width="18.140625" style="3" hidden="1"/>
    <col min="10235" max="10427" width="9.140625" style="3" hidden="1"/>
    <col min="10428" max="10428" width="11" style="3" hidden="1"/>
    <col min="10429" max="10429" width="55.140625" style="3" hidden="1"/>
    <col min="10430" max="10486" width="9.140625" style="3" hidden="1"/>
    <col min="10487" max="10487" width="16.28515625" style="3" hidden="1"/>
    <col min="10488" max="10488" width="17.5703125" style="3" hidden="1"/>
    <col min="10489" max="10489" width="16" style="3" hidden="1"/>
    <col min="10490" max="10490" width="18.140625" style="3" hidden="1"/>
    <col min="10491" max="10683" width="9.140625" style="3" hidden="1"/>
    <col min="10684" max="10684" width="11" style="3" hidden="1"/>
    <col min="10685" max="10685" width="55.140625" style="3" hidden="1"/>
    <col min="10686" max="10742" width="9.140625" style="3" hidden="1"/>
    <col min="10743" max="10743" width="16.28515625" style="3" hidden="1"/>
    <col min="10744" max="10744" width="17.5703125" style="3" hidden="1"/>
    <col min="10745" max="10745" width="16" style="3" hidden="1"/>
    <col min="10746" max="10746" width="18.140625" style="3" hidden="1"/>
    <col min="10747" max="10939" width="9.140625" style="3" hidden="1"/>
    <col min="10940" max="10940" width="11" style="3" hidden="1"/>
    <col min="10941" max="10941" width="55.140625" style="3" hidden="1"/>
    <col min="10942" max="10998" width="9.140625" style="3" hidden="1"/>
    <col min="10999" max="10999" width="16.28515625" style="3" hidden="1"/>
    <col min="11000" max="11000" width="17.5703125" style="3" hidden="1"/>
    <col min="11001" max="11001" width="16" style="3" hidden="1"/>
    <col min="11002" max="11002" width="18.140625" style="3" hidden="1"/>
    <col min="11003" max="11195" width="9.140625" style="3" hidden="1"/>
    <col min="11196" max="11196" width="11" style="3" hidden="1"/>
    <col min="11197" max="11197" width="55.140625" style="3" hidden="1"/>
    <col min="11198" max="11254" width="9.140625" style="3" hidden="1"/>
    <col min="11255" max="11255" width="16.28515625" style="3" hidden="1"/>
    <col min="11256" max="11256" width="17.5703125" style="3" hidden="1"/>
    <col min="11257" max="11257" width="16" style="3" hidden="1"/>
    <col min="11258" max="11258" width="18.140625" style="3" hidden="1"/>
    <col min="11259" max="11451" width="9.140625" style="3" hidden="1"/>
    <col min="11452" max="11452" width="11" style="3" hidden="1"/>
    <col min="11453" max="11453" width="55.140625" style="3" hidden="1"/>
    <col min="11454" max="11510" width="9.140625" style="3" hidden="1"/>
    <col min="11511" max="11511" width="16.28515625" style="3" hidden="1"/>
    <col min="11512" max="11512" width="17.5703125" style="3" hidden="1"/>
    <col min="11513" max="11513" width="16" style="3" hidden="1"/>
    <col min="11514" max="11514" width="18.140625" style="3" hidden="1"/>
    <col min="11515" max="11707" width="9.140625" style="3" hidden="1"/>
    <col min="11708" max="11708" width="11" style="3" hidden="1"/>
    <col min="11709" max="11709" width="55.140625" style="3" hidden="1"/>
    <col min="11710" max="11766" width="9.140625" style="3" hidden="1"/>
    <col min="11767" max="11767" width="16.28515625" style="3" hidden="1"/>
    <col min="11768" max="11768" width="17.5703125" style="3" hidden="1"/>
    <col min="11769" max="11769" width="16" style="3" hidden="1"/>
    <col min="11770" max="11770" width="18.140625" style="3" hidden="1"/>
    <col min="11771" max="11963" width="9.140625" style="3" hidden="1"/>
    <col min="11964" max="11964" width="11" style="3" hidden="1"/>
    <col min="11965" max="11965" width="55.140625" style="3" hidden="1"/>
    <col min="11966" max="12022" width="9.140625" style="3" hidden="1"/>
    <col min="12023" max="12023" width="16.28515625" style="3" hidden="1"/>
    <col min="12024" max="12024" width="17.5703125" style="3" hidden="1"/>
    <col min="12025" max="12025" width="16" style="3" hidden="1"/>
    <col min="12026" max="12026" width="18.140625" style="3" hidden="1"/>
    <col min="12027" max="12219" width="9.140625" style="3" hidden="1"/>
    <col min="12220" max="12220" width="11" style="3" hidden="1"/>
    <col min="12221" max="12221" width="55.140625" style="3" hidden="1"/>
    <col min="12222" max="12278" width="9.140625" style="3" hidden="1"/>
    <col min="12279" max="12279" width="16.28515625" style="3" hidden="1"/>
    <col min="12280" max="12280" width="17.5703125" style="3" hidden="1"/>
    <col min="12281" max="12281" width="16" style="3" hidden="1"/>
    <col min="12282" max="12282" width="18.140625" style="3" hidden="1"/>
    <col min="12283" max="12475" width="9.140625" style="3" hidden="1"/>
    <col min="12476" max="12476" width="11" style="3" hidden="1"/>
    <col min="12477" max="12477" width="55.140625" style="3" hidden="1"/>
    <col min="12478" max="12534" width="9.140625" style="3" hidden="1"/>
    <col min="12535" max="12535" width="16.28515625" style="3" hidden="1"/>
    <col min="12536" max="12536" width="17.5703125" style="3" hidden="1"/>
    <col min="12537" max="12537" width="16" style="3" hidden="1"/>
    <col min="12538" max="12538" width="18.140625" style="3" hidden="1"/>
    <col min="12539" max="12731" width="9.140625" style="3" hidden="1"/>
    <col min="12732" max="12732" width="11" style="3" hidden="1"/>
    <col min="12733" max="12733" width="55.140625" style="3" hidden="1"/>
    <col min="12734" max="12790" width="9.140625" style="3" hidden="1"/>
    <col min="12791" max="12791" width="16.28515625" style="3" hidden="1"/>
    <col min="12792" max="12792" width="17.5703125" style="3" hidden="1"/>
    <col min="12793" max="12793" width="16" style="3" hidden="1"/>
    <col min="12794" max="12794" width="18.140625" style="3" hidden="1"/>
    <col min="12795" max="12987" width="9.140625" style="3" hidden="1"/>
    <col min="12988" max="12988" width="11" style="3" hidden="1"/>
    <col min="12989" max="12989" width="55.140625" style="3" hidden="1"/>
    <col min="12990" max="13046" width="9.140625" style="3" hidden="1"/>
    <col min="13047" max="13047" width="16.28515625" style="3" hidden="1"/>
    <col min="13048" max="13048" width="17.5703125" style="3" hidden="1"/>
    <col min="13049" max="13049" width="16" style="3" hidden="1"/>
    <col min="13050" max="13050" width="18.140625" style="3" hidden="1"/>
    <col min="13051" max="13243" width="9.140625" style="3" hidden="1"/>
    <col min="13244" max="13244" width="11" style="3" hidden="1"/>
    <col min="13245" max="13245" width="55.140625" style="3" hidden="1"/>
    <col min="13246" max="13302" width="9.140625" style="3" hidden="1"/>
    <col min="13303" max="13303" width="16.28515625" style="3" hidden="1"/>
    <col min="13304" max="13304" width="17.5703125" style="3" hidden="1"/>
    <col min="13305" max="13305" width="16" style="3" hidden="1"/>
    <col min="13306" max="13306" width="18.140625" style="3" hidden="1"/>
    <col min="13307" max="13499" width="9.140625" style="3" hidden="1"/>
    <col min="13500" max="13500" width="11" style="3" hidden="1"/>
    <col min="13501" max="13501" width="55.140625" style="3" hidden="1"/>
    <col min="13502" max="13558" width="9.140625" style="3" hidden="1"/>
    <col min="13559" max="13559" width="16.28515625" style="3" hidden="1"/>
    <col min="13560" max="13560" width="17.5703125" style="3" hidden="1"/>
    <col min="13561" max="13561" width="16" style="3" hidden="1"/>
    <col min="13562" max="13562" width="18.140625" style="3" hidden="1"/>
    <col min="13563" max="13755" width="9.140625" style="3" hidden="1"/>
    <col min="13756" max="13756" width="11" style="3" hidden="1"/>
    <col min="13757" max="13757" width="55.140625" style="3" hidden="1"/>
    <col min="13758" max="13814" width="9.140625" style="3" hidden="1"/>
    <col min="13815" max="13815" width="16.28515625" style="3" hidden="1"/>
    <col min="13816" max="13816" width="17.5703125" style="3" hidden="1"/>
    <col min="13817" max="13817" width="16" style="3" hidden="1"/>
    <col min="13818" max="13818" width="18.140625" style="3" hidden="1"/>
    <col min="13819" max="14011" width="9.140625" style="3" hidden="1"/>
    <col min="14012" max="14012" width="11" style="3" hidden="1"/>
    <col min="14013" max="14013" width="55.140625" style="3" hidden="1"/>
    <col min="14014" max="14070" width="9.140625" style="3" hidden="1"/>
    <col min="14071" max="14071" width="16.28515625" style="3" hidden="1"/>
    <col min="14072" max="14072" width="17.5703125" style="3" hidden="1"/>
    <col min="14073" max="14073" width="16" style="3" hidden="1"/>
    <col min="14074" max="14074" width="18.140625" style="3" hidden="1"/>
    <col min="14075" max="14267" width="9.140625" style="3" hidden="1"/>
    <col min="14268" max="14268" width="11" style="3" hidden="1"/>
    <col min="14269" max="14269" width="55.140625" style="3" hidden="1"/>
    <col min="14270" max="14326" width="9.140625" style="3" hidden="1"/>
    <col min="14327" max="14327" width="16.28515625" style="3" hidden="1"/>
    <col min="14328" max="14328" width="17.5703125" style="3" hidden="1"/>
    <col min="14329" max="14329" width="16" style="3" hidden="1"/>
    <col min="14330" max="14330" width="18.140625" style="3" hidden="1"/>
    <col min="14331" max="14523" width="9.140625" style="3" hidden="1"/>
    <col min="14524" max="14524" width="11" style="3" hidden="1"/>
    <col min="14525" max="14525" width="55.140625" style="3" hidden="1"/>
    <col min="14526" max="14582" width="9.140625" style="3" hidden="1"/>
    <col min="14583" max="14583" width="16.28515625" style="3" hidden="1"/>
    <col min="14584" max="14584" width="17.5703125" style="3" hidden="1"/>
    <col min="14585" max="14585" width="16" style="3" hidden="1"/>
    <col min="14586" max="14586" width="18.140625" style="3" hidden="1"/>
    <col min="14587" max="14779" width="9.140625" style="3" hidden="1"/>
    <col min="14780" max="14780" width="11" style="3" hidden="1"/>
    <col min="14781" max="14781" width="55.140625" style="3" hidden="1"/>
    <col min="14782" max="14838" width="9.140625" style="3" hidden="1"/>
    <col min="14839" max="14839" width="16.28515625" style="3" hidden="1"/>
    <col min="14840" max="14840" width="17.5703125" style="3" hidden="1"/>
    <col min="14841" max="14841" width="16" style="3" hidden="1"/>
    <col min="14842" max="14842" width="18.140625" style="3" hidden="1"/>
    <col min="14843" max="15035" width="9.140625" style="3" hidden="1"/>
    <col min="15036" max="15036" width="11" style="3" hidden="1"/>
    <col min="15037" max="15037" width="55.140625" style="3" hidden="1"/>
    <col min="15038" max="15094" width="9.140625" style="3" hidden="1"/>
    <col min="15095" max="15095" width="16.28515625" style="3" hidden="1"/>
    <col min="15096" max="15096" width="17.5703125" style="3" hidden="1"/>
    <col min="15097" max="15097" width="16" style="3" hidden="1"/>
    <col min="15098" max="15098" width="18.140625" style="3" hidden="1"/>
    <col min="15099" max="15291" width="9.140625" style="3" hidden="1"/>
    <col min="15292" max="15292" width="11" style="3" hidden="1"/>
    <col min="15293" max="15293" width="55.140625" style="3" hidden="1"/>
    <col min="15294" max="15350" width="9.140625" style="3" hidden="1"/>
    <col min="15351" max="15351" width="16.28515625" style="3" hidden="1"/>
    <col min="15352" max="15352" width="17.5703125" style="3" hidden="1"/>
    <col min="15353" max="15353" width="16" style="3" hidden="1"/>
    <col min="15354" max="15354" width="18.140625" style="3" hidden="1"/>
    <col min="15355" max="15547" width="9.140625" style="3" hidden="1"/>
    <col min="15548" max="15548" width="11" style="3" hidden="1"/>
    <col min="15549" max="15549" width="55.140625" style="3" hidden="1"/>
    <col min="15550" max="15606" width="9.140625" style="3" hidden="1"/>
    <col min="15607" max="15607" width="16.28515625" style="3" hidden="1"/>
    <col min="15608" max="15608" width="17.5703125" style="3" hidden="1"/>
    <col min="15609" max="15609" width="16" style="3" hidden="1"/>
    <col min="15610" max="15610" width="18.140625" style="3" hidden="1"/>
    <col min="15611" max="15803" width="9.140625" style="3" hidden="1"/>
    <col min="15804" max="15804" width="11" style="3" hidden="1"/>
    <col min="15805" max="15805" width="55.140625" style="3" hidden="1"/>
    <col min="15806" max="15862" width="9.140625" style="3" hidden="1"/>
    <col min="15863" max="15863" width="16.28515625" style="3" hidden="1"/>
    <col min="15864" max="15864" width="17.5703125" style="3" hidden="1"/>
    <col min="15865" max="15865" width="16" style="3" hidden="1"/>
    <col min="15866" max="15866" width="18.140625" style="3" hidden="1"/>
    <col min="15867" max="16059" width="9.140625" style="3" hidden="1"/>
    <col min="16060" max="16060" width="11" style="3" hidden="1"/>
    <col min="16061" max="16061" width="55.140625" style="3" hidden="1"/>
    <col min="16062" max="16118" width="9.140625" style="3" hidden="1"/>
    <col min="16119" max="16119" width="16.28515625" style="3" hidden="1"/>
    <col min="16120" max="16120" width="17.5703125" style="3" hidden="1"/>
    <col min="16121" max="16121" width="16" style="3" hidden="1"/>
    <col min="16122" max="16122" width="18.140625" style="3" hidden="1"/>
    <col min="16123" max="16384" width="9.140625" style="3" hidden="1"/>
  </cols>
  <sheetData>
    <row r="1" spans="1:6">
      <c r="B1" s="2" t="s">
        <v>645</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Worksheet'!$D$32</f>
        <v>1343409</v>
      </c>
      <c r="E3" s="11"/>
      <c r="F3" s="11"/>
    </row>
    <row r="4" spans="1:6">
      <c r="A4" s="8">
        <v>0</v>
      </c>
      <c r="B4" s="11" t="s">
        <v>4</v>
      </c>
      <c r="C4" s="10">
        <v>1.1310000000000001E-3</v>
      </c>
      <c r="D4" s="12">
        <f>ROUND(D$3*C4,0)</f>
        <v>1519</v>
      </c>
      <c r="E4" s="13">
        <f>ROUND(D4/2,0)</f>
        <v>760</v>
      </c>
      <c r="F4" s="12">
        <f>D4-E4</f>
        <v>759</v>
      </c>
    </row>
    <row r="5" spans="1:6">
      <c r="A5" s="8">
        <v>1</v>
      </c>
      <c r="B5" s="11" t="s">
        <v>646</v>
      </c>
      <c r="C5" s="10">
        <v>0.115262</v>
      </c>
      <c r="D5" s="9">
        <f>ROUND(D$3*C5,0)</f>
        <v>154844</v>
      </c>
      <c r="E5" s="11">
        <f>ROUND(D5/2,0)</f>
        <v>77422</v>
      </c>
      <c r="F5" s="9">
        <f>D5-E5</f>
        <v>77422</v>
      </c>
    </row>
    <row r="6" spans="1:6">
      <c r="A6" s="8"/>
      <c r="B6" s="11" t="s">
        <v>6</v>
      </c>
      <c r="C6" s="11"/>
      <c r="D6" s="14">
        <v>5.8915000000000002E-2</v>
      </c>
      <c r="E6" s="11"/>
      <c r="F6" s="11"/>
    </row>
    <row r="7" spans="1:6">
      <c r="A7" s="8"/>
      <c r="B7" s="11" t="s">
        <v>7</v>
      </c>
      <c r="C7" s="11"/>
      <c r="D7" s="225">
        <f>ROUND(D5*D6,0)</f>
        <v>9123</v>
      </c>
      <c r="E7" s="226">
        <f>ROUND(D7/2,0)</f>
        <v>4562</v>
      </c>
      <c r="F7" s="225">
        <f>D7-E7</f>
        <v>4561</v>
      </c>
    </row>
    <row r="8" spans="1:6">
      <c r="A8" s="8"/>
      <c r="B8" s="11" t="s">
        <v>8</v>
      </c>
      <c r="C8" s="11"/>
      <c r="D8" s="12">
        <f>+D5-D7</f>
        <v>145721</v>
      </c>
      <c r="E8" s="13">
        <f>ROUND(D8/2,0)</f>
        <v>72861</v>
      </c>
      <c r="F8" s="12">
        <f>D8-E8</f>
        <v>72860</v>
      </c>
    </row>
    <row r="9" spans="1:6">
      <c r="A9" s="8">
        <v>2</v>
      </c>
      <c r="B9" s="11" t="s">
        <v>46</v>
      </c>
      <c r="C9" s="11"/>
      <c r="D9" s="9"/>
      <c r="E9" s="11"/>
      <c r="F9" s="11"/>
    </row>
    <row r="10" spans="1:6">
      <c r="A10" s="8"/>
      <c r="B10" s="11" t="s">
        <v>10</v>
      </c>
      <c r="C10" s="10">
        <v>7.5600000000000005E-4</v>
      </c>
      <c r="D10" s="12">
        <f>ROUND(D$3*C10,0)</f>
        <v>1016</v>
      </c>
      <c r="E10" s="13">
        <f>ROUND(D10/2,0)</f>
        <v>508</v>
      </c>
      <c r="F10" s="12">
        <f>D10-E10</f>
        <v>508</v>
      </c>
    </row>
    <row r="11" spans="1:6">
      <c r="A11" s="8"/>
      <c r="B11" s="11" t="s">
        <v>11</v>
      </c>
      <c r="C11" s="10">
        <v>5.8999999999999998E-5</v>
      </c>
      <c r="D11" s="12">
        <f>ROUND(D$3*C11,0)</f>
        <v>79</v>
      </c>
      <c r="E11" s="13">
        <f>ROUND(D11/2,0)</f>
        <v>40</v>
      </c>
      <c r="F11" s="12">
        <f>D11-E11</f>
        <v>39</v>
      </c>
    </row>
    <row r="12" spans="1:6">
      <c r="A12" s="8">
        <v>2</v>
      </c>
      <c r="B12" s="11" t="s">
        <v>81</v>
      </c>
      <c r="C12" s="11"/>
      <c r="D12" s="9"/>
      <c r="E12" s="11"/>
      <c r="F12" s="11"/>
    </row>
    <row r="13" spans="1:6">
      <c r="A13" s="8"/>
      <c r="B13" s="11" t="s">
        <v>10</v>
      </c>
      <c r="C13" s="10">
        <v>5.2050000000000004E-3</v>
      </c>
      <c r="D13" s="12">
        <f>ROUND(D$3*C13,0)</f>
        <v>6992</v>
      </c>
      <c r="E13" s="13">
        <f>ROUND(D13/2,0)</f>
        <v>3496</v>
      </c>
      <c r="F13" s="12">
        <f>D13-E13</f>
        <v>3496</v>
      </c>
    </row>
    <row r="14" spans="1:6">
      <c r="A14" s="8"/>
      <c r="B14" s="11" t="s">
        <v>11</v>
      </c>
      <c r="C14" s="10">
        <v>8.3600000000000005E-4</v>
      </c>
      <c r="D14" s="12">
        <f>ROUND(D$3*C14,0)</f>
        <v>1123</v>
      </c>
      <c r="E14" s="13">
        <f>ROUND(D14/2,0)</f>
        <v>562</v>
      </c>
      <c r="F14" s="12">
        <f>D14-E14</f>
        <v>561</v>
      </c>
    </row>
    <row r="15" spans="1:6">
      <c r="A15" s="8">
        <v>2</v>
      </c>
      <c r="B15" s="11" t="s">
        <v>400</v>
      </c>
      <c r="C15" s="11"/>
      <c r="D15" s="9"/>
      <c r="E15" s="11"/>
      <c r="F15" s="11"/>
    </row>
    <row r="16" spans="1:6">
      <c r="A16" s="8"/>
      <c r="B16" s="11" t="s">
        <v>10</v>
      </c>
      <c r="C16" s="10">
        <v>2.333E-3</v>
      </c>
      <c r="D16" s="12">
        <f>ROUND(D$3*C16,0)</f>
        <v>3134</v>
      </c>
      <c r="E16" s="13">
        <f>ROUND(D16/2,0)</f>
        <v>1567</v>
      </c>
      <c r="F16" s="12">
        <f>D16-E16</f>
        <v>1567</v>
      </c>
    </row>
    <row r="17" spans="1:6">
      <c r="A17" s="8"/>
      <c r="B17" s="11" t="s">
        <v>11</v>
      </c>
      <c r="C17" s="10">
        <v>1.4200000000000001E-4</v>
      </c>
      <c r="D17" s="12">
        <f>ROUND(D$3*C17,0)</f>
        <v>191</v>
      </c>
      <c r="E17" s="13">
        <f>ROUND(D17/2,0)</f>
        <v>96</v>
      </c>
      <c r="F17" s="12">
        <f>D17-E17</f>
        <v>95</v>
      </c>
    </row>
    <row r="18" spans="1:6">
      <c r="A18" s="8">
        <v>2</v>
      </c>
      <c r="B18" s="11" t="s">
        <v>647</v>
      </c>
      <c r="C18" s="11"/>
      <c r="D18" s="9"/>
      <c r="E18" s="11"/>
      <c r="F18" s="11"/>
    </row>
    <row r="19" spans="1:6">
      <c r="A19" s="8"/>
      <c r="B19" s="11" t="s">
        <v>10</v>
      </c>
      <c r="C19" s="10">
        <v>7.2099999999999996E-4</v>
      </c>
      <c r="D19" s="12">
        <f>ROUND(D$3*C19,0)</f>
        <v>969</v>
      </c>
      <c r="E19" s="13">
        <f>ROUND(D19/2,0)</f>
        <v>485</v>
      </c>
      <c r="F19" s="12">
        <f>D19-E19</f>
        <v>484</v>
      </c>
    </row>
    <row r="20" spans="1:6">
      <c r="A20" s="8"/>
      <c r="B20" s="11" t="s">
        <v>11</v>
      </c>
      <c r="C20" s="10">
        <v>5.22E-4</v>
      </c>
      <c r="D20" s="12">
        <f>ROUND(D$3*C20,0)</f>
        <v>701</v>
      </c>
      <c r="E20" s="13">
        <f>ROUND(D20/2,0)</f>
        <v>351</v>
      </c>
      <c r="F20" s="12">
        <f>D20-E20</f>
        <v>350</v>
      </c>
    </row>
    <row r="21" spans="1:6">
      <c r="A21" s="8">
        <v>2</v>
      </c>
      <c r="B21" s="11" t="s">
        <v>49</v>
      </c>
      <c r="C21" s="11"/>
      <c r="D21" s="9"/>
      <c r="E21" s="11"/>
      <c r="F21" s="11"/>
    </row>
    <row r="22" spans="1:6">
      <c r="A22" s="8"/>
      <c r="B22" s="11" t="s">
        <v>10</v>
      </c>
      <c r="C22" s="10">
        <v>5.1400000000000003E-4</v>
      </c>
      <c r="D22" s="12">
        <f>ROUND(D$3*C22,0)</f>
        <v>691</v>
      </c>
      <c r="E22" s="13">
        <f>ROUND(D22/2,0)</f>
        <v>346</v>
      </c>
      <c r="F22" s="12">
        <f>D22-E22</f>
        <v>345</v>
      </c>
    </row>
    <row r="23" spans="1:6">
      <c r="A23" s="8"/>
      <c r="B23" s="11" t="s">
        <v>11</v>
      </c>
      <c r="C23" s="10">
        <v>2.4699999999999999E-4</v>
      </c>
      <c r="D23" s="12">
        <f>ROUND(D$3*C23,0)</f>
        <v>332</v>
      </c>
      <c r="E23" s="13">
        <f>ROUND(D23/2,0)</f>
        <v>166</v>
      </c>
      <c r="F23" s="12">
        <f>D23-E23</f>
        <v>166</v>
      </c>
    </row>
    <row r="24" spans="1:6">
      <c r="A24" s="8">
        <v>2</v>
      </c>
      <c r="B24" s="11" t="s">
        <v>648</v>
      </c>
      <c r="C24" s="11"/>
      <c r="D24" s="9"/>
      <c r="E24" s="11"/>
      <c r="F24" s="11"/>
    </row>
    <row r="25" spans="1:6">
      <c r="A25" s="8"/>
      <c r="B25" s="11" t="s">
        <v>10</v>
      </c>
      <c r="C25" s="10">
        <v>6.9249999999999997E-3</v>
      </c>
      <c r="D25" s="12">
        <f>ROUND(D$3*C25,0)</f>
        <v>9303</v>
      </c>
      <c r="E25" s="13">
        <f>ROUND(D25/2,0)</f>
        <v>4652</v>
      </c>
      <c r="F25" s="12">
        <f>D25-E25</f>
        <v>4651</v>
      </c>
    </row>
    <row r="26" spans="1:6">
      <c r="A26" s="8"/>
      <c r="B26" s="11" t="s">
        <v>11</v>
      </c>
      <c r="C26" s="10">
        <v>1.5889999999999999E-3</v>
      </c>
      <c r="D26" s="12">
        <f>ROUND(D$3*C26,0)</f>
        <v>2135</v>
      </c>
      <c r="E26" s="13">
        <f>ROUND(D26/2,0)</f>
        <v>1068</v>
      </c>
      <c r="F26" s="12">
        <f>D26-E26</f>
        <v>1067</v>
      </c>
    </row>
    <row r="27" spans="1:6">
      <c r="A27" s="8">
        <v>2</v>
      </c>
      <c r="B27" s="11" t="s">
        <v>22</v>
      </c>
      <c r="C27" s="11"/>
      <c r="D27" s="9"/>
      <c r="E27" s="11"/>
      <c r="F27" s="11"/>
    </row>
    <row r="28" spans="1:6">
      <c r="A28" s="8"/>
      <c r="B28" s="11" t="s">
        <v>10</v>
      </c>
      <c r="C28" s="10">
        <v>6.3769999999999999E-3</v>
      </c>
      <c r="D28" s="12">
        <f>ROUND(D$3*C28,0)</f>
        <v>8567</v>
      </c>
      <c r="E28" s="13">
        <f>ROUND(D28/2,0)</f>
        <v>4284</v>
      </c>
      <c r="F28" s="12">
        <f>D28-E28</f>
        <v>4283</v>
      </c>
    </row>
    <row r="29" spans="1:6">
      <c r="A29" s="8"/>
      <c r="B29" s="11" t="s">
        <v>11</v>
      </c>
      <c r="C29" s="10">
        <v>1.286E-3</v>
      </c>
      <c r="D29" s="12">
        <f>ROUND(D$3*C29,0)</f>
        <v>1728</v>
      </c>
      <c r="E29" s="13">
        <f>ROUND(D29/2,0)</f>
        <v>864</v>
      </c>
      <c r="F29" s="12">
        <f>D29-E29</f>
        <v>864</v>
      </c>
    </row>
    <row r="30" spans="1:6">
      <c r="A30" s="8">
        <v>2</v>
      </c>
      <c r="B30" s="11" t="s">
        <v>61</v>
      </c>
      <c r="C30" s="11"/>
      <c r="D30" s="9"/>
      <c r="E30" s="11"/>
      <c r="F30" s="11"/>
    </row>
    <row r="31" spans="1:6">
      <c r="A31" s="8"/>
      <c r="B31" s="11" t="s">
        <v>10</v>
      </c>
      <c r="C31" s="10">
        <v>1.6699999999999999E-4</v>
      </c>
      <c r="D31" s="12">
        <f>ROUND(D$3*C31,0)</f>
        <v>224</v>
      </c>
      <c r="E31" s="13">
        <f>ROUND(D31/2,0)</f>
        <v>112</v>
      </c>
      <c r="F31" s="12">
        <f>D31-E31</f>
        <v>112</v>
      </c>
    </row>
    <row r="32" spans="1:6">
      <c r="A32" s="8"/>
      <c r="B32" s="11" t="s">
        <v>11</v>
      </c>
      <c r="C32" s="10">
        <v>5.9500000000000004E-4</v>
      </c>
      <c r="D32" s="12">
        <f>ROUND(D$3*C32,0)</f>
        <v>799</v>
      </c>
      <c r="E32" s="13">
        <f>ROUND(D32/2,0)</f>
        <v>400</v>
      </c>
      <c r="F32" s="12">
        <f>D32-E32</f>
        <v>399</v>
      </c>
    </row>
    <row r="33" spans="1:6">
      <c r="A33" s="8">
        <v>2</v>
      </c>
      <c r="B33" s="11" t="s">
        <v>569</v>
      </c>
      <c r="C33" s="11"/>
      <c r="D33" s="9"/>
      <c r="E33" s="11"/>
      <c r="F33" s="11"/>
    </row>
    <row r="34" spans="1:6">
      <c r="A34" s="8"/>
      <c r="B34" s="11" t="s">
        <v>10</v>
      </c>
      <c r="C34" s="10">
        <v>8.9700000000000001E-4</v>
      </c>
      <c r="D34" s="12">
        <f t="shared" ref="D34:D44" si="0">ROUND(D$3*C34,0)</f>
        <v>1205</v>
      </c>
      <c r="E34" s="13">
        <f t="shared" ref="E34:E44" si="1">ROUND(D34/2,0)</f>
        <v>603</v>
      </c>
      <c r="F34" s="12">
        <f t="shared" ref="F34:F44" si="2">D34-E34</f>
        <v>602</v>
      </c>
    </row>
    <row r="35" spans="1:6">
      <c r="A35" s="8"/>
      <c r="B35" s="11" t="s">
        <v>11</v>
      </c>
      <c r="C35" s="10">
        <v>6.0400000000000004E-4</v>
      </c>
      <c r="D35" s="12">
        <f t="shared" si="0"/>
        <v>811</v>
      </c>
      <c r="E35" s="13">
        <f t="shared" si="1"/>
        <v>406</v>
      </c>
      <c r="F35" s="12">
        <f t="shared" si="2"/>
        <v>405</v>
      </c>
    </row>
    <row r="36" spans="1:6">
      <c r="A36" s="8">
        <v>3</v>
      </c>
      <c r="B36" s="11" t="s">
        <v>649</v>
      </c>
      <c r="C36" s="10">
        <v>8.4800000000000001E-4</v>
      </c>
      <c r="D36" s="12">
        <f t="shared" si="0"/>
        <v>1139</v>
      </c>
      <c r="E36" s="13">
        <f t="shared" si="1"/>
        <v>570</v>
      </c>
      <c r="F36" s="12">
        <f t="shared" si="2"/>
        <v>569</v>
      </c>
    </row>
    <row r="37" spans="1:6">
      <c r="A37" s="8">
        <v>3</v>
      </c>
      <c r="B37" s="11" t="s">
        <v>650</v>
      </c>
      <c r="C37" s="10">
        <v>2.5599999999999999E-4</v>
      </c>
      <c r="D37" s="12">
        <f t="shared" si="0"/>
        <v>344</v>
      </c>
      <c r="E37" s="13">
        <f t="shared" si="1"/>
        <v>172</v>
      </c>
      <c r="F37" s="12">
        <f t="shared" si="2"/>
        <v>172</v>
      </c>
    </row>
    <row r="38" spans="1:6">
      <c r="A38" s="8">
        <v>3</v>
      </c>
      <c r="B38" s="11" t="s">
        <v>651</v>
      </c>
      <c r="C38" s="10">
        <v>1.9168000000000001E-2</v>
      </c>
      <c r="D38" s="12">
        <f t="shared" si="0"/>
        <v>25750</v>
      </c>
      <c r="E38" s="13">
        <f t="shared" si="1"/>
        <v>12875</v>
      </c>
      <c r="F38" s="12">
        <f t="shared" si="2"/>
        <v>12875</v>
      </c>
    </row>
    <row r="39" spans="1:6">
      <c r="A39" s="8">
        <v>3</v>
      </c>
      <c r="B39" s="11" t="s">
        <v>652</v>
      </c>
      <c r="C39" s="10">
        <v>9.6699999999999998E-4</v>
      </c>
      <c r="D39" s="12">
        <f t="shared" si="0"/>
        <v>1299</v>
      </c>
      <c r="E39" s="13">
        <f t="shared" si="1"/>
        <v>650</v>
      </c>
      <c r="F39" s="12">
        <f t="shared" si="2"/>
        <v>649</v>
      </c>
    </row>
    <row r="40" spans="1:6">
      <c r="A40" s="8">
        <v>3</v>
      </c>
      <c r="B40" s="11" t="s">
        <v>653</v>
      </c>
      <c r="C40" s="10">
        <v>3.7935999999999998E-2</v>
      </c>
      <c r="D40" s="12">
        <f t="shared" si="0"/>
        <v>50964</v>
      </c>
      <c r="E40" s="13">
        <f t="shared" si="1"/>
        <v>25482</v>
      </c>
      <c r="F40" s="12">
        <f t="shared" si="2"/>
        <v>25482</v>
      </c>
    </row>
    <row r="41" spans="1:6">
      <c r="A41" s="8">
        <v>3</v>
      </c>
      <c r="B41" s="11" t="s">
        <v>654</v>
      </c>
      <c r="C41" s="10">
        <v>2.5748E-2</v>
      </c>
      <c r="D41" s="12">
        <f t="shared" si="0"/>
        <v>34590</v>
      </c>
      <c r="E41" s="13">
        <f t="shared" si="1"/>
        <v>17295</v>
      </c>
      <c r="F41" s="12">
        <f t="shared" si="2"/>
        <v>17295</v>
      </c>
    </row>
    <row r="42" spans="1:6">
      <c r="A42" s="8">
        <v>3</v>
      </c>
      <c r="B42" s="11" t="s">
        <v>655</v>
      </c>
      <c r="C42" s="10">
        <v>9.8299999999999993E-4</v>
      </c>
      <c r="D42" s="12">
        <f t="shared" si="0"/>
        <v>1321</v>
      </c>
      <c r="E42" s="13">
        <f t="shared" si="1"/>
        <v>661</v>
      </c>
      <c r="F42" s="12">
        <f t="shared" si="2"/>
        <v>660</v>
      </c>
    </row>
    <row r="43" spans="1:6">
      <c r="A43" s="8">
        <v>3</v>
      </c>
      <c r="B43" s="11" t="s">
        <v>656</v>
      </c>
      <c r="C43" s="10">
        <v>1.7416999999999998E-2</v>
      </c>
      <c r="D43" s="12">
        <f t="shared" si="0"/>
        <v>23398</v>
      </c>
      <c r="E43" s="13">
        <f t="shared" si="1"/>
        <v>11699</v>
      </c>
      <c r="F43" s="12">
        <f t="shared" si="2"/>
        <v>11699</v>
      </c>
    </row>
    <row r="44" spans="1:6">
      <c r="A44" s="8">
        <v>4</v>
      </c>
      <c r="B44" s="11" t="s">
        <v>657</v>
      </c>
      <c r="C44" s="10">
        <v>0.102633</v>
      </c>
      <c r="D44" s="9">
        <f t="shared" si="0"/>
        <v>137878</v>
      </c>
      <c r="E44" s="11">
        <f t="shared" si="1"/>
        <v>68939</v>
      </c>
      <c r="F44" s="9">
        <f t="shared" si="2"/>
        <v>68939</v>
      </c>
    </row>
    <row r="45" spans="1:6">
      <c r="A45" s="8"/>
      <c r="B45" s="11" t="s">
        <v>28</v>
      </c>
      <c r="C45" s="11"/>
      <c r="D45" s="14">
        <v>0.54041399999999995</v>
      </c>
      <c r="E45" s="11"/>
      <c r="F45" s="11"/>
    </row>
    <row r="46" spans="1:6">
      <c r="A46" s="8"/>
      <c r="B46" s="11" t="s">
        <v>29</v>
      </c>
      <c r="C46" s="11"/>
      <c r="D46" s="225">
        <f>ROUND(D44*D45,0)</f>
        <v>74511</v>
      </c>
      <c r="E46" s="226">
        <f>ROUND(D46/2,0)</f>
        <v>37256</v>
      </c>
      <c r="F46" s="225">
        <f>D46-E46</f>
        <v>37255</v>
      </c>
    </row>
    <row r="47" spans="1:6">
      <c r="A47" s="8"/>
      <c r="B47" s="11" t="s">
        <v>30</v>
      </c>
      <c r="C47" s="11"/>
      <c r="D47" s="12">
        <f>+D44-D46</f>
        <v>63367</v>
      </c>
      <c r="E47" s="13">
        <f>ROUND(D47/2,0)</f>
        <v>31684</v>
      </c>
      <c r="F47" s="12">
        <f>D47-E47</f>
        <v>31683</v>
      </c>
    </row>
    <row r="48" spans="1:6">
      <c r="A48" s="8">
        <v>4</v>
      </c>
      <c r="B48" s="11" t="s">
        <v>658</v>
      </c>
      <c r="C48" s="10">
        <v>5.3034999999999999E-2</v>
      </c>
      <c r="D48" s="9">
        <f>ROUND(D$3*C48,0)</f>
        <v>71248</v>
      </c>
      <c r="E48" s="11">
        <f>ROUND(D48/2,0)</f>
        <v>35624</v>
      </c>
      <c r="F48" s="9">
        <f>D48-E48</f>
        <v>35624</v>
      </c>
    </row>
    <row r="49" spans="1:6">
      <c r="A49" s="8"/>
      <c r="B49" s="11" t="s">
        <v>28</v>
      </c>
      <c r="C49" s="11"/>
      <c r="D49" s="14">
        <v>0.41812100000000002</v>
      </c>
      <c r="E49" s="11"/>
      <c r="F49" s="11"/>
    </row>
    <row r="50" spans="1:6">
      <c r="A50" s="8"/>
      <c r="B50" s="11" t="s">
        <v>29</v>
      </c>
      <c r="C50" s="11"/>
      <c r="D50" s="225">
        <f>ROUND(D48*D49,0)</f>
        <v>29790</v>
      </c>
      <c r="E50" s="226">
        <f>ROUND(D50/2,0)</f>
        <v>14895</v>
      </c>
      <c r="F50" s="225">
        <f>D50-E50</f>
        <v>14895</v>
      </c>
    </row>
    <row r="51" spans="1:6">
      <c r="A51" s="8"/>
      <c r="B51" s="11" t="s">
        <v>30</v>
      </c>
      <c r="C51" s="11"/>
      <c r="D51" s="12">
        <f>+D48-D50</f>
        <v>41458</v>
      </c>
      <c r="E51" s="13">
        <f>ROUND(D51/2,0)</f>
        <v>20729</v>
      </c>
      <c r="F51" s="12">
        <f>D51-E51</f>
        <v>20729</v>
      </c>
    </row>
    <row r="52" spans="1:6">
      <c r="A52" s="8">
        <v>4</v>
      </c>
      <c r="B52" s="11" t="s">
        <v>659</v>
      </c>
      <c r="C52" s="10">
        <v>0.23035700000000001</v>
      </c>
      <c r="D52" s="9">
        <f>ROUND(D$3*C52,0)</f>
        <v>309464</v>
      </c>
      <c r="E52" s="11">
        <f>ROUND(D52/2,0)</f>
        <v>154732</v>
      </c>
      <c r="F52" s="9">
        <f>D52-E52</f>
        <v>154732</v>
      </c>
    </row>
    <row r="53" spans="1:6">
      <c r="A53" s="8"/>
      <c r="B53" s="11" t="s">
        <v>28</v>
      </c>
      <c r="C53" s="11"/>
      <c r="D53" s="14">
        <v>0.465028</v>
      </c>
      <c r="E53" s="11"/>
      <c r="F53" s="11"/>
    </row>
    <row r="54" spans="1:6">
      <c r="A54" s="8"/>
      <c r="B54" s="11" t="s">
        <v>29</v>
      </c>
      <c r="C54" s="11"/>
      <c r="D54" s="225">
        <f>ROUND(D52*D53,0)</f>
        <v>143909</v>
      </c>
      <c r="E54" s="226">
        <f>ROUND(D54/2,0)</f>
        <v>71955</v>
      </c>
      <c r="F54" s="225">
        <f>D54-E54</f>
        <v>71954</v>
      </c>
    </row>
    <row r="55" spans="1:6">
      <c r="A55" s="8"/>
      <c r="B55" s="11" t="s">
        <v>30</v>
      </c>
      <c r="C55" s="11"/>
      <c r="D55" s="12">
        <f>+D52-D54</f>
        <v>165555</v>
      </c>
      <c r="E55" s="13">
        <f>ROUND(D55/2,0)</f>
        <v>82778</v>
      </c>
      <c r="F55" s="12">
        <f>D55-E55</f>
        <v>82777</v>
      </c>
    </row>
    <row r="56" spans="1:6">
      <c r="A56" s="8">
        <v>4</v>
      </c>
      <c r="B56" s="11" t="s">
        <v>160</v>
      </c>
      <c r="C56" s="10">
        <v>1.6403000000000001E-2</v>
      </c>
      <c r="D56" s="9">
        <f>ROUND(D$3*C56,0)</f>
        <v>22036</v>
      </c>
      <c r="E56" s="11">
        <f>ROUND(D56/2,0)</f>
        <v>11018</v>
      </c>
      <c r="F56" s="9">
        <f>D56-E56</f>
        <v>11018</v>
      </c>
    </row>
    <row r="57" spans="1:6">
      <c r="A57" s="8"/>
      <c r="B57" s="11" t="s">
        <v>28</v>
      </c>
      <c r="C57" s="11"/>
      <c r="D57" s="14">
        <v>0.49457099999999998</v>
      </c>
      <c r="E57" s="11"/>
      <c r="F57" s="11"/>
    </row>
    <row r="58" spans="1:6">
      <c r="A58" s="8"/>
      <c r="B58" s="11" t="s">
        <v>29</v>
      </c>
      <c r="C58" s="11"/>
      <c r="D58" s="225">
        <f>ROUND(D56*D57,0)</f>
        <v>10898</v>
      </c>
      <c r="E58" s="226">
        <f>ROUND(D58/2,0)</f>
        <v>5449</v>
      </c>
      <c r="F58" s="225">
        <f>D58-E58</f>
        <v>5449</v>
      </c>
    </row>
    <row r="59" spans="1:6">
      <c r="A59" s="8"/>
      <c r="B59" s="11" t="s">
        <v>30</v>
      </c>
      <c r="C59" s="11"/>
      <c r="D59" s="12">
        <f>+D56-D58</f>
        <v>11138</v>
      </c>
      <c r="E59" s="13">
        <f>ROUND(D59/2,0)</f>
        <v>5569</v>
      </c>
      <c r="F59" s="12">
        <f>D59-E59</f>
        <v>5569</v>
      </c>
    </row>
    <row r="60" spans="1:6">
      <c r="A60" s="8">
        <v>4</v>
      </c>
      <c r="B60" s="11" t="s">
        <v>660</v>
      </c>
      <c r="C60" s="10">
        <v>0.12553</v>
      </c>
      <c r="D60" s="9">
        <f>ROUND(D$3*C60,0)</f>
        <v>168638</v>
      </c>
      <c r="E60" s="11">
        <f>ROUND(D60/2,0)</f>
        <v>84319</v>
      </c>
      <c r="F60" s="9">
        <f>D60-E60</f>
        <v>84319</v>
      </c>
    </row>
    <row r="61" spans="1:6">
      <c r="A61" s="8"/>
      <c r="B61" s="11" t="s">
        <v>28</v>
      </c>
      <c r="C61" s="11"/>
      <c r="D61" s="14">
        <v>0.45163199999999998</v>
      </c>
      <c r="E61" s="11"/>
      <c r="F61" s="11"/>
    </row>
    <row r="62" spans="1:6">
      <c r="A62" s="8"/>
      <c r="B62" s="11" t="s">
        <v>29</v>
      </c>
      <c r="C62" s="11"/>
      <c r="D62" s="225">
        <f>ROUND(D60*D61,0)</f>
        <v>76162</v>
      </c>
      <c r="E62" s="226">
        <f>ROUND(D62/2,0)</f>
        <v>38081</v>
      </c>
      <c r="F62" s="225">
        <f>D62-E62</f>
        <v>38081</v>
      </c>
    </row>
    <row r="63" spans="1:6">
      <c r="A63" s="8"/>
      <c r="B63" s="11" t="s">
        <v>30</v>
      </c>
      <c r="C63" s="11"/>
      <c r="D63" s="12">
        <f>+D60-D62</f>
        <v>92476</v>
      </c>
      <c r="E63" s="13">
        <f>ROUND(D63/2,0)</f>
        <v>46238</v>
      </c>
      <c r="F63" s="12">
        <f>D63-E63</f>
        <v>46238</v>
      </c>
    </row>
    <row r="64" spans="1:6">
      <c r="A64" s="8">
        <v>4</v>
      </c>
      <c r="B64" s="11" t="s">
        <v>661</v>
      </c>
      <c r="C64" s="10">
        <v>0.19853000000000001</v>
      </c>
      <c r="D64" s="9">
        <f>ROUND(D$3*C64,0)</f>
        <v>266707</v>
      </c>
      <c r="E64" s="11">
        <f>ROUND(D64/2,0)</f>
        <v>133354</v>
      </c>
      <c r="F64" s="9">
        <f>D64-E64</f>
        <v>133353</v>
      </c>
    </row>
    <row r="65" spans="1:8">
      <c r="A65" s="8"/>
      <c r="B65" s="11" t="s">
        <v>28</v>
      </c>
      <c r="C65" s="11"/>
      <c r="D65" s="14">
        <v>0.38191700000000001</v>
      </c>
      <c r="E65" s="11"/>
      <c r="F65" s="11"/>
    </row>
    <row r="66" spans="1:8">
      <c r="A66" s="8"/>
      <c r="B66" s="11" t="s">
        <v>29</v>
      </c>
      <c r="C66" s="11"/>
      <c r="D66" s="225">
        <f>ROUND(D64*D65,0)</f>
        <v>101860</v>
      </c>
      <c r="E66" s="226">
        <f t="shared" ref="E66:E72" si="3">ROUND(D66/2,0)</f>
        <v>50930</v>
      </c>
      <c r="F66" s="225">
        <f t="shared" ref="F66:F72" si="4">D66-E66</f>
        <v>50930</v>
      </c>
    </row>
    <row r="67" spans="1:8">
      <c r="A67" s="8"/>
      <c r="B67" s="11" t="s">
        <v>30</v>
      </c>
      <c r="C67" s="11"/>
      <c r="D67" s="12">
        <f>+D64-D66</f>
        <v>164847</v>
      </c>
      <c r="E67" s="13">
        <f t="shared" si="3"/>
        <v>82424</v>
      </c>
      <c r="F67" s="12">
        <f t="shared" si="4"/>
        <v>82423</v>
      </c>
    </row>
    <row r="68" spans="1:8">
      <c r="A68" s="8">
        <v>5</v>
      </c>
      <c r="B68" s="11" t="s">
        <v>662</v>
      </c>
      <c r="C68" s="10">
        <v>1.1249999999999999E-3</v>
      </c>
      <c r="D68" s="12">
        <f>ROUND(D$3*C68,0)</f>
        <v>1511</v>
      </c>
      <c r="E68" s="13">
        <f t="shared" si="3"/>
        <v>756</v>
      </c>
      <c r="F68" s="12">
        <f t="shared" si="4"/>
        <v>755</v>
      </c>
    </row>
    <row r="69" spans="1:8">
      <c r="A69" s="8">
        <v>5</v>
      </c>
      <c r="B69" s="11" t="s">
        <v>663</v>
      </c>
      <c r="C69" s="10">
        <v>4.5710000000000004E-3</v>
      </c>
      <c r="D69" s="12">
        <f>ROUND(D$3*C69,0)</f>
        <v>6141</v>
      </c>
      <c r="E69" s="13">
        <f t="shared" si="3"/>
        <v>3071</v>
      </c>
      <c r="F69" s="12">
        <f t="shared" si="4"/>
        <v>3070</v>
      </c>
    </row>
    <row r="70" spans="1:8">
      <c r="A70" s="8">
        <v>5</v>
      </c>
      <c r="B70" s="11" t="s">
        <v>664</v>
      </c>
      <c r="C70" s="10">
        <v>1.1701E-2</v>
      </c>
      <c r="D70" s="12">
        <f>ROUND(D$3*C70,0)</f>
        <v>15719</v>
      </c>
      <c r="E70" s="13">
        <f t="shared" si="3"/>
        <v>7860</v>
      </c>
      <c r="F70" s="12">
        <f t="shared" si="4"/>
        <v>7859</v>
      </c>
    </row>
    <row r="71" spans="1:8">
      <c r="A71" s="8" t="s">
        <v>590</v>
      </c>
      <c r="B71" s="11" t="s">
        <v>665</v>
      </c>
      <c r="C71" s="10">
        <v>4.6500000000000003E-4</v>
      </c>
      <c r="D71" s="12">
        <f>ROUND(D$3*C71,0)</f>
        <v>625</v>
      </c>
      <c r="E71" s="13">
        <f t="shared" si="3"/>
        <v>313</v>
      </c>
      <c r="F71" s="12">
        <f t="shared" si="4"/>
        <v>312</v>
      </c>
    </row>
    <row r="72" spans="1:8">
      <c r="A72" s="8">
        <v>5</v>
      </c>
      <c r="B72" s="11" t="s">
        <v>666</v>
      </c>
      <c r="C72" s="10">
        <v>6.1590000000000256E-3</v>
      </c>
      <c r="D72" s="12">
        <f>+D3-SUM(D4:D5)-SUM(D10:D44)-D48-D52-D56-D60-D64-SUM(D68:D71)</f>
        <v>8274</v>
      </c>
      <c r="E72" s="13">
        <f t="shared" si="3"/>
        <v>4137</v>
      </c>
      <c r="F72" s="12">
        <f t="shared" si="4"/>
        <v>4137</v>
      </c>
    </row>
    <row r="73" spans="1:8">
      <c r="A73" s="8"/>
      <c r="B73" s="28" t="s">
        <v>288</v>
      </c>
      <c r="C73" s="10">
        <v>1</v>
      </c>
      <c r="D73" s="12">
        <f>+D4+SUM(D7:D43)+SUM(D46:D47)+SUM(D50:D51)+SUM(D54:D55)+SUM(D58:D59)+SUM(D62:D63)+SUM(D66:D72)</f>
        <v>1343409</v>
      </c>
      <c r="E73" s="12">
        <f>+E4+SUM(E7:E43)+SUM(E46:E47)+SUM(E50:E51)+SUM(E54:E55)+SUM(E58:E59)+SUM(E62:E63)+SUM(E66:E72)</f>
        <v>671718</v>
      </c>
      <c r="F73" s="12">
        <f>+F4+SUM(F7:F43)+SUM(F46:F47)+SUM(F50:F51)+SUM(F54:F55)+SUM(F58:F59)+SUM(F62:F63)+SUM(F66:F72)</f>
        <v>671691</v>
      </c>
    </row>
    <row r="74" spans="1:8">
      <c r="B74" s="18" t="s">
        <v>38</v>
      </c>
      <c r="D74" s="19">
        <f>+D4</f>
        <v>1519</v>
      </c>
      <c r="E74" s="19">
        <f>+E4</f>
        <v>760</v>
      </c>
      <c r="F74" s="19">
        <f>+F4</f>
        <v>759</v>
      </c>
    </row>
    <row r="75" spans="1:8">
      <c r="B75" s="2" t="s">
        <v>39</v>
      </c>
      <c r="D75" s="19">
        <f>+D7</f>
        <v>9123</v>
      </c>
      <c r="E75" s="19">
        <f>+E7</f>
        <v>4562</v>
      </c>
      <c r="F75" s="19">
        <f>+F7</f>
        <v>4561</v>
      </c>
    </row>
    <row r="76" spans="1:8">
      <c r="B76" s="2" t="s">
        <v>40</v>
      </c>
      <c r="D76" s="19">
        <f>+D46+D50+D54+D58+D62+D66</f>
        <v>437130</v>
      </c>
      <c r="E76" s="19">
        <f>+E46+E50+E54+E58+E62+E66</f>
        <v>218566</v>
      </c>
      <c r="F76" s="19">
        <f>+F46+F50+F54+F58+F62+F66</f>
        <v>218564</v>
      </c>
      <c r="H76" s="3">
        <v>1</v>
      </c>
    </row>
    <row r="77" spans="1:8">
      <c r="B77" s="18" t="s">
        <v>41</v>
      </c>
      <c r="D77" s="19">
        <f>+D73-D74-D75-D76</f>
        <v>895637</v>
      </c>
      <c r="E77" s="19">
        <f>+E73-E74-E75-E76</f>
        <v>447830</v>
      </c>
      <c r="F77" s="19">
        <f>+F73-F74-F75-F76</f>
        <v>447807</v>
      </c>
      <c r="H77" s="3">
        <v>2</v>
      </c>
    </row>
    <row r="79" spans="1:8" hidden="1">
      <c r="B79" s="3" t="s">
        <v>42</v>
      </c>
      <c r="C79" s="4">
        <v>1.0000000000252862E-6</v>
      </c>
      <c r="D79" s="3">
        <f>+D72-ROUND(D3*C72,0)</f>
        <v>0</v>
      </c>
    </row>
  </sheetData>
  <pageMargins left="0.7" right="0.7" top="0.75" bottom="0.75" header="0.3" footer="0.3"/>
  <pageSetup scale="5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pageSetUpPr fitToPage="1"/>
  </sheetPr>
  <dimension ref="A1:WVB71"/>
  <sheetViews>
    <sheetView topLeftCell="A37" zoomScaleNormal="100" zoomScaleSheetLayoutView="90" workbookViewId="0">
      <selection activeCell="D58" activeCellId="4" sqref="D7:F7 D46:F46 D50:F50 D54:F54 D58:F58"/>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3.710937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3.710937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3.710937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3.710937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3.710937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3.710937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3.710937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3.710937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3.710937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3.710937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3.710937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3.710937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3.710937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3.710937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3.710937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3.710937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3.710937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3.710937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3.710937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3.710937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3.710937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3.710937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3.710937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3.710937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3.710937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3.710937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3.710937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3.710937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3.710937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3.710937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3.710937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3.710937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3.710937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3.710937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3.710937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3.710937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3.710937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3.710937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3.710937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3.710937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3.710937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3.710937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3.710937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3.710937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3.710937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3.710937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3.710937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3.710937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3.710937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3.710937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3.710937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3.710937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3.710937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3.710937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3.710937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3.710937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3.710937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3.710937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3.710937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3.710937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3.710937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3.710937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3.710937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667</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Worksheet'!$D$33</f>
        <v>679825</v>
      </c>
      <c r="E3" s="11"/>
      <c r="F3" s="11"/>
    </row>
    <row r="4" spans="1:6">
      <c r="A4" s="8">
        <v>0</v>
      </c>
      <c r="B4" s="11" t="s">
        <v>4</v>
      </c>
      <c r="C4" s="10">
        <v>1.299E-3</v>
      </c>
      <c r="D4" s="12">
        <f>ROUND(D$3*C4,0)</f>
        <v>883</v>
      </c>
      <c r="E4" s="13">
        <f>ROUND(D4/2,0)</f>
        <v>442</v>
      </c>
      <c r="F4" s="12">
        <f>D4-E4</f>
        <v>441</v>
      </c>
    </row>
    <row r="5" spans="1:6">
      <c r="A5" s="8">
        <v>1</v>
      </c>
      <c r="B5" s="11" t="s">
        <v>668</v>
      </c>
      <c r="C5" s="10">
        <v>0.162909</v>
      </c>
      <c r="D5" s="9">
        <f>ROUND(D$3*C5,0)</f>
        <v>110750</v>
      </c>
      <c r="E5" s="11">
        <f>ROUND(D5/2,0)</f>
        <v>55375</v>
      </c>
      <c r="F5" s="9">
        <f>D5-E5</f>
        <v>55375</v>
      </c>
    </row>
    <row r="6" spans="1:6">
      <c r="A6" s="8"/>
      <c r="B6" s="11" t="s">
        <v>6</v>
      </c>
      <c r="C6" s="11"/>
      <c r="D6" s="14">
        <v>0.131215</v>
      </c>
      <c r="E6" s="11"/>
      <c r="F6" s="11"/>
    </row>
    <row r="7" spans="1:6">
      <c r="A7" s="8"/>
      <c r="B7" s="11" t="s">
        <v>7</v>
      </c>
      <c r="C7" s="11"/>
      <c r="D7" s="228">
        <f>ROUND(D5*D6,0)</f>
        <v>14532</v>
      </c>
      <c r="E7" s="229">
        <f>ROUND(D7/2,0)</f>
        <v>7266</v>
      </c>
      <c r="F7" s="228">
        <f>D7-E7</f>
        <v>7266</v>
      </c>
    </row>
    <row r="8" spans="1:6">
      <c r="A8" s="8"/>
      <c r="B8" s="11" t="s">
        <v>8</v>
      </c>
      <c r="C8" s="11"/>
      <c r="D8" s="12">
        <f>+D5-D7</f>
        <v>96218</v>
      </c>
      <c r="E8" s="13">
        <f>ROUND(D8/2,0)</f>
        <v>48109</v>
      </c>
      <c r="F8" s="12">
        <f>D8-E8</f>
        <v>48109</v>
      </c>
    </row>
    <row r="9" spans="1:6">
      <c r="A9" s="8">
        <v>2</v>
      </c>
      <c r="B9" s="11" t="s">
        <v>669</v>
      </c>
      <c r="C9" s="11"/>
      <c r="D9" s="9"/>
      <c r="E9" s="11"/>
      <c r="F9" s="11"/>
    </row>
    <row r="10" spans="1:6">
      <c r="A10" s="8"/>
      <c r="B10" s="11" t="s">
        <v>10</v>
      </c>
      <c r="C10" s="10">
        <v>2.9100000000000003E-4</v>
      </c>
      <c r="D10" s="12">
        <f>ROUND(D$3*C10,0)</f>
        <v>198</v>
      </c>
      <c r="E10" s="13">
        <f>ROUND(D10/2,0)</f>
        <v>99</v>
      </c>
      <c r="F10" s="12">
        <f>D10-E10</f>
        <v>99</v>
      </c>
    </row>
    <row r="11" spans="1:6">
      <c r="A11" s="8"/>
      <c r="B11" s="11" t="s">
        <v>11</v>
      </c>
      <c r="C11" s="10">
        <v>1.7699999999999999E-4</v>
      </c>
      <c r="D11" s="12">
        <f>ROUND(D$3*C11,0)</f>
        <v>120</v>
      </c>
      <c r="E11" s="13">
        <f>ROUND(D11/2,0)</f>
        <v>60</v>
      </c>
      <c r="F11" s="12">
        <f>D11-E11</f>
        <v>60</v>
      </c>
    </row>
    <row r="12" spans="1:6">
      <c r="A12" s="8">
        <v>2</v>
      </c>
      <c r="B12" s="11" t="s">
        <v>670</v>
      </c>
      <c r="C12" s="11"/>
      <c r="D12" s="9"/>
      <c r="E12" s="11"/>
      <c r="F12" s="11"/>
    </row>
    <row r="13" spans="1:6">
      <c r="A13" s="8"/>
      <c r="B13" s="11" t="s">
        <v>10</v>
      </c>
      <c r="C13" s="10">
        <v>7.5900000000000002E-4</v>
      </c>
      <c r="D13" s="12">
        <f>ROUND(D$3*C13,0)</f>
        <v>516</v>
      </c>
      <c r="E13" s="13">
        <f>ROUND(D13/2,0)</f>
        <v>258</v>
      </c>
      <c r="F13" s="12">
        <f>D13-E13</f>
        <v>258</v>
      </c>
    </row>
    <row r="14" spans="1:6">
      <c r="A14" s="8"/>
      <c r="B14" s="11" t="s">
        <v>11</v>
      </c>
      <c r="C14" s="10">
        <v>5.5900000000000004E-4</v>
      </c>
      <c r="D14" s="12">
        <f>ROUND(D$3*C14,0)</f>
        <v>380</v>
      </c>
      <c r="E14" s="13">
        <f>ROUND(D14/2,0)</f>
        <v>190</v>
      </c>
      <c r="F14" s="12">
        <f>D14-E14</f>
        <v>190</v>
      </c>
    </row>
    <row r="15" spans="1:6">
      <c r="A15" s="8">
        <v>2</v>
      </c>
      <c r="B15" s="11" t="s">
        <v>671</v>
      </c>
      <c r="C15" s="11"/>
      <c r="D15" s="9"/>
      <c r="E15" s="11"/>
      <c r="F15" s="11"/>
    </row>
    <row r="16" spans="1:6">
      <c r="A16" s="8"/>
      <c r="B16" s="11" t="s">
        <v>10</v>
      </c>
      <c r="C16" s="10">
        <v>4.1599999999999997E-4</v>
      </c>
      <c r="D16" s="12">
        <f>ROUND(D$3*C16,0)</f>
        <v>283</v>
      </c>
      <c r="E16" s="13">
        <f>ROUND(D16/2,0)</f>
        <v>142</v>
      </c>
      <c r="F16" s="12">
        <f>D16-E16</f>
        <v>141</v>
      </c>
    </row>
    <row r="17" spans="1:6">
      <c r="A17" s="8"/>
      <c r="B17" s="11" t="s">
        <v>11</v>
      </c>
      <c r="C17" s="10">
        <v>3.9399999999999998E-4</v>
      </c>
      <c r="D17" s="12">
        <f>ROUND(D$3*C17,0)</f>
        <v>268</v>
      </c>
      <c r="E17" s="13">
        <f>ROUND(D17/2,0)</f>
        <v>134</v>
      </c>
      <c r="F17" s="12">
        <f>D17-E17</f>
        <v>134</v>
      </c>
    </row>
    <row r="18" spans="1:6">
      <c r="A18" s="8">
        <v>2</v>
      </c>
      <c r="B18" s="11" t="s">
        <v>672</v>
      </c>
      <c r="C18" s="11"/>
      <c r="D18" s="9"/>
      <c r="E18" s="11"/>
      <c r="F18" s="11"/>
    </row>
    <row r="19" spans="1:6">
      <c r="A19" s="8"/>
      <c r="B19" s="11" t="s">
        <v>10</v>
      </c>
      <c r="C19" s="10">
        <v>4.7670000000000004E-3</v>
      </c>
      <c r="D19" s="12">
        <f>ROUND(D$3*C19,0)</f>
        <v>3241</v>
      </c>
      <c r="E19" s="13">
        <f>ROUND(D19/2,0)</f>
        <v>1621</v>
      </c>
      <c r="F19" s="12">
        <f>D19-E19</f>
        <v>1620</v>
      </c>
    </row>
    <row r="20" spans="1:6">
      <c r="A20" s="8"/>
      <c r="B20" s="11" t="s">
        <v>11</v>
      </c>
      <c r="C20" s="10">
        <v>5.6179999999999997E-3</v>
      </c>
      <c r="D20" s="12">
        <f>ROUND(D$3*C20,0)</f>
        <v>3819</v>
      </c>
      <c r="E20" s="13">
        <f>ROUND(D20/2,0)</f>
        <v>1910</v>
      </c>
      <c r="F20" s="12">
        <f>D20-E20</f>
        <v>1909</v>
      </c>
    </row>
    <row r="21" spans="1:6">
      <c r="A21" s="8">
        <v>2</v>
      </c>
      <c r="B21" s="11" t="s">
        <v>107</v>
      </c>
      <c r="C21" s="11"/>
      <c r="D21" s="9"/>
      <c r="E21" s="11"/>
      <c r="F21" s="11"/>
    </row>
    <row r="22" spans="1:6">
      <c r="A22" s="8"/>
      <c r="B22" s="11" t="s">
        <v>10</v>
      </c>
      <c r="C22" s="10">
        <v>2.202E-3</v>
      </c>
      <c r="D22" s="12">
        <f>ROUND(D$3*C22,0)</f>
        <v>1497</v>
      </c>
      <c r="E22" s="13">
        <f>ROUND(D22/2,0)</f>
        <v>749</v>
      </c>
      <c r="F22" s="12">
        <f>D22-E22</f>
        <v>748</v>
      </c>
    </row>
    <row r="23" spans="1:6">
      <c r="A23" s="8"/>
      <c r="B23" s="11" t="s">
        <v>11</v>
      </c>
      <c r="C23" s="10">
        <v>9.2900000000000003E-4</v>
      </c>
      <c r="D23" s="12">
        <f>ROUND(D$3*C23,0)</f>
        <v>632</v>
      </c>
      <c r="E23" s="13">
        <f>ROUND(D23/2,0)</f>
        <v>316</v>
      </c>
      <c r="F23" s="12">
        <f>D23-E23</f>
        <v>316</v>
      </c>
    </row>
    <row r="24" spans="1:6">
      <c r="A24" s="8">
        <v>2</v>
      </c>
      <c r="B24" s="11" t="s">
        <v>593</v>
      </c>
      <c r="C24" s="11"/>
      <c r="D24" s="9"/>
      <c r="E24" s="11"/>
      <c r="F24" s="11"/>
    </row>
    <row r="25" spans="1:6">
      <c r="A25" s="8"/>
      <c r="B25" s="11" t="s">
        <v>10</v>
      </c>
      <c r="C25" s="10">
        <v>3.5860000000000002E-3</v>
      </c>
      <c r="D25" s="12">
        <f>ROUND(D$3*C25,0)</f>
        <v>2438</v>
      </c>
      <c r="E25" s="13">
        <f>ROUND(D25/2,0)</f>
        <v>1219</v>
      </c>
      <c r="F25" s="12">
        <f>D25-E25</f>
        <v>1219</v>
      </c>
    </row>
    <row r="26" spans="1:6">
      <c r="A26" s="8"/>
      <c r="B26" s="11" t="s">
        <v>11</v>
      </c>
      <c r="C26" s="10">
        <v>1.0150000000000001E-3</v>
      </c>
      <c r="D26" s="12">
        <f>ROUND(D$3*C26,0)</f>
        <v>690</v>
      </c>
      <c r="E26" s="13">
        <f>ROUND(D26/2,0)</f>
        <v>345</v>
      </c>
      <c r="F26" s="12">
        <f>D26-E26</f>
        <v>345</v>
      </c>
    </row>
    <row r="27" spans="1:6">
      <c r="A27" s="8">
        <v>2</v>
      </c>
      <c r="B27" s="11" t="s">
        <v>49</v>
      </c>
      <c r="C27" s="11"/>
      <c r="D27" s="9"/>
      <c r="E27" s="11"/>
      <c r="F27" s="11"/>
    </row>
    <row r="28" spans="1:6">
      <c r="A28" s="8"/>
      <c r="B28" s="11" t="s">
        <v>10</v>
      </c>
      <c r="C28" s="10">
        <v>7.4100000000000001E-4</v>
      </c>
      <c r="D28" s="12">
        <f>ROUND(D$3*C28,0)</f>
        <v>504</v>
      </c>
      <c r="E28" s="13">
        <f>ROUND(D28/2,0)</f>
        <v>252</v>
      </c>
      <c r="F28" s="12">
        <f>D28-E28</f>
        <v>252</v>
      </c>
    </row>
    <row r="29" spans="1:6">
      <c r="A29" s="8"/>
      <c r="B29" s="11" t="s">
        <v>11</v>
      </c>
      <c r="C29" s="10">
        <v>4.8099999999999998E-4</v>
      </c>
      <c r="D29" s="12">
        <f>ROUND(D$3*C29,0)</f>
        <v>327</v>
      </c>
      <c r="E29" s="13">
        <f>ROUND(D29/2,0)</f>
        <v>164</v>
      </c>
      <c r="F29" s="12">
        <f>D29-E29</f>
        <v>163</v>
      </c>
    </row>
    <row r="30" spans="1:6">
      <c r="A30" s="8">
        <v>2</v>
      </c>
      <c r="B30" s="11" t="s">
        <v>149</v>
      </c>
      <c r="C30" s="11"/>
      <c r="D30" s="9"/>
      <c r="E30" s="11"/>
      <c r="F30" s="11"/>
    </row>
    <row r="31" spans="1:6">
      <c r="A31" s="8"/>
      <c r="B31" s="11" t="s">
        <v>10</v>
      </c>
      <c r="C31" s="10">
        <v>1.952E-3</v>
      </c>
      <c r="D31" s="12">
        <f>ROUND(D$3*C31,0)</f>
        <v>1327</v>
      </c>
      <c r="E31" s="13">
        <f>ROUND(D31/2,0)</f>
        <v>664</v>
      </c>
      <c r="F31" s="12">
        <f>D31-E31</f>
        <v>663</v>
      </c>
    </row>
    <row r="32" spans="1:6">
      <c r="A32" s="8"/>
      <c r="B32" s="11" t="s">
        <v>11</v>
      </c>
      <c r="C32" s="10">
        <v>5.189E-3</v>
      </c>
      <c r="D32" s="12">
        <f>ROUND(D$3*C32,0)</f>
        <v>3528</v>
      </c>
      <c r="E32" s="13">
        <f>ROUND(D32/2,0)</f>
        <v>1764</v>
      </c>
      <c r="F32" s="12">
        <f>D32-E32</f>
        <v>1764</v>
      </c>
    </row>
    <row r="33" spans="1:6">
      <c r="A33" s="8">
        <v>2</v>
      </c>
      <c r="B33" s="11" t="s">
        <v>673</v>
      </c>
      <c r="C33" s="11"/>
      <c r="D33" s="9"/>
      <c r="E33" s="11"/>
      <c r="F33" s="11"/>
    </row>
    <row r="34" spans="1:6">
      <c r="A34" s="8"/>
      <c r="B34" s="11" t="s">
        <v>10</v>
      </c>
      <c r="C34" s="10">
        <v>4.2859999999999999E-3</v>
      </c>
      <c r="D34" s="12">
        <f t="shared" ref="D34:D44" si="0">ROUND(D$3*C34,0)</f>
        <v>2914</v>
      </c>
      <c r="E34" s="13">
        <f t="shared" ref="E34:E44" si="1">ROUND(D34/2,0)</f>
        <v>1457</v>
      </c>
      <c r="F34" s="12">
        <f t="shared" ref="F34:F44" si="2">D34-E34</f>
        <v>1457</v>
      </c>
    </row>
    <row r="35" spans="1:6">
      <c r="A35" s="8"/>
      <c r="B35" s="11" t="s">
        <v>11</v>
      </c>
      <c r="C35" s="10">
        <v>7.8700000000000005E-4</v>
      </c>
      <c r="D35" s="12">
        <f t="shared" si="0"/>
        <v>535</v>
      </c>
      <c r="E35" s="13">
        <f t="shared" si="1"/>
        <v>268</v>
      </c>
      <c r="F35" s="12">
        <f t="shared" si="2"/>
        <v>267</v>
      </c>
    </row>
    <row r="36" spans="1:6">
      <c r="A36" s="8">
        <v>3</v>
      </c>
      <c r="B36" s="11" t="s">
        <v>674</v>
      </c>
      <c r="C36" s="10">
        <v>4.2999999999999999E-4</v>
      </c>
      <c r="D36" s="12">
        <f t="shared" si="0"/>
        <v>292</v>
      </c>
      <c r="E36" s="13">
        <f t="shared" si="1"/>
        <v>146</v>
      </c>
      <c r="F36" s="12">
        <f t="shared" si="2"/>
        <v>146</v>
      </c>
    </row>
    <row r="37" spans="1:6">
      <c r="A37" s="8">
        <v>3</v>
      </c>
      <c r="B37" s="11" t="s">
        <v>675</v>
      </c>
      <c r="C37" s="10">
        <v>7.528E-3</v>
      </c>
      <c r="D37" s="12">
        <f t="shared" si="0"/>
        <v>5118</v>
      </c>
      <c r="E37" s="13">
        <f t="shared" si="1"/>
        <v>2559</v>
      </c>
      <c r="F37" s="12">
        <f t="shared" si="2"/>
        <v>2559</v>
      </c>
    </row>
    <row r="38" spans="1:6">
      <c r="A38" s="8">
        <v>3</v>
      </c>
      <c r="B38" s="11" t="s">
        <v>676</v>
      </c>
      <c r="C38" s="10">
        <v>6.4195000000000002E-2</v>
      </c>
      <c r="D38" s="12">
        <f t="shared" si="0"/>
        <v>43641</v>
      </c>
      <c r="E38" s="13">
        <f t="shared" si="1"/>
        <v>21821</v>
      </c>
      <c r="F38" s="12">
        <f t="shared" si="2"/>
        <v>21820</v>
      </c>
    </row>
    <row r="39" spans="1:6">
      <c r="A39" s="8">
        <v>3</v>
      </c>
      <c r="B39" s="11" t="s">
        <v>677</v>
      </c>
      <c r="C39" s="10">
        <v>2.9299999999999999E-3</v>
      </c>
      <c r="D39" s="12">
        <f t="shared" si="0"/>
        <v>1992</v>
      </c>
      <c r="E39" s="13">
        <f t="shared" si="1"/>
        <v>996</v>
      </c>
      <c r="F39" s="12">
        <f t="shared" si="2"/>
        <v>996</v>
      </c>
    </row>
    <row r="40" spans="1:6">
      <c r="A40" s="8">
        <v>3</v>
      </c>
      <c r="B40" s="11" t="s">
        <v>678</v>
      </c>
      <c r="C40" s="10">
        <v>1.2669999999999999E-3</v>
      </c>
      <c r="D40" s="12">
        <f t="shared" si="0"/>
        <v>861</v>
      </c>
      <c r="E40" s="13">
        <f t="shared" si="1"/>
        <v>431</v>
      </c>
      <c r="F40" s="12">
        <f t="shared" si="2"/>
        <v>430</v>
      </c>
    </row>
    <row r="41" spans="1:6">
      <c r="A41" s="8">
        <v>3</v>
      </c>
      <c r="B41" s="11" t="s">
        <v>679</v>
      </c>
      <c r="C41" s="10">
        <v>7.6660000000000001E-3</v>
      </c>
      <c r="D41" s="12">
        <f t="shared" si="0"/>
        <v>5212</v>
      </c>
      <c r="E41" s="13">
        <f t="shared" si="1"/>
        <v>2606</v>
      </c>
      <c r="F41" s="12">
        <f t="shared" si="2"/>
        <v>2606</v>
      </c>
    </row>
    <row r="42" spans="1:6">
      <c r="A42" s="8">
        <v>3</v>
      </c>
      <c r="B42" s="11" t="s">
        <v>680</v>
      </c>
      <c r="C42" s="10">
        <v>1.1E-5</v>
      </c>
      <c r="D42" s="12">
        <f t="shared" si="0"/>
        <v>7</v>
      </c>
      <c r="E42" s="13">
        <f t="shared" si="1"/>
        <v>4</v>
      </c>
      <c r="F42" s="12">
        <f t="shared" si="2"/>
        <v>3</v>
      </c>
    </row>
    <row r="43" spans="1:6">
      <c r="A43" s="8">
        <v>3</v>
      </c>
      <c r="B43" s="11" t="s">
        <v>681</v>
      </c>
      <c r="C43" s="10">
        <v>1.06E-4</v>
      </c>
      <c r="D43" s="12">
        <f t="shared" si="0"/>
        <v>72</v>
      </c>
      <c r="E43" s="13">
        <f t="shared" si="1"/>
        <v>36</v>
      </c>
      <c r="F43" s="12">
        <f t="shared" si="2"/>
        <v>36</v>
      </c>
    </row>
    <row r="44" spans="1:6">
      <c r="A44" s="8">
        <v>4</v>
      </c>
      <c r="B44" s="11" t="s">
        <v>682</v>
      </c>
      <c r="C44" s="10">
        <v>9.1796000000000003E-2</v>
      </c>
      <c r="D44" s="9">
        <f t="shared" si="0"/>
        <v>62405</v>
      </c>
      <c r="E44" s="11">
        <f t="shared" si="1"/>
        <v>31203</v>
      </c>
      <c r="F44" s="9">
        <f t="shared" si="2"/>
        <v>31202</v>
      </c>
    </row>
    <row r="45" spans="1:6">
      <c r="A45" s="8"/>
      <c r="B45" s="11" t="s">
        <v>28</v>
      </c>
      <c r="C45" s="11"/>
      <c r="D45" s="14">
        <v>0.43088500000000002</v>
      </c>
      <c r="E45" s="11"/>
      <c r="F45" s="11"/>
    </row>
    <row r="46" spans="1:6">
      <c r="A46" s="8"/>
      <c r="B46" s="11" t="s">
        <v>29</v>
      </c>
      <c r="C46" s="11"/>
      <c r="D46" s="228">
        <f>ROUND(D44*D45,0)</f>
        <v>26889</v>
      </c>
      <c r="E46" s="229">
        <f>ROUND(D46/2,0)</f>
        <v>13445</v>
      </c>
      <c r="F46" s="228">
        <f>D46-E46</f>
        <v>13444</v>
      </c>
    </row>
    <row r="47" spans="1:6">
      <c r="A47" s="8"/>
      <c r="B47" s="11" t="s">
        <v>30</v>
      </c>
      <c r="C47" s="11"/>
      <c r="D47" s="12">
        <f>+D44-D46</f>
        <v>35516</v>
      </c>
      <c r="E47" s="13">
        <f>ROUND(D47/2,0)</f>
        <v>17758</v>
      </c>
      <c r="F47" s="12">
        <f>D47-E47</f>
        <v>17758</v>
      </c>
    </row>
    <row r="48" spans="1:6">
      <c r="A48" s="8">
        <v>4</v>
      </c>
      <c r="B48" s="11" t="s">
        <v>683</v>
      </c>
      <c r="C48" s="10">
        <v>0.33536500000000002</v>
      </c>
      <c r="D48" s="9">
        <f>ROUND(D$3*C48,0)</f>
        <v>227990</v>
      </c>
      <c r="E48" s="11">
        <f>ROUND(D48/2,0)</f>
        <v>113995</v>
      </c>
      <c r="F48" s="9">
        <f>D48-E48</f>
        <v>113995</v>
      </c>
    </row>
    <row r="49" spans="1:6">
      <c r="A49" s="8"/>
      <c r="B49" s="11" t="s">
        <v>28</v>
      </c>
      <c r="C49" s="11"/>
      <c r="D49" s="14">
        <v>0.41516700000000001</v>
      </c>
      <c r="E49" s="11"/>
      <c r="F49" s="11"/>
    </row>
    <row r="50" spans="1:6">
      <c r="A50" s="8"/>
      <c r="B50" s="11" t="s">
        <v>29</v>
      </c>
      <c r="C50" s="11"/>
      <c r="D50" s="228">
        <f>ROUND(D48*D49,0)</f>
        <v>94654</v>
      </c>
      <c r="E50" s="229">
        <f>ROUND(D50/2,0)</f>
        <v>47327</v>
      </c>
      <c r="F50" s="228">
        <f>D50-E50</f>
        <v>47327</v>
      </c>
    </row>
    <row r="51" spans="1:6">
      <c r="A51" s="8"/>
      <c r="B51" s="11" t="s">
        <v>30</v>
      </c>
      <c r="C51" s="11"/>
      <c r="D51" s="12">
        <f>+D48-D50</f>
        <v>133336</v>
      </c>
      <c r="E51" s="13">
        <f>ROUND(D51/2,0)</f>
        <v>66668</v>
      </c>
      <c r="F51" s="12">
        <f>D51-E51</f>
        <v>66668</v>
      </c>
    </row>
    <row r="52" spans="1:6">
      <c r="A52" s="8">
        <v>4</v>
      </c>
      <c r="B52" s="11" t="s">
        <v>684</v>
      </c>
      <c r="C52" s="10">
        <v>0.17296700000000001</v>
      </c>
      <c r="D52" s="9">
        <f>ROUND(D$3*C52,0)</f>
        <v>117587</v>
      </c>
      <c r="E52" s="11">
        <f>ROUND(D52/2,0)</f>
        <v>58794</v>
      </c>
      <c r="F52" s="9">
        <f>D52-E52</f>
        <v>58793</v>
      </c>
    </row>
    <row r="53" spans="1:6">
      <c r="A53" s="8"/>
      <c r="B53" s="11" t="s">
        <v>28</v>
      </c>
      <c r="C53" s="11"/>
      <c r="D53" s="14">
        <v>0.41213100000000003</v>
      </c>
      <c r="E53" s="11"/>
      <c r="F53" s="11"/>
    </row>
    <row r="54" spans="1:6">
      <c r="A54" s="8"/>
      <c r="B54" s="11" t="s">
        <v>29</v>
      </c>
      <c r="C54" s="11"/>
      <c r="D54" s="228">
        <f>ROUND(D52*D53,0)</f>
        <v>48461</v>
      </c>
      <c r="E54" s="229">
        <f>ROUND(D54/2,0)</f>
        <v>24231</v>
      </c>
      <c r="F54" s="228">
        <f>D54-E54</f>
        <v>24230</v>
      </c>
    </row>
    <row r="55" spans="1:6">
      <c r="A55" s="8"/>
      <c r="B55" s="11" t="s">
        <v>30</v>
      </c>
      <c r="C55" s="11"/>
      <c r="D55" s="12">
        <f>+D52-D54</f>
        <v>69126</v>
      </c>
      <c r="E55" s="13">
        <f>ROUND(D55/2,0)</f>
        <v>34563</v>
      </c>
      <c r="F55" s="12">
        <f>D55-E55</f>
        <v>34563</v>
      </c>
    </row>
    <row r="56" spans="1:6">
      <c r="A56" s="8">
        <v>4</v>
      </c>
      <c r="B56" s="11" t="s">
        <v>685</v>
      </c>
      <c r="C56" s="10">
        <v>0.11738199999999988</v>
      </c>
      <c r="D56" s="9">
        <f>+D3:D3-SUM(D4:D5)-SUM(D10:D44)-D48-D52</f>
        <v>79798</v>
      </c>
      <c r="E56" s="11">
        <f>ROUND(D56/2,0)</f>
        <v>39899</v>
      </c>
      <c r="F56" s="9">
        <f>D56-E56</f>
        <v>39899</v>
      </c>
    </row>
    <row r="57" spans="1:6">
      <c r="A57" s="8"/>
      <c r="B57" s="11" t="s">
        <v>28</v>
      </c>
      <c r="C57" s="11"/>
      <c r="D57" s="14">
        <v>0.39052900000000002</v>
      </c>
      <c r="E57" s="11"/>
      <c r="F57" s="11"/>
    </row>
    <row r="58" spans="1:6">
      <c r="A58" s="8"/>
      <c r="B58" s="11" t="s">
        <v>29</v>
      </c>
      <c r="C58" s="11"/>
      <c r="D58" s="228">
        <f>ROUND(D56*D57,0)</f>
        <v>31163</v>
      </c>
      <c r="E58" s="229">
        <f>ROUND(D58/2,0)</f>
        <v>15582</v>
      </c>
      <c r="F58" s="228">
        <f>D58-E58</f>
        <v>15581</v>
      </c>
    </row>
    <row r="59" spans="1:6">
      <c r="A59" s="8"/>
      <c r="B59" s="11" t="s">
        <v>30</v>
      </c>
      <c r="C59" s="11"/>
      <c r="D59" s="12">
        <f>+D56-D58</f>
        <v>48635</v>
      </c>
      <c r="E59" s="13">
        <f>ROUND(D59/2,0)</f>
        <v>24318</v>
      </c>
      <c r="F59" s="12">
        <f>D59-E59</f>
        <v>24317</v>
      </c>
    </row>
    <row r="60" spans="1:6">
      <c r="A60" s="8">
        <v>5</v>
      </c>
      <c r="B60" s="11" t="s">
        <v>686</v>
      </c>
      <c r="C60" s="10">
        <v>0</v>
      </c>
      <c r="D60" s="12">
        <f>ROUND(D$3*C60,0)</f>
        <v>0</v>
      </c>
      <c r="E60" s="12">
        <f>ROUND(D60/2,0)</f>
        <v>0</v>
      </c>
      <c r="F60" s="12">
        <f>D60-E60</f>
        <v>0</v>
      </c>
    </row>
    <row r="61" spans="1:6">
      <c r="A61" s="8">
        <v>5</v>
      </c>
      <c r="B61" s="11" t="s">
        <v>687</v>
      </c>
      <c r="C61" s="10">
        <v>0</v>
      </c>
      <c r="D61" s="12">
        <f>ROUND(D$3*C61,0)</f>
        <v>0</v>
      </c>
      <c r="E61" s="12">
        <f>ROUND(D61/2,0)</f>
        <v>0</v>
      </c>
      <c r="F61" s="12">
        <f>D61-E61</f>
        <v>0</v>
      </c>
    </row>
    <row r="62" spans="1:6">
      <c r="A62" s="8">
        <v>6</v>
      </c>
      <c r="B62" s="11" t="s">
        <v>488</v>
      </c>
      <c r="C62" s="10">
        <v>0</v>
      </c>
      <c r="D62" s="12">
        <f>ROUND(D$3*C62,0)</f>
        <v>0</v>
      </c>
      <c r="E62" s="12">
        <f>ROUND(D62/2,0)</f>
        <v>0</v>
      </c>
      <c r="F62" s="12">
        <f>D62-E62</f>
        <v>0</v>
      </c>
    </row>
    <row r="63" spans="1:6">
      <c r="A63" s="8"/>
      <c r="B63" s="28" t="s">
        <v>288</v>
      </c>
      <c r="C63" s="10">
        <v>1</v>
      </c>
      <c r="D63" s="12">
        <f>+D4+SUM(D7:D43)+SUM(D46:D47)+SUM(D50:D51)+SUM(D54:D55)+SUM(D58:D62)</f>
        <v>679825</v>
      </c>
      <c r="E63" s="12">
        <f>+E4+SUM(E7:E43)+SUM(E46:E47)+SUM(E50:E51)+SUM(E54:E55)+SUM(E58:E62)</f>
        <v>339920</v>
      </c>
      <c r="F63" s="12">
        <f>+F4+SUM(F7:F43)+SUM(F46:F47)+SUM(F50:F51)+SUM(F54:F55)+SUM(F58:F62)</f>
        <v>339905</v>
      </c>
    </row>
    <row r="64" spans="1:6">
      <c r="B64" s="18" t="s">
        <v>38</v>
      </c>
      <c r="D64" s="19">
        <f>+D4</f>
        <v>883</v>
      </c>
      <c r="E64" s="19">
        <f>+E4</f>
        <v>442</v>
      </c>
      <c r="F64" s="19">
        <f>+F4</f>
        <v>441</v>
      </c>
    </row>
    <row r="65" spans="1:8">
      <c r="B65" s="2" t="s">
        <v>39</v>
      </c>
      <c r="D65" s="19">
        <f>+D7</f>
        <v>14532</v>
      </c>
      <c r="E65" s="19">
        <f>+E7</f>
        <v>7266</v>
      </c>
      <c r="F65" s="19">
        <f>+F7</f>
        <v>7266</v>
      </c>
    </row>
    <row r="66" spans="1:8">
      <c r="B66" s="2" t="s">
        <v>40</v>
      </c>
      <c r="D66" s="19">
        <f>+D46+D50+D54+D58</f>
        <v>201167</v>
      </c>
      <c r="E66" s="19">
        <f>+E46+E50+E54+E58</f>
        <v>100585</v>
      </c>
      <c r="F66" s="19">
        <f>+F46+F50+F54+F58</f>
        <v>100582</v>
      </c>
      <c r="H66" s="3">
        <v>1</v>
      </c>
    </row>
    <row r="67" spans="1:8">
      <c r="B67" s="18" t="s">
        <v>41</v>
      </c>
      <c r="D67" s="19">
        <f>+D63-D64-D65-D66</f>
        <v>463243</v>
      </c>
      <c r="E67" s="19">
        <f>+E63-E64-E65-E66</f>
        <v>231627</v>
      </c>
      <c r="F67" s="19">
        <f>+F63-F64-F65-F66</f>
        <v>231616</v>
      </c>
      <c r="H67" s="3">
        <v>2</v>
      </c>
    </row>
    <row r="69" spans="1:8" hidden="1">
      <c r="B69" s="3" t="s">
        <v>42</v>
      </c>
      <c r="C69" s="4">
        <v>-2.0000000001269003E-6</v>
      </c>
      <c r="D69" s="3">
        <f>+D56-ROUND(D3*C56,0)</f>
        <v>-1</v>
      </c>
    </row>
    <row r="71" spans="1:8">
      <c r="A71" s="1" t="s">
        <v>590</v>
      </c>
    </row>
  </sheetData>
  <pageMargins left="0.7" right="0.7" top="0.75" bottom="0.75" header="0.3" footer="0.3"/>
  <pageSetup scale="64"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pageSetUpPr fitToPage="1"/>
  </sheetPr>
  <dimension ref="A1:WVB83"/>
  <sheetViews>
    <sheetView topLeftCell="A48" zoomScaleNormal="100" zoomScaleSheetLayoutView="90" workbookViewId="0">
      <selection activeCell="D69" activeCellId="4" sqref="D7:F7 D57:F57 D61:F61 D65:F65 D69:F69"/>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6.28515625" style="3" hidden="1"/>
    <col min="190" max="246" width="9.140625" style="3" hidden="1"/>
    <col min="247" max="247" width="16.28515625" style="3" hidden="1"/>
    <col min="248" max="248" width="17.5703125" style="3" hidden="1"/>
    <col min="249" max="249" width="16" style="3" hidden="1"/>
    <col min="250" max="250" width="18.140625" style="3" hidden="1"/>
    <col min="251" max="443" width="9.140625" style="3" hidden="1"/>
    <col min="444" max="444" width="11" style="3" hidden="1"/>
    <col min="445" max="445" width="56.28515625" style="3" hidden="1"/>
    <col min="446" max="502" width="9.140625" style="3" hidden="1"/>
    <col min="503" max="503" width="16.28515625" style="3" hidden="1"/>
    <col min="504" max="504" width="17.5703125" style="3" hidden="1"/>
    <col min="505" max="505" width="16" style="3" hidden="1"/>
    <col min="506" max="506" width="18.140625" style="3" hidden="1"/>
    <col min="507" max="699" width="9.140625" style="3" hidden="1"/>
    <col min="700" max="700" width="11" style="3" hidden="1"/>
    <col min="701" max="701" width="56.28515625" style="3" hidden="1"/>
    <col min="702" max="758" width="9.140625" style="3" hidden="1"/>
    <col min="759" max="759" width="16.28515625" style="3" hidden="1"/>
    <col min="760" max="760" width="17.5703125" style="3" hidden="1"/>
    <col min="761" max="761" width="16" style="3" hidden="1"/>
    <col min="762" max="762" width="18.140625" style="3" hidden="1"/>
    <col min="763" max="955" width="9.140625" style="3" hidden="1"/>
    <col min="956" max="956" width="11" style="3" hidden="1"/>
    <col min="957" max="957" width="56.28515625" style="3" hidden="1"/>
    <col min="958" max="1014" width="9.140625" style="3" hidden="1"/>
    <col min="1015" max="1015" width="16.28515625" style="3" hidden="1"/>
    <col min="1016" max="1016" width="17.5703125" style="3" hidden="1"/>
    <col min="1017" max="1017" width="16" style="3" hidden="1"/>
    <col min="1018" max="1018" width="18.140625" style="3" hidden="1"/>
    <col min="1019" max="1211" width="9.140625" style="3" hidden="1"/>
    <col min="1212" max="1212" width="11" style="3" hidden="1"/>
    <col min="1213" max="1213" width="56.28515625" style="3" hidden="1"/>
    <col min="1214" max="1270" width="9.140625" style="3" hidden="1"/>
    <col min="1271" max="1271" width="16.28515625" style="3" hidden="1"/>
    <col min="1272" max="1272" width="17.5703125" style="3" hidden="1"/>
    <col min="1273" max="1273" width="16" style="3" hidden="1"/>
    <col min="1274" max="1274" width="18.140625" style="3" hidden="1"/>
    <col min="1275" max="1467" width="9.140625" style="3" hidden="1"/>
    <col min="1468" max="1468" width="11" style="3" hidden="1"/>
    <col min="1469" max="1469" width="56.28515625" style="3" hidden="1"/>
    <col min="1470" max="1526" width="9.140625" style="3" hidden="1"/>
    <col min="1527" max="1527" width="16.28515625" style="3" hidden="1"/>
    <col min="1528" max="1528" width="17.5703125" style="3" hidden="1"/>
    <col min="1529" max="1529" width="16" style="3" hidden="1"/>
    <col min="1530" max="1530" width="18.140625" style="3" hidden="1"/>
    <col min="1531" max="1723" width="9.140625" style="3" hidden="1"/>
    <col min="1724" max="1724" width="11" style="3" hidden="1"/>
    <col min="1725" max="1725" width="56.28515625" style="3" hidden="1"/>
    <col min="1726" max="1782" width="9.140625" style="3" hidden="1"/>
    <col min="1783" max="1783" width="16.28515625" style="3" hidden="1"/>
    <col min="1784" max="1784" width="17.5703125" style="3" hidden="1"/>
    <col min="1785" max="1785" width="16" style="3" hidden="1"/>
    <col min="1786" max="1786" width="18.140625" style="3" hidden="1"/>
    <col min="1787" max="1979" width="9.140625" style="3" hidden="1"/>
    <col min="1980" max="1980" width="11" style="3" hidden="1"/>
    <col min="1981" max="1981" width="56.28515625" style="3" hidden="1"/>
    <col min="1982" max="2038" width="9.140625" style="3" hidden="1"/>
    <col min="2039" max="2039" width="16.28515625" style="3" hidden="1"/>
    <col min="2040" max="2040" width="17.5703125" style="3" hidden="1"/>
    <col min="2041" max="2041" width="16" style="3" hidden="1"/>
    <col min="2042" max="2042" width="18.140625" style="3" hidden="1"/>
    <col min="2043" max="2235" width="9.140625" style="3" hidden="1"/>
    <col min="2236" max="2236" width="11" style="3" hidden="1"/>
    <col min="2237" max="2237" width="56.28515625" style="3" hidden="1"/>
    <col min="2238" max="2294" width="9.140625" style="3" hidden="1"/>
    <col min="2295" max="2295" width="16.28515625" style="3" hidden="1"/>
    <col min="2296" max="2296" width="17.5703125" style="3" hidden="1"/>
    <col min="2297" max="2297" width="16" style="3" hidden="1"/>
    <col min="2298" max="2298" width="18.140625" style="3" hidden="1"/>
    <col min="2299" max="2491" width="9.140625" style="3" hidden="1"/>
    <col min="2492" max="2492" width="11" style="3" hidden="1"/>
    <col min="2493" max="2493" width="56.28515625" style="3" hidden="1"/>
    <col min="2494" max="2550" width="9.140625" style="3" hidden="1"/>
    <col min="2551" max="2551" width="16.28515625" style="3" hidden="1"/>
    <col min="2552" max="2552" width="17.5703125" style="3" hidden="1"/>
    <col min="2553" max="2553" width="16" style="3" hidden="1"/>
    <col min="2554" max="2554" width="18.140625" style="3" hidden="1"/>
    <col min="2555" max="2747" width="9.140625" style="3" hidden="1"/>
    <col min="2748" max="2748" width="11" style="3" hidden="1"/>
    <col min="2749" max="2749" width="56.28515625" style="3" hidden="1"/>
    <col min="2750" max="2806" width="9.140625" style="3" hidden="1"/>
    <col min="2807" max="2807" width="16.28515625" style="3" hidden="1"/>
    <col min="2808" max="2808" width="17.5703125" style="3" hidden="1"/>
    <col min="2809" max="2809" width="16" style="3" hidden="1"/>
    <col min="2810" max="2810" width="18.140625" style="3" hidden="1"/>
    <col min="2811" max="3003" width="9.140625" style="3" hidden="1"/>
    <col min="3004" max="3004" width="11" style="3" hidden="1"/>
    <col min="3005" max="3005" width="56.28515625" style="3" hidden="1"/>
    <col min="3006" max="3062" width="9.140625" style="3" hidden="1"/>
    <col min="3063" max="3063" width="16.28515625" style="3" hidden="1"/>
    <col min="3064" max="3064" width="17.5703125" style="3" hidden="1"/>
    <col min="3065" max="3065" width="16" style="3" hidden="1"/>
    <col min="3066" max="3066" width="18.140625" style="3" hidden="1"/>
    <col min="3067" max="3259" width="9.140625" style="3" hidden="1"/>
    <col min="3260" max="3260" width="11" style="3" hidden="1"/>
    <col min="3261" max="3261" width="56.28515625" style="3" hidden="1"/>
    <col min="3262" max="3318" width="9.140625" style="3" hidden="1"/>
    <col min="3319" max="3319" width="16.28515625" style="3" hidden="1"/>
    <col min="3320" max="3320" width="17.5703125" style="3" hidden="1"/>
    <col min="3321" max="3321" width="16" style="3" hidden="1"/>
    <col min="3322" max="3322" width="18.140625" style="3" hidden="1"/>
    <col min="3323" max="3515" width="9.140625" style="3" hidden="1"/>
    <col min="3516" max="3516" width="11" style="3" hidden="1"/>
    <col min="3517" max="3517" width="56.28515625" style="3" hidden="1"/>
    <col min="3518" max="3574" width="9.140625" style="3" hidden="1"/>
    <col min="3575" max="3575" width="16.28515625" style="3" hidden="1"/>
    <col min="3576" max="3576" width="17.5703125" style="3" hidden="1"/>
    <col min="3577" max="3577" width="16" style="3" hidden="1"/>
    <col min="3578" max="3578" width="18.140625" style="3" hidden="1"/>
    <col min="3579" max="3771" width="9.140625" style="3" hidden="1"/>
    <col min="3772" max="3772" width="11" style="3" hidden="1"/>
    <col min="3773" max="3773" width="56.28515625" style="3" hidden="1"/>
    <col min="3774" max="3830" width="9.140625" style="3" hidden="1"/>
    <col min="3831" max="3831" width="16.28515625" style="3" hidden="1"/>
    <col min="3832" max="3832" width="17.5703125" style="3" hidden="1"/>
    <col min="3833" max="3833" width="16" style="3" hidden="1"/>
    <col min="3834" max="3834" width="18.140625" style="3" hidden="1"/>
    <col min="3835" max="4027" width="9.140625" style="3" hidden="1"/>
    <col min="4028" max="4028" width="11" style="3" hidden="1"/>
    <col min="4029" max="4029" width="56.28515625" style="3" hidden="1"/>
    <col min="4030" max="4086" width="9.140625" style="3" hidden="1"/>
    <col min="4087" max="4087" width="16.28515625" style="3" hidden="1"/>
    <col min="4088" max="4088" width="17.5703125" style="3" hidden="1"/>
    <col min="4089" max="4089" width="16" style="3" hidden="1"/>
    <col min="4090" max="4090" width="18.140625" style="3" hidden="1"/>
    <col min="4091" max="4283" width="9.140625" style="3" hidden="1"/>
    <col min="4284" max="4284" width="11" style="3" hidden="1"/>
    <col min="4285" max="4285" width="56.28515625" style="3" hidden="1"/>
    <col min="4286" max="4342" width="9.140625" style="3" hidden="1"/>
    <col min="4343" max="4343" width="16.28515625" style="3" hidden="1"/>
    <col min="4344" max="4344" width="17.5703125" style="3" hidden="1"/>
    <col min="4345" max="4345" width="16" style="3" hidden="1"/>
    <col min="4346" max="4346" width="18.140625" style="3" hidden="1"/>
    <col min="4347" max="4539" width="9.140625" style="3" hidden="1"/>
    <col min="4540" max="4540" width="11" style="3" hidden="1"/>
    <col min="4541" max="4541" width="56.28515625" style="3" hidden="1"/>
    <col min="4542" max="4598" width="9.140625" style="3" hidden="1"/>
    <col min="4599" max="4599" width="16.28515625" style="3" hidden="1"/>
    <col min="4600" max="4600" width="17.5703125" style="3" hidden="1"/>
    <col min="4601" max="4601" width="16" style="3" hidden="1"/>
    <col min="4602" max="4602" width="18.140625" style="3" hidden="1"/>
    <col min="4603" max="4795" width="9.140625" style="3" hidden="1"/>
    <col min="4796" max="4796" width="11" style="3" hidden="1"/>
    <col min="4797" max="4797" width="56.28515625" style="3" hidden="1"/>
    <col min="4798" max="4854" width="9.140625" style="3" hidden="1"/>
    <col min="4855" max="4855" width="16.28515625" style="3" hidden="1"/>
    <col min="4856" max="4856" width="17.5703125" style="3" hidden="1"/>
    <col min="4857" max="4857" width="16" style="3" hidden="1"/>
    <col min="4858" max="4858" width="18.140625" style="3" hidden="1"/>
    <col min="4859" max="5051" width="9.140625" style="3" hidden="1"/>
    <col min="5052" max="5052" width="11" style="3" hidden="1"/>
    <col min="5053" max="5053" width="56.28515625" style="3" hidden="1"/>
    <col min="5054" max="5110" width="9.140625" style="3" hidden="1"/>
    <col min="5111" max="5111" width="16.28515625" style="3" hidden="1"/>
    <col min="5112" max="5112" width="17.5703125" style="3" hidden="1"/>
    <col min="5113" max="5113" width="16" style="3" hidden="1"/>
    <col min="5114" max="5114" width="18.140625" style="3" hidden="1"/>
    <col min="5115" max="5307" width="9.140625" style="3" hidden="1"/>
    <col min="5308" max="5308" width="11" style="3" hidden="1"/>
    <col min="5309" max="5309" width="56.28515625" style="3" hidden="1"/>
    <col min="5310" max="5366" width="9.140625" style="3" hidden="1"/>
    <col min="5367" max="5367" width="16.28515625" style="3" hidden="1"/>
    <col min="5368" max="5368" width="17.5703125" style="3" hidden="1"/>
    <col min="5369" max="5369" width="16" style="3" hidden="1"/>
    <col min="5370" max="5370" width="18.140625" style="3" hidden="1"/>
    <col min="5371" max="5563" width="9.140625" style="3" hidden="1"/>
    <col min="5564" max="5564" width="11" style="3" hidden="1"/>
    <col min="5565" max="5565" width="56.28515625" style="3" hidden="1"/>
    <col min="5566" max="5622" width="9.140625" style="3" hidden="1"/>
    <col min="5623" max="5623" width="16.28515625" style="3" hidden="1"/>
    <col min="5624" max="5624" width="17.5703125" style="3" hidden="1"/>
    <col min="5625" max="5625" width="16" style="3" hidden="1"/>
    <col min="5626" max="5626" width="18.140625" style="3" hidden="1"/>
    <col min="5627" max="5819" width="9.140625" style="3" hidden="1"/>
    <col min="5820" max="5820" width="11" style="3" hidden="1"/>
    <col min="5821" max="5821" width="56.28515625" style="3" hidden="1"/>
    <col min="5822" max="5878" width="9.140625" style="3" hidden="1"/>
    <col min="5879" max="5879" width="16.28515625" style="3" hidden="1"/>
    <col min="5880" max="5880" width="17.5703125" style="3" hidden="1"/>
    <col min="5881" max="5881" width="16" style="3" hidden="1"/>
    <col min="5882" max="5882" width="18.140625" style="3" hidden="1"/>
    <col min="5883" max="6075" width="9.140625" style="3" hidden="1"/>
    <col min="6076" max="6076" width="11" style="3" hidden="1"/>
    <col min="6077" max="6077" width="56.28515625" style="3" hidden="1"/>
    <col min="6078" max="6134" width="9.140625" style="3" hidden="1"/>
    <col min="6135" max="6135" width="16.28515625" style="3" hidden="1"/>
    <col min="6136" max="6136" width="17.5703125" style="3" hidden="1"/>
    <col min="6137" max="6137" width="16" style="3" hidden="1"/>
    <col min="6138" max="6138" width="18.140625" style="3" hidden="1"/>
    <col min="6139" max="6331" width="9.140625" style="3" hidden="1"/>
    <col min="6332" max="6332" width="11" style="3" hidden="1"/>
    <col min="6333" max="6333" width="56.28515625" style="3" hidden="1"/>
    <col min="6334" max="6390" width="9.140625" style="3" hidden="1"/>
    <col min="6391" max="6391" width="16.28515625" style="3" hidden="1"/>
    <col min="6392" max="6392" width="17.5703125" style="3" hidden="1"/>
    <col min="6393" max="6393" width="16" style="3" hidden="1"/>
    <col min="6394" max="6394" width="18.140625" style="3" hidden="1"/>
    <col min="6395" max="6587" width="9.140625" style="3" hidden="1"/>
    <col min="6588" max="6588" width="11" style="3" hidden="1"/>
    <col min="6589" max="6589" width="56.28515625" style="3" hidden="1"/>
    <col min="6590" max="6646" width="9.140625" style="3" hidden="1"/>
    <col min="6647" max="6647" width="16.28515625" style="3" hidden="1"/>
    <col min="6648" max="6648" width="17.5703125" style="3" hidden="1"/>
    <col min="6649" max="6649" width="16" style="3" hidden="1"/>
    <col min="6650" max="6650" width="18.140625" style="3" hidden="1"/>
    <col min="6651" max="6843" width="9.140625" style="3" hidden="1"/>
    <col min="6844" max="6844" width="11" style="3" hidden="1"/>
    <col min="6845" max="6845" width="56.28515625" style="3" hidden="1"/>
    <col min="6846" max="6902" width="9.140625" style="3" hidden="1"/>
    <col min="6903" max="6903" width="16.28515625" style="3" hidden="1"/>
    <col min="6904" max="6904" width="17.5703125" style="3" hidden="1"/>
    <col min="6905" max="6905" width="16" style="3" hidden="1"/>
    <col min="6906" max="6906" width="18.140625" style="3" hidden="1"/>
    <col min="6907" max="7099" width="9.140625" style="3" hidden="1"/>
    <col min="7100" max="7100" width="11" style="3" hidden="1"/>
    <col min="7101" max="7101" width="56.28515625" style="3" hidden="1"/>
    <col min="7102" max="7158" width="9.140625" style="3" hidden="1"/>
    <col min="7159" max="7159" width="16.28515625" style="3" hidden="1"/>
    <col min="7160" max="7160" width="17.5703125" style="3" hidden="1"/>
    <col min="7161" max="7161" width="16" style="3" hidden="1"/>
    <col min="7162" max="7162" width="18.140625" style="3" hidden="1"/>
    <col min="7163" max="7355" width="9.140625" style="3" hidden="1"/>
    <col min="7356" max="7356" width="11" style="3" hidden="1"/>
    <col min="7357" max="7357" width="56.28515625" style="3" hidden="1"/>
    <col min="7358" max="7414" width="9.140625" style="3" hidden="1"/>
    <col min="7415" max="7415" width="16.28515625" style="3" hidden="1"/>
    <col min="7416" max="7416" width="17.5703125" style="3" hidden="1"/>
    <col min="7417" max="7417" width="16" style="3" hidden="1"/>
    <col min="7418" max="7418" width="18.140625" style="3" hidden="1"/>
    <col min="7419" max="7611" width="9.140625" style="3" hidden="1"/>
    <col min="7612" max="7612" width="11" style="3" hidden="1"/>
    <col min="7613" max="7613" width="56.28515625" style="3" hidden="1"/>
    <col min="7614" max="7670" width="9.140625" style="3" hidden="1"/>
    <col min="7671" max="7671" width="16.28515625" style="3" hidden="1"/>
    <col min="7672" max="7672" width="17.5703125" style="3" hidden="1"/>
    <col min="7673" max="7673" width="16" style="3" hidden="1"/>
    <col min="7674" max="7674" width="18.140625" style="3" hidden="1"/>
    <col min="7675" max="7867" width="9.140625" style="3" hidden="1"/>
    <col min="7868" max="7868" width="11" style="3" hidden="1"/>
    <col min="7869" max="7869" width="56.28515625" style="3" hidden="1"/>
    <col min="7870" max="7926" width="9.140625" style="3" hidden="1"/>
    <col min="7927" max="7927" width="16.28515625" style="3" hidden="1"/>
    <col min="7928" max="7928" width="17.5703125" style="3" hidden="1"/>
    <col min="7929" max="7929" width="16" style="3" hidden="1"/>
    <col min="7930" max="7930" width="18.140625" style="3" hidden="1"/>
    <col min="7931" max="8123" width="9.140625" style="3" hidden="1"/>
    <col min="8124" max="8124" width="11" style="3" hidden="1"/>
    <col min="8125" max="8125" width="56.28515625" style="3" hidden="1"/>
    <col min="8126" max="8182" width="9.140625" style="3" hidden="1"/>
    <col min="8183" max="8183" width="16.28515625" style="3" hidden="1"/>
    <col min="8184" max="8184" width="17.5703125" style="3" hidden="1"/>
    <col min="8185" max="8185" width="16" style="3" hidden="1"/>
    <col min="8186" max="8186" width="18.140625" style="3" hidden="1"/>
    <col min="8187" max="8379" width="9.140625" style="3" hidden="1"/>
    <col min="8380" max="8380" width="11" style="3" hidden="1"/>
    <col min="8381" max="8381" width="56.28515625" style="3" hidden="1"/>
    <col min="8382" max="8438" width="9.140625" style="3" hidden="1"/>
    <col min="8439" max="8439" width="16.28515625" style="3" hidden="1"/>
    <col min="8440" max="8440" width="17.5703125" style="3" hidden="1"/>
    <col min="8441" max="8441" width="16" style="3" hidden="1"/>
    <col min="8442" max="8442" width="18.140625" style="3" hidden="1"/>
    <col min="8443" max="8635" width="9.140625" style="3" hidden="1"/>
    <col min="8636" max="8636" width="11" style="3" hidden="1"/>
    <col min="8637" max="8637" width="56.28515625" style="3" hidden="1"/>
    <col min="8638" max="8694" width="9.140625" style="3" hidden="1"/>
    <col min="8695" max="8695" width="16.28515625" style="3" hidden="1"/>
    <col min="8696" max="8696" width="17.5703125" style="3" hidden="1"/>
    <col min="8697" max="8697" width="16" style="3" hidden="1"/>
    <col min="8698" max="8698" width="18.140625" style="3" hidden="1"/>
    <col min="8699" max="8891" width="9.140625" style="3" hidden="1"/>
    <col min="8892" max="8892" width="11" style="3" hidden="1"/>
    <col min="8893" max="8893" width="56.28515625" style="3" hidden="1"/>
    <col min="8894" max="8950" width="9.140625" style="3" hidden="1"/>
    <col min="8951" max="8951" width="16.28515625" style="3" hidden="1"/>
    <col min="8952" max="8952" width="17.5703125" style="3" hidden="1"/>
    <col min="8953" max="8953" width="16" style="3" hidden="1"/>
    <col min="8954" max="8954" width="18.140625" style="3" hidden="1"/>
    <col min="8955" max="9147" width="9.140625" style="3" hidden="1"/>
    <col min="9148" max="9148" width="11" style="3" hidden="1"/>
    <col min="9149" max="9149" width="56.28515625" style="3" hidden="1"/>
    <col min="9150" max="9206" width="9.140625" style="3" hidden="1"/>
    <col min="9207" max="9207" width="16.28515625" style="3" hidden="1"/>
    <col min="9208" max="9208" width="17.5703125" style="3" hidden="1"/>
    <col min="9209" max="9209" width="16" style="3" hidden="1"/>
    <col min="9210" max="9210" width="18.140625" style="3" hidden="1"/>
    <col min="9211" max="9403" width="9.140625" style="3" hidden="1"/>
    <col min="9404" max="9404" width="11" style="3" hidden="1"/>
    <col min="9405" max="9405" width="56.28515625" style="3" hidden="1"/>
    <col min="9406" max="9462" width="9.140625" style="3" hidden="1"/>
    <col min="9463" max="9463" width="16.28515625" style="3" hidden="1"/>
    <col min="9464" max="9464" width="17.5703125" style="3" hidden="1"/>
    <col min="9465" max="9465" width="16" style="3" hidden="1"/>
    <col min="9466" max="9466" width="18.140625" style="3" hidden="1"/>
    <col min="9467" max="9659" width="9.140625" style="3" hidden="1"/>
    <col min="9660" max="9660" width="11" style="3" hidden="1"/>
    <col min="9661" max="9661" width="56.28515625" style="3" hidden="1"/>
    <col min="9662" max="9718" width="9.140625" style="3" hidden="1"/>
    <col min="9719" max="9719" width="16.28515625" style="3" hidden="1"/>
    <col min="9720" max="9720" width="17.5703125" style="3" hidden="1"/>
    <col min="9721" max="9721" width="16" style="3" hidden="1"/>
    <col min="9722" max="9722" width="18.140625" style="3" hidden="1"/>
    <col min="9723" max="9915" width="9.140625" style="3" hidden="1"/>
    <col min="9916" max="9916" width="11" style="3" hidden="1"/>
    <col min="9917" max="9917" width="56.28515625" style="3" hidden="1"/>
    <col min="9918" max="9974" width="9.140625" style="3" hidden="1"/>
    <col min="9975" max="9975" width="16.28515625" style="3" hidden="1"/>
    <col min="9976" max="9976" width="17.5703125" style="3" hidden="1"/>
    <col min="9977" max="9977" width="16" style="3" hidden="1"/>
    <col min="9978" max="9978" width="18.140625" style="3" hidden="1"/>
    <col min="9979" max="10171" width="9.140625" style="3" hidden="1"/>
    <col min="10172" max="10172" width="11" style="3" hidden="1"/>
    <col min="10173" max="10173" width="56.28515625" style="3" hidden="1"/>
    <col min="10174" max="10230" width="9.140625" style="3" hidden="1"/>
    <col min="10231" max="10231" width="16.28515625" style="3" hidden="1"/>
    <col min="10232" max="10232" width="17.5703125" style="3" hidden="1"/>
    <col min="10233" max="10233" width="16" style="3" hidden="1"/>
    <col min="10234" max="10234" width="18.140625" style="3" hidden="1"/>
    <col min="10235" max="10427" width="9.140625" style="3" hidden="1"/>
    <col min="10428" max="10428" width="11" style="3" hidden="1"/>
    <col min="10429" max="10429" width="56.28515625" style="3" hidden="1"/>
    <col min="10430" max="10486" width="9.140625" style="3" hidden="1"/>
    <col min="10487" max="10487" width="16.28515625" style="3" hidden="1"/>
    <col min="10488" max="10488" width="17.5703125" style="3" hidden="1"/>
    <col min="10489" max="10489" width="16" style="3" hidden="1"/>
    <col min="10490" max="10490" width="18.140625" style="3" hidden="1"/>
    <col min="10491" max="10683" width="9.140625" style="3" hidden="1"/>
    <col min="10684" max="10684" width="11" style="3" hidden="1"/>
    <col min="10685" max="10685" width="56.28515625" style="3" hidden="1"/>
    <col min="10686" max="10742" width="9.140625" style="3" hidden="1"/>
    <col min="10743" max="10743" width="16.28515625" style="3" hidden="1"/>
    <col min="10744" max="10744" width="17.5703125" style="3" hidden="1"/>
    <col min="10745" max="10745" width="16" style="3" hidden="1"/>
    <col min="10746" max="10746" width="18.140625" style="3" hidden="1"/>
    <col min="10747" max="10939" width="9.140625" style="3" hidden="1"/>
    <col min="10940" max="10940" width="11" style="3" hidden="1"/>
    <col min="10941" max="10941" width="56.28515625" style="3" hidden="1"/>
    <col min="10942" max="10998" width="9.140625" style="3" hidden="1"/>
    <col min="10999" max="10999" width="16.28515625" style="3" hidden="1"/>
    <col min="11000" max="11000" width="17.5703125" style="3" hidden="1"/>
    <col min="11001" max="11001" width="16" style="3" hidden="1"/>
    <col min="11002" max="11002" width="18.140625" style="3" hidden="1"/>
    <col min="11003" max="11195" width="9.140625" style="3" hidden="1"/>
    <col min="11196" max="11196" width="11" style="3" hidden="1"/>
    <col min="11197" max="11197" width="56.28515625" style="3" hidden="1"/>
    <col min="11198" max="11254" width="9.140625" style="3" hidden="1"/>
    <col min="11255" max="11255" width="16.28515625" style="3" hidden="1"/>
    <col min="11256" max="11256" width="17.5703125" style="3" hidden="1"/>
    <col min="11257" max="11257" width="16" style="3" hidden="1"/>
    <col min="11258" max="11258" width="18.140625" style="3" hidden="1"/>
    <col min="11259" max="11451" width="9.140625" style="3" hidden="1"/>
    <col min="11452" max="11452" width="11" style="3" hidden="1"/>
    <col min="11453" max="11453" width="56.28515625" style="3" hidden="1"/>
    <col min="11454" max="11510" width="9.140625" style="3" hidden="1"/>
    <col min="11511" max="11511" width="16.28515625" style="3" hidden="1"/>
    <col min="11512" max="11512" width="17.5703125" style="3" hidden="1"/>
    <col min="11513" max="11513" width="16" style="3" hidden="1"/>
    <col min="11514" max="11514" width="18.140625" style="3" hidden="1"/>
    <col min="11515" max="11707" width="9.140625" style="3" hidden="1"/>
    <col min="11708" max="11708" width="11" style="3" hidden="1"/>
    <col min="11709" max="11709" width="56.28515625" style="3" hidden="1"/>
    <col min="11710" max="11766" width="9.140625" style="3" hidden="1"/>
    <col min="11767" max="11767" width="16.28515625" style="3" hidden="1"/>
    <col min="11768" max="11768" width="17.5703125" style="3" hidden="1"/>
    <col min="11769" max="11769" width="16" style="3" hidden="1"/>
    <col min="11770" max="11770" width="18.140625" style="3" hidden="1"/>
    <col min="11771" max="11963" width="9.140625" style="3" hidden="1"/>
    <col min="11964" max="11964" width="11" style="3" hidden="1"/>
    <col min="11965" max="11965" width="56.28515625" style="3" hidden="1"/>
    <col min="11966" max="12022" width="9.140625" style="3" hidden="1"/>
    <col min="12023" max="12023" width="16.28515625" style="3" hidden="1"/>
    <col min="12024" max="12024" width="17.5703125" style="3" hidden="1"/>
    <col min="12025" max="12025" width="16" style="3" hidden="1"/>
    <col min="12026" max="12026" width="18.140625" style="3" hidden="1"/>
    <col min="12027" max="12219" width="9.140625" style="3" hidden="1"/>
    <col min="12220" max="12220" width="11" style="3" hidden="1"/>
    <col min="12221" max="12221" width="56.28515625" style="3" hidden="1"/>
    <col min="12222" max="12278" width="9.140625" style="3" hidden="1"/>
    <col min="12279" max="12279" width="16.28515625" style="3" hidden="1"/>
    <col min="12280" max="12280" width="17.5703125" style="3" hidden="1"/>
    <col min="12281" max="12281" width="16" style="3" hidden="1"/>
    <col min="12282" max="12282" width="18.140625" style="3" hidden="1"/>
    <col min="12283" max="12475" width="9.140625" style="3" hidden="1"/>
    <col min="12476" max="12476" width="11" style="3" hidden="1"/>
    <col min="12477" max="12477" width="56.28515625" style="3" hidden="1"/>
    <col min="12478" max="12534" width="9.140625" style="3" hidden="1"/>
    <col min="12535" max="12535" width="16.28515625" style="3" hidden="1"/>
    <col min="12536" max="12536" width="17.5703125" style="3" hidden="1"/>
    <col min="12537" max="12537" width="16" style="3" hidden="1"/>
    <col min="12538" max="12538" width="18.140625" style="3" hidden="1"/>
    <col min="12539" max="12731" width="9.140625" style="3" hidden="1"/>
    <col min="12732" max="12732" width="11" style="3" hidden="1"/>
    <col min="12733" max="12733" width="56.28515625" style="3" hidden="1"/>
    <col min="12734" max="12790" width="9.140625" style="3" hidden="1"/>
    <col min="12791" max="12791" width="16.28515625" style="3" hidden="1"/>
    <col min="12792" max="12792" width="17.5703125" style="3" hidden="1"/>
    <col min="12793" max="12793" width="16" style="3" hidden="1"/>
    <col min="12794" max="12794" width="18.140625" style="3" hidden="1"/>
    <col min="12795" max="12987" width="9.140625" style="3" hidden="1"/>
    <col min="12988" max="12988" width="11" style="3" hidden="1"/>
    <col min="12989" max="12989" width="56.28515625" style="3" hidden="1"/>
    <col min="12990" max="13046" width="9.140625" style="3" hidden="1"/>
    <col min="13047" max="13047" width="16.28515625" style="3" hidden="1"/>
    <col min="13048" max="13048" width="17.5703125" style="3" hidden="1"/>
    <col min="13049" max="13049" width="16" style="3" hidden="1"/>
    <col min="13050" max="13050" width="18.140625" style="3" hidden="1"/>
    <col min="13051" max="13243" width="9.140625" style="3" hidden="1"/>
    <col min="13244" max="13244" width="11" style="3" hidden="1"/>
    <col min="13245" max="13245" width="56.28515625" style="3" hidden="1"/>
    <col min="13246" max="13302" width="9.140625" style="3" hidden="1"/>
    <col min="13303" max="13303" width="16.28515625" style="3" hidden="1"/>
    <col min="13304" max="13304" width="17.5703125" style="3" hidden="1"/>
    <col min="13305" max="13305" width="16" style="3" hidden="1"/>
    <col min="13306" max="13306" width="18.140625" style="3" hidden="1"/>
    <col min="13307" max="13499" width="9.140625" style="3" hidden="1"/>
    <col min="13500" max="13500" width="11" style="3" hidden="1"/>
    <col min="13501" max="13501" width="56.28515625" style="3" hidden="1"/>
    <col min="13502" max="13558" width="9.140625" style="3" hidden="1"/>
    <col min="13559" max="13559" width="16.28515625" style="3" hidden="1"/>
    <col min="13560" max="13560" width="17.5703125" style="3" hidden="1"/>
    <col min="13561" max="13561" width="16" style="3" hidden="1"/>
    <col min="13562" max="13562" width="18.140625" style="3" hidden="1"/>
    <col min="13563" max="13755" width="9.140625" style="3" hidden="1"/>
    <col min="13756" max="13756" width="11" style="3" hidden="1"/>
    <col min="13757" max="13757" width="56.28515625" style="3" hidden="1"/>
    <col min="13758" max="13814" width="9.140625" style="3" hidden="1"/>
    <col min="13815" max="13815" width="16.28515625" style="3" hidden="1"/>
    <col min="13816" max="13816" width="17.5703125" style="3" hidden="1"/>
    <col min="13817" max="13817" width="16" style="3" hidden="1"/>
    <col min="13818" max="13818" width="18.140625" style="3" hidden="1"/>
    <col min="13819" max="14011" width="9.140625" style="3" hidden="1"/>
    <col min="14012" max="14012" width="11" style="3" hidden="1"/>
    <col min="14013" max="14013" width="56.28515625" style="3" hidden="1"/>
    <col min="14014" max="14070" width="9.140625" style="3" hidden="1"/>
    <col min="14071" max="14071" width="16.28515625" style="3" hidden="1"/>
    <col min="14072" max="14072" width="17.5703125" style="3" hidden="1"/>
    <col min="14073" max="14073" width="16" style="3" hidden="1"/>
    <col min="14074" max="14074" width="18.140625" style="3" hidden="1"/>
    <col min="14075" max="14267" width="9.140625" style="3" hidden="1"/>
    <col min="14268" max="14268" width="11" style="3" hidden="1"/>
    <col min="14269" max="14269" width="56.28515625" style="3" hidden="1"/>
    <col min="14270" max="14326" width="9.140625" style="3" hidden="1"/>
    <col min="14327" max="14327" width="16.28515625" style="3" hidden="1"/>
    <col min="14328" max="14328" width="17.5703125" style="3" hidden="1"/>
    <col min="14329" max="14329" width="16" style="3" hidden="1"/>
    <col min="14330" max="14330" width="18.140625" style="3" hidden="1"/>
    <col min="14331" max="14523" width="9.140625" style="3" hidden="1"/>
    <col min="14524" max="14524" width="11" style="3" hidden="1"/>
    <col min="14525" max="14525" width="56.28515625" style="3" hidden="1"/>
    <col min="14526" max="14582" width="9.140625" style="3" hidden="1"/>
    <col min="14583" max="14583" width="16.28515625" style="3" hidden="1"/>
    <col min="14584" max="14584" width="17.5703125" style="3" hidden="1"/>
    <col min="14585" max="14585" width="16" style="3" hidden="1"/>
    <col min="14586" max="14586" width="18.140625" style="3" hidden="1"/>
    <col min="14587" max="14779" width="9.140625" style="3" hidden="1"/>
    <col min="14780" max="14780" width="11" style="3" hidden="1"/>
    <col min="14781" max="14781" width="56.28515625" style="3" hidden="1"/>
    <col min="14782" max="14838" width="9.140625" style="3" hidden="1"/>
    <col min="14839" max="14839" width="16.28515625" style="3" hidden="1"/>
    <col min="14840" max="14840" width="17.5703125" style="3" hidden="1"/>
    <col min="14841" max="14841" width="16" style="3" hidden="1"/>
    <col min="14842" max="14842" width="18.140625" style="3" hidden="1"/>
    <col min="14843" max="15035" width="9.140625" style="3" hidden="1"/>
    <col min="15036" max="15036" width="11" style="3" hidden="1"/>
    <col min="15037" max="15037" width="56.28515625" style="3" hidden="1"/>
    <col min="15038" max="15094" width="9.140625" style="3" hidden="1"/>
    <col min="15095" max="15095" width="16.28515625" style="3" hidden="1"/>
    <col min="15096" max="15096" width="17.5703125" style="3" hidden="1"/>
    <col min="15097" max="15097" width="16" style="3" hidden="1"/>
    <col min="15098" max="15098" width="18.140625" style="3" hidden="1"/>
    <col min="15099" max="15291" width="9.140625" style="3" hidden="1"/>
    <col min="15292" max="15292" width="11" style="3" hidden="1"/>
    <col min="15293" max="15293" width="56.28515625" style="3" hidden="1"/>
    <col min="15294" max="15350" width="9.140625" style="3" hidden="1"/>
    <col min="15351" max="15351" width="16.28515625" style="3" hidden="1"/>
    <col min="15352" max="15352" width="17.5703125" style="3" hidden="1"/>
    <col min="15353" max="15353" width="16" style="3" hidden="1"/>
    <col min="15354" max="15354" width="18.140625" style="3" hidden="1"/>
    <col min="15355" max="15547" width="9.140625" style="3" hidden="1"/>
    <col min="15548" max="15548" width="11" style="3" hidden="1"/>
    <col min="15549" max="15549" width="56.28515625" style="3" hidden="1"/>
    <col min="15550" max="15606" width="9.140625" style="3" hidden="1"/>
    <col min="15607" max="15607" width="16.28515625" style="3" hidden="1"/>
    <col min="15608" max="15608" width="17.5703125" style="3" hidden="1"/>
    <col min="15609" max="15609" width="16" style="3" hidden="1"/>
    <col min="15610" max="15610" width="18.140625" style="3" hidden="1"/>
    <col min="15611" max="15803" width="9.140625" style="3" hidden="1"/>
    <col min="15804" max="15804" width="11" style="3" hidden="1"/>
    <col min="15805" max="15805" width="56.28515625" style="3" hidden="1"/>
    <col min="15806" max="15862" width="9.140625" style="3" hidden="1"/>
    <col min="15863" max="15863" width="16.28515625" style="3" hidden="1"/>
    <col min="15864" max="15864" width="17.5703125" style="3" hidden="1"/>
    <col min="15865" max="15865" width="16" style="3" hidden="1"/>
    <col min="15866" max="15866" width="18.140625" style="3" hidden="1"/>
    <col min="15867" max="16059" width="9.140625" style="3" hidden="1"/>
    <col min="16060" max="16060" width="11" style="3" hidden="1"/>
    <col min="16061" max="16061" width="56.28515625" style="3" hidden="1"/>
    <col min="16062" max="16118" width="9.140625" style="3" hidden="1"/>
    <col min="16119" max="16119" width="16.28515625" style="3" hidden="1"/>
    <col min="16120" max="16120" width="17.5703125" style="3" hidden="1"/>
    <col min="16121" max="16121" width="16" style="3" hidden="1"/>
    <col min="16122" max="16122" width="18.140625" style="3" hidden="1"/>
    <col min="16123" max="16384" width="9.140625" style="3" hidden="1"/>
  </cols>
  <sheetData>
    <row r="1" spans="1:6">
      <c r="B1" s="2" t="s">
        <v>688</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Worksheet'!$D$34</f>
        <v>248005</v>
      </c>
      <c r="E3" s="11"/>
      <c r="F3" s="11"/>
    </row>
    <row r="4" spans="1:6">
      <c r="A4" s="8">
        <v>0</v>
      </c>
      <c r="B4" s="11" t="s">
        <v>4</v>
      </c>
      <c r="C4" s="10">
        <v>1.3630000000000001E-3</v>
      </c>
      <c r="D4" s="12">
        <f>ROUND(D$3*C4,0)</f>
        <v>338</v>
      </c>
      <c r="E4" s="13">
        <f>ROUND(D4/2,0)</f>
        <v>169</v>
      </c>
      <c r="F4" s="12">
        <f>D4-E4</f>
        <v>169</v>
      </c>
    </row>
    <row r="5" spans="1:6">
      <c r="A5" s="8">
        <v>1</v>
      </c>
      <c r="B5" s="11" t="s">
        <v>689</v>
      </c>
      <c r="C5" s="10">
        <v>0.229241</v>
      </c>
      <c r="D5" s="9">
        <f>ROUND(D$3*C5,0)</f>
        <v>56853</v>
      </c>
      <c r="E5" s="11">
        <f>ROUND(D5/2,0)</f>
        <v>28427</v>
      </c>
      <c r="F5" s="9">
        <f>D5-E5</f>
        <v>28426</v>
      </c>
    </row>
    <row r="6" spans="1:6">
      <c r="A6" s="8"/>
      <c r="B6" s="11" t="s">
        <v>6</v>
      </c>
      <c r="C6" s="11"/>
      <c r="D6" s="14">
        <v>0.31115300000000001</v>
      </c>
      <c r="E6" s="11"/>
      <c r="F6" s="11"/>
    </row>
    <row r="7" spans="1:6">
      <c r="A7" s="8"/>
      <c r="B7" s="11" t="s">
        <v>7</v>
      </c>
      <c r="C7" s="11"/>
      <c r="D7" s="225">
        <f>ROUND(D5*D6,0)</f>
        <v>17690</v>
      </c>
      <c r="E7" s="226">
        <f>ROUND(D7/2,0)</f>
        <v>8845</v>
      </c>
      <c r="F7" s="225">
        <f>D7-E7</f>
        <v>8845</v>
      </c>
    </row>
    <row r="8" spans="1:6">
      <c r="A8" s="8"/>
      <c r="B8" s="11" t="s">
        <v>8</v>
      </c>
      <c r="C8" s="11"/>
      <c r="D8" s="12">
        <f>+D5-D7</f>
        <v>39163</v>
      </c>
      <c r="E8" s="13">
        <f>ROUND(D8/2,0)</f>
        <v>19582</v>
      </c>
      <c r="F8" s="12">
        <f>D8-E8</f>
        <v>19581</v>
      </c>
    </row>
    <row r="9" spans="1:6">
      <c r="A9" s="8">
        <v>2</v>
      </c>
      <c r="B9" s="11" t="s">
        <v>669</v>
      </c>
      <c r="C9" s="11"/>
      <c r="D9" s="9"/>
      <c r="E9" s="11"/>
      <c r="F9" s="11"/>
    </row>
    <row r="10" spans="1:6">
      <c r="A10" s="8"/>
      <c r="B10" s="11" t="s">
        <v>10</v>
      </c>
      <c r="C10" s="10">
        <v>1.286E-3</v>
      </c>
      <c r="D10" s="12">
        <f>ROUND(D$3*C10,0)</f>
        <v>319</v>
      </c>
      <c r="E10" s="13">
        <f>ROUND(D10/2,0)</f>
        <v>160</v>
      </c>
      <c r="F10" s="12">
        <f>D10-E10</f>
        <v>159</v>
      </c>
    </row>
    <row r="11" spans="1:6">
      <c r="A11" s="8"/>
      <c r="B11" s="11" t="s">
        <v>11</v>
      </c>
      <c r="C11" s="10">
        <v>4.6999999999999999E-4</v>
      </c>
      <c r="D11" s="12">
        <f>ROUND(D$3*C11,0)</f>
        <v>117</v>
      </c>
      <c r="E11" s="13">
        <f>ROUND(D11/2,0)</f>
        <v>59</v>
      </c>
      <c r="F11" s="12">
        <f>D11-E11</f>
        <v>58</v>
      </c>
    </row>
    <row r="12" spans="1:6">
      <c r="A12" s="8">
        <v>2</v>
      </c>
      <c r="B12" s="11" t="s">
        <v>200</v>
      </c>
      <c r="C12" s="11"/>
      <c r="D12" s="9"/>
      <c r="E12" s="11"/>
      <c r="F12" s="11"/>
    </row>
    <row r="13" spans="1:6">
      <c r="A13" s="8"/>
      <c r="B13" s="11" t="s">
        <v>10</v>
      </c>
      <c r="C13" s="10">
        <v>1.3999999999999999E-4</v>
      </c>
      <c r="D13" s="12">
        <f>ROUND(D$3*C13,0)</f>
        <v>35</v>
      </c>
      <c r="E13" s="13">
        <f>ROUND(D13/2,0)</f>
        <v>18</v>
      </c>
      <c r="F13" s="12">
        <f>D13-E13</f>
        <v>17</v>
      </c>
    </row>
    <row r="14" spans="1:6">
      <c r="A14" s="8"/>
      <c r="B14" s="11" t="s">
        <v>11</v>
      </c>
      <c r="C14" s="10">
        <v>0</v>
      </c>
      <c r="D14" s="12">
        <f>ROUND(D$3*C14,0)</f>
        <v>0</v>
      </c>
      <c r="E14" s="13">
        <f>ROUND(D14/2,0)</f>
        <v>0</v>
      </c>
      <c r="F14" s="12">
        <f>D14-E14</f>
        <v>0</v>
      </c>
    </row>
    <row r="15" spans="1:6">
      <c r="A15" s="8">
        <v>2</v>
      </c>
      <c r="B15" s="11" t="s">
        <v>372</v>
      </c>
      <c r="C15" s="11"/>
      <c r="D15" s="9"/>
      <c r="E15" s="11"/>
      <c r="F15" s="11"/>
    </row>
    <row r="16" spans="1:6">
      <c r="A16" s="8"/>
      <c r="B16" s="11" t="s">
        <v>10</v>
      </c>
      <c r="C16" s="10">
        <v>4.5899999999999999E-4</v>
      </c>
      <c r="D16" s="12">
        <f>ROUND(D$3*C16,0)</f>
        <v>114</v>
      </c>
      <c r="E16" s="13">
        <f>ROUND(D16/2,0)</f>
        <v>57</v>
      </c>
      <c r="F16" s="12">
        <f>D16-E16</f>
        <v>57</v>
      </c>
    </row>
    <row r="17" spans="1:6">
      <c r="A17" s="8"/>
      <c r="B17" s="11" t="s">
        <v>11</v>
      </c>
      <c r="C17" s="10">
        <v>9.59E-4</v>
      </c>
      <c r="D17" s="12">
        <f>ROUND(D$3*C17,0)</f>
        <v>238</v>
      </c>
      <c r="E17" s="13">
        <f>ROUND(D17/2,0)</f>
        <v>119</v>
      </c>
      <c r="F17" s="12">
        <f>D17-E17</f>
        <v>119</v>
      </c>
    </row>
    <row r="18" spans="1:6">
      <c r="A18" s="8">
        <v>2</v>
      </c>
      <c r="B18" s="11" t="s">
        <v>86</v>
      </c>
      <c r="C18" s="11"/>
      <c r="D18" s="9"/>
      <c r="E18" s="11"/>
      <c r="F18" s="11"/>
    </row>
    <row r="19" spans="1:6">
      <c r="A19" s="8"/>
      <c r="B19" s="11" t="s">
        <v>10</v>
      </c>
      <c r="C19" s="10">
        <v>2.8770000000000002E-3</v>
      </c>
      <c r="D19" s="12">
        <f>ROUND(D$3*C19,0)</f>
        <v>714</v>
      </c>
      <c r="E19" s="13">
        <f>ROUND(D19/2,0)</f>
        <v>357</v>
      </c>
      <c r="F19" s="12">
        <f>D19-E19</f>
        <v>357</v>
      </c>
    </row>
    <row r="20" spans="1:6">
      <c r="A20" s="8"/>
      <c r="B20" s="11" t="s">
        <v>11</v>
      </c>
      <c r="C20" s="10">
        <v>2.0950000000000001E-3</v>
      </c>
      <c r="D20" s="12">
        <f>ROUND(D$3*C20,0)</f>
        <v>520</v>
      </c>
      <c r="E20" s="13">
        <f>ROUND(D20/2,0)</f>
        <v>260</v>
      </c>
      <c r="F20" s="12">
        <f>D20-E20</f>
        <v>260</v>
      </c>
    </row>
    <row r="21" spans="1:6">
      <c r="A21" s="8">
        <v>2</v>
      </c>
      <c r="B21" s="11" t="s">
        <v>690</v>
      </c>
      <c r="C21" s="11"/>
      <c r="D21" s="9"/>
      <c r="E21" s="11"/>
      <c r="F21" s="11"/>
    </row>
    <row r="22" spans="1:6">
      <c r="A22" s="8"/>
      <c r="B22" s="11" t="s">
        <v>10</v>
      </c>
      <c r="C22" s="10">
        <v>7.4600000000000003E-4</v>
      </c>
      <c r="D22" s="12">
        <f>ROUND(D$3*C22,0)</f>
        <v>185</v>
      </c>
      <c r="E22" s="13">
        <f>ROUND(D22/2,0)</f>
        <v>93</v>
      </c>
      <c r="F22" s="12">
        <f>D22-E22</f>
        <v>92</v>
      </c>
    </row>
    <row r="23" spans="1:6">
      <c r="A23" s="8"/>
      <c r="B23" s="11" t="s">
        <v>11</v>
      </c>
      <c r="C23" s="10">
        <v>0</v>
      </c>
      <c r="D23" s="12">
        <f>ROUND(D$3*C23,0)</f>
        <v>0</v>
      </c>
      <c r="E23" s="13">
        <f>ROUND(D23/2,0)</f>
        <v>0</v>
      </c>
      <c r="F23" s="12">
        <f>D23-E23</f>
        <v>0</v>
      </c>
    </row>
    <row r="24" spans="1:6">
      <c r="A24" s="8">
        <v>2</v>
      </c>
      <c r="B24" s="11" t="s">
        <v>49</v>
      </c>
      <c r="C24" s="11"/>
      <c r="D24" s="9"/>
      <c r="E24" s="11"/>
      <c r="F24" s="11"/>
    </row>
    <row r="25" spans="1:6">
      <c r="A25" s="8"/>
      <c r="B25" s="11" t="s">
        <v>10</v>
      </c>
      <c r="C25" s="10">
        <v>1.7049999999999999E-3</v>
      </c>
      <c r="D25" s="12">
        <f>ROUND(D$3*C25,0)</f>
        <v>423</v>
      </c>
      <c r="E25" s="13">
        <f>ROUND(D25/2,0)</f>
        <v>212</v>
      </c>
      <c r="F25" s="12">
        <f>D25-E25</f>
        <v>211</v>
      </c>
    </row>
    <row r="26" spans="1:6">
      <c r="A26" s="8"/>
      <c r="B26" s="11" t="s">
        <v>11</v>
      </c>
      <c r="C26" s="10">
        <v>1.0219999999999999E-3</v>
      </c>
      <c r="D26" s="12">
        <f>ROUND(D$3*C26,0)</f>
        <v>253</v>
      </c>
      <c r="E26" s="13">
        <f>ROUND(D26/2,0)</f>
        <v>127</v>
      </c>
      <c r="F26" s="12">
        <f>D26-E26</f>
        <v>126</v>
      </c>
    </row>
    <row r="27" spans="1:6">
      <c r="A27" s="8">
        <v>2</v>
      </c>
      <c r="B27" s="11" t="s">
        <v>691</v>
      </c>
      <c r="C27" s="11"/>
      <c r="D27" s="9"/>
      <c r="E27" s="11"/>
      <c r="F27" s="11"/>
    </row>
    <row r="28" spans="1:6">
      <c r="A28" s="8"/>
      <c r="B28" s="11" t="s">
        <v>10</v>
      </c>
      <c r="C28" s="10">
        <v>8.9999999999999998E-4</v>
      </c>
      <c r="D28" s="12">
        <f>ROUND(D$3*C28,0)</f>
        <v>223</v>
      </c>
      <c r="E28" s="13">
        <f>ROUND(D28/2,0)</f>
        <v>112</v>
      </c>
      <c r="F28" s="12">
        <f>D28-E28</f>
        <v>111</v>
      </c>
    </row>
    <row r="29" spans="1:6">
      <c r="A29" s="8"/>
      <c r="B29" s="11" t="s">
        <v>11</v>
      </c>
      <c r="C29" s="10">
        <v>0</v>
      </c>
      <c r="D29" s="12">
        <f>ROUND(D$3*C29,0)</f>
        <v>0</v>
      </c>
      <c r="E29" s="13">
        <f>ROUND(D29/2,0)</f>
        <v>0</v>
      </c>
      <c r="F29" s="12">
        <f>D29-E29</f>
        <v>0</v>
      </c>
    </row>
    <row r="30" spans="1:6">
      <c r="A30" s="8">
        <v>2</v>
      </c>
      <c r="B30" s="11" t="s">
        <v>252</v>
      </c>
      <c r="C30" s="11"/>
      <c r="D30" s="9"/>
      <c r="E30" s="11"/>
      <c r="F30" s="11"/>
    </row>
    <row r="31" spans="1:6">
      <c r="A31" s="8"/>
      <c r="B31" s="11" t="s">
        <v>10</v>
      </c>
      <c r="C31" s="10">
        <v>3.9300000000000001E-4</v>
      </c>
      <c r="D31" s="12">
        <f>ROUND(D$3*C31,0)</f>
        <v>97</v>
      </c>
      <c r="E31" s="13">
        <f>ROUND(D31/2,0)</f>
        <v>49</v>
      </c>
      <c r="F31" s="12">
        <f>D31-E31</f>
        <v>48</v>
      </c>
    </row>
    <row r="32" spans="1:6">
      <c r="A32" s="8"/>
      <c r="B32" s="11" t="s">
        <v>11</v>
      </c>
      <c r="C32" s="10">
        <v>3.0899999999999998E-4</v>
      </c>
      <c r="D32" s="12">
        <f>ROUND(D$3*C32,0)</f>
        <v>77</v>
      </c>
      <c r="E32" s="13">
        <f>ROUND(D32/2,0)</f>
        <v>39</v>
      </c>
      <c r="F32" s="12">
        <f>D32-E32</f>
        <v>38</v>
      </c>
    </row>
    <row r="33" spans="1:6">
      <c r="A33" s="8">
        <v>2</v>
      </c>
      <c r="B33" s="11" t="s">
        <v>376</v>
      </c>
      <c r="C33" s="11"/>
      <c r="D33" s="9"/>
      <c r="E33" s="11"/>
      <c r="F33" s="11"/>
    </row>
    <row r="34" spans="1:6">
      <c r="A34" s="8"/>
      <c r="B34" s="11" t="s">
        <v>10</v>
      </c>
      <c r="C34" s="10">
        <v>1.477E-3</v>
      </c>
      <c r="D34" s="12">
        <f>ROUND(D$3*C34,0)</f>
        <v>366</v>
      </c>
      <c r="E34" s="13">
        <f>ROUND(D34/2,0)</f>
        <v>183</v>
      </c>
      <c r="F34" s="12">
        <f>D34-E34</f>
        <v>183</v>
      </c>
    </row>
    <row r="35" spans="1:6">
      <c r="A35" s="8"/>
      <c r="B35" s="11" t="s">
        <v>11</v>
      </c>
      <c r="C35" s="10">
        <v>1.2819999999999999E-3</v>
      </c>
      <c r="D35" s="12">
        <f>ROUND(D$3*C35,0)</f>
        <v>318</v>
      </c>
      <c r="E35" s="13">
        <f>ROUND(D35/2,0)</f>
        <v>159</v>
      </c>
      <c r="F35" s="12">
        <f>D35-E35</f>
        <v>159</v>
      </c>
    </row>
    <row r="36" spans="1:6">
      <c r="A36" s="8">
        <v>2</v>
      </c>
      <c r="B36" s="11" t="s">
        <v>627</v>
      </c>
      <c r="C36" s="11"/>
      <c r="D36" s="9"/>
      <c r="E36" s="11"/>
      <c r="F36" s="11"/>
    </row>
    <row r="37" spans="1:6">
      <c r="A37" s="8"/>
      <c r="B37" s="11" t="s">
        <v>10</v>
      </c>
      <c r="C37" s="10">
        <v>2.2000000000000001E-4</v>
      </c>
      <c r="D37" s="12">
        <f>ROUND(D$3*C37,0)</f>
        <v>55</v>
      </c>
      <c r="E37" s="13">
        <f>ROUND(D37/2,0)</f>
        <v>28</v>
      </c>
      <c r="F37" s="12">
        <f>D37-E37</f>
        <v>27</v>
      </c>
    </row>
    <row r="38" spans="1:6">
      <c r="A38" s="8"/>
      <c r="B38" s="11" t="s">
        <v>11</v>
      </c>
      <c r="C38" s="10">
        <v>9.2E-5</v>
      </c>
      <c r="D38" s="12">
        <f>ROUND(D$3*C38,0)</f>
        <v>23</v>
      </c>
      <c r="E38" s="13">
        <f>ROUND(D38/2,0)</f>
        <v>12</v>
      </c>
      <c r="F38" s="12">
        <f>D38-E38</f>
        <v>11</v>
      </c>
    </row>
    <row r="39" spans="1:6">
      <c r="A39" s="8">
        <v>2</v>
      </c>
      <c r="B39" s="11" t="s">
        <v>22</v>
      </c>
      <c r="C39" s="11"/>
      <c r="D39" s="9"/>
      <c r="E39" s="11"/>
      <c r="F39" s="11"/>
    </row>
    <row r="40" spans="1:6">
      <c r="A40" s="8"/>
      <c r="B40" s="11" t="s">
        <v>10</v>
      </c>
      <c r="C40" s="10">
        <v>2.1699999999999999E-4</v>
      </c>
      <c r="D40" s="12">
        <f>ROUND(D$3*C40,0)</f>
        <v>54</v>
      </c>
      <c r="E40" s="13">
        <f>ROUND(D40/2,0)</f>
        <v>27</v>
      </c>
      <c r="F40" s="12">
        <f>D40-E40</f>
        <v>27</v>
      </c>
    </row>
    <row r="41" spans="1:6">
      <c r="A41" s="8"/>
      <c r="B41" s="11" t="s">
        <v>11</v>
      </c>
      <c r="C41" s="10">
        <v>0</v>
      </c>
      <c r="D41" s="12">
        <f>ROUND(D$3*C41,0)</f>
        <v>0</v>
      </c>
      <c r="E41" s="13">
        <f>ROUND(D41/2,0)</f>
        <v>0</v>
      </c>
      <c r="F41" s="12">
        <f>D41-E41</f>
        <v>0</v>
      </c>
    </row>
    <row r="42" spans="1:6">
      <c r="A42" s="8">
        <v>2</v>
      </c>
      <c r="B42" s="11" t="s">
        <v>692</v>
      </c>
      <c r="C42" s="11"/>
      <c r="D42" s="9"/>
      <c r="E42" s="11"/>
      <c r="F42" s="11"/>
    </row>
    <row r="43" spans="1:6">
      <c r="A43" s="8"/>
      <c r="B43" s="11" t="s">
        <v>10</v>
      </c>
      <c r="C43" s="10">
        <v>3.4900000000000003E-4</v>
      </c>
      <c r="D43" s="12">
        <f t="shared" ref="D43:D55" si="0">ROUND(D$3*C43,0)</f>
        <v>87</v>
      </c>
      <c r="E43" s="13">
        <f t="shared" ref="E43:E55" si="1">ROUND(D43/2,0)</f>
        <v>44</v>
      </c>
      <c r="F43" s="12">
        <f t="shared" ref="F43:F55" si="2">D43-E43</f>
        <v>43</v>
      </c>
    </row>
    <row r="44" spans="1:6">
      <c r="A44" s="8"/>
      <c r="B44" s="11" t="s">
        <v>11</v>
      </c>
      <c r="C44" s="10">
        <v>0</v>
      </c>
      <c r="D44" s="12">
        <f t="shared" si="0"/>
        <v>0</v>
      </c>
      <c r="E44" s="13">
        <f t="shared" si="1"/>
        <v>0</v>
      </c>
      <c r="F44" s="12">
        <f t="shared" si="2"/>
        <v>0</v>
      </c>
    </row>
    <row r="45" spans="1:6">
      <c r="A45" s="8">
        <v>3</v>
      </c>
      <c r="B45" s="11" t="s">
        <v>693</v>
      </c>
      <c r="C45" s="10">
        <v>1.1564E-2</v>
      </c>
      <c r="D45" s="12">
        <f t="shared" si="0"/>
        <v>2868</v>
      </c>
      <c r="E45" s="13">
        <f t="shared" si="1"/>
        <v>1434</v>
      </c>
      <c r="F45" s="12">
        <f t="shared" si="2"/>
        <v>1434</v>
      </c>
    </row>
    <row r="46" spans="1:6">
      <c r="A46" s="8">
        <v>3</v>
      </c>
      <c r="B46" s="11" t="s">
        <v>694</v>
      </c>
      <c r="C46" s="10">
        <v>1.73E-4</v>
      </c>
      <c r="D46" s="12">
        <f t="shared" si="0"/>
        <v>43</v>
      </c>
      <c r="E46" s="13">
        <f t="shared" si="1"/>
        <v>22</v>
      </c>
      <c r="F46" s="12">
        <f t="shared" si="2"/>
        <v>21</v>
      </c>
    </row>
    <row r="47" spans="1:6">
      <c r="A47" s="8">
        <v>3</v>
      </c>
      <c r="B47" s="11" t="s">
        <v>695</v>
      </c>
      <c r="C47" s="10">
        <v>6.6000000000000005E-5</v>
      </c>
      <c r="D47" s="12">
        <f t="shared" si="0"/>
        <v>16</v>
      </c>
      <c r="E47" s="13">
        <f t="shared" si="1"/>
        <v>8</v>
      </c>
      <c r="F47" s="12">
        <f t="shared" si="2"/>
        <v>8</v>
      </c>
    </row>
    <row r="48" spans="1:6">
      <c r="A48" s="8">
        <v>3</v>
      </c>
      <c r="B48" s="11" t="s">
        <v>696</v>
      </c>
      <c r="C48" s="10">
        <v>0</v>
      </c>
      <c r="D48" s="12">
        <f t="shared" si="0"/>
        <v>0</v>
      </c>
      <c r="E48" s="13">
        <f t="shared" si="1"/>
        <v>0</v>
      </c>
      <c r="F48" s="12">
        <f t="shared" si="2"/>
        <v>0</v>
      </c>
    </row>
    <row r="49" spans="1:6">
      <c r="A49" s="8">
        <v>3</v>
      </c>
      <c r="B49" s="11" t="s">
        <v>697</v>
      </c>
      <c r="C49" s="10">
        <v>1.1E-4</v>
      </c>
      <c r="D49" s="12">
        <f t="shared" si="0"/>
        <v>27</v>
      </c>
      <c r="E49" s="13">
        <f t="shared" si="1"/>
        <v>14</v>
      </c>
      <c r="F49" s="12">
        <f t="shared" si="2"/>
        <v>13</v>
      </c>
    </row>
    <row r="50" spans="1:6">
      <c r="A50" s="8">
        <v>3</v>
      </c>
      <c r="B50" s="11" t="s">
        <v>698</v>
      </c>
      <c r="C50" s="10">
        <v>1.183E-3</v>
      </c>
      <c r="D50" s="12">
        <f t="shared" si="0"/>
        <v>293</v>
      </c>
      <c r="E50" s="13">
        <f t="shared" si="1"/>
        <v>147</v>
      </c>
      <c r="F50" s="12">
        <f t="shared" si="2"/>
        <v>146</v>
      </c>
    </row>
    <row r="51" spans="1:6">
      <c r="A51" s="8">
        <v>3</v>
      </c>
      <c r="B51" s="11" t="s">
        <v>299</v>
      </c>
      <c r="C51" s="10">
        <v>0</v>
      </c>
      <c r="D51" s="12">
        <f t="shared" si="0"/>
        <v>0</v>
      </c>
      <c r="E51" s="13">
        <f t="shared" si="1"/>
        <v>0</v>
      </c>
      <c r="F51" s="12">
        <f t="shared" si="2"/>
        <v>0</v>
      </c>
    </row>
    <row r="52" spans="1:6">
      <c r="A52" s="8">
        <v>3</v>
      </c>
      <c r="B52" s="11" t="s">
        <v>699</v>
      </c>
      <c r="C52" s="10">
        <v>0</v>
      </c>
      <c r="D52" s="12">
        <f t="shared" si="0"/>
        <v>0</v>
      </c>
      <c r="E52" s="13">
        <f t="shared" si="1"/>
        <v>0</v>
      </c>
      <c r="F52" s="12">
        <f t="shared" si="2"/>
        <v>0</v>
      </c>
    </row>
    <row r="53" spans="1:6">
      <c r="A53" s="8">
        <v>3</v>
      </c>
      <c r="B53" s="11" t="s">
        <v>700</v>
      </c>
      <c r="C53" s="10">
        <v>0</v>
      </c>
      <c r="D53" s="12">
        <f t="shared" si="0"/>
        <v>0</v>
      </c>
      <c r="E53" s="13">
        <f t="shared" si="1"/>
        <v>0</v>
      </c>
      <c r="F53" s="12">
        <f t="shared" si="2"/>
        <v>0</v>
      </c>
    </row>
    <row r="54" spans="1:6">
      <c r="A54" s="8">
        <v>3</v>
      </c>
      <c r="B54" s="11" t="s">
        <v>701</v>
      </c>
      <c r="C54" s="10">
        <v>1.2750000000000001E-3</v>
      </c>
      <c r="D54" s="12">
        <f t="shared" si="0"/>
        <v>316</v>
      </c>
      <c r="E54" s="13">
        <f t="shared" si="1"/>
        <v>158</v>
      </c>
      <c r="F54" s="12">
        <f t="shared" si="2"/>
        <v>158</v>
      </c>
    </row>
    <row r="55" spans="1:6">
      <c r="A55" s="8">
        <v>4</v>
      </c>
      <c r="B55" s="11" t="s">
        <v>300</v>
      </c>
      <c r="C55" s="10">
        <v>0</v>
      </c>
      <c r="D55" s="9">
        <f t="shared" si="0"/>
        <v>0</v>
      </c>
      <c r="E55" s="11">
        <f t="shared" si="1"/>
        <v>0</v>
      </c>
      <c r="F55" s="9">
        <f t="shared" si="2"/>
        <v>0</v>
      </c>
    </row>
    <row r="56" spans="1:6">
      <c r="A56" s="8"/>
      <c r="B56" s="11" t="s">
        <v>28</v>
      </c>
      <c r="C56" s="11"/>
      <c r="D56" s="14">
        <v>0.333924</v>
      </c>
      <c r="E56" s="11"/>
      <c r="F56" s="11"/>
    </row>
    <row r="57" spans="1:6">
      <c r="A57" s="8"/>
      <c r="B57" s="11" t="s">
        <v>29</v>
      </c>
      <c r="C57" s="11"/>
      <c r="D57" s="225">
        <f>ROUND(D55*D56,0)</f>
        <v>0</v>
      </c>
      <c r="E57" s="226">
        <f>ROUND(D57/2,0)</f>
        <v>0</v>
      </c>
      <c r="F57" s="225">
        <f>D57-E57</f>
        <v>0</v>
      </c>
    </row>
    <row r="58" spans="1:6">
      <c r="A58" s="8"/>
      <c r="B58" s="11" t="s">
        <v>30</v>
      </c>
      <c r="C58" s="11"/>
      <c r="D58" s="12">
        <f>+D55-D57</f>
        <v>0</v>
      </c>
      <c r="E58" s="13">
        <f>ROUND(D58/2,0)</f>
        <v>0</v>
      </c>
      <c r="F58" s="12">
        <f>D58-E58</f>
        <v>0</v>
      </c>
    </row>
    <row r="59" spans="1:6">
      <c r="A59" s="8">
        <v>4</v>
      </c>
      <c r="B59" s="11" t="s">
        <v>702</v>
      </c>
      <c r="C59" s="10">
        <v>4.7995999999999997E-2</v>
      </c>
      <c r="D59" s="9">
        <f>ROUND(D$3*C59,0)</f>
        <v>11903</v>
      </c>
      <c r="E59" s="11">
        <f>ROUND(D59/2,0)</f>
        <v>5952</v>
      </c>
      <c r="F59" s="9">
        <f>D59-E59</f>
        <v>5951</v>
      </c>
    </row>
    <row r="60" spans="1:6">
      <c r="A60" s="8"/>
      <c r="B60" s="11" t="s">
        <v>28</v>
      </c>
      <c r="C60" s="11"/>
      <c r="D60" s="14">
        <v>0.469115</v>
      </c>
      <c r="E60" s="11"/>
      <c r="F60" s="11"/>
    </row>
    <row r="61" spans="1:6">
      <c r="A61" s="8"/>
      <c r="B61" s="11" t="s">
        <v>29</v>
      </c>
      <c r="C61" s="11"/>
      <c r="D61" s="225">
        <f>ROUND(D59*D60,0)</f>
        <v>5584</v>
      </c>
      <c r="E61" s="226">
        <f>ROUND(D61/2,0)</f>
        <v>2792</v>
      </c>
      <c r="F61" s="225">
        <f>D61-E61</f>
        <v>2792</v>
      </c>
    </row>
    <row r="62" spans="1:6">
      <c r="A62" s="8"/>
      <c r="B62" s="11" t="s">
        <v>30</v>
      </c>
      <c r="C62" s="11"/>
      <c r="D62" s="12">
        <f>+D59-D61</f>
        <v>6319</v>
      </c>
      <c r="E62" s="13">
        <f>ROUND(D62/2,0)</f>
        <v>3160</v>
      </c>
      <c r="F62" s="12">
        <f>D62-E62</f>
        <v>3159</v>
      </c>
    </row>
    <row r="63" spans="1:6">
      <c r="A63" s="8">
        <v>4</v>
      </c>
      <c r="B63" s="11" t="s">
        <v>703</v>
      </c>
      <c r="C63" s="10">
        <v>0.297682</v>
      </c>
      <c r="D63" s="9">
        <f>ROUND(D$3*C63,0)</f>
        <v>73827</v>
      </c>
      <c r="E63" s="11">
        <f>ROUND(D63/2,0)</f>
        <v>36914</v>
      </c>
      <c r="F63" s="9">
        <f>D63-E63</f>
        <v>36913</v>
      </c>
    </row>
    <row r="64" spans="1:6">
      <c r="A64" s="8"/>
      <c r="B64" s="11" t="s">
        <v>28</v>
      </c>
      <c r="C64" s="11"/>
      <c r="D64" s="14">
        <v>0.42880600000000002</v>
      </c>
      <c r="E64" s="11"/>
      <c r="F64" s="11"/>
    </row>
    <row r="65" spans="1:8">
      <c r="A65" s="8"/>
      <c r="B65" s="11" t="s">
        <v>29</v>
      </c>
      <c r="C65" s="11"/>
      <c r="D65" s="225">
        <f>ROUND(D63*D64,0)</f>
        <v>31657</v>
      </c>
      <c r="E65" s="226">
        <f>ROUND(D65/2,0)</f>
        <v>15829</v>
      </c>
      <c r="F65" s="225">
        <f>D65-E65</f>
        <v>15828</v>
      </c>
    </row>
    <row r="66" spans="1:8">
      <c r="A66" s="8"/>
      <c r="B66" s="11" t="s">
        <v>30</v>
      </c>
      <c r="C66" s="11"/>
      <c r="D66" s="12">
        <f>+D63-D65</f>
        <v>42170</v>
      </c>
      <c r="E66" s="13">
        <f>ROUND(D66/2,0)</f>
        <v>21085</v>
      </c>
      <c r="F66" s="12">
        <f>D66-E66</f>
        <v>21085</v>
      </c>
    </row>
    <row r="67" spans="1:8">
      <c r="A67" s="8">
        <v>4</v>
      </c>
      <c r="B67" s="11" t="s">
        <v>704</v>
      </c>
      <c r="C67" s="10">
        <v>0.36927300000000002</v>
      </c>
      <c r="D67" s="9">
        <f>ROUND(D$3*C67,0)</f>
        <v>91582</v>
      </c>
      <c r="E67" s="11">
        <f>ROUND(D67/2,0)</f>
        <v>45791</v>
      </c>
      <c r="F67" s="9">
        <f>D67-E67</f>
        <v>45791</v>
      </c>
    </row>
    <row r="68" spans="1:8">
      <c r="A68" s="8"/>
      <c r="B68" s="11" t="s">
        <v>28</v>
      </c>
      <c r="C68" s="11"/>
      <c r="D68" s="14">
        <v>0.45537899999999998</v>
      </c>
      <c r="E68" s="11"/>
      <c r="F68" s="11"/>
    </row>
    <row r="69" spans="1:8">
      <c r="A69" s="8"/>
      <c r="B69" s="11" t="s">
        <v>29</v>
      </c>
      <c r="C69" s="11"/>
      <c r="D69" s="225">
        <f>ROUND(D67*D68,0)</f>
        <v>41705</v>
      </c>
      <c r="E69" s="226">
        <f t="shared" ref="E69:E76" si="3">ROUND(D69/2,0)</f>
        <v>20853</v>
      </c>
      <c r="F69" s="225">
        <f t="shared" ref="F69:F76" si="4">D69-E69</f>
        <v>20852</v>
      </c>
    </row>
    <row r="70" spans="1:8">
      <c r="A70" s="8"/>
      <c r="B70" s="11" t="s">
        <v>30</v>
      </c>
      <c r="C70" s="11"/>
      <c r="D70" s="12">
        <f>+D67-D69</f>
        <v>49877</v>
      </c>
      <c r="E70" s="13">
        <f t="shared" si="3"/>
        <v>24939</v>
      </c>
      <c r="F70" s="12">
        <f t="shared" si="4"/>
        <v>24938</v>
      </c>
    </row>
    <row r="71" spans="1:8">
      <c r="A71" s="8" t="s">
        <v>590</v>
      </c>
      <c r="B71" s="11" t="s">
        <v>705</v>
      </c>
      <c r="C71" s="10">
        <v>5.3800000000000002E-3</v>
      </c>
      <c r="D71" s="12">
        <f>ROUND(D$3*C71,0)</f>
        <v>1334</v>
      </c>
      <c r="E71" s="13">
        <f t="shared" si="3"/>
        <v>667</v>
      </c>
      <c r="F71" s="12">
        <f t="shared" si="4"/>
        <v>667</v>
      </c>
    </row>
    <row r="72" spans="1:8">
      <c r="A72" s="8">
        <v>6</v>
      </c>
      <c r="B72" s="11" t="s">
        <v>706</v>
      </c>
      <c r="C72" s="10">
        <v>6.8300000000000001E-4</v>
      </c>
      <c r="D72" s="12">
        <f>ROUND(D$3*C72,0)</f>
        <v>169</v>
      </c>
      <c r="E72" s="13">
        <f t="shared" si="3"/>
        <v>85</v>
      </c>
      <c r="F72" s="12">
        <f t="shared" si="4"/>
        <v>84</v>
      </c>
    </row>
    <row r="73" spans="1:8">
      <c r="A73" s="8">
        <v>6</v>
      </c>
      <c r="B73" s="11" t="s">
        <v>707</v>
      </c>
      <c r="C73" s="10">
        <v>9.0799999999999995E-3</v>
      </c>
      <c r="D73" s="12">
        <f>ROUND(D$3*C73,0)</f>
        <v>2252</v>
      </c>
      <c r="E73" s="13">
        <f t="shared" si="3"/>
        <v>1126</v>
      </c>
      <c r="F73" s="12">
        <f t="shared" si="4"/>
        <v>1126</v>
      </c>
    </row>
    <row r="74" spans="1:8">
      <c r="A74" s="8">
        <v>6</v>
      </c>
      <c r="B74" s="11" t="s">
        <v>708</v>
      </c>
      <c r="C74" s="10">
        <v>2.9399999999999999E-3</v>
      </c>
      <c r="D74" s="12">
        <f>ROUND(D$3*C74,0)</f>
        <v>729</v>
      </c>
      <c r="E74" s="13">
        <f t="shared" si="3"/>
        <v>365</v>
      </c>
      <c r="F74" s="12">
        <f t="shared" si="4"/>
        <v>364</v>
      </c>
    </row>
    <row r="75" spans="1:8">
      <c r="A75" s="8">
        <v>6</v>
      </c>
      <c r="B75" s="11" t="s">
        <v>709</v>
      </c>
      <c r="C75" s="10">
        <v>3.9690000000000003E-3</v>
      </c>
      <c r="D75" s="12">
        <f>ROUND(D$3*C75,0)</f>
        <v>984</v>
      </c>
      <c r="E75" s="13">
        <f t="shared" si="3"/>
        <v>492</v>
      </c>
      <c r="F75" s="12">
        <f t="shared" si="4"/>
        <v>492</v>
      </c>
    </row>
    <row r="76" spans="1:8">
      <c r="A76" s="8">
        <v>6</v>
      </c>
      <c r="B76" s="11" t="s">
        <v>710</v>
      </c>
      <c r="C76" s="10">
        <v>1.0240000000000249E-3</v>
      </c>
      <c r="D76" s="12">
        <f>+D3-SUM(D4:D5)-SUM(D10:D55)-D59-D63-D67-SUM(D71:D75)</f>
        <v>253</v>
      </c>
      <c r="E76" s="13">
        <f t="shared" si="3"/>
        <v>127</v>
      </c>
      <c r="F76" s="12">
        <f t="shared" si="4"/>
        <v>126</v>
      </c>
    </row>
    <row r="77" spans="1:8">
      <c r="A77" s="8"/>
      <c r="B77" s="28" t="s">
        <v>288</v>
      </c>
      <c r="C77" s="10">
        <v>1</v>
      </c>
      <c r="D77" s="12">
        <f>+D4+SUM(D7:D54)+SUM(D57:D58)+SUM(D61:D62)+SUM(D65:D66)+SUM(D69:D76)</f>
        <v>248005</v>
      </c>
      <c r="E77" s="12">
        <f>+E4+SUM(E7:E54)+SUM(E57:E58)+SUM(E61:E62)+SUM(E65:E66)+SUM(E69:E76)</f>
        <v>124014</v>
      </c>
      <c r="F77" s="12">
        <f>+F4+SUM(F7:F54)+SUM(F57:F58)+SUM(F61:F62)+SUM(F65:F66)+SUM(F69:F76)</f>
        <v>123991</v>
      </c>
    </row>
    <row r="78" spans="1:8">
      <c r="B78" s="18" t="s">
        <v>38</v>
      </c>
      <c r="D78" s="19">
        <f>+D4</f>
        <v>338</v>
      </c>
      <c r="E78" s="19">
        <f>+E4</f>
        <v>169</v>
      </c>
      <c r="F78" s="19">
        <f>+F4</f>
        <v>169</v>
      </c>
    </row>
    <row r="79" spans="1:8">
      <c r="B79" s="2" t="s">
        <v>39</v>
      </c>
      <c r="D79" s="19">
        <f>+D7</f>
        <v>17690</v>
      </c>
      <c r="E79" s="19">
        <f>+E7</f>
        <v>8845</v>
      </c>
      <c r="F79" s="19">
        <f>+F7</f>
        <v>8845</v>
      </c>
    </row>
    <row r="80" spans="1:8">
      <c r="B80" s="2" t="s">
        <v>40</v>
      </c>
      <c r="D80" s="19">
        <f>+D57+D61+D65+D69</f>
        <v>78946</v>
      </c>
      <c r="E80" s="19">
        <f>+E57+E61+E65+E69</f>
        <v>39474</v>
      </c>
      <c r="F80" s="19">
        <f>+F57+F61+F65+F69</f>
        <v>39472</v>
      </c>
      <c r="H80" s="3">
        <v>1</v>
      </c>
    </row>
    <row r="81" spans="2:8">
      <c r="B81" s="18" t="s">
        <v>41</v>
      </c>
      <c r="D81" s="19">
        <f>+D77-D78-D79-D80</f>
        <v>151031</v>
      </c>
      <c r="E81" s="19">
        <f>+E77-E78-E79-E80</f>
        <v>75526</v>
      </c>
      <c r="F81" s="19">
        <f>+F77-F78-F79-F80</f>
        <v>75505</v>
      </c>
      <c r="H81" s="3">
        <v>2</v>
      </c>
    </row>
    <row r="83" spans="2:8" hidden="1">
      <c r="B83" s="3" t="s">
        <v>42</v>
      </c>
      <c r="C83" s="4">
        <v>2.0000000000249853E-6</v>
      </c>
      <c r="D83" s="3">
        <f>+D76-ROUND(D3*C76,0)</f>
        <v>-1</v>
      </c>
    </row>
  </sheetData>
  <pageMargins left="0.7" right="0.7" top="0.75" bottom="0.75" header="0.3" footer="0.3"/>
  <pageSetup scale="5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pageSetUpPr fitToPage="1"/>
  </sheetPr>
  <dimension ref="A1:WVB94"/>
  <sheetViews>
    <sheetView topLeftCell="A58" zoomScaleNormal="100" zoomScaleSheetLayoutView="90" workbookViewId="0">
      <selection activeCell="D79" activeCellId="6" sqref="D7:F7 D59:F59 D63:F63 D67:F67 D71:F71 D75:F75 D79:F79"/>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711</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Worksheet'!$D$35</f>
        <v>1190131</v>
      </c>
      <c r="E3" s="11"/>
      <c r="F3" s="11"/>
    </row>
    <row r="4" spans="1:6">
      <c r="A4" s="8">
        <v>0</v>
      </c>
      <c r="B4" s="11" t="s">
        <v>4</v>
      </c>
      <c r="C4" s="10">
        <v>1.1529999999999999E-3</v>
      </c>
      <c r="D4" s="12">
        <f>ROUND(D$3*C4,0)</f>
        <v>1372</v>
      </c>
      <c r="E4" s="13">
        <f>ROUND(D4/2,0)</f>
        <v>686</v>
      </c>
      <c r="F4" s="12">
        <f>D4-E4</f>
        <v>686</v>
      </c>
    </row>
    <row r="5" spans="1:6">
      <c r="A5" s="8">
        <v>1</v>
      </c>
      <c r="B5" s="11" t="s">
        <v>712</v>
      </c>
      <c r="C5" s="10">
        <v>0.114068</v>
      </c>
      <c r="D5" s="9">
        <f>ROUND(D$3*C5,0)</f>
        <v>135756</v>
      </c>
      <c r="E5" s="11">
        <f>ROUND(D5/2,0)</f>
        <v>67878</v>
      </c>
      <c r="F5" s="9">
        <f>D5-E5</f>
        <v>67878</v>
      </c>
    </row>
    <row r="6" spans="1:6">
      <c r="A6" s="8"/>
      <c r="B6" s="11" t="s">
        <v>6</v>
      </c>
      <c r="C6" s="11"/>
      <c r="D6" s="14">
        <v>7.0902999999999994E-2</v>
      </c>
      <c r="E6" s="11"/>
      <c r="F6" s="11"/>
    </row>
    <row r="7" spans="1:6">
      <c r="A7" s="8"/>
      <c r="B7" s="11" t="s">
        <v>7</v>
      </c>
      <c r="C7" s="11"/>
      <c r="D7" s="225">
        <f>ROUND(D5*D6,0)</f>
        <v>9626</v>
      </c>
      <c r="E7" s="226">
        <f>ROUND(D7/2,0)</f>
        <v>4813</v>
      </c>
      <c r="F7" s="225">
        <f>D7-E7</f>
        <v>4813</v>
      </c>
    </row>
    <row r="8" spans="1:6">
      <c r="A8" s="8"/>
      <c r="B8" s="11" t="s">
        <v>8</v>
      </c>
      <c r="C8" s="11"/>
      <c r="D8" s="12">
        <f>+D5-D7</f>
        <v>126130</v>
      </c>
      <c r="E8" s="13">
        <f>ROUND(D8/2,0)</f>
        <v>63065</v>
      </c>
      <c r="F8" s="12">
        <f>D8-E8</f>
        <v>63065</v>
      </c>
    </row>
    <row r="9" spans="1:6">
      <c r="A9" s="8">
        <v>2</v>
      </c>
      <c r="B9" s="11" t="s">
        <v>671</v>
      </c>
      <c r="C9" s="11"/>
      <c r="D9" s="9"/>
      <c r="E9" s="11"/>
      <c r="F9" s="11"/>
    </row>
    <row r="10" spans="1:6">
      <c r="A10" s="8"/>
      <c r="B10" s="11" t="s">
        <v>10</v>
      </c>
      <c r="C10" s="10">
        <v>2.7599999999999999E-4</v>
      </c>
      <c r="D10" s="12">
        <f>ROUND(D$3*C10,0)</f>
        <v>328</v>
      </c>
      <c r="E10" s="13">
        <f>ROUND(D10/2,0)</f>
        <v>164</v>
      </c>
      <c r="F10" s="12">
        <f>D10-E10</f>
        <v>164</v>
      </c>
    </row>
    <row r="11" spans="1:6">
      <c r="A11" s="8"/>
      <c r="B11" s="11" t="s">
        <v>11</v>
      </c>
      <c r="C11" s="10">
        <v>0</v>
      </c>
      <c r="D11" s="12">
        <f>ROUND(D$3*C11,0)</f>
        <v>0</v>
      </c>
      <c r="E11" s="13">
        <f>ROUND(D11/2,0)</f>
        <v>0</v>
      </c>
      <c r="F11" s="12">
        <f>D11-E11</f>
        <v>0</v>
      </c>
    </row>
    <row r="12" spans="1:6">
      <c r="A12" s="8">
        <v>2</v>
      </c>
      <c r="B12" s="11" t="s">
        <v>107</v>
      </c>
      <c r="C12" s="11"/>
      <c r="D12" s="9"/>
      <c r="E12" s="11"/>
      <c r="F12" s="11"/>
    </row>
    <row r="13" spans="1:6">
      <c r="A13" s="8"/>
      <c r="B13" s="11" t="s">
        <v>10</v>
      </c>
      <c r="C13" s="10">
        <v>2.8939999999999999E-3</v>
      </c>
      <c r="D13" s="12">
        <f>ROUND(D$3*C13,0)</f>
        <v>3444</v>
      </c>
      <c r="E13" s="13">
        <f>ROUND(D13/2,0)</f>
        <v>1722</v>
      </c>
      <c r="F13" s="12">
        <f>D13-E13</f>
        <v>1722</v>
      </c>
    </row>
    <row r="14" spans="1:6">
      <c r="A14" s="8"/>
      <c r="B14" s="11" t="s">
        <v>11</v>
      </c>
      <c r="C14" s="10">
        <v>1.629E-3</v>
      </c>
      <c r="D14" s="12">
        <f>ROUND(D$3*C14,0)</f>
        <v>1939</v>
      </c>
      <c r="E14" s="13">
        <f>ROUND(D14/2,0)</f>
        <v>970</v>
      </c>
      <c r="F14" s="12">
        <f>D14-E14</f>
        <v>969</v>
      </c>
    </row>
    <row r="15" spans="1:6">
      <c r="A15" s="8">
        <v>2</v>
      </c>
      <c r="B15" s="11" t="s">
        <v>81</v>
      </c>
      <c r="C15" s="11"/>
      <c r="D15" s="9"/>
      <c r="E15" s="11"/>
      <c r="F15" s="11"/>
    </row>
    <row r="16" spans="1:6">
      <c r="A16" s="8"/>
      <c r="B16" s="11" t="s">
        <v>10</v>
      </c>
      <c r="C16" s="10">
        <v>2.3000000000000001E-4</v>
      </c>
      <c r="D16" s="12">
        <f>ROUND(D$3*C16,0)</f>
        <v>274</v>
      </c>
      <c r="E16" s="13">
        <f>ROUND(D16/2,0)</f>
        <v>137</v>
      </c>
      <c r="F16" s="12">
        <f>D16-E16</f>
        <v>137</v>
      </c>
    </row>
    <row r="17" spans="1:6">
      <c r="A17" s="8"/>
      <c r="B17" s="11" t="s">
        <v>11</v>
      </c>
      <c r="C17" s="10">
        <v>2.7599999999999999E-4</v>
      </c>
      <c r="D17" s="12">
        <f>ROUND(D$3*C17,0)</f>
        <v>328</v>
      </c>
      <c r="E17" s="13">
        <f>ROUND(D17/2,0)</f>
        <v>164</v>
      </c>
      <c r="F17" s="12">
        <f>D17-E17</f>
        <v>164</v>
      </c>
    </row>
    <row r="18" spans="1:6">
      <c r="A18" s="8">
        <v>2</v>
      </c>
      <c r="B18" s="11" t="s">
        <v>48</v>
      </c>
      <c r="C18" s="11"/>
      <c r="D18" s="9"/>
      <c r="E18" s="11"/>
      <c r="F18" s="11"/>
    </row>
    <row r="19" spans="1:6">
      <c r="A19" s="8"/>
      <c r="B19" s="11" t="s">
        <v>10</v>
      </c>
      <c r="C19" s="10">
        <v>2.0119999999999999E-3</v>
      </c>
      <c r="D19" s="12">
        <f>ROUND(D$3*C19,0)</f>
        <v>2395</v>
      </c>
      <c r="E19" s="13">
        <f>ROUND(D19/2,0)</f>
        <v>1198</v>
      </c>
      <c r="F19" s="12">
        <f>D19-E19</f>
        <v>1197</v>
      </c>
    </row>
    <row r="20" spans="1:6">
      <c r="A20" s="8"/>
      <c r="B20" s="11" t="s">
        <v>11</v>
      </c>
      <c r="C20" s="10">
        <v>2.8170000000000001E-3</v>
      </c>
      <c r="D20" s="12">
        <f>ROUND(D$3*C20,0)</f>
        <v>3353</v>
      </c>
      <c r="E20" s="13">
        <f>ROUND(D20/2,0)</f>
        <v>1677</v>
      </c>
      <c r="F20" s="12">
        <f>D20-E20</f>
        <v>1676</v>
      </c>
    </row>
    <row r="21" spans="1:6">
      <c r="A21" s="8">
        <v>2</v>
      </c>
      <c r="B21" s="11" t="s">
        <v>372</v>
      </c>
      <c r="C21" s="11"/>
      <c r="D21" s="9"/>
      <c r="E21" s="11"/>
      <c r="F21" s="11"/>
    </row>
    <row r="22" spans="1:6">
      <c r="A22" s="8"/>
      <c r="B22" s="11" t="s">
        <v>10</v>
      </c>
      <c r="C22" s="10">
        <v>1.5899999999999999E-4</v>
      </c>
      <c r="D22" s="12">
        <f>ROUND(D$3*C22,0)</f>
        <v>189</v>
      </c>
      <c r="E22" s="13">
        <f>ROUND(D22/2,0)</f>
        <v>95</v>
      </c>
      <c r="F22" s="12">
        <f>D22-E22</f>
        <v>94</v>
      </c>
    </row>
    <row r="23" spans="1:6">
      <c r="A23" s="8"/>
      <c r="B23" s="11" t="s">
        <v>11</v>
      </c>
      <c r="C23" s="10">
        <v>1.56E-4</v>
      </c>
      <c r="D23" s="12">
        <f>ROUND(D$3*C23,0)</f>
        <v>186</v>
      </c>
      <c r="E23" s="13">
        <f>ROUND(D23/2,0)</f>
        <v>93</v>
      </c>
      <c r="F23" s="12">
        <f>D23-E23</f>
        <v>93</v>
      </c>
    </row>
    <row r="24" spans="1:6">
      <c r="A24" s="8">
        <v>2</v>
      </c>
      <c r="B24" s="11" t="s">
        <v>713</v>
      </c>
      <c r="C24" s="11"/>
      <c r="D24" s="9"/>
      <c r="E24" s="11"/>
      <c r="F24" s="11"/>
    </row>
    <row r="25" spans="1:6">
      <c r="A25" s="8"/>
      <c r="B25" s="11" t="s">
        <v>10</v>
      </c>
      <c r="C25" s="10">
        <v>8.319E-3</v>
      </c>
      <c r="D25" s="12">
        <f>ROUND(D$3*C25,0)</f>
        <v>9901</v>
      </c>
      <c r="E25" s="13">
        <f>ROUND(D25/2,0)</f>
        <v>4951</v>
      </c>
      <c r="F25" s="12">
        <f>D25-E25</f>
        <v>4950</v>
      </c>
    </row>
    <row r="26" spans="1:6">
      <c r="A26" s="8"/>
      <c r="B26" s="11" t="s">
        <v>11</v>
      </c>
      <c r="C26" s="10">
        <v>1.348E-3</v>
      </c>
      <c r="D26" s="12">
        <f>ROUND(D$3*C26,0)</f>
        <v>1604</v>
      </c>
      <c r="E26" s="13">
        <f>ROUND(D26/2,0)</f>
        <v>802</v>
      </c>
      <c r="F26" s="12">
        <f>D26-E26</f>
        <v>802</v>
      </c>
    </row>
    <row r="27" spans="1:6">
      <c r="A27" s="8">
        <v>2</v>
      </c>
      <c r="B27" s="11" t="s">
        <v>181</v>
      </c>
      <c r="C27" s="11"/>
      <c r="D27" s="9"/>
      <c r="E27" s="11"/>
      <c r="F27" s="11"/>
    </row>
    <row r="28" spans="1:6">
      <c r="A28" s="8"/>
      <c r="B28" s="11" t="s">
        <v>10</v>
      </c>
      <c r="C28" s="10">
        <v>2.3930000000000002E-3</v>
      </c>
      <c r="D28" s="12">
        <f>ROUND(D$3*C28,0)</f>
        <v>2848</v>
      </c>
      <c r="E28" s="13">
        <f>ROUND(D28/2,0)</f>
        <v>1424</v>
      </c>
      <c r="F28" s="12">
        <f>D28-E28</f>
        <v>1424</v>
      </c>
    </row>
    <row r="29" spans="1:6">
      <c r="A29" s="8"/>
      <c r="B29" s="11" t="s">
        <v>11</v>
      </c>
      <c r="C29" s="10">
        <v>3.1050000000000001E-3</v>
      </c>
      <c r="D29" s="12">
        <f>ROUND(D$3*C29,0)</f>
        <v>3695</v>
      </c>
      <c r="E29" s="13">
        <f>ROUND(D29/2,0)</f>
        <v>1848</v>
      </c>
      <c r="F29" s="12">
        <f>D29-E29</f>
        <v>1847</v>
      </c>
    </row>
    <row r="30" spans="1:6">
      <c r="A30" s="8">
        <v>2</v>
      </c>
      <c r="B30" s="11" t="s">
        <v>714</v>
      </c>
      <c r="C30" s="11"/>
      <c r="D30" s="9"/>
      <c r="E30" s="11"/>
      <c r="F30" s="11"/>
    </row>
    <row r="31" spans="1:6">
      <c r="A31" s="8"/>
      <c r="B31" s="11" t="s">
        <v>10</v>
      </c>
      <c r="C31" s="10">
        <v>8.25E-4</v>
      </c>
      <c r="D31" s="12">
        <f>ROUND(D$3*C31,0)</f>
        <v>982</v>
      </c>
      <c r="E31" s="13">
        <f>ROUND(D31/2,0)</f>
        <v>491</v>
      </c>
      <c r="F31" s="12">
        <f>D31-E31</f>
        <v>491</v>
      </c>
    </row>
    <row r="32" spans="1:6">
      <c r="A32" s="8"/>
      <c r="B32" s="11" t="s">
        <v>11</v>
      </c>
      <c r="C32" s="10">
        <v>0</v>
      </c>
      <c r="D32" s="12">
        <f>ROUND(D$3*C32,0)</f>
        <v>0</v>
      </c>
      <c r="E32" s="13">
        <f>ROUND(D32/2,0)</f>
        <v>0</v>
      </c>
      <c r="F32" s="12">
        <f>D32-E32</f>
        <v>0</v>
      </c>
    </row>
    <row r="33" spans="1:6">
      <c r="A33" s="8">
        <v>2</v>
      </c>
      <c r="B33" s="11" t="s">
        <v>53</v>
      </c>
      <c r="C33" s="11"/>
      <c r="D33" s="9"/>
      <c r="E33" s="11"/>
      <c r="F33" s="11"/>
    </row>
    <row r="34" spans="1:6">
      <c r="A34" s="8"/>
      <c r="B34" s="11" t="s">
        <v>10</v>
      </c>
      <c r="C34" s="10">
        <v>2.2100000000000001E-4</v>
      </c>
      <c r="D34" s="12">
        <f>ROUND(D$3*C34,0)</f>
        <v>263</v>
      </c>
      <c r="E34" s="13">
        <f>ROUND(D34/2,0)</f>
        <v>132</v>
      </c>
      <c r="F34" s="12">
        <f>D34-E34</f>
        <v>131</v>
      </c>
    </row>
    <row r="35" spans="1:6">
      <c r="A35" s="8"/>
      <c r="B35" s="11" t="s">
        <v>11</v>
      </c>
      <c r="C35" s="10">
        <v>1.5899999999999999E-4</v>
      </c>
      <c r="D35" s="12">
        <f>ROUND(D$3*C35,0)</f>
        <v>189</v>
      </c>
      <c r="E35" s="13">
        <f>ROUND(D35/2,0)</f>
        <v>95</v>
      </c>
      <c r="F35" s="12">
        <f>D35-E35</f>
        <v>94</v>
      </c>
    </row>
    <row r="36" spans="1:6">
      <c r="A36" s="8">
        <v>2</v>
      </c>
      <c r="B36" s="11" t="s">
        <v>715</v>
      </c>
      <c r="C36" s="11"/>
      <c r="D36" s="9"/>
      <c r="E36" s="11"/>
      <c r="F36" s="11"/>
    </row>
    <row r="37" spans="1:6">
      <c r="A37" s="8"/>
      <c r="B37" s="11" t="s">
        <v>10</v>
      </c>
      <c r="C37" s="10">
        <v>3.19E-4</v>
      </c>
      <c r="D37" s="12">
        <f>ROUND(D$3*C37,0)</f>
        <v>380</v>
      </c>
      <c r="E37" s="13">
        <f>ROUND(D37/2,0)</f>
        <v>190</v>
      </c>
      <c r="F37" s="12">
        <f>D37-E37</f>
        <v>190</v>
      </c>
    </row>
    <row r="38" spans="1:6">
      <c r="A38" s="8"/>
      <c r="B38" s="11" t="s">
        <v>11</v>
      </c>
      <c r="C38" s="10">
        <v>1.524E-3</v>
      </c>
      <c r="D38" s="12">
        <f>ROUND(D$3*C38,0)</f>
        <v>1814</v>
      </c>
      <c r="E38" s="13">
        <f>ROUND(D38/2,0)</f>
        <v>907</v>
      </c>
      <c r="F38" s="12">
        <f>D38-E38</f>
        <v>907</v>
      </c>
    </row>
    <row r="39" spans="1:6">
      <c r="A39" s="8">
        <v>2</v>
      </c>
      <c r="B39" s="11" t="s">
        <v>20</v>
      </c>
      <c r="C39" s="11"/>
      <c r="D39" s="9"/>
      <c r="E39" s="11"/>
      <c r="F39" s="11"/>
    </row>
    <row r="40" spans="1:6">
      <c r="A40" s="8"/>
      <c r="B40" s="11" t="s">
        <v>10</v>
      </c>
      <c r="C40" s="10">
        <v>3.3599999999999998E-4</v>
      </c>
      <c r="D40" s="12">
        <f>ROUND(D$3*C40,0)</f>
        <v>400</v>
      </c>
      <c r="E40" s="13">
        <f>ROUND(D40/2,0)</f>
        <v>200</v>
      </c>
      <c r="F40" s="12">
        <f>D40-E40</f>
        <v>200</v>
      </c>
    </row>
    <row r="41" spans="1:6">
      <c r="A41" s="8"/>
      <c r="B41" s="11" t="s">
        <v>11</v>
      </c>
      <c r="C41" s="10">
        <v>1.63E-4</v>
      </c>
      <c r="D41" s="12">
        <f>ROUND(D$3*C41,0)</f>
        <v>194</v>
      </c>
      <c r="E41" s="13">
        <f>ROUND(D41/2,0)</f>
        <v>97</v>
      </c>
      <c r="F41" s="12">
        <f>D41-E41</f>
        <v>97</v>
      </c>
    </row>
    <row r="42" spans="1:6">
      <c r="A42" s="8">
        <v>2</v>
      </c>
      <c r="B42" s="11" t="s">
        <v>22</v>
      </c>
      <c r="C42" s="11"/>
      <c r="D42" s="9"/>
      <c r="E42" s="11"/>
      <c r="F42" s="11"/>
    </row>
    <row r="43" spans="1:6">
      <c r="A43" s="8"/>
      <c r="B43" s="11" t="s">
        <v>10</v>
      </c>
      <c r="C43" s="10">
        <v>6.6660000000000001E-3</v>
      </c>
      <c r="D43" s="12">
        <f t="shared" ref="D43:D57" si="0">ROUND(D$3*C43,0)</f>
        <v>7933</v>
      </c>
      <c r="E43" s="13">
        <f t="shared" ref="E43:E57" si="1">ROUND(D43/2,0)</f>
        <v>3967</v>
      </c>
      <c r="F43" s="12">
        <f t="shared" ref="F43:F57" si="2">D43-E43</f>
        <v>3966</v>
      </c>
    </row>
    <row r="44" spans="1:6">
      <c r="A44" s="8"/>
      <c r="B44" s="11" t="s">
        <v>11</v>
      </c>
      <c r="C44" s="10">
        <v>7.0000000000000001E-3</v>
      </c>
      <c r="D44" s="12">
        <f t="shared" si="0"/>
        <v>8331</v>
      </c>
      <c r="E44" s="13">
        <f t="shared" si="1"/>
        <v>4166</v>
      </c>
      <c r="F44" s="12">
        <f t="shared" si="2"/>
        <v>4165</v>
      </c>
    </row>
    <row r="45" spans="1:6">
      <c r="A45" s="8">
        <v>3</v>
      </c>
      <c r="B45" s="11" t="s">
        <v>716</v>
      </c>
      <c r="C45" s="10">
        <v>8.9700000000000001E-4</v>
      </c>
      <c r="D45" s="12">
        <f t="shared" si="0"/>
        <v>1068</v>
      </c>
      <c r="E45" s="13">
        <f t="shared" si="1"/>
        <v>534</v>
      </c>
      <c r="F45" s="12">
        <f t="shared" si="2"/>
        <v>534</v>
      </c>
    </row>
    <row r="46" spans="1:6">
      <c r="A46" s="8">
        <v>3</v>
      </c>
      <c r="B46" s="11" t="s">
        <v>717</v>
      </c>
      <c r="C46" s="10">
        <v>2.5820000000000001E-3</v>
      </c>
      <c r="D46" s="12">
        <f t="shared" si="0"/>
        <v>3073</v>
      </c>
      <c r="E46" s="13">
        <f t="shared" si="1"/>
        <v>1537</v>
      </c>
      <c r="F46" s="12">
        <f t="shared" si="2"/>
        <v>1536</v>
      </c>
    </row>
    <row r="47" spans="1:6">
      <c r="A47" s="8">
        <v>3</v>
      </c>
      <c r="B47" s="11" t="s">
        <v>718</v>
      </c>
      <c r="C47" s="10">
        <v>1.2689000000000001E-2</v>
      </c>
      <c r="D47" s="12">
        <f t="shared" si="0"/>
        <v>15102</v>
      </c>
      <c r="E47" s="13">
        <f t="shared" si="1"/>
        <v>7551</v>
      </c>
      <c r="F47" s="12">
        <f t="shared" si="2"/>
        <v>7551</v>
      </c>
    </row>
    <row r="48" spans="1:6">
      <c r="A48" s="8">
        <v>3</v>
      </c>
      <c r="B48" s="11" t="s">
        <v>719</v>
      </c>
      <c r="C48" s="10">
        <v>9.1799999999999998E-4</v>
      </c>
      <c r="D48" s="12">
        <f t="shared" si="0"/>
        <v>1093</v>
      </c>
      <c r="E48" s="13">
        <f t="shared" si="1"/>
        <v>547</v>
      </c>
      <c r="F48" s="12">
        <f t="shared" si="2"/>
        <v>546</v>
      </c>
    </row>
    <row r="49" spans="1:6">
      <c r="A49" s="8">
        <v>3</v>
      </c>
      <c r="B49" s="11" t="s">
        <v>720</v>
      </c>
      <c r="C49" s="10">
        <v>5.6849999999999999E-3</v>
      </c>
      <c r="D49" s="12">
        <f t="shared" si="0"/>
        <v>6766</v>
      </c>
      <c r="E49" s="13">
        <f t="shared" si="1"/>
        <v>3383</v>
      </c>
      <c r="F49" s="12">
        <f t="shared" si="2"/>
        <v>3383</v>
      </c>
    </row>
    <row r="50" spans="1:6">
      <c r="A50" s="8">
        <v>3</v>
      </c>
      <c r="B50" s="11" t="s">
        <v>721</v>
      </c>
      <c r="C50" s="10">
        <v>4.9329999999999999E-3</v>
      </c>
      <c r="D50" s="12">
        <f t="shared" si="0"/>
        <v>5871</v>
      </c>
      <c r="E50" s="13">
        <f t="shared" si="1"/>
        <v>2936</v>
      </c>
      <c r="F50" s="12">
        <f t="shared" si="2"/>
        <v>2935</v>
      </c>
    </row>
    <row r="51" spans="1:6">
      <c r="A51" s="8">
        <v>3</v>
      </c>
      <c r="B51" s="11" t="s">
        <v>152</v>
      </c>
      <c r="C51" s="10">
        <v>8.5000000000000006E-5</v>
      </c>
      <c r="D51" s="12">
        <f t="shared" si="0"/>
        <v>101</v>
      </c>
      <c r="E51" s="13">
        <f t="shared" si="1"/>
        <v>51</v>
      </c>
      <c r="F51" s="12">
        <f t="shared" si="2"/>
        <v>50</v>
      </c>
    </row>
    <row r="52" spans="1:6">
      <c r="A52" s="8">
        <v>3</v>
      </c>
      <c r="B52" s="11" t="s">
        <v>722</v>
      </c>
      <c r="C52" s="10">
        <v>6.3999999999999997E-5</v>
      </c>
      <c r="D52" s="12">
        <f t="shared" si="0"/>
        <v>76</v>
      </c>
      <c r="E52" s="13">
        <f t="shared" si="1"/>
        <v>38</v>
      </c>
      <c r="F52" s="12">
        <f t="shared" si="2"/>
        <v>38</v>
      </c>
    </row>
    <row r="53" spans="1:6">
      <c r="A53" s="8">
        <v>3</v>
      </c>
      <c r="B53" s="11" t="s">
        <v>723</v>
      </c>
      <c r="C53" s="10">
        <v>6.0759999999999998E-3</v>
      </c>
      <c r="D53" s="12">
        <f t="shared" si="0"/>
        <v>7231</v>
      </c>
      <c r="E53" s="13">
        <f t="shared" si="1"/>
        <v>3616</v>
      </c>
      <c r="F53" s="12">
        <f t="shared" si="2"/>
        <v>3615</v>
      </c>
    </row>
    <row r="54" spans="1:6">
      <c r="A54" s="8">
        <v>3</v>
      </c>
      <c r="B54" s="11" t="s">
        <v>724</v>
      </c>
      <c r="C54" s="10">
        <v>7.5699999999999997E-4</v>
      </c>
      <c r="D54" s="12">
        <f t="shared" si="0"/>
        <v>901</v>
      </c>
      <c r="E54" s="13">
        <f t="shared" si="1"/>
        <v>451</v>
      </c>
      <c r="F54" s="12">
        <f t="shared" si="2"/>
        <v>450</v>
      </c>
    </row>
    <row r="55" spans="1:6">
      <c r="A55" s="8">
        <v>3</v>
      </c>
      <c r="B55" s="11" t="s">
        <v>725</v>
      </c>
      <c r="C55" s="10">
        <v>5.5286000000000002E-2</v>
      </c>
      <c r="D55" s="12">
        <f t="shared" si="0"/>
        <v>65798</v>
      </c>
      <c r="E55" s="13">
        <f t="shared" si="1"/>
        <v>32899</v>
      </c>
      <c r="F55" s="12">
        <f t="shared" si="2"/>
        <v>32899</v>
      </c>
    </row>
    <row r="56" spans="1:6">
      <c r="A56" s="8">
        <v>3</v>
      </c>
      <c r="B56" s="11" t="s">
        <v>726</v>
      </c>
      <c r="C56" s="10">
        <v>5.7000000000000003E-5</v>
      </c>
      <c r="D56" s="12">
        <f t="shared" si="0"/>
        <v>68</v>
      </c>
      <c r="E56" s="13">
        <f t="shared" si="1"/>
        <v>34</v>
      </c>
      <c r="F56" s="12">
        <f t="shared" si="2"/>
        <v>34</v>
      </c>
    </row>
    <row r="57" spans="1:6">
      <c r="A57" s="8">
        <v>4</v>
      </c>
      <c r="B57" s="11" t="s">
        <v>727</v>
      </c>
      <c r="C57" s="10">
        <v>0.14166500000000001</v>
      </c>
      <c r="D57" s="9">
        <f t="shared" si="0"/>
        <v>168600</v>
      </c>
      <c r="E57" s="11">
        <f t="shared" si="1"/>
        <v>84300</v>
      </c>
      <c r="F57" s="9">
        <f t="shared" si="2"/>
        <v>84300</v>
      </c>
    </row>
    <row r="58" spans="1:6">
      <c r="A58" s="8"/>
      <c r="B58" s="11" t="s">
        <v>28</v>
      </c>
      <c r="C58" s="11"/>
      <c r="D58" s="14">
        <v>0.38342399999999999</v>
      </c>
      <c r="E58" s="11"/>
      <c r="F58" s="11"/>
    </row>
    <row r="59" spans="1:6">
      <c r="A59" s="8"/>
      <c r="B59" s="11" t="s">
        <v>29</v>
      </c>
      <c r="C59" s="11"/>
      <c r="D59" s="225">
        <f>ROUND(D57*D58,0)</f>
        <v>64645</v>
      </c>
      <c r="E59" s="226">
        <f>ROUND(D59/2,0)</f>
        <v>32323</v>
      </c>
      <c r="F59" s="225">
        <f>D59-E59</f>
        <v>32322</v>
      </c>
    </row>
    <row r="60" spans="1:6">
      <c r="A60" s="8"/>
      <c r="B60" s="11" t="s">
        <v>30</v>
      </c>
      <c r="C60" s="11"/>
      <c r="D60" s="12">
        <f>+D57-D59</f>
        <v>103955</v>
      </c>
      <c r="E60" s="13">
        <f>ROUND(D60/2,0)</f>
        <v>51978</v>
      </c>
      <c r="F60" s="12">
        <f>D60-E60</f>
        <v>51977</v>
      </c>
    </row>
    <row r="61" spans="1:6">
      <c r="A61" s="8">
        <v>4</v>
      </c>
      <c r="B61" s="11" t="s">
        <v>728</v>
      </c>
      <c r="C61" s="10">
        <v>8.8581999999999994E-2</v>
      </c>
      <c r="D61" s="9">
        <f>ROUND(D$3*C61,0)</f>
        <v>105424</v>
      </c>
      <c r="E61" s="11">
        <f>ROUND(D61/2,0)</f>
        <v>52712</v>
      </c>
      <c r="F61" s="9">
        <f>D61-E61</f>
        <v>52712</v>
      </c>
    </row>
    <row r="62" spans="1:6">
      <c r="A62" s="8"/>
      <c r="B62" s="11" t="s">
        <v>28</v>
      </c>
      <c r="C62" s="11"/>
      <c r="D62" s="14">
        <v>0.36301299999999997</v>
      </c>
      <c r="E62" s="11"/>
      <c r="F62" s="11"/>
    </row>
    <row r="63" spans="1:6">
      <c r="A63" s="8"/>
      <c r="B63" s="11" t="s">
        <v>29</v>
      </c>
      <c r="C63" s="11"/>
      <c r="D63" s="225">
        <f>ROUND(D61*D62,0)</f>
        <v>38270</v>
      </c>
      <c r="E63" s="226">
        <f>ROUND(D63/2,0)</f>
        <v>19135</v>
      </c>
      <c r="F63" s="225">
        <f>D63-E63</f>
        <v>19135</v>
      </c>
    </row>
    <row r="64" spans="1:6">
      <c r="A64" s="8"/>
      <c r="B64" s="11" t="s">
        <v>30</v>
      </c>
      <c r="C64" s="11"/>
      <c r="D64" s="12">
        <f>+D61-D63</f>
        <v>67154</v>
      </c>
      <c r="E64" s="13">
        <f>ROUND(D64/2,0)</f>
        <v>33577</v>
      </c>
      <c r="F64" s="12">
        <f>D64-E64</f>
        <v>33577</v>
      </c>
    </row>
    <row r="65" spans="1:6">
      <c r="A65" s="8">
        <v>4</v>
      </c>
      <c r="B65" s="11" t="s">
        <v>729</v>
      </c>
      <c r="C65" s="10">
        <v>8.3224999999999993E-2</v>
      </c>
      <c r="D65" s="9">
        <f>ROUND(D$3*C65,0)</f>
        <v>99049</v>
      </c>
      <c r="E65" s="11">
        <f>ROUND(D65/2,0)</f>
        <v>49525</v>
      </c>
      <c r="F65" s="9">
        <f>D65-E65</f>
        <v>49524</v>
      </c>
    </row>
    <row r="66" spans="1:6">
      <c r="A66" s="8"/>
      <c r="B66" s="11" t="s">
        <v>28</v>
      </c>
      <c r="C66" s="11"/>
      <c r="D66" s="14">
        <v>0.36555799999999999</v>
      </c>
      <c r="E66" s="11"/>
      <c r="F66" s="11"/>
    </row>
    <row r="67" spans="1:6">
      <c r="A67" s="8"/>
      <c r="B67" s="11" t="s">
        <v>29</v>
      </c>
      <c r="C67" s="11"/>
      <c r="D67" s="225">
        <f>ROUND(D65*D66,0)</f>
        <v>36208</v>
      </c>
      <c r="E67" s="226">
        <f>ROUND(D67/2,0)</f>
        <v>18104</v>
      </c>
      <c r="F67" s="225">
        <f>D67-E67</f>
        <v>18104</v>
      </c>
    </row>
    <row r="68" spans="1:6">
      <c r="A68" s="8"/>
      <c r="B68" s="11" t="s">
        <v>30</v>
      </c>
      <c r="C68" s="11"/>
      <c r="D68" s="12">
        <f>+D65-D67</f>
        <v>62841</v>
      </c>
      <c r="E68" s="13">
        <f>ROUND(D68/2,0)</f>
        <v>31421</v>
      </c>
      <c r="F68" s="12">
        <f>D68-E68</f>
        <v>31420</v>
      </c>
    </row>
    <row r="69" spans="1:6">
      <c r="A69" s="8">
        <v>4</v>
      </c>
      <c r="B69" s="11" t="s">
        <v>730</v>
      </c>
      <c r="C69" s="10">
        <v>0.14116400000000001</v>
      </c>
      <c r="D69" s="9">
        <f>ROUND(D$3*C69,0)</f>
        <v>168004</v>
      </c>
      <c r="E69" s="11">
        <f>ROUND(D69/2,0)</f>
        <v>84002</v>
      </c>
      <c r="F69" s="9">
        <f>D69-E69</f>
        <v>84002</v>
      </c>
    </row>
    <row r="70" spans="1:6">
      <c r="A70" s="8"/>
      <c r="B70" s="11" t="s">
        <v>28</v>
      </c>
      <c r="C70" s="11"/>
      <c r="D70" s="14">
        <v>0.400366</v>
      </c>
      <c r="E70" s="11"/>
      <c r="F70" s="11"/>
    </row>
    <row r="71" spans="1:6">
      <c r="A71" s="8" t="s">
        <v>590</v>
      </c>
      <c r="B71" s="11" t="s">
        <v>29</v>
      </c>
      <c r="C71" s="11"/>
      <c r="D71" s="225">
        <f>ROUND(D69*D70,0)</f>
        <v>67263</v>
      </c>
      <c r="E71" s="226">
        <f>ROUND(D71/2,0)</f>
        <v>33632</v>
      </c>
      <c r="F71" s="225">
        <f>D71-E71</f>
        <v>33631</v>
      </c>
    </row>
    <row r="72" spans="1:6">
      <c r="A72" s="8"/>
      <c r="B72" s="11" t="s">
        <v>30</v>
      </c>
      <c r="C72" s="11"/>
      <c r="D72" s="12">
        <f>+D69-D71</f>
        <v>100741</v>
      </c>
      <c r="E72" s="13">
        <f>ROUND(D72/2,0)</f>
        <v>50371</v>
      </c>
      <c r="F72" s="12">
        <f>D72-E72</f>
        <v>50370</v>
      </c>
    </row>
    <row r="73" spans="1:6">
      <c r="A73" s="8">
        <v>4</v>
      </c>
      <c r="B73" s="11" t="s">
        <v>731</v>
      </c>
      <c r="C73" s="10">
        <v>6.7951999999999999E-2</v>
      </c>
      <c r="D73" s="9">
        <f>ROUND(D$3*C73,0)</f>
        <v>80872</v>
      </c>
      <c r="E73" s="11">
        <f>ROUND(D73/2,0)</f>
        <v>40436</v>
      </c>
      <c r="F73" s="9">
        <f>D73-E73</f>
        <v>40436</v>
      </c>
    </row>
    <row r="74" spans="1:6">
      <c r="A74" s="8"/>
      <c r="B74" s="11" t="s">
        <v>28</v>
      </c>
      <c r="C74" s="11"/>
      <c r="D74" s="14">
        <v>0.43082700000000002</v>
      </c>
      <c r="E74" s="11"/>
      <c r="F74" s="11"/>
    </row>
    <row r="75" spans="1:6">
      <c r="A75" s="8"/>
      <c r="B75" s="11" t="s">
        <v>29</v>
      </c>
      <c r="C75" s="11"/>
      <c r="D75" s="225">
        <f>ROUND(D73*D74,0)</f>
        <v>34842</v>
      </c>
      <c r="E75" s="226">
        <f>ROUND(D75/2,0)</f>
        <v>17421</v>
      </c>
      <c r="F75" s="225">
        <f>D75-E75</f>
        <v>17421</v>
      </c>
    </row>
    <row r="76" spans="1:6">
      <c r="A76" s="8"/>
      <c r="B76" s="11" t="s">
        <v>30</v>
      </c>
      <c r="C76" s="11"/>
      <c r="D76" s="12">
        <f>+D73-D75</f>
        <v>46030</v>
      </c>
      <c r="E76" s="13">
        <f>ROUND(D76/2,0)</f>
        <v>23015</v>
      </c>
      <c r="F76" s="12">
        <f>D76-E76</f>
        <v>23015</v>
      </c>
    </row>
    <row r="77" spans="1:6">
      <c r="A77" s="8">
        <v>4</v>
      </c>
      <c r="B77" s="11" t="s">
        <v>732</v>
      </c>
      <c r="C77" s="10">
        <v>0.19527700000000001</v>
      </c>
      <c r="D77" s="9">
        <f>ROUND(D$3*C77,0)</f>
        <v>232405</v>
      </c>
      <c r="E77" s="11">
        <f>ROUND(D77/2,0)</f>
        <v>116203</v>
      </c>
      <c r="F77" s="9">
        <f>D77-E77</f>
        <v>116202</v>
      </c>
    </row>
    <row r="78" spans="1:6">
      <c r="A78" s="8"/>
      <c r="B78" s="11" t="s">
        <v>28</v>
      </c>
      <c r="C78" s="11"/>
      <c r="D78" s="14">
        <v>0.36244199999999999</v>
      </c>
      <c r="E78" s="11"/>
      <c r="F78" s="11"/>
    </row>
    <row r="79" spans="1:6">
      <c r="A79" s="8"/>
      <c r="B79" s="11" t="s">
        <v>29</v>
      </c>
      <c r="C79" s="11"/>
      <c r="D79" s="225">
        <f>ROUND(D77*D78,0)</f>
        <v>84233</v>
      </c>
      <c r="E79" s="226">
        <f t="shared" ref="E79:E87" si="3">ROUND(D79/2,0)</f>
        <v>42117</v>
      </c>
      <c r="F79" s="225">
        <f t="shared" ref="F79:F87" si="4">D79-E79</f>
        <v>42116</v>
      </c>
    </row>
    <row r="80" spans="1:6">
      <c r="A80" s="8"/>
      <c r="B80" s="11" t="s">
        <v>30</v>
      </c>
      <c r="C80" s="11"/>
      <c r="D80" s="12">
        <f>+D77-D79</f>
        <v>148172</v>
      </c>
      <c r="E80" s="13">
        <f t="shared" si="3"/>
        <v>74086</v>
      </c>
      <c r="F80" s="12">
        <f t="shared" si="4"/>
        <v>74086</v>
      </c>
    </row>
    <row r="81" spans="1:8">
      <c r="A81" s="8">
        <v>5</v>
      </c>
      <c r="B81" s="11" t="s">
        <v>733</v>
      </c>
      <c r="C81" s="10">
        <v>3.114E-3</v>
      </c>
      <c r="D81" s="12">
        <f>ROUND(D$3*C81,0)</f>
        <v>3706</v>
      </c>
      <c r="E81" s="13">
        <f t="shared" si="3"/>
        <v>1853</v>
      </c>
      <c r="F81" s="12">
        <f t="shared" si="4"/>
        <v>1853</v>
      </c>
    </row>
    <row r="82" spans="1:8">
      <c r="A82" s="8">
        <v>5</v>
      </c>
      <c r="B82" s="11" t="s">
        <v>734</v>
      </c>
      <c r="C82" s="10">
        <v>2.9320000000000001E-3</v>
      </c>
      <c r="D82" s="12">
        <f>ROUND(D$3*C82,0)</f>
        <v>3489</v>
      </c>
      <c r="E82" s="13">
        <f t="shared" si="3"/>
        <v>1745</v>
      </c>
      <c r="F82" s="12">
        <f t="shared" si="4"/>
        <v>1744</v>
      </c>
    </row>
    <row r="83" spans="1:8">
      <c r="A83" s="8">
        <v>5</v>
      </c>
      <c r="B83" s="11" t="s">
        <v>735</v>
      </c>
      <c r="C83" s="10">
        <v>1.377E-3</v>
      </c>
      <c r="D83" s="12">
        <f>ROUND(D$3*C83,0)</f>
        <v>1639</v>
      </c>
      <c r="E83" s="13">
        <f t="shared" si="3"/>
        <v>820</v>
      </c>
      <c r="F83" s="12">
        <f t="shared" si="4"/>
        <v>819</v>
      </c>
    </row>
    <row r="84" spans="1:8">
      <c r="A84" s="8">
        <v>5</v>
      </c>
      <c r="B84" s="11" t="s">
        <v>736</v>
      </c>
      <c r="C84" s="10">
        <v>4.352E-3</v>
      </c>
      <c r="D84" s="12">
        <f>ROUND(D$3*C84,0)</f>
        <v>5179</v>
      </c>
      <c r="E84" s="13">
        <f t="shared" si="3"/>
        <v>2590</v>
      </c>
      <c r="F84" s="12">
        <f t="shared" si="4"/>
        <v>2589</v>
      </c>
    </row>
    <row r="85" spans="1:8">
      <c r="A85" s="8">
        <v>5</v>
      </c>
      <c r="B85" s="11" t="s">
        <v>737</v>
      </c>
      <c r="C85" s="10">
        <v>1.8408000000000001E-2</v>
      </c>
      <c r="D85" s="12">
        <f>ROUND(D$3*C85,0)</f>
        <v>21908</v>
      </c>
      <c r="E85" s="13">
        <f t="shared" si="3"/>
        <v>10954</v>
      </c>
      <c r="F85" s="12">
        <f t="shared" si="4"/>
        <v>10954</v>
      </c>
    </row>
    <row r="86" spans="1:8">
      <c r="A86" s="8">
        <v>5</v>
      </c>
      <c r="B86" s="11" t="s">
        <v>738</v>
      </c>
      <c r="C86" s="10">
        <v>3.8749999999998508E-3</v>
      </c>
      <c r="D86" s="12">
        <f>+D3-SUM(D4:D5)-SUM(D10:D57)-D61-D65-D69-D73-D77-SUM(D81:D85)</f>
        <v>4610</v>
      </c>
      <c r="E86" s="13">
        <f t="shared" si="3"/>
        <v>2305</v>
      </c>
      <c r="F86" s="12">
        <f t="shared" si="4"/>
        <v>2305</v>
      </c>
    </row>
    <row r="87" spans="1:8">
      <c r="A87" s="8">
        <v>6</v>
      </c>
      <c r="B87" s="11" t="s">
        <v>739</v>
      </c>
      <c r="C87" s="10">
        <v>0</v>
      </c>
      <c r="D87" s="12">
        <f>ROUND(D$3*C87,0)</f>
        <v>0</v>
      </c>
      <c r="E87" s="13">
        <f t="shared" si="3"/>
        <v>0</v>
      </c>
      <c r="F87" s="12">
        <f t="shared" si="4"/>
        <v>0</v>
      </c>
    </row>
    <row r="88" spans="1:8">
      <c r="A88" s="8"/>
      <c r="B88" s="28" t="s">
        <v>288</v>
      </c>
      <c r="C88" s="10">
        <v>1</v>
      </c>
      <c r="D88" s="12">
        <f>+D4+SUM(D7:D56)+SUM(D59:D60)+SUM(D63:D64)+SUM(D67:D68)+SUM(D71:D72)+SUM(D75:D76)+SUM(D79:D87)</f>
        <v>1190131</v>
      </c>
      <c r="E88" s="12">
        <f>+E4+SUM(E7:E56)+SUM(E59:E60)+SUM(E63:E64)+SUM(E67:E68)+SUM(E71:E72)+SUM(E75:E76)+SUM(E79:E87)</f>
        <v>595078</v>
      </c>
      <c r="F88" s="12">
        <f>+F4+SUM(F7:F56)+SUM(F59:F60)+SUM(F63:F64)+SUM(F67:F68)+SUM(F71:F72)+SUM(F75:F76)+SUM(F79:F87)</f>
        <v>595053</v>
      </c>
    </row>
    <row r="89" spans="1:8">
      <c r="B89" s="18" t="s">
        <v>38</v>
      </c>
      <c r="D89" s="19">
        <f>+D4</f>
        <v>1372</v>
      </c>
      <c r="E89" s="19">
        <f>+E4</f>
        <v>686</v>
      </c>
      <c r="F89" s="19">
        <f>+F4</f>
        <v>686</v>
      </c>
    </row>
    <row r="90" spans="1:8">
      <c r="B90" s="2" t="s">
        <v>39</v>
      </c>
      <c r="D90" s="19">
        <f>+D7</f>
        <v>9626</v>
      </c>
      <c r="E90" s="19">
        <f>+E7</f>
        <v>4813</v>
      </c>
      <c r="F90" s="19">
        <f>+F7</f>
        <v>4813</v>
      </c>
    </row>
    <row r="91" spans="1:8">
      <c r="B91" s="2" t="s">
        <v>40</v>
      </c>
      <c r="D91" s="19">
        <f>+D59+D63+D67+D71+D75+D79</f>
        <v>325461</v>
      </c>
      <c r="E91" s="19">
        <f>+E59+E63+E67+E71+E75+E79</f>
        <v>162732</v>
      </c>
      <c r="F91" s="19">
        <f>+F59+F63+F67+F71+F75+F79</f>
        <v>162729</v>
      </c>
      <c r="H91" s="3">
        <v>1</v>
      </c>
    </row>
    <row r="92" spans="1:8">
      <c r="B92" s="18" t="s">
        <v>41</v>
      </c>
      <c r="D92" s="19">
        <f>+D88-D89-D90-D91</f>
        <v>853672</v>
      </c>
      <c r="E92" s="19">
        <f>+E88-E89-E90-E91</f>
        <v>426847</v>
      </c>
      <c r="F92" s="19">
        <f>+F88-F89-F90-F91</f>
        <v>426825</v>
      </c>
      <c r="H92" s="3">
        <v>2</v>
      </c>
    </row>
    <row r="94" spans="1:8" hidden="1">
      <c r="B94" s="3" t="s">
        <v>42</v>
      </c>
      <c r="C94" s="4">
        <v>-3.0000000001491507E-6</v>
      </c>
      <c r="D94" s="3">
        <f>+D86-ROUND(D3*C86,0)</f>
        <v>-2</v>
      </c>
    </row>
  </sheetData>
  <pageMargins left="0.7" right="0.7" top="0.75" bottom="0.75" header="0.3" footer="0.3"/>
  <pageSetup scale="4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pageSetUpPr fitToPage="1"/>
  </sheetPr>
  <dimension ref="A1:WVB103"/>
  <sheetViews>
    <sheetView topLeftCell="A69" zoomScaleNormal="100" zoomScaleSheetLayoutView="90" workbookViewId="0">
      <selection activeCell="D90" activeCellId="7" sqref="D7:F7 D66:F66 D70:F70 D74:F74 D78:F78 D82:F82 D86:F86 D90:F90"/>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3.57031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3.57031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3.57031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3.57031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3.57031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3.57031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3.57031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3.57031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3.57031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3.57031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3.57031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3.57031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3.57031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3.57031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3.57031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3.57031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3.57031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3.57031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3.57031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3.57031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3.57031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3.57031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3.57031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3.57031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3.57031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3.57031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3.57031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3.57031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3.57031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3.57031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3.57031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3.57031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3.57031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3.57031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3.57031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3.57031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3.57031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3.57031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3.57031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3.57031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3.57031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3.57031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3.57031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3.57031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3.57031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3.57031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3.57031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3.57031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3.57031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3.57031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3.57031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3.57031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3.57031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3.57031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3.57031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3.57031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3.57031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3.57031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3.57031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3.57031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3.57031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3.57031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3.57031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740</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Worksheet'!$D$36</f>
        <v>301751</v>
      </c>
      <c r="E3" s="11"/>
      <c r="F3" s="11"/>
    </row>
    <row r="4" spans="1:6">
      <c r="A4" s="8">
        <v>0</v>
      </c>
      <c r="B4" s="11" t="s">
        <v>4</v>
      </c>
      <c r="C4" s="10">
        <v>1.0660000000000001E-3</v>
      </c>
      <c r="D4" s="12">
        <f>ROUND(D$3*C4,0)</f>
        <v>322</v>
      </c>
      <c r="E4" s="13">
        <f>ROUND(D4/2,0)</f>
        <v>161</v>
      </c>
      <c r="F4" s="12">
        <f>D4-E4</f>
        <v>161</v>
      </c>
    </row>
    <row r="5" spans="1:6">
      <c r="A5" s="8">
        <v>1</v>
      </c>
      <c r="B5" s="11" t="s">
        <v>741</v>
      </c>
      <c r="C5" s="10">
        <v>0.205958</v>
      </c>
      <c r="D5" s="9">
        <f>ROUND(D$3*C5,0)</f>
        <v>62148</v>
      </c>
      <c r="E5" s="11">
        <f>ROUND(D5/2,0)</f>
        <v>31074</v>
      </c>
      <c r="F5" s="9">
        <f>D5-E5</f>
        <v>31074</v>
      </c>
    </row>
    <row r="6" spans="1:6">
      <c r="A6" s="8"/>
      <c r="B6" s="11" t="s">
        <v>6</v>
      </c>
      <c r="C6" s="11"/>
      <c r="D6" s="14">
        <v>0.23879700000000001</v>
      </c>
      <c r="E6" s="11"/>
      <c r="F6" s="11"/>
    </row>
    <row r="7" spans="1:6">
      <c r="A7" s="8"/>
      <c r="B7" s="11" t="s">
        <v>7</v>
      </c>
      <c r="C7" s="11"/>
      <c r="D7" s="225">
        <f>ROUND(D5*D6,0)</f>
        <v>14841</v>
      </c>
      <c r="E7" s="226">
        <f>ROUND(D7/2,0)</f>
        <v>7421</v>
      </c>
      <c r="F7" s="225">
        <f>D7-E7</f>
        <v>7420</v>
      </c>
    </row>
    <row r="8" spans="1:6">
      <c r="A8" s="8"/>
      <c r="B8" s="11" t="s">
        <v>8</v>
      </c>
      <c r="C8" s="11"/>
      <c r="D8" s="12">
        <f>+D5-D7</f>
        <v>47307</v>
      </c>
      <c r="E8" s="13">
        <f>ROUND(D8/2,0)</f>
        <v>23654</v>
      </c>
      <c r="F8" s="12">
        <f>D8-E8</f>
        <v>23653</v>
      </c>
    </row>
    <row r="9" spans="1:6">
      <c r="A9" s="8">
        <v>2</v>
      </c>
      <c r="B9" s="11" t="s">
        <v>669</v>
      </c>
      <c r="C9" s="11"/>
      <c r="D9" s="9"/>
      <c r="E9" s="11"/>
      <c r="F9" s="11"/>
    </row>
    <row r="10" spans="1:6">
      <c r="A10" s="8"/>
      <c r="B10" s="11" t="s">
        <v>10</v>
      </c>
      <c r="C10" s="10">
        <v>5.6800000000000004E-4</v>
      </c>
      <c r="D10" s="12">
        <f>ROUND(D$3*C10,0)</f>
        <v>171</v>
      </c>
      <c r="E10" s="13">
        <f>ROUND(D10/2,0)</f>
        <v>86</v>
      </c>
      <c r="F10" s="12">
        <f>D10-E10</f>
        <v>85</v>
      </c>
    </row>
    <row r="11" spans="1:6">
      <c r="A11" s="8"/>
      <c r="B11" s="11" t="s">
        <v>11</v>
      </c>
      <c r="C11" s="10">
        <v>3.3799999999999998E-4</v>
      </c>
      <c r="D11" s="12">
        <f>ROUND(D$3*C11,0)</f>
        <v>102</v>
      </c>
      <c r="E11" s="13">
        <f>ROUND(D11/2,0)</f>
        <v>51</v>
      </c>
      <c r="F11" s="12">
        <f>D11-E11</f>
        <v>51</v>
      </c>
    </row>
    <row r="12" spans="1:6">
      <c r="A12" s="8">
        <v>2</v>
      </c>
      <c r="B12" s="11" t="s">
        <v>742</v>
      </c>
      <c r="C12" s="11"/>
      <c r="D12" s="9"/>
      <c r="E12" s="11"/>
      <c r="F12" s="11"/>
    </row>
    <row r="13" spans="1:6">
      <c r="A13" s="8"/>
      <c r="B13" s="11" t="s">
        <v>10</v>
      </c>
      <c r="C13" s="10">
        <v>1.021E-3</v>
      </c>
      <c r="D13" s="12">
        <f>ROUND(D$3*C13,0)</f>
        <v>308</v>
      </c>
      <c r="E13" s="13">
        <f>ROUND(D13/2,0)</f>
        <v>154</v>
      </c>
      <c r="F13" s="12">
        <f>D13-E13</f>
        <v>154</v>
      </c>
    </row>
    <row r="14" spans="1:6">
      <c r="A14" s="8"/>
      <c r="B14" s="11" t="s">
        <v>11</v>
      </c>
      <c r="C14" s="10">
        <v>4.5899999999999999E-4</v>
      </c>
      <c r="D14" s="12">
        <f>ROUND(D$3*C14,0)</f>
        <v>139</v>
      </c>
      <c r="E14" s="13">
        <f>ROUND(D14/2,0)</f>
        <v>70</v>
      </c>
      <c r="F14" s="12">
        <f>D14-E14</f>
        <v>69</v>
      </c>
    </row>
    <row r="15" spans="1:6">
      <c r="A15" s="8">
        <v>2</v>
      </c>
      <c r="B15" s="11" t="s">
        <v>647</v>
      </c>
      <c r="C15" s="11"/>
      <c r="D15" s="9"/>
      <c r="E15" s="11"/>
      <c r="F15" s="11"/>
    </row>
    <row r="16" spans="1:6">
      <c r="A16" s="8"/>
      <c r="B16" s="11" t="s">
        <v>10</v>
      </c>
      <c r="C16" s="10">
        <v>1.1839999999999999E-3</v>
      </c>
      <c r="D16" s="12">
        <f>ROUND(D$3*C16,0)</f>
        <v>357</v>
      </c>
      <c r="E16" s="13">
        <f>ROUND(D16/2,0)</f>
        <v>179</v>
      </c>
      <c r="F16" s="12">
        <f>D16-E16</f>
        <v>178</v>
      </c>
    </row>
    <row r="17" spans="1:6">
      <c r="A17" s="8"/>
      <c r="B17" s="11" t="s">
        <v>11</v>
      </c>
      <c r="C17" s="10">
        <v>5.1599999999999997E-4</v>
      </c>
      <c r="D17" s="12">
        <f>ROUND(D$3*C17,0)</f>
        <v>156</v>
      </c>
      <c r="E17" s="13">
        <f>ROUND(D17/2,0)</f>
        <v>78</v>
      </c>
      <c r="F17" s="12">
        <f>D17-E17</f>
        <v>78</v>
      </c>
    </row>
    <row r="18" spans="1:6">
      <c r="A18" s="8">
        <v>2</v>
      </c>
      <c r="B18" s="11" t="s">
        <v>372</v>
      </c>
      <c r="C18" s="11"/>
      <c r="D18" s="9"/>
      <c r="E18" s="11"/>
      <c r="F18" s="11"/>
    </row>
    <row r="19" spans="1:6">
      <c r="A19" s="8"/>
      <c r="B19" s="11" t="s">
        <v>10</v>
      </c>
      <c r="C19" s="10">
        <v>3.3500000000000001E-4</v>
      </c>
      <c r="D19" s="12">
        <f>ROUND(D$3*C19,0)</f>
        <v>101</v>
      </c>
      <c r="E19" s="13">
        <f>ROUND(D19/2,0)</f>
        <v>51</v>
      </c>
      <c r="F19" s="12">
        <f>D19-E19</f>
        <v>50</v>
      </c>
    </row>
    <row r="20" spans="1:6">
      <c r="A20" s="8"/>
      <c r="B20" s="11" t="s">
        <v>11</v>
      </c>
      <c r="C20" s="10">
        <v>3.2600000000000001E-4</v>
      </c>
      <c r="D20" s="12">
        <f>ROUND(D$3*C20,0)</f>
        <v>98</v>
      </c>
      <c r="E20" s="13">
        <f>ROUND(D20/2,0)</f>
        <v>49</v>
      </c>
      <c r="F20" s="12">
        <f>D20-E20</f>
        <v>49</v>
      </c>
    </row>
    <row r="21" spans="1:6">
      <c r="A21" s="8">
        <v>2</v>
      </c>
      <c r="B21" s="11" t="s">
        <v>743</v>
      </c>
      <c r="C21" s="11"/>
      <c r="D21" s="9"/>
      <c r="E21" s="11"/>
      <c r="F21" s="11"/>
    </row>
    <row r="22" spans="1:6">
      <c r="A22" s="8"/>
      <c r="B22" s="11" t="s">
        <v>10</v>
      </c>
      <c r="C22" s="10">
        <v>2.6600000000000001E-4</v>
      </c>
      <c r="D22" s="12">
        <f>ROUND(D$3*C22,0)</f>
        <v>80</v>
      </c>
      <c r="E22" s="13">
        <f>ROUND(D22/2,0)</f>
        <v>40</v>
      </c>
      <c r="F22" s="12">
        <f>D22-E22</f>
        <v>40</v>
      </c>
    </row>
    <row r="23" spans="1:6">
      <c r="A23" s="8"/>
      <c r="B23" s="11" t="s">
        <v>11</v>
      </c>
      <c r="C23" s="10">
        <v>8.7999999999999998E-5</v>
      </c>
      <c r="D23" s="12">
        <f>ROUND(D$3*C23,0)</f>
        <v>27</v>
      </c>
      <c r="E23" s="13">
        <f>ROUND(D23/2,0)</f>
        <v>14</v>
      </c>
      <c r="F23" s="12">
        <f>D23-E23</f>
        <v>13</v>
      </c>
    </row>
    <row r="24" spans="1:6">
      <c r="A24" s="8">
        <v>2</v>
      </c>
      <c r="B24" s="11" t="s">
        <v>86</v>
      </c>
      <c r="C24" s="11"/>
      <c r="D24" s="9"/>
      <c r="E24" s="11"/>
      <c r="F24" s="11"/>
    </row>
    <row r="25" spans="1:6">
      <c r="A25" s="8"/>
      <c r="B25" s="11" t="s">
        <v>10</v>
      </c>
      <c r="C25" s="10">
        <v>6.2500000000000001E-4</v>
      </c>
      <c r="D25" s="12">
        <f>ROUND(D$3*C25,0)</f>
        <v>189</v>
      </c>
      <c r="E25" s="13">
        <f>ROUND(D25/2,0)</f>
        <v>95</v>
      </c>
      <c r="F25" s="12">
        <f>D25-E25</f>
        <v>94</v>
      </c>
    </row>
    <row r="26" spans="1:6">
      <c r="A26" s="8"/>
      <c r="B26" s="11" t="s">
        <v>11</v>
      </c>
      <c r="C26" s="10">
        <v>3.2600000000000001E-4</v>
      </c>
      <c r="D26" s="12">
        <f>ROUND(D$3*C26,0)</f>
        <v>98</v>
      </c>
      <c r="E26" s="13">
        <f>ROUND(D26/2,0)</f>
        <v>49</v>
      </c>
      <c r="F26" s="12">
        <f>D26-E26</f>
        <v>49</v>
      </c>
    </row>
    <row r="27" spans="1:6">
      <c r="A27" s="8">
        <v>2</v>
      </c>
      <c r="B27" s="11" t="s">
        <v>550</v>
      </c>
      <c r="C27" s="11"/>
      <c r="D27" s="9"/>
      <c r="E27" s="11"/>
      <c r="F27" s="11"/>
    </row>
    <row r="28" spans="1:6">
      <c r="A28" s="8"/>
      <c r="B28" s="11" t="s">
        <v>10</v>
      </c>
      <c r="C28" s="10">
        <v>6.705E-3</v>
      </c>
      <c r="D28" s="12">
        <f>ROUND(D$3*C28,0)</f>
        <v>2023</v>
      </c>
      <c r="E28" s="13">
        <f>ROUND(D28/2,0)</f>
        <v>1012</v>
      </c>
      <c r="F28" s="12">
        <f>D28-E28</f>
        <v>1011</v>
      </c>
    </row>
    <row r="29" spans="1:6">
      <c r="A29" s="8"/>
      <c r="B29" s="11" t="s">
        <v>11</v>
      </c>
      <c r="C29" s="10">
        <v>2.9359999999999998E-3</v>
      </c>
      <c r="D29" s="12">
        <f>ROUND(D$3*C29,0)</f>
        <v>886</v>
      </c>
      <c r="E29" s="13">
        <f>ROUND(D29/2,0)</f>
        <v>443</v>
      </c>
      <c r="F29" s="12">
        <f>D29-E29</f>
        <v>443</v>
      </c>
    </row>
    <row r="30" spans="1:6">
      <c r="A30" s="8">
        <v>2</v>
      </c>
      <c r="B30" s="11" t="s">
        <v>14</v>
      </c>
      <c r="C30" s="11"/>
      <c r="D30" s="9"/>
      <c r="E30" s="11"/>
      <c r="F30" s="11"/>
    </row>
    <row r="31" spans="1:6">
      <c r="A31" s="8"/>
      <c r="B31" s="11" t="s">
        <v>10</v>
      </c>
      <c r="C31" s="10">
        <v>6.8300000000000001E-4</v>
      </c>
      <c r="D31" s="12">
        <f>ROUND(D$3*C31,0)</f>
        <v>206</v>
      </c>
      <c r="E31" s="13">
        <f>ROUND(D31/2,0)</f>
        <v>103</v>
      </c>
      <c r="F31" s="12">
        <f>D31-E31</f>
        <v>103</v>
      </c>
    </row>
    <row r="32" spans="1:6">
      <c r="A32" s="8"/>
      <c r="B32" s="11" t="s">
        <v>11</v>
      </c>
      <c r="C32" s="10">
        <v>5.0699999999999996E-4</v>
      </c>
      <c r="D32" s="12">
        <f>ROUND(D$3*C32,0)</f>
        <v>153</v>
      </c>
      <c r="E32" s="13">
        <f>ROUND(D32/2,0)</f>
        <v>77</v>
      </c>
      <c r="F32" s="12">
        <f>D32-E32</f>
        <v>76</v>
      </c>
    </row>
    <row r="33" spans="1:6">
      <c r="A33" s="8">
        <v>2</v>
      </c>
      <c r="B33" s="11" t="s">
        <v>181</v>
      </c>
      <c r="C33" s="11"/>
      <c r="D33" s="9"/>
      <c r="E33" s="11"/>
      <c r="F33" s="11"/>
    </row>
    <row r="34" spans="1:6">
      <c r="A34" s="8"/>
      <c r="B34" s="11" t="s">
        <v>10</v>
      </c>
      <c r="C34" s="10">
        <v>3.5599999999999998E-4</v>
      </c>
      <c r="D34" s="12">
        <f>ROUND(D$3*C34,0)</f>
        <v>107</v>
      </c>
      <c r="E34" s="13">
        <f>ROUND(D34/2,0)</f>
        <v>54</v>
      </c>
      <c r="F34" s="12">
        <f>D34-E34</f>
        <v>53</v>
      </c>
    </row>
    <row r="35" spans="1:6">
      <c r="A35" s="8"/>
      <c r="B35" s="11" t="s">
        <v>11</v>
      </c>
      <c r="C35" s="10">
        <v>2.0799999999999999E-4</v>
      </c>
      <c r="D35" s="12">
        <f>ROUND(D$3*C35,0)</f>
        <v>63</v>
      </c>
      <c r="E35" s="13">
        <f>ROUND(D35/2,0)</f>
        <v>32</v>
      </c>
      <c r="F35" s="12">
        <f>D35-E35</f>
        <v>31</v>
      </c>
    </row>
    <row r="36" spans="1:6">
      <c r="A36" s="8">
        <v>2</v>
      </c>
      <c r="B36" s="11" t="s">
        <v>744</v>
      </c>
      <c r="C36" s="11"/>
      <c r="D36" s="9"/>
      <c r="E36" s="11"/>
      <c r="F36" s="11"/>
    </row>
    <row r="37" spans="1:6">
      <c r="A37" s="8"/>
      <c r="B37" s="11" t="s">
        <v>10</v>
      </c>
      <c r="C37" s="10">
        <v>8.8800000000000001E-4</v>
      </c>
      <c r="D37" s="12">
        <f>ROUND(D$3*C37,0)</f>
        <v>268</v>
      </c>
      <c r="E37" s="13">
        <f>ROUND(D37/2,0)</f>
        <v>134</v>
      </c>
      <c r="F37" s="12">
        <f>D37-E37</f>
        <v>134</v>
      </c>
    </row>
    <row r="38" spans="1:6">
      <c r="A38" s="8"/>
      <c r="B38" s="11" t="s">
        <v>11</v>
      </c>
      <c r="C38" s="10">
        <v>4.2339999999999999E-3</v>
      </c>
      <c r="D38" s="12">
        <f>ROUND(D$3*C38,0)</f>
        <v>1278</v>
      </c>
      <c r="E38" s="13">
        <f>ROUND(D38/2,0)</f>
        <v>639</v>
      </c>
      <c r="F38" s="12">
        <f>D38-E38</f>
        <v>639</v>
      </c>
    </row>
    <row r="39" spans="1:6">
      <c r="A39" s="8">
        <v>2</v>
      </c>
      <c r="B39" s="11" t="s">
        <v>745</v>
      </c>
      <c r="C39" s="11"/>
      <c r="D39" s="9"/>
      <c r="E39" s="11"/>
      <c r="F39" s="11"/>
    </row>
    <row r="40" spans="1:6">
      <c r="A40" s="8"/>
      <c r="B40" s="11" t="s">
        <v>10</v>
      </c>
      <c r="C40" s="10">
        <v>8.1499999999999997E-4</v>
      </c>
      <c r="D40" s="12">
        <f>ROUND(D$3*C40,0)</f>
        <v>246</v>
      </c>
      <c r="E40" s="13">
        <f>ROUND(D40/2,0)</f>
        <v>123</v>
      </c>
      <c r="F40" s="12">
        <f>D40-E40</f>
        <v>123</v>
      </c>
    </row>
    <row r="41" spans="1:6">
      <c r="A41" s="8"/>
      <c r="B41" s="11" t="s">
        <v>11</v>
      </c>
      <c r="C41" s="10">
        <v>7.85E-4</v>
      </c>
      <c r="D41" s="12">
        <f>ROUND(D$3*C41,0)</f>
        <v>237</v>
      </c>
      <c r="E41" s="13">
        <f>ROUND(D41/2,0)</f>
        <v>119</v>
      </c>
      <c r="F41" s="12">
        <f>D41-E41</f>
        <v>118</v>
      </c>
    </row>
    <row r="42" spans="1:6">
      <c r="A42" s="8">
        <v>2</v>
      </c>
      <c r="B42" s="11" t="s">
        <v>746</v>
      </c>
      <c r="C42" s="11"/>
      <c r="D42" s="9"/>
      <c r="E42" s="11"/>
      <c r="F42" s="11"/>
    </row>
    <row r="43" spans="1:6">
      <c r="A43" s="8"/>
      <c r="B43" s="11" t="s">
        <v>10</v>
      </c>
      <c r="C43" s="10">
        <v>3.5E-4</v>
      </c>
      <c r="D43" s="12">
        <f>ROUND(D$3*C43,0)</f>
        <v>106</v>
      </c>
      <c r="E43" s="13">
        <f>ROUND(D43/2,0)</f>
        <v>53</v>
      </c>
      <c r="F43" s="12">
        <f>D43-E43</f>
        <v>53</v>
      </c>
    </row>
    <row r="44" spans="1:6">
      <c r="A44" s="8"/>
      <c r="B44" s="11" t="s">
        <v>11</v>
      </c>
      <c r="C44" s="10">
        <v>5.71E-4</v>
      </c>
      <c r="D44" s="12">
        <f>ROUND(D$3*C44,0)</f>
        <v>172</v>
      </c>
      <c r="E44" s="13">
        <f>ROUND(D44/2,0)</f>
        <v>86</v>
      </c>
      <c r="F44" s="12">
        <f>D44-E44</f>
        <v>86</v>
      </c>
    </row>
    <row r="45" spans="1:6">
      <c r="A45" s="8">
        <v>2</v>
      </c>
      <c r="B45" s="11" t="s">
        <v>61</v>
      </c>
      <c r="C45" s="11"/>
      <c r="D45" s="9"/>
      <c r="E45" s="11"/>
      <c r="F45" s="11"/>
    </row>
    <row r="46" spans="1:6">
      <c r="A46" s="8"/>
      <c r="B46" s="11" t="s">
        <v>10</v>
      </c>
      <c r="C46" s="10">
        <v>1.199E-3</v>
      </c>
      <c r="D46" s="12">
        <f t="shared" ref="D46:D64" si="0">ROUND(D$3*C46,0)</f>
        <v>362</v>
      </c>
      <c r="E46" s="13">
        <f t="shared" ref="E46:E64" si="1">ROUND(D46/2,0)</f>
        <v>181</v>
      </c>
      <c r="F46" s="12">
        <f t="shared" ref="F46:F64" si="2">D46-E46</f>
        <v>181</v>
      </c>
    </row>
    <row r="47" spans="1:6">
      <c r="A47" s="8"/>
      <c r="B47" s="11" t="s">
        <v>11</v>
      </c>
      <c r="C47" s="10">
        <v>7.3999999999999999E-4</v>
      </c>
      <c r="D47" s="12">
        <f t="shared" si="0"/>
        <v>223</v>
      </c>
      <c r="E47" s="13">
        <f t="shared" si="1"/>
        <v>112</v>
      </c>
      <c r="F47" s="12">
        <f t="shared" si="2"/>
        <v>111</v>
      </c>
    </row>
    <row r="48" spans="1:6">
      <c r="A48" s="8">
        <v>3</v>
      </c>
      <c r="B48" s="11" t="s">
        <v>747</v>
      </c>
      <c r="C48" s="10">
        <v>8.7999999999999998E-5</v>
      </c>
      <c r="D48" s="12">
        <f t="shared" si="0"/>
        <v>27</v>
      </c>
      <c r="E48" s="13">
        <f t="shared" si="1"/>
        <v>14</v>
      </c>
      <c r="F48" s="12">
        <f t="shared" si="2"/>
        <v>13</v>
      </c>
    </row>
    <row r="49" spans="1:6">
      <c r="A49" s="8">
        <v>3</v>
      </c>
      <c r="B49" s="11" t="s">
        <v>748</v>
      </c>
      <c r="C49" s="10">
        <v>0</v>
      </c>
      <c r="D49" s="12">
        <f t="shared" si="0"/>
        <v>0</v>
      </c>
      <c r="E49" s="13">
        <f t="shared" si="1"/>
        <v>0</v>
      </c>
      <c r="F49" s="12">
        <f t="shared" si="2"/>
        <v>0</v>
      </c>
    </row>
    <row r="50" spans="1:6">
      <c r="A50" s="8">
        <v>3</v>
      </c>
      <c r="B50" s="11" t="s">
        <v>749</v>
      </c>
      <c r="C50" s="10">
        <v>1.9239999999999999E-3</v>
      </c>
      <c r="D50" s="12">
        <f t="shared" si="0"/>
        <v>581</v>
      </c>
      <c r="E50" s="13">
        <f t="shared" si="1"/>
        <v>291</v>
      </c>
      <c r="F50" s="12">
        <f t="shared" si="2"/>
        <v>290</v>
      </c>
    </row>
    <row r="51" spans="1:6">
      <c r="A51" s="8">
        <v>3</v>
      </c>
      <c r="B51" s="11" t="s">
        <v>750</v>
      </c>
      <c r="C51" s="10">
        <v>0</v>
      </c>
      <c r="D51" s="12">
        <f t="shared" si="0"/>
        <v>0</v>
      </c>
      <c r="E51" s="13">
        <f t="shared" si="1"/>
        <v>0</v>
      </c>
      <c r="F51" s="12">
        <f t="shared" si="2"/>
        <v>0</v>
      </c>
    </row>
    <row r="52" spans="1:6">
      <c r="A52" s="8">
        <v>3</v>
      </c>
      <c r="B52" s="11" t="s">
        <v>751</v>
      </c>
      <c r="C52" s="10">
        <v>1.0059999999999999E-3</v>
      </c>
      <c r="D52" s="12">
        <f t="shared" si="0"/>
        <v>304</v>
      </c>
      <c r="E52" s="13">
        <f t="shared" si="1"/>
        <v>152</v>
      </c>
      <c r="F52" s="12">
        <f t="shared" si="2"/>
        <v>152</v>
      </c>
    </row>
    <row r="53" spans="1:6">
      <c r="A53" s="8">
        <v>3</v>
      </c>
      <c r="B53" s="11" t="s">
        <v>752</v>
      </c>
      <c r="C53" s="10">
        <v>8.5109999999999995E-3</v>
      </c>
      <c r="D53" s="12">
        <f t="shared" si="0"/>
        <v>2568</v>
      </c>
      <c r="E53" s="13">
        <f t="shared" si="1"/>
        <v>1284</v>
      </c>
      <c r="F53" s="12">
        <f t="shared" si="2"/>
        <v>1284</v>
      </c>
    </row>
    <row r="54" spans="1:6">
      <c r="A54" s="8">
        <v>3</v>
      </c>
      <c r="B54" s="11" t="s">
        <v>753</v>
      </c>
      <c r="C54" s="10">
        <v>0</v>
      </c>
      <c r="D54" s="12">
        <f t="shared" si="0"/>
        <v>0</v>
      </c>
      <c r="E54" s="13">
        <f t="shared" si="1"/>
        <v>0</v>
      </c>
      <c r="F54" s="12">
        <f t="shared" si="2"/>
        <v>0</v>
      </c>
    </row>
    <row r="55" spans="1:6">
      <c r="A55" s="8">
        <v>3</v>
      </c>
      <c r="B55" s="11" t="s">
        <v>754</v>
      </c>
      <c r="C55" s="10">
        <v>5.1650000000000003E-3</v>
      </c>
      <c r="D55" s="12">
        <f t="shared" si="0"/>
        <v>1559</v>
      </c>
      <c r="E55" s="13">
        <f t="shared" si="1"/>
        <v>780</v>
      </c>
      <c r="F55" s="12">
        <f t="shared" si="2"/>
        <v>779</v>
      </c>
    </row>
    <row r="56" spans="1:6">
      <c r="A56" s="8">
        <v>3</v>
      </c>
      <c r="B56" s="11" t="s">
        <v>755</v>
      </c>
      <c r="C56" s="10">
        <v>4.86E-4</v>
      </c>
      <c r="D56" s="12">
        <f t="shared" si="0"/>
        <v>147</v>
      </c>
      <c r="E56" s="13">
        <f t="shared" si="1"/>
        <v>74</v>
      </c>
      <c r="F56" s="12">
        <f t="shared" si="2"/>
        <v>73</v>
      </c>
    </row>
    <row r="57" spans="1:6">
      <c r="A57" s="8">
        <v>3</v>
      </c>
      <c r="B57" s="11" t="s">
        <v>756</v>
      </c>
      <c r="C57" s="10">
        <v>0</v>
      </c>
      <c r="D57" s="12">
        <f t="shared" si="0"/>
        <v>0</v>
      </c>
      <c r="E57" s="13">
        <f t="shared" si="1"/>
        <v>0</v>
      </c>
      <c r="F57" s="12">
        <f t="shared" si="2"/>
        <v>0</v>
      </c>
    </row>
    <row r="58" spans="1:6">
      <c r="A58" s="8">
        <v>3</v>
      </c>
      <c r="B58" s="11" t="s">
        <v>757</v>
      </c>
      <c r="C58" s="10">
        <v>0.104667</v>
      </c>
      <c r="D58" s="12">
        <f t="shared" si="0"/>
        <v>31583</v>
      </c>
      <c r="E58" s="13">
        <f t="shared" si="1"/>
        <v>15792</v>
      </c>
      <c r="F58" s="12">
        <f t="shared" si="2"/>
        <v>15791</v>
      </c>
    </row>
    <row r="59" spans="1:6">
      <c r="A59" s="8">
        <v>3</v>
      </c>
      <c r="B59" s="11" t="s">
        <v>679</v>
      </c>
      <c r="C59" s="10">
        <v>0</v>
      </c>
      <c r="D59" s="12">
        <f t="shared" si="0"/>
        <v>0</v>
      </c>
      <c r="E59" s="13">
        <f t="shared" si="1"/>
        <v>0</v>
      </c>
      <c r="F59" s="12">
        <f t="shared" si="2"/>
        <v>0</v>
      </c>
    </row>
    <row r="60" spans="1:6">
      <c r="A60" s="8">
        <v>3</v>
      </c>
      <c r="B60" s="11" t="s">
        <v>758</v>
      </c>
      <c r="C60" s="10">
        <v>5.6800000000000004E-4</v>
      </c>
      <c r="D60" s="12">
        <f t="shared" si="0"/>
        <v>171</v>
      </c>
      <c r="E60" s="13">
        <f t="shared" si="1"/>
        <v>86</v>
      </c>
      <c r="F60" s="12">
        <f t="shared" si="2"/>
        <v>85</v>
      </c>
    </row>
    <row r="61" spans="1:6">
      <c r="A61" s="8">
        <v>3</v>
      </c>
      <c r="B61" s="11" t="s">
        <v>759</v>
      </c>
      <c r="C61" s="10">
        <v>0</v>
      </c>
      <c r="D61" s="12">
        <f t="shared" si="0"/>
        <v>0</v>
      </c>
      <c r="E61" s="13">
        <f t="shared" si="1"/>
        <v>0</v>
      </c>
      <c r="F61" s="12">
        <f t="shared" si="2"/>
        <v>0</v>
      </c>
    </row>
    <row r="62" spans="1:6">
      <c r="A62" s="8">
        <v>3</v>
      </c>
      <c r="B62" s="11" t="s">
        <v>760</v>
      </c>
      <c r="C62" s="10">
        <v>3.3199999999999999E-4</v>
      </c>
      <c r="D62" s="12">
        <f t="shared" si="0"/>
        <v>100</v>
      </c>
      <c r="E62" s="13">
        <f t="shared" si="1"/>
        <v>50</v>
      </c>
      <c r="F62" s="12">
        <f t="shared" si="2"/>
        <v>50</v>
      </c>
    </row>
    <row r="63" spans="1:6">
      <c r="A63" s="8">
        <v>3</v>
      </c>
      <c r="B63" s="11" t="s">
        <v>761</v>
      </c>
      <c r="C63" s="10">
        <v>9.3599999999999998E-4</v>
      </c>
      <c r="D63" s="12">
        <f t="shared" si="0"/>
        <v>282</v>
      </c>
      <c r="E63" s="13">
        <f t="shared" si="1"/>
        <v>141</v>
      </c>
      <c r="F63" s="12">
        <f t="shared" si="2"/>
        <v>141</v>
      </c>
    </row>
    <row r="64" spans="1:6">
      <c r="A64" s="8">
        <v>4</v>
      </c>
      <c r="B64" s="11" t="s">
        <v>762</v>
      </c>
      <c r="C64" s="10">
        <v>7.9007999999999995E-2</v>
      </c>
      <c r="D64" s="9">
        <f t="shared" si="0"/>
        <v>23841</v>
      </c>
      <c r="E64" s="11">
        <f t="shared" si="1"/>
        <v>11921</v>
      </c>
      <c r="F64" s="9">
        <f t="shared" si="2"/>
        <v>11920</v>
      </c>
    </row>
    <row r="65" spans="1:6">
      <c r="A65" s="8"/>
      <c r="B65" s="11" t="s">
        <v>28</v>
      </c>
      <c r="C65" s="11"/>
      <c r="D65" s="14">
        <v>0.41911999999999999</v>
      </c>
      <c r="E65" s="11"/>
      <c r="F65" s="11"/>
    </row>
    <row r="66" spans="1:6">
      <c r="A66" s="8"/>
      <c r="B66" s="11" t="s">
        <v>29</v>
      </c>
      <c r="C66" s="11"/>
      <c r="D66" s="225">
        <f>ROUND(D64*D65,0)</f>
        <v>9992</v>
      </c>
      <c r="E66" s="226">
        <f>ROUND(D66/2,0)</f>
        <v>4996</v>
      </c>
      <c r="F66" s="225">
        <f>D66-E66</f>
        <v>4996</v>
      </c>
    </row>
    <row r="67" spans="1:6">
      <c r="A67" s="8"/>
      <c r="B67" s="11" t="s">
        <v>30</v>
      </c>
      <c r="C67" s="11"/>
      <c r="D67" s="12">
        <f>+D64-D66</f>
        <v>13849</v>
      </c>
      <c r="E67" s="13">
        <f>ROUND(D67/2,0)</f>
        <v>6925</v>
      </c>
      <c r="F67" s="12">
        <f>D67-E67</f>
        <v>6924</v>
      </c>
    </row>
    <row r="68" spans="1:6">
      <c r="A68" s="8">
        <v>4</v>
      </c>
      <c r="B68" s="11" t="s">
        <v>763</v>
      </c>
      <c r="C68" s="10">
        <v>8.0276E-2</v>
      </c>
      <c r="D68" s="9">
        <f>ROUND(D$3*C68,0)</f>
        <v>24223</v>
      </c>
      <c r="E68" s="11">
        <f>ROUND(D68/2,0)</f>
        <v>12112</v>
      </c>
      <c r="F68" s="9">
        <f>D68-E68</f>
        <v>12111</v>
      </c>
    </row>
    <row r="69" spans="1:6">
      <c r="A69" s="8"/>
      <c r="B69" s="11" t="s">
        <v>28</v>
      </c>
      <c r="C69" s="11"/>
      <c r="D69" s="14">
        <v>0.41227799999999998</v>
      </c>
      <c r="E69" s="11"/>
      <c r="F69" s="11"/>
    </row>
    <row r="70" spans="1:6">
      <c r="A70" s="8"/>
      <c r="B70" s="11" t="s">
        <v>29</v>
      </c>
      <c r="C70" s="11"/>
      <c r="D70" s="225">
        <f>ROUND(D68*D69,0)</f>
        <v>9987</v>
      </c>
      <c r="E70" s="226">
        <f>ROUND(D70/2,0)</f>
        <v>4994</v>
      </c>
      <c r="F70" s="225">
        <f>D70-E70</f>
        <v>4993</v>
      </c>
    </row>
    <row r="71" spans="1:6">
      <c r="A71" s="8" t="s">
        <v>590</v>
      </c>
      <c r="B71" s="11" t="s">
        <v>30</v>
      </c>
      <c r="C71" s="11"/>
      <c r="D71" s="12">
        <f>+D68-D70</f>
        <v>14236</v>
      </c>
      <c r="E71" s="13">
        <f>ROUND(D71/2,0)</f>
        <v>7118</v>
      </c>
      <c r="F71" s="12">
        <f>D71-E71</f>
        <v>7118</v>
      </c>
    </row>
    <row r="72" spans="1:6">
      <c r="A72" s="8">
        <v>4</v>
      </c>
      <c r="B72" s="11" t="s">
        <v>764</v>
      </c>
      <c r="C72" s="10">
        <v>4.3369999999999997E-3</v>
      </c>
      <c r="D72" s="9">
        <f>ROUND(D$3*C72,0)</f>
        <v>1309</v>
      </c>
      <c r="E72" s="11">
        <f>ROUND(D72/2,0)</f>
        <v>655</v>
      </c>
      <c r="F72" s="9">
        <f>D72-E72</f>
        <v>654</v>
      </c>
    </row>
    <row r="73" spans="1:6">
      <c r="A73" s="8"/>
      <c r="B73" s="11" t="s">
        <v>28</v>
      </c>
      <c r="C73" s="11"/>
      <c r="D73" s="14">
        <v>0.43467600000000001</v>
      </c>
      <c r="E73" s="11"/>
      <c r="F73" s="11"/>
    </row>
    <row r="74" spans="1:6">
      <c r="A74" s="8"/>
      <c r="B74" s="11" t="s">
        <v>29</v>
      </c>
      <c r="C74" s="11"/>
      <c r="D74" s="225">
        <f>ROUND(D72*D73,0)</f>
        <v>569</v>
      </c>
      <c r="E74" s="226">
        <f>ROUND(D74/2,0)</f>
        <v>285</v>
      </c>
      <c r="F74" s="225">
        <f>D74-E74</f>
        <v>284</v>
      </c>
    </row>
    <row r="75" spans="1:6">
      <c r="A75" s="8"/>
      <c r="B75" s="11" t="s">
        <v>30</v>
      </c>
      <c r="C75" s="11"/>
      <c r="D75" s="12">
        <f>+D72-D74</f>
        <v>740</v>
      </c>
      <c r="E75" s="13">
        <f>ROUND(D75/2,0)</f>
        <v>370</v>
      </c>
      <c r="F75" s="12">
        <f>D75-E75</f>
        <v>370</v>
      </c>
    </row>
    <row r="76" spans="1:6">
      <c r="A76" s="8">
        <v>4</v>
      </c>
      <c r="B76" s="11" t="s">
        <v>765</v>
      </c>
      <c r="C76" s="10">
        <v>0.22870599999999999</v>
      </c>
      <c r="D76" s="9">
        <f>ROUND(D$3*C76,0)</f>
        <v>69012</v>
      </c>
      <c r="E76" s="11">
        <f>ROUND(D76/2,0)</f>
        <v>34506</v>
      </c>
      <c r="F76" s="9">
        <f>D76-E76</f>
        <v>34506</v>
      </c>
    </row>
    <row r="77" spans="1:6">
      <c r="A77" s="8"/>
      <c r="B77" s="11" t="s">
        <v>28</v>
      </c>
      <c r="C77" s="11"/>
      <c r="D77" s="14">
        <v>0.46383000000000002</v>
      </c>
      <c r="E77" s="11"/>
      <c r="F77" s="11"/>
    </row>
    <row r="78" spans="1:6">
      <c r="A78" s="8"/>
      <c r="B78" s="11" t="s">
        <v>29</v>
      </c>
      <c r="C78" s="11"/>
      <c r="D78" s="225">
        <f>ROUND(D76*D77,0)</f>
        <v>32010</v>
      </c>
      <c r="E78" s="226">
        <f>ROUND(D78/2,0)</f>
        <v>16005</v>
      </c>
      <c r="F78" s="225">
        <f>D78-E78</f>
        <v>16005</v>
      </c>
    </row>
    <row r="79" spans="1:6">
      <c r="A79" s="8"/>
      <c r="B79" s="11" t="s">
        <v>30</v>
      </c>
      <c r="C79" s="11"/>
      <c r="D79" s="12">
        <f>+D76-D78</f>
        <v>37002</v>
      </c>
      <c r="E79" s="13">
        <f>ROUND(D79/2,0)</f>
        <v>18501</v>
      </c>
      <c r="F79" s="12">
        <f>D79-E79</f>
        <v>18501</v>
      </c>
    </row>
    <row r="80" spans="1:6">
      <c r="A80" s="8">
        <v>4</v>
      </c>
      <c r="B80" s="11" t="s">
        <v>766</v>
      </c>
      <c r="C80" s="10">
        <v>0.111454</v>
      </c>
      <c r="D80" s="9">
        <f>ROUND(D$3*C80,0)</f>
        <v>33631</v>
      </c>
      <c r="E80" s="11">
        <f>ROUND(D80/2,0)</f>
        <v>16816</v>
      </c>
      <c r="F80" s="9">
        <f>D80-E80</f>
        <v>16815</v>
      </c>
    </row>
    <row r="81" spans="1:6">
      <c r="A81" s="8"/>
      <c r="B81" s="11" t="s">
        <v>28</v>
      </c>
      <c r="C81" s="11"/>
      <c r="D81" s="14">
        <v>0.41815600000000003</v>
      </c>
      <c r="E81" s="11"/>
      <c r="F81" s="11"/>
    </row>
    <row r="82" spans="1:6">
      <c r="A82" s="8"/>
      <c r="B82" s="11" t="s">
        <v>29</v>
      </c>
      <c r="C82" s="11"/>
      <c r="D82" s="225">
        <f>ROUND(D80*D81,0)</f>
        <v>14063</v>
      </c>
      <c r="E82" s="226">
        <f>ROUND(D82/2,0)</f>
        <v>7032</v>
      </c>
      <c r="F82" s="225">
        <f>D82-E82</f>
        <v>7031</v>
      </c>
    </row>
    <row r="83" spans="1:6">
      <c r="A83" s="8"/>
      <c r="B83" s="11" t="s">
        <v>30</v>
      </c>
      <c r="C83" s="11"/>
      <c r="D83" s="12">
        <f>+D80-D82</f>
        <v>19568</v>
      </c>
      <c r="E83" s="13">
        <f>ROUND(D83/2,0)</f>
        <v>9784</v>
      </c>
      <c r="F83" s="12">
        <f>D83-E83</f>
        <v>9784</v>
      </c>
    </row>
    <row r="84" spans="1:6">
      <c r="A84" s="8">
        <v>4</v>
      </c>
      <c r="B84" s="11" t="s">
        <v>767</v>
      </c>
      <c r="C84" s="10">
        <v>9.7682000000000005E-2</v>
      </c>
      <c r="D84" s="9">
        <f>ROUND(D$3*C84,0)</f>
        <v>29476</v>
      </c>
      <c r="E84" s="11">
        <f>ROUND(D84/2,0)</f>
        <v>14738</v>
      </c>
      <c r="F84" s="9">
        <f>D84-E84</f>
        <v>14738</v>
      </c>
    </row>
    <row r="85" spans="1:6">
      <c r="A85" s="8"/>
      <c r="B85" s="11" t="s">
        <v>28</v>
      </c>
      <c r="C85" s="11"/>
      <c r="D85" s="14">
        <v>0.48574699999999998</v>
      </c>
      <c r="E85" s="11"/>
      <c r="F85" s="11"/>
    </row>
    <row r="86" spans="1:6">
      <c r="A86" s="8"/>
      <c r="B86" s="11" t="s">
        <v>29</v>
      </c>
      <c r="C86" s="11"/>
      <c r="D86" s="225">
        <f>ROUND(D84*D85,0)</f>
        <v>14318</v>
      </c>
      <c r="E86" s="226">
        <f>ROUND(D86/2,0)</f>
        <v>7159</v>
      </c>
      <c r="F86" s="225">
        <f>D86-E86</f>
        <v>7159</v>
      </c>
    </row>
    <row r="87" spans="1:6">
      <c r="A87" s="8"/>
      <c r="B87" s="11" t="s">
        <v>30</v>
      </c>
      <c r="C87" s="11"/>
      <c r="D87" s="12">
        <f>+D84-D86</f>
        <v>15158</v>
      </c>
      <c r="E87" s="13">
        <f>ROUND(D87/2,0)</f>
        <v>7579</v>
      </c>
      <c r="F87" s="12">
        <f>D87-E87</f>
        <v>7579</v>
      </c>
    </row>
    <row r="88" spans="1:6">
      <c r="A88" s="8">
        <v>4</v>
      </c>
      <c r="B88" s="11" t="s">
        <v>768</v>
      </c>
      <c r="C88" s="10">
        <v>1.0808999999999999E-2</v>
      </c>
      <c r="D88" s="9">
        <f>ROUND(D$3*C88,0)</f>
        <v>3262</v>
      </c>
      <c r="E88" s="11">
        <f>ROUND(D88/2,0)</f>
        <v>1631</v>
      </c>
      <c r="F88" s="9">
        <f>D88-E88</f>
        <v>1631</v>
      </c>
    </row>
    <row r="89" spans="1:6">
      <c r="A89" s="8"/>
      <c r="B89" s="11" t="s">
        <v>28</v>
      </c>
      <c r="C89" s="11"/>
      <c r="D89" s="14">
        <v>0.49706600000000001</v>
      </c>
      <c r="E89" s="11"/>
      <c r="F89" s="11"/>
    </row>
    <row r="90" spans="1:6">
      <c r="A90" s="8"/>
      <c r="B90" s="11" t="s">
        <v>29</v>
      </c>
      <c r="C90" s="11"/>
      <c r="D90" s="225">
        <f>ROUND(D88*D89,0)</f>
        <v>1621</v>
      </c>
      <c r="E90" s="226">
        <f t="shared" ref="E90:E96" si="3">ROUND(D90/2,0)</f>
        <v>811</v>
      </c>
      <c r="F90" s="225">
        <f t="shared" ref="F90:F96" si="4">D90-E90</f>
        <v>810</v>
      </c>
    </row>
    <row r="91" spans="1:6">
      <c r="A91" s="8"/>
      <c r="B91" s="11" t="s">
        <v>30</v>
      </c>
      <c r="C91" s="11"/>
      <c r="D91" s="12">
        <f>+D88-D90</f>
        <v>1641</v>
      </c>
      <c r="E91" s="13">
        <f t="shared" si="3"/>
        <v>821</v>
      </c>
      <c r="F91" s="12">
        <f t="shared" si="4"/>
        <v>820</v>
      </c>
    </row>
    <row r="92" spans="1:6">
      <c r="A92" s="8">
        <v>5</v>
      </c>
      <c r="B92" s="11" t="s">
        <v>769</v>
      </c>
      <c r="C92" s="10">
        <v>1.0660000000000001E-3</v>
      </c>
      <c r="D92" s="12">
        <f>ROUND(D$3*C92,0)</f>
        <v>322</v>
      </c>
      <c r="E92" s="13">
        <f t="shared" si="3"/>
        <v>161</v>
      </c>
      <c r="F92" s="12">
        <f t="shared" si="4"/>
        <v>161</v>
      </c>
    </row>
    <row r="93" spans="1:6">
      <c r="A93" s="8">
        <v>5</v>
      </c>
      <c r="B93" s="11" t="s">
        <v>770</v>
      </c>
      <c r="C93" s="10">
        <v>3.0049999999999999E-3</v>
      </c>
      <c r="D93" s="12">
        <f>ROUND(D$3*C93,0)</f>
        <v>907</v>
      </c>
      <c r="E93" s="13">
        <f t="shared" si="3"/>
        <v>454</v>
      </c>
      <c r="F93" s="12">
        <f t="shared" si="4"/>
        <v>453</v>
      </c>
    </row>
    <row r="94" spans="1:6">
      <c r="A94" s="8">
        <v>5</v>
      </c>
      <c r="B94" s="11" t="s">
        <v>771</v>
      </c>
      <c r="C94" s="10">
        <v>2.5302999999999999E-2</v>
      </c>
      <c r="D94" s="12">
        <f>ROUND(D$3*C94,0)</f>
        <v>7635</v>
      </c>
      <c r="E94" s="13">
        <f t="shared" si="3"/>
        <v>3818</v>
      </c>
      <c r="F94" s="12">
        <f t="shared" si="4"/>
        <v>3817</v>
      </c>
    </row>
    <row r="95" spans="1:6">
      <c r="A95" s="8">
        <v>5</v>
      </c>
      <c r="B95" s="11" t="s">
        <v>772</v>
      </c>
      <c r="C95" s="10">
        <v>6.1800000000011845E-4</v>
      </c>
      <c r="D95" s="12">
        <f>+D3-SUM(D4:D5)-SUM(D10:D64)-D68-D72-D76-D80-D84-D88-SUM(D92:D94)</f>
        <v>185</v>
      </c>
      <c r="E95" s="13">
        <f t="shared" si="3"/>
        <v>93</v>
      </c>
      <c r="F95" s="12">
        <f t="shared" si="4"/>
        <v>92</v>
      </c>
    </row>
    <row r="96" spans="1:6">
      <c r="A96" s="8">
        <v>6</v>
      </c>
      <c r="B96" s="11" t="s">
        <v>488</v>
      </c>
      <c r="C96" s="10">
        <v>0</v>
      </c>
      <c r="D96" s="12">
        <f>ROUND(D$3*C96,0)</f>
        <v>0</v>
      </c>
      <c r="E96" s="13">
        <f t="shared" si="3"/>
        <v>0</v>
      </c>
      <c r="F96" s="12">
        <f t="shared" si="4"/>
        <v>0</v>
      </c>
    </row>
    <row r="97" spans="1:8">
      <c r="A97" s="8"/>
      <c r="B97" s="28" t="s">
        <v>288</v>
      </c>
      <c r="C97" s="10">
        <v>1</v>
      </c>
      <c r="D97" s="12">
        <f>+D4+SUM(D7:D63)+SUM(D66:D67)+SUM(D70:D71)+SUM(D74:D75)+SUM(D78:D79)+SUM(D82:D83)+SUM(D86:D87)+SUM(D90:D96)</f>
        <v>301751</v>
      </c>
      <c r="E97" s="12">
        <f>+E4+SUM(E7:E63)+SUM(E66:E67)+SUM(E70:E71)+SUM(E74:E75)+SUM(E78:E79)+SUM(E82:E83)+SUM(E86:E87)+SUM(E90:E96)</f>
        <v>150890</v>
      </c>
      <c r="F97" s="12">
        <f>+F4+SUM(F7:F63)+SUM(F66:F67)+SUM(F70:F71)+SUM(F74:F75)+SUM(F78:F79)+SUM(F82:F83)+SUM(F86:F87)+SUM(F90:F96)</f>
        <v>150861</v>
      </c>
    </row>
    <row r="98" spans="1:8">
      <c r="B98" s="18" t="s">
        <v>38</v>
      </c>
      <c r="D98" s="19">
        <f>+D4</f>
        <v>322</v>
      </c>
      <c r="E98" s="19">
        <f>+E4</f>
        <v>161</v>
      </c>
      <c r="F98" s="19">
        <f>+F4</f>
        <v>161</v>
      </c>
    </row>
    <row r="99" spans="1:8">
      <c r="B99" s="2" t="s">
        <v>39</v>
      </c>
      <c r="D99" s="19">
        <f>+D7</f>
        <v>14841</v>
      </c>
      <c r="E99" s="19">
        <f>+E7</f>
        <v>7421</v>
      </c>
      <c r="F99" s="19">
        <f>+F7</f>
        <v>7420</v>
      </c>
    </row>
    <row r="100" spans="1:8">
      <c r="B100" s="2" t="s">
        <v>40</v>
      </c>
      <c r="D100" s="19">
        <f>+D66+D70+D74+D78+D82+D86+D90</f>
        <v>82560</v>
      </c>
      <c r="E100" s="19">
        <f>+E66+E70+E74+E78+E82+E86+E90</f>
        <v>41282</v>
      </c>
      <c r="F100" s="19">
        <f>+F66+F70+F74+F78+F82+F86+F90</f>
        <v>41278</v>
      </c>
      <c r="H100" s="3">
        <v>1</v>
      </c>
    </row>
    <row r="101" spans="1:8">
      <c r="B101" s="18" t="s">
        <v>41</v>
      </c>
      <c r="D101" s="19">
        <f>+D97-D98-D99-D100</f>
        <v>204028</v>
      </c>
      <c r="E101" s="19">
        <f>+E97-E98-E99-E100</f>
        <v>102026</v>
      </c>
      <c r="F101" s="19">
        <f>+F97-F98-F99-F100</f>
        <v>102002</v>
      </c>
      <c r="H101" s="3">
        <v>2</v>
      </c>
    </row>
    <row r="103" spans="1:8" hidden="1">
      <c r="B103" s="3" t="s">
        <v>42</v>
      </c>
      <c r="C103" s="4">
        <v>2.0000000001184435E-6</v>
      </c>
      <c r="D103" s="3">
        <f>+D95-ROUND(D3*C95,0)</f>
        <v>-1</v>
      </c>
    </row>
  </sheetData>
  <pageMargins left="0.7" right="0.7" top="0.75" bottom="0.75" header="0.3" footer="0.3"/>
  <pageSetup scale="4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pageSetUpPr fitToPage="1"/>
  </sheetPr>
  <dimension ref="A1:WVB74"/>
  <sheetViews>
    <sheetView topLeftCell="A42" zoomScaleNormal="100" zoomScaleSheetLayoutView="90" workbookViewId="0">
      <selection activeCell="D63" activeCellId="5" sqref="D7:F7 D47:F47 D51:F51 D55:F55 D59:F59 D63:F63"/>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6.140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6.140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6.140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6.140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6.140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6.140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6.140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6.140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6.140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6.140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6.140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6.140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6.140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6.140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6.140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6.140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6.140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6.140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6.140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6.140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6.140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6.140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6.140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6.140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6.140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6.140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6.140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6.140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6.140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6.140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6.140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6.140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6.140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6.140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6.140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6.140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6.140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6.140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6.140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6.140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6.140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6.140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6.140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6.140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6.140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6.140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6.140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6.140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6.140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6.140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6.140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6.140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6.140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6.140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6.140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6.140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6.140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6.140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6.140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6.140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6.140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6.140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6.140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773</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Worksheet'!$D$37</f>
        <v>545828</v>
      </c>
      <c r="E3" s="11"/>
      <c r="F3" s="11"/>
    </row>
    <row r="4" spans="1:6">
      <c r="A4" s="8">
        <v>0</v>
      </c>
      <c r="B4" s="11" t="s">
        <v>4</v>
      </c>
      <c r="C4" s="10">
        <v>1.114E-3</v>
      </c>
      <c r="D4" s="12">
        <f>ROUND(D$3*C4,0)</f>
        <v>608</v>
      </c>
      <c r="E4" s="13">
        <f>ROUND(D4/2,0)</f>
        <v>304</v>
      </c>
      <c r="F4" s="12">
        <f>D4-E4</f>
        <v>304</v>
      </c>
    </row>
    <row r="5" spans="1:6">
      <c r="A5" s="8">
        <v>1</v>
      </c>
      <c r="B5" s="11" t="s">
        <v>774</v>
      </c>
      <c r="C5" s="10">
        <v>0.15896199999999999</v>
      </c>
      <c r="D5" s="9">
        <f>ROUND(D$3*C5,0)</f>
        <v>86766</v>
      </c>
      <c r="E5" s="11">
        <f>ROUND(D5/2,0)</f>
        <v>43383</v>
      </c>
      <c r="F5" s="9">
        <f>D5-E5</f>
        <v>43383</v>
      </c>
    </row>
    <row r="6" spans="1:6">
      <c r="A6" s="8"/>
      <c r="B6" s="11" t="s">
        <v>6</v>
      </c>
      <c r="C6" s="11"/>
      <c r="D6" s="14">
        <v>0.14154900000000001</v>
      </c>
      <c r="E6" s="11"/>
      <c r="F6" s="11"/>
    </row>
    <row r="7" spans="1:6">
      <c r="A7" s="8"/>
      <c r="B7" s="11" t="s">
        <v>7</v>
      </c>
      <c r="C7" s="11"/>
      <c r="D7" s="225">
        <f>ROUND(D5*D6,0)</f>
        <v>12282</v>
      </c>
      <c r="E7" s="226">
        <f>ROUND(D7/2,0)</f>
        <v>6141</v>
      </c>
      <c r="F7" s="225">
        <f>D7-E7</f>
        <v>6141</v>
      </c>
    </row>
    <row r="8" spans="1:6">
      <c r="A8" s="8"/>
      <c r="B8" s="11" t="s">
        <v>8</v>
      </c>
      <c r="C8" s="11"/>
      <c r="D8" s="12">
        <f>+D5-D7</f>
        <v>74484</v>
      </c>
      <c r="E8" s="13">
        <f>ROUND(D8/2,0)</f>
        <v>37242</v>
      </c>
      <c r="F8" s="12">
        <f>D8-E8</f>
        <v>37242</v>
      </c>
    </row>
    <row r="9" spans="1:6">
      <c r="A9" s="8">
        <v>2</v>
      </c>
      <c r="B9" s="11" t="s">
        <v>107</v>
      </c>
      <c r="C9" s="11"/>
      <c r="D9" s="9"/>
      <c r="E9" s="11"/>
      <c r="F9" s="11"/>
    </row>
    <row r="10" spans="1:6">
      <c r="A10" s="8"/>
      <c r="B10" s="11" t="s">
        <v>10</v>
      </c>
      <c r="C10" s="10">
        <v>2.5999999999999998E-4</v>
      </c>
      <c r="D10" s="12">
        <f>ROUND(D$3*C10,0)</f>
        <v>142</v>
      </c>
      <c r="E10" s="13">
        <f>ROUND(D10/2,0)</f>
        <v>71</v>
      </c>
      <c r="F10" s="12">
        <f>D10-E10</f>
        <v>71</v>
      </c>
    </row>
    <row r="11" spans="1:6">
      <c r="A11" s="8"/>
      <c r="B11" s="11" t="s">
        <v>11</v>
      </c>
      <c r="C11" s="10">
        <v>1.2999999999999999E-5</v>
      </c>
      <c r="D11" s="12">
        <f>ROUND(D$3*C11,0)</f>
        <v>7</v>
      </c>
      <c r="E11" s="13">
        <f>ROUND(D11/2,0)</f>
        <v>4</v>
      </c>
      <c r="F11" s="12">
        <f>D11-E11</f>
        <v>3</v>
      </c>
    </row>
    <row r="12" spans="1:6">
      <c r="A12" s="8">
        <v>2</v>
      </c>
      <c r="B12" s="11" t="s">
        <v>81</v>
      </c>
      <c r="C12" s="11"/>
      <c r="D12" s="9"/>
      <c r="E12" s="11"/>
      <c r="F12" s="11"/>
    </row>
    <row r="13" spans="1:6">
      <c r="A13" s="8"/>
      <c r="B13" s="11" t="s">
        <v>10</v>
      </c>
      <c r="C13" s="10">
        <v>1.1E-4</v>
      </c>
      <c r="D13" s="12">
        <f>ROUND(D$3*C13,0)</f>
        <v>60</v>
      </c>
      <c r="E13" s="13">
        <f>ROUND(D13/2,0)</f>
        <v>30</v>
      </c>
      <c r="F13" s="12">
        <f>D13-E13</f>
        <v>30</v>
      </c>
    </row>
    <row r="14" spans="1:6">
      <c r="A14" s="8"/>
      <c r="B14" s="11" t="s">
        <v>11</v>
      </c>
      <c r="C14" s="10">
        <v>8.0000000000000007E-5</v>
      </c>
      <c r="D14" s="12">
        <f>ROUND(D$3*C14,0)</f>
        <v>44</v>
      </c>
      <c r="E14" s="13">
        <f>ROUND(D14/2,0)</f>
        <v>22</v>
      </c>
      <c r="F14" s="12">
        <f>D14-E14</f>
        <v>22</v>
      </c>
    </row>
    <row r="15" spans="1:6">
      <c r="A15" s="8">
        <v>2</v>
      </c>
      <c r="B15" s="11" t="s">
        <v>775</v>
      </c>
      <c r="C15" s="11"/>
      <c r="D15" s="9"/>
      <c r="E15" s="11"/>
      <c r="F15" s="11"/>
    </row>
    <row r="16" spans="1:6">
      <c r="A16" s="8"/>
      <c r="B16" s="11" t="s">
        <v>10</v>
      </c>
      <c r="C16" s="10">
        <v>6.29E-4</v>
      </c>
      <c r="D16" s="12">
        <f>ROUND(D$3*C16,0)</f>
        <v>343</v>
      </c>
      <c r="E16" s="13">
        <f>ROUND(D16/2,0)</f>
        <v>172</v>
      </c>
      <c r="F16" s="12">
        <f>D16-E16</f>
        <v>171</v>
      </c>
    </row>
    <row r="17" spans="1:6">
      <c r="A17" s="8"/>
      <c r="B17" s="11" t="s">
        <v>11</v>
      </c>
      <c r="C17" s="10">
        <v>4.5399999999999998E-4</v>
      </c>
      <c r="D17" s="12">
        <f>ROUND(D$3*C17,0)</f>
        <v>248</v>
      </c>
      <c r="E17" s="13">
        <f>ROUND(D17/2,0)</f>
        <v>124</v>
      </c>
      <c r="F17" s="12">
        <f>D17-E17</f>
        <v>124</v>
      </c>
    </row>
    <row r="18" spans="1:6">
      <c r="A18" s="8">
        <v>2</v>
      </c>
      <c r="B18" s="11" t="s">
        <v>86</v>
      </c>
      <c r="C18" s="11"/>
      <c r="D18" s="9"/>
      <c r="E18" s="11"/>
      <c r="F18" s="11"/>
    </row>
    <row r="19" spans="1:6">
      <c r="A19" s="8"/>
      <c r="B19" s="11" t="s">
        <v>10</v>
      </c>
      <c r="C19" s="10">
        <v>4.3399999999999998E-4</v>
      </c>
      <c r="D19" s="12">
        <f>ROUND(D$3*C19,0)</f>
        <v>237</v>
      </c>
      <c r="E19" s="13">
        <f>ROUND(D19/2,0)</f>
        <v>119</v>
      </c>
      <c r="F19" s="12">
        <f>D19-E19</f>
        <v>118</v>
      </c>
    </row>
    <row r="20" spans="1:6">
      <c r="A20" s="8"/>
      <c r="B20" s="11" t="s">
        <v>11</v>
      </c>
      <c r="C20" s="10">
        <v>1.9699999999999999E-4</v>
      </c>
      <c r="D20" s="12">
        <f>ROUND(D$3*C20,0)</f>
        <v>108</v>
      </c>
      <c r="E20" s="13">
        <f>ROUND(D20/2,0)</f>
        <v>54</v>
      </c>
      <c r="F20" s="12">
        <f>D20-E20</f>
        <v>54</v>
      </c>
    </row>
    <row r="21" spans="1:6">
      <c r="A21" s="8">
        <v>2</v>
      </c>
      <c r="B21" s="11" t="s">
        <v>776</v>
      </c>
      <c r="C21" s="11"/>
      <c r="D21" s="9"/>
      <c r="E21" s="11"/>
      <c r="F21" s="11"/>
    </row>
    <row r="22" spans="1:6">
      <c r="A22" s="8"/>
      <c r="B22" s="11" t="s">
        <v>10</v>
      </c>
      <c r="C22" s="10">
        <v>3.5599999999999998E-4</v>
      </c>
      <c r="D22" s="12">
        <f>ROUND(D$3*C22,0)</f>
        <v>194</v>
      </c>
      <c r="E22" s="13">
        <f>ROUND(D22/2,0)</f>
        <v>97</v>
      </c>
      <c r="F22" s="12">
        <f>D22-E22</f>
        <v>97</v>
      </c>
    </row>
    <row r="23" spans="1:6">
      <c r="A23" s="8"/>
      <c r="B23" s="11" t="s">
        <v>11</v>
      </c>
      <c r="C23" s="10">
        <v>1.9699999999999999E-4</v>
      </c>
      <c r="D23" s="12">
        <f>ROUND(D$3*C23,0)</f>
        <v>108</v>
      </c>
      <c r="E23" s="13">
        <f>ROUND(D23/2,0)</f>
        <v>54</v>
      </c>
      <c r="F23" s="12">
        <f>D23-E23</f>
        <v>54</v>
      </c>
    </row>
    <row r="24" spans="1:6">
      <c r="A24" s="8">
        <v>2</v>
      </c>
      <c r="B24" s="11" t="s">
        <v>777</v>
      </c>
      <c r="C24" s="11"/>
      <c r="D24" s="9"/>
      <c r="E24" s="11"/>
      <c r="F24" s="11"/>
    </row>
    <row r="25" spans="1:6">
      <c r="A25" s="8"/>
      <c r="B25" s="11" t="s">
        <v>10</v>
      </c>
      <c r="C25" s="10">
        <v>1.25E-4</v>
      </c>
      <c r="D25" s="12">
        <f>ROUND(D$3*C25,0)</f>
        <v>68</v>
      </c>
      <c r="E25" s="13">
        <f>ROUND(D25/2,0)</f>
        <v>34</v>
      </c>
      <c r="F25" s="12">
        <f>D25-E25</f>
        <v>34</v>
      </c>
    </row>
    <row r="26" spans="1:6">
      <c r="A26" s="8"/>
      <c r="B26" s="11" t="s">
        <v>11</v>
      </c>
      <c r="C26" s="10">
        <v>7.4999999999999993E-5</v>
      </c>
      <c r="D26" s="12">
        <f>ROUND(D$3*C26,0)</f>
        <v>41</v>
      </c>
      <c r="E26" s="13">
        <f>ROUND(D26/2,0)</f>
        <v>21</v>
      </c>
      <c r="F26" s="12">
        <f>D26-E26</f>
        <v>20</v>
      </c>
    </row>
    <row r="27" spans="1:6">
      <c r="A27" s="8">
        <v>2</v>
      </c>
      <c r="B27" s="11" t="s">
        <v>49</v>
      </c>
      <c r="C27" s="11"/>
      <c r="D27" s="9"/>
      <c r="E27" s="11"/>
      <c r="F27" s="11"/>
    </row>
    <row r="28" spans="1:6">
      <c r="A28" s="8"/>
      <c r="B28" s="11" t="s">
        <v>10</v>
      </c>
      <c r="C28" s="10">
        <v>1.8900000000000001E-4</v>
      </c>
      <c r="D28" s="12">
        <f>ROUND(D$3*C28,0)</f>
        <v>103</v>
      </c>
      <c r="E28" s="13">
        <f>ROUND(D28/2,0)</f>
        <v>52</v>
      </c>
      <c r="F28" s="12">
        <f>D28-E28</f>
        <v>51</v>
      </c>
    </row>
    <row r="29" spans="1:6">
      <c r="A29" s="8"/>
      <c r="B29" s="11" t="s">
        <v>11</v>
      </c>
      <c r="C29" s="10">
        <v>1.0399999999999999E-4</v>
      </c>
      <c r="D29" s="12">
        <f>ROUND(D$3*C29,0)</f>
        <v>57</v>
      </c>
      <c r="E29" s="13">
        <f>ROUND(D29/2,0)</f>
        <v>29</v>
      </c>
      <c r="F29" s="12">
        <f>D29-E29</f>
        <v>28</v>
      </c>
    </row>
    <row r="30" spans="1:6">
      <c r="A30" s="8">
        <v>2</v>
      </c>
      <c r="B30" s="11" t="s">
        <v>181</v>
      </c>
      <c r="C30" s="11"/>
      <c r="D30" s="9"/>
      <c r="E30" s="11"/>
      <c r="F30" s="11"/>
    </row>
    <row r="31" spans="1:6">
      <c r="A31" s="8"/>
      <c r="B31" s="11" t="s">
        <v>10</v>
      </c>
      <c r="C31" s="10">
        <v>1.8900000000000001E-4</v>
      </c>
      <c r="D31" s="12">
        <f>ROUND(D$3*C31,0)</f>
        <v>103</v>
      </c>
      <c r="E31" s="13">
        <f>ROUND(D31/2,0)</f>
        <v>52</v>
      </c>
      <c r="F31" s="12">
        <f>D31-E31</f>
        <v>51</v>
      </c>
    </row>
    <row r="32" spans="1:6">
      <c r="A32" s="8"/>
      <c r="B32" s="11" t="s">
        <v>11</v>
      </c>
      <c r="C32" s="10">
        <v>1.15E-4</v>
      </c>
      <c r="D32" s="12">
        <f>ROUND(D$3*C32,0)</f>
        <v>63</v>
      </c>
      <c r="E32" s="13">
        <f>ROUND(D32/2,0)</f>
        <v>32</v>
      </c>
      <c r="F32" s="12">
        <f>D32-E32</f>
        <v>31</v>
      </c>
    </row>
    <row r="33" spans="1:6">
      <c r="A33" s="8">
        <v>2</v>
      </c>
      <c r="B33" s="11" t="s">
        <v>16</v>
      </c>
      <c r="C33" s="11"/>
      <c r="D33" s="9"/>
      <c r="E33" s="11"/>
      <c r="F33" s="11"/>
    </row>
    <row r="34" spans="1:6">
      <c r="A34" s="8"/>
      <c r="B34" s="11" t="s">
        <v>10</v>
      </c>
      <c r="C34" s="10">
        <v>2.5999999999999998E-4</v>
      </c>
      <c r="D34" s="12">
        <f>ROUND(D$3*C34,0)</f>
        <v>142</v>
      </c>
      <c r="E34" s="13">
        <f>ROUND(D34/2,0)</f>
        <v>71</v>
      </c>
      <c r="F34" s="12">
        <f>D34-E34</f>
        <v>71</v>
      </c>
    </row>
    <row r="35" spans="1:6">
      <c r="A35" s="8"/>
      <c r="B35" s="11" t="s">
        <v>11</v>
      </c>
      <c r="C35" s="10">
        <v>1.37E-4</v>
      </c>
      <c r="D35" s="12">
        <f>ROUND(D$3*C35,0)</f>
        <v>75</v>
      </c>
      <c r="E35" s="13">
        <f>ROUND(D35/2,0)</f>
        <v>38</v>
      </c>
      <c r="F35" s="12">
        <f>D35-E35</f>
        <v>37</v>
      </c>
    </row>
    <row r="36" spans="1:6">
      <c r="A36" s="8">
        <v>2</v>
      </c>
      <c r="B36" s="11" t="s">
        <v>627</v>
      </c>
      <c r="C36" s="11"/>
      <c r="D36" s="9"/>
      <c r="E36" s="11"/>
      <c r="F36" s="11"/>
    </row>
    <row r="37" spans="1:6">
      <c r="A37" s="8"/>
      <c r="B37" s="11" t="s">
        <v>10</v>
      </c>
      <c r="C37" s="10">
        <v>5.7300000000000005E-4</v>
      </c>
      <c r="D37" s="12">
        <f>ROUND(D$3*C37,0)</f>
        <v>313</v>
      </c>
      <c r="E37" s="13">
        <f>ROUND(D37/2,0)</f>
        <v>157</v>
      </c>
      <c r="F37" s="12">
        <f>D37-E37</f>
        <v>156</v>
      </c>
    </row>
    <row r="38" spans="1:6">
      <c r="A38" s="8"/>
      <c r="B38" s="11" t="s">
        <v>11</v>
      </c>
      <c r="C38" s="10">
        <v>6.1399999999999996E-4</v>
      </c>
      <c r="D38" s="12">
        <f>ROUND(D$3*C38,0)</f>
        <v>335</v>
      </c>
      <c r="E38" s="13">
        <f>ROUND(D38/2,0)</f>
        <v>168</v>
      </c>
      <c r="F38" s="12">
        <f>D38-E38</f>
        <v>167</v>
      </c>
    </row>
    <row r="39" spans="1:6">
      <c r="A39" s="8">
        <v>2</v>
      </c>
      <c r="B39" s="11" t="s">
        <v>20</v>
      </c>
      <c r="C39" s="11"/>
      <c r="D39" s="9"/>
      <c r="E39" s="11"/>
      <c r="F39" s="11"/>
    </row>
    <row r="40" spans="1:6">
      <c r="A40" s="8"/>
      <c r="B40" s="11" t="s">
        <v>10</v>
      </c>
      <c r="C40" s="10">
        <v>3.1399999999999999E-4</v>
      </c>
      <c r="D40" s="12">
        <f t="shared" ref="D40:D45" si="0">ROUND(D$3*C40,0)</f>
        <v>171</v>
      </c>
      <c r="E40" s="13">
        <f t="shared" ref="E40:E45" si="1">ROUND(D40/2,0)</f>
        <v>86</v>
      </c>
      <c r="F40" s="12">
        <f t="shared" ref="F40:F45" si="2">D40-E40</f>
        <v>85</v>
      </c>
    </row>
    <row r="41" spans="1:6">
      <c r="A41" s="8"/>
      <c r="B41" s="11" t="s">
        <v>11</v>
      </c>
      <c r="C41" s="10">
        <v>1.5200000000000001E-4</v>
      </c>
      <c r="D41" s="12">
        <f t="shared" si="0"/>
        <v>83</v>
      </c>
      <c r="E41" s="13">
        <f t="shared" si="1"/>
        <v>42</v>
      </c>
      <c r="F41" s="12">
        <f t="shared" si="2"/>
        <v>41</v>
      </c>
    </row>
    <row r="42" spans="1:6">
      <c r="A42" s="8">
        <v>3</v>
      </c>
      <c r="B42" s="11" t="s">
        <v>778</v>
      </c>
      <c r="C42" s="10">
        <v>9.7799999999999992E-4</v>
      </c>
      <c r="D42" s="12">
        <f t="shared" si="0"/>
        <v>534</v>
      </c>
      <c r="E42" s="13">
        <f t="shared" si="1"/>
        <v>267</v>
      </c>
      <c r="F42" s="12">
        <f t="shared" si="2"/>
        <v>267</v>
      </c>
    </row>
    <row r="43" spans="1:6">
      <c r="A43" s="8">
        <v>3</v>
      </c>
      <c r="B43" s="11" t="s">
        <v>779</v>
      </c>
      <c r="C43" s="10">
        <v>0.24615400000000001</v>
      </c>
      <c r="D43" s="12">
        <f t="shared" si="0"/>
        <v>134358</v>
      </c>
      <c r="E43" s="13">
        <f t="shared" si="1"/>
        <v>67179</v>
      </c>
      <c r="F43" s="12">
        <f t="shared" si="2"/>
        <v>67179</v>
      </c>
    </row>
    <row r="44" spans="1:6">
      <c r="A44" s="8">
        <v>3</v>
      </c>
      <c r="B44" s="11" t="s">
        <v>780</v>
      </c>
      <c r="C44" s="10">
        <v>1.3159999999999999E-3</v>
      </c>
      <c r="D44" s="12">
        <f t="shared" si="0"/>
        <v>718</v>
      </c>
      <c r="E44" s="13">
        <f t="shared" si="1"/>
        <v>359</v>
      </c>
      <c r="F44" s="12">
        <f t="shared" si="2"/>
        <v>359</v>
      </c>
    </row>
    <row r="45" spans="1:6">
      <c r="A45" s="8">
        <v>4</v>
      </c>
      <c r="B45" s="11" t="s">
        <v>781</v>
      </c>
      <c r="C45" s="10">
        <v>5.4828000000000002E-2</v>
      </c>
      <c r="D45" s="9">
        <f t="shared" si="0"/>
        <v>29927</v>
      </c>
      <c r="E45" s="11">
        <f t="shared" si="1"/>
        <v>14964</v>
      </c>
      <c r="F45" s="9">
        <f t="shared" si="2"/>
        <v>14963</v>
      </c>
    </row>
    <row r="46" spans="1:6">
      <c r="A46" s="8"/>
      <c r="B46" s="11" t="s">
        <v>28</v>
      </c>
      <c r="C46" s="11"/>
      <c r="D46" s="14">
        <v>0.38406200000000001</v>
      </c>
      <c r="E46" s="11"/>
      <c r="F46" s="11"/>
    </row>
    <row r="47" spans="1:6">
      <c r="A47" s="8"/>
      <c r="B47" s="11" t="s">
        <v>29</v>
      </c>
      <c r="C47" s="11"/>
      <c r="D47" s="225">
        <f>ROUND(D45*D46,0)</f>
        <v>11494</v>
      </c>
      <c r="E47" s="226">
        <f>ROUND(D47/2,0)</f>
        <v>5747</v>
      </c>
      <c r="F47" s="225">
        <f>D47-E47</f>
        <v>5747</v>
      </c>
    </row>
    <row r="48" spans="1:6">
      <c r="A48" s="8"/>
      <c r="B48" s="11" t="s">
        <v>30</v>
      </c>
      <c r="C48" s="11"/>
      <c r="D48" s="12">
        <f>+D45-D47</f>
        <v>18433</v>
      </c>
      <c r="E48" s="13">
        <f>ROUND(D48/2,0)</f>
        <v>9217</v>
      </c>
      <c r="F48" s="12">
        <f>D48-E48</f>
        <v>9216</v>
      </c>
    </row>
    <row r="49" spans="1:6">
      <c r="A49" s="8">
        <v>4</v>
      </c>
      <c r="B49" s="11" t="s">
        <v>782</v>
      </c>
      <c r="C49" s="10">
        <v>0.36520999999999998</v>
      </c>
      <c r="D49" s="9">
        <f>ROUND(D$3*C49,0)</f>
        <v>199342</v>
      </c>
      <c r="E49" s="11">
        <f>ROUND(D49/2,0)</f>
        <v>99671</v>
      </c>
      <c r="F49" s="9">
        <f>D49-E49</f>
        <v>99671</v>
      </c>
    </row>
    <row r="50" spans="1:6">
      <c r="A50" s="8"/>
      <c r="B50" s="11" t="s">
        <v>28</v>
      </c>
      <c r="C50" s="11"/>
      <c r="D50" s="14">
        <v>0.55304299999999995</v>
      </c>
      <c r="E50" s="11"/>
      <c r="F50" s="11"/>
    </row>
    <row r="51" spans="1:6">
      <c r="A51" s="8"/>
      <c r="B51" s="11" t="s">
        <v>29</v>
      </c>
      <c r="C51" s="11"/>
      <c r="D51" s="225">
        <f>ROUND(D49*D50,0)</f>
        <v>110245</v>
      </c>
      <c r="E51" s="226">
        <f>ROUND(D51/2,0)</f>
        <v>55123</v>
      </c>
      <c r="F51" s="225">
        <f>D51-E51</f>
        <v>55122</v>
      </c>
    </row>
    <row r="52" spans="1:6">
      <c r="A52" s="8"/>
      <c r="B52" s="11" t="s">
        <v>30</v>
      </c>
      <c r="C52" s="11"/>
      <c r="D52" s="12">
        <f>+D49-D51</f>
        <v>89097</v>
      </c>
      <c r="E52" s="13">
        <f>ROUND(D52/2,0)</f>
        <v>44549</v>
      </c>
      <c r="F52" s="12">
        <f>D52-E52</f>
        <v>44548</v>
      </c>
    </row>
    <row r="53" spans="1:6">
      <c r="A53" s="8">
        <v>4</v>
      </c>
      <c r="B53" s="11" t="s">
        <v>783</v>
      </c>
      <c r="C53" s="10">
        <v>7.4455999999999994E-2</v>
      </c>
      <c r="D53" s="9">
        <f>ROUND(D$3*C53,0)</f>
        <v>40640</v>
      </c>
      <c r="E53" s="11">
        <f>ROUND(D53/2,0)</f>
        <v>20320</v>
      </c>
      <c r="F53" s="9">
        <f>D53-E53</f>
        <v>20320</v>
      </c>
    </row>
    <row r="54" spans="1:6">
      <c r="A54" s="8"/>
      <c r="B54" s="11" t="s">
        <v>28</v>
      </c>
      <c r="C54" s="11"/>
      <c r="D54" s="14">
        <v>0.50184099999999998</v>
      </c>
      <c r="E54" s="11"/>
      <c r="F54" s="11"/>
    </row>
    <row r="55" spans="1:6">
      <c r="A55" s="8"/>
      <c r="B55" s="11" t="s">
        <v>29</v>
      </c>
      <c r="C55" s="11"/>
      <c r="D55" s="225">
        <f>ROUND(D53*D54,0)</f>
        <v>20395</v>
      </c>
      <c r="E55" s="226">
        <f>ROUND(D55/2,0)</f>
        <v>10198</v>
      </c>
      <c r="F55" s="225">
        <f>D55-E55</f>
        <v>10197</v>
      </c>
    </row>
    <row r="56" spans="1:6">
      <c r="A56" s="8"/>
      <c r="B56" s="11" t="s">
        <v>30</v>
      </c>
      <c r="C56" s="11"/>
      <c r="D56" s="12">
        <f>+D53-D55</f>
        <v>20245</v>
      </c>
      <c r="E56" s="13">
        <f>ROUND(D56/2,0)</f>
        <v>10123</v>
      </c>
      <c r="F56" s="12">
        <f>D56-E56</f>
        <v>10122</v>
      </c>
    </row>
    <row r="57" spans="1:6">
      <c r="A57" s="8">
        <v>4</v>
      </c>
      <c r="B57" s="11" t="s">
        <v>784</v>
      </c>
      <c r="C57" s="10">
        <v>2.8608999999999999E-2</v>
      </c>
      <c r="D57" s="9">
        <f>ROUND(D$3*C57,0)</f>
        <v>15616</v>
      </c>
      <c r="E57" s="11">
        <f>ROUND(D57/2,0)</f>
        <v>7808</v>
      </c>
      <c r="F57" s="9">
        <f>D57-E57</f>
        <v>7808</v>
      </c>
    </row>
    <row r="58" spans="1:6">
      <c r="A58" s="8"/>
      <c r="B58" s="11" t="s">
        <v>28</v>
      </c>
      <c r="C58" s="11"/>
      <c r="D58" s="14">
        <v>0.44720300000000002</v>
      </c>
      <c r="E58" s="11"/>
      <c r="F58" s="11"/>
    </row>
    <row r="59" spans="1:6">
      <c r="A59" s="8"/>
      <c r="B59" s="11" t="s">
        <v>29</v>
      </c>
      <c r="C59" s="11"/>
      <c r="D59" s="225">
        <f>ROUND(D57*D58,0)</f>
        <v>6984</v>
      </c>
      <c r="E59" s="226">
        <f>ROUND(D59/2,0)</f>
        <v>3492</v>
      </c>
      <c r="F59" s="225">
        <f>D59-E59</f>
        <v>3492</v>
      </c>
    </row>
    <row r="60" spans="1:6">
      <c r="A60" s="8"/>
      <c r="B60" s="11" t="s">
        <v>30</v>
      </c>
      <c r="C60" s="11"/>
      <c r="D60" s="12">
        <f>+D57-D59</f>
        <v>8632</v>
      </c>
      <c r="E60" s="13">
        <f>ROUND(D60/2,0)</f>
        <v>4316</v>
      </c>
      <c r="F60" s="12">
        <f>D60-E60</f>
        <v>4316</v>
      </c>
    </row>
    <row r="61" spans="1:6">
      <c r="A61" s="8">
        <v>4</v>
      </c>
      <c r="B61" s="11" t="s">
        <v>785</v>
      </c>
      <c r="C61" s="10">
        <v>3.3683999999999999E-2</v>
      </c>
      <c r="D61" s="9">
        <f>ROUND(D$3*C61,0)</f>
        <v>18386</v>
      </c>
      <c r="E61" s="11">
        <f>ROUND(D61/2,0)</f>
        <v>9193</v>
      </c>
      <c r="F61" s="9">
        <f>D61-E61</f>
        <v>9193</v>
      </c>
    </row>
    <row r="62" spans="1:6">
      <c r="A62" s="8"/>
      <c r="B62" s="11" t="s">
        <v>28</v>
      </c>
      <c r="C62" s="11"/>
      <c r="D62" s="14">
        <v>0.44162200000000001</v>
      </c>
      <c r="E62" s="11"/>
      <c r="F62" s="11"/>
    </row>
    <row r="63" spans="1:6">
      <c r="A63" s="8"/>
      <c r="B63" s="11" t="s">
        <v>29</v>
      </c>
      <c r="C63" s="11"/>
      <c r="D63" s="225">
        <f>ROUND(D61*D62,0)</f>
        <v>8120</v>
      </c>
      <c r="E63" s="226">
        <f>ROUND(D63/2,0)</f>
        <v>4060</v>
      </c>
      <c r="F63" s="225">
        <f>D63-E63</f>
        <v>4060</v>
      </c>
    </row>
    <row r="64" spans="1:6">
      <c r="A64" s="8"/>
      <c r="B64" s="11" t="s">
        <v>30</v>
      </c>
      <c r="C64" s="11"/>
      <c r="D64" s="12">
        <f>+D61-D63</f>
        <v>10266</v>
      </c>
      <c r="E64" s="13">
        <f>ROUND(D64/2,0)</f>
        <v>5133</v>
      </c>
      <c r="F64" s="12">
        <f>D64-E64</f>
        <v>5133</v>
      </c>
    </row>
    <row r="65" spans="1:8">
      <c r="A65" s="8">
        <v>5</v>
      </c>
      <c r="B65" s="11" t="s">
        <v>786</v>
      </c>
      <c r="C65" s="10">
        <v>2.4229999999999998E-3</v>
      </c>
      <c r="D65" s="12">
        <f>ROUND(D$3*C65,0)</f>
        <v>1323</v>
      </c>
      <c r="E65" s="13">
        <f>ROUND(D65/2,0)</f>
        <v>662</v>
      </c>
      <c r="F65" s="12">
        <f>D65-E65</f>
        <v>661</v>
      </c>
    </row>
    <row r="66" spans="1:8">
      <c r="A66" s="8">
        <v>5</v>
      </c>
      <c r="B66" s="11" t="s">
        <v>787</v>
      </c>
      <c r="C66" s="10">
        <v>2.162E-2</v>
      </c>
      <c r="D66" s="12">
        <f>ROUND(D$3*C66,0)</f>
        <v>11801</v>
      </c>
      <c r="E66" s="13">
        <f>ROUND(D66/2,0)</f>
        <v>5901</v>
      </c>
      <c r="F66" s="12">
        <f>D66-E66</f>
        <v>5900</v>
      </c>
    </row>
    <row r="67" spans="1:8">
      <c r="A67" s="8">
        <v>6</v>
      </c>
      <c r="B67" s="11" t="s">
        <v>788</v>
      </c>
      <c r="C67" s="10">
        <v>5.0689999999999997E-3</v>
      </c>
      <c r="D67" s="12">
        <f>+D3-SUM(D4:D5)-SUM(D10:D45)-D49-D53-D57-D61-SUM(D65:D66)</f>
        <v>2764</v>
      </c>
      <c r="E67" s="13">
        <f>ROUND(D67/2,0)</f>
        <v>1382</v>
      </c>
      <c r="F67" s="12">
        <f>D67-E67</f>
        <v>1382</v>
      </c>
    </row>
    <row r="68" spans="1:8">
      <c r="A68" s="8"/>
      <c r="B68" s="28" t="s">
        <v>288</v>
      </c>
      <c r="C68" s="10">
        <v>0.99999999999999989</v>
      </c>
      <c r="D68" s="12">
        <f>+D4+SUM(D7:D44)+SUM(D47:D48)+SUM(D51:D52)+SUM(D55:D56)+SUM(D59:D60)+SUM(D63:D67)</f>
        <v>545828</v>
      </c>
      <c r="E68" s="12">
        <f>+E4+SUM(E7:E44)+SUM(E47:E48)+SUM(E51:E52)+SUM(E55:E56)+SUM(E59:E60)+SUM(E63:E67)</f>
        <v>272924</v>
      </c>
      <c r="F68" s="12">
        <f>+F4+SUM(F7:F44)+SUM(F47:F48)+SUM(F51:F52)+SUM(F55:F56)+SUM(F59:F60)+SUM(F63:F67)</f>
        <v>272904</v>
      </c>
    </row>
    <row r="69" spans="1:8">
      <c r="B69" s="18" t="s">
        <v>38</v>
      </c>
      <c r="D69" s="19">
        <f>+D4</f>
        <v>608</v>
      </c>
      <c r="E69" s="19">
        <f>+E4</f>
        <v>304</v>
      </c>
      <c r="F69" s="19">
        <f>+F4</f>
        <v>304</v>
      </c>
    </row>
    <row r="70" spans="1:8">
      <c r="B70" s="2" t="s">
        <v>39</v>
      </c>
      <c r="D70" s="19">
        <f>+D7</f>
        <v>12282</v>
      </c>
      <c r="E70" s="19">
        <f>+E7</f>
        <v>6141</v>
      </c>
      <c r="F70" s="19">
        <f>+F7</f>
        <v>6141</v>
      </c>
    </row>
    <row r="71" spans="1:8">
      <c r="A71" s="1" t="s">
        <v>590</v>
      </c>
      <c r="B71" s="2" t="s">
        <v>40</v>
      </c>
      <c r="D71" s="19">
        <f>+D47+D51+D55+D59+D63</f>
        <v>157238</v>
      </c>
      <c r="E71" s="19">
        <f>+E47+E51+E55+E59+E63</f>
        <v>78620</v>
      </c>
      <c r="F71" s="19">
        <f>+F47+F51+F55+F59+F63</f>
        <v>78618</v>
      </c>
      <c r="H71" s="3">
        <v>1</v>
      </c>
    </row>
    <row r="72" spans="1:8">
      <c r="B72" s="18" t="s">
        <v>41</v>
      </c>
      <c r="D72" s="19">
        <f>+D68-D69-D70-D71</f>
        <v>375700</v>
      </c>
      <c r="E72" s="19">
        <f>+E68-E69-E70-E71</f>
        <v>187859</v>
      </c>
      <c r="F72" s="19">
        <f>+F68-F69-F70-F71</f>
        <v>187841</v>
      </c>
      <c r="H72" s="3">
        <v>2</v>
      </c>
    </row>
    <row r="74" spans="1:8" hidden="1">
      <c r="B74" s="3" t="s">
        <v>42</v>
      </c>
      <c r="C74" s="4">
        <v>0</v>
      </c>
      <c r="D74" s="3">
        <f>+D67-ROUND(D3*C67,0)</f>
        <v>-3</v>
      </c>
    </row>
  </sheetData>
  <pageMargins left="0.7" right="0.7" top="0.75" bottom="0.75" header="0.3" footer="0.3"/>
  <pageSetup scale="6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pageSetUpPr fitToPage="1"/>
  </sheetPr>
  <dimension ref="A1:WVB71"/>
  <sheetViews>
    <sheetView topLeftCell="A32" zoomScaleNormal="100" zoomScaleSheetLayoutView="90" workbookViewId="0">
      <selection activeCell="D53" activeCellId="1" sqref="D7:F7 D53:F53"/>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6.140625" style="3" hidden="1"/>
    <col min="190" max="246" width="9.140625" style="3" hidden="1"/>
    <col min="247" max="247" width="16.28515625" style="3" hidden="1"/>
    <col min="248" max="248" width="17.5703125" style="3" hidden="1"/>
    <col min="249" max="249" width="16" style="3" hidden="1"/>
    <col min="250" max="250" width="18.140625" style="3" hidden="1"/>
    <col min="251" max="443" width="9.140625" style="3" hidden="1"/>
    <col min="444" max="444" width="11" style="3" hidden="1"/>
    <col min="445" max="445" width="56.140625" style="3" hidden="1"/>
    <col min="446" max="502" width="9.140625" style="3" hidden="1"/>
    <col min="503" max="503" width="16.28515625" style="3" hidden="1"/>
    <col min="504" max="504" width="17.5703125" style="3" hidden="1"/>
    <col min="505" max="505" width="16" style="3" hidden="1"/>
    <col min="506" max="506" width="18.140625" style="3" hidden="1"/>
    <col min="507" max="699" width="9.140625" style="3" hidden="1"/>
    <col min="700" max="700" width="11" style="3" hidden="1"/>
    <col min="701" max="701" width="56.140625" style="3" hidden="1"/>
    <col min="702" max="758" width="9.140625" style="3" hidden="1"/>
    <col min="759" max="759" width="16.28515625" style="3" hidden="1"/>
    <col min="760" max="760" width="17.5703125" style="3" hidden="1"/>
    <col min="761" max="761" width="16" style="3" hidden="1"/>
    <col min="762" max="762" width="18.140625" style="3" hidden="1"/>
    <col min="763" max="955" width="9.140625" style="3" hidden="1"/>
    <col min="956" max="956" width="11" style="3" hidden="1"/>
    <col min="957" max="957" width="56.140625" style="3" hidden="1"/>
    <col min="958" max="1014" width="9.140625" style="3" hidden="1"/>
    <col min="1015" max="1015" width="16.28515625" style="3" hidden="1"/>
    <col min="1016" max="1016" width="17.5703125" style="3" hidden="1"/>
    <col min="1017" max="1017" width="16" style="3" hidden="1"/>
    <col min="1018" max="1018" width="18.140625" style="3" hidden="1"/>
    <col min="1019" max="1211" width="9.140625" style="3" hidden="1"/>
    <col min="1212" max="1212" width="11" style="3" hidden="1"/>
    <col min="1213" max="1213" width="56.140625" style="3" hidden="1"/>
    <col min="1214" max="1270" width="9.140625" style="3" hidden="1"/>
    <col min="1271" max="1271" width="16.28515625" style="3" hidden="1"/>
    <col min="1272" max="1272" width="17.5703125" style="3" hidden="1"/>
    <col min="1273" max="1273" width="16" style="3" hidden="1"/>
    <col min="1274" max="1274" width="18.140625" style="3" hidden="1"/>
    <col min="1275" max="1467" width="9.140625" style="3" hidden="1"/>
    <col min="1468" max="1468" width="11" style="3" hidden="1"/>
    <col min="1469" max="1469" width="56.140625" style="3" hidden="1"/>
    <col min="1470" max="1526" width="9.140625" style="3" hidden="1"/>
    <col min="1527" max="1527" width="16.28515625" style="3" hidden="1"/>
    <col min="1528" max="1528" width="17.5703125" style="3" hidden="1"/>
    <col min="1529" max="1529" width="16" style="3" hidden="1"/>
    <col min="1530" max="1530" width="18.140625" style="3" hidden="1"/>
    <col min="1531" max="1723" width="9.140625" style="3" hidden="1"/>
    <col min="1724" max="1724" width="11" style="3" hidden="1"/>
    <col min="1725" max="1725" width="56.140625" style="3" hidden="1"/>
    <col min="1726" max="1782" width="9.140625" style="3" hidden="1"/>
    <col min="1783" max="1783" width="16.28515625" style="3" hidden="1"/>
    <col min="1784" max="1784" width="17.5703125" style="3" hidden="1"/>
    <col min="1785" max="1785" width="16" style="3" hidden="1"/>
    <col min="1786" max="1786" width="18.140625" style="3" hidden="1"/>
    <col min="1787" max="1979" width="9.140625" style="3" hidden="1"/>
    <col min="1980" max="1980" width="11" style="3" hidden="1"/>
    <col min="1981" max="1981" width="56.140625" style="3" hidden="1"/>
    <col min="1982" max="2038" width="9.140625" style="3" hidden="1"/>
    <col min="2039" max="2039" width="16.28515625" style="3" hidden="1"/>
    <col min="2040" max="2040" width="17.5703125" style="3" hidden="1"/>
    <col min="2041" max="2041" width="16" style="3" hidden="1"/>
    <col min="2042" max="2042" width="18.140625" style="3" hidden="1"/>
    <col min="2043" max="2235" width="9.140625" style="3" hidden="1"/>
    <col min="2236" max="2236" width="11" style="3" hidden="1"/>
    <col min="2237" max="2237" width="56.140625" style="3" hidden="1"/>
    <col min="2238" max="2294" width="9.140625" style="3" hidden="1"/>
    <col min="2295" max="2295" width="16.28515625" style="3" hidden="1"/>
    <col min="2296" max="2296" width="17.5703125" style="3" hidden="1"/>
    <col min="2297" max="2297" width="16" style="3" hidden="1"/>
    <col min="2298" max="2298" width="18.140625" style="3" hidden="1"/>
    <col min="2299" max="2491" width="9.140625" style="3" hidden="1"/>
    <col min="2492" max="2492" width="11" style="3" hidden="1"/>
    <col min="2493" max="2493" width="56.140625" style="3" hidden="1"/>
    <col min="2494" max="2550" width="9.140625" style="3" hidden="1"/>
    <col min="2551" max="2551" width="16.28515625" style="3" hidden="1"/>
    <col min="2552" max="2552" width="17.5703125" style="3" hidden="1"/>
    <col min="2553" max="2553" width="16" style="3" hidden="1"/>
    <col min="2554" max="2554" width="18.140625" style="3" hidden="1"/>
    <col min="2555" max="2747" width="9.140625" style="3" hidden="1"/>
    <col min="2748" max="2748" width="11" style="3" hidden="1"/>
    <col min="2749" max="2749" width="56.140625" style="3" hidden="1"/>
    <col min="2750" max="2806" width="9.140625" style="3" hidden="1"/>
    <col min="2807" max="2807" width="16.28515625" style="3" hidden="1"/>
    <col min="2808" max="2808" width="17.5703125" style="3" hidden="1"/>
    <col min="2809" max="2809" width="16" style="3" hidden="1"/>
    <col min="2810" max="2810" width="18.140625" style="3" hidden="1"/>
    <col min="2811" max="3003" width="9.140625" style="3" hidden="1"/>
    <col min="3004" max="3004" width="11" style="3" hidden="1"/>
    <col min="3005" max="3005" width="56.140625" style="3" hidden="1"/>
    <col min="3006" max="3062" width="9.140625" style="3" hidden="1"/>
    <col min="3063" max="3063" width="16.28515625" style="3" hidden="1"/>
    <col min="3064" max="3064" width="17.5703125" style="3" hidden="1"/>
    <col min="3065" max="3065" width="16" style="3" hidden="1"/>
    <col min="3066" max="3066" width="18.140625" style="3" hidden="1"/>
    <col min="3067" max="3259" width="9.140625" style="3" hidden="1"/>
    <col min="3260" max="3260" width="11" style="3" hidden="1"/>
    <col min="3261" max="3261" width="56.140625" style="3" hidden="1"/>
    <col min="3262" max="3318" width="9.140625" style="3" hidden="1"/>
    <col min="3319" max="3319" width="16.28515625" style="3" hidden="1"/>
    <col min="3320" max="3320" width="17.5703125" style="3" hidden="1"/>
    <col min="3321" max="3321" width="16" style="3" hidden="1"/>
    <col min="3322" max="3322" width="18.140625" style="3" hidden="1"/>
    <col min="3323" max="3515" width="9.140625" style="3" hidden="1"/>
    <col min="3516" max="3516" width="11" style="3" hidden="1"/>
    <col min="3517" max="3517" width="56.140625" style="3" hidden="1"/>
    <col min="3518" max="3574" width="9.140625" style="3" hidden="1"/>
    <col min="3575" max="3575" width="16.28515625" style="3" hidden="1"/>
    <col min="3576" max="3576" width="17.5703125" style="3" hidden="1"/>
    <col min="3577" max="3577" width="16" style="3" hidden="1"/>
    <col min="3578" max="3578" width="18.140625" style="3" hidden="1"/>
    <col min="3579" max="3771" width="9.140625" style="3" hidden="1"/>
    <col min="3772" max="3772" width="11" style="3" hidden="1"/>
    <col min="3773" max="3773" width="56.140625" style="3" hidden="1"/>
    <col min="3774" max="3830" width="9.140625" style="3" hidden="1"/>
    <col min="3831" max="3831" width="16.28515625" style="3" hidden="1"/>
    <col min="3832" max="3832" width="17.5703125" style="3" hidden="1"/>
    <col min="3833" max="3833" width="16" style="3" hidden="1"/>
    <col min="3834" max="3834" width="18.140625" style="3" hidden="1"/>
    <col min="3835" max="4027" width="9.140625" style="3" hidden="1"/>
    <col min="4028" max="4028" width="11" style="3" hidden="1"/>
    <col min="4029" max="4029" width="56.140625" style="3" hidden="1"/>
    <col min="4030" max="4086" width="9.140625" style="3" hidden="1"/>
    <col min="4087" max="4087" width="16.28515625" style="3" hidden="1"/>
    <col min="4088" max="4088" width="17.5703125" style="3" hidden="1"/>
    <col min="4089" max="4089" width="16" style="3" hidden="1"/>
    <col min="4090" max="4090" width="18.140625" style="3" hidden="1"/>
    <col min="4091" max="4283" width="9.140625" style="3" hidden="1"/>
    <col min="4284" max="4284" width="11" style="3" hidden="1"/>
    <col min="4285" max="4285" width="56.140625" style="3" hidden="1"/>
    <col min="4286" max="4342" width="9.140625" style="3" hidden="1"/>
    <col min="4343" max="4343" width="16.28515625" style="3" hidden="1"/>
    <col min="4344" max="4344" width="17.5703125" style="3" hidden="1"/>
    <col min="4345" max="4345" width="16" style="3" hidden="1"/>
    <col min="4346" max="4346" width="18.140625" style="3" hidden="1"/>
    <col min="4347" max="4539" width="9.140625" style="3" hidden="1"/>
    <col min="4540" max="4540" width="11" style="3" hidden="1"/>
    <col min="4541" max="4541" width="56.140625" style="3" hidden="1"/>
    <col min="4542" max="4598" width="9.140625" style="3" hidden="1"/>
    <col min="4599" max="4599" width="16.28515625" style="3" hidden="1"/>
    <col min="4600" max="4600" width="17.5703125" style="3" hidden="1"/>
    <col min="4601" max="4601" width="16" style="3" hidden="1"/>
    <col min="4602" max="4602" width="18.140625" style="3" hidden="1"/>
    <col min="4603" max="4795" width="9.140625" style="3" hidden="1"/>
    <col min="4796" max="4796" width="11" style="3" hidden="1"/>
    <col min="4797" max="4797" width="56.140625" style="3" hidden="1"/>
    <col min="4798" max="4854" width="9.140625" style="3" hidden="1"/>
    <col min="4855" max="4855" width="16.28515625" style="3" hidden="1"/>
    <col min="4856" max="4856" width="17.5703125" style="3" hidden="1"/>
    <col min="4857" max="4857" width="16" style="3" hidden="1"/>
    <col min="4858" max="4858" width="18.140625" style="3" hidden="1"/>
    <col min="4859" max="5051" width="9.140625" style="3" hidden="1"/>
    <col min="5052" max="5052" width="11" style="3" hidden="1"/>
    <col min="5053" max="5053" width="56.140625" style="3" hidden="1"/>
    <col min="5054" max="5110" width="9.140625" style="3" hidden="1"/>
    <col min="5111" max="5111" width="16.28515625" style="3" hidden="1"/>
    <col min="5112" max="5112" width="17.5703125" style="3" hidden="1"/>
    <col min="5113" max="5113" width="16" style="3" hidden="1"/>
    <col min="5114" max="5114" width="18.140625" style="3" hidden="1"/>
    <col min="5115" max="5307" width="9.140625" style="3" hidden="1"/>
    <col min="5308" max="5308" width="11" style="3" hidden="1"/>
    <col min="5309" max="5309" width="56.140625" style="3" hidden="1"/>
    <col min="5310" max="5366" width="9.140625" style="3" hidden="1"/>
    <col min="5367" max="5367" width="16.28515625" style="3" hidden="1"/>
    <col min="5368" max="5368" width="17.5703125" style="3" hidden="1"/>
    <col min="5369" max="5369" width="16" style="3" hidden="1"/>
    <col min="5370" max="5370" width="18.140625" style="3" hidden="1"/>
    <col min="5371" max="5563" width="9.140625" style="3" hidden="1"/>
    <col min="5564" max="5564" width="11" style="3" hidden="1"/>
    <col min="5565" max="5565" width="56.140625" style="3" hidden="1"/>
    <col min="5566" max="5622" width="9.140625" style="3" hidden="1"/>
    <col min="5623" max="5623" width="16.28515625" style="3" hidden="1"/>
    <col min="5624" max="5624" width="17.5703125" style="3" hidden="1"/>
    <col min="5625" max="5625" width="16" style="3" hidden="1"/>
    <col min="5626" max="5626" width="18.140625" style="3" hidden="1"/>
    <col min="5627" max="5819" width="9.140625" style="3" hidden="1"/>
    <col min="5820" max="5820" width="11" style="3" hidden="1"/>
    <col min="5821" max="5821" width="56.140625" style="3" hidden="1"/>
    <col min="5822" max="5878" width="9.140625" style="3" hidden="1"/>
    <col min="5879" max="5879" width="16.28515625" style="3" hidden="1"/>
    <col min="5880" max="5880" width="17.5703125" style="3" hidden="1"/>
    <col min="5881" max="5881" width="16" style="3" hidden="1"/>
    <col min="5882" max="5882" width="18.140625" style="3" hidden="1"/>
    <col min="5883" max="6075" width="9.140625" style="3" hidden="1"/>
    <col min="6076" max="6076" width="11" style="3" hidden="1"/>
    <col min="6077" max="6077" width="56.140625" style="3" hidden="1"/>
    <col min="6078" max="6134" width="9.140625" style="3" hidden="1"/>
    <col min="6135" max="6135" width="16.28515625" style="3" hidden="1"/>
    <col min="6136" max="6136" width="17.5703125" style="3" hidden="1"/>
    <col min="6137" max="6137" width="16" style="3" hidden="1"/>
    <col min="6138" max="6138" width="18.140625" style="3" hidden="1"/>
    <col min="6139" max="6331" width="9.140625" style="3" hidden="1"/>
    <col min="6332" max="6332" width="11" style="3" hidden="1"/>
    <col min="6333" max="6333" width="56.140625" style="3" hidden="1"/>
    <col min="6334" max="6390" width="9.140625" style="3" hidden="1"/>
    <col min="6391" max="6391" width="16.28515625" style="3" hidden="1"/>
    <col min="6392" max="6392" width="17.5703125" style="3" hidden="1"/>
    <col min="6393" max="6393" width="16" style="3" hidden="1"/>
    <col min="6394" max="6394" width="18.140625" style="3" hidden="1"/>
    <col min="6395" max="6587" width="9.140625" style="3" hidden="1"/>
    <col min="6588" max="6588" width="11" style="3" hidden="1"/>
    <col min="6589" max="6589" width="56.140625" style="3" hidden="1"/>
    <col min="6590" max="6646" width="9.140625" style="3" hidden="1"/>
    <col min="6647" max="6647" width="16.28515625" style="3" hidden="1"/>
    <col min="6648" max="6648" width="17.5703125" style="3" hidden="1"/>
    <col min="6649" max="6649" width="16" style="3" hidden="1"/>
    <col min="6650" max="6650" width="18.140625" style="3" hidden="1"/>
    <col min="6651" max="6843" width="9.140625" style="3" hidden="1"/>
    <col min="6844" max="6844" width="11" style="3" hidden="1"/>
    <col min="6845" max="6845" width="56.140625" style="3" hidden="1"/>
    <col min="6846" max="6902" width="9.140625" style="3" hidden="1"/>
    <col min="6903" max="6903" width="16.28515625" style="3" hidden="1"/>
    <col min="6904" max="6904" width="17.5703125" style="3" hidden="1"/>
    <col min="6905" max="6905" width="16" style="3" hidden="1"/>
    <col min="6906" max="6906" width="18.140625" style="3" hidden="1"/>
    <col min="6907" max="7099" width="9.140625" style="3" hidden="1"/>
    <col min="7100" max="7100" width="11" style="3" hidden="1"/>
    <col min="7101" max="7101" width="56.140625" style="3" hidden="1"/>
    <col min="7102" max="7158" width="9.140625" style="3" hidden="1"/>
    <col min="7159" max="7159" width="16.28515625" style="3" hidden="1"/>
    <col min="7160" max="7160" width="17.5703125" style="3" hidden="1"/>
    <col min="7161" max="7161" width="16" style="3" hidden="1"/>
    <col min="7162" max="7162" width="18.140625" style="3" hidden="1"/>
    <col min="7163" max="7355" width="9.140625" style="3" hidden="1"/>
    <col min="7356" max="7356" width="11" style="3" hidden="1"/>
    <col min="7357" max="7357" width="56.140625" style="3" hidden="1"/>
    <col min="7358" max="7414" width="9.140625" style="3" hidden="1"/>
    <col min="7415" max="7415" width="16.28515625" style="3" hidden="1"/>
    <col min="7416" max="7416" width="17.5703125" style="3" hidden="1"/>
    <col min="7417" max="7417" width="16" style="3" hidden="1"/>
    <col min="7418" max="7418" width="18.140625" style="3" hidden="1"/>
    <col min="7419" max="7611" width="9.140625" style="3" hidden="1"/>
    <col min="7612" max="7612" width="11" style="3" hidden="1"/>
    <col min="7613" max="7613" width="56.140625" style="3" hidden="1"/>
    <col min="7614" max="7670" width="9.140625" style="3" hidden="1"/>
    <col min="7671" max="7671" width="16.28515625" style="3" hidden="1"/>
    <col min="7672" max="7672" width="17.5703125" style="3" hidden="1"/>
    <col min="7673" max="7673" width="16" style="3" hidden="1"/>
    <col min="7674" max="7674" width="18.140625" style="3" hidden="1"/>
    <col min="7675" max="7867" width="9.140625" style="3" hidden="1"/>
    <col min="7868" max="7868" width="11" style="3" hidden="1"/>
    <col min="7869" max="7869" width="56.140625" style="3" hidden="1"/>
    <col min="7870" max="7926" width="9.140625" style="3" hidden="1"/>
    <col min="7927" max="7927" width="16.28515625" style="3" hidden="1"/>
    <col min="7928" max="7928" width="17.5703125" style="3" hidden="1"/>
    <col min="7929" max="7929" width="16" style="3" hidden="1"/>
    <col min="7930" max="7930" width="18.140625" style="3" hidden="1"/>
    <col min="7931" max="8123" width="9.140625" style="3" hidden="1"/>
    <col min="8124" max="8124" width="11" style="3" hidden="1"/>
    <col min="8125" max="8125" width="56.140625" style="3" hidden="1"/>
    <col min="8126" max="8182" width="9.140625" style="3" hidden="1"/>
    <col min="8183" max="8183" width="16.28515625" style="3" hidden="1"/>
    <col min="8184" max="8184" width="17.5703125" style="3" hidden="1"/>
    <col min="8185" max="8185" width="16" style="3" hidden="1"/>
    <col min="8186" max="8186" width="18.140625" style="3" hidden="1"/>
    <col min="8187" max="8379" width="9.140625" style="3" hidden="1"/>
    <col min="8380" max="8380" width="11" style="3" hidden="1"/>
    <col min="8381" max="8381" width="56.140625" style="3" hidden="1"/>
    <col min="8382" max="8438" width="9.140625" style="3" hidden="1"/>
    <col min="8439" max="8439" width="16.28515625" style="3" hidden="1"/>
    <col min="8440" max="8440" width="17.5703125" style="3" hidden="1"/>
    <col min="8441" max="8441" width="16" style="3" hidden="1"/>
    <col min="8442" max="8442" width="18.140625" style="3" hidden="1"/>
    <col min="8443" max="8635" width="9.140625" style="3" hidden="1"/>
    <col min="8636" max="8636" width="11" style="3" hidden="1"/>
    <col min="8637" max="8637" width="56.140625" style="3" hidden="1"/>
    <col min="8638" max="8694" width="9.140625" style="3" hidden="1"/>
    <col min="8695" max="8695" width="16.28515625" style="3" hidden="1"/>
    <col min="8696" max="8696" width="17.5703125" style="3" hidden="1"/>
    <col min="8697" max="8697" width="16" style="3" hidden="1"/>
    <col min="8698" max="8698" width="18.140625" style="3" hidden="1"/>
    <col min="8699" max="8891" width="9.140625" style="3" hidden="1"/>
    <col min="8892" max="8892" width="11" style="3" hidden="1"/>
    <col min="8893" max="8893" width="56.140625" style="3" hidden="1"/>
    <col min="8894" max="8950" width="9.140625" style="3" hidden="1"/>
    <col min="8951" max="8951" width="16.28515625" style="3" hidden="1"/>
    <col min="8952" max="8952" width="17.5703125" style="3" hidden="1"/>
    <col min="8953" max="8953" width="16" style="3" hidden="1"/>
    <col min="8954" max="8954" width="18.140625" style="3" hidden="1"/>
    <col min="8955" max="9147" width="9.140625" style="3" hidden="1"/>
    <col min="9148" max="9148" width="11" style="3" hidden="1"/>
    <col min="9149" max="9149" width="56.140625" style="3" hidden="1"/>
    <col min="9150" max="9206" width="9.140625" style="3" hidden="1"/>
    <col min="9207" max="9207" width="16.28515625" style="3" hidden="1"/>
    <col min="9208" max="9208" width="17.5703125" style="3" hidden="1"/>
    <col min="9209" max="9209" width="16" style="3" hidden="1"/>
    <col min="9210" max="9210" width="18.140625" style="3" hidden="1"/>
    <col min="9211" max="9403" width="9.140625" style="3" hidden="1"/>
    <col min="9404" max="9404" width="11" style="3" hidden="1"/>
    <col min="9405" max="9405" width="56.140625" style="3" hidden="1"/>
    <col min="9406" max="9462" width="9.140625" style="3" hidden="1"/>
    <col min="9463" max="9463" width="16.28515625" style="3" hidden="1"/>
    <col min="9464" max="9464" width="17.5703125" style="3" hidden="1"/>
    <col min="9465" max="9465" width="16" style="3" hidden="1"/>
    <col min="9466" max="9466" width="18.140625" style="3" hidden="1"/>
    <col min="9467" max="9659" width="9.140625" style="3" hidden="1"/>
    <col min="9660" max="9660" width="11" style="3" hidden="1"/>
    <col min="9661" max="9661" width="56.140625" style="3" hidden="1"/>
    <col min="9662" max="9718" width="9.140625" style="3" hidden="1"/>
    <col min="9719" max="9719" width="16.28515625" style="3" hidden="1"/>
    <col min="9720" max="9720" width="17.5703125" style="3" hidden="1"/>
    <col min="9721" max="9721" width="16" style="3" hidden="1"/>
    <col min="9722" max="9722" width="18.140625" style="3" hidden="1"/>
    <col min="9723" max="9915" width="9.140625" style="3" hidden="1"/>
    <col min="9916" max="9916" width="11" style="3" hidden="1"/>
    <col min="9917" max="9917" width="56.140625" style="3" hidden="1"/>
    <col min="9918" max="9974" width="9.140625" style="3" hidden="1"/>
    <col min="9975" max="9975" width="16.28515625" style="3" hidden="1"/>
    <col min="9976" max="9976" width="17.5703125" style="3" hidden="1"/>
    <col min="9977" max="9977" width="16" style="3" hidden="1"/>
    <col min="9978" max="9978" width="18.140625" style="3" hidden="1"/>
    <col min="9979" max="10171" width="9.140625" style="3" hidden="1"/>
    <col min="10172" max="10172" width="11" style="3" hidden="1"/>
    <col min="10173" max="10173" width="56.140625" style="3" hidden="1"/>
    <col min="10174" max="10230" width="9.140625" style="3" hidden="1"/>
    <col min="10231" max="10231" width="16.28515625" style="3" hidden="1"/>
    <col min="10232" max="10232" width="17.5703125" style="3" hidden="1"/>
    <col min="10233" max="10233" width="16" style="3" hidden="1"/>
    <col min="10234" max="10234" width="18.140625" style="3" hidden="1"/>
    <col min="10235" max="10427" width="9.140625" style="3" hidden="1"/>
    <col min="10428" max="10428" width="11" style="3" hidden="1"/>
    <col min="10429" max="10429" width="56.140625" style="3" hidden="1"/>
    <col min="10430" max="10486" width="9.140625" style="3" hidden="1"/>
    <col min="10487" max="10487" width="16.28515625" style="3" hidden="1"/>
    <col min="10488" max="10488" width="17.5703125" style="3" hidden="1"/>
    <col min="10489" max="10489" width="16" style="3" hidden="1"/>
    <col min="10490" max="10490" width="18.140625" style="3" hidden="1"/>
    <col min="10491" max="10683" width="9.140625" style="3" hidden="1"/>
    <col min="10684" max="10684" width="11" style="3" hidden="1"/>
    <col min="10685" max="10685" width="56.140625" style="3" hidden="1"/>
    <col min="10686" max="10742" width="9.140625" style="3" hidden="1"/>
    <col min="10743" max="10743" width="16.28515625" style="3" hidden="1"/>
    <col min="10744" max="10744" width="17.5703125" style="3" hidden="1"/>
    <col min="10745" max="10745" width="16" style="3" hidden="1"/>
    <col min="10746" max="10746" width="18.140625" style="3" hidden="1"/>
    <col min="10747" max="10939" width="9.140625" style="3" hidden="1"/>
    <col min="10940" max="10940" width="11" style="3" hidden="1"/>
    <col min="10941" max="10941" width="56.140625" style="3" hidden="1"/>
    <col min="10942" max="10998" width="9.140625" style="3" hidden="1"/>
    <col min="10999" max="10999" width="16.28515625" style="3" hidden="1"/>
    <col min="11000" max="11000" width="17.5703125" style="3" hidden="1"/>
    <col min="11001" max="11001" width="16" style="3" hidden="1"/>
    <col min="11002" max="11002" width="18.140625" style="3" hidden="1"/>
    <col min="11003" max="11195" width="9.140625" style="3" hidden="1"/>
    <col min="11196" max="11196" width="11" style="3" hidden="1"/>
    <col min="11197" max="11197" width="56.140625" style="3" hidden="1"/>
    <col min="11198" max="11254" width="9.140625" style="3" hidden="1"/>
    <col min="11255" max="11255" width="16.28515625" style="3" hidden="1"/>
    <col min="11256" max="11256" width="17.5703125" style="3" hidden="1"/>
    <col min="11257" max="11257" width="16" style="3" hidden="1"/>
    <col min="11258" max="11258" width="18.140625" style="3" hidden="1"/>
    <col min="11259" max="11451" width="9.140625" style="3" hidden="1"/>
    <col min="11452" max="11452" width="11" style="3" hidden="1"/>
    <col min="11453" max="11453" width="56.140625" style="3" hidden="1"/>
    <col min="11454" max="11510" width="9.140625" style="3" hidden="1"/>
    <col min="11511" max="11511" width="16.28515625" style="3" hidden="1"/>
    <col min="11512" max="11512" width="17.5703125" style="3" hidden="1"/>
    <col min="11513" max="11513" width="16" style="3" hidden="1"/>
    <col min="11514" max="11514" width="18.140625" style="3" hidden="1"/>
    <col min="11515" max="11707" width="9.140625" style="3" hidden="1"/>
    <col min="11708" max="11708" width="11" style="3" hidden="1"/>
    <col min="11709" max="11709" width="56.140625" style="3" hidden="1"/>
    <col min="11710" max="11766" width="9.140625" style="3" hidden="1"/>
    <col min="11767" max="11767" width="16.28515625" style="3" hidden="1"/>
    <col min="11768" max="11768" width="17.5703125" style="3" hidden="1"/>
    <col min="11769" max="11769" width="16" style="3" hidden="1"/>
    <col min="11770" max="11770" width="18.140625" style="3" hidden="1"/>
    <col min="11771" max="11963" width="9.140625" style="3" hidden="1"/>
    <col min="11964" max="11964" width="11" style="3" hidden="1"/>
    <col min="11965" max="11965" width="56.140625" style="3" hidden="1"/>
    <col min="11966" max="12022" width="9.140625" style="3" hidden="1"/>
    <col min="12023" max="12023" width="16.28515625" style="3" hidden="1"/>
    <col min="12024" max="12024" width="17.5703125" style="3" hidden="1"/>
    <col min="12025" max="12025" width="16" style="3" hidden="1"/>
    <col min="12026" max="12026" width="18.140625" style="3" hidden="1"/>
    <col min="12027" max="12219" width="9.140625" style="3" hidden="1"/>
    <col min="12220" max="12220" width="11" style="3" hidden="1"/>
    <col min="12221" max="12221" width="56.140625" style="3" hidden="1"/>
    <col min="12222" max="12278" width="9.140625" style="3" hidden="1"/>
    <col min="12279" max="12279" width="16.28515625" style="3" hidden="1"/>
    <col min="12280" max="12280" width="17.5703125" style="3" hidden="1"/>
    <col min="12281" max="12281" width="16" style="3" hidden="1"/>
    <col min="12282" max="12282" width="18.140625" style="3" hidden="1"/>
    <col min="12283" max="12475" width="9.140625" style="3" hidden="1"/>
    <col min="12476" max="12476" width="11" style="3" hidden="1"/>
    <col min="12477" max="12477" width="56.140625" style="3" hidden="1"/>
    <col min="12478" max="12534" width="9.140625" style="3" hidden="1"/>
    <col min="12535" max="12535" width="16.28515625" style="3" hidden="1"/>
    <col min="12536" max="12536" width="17.5703125" style="3" hidden="1"/>
    <col min="12537" max="12537" width="16" style="3" hidden="1"/>
    <col min="12538" max="12538" width="18.140625" style="3" hidden="1"/>
    <col min="12539" max="12731" width="9.140625" style="3" hidden="1"/>
    <col min="12732" max="12732" width="11" style="3" hidden="1"/>
    <col min="12733" max="12733" width="56.140625" style="3" hidden="1"/>
    <col min="12734" max="12790" width="9.140625" style="3" hidden="1"/>
    <col min="12791" max="12791" width="16.28515625" style="3" hidden="1"/>
    <col min="12792" max="12792" width="17.5703125" style="3" hidden="1"/>
    <col min="12793" max="12793" width="16" style="3" hidden="1"/>
    <col min="12794" max="12794" width="18.140625" style="3" hidden="1"/>
    <col min="12795" max="12987" width="9.140625" style="3" hidden="1"/>
    <col min="12988" max="12988" width="11" style="3" hidden="1"/>
    <col min="12989" max="12989" width="56.140625" style="3" hidden="1"/>
    <col min="12990" max="13046" width="9.140625" style="3" hidden="1"/>
    <col min="13047" max="13047" width="16.28515625" style="3" hidden="1"/>
    <col min="13048" max="13048" width="17.5703125" style="3" hidden="1"/>
    <col min="13049" max="13049" width="16" style="3" hidden="1"/>
    <col min="13050" max="13050" width="18.140625" style="3" hidden="1"/>
    <col min="13051" max="13243" width="9.140625" style="3" hidden="1"/>
    <col min="13244" max="13244" width="11" style="3" hidden="1"/>
    <col min="13245" max="13245" width="56.140625" style="3" hidden="1"/>
    <col min="13246" max="13302" width="9.140625" style="3" hidden="1"/>
    <col min="13303" max="13303" width="16.28515625" style="3" hidden="1"/>
    <col min="13304" max="13304" width="17.5703125" style="3" hidden="1"/>
    <col min="13305" max="13305" width="16" style="3" hidden="1"/>
    <col min="13306" max="13306" width="18.140625" style="3" hidden="1"/>
    <col min="13307" max="13499" width="9.140625" style="3" hidden="1"/>
    <col min="13500" max="13500" width="11" style="3" hidden="1"/>
    <col min="13501" max="13501" width="56.140625" style="3" hidden="1"/>
    <col min="13502" max="13558" width="9.140625" style="3" hidden="1"/>
    <col min="13559" max="13559" width="16.28515625" style="3" hidden="1"/>
    <col min="13560" max="13560" width="17.5703125" style="3" hidden="1"/>
    <col min="13561" max="13561" width="16" style="3" hidden="1"/>
    <col min="13562" max="13562" width="18.140625" style="3" hidden="1"/>
    <col min="13563" max="13755" width="9.140625" style="3" hidden="1"/>
    <col min="13756" max="13756" width="11" style="3" hidden="1"/>
    <col min="13757" max="13757" width="56.140625" style="3" hidden="1"/>
    <col min="13758" max="13814" width="9.140625" style="3" hidden="1"/>
    <col min="13815" max="13815" width="16.28515625" style="3" hidden="1"/>
    <col min="13816" max="13816" width="17.5703125" style="3" hidden="1"/>
    <col min="13817" max="13817" width="16" style="3" hidden="1"/>
    <col min="13818" max="13818" width="18.140625" style="3" hidden="1"/>
    <col min="13819" max="14011" width="9.140625" style="3" hidden="1"/>
    <col min="14012" max="14012" width="11" style="3" hidden="1"/>
    <col min="14013" max="14013" width="56.140625" style="3" hidden="1"/>
    <col min="14014" max="14070" width="9.140625" style="3" hidden="1"/>
    <col min="14071" max="14071" width="16.28515625" style="3" hidden="1"/>
    <col min="14072" max="14072" width="17.5703125" style="3" hidden="1"/>
    <col min="14073" max="14073" width="16" style="3" hidden="1"/>
    <col min="14074" max="14074" width="18.140625" style="3" hidden="1"/>
    <col min="14075" max="14267" width="9.140625" style="3" hidden="1"/>
    <col min="14268" max="14268" width="11" style="3" hidden="1"/>
    <col min="14269" max="14269" width="56.140625" style="3" hidden="1"/>
    <col min="14270" max="14326" width="9.140625" style="3" hidden="1"/>
    <col min="14327" max="14327" width="16.28515625" style="3" hidden="1"/>
    <col min="14328" max="14328" width="17.5703125" style="3" hidden="1"/>
    <col min="14329" max="14329" width="16" style="3" hidden="1"/>
    <col min="14330" max="14330" width="18.140625" style="3" hidden="1"/>
    <col min="14331" max="14523" width="9.140625" style="3" hidden="1"/>
    <col min="14524" max="14524" width="11" style="3" hidden="1"/>
    <col min="14525" max="14525" width="56.140625" style="3" hidden="1"/>
    <col min="14526" max="14582" width="9.140625" style="3" hidden="1"/>
    <col min="14583" max="14583" width="16.28515625" style="3" hidden="1"/>
    <col min="14584" max="14584" width="17.5703125" style="3" hidden="1"/>
    <col min="14585" max="14585" width="16" style="3" hidden="1"/>
    <col min="14586" max="14586" width="18.140625" style="3" hidden="1"/>
    <col min="14587" max="14779" width="9.140625" style="3" hidden="1"/>
    <col min="14780" max="14780" width="11" style="3" hidden="1"/>
    <col min="14781" max="14781" width="56.140625" style="3" hidden="1"/>
    <col min="14782" max="14838" width="9.140625" style="3" hidden="1"/>
    <col min="14839" max="14839" width="16.28515625" style="3" hidden="1"/>
    <col min="14840" max="14840" width="17.5703125" style="3" hidden="1"/>
    <col min="14841" max="14841" width="16" style="3" hidden="1"/>
    <col min="14842" max="14842" width="18.140625" style="3" hidden="1"/>
    <col min="14843" max="15035" width="9.140625" style="3" hidden="1"/>
    <col min="15036" max="15036" width="11" style="3" hidden="1"/>
    <col min="15037" max="15037" width="56.140625" style="3" hidden="1"/>
    <col min="15038" max="15094" width="9.140625" style="3" hidden="1"/>
    <col min="15095" max="15095" width="16.28515625" style="3" hidden="1"/>
    <col min="15096" max="15096" width="17.5703125" style="3" hidden="1"/>
    <col min="15097" max="15097" width="16" style="3" hidden="1"/>
    <col min="15098" max="15098" width="18.140625" style="3" hidden="1"/>
    <col min="15099" max="15291" width="9.140625" style="3" hidden="1"/>
    <col min="15292" max="15292" width="11" style="3" hidden="1"/>
    <col min="15293" max="15293" width="56.140625" style="3" hidden="1"/>
    <col min="15294" max="15350" width="9.140625" style="3" hidden="1"/>
    <col min="15351" max="15351" width="16.28515625" style="3" hidden="1"/>
    <col min="15352" max="15352" width="17.5703125" style="3" hidden="1"/>
    <col min="15353" max="15353" width="16" style="3" hidden="1"/>
    <col min="15354" max="15354" width="18.140625" style="3" hidden="1"/>
    <col min="15355" max="15547" width="9.140625" style="3" hidden="1"/>
    <col min="15548" max="15548" width="11" style="3" hidden="1"/>
    <col min="15549" max="15549" width="56.140625" style="3" hidden="1"/>
    <col min="15550" max="15606" width="9.140625" style="3" hidden="1"/>
    <col min="15607" max="15607" width="16.28515625" style="3" hidden="1"/>
    <col min="15608" max="15608" width="17.5703125" style="3" hidden="1"/>
    <col min="15609" max="15609" width="16" style="3" hidden="1"/>
    <col min="15610" max="15610" width="18.140625" style="3" hidden="1"/>
    <col min="15611" max="15803" width="9.140625" style="3" hidden="1"/>
    <col min="15804" max="15804" width="11" style="3" hidden="1"/>
    <col min="15805" max="15805" width="56.140625" style="3" hidden="1"/>
    <col min="15806" max="15862" width="9.140625" style="3" hidden="1"/>
    <col min="15863" max="15863" width="16.28515625" style="3" hidden="1"/>
    <col min="15864" max="15864" width="17.5703125" style="3" hidden="1"/>
    <col min="15865" max="15865" width="16" style="3" hidden="1"/>
    <col min="15866" max="15866" width="18.140625" style="3" hidden="1"/>
    <col min="15867" max="16059" width="9.140625" style="3" hidden="1"/>
    <col min="16060" max="16060" width="11" style="3" hidden="1"/>
    <col min="16061" max="16061" width="56.140625" style="3" hidden="1"/>
    <col min="16062" max="16118" width="9.140625" style="3" hidden="1"/>
    <col min="16119" max="16119" width="16.28515625" style="3" hidden="1"/>
    <col min="16120" max="16120" width="17.5703125" style="3" hidden="1"/>
    <col min="16121" max="16121" width="16" style="3" hidden="1"/>
    <col min="16122" max="16122" width="18.140625" style="3" hidden="1"/>
    <col min="16123" max="16384" width="9.140625" style="3" hidden="1"/>
  </cols>
  <sheetData>
    <row r="1" spans="1:6">
      <c r="B1" s="2" t="s">
        <v>789</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Worksheet'!$D$38</f>
        <v>399214</v>
      </c>
      <c r="E3" s="11"/>
      <c r="F3" s="11"/>
    </row>
    <row r="4" spans="1:6">
      <c r="A4" s="8">
        <v>0</v>
      </c>
      <c r="B4" s="11" t="s">
        <v>4</v>
      </c>
      <c r="C4" s="10">
        <v>1.157E-3</v>
      </c>
      <c r="D4" s="12">
        <f>ROUND(D$3*C4,0)</f>
        <v>462</v>
      </c>
      <c r="E4" s="13">
        <f>ROUND(D4/2,0)</f>
        <v>231</v>
      </c>
      <c r="F4" s="12">
        <f>D4-E4</f>
        <v>231</v>
      </c>
    </row>
    <row r="5" spans="1:6">
      <c r="A5" s="8">
        <v>1</v>
      </c>
      <c r="B5" s="11" t="s">
        <v>790</v>
      </c>
      <c r="C5" s="10">
        <v>0.19927800000000001</v>
      </c>
      <c r="D5" s="9">
        <f>ROUND(D$3*C5,0)</f>
        <v>79555</v>
      </c>
      <c r="E5" s="11">
        <f>ROUND(D5/2,0)</f>
        <v>39778</v>
      </c>
      <c r="F5" s="9">
        <f>D5-E5</f>
        <v>39777</v>
      </c>
    </row>
    <row r="6" spans="1:6">
      <c r="A6" s="8"/>
      <c r="B6" s="11" t="s">
        <v>6</v>
      </c>
      <c r="C6" s="11"/>
      <c r="D6" s="14">
        <v>0.17790800000000001</v>
      </c>
      <c r="E6" s="11"/>
      <c r="F6" s="11"/>
    </row>
    <row r="7" spans="1:6">
      <c r="A7" s="8"/>
      <c r="B7" s="11" t="s">
        <v>7</v>
      </c>
      <c r="C7" s="11"/>
      <c r="D7" s="225">
        <f>ROUND(D5*D6,0)</f>
        <v>14153</v>
      </c>
      <c r="E7" s="226">
        <f>ROUND(D7/2,0)</f>
        <v>7077</v>
      </c>
      <c r="F7" s="225">
        <f>D7-E7</f>
        <v>7076</v>
      </c>
    </row>
    <row r="8" spans="1:6">
      <c r="A8" s="8"/>
      <c r="B8" s="11" t="s">
        <v>8</v>
      </c>
      <c r="C8" s="11"/>
      <c r="D8" s="12">
        <f>+D5-D7</f>
        <v>65402</v>
      </c>
      <c r="E8" s="13">
        <f>ROUND(D8/2,0)</f>
        <v>32701</v>
      </c>
      <c r="F8" s="12">
        <f>D8-E8</f>
        <v>32701</v>
      </c>
    </row>
    <row r="9" spans="1:6">
      <c r="A9" s="8">
        <v>2</v>
      </c>
      <c r="B9" s="11" t="s">
        <v>791</v>
      </c>
      <c r="C9" s="11"/>
      <c r="D9" s="9"/>
      <c r="E9" s="11"/>
      <c r="F9" s="11"/>
    </row>
    <row r="10" spans="1:6">
      <c r="A10" s="8"/>
      <c r="B10" s="11" t="s">
        <v>10</v>
      </c>
      <c r="C10" s="10">
        <v>1E-3</v>
      </c>
      <c r="D10" s="12">
        <f>ROUND(D$3*C10,0)</f>
        <v>399</v>
      </c>
      <c r="E10" s="13">
        <f>ROUND(D10/2,0)</f>
        <v>200</v>
      </c>
      <c r="F10" s="12">
        <f>D10-E10</f>
        <v>199</v>
      </c>
    </row>
    <row r="11" spans="1:6">
      <c r="A11" s="8"/>
      <c r="B11" s="11" t="s">
        <v>11</v>
      </c>
      <c r="C11" s="10">
        <v>6.87E-4</v>
      </c>
      <c r="D11" s="12">
        <f>ROUND(D$3*C11,0)</f>
        <v>274</v>
      </c>
      <c r="E11" s="13">
        <f>ROUND(D11/2,0)</f>
        <v>137</v>
      </c>
      <c r="F11" s="12">
        <f>D11-E11</f>
        <v>137</v>
      </c>
    </row>
    <row r="12" spans="1:6">
      <c r="A12" s="8">
        <v>2</v>
      </c>
      <c r="B12" s="11" t="s">
        <v>792</v>
      </c>
      <c r="C12" s="11"/>
      <c r="D12" s="9"/>
      <c r="E12" s="11"/>
      <c r="F12" s="11"/>
    </row>
    <row r="13" spans="1:6">
      <c r="A13" s="8"/>
      <c r="B13" s="11" t="s">
        <v>10</v>
      </c>
      <c r="C13" s="10">
        <v>6.3900000000000003E-4</v>
      </c>
      <c r="D13" s="12">
        <f>ROUND(D$3*C13,0)</f>
        <v>255</v>
      </c>
      <c r="E13" s="13">
        <f>ROUND(D13/2,0)</f>
        <v>128</v>
      </c>
      <c r="F13" s="12">
        <f>D13-E13</f>
        <v>127</v>
      </c>
    </row>
    <row r="14" spans="1:6">
      <c r="A14" s="8"/>
      <c r="B14" s="11" t="s">
        <v>11</v>
      </c>
      <c r="C14" s="10">
        <v>5.1599999999999997E-4</v>
      </c>
      <c r="D14" s="12">
        <f>ROUND(D$3*C14,0)</f>
        <v>206</v>
      </c>
      <c r="E14" s="13">
        <f>ROUND(D14/2,0)</f>
        <v>103</v>
      </c>
      <c r="F14" s="12">
        <f>D14-E14</f>
        <v>103</v>
      </c>
    </row>
    <row r="15" spans="1:6">
      <c r="A15" s="8">
        <v>2</v>
      </c>
      <c r="B15" s="11" t="s">
        <v>793</v>
      </c>
      <c r="C15" s="11"/>
      <c r="D15" s="9"/>
      <c r="E15" s="11"/>
      <c r="F15" s="11"/>
    </row>
    <row r="16" spans="1:6">
      <c r="A16" s="8"/>
      <c r="B16" s="11" t="s">
        <v>10</v>
      </c>
      <c r="C16" s="10">
        <v>4.2459999999999998E-3</v>
      </c>
      <c r="D16" s="12">
        <f>ROUND(D$3*C16,0)</f>
        <v>1695</v>
      </c>
      <c r="E16" s="13">
        <f>ROUND(D16/2,0)</f>
        <v>848</v>
      </c>
      <c r="F16" s="12">
        <f>D16-E16</f>
        <v>847</v>
      </c>
    </row>
    <row r="17" spans="1:6">
      <c r="A17" s="8"/>
      <c r="B17" s="11" t="s">
        <v>11</v>
      </c>
      <c r="C17" s="10">
        <v>5.7300000000000005E-4</v>
      </c>
      <c r="D17" s="12">
        <f>ROUND(D$3*C17,0)</f>
        <v>229</v>
      </c>
      <c r="E17" s="13">
        <f>ROUND(D17/2,0)</f>
        <v>115</v>
      </c>
      <c r="F17" s="12">
        <f>D17-E17</f>
        <v>114</v>
      </c>
    </row>
    <row r="18" spans="1:6">
      <c r="A18" s="8">
        <v>2</v>
      </c>
      <c r="B18" s="11" t="s">
        <v>49</v>
      </c>
      <c r="C18" s="11"/>
      <c r="D18" s="9"/>
      <c r="E18" s="11"/>
      <c r="F18" s="11"/>
    </row>
    <row r="19" spans="1:6">
      <c r="A19" s="8"/>
      <c r="B19" s="11" t="s">
        <v>10</v>
      </c>
      <c r="C19" s="10">
        <v>1.9469999999999999E-3</v>
      </c>
      <c r="D19" s="12">
        <f>ROUND(D$3*C19,0)</f>
        <v>777</v>
      </c>
      <c r="E19" s="13">
        <f>ROUND(D19/2,0)</f>
        <v>389</v>
      </c>
      <c r="F19" s="12">
        <f>D19-E19</f>
        <v>388</v>
      </c>
    </row>
    <row r="20" spans="1:6">
      <c r="A20" s="8"/>
      <c r="B20" s="11" t="s">
        <v>11</v>
      </c>
      <c r="C20" s="10">
        <v>1.361E-3</v>
      </c>
      <c r="D20" s="12">
        <f>ROUND(D$3*C20,0)</f>
        <v>543</v>
      </c>
      <c r="E20" s="13">
        <f>ROUND(D20/2,0)</f>
        <v>272</v>
      </c>
      <c r="F20" s="12">
        <f>D20-E20</f>
        <v>271</v>
      </c>
    </row>
    <row r="21" spans="1:6">
      <c r="A21" s="8">
        <v>2</v>
      </c>
      <c r="B21" s="11" t="s">
        <v>14</v>
      </c>
      <c r="C21" s="11"/>
      <c r="D21" s="9"/>
      <c r="E21" s="11"/>
      <c r="F21" s="11"/>
    </row>
    <row r="22" spans="1:6">
      <c r="A22" s="8"/>
      <c r="B22" s="11" t="s">
        <v>10</v>
      </c>
      <c r="C22" s="10">
        <v>2.4000000000000001E-4</v>
      </c>
      <c r="D22" s="12">
        <f>ROUND(D$3*C22,0)</f>
        <v>96</v>
      </c>
      <c r="E22" s="13">
        <f>ROUND(D22/2,0)</f>
        <v>48</v>
      </c>
      <c r="F22" s="12">
        <f>D22-E22</f>
        <v>48</v>
      </c>
    </row>
    <row r="23" spans="1:6">
      <c r="A23" s="8"/>
      <c r="B23" s="11" t="s">
        <v>11</v>
      </c>
      <c r="C23" s="10">
        <v>3.4699999999999998E-4</v>
      </c>
      <c r="D23" s="12">
        <f>ROUND(D$3*C23,0)</f>
        <v>139</v>
      </c>
      <c r="E23" s="13">
        <f>ROUND(D23/2,0)</f>
        <v>70</v>
      </c>
      <c r="F23" s="12">
        <f>D23-E23</f>
        <v>69</v>
      </c>
    </row>
    <row r="24" spans="1:6">
      <c r="A24" s="8">
        <v>2</v>
      </c>
      <c r="B24" s="11" t="s">
        <v>794</v>
      </c>
      <c r="C24" s="11"/>
      <c r="D24" s="9"/>
      <c r="E24" s="11"/>
      <c r="F24" s="11"/>
    </row>
    <row r="25" spans="1:6">
      <c r="A25" s="8"/>
      <c r="B25" s="11" t="s">
        <v>10</v>
      </c>
      <c r="C25" s="10">
        <v>8.6300000000000005E-4</v>
      </c>
      <c r="D25" s="12">
        <f>ROUND(D$3*C25,0)</f>
        <v>345</v>
      </c>
      <c r="E25" s="13">
        <f>ROUND(D25/2,0)</f>
        <v>173</v>
      </c>
      <c r="F25" s="12">
        <f>D25-E25</f>
        <v>172</v>
      </c>
    </row>
    <row r="26" spans="1:6">
      <c r="A26" s="8"/>
      <c r="B26" s="11" t="s">
        <v>11</v>
      </c>
      <c r="C26" s="10">
        <v>1.609E-3</v>
      </c>
      <c r="D26" s="12">
        <f>ROUND(D$3*C26,0)</f>
        <v>642</v>
      </c>
      <c r="E26" s="13">
        <f>ROUND(D26/2,0)</f>
        <v>321</v>
      </c>
      <c r="F26" s="12">
        <f>D26-E26</f>
        <v>321</v>
      </c>
    </row>
    <row r="27" spans="1:6" ht="15.75" customHeight="1">
      <c r="A27" s="8">
        <v>2</v>
      </c>
      <c r="B27" s="11" t="s">
        <v>795</v>
      </c>
      <c r="C27" s="11"/>
      <c r="D27" s="9"/>
      <c r="E27" s="11"/>
      <c r="F27" s="11"/>
    </row>
    <row r="28" spans="1:6" ht="15.75" customHeight="1">
      <c r="A28" s="8"/>
      <c r="B28" s="11" t="s">
        <v>10</v>
      </c>
      <c r="C28" s="10">
        <v>2.9399999999999999E-4</v>
      </c>
      <c r="D28" s="12">
        <f>ROUND(D$3*C28,0)</f>
        <v>117</v>
      </c>
      <c r="E28" s="13">
        <f>ROUND(D28/2,0)</f>
        <v>59</v>
      </c>
      <c r="F28" s="12">
        <f>D28-E28</f>
        <v>58</v>
      </c>
    </row>
    <row r="29" spans="1:6" ht="15.75" customHeight="1">
      <c r="A29" s="8"/>
      <c r="B29" s="11" t="s">
        <v>11</v>
      </c>
      <c r="C29" s="10">
        <v>1.6200000000000001E-4</v>
      </c>
      <c r="D29" s="12">
        <f>ROUND(D$3*C29,0)</f>
        <v>65</v>
      </c>
      <c r="E29" s="13">
        <f>ROUND(D29/2,0)</f>
        <v>33</v>
      </c>
      <c r="F29" s="12">
        <f>D29-E29</f>
        <v>32</v>
      </c>
    </row>
    <row r="30" spans="1:6">
      <c r="A30" s="8">
        <v>2</v>
      </c>
      <c r="B30" s="11" t="s">
        <v>182</v>
      </c>
      <c r="C30" s="11"/>
      <c r="D30" s="9"/>
      <c r="E30" s="11"/>
      <c r="F30" s="11"/>
    </row>
    <row r="31" spans="1:6">
      <c r="A31" s="8"/>
      <c r="B31" s="11" t="s">
        <v>10</v>
      </c>
      <c r="C31" s="10">
        <v>2.6899999999999998E-4</v>
      </c>
      <c r="D31" s="12">
        <f>ROUND(D$3*C31,0)</f>
        <v>107</v>
      </c>
      <c r="E31" s="13">
        <f>ROUND(D31/2,0)</f>
        <v>54</v>
      </c>
      <c r="F31" s="12">
        <f>D31-E31</f>
        <v>53</v>
      </c>
    </row>
    <row r="32" spans="1:6">
      <c r="A32" s="8"/>
      <c r="B32" s="11" t="s">
        <v>11</v>
      </c>
      <c r="C32" s="10">
        <v>1.1400000000000001E-4</v>
      </c>
      <c r="D32" s="12">
        <f>ROUND(D$3*C32,0)</f>
        <v>46</v>
      </c>
      <c r="E32" s="13">
        <f>ROUND(D32/2,0)</f>
        <v>23</v>
      </c>
      <c r="F32" s="12">
        <f>D32-E32</f>
        <v>23</v>
      </c>
    </row>
    <row r="33" spans="1:6">
      <c r="A33" s="8">
        <v>2</v>
      </c>
      <c r="B33" s="11" t="s">
        <v>796</v>
      </c>
      <c r="C33" s="11"/>
      <c r="D33" s="9"/>
      <c r="E33" s="11"/>
      <c r="F33" s="11"/>
    </row>
    <row r="34" spans="1:6">
      <c r="A34" s="8"/>
      <c r="B34" s="11" t="s">
        <v>10</v>
      </c>
      <c r="C34" s="10">
        <v>1.036E-3</v>
      </c>
      <c r="D34" s="12">
        <f>ROUND(D$3*C34,0)</f>
        <v>414</v>
      </c>
      <c r="E34" s="13">
        <f>ROUND(D34/2,0)</f>
        <v>207</v>
      </c>
      <c r="F34" s="12">
        <f>D34-E34</f>
        <v>207</v>
      </c>
    </row>
    <row r="35" spans="1:6">
      <c r="A35" s="8"/>
      <c r="B35" s="11" t="s">
        <v>11</v>
      </c>
      <c r="C35" s="10">
        <v>5.3200000000000003E-4</v>
      </c>
      <c r="D35" s="12">
        <f>ROUND(D$3*C35,0)</f>
        <v>212</v>
      </c>
      <c r="E35" s="13">
        <f>ROUND(D35/2,0)</f>
        <v>106</v>
      </c>
      <c r="F35" s="12">
        <f>D35-E35</f>
        <v>106</v>
      </c>
    </row>
    <row r="36" spans="1:6">
      <c r="A36" s="8">
        <v>2</v>
      </c>
      <c r="B36" s="11" t="s">
        <v>20</v>
      </c>
      <c r="C36" s="11"/>
      <c r="D36" s="9"/>
      <c r="E36" s="11"/>
      <c r="F36" s="11"/>
    </row>
    <row r="37" spans="1:6">
      <c r="A37" s="8"/>
      <c r="B37" s="11" t="s">
        <v>10</v>
      </c>
      <c r="C37" s="10">
        <v>9.9799999999999997E-4</v>
      </c>
      <c r="D37" s="12">
        <f>ROUND(D$3*C37,0)</f>
        <v>398</v>
      </c>
      <c r="E37" s="13">
        <f>ROUND(D37/2,0)</f>
        <v>199</v>
      </c>
      <c r="F37" s="12">
        <f>D37-E37</f>
        <v>199</v>
      </c>
    </row>
    <row r="38" spans="1:6">
      <c r="A38" s="8"/>
      <c r="B38" s="11" t="s">
        <v>11</v>
      </c>
      <c r="C38" s="10">
        <v>6.8300000000000001E-4</v>
      </c>
      <c r="D38" s="12">
        <f>ROUND(D$3*C38,0)</f>
        <v>273</v>
      </c>
      <c r="E38" s="13">
        <f>ROUND(D38/2,0)</f>
        <v>137</v>
      </c>
      <c r="F38" s="12">
        <f>D38-E38</f>
        <v>136</v>
      </c>
    </row>
    <row r="39" spans="1:6">
      <c r="A39" s="8">
        <v>2</v>
      </c>
      <c r="B39" s="11" t="s">
        <v>272</v>
      </c>
      <c r="C39" s="11"/>
      <c r="D39" s="9"/>
      <c r="E39" s="11"/>
      <c r="F39" s="11"/>
    </row>
    <row r="40" spans="1:6">
      <c r="A40" s="8"/>
      <c r="B40" s="11" t="s">
        <v>10</v>
      </c>
      <c r="C40" s="10">
        <v>1.934E-3</v>
      </c>
      <c r="D40" s="12">
        <f>ROUND(D$3*C40,0)</f>
        <v>772</v>
      </c>
      <c r="E40" s="13">
        <f>ROUND(D40/2,0)</f>
        <v>386</v>
      </c>
      <c r="F40" s="12">
        <f>D40-E40</f>
        <v>386</v>
      </c>
    </row>
    <row r="41" spans="1:6">
      <c r="A41" s="8"/>
      <c r="B41" s="11" t="s">
        <v>11</v>
      </c>
      <c r="C41" s="10">
        <v>1.2880000000000001E-3</v>
      </c>
      <c r="D41" s="12">
        <f>ROUND(D$3*C41,0)</f>
        <v>514</v>
      </c>
      <c r="E41" s="13">
        <f>ROUND(D41/2,0)</f>
        <v>257</v>
      </c>
      <c r="F41" s="12">
        <f>D41-E41</f>
        <v>257</v>
      </c>
    </row>
    <row r="42" spans="1:6">
      <c r="A42" s="8">
        <v>2</v>
      </c>
      <c r="B42" s="11" t="s">
        <v>61</v>
      </c>
      <c r="C42" s="11"/>
      <c r="D42" s="9"/>
      <c r="E42" s="11"/>
      <c r="F42" s="11"/>
    </row>
    <row r="43" spans="1:6">
      <c r="A43" s="8"/>
      <c r="B43" s="11" t="s">
        <v>10</v>
      </c>
      <c r="C43" s="10">
        <v>2.8499999999999999E-4</v>
      </c>
      <c r="D43" s="12">
        <f t="shared" ref="D43:D51" si="0">ROUND(D$3*C43,0)</f>
        <v>114</v>
      </c>
      <c r="E43" s="13">
        <f t="shared" ref="E43:E51" si="1">ROUND(D43/2,0)</f>
        <v>57</v>
      </c>
      <c r="F43" s="12">
        <f t="shared" ref="F43:F51" si="2">D43-E43</f>
        <v>57</v>
      </c>
    </row>
    <row r="44" spans="1:6">
      <c r="A44" s="8"/>
      <c r="B44" s="11" t="s">
        <v>11</v>
      </c>
      <c r="C44" s="10">
        <v>7.3099999999999999E-4</v>
      </c>
      <c r="D44" s="12">
        <f t="shared" si="0"/>
        <v>292</v>
      </c>
      <c r="E44" s="13">
        <f t="shared" si="1"/>
        <v>146</v>
      </c>
      <c r="F44" s="12">
        <f t="shared" si="2"/>
        <v>146</v>
      </c>
    </row>
    <row r="45" spans="1:6">
      <c r="A45" s="8">
        <v>3</v>
      </c>
      <c r="B45" s="11" t="s">
        <v>797</v>
      </c>
      <c r="C45" s="10">
        <v>5.0900000000000001E-4</v>
      </c>
      <c r="D45" s="12">
        <f t="shared" si="0"/>
        <v>203</v>
      </c>
      <c r="E45" s="13">
        <f t="shared" si="1"/>
        <v>102</v>
      </c>
      <c r="F45" s="12">
        <f t="shared" si="2"/>
        <v>101</v>
      </c>
    </row>
    <row r="46" spans="1:6">
      <c r="A46" s="8">
        <v>3</v>
      </c>
      <c r="B46" s="11" t="s">
        <v>798</v>
      </c>
      <c r="C46" s="10">
        <v>0.150117</v>
      </c>
      <c r="D46" s="12">
        <f t="shared" si="0"/>
        <v>59929</v>
      </c>
      <c r="E46" s="13">
        <f t="shared" si="1"/>
        <v>29965</v>
      </c>
      <c r="F46" s="12">
        <f t="shared" si="2"/>
        <v>29964</v>
      </c>
    </row>
    <row r="47" spans="1:6">
      <c r="A47" s="8">
        <v>3</v>
      </c>
      <c r="B47" s="11" t="s">
        <v>799</v>
      </c>
      <c r="C47" s="10">
        <v>1.0430000000000001E-3</v>
      </c>
      <c r="D47" s="12">
        <f t="shared" si="0"/>
        <v>416</v>
      </c>
      <c r="E47" s="13">
        <f t="shared" si="1"/>
        <v>208</v>
      </c>
      <c r="F47" s="12">
        <f t="shared" si="2"/>
        <v>208</v>
      </c>
    </row>
    <row r="48" spans="1:6">
      <c r="A48" s="8">
        <v>3</v>
      </c>
      <c r="B48" s="11" t="s">
        <v>800</v>
      </c>
      <c r="C48" s="10">
        <v>3.8999999999999999E-5</v>
      </c>
      <c r="D48" s="12">
        <f t="shared" si="0"/>
        <v>16</v>
      </c>
      <c r="E48" s="13">
        <f t="shared" si="1"/>
        <v>8</v>
      </c>
      <c r="F48" s="12">
        <f t="shared" si="2"/>
        <v>8</v>
      </c>
    </row>
    <row r="49" spans="1:8">
      <c r="A49" s="8">
        <v>3</v>
      </c>
      <c r="B49" s="11" t="s">
        <v>801</v>
      </c>
      <c r="C49" s="10">
        <v>1.0870000000000001E-3</v>
      </c>
      <c r="D49" s="12">
        <f t="shared" si="0"/>
        <v>434</v>
      </c>
      <c r="E49" s="13">
        <f t="shared" si="1"/>
        <v>217</v>
      </c>
      <c r="F49" s="12">
        <f t="shared" si="2"/>
        <v>217</v>
      </c>
    </row>
    <row r="50" spans="1:8">
      <c r="A50" s="8">
        <v>3</v>
      </c>
      <c r="B50" s="11" t="s">
        <v>802</v>
      </c>
      <c r="C50" s="10">
        <v>1.0362E-2</v>
      </c>
      <c r="D50" s="12">
        <f t="shared" si="0"/>
        <v>4137</v>
      </c>
      <c r="E50" s="13">
        <f t="shared" si="1"/>
        <v>2069</v>
      </c>
      <c r="F50" s="12">
        <f t="shared" si="2"/>
        <v>2068</v>
      </c>
    </row>
    <row r="51" spans="1:8">
      <c r="A51" s="8">
        <v>4</v>
      </c>
      <c r="B51" s="11" t="s">
        <v>803</v>
      </c>
      <c r="C51" s="10">
        <v>0.58491000000000004</v>
      </c>
      <c r="D51" s="9">
        <f t="shared" si="0"/>
        <v>233504</v>
      </c>
      <c r="E51" s="11">
        <f t="shared" si="1"/>
        <v>116752</v>
      </c>
      <c r="F51" s="9">
        <f t="shared" si="2"/>
        <v>116752</v>
      </c>
    </row>
    <row r="52" spans="1:8">
      <c r="A52" s="8"/>
      <c r="B52" s="11" t="s">
        <v>28</v>
      </c>
      <c r="C52" s="11"/>
      <c r="D52" s="14">
        <v>0.44848500000000002</v>
      </c>
      <c r="E52" s="11"/>
      <c r="F52" s="11"/>
    </row>
    <row r="53" spans="1:8">
      <c r="A53" s="8"/>
      <c r="B53" s="11" t="s">
        <v>29</v>
      </c>
      <c r="C53" s="11"/>
      <c r="D53" s="225">
        <f>ROUND(D51*D52,0)</f>
        <v>104723</v>
      </c>
      <c r="E53" s="226">
        <f t="shared" ref="E53:E60" si="3">ROUND(D53/2,0)</f>
        <v>52362</v>
      </c>
      <c r="F53" s="225">
        <f t="shared" ref="F53:F60" si="4">D53-E53</f>
        <v>52361</v>
      </c>
    </row>
    <row r="54" spans="1:8">
      <c r="A54" s="8"/>
      <c r="B54" s="11" t="s">
        <v>30</v>
      </c>
      <c r="C54" s="11"/>
      <c r="D54" s="12">
        <f>+D51-D53</f>
        <v>128781</v>
      </c>
      <c r="E54" s="13">
        <f t="shared" si="3"/>
        <v>64391</v>
      </c>
      <c r="F54" s="12">
        <f t="shared" si="4"/>
        <v>64390</v>
      </c>
    </row>
    <row r="55" spans="1:8">
      <c r="A55" s="8">
        <v>5</v>
      </c>
      <c r="B55" s="11" t="s">
        <v>804</v>
      </c>
      <c r="C55" s="10">
        <v>6.1600000000000001E-4</v>
      </c>
      <c r="D55" s="12">
        <f>ROUND(D$3*C55,0)</f>
        <v>246</v>
      </c>
      <c r="E55" s="13">
        <f t="shared" si="3"/>
        <v>123</v>
      </c>
      <c r="F55" s="12">
        <f t="shared" si="4"/>
        <v>123</v>
      </c>
    </row>
    <row r="56" spans="1:8">
      <c r="A56" s="8">
        <v>5</v>
      </c>
      <c r="B56" s="11" t="s">
        <v>805</v>
      </c>
      <c r="C56" s="10">
        <v>2.0475E-2</v>
      </c>
      <c r="D56" s="12">
        <f>ROUND(D$3*C56,0)</f>
        <v>8174</v>
      </c>
      <c r="E56" s="13">
        <f t="shared" si="3"/>
        <v>4087</v>
      </c>
      <c r="F56" s="12">
        <f t="shared" si="4"/>
        <v>4087</v>
      </c>
    </row>
    <row r="57" spans="1:8">
      <c r="A57" s="8">
        <v>5</v>
      </c>
      <c r="B57" s="11" t="s">
        <v>806</v>
      </c>
      <c r="C57" s="10">
        <v>1.1E-4</v>
      </c>
      <c r="D57" s="12">
        <f>ROUND(D$3*C57,0)</f>
        <v>44</v>
      </c>
      <c r="E57" s="13">
        <f t="shared" si="3"/>
        <v>22</v>
      </c>
      <c r="F57" s="12">
        <f t="shared" si="4"/>
        <v>22</v>
      </c>
    </row>
    <row r="58" spans="1:8">
      <c r="A58" s="8">
        <v>5</v>
      </c>
      <c r="B58" s="11" t="s">
        <v>807</v>
      </c>
      <c r="C58" s="10">
        <v>1.1E-4</v>
      </c>
      <c r="D58" s="12">
        <f>ROUND(D$3*C58,0)</f>
        <v>44</v>
      </c>
      <c r="E58" s="13">
        <f t="shared" si="3"/>
        <v>22</v>
      </c>
      <c r="F58" s="12">
        <f t="shared" si="4"/>
        <v>22</v>
      </c>
    </row>
    <row r="59" spans="1:8">
      <c r="A59" s="8">
        <v>5</v>
      </c>
      <c r="B59" s="11" t="s">
        <v>808</v>
      </c>
      <c r="C59" s="10">
        <v>3.901E-3</v>
      </c>
      <c r="D59" s="12">
        <f>ROUND(D$3*C59,0)</f>
        <v>1557</v>
      </c>
      <c r="E59" s="13">
        <f t="shared" si="3"/>
        <v>779</v>
      </c>
      <c r="F59" s="12">
        <f t="shared" si="4"/>
        <v>778</v>
      </c>
    </row>
    <row r="60" spans="1:8">
      <c r="A60" s="8">
        <v>6</v>
      </c>
      <c r="B60" s="11" t="s">
        <v>809</v>
      </c>
      <c r="C60" s="10">
        <v>3.9319999999999355E-3</v>
      </c>
      <c r="D60" s="12">
        <f>+D3-SUM(D4:D5)-SUM(D10:D51)-SUM(D55:D59)</f>
        <v>1569</v>
      </c>
      <c r="E60" s="13">
        <f t="shared" si="3"/>
        <v>785</v>
      </c>
      <c r="F60" s="12">
        <f t="shared" si="4"/>
        <v>784</v>
      </c>
    </row>
    <row r="61" spans="1:8">
      <c r="A61" s="8"/>
      <c r="B61" s="28" t="s">
        <v>288</v>
      </c>
      <c r="C61" s="10">
        <v>1</v>
      </c>
      <c r="D61" s="12">
        <f>+D4+SUM(D7:D50)+SUM(D53:D60)</f>
        <v>399214</v>
      </c>
      <c r="E61" s="12">
        <f>+E4+SUM(E7:E50)+SUM(E53:E60)</f>
        <v>199617</v>
      </c>
      <c r="F61" s="12">
        <f>+F4+SUM(F7:F50)+SUM(F53:F60)</f>
        <v>199597</v>
      </c>
    </row>
    <row r="62" spans="1:8">
      <c r="A62" s="3"/>
      <c r="B62" s="18" t="s">
        <v>38</v>
      </c>
      <c r="D62" s="19">
        <f>+D4</f>
        <v>462</v>
      </c>
      <c r="E62" s="19">
        <f>+E4</f>
        <v>231</v>
      </c>
      <c r="F62" s="19">
        <f>+F4</f>
        <v>231</v>
      </c>
    </row>
    <row r="63" spans="1:8">
      <c r="A63" s="3"/>
      <c r="B63" s="2" t="s">
        <v>39</v>
      </c>
      <c r="D63" s="19">
        <f>+D7</f>
        <v>14153</v>
      </c>
      <c r="E63" s="19">
        <f>+E7</f>
        <v>7077</v>
      </c>
      <c r="F63" s="19">
        <f>+F7</f>
        <v>7076</v>
      </c>
    </row>
    <row r="64" spans="1:8">
      <c r="A64" s="3"/>
      <c r="B64" s="2" t="s">
        <v>40</v>
      </c>
      <c r="D64" s="19">
        <f>+D53</f>
        <v>104723</v>
      </c>
      <c r="E64" s="19">
        <f>+E53</f>
        <v>52362</v>
      </c>
      <c r="F64" s="19">
        <f>+F53</f>
        <v>52361</v>
      </c>
      <c r="H64" s="3">
        <v>1</v>
      </c>
    </row>
    <row r="65" spans="1:8">
      <c r="B65" s="18" t="s">
        <v>41</v>
      </c>
      <c r="D65" s="19">
        <f>+D61-D62-D63-D64</f>
        <v>279876</v>
      </c>
      <c r="E65" s="19">
        <f>+E61-E62-E63-E64</f>
        <v>139947</v>
      </c>
      <c r="F65" s="19">
        <f>+F61-F62-F63-F64</f>
        <v>139929</v>
      </c>
      <c r="H65" s="3">
        <v>2</v>
      </c>
    </row>
    <row r="67" spans="1:8" hidden="1">
      <c r="B67" s="3" t="s">
        <v>42</v>
      </c>
      <c r="C67" s="4">
        <v>-1.0000000000643175E-6</v>
      </c>
      <c r="D67" s="3">
        <f>+D60-ROUND(D3*C60,0)</f>
        <v>-1</v>
      </c>
    </row>
    <row r="71" spans="1:8">
      <c r="A71" s="1" t="s">
        <v>590</v>
      </c>
    </row>
  </sheetData>
  <pageMargins left="0.7" right="0.7" top="0.75" bottom="0.75" header="0.3" footer="0.3"/>
  <pageSetup scale="64"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pageSetUpPr fitToPage="1"/>
  </sheetPr>
  <dimension ref="A1:WVB75"/>
  <sheetViews>
    <sheetView topLeftCell="A42" zoomScaleNormal="100" zoomScaleSheetLayoutView="90" workbookViewId="0">
      <selection activeCell="D63" activeCellId="4" sqref="D7:F7 D51:F51 D55:F55 D59:F59 D63:F63"/>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6.425781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6.425781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6.425781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6.425781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6.425781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6.425781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6.425781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6.425781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6.425781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6.425781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6.425781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6.425781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6.425781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6.425781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6.425781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6.425781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6.425781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6.425781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6.425781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6.425781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6.425781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6.425781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6.425781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6.425781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6.425781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6.425781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6.425781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6.425781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6.425781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6.425781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6.425781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6.425781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6.425781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6.425781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6.425781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6.425781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6.425781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6.425781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6.425781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6.425781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6.425781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6.425781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6.425781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6.425781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6.425781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6.425781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6.425781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6.425781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6.425781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6.425781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6.425781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6.425781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6.425781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6.425781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6.425781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6.425781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6.425781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6.425781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6.425781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6.425781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6.425781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6.425781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6.425781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810</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Worksheet'!$D$39</f>
        <v>502117</v>
      </c>
      <c r="E3" s="11"/>
      <c r="F3" s="11"/>
    </row>
    <row r="4" spans="1:6">
      <c r="A4" s="8">
        <v>0</v>
      </c>
      <c r="B4" s="11" t="s">
        <v>4</v>
      </c>
      <c r="C4" s="10">
        <v>1.5169999999999999E-3</v>
      </c>
      <c r="D4" s="12">
        <f>ROUND(D$3*C4,0)</f>
        <v>762</v>
      </c>
      <c r="E4" s="13">
        <f>ROUND(D4/2,0)</f>
        <v>381</v>
      </c>
      <c r="F4" s="12">
        <f>D4-E4</f>
        <v>381</v>
      </c>
    </row>
    <row r="5" spans="1:6">
      <c r="A5" s="8">
        <v>1</v>
      </c>
      <c r="B5" s="11" t="s">
        <v>811</v>
      </c>
      <c r="C5" s="10">
        <v>0.133662</v>
      </c>
      <c r="D5" s="9">
        <f>ROUND(D$3*C5,0)</f>
        <v>67114</v>
      </c>
      <c r="E5" s="11">
        <f>ROUND(D5/2,0)</f>
        <v>33557</v>
      </c>
      <c r="F5" s="9">
        <f>D5-E5</f>
        <v>33557</v>
      </c>
    </row>
    <row r="6" spans="1:6">
      <c r="A6" s="8"/>
      <c r="B6" s="11" t="s">
        <v>6</v>
      </c>
      <c r="C6" s="11"/>
      <c r="D6" s="14">
        <v>0.22754199999999999</v>
      </c>
      <c r="E6" s="11"/>
      <c r="F6" s="11"/>
    </row>
    <row r="7" spans="1:6">
      <c r="A7" s="8"/>
      <c r="B7" s="11" t="s">
        <v>7</v>
      </c>
      <c r="C7" s="11"/>
      <c r="D7" s="228">
        <f>ROUND(D5*D6,0)</f>
        <v>15271</v>
      </c>
      <c r="E7" s="229">
        <f>ROUND(D7/2,0)</f>
        <v>7636</v>
      </c>
      <c r="F7" s="228">
        <f>D7-E7</f>
        <v>7635</v>
      </c>
    </row>
    <row r="8" spans="1:6">
      <c r="A8" s="8"/>
      <c r="B8" s="11" t="s">
        <v>8</v>
      </c>
      <c r="C8" s="11"/>
      <c r="D8" s="12">
        <f>+D5-D7</f>
        <v>51843</v>
      </c>
      <c r="E8" s="13">
        <f>ROUND(D8/2,0)</f>
        <v>25922</v>
      </c>
      <c r="F8" s="12">
        <f>D8-E8</f>
        <v>25921</v>
      </c>
    </row>
    <row r="9" spans="1:6">
      <c r="A9" s="8">
        <v>2</v>
      </c>
      <c r="B9" s="11" t="s">
        <v>812</v>
      </c>
      <c r="C9" s="11"/>
      <c r="D9" s="9"/>
      <c r="E9" s="11"/>
      <c r="F9" s="11"/>
    </row>
    <row r="10" spans="1:6">
      <c r="A10" s="8"/>
      <c r="B10" s="11" t="s">
        <v>10</v>
      </c>
      <c r="C10" s="10">
        <v>1.2310000000000001E-3</v>
      </c>
      <c r="D10" s="12">
        <f>ROUND(D$3*C10,0)</f>
        <v>618</v>
      </c>
      <c r="E10" s="13">
        <f>ROUND(D10/2,0)</f>
        <v>309</v>
      </c>
      <c r="F10" s="12">
        <f>D10-E10</f>
        <v>309</v>
      </c>
    </row>
    <row r="11" spans="1:6">
      <c r="A11" s="8"/>
      <c r="B11" s="11" t="s">
        <v>11</v>
      </c>
      <c r="C11" s="10">
        <v>5.3700000000000004E-4</v>
      </c>
      <c r="D11" s="12">
        <f>ROUND(D$3*C11,0)</f>
        <v>270</v>
      </c>
      <c r="E11" s="13">
        <f>ROUND(D11/2,0)</f>
        <v>135</v>
      </c>
      <c r="F11" s="12">
        <f>D11-E11</f>
        <v>135</v>
      </c>
    </row>
    <row r="12" spans="1:6">
      <c r="A12" s="8">
        <v>2</v>
      </c>
      <c r="B12" s="11" t="s">
        <v>220</v>
      </c>
      <c r="C12" s="11"/>
      <c r="D12" s="9"/>
      <c r="E12" s="11"/>
      <c r="F12" s="11"/>
    </row>
    <row r="13" spans="1:6">
      <c r="A13" s="8"/>
      <c r="B13" s="11" t="s">
        <v>10</v>
      </c>
      <c r="C13" s="10">
        <v>1.1180000000000001E-3</v>
      </c>
      <c r="D13" s="12">
        <f>ROUND(D$3*C13,0)</f>
        <v>561</v>
      </c>
      <c r="E13" s="13">
        <f>ROUND(D13/2,0)</f>
        <v>281</v>
      </c>
      <c r="F13" s="12">
        <f>D13-E13</f>
        <v>280</v>
      </c>
    </row>
    <row r="14" spans="1:6">
      <c r="A14" s="8"/>
      <c r="B14" s="11" t="s">
        <v>11</v>
      </c>
      <c r="C14" s="10">
        <v>6.5700000000000003E-4</v>
      </c>
      <c r="D14" s="12">
        <f>ROUND(D$3*C14,0)</f>
        <v>330</v>
      </c>
      <c r="E14" s="13">
        <f>ROUND(D14/2,0)</f>
        <v>165</v>
      </c>
      <c r="F14" s="12">
        <f>D14-E14</f>
        <v>165</v>
      </c>
    </row>
    <row r="15" spans="1:6">
      <c r="A15" s="8">
        <v>2</v>
      </c>
      <c r="B15" s="11" t="s">
        <v>813</v>
      </c>
      <c r="C15" s="11"/>
      <c r="D15" s="9"/>
      <c r="E15" s="11"/>
      <c r="F15" s="11"/>
    </row>
    <row r="16" spans="1:6">
      <c r="A16" s="8"/>
      <c r="B16" s="11" t="s">
        <v>10</v>
      </c>
      <c r="C16" s="10">
        <v>6.8400000000000004E-4</v>
      </c>
      <c r="D16" s="12">
        <f>ROUND(D$3*C16,0)</f>
        <v>343</v>
      </c>
      <c r="E16" s="13">
        <f>ROUND(D16/2,0)</f>
        <v>172</v>
      </c>
      <c r="F16" s="12">
        <f>D16-E16</f>
        <v>171</v>
      </c>
    </row>
    <row r="17" spans="1:6">
      <c r="A17" s="8"/>
      <c r="B17" s="11" t="s">
        <v>11</v>
      </c>
      <c r="C17" s="10">
        <v>3.6699999999999998E-4</v>
      </c>
      <c r="D17" s="12">
        <f>ROUND(D$3*C17,0)</f>
        <v>184</v>
      </c>
      <c r="E17" s="13">
        <f>ROUND(D17/2,0)</f>
        <v>92</v>
      </c>
      <c r="F17" s="12">
        <f>D17-E17</f>
        <v>92</v>
      </c>
    </row>
    <row r="18" spans="1:6">
      <c r="A18" s="8">
        <v>2</v>
      </c>
      <c r="B18" s="11" t="s">
        <v>814</v>
      </c>
      <c r="C18" s="11"/>
      <c r="D18" s="9"/>
      <c r="E18" s="11"/>
      <c r="F18" s="11"/>
    </row>
    <row r="19" spans="1:6">
      <c r="A19" s="8"/>
      <c r="B19" s="11" t="s">
        <v>10</v>
      </c>
      <c r="C19" s="10">
        <v>6.8599999999999998E-4</v>
      </c>
      <c r="D19" s="12">
        <f>ROUND(D$3*C19,0)</f>
        <v>344</v>
      </c>
      <c r="E19" s="13">
        <f>ROUND(D19/2,0)</f>
        <v>172</v>
      </c>
      <c r="F19" s="12">
        <f>D19-E19</f>
        <v>172</v>
      </c>
    </row>
    <row r="20" spans="1:6">
      <c r="A20" s="8"/>
      <c r="B20" s="11" t="s">
        <v>11</v>
      </c>
      <c r="C20" s="10">
        <v>3.5799999999999997E-4</v>
      </c>
      <c r="D20" s="12">
        <f>ROUND(D$3*C20,0)</f>
        <v>180</v>
      </c>
      <c r="E20" s="13">
        <f>ROUND(D20/2,0)</f>
        <v>90</v>
      </c>
      <c r="F20" s="12">
        <f>D20-E20</f>
        <v>90</v>
      </c>
    </row>
    <row r="21" spans="1:6">
      <c r="A21" s="8">
        <v>2</v>
      </c>
      <c r="B21" s="11" t="s">
        <v>401</v>
      </c>
      <c r="C21" s="11"/>
      <c r="D21" s="9"/>
      <c r="E21" s="11"/>
      <c r="F21" s="11"/>
    </row>
    <row r="22" spans="1:6">
      <c r="A22" s="8"/>
      <c r="B22" s="11" t="s">
        <v>10</v>
      </c>
      <c r="C22" s="10">
        <v>1.5950000000000001E-3</v>
      </c>
      <c r="D22" s="12">
        <f>ROUND(D$3*C22,0)</f>
        <v>801</v>
      </c>
      <c r="E22" s="13">
        <f>ROUND(D22/2,0)</f>
        <v>401</v>
      </c>
      <c r="F22" s="12">
        <f>D22-E22</f>
        <v>400</v>
      </c>
    </row>
    <row r="23" spans="1:6">
      <c r="A23" s="8"/>
      <c r="B23" s="11" t="s">
        <v>11</v>
      </c>
      <c r="C23" s="10">
        <v>1.044E-3</v>
      </c>
      <c r="D23" s="12">
        <f>ROUND(D$3*C23,0)</f>
        <v>524</v>
      </c>
      <c r="E23" s="13">
        <f>ROUND(D23/2,0)</f>
        <v>262</v>
      </c>
      <c r="F23" s="12">
        <f>D23-E23</f>
        <v>262</v>
      </c>
    </row>
    <row r="24" spans="1:6">
      <c r="A24" s="8">
        <v>2</v>
      </c>
      <c r="B24" s="11" t="s">
        <v>49</v>
      </c>
      <c r="C24" s="11"/>
      <c r="D24" s="9"/>
      <c r="E24" s="11"/>
      <c r="F24" s="11"/>
    </row>
    <row r="25" spans="1:6">
      <c r="A25" s="8"/>
      <c r="B25" s="11" t="s">
        <v>10</v>
      </c>
      <c r="C25" s="10">
        <v>2.9689999999999999E-3</v>
      </c>
      <c r="D25" s="12">
        <f>ROUND(D$3*C25,0)</f>
        <v>1491</v>
      </c>
      <c r="E25" s="13">
        <f>ROUND(D25/2,0)</f>
        <v>746</v>
      </c>
      <c r="F25" s="12">
        <f>D25-E25</f>
        <v>745</v>
      </c>
    </row>
    <row r="26" spans="1:6">
      <c r="A26" s="8"/>
      <c r="B26" s="11" t="s">
        <v>11</v>
      </c>
      <c r="C26" s="10">
        <v>0</v>
      </c>
      <c r="D26" s="12">
        <f>ROUND(D$3*C26,0)</f>
        <v>0</v>
      </c>
      <c r="E26" s="13">
        <f>ROUND(D26/2,0)</f>
        <v>0</v>
      </c>
      <c r="F26" s="12">
        <f>D26-E26</f>
        <v>0</v>
      </c>
    </row>
    <row r="27" spans="1:6">
      <c r="A27" s="8">
        <v>2</v>
      </c>
      <c r="B27" s="11" t="s">
        <v>224</v>
      </c>
      <c r="C27" s="11"/>
      <c r="D27" s="9"/>
      <c r="E27" s="11"/>
      <c r="F27" s="11"/>
    </row>
    <row r="28" spans="1:6">
      <c r="A28" s="8"/>
      <c r="B28" s="11" t="s">
        <v>10</v>
      </c>
      <c r="C28" s="10">
        <v>2.6899999999999998E-4</v>
      </c>
      <c r="D28" s="12">
        <f>ROUND(D$3*C28,0)</f>
        <v>135</v>
      </c>
      <c r="E28" s="13">
        <f>ROUND(D28/2,0)</f>
        <v>68</v>
      </c>
      <c r="F28" s="12">
        <f>D28-E28</f>
        <v>67</v>
      </c>
    </row>
    <row r="29" spans="1:6">
      <c r="A29" s="8"/>
      <c r="B29" s="11" t="s">
        <v>11</v>
      </c>
      <c r="C29" s="10">
        <v>5.3000000000000001E-5</v>
      </c>
      <c r="D29" s="12">
        <f>ROUND(D$3*C29,0)</f>
        <v>27</v>
      </c>
      <c r="E29" s="13">
        <f>ROUND(D29/2,0)</f>
        <v>14</v>
      </c>
      <c r="F29" s="12">
        <f>D29-E29</f>
        <v>13</v>
      </c>
    </row>
    <row r="30" spans="1:6">
      <c r="A30" s="8">
        <v>2</v>
      </c>
      <c r="B30" s="11" t="s">
        <v>815</v>
      </c>
      <c r="C30" s="11"/>
      <c r="D30" s="9"/>
      <c r="E30" s="11"/>
      <c r="F30" s="11"/>
    </row>
    <row r="31" spans="1:6">
      <c r="A31" s="8"/>
      <c r="B31" s="11" t="s">
        <v>10</v>
      </c>
      <c r="C31" s="10">
        <v>5.2800000000000004E-4</v>
      </c>
      <c r="D31" s="12">
        <f>ROUND(D$3*C31,0)</f>
        <v>265</v>
      </c>
      <c r="E31" s="13">
        <f>ROUND(D31/2,0)</f>
        <v>133</v>
      </c>
      <c r="F31" s="12">
        <f>D31-E31</f>
        <v>132</v>
      </c>
    </row>
    <row r="32" spans="1:6">
      <c r="A32" s="8"/>
      <c r="B32" s="11" t="s">
        <v>11</v>
      </c>
      <c r="C32" s="10">
        <v>0</v>
      </c>
      <c r="D32" s="12">
        <f>ROUND(D$3*C32,0)</f>
        <v>0</v>
      </c>
      <c r="E32" s="13">
        <f>ROUND(D32/2,0)</f>
        <v>0</v>
      </c>
      <c r="F32" s="12">
        <f>D32-E32</f>
        <v>0</v>
      </c>
    </row>
    <row r="33" spans="1:6">
      <c r="A33" s="8">
        <v>2</v>
      </c>
      <c r="B33" s="11" t="s">
        <v>816</v>
      </c>
      <c r="C33" s="11"/>
      <c r="D33" s="9"/>
      <c r="E33" s="11"/>
      <c r="F33" s="11"/>
    </row>
    <row r="34" spans="1:6">
      <c r="A34" s="8"/>
      <c r="B34" s="11" t="s">
        <v>10</v>
      </c>
      <c r="C34" s="10">
        <v>3.0699999999999998E-4</v>
      </c>
      <c r="D34" s="12">
        <f>ROUND(D$3*C34,0)</f>
        <v>154</v>
      </c>
      <c r="E34" s="13">
        <f>ROUND(D34/2,0)</f>
        <v>77</v>
      </c>
      <c r="F34" s="12">
        <f>D34-E34</f>
        <v>77</v>
      </c>
    </row>
    <row r="35" spans="1:6">
      <c r="A35" s="8"/>
      <c r="B35" s="11" t="s">
        <v>11</v>
      </c>
      <c r="C35" s="10">
        <v>0</v>
      </c>
      <c r="D35" s="12">
        <f>ROUND(D$3*C35,0)</f>
        <v>0</v>
      </c>
      <c r="E35" s="13">
        <f>ROUND(D35/2,0)</f>
        <v>0</v>
      </c>
      <c r="F35" s="12">
        <f>D35-E35</f>
        <v>0</v>
      </c>
    </row>
    <row r="36" spans="1:6">
      <c r="A36" s="8">
        <v>2</v>
      </c>
      <c r="B36" s="11" t="s">
        <v>532</v>
      </c>
      <c r="C36" s="11"/>
      <c r="D36" s="9"/>
      <c r="E36" s="11"/>
      <c r="F36" s="11"/>
    </row>
    <row r="37" spans="1:6">
      <c r="A37" s="8"/>
      <c r="B37" s="11" t="s">
        <v>10</v>
      </c>
      <c r="C37" s="10">
        <v>1.03E-4</v>
      </c>
      <c r="D37" s="12">
        <f>ROUND(D$3*C37,0)</f>
        <v>52</v>
      </c>
      <c r="E37" s="13">
        <f>ROUND(D37/2,0)</f>
        <v>26</v>
      </c>
      <c r="F37" s="12">
        <f>D37-E37</f>
        <v>26</v>
      </c>
    </row>
    <row r="38" spans="1:6">
      <c r="A38" s="8"/>
      <c r="B38" s="11" t="s">
        <v>11</v>
      </c>
      <c r="C38" s="10">
        <v>4.0000000000000003E-5</v>
      </c>
      <c r="D38" s="12">
        <f>ROUND(D$3*C38,0)</f>
        <v>20</v>
      </c>
      <c r="E38" s="13">
        <f>ROUND(D38/2,0)</f>
        <v>10</v>
      </c>
      <c r="F38" s="12">
        <f>D38-E38</f>
        <v>10</v>
      </c>
    </row>
    <row r="39" spans="1:6">
      <c r="A39" s="8">
        <v>2</v>
      </c>
      <c r="B39" s="11" t="s">
        <v>673</v>
      </c>
      <c r="C39" s="11"/>
      <c r="D39" s="9"/>
      <c r="E39" s="11"/>
      <c r="F39" s="11"/>
    </row>
    <row r="40" spans="1:6">
      <c r="A40" s="8"/>
      <c r="B40" s="11" t="s">
        <v>10</v>
      </c>
      <c r="C40" s="10">
        <v>6.9499999999999998E-4</v>
      </c>
      <c r="D40" s="12">
        <f>ROUND(D$3*C40,0)</f>
        <v>349</v>
      </c>
      <c r="E40" s="13">
        <f>ROUND(D40/2,0)</f>
        <v>175</v>
      </c>
      <c r="F40" s="12">
        <f>D40-E40</f>
        <v>174</v>
      </c>
    </row>
    <row r="41" spans="1:6">
      <c r="A41" s="8"/>
      <c r="B41" s="11" t="s">
        <v>11</v>
      </c>
      <c r="C41" s="10">
        <v>4.5199999999999998E-4</v>
      </c>
      <c r="D41" s="12">
        <f>ROUND(D$3*C41,0)</f>
        <v>227</v>
      </c>
      <c r="E41" s="13">
        <f>ROUND(D41/2,0)</f>
        <v>114</v>
      </c>
      <c r="F41" s="12">
        <f>D41-E41</f>
        <v>113</v>
      </c>
    </row>
    <row r="42" spans="1:6">
      <c r="A42" s="8">
        <v>2</v>
      </c>
      <c r="B42" s="11" t="s">
        <v>22</v>
      </c>
      <c r="C42" s="11"/>
      <c r="D42" s="9"/>
      <c r="E42" s="11"/>
      <c r="F42" s="11"/>
    </row>
    <row r="43" spans="1:6">
      <c r="A43" s="8"/>
      <c r="B43" s="11" t="s">
        <v>10</v>
      </c>
      <c r="C43" s="10">
        <v>5.4299999999999997E-4</v>
      </c>
      <c r="D43" s="12">
        <f t="shared" ref="D43:D49" si="0">ROUND(D$3*C43,0)</f>
        <v>273</v>
      </c>
      <c r="E43" s="13">
        <f t="shared" ref="E43:E49" si="1">ROUND(D43/2,0)</f>
        <v>137</v>
      </c>
      <c r="F43" s="12">
        <f t="shared" ref="F43:F49" si="2">D43-E43</f>
        <v>136</v>
      </c>
    </row>
    <row r="44" spans="1:6">
      <c r="A44" s="8"/>
      <c r="B44" s="11" t="s">
        <v>11</v>
      </c>
      <c r="C44" s="10">
        <v>0</v>
      </c>
      <c r="D44" s="12">
        <f t="shared" si="0"/>
        <v>0</v>
      </c>
      <c r="E44" s="13">
        <f t="shared" si="1"/>
        <v>0</v>
      </c>
      <c r="F44" s="12">
        <f t="shared" si="2"/>
        <v>0</v>
      </c>
    </row>
    <row r="45" spans="1:6">
      <c r="A45" s="8">
        <v>3</v>
      </c>
      <c r="B45" s="11" t="s">
        <v>817</v>
      </c>
      <c r="C45" s="10">
        <v>5.7390000000000002E-3</v>
      </c>
      <c r="D45" s="12">
        <f t="shared" si="0"/>
        <v>2882</v>
      </c>
      <c r="E45" s="13">
        <f t="shared" si="1"/>
        <v>1441</v>
      </c>
      <c r="F45" s="12">
        <f t="shared" si="2"/>
        <v>1441</v>
      </c>
    </row>
    <row r="46" spans="1:6">
      <c r="A46" s="8">
        <v>3</v>
      </c>
      <c r="B46" s="11" t="s">
        <v>818</v>
      </c>
      <c r="C46" s="10">
        <v>1.673E-3</v>
      </c>
      <c r="D46" s="12">
        <f t="shared" si="0"/>
        <v>840</v>
      </c>
      <c r="E46" s="13">
        <f t="shared" si="1"/>
        <v>420</v>
      </c>
      <c r="F46" s="12">
        <f t="shared" si="2"/>
        <v>420</v>
      </c>
    </row>
    <row r="47" spans="1:6">
      <c r="A47" s="8">
        <v>3</v>
      </c>
      <c r="B47" s="11" t="s">
        <v>819</v>
      </c>
      <c r="C47" s="10">
        <v>1.305E-3</v>
      </c>
      <c r="D47" s="12">
        <f t="shared" si="0"/>
        <v>655</v>
      </c>
      <c r="E47" s="13">
        <f t="shared" si="1"/>
        <v>328</v>
      </c>
      <c r="F47" s="12">
        <f t="shared" si="2"/>
        <v>327</v>
      </c>
    </row>
    <row r="48" spans="1:6">
      <c r="A48" s="8">
        <v>3</v>
      </c>
      <c r="B48" s="11" t="s">
        <v>820</v>
      </c>
      <c r="C48" s="10">
        <v>0.148285</v>
      </c>
      <c r="D48" s="12">
        <f t="shared" si="0"/>
        <v>74456</v>
      </c>
      <c r="E48" s="13">
        <f t="shared" si="1"/>
        <v>37228</v>
      </c>
      <c r="F48" s="12">
        <f t="shared" si="2"/>
        <v>37228</v>
      </c>
    </row>
    <row r="49" spans="1:6">
      <c r="A49" s="8">
        <v>4</v>
      </c>
      <c r="B49" s="11" t="s">
        <v>821</v>
      </c>
      <c r="C49" s="10">
        <v>0.110149</v>
      </c>
      <c r="D49" s="9">
        <f t="shared" si="0"/>
        <v>55308</v>
      </c>
      <c r="E49" s="11">
        <f t="shared" si="1"/>
        <v>27654</v>
      </c>
      <c r="F49" s="9">
        <f t="shared" si="2"/>
        <v>27654</v>
      </c>
    </row>
    <row r="50" spans="1:6">
      <c r="A50" s="8"/>
      <c r="B50" s="11" t="s">
        <v>28</v>
      </c>
      <c r="C50" s="11"/>
      <c r="D50" s="14">
        <v>0.43771500000000002</v>
      </c>
      <c r="E50" s="11"/>
      <c r="F50" s="11"/>
    </row>
    <row r="51" spans="1:6">
      <c r="A51" s="8"/>
      <c r="B51" s="11" t="s">
        <v>29</v>
      </c>
      <c r="C51" s="11"/>
      <c r="D51" s="228">
        <f>ROUND(D49*D50,0)</f>
        <v>24209</v>
      </c>
      <c r="E51" s="229">
        <f>ROUND(D51/2,0)</f>
        <v>12105</v>
      </c>
      <c r="F51" s="228">
        <f>D51-E51</f>
        <v>12104</v>
      </c>
    </row>
    <row r="52" spans="1:6">
      <c r="A52" s="8"/>
      <c r="B52" s="11" t="s">
        <v>30</v>
      </c>
      <c r="C52" s="11"/>
      <c r="D52" s="12">
        <f>+D49-D51</f>
        <v>31099</v>
      </c>
      <c r="E52" s="13">
        <f>ROUND(D52/2,0)</f>
        <v>15550</v>
      </c>
      <c r="F52" s="12">
        <f>D52-E52</f>
        <v>15549</v>
      </c>
    </row>
    <row r="53" spans="1:6">
      <c r="A53" s="8">
        <v>4</v>
      </c>
      <c r="B53" s="11" t="s">
        <v>822</v>
      </c>
      <c r="C53" s="10">
        <v>3.4363999999999999E-2</v>
      </c>
      <c r="D53" s="9">
        <f>ROUND(D$3*C53,0)</f>
        <v>17255</v>
      </c>
      <c r="E53" s="11">
        <f>ROUND(D53/2,0)</f>
        <v>8628</v>
      </c>
      <c r="F53" s="9">
        <f>D53-E53</f>
        <v>8627</v>
      </c>
    </row>
    <row r="54" spans="1:6">
      <c r="A54" s="8"/>
      <c r="B54" s="11" t="s">
        <v>28</v>
      </c>
      <c r="C54" s="11"/>
      <c r="D54" s="14">
        <v>0.44339000000000001</v>
      </c>
      <c r="E54" s="11"/>
      <c r="F54" s="11"/>
    </row>
    <row r="55" spans="1:6">
      <c r="A55" s="8"/>
      <c r="B55" s="11" t="s">
        <v>29</v>
      </c>
      <c r="C55" s="11"/>
      <c r="D55" s="228">
        <f>ROUND(D53*D54,0)</f>
        <v>7651</v>
      </c>
      <c r="E55" s="229">
        <f>ROUND(D55/2,0)</f>
        <v>3826</v>
      </c>
      <c r="F55" s="228">
        <f>D55-E55</f>
        <v>3825</v>
      </c>
    </row>
    <row r="56" spans="1:6">
      <c r="A56" s="8"/>
      <c r="B56" s="11" t="s">
        <v>30</v>
      </c>
      <c r="C56" s="11"/>
      <c r="D56" s="12">
        <f>+D53-D55</f>
        <v>9604</v>
      </c>
      <c r="E56" s="13">
        <f>ROUND(D56/2,0)</f>
        <v>4802</v>
      </c>
      <c r="F56" s="12">
        <f>D56-E56</f>
        <v>4802</v>
      </c>
    </row>
    <row r="57" spans="1:6">
      <c r="A57" s="8">
        <v>4</v>
      </c>
      <c r="B57" s="11" t="s">
        <v>823</v>
      </c>
      <c r="C57" s="10">
        <v>2.5323999999999999E-2</v>
      </c>
      <c r="D57" s="9">
        <f>ROUND(D$3*C57,0)</f>
        <v>12716</v>
      </c>
      <c r="E57" s="11">
        <f>ROUND(D57/2,0)</f>
        <v>6358</v>
      </c>
      <c r="F57" s="9">
        <f>D57-E57</f>
        <v>6358</v>
      </c>
    </row>
    <row r="58" spans="1:6">
      <c r="A58" s="8"/>
      <c r="B58" s="11" t="s">
        <v>28</v>
      </c>
      <c r="C58" s="11"/>
      <c r="D58" s="14">
        <v>0.31547700000000001</v>
      </c>
      <c r="E58" s="11"/>
      <c r="F58" s="11"/>
    </row>
    <row r="59" spans="1:6">
      <c r="A59" s="8"/>
      <c r="B59" s="11" t="s">
        <v>29</v>
      </c>
      <c r="C59" s="11"/>
      <c r="D59" s="228">
        <f>ROUND(D57*D58,0)</f>
        <v>4012</v>
      </c>
      <c r="E59" s="229">
        <f>ROUND(D59/2,0)</f>
        <v>2006</v>
      </c>
      <c r="F59" s="228">
        <f>D59-E59</f>
        <v>2006</v>
      </c>
    </row>
    <row r="60" spans="1:6">
      <c r="A60" s="8"/>
      <c r="B60" s="11" t="s">
        <v>30</v>
      </c>
      <c r="C60" s="11"/>
      <c r="D60" s="12">
        <f>+D57-D59</f>
        <v>8704</v>
      </c>
      <c r="E60" s="13">
        <f>ROUND(D60/2,0)</f>
        <v>4352</v>
      </c>
      <c r="F60" s="12">
        <f>D60-E60</f>
        <v>4352</v>
      </c>
    </row>
    <row r="61" spans="1:6">
      <c r="A61" s="8">
        <v>4</v>
      </c>
      <c r="B61" s="11" t="s">
        <v>824</v>
      </c>
      <c r="C61" s="10">
        <v>0.48102</v>
      </c>
      <c r="D61" s="9">
        <f>ROUND(D$3*C61,0)</f>
        <v>241528</v>
      </c>
      <c r="E61" s="11">
        <f>ROUND(D61/2,0)</f>
        <v>120764</v>
      </c>
      <c r="F61" s="9">
        <f>D61-E61</f>
        <v>120764</v>
      </c>
    </row>
    <row r="62" spans="1:6">
      <c r="A62" s="8"/>
      <c r="B62" s="11" t="s">
        <v>28</v>
      </c>
      <c r="C62" s="11"/>
      <c r="D62" s="14">
        <v>0.51713299999999995</v>
      </c>
      <c r="E62" s="11"/>
      <c r="F62" s="11"/>
    </row>
    <row r="63" spans="1:6">
      <c r="A63" s="8"/>
      <c r="B63" s="11" t="s">
        <v>29</v>
      </c>
      <c r="C63" s="11"/>
      <c r="D63" s="228">
        <f>ROUND(D61*D62,0)</f>
        <v>124902</v>
      </c>
      <c r="E63" s="229">
        <f t="shared" ref="E63:E68" si="3">ROUND(D63/2,0)</f>
        <v>62451</v>
      </c>
      <c r="F63" s="228">
        <f t="shared" ref="F63:F68" si="4">D63-E63</f>
        <v>62451</v>
      </c>
    </row>
    <row r="64" spans="1:6">
      <c r="A64" s="8"/>
      <c r="B64" s="11" t="s">
        <v>30</v>
      </c>
      <c r="C64" s="11"/>
      <c r="D64" s="12">
        <f>+D61-D63</f>
        <v>116626</v>
      </c>
      <c r="E64" s="13">
        <f t="shared" si="3"/>
        <v>58313</v>
      </c>
      <c r="F64" s="12">
        <f t="shared" si="4"/>
        <v>58313</v>
      </c>
    </row>
    <row r="65" spans="1:8">
      <c r="A65" s="8">
        <v>5</v>
      </c>
      <c r="B65" s="11" t="s">
        <v>825</v>
      </c>
      <c r="C65" s="10">
        <v>5.1580000000000003E-3</v>
      </c>
      <c r="D65" s="12">
        <f>ROUND(D$3*C65,0)</f>
        <v>2590</v>
      </c>
      <c r="E65" s="13">
        <f t="shared" si="3"/>
        <v>1295</v>
      </c>
      <c r="F65" s="12">
        <f t="shared" si="4"/>
        <v>1295</v>
      </c>
    </row>
    <row r="66" spans="1:8">
      <c r="A66" s="8">
        <v>5</v>
      </c>
      <c r="B66" s="11" t="s">
        <v>826</v>
      </c>
      <c r="C66" s="10">
        <v>3.6632999999999999E-2</v>
      </c>
      <c r="D66" s="12">
        <f>ROUND(D$3*C66,0)</f>
        <v>18394</v>
      </c>
      <c r="E66" s="13">
        <f t="shared" si="3"/>
        <v>9197</v>
      </c>
      <c r="F66" s="12">
        <f t="shared" si="4"/>
        <v>9197</v>
      </c>
    </row>
    <row r="67" spans="1:8">
      <c r="A67" s="8">
        <v>6</v>
      </c>
      <c r="B67" s="11" t="s">
        <v>827</v>
      </c>
      <c r="C67" s="10">
        <v>0</v>
      </c>
      <c r="D67" s="12">
        <f>ROUND(D$3*C67,0)</f>
        <v>0</v>
      </c>
      <c r="E67" s="13">
        <f t="shared" si="3"/>
        <v>0</v>
      </c>
      <c r="F67" s="12">
        <f t="shared" si="4"/>
        <v>0</v>
      </c>
    </row>
    <row r="68" spans="1:8">
      <c r="A68" s="8">
        <v>6</v>
      </c>
      <c r="B68" s="11" t="s">
        <v>828</v>
      </c>
      <c r="C68" s="10">
        <v>9.3499999999999996E-4</v>
      </c>
      <c r="D68" s="12">
        <f>+D3-SUM(D4:D5)-SUM(D10:D49)-D53-D57-D61-SUM(D65:D67)</f>
        <v>469</v>
      </c>
      <c r="E68" s="13">
        <f t="shared" si="3"/>
        <v>235</v>
      </c>
      <c r="F68" s="12">
        <f t="shared" si="4"/>
        <v>234</v>
      </c>
    </row>
    <row r="69" spans="1:8">
      <c r="A69" s="8"/>
      <c r="B69" s="28" t="s">
        <v>288</v>
      </c>
      <c r="C69" s="10">
        <v>1</v>
      </c>
      <c r="D69" s="12">
        <f>+D4+SUM(D7:D48)+SUM(D51:D52)+SUM(D55:D56)+SUM(D59:D60)+SUM(D63:D68)</f>
        <v>502117</v>
      </c>
      <c r="E69" s="12">
        <f>+E4+SUM(E7:E48)+SUM(E51:E52)+SUM(E55:E56)+SUM(E59:E60)+SUM(E63:E68)</f>
        <v>251067</v>
      </c>
      <c r="F69" s="12">
        <f>+F4+SUM(F7:F48)+SUM(F51:F52)+SUM(F55:F56)+SUM(F59:F60)+SUM(F63:F68)</f>
        <v>251050</v>
      </c>
    </row>
    <row r="70" spans="1:8">
      <c r="B70" s="18" t="s">
        <v>38</v>
      </c>
      <c r="D70" s="19">
        <f>+D4</f>
        <v>762</v>
      </c>
      <c r="E70" s="19">
        <f>+E4</f>
        <v>381</v>
      </c>
      <c r="F70" s="19">
        <f>+F4</f>
        <v>381</v>
      </c>
    </row>
    <row r="71" spans="1:8">
      <c r="A71" s="1" t="s">
        <v>590</v>
      </c>
      <c r="B71" s="2" t="s">
        <v>39</v>
      </c>
      <c r="D71" s="19">
        <f>+D7</f>
        <v>15271</v>
      </c>
      <c r="E71" s="19">
        <f>+E7</f>
        <v>7636</v>
      </c>
      <c r="F71" s="19">
        <f>+F7</f>
        <v>7635</v>
      </c>
    </row>
    <row r="72" spans="1:8">
      <c r="B72" s="2" t="s">
        <v>40</v>
      </c>
      <c r="D72" s="19">
        <f>+D51+D55+D59+D63</f>
        <v>160774</v>
      </c>
      <c r="E72" s="19">
        <f>+E51+E55+E59+E63</f>
        <v>80388</v>
      </c>
      <c r="F72" s="19">
        <f>+F51+F55+F59+F63</f>
        <v>80386</v>
      </c>
      <c r="H72" s="3">
        <v>1</v>
      </c>
    </row>
    <row r="73" spans="1:8">
      <c r="B73" s="18" t="s">
        <v>41</v>
      </c>
      <c r="D73" s="19">
        <f>+D69-D70-D71-D72</f>
        <v>325310</v>
      </c>
      <c r="E73" s="19">
        <f>+E69-E70-E71-E72</f>
        <v>162662</v>
      </c>
      <c r="F73" s="19">
        <f>+F69-F70-F71-F72</f>
        <v>162648</v>
      </c>
      <c r="H73" s="3">
        <v>2</v>
      </c>
    </row>
    <row r="75" spans="1:8" hidden="1">
      <c r="B75" s="3" t="s">
        <v>42</v>
      </c>
      <c r="C75" s="4">
        <v>0</v>
      </c>
      <c r="D75" s="3">
        <f>+D68-ROUND(D3*C68,0)</f>
        <v>0</v>
      </c>
    </row>
  </sheetData>
  <pageMargins left="0.7" right="0.7" top="0.75" bottom="0.75" header="0.3" footer="0.3"/>
  <pageSetup scale="6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pageSetUpPr fitToPage="1"/>
  </sheetPr>
  <dimension ref="A1:WVB77"/>
  <sheetViews>
    <sheetView topLeftCell="A45" zoomScaleNormal="100" zoomScaleSheetLayoutView="90" workbookViewId="0">
      <selection activeCell="D66" activeCellId="4" sqref="D7:F7 D54:F54 D58:F58 D62:F62 D66:F66"/>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710937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710937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710937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710937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710937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710937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710937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710937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710937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710937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710937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710937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710937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710937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710937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710937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710937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710937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710937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710937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710937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710937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710937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710937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710937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710937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710937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710937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710937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710937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710937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710937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710937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710937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710937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710937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710937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710937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710937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710937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710937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710937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710937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710937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710937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710937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710937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710937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710937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710937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710937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710937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710937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710937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710937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710937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710937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710937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710937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710937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710937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710937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710937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829</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Worksheet'!$D$40</f>
        <v>705710</v>
      </c>
      <c r="E3" s="11"/>
      <c r="F3" s="11"/>
    </row>
    <row r="4" spans="1:6">
      <c r="A4" s="8">
        <v>0</v>
      </c>
      <c r="B4" s="11" t="s">
        <v>4</v>
      </c>
      <c r="C4" s="10">
        <v>1.3829999999999999E-3</v>
      </c>
      <c r="D4" s="12">
        <f>ROUND(D$3*C4,0)</f>
        <v>976</v>
      </c>
      <c r="E4" s="13">
        <f>ROUND(D4/2,0)</f>
        <v>488</v>
      </c>
      <c r="F4" s="12">
        <f>D4-E4</f>
        <v>488</v>
      </c>
    </row>
    <row r="5" spans="1:6">
      <c r="A5" s="8">
        <v>1</v>
      </c>
      <c r="B5" s="11" t="s">
        <v>830</v>
      </c>
      <c r="C5" s="10">
        <v>0.18002499999999999</v>
      </c>
      <c r="D5" s="9">
        <f>ROUND(D$3*C5,0)</f>
        <v>127045</v>
      </c>
      <c r="E5" s="11">
        <f>ROUND(D5/2,0)</f>
        <v>63523</v>
      </c>
      <c r="F5" s="9">
        <f>D5-E5</f>
        <v>63522</v>
      </c>
    </row>
    <row r="6" spans="1:6">
      <c r="A6" s="8"/>
      <c r="B6" s="11" t="s">
        <v>6</v>
      </c>
      <c r="C6" s="11"/>
      <c r="D6" s="14">
        <v>0.17832400000000001</v>
      </c>
      <c r="E6" s="11"/>
      <c r="F6" s="11"/>
    </row>
    <row r="7" spans="1:6">
      <c r="A7" s="8"/>
      <c r="B7" s="11" t="s">
        <v>7</v>
      </c>
      <c r="C7" s="11"/>
      <c r="D7" s="225">
        <f>ROUND(D5*D6,0)</f>
        <v>22655</v>
      </c>
      <c r="E7" s="226">
        <f>ROUND(D7/2,0)</f>
        <v>11328</v>
      </c>
      <c r="F7" s="225">
        <f>D7-E7</f>
        <v>11327</v>
      </c>
    </row>
    <row r="8" spans="1:6">
      <c r="A8" s="8"/>
      <c r="B8" s="11" t="s">
        <v>8</v>
      </c>
      <c r="C8" s="11"/>
      <c r="D8" s="12">
        <f>+D5-D7</f>
        <v>104390</v>
      </c>
      <c r="E8" s="13">
        <f>ROUND(D8/2,0)</f>
        <v>52195</v>
      </c>
      <c r="F8" s="12">
        <f>D8-E8</f>
        <v>52195</v>
      </c>
    </row>
    <row r="9" spans="1:6">
      <c r="A9" s="8">
        <v>2</v>
      </c>
      <c r="B9" s="11" t="s">
        <v>831</v>
      </c>
      <c r="C9" s="11"/>
      <c r="D9" s="9"/>
      <c r="E9" s="11"/>
      <c r="F9" s="11"/>
    </row>
    <row r="10" spans="1:6">
      <c r="A10" s="8"/>
      <c r="B10" s="11" t="s">
        <v>10</v>
      </c>
      <c r="C10" s="10">
        <v>2.6499999999999999E-4</v>
      </c>
      <c r="D10" s="12">
        <f>ROUND(D$3*C10,0)</f>
        <v>187</v>
      </c>
      <c r="E10" s="13">
        <f>ROUND(D10/2,0)</f>
        <v>94</v>
      </c>
      <c r="F10" s="12">
        <f>D10-E10</f>
        <v>93</v>
      </c>
    </row>
    <row r="11" spans="1:6">
      <c r="A11" s="8"/>
      <c r="B11" s="11" t="s">
        <v>11</v>
      </c>
      <c r="C11" s="10">
        <v>1.46E-4</v>
      </c>
      <c r="D11" s="12">
        <f>ROUND(D$3*C11,0)</f>
        <v>103</v>
      </c>
      <c r="E11" s="13">
        <f>ROUND(D11/2,0)</f>
        <v>52</v>
      </c>
      <c r="F11" s="12">
        <f>D11-E11</f>
        <v>51</v>
      </c>
    </row>
    <row r="12" spans="1:6">
      <c r="A12" s="8">
        <v>2</v>
      </c>
      <c r="B12" s="11" t="s">
        <v>832</v>
      </c>
      <c r="C12" s="11"/>
      <c r="D12" s="9"/>
      <c r="E12" s="11"/>
      <c r="F12" s="11"/>
    </row>
    <row r="13" spans="1:6">
      <c r="A13" s="8"/>
      <c r="B13" s="11" t="s">
        <v>10</v>
      </c>
      <c r="C13" s="10">
        <v>1.137E-2</v>
      </c>
      <c r="D13" s="12">
        <f>ROUND(D$3*C13,0)</f>
        <v>8024</v>
      </c>
      <c r="E13" s="13">
        <f>ROUND(D13/2,0)</f>
        <v>4012</v>
      </c>
      <c r="F13" s="12">
        <f>D13-E13</f>
        <v>4012</v>
      </c>
    </row>
    <row r="14" spans="1:6">
      <c r="A14" s="8"/>
      <c r="B14" s="11" t="s">
        <v>11</v>
      </c>
      <c r="C14" s="10">
        <v>4.4710000000000001E-3</v>
      </c>
      <c r="D14" s="12">
        <f>ROUND(D$3*C14,0)</f>
        <v>3155</v>
      </c>
      <c r="E14" s="13">
        <f>ROUND(D14/2,0)</f>
        <v>1578</v>
      </c>
      <c r="F14" s="12">
        <f>D14-E14</f>
        <v>1577</v>
      </c>
    </row>
    <row r="15" spans="1:6">
      <c r="A15" s="8">
        <v>2</v>
      </c>
      <c r="B15" s="11" t="s">
        <v>833</v>
      </c>
      <c r="C15" s="11"/>
      <c r="D15" s="9"/>
      <c r="E15" s="11"/>
      <c r="F15" s="11"/>
    </row>
    <row r="16" spans="1:6">
      <c r="A16" s="8"/>
      <c r="B16" s="11" t="s">
        <v>10</v>
      </c>
      <c r="C16" s="10">
        <v>2.32E-4</v>
      </c>
      <c r="D16" s="12">
        <f>ROUND(D$3*C16,0)</f>
        <v>164</v>
      </c>
      <c r="E16" s="13">
        <f>ROUND(D16/2,0)</f>
        <v>82</v>
      </c>
      <c r="F16" s="12">
        <f>D16-E16</f>
        <v>82</v>
      </c>
    </row>
    <row r="17" spans="1:6">
      <c r="A17" s="8"/>
      <c r="B17" s="11" t="s">
        <v>11</v>
      </c>
      <c r="C17" s="10">
        <v>7.6000000000000004E-5</v>
      </c>
      <c r="D17" s="12">
        <f>ROUND(D$3*C17,0)</f>
        <v>54</v>
      </c>
      <c r="E17" s="13">
        <f>ROUND(D17/2,0)</f>
        <v>27</v>
      </c>
      <c r="F17" s="12">
        <f>D17-E17</f>
        <v>27</v>
      </c>
    </row>
    <row r="18" spans="1:6">
      <c r="A18" s="8">
        <v>2</v>
      </c>
      <c r="B18" s="11" t="s">
        <v>834</v>
      </c>
      <c r="C18" s="11"/>
      <c r="D18" s="12"/>
      <c r="E18" s="13"/>
      <c r="F18" s="12"/>
    </row>
    <row r="19" spans="1:6">
      <c r="A19" s="8"/>
      <c r="B19" s="11" t="s">
        <v>10</v>
      </c>
      <c r="C19" s="10">
        <v>3.6699999999999998E-4</v>
      </c>
      <c r="D19" s="12">
        <f>ROUND(D$3*C19,0)</f>
        <v>259</v>
      </c>
      <c r="E19" s="13">
        <f>ROUND(D19/2,0)</f>
        <v>130</v>
      </c>
      <c r="F19" s="12">
        <f>D19-E19</f>
        <v>129</v>
      </c>
    </row>
    <row r="20" spans="1:6">
      <c r="A20" s="8"/>
      <c r="B20" s="11" t="s">
        <v>11</v>
      </c>
      <c r="C20" s="10">
        <v>2.1000000000000001E-4</v>
      </c>
      <c r="D20" s="12">
        <f>ROUND(D$3*C20,0)</f>
        <v>148</v>
      </c>
      <c r="E20" s="13">
        <f>ROUND(D20/2,0)</f>
        <v>74</v>
      </c>
      <c r="F20" s="12">
        <f>D20-E20</f>
        <v>74</v>
      </c>
    </row>
    <row r="21" spans="1:6">
      <c r="A21" s="8">
        <v>2</v>
      </c>
      <c r="B21" s="11" t="s">
        <v>835</v>
      </c>
      <c r="C21" s="11"/>
      <c r="D21" s="9"/>
      <c r="E21" s="11"/>
      <c r="F21" s="11"/>
    </row>
    <row r="22" spans="1:6">
      <c r="A22" s="8"/>
      <c r="B22" s="11" t="s">
        <v>10</v>
      </c>
      <c r="C22" s="10">
        <v>2.52E-4</v>
      </c>
      <c r="D22" s="12">
        <f>ROUND(D$3*C22,0)</f>
        <v>178</v>
      </c>
      <c r="E22" s="13">
        <f>ROUND(D22/2,0)</f>
        <v>89</v>
      </c>
      <c r="F22" s="12">
        <f>D22-E22</f>
        <v>89</v>
      </c>
    </row>
    <row r="23" spans="1:6">
      <c r="A23" s="8"/>
      <c r="B23" s="11" t="s">
        <v>11</v>
      </c>
      <c r="C23" s="10">
        <v>1.3200000000000001E-4</v>
      </c>
      <c r="D23" s="12">
        <f>ROUND(D$3*C23,0)</f>
        <v>93</v>
      </c>
      <c r="E23" s="13">
        <f>ROUND(D23/2,0)</f>
        <v>47</v>
      </c>
      <c r="F23" s="12">
        <f>D23-E23</f>
        <v>46</v>
      </c>
    </row>
    <row r="24" spans="1:6">
      <c r="A24" s="8">
        <v>2</v>
      </c>
      <c r="B24" s="11" t="s">
        <v>836</v>
      </c>
      <c r="C24" s="11"/>
      <c r="D24" s="9"/>
      <c r="E24" s="11"/>
      <c r="F24" s="11"/>
    </row>
    <row r="25" spans="1:6">
      <c r="A25" s="8"/>
      <c r="B25" s="11" t="s">
        <v>10</v>
      </c>
      <c r="C25" s="10">
        <v>3.1799999999999998E-4</v>
      </c>
      <c r="D25" s="12">
        <f>ROUND(D$3*C25,0)</f>
        <v>224</v>
      </c>
      <c r="E25" s="13">
        <f>ROUND(D25/2,0)</f>
        <v>112</v>
      </c>
      <c r="F25" s="12">
        <f>D25-E25</f>
        <v>112</v>
      </c>
    </row>
    <row r="26" spans="1:6">
      <c r="A26" s="8"/>
      <c r="B26" s="11" t="s">
        <v>11</v>
      </c>
      <c r="C26" s="10">
        <v>2.0699999999999999E-4</v>
      </c>
      <c r="D26" s="12">
        <f>ROUND(D$3*C26,0)</f>
        <v>146</v>
      </c>
      <c r="E26" s="13">
        <f>ROUND(D26/2,0)</f>
        <v>73</v>
      </c>
      <c r="F26" s="12">
        <f>D26-E26</f>
        <v>73</v>
      </c>
    </row>
    <row r="27" spans="1:6">
      <c r="A27" s="8">
        <v>2</v>
      </c>
      <c r="B27" s="11" t="s">
        <v>837</v>
      </c>
      <c r="C27" s="11"/>
      <c r="D27" s="9"/>
      <c r="E27" s="11"/>
      <c r="F27" s="11"/>
    </row>
    <row r="28" spans="1:6">
      <c r="A28" s="8"/>
      <c r="B28" s="11" t="s">
        <v>10</v>
      </c>
      <c r="C28" s="10">
        <v>3.5860000000000002E-3</v>
      </c>
      <c r="D28" s="12">
        <f>ROUND(D$3*C28,0)</f>
        <v>2531</v>
      </c>
      <c r="E28" s="13">
        <f>ROUND(D28/2,0)</f>
        <v>1266</v>
      </c>
      <c r="F28" s="12">
        <f>D28-E28</f>
        <v>1265</v>
      </c>
    </row>
    <row r="29" spans="1:6">
      <c r="A29" s="8"/>
      <c r="B29" s="11" t="s">
        <v>11</v>
      </c>
      <c r="C29" s="10">
        <v>2.6090000000000002E-3</v>
      </c>
      <c r="D29" s="12">
        <f>ROUND(D$3*C29,0)</f>
        <v>1841</v>
      </c>
      <c r="E29" s="13">
        <f>ROUND(D29/2,0)</f>
        <v>921</v>
      </c>
      <c r="F29" s="12">
        <f>D29-E29</f>
        <v>920</v>
      </c>
    </row>
    <row r="30" spans="1:6">
      <c r="A30" s="8">
        <v>2</v>
      </c>
      <c r="B30" s="11" t="s">
        <v>53</v>
      </c>
      <c r="C30" s="11"/>
      <c r="D30" s="9"/>
      <c r="E30" s="11"/>
      <c r="F30" s="11"/>
    </row>
    <row r="31" spans="1:6">
      <c r="A31" s="8"/>
      <c r="B31" s="11" t="s">
        <v>10</v>
      </c>
      <c r="C31" s="10">
        <v>9.5600000000000004E-4</v>
      </c>
      <c r="D31" s="12">
        <f>ROUND(D$3*C31,0)</f>
        <v>675</v>
      </c>
      <c r="E31" s="13">
        <f>ROUND(D31/2,0)</f>
        <v>338</v>
      </c>
      <c r="F31" s="12">
        <f>D31-E31</f>
        <v>337</v>
      </c>
    </row>
    <row r="32" spans="1:6">
      <c r="A32" s="8"/>
      <c r="B32" s="11" t="s">
        <v>11</v>
      </c>
      <c r="C32" s="10">
        <v>2.92E-4</v>
      </c>
      <c r="D32" s="12">
        <f>ROUND(D$3*C32,0)</f>
        <v>206</v>
      </c>
      <c r="E32" s="13">
        <f>ROUND(D32/2,0)</f>
        <v>103</v>
      </c>
      <c r="F32" s="12">
        <f>D32-E32</f>
        <v>103</v>
      </c>
    </row>
    <row r="33" spans="1:6">
      <c r="A33" s="8">
        <v>2</v>
      </c>
      <c r="B33" s="11" t="s">
        <v>838</v>
      </c>
      <c r="C33" s="11"/>
      <c r="D33" s="9"/>
      <c r="E33" s="11"/>
      <c r="F33" s="11"/>
    </row>
    <row r="34" spans="1:6">
      <c r="A34" s="8"/>
      <c r="B34" s="11" t="s">
        <v>10</v>
      </c>
      <c r="C34" s="10">
        <v>2.0000000000000001E-4</v>
      </c>
      <c r="D34" s="12">
        <f>ROUND(D$3*C34,0)</f>
        <v>141</v>
      </c>
      <c r="E34" s="13">
        <f>ROUND(D34/2,0)</f>
        <v>71</v>
      </c>
      <c r="F34" s="12">
        <f>D34-E34</f>
        <v>70</v>
      </c>
    </row>
    <row r="35" spans="1:6">
      <c r="A35" s="8"/>
      <c r="B35" s="11" t="s">
        <v>11</v>
      </c>
      <c r="C35" s="10">
        <v>4.3999999999999999E-5</v>
      </c>
      <c r="D35" s="12">
        <f>ROUND(D$3*C35,0)</f>
        <v>31</v>
      </c>
      <c r="E35" s="13">
        <f>ROUND(D35/2,0)</f>
        <v>16</v>
      </c>
      <c r="F35" s="12">
        <f>D35-E35</f>
        <v>15</v>
      </c>
    </row>
    <row r="36" spans="1:6">
      <c r="A36" s="8">
        <v>2</v>
      </c>
      <c r="B36" s="11" t="s">
        <v>839</v>
      </c>
      <c r="C36" s="11"/>
      <c r="D36" s="9"/>
      <c r="E36" s="11"/>
      <c r="F36" s="11"/>
    </row>
    <row r="37" spans="1:6">
      <c r="A37" s="8"/>
      <c r="B37" s="11" t="s">
        <v>10</v>
      </c>
      <c r="C37" s="10">
        <v>1.6699999999999999E-4</v>
      </c>
      <c r="D37" s="12">
        <f>ROUND(D$3*C37,0)</f>
        <v>118</v>
      </c>
      <c r="E37" s="13">
        <f>ROUND(D37/2,0)</f>
        <v>59</v>
      </c>
      <c r="F37" s="12">
        <f>D37-E37</f>
        <v>59</v>
      </c>
    </row>
    <row r="38" spans="1:6">
      <c r="A38" s="8"/>
      <c r="B38" s="11" t="s">
        <v>11</v>
      </c>
      <c r="C38" s="10">
        <v>9.2E-5</v>
      </c>
      <c r="D38" s="12">
        <f>ROUND(D$3*C38,0)</f>
        <v>65</v>
      </c>
      <c r="E38" s="13">
        <f>ROUND(D38/2,0)</f>
        <v>33</v>
      </c>
      <c r="F38" s="12">
        <f>D38-E38</f>
        <v>32</v>
      </c>
    </row>
    <row r="39" spans="1:6">
      <c r="A39" s="8">
        <v>2</v>
      </c>
      <c r="B39" s="11" t="s">
        <v>20</v>
      </c>
      <c r="C39" s="11"/>
      <c r="D39" s="9"/>
      <c r="E39" s="11"/>
      <c r="F39" s="11"/>
    </row>
    <row r="40" spans="1:6">
      <c r="A40" s="8"/>
      <c r="B40" s="11" t="s">
        <v>10</v>
      </c>
      <c r="C40" s="10">
        <v>3.4099999999999999E-4</v>
      </c>
      <c r="D40" s="12">
        <f>ROUND(D$3*C40,0)</f>
        <v>241</v>
      </c>
      <c r="E40" s="13">
        <f>ROUND(D40/2,0)</f>
        <v>121</v>
      </c>
      <c r="F40" s="12">
        <f>D40-E40</f>
        <v>120</v>
      </c>
    </row>
    <row r="41" spans="1:6">
      <c r="A41" s="8"/>
      <c r="B41" s="11" t="s">
        <v>11</v>
      </c>
      <c r="C41" s="10">
        <v>9.2999999999999997E-5</v>
      </c>
      <c r="D41" s="12">
        <f>ROUND(D$3*C41,0)</f>
        <v>66</v>
      </c>
      <c r="E41" s="13">
        <f>ROUND(D41/2,0)</f>
        <v>33</v>
      </c>
      <c r="F41" s="12">
        <f>D41-E41</f>
        <v>33</v>
      </c>
    </row>
    <row r="42" spans="1:6">
      <c r="A42" s="8">
        <v>2</v>
      </c>
      <c r="B42" s="11" t="s">
        <v>840</v>
      </c>
      <c r="C42" s="11"/>
      <c r="D42" s="9"/>
      <c r="E42" s="11"/>
      <c r="F42" s="11"/>
    </row>
    <row r="43" spans="1:6">
      <c r="A43" s="8"/>
      <c r="B43" s="11" t="s">
        <v>10</v>
      </c>
      <c r="C43" s="10">
        <v>6.2200000000000005E-4</v>
      </c>
      <c r="D43" s="12">
        <f>ROUND(D$3*C43,0)</f>
        <v>439</v>
      </c>
      <c r="E43" s="13">
        <f>ROUND(D43/2,0)</f>
        <v>220</v>
      </c>
      <c r="F43" s="12">
        <f>D43-E43</f>
        <v>219</v>
      </c>
    </row>
    <row r="44" spans="1:6">
      <c r="A44" s="8"/>
      <c r="B44" s="11" t="s">
        <v>11</v>
      </c>
      <c r="C44" s="10">
        <v>2.43E-4</v>
      </c>
      <c r="D44" s="12">
        <f>ROUND(D$3*C44,0)</f>
        <v>171</v>
      </c>
      <c r="E44" s="13">
        <f>ROUND(D44/2,0)</f>
        <v>86</v>
      </c>
      <c r="F44" s="12">
        <f>D44-E44</f>
        <v>85</v>
      </c>
    </row>
    <row r="45" spans="1:6">
      <c r="A45" s="8">
        <v>2</v>
      </c>
      <c r="B45" s="11" t="s">
        <v>841</v>
      </c>
      <c r="C45" s="11"/>
      <c r="D45" s="9"/>
      <c r="E45" s="11"/>
      <c r="F45" s="11"/>
    </row>
    <row r="46" spans="1:6">
      <c r="A46" s="8"/>
      <c r="B46" s="11" t="s">
        <v>10</v>
      </c>
      <c r="C46" s="10">
        <v>9.9400000000000009E-4</v>
      </c>
      <c r="D46" s="12">
        <f t="shared" ref="D46:D52" si="0">ROUND(D$3*C46,0)</f>
        <v>701</v>
      </c>
      <c r="E46" s="13">
        <f t="shared" ref="E46:E52" si="1">ROUND(D46/2,0)</f>
        <v>351</v>
      </c>
      <c r="F46" s="12">
        <f t="shared" ref="F46:F52" si="2">D46-E46</f>
        <v>350</v>
      </c>
    </row>
    <row r="47" spans="1:6">
      <c r="A47" s="8"/>
      <c r="B47" s="11" t="s">
        <v>11</v>
      </c>
      <c r="C47" s="10">
        <v>3.4699999999999998E-4</v>
      </c>
      <c r="D47" s="12">
        <f t="shared" si="0"/>
        <v>245</v>
      </c>
      <c r="E47" s="13">
        <f t="shared" si="1"/>
        <v>123</v>
      </c>
      <c r="F47" s="12">
        <f t="shared" si="2"/>
        <v>122</v>
      </c>
    </row>
    <row r="48" spans="1:6">
      <c r="A48" s="8">
        <v>3</v>
      </c>
      <c r="B48" s="11" t="s">
        <v>842</v>
      </c>
      <c r="C48" s="10">
        <v>2.1439E-2</v>
      </c>
      <c r="D48" s="12">
        <f t="shared" si="0"/>
        <v>15130</v>
      </c>
      <c r="E48" s="13">
        <f t="shared" si="1"/>
        <v>7565</v>
      </c>
      <c r="F48" s="12">
        <f t="shared" si="2"/>
        <v>7565</v>
      </c>
    </row>
    <row r="49" spans="1:6">
      <c r="A49" s="8">
        <v>3</v>
      </c>
      <c r="B49" s="11" t="s">
        <v>843</v>
      </c>
      <c r="C49" s="10">
        <v>1.2251E-2</v>
      </c>
      <c r="D49" s="12">
        <f t="shared" si="0"/>
        <v>8646</v>
      </c>
      <c r="E49" s="13">
        <f t="shared" si="1"/>
        <v>4323</v>
      </c>
      <c r="F49" s="12">
        <f t="shared" si="2"/>
        <v>4323</v>
      </c>
    </row>
    <row r="50" spans="1:6">
      <c r="A50" s="8">
        <v>3</v>
      </c>
      <c r="B50" s="11" t="s">
        <v>844</v>
      </c>
      <c r="C50" s="10">
        <v>1.4494999999999999E-2</v>
      </c>
      <c r="D50" s="12">
        <f t="shared" si="0"/>
        <v>10229</v>
      </c>
      <c r="E50" s="13">
        <f t="shared" si="1"/>
        <v>5115</v>
      </c>
      <c r="F50" s="12">
        <f t="shared" si="2"/>
        <v>5114</v>
      </c>
    </row>
    <row r="51" spans="1:6">
      <c r="A51" s="8">
        <v>3</v>
      </c>
      <c r="B51" s="11" t="s">
        <v>845</v>
      </c>
      <c r="C51" s="10">
        <v>1.8699999999999999E-4</v>
      </c>
      <c r="D51" s="12">
        <f t="shared" si="0"/>
        <v>132</v>
      </c>
      <c r="E51" s="13">
        <f t="shared" si="1"/>
        <v>66</v>
      </c>
      <c r="F51" s="12">
        <f t="shared" si="2"/>
        <v>66</v>
      </c>
    </row>
    <row r="52" spans="1:6">
      <c r="A52" s="8">
        <v>4</v>
      </c>
      <c r="B52" s="11" t="s">
        <v>846</v>
      </c>
      <c r="C52" s="10">
        <v>0.211035</v>
      </c>
      <c r="D52" s="9">
        <f t="shared" si="0"/>
        <v>148930</v>
      </c>
      <c r="E52" s="11">
        <f t="shared" si="1"/>
        <v>74465</v>
      </c>
      <c r="F52" s="9">
        <f t="shared" si="2"/>
        <v>74465</v>
      </c>
    </row>
    <row r="53" spans="1:6">
      <c r="A53" s="8"/>
      <c r="B53" s="11" t="s">
        <v>28</v>
      </c>
      <c r="C53" s="11"/>
      <c r="D53" s="14">
        <v>0.49685600000000002</v>
      </c>
      <c r="E53" s="11"/>
      <c r="F53" s="11"/>
    </row>
    <row r="54" spans="1:6">
      <c r="A54" s="8"/>
      <c r="B54" s="11" t="s">
        <v>29</v>
      </c>
      <c r="C54" s="11"/>
      <c r="D54" s="225">
        <f>ROUND(D52*D53,0)</f>
        <v>73997</v>
      </c>
      <c r="E54" s="226">
        <f>ROUND(D54/2,0)</f>
        <v>36999</v>
      </c>
      <c r="F54" s="225">
        <f>D54-E54</f>
        <v>36998</v>
      </c>
    </row>
    <row r="55" spans="1:6">
      <c r="A55" s="8"/>
      <c r="B55" s="11" t="s">
        <v>30</v>
      </c>
      <c r="C55" s="11"/>
      <c r="D55" s="12">
        <f>+D52-D54</f>
        <v>74933</v>
      </c>
      <c r="E55" s="13">
        <f>ROUND(D55/2,0)</f>
        <v>37467</v>
      </c>
      <c r="F55" s="12">
        <f>D55-E55</f>
        <v>37466</v>
      </c>
    </row>
    <row r="56" spans="1:6">
      <c r="A56" s="8">
        <v>4</v>
      </c>
      <c r="B56" s="11" t="s">
        <v>847</v>
      </c>
      <c r="C56" s="10">
        <v>0.106741</v>
      </c>
      <c r="D56" s="9">
        <f>ROUND(D$3*C56,0)</f>
        <v>75328</v>
      </c>
      <c r="E56" s="11">
        <f>ROUND(D56/2,0)</f>
        <v>37664</v>
      </c>
      <c r="F56" s="9">
        <f>D56-E56</f>
        <v>37664</v>
      </c>
    </row>
    <row r="57" spans="1:6">
      <c r="A57" s="8"/>
      <c r="B57" s="11" t="s">
        <v>28</v>
      </c>
      <c r="C57" s="11"/>
      <c r="D57" s="14">
        <v>0.52319000000000004</v>
      </c>
      <c r="E57" s="11"/>
      <c r="F57" s="11"/>
    </row>
    <row r="58" spans="1:6">
      <c r="A58" s="8"/>
      <c r="B58" s="11" t="s">
        <v>29</v>
      </c>
      <c r="C58" s="11"/>
      <c r="D58" s="225">
        <f>ROUND(D56*D57,0)</f>
        <v>39411</v>
      </c>
      <c r="E58" s="226">
        <f>ROUND(D58/2,0)</f>
        <v>19706</v>
      </c>
      <c r="F58" s="225">
        <f>D58-E58</f>
        <v>19705</v>
      </c>
    </row>
    <row r="59" spans="1:6">
      <c r="A59" s="8"/>
      <c r="B59" s="11" t="s">
        <v>30</v>
      </c>
      <c r="C59" s="11"/>
      <c r="D59" s="12">
        <f>+D56-D58</f>
        <v>35917</v>
      </c>
      <c r="E59" s="13">
        <f>ROUND(D59/2,0)</f>
        <v>17959</v>
      </c>
      <c r="F59" s="12">
        <f>D59-E59</f>
        <v>17958</v>
      </c>
    </row>
    <row r="60" spans="1:6">
      <c r="A60" s="8">
        <v>4</v>
      </c>
      <c r="B60" s="11" t="s">
        <v>848</v>
      </c>
      <c r="C60" s="10">
        <v>0.38769700000000001</v>
      </c>
      <c r="D60" s="9">
        <f>ROUND(D$3*C60,0)</f>
        <v>273602</v>
      </c>
      <c r="E60" s="11">
        <f>ROUND(D60/2,0)</f>
        <v>136801</v>
      </c>
      <c r="F60" s="9">
        <f>D60-E60</f>
        <v>136801</v>
      </c>
    </row>
    <row r="61" spans="1:6">
      <c r="A61" s="8"/>
      <c r="B61" s="11" t="s">
        <v>28</v>
      </c>
      <c r="C61" s="11"/>
      <c r="D61" s="14">
        <v>0.55119499999999999</v>
      </c>
      <c r="E61" s="11"/>
      <c r="F61" s="11"/>
    </row>
    <row r="62" spans="1:6">
      <c r="A62" s="8"/>
      <c r="B62" s="11" t="s">
        <v>29</v>
      </c>
      <c r="C62" s="11"/>
      <c r="D62" s="225">
        <f>ROUND(D60*D61,0)</f>
        <v>150808</v>
      </c>
      <c r="E62" s="226">
        <f>ROUND(D62/2,0)</f>
        <v>75404</v>
      </c>
      <c r="F62" s="225">
        <f>D62-E62</f>
        <v>75404</v>
      </c>
    </row>
    <row r="63" spans="1:6">
      <c r="A63" s="8"/>
      <c r="B63" s="11" t="s">
        <v>30</v>
      </c>
      <c r="C63" s="11"/>
      <c r="D63" s="12">
        <f>+D60-D62</f>
        <v>122794</v>
      </c>
      <c r="E63" s="13">
        <f>ROUND(D63/2,0)</f>
        <v>61397</v>
      </c>
      <c r="F63" s="12">
        <f>D63-E63</f>
        <v>61397</v>
      </c>
    </row>
    <row r="64" spans="1:6">
      <c r="A64" s="8">
        <v>4</v>
      </c>
      <c r="B64" s="11" t="s">
        <v>849</v>
      </c>
      <c r="C64" s="10">
        <v>4.052E-3</v>
      </c>
      <c r="D64" s="9">
        <f>ROUND(D$3*C64,0)</f>
        <v>2860</v>
      </c>
      <c r="E64" s="11">
        <f>ROUND(D64/2,0)</f>
        <v>1430</v>
      </c>
      <c r="F64" s="9">
        <f>D64-E64</f>
        <v>1430</v>
      </c>
    </row>
    <row r="65" spans="1:8">
      <c r="A65" s="8"/>
      <c r="B65" s="11" t="s">
        <v>28</v>
      </c>
      <c r="C65" s="11"/>
      <c r="D65" s="14">
        <v>0.571967</v>
      </c>
      <c r="E65" s="11"/>
      <c r="F65" s="11"/>
    </row>
    <row r="66" spans="1:8">
      <c r="A66" s="8"/>
      <c r="B66" s="11" t="s">
        <v>29</v>
      </c>
      <c r="C66" s="11"/>
      <c r="D66" s="225">
        <f>ROUND(D64*D65,0)</f>
        <v>1636</v>
      </c>
      <c r="E66" s="226">
        <f>ROUND(D66/2,0)</f>
        <v>818</v>
      </c>
      <c r="F66" s="225">
        <f>D66-E66</f>
        <v>818</v>
      </c>
    </row>
    <row r="67" spans="1:8">
      <c r="A67" s="8"/>
      <c r="B67" s="11" t="s">
        <v>30</v>
      </c>
      <c r="C67" s="11"/>
      <c r="D67" s="12">
        <f>+D64-D66</f>
        <v>1224</v>
      </c>
      <c r="E67" s="13">
        <f>ROUND(D67/2,0)</f>
        <v>612</v>
      </c>
      <c r="F67" s="12">
        <f>D67-E67</f>
        <v>612</v>
      </c>
    </row>
    <row r="68" spans="1:8">
      <c r="A68" s="8">
        <v>5</v>
      </c>
      <c r="B68" s="11" t="s">
        <v>850</v>
      </c>
      <c r="C68" s="10">
        <v>2.4146999999999998E-2</v>
      </c>
      <c r="D68" s="12">
        <f>ROUND(D$3*C68,0)</f>
        <v>17041</v>
      </c>
      <c r="E68" s="13">
        <f>ROUND(D68/2,0)</f>
        <v>8521</v>
      </c>
      <c r="F68" s="12">
        <f>D68-E68</f>
        <v>8520</v>
      </c>
    </row>
    <row r="69" spans="1:8">
      <c r="A69" s="8">
        <v>5</v>
      </c>
      <c r="B69" s="11" t="s">
        <v>851</v>
      </c>
      <c r="C69" s="10">
        <v>7.9159999999999994E-3</v>
      </c>
      <c r="D69" s="12">
        <f>+D3-SUM(D4:D5)-SUM(D10:D52)-D56-D60-D64-D68</f>
        <v>5585</v>
      </c>
      <c r="E69" s="13">
        <f>ROUND(D69/2,0)</f>
        <v>2793</v>
      </c>
      <c r="F69" s="12">
        <f>D69-E69</f>
        <v>2792</v>
      </c>
    </row>
    <row r="70" spans="1:8">
      <c r="A70" s="8">
        <v>6</v>
      </c>
      <c r="B70" s="11" t="s">
        <v>131</v>
      </c>
      <c r="C70" s="10">
        <v>0</v>
      </c>
      <c r="D70" s="12">
        <f>ROUND(D$3*C70,0)</f>
        <v>0</v>
      </c>
      <c r="E70" s="13">
        <f>ROUND(D70/2,0)</f>
        <v>0</v>
      </c>
      <c r="F70" s="12">
        <f>D70-E70</f>
        <v>0</v>
      </c>
    </row>
    <row r="71" spans="1:8">
      <c r="A71" s="8" t="s">
        <v>590</v>
      </c>
      <c r="B71" s="28" t="s">
        <v>288</v>
      </c>
      <c r="C71" s="10">
        <v>0.99999999999999989</v>
      </c>
      <c r="D71" s="12">
        <f>+D4+SUM(D7:D51)+SUM(D54:D55)+SUM(D58:D59)+SUM(D62:D63)+SUM(D66:D70)</f>
        <v>705710</v>
      </c>
      <c r="E71" s="12">
        <f>+E4+SUM(E7:E51)+SUM(E54:E55)+SUM(E58:E59)+SUM(E62:E63)+SUM(E66:E70)</f>
        <v>352867</v>
      </c>
      <c r="F71" s="12">
        <f>+F4+SUM(F7:F51)+SUM(F54:F55)+SUM(F58:F59)+SUM(F62:F63)+SUM(F66:F70)</f>
        <v>352843</v>
      </c>
    </row>
    <row r="72" spans="1:8">
      <c r="B72" s="18" t="s">
        <v>38</v>
      </c>
      <c r="D72" s="19">
        <f>+D4</f>
        <v>976</v>
      </c>
      <c r="E72" s="19">
        <f>+E4</f>
        <v>488</v>
      </c>
      <c r="F72" s="19">
        <f>+F4</f>
        <v>488</v>
      </c>
    </row>
    <row r="73" spans="1:8">
      <c r="B73" s="2" t="s">
        <v>39</v>
      </c>
      <c r="D73" s="19">
        <f>+D7</f>
        <v>22655</v>
      </c>
      <c r="E73" s="19">
        <f>+E7</f>
        <v>11328</v>
      </c>
      <c r="F73" s="19">
        <f>+F7</f>
        <v>11327</v>
      </c>
    </row>
    <row r="74" spans="1:8">
      <c r="B74" s="2" t="s">
        <v>40</v>
      </c>
      <c r="D74" s="19">
        <f>+D54+D58+D62+D66</f>
        <v>265852</v>
      </c>
      <c r="E74" s="19">
        <f>+E54+E58+E62+E66</f>
        <v>132927</v>
      </c>
      <c r="F74" s="19">
        <f>+F54+F58+F62+F66</f>
        <v>132925</v>
      </c>
      <c r="H74" s="3">
        <v>1</v>
      </c>
    </row>
    <row r="75" spans="1:8">
      <c r="B75" s="18" t="s">
        <v>41</v>
      </c>
      <c r="D75" s="19">
        <f>+D71-D72-D73-D74</f>
        <v>416227</v>
      </c>
      <c r="E75" s="19">
        <f>+E71-E72-E73-E74</f>
        <v>208124</v>
      </c>
      <c r="F75" s="19">
        <f>+F71-F72-F73-F74</f>
        <v>208103</v>
      </c>
      <c r="H75" s="3">
        <v>2</v>
      </c>
    </row>
    <row r="77" spans="1:8" hidden="1">
      <c r="B77" s="3" t="s">
        <v>42</v>
      </c>
      <c r="C77" s="4">
        <v>0</v>
      </c>
      <c r="D77" s="3">
        <f>+D69-ROUND(D3*C69,0)</f>
        <v>-1</v>
      </c>
    </row>
  </sheetData>
  <pageMargins left="0.7" right="0.7" top="0.75" bottom="0.75" header="0.3" footer="0.3"/>
  <pageSetup scale="5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pageSetUpPr fitToPage="1"/>
  </sheetPr>
  <dimension ref="A1:WVB71"/>
  <sheetViews>
    <sheetView topLeftCell="A32" zoomScaleNormal="100" zoomScaleSheetLayoutView="90" workbookViewId="0">
      <selection activeCell="D53" activeCellId="1" sqref="D7:F7 D53:F53"/>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3.140625" style="3" hidden="1"/>
    <col min="190" max="246" width="9.140625" style="3" hidden="1"/>
    <col min="247" max="247" width="16.28515625" style="3" hidden="1"/>
    <col min="248" max="248" width="17.5703125" style="3" hidden="1"/>
    <col min="249" max="249" width="16" style="3" hidden="1"/>
    <col min="250" max="250" width="18.140625" style="3" hidden="1"/>
    <col min="251" max="443" width="9.140625" style="3" hidden="1"/>
    <col min="444" max="444" width="11" style="3" hidden="1"/>
    <col min="445" max="445" width="53.140625" style="3" hidden="1"/>
    <col min="446" max="502" width="9.140625" style="3" hidden="1"/>
    <col min="503" max="503" width="16.28515625" style="3" hidden="1"/>
    <col min="504" max="504" width="17.5703125" style="3" hidden="1"/>
    <col min="505" max="505" width="16" style="3" hidden="1"/>
    <col min="506" max="506" width="18.140625" style="3" hidden="1"/>
    <col min="507" max="699" width="9.140625" style="3" hidden="1"/>
    <col min="700" max="700" width="11" style="3" hidden="1"/>
    <col min="701" max="701" width="53.140625" style="3" hidden="1"/>
    <col min="702" max="758" width="9.140625" style="3" hidden="1"/>
    <col min="759" max="759" width="16.28515625" style="3" hidden="1"/>
    <col min="760" max="760" width="17.5703125" style="3" hidden="1"/>
    <col min="761" max="761" width="16" style="3" hidden="1"/>
    <col min="762" max="762" width="18.140625" style="3" hidden="1"/>
    <col min="763" max="955" width="9.140625" style="3" hidden="1"/>
    <col min="956" max="956" width="11" style="3" hidden="1"/>
    <col min="957" max="957" width="53.140625" style="3" hidden="1"/>
    <col min="958" max="1014" width="9.140625" style="3" hidden="1"/>
    <col min="1015" max="1015" width="16.28515625" style="3" hidden="1"/>
    <col min="1016" max="1016" width="17.5703125" style="3" hidden="1"/>
    <col min="1017" max="1017" width="16" style="3" hidden="1"/>
    <col min="1018" max="1018" width="18.140625" style="3" hidden="1"/>
    <col min="1019" max="1211" width="9.140625" style="3" hidden="1"/>
    <col min="1212" max="1212" width="11" style="3" hidden="1"/>
    <col min="1213" max="1213" width="53.140625" style="3" hidden="1"/>
    <col min="1214" max="1270" width="9.140625" style="3" hidden="1"/>
    <col min="1271" max="1271" width="16.28515625" style="3" hidden="1"/>
    <col min="1272" max="1272" width="17.5703125" style="3" hidden="1"/>
    <col min="1273" max="1273" width="16" style="3" hidden="1"/>
    <col min="1274" max="1274" width="18.140625" style="3" hidden="1"/>
    <col min="1275" max="1467" width="9.140625" style="3" hidden="1"/>
    <col min="1468" max="1468" width="11" style="3" hidden="1"/>
    <col min="1469" max="1469" width="53.140625" style="3" hidden="1"/>
    <col min="1470" max="1526" width="9.140625" style="3" hidden="1"/>
    <col min="1527" max="1527" width="16.28515625" style="3" hidden="1"/>
    <col min="1528" max="1528" width="17.5703125" style="3" hidden="1"/>
    <col min="1529" max="1529" width="16" style="3" hidden="1"/>
    <col min="1530" max="1530" width="18.140625" style="3" hidden="1"/>
    <col min="1531" max="1723" width="9.140625" style="3" hidden="1"/>
    <col min="1724" max="1724" width="11" style="3" hidden="1"/>
    <col min="1725" max="1725" width="53.140625" style="3" hidden="1"/>
    <col min="1726" max="1782" width="9.140625" style="3" hidden="1"/>
    <col min="1783" max="1783" width="16.28515625" style="3" hidden="1"/>
    <col min="1784" max="1784" width="17.5703125" style="3" hidden="1"/>
    <col min="1785" max="1785" width="16" style="3" hidden="1"/>
    <col min="1786" max="1786" width="18.140625" style="3" hidden="1"/>
    <col min="1787" max="1979" width="9.140625" style="3" hidden="1"/>
    <col min="1980" max="1980" width="11" style="3" hidden="1"/>
    <col min="1981" max="1981" width="53.140625" style="3" hidden="1"/>
    <col min="1982" max="2038" width="9.140625" style="3" hidden="1"/>
    <col min="2039" max="2039" width="16.28515625" style="3" hidden="1"/>
    <col min="2040" max="2040" width="17.5703125" style="3" hidden="1"/>
    <col min="2041" max="2041" width="16" style="3" hidden="1"/>
    <col min="2042" max="2042" width="18.140625" style="3" hidden="1"/>
    <col min="2043" max="2235" width="9.140625" style="3" hidden="1"/>
    <col min="2236" max="2236" width="11" style="3" hidden="1"/>
    <col min="2237" max="2237" width="53.140625" style="3" hidden="1"/>
    <col min="2238" max="2294" width="9.140625" style="3" hidden="1"/>
    <col min="2295" max="2295" width="16.28515625" style="3" hidden="1"/>
    <col min="2296" max="2296" width="17.5703125" style="3" hidden="1"/>
    <col min="2297" max="2297" width="16" style="3" hidden="1"/>
    <col min="2298" max="2298" width="18.140625" style="3" hidden="1"/>
    <col min="2299" max="2491" width="9.140625" style="3" hidden="1"/>
    <col min="2492" max="2492" width="11" style="3" hidden="1"/>
    <col min="2493" max="2493" width="53.140625" style="3" hidden="1"/>
    <col min="2494" max="2550" width="9.140625" style="3" hidden="1"/>
    <col min="2551" max="2551" width="16.28515625" style="3" hidden="1"/>
    <col min="2552" max="2552" width="17.5703125" style="3" hidden="1"/>
    <col min="2553" max="2553" width="16" style="3" hidden="1"/>
    <col min="2554" max="2554" width="18.140625" style="3" hidden="1"/>
    <col min="2555" max="2747" width="9.140625" style="3" hidden="1"/>
    <col min="2748" max="2748" width="11" style="3" hidden="1"/>
    <col min="2749" max="2749" width="53.140625" style="3" hidden="1"/>
    <col min="2750" max="2806" width="9.140625" style="3" hidden="1"/>
    <col min="2807" max="2807" width="16.28515625" style="3" hidden="1"/>
    <col min="2808" max="2808" width="17.5703125" style="3" hidden="1"/>
    <col min="2809" max="2809" width="16" style="3" hidden="1"/>
    <col min="2810" max="2810" width="18.140625" style="3" hidden="1"/>
    <col min="2811" max="3003" width="9.140625" style="3" hidden="1"/>
    <col min="3004" max="3004" width="11" style="3" hidden="1"/>
    <col min="3005" max="3005" width="53.140625" style="3" hidden="1"/>
    <col min="3006" max="3062" width="9.140625" style="3" hidden="1"/>
    <col min="3063" max="3063" width="16.28515625" style="3" hidden="1"/>
    <col min="3064" max="3064" width="17.5703125" style="3" hidden="1"/>
    <col min="3065" max="3065" width="16" style="3" hidden="1"/>
    <col min="3066" max="3066" width="18.140625" style="3" hidden="1"/>
    <col min="3067" max="3259" width="9.140625" style="3" hidden="1"/>
    <col min="3260" max="3260" width="11" style="3" hidden="1"/>
    <col min="3261" max="3261" width="53.140625" style="3" hidden="1"/>
    <col min="3262" max="3318" width="9.140625" style="3" hidden="1"/>
    <col min="3319" max="3319" width="16.28515625" style="3" hidden="1"/>
    <col min="3320" max="3320" width="17.5703125" style="3" hidden="1"/>
    <col min="3321" max="3321" width="16" style="3" hidden="1"/>
    <col min="3322" max="3322" width="18.140625" style="3" hidden="1"/>
    <col min="3323" max="3515" width="9.140625" style="3" hidden="1"/>
    <col min="3516" max="3516" width="11" style="3" hidden="1"/>
    <col min="3517" max="3517" width="53.140625" style="3" hidden="1"/>
    <col min="3518" max="3574" width="9.140625" style="3" hidden="1"/>
    <col min="3575" max="3575" width="16.28515625" style="3" hidden="1"/>
    <col min="3576" max="3576" width="17.5703125" style="3" hidden="1"/>
    <col min="3577" max="3577" width="16" style="3" hidden="1"/>
    <col min="3578" max="3578" width="18.140625" style="3" hidden="1"/>
    <col min="3579" max="3771" width="9.140625" style="3" hidden="1"/>
    <col min="3772" max="3772" width="11" style="3" hidden="1"/>
    <col min="3773" max="3773" width="53.140625" style="3" hidden="1"/>
    <col min="3774" max="3830" width="9.140625" style="3" hidden="1"/>
    <col min="3831" max="3831" width="16.28515625" style="3" hidden="1"/>
    <col min="3832" max="3832" width="17.5703125" style="3" hidden="1"/>
    <col min="3833" max="3833" width="16" style="3" hidden="1"/>
    <col min="3834" max="3834" width="18.140625" style="3" hidden="1"/>
    <col min="3835" max="4027" width="9.140625" style="3" hidden="1"/>
    <col min="4028" max="4028" width="11" style="3" hidden="1"/>
    <col min="4029" max="4029" width="53.140625" style="3" hidden="1"/>
    <col min="4030" max="4086" width="9.140625" style="3" hidden="1"/>
    <col min="4087" max="4087" width="16.28515625" style="3" hidden="1"/>
    <col min="4088" max="4088" width="17.5703125" style="3" hidden="1"/>
    <col min="4089" max="4089" width="16" style="3" hidden="1"/>
    <col min="4090" max="4090" width="18.140625" style="3" hidden="1"/>
    <col min="4091" max="4283" width="9.140625" style="3" hidden="1"/>
    <col min="4284" max="4284" width="11" style="3" hidden="1"/>
    <col min="4285" max="4285" width="53.140625" style="3" hidden="1"/>
    <col min="4286" max="4342" width="9.140625" style="3" hidden="1"/>
    <col min="4343" max="4343" width="16.28515625" style="3" hidden="1"/>
    <col min="4344" max="4344" width="17.5703125" style="3" hidden="1"/>
    <col min="4345" max="4345" width="16" style="3" hidden="1"/>
    <col min="4346" max="4346" width="18.140625" style="3" hidden="1"/>
    <col min="4347" max="4539" width="9.140625" style="3" hidden="1"/>
    <col min="4540" max="4540" width="11" style="3" hidden="1"/>
    <col min="4541" max="4541" width="53.140625" style="3" hidden="1"/>
    <col min="4542" max="4598" width="9.140625" style="3" hidden="1"/>
    <col min="4599" max="4599" width="16.28515625" style="3" hidden="1"/>
    <col min="4600" max="4600" width="17.5703125" style="3" hidden="1"/>
    <col min="4601" max="4601" width="16" style="3" hidden="1"/>
    <col min="4602" max="4602" width="18.140625" style="3" hidden="1"/>
    <col min="4603" max="4795" width="9.140625" style="3" hidden="1"/>
    <col min="4796" max="4796" width="11" style="3" hidden="1"/>
    <col min="4797" max="4797" width="53.140625" style="3" hidden="1"/>
    <col min="4798" max="4854" width="9.140625" style="3" hidden="1"/>
    <col min="4855" max="4855" width="16.28515625" style="3" hidden="1"/>
    <col min="4856" max="4856" width="17.5703125" style="3" hidden="1"/>
    <col min="4857" max="4857" width="16" style="3" hidden="1"/>
    <col min="4858" max="4858" width="18.140625" style="3" hidden="1"/>
    <col min="4859" max="5051" width="9.140625" style="3" hidden="1"/>
    <col min="5052" max="5052" width="11" style="3" hidden="1"/>
    <col min="5053" max="5053" width="53.140625" style="3" hidden="1"/>
    <col min="5054" max="5110" width="9.140625" style="3" hidden="1"/>
    <col min="5111" max="5111" width="16.28515625" style="3" hidden="1"/>
    <col min="5112" max="5112" width="17.5703125" style="3" hidden="1"/>
    <col min="5113" max="5113" width="16" style="3" hidden="1"/>
    <col min="5114" max="5114" width="18.140625" style="3" hidden="1"/>
    <col min="5115" max="5307" width="9.140625" style="3" hidden="1"/>
    <col min="5308" max="5308" width="11" style="3" hidden="1"/>
    <col min="5309" max="5309" width="53.140625" style="3" hidden="1"/>
    <col min="5310" max="5366" width="9.140625" style="3" hidden="1"/>
    <col min="5367" max="5367" width="16.28515625" style="3" hidden="1"/>
    <col min="5368" max="5368" width="17.5703125" style="3" hidden="1"/>
    <col min="5369" max="5369" width="16" style="3" hidden="1"/>
    <col min="5370" max="5370" width="18.140625" style="3" hidden="1"/>
    <col min="5371" max="5563" width="9.140625" style="3" hidden="1"/>
    <col min="5564" max="5564" width="11" style="3" hidden="1"/>
    <col min="5565" max="5565" width="53.140625" style="3" hidden="1"/>
    <col min="5566" max="5622" width="9.140625" style="3" hidden="1"/>
    <col min="5623" max="5623" width="16.28515625" style="3" hidden="1"/>
    <col min="5624" max="5624" width="17.5703125" style="3" hidden="1"/>
    <col min="5625" max="5625" width="16" style="3" hidden="1"/>
    <col min="5626" max="5626" width="18.140625" style="3" hidden="1"/>
    <col min="5627" max="5819" width="9.140625" style="3" hidden="1"/>
    <col min="5820" max="5820" width="11" style="3" hidden="1"/>
    <col min="5821" max="5821" width="53.140625" style="3" hidden="1"/>
    <col min="5822" max="5878" width="9.140625" style="3" hidden="1"/>
    <col min="5879" max="5879" width="16.28515625" style="3" hidden="1"/>
    <col min="5880" max="5880" width="17.5703125" style="3" hidden="1"/>
    <col min="5881" max="5881" width="16" style="3" hidden="1"/>
    <col min="5882" max="5882" width="18.140625" style="3" hidden="1"/>
    <col min="5883" max="6075" width="9.140625" style="3" hidden="1"/>
    <col min="6076" max="6076" width="11" style="3" hidden="1"/>
    <col min="6077" max="6077" width="53.140625" style="3" hidden="1"/>
    <col min="6078" max="6134" width="9.140625" style="3" hidden="1"/>
    <col min="6135" max="6135" width="16.28515625" style="3" hidden="1"/>
    <col min="6136" max="6136" width="17.5703125" style="3" hidden="1"/>
    <col min="6137" max="6137" width="16" style="3" hidden="1"/>
    <col min="6138" max="6138" width="18.140625" style="3" hidden="1"/>
    <col min="6139" max="6331" width="9.140625" style="3" hidden="1"/>
    <col min="6332" max="6332" width="11" style="3" hidden="1"/>
    <col min="6333" max="6333" width="53.140625" style="3" hidden="1"/>
    <col min="6334" max="6390" width="9.140625" style="3" hidden="1"/>
    <col min="6391" max="6391" width="16.28515625" style="3" hidden="1"/>
    <col min="6392" max="6392" width="17.5703125" style="3" hidden="1"/>
    <col min="6393" max="6393" width="16" style="3" hidden="1"/>
    <col min="6394" max="6394" width="18.140625" style="3" hidden="1"/>
    <col min="6395" max="6587" width="9.140625" style="3" hidden="1"/>
    <col min="6588" max="6588" width="11" style="3" hidden="1"/>
    <col min="6589" max="6589" width="53.140625" style="3" hidden="1"/>
    <col min="6590" max="6646" width="9.140625" style="3" hidden="1"/>
    <col min="6647" max="6647" width="16.28515625" style="3" hidden="1"/>
    <col min="6648" max="6648" width="17.5703125" style="3" hidden="1"/>
    <col min="6649" max="6649" width="16" style="3" hidden="1"/>
    <col min="6650" max="6650" width="18.140625" style="3" hidden="1"/>
    <col min="6651" max="6843" width="9.140625" style="3" hidden="1"/>
    <col min="6844" max="6844" width="11" style="3" hidden="1"/>
    <col min="6845" max="6845" width="53.140625" style="3" hidden="1"/>
    <col min="6846" max="6902" width="9.140625" style="3" hidden="1"/>
    <col min="6903" max="6903" width="16.28515625" style="3" hidden="1"/>
    <col min="6904" max="6904" width="17.5703125" style="3" hidden="1"/>
    <col min="6905" max="6905" width="16" style="3" hidden="1"/>
    <col min="6906" max="6906" width="18.140625" style="3" hidden="1"/>
    <col min="6907" max="7099" width="9.140625" style="3" hidden="1"/>
    <col min="7100" max="7100" width="11" style="3" hidden="1"/>
    <col min="7101" max="7101" width="53.140625" style="3" hidden="1"/>
    <col min="7102" max="7158" width="9.140625" style="3" hidden="1"/>
    <col min="7159" max="7159" width="16.28515625" style="3" hidden="1"/>
    <col min="7160" max="7160" width="17.5703125" style="3" hidden="1"/>
    <col min="7161" max="7161" width="16" style="3" hidden="1"/>
    <col min="7162" max="7162" width="18.140625" style="3" hidden="1"/>
    <col min="7163" max="7355" width="9.140625" style="3" hidden="1"/>
    <col min="7356" max="7356" width="11" style="3" hidden="1"/>
    <col min="7357" max="7357" width="53.140625" style="3" hidden="1"/>
    <col min="7358" max="7414" width="9.140625" style="3" hidden="1"/>
    <col min="7415" max="7415" width="16.28515625" style="3" hidden="1"/>
    <col min="7416" max="7416" width="17.5703125" style="3" hidden="1"/>
    <col min="7417" max="7417" width="16" style="3" hidden="1"/>
    <col min="7418" max="7418" width="18.140625" style="3" hidden="1"/>
    <col min="7419" max="7611" width="9.140625" style="3" hidden="1"/>
    <col min="7612" max="7612" width="11" style="3" hidden="1"/>
    <col min="7613" max="7613" width="53.140625" style="3" hidden="1"/>
    <col min="7614" max="7670" width="9.140625" style="3" hidden="1"/>
    <col min="7671" max="7671" width="16.28515625" style="3" hidden="1"/>
    <col min="7672" max="7672" width="17.5703125" style="3" hidden="1"/>
    <col min="7673" max="7673" width="16" style="3" hidden="1"/>
    <col min="7674" max="7674" width="18.140625" style="3" hidden="1"/>
    <col min="7675" max="7867" width="9.140625" style="3" hidden="1"/>
    <col min="7868" max="7868" width="11" style="3" hidden="1"/>
    <col min="7869" max="7869" width="53.140625" style="3" hidden="1"/>
    <col min="7870" max="7926" width="9.140625" style="3" hidden="1"/>
    <col min="7927" max="7927" width="16.28515625" style="3" hidden="1"/>
    <col min="7928" max="7928" width="17.5703125" style="3" hidden="1"/>
    <col min="7929" max="7929" width="16" style="3" hidden="1"/>
    <col min="7930" max="7930" width="18.140625" style="3" hidden="1"/>
    <col min="7931" max="8123" width="9.140625" style="3" hidden="1"/>
    <col min="8124" max="8124" width="11" style="3" hidden="1"/>
    <col min="8125" max="8125" width="53.140625" style="3" hidden="1"/>
    <col min="8126" max="8182" width="9.140625" style="3" hidden="1"/>
    <col min="8183" max="8183" width="16.28515625" style="3" hidden="1"/>
    <col min="8184" max="8184" width="17.5703125" style="3" hidden="1"/>
    <col min="8185" max="8185" width="16" style="3" hidden="1"/>
    <col min="8186" max="8186" width="18.140625" style="3" hidden="1"/>
    <col min="8187" max="8379" width="9.140625" style="3" hidden="1"/>
    <col min="8380" max="8380" width="11" style="3" hidden="1"/>
    <col min="8381" max="8381" width="53.140625" style="3" hidden="1"/>
    <col min="8382" max="8438" width="9.140625" style="3" hidden="1"/>
    <col min="8439" max="8439" width="16.28515625" style="3" hidden="1"/>
    <col min="8440" max="8440" width="17.5703125" style="3" hidden="1"/>
    <col min="8441" max="8441" width="16" style="3" hidden="1"/>
    <col min="8442" max="8442" width="18.140625" style="3" hidden="1"/>
    <col min="8443" max="8635" width="9.140625" style="3" hidden="1"/>
    <col min="8636" max="8636" width="11" style="3" hidden="1"/>
    <col min="8637" max="8637" width="53.140625" style="3" hidden="1"/>
    <col min="8638" max="8694" width="9.140625" style="3" hidden="1"/>
    <col min="8695" max="8695" width="16.28515625" style="3" hidden="1"/>
    <col min="8696" max="8696" width="17.5703125" style="3" hidden="1"/>
    <col min="8697" max="8697" width="16" style="3" hidden="1"/>
    <col min="8698" max="8698" width="18.140625" style="3" hidden="1"/>
    <col min="8699" max="8891" width="9.140625" style="3" hidden="1"/>
    <col min="8892" max="8892" width="11" style="3" hidden="1"/>
    <col min="8893" max="8893" width="53.140625" style="3" hidden="1"/>
    <col min="8894" max="8950" width="9.140625" style="3" hidden="1"/>
    <col min="8951" max="8951" width="16.28515625" style="3" hidden="1"/>
    <col min="8952" max="8952" width="17.5703125" style="3" hidden="1"/>
    <col min="8953" max="8953" width="16" style="3" hidden="1"/>
    <col min="8954" max="8954" width="18.140625" style="3" hidden="1"/>
    <col min="8955" max="9147" width="9.140625" style="3" hidden="1"/>
    <col min="9148" max="9148" width="11" style="3" hidden="1"/>
    <col min="9149" max="9149" width="53.140625" style="3" hidden="1"/>
    <col min="9150" max="9206" width="9.140625" style="3" hidden="1"/>
    <col min="9207" max="9207" width="16.28515625" style="3" hidden="1"/>
    <col min="9208" max="9208" width="17.5703125" style="3" hidden="1"/>
    <col min="9209" max="9209" width="16" style="3" hidden="1"/>
    <col min="9210" max="9210" width="18.140625" style="3" hidden="1"/>
    <col min="9211" max="9403" width="9.140625" style="3" hidden="1"/>
    <col min="9404" max="9404" width="11" style="3" hidden="1"/>
    <col min="9405" max="9405" width="53.140625" style="3" hidden="1"/>
    <col min="9406" max="9462" width="9.140625" style="3" hidden="1"/>
    <col min="9463" max="9463" width="16.28515625" style="3" hidden="1"/>
    <col min="9464" max="9464" width="17.5703125" style="3" hidden="1"/>
    <col min="9465" max="9465" width="16" style="3" hidden="1"/>
    <col min="9466" max="9466" width="18.140625" style="3" hidden="1"/>
    <col min="9467" max="9659" width="9.140625" style="3" hidden="1"/>
    <col min="9660" max="9660" width="11" style="3" hidden="1"/>
    <col min="9661" max="9661" width="53.140625" style="3" hidden="1"/>
    <col min="9662" max="9718" width="9.140625" style="3" hidden="1"/>
    <col min="9719" max="9719" width="16.28515625" style="3" hidden="1"/>
    <col min="9720" max="9720" width="17.5703125" style="3" hidden="1"/>
    <col min="9721" max="9721" width="16" style="3" hidden="1"/>
    <col min="9722" max="9722" width="18.140625" style="3" hidden="1"/>
    <col min="9723" max="9915" width="9.140625" style="3" hidden="1"/>
    <col min="9916" max="9916" width="11" style="3" hidden="1"/>
    <col min="9917" max="9917" width="53.140625" style="3" hidden="1"/>
    <col min="9918" max="9974" width="9.140625" style="3" hidden="1"/>
    <col min="9975" max="9975" width="16.28515625" style="3" hidden="1"/>
    <col min="9976" max="9976" width="17.5703125" style="3" hidden="1"/>
    <col min="9977" max="9977" width="16" style="3" hidden="1"/>
    <col min="9978" max="9978" width="18.140625" style="3" hidden="1"/>
    <col min="9979" max="10171" width="9.140625" style="3" hidden="1"/>
    <col min="10172" max="10172" width="11" style="3" hidden="1"/>
    <col min="10173" max="10173" width="53.140625" style="3" hidden="1"/>
    <col min="10174" max="10230" width="9.140625" style="3" hidden="1"/>
    <col min="10231" max="10231" width="16.28515625" style="3" hidden="1"/>
    <col min="10232" max="10232" width="17.5703125" style="3" hidden="1"/>
    <col min="10233" max="10233" width="16" style="3" hidden="1"/>
    <col min="10234" max="10234" width="18.140625" style="3" hidden="1"/>
    <col min="10235" max="10427" width="9.140625" style="3" hidden="1"/>
    <col min="10428" max="10428" width="11" style="3" hidden="1"/>
    <col min="10429" max="10429" width="53.140625" style="3" hidden="1"/>
    <col min="10430" max="10486" width="9.140625" style="3" hidden="1"/>
    <col min="10487" max="10487" width="16.28515625" style="3" hidden="1"/>
    <col min="10488" max="10488" width="17.5703125" style="3" hidden="1"/>
    <col min="10489" max="10489" width="16" style="3" hidden="1"/>
    <col min="10490" max="10490" width="18.140625" style="3" hidden="1"/>
    <col min="10491" max="10683" width="9.140625" style="3" hidden="1"/>
    <col min="10684" max="10684" width="11" style="3" hidden="1"/>
    <col min="10685" max="10685" width="53.140625" style="3" hidden="1"/>
    <col min="10686" max="10742" width="9.140625" style="3" hidden="1"/>
    <col min="10743" max="10743" width="16.28515625" style="3" hidden="1"/>
    <col min="10744" max="10744" width="17.5703125" style="3" hidden="1"/>
    <col min="10745" max="10745" width="16" style="3" hidden="1"/>
    <col min="10746" max="10746" width="18.140625" style="3" hidden="1"/>
    <col min="10747" max="10939" width="9.140625" style="3" hidden="1"/>
    <col min="10940" max="10940" width="11" style="3" hidden="1"/>
    <col min="10941" max="10941" width="53.140625" style="3" hidden="1"/>
    <col min="10942" max="10998" width="9.140625" style="3" hidden="1"/>
    <col min="10999" max="10999" width="16.28515625" style="3" hidden="1"/>
    <col min="11000" max="11000" width="17.5703125" style="3" hidden="1"/>
    <col min="11001" max="11001" width="16" style="3" hidden="1"/>
    <col min="11002" max="11002" width="18.140625" style="3" hidden="1"/>
    <col min="11003" max="11195" width="9.140625" style="3" hidden="1"/>
    <col min="11196" max="11196" width="11" style="3" hidden="1"/>
    <col min="11197" max="11197" width="53.140625" style="3" hidden="1"/>
    <col min="11198" max="11254" width="9.140625" style="3" hidden="1"/>
    <col min="11255" max="11255" width="16.28515625" style="3" hidden="1"/>
    <col min="11256" max="11256" width="17.5703125" style="3" hidden="1"/>
    <col min="11257" max="11257" width="16" style="3" hidden="1"/>
    <col min="11258" max="11258" width="18.140625" style="3" hidden="1"/>
    <col min="11259" max="11451" width="9.140625" style="3" hidden="1"/>
    <col min="11452" max="11452" width="11" style="3" hidden="1"/>
    <col min="11453" max="11453" width="53.140625" style="3" hidden="1"/>
    <col min="11454" max="11510" width="9.140625" style="3" hidden="1"/>
    <col min="11511" max="11511" width="16.28515625" style="3" hidden="1"/>
    <col min="11512" max="11512" width="17.5703125" style="3" hidden="1"/>
    <col min="11513" max="11513" width="16" style="3" hidden="1"/>
    <col min="11514" max="11514" width="18.140625" style="3" hidden="1"/>
    <col min="11515" max="11707" width="9.140625" style="3" hidden="1"/>
    <col min="11708" max="11708" width="11" style="3" hidden="1"/>
    <col min="11709" max="11709" width="53.140625" style="3" hidden="1"/>
    <col min="11710" max="11766" width="9.140625" style="3" hidden="1"/>
    <col min="11767" max="11767" width="16.28515625" style="3" hidden="1"/>
    <col min="11768" max="11768" width="17.5703125" style="3" hidden="1"/>
    <col min="11769" max="11769" width="16" style="3" hidden="1"/>
    <col min="11770" max="11770" width="18.140625" style="3" hidden="1"/>
    <col min="11771" max="11963" width="9.140625" style="3" hidden="1"/>
    <col min="11964" max="11964" width="11" style="3" hidden="1"/>
    <col min="11965" max="11965" width="53.140625" style="3" hidden="1"/>
    <col min="11966" max="12022" width="9.140625" style="3" hidden="1"/>
    <col min="12023" max="12023" width="16.28515625" style="3" hidden="1"/>
    <col min="12024" max="12024" width="17.5703125" style="3" hidden="1"/>
    <col min="12025" max="12025" width="16" style="3" hidden="1"/>
    <col min="12026" max="12026" width="18.140625" style="3" hidden="1"/>
    <col min="12027" max="12219" width="9.140625" style="3" hidden="1"/>
    <col min="12220" max="12220" width="11" style="3" hidden="1"/>
    <col min="12221" max="12221" width="53.140625" style="3" hidden="1"/>
    <col min="12222" max="12278" width="9.140625" style="3" hidden="1"/>
    <col min="12279" max="12279" width="16.28515625" style="3" hidden="1"/>
    <col min="12280" max="12280" width="17.5703125" style="3" hidden="1"/>
    <col min="12281" max="12281" width="16" style="3" hidden="1"/>
    <col min="12282" max="12282" width="18.140625" style="3" hidden="1"/>
    <col min="12283" max="12475" width="9.140625" style="3" hidden="1"/>
    <col min="12476" max="12476" width="11" style="3" hidden="1"/>
    <col min="12477" max="12477" width="53.140625" style="3" hidden="1"/>
    <col min="12478" max="12534" width="9.140625" style="3" hidden="1"/>
    <col min="12535" max="12535" width="16.28515625" style="3" hidden="1"/>
    <col min="12536" max="12536" width="17.5703125" style="3" hidden="1"/>
    <col min="12537" max="12537" width="16" style="3" hidden="1"/>
    <col min="12538" max="12538" width="18.140625" style="3" hidden="1"/>
    <col min="12539" max="12731" width="9.140625" style="3" hidden="1"/>
    <col min="12732" max="12732" width="11" style="3" hidden="1"/>
    <col min="12733" max="12733" width="53.140625" style="3" hidden="1"/>
    <col min="12734" max="12790" width="9.140625" style="3" hidden="1"/>
    <col min="12791" max="12791" width="16.28515625" style="3" hidden="1"/>
    <col min="12792" max="12792" width="17.5703125" style="3" hidden="1"/>
    <col min="12793" max="12793" width="16" style="3" hidden="1"/>
    <col min="12794" max="12794" width="18.140625" style="3" hidden="1"/>
    <col min="12795" max="12987" width="9.140625" style="3" hidden="1"/>
    <col min="12988" max="12988" width="11" style="3" hidden="1"/>
    <col min="12989" max="12989" width="53.140625" style="3" hidden="1"/>
    <col min="12990" max="13046" width="9.140625" style="3" hidden="1"/>
    <col min="13047" max="13047" width="16.28515625" style="3" hidden="1"/>
    <col min="13048" max="13048" width="17.5703125" style="3" hidden="1"/>
    <col min="13049" max="13049" width="16" style="3" hidden="1"/>
    <col min="13050" max="13050" width="18.140625" style="3" hidden="1"/>
    <col min="13051" max="13243" width="9.140625" style="3" hidden="1"/>
    <col min="13244" max="13244" width="11" style="3" hidden="1"/>
    <col min="13245" max="13245" width="53.140625" style="3" hidden="1"/>
    <col min="13246" max="13302" width="9.140625" style="3" hidden="1"/>
    <col min="13303" max="13303" width="16.28515625" style="3" hidden="1"/>
    <col min="13304" max="13304" width="17.5703125" style="3" hidden="1"/>
    <col min="13305" max="13305" width="16" style="3" hidden="1"/>
    <col min="13306" max="13306" width="18.140625" style="3" hidden="1"/>
    <col min="13307" max="13499" width="9.140625" style="3" hidden="1"/>
    <col min="13500" max="13500" width="11" style="3" hidden="1"/>
    <col min="13501" max="13501" width="53.140625" style="3" hidden="1"/>
    <col min="13502" max="13558" width="9.140625" style="3" hidden="1"/>
    <col min="13559" max="13559" width="16.28515625" style="3" hidden="1"/>
    <col min="13560" max="13560" width="17.5703125" style="3" hidden="1"/>
    <col min="13561" max="13561" width="16" style="3" hidden="1"/>
    <col min="13562" max="13562" width="18.140625" style="3" hidden="1"/>
    <col min="13563" max="13755" width="9.140625" style="3" hidden="1"/>
    <col min="13756" max="13756" width="11" style="3" hidden="1"/>
    <col min="13757" max="13757" width="53.140625" style="3" hidden="1"/>
    <col min="13758" max="13814" width="9.140625" style="3" hidden="1"/>
    <col min="13815" max="13815" width="16.28515625" style="3" hidden="1"/>
    <col min="13816" max="13816" width="17.5703125" style="3" hidden="1"/>
    <col min="13817" max="13817" width="16" style="3" hidden="1"/>
    <col min="13818" max="13818" width="18.140625" style="3" hidden="1"/>
    <col min="13819" max="14011" width="9.140625" style="3" hidden="1"/>
    <col min="14012" max="14012" width="11" style="3" hidden="1"/>
    <col min="14013" max="14013" width="53.140625" style="3" hidden="1"/>
    <col min="14014" max="14070" width="9.140625" style="3" hidden="1"/>
    <col min="14071" max="14071" width="16.28515625" style="3" hidden="1"/>
    <col min="14072" max="14072" width="17.5703125" style="3" hidden="1"/>
    <col min="14073" max="14073" width="16" style="3" hidden="1"/>
    <col min="14074" max="14074" width="18.140625" style="3" hidden="1"/>
    <col min="14075" max="14267" width="9.140625" style="3" hidden="1"/>
    <col min="14268" max="14268" width="11" style="3" hidden="1"/>
    <col min="14269" max="14269" width="53.140625" style="3" hidden="1"/>
    <col min="14270" max="14326" width="9.140625" style="3" hidden="1"/>
    <col min="14327" max="14327" width="16.28515625" style="3" hidden="1"/>
    <col min="14328" max="14328" width="17.5703125" style="3" hidden="1"/>
    <col min="14329" max="14329" width="16" style="3" hidden="1"/>
    <col min="14330" max="14330" width="18.140625" style="3" hidden="1"/>
    <col min="14331" max="14523" width="9.140625" style="3" hidden="1"/>
    <col min="14524" max="14524" width="11" style="3" hidden="1"/>
    <col min="14525" max="14525" width="53.140625" style="3" hidden="1"/>
    <col min="14526" max="14582" width="9.140625" style="3" hidden="1"/>
    <col min="14583" max="14583" width="16.28515625" style="3" hidden="1"/>
    <col min="14584" max="14584" width="17.5703125" style="3" hidden="1"/>
    <col min="14585" max="14585" width="16" style="3" hidden="1"/>
    <col min="14586" max="14586" width="18.140625" style="3" hidden="1"/>
    <col min="14587" max="14779" width="9.140625" style="3" hidden="1"/>
    <col min="14780" max="14780" width="11" style="3" hidden="1"/>
    <col min="14781" max="14781" width="53.140625" style="3" hidden="1"/>
    <col min="14782" max="14838" width="9.140625" style="3" hidden="1"/>
    <col min="14839" max="14839" width="16.28515625" style="3" hidden="1"/>
    <col min="14840" max="14840" width="17.5703125" style="3" hidden="1"/>
    <col min="14841" max="14841" width="16" style="3" hidden="1"/>
    <col min="14842" max="14842" width="18.140625" style="3" hidden="1"/>
    <col min="14843" max="15035" width="9.140625" style="3" hidden="1"/>
    <col min="15036" max="15036" width="11" style="3" hidden="1"/>
    <col min="15037" max="15037" width="53.140625" style="3" hidden="1"/>
    <col min="15038" max="15094" width="9.140625" style="3" hidden="1"/>
    <col min="15095" max="15095" width="16.28515625" style="3" hidden="1"/>
    <col min="15096" max="15096" width="17.5703125" style="3" hidden="1"/>
    <col min="15097" max="15097" width="16" style="3" hidden="1"/>
    <col min="15098" max="15098" width="18.140625" style="3" hidden="1"/>
    <col min="15099" max="15291" width="9.140625" style="3" hidden="1"/>
    <col min="15292" max="15292" width="11" style="3" hidden="1"/>
    <col min="15293" max="15293" width="53.140625" style="3" hidden="1"/>
    <col min="15294" max="15350" width="9.140625" style="3" hidden="1"/>
    <col min="15351" max="15351" width="16.28515625" style="3" hidden="1"/>
    <col min="15352" max="15352" width="17.5703125" style="3" hidden="1"/>
    <col min="15353" max="15353" width="16" style="3" hidden="1"/>
    <col min="15354" max="15354" width="18.140625" style="3" hidden="1"/>
    <col min="15355" max="15547" width="9.140625" style="3" hidden="1"/>
    <col min="15548" max="15548" width="11" style="3" hidden="1"/>
    <col min="15549" max="15549" width="53.140625" style="3" hidden="1"/>
    <col min="15550" max="15606" width="9.140625" style="3" hidden="1"/>
    <col min="15607" max="15607" width="16.28515625" style="3" hidden="1"/>
    <col min="15608" max="15608" width="17.5703125" style="3" hidden="1"/>
    <col min="15609" max="15609" width="16" style="3" hidden="1"/>
    <col min="15610" max="15610" width="18.140625" style="3" hidden="1"/>
    <col min="15611" max="15803" width="9.140625" style="3" hidden="1"/>
    <col min="15804" max="15804" width="11" style="3" hidden="1"/>
    <col min="15805" max="15805" width="53.140625" style="3" hidden="1"/>
    <col min="15806" max="15862" width="9.140625" style="3" hidden="1"/>
    <col min="15863" max="15863" width="16.28515625" style="3" hidden="1"/>
    <col min="15864" max="15864" width="17.5703125" style="3" hidden="1"/>
    <col min="15865" max="15865" width="16" style="3" hidden="1"/>
    <col min="15866" max="15866" width="18.140625" style="3" hidden="1"/>
    <col min="15867" max="16059" width="9.140625" style="3" hidden="1"/>
    <col min="16060" max="16060" width="11" style="3" hidden="1"/>
    <col min="16061" max="16061" width="53.140625" style="3" hidden="1"/>
    <col min="16062" max="16118" width="9.140625" style="3" hidden="1"/>
    <col min="16119" max="16119" width="16.28515625" style="3" hidden="1"/>
    <col min="16120" max="16120" width="17.5703125" style="3" hidden="1"/>
    <col min="16121" max="16121" width="16" style="3" hidden="1"/>
    <col min="16122" max="16122" width="18.140625" style="3" hidden="1"/>
    <col min="16123" max="16384" width="9.140625" style="3" hidden="1"/>
  </cols>
  <sheetData>
    <row r="1" spans="1:6">
      <c r="B1" s="2" t="s">
        <v>852</v>
      </c>
    </row>
    <row r="2" spans="1:6" ht="60">
      <c r="A2" s="1" t="s">
        <v>590</v>
      </c>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Worksheet'!$D$41</f>
        <v>135739</v>
      </c>
      <c r="E3" s="11"/>
      <c r="F3" s="11"/>
    </row>
    <row r="4" spans="1:6">
      <c r="A4" s="8">
        <v>0</v>
      </c>
      <c r="B4" s="11" t="s">
        <v>4</v>
      </c>
      <c r="C4" s="10">
        <v>1.2149999999999999E-3</v>
      </c>
      <c r="D4" s="12">
        <f>ROUND(D$3*C4,0)</f>
        <v>165</v>
      </c>
      <c r="E4" s="13">
        <f>ROUND(D4/2,0)</f>
        <v>83</v>
      </c>
      <c r="F4" s="12">
        <f>D4-E4</f>
        <v>82</v>
      </c>
    </row>
    <row r="5" spans="1:6">
      <c r="A5" s="8">
        <v>1</v>
      </c>
      <c r="B5" s="11" t="s">
        <v>853</v>
      </c>
      <c r="C5" s="10">
        <v>0.23508100000000001</v>
      </c>
      <c r="D5" s="9">
        <f>ROUND(D$3*C5,0)</f>
        <v>31910</v>
      </c>
      <c r="E5" s="11">
        <f>ROUND(D5/2,0)</f>
        <v>15955</v>
      </c>
      <c r="F5" s="9">
        <f>D5-E5</f>
        <v>15955</v>
      </c>
    </row>
    <row r="6" spans="1:6">
      <c r="A6" s="8"/>
      <c r="B6" s="11" t="s">
        <v>6</v>
      </c>
      <c r="C6" s="11"/>
      <c r="D6" s="14">
        <v>0.18595800000000001</v>
      </c>
      <c r="E6" s="11"/>
      <c r="F6" s="11"/>
    </row>
    <row r="7" spans="1:6">
      <c r="A7" s="8"/>
      <c r="B7" s="11" t="s">
        <v>7</v>
      </c>
      <c r="C7" s="11"/>
      <c r="D7" s="225">
        <f>ROUND(D5*D6,0)</f>
        <v>5934</v>
      </c>
      <c r="E7" s="226">
        <f>ROUND(D7/2,0)</f>
        <v>2967</v>
      </c>
      <c r="F7" s="225">
        <f>D7-E7</f>
        <v>2967</v>
      </c>
    </row>
    <row r="8" spans="1:6">
      <c r="A8" s="8"/>
      <c r="B8" s="11" t="s">
        <v>8</v>
      </c>
      <c r="C8" s="11"/>
      <c r="D8" s="12">
        <f>+D5-D7</f>
        <v>25976</v>
      </c>
      <c r="E8" s="13">
        <f>ROUND(D8/2,0)</f>
        <v>12988</v>
      </c>
      <c r="F8" s="12">
        <f>D8-E8</f>
        <v>12988</v>
      </c>
    </row>
    <row r="9" spans="1:6">
      <c r="A9" s="8">
        <v>2</v>
      </c>
      <c r="B9" s="11" t="s">
        <v>854</v>
      </c>
      <c r="C9" s="11"/>
      <c r="D9" s="9"/>
      <c r="E9" s="11"/>
      <c r="F9" s="11"/>
    </row>
    <row r="10" spans="1:6">
      <c r="A10" s="8"/>
      <c r="B10" s="11" t="s">
        <v>10</v>
      </c>
      <c r="C10" s="10">
        <v>8.2600000000000002E-4</v>
      </c>
      <c r="D10" s="12">
        <f>ROUND(D$3*C10,0)</f>
        <v>112</v>
      </c>
      <c r="E10" s="13">
        <f>ROUND(D10/2,0)</f>
        <v>56</v>
      </c>
      <c r="F10" s="12">
        <f>D10-E10</f>
        <v>56</v>
      </c>
    </row>
    <row r="11" spans="1:6">
      <c r="A11" s="8"/>
      <c r="B11" s="11" t="s">
        <v>11</v>
      </c>
      <c r="C11" s="10">
        <v>5.1000000000000004E-4</v>
      </c>
      <c r="D11" s="12">
        <f>ROUND(D$3*C11,0)</f>
        <v>69</v>
      </c>
      <c r="E11" s="13">
        <f>ROUND(D11/2,0)</f>
        <v>35</v>
      </c>
      <c r="F11" s="12">
        <f>D11-E11</f>
        <v>34</v>
      </c>
    </row>
    <row r="12" spans="1:6">
      <c r="A12" s="8">
        <v>2</v>
      </c>
      <c r="B12" s="11" t="s">
        <v>855</v>
      </c>
      <c r="C12" s="11"/>
      <c r="D12" s="9"/>
      <c r="E12" s="11"/>
      <c r="F12" s="11"/>
    </row>
    <row r="13" spans="1:6">
      <c r="A13" s="8"/>
      <c r="B13" s="11" t="s">
        <v>10</v>
      </c>
      <c r="C13" s="10">
        <v>1.5169999999999999E-3</v>
      </c>
      <c r="D13" s="12">
        <f>ROUND(D$3*C13,0)</f>
        <v>206</v>
      </c>
      <c r="E13" s="13">
        <f>ROUND(D13/2,0)</f>
        <v>103</v>
      </c>
      <c r="F13" s="12">
        <f>D13-E13</f>
        <v>103</v>
      </c>
    </row>
    <row r="14" spans="1:6">
      <c r="A14" s="8"/>
      <c r="B14" s="11" t="s">
        <v>11</v>
      </c>
      <c r="C14" s="10">
        <v>1.0139999999999999E-3</v>
      </c>
      <c r="D14" s="12">
        <f>ROUND(D$3*C14,0)</f>
        <v>138</v>
      </c>
      <c r="E14" s="13">
        <f>ROUND(D14/2,0)</f>
        <v>69</v>
      </c>
      <c r="F14" s="12">
        <f>D14-E14</f>
        <v>69</v>
      </c>
    </row>
    <row r="15" spans="1:6">
      <c r="A15" s="8">
        <v>2</v>
      </c>
      <c r="B15" s="11" t="s">
        <v>49</v>
      </c>
      <c r="C15" s="11"/>
      <c r="D15" s="9"/>
      <c r="E15" s="11"/>
      <c r="F15" s="11"/>
    </row>
    <row r="16" spans="1:6">
      <c r="A16" s="8"/>
      <c r="B16" s="11" t="s">
        <v>10</v>
      </c>
      <c r="C16" s="10">
        <v>3.6299999999999999E-4</v>
      </c>
      <c r="D16" s="12">
        <f>ROUND(D$3*C16,0)</f>
        <v>49</v>
      </c>
      <c r="E16" s="13">
        <f>ROUND(D16/2,0)</f>
        <v>25</v>
      </c>
      <c r="F16" s="12">
        <f>D16-E16</f>
        <v>24</v>
      </c>
    </row>
    <row r="17" spans="1:6">
      <c r="A17" s="8"/>
      <c r="B17" s="11" t="s">
        <v>11</v>
      </c>
      <c r="C17" s="10">
        <v>1.4100000000000001E-4</v>
      </c>
      <c r="D17" s="12">
        <f>ROUND(D$3*C17,0)</f>
        <v>19</v>
      </c>
      <c r="E17" s="13">
        <f>ROUND(D17/2,0)</f>
        <v>10</v>
      </c>
      <c r="F17" s="12">
        <f>D17-E17</f>
        <v>9</v>
      </c>
    </row>
    <row r="18" spans="1:6">
      <c r="A18" s="8">
        <v>2</v>
      </c>
      <c r="B18" s="11" t="s">
        <v>14</v>
      </c>
      <c r="C18" s="11"/>
      <c r="D18" s="9"/>
      <c r="E18" s="11"/>
      <c r="F18" s="11"/>
    </row>
    <row r="19" spans="1:6">
      <c r="A19" s="8"/>
      <c r="B19" s="11" t="s">
        <v>10</v>
      </c>
      <c r="C19" s="10">
        <v>5.9100000000000005E-4</v>
      </c>
      <c r="D19" s="12">
        <f>ROUND(D$3*C19,0)</f>
        <v>80</v>
      </c>
      <c r="E19" s="13">
        <f>ROUND(D19/2,0)</f>
        <v>40</v>
      </c>
      <c r="F19" s="12">
        <f>D19-E19</f>
        <v>40</v>
      </c>
    </row>
    <row r="20" spans="1:6">
      <c r="A20" s="8"/>
      <c r="B20" s="11" t="s">
        <v>11</v>
      </c>
      <c r="C20" s="10">
        <v>3.5599999999999998E-4</v>
      </c>
      <c r="D20" s="12">
        <f>ROUND(D$3*C20,0)</f>
        <v>48</v>
      </c>
      <c r="E20" s="13">
        <f>ROUND(D20/2,0)</f>
        <v>24</v>
      </c>
      <c r="F20" s="12">
        <f>D20-E20</f>
        <v>24</v>
      </c>
    </row>
    <row r="21" spans="1:6">
      <c r="A21" s="8">
        <v>2</v>
      </c>
      <c r="B21" s="11" t="s">
        <v>856</v>
      </c>
      <c r="C21" s="11"/>
      <c r="D21" s="9"/>
      <c r="E21" s="11"/>
      <c r="F21" s="11"/>
    </row>
    <row r="22" spans="1:6">
      <c r="A22" s="8"/>
      <c r="B22" s="11" t="s">
        <v>10</v>
      </c>
      <c r="C22" s="10">
        <v>6.0400000000000004E-4</v>
      </c>
      <c r="D22" s="12">
        <f>ROUND(D$3*C22,0)</f>
        <v>82</v>
      </c>
      <c r="E22" s="13">
        <f>ROUND(D22/2,0)</f>
        <v>41</v>
      </c>
      <c r="F22" s="12">
        <f>D22-E22</f>
        <v>41</v>
      </c>
    </row>
    <row r="23" spans="1:6">
      <c r="A23" s="8"/>
      <c r="B23" s="11" t="s">
        <v>11</v>
      </c>
      <c r="C23" s="10">
        <v>2.9500000000000001E-4</v>
      </c>
      <c r="D23" s="12">
        <f>ROUND(D$3*C23,0)</f>
        <v>40</v>
      </c>
      <c r="E23" s="13">
        <f>ROUND(D23/2,0)</f>
        <v>20</v>
      </c>
      <c r="F23" s="12">
        <f>D23-E23</f>
        <v>20</v>
      </c>
    </row>
    <row r="24" spans="1:6">
      <c r="A24" s="8">
        <v>2</v>
      </c>
      <c r="B24" s="11" t="s">
        <v>52</v>
      </c>
      <c r="C24" s="11"/>
      <c r="D24" s="9"/>
      <c r="E24" s="11"/>
      <c r="F24" s="11"/>
    </row>
    <row r="25" spans="1:6">
      <c r="A25" s="8"/>
      <c r="B25" s="11" t="s">
        <v>10</v>
      </c>
      <c r="C25" s="10">
        <v>7.3899999999999997E-4</v>
      </c>
      <c r="D25" s="12">
        <f>ROUND(D$3*C25,0)</f>
        <v>100</v>
      </c>
      <c r="E25" s="13">
        <f>ROUND(D25/2,0)</f>
        <v>50</v>
      </c>
      <c r="F25" s="12">
        <f>D25-E25</f>
        <v>50</v>
      </c>
    </row>
    <row r="26" spans="1:6">
      <c r="A26" s="8"/>
      <c r="B26" s="11" t="s">
        <v>11</v>
      </c>
      <c r="C26" s="10">
        <v>3.3599999999999998E-4</v>
      </c>
      <c r="D26" s="12">
        <f>ROUND(D$3*C26,0)</f>
        <v>46</v>
      </c>
      <c r="E26" s="13">
        <f>ROUND(D26/2,0)</f>
        <v>23</v>
      </c>
      <c r="F26" s="12">
        <f>D26-E26</f>
        <v>23</v>
      </c>
    </row>
    <row r="27" spans="1:6">
      <c r="A27" s="8">
        <v>2</v>
      </c>
      <c r="B27" s="11" t="s">
        <v>203</v>
      </c>
      <c r="C27" s="11"/>
      <c r="D27" s="9"/>
      <c r="E27" s="11"/>
      <c r="F27" s="11"/>
    </row>
    <row r="28" spans="1:6">
      <c r="A28" s="8"/>
      <c r="B28" s="11" t="s">
        <v>10</v>
      </c>
      <c r="C28" s="10">
        <v>5.2400000000000005E-4</v>
      </c>
      <c r="D28" s="12">
        <f>ROUND(D$3*C28,0)</f>
        <v>71</v>
      </c>
      <c r="E28" s="13">
        <f>ROUND(D28/2,0)</f>
        <v>36</v>
      </c>
      <c r="F28" s="12">
        <f>D28-E28</f>
        <v>35</v>
      </c>
    </row>
    <row r="29" spans="1:6">
      <c r="A29" s="8"/>
      <c r="B29" s="11" t="s">
        <v>11</v>
      </c>
      <c r="C29" s="10">
        <v>1.95E-4</v>
      </c>
      <c r="D29" s="12">
        <f>ROUND(D$3*C29,0)</f>
        <v>26</v>
      </c>
      <c r="E29" s="13">
        <f>ROUND(D29/2,0)</f>
        <v>13</v>
      </c>
      <c r="F29" s="12">
        <f>D29-E29</f>
        <v>13</v>
      </c>
    </row>
    <row r="30" spans="1:6">
      <c r="A30" s="8">
        <v>2</v>
      </c>
      <c r="B30" s="11" t="s">
        <v>857</v>
      </c>
      <c r="C30" s="11"/>
      <c r="D30" s="9"/>
      <c r="E30" s="11"/>
      <c r="F30" s="11"/>
    </row>
    <row r="31" spans="1:6">
      <c r="A31" s="8"/>
      <c r="B31" s="11" t="s">
        <v>10</v>
      </c>
      <c r="C31" s="10">
        <v>1.4799999999999999E-4</v>
      </c>
      <c r="D31" s="12">
        <f>ROUND(D$3*C31,0)</f>
        <v>20</v>
      </c>
      <c r="E31" s="13">
        <f>ROUND(D31/2,0)</f>
        <v>10</v>
      </c>
      <c r="F31" s="12">
        <f>D31-E31</f>
        <v>10</v>
      </c>
    </row>
    <row r="32" spans="1:6">
      <c r="A32" s="8"/>
      <c r="B32" s="11" t="s">
        <v>11</v>
      </c>
      <c r="C32" s="10">
        <v>2.0000000000000002E-5</v>
      </c>
      <c r="D32" s="12">
        <f>ROUND(D$3*C32,0)</f>
        <v>3</v>
      </c>
      <c r="E32" s="13">
        <f>ROUND(D32/2,0)</f>
        <v>2</v>
      </c>
      <c r="F32" s="12">
        <f>D32-E32</f>
        <v>1</v>
      </c>
    </row>
    <row r="33" spans="1:6">
      <c r="A33" s="8">
        <v>2</v>
      </c>
      <c r="B33" s="11" t="s">
        <v>858</v>
      </c>
      <c r="C33" s="11"/>
      <c r="D33" s="9"/>
      <c r="E33" s="11"/>
      <c r="F33" s="11"/>
    </row>
    <row r="34" spans="1:6">
      <c r="A34" s="8"/>
      <c r="B34" s="11" t="s">
        <v>10</v>
      </c>
      <c r="C34" s="10">
        <v>8.3900000000000001E-4</v>
      </c>
      <c r="D34" s="12">
        <f>ROUND(D$3*C34,0)</f>
        <v>114</v>
      </c>
      <c r="E34" s="13">
        <f>ROUND(D34/2,0)</f>
        <v>57</v>
      </c>
      <c r="F34" s="12">
        <f>D34-E34</f>
        <v>57</v>
      </c>
    </row>
    <row r="35" spans="1:6">
      <c r="A35" s="8"/>
      <c r="B35" s="11" t="s">
        <v>11</v>
      </c>
      <c r="C35" s="10">
        <v>5.2400000000000005E-4</v>
      </c>
      <c r="D35" s="12">
        <f>ROUND(D$3*C35,0)</f>
        <v>71</v>
      </c>
      <c r="E35" s="13">
        <f>ROUND(D35/2,0)</f>
        <v>36</v>
      </c>
      <c r="F35" s="12">
        <f>D35-E35</f>
        <v>35</v>
      </c>
    </row>
    <row r="36" spans="1:6">
      <c r="A36" s="8">
        <v>2</v>
      </c>
      <c r="B36" s="11" t="s">
        <v>114</v>
      </c>
      <c r="C36" s="11"/>
      <c r="D36" s="9"/>
      <c r="E36" s="11"/>
      <c r="F36" s="11"/>
    </row>
    <row r="37" spans="1:6">
      <c r="A37" s="8"/>
      <c r="B37" s="11" t="s">
        <v>10</v>
      </c>
      <c r="C37" s="10">
        <v>4.7809999999999997E-3</v>
      </c>
      <c r="D37" s="12">
        <f>ROUND(D$3*C37,0)</f>
        <v>649</v>
      </c>
      <c r="E37" s="13">
        <f>ROUND(D37/2,0)</f>
        <v>325</v>
      </c>
      <c r="F37" s="12">
        <f>D37-E37</f>
        <v>324</v>
      </c>
    </row>
    <row r="38" spans="1:6">
      <c r="A38" s="8"/>
      <c r="B38" s="11" t="s">
        <v>11</v>
      </c>
      <c r="C38" s="10">
        <v>5.3700000000000004E-4</v>
      </c>
      <c r="D38" s="12">
        <f>ROUND(D$3*C38,0)</f>
        <v>73</v>
      </c>
      <c r="E38" s="13">
        <f>ROUND(D38/2,0)</f>
        <v>37</v>
      </c>
      <c r="F38" s="12">
        <f>D38-E38</f>
        <v>36</v>
      </c>
    </row>
    <row r="39" spans="1:6">
      <c r="A39" s="8">
        <v>2</v>
      </c>
      <c r="B39" s="11" t="s">
        <v>21</v>
      </c>
      <c r="C39" s="11"/>
      <c r="D39" s="9"/>
      <c r="E39" s="11"/>
      <c r="F39" s="11"/>
    </row>
    <row r="40" spans="1:6">
      <c r="A40" s="8"/>
      <c r="B40" s="11" t="s">
        <v>10</v>
      </c>
      <c r="C40" s="10">
        <v>1.1400000000000001E-4</v>
      </c>
      <c r="D40" s="12">
        <f>ROUND(D$3*C40,0)</f>
        <v>15</v>
      </c>
      <c r="E40" s="13">
        <f>ROUND(D40/2,0)</f>
        <v>8</v>
      </c>
      <c r="F40" s="12">
        <f>D40-E40</f>
        <v>7</v>
      </c>
    </row>
    <row r="41" spans="1:6">
      <c r="A41" s="8"/>
      <c r="B41" s="11" t="s">
        <v>11</v>
      </c>
      <c r="C41" s="10">
        <v>2.6999999999999999E-5</v>
      </c>
      <c r="D41" s="12">
        <f>ROUND(D$3*C41,0)</f>
        <v>4</v>
      </c>
      <c r="E41" s="13">
        <f>ROUND(D41/2,0)</f>
        <v>2</v>
      </c>
      <c r="F41" s="12">
        <f>D41-E41</f>
        <v>2</v>
      </c>
    </row>
    <row r="42" spans="1:6">
      <c r="A42" s="8">
        <v>2</v>
      </c>
      <c r="B42" s="11" t="s">
        <v>61</v>
      </c>
      <c r="C42" s="11"/>
      <c r="D42" s="9"/>
      <c r="E42" s="11"/>
      <c r="F42" s="11"/>
    </row>
    <row r="43" spans="1:6">
      <c r="A43" s="8"/>
      <c r="B43" s="11" t="s">
        <v>10</v>
      </c>
      <c r="C43" s="10">
        <v>7.0029999999999997E-3</v>
      </c>
      <c r="D43" s="12">
        <f t="shared" ref="D43:D51" si="0">ROUND(D$3*C43,0)</f>
        <v>951</v>
      </c>
      <c r="E43" s="13">
        <f t="shared" ref="E43:E51" si="1">ROUND(D43/2,0)</f>
        <v>476</v>
      </c>
      <c r="F43" s="12">
        <f t="shared" ref="F43:F51" si="2">D43-E43</f>
        <v>475</v>
      </c>
    </row>
    <row r="44" spans="1:6">
      <c r="A44" s="8"/>
      <c r="B44" s="11" t="s">
        <v>11</v>
      </c>
      <c r="C44" s="10">
        <v>1.1349999999999999E-3</v>
      </c>
      <c r="D44" s="12">
        <f t="shared" si="0"/>
        <v>154</v>
      </c>
      <c r="E44" s="13">
        <f t="shared" si="1"/>
        <v>77</v>
      </c>
      <c r="F44" s="12">
        <f t="shared" si="2"/>
        <v>77</v>
      </c>
    </row>
    <row r="45" spans="1:6">
      <c r="A45" s="8">
        <v>3</v>
      </c>
      <c r="B45" s="11" t="s">
        <v>859</v>
      </c>
      <c r="C45" s="10">
        <v>1.4100000000000001E-4</v>
      </c>
      <c r="D45" s="12">
        <f t="shared" si="0"/>
        <v>19</v>
      </c>
      <c r="E45" s="13">
        <f t="shared" si="1"/>
        <v>10</v>
      </c>
      <c r="F45" s="12">
        <f t="shared" si="2"/>
        <v>9</v>
      </c>
    </row>
    <row r="46" spans="1:6">
      <c r="A46" s="8">
        <v>3</v>
      </c>
      <c r="B46" s="11" t="s">
        <v>135</v>
      </c>
      <c r="C46" s="10">
        <v>1.8148999999999998E-2</v>
      </c>
      <c r="D46" s="12">
        <f t="shared" si="0"/>
        <v>2464</v>
      </c>
      <c r="E46" s="13">
        <f t="shared" si="1"/>
        <v>1232</v>
      </c>
      <c r="F46" s="12">
        <f t="shared" si="2"/>
        <v>1232</v>
      </c>
    </row>
    <row r="47" spans="1:6">
      <c r="A47" s="8">
        <v>3</v>
      </c>
      <c r="B47" s="11" t="s">
        <v>860</v>
      </c>
      <c r="C47" s="10">
        <v>1.34E-4</v>
      </c>
      <c r="D47" s="12">
        <f t="shared" si="0"/>
        <v>18</v>
      </c>
      <c r="E47" s="13">
        <f t="shared" si="1"/>
        <v>9</v>
      </c>
      <c r="F47" s="12">
        <f t="shared" si="2"/>
        <v>9</v>
      </c>
    </row>
    <row r="48" spans="1:6">
      <c r="A48" s="8">
        <v>3</v>
      </c>
      <c r="B48" s="11" t="s">
        <v>861</v>
      </c>
      <c r="C48" s="10">
        <v>0.110793</v>
      </c>
      <c r="D48" s="12">
        <f t="shared" si="0"/>
        <v>15039</v>
      </c>
      <c r="E48" s="13">
        <f t="shared" si="1"/>
        <v>7520</v>
      </c>
      <c r="F48" s="12">
        <f t="shared" si="2"/>
        <v>7519</v>
      </c>
    </row>
    <row r="49" spans="1:8">
      <c r="A49" s="8">
        <v>3</v>
      </c>
      <c r="B49" s="11" t="s">
        <v>862</v>
      </c>
      <c r="C49" s="10">
        <v>2.7910999999999998E-2</v>
      </c>
      <c r="D49" s="12">
        <f t="shared" si="0"/>
        <v>3789</v>
      </c>
      <c r="E49" s="13">
        <f t="shared" si="1"/>
        <v>1895</v>
      </c>
      <c r="F49" s="12">
        <f t="shared" si="2"/>
        <v>1894</v>
      </c>
    </row>
    <row r="50" spans="1:8">
      <c r="A50" s="8">
        <v>3</v>
      </c>
      <c r="B50" s="11" t="s">
        <v>863</v>
      </c>
      <c r="C50" s="10">
        <v>1.0939999999999999E-3</v>
      </c>
      <c r="D50" s="12">
        <f t="shared" si="0"/>
        <v>148</v>
      </c>
      <c r="E50" s="13">
        <f t="shared" si="1"/>
        <v>74</v>
      </c>
      <c r="F50" s="12">
        <f t="shared" si="2"/>
        <v>74</v>
      </c>
    </row>
    <row r="51" spans="1:8">
      <c r="A51" s="8">
        <v>4</v>
      </c>
      <c r="B51" s="11" t="s">
        <v>140</v>
      </c>
      <c r="C51" s="10">
        <v>0.54254199999999997</v>
      </c>
      <c r="D51" s="9">
        <f t="shared" si="0"/>
        <v>73644</v>
      </c>
      <c r="E51" s="11">
        <f t="shared" si="1"/>
        <v>36822</v>
      </c>
      <c r="F51" s="9">
        <f t="shared" si="2"/>
        <v>36822</v>
      </c>
    </row>
    <row r="52" spans="1:8">
      <c r="A52" s="8"/>
      <c r="B52" s="11" t="s">
        <v>28</v>
      </c>
      <c r="C52" s="11"/>
      <c r="D52" s="14">
        <v>0.43942199999999998</v>
      </c>
      <c r="E52" s="11"/>
      <c r="F52" s="11"/>
    </row>
    <row r="53" spans="1:8">
      <c r="A53" s="8"/>
      <c r="B53" s="11" t="s">
        <v>29</v>
      </c>
      <c r="C53" s="11"/>
      <c r="D53" s="225">
        <f>ROUND(D51*D52,0)</f>
        <v>32361</v>
      </c>
      <c r="E53" s="226">
        <f t="shared" ref="E53:E58" si="3">ROUND(D53/2,0)</f>
        <v>16181</v>
      </c>
      <c r="F53" s="225">
        <f t="shared" ref="F53:F58" si="4">D53-E53</f>
        <v>16180</v>
      </c>
    </row>
    <row r="54" spans="1:8">
      <c r="A54" s="8"/>
      <c r="B54" s="11" t="s">
        <v>30</v>
      </c>
      <c r="C54" s="11"/>
      <c r="D54" s="12">
        <f>+D51-D53</f>
        <v>41283</v>
      </c>
      <c r="E54" s="13">
        <f t="shared" si="3"/>
        <v>20642</v>
      </c>
      <c r="F54" s="12">
        <f t="shared" si="4"/>
        <v>20641</v>
      </c>
    </row>
    <row r="55" spans="1:8">
      <c r="A55" s="8">
        <v>5</v>
      </c>
      <c r="B55" s="11" t="s">
        <v>141</v>
      </c>
      <c r="C55" s="10">
        <v>1.7730000000000001E-3</v>
      </c>
      <c r="D55" s="12">
        <f>ROUND(D$3*C55,0)</f>
        <v>241</v>
      </c>
      <c r="E55" s="13">
        <f t="shared" si="3"/>
        <v>121</v>
      </c>
      <c r="F55" s="12">
        <f t="shared" si="4"/>
        <v>120</v>
      </c>
    </row>
    <row r="56" spans="1:8">
      <c r="A56" s="8">
        <v>5</v>
      </c>
      <c r="B56" s="11" t="s">
        <v>864</v>
      </c>
      <c r="C56" s="10">
        <v>3.7989000000000002E-2</v>
      </c>
      <c r="D56" s="12">
        <f>ROUND(D$3*C56,0)</f>
        <v>5157</v>
      </c>
      <c r="E56" s="13">
        <f t="shared" si="3"/>
        <v>2579</v>
      </c>
      <c r="F56" s="12">
        <f t="shared" si="4"/>
        <v>2578</v>
      </c>
    </row>
    <row r="57" spans="1:8">
      <c r="A57" s="8">
        <v>5</v>
      </c>
      <c r="B57" s="11" t="s">
        <v>865</v>
      </c>
      <c r="C57" s="10">
        <v>3.8999999999900226E-5</v>
      </c>
      <c r="D57" s="12">
        <f>+D3-SUM(D4:D5)-SUM(D10:D51)-SUM(D55:D56)</f>
        <v>5</v>
      </c>
      <c r="E57" s="13">
        <f t="shared" si="3"/>
        <v>3</v>
      </c>
      <c r="F57" s="12">
        <f t="shared" si="4"/>
        <v>2</v>
      </c>
    </row>
    <row r="58" spans="1:8">
      <c r="A58" s="8">
        <v>6</v>
      </c>
      <c r="B58" s="11" t="s">
        <v>144</v>
      </c>
      <c r="C58" s="10">
        <v>0</v>
      </c>
      <c r="D58" s="12">
        <f>ROUND(D$3*C58,0)</f>
        <v>0</v>
      </c>
      <c r="E58" s="13">
        <f t="shared" si="3"/>
        <v>0</v>
      </c>
      <c r="F58" s="12">
        <f t="shared" si="4"/>
        <v>0</v>
      </c>
    </row>
    <row r="59" spans="1:8">
      <c r="A59" s="8"/>
      <c r="B59" s="28" t="s">
        <v>288</v>
      </c>
      <c r="C59" s="10">
        <v>1</v>
      </c>
      <c r="D59" s="12">
        <f>+D4+SUM(D7:D50)+SUM(D53:D58)</f>
        <v>135739</v>
      </c>
      <c r="E59" s="12">
        <f>+E4+SUM(E7:E50)+SUM(E53:E58)</f>
        <v>67879</v>
      </c>
      <c r="F59" s="12">
        <f>+F4+SUM(F7:F50)+SUM(F53:F58)</f>
        <v>67860</v>
      </c>
    </row>
    <row r="60" spans="1:8">
      <c r="B60" s="18" t="s">
        <v>38</v>
      </c>
      <c r="D60" s="19">
        <f>+D4</f>
        <v>165</v>
      </c>
      <c r="E60" s="19">
        <f>+E4</f>
        <v>83</v>
      </c>
      <c r="F60" s="19">
        <f>+F4</f>
        <v>82</v>
      </c>
    </row>
    <row r="61" spans="1:8">
      <c r="B61" s="2" t="s">
        <v>39</v>
      </c>
      <c r="D61" s="19">
        <f>+D7</f>
        <v>5934</v>
      </c>
      <c r="E61" s="19">
        <f>+E7</f>
        <v>2967</v>
      </c>
      <c r="F61" s="19">
        <f>+F7</f>
        <v>2967</v>
      </c>
    </row>
    <row r="62" spans="1:8">
      <c r="B62" s="2" t="s">
        <v>40</v>
      </c>
      <c r="D62" s="19">
        <f>+D53</f>
        <v>32361</v>
      </c>
      <c r="E62" s="19">
        <f>+E53</f>
        <v>16181</v>
      </c>
      <c r="F62" s="19">
        <f>+F53</f>
        <v>16180</v>
      </c>
      <c r="H62" s="3">
        <v>1</v>
      </c>
    </row>
    <row r="63" spans="1:8">
      <c r="B63" s="18" t="s">
        <v>41</v>
      </c>
      <c r="D63" s="19">
        <f>+D59-D60-D61-D62</f>
        <v>97279</v>
      </c>
      <c r="E63" s="19">
        <f>+E59-E60-E61-E62</f>
        <v>48648</v>
      </c>
      <c r="F63" s="19">
        <f>+F59-F60-F61-F62</f>
        <v>48631</v>
      </c>
      <c r="H63" s="3">
        <v>2</v>
      </c>
    </row>
    <row r="65" spans="1:4" hidden="1">
      <c r="B65" s="3" t="s">
        <v>42</v>
      </c>
      <c r="C65" s="4">
        <v>-1.0000000000997777E-6</v>
      </c>
      <c r="D65" s="3">
        <f>+D57-ROUND(D3*C57,0)</f>
        <v>0</v>
      </c>
    </row>
    <row r="71" spans="1:4">
      <c r="A71" s="1" t="s">
        <v>590</v>
      </c>
    </row>
  </sheetData>
  <pageMargins left="0.7" right="0.7" top="0.75" bottom="0.75" header="0.3" footer="0.3"/>
  <pageSetup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CN100"/>
  <sheetViews>
    <sheetView workbookViewId="0">
      <selection activeCell="O42" sqref="O42"/>
    </sheetView>
  </sheetViews>
  <sheetFormatPr defaultColWidth="0" defaultRowHeight="15" zeroHeight="1"/>
  <cols>
    <col min="1" max="1" width="12.5703125" customWidth="1"/>
    <col min="2" max="2" width="13.140625" bestFit="1" customWidth="1"/>
    <col min="3" max="3" width="15.42578125" style="219" bestFit="1" customWidth="1"/>
    <col min="4" max="4" width="27.7109375" style="46" customWidth="1"/>
    <col min="5" max="5" width="15.7109375" style="46" bestFit="1" customWidth="1"/>
    <col min="6" max="6" width="5.140625" customWidth="1"/>
    <col min="7" max="7" width="4.42578125" bestFit="1" customWidth="1"/>
    <col min="8" max="8" width="41.42578125" customWidth="1"/>
    <col min="9" max="9" width="9.140625" customWidth="1"/>
    <col min="10" max="92" width="0" hidden="1" customWidth="1"/>
    <col min="93" max="16384" width="9.140625" hidden="1"/>
  </cols>
  <sheetData>
    <row r="1" spans="1:92" ht="14.45" customHeight="1" thickBot="1">
      <c r="A1" s="248" t="s">
        <v>2002</v>
      </c>
      <c r="B1" s="250"/>
      <c r="C1" s="250"/>
      <c r="D1" s="250"/>
      <c r="E1" s="249"/>
      <c r="G1" s="248" t="s">
        <v>1987</v>
      </c>
      <c r="H1" s="249"/>
    </row>
    <row r="2" spans="1:92" ht="14.45" customHeight="1" thickBot="1">
      <c r="A2" s="211"/>
      <c r="B2" s="212"/>
      <c r="C2" s="215">
        <f>SUM(C4:C95)</f>
        <v>1</v>
      </c>
      <c r="D2" s="148">
        <f>SUM(D4:D95)</f>
        <v>64673842</v>
      </c>
      <c r="E2" s="149">
        <f>SUM(E4:E95)</f>
        <v>66698226</v>
      </c>
      <c r="G2" s="213"/>
      <c r="H2" s="214"/>
    </row>
    <row r="3" spans="1:92">
      <c r="A3" s="55" t="s">
        <v>1991</v>
      </c>
      <c r="B3" s="53" t="s">
        <v>1894</v>
      </c>
      <c r="C3" s="216" t="s">
        <v>2004</v>
      </c>
      <c r="D3" s="144" t="s">
        <v>2025</v>
      </c>
      <c r="E3" s="145" t="s">
        <v>2062</v>
      </c>
      <c r="F3" s="45"/>
      <c r="G3" s="50" t="s">
        <v>1988</v>
      </c>
      <c r="H3" s="61" t="s">
        <v>6410</v>
      </c>
      <c r="I3" s="44"/>
      <c r="J3" s="44"/>
      <c r="K3" s="110"/>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c r="BC3" s="44"/>
      <c r="BD3" s="44"/>
      <c r="BE3" s="44"/>
      <c r="BF3" s="44"/>
      <c r="BG3" s="44"/>
      <c r="BH3" s="44"/>
      <c r="BI3" s="44"/>
      <c r="BJ3" s="44"/>
      <c r="BK3" s="44"/>
      <c r="BL3" s="44"/>
      <c r="BM3" s="44"/>
      <c r="BN3" s="44"/>
      <c r="BO3" s="44"/>
      <c r="BP3" s="44"/>
      <c r="BQ3" s="44"/>
      <c r="BR3" s="44"/>
      <c r="BS3" s="44"/>
      <c r="BT3" s="44"/>
      <c r="BU3" s="44"/>
      <c r="BV3" s="44"/>
      <c r="BW3" s="44"/>
      <c r="BX3" s="44"/>
      <c r="BY3" s="44"/>
      <c r="BZ3" s="44"/>
      <c r="CA3" s="44"/>
      <c r="CB3" s="44"/>
      <c r="CC3" s="44"/>
      <c r="CD3" s="44"/>
      <c r="CE3" s="44"/>
      <c r="CF3" s="44"/>
      <c r="CG3" s="44"/>
      <c r="CH3" s="44"/>
      <c r="CI3" s="44"/>
      <c r="CJ3" s="44"/>
      <c r="CK3" s="44"/>
      <c r="CL3" s="44"/>
      <c r="CM3" s="44"/>
      <c r="CN3" s="44"/>
    </row>
    <row r="4" spans="1:92">
      <c r="A4" s="52">
        <v>1</v>
      </c>
      <c r="B4" t="s">
        <v>1895</v>
      </c>
      <c r="C4" s="217">
        <v>4.4488271999999999E-3</v>
      </c>
      <c r="D4" s="146">
        <f>-ROUND(C4*SUM('Query Paste'!$G$3:$G$1048576),0)</f>
        <v>287723</v>
      </c>
      <c r="E4" s="147">
        <f>-ROUND(C4*SUM('Query Paste PY'!$G$3:$G$1048576),0)</f>
        <v>296729</v>
      </c>
      <c r="F4" s="107"/>
      <c r="G4" s="50" t="s">
        <v>1989</v>
      </c>
      <c r="H4" s="61" t="s">
        <v>6411</v>
      </c>
      <c r="BM4" s="44"/>
    </row>
    <row r="5" spans="1:92" ht="15.75" thickBot="1">
      <c r="A5" s="52">
        <v>2</v>
      </c>
      <c r="B5" t="s">
        <v>1896</v>
      </c>
      <c r="C5" s="217">
        <v>5.7360266299999997E-2</v>
      </c>
      <c r="D5" s="146">
        <f>-ROUND(C5*SUM('Query Paste'!$G$3:$G$1048576),0)</f>
        <v>3709709</v>
      </c>
      <c r="E5" s="147">
        <f>-ROUND(C5*SUM('Query Paste PY'!$G$3:$G$1048576),0)</f>
        <v>3825828</v>
      </c>
      <c r="F5" s="107"/>
      <c r="G5" s="51" t="s">
        <v>1990</v>
      </c>
      <c r="H5" s="62" t="s">
        <v>6412</v>
      </c>
    </row>
    <row r="6" spans="1:92">
      <c r="A6" s="52">
        <v>3</v>
      </c>
      <c r="B6" t="s">
        <v>1897</v>
      </c>
      <c r="C6" s="217">
        <v>1.02889327E-2</v>
      </c>
      <c r="D6" s="146">
        <f>-ROUND(C6*SUM('Query Paste'!$G$3:$G$1048576),0)</f>
        <v>665425</v>
      </c>
      <c r="E6" s="147">
        <f>-ROUND(C6*SUM('Query Paste PY'!$G$3:$G$1048576),0)</f>
        <v>686254</v>
      </c>
      <c r="F6" s="107"/>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row>
    <row r="7" spans="1:92">
      <c r="A7" s="52">
        <v>4</v>
      </c>
      <c r="B7" t="s">
        <v>1898</v>
      </c>
      <c r="C7" s="217">
        <v>2.9615073E-3</v>
      </c>
      <c r="D7" s="146">
        <f>-ROUND(C7*SUM('Query Paste'!$G$3:$G$1048576),0)</f>
        <v>191532</v>
      </c>
      <c r="E7" s="147">
        <f>-ROUND(C7*SUM('Query Paste PY'!$G$3:$G$1048576),0)</f>
        <v>197527</v>
      </c>
      <c r="F7" s="107"/>
    </row>
    <row r="8" spans="1:92">
      <c r="A8" s="52">
        <v>5</v>
      </c>
      <c r="B8" t="s">
        <v>1899</v>
      </c>
      <c r="C8" s="217">
        <v>1.7829972E-3</v>
      </c>
      <c r="D8" s="146">
        <f>-ROUND(C8*SUM('Query Paste'!$G$3:$G$1048576),0)</f>
        <v>115313</v>
      </c>
      <c r="E8" s="147">
        <f>-ROUND(C8*SUM('Query Paste PY'!$G$3:$G$1048576),0)</f>
        <v>118923</v>
      </c>
      <c r="F8" s="107"/>
      <c r="H8" s="47"/>
    </row>
    <row r="9" spans="1:92">
      <c r="A9" s="52">
        <v>6</v>
      </c>
      <c r="B9" t="s">
        <v>1900</v>
      </c>
      <c r="C9" s="217">
        <v>7.8116349999999999E-3</v>
      </c>
      <c r="D9" s="146">
        <f>-ROUND(C9*SUM('Query Paste'!$G$3:$G$1048576),0)</f>
        <v>505208</v>
      </c>
      <c r="E9" s="147">
        <f>-ROUND(C9*SUM('Query Paste PY'!$G$3:$G$1048576),0)</f>
        <v>521022</v>
      </c>
      <c r="F9" s="107"/>
      <c r="H9" s="47"/>
    </row>
    <row r="10" spans="1:92">
      <c r="A10" s="52">
        <v>7</v>
      </c>
      <c r="B10" t="s">
        <v>1901</v>
      </c>
      <c r="C10" s="217">
        <v>2.2906534999999999E-3</v>
      </c>
      <c r="D10" s="146">
        <f>-ROUND(C10*SUM('Query Paste'!$G$3:$G$1048576),0)</f>
        <v>148145</v>
      </c>
      <c r="E10" s="147">
        <f>-ROUND(C10*SUM('Query Paste PY'!$G$3:$G$1048576),0)</f>
        <v>152783</v>
      </c>
      <c r="F10" s="107"/>
      <c r="H10" s="47"/>
    </row>
    <row r="11" spans="1:92">
      <c r="A11" s="52">
        <v>8</v>
      </c>
      <c r="B11" t="s">
        <v>1902</v>
      </c>
      <c r="C11" s="217">
        <v>3.6188059E-3</v>
      </c>
      <c r="D11" s="146">
        <f>-ROUND(C11*SUM('Query Paste'!$G$3:$G$1048576),0)</f>
        <v>234042</v>
      </c>
      <c r="E11" s="147">
        <f>-ROUND(C11*SUM('Query Paste PY'!$G$3:$G$1048576),0)</f>
        <v>241368</v>
      </c>
      <c r="F11" s="107"/>
      <c r="H11" s="47"/>
    </row>
    <row r="12" spans="1:92">
      <c r="A12" s="52">
        <v>9</v>
      </c>
      <c r="B12" t="s">
        <v>1903</v>
      </c>
      <c r="C12" s="217">
        <v>5.6699191000000003E-3</v>
      </c>
      <c r="D12" s="146">
        <f>-ROUND(C12*SUM('Query Paste'!$G$3:$G$1048576),0)</f>
        <v>366695</v>
      </c>
      <c r="E12" s="147">
        <f>-ROUND(C12*SUM('Query Paste PY'!$G$3:$G$1048576),0)</f>
        <v>378174</v>
      </c>
      <c r="F12" s="107"/>
      <c r="H12" s="47"/>
    </row>
    <row r="13" spans="1:92">
      <c r="A13" s="52">
        <v>10</v>
      </c>
      <c r="B13" t="s">
        <v>1904</v>
      </c>
      <c r="C13" s="217">
        <v>2.31036066E-2</v>
      </c>
      <c r="D13" s="146">
        <f>-ROUND(C13*SUM('Query Paste'!$G$3:$G$1048576),0)</f>
        <v>1494199</v>
      </c>
      <c r="E13" s="147">
        <f>-ROUND(C13*SUM('Query Paste PY'!$G$3:$G$1048576),0)</f>
        <v>1540969</v>
      </c>
      <c r="F13" s="107"/>
      <c r="H13" s="47"/>
    </row>
    <row r="14" spans="1:92">
      <c r="A14" s="52">
        <v>11</v>
      </c>
      <c r="B14" t="s">
        <v>1905</v>
      </c>
      <c r="C14" s="217">
        <v>3.8723523E-3</v>
      </c>
      <c r="D14" s="146">
        <f>-ROUND(C14*SUM('Query Paste'!$G$3:$G$1048576),0)</f>
        <v>250440</v>
      </c>
      <c r="E14" s="147">
        <f>-ROUND(C14*SUM('Query Paste PY'!$G$3:$G$1048576),0)</f>
        <v>258279</v>
      </c>
      <c r="F14" s="107"/>
      <c r="H14" s="47"/>
    </row>
    <row r="15" spans="1:92">
      <c r="A15" s="52">
        <v>12</v>
      </c>
      <c r="B15" t="s">
        <v>1906</v>
      </c>
      <c r="C15" s="217">
        <v>7.5001479999999999E-3</v>
      </c>
      <c r="D15" s="146">
        <f>-ROUND(C15*SUM('Query Paste'!$G$3:$G$1048576),0)</f>
        <v>485063</v>
      </c>
      <c r="E15" s="147">
        <f>-ROUND(C15*SUM('Query Paste PY'!$G$3:$G$1048576),0)</f>
        <v>500247</v>
      </c>
      <c r="F15" s="107"/>
      <c r="H15" s="47"/>
    </row>
    <row r="16" spans="1:92">
      <c r="A16" s="52">
        <v>13</v>
      </c>
      <c r="B16" t="s">
        <v>1907</v>
      </c>
      <c r="C16" s="217">
        <v>3.3532830000000002E-4</v>
      </c>
      <c r="D16" s="146">
        <f>-ROUND(C16*SUM('Query Paste'!$G$3:$G$1048576),0)</f>
        <v>21687</v>
      </c>
      <c r="E16" s="147">
        <f>-ROUND(C16*SUM('Query Paste PY'!$G$3:$G$1048576),0)</f>
        <v>22366</v>
      </c>
      <c r="F16" s="107"/>
      <c r="H16" s="47"/>
    </row>
    <row r="17" spans="1:8">
      <c r="A17" s="52">
        <v>14</v>
      </c>
      <c r="B17" t="s">
        <v>1908</v>
      </c>
      <c r="C17" s="217">
        <v>7.3626801000000004E-3</v>
      </c>
      <c r="D17" s="146">
        <f>-ROUND(C17*SUM('Query Paste'!$G$3:$G$1048576),0)</f>
        <v>476173</v>
      </c>
      <c r="E17" s="147">
        <f>-ROUND(C17*SUM('Query Paste PY'!$G$3:$G$1048576),0)</f>
        <v>491078</v>
      </c>
      <c r="F17" s="107"/>
      <c r="H17" s="47"/>
    </row>
    <row r="18" spans="1:8">
      <c r="A18" s="52">
        <v>15</v>
      </c>
      <c r="B18" t="s">
        <v>1909</v>
      </c>
      <c r="C18" s="217">
        <v>3.0304386000000001E-3</v>
      </c>
      <c r="D18" s="146">
        <f>-ROUND(C18*SUM('Query Paste'!$G$3:$G$1048576),0)</f>
        <v>195990</v>
      </c>
      <c r="E18" s="147">
        <f>-ROUND(C18*SUM('Query Paste PY'!$G$3:$G$1048576),0)</f>
        <v>202125</v>
      </c>
      <c r="F18" s="107"/>
      <c r="H18" s="47"/>
    </row>
    <row r="19" spans="1:8">
      <c r="A19" s="52">
        <v>16</v>
      </c>
      <c r="B19" t="s">
        <v>1910</v>
      </c>
      <c r="C19" s="217">
        <v>5.0382372999999998E-3</v>
      </c>
      <c r="D19" s="146">
        <f>-ROUND(C19*SUM('Query Paste'!$G$3:$G$1048576),0)</f>
        <v>325842</v>
      </c>
      <c r="E19" s="147">
        <f>-ROUND(C19*SUM('Query Paste PY'!$G$3:$G$1048576),0)</f>
        <v>336041</v>
      </c>
      <c r="F19" s="107"/>
      <c r="H19" s="47"/>
    </row>
    <row r="20" spans="1:8">
      <c r="A20" s="52">
        <v>17</v>
      </c>
      <c r="B20" t="s">
        <v>1911</v>
      </c>
      <c r="C20" s="217">
        <v>4.4785301999999997E-3</v>
      </c>
      <c r="D20" s="146">
        <f>-ROUND(C20*SUM('Query Paste'!$G$3:$G$1048576),0)</f>
        <v>289644</v>
      </c>
      <c r="E20" s="147">
        <f>-ROUND(C20*SUM('Query Paste PY'!$G$3:$G$1048576),0)</f>
        <v>298710</v>
      </c>
      <c r="F20" s="107"/>
      <c r="H20" s="47"/>
    </row>
    <row r="21" spans="1:8">
      <c r="A21" s="52">
        <v>18</v>
      </c>
      <c r="B21" t="s">
        <v>1912</v>
      </c>
      <c r="C21" s="217">
        <v>1.6469495399999999E-2</v>
      </c>
      <c r="D21" s="146">
        <f>-ROUND(C21*SUM('Query Paste'!$G$3:$G$1048576),0)</f>
        <v>1065146</v>
      </c>
      <c r="E21" s="147">
        <f>-ROUND(C21*SUM('Query Paste PY'!$G$3:$G$1048576),0)</f>
        <v>1098486</v>
      </c>
      <c r="F21" s="107"/>
      <c r="H21" s="47"/>
    </row>
    <row r="22" spans="1:8">
      <c r="A22" s="52">
        <v>19</v>
      </c>
      <c r="B22" t="s">
        <v>1913</v>
      </c>
      <c r="C22" s="217">
        <v>9.9105717000000006E-3</v>
      </c>
      <c r="D22" s="146">
        <f>-ROUND(C22*SUM('Query Paste'!$G$3:$G$1048576),0)</f>
        <v>640955</v>
      </c>
      <c r="E22" s="147">
        <f>-ROUND(C22*SUM('Query Paste PY'!$G$3:$G$1048576),0)</f>
        <v>661018</v>
      </c>
      <c r="F22" s="107"/>
      <c r="H22" s="47"/>
    </row>
    <row r="23" spans="1:8">
      <c r="A23" s="52">
        <v>20</v>
      </c>
      <c r="B23" t="s">
        <v>1914</v>
      </c>
      <c r="C23" s="217">
        <v>3.0438781799999998E-2</v>
      </c>
      <c r="D23" s="146">
        <f>-ROUND(C23*SUM('Query Paste'!$G$3:$G$1048576),0)</f>
        <v>1968593</v>
      </c>
      <c r="E23" s="147">
        <f>-ROUND(C23*SUM('Query Paste PY'!$G$3:$G$1048576),0)</f>
        <v>2030213</v>
      </c>
      <c r="F23" s="107"/>
      <c r="H23" s="47"/>
    </row>
    <row r="24" spans="1:8">
      <c r="A24" s="52">
        <v>21</v>
      </c>
      <c r="B24" t="s">
        <v>1915</v>
      </c>
      <c r="C24" s="217">
        <v>1.8018786E-3</v>
      </c>
      <c r="D24" s="146">
        <f>-ROUND(C24*SUM('Query Paste'!$G$3:$G$1048576),0)</f>
        <v>116534</v>
      </c>
      <c r="E24" s="147">
        <f>-ROUND(C24*SUM('Query Paste PY'!$G$3:$G$1048576),0)</f>
        <v>120182</v>
      </c>
      <c r="F24" s="107"/>
      <c r="H24" s="47"/>
    </row>
    <row r="25" spans="1:8">
      <c r="A25" s="52">
        <v>22</v>
      </c>
      <c r="B25" t="s">
        <v>1916</v>
      </c>
      <c r="C25" s="217">
        <v>6.0363313000000004E-3</v>
      </c>
      <c r="D25" s="146">
        <f>-ROUND(C25*SUM('Query Paste'!$G$3:$G$1048576),0)</f>
        <v>390393</v>
      </c>
      <c r="E25" s="147">
        <f>-ROUND(C25*SUM('Query Paste PY'!$G$3:$G$1048576),0)</f>
        <v>402613</v>
      </c>
      <c r="F25" s="107"/>
      <c r="H25" s="47"/>
    </row>
    <row r="26" spans="1:8">
      <c r="A26" s="52">
        <v>23</v>
      </c>
      <c r="B26" t="s">
        <v>1917</v>
      </c>
      <c r="C26" s="217">
        <v>1.5433723E-3</v>
      </c>
      <c r="D26" s="146">
        <f>-ROUND(C26*SUM('Query Paste'!$G$3:$G$1048576),0)</f>
        <v>99816</v>
      </c>
      <c r="E26" s="147">
        <f>-ROUND(C26*SUM('Query Paste PY'!$G$3:$G$1048576),0)</f>
        <v>102940</v>
      </c>
      <c r="F26" s="107"/>
      <c r="H26" s="47"/>
    </row>
    <row r="27" spans="1:8">
      <c r="A27" s="52">
        <v>24</v>
      </c>
      <c r="B27" t="s">
        <v>1918</v>
      </c>
      <c r="C27" s="217">
        <v>2.3654465E-3</v>
      </c>
      <c r="D27" s="146">
        <f>-ROUND(C27*SUM('Query Paste'!$G$3:$G$1048576),0)</f>
        <v>152983</v>
      </c>
      <c r="E27" s="147">
        <f>-ROUND(C27*SUM('Query Paste PY'!$G$3:$G$1048576),0)</f>
        <v>157771</v>
      </c>
      <c r="F27" s="107"/>
      <c r="H27" s="47"/>
    </row>
    <row r="28" spans="1:8">
      <c r="A28" s="52">
        <v>25</v>
      </c>
      <c r="B28" t="s">
        <v>1919</v>
      </c>
      <c r="C28" s="217">
        <v>3.6443945000000002E-3</v>
      </c>
      <c r="D28" s="146">
        <f>-ROUND(C28*SUM('Query Paste'!$G$3:$G$1048576),0)</f>
        <v>235697</v>
      </c>
      <c r="E28" s="147">
        <f>-ROUND(C28*SUM('Query Paste PY'!$G$3:$G$1048576),0)</f>
        <v>243075</v>
      </c>
      <c r="F28" s="107"/>
      <c r="H28" s="47"/>
    </row>
    <row r="29" spans="1:8">
      <c r="A29" s="52">
        <v>26</v>
      </c>
      <c r="B29" t="s">
        <v>1920</v>
      </c>
      <c r="C29" s="217">
        <v>9.4317728999999996E-3</v>
      </c>
      <c r="D29" s="146">
        <f>-ROUND(C29*SUM('Query Paste'!$G$3:$G$1048576),0)</f>
        <v>609989</v>
      </c>
      <c r="E29" s="147">
        <f>-ROUND(C29*SUM('Query Paste PY'!$G$3:$G$1048576),0)</f>
        <v>629082</v>
      </c>
      <c r="F29" s="107"/>
      <c r="H29" s="47"/>
    </row>
    <row r="30" spans="1:8">
      <c r="A30" s="52">
        <v>27</v>
      </c>
      <c r="B30" t="s">
        <v>1921</v>
      </c>
      <c r="C30" s="217">
        <v>7.1358777000000003E-3</v>
      </c>
      <c r="D30" s="146">
        <f>-ROUND(C30*SUM('Query Paste'!$G$3:$G$1048576),0)</f>
        <v>461505</v>
      </c>
      <c r="E30" s="147">
        <f>-ROUND(C30*SUM('Query Paste PY'!$G$3:$G$1048576),0)</f>
        <v>475950</v>
      </c>
      <c r="F30" s="107"/>
      <c r="H30" s="47"/>
    </row>
    <row r="31" spans="1:8">
      <c r="A31" s="52">
        <v>28</v>
      </c>
      <c r="B31" t="s">
        <v>1922</v>
      </c>
      <c r="C31" s="217">
        <v>3.8895992000000002E-3</v>
      </c>
      <c r="D31" s="146">
        <f>-ROUND(C31*SUM('Query Paste'!$G$3:$G$1048576),0)</f>
        <v>251555</v>
      </c>
      <c r="E31" s="147">
        <f>-ROUND(C31*SUM('Query Paste PY'!$G$3:$G$1048576),0)</f>
        <v>259429</v>
      </c>
      <c r="F31" s="107"/>
    </row>
    <row r="32" spans="1:8">
      <c r="A32" s="52">
        <v>29</v>
      </c>
      <c r="B32" t="s">
        <v>1923</v>
      </c>
      <c r="C32" s="217">
        <v>2.0772062099999999E-2</v>
      </c>
      <c r="D32" s="146">
        <f>-ROUND(C32*SUM('Query Paste'!$G$3:$G$1048576),0)</f>
        <v>1343409</v>
      </c>
      <c r="E32" s="147">
        <f>-ROUND(C32*SUM('Query Paste PY'!$G$3:$G$1048576),0)</f>
        <v>1385460</v>
      </c>
      <c r="F32" s="107"/>
    </row>
    <row r="33" spans="1:6">
      <c r="A33" s="52">
        <v>30</v>
      </c>
      <c r="B33" t="s">
        <v>1924</v>
      </c>
      <c r="C33" s="217">
        <v>1.05115924E-2</v>
      </c>
      <c r="D33" s="146">
        <f>-ROUND(C33*SUM('Query Paste'!$G$3:$G$1048576),0)</f>
        <v>679825</v>
      </c>
      <c r="E33" s="147">
        <f>-ROUND(C33*SUM('Query Paste PY'!$G$3:$G$1048576),0)</f>
        <v>701105</v>
      </c>
      <c r="F33" s="107"/>
    </row>
    <row r="34" spans="1:6">
      <c r="A34" s="52">
        <v>31</v>
      </c>
      <c r="B34" t="s">
        <v>1925</v>
      </c>
      <c r="C34" s="217">
        <v>3.8347021999999998E-3</v>
      </c>
      <c r="D34" s="146">
        <f>-ROUND(C34*SUM('Query Paste'!$G$3:$G$1048576),0)</f>
        <v>248005</v>
      </c>
      <c r="E34" s="147">
        <f>-ROUND(C34*SUM('Query Paste PY'!$G$3:$G$1048576),0)</f>
        <v>255768</v>
      </c>
      <c r="F34" s="107"/>
    </row>
    <row r="35" spans="1:6">
      <c r="A35" s="52">
        <v>32</v>
      </c>
      <c r="B35" t="s">
        <v>1926</v>
      </c>
      <c r="C35" s="217">
        <v>1.84020503E-2</v>
      </c>
      <c r="D35" s="146">
        <f>-ROUND(C35*SUM('Query Paste'!$G$3:$G$1048576),0)</f>
        <v>1190131</v>
      </c>
      <c r="E35" s="147">
        <f>-ROUND(C35*SUM('Query Paste PY'!$G$3:$G$1048576),0)</f>
        <v>1227384</v>
      </c>
      <c r="F35" s="107"/>
    </row>
    <row r="36" spans="1:6">
      <c r="A36" s="52">
        <v>33</v>
      </c>
      <c r="B36" t="s">
        <v>1927</v>
      </c>
      <c r="C36" s="217">
        <v>4.665738E-3</v>
      </c>
      <c r="D36" s="146">
        <f>-ROUND(C36*SUM('Query Paste'!$G$3:$G$1048576),0)</f>
        <v>301751</v>
      </c>
      <c r="E36" s="147">
        <f>-ROUND(C36*SUM('Query Paste PY'!$G$3:$G$1048576),0)</f>
        <v>311196</v>
      </c>
      <c r="F36" s="107"/>
    </row>
    <row r="37" spans="1:6">
      <c r="A37" s="52">
        <v>34</v>
      </c>
      <c r="B37" t="s">
        <v>1928</v>
      </c>
      <c r="C37" s="217">
        <v>8.4397097000000008E-3</v>
      </c>
      <c r="D37" s="146">
        <f>-ROUND(C37*SUM('Query Paste'!$G$3:$G$1048576),0)</f>
        <v>545828</v>
      </c>
      <c r="E37" s="147">
        <f>-ROUND(C37*SUM('Query Paste PY'!$G$3:$G$1048576),0)</f>
        <v>562914</v>
      </c>
      <c r="F37" s="107"/>
    </row>
    <row r="38" spans="1:6">
      <c r="A38" s="52">
        <v>35</v>
      </c>
      <c r="B38" t="s">
        <v>1929</v>
      </c>
      <c r="C38" s="217">
        <v>6.1727283000000003E-3</v>
      </c>
      <c r="D38" s="146">
        <f>-ROUND(C38*SUM('Query Paste'!$G$3:$G$1048576),0)</f>
        <v>399214</v>
      </c>
      <c r="E38" s="147">
        <f>-ROUND(C38*SUM('Query Paste PY'!$G$3:$G$1048576),0)</f>
        <v>411710</v>
      </c>
      <c r="F38" s="107"/>
    </row>
    <row r="39" spans="1:6">
      <c r="A39" s="52">
        <v>36</v>
      </c>
      <c r="B39" t="s">
        <v>1930</v>
      </c>
      <c r="C39" s="217">
        <v>7.7638396E-3</v>
      </c>
      <c r="D39" s="146">
        <f>-ROUND(C39*SUM('Query Paste'!$G$3:$G$1048576),0)</f>
        <v>502117</v>
      </c>
      <c r="E39" s="147">
        <f>-ROUND(C39*SUM('Query Paste PY'!$G$3:$G$1048576),0)</f>
        <v>517834</v>
      </c>
      <c r="F39" s="107"/>
    </row>
    <row r="40" spans="1:6">
      <c r="A40" s="52">
        <v>37</v>
      </c>
      <c r="B40" t="s">
        <v>1931</v>
      </c>
      <c r="C40" s="217">
        <v>1.0911822E-2</v>
      </c>
      <c r="D40" s="146">
        <f>-ROUND(C40*SUM('Query Paste'!$G$3:$G$1048576),0)</f>
        <v>705710</v>
      </c>
      <c r="E40" s="147">
        <f>-ROUND(C40*SUM('Query Paste PY'!$G$3:$G$1048576),0)</f>
        <v>727799</v>
      </c>
      <c r="F40" s="107"/>
    </row>
    <row r="41" spans="1:6">
      <c r="A41" s="52">
        <v>38</v>
      </c>
      <c r="B41" t="s">
        <v>1932</v>
      </c>
      <c r="C41" s="217">
        <v>2.098824E-3</v>
      </c>
      <c r="D41" s="146">
        <f>-ROUND(C41*SUM('Query Paste'!$G$3:$G$1048576),0)</f>
        <v>135739</v>
      </c>
      <c r="E41" s="147">
        <f>-ROUND(C41*SUM('Query Paste PY'!$G$3:$G$1048576),0)</f>
        <v>139988</v>
      </c>
      <c r="F41" s="107"/>
    </row>
    <row r="42" spans="1:6">
      <c r="A42" s="52">
        <v>39</v>
      </c>
      <c r="B42" t="s">
        <v>1933</v>
      </c>
      <c r="C42" s="217">
        <v>1.3051565E-3</v>
      </c>
      <c r="D42" s="146">
        <f>-ROUND(C42*SUM('Query Paste'!$G$3:$G$1048576),0)</f>
        <v>84409</v>
      </c>
      <c r="E42" s="147">
        <f>-ROUND(C42*SUM('Query Paste PY'!$G$3:$G$1048576),0)</f>
        <v>87052</v>
      </c>
      <c r="F42" s="107"/>
    </row>
    <row r="43" spans="1:6">
      <c r="A43" s="52">
        <v>40</v>
      </c>
      <c r="B43" t="s">
        <v>1934</v>
      </c>
      <c r="C43" s="217">
        <v>4.2902232999999998E-3</v>
      </c>
      <c r="D43" s="146">
        <f>-ROUND(C43*SUM('Query Paste'!$G$3:$G$1048576),0)</f>
        <v>277465</v>
      </c>
      <c r="E43" s="147">
        <f>-ROUND(C43*SUM('Query Paste PY'!$G$3:$G$1048576),0)</f>
        <v>286150</v>
      </c>
      <c r="F43" s="107"/>
    </row>
    <row r="44" spans="1:6">
      <c r="A44" s="52">
        <v>41</v>
      </c>
      <c r="B44" t="s">
        <v>1935</v>
      </c>
      <c r="C44" s="217">
        <v>9.2155948000000008E-3</v>
      </c>
      <c r="D44" s="146">
        <f>-ROUND(C44*SUM('Query Paste'!$G$3:$G$1048576),0)</f>
        <v>596008</v>
      </c>
      <c r="E44" s="147">
        <f>-ROUND(C44*SUM('Query Paste PY'!$G$3:$G$1048576),0)</f>
        <v>614664</v>
      </c>
      <c r="F44" s="107"/>
    </row>
    <row r="45" spans="1:6">
      <c r="A45" s="52">
        <v>42</v>
      </c>
      <c r="B45" t="s">
        <v>1936</v>
      </c>
      <c r="C45" s="217">
        <v>8.5591134999999999E-3</v>
      </c>
      <c r="D45" s="146">
        <f>-ROUND(C45*SUM('Query Paste'!$G$3:$G$1048576),0)</f>
        <v>553551</v>
      </c>
      <c r="E45" s="147">
        <f>-ROUND(C45*SUM('Query Paste PY'!$G$3:$G$1048576),0)</f>
        <v>570878</v>
      </c>
      <c r="F45" s="107"/>
    </row>
    <row r="46" spans="1:6">
      <c r="A46" s="52">
        <v>43</v>
      </c>
      <c r="B46" t="s">
        <v>1937</v>
      </c>
      <c r="C46" s="217">
        <v>9.5108212000000001E-3</v>
      </c>
      <c r="D46" s="146">
        <f>-ROUND(C46*SUM('Query Paste'!$G$3:$G$1048576),0)</f>
        <v>615101</v>
      </c>
      <c r="E46" s="147">
        <f>-ROUND(C46*SUM('Query Paste PY'!$G$3:$G$1048576),0)</f>
        <v>634355</v>
      </c>
      <c r="F46" s="107"/>
    </row>
    <row r="47" spans="1:6">
      <c r="A47" s="52">
        <v>44</v>
      </c>
      <c r="B47" t="s">
        <v>1938</v>
      </c>
      <c r="C47" s="217">
        <v>3.5761396000000001E-3</v>
      </c>
      <c r="D47" s="146">
        <f>-ROUND(C47*SUM('Query Paste'!$G$3:$G$1048576),0)</f>
        <v>231283</v>
      </c>
      <c r="E47" s="147">
        <f>-ROUND(C47*SUM('Query Paste PY'!$G$3:$G$1048576),0)</f>
        <v>238522</v>
      </c>
      <c r="F47" s="107"/>
    </row>
    <row r="48" spans="1:6">
      <c r="A48" s="52">
        <v>45</v>
      </c>
      <c r="B48" t="s">
        <v>1939</v>
      </c>
      <c r="C48" s="217">
        <v>8.3848013900000004E-2</v>
      </c>
      <c r="D48" s="146">
        <f>-ROUND(C48*SUM('Query Paste'!$G$3:$G$1048576),0)</f>
        <v>5422774</v>
      </c>
      <c r="E48" s="147">
        <f>-ROUND(C48*SUM('Query Paste PY'!$G$3:$G$1048576),0)</f>
        <v>5592513</v>
      </c>
      <c r="F48" s="107"/>
    </row>
    <row r="49" spans="1:6">
      <c r="A49" s="52">
        <v>46</v>
      </c>
      <c r="B49" t="s">
        <v>1940</v>
      </c>
      <c r="C49" s="217">
        <v>2.08404861E-2</v>
      </c>
      <c r="D49" s="146">
        <f>-ROUND(C49*SUM('Query Paste'!$G$3:$G$1048576),0)</f>
        <v>1347834</v>
      </c>
      <c r="E49" s="147">
        <f>-ROUND(C49*SUM('Query Paste PY'!$G$3:$G$1048576),0)</f>
        <v>1390023</v>
      </c>
      <c r="F49" s="107"/>
    </row>
    <row r="50" spans="1:6">
      <c r="A50" s="52">
        <v>47</v>
      </c>
      <c r="B50" t="s">
        <v>1941</v>
      </c>
      <c r="C50" s="217">
        <v>6.2804087999999997E-3</v>
      </c>
      <c r="D50" s="146">
        <f>-ROUND(C50*SUM('Query Paste'!$G$3:$G$1048576),0)</f>
        <v>406178</v>
      </c>
      <c r="E50" s="147">
        <f>-ROUND(C50*SUM('Query Paste PY'!$G$3:$G$1048576),0)</f>
        <v>418892</v>
      </c>
      <c r="F50" s="107"/>
    </row>
    <row r="51" spans="1:6">
      <c r="A51" s="52">
        <v>48</v>
      </c>
      <c r="B51" t="s">
        <v>1942</v>
      </c>
      <c r="C51" s="217">
        <v>1.8904577700000001E-2</v>
      </c>
      <c r="D51" s="146">
        <f>-ROUND(C51*SUM('Query Paste'!$G$3:$G$1048576),0)</f>
        <v>1222632</v>
      </c>
      <c r="E51" s="147">
        <f>-ROUND(C51*SUM('Query Paste PY'!$G$3:$G$1048576),0)</f>
        <v>1260902</v>
      </c>
      <c r="F51" s="107"/>
    </row>
    <row r="52" spans="1:6">
      <c r="A52" s="52">
        <v>49</v>
      </c>
      <c r="B52" t="s">
        <v>1943</v>
      </c>
      <c r="C52" s="217">
        <v>0.1833657403</v>
      </c>
      <c r="D52" s="146">
        <f>-ROUND(C52*SUM('Query Paste'!$G$3:$G$1048576),0)</f>
        <v>11858968</v>
      </c>
      <c r="E52" s="147">
        <f>-ROUND(C52*SUM('Query Paste PY'!$G$3:$G$1048576),0)</f>
        <v>12230169</v>
      </c>
      <c r="F52" s="107"/>
    </row>
    <row r="53" spans="1:6">
      <c r="A53" s="52">
        <v>50</v>
      </c>
      <c r="B53" t="s">
        <v>1944</v>
      </c>
      <c r="C53" s="217">
        <v>8.1354089000000001E-3</v>
      </c>
      <c r="D53" s="146">
        <f>-ROUND(C53*SUM('Query Paste'!$G$3:$G$1048576),0)</f>
        <v>526148</v>
      </c>
      <c r="E53" s="147">
        <f>-ROUND(C53*SUM('Query Paste PY'!$G$3:$G$1048576),0)</f>
        <v>542617</v>
      </c>
      <c r="F53" s="107"/>
    </row>
    <row r="54" spans="1:6">
      <c r="A54" s="52">
        <v>51</v>
      </c>
      <c r="B54" t="s">
        <v>1945</v>
      </c>
      <c r="C54" s="217">
        <v>2.0211565999999999E-3</v>
      </c>
      <c r="D54" s="146">
        <f>-ROUND(C54*SUM('Query Paste'!$G$3:$G$1048576),0)</f>
        <v>130716</v>
      </c>
      <c r="E54" s="147">
        <f>-ROUND(C54*SUM('Query Paste PY'!$G$3:$G$1048576),0)</f>
        <v>134808</v>
      </c>
      <c r="F54" s="107"/>
    </row>
    <row r="55" spans="1:6">
      <c r="A55" s="52">
        <v>52</v>
      </c>
      <c r="B55" t="s">
        <v>1946</v>
      </c>
      <c r="C55" s="217">
        <v>3.7767334000000001E-3</v>
      </c>
      <c r="D55" s="146">
        <f>-ROUND(C55*SUM('Query Paste'!$G$3:$G$1048576),0)</f>
        <v>244256</v>
      </c>
      <c r="E55" s="147">
        <f>-ROUND(C55*SUM('Query Paste PY'!$G$3:$G$1048576),0)</f>
        <v>251901</v>
      </c>
      <c r="F55" s="107"/>
    </row>
    <row r="56" spans="1:6">
      <c r="A56" s="52">
        <v>53</v>
      </c>
      <c r="B56" t="s">
        <v>1947</v>
      </c>
      <c r="C56" s="217">
        <v>1.44430407E-2</v>
      </c>
      <c r="D56" s="146">
        <f>-ROUND(C56*SUM('Query Paste'!$G$3:$G$1048576),0)</f>
        <v>934087</v>
      </c>
      <c r="E56" s="147">
        <f>-ROUND(C56*SUM('Query Paste PY'!$G$3:$G$1048576),0)</f>
        <v>963325</v>
      </c>
      <c r="F56" s="107"/>
    </row>
    <row r="57" spans="1:6">
      <c r="A57" s="52">
        <v>54</v>
      </c>
      <c r="B57" t="s">
        <v>1948</v>
      </c>
      <c r="C57" s="217">
        <v>5.1285298999999996E-3</v>
      </c>
      <c r="D57" s="146">
        <f>-ROUND(C57*SUM('Query Paste'!$G$3:$G$1048576),0)</f>
        <v>331682</v>
      </c>
      <c r="E57" s="147">
        <f>-ROUND(C57*SUM('Query Paste PY'!$G$3:$G$1048576),0)</f>
        <v>342064</v>
      </c>
      <c r="F57" s="107"/>
    </row>
    <row r="58" spans="1:6">
      <c r="A58" s="52">
        <v>55</v>
      </c>
      <c r="B58" t="s">
        <v>1949</v>
      </c>
      <c r="C58" s="217">
        <v>7.0080476999999997E-3</v>
      </c>
      <c r="D58" s="146">
        <f>-ROUND(C58*SUM('Query Paste'!$G$3:$G$1048576),0)</f>
        <v>453237</v>
      </c>
      <c r="E58" s="147">
        <f>-ROUND(C58*SUM('Query Paste PY'!$G$3:$G$1048576),0)</f>
        <v>467424</v>
      </c>
      <c r="F58" s="107"/>
    </row>
    <row r="59" spans="1:6">
      <c r="A59" s="52">
        <v>56</v>
      </c>
      <c r="B59" t="s">
        <v>1950</v>
      </c>
      <c r="C59" s="217">
        <v>3.378392E-3</v>
      </c>
      <c r="D59" s="146">
        <f>-ROUND(C59*SUM('Query Paste'!$G$3:$G$1048576),0)</f>
        <v>218494</v>
      </c>
      <c r="E59" s="147">
        <f>-ROUND(C59*SUM('Query Paste PY'!$G$3:$G$1048576),0)</f>
        <v>225333</v>
      </c>
      <c r="F59" s="107"/>
    </row>
    <row r="60" spans="1:6">
      <c r="A60" s="52">
        <v>57</v>
      </c>
      <c r="B60" t="s">
        <v>1951</v>
      </c>
      <c r="C60" s="217">
        <v>4.3816714000000003E-3</v>
      </c>
      <c r="D60" s="146">
        <f>-ROUND(C60*SUM('Query Paste'!$G$3:$G$1048576),0)</f>
        <v>283380</v>
      </c>
      <c r="E60" s="147">
        <f>-ROUND(C60*SUM('Query Paste PY'!$G$3:$G$1048576),0)</f>
        <v>292250</v>
      </c>
      <c r="F60" s="107"/>
    </row>
    <row r="61" spans="1:6">
      <c r="A61" s="52">
        <v>58</v>
      </c>
      <c r="B61" t="s">
        <v>1952</v>
      </c>
      <c r="C61" s="217">
        <v>4.5213939999999998E-4</v>
      </c>
      <c r="D61" s="146">
        <f>-ROUND(C61*SUM('Query Paste'!$G$3:$G$1048576),0)</f>
        <v>29242</v>
      </c>
      <c r="E61" s="147">
        <f>-ROUND(C61*SUM('Query Paste PY'!$G$3:$G$1048576),0)</f>
        <v>30157</v>
      </c>
      <c r="F61" s="107"/>
    </row>
    <row r="62" spans="1:6">
      <c r="A62" s="52">
        <v>59</v>
      </c>
      <c r="B62" t="s">
        <v>1953</v>
      </c>
      <c r="C62" s="217">
        <v>5.4487811999999998E-3</v>
      </c>
      <c r="D62" s="146">
        <f>-ROUND(C62*SUM('Query Paste'!$G$3:$G$1048576),0)</f>
        <v>352394</v>
      </c>
      <c r="E62" s="147">
        <f>-ROUND(C62*SUM('Query Paste PY'!$G$3:$G$1048576),0)</f>
        <v>363424</v>
      </c>
      <c r="F62" s="107"/>
    </row>
    <row r="63" spans="1:6">
      <c r="A63" s="52">
        <v>60</v>
      </c>
      <c r="B63" t="s">
        <v>1954</v>
      </c>
      <c r="C63" s="217">
        <v>3.1283400999999999E-3</v>
      </c>
      <c r="D63" s="146">
        <f>-ROUND(C63*SUM('Query Paste'!$G$3:$G$1048576),0)</f>
        <v>202322</v>
      </c>
      <c r="E63" s="147">
        <f>-ROUND(C63*SUM('Query Paste PY'!$G$3:$G$1048576),0)</f>
        <v>208655</v>
      </c>
      <c r="F63" s="107"/>
    </row>
    <row r="64" spans="1:6">
      <c r="A64" s="52">
        <v>61</v>
      </c>
      <c r="B64" t="s">
        <v>1955</v>
      </c>
      <c r="C64" s="217">
        <v>1.3514581999999999E-3</v>
      </c>
      <c r="D64" s="146">
        <f>-ROUND(C64*SUM('Query Paste'!$G$3:$G$1048576),0)</f>
        <v>87404</v>
      </c>
      <c r="E64" s="147">
        <f>-ROUND(C64*SUM('Query Paste PY'!$G$3:$G$1048576),0)</f>
        <v>90140</v>
      </c>
      <c r="F64" s="107"/>
    </row>
    <row r="65" spans="1:6">
      <c r="A65" s="52">
        <v>62</v>
      </c>
      <c r="B65" t="s">
        <v>1956</v>
      </c>
      <c r="C65" s="217">
        <v>2.4132982E-3</v>
      </c>
      <c r="D65" s="146">
        <f>-ROUND(C65*SUM('Query Paste'!$G$3:$G$1048576),0)</f>
        <v>156077</v>
      </c>
      <c r="E65" s="147">
        <f>-ROUND(C65*SUM('Query Paste PY'!$G$3:$G$1048576),0)</f>
        <v>160963</v>
      </c>
      <c r="F65" s="107"/>
    </row>
    <row r="66" spans="1:6">
      <c r="A66" s="52">
        <v>63</v>
      </c>
      <c r="B66" t="s">
        <v>1957</v>
      </c>
      <c r="C66" s="217">
        <v>2.6339289000000001E-3</v>
      </c>
      <c r="D66" s="146">
        <f>-ROUND(C66*SUM('Query Paste'!$G$3:$G$1048576),0)</f>
        <v>170346</v>
      </c>
      <c r="E66" s="147">
        <f>-ROUND(C66*SUM('Query Paste PY'!$G$3:$G$1048576),0)</f>
        <v>175678</v>
      </c>
      <c r="F66" s="107"/>
    </row>
    <row r="67" spans="1:6">
      <c r="A67" s="52">
        <v>64</v>
      </c>
      <c r="B67" t="s">
        <v>1958</v>
      </c>
      <c r="C67" s="217">
        <v>2.8997594500000001E-2</v>
      </c>
      <c r="D67" s="146">
        <f>-ROUND(C67*SUM('Query Paste'!$G$3:$G$1048576),0)</f>
        <v>1875386</v>
      </c>
      <c r="E67" s="147">
        <f>-ROUND(C67*SUM('Query Paste PY'!$G$3:$G$1048576),0)</f>
        <v>1934088</v>
      </c>
      <c r="F67" s="107"/>
    </row>
    <row r="68" spans="1:6">
      <c r="A68" s="52">
        <v>65</v>
      </c>
      <c r="B68" t="s">
        <v>1959</v>
      </c>
      <c r="C68" s="217">
        <v>4.6600736E-3</v>
      </c>
      <c r="D68" s="146">
        <f>-ROUND(C68*SUM('Query Paste'!$G$3:$G$1048576),0)</f>
        <v>301385</v>
      </c>
      <c r="E68" s="147">
        <f>-ROUND(C68*SUM('Query Paste PY'!$G$3:$G$1048576),0)</f>
        <v>310819</v>
      </c>
      <c r="F68" s="107"/>
    </row>
    <row r="69" spans="1:6">
      <c r="A69" s="52">
        <v>66</v>
      </c>
      <c r="B69" t="s">
        <v>1960</v>
      </c>
      <c r="C69" s="217">
        <v>3.6455216999999999E-3</v>
      </c>
      <c r="D69" s="146">
        <f>-ROUND(C69*SUM('Query Paste'!$G$3:$G$1048576),0)</f>
        <v>235770</v>
      </c>
      <c r="E69" s="147">
        <f>-ROUND(C69*SUM('Query Paste PY'!$G$3:$G$1048576),0)</f>
        <v>243150</v>
      </c>
      <c r="F69" s="107"/>
    </row>
    <row r="70" spans="1:6">
      <c r="A70" s="52">
        <v>67</v>
      </c>
      <c r="B70" t="s">
        <v>1961</v>
      </c>
      <c r="C70" s="217">
        <v>3.6212294999999999E-3</v>
      </c>
      <c r="D70" s="146">
        <f>-ROUND(C70*SUM('Query Paste'!$G$3:$G$1048576),0)</f>
        <v>234199</v>
      </c>
      <c r="E70" s="147">
        <f>-ROUND(C70*SUM('Query Paste PY'!$G$3:$G$1048576),0)</f>
        <v>241530</v>
      </c>
      <c r="F70" s="107"/>
    </row>
    <row r="71" spans="1:6">
      <c r="A71" s="52">
        <v>68</v>
      </c>
      <c r="B71" t="s">
        <v>1962</v>
      </c>
      <c r="C71" s="217">
        <v>4.1463582000000002E-3</v>
      </c>
      <c r="D71" s="146">
        <f>-ROUND(C71*SUM('Query Paste'!$G$3:$G$1048576),0)</f>
        <v>268161</v>
      </c>
      <c r="E71" s="147">
        <f>-ROUND(C71*SUM('Query Paste PY'!$G$3:$G$1048576),0)</f>
        <v>276555</v>
      </c>
      <c r="F71" s="107"/>
    </row>
    <row r="72" spans="1:6">
      <c r="A72" s="52">
        <v>69</v>
      </c>
      <c r="B72" t="s">
        <v>1963</v>
      </c>
      <c r="C72" s="217">
        <v>2.4364912999999999E-3</v>
      </c>
      <c r="D72" s="146">
        <f>-ROUND(C72*SUM('Query Paste'!$G$3:$G$1048576),0)</f>
        <v>157577</v>
      </c>
      <c r="E72" s="147">
        <f>-ROUND(C72*SUM('Query Paste PY'!$G$3:$G$1048576),0)</f>
        <v>162510</v>
      </c>
      <c r="F72" s="107"/>
    </row>
    <row r="73" spans="1:6">
      <c r="A73" s="52">
        <v>70</v>
      </c>
      <c r="B73" t="s">
        <v>1964</v>
      </c>
      <c r="C73" s="217">
        <v>2.0066996E-3</v>
      </c>
      <c r="D73" s="146">
        <f>-ROUND(C73*SUM('Query Paste'!$G$3:$G$1048576),0)</f>
        <v>129781</v>
      </c>
      <c r="E73" s="147">
        <f>-ROUND(C73*SUM('Query Paste PY'!$G$3:$G$1048576),0)</f>
        <v>133843</v>
      </c>
      <c r="F73" s="107"/>
    </row>
    <row r="74" spans="1:6">
      <c r="A74" s="52">
        <v>71</v>
      </c>
      <c r="B74" t="s">
        <v>1965</v>
      </c>
      <c r="C74" s="217">
        <v>5.1725968300000001E-2</v>
      </c>
      <c r="D74" s="146">
        <f>-ROUND(C74*SUM('Query Paste'!$G$3:$G$1048576),0)</f>
        <v>3345317</v>
      </c>
      <c r="E74" s="147">
        <f>-ROUND(C74*SUM('Query Paste PY'!$G$3:$G$1048576),0)</f>
        <v>3450030</v>
      </c>
      <c r="F74" s="107"/>
    </row>
    <row r="75" spans="1:6">
      <c r="A75" s="52">
        <v>72</v>
      </c>
      <c r="B75" t="s">
        <v>1966</v>
      </c>
      <c r="C75" s="217">
        <v>1.3076082999999999E-3</v>
      </c>
      <c r="D75" s="146">
        <f>-ROUND(C75*SUM('Query Paste'!$G$3:$G$1048576),0)</f>
        <v>84568</v>
      </c>
      <c r="E75" s="147">
        <f>-ROUND(C75*SUM('Query Paste PY'!$G$3:$G$1048576),0)</f>
        <v>87215</v>
      </c>
      <c r="F75" s="107"/>
    </row>
    <row r="76" spans="1:6">
      <c r="A76" s="52">
        <v>73</v>
      </c>
      <c r="B76" t="s">
        <v>1967</v>
      </c>
      <c r="C76" s="217">
        <v>5.9514212999999998E-3</v>
      </c>
      <c r="D76" s="146">
        <f>-ROUND(C76*SUM('Query Paste'!$G$3:$G$1048576),0)</f>
        <v>384901</v>
      </c>
      <c r="E76" s="147">
        <f>-ROUND(C76*SUM('Query Paste PY'!$G$3:$G$1048576),0)</f>
        <v>396949</v>
      </c>
      <c r="F76" s="107"/>
    </row>
    <row r="77" spans="1:6">
      <c r="A77" s="52">
        <v>74</v>
      </c>
      <c r="B77" t="s">
        <v>1968</v>
      </c>
      <c r="C77" s="217">
        <v>4.3169391000000001E-3</v>
      </c>
      <c r="D77" s="146">
        <f>-ROUND(C77*SUM('Query Paste'!$G$3:$G$1048576),0)</f>
        <v>279193</v>
      </c>
      <c r="E77" s="147">
        <f>-ROUND(C77*SUM('Query Paste PY'!$G$3:$G$1048576),0)</f>
        <v>287932</v>
      </c>
      <c r="F77" s="107"/>
    </row>
    <row r="78" spans="1:6">
      <c r="A78" s="52">
        <v>75</v>
      </c>
      <c r="B78" t="s">
        <v>1969</v>
      </c>
      <c r="C78" s="217">
        <v>1.9970897999999999E-3</v>
      </c>
      <c r="D78" s="146">
        <f>-ROUND(C78*SUM('Query Paste'!$G$3:$G$1048576),0)</f>
        <v>129159</v>
      </c>
      <c r="E78" s="147">
        <f>-ROUND(C78*SUM('Query Paste PY'!$G$3:$G$1048576),0)</f>
        <v>133202</v>
      </c>
      <c r="F78" s="107"/>
    </row>
    <row r="79" spans="1:6">
      <c r="A79" s="52">
        <v>76</v>
      </c>
      <c r="B79" t="s">
        <v>1970</v>
      </c>
      <c r="C79" s="217">
        <v>4.4079080999999999E-3</v>
      </c>
      <c r="D79" s="146">
        <f>-ROUND(C79*SUM('Query Paste'!$G$3:$G$1048576),0)</f>
        <v>285076</v>
      </c>
      <c r="E79" s="147">
        <f>-ROUND(C79*SUM('Query Paste PY'!$G$3:$G$1048576),0)</f>
        <v>294000</v>
      </c>
      <c r="F79" s="107"/>
    </row>
    <row r="80" spans="1:6">
      <c r="A80" s="52">
        <v>77</v>
      </c>
      <c r="B80" t="s">
        <v>1971</v>
      </c>
      <c r="C80" s="217">
        <v>2.7616461E-3</v>
      </c>
      <c r="D80" s="146">
        <f>-ROUND(C80*SUM('Query Paste'!$G$3:$G$1048576),0)</f>
        <v>178606</v>
      </c>
      <c r="E80" s="147">
        <f>-ROUND(C80*SUM('Query Paste PY'!$G$3:$G$1048576),0)</f>
        <v>184197</v>
      </c>
      <c r="F80" s="107"/>
    </row>
    <row r="81" spans="1:8">
      <c r="A81" s="52">
        <v>78</v>
      </c>
      <c r="B81" t="s">
        <v>1972</v>
      </c>
      <c r="C81" s="217">
        <v>1.810925E-4</v>
      </c>
      <c r="D81" s="146">
        <f>-ROUND(C81*SUM('Query Paste'!$G$3:$G$1048576),0)</f>
        <v>11712</v>
      </c>
      <c r="E81" s="147">
        <f>-ROUND(C81*SUM('Query Paste PY'!$G$3:$G$1048576),0)</f>
        <v>12079</v>
      </c>
      <c r="F81" s="107"/>
    </row>
    <row r="82" spans="1:8">
      <c r="A82" s="52">
        <v>79</v>
      </c>
      <c r="B82" t="s">
        <v>1973</v>
      </c>
      <c r="C82" s="217">
        <v>2.0336634199999998E-2</v>
      </c>
      <c r="D82" s="146">
        <f>-ROUND(C82*SUM('Query Paste'!$G$3:$G$1048576),0)</f>
        <v>1315248</v>
      </c>
      <c r="E82" s="147">
        <f>-ROUND(C82*SUM('Query Paste PY'!$G$3:$G$1048576),0)</f>
        <v>1356417</v>
      </c>
      <c r="F82" s="107"/>
    </row>
    <row r="83" spans="1:8">
      <c r="A83" s="52">
        <v>80</v>
      </c>
      <c r="B83" t="s">
        <v>1974</v>
      </c>
      <c r="C83" s="217">
        <v>2.5546833E-3</v>
      </c>
      <c r="D83" s="146">
        <f>-ROUND(C83*SUM('Query Paste'!$G$3:$G$1048576),0)</f>
        <v>165221</v>
      </c>
      <c r="E83" s="147">
        <f>-ROUND(C83*SUM('Query Paste PY'!$G$3:$G$1048576),0)</f>
        <v>170393</v>
      </c>
      <c r="F83" s="107"/>
    </row>
    <row r="84" spans="1:8">
      <c r="A84" s="52">
        <v>81</v>
      </c>
      <c r="B84" t="s">
        <v>1975</v>
      </c>
      <c r="C84" s="217">
        <v>7.0027499999999999E-4</v>
      </c>
      <c r="D84" s="146">
        <f>-ROUND(C84*SUM('Query Paste'!$G$3:$G$1048576),0)</f>
        <v>45289</v>
      </c>
      <c r="E84" s="147">
        <f>-ROUND(C84*SUM('Query Paste PY'!$G$3:$G$1048576),0)</f>
        <v>46707</v>
      </c>
      <c r="F84" s="107"/>
    </row>
    <row r="85" spans="1:8">
      <c r="A85" s="52">
        <v>82</v>
      </c>
      <c r="B85" t="s">
        <v>1976</v>
      </c>
      <c r="C85" s="217">
        <v>3.7634403599999998E-2</v>
      </c>
      <c r="D85" s="146">
        <f>-ROUND(C85*SUM('Query Paste'!$G$3:$G$1048576),0)</f>
        <v>2433962</v>
      </c>
      <c r="E85" s="147">
        <f>-ROUND(C85*SUM('Query Paste PY'!$G$3:$G$1048576),0)</f>
        <v>2510148</v>
      </c>
      <c r="F85" s="107"/>
    </row>
    <row r="86" spans="1:8">
      <c r="A86" s="52">
        <v>83</v>
      </c>
      <c r="B86" t="s">
        <v>1977</v>
      </c>
      <c r="C86" s="217">
        <v>2.7885592E-3</v>
      </c>
      <c r="D86" s="146">
        <f>-ROUND(C86*SUM('Query Paste'!$G$3:$G$1048576),0)</f>
        <v>180347</v>
      </c>
      <c r="E86" s="147">
        <f>-ROUND(C86*SUM('Query Paste PY'!$G$3:$G$1048576),0)</f>
        <v>185992</v>
      </c>
      <c r="F86" s="107"/>
    </row>
    <row r="87" spans="1:8">
      <c r="A87" s="52">
        <v>84</v>
      </c>
      <c r="B87" t="s">
        <v>1978</v>
      </c>
      <c r="C87" s="217">
        <v>1.2269254699999999E-2</v>
      </c>
      <c r="D87" s="146">
        <f>-ROUND(C87*SUM('Query Paste'!$G$3:$G$1048576),0)</f>
        <v>793500</v>
      </c>
      <c r="E87" s="147">
        <f>-ROUND(C87*SUM('Query Paste PY'!$G$3:$G$1048576),0)</f>
        <v>818337</v>
      </c>
      <c r="F87" s="107"/>
    </row>
    <row r="88" spans="1:8">
      <c r="A88" s="52">
        <v>85</v>
      </c>
      <c r="B88" t="s">
        <v>1979</v>
      </c>
      <c r="C88" s="217">
        <v>5.3989286000000001E-3</v>
      </c>
      <c r="D88" s="146">
        <f>-ROUND(C88*SUM('Query Paste'!$G$3:$G$1048576),0)</f>
        <v>349169</v>
      </c>
      <c r="E88" s="147">
        <f>-ROUND(C88*SUM('Query Paste PY'!$G$3:$G$1048576),0)</f>
        <v>360099</v>
      </c>
      <c r="F88" s="107"/>
    </row>
    <row r="89" spans="1:8">
      <c r="A89" s="52">
        <v>86</v>
      </c>
      <c r="B89" t="s">
        <v>1980</v>
      </c>
      <c r="C89" s="217">
        <v>8.8474919999999996E-4</v>
      </c>
      <c r="D89" s="146">
        <f>-ROUND(C89*SUM('Query Paste'!$G$3:$G$1048576),0)</f>
        <v>57220</v>
      </c>
      <c r="E89" s="147">
        <f>-ROUND(C89*SUM('Query Paste PY'!$G$3:$G$1048576),0)</f>
        <v>59011</v>
      </c>
      <c r="F89" s="107"/>
    </row>
    <row r="90" spans="1:8">
      <c r="A90" s="52">
        <v>87</v>
      </c>
      <c r="B90" t="s">
        <v>1981</v>
      </c>
      <c r="C90" s="217">
        <v>4.2628874999999997E-3</v>
      </c>
      <c r="D90" s="146">
        <f>-ROUND(C90*SUM('Query Paste'!$G$3:$G$1048576),0)</f>
        <v>275697</v>
      </c>
      <c r="E90" s="147">
        <f>-ROUND(C90*SUM('Query Paste PY'!$G$3:$G$1048576),0)</f>
        <v>284327</v>
      </c>
      <c r="F90" s="107"/>
    </row>
    <row r="91" spans="1:8">
      <c r="A91" s="52">
        <v>88</v>
      </c>
      <c r="B91" t="s">
        <v>1982</v>
      </c>
      <c r="C91" s="217">
        <v>2.7330986E-3</v>
      </c>
      <c r="D91" s="146">
        <f>-ROUND(C91*SUM('Query Paste'!$G$3:$G$1048576),0)</f>
        <v>176760</v>
      </c>
      <c r="E91" s="147">
        <f>-ROUND(C91*SUM('Query Paste PY'!$G$3:$G$1048576),0)</f>
        <v>182293</v>
      </c>
      <c r="F91" s="107"/>
    </row>
    <row r="92" spans="1:8">
      <c r="A92" s="52">
        <v>89</v>
      </c>
      <c r="B92" t="s">
        <v>1983</v>
      </c>
      <c r="C92" s="217">
        <v>1.5079879799999999E-2</v>
      </c>
      <c r="D92" s="146">
        <f>-ROUND(C92*SUM('Query Paste'!$G$3:$G$1048576),0)</f>
        <v>975274</v>
      </c>
      <c r="E92" s="147">
        <f>-ROUND(C92*SUM('Query Paste PY'!$G$3:$G$1048576),0)</f>
        <v>1005801</v>
      </c>
      <c r="F92" s="107"/>
    </row>
    <row r="93" spans="1:8">
      <c r="A93" s="52">
        <v>90</v>
      </c>
      <c r="B93" t="s">
        <v>1984</v>
      </c>
      <c r="C93" s="217">
        <v>7.4385720999999997E-3</v>
      </c>
      <c r="D93" s="146">
        <f>-ROUND(C93*SUM('Query Paste'!$G$3:$G$1048576),0)</f>
        <v>481081</v>
      </c>
      <c r="E93" s="147">
        <f>-ROUND(C93*SUM('Query Paste PY'!$G$3:$G$1048576),0)</f>
        <v>496140</v>
      </c>
      <c r="F93" s="107"/>
    </row>
    <row r="94" spans="1:8">
      <c r="A94" s="52">
        <v>91</v>
      </c>
      <c r="B94" t="s">
        <v>1985</v>
      </c>
      <c r="C94" s="217">
        <v>6.8365086E-3</v>
      </c>
      <c r="D94" s="146">
        <f>-ROUND(C94*SUM('Query Paste'!$G$3:$G$1048576),0)</f>
        <v>442143</v>
      </c>
      <c r="E94" s="147">
        <f>-ROUND(C94*SUM('Query Paste PY'!$G$3:$G$1048576),0)</f>
        <v>455983</v>
      </c>
      <c r="F94" s="107"/>
    </row>
    <row r="95" spans="1:8">
      <c r="A95" s="52">
        <v>92</v>
      </c>
      <c r="B95" t="s">
        <v>1986</v>
      </c>
      <c r="C95" s="218">
        <v>8.3252652999999954E-3</v>
      </c>
      <c r="D95" s="146">
        <f>-ROUND(C95*SUM('Query Paste'!$G$3:$G$1048576),0)</f>
        <v>538427</v>
      </c>
      <c r="E95" s="147">
        <f>-ROUND(C95*SUM('Query Paste PY'!$G$3:$G$1048576),0)</f>
        <v>555280</v>
      </c>
      <c r="F95" s="107"/>
      <c r="H95" s="108"/>
    </row>
    <row r="96" spans="1:8"/>
    <row r="97" spans="1:1" hidden="1">
      <c r="A97" s="48" t="s">
        <v>2026</v>
      </c>
    </row>
    <row r="98" spans="1:1" hidden="1">
      <c r="A98" s="48" t="s">
        <v>2027</v>
      </c>
    </row>
    <row r="99" spans="1:1"/>
    <row r="100" spans="1:1"/>
  </sheetData>
  <sortState xmlns:xlrd2="http://schemas.microsoft.com/office/spreadsheetml/2017/richdata2" ref="D4:D95">
    <sortCondition ref="D4"/>
  </sortState>
  <mergeCells count="2">
    <mergeCell ref="G1:H1"/>
    <mergeCell ref="A1:E1"/>
  </mergeCells>
  <pageMargins left="0.7" right="0.7" top="0.75" bottom="0.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pageSetUpPr fitToPage="1"/>
  </sheetPr>
  <dimension ref="A1:WVB71"/>
  <sheetViews>
    <sheetView topLeftCell="A28" zoomScaleNormal="100" zoomScaleSheetLayoutView="90" workbookViewId="0">
      <selection activeCell="D49" activeCellId="2" sqref="D7:F7 D45:F45 D49:F49"/>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5.140625" style="3" hidden="1"/>
    <col min="190" max="246" width="9.140625" style="3" hidden="1"/>
    <col min="247" max="247" width="16.28515625" style="3" hidden="1"/>
    <col min="248" max="248" width="17.5703125" style="3" hidden="1"/>
    <col min="249" max="249" width="16" style="3" hidden="1"/>
    <col min="250" max="250" width="18.140625" style="3" hidden="1"/>
    <col min="251" max="443" width="9.140625" style="3" hidden="1"/>
    <col min="444" max="444" width="11" style="3" hidden="1"/>
    <col min="445" max="445" width="55.140625" style="3" hidden="1"/>
    <col min="446" max="502" width="9.140625" style="3" hidden="1"/>
    <col min="503" max="503" width="16.28515625" style="3" hidden="1"/>
    <col min="504" max="504" width="17.5703125" style="3" hidden="1"/>
    <col min="505" max="505" width="16" style="3" hidden="1"/>
    <col min="506" max="506" width="18.140625" style="3" hidden="1"/>
    <col min="507" max="699" width="9.140625" style="3" hidden="1"/>
    <col min="700" max="700" width="11" style="3" hidden="1"/>
    <col min="701" max="701" width="55.140625" style="3" hidden="1"/>
    <col min="702" max="758" width="9.140625" style="3" hidden="1"/>
    <col min="759" max="759" width="16.28515625" style="3" hidden="1"/>
    <col min="760" max="760" width="17.5703125" style="3" hidden="1"/>
    <col min="761" max="761" width="16" style="3" hidden="1"/>
    <col min="762" max="762" width="18.140625" style="3" hidden="1"/>
    <col min="763" max="955" width="9.140625" style="3" hidden="1"/>
    <col min="956" max="956" width="11" style="3" hidden="1"/>
    <col min="957" max="957" width="55.140625" style="3" hidden="1"/>
    <col min="958" max="1014" width="9.140625" style="3" hidden="1"/>
    <col min="1015" max="1015" width="16.28515625" style="3" hidden="1"/>
    <col min="1016" max="1016" width="17.5703125" style="3" hidden="1"/>
    <col min="1017" max="1017" width="16" style="3" hidden="1"/>
    <col min="1018" max="1018" width="18.140625" style="3" hidden="1"/>
    <col min="1019" max="1211" width="9.140625" style="3" hidden="1"/>
    <col min="1212" max="1212" width="11" style="3" hidden="1"/>
    <col min="1213" max="1213" width="55.140625" style="3" hidden="1"/>
    <col min="1214" max="1270" width="9.140625" style="3" hidden="1"/>
    <col min="1271" max="1271" width="16.28515625" style="3" hidden="1"/>
    <col min="1272" max="1272" width="17.5703125" style="3" hidden="1"/>
    <col min="1273" max="1273" width="16" style="3" hidden="1"/>
    <col min="1274" max="1274" width="18.140625" style="3" hidden="1"/>
    <col min="1275" max="1467" width="9.140625" style="3" hidden="1"/>
    <col min="1468" max="1468" width="11" style="3" hidden="1"/>
    <col min="1469" max="1469" width="55.140625" style="3" hidden="1"/>
    <col min="1470" max="1526" width="9.140625" style="3" hidden="1"/>
    <col min="1527" max="1527" width="16.28515625" style="3" hidden="1"/>
    <col min="1528" max="1528" width="17.5703125" style="3" hidden="1"/>
    <col min="1529" max="1529" width="16" style="3" hidden="1"/>
    <col min="1530" max="1530" width="18.140625" style="3" hidden="1"/>
    <col min="1531" max="1723" width="9.140625" style="3" hidden="1"/>
    <col min="1724" max="1724" width="11" style="3" hidden="1"/>
    <col min="1725" max="1725" width="55.140625" style="3" hidden="1"/>
    <col min="1726" max="1782" width="9.140625" style="3" hidden="1"/>
    <col min="1783" max="1783" width="16.28515625" style="3" hidden="1"/>
    <col min="1784" max="1784" width="17.5703125" style="3" hidden="1"/>
    <col min="1785" max="1785" width="16" style="3" hidden="1"/>
    <col min="1786" max="1786" width="18.140625" style="3" hidden="1"/>
    <col min="1787" max="1979" width="9.140625" style="3" hidden="1"/>
    <col min="1980" max="1980" width="11" style="3" hidden="1"/>
    <col min="1981" max="1981" width="55.140625" style="3" hidden="1"/>
    <col min="1982" max="2038" width="9.140625" style="3" hidden="1"/>
    <col min="2039" max="2039" width="16.28515625" style="3" hidden="1"/>
    <col min="2040" max="2040" width="17.5703125" style="3" hidden="1"/>
    <col min="2041" max="2041" width="16" style="3" hidden="1"/>
    <col min="2042" max="2042" width="18.140625" style="3" hidden="1"/>
    <col min="2043" max="2235" width="9.140625" style="3" hidden="1"/>
    <col min="2236" max="2236" width="11" style="3" hidden="1"/>
    <col min="2237" max="2237" width="55.140625" style="3" hidden="1"/>
    <col min="2238" max="2294" width="9.140625" style="3" hidden="1"/>
    <col min="2295" max="2295" width="16.28515625" style="3" hidden="1"/>
    <col min="2296" max="2296" width="17.5703125" style="3" hidden="1"/>
    <col min="2297" max="2297" width="16" style="3" hidden="1"/>
    <col min="2298" max="2298" width="18.140625" style="3" hidden="1"/>
    <col min="2299" max="2491" width="9.140625" style="3" hidden="1"/>
    <col min="2492" max="2492" width="11" style="3" hidden="1"/>
    <col min="2493" max="2493" width="55.140625" style="3" hidden="1"/>
    <col min="2494" max="2550" width="9.140625" style="3" hidden="1"/>
    <col min="2551" max="2551" width="16.28515625" style="3" hidden="1"/>
    <col min="2552" max="2552" width="17.5703125" style="3" hidden="1"/>
    <col min="2553" max="2553" width="16" style="3" hidden="1"/>
    <col min="2554" max="2554" width="18.140625" style="3" hidden="1"/>
    <col min="2555" max="2747" width="9.140625" style="3" hidden="1"/>
    <col min="2748" max="2748" width="11" style="3" hidden="1"/>
    <col min="2749" max="2749" width="55.140625" style="3" hidden="1"/>
    <col min="2750" max="2806" width="9.140625" style="3" hidden="1"/>
    <col min="2807" max="2807" width="16.28515625" style="3" hidden="1"/>
    <col min="2808" max="2808" width="17.5703125" style="3" hidden="1"/>
    <col min="2809" max="2809" width="16" style="3" hidden="1"/>
    <col min="2810" max="2810" width="18.140625" style="3" hidden="1"/>
    <col min="2811" max="3003" width="9.140625" style="3" hidden="1"/>
    <col min="3004" max="3004" width="11" style="3" hidden="1"/>
    <col min="3005" max="3005" width="55.140625" style="3" hidden="1"/>
    <col min="3006" max="3062" width="9.140625" style="3" hidden="1"/>
    <col min="3063" max="3063" width="16.28515625" style="3" hidden="1"/>
    <col min="3064" max="3064" width="17.5703125" style="3" hidden="1"/>
    <col min="3065" max="3065" width="16" style="3" hidden="1"/>
    <col min="3066" max="3066" width="18.140625" style="3" hidden="1"/>
    <col min="3067" max="3259" width="9.140625" style="3" hidden="1"/>
    <col min="3260" max="3260" width="11" style="3" hidden="1"/>
    <col min="3261" max="3261" width="55.140625" style="3" hidden="1"/>
    <col min="3262" max="3318" width="9.140625" style="3" hidden="1"/>
    <col min="3319" max="3319" width="16.28515625" style="3" hidden="1"/>
    <col min="3320" max="3320" width="17.5703125" style="3" hidden="1"/>
    <col min="3321" max="3321" width="16" style="3" hidden="1"/>
    <col min="3322" max="3322" width="18.140625" style="3" hidden="1"/>
    <col min="3323" max="3515" width="9.140625" style="3" hidden="1"/>
    <col min="3516" max="3516" width="11" style="3" hidden="1"/>
    <col min="3517" max="3517" width="55.140625" style="3" hidden="1"/>
    <col min="3518" max="3574" width="9.140625" style="3" hidden="1"/>
    <col min="3575" max="3575" width="16.28515625" style="3" hidden="1"/>
    <col min="3576" max="3576" width="17.5703125" style="3" hidden="1"/>
    <col min="3577" max="3577" width="16" style="3" hidden="1"/>
    <col min="3578" max="3578" width="18.140625" style="3" hidden="1"/>
    <col min="3579" max="3771" width="9.140625" style="3" hidden="1"/>
    <col min="3772" max="3772" width="11" style="3" hidden="1"/>
    <col min="3773" max="3773" width="55.140625" style="3" hidden="1"/>
    <col min="3774" max="3830" width="9.140625" style="3" hidden="1"/>
    <col min="3831" max="3831" width="16.28515625" style="3" hidden="1"/>
    <col min="3832" max="3832" width="17.5703125" style="3" hidden="1"/>
    <col min="3833" max="3833" width="16" style="3" hidden="1"/>
    <col min="3834" max="3834" width="18.140625" style="3" hidden="1"/>
    <col min="3835" max="4027" width="9.140625" style="3" hidden="1"/>
    <col min="4028" max="4028" width="11" style="3" hidden="1"/>
    <col min="4029" max="4029" width="55.140625" style="3" hidden="1"/>
    <col min="4030" max="4086" width="9.140625" style="3" hidden="1"/>
    <col min="4087" max="4087" width="16.28515625" style="3" hidden="1"/>
    <col min="4088" max="4088" width="17.5703125" style="3" hidden="1"/>
    <col min="4089" max="4089" width="16" style="3" hidden="1"/>
    <col min="4090" max="4090" width="18.140625" style="3" hidden="1"/>
    <col min="4091" max="4283" width="9.140625" style="3" hidden="1"/>
    <col min="4284" max="4284" width="11" style="3" hidden="1"/>
    <col min="4285" max="4285" width="55.140625" style="3" hidden="1"/>
    <col min="4286" max="4342" width="9.140625" style="3" hidden="1"/>
    <col min="4343" max="4343" width="16.28515625" style="3" hidden="1"/>
    <col min="4344" max="4344" width="17.5703125" style="3" hidden="1"/>
    <col min="4345" max="4345" width="16" style="3" hidden="1"/>
    <col min="4346" max="4346" width="18.140625" style="3" hidden="1"/>
    <col min="4347" max="4539" width="9.140625" style="3" hidden="1"/>
    <col min="4540" max="4540" width="11" style="3" hidden="1"/>
    <col min="4541" max="4541" width="55.140625" style="3" hidden="1"/>
    <col min="4542" max="4598" width="9.140625" style="3" hidden="1"/>
    <col min="4599" max="4599" width="16.28515625" style="3" hidden="1"/>
    <col min="4600" max="4600" width="17.5703125" style="3" hidden="1"/>
    <col min="4601" max="4601" width="16" style="3" hidden="1"/>
    <col min="4602" max="4602" width="18.140625" style="3" hidden="1"/>
    <col min="4603" max="4795" width="9.140625" style="3" hidden="1"/>
    <col min="4796" max="4796" width="11" style="3" hidden="1"/>
    <col min="4797" max="4797" width="55.140625" style="3" hidden="1"/>
    <col min="4798" max="4854" width="9.140625" style="3" hidden="1"/>
    <col min="4855" max="4855" width="16.28515625" style="3" hidden="1"/>
    <col min="4856" max="4856" width="17.5703125" style="3" hidden="1"/>
    <col min="4857" max="4857" width="16" style="3" hidden="1"/>
    <col min="4858" max="4858" width="18.140625" style="3" hidden="1"/>
    <col min="4859" max="5051" width="9.140625" style="3" hidden="1"/>
    <col min="5052" max="5052" width="11" style="3" hidden="1"/>
    <col min="5053" max="5053" width="55.140625" style="3" hidden="1"/>
    <col min="5054" max="5110" width="9.140625" style="3" hidden="1"/>
    <col min="5111" max="5111" width="16.28515625" style="3" hidden="1"/>
    <col min="5112" max="5112" width="17.5703125" style="3" hidden="1"/>
    <col min="5113" max="5113" width="16" style="3" hidden="1"/>
    <col min="5114" max="5114" width="18.140625" style="3" hidden="1"/>
    <col min="5115" max="5307" width="9.140625" style="3" hidden="1"/>
    <col min="5308" max="5308" width="11" style="3" hidden="1"/>
    <col min="5309" max="5309" width="55.140625" style="3" hidden="1"/>
    <col min="5310" max="5366" width="9.140625" style="3" hidden="1"/>
    <col min="5367" max="5367" width="16.28515625" style="3" hidden="1"/>
    <col min="5368" max="5368" width="17.5703125" style="3" hidden="1"/>
    <col min="5369" max="5369" width="16" style="3" hidden="1"/>
    <col min="5370" max="5370" width="18.140625" style="3" hidden="1"/>
    <col min="5371" max="5563" width="9.140625" style="3" hidden="1"/>
    <col min="5564" max="5564" width="11" style="3" hidden="1"/>
    <col min="5565" max="5565" width="55.140625" style="3" hidden="1"/>
    <col min="5566" max="5622" width="9.140625" style="3" hidden="1"/>
    <col min="5623" max="5623" width="16.28515625" style="3" hidden="1"/>
    <col min="5624" max="5624" width="17.5703125" style="3" hidden="1"/>
    <col min="5625" max="5625" width="16" style="3" hidden="1"/>
    <col min="5626" max="5626" width="18.140625" style="3" hidden="1"/>
    <col min="5627" max="5819" width="9.140625" style="3" hidden="1"/>
    <col min="5820" max="5820" width="11" style="3" hidden="1"/>
    <col min="5821" max="5821" width="55.140625" style="3" hidden="1"/>
    <col min="5822" max="5878" width="9.140625" style="3" hidden="1"/>
    <col min="5879" max="5879" width="16.28515625" style="3" hidden="1"/>
    <col min="5880" max="5880" width="17.5703125" style="3" hidden="1"/>
    <col min="5881" max="5881" width="16" style="3" hidden="1"/>
    <col min="5882" max="5882" width="18.140625" style="3" hidden="1"/>
    <col min="5883" max="6075" width="9.140625" style="3" hidden="1"/>
    <col min="6076" max="6076" width="11" style="3" hidden="1"/>
    <col min="6077" max="6077" width="55.140625" style="3" hidden="1"/>
    <col min="6078" max="6134" width="9.140625" style="3" hidden="1"/>
    <col min="6135" max="6135" width="16.28515625" style="3" hidden="1"/>
    <col min="6136" max="6136" width="17.5703125" style="3" hidden="1"/>
    <col min="6137" max="6137" width="16" style="3" hidden="1"/>
    <col min="6138" max="6138" width="18.140625" style="3" hidden="1"/>
    <col min="6139" max="6331" width="9.140625" style="3" hidden="1"/>
    <col min="6332" max="6332" width="11" style="3" hidden="1"/>
    <col min="6333" max="6333" width="55.140625" style="3" hidden="1"/>
    <col min="6334" max="6390" width="9.140625" style="3" hidden="1"/>
    <col min="6391" max="6391" width="16.28515625" style="3" hidden="1"/>
    <col min="6392" max="6392" width="17.5703125" style="3" hidden="1"/>
    <col min="6393" max="6393" width="16" style="3" hidden="1"/>
    <col min="6394" max="6394" width="18.140625" style="3" hidden="1"/>
    <col min="6395" max="6587" width="9.140625" style="3" hidden="1"/>
    <col min="6588" max="6588" width="11" style="3" hidden="1"/>
    <col min="6589" max="6589" width="55.140625" style="3" hidden="1"/>
    <col min="6590" max="6646" width="9.140625" style="3" hidden="1"/>
    <col min="6647" max="6647" width="16.28515625" style="3" hidden="1"/>
    <col min="6648" max="6648" width="17.5703125" style="3" hidden="1"/>
    <col min="6649" max="6649" width="16" style="3" hidden="1"/>
    <col min="6650" max="6650" width="18.140625" style="3" hidden="1"/>
    <col min="6651" max="6843" width="9.140625" style="3" hidden="1"/>
    <col min="6844" max="6844" width="11" style="3" hidden="1"/>
    <col min="6845" max="6845" width="55.140625" style="3" hidden="1"/>
    <col min="6846" max="6902" width="9.140625" style="3" hidden="1"/>
    <col min="6903" max="6903" width="16.28515625" style="3" hidden="1"/>
    <col min="6904" max="6904" width="17.5703125" style="3" hidden="1"/>
    <col min="6905" max="6905" width="16" style="3" hidden="1"/>
    <col min="6906" max="6906" width="18.140625" style="3" hidden="1"/>
    <col min="6907" max="7099" width="9.140625" style="3" hidden="1"/>
    <col min="7100" max="7100" width="11" style="3" hidden="1"/>
    <col min="7101" max="7101" width="55.140625" style="3" hidden="1"/>
    <col min="7102" max="7158" width="9.140625" style="3" hidden="1"/>
    <col min="7159" max="7159" width="16.28515625" style="3" hidden="1"/>
    <col min="7160" max="7160" width="17.5703125" style="3" hidden="1"/>
    <col min="7161" max="7161" width="16" style="3" hidden="1"/>
    <col min="7162" max="7162" width="18.140625" style="3" hidden="1"/>
    <col min="7163" max="7355" width="9.140625" style="3" hidden="1"/>
    <col min="7356" max="7356" width="11" style="3" hidden="1"/>
    <col min="7357" max="7357" width="55.140625" style="3" hidden="1"/>
    <col min="7358" max="7414" width="9.140625" style="3" hidden="1"/>
    <col min="7415" max="7415" width="16.28515625" style="3" hidden="1"/>
    <col min="7416" max="7416" width="17.5703125" style="3" hidden="1"/>
    <col min="7417" max="7417" width="16" style="3" hidden="1"/>
    <col min="7418" max="7418" width="18.140625" style="3" hidden="1"/>
    <col min="7419" max="7611" width="9.140625" style="3" hidden="1"/>
    <col min="7612" max="7612" width="11" style="3" hidden="1"/>
    <col min="7613" max="7613" width="55.140625" style="3" hidden="1"/>
    <col min="7614" max="7670" width="9.140625" style="3" hidden="1"/>
    <col min="7671" max="7671" width="16.28515625" style="3" hidden="1"/>
    <col min="7672" max="7672" width="17.5703125" style="3" hidden="1"/>
    <col min="7673" max="7673" width="16" style="3" hidden="1"/>
    <col min="7674" max="7674" width="18.140625" style="3" hidden="1"/>
    <col min="7675" max="7867" width="9.140625" style="3" hidden="1"/>
    <col min="7868" max="7868" width="11" style="3" hidden="1"/>
    <col min="7869" max="7869" width="55.140625" style="3" hidden="1"/>
    <col min="7870" max="7926" width="9.140625" style="3" hidden="1"/>
    <col min="7927" max="7927" width="16.28515625" style="3" hidden="1"/>
    <col min="7928" max="7928" width="17.5703125" style="3" hidden="1"/>
    <col min="7929" max="7929" width="16" style="3" hidden="1"/>
    <col min="7930" max="7930" width="18.140625" style="3" hidden="1"/>
    <col min="7931" max="8123" width="9.140625" style="3" hidden="1"/>
    <col min="8124" max="8124" width="11" style="3" hidden="1"/>
    <col min="8125" max="8125" width="55.140625" style="3" hidden="1"/>
    <col min="8126" max="8182" width="9.140625" style="3" hidden="1"/>
    <col min="8183" max="8183" width="16.28515625" style="3" hidden="1"/>
    <col min="8184" max="8184" width="17.5703125" style="3" hidden="1"/>
    <col min="8185" max="8185" width="16" style="3" hidden="1"/>
    <col min="8186" max="8186" width="18.140625" style="3" hidden="1"/>
    <col min="8187" max="8379" width="9.140625" style="3" hidden="1"/>
    <col min="8380" max="8380" width="11" style="3" hidden="1"/>
    <col min="8381" max="8381" width="55.140625" style="3" hidden="1"/>
    <col min="8382" max="8438" width="9.140625" style="3" hidden="1"/>
    <col min="8439" max="8439" width="16.28515625" style="3" hidden="1"/>
    <col min="8440" max="8440" width="17.5703125" style="3" hidden="1"/>
    <col min="8441" max="8441" width="16" style="3" hidden="1"/>
    <col min="8442" max="8442" width="18.140625" style="3" hidden="1"/>
    <col min="8443" max="8635" width="9.140625" style="3" hidden="1"/>
    <col min="8636" max="8636" width="11" style="3" hidden="1"/>
    <col min="8637" max="8637" width="55.140625" style="3" hidden="1"/>
    <col min="8638" max="8694" width="9.140625" style="3" hidden="1"/>
    <col min="8695" max="8695" width="16.28515625" style="3" hidden="1"/>
    <col min="8696" max="8696" width="17.5703125" style="3" hidden="1"/>
    <col min="8697" max="8697" width="16" style="3" hidden="1"/>
    <col min="8698" max="8698" width="18.140625" style="3" hidden="1"/>
    <col min="8699" max="8891" width="9.140625" style="3" hidden="1"/>
    <col min="8892" max="8892" width="11" style="3" hidden="1"/>
    <col min="8893" max="8893" width="55.140625" style="3" hidden="1"/>
    <col min="8894" max="8950" width="9.140625" style="3" hidden="1"/>
    <col min="8951" max="8951" width="16.28515625" style="3" hidden="1"/>
    <col min="8952" max="8952" width="17.5703125" style="3" hidden="1"/>
    <col min="8953" max="8953" width="16" style="3" hidden="1"/>
    <col min="8954" max="8954" width="18.140625" style="3" hidden="1"/>
    <col min="8955" max="9147" width="9.140625" style="3" hidden="1"/>
    <col min="9148" max="9148" width="11" style="3" hidden="1"/>
    <col min="9149" max="9149" width="55.140625" style="3" hidden="1"/>
    <col min="9150" max="9206" width="9.140625" style="3" hidden="1"/>
    <col min="9207" max="9207" width="16.28515625" style="3" hidden="1"/>
    <col min="9208" max="9208" width="17.5703125" style="3" hidden="1"/>
    <col min="9209" max="9209" width="16" style="3" hidden="1"/>
    <col min="9210" max="9210" width="18.140625" style="3" hidden="1"/>
    <col min="9211" max="9403" width="9.140625" style="3" hidden="1"/>
    <col min="9404" max="9404" width="11" style="3" hidden="1"/>
    <col min="9405" max="9405" width="55.140625" style="3" hidden="1"/>
    <col min="9406" max="9462" width="9.140625" style="3" hidden="1"/>
    <col min="9463" max="9463" width="16.28515625" style="3" hidden="1"/>
    <col min="9464" max="9464" width="17.5703125" style="3" hidden="1"/>
    <col min="9465" max="9465" width="16" style="3" hidden="1"/>
    <col min="9466" max="9466" width="18.140625" style="3" hidden="1"/>
    <col min="9467" max="9659" width="9.140625" style="3" hidden="1"/>
    <col min="9660" max="9660" width="11" style="3" hidden="1"/>
    <col min="9661" max="9661" width="55.140625" style="3" hidden="1"/>
    <col min="9662" max="9718" width="9.140625" style="3" hidden="1"/>
    <col min="9719" max="9719" width="16.28515625" style="3" hidden="1"/>
    <col min="9720" max="9720" width="17.5703125" style="3" hidden="1"/>
    <col min="9721" max="9721" width="16" style="3" hidden="1"/>
    <col min="9722" max="9722" width="18.140625" style="3" hidden="1"/>
    <col min="9723" max="9915" width="9.140625" style="3" hidden="1"/>
    <col min="9916" max="9916" width="11" style="3" hidden="1"/>
    <col min="9917" max="9917" width="55.140625" style="3" hidden="1"/>
    <col min="9918" max="9974" width="9.140625" style="3" hidden="1"/>
    <col min="9975" max="9975" width="16.28515625" style="3" hidden="1"/>
    <col min="9976" max="9976" width="17.5703125" style="3" hidden="1"/>
    <col min="9977" max="9977" width="16" style="3" hidden="1"/>
    <col min="9978" max="9978" width="18.140625" style="3" hidden="1"/>
    <col min="9979" max="10171" width="9.140625" style="3" hidden="1"/>
    <col min="10172" max="10172" width="11" style="3" hidden="1"/>
    <col min="10173" max="10173" width="55.140625" style="3" hidden="1"/>
    <col min="10174" max="10230" width="9.140625" style="3" hidden="1"/>
    <col min="10231" max="10231" width="16.28515625" style="3" hidden="1"/>
    <col min="10232" max="10232" width="17.5703125" style="3" hidden="1"/>
    <col min="10233" max="10233" width="16" style="3" hidden="1"/>
    <col min="10234" max="10234" width="18.140625" style="3" hidden="1"/>
    <col min="10235" max="10427" width="9.140625" style="3" hidden="1"/>
    <col min="10428" max="10428" width="11" style="3" hidden="1"/>
    <col min="10429" max="10429" width="55.140625" style="3" hidden="1"/>
    <col min="10430" max="10486" width="9.140625" style="3" hidden="1"/>
    <col min="10487" max="10487" width="16.28515625" style="3" hidden="1"/>
    <col min="10488" max="10488" width="17.5703125" style="3" hidden="1"/>
    <col min="10489" max="10489" width="16" style="3" hidden="1"/>
    <col min="10490" max="10490" width="18.140625" style="3" hidden="1"/>
    <col min="10491" max="10683" width="9.140625" style="3" hidden="1"/>
    <col min="10684" max="10684" width="11" style="3" hidden="1"/>
    <col min="10685" max="10685" width="55.140625" style="3" hidden="1"/>
    <col min="10686" max="10742" width="9.140625" style="3" hidden="1"/>
    <col min="10743" max="10743" width="16.28515625" style="3" hidden="1"/>
    <col min="10744" max="10744" width="17.5703125" style="3" hidden="1"/>
    <col min="10745" max="10745" width="16" style="3" hidden="1"/>
    <col min="10746" max="10746" width="18.140625" style="3" hidden="1"/>
    <col min="10747" max="10939" width="9.140625" style="3" hidden="1"/>
    <col min="10940" max="10940" width="11" style="3" hidden="1"/>
    <col min="10941" max="10941" width="55.140625" style="3" hidden="1"/>
    <col min="10942" max="10998" width="9.140625" style="3" hidden="1"/>
    <col min="10999" max="10999" width="16.28515625" style="3" hidden="1"/>
    <col min="11000" max="11000" width="17.5703125" style="3" hidden="1"/>
    <col min="11001" max="11001" width="16" style="3" hidden="1"/>
    <col min="11002" max="11002" width="18.140625" style="3" hidden="1"/>
    <col min="11003" max="11195" width="9.140625" style="3" hidden="1"/>
    <col min="11196" max="11196" width="11" style="3" hidden="1"/>
    <col min="11197" max="11197" width="55.140625" style="3" hidden="1"/>
    <col min="11198" max="11254" width="9.140625" style="3" hidden="1"/>
    <col min="11255" max="11255" width="16.28515625" style="3" hidden="1"/>
    <col min="11256" max="11256" width="17.5703125" style="3" hidden="1"/>
    <col min="11257" max="11257" width="16" style="3" hidden="1"/>
    <col min="11258" max="11258" width="18.140625" style="3" hidden="1"/>
    <col min="11259" max="11451" width="9.140625" style="3" hidden="1"/>
    <col min="11452" max="11452" width="11" style="3" hidden="1"/>
    <col min="11453" max="11453" width="55.140625" style="3" hidden="1"/>
    <col min="11454" max="11510" width="9.140625" style="3" hidden="1"/>
    <col min="11511" max="11511" width="16.28515625" style="3" hidden="1"/>
    <col min="11512" max="11512" width="17.5703125" style="3" hidden="1"/>
    <col min="11513" max="11513" width="16" style="3" hidden="1"/>
    <col min="11514" max="11514" width="18.140625" style="3" hidden="1"/>
    <col min="11515" max="11707" width="9.140625" style="3" hidden="1"/>
    <col min="11708" max="11708" width="11" style="3" hidden="1"/>
    <col min="11709" max="11709" width="55.140625" style="3" hidden="1"/>
    <col min="11710" max="11766" width="9.140625" style="3" hidden="1"/>
    <col min="11767" max="11767" width="16.28515625" style="3" hidden="1"/>
    <col min="11768" max="11768" width="17.5703125" style="3" hidden="1"/>
    <col min="11769" max="11769" width="16" style="3" hidden="1"/>
    <col min="11770" max="11770" width="18.140625" style="3" hidden="1"/>
    <col min="11771" max="11963" width="9.140625" style="3" hidden="1"/>
    <col min="11964" max="11964" width="11" style="3" hidden="1"/>
    <col min="11965" max="11965" width="55.140625" style="3" hidden="1"/>
    <col min="11966" max="12022" width="9.140625" style="3" hidden="1"/>
    <col min="12023" max="12023" width="16.28515625" style="3" hidden="1"/>
    <col min="12024" max="12024" width="17.5703125" style="3" hidden="1"/>
    <col min="12025" max="12025" width="16" style="3" hidden="1"/>
    <col min="12026" max="12026" width="18.140625" style="3" hidden="1"/>
    <col min="12027" max="12219" width="9.140625" style="3" hidden="1"/>
    <col min="12220" max="12220" width="11" style="3" hidden="1"/>
    <col min="12221" max="12221" width="55.140625" style="3" hidden="1"/>
    <col min="12222" max="12278" width="9.140625" style="3" hidden="1"/>
    <col min="12279" max="12279" width="16.28515625" style="3" hidden="1"/>
    <col min="12280" max="12280" width="17.5703125" style="3" hidden="1"/>
    <col min="12281" max="12281" width="16" style="3" hidden="1"/>
    <col min="12282" max="12282" width="18.140625" style="3" hidden="1"/>
    <col min="12283" max="12475" width="9.140625" style="3" hidden="1"/>
    <col min="12476" max="12476" width="11" style="3" hidden="1"/>
    <col min="12477" max="12477" width="55.140625" style="3" hidden="1"/>
    <col min="12478" max="12534" width="9.140625" style="3" hidden="1"/>
    <col min="12535" max="12535" width="16.28515625" style="3" hidden="1"/>
    <col min="12536" max="12536" width="17.5703125" style="3" hidden="1"/>
    <col min="12537" max="12537" width="16" style="3" hidden="1"/>
    <col min="12538" max="12538" width="18.140625" style="3" hidden="1"/>
    <col min="12539" max="12731" width="9.140625" style="3" hidden="1"/>
    <col min="12732" max="12732" width="11" style="3" hidden="1"/>
    <col min="12733" max="12733" width="55.140625" style="3" hidden="1"/>
    <col min="12734" max="12790" width="9.140625" style="3" hidden="1"/>
    <col min="12791" max="12791" width="16.28515625" style="3" hidden="1"/>
    <col min="12792" max="12792" width="17.5703125" style="3" hidden="1"/>
    <col min="12793" max="12793" width="16" style="3" hidden="1"/>
    <col min="12794" max="12794" width="18.140625" style="3" hidden="1"/>
    <col min="12795" max="12987" width="9.140625" style="3" hidden="1"/>
    <col min="12988" max="12988" width="11" style="3" hidden="1"/>
    <col min="12989" max="12989" width="55.140625" style="3" hidden="1"/>
    <col min="12990" max="13046" width="9.140625" style="3" hidden="1"/>
    <col min="13047" max="13047" width="16.28515625" style="3" hidden="1"/>
    <col min="13048" max="13048" width="17.5703125" style="3" hidden="1"/>
    <col min="13049" max="13049" width="16" style="3" hidden="1"/>
    <col min="13050" max="13050" width="18.140625" style="3" hidden="1"/>
    <col min="13051" max="13243" width="9.140625" style="3" hidden="1"/>
    <col min="13244" max="13244" width="11" style="3" hidden="1"/>
    <col min="13245" max="13245" width="55.140625" style="3" hidden="1"/>
    <col min="13246" max="13302" width="9.140625" style="3" hidden="1"/>
    <col min="13303" max="13303" width="16.28515625" style="3" hidden="1"/>
    <col min="13304" max="13304" width="17.5703125" style="3" hidden="1"/>
    <col min="13305" max="13305" width="16" style="3" hidden="1"/>
    <col min="13306" max="13306" width="18.140625" style="3" hidden="1"/>
    <col min="13307" max="13499" width="9.140625" style="3" hidden="1"/>
    <col min="13500" max="13500" width="11" style="3" hidden="1"/>
    <col min="13501" max="13501" width="55.140625" style="3" hidden="1"/>
    <col min="13502" max="13558" width="9.140625" style="3" hidden="1"/>
    <col min="13559" max="13559" width="16.28515625" style="3" hidden="1"/>
    <col min="13560" max="13560" width="17.5703125" style="3" hidden="1"/>
    <col min="13561" max="13561" width="16" style="3" hidden="1"/>
    <col min="13562" max="13562" width="18.140625" style="3" hidden="1"/>
    <col min="13563" max="13755" width="9.140625" style="3" hidden="1"/>
    <col min="13756" max="13756" width="11" style="3" hidden="1"/>
    <col min="13757" max="13757" width="55.140625" style="3" hidden="1"/>
    <col min="13758" max="13814" width="9.140625" style="3" hidden="1"/>
    <col min="13815" max="13815" width="16.28515625" style="3" hidden="1"/>
    <col min="13816" max="13816" width="17.5703125" style="3" hidden="1"/>
    <col min="13817" max="13817" width="16" style="3" hidden="1"/>
    <col min="13818" max="13818" width="18.140625" style="3" hidden="1"/>
    <col min="13819" max="14011" width="9.140625" style="3" hidden="1"/>
    <col min="14012" max="14012" width="11" style="3" hidden="1"/>
    <col min="14013" max="14013" width="55.140625" style="3" hidden="1"/>
    <col min="14014" max="14070" width="9.140625" style="3" hidden="1"/>
    <col min="14071" max="14071" width="16.28515625" style="3" hidden="1"/>
    <col min="14072" max="14072" width="17.5703125" style="3" hidden="1"/>
    <col min="14073" max="14073" width="16" style="3" hidden="1"/>
    <col min="14074" max="14074" width="18.140625" style="3" hidden="1"/>
    <col min="14075" max="14267" width="9.140625" style="3" hidden="1"/>
    <col min="14268" max="14268" width="11" style="3" hidden="1"/>
    <col min="14269" max="14269" width="55.140625" style="3" hidden="1"/>
    <col min="14270" max="14326" width="9.140625" style="3" hidden="1"/>
    <col min="14327" max="14327" width="16.28515625" style="3" hidden="1"/>
    <col min="14328" max="14328" width="17.5703125" style="3" hidden="1"/>
    <col min="14329" max="14329" width="16" style="3" hidden="1"/>
    <col min="14330" max="14330" width="18.140625" style="3" hidden="1"/>
    <col min="14331" max="14523" width="9.140625" style="3" hidden="1"/>
    <col min="14524" max="14524" width="11" style="3" hidden="1"/>
    <col min="14525" max="14525" width="55.140625" style="3" hidden="1"/>
    <col min="14526" max="14582" width="9.140625" style="3" hidden="1"/>
    <col min="14583" max="14583" width="16.28515625" style="3" hidden="1"/>
    <col min="14584" max="14584" width="17.5703125" style="3" hidden="1"/>
    <col min="14585" max="14585" width="16" style="3" hidden="1"/>
    <col min="14586" max="14586" width="18.140625" style="3" hidden="1"/>
    <col min="14587" max="14779" width="9.140625" style="3" hidden="1"/>
    <col min="14780" max="14780" width="11" style="3" hidden="1"/>
    <col min="14781" max="14781" width="55.140625" style="3" hidden="1"/>
    <col min="14782" max="14838" width="9.140625" style="3" hidden="1"/>
    <col min="14839" max="14839" width="16.28515625" style="3" hidden="1"/>
    <col min="14840" max="14840" width="17.5703125" style="3" hidden="1"/>
    <col min="14841" max="14841" width="16" style="3" hidden="1"/>
    <col min="14842" max="14842" width="18.140625" style="3" hidden="1"/>
    <col min="14843" max="15035" width="9.140625" style="3" hidden="1"/>
    <col min="15036" max="15036" width="11" style="3" hidden="1"/>
    <col min="15037" max="15037" width="55.140625" style="3" hidden="1"/>
    <col min="15038" max="15094" width="9.140625" style="3" hidden="1"/>
    <col min="15095" max="15095" width="16.28515625" style="3" hidden="1"/>
    <col min="15096" max="15096" width="17.5703125" style="3" hidden="1"/>
    <col min="15097" max="15097" width="16" style="3" hidden="1"/>
    <col min="15098" max="15098" width="18.140625" style="3" hidden="1"/>
    <col min="15099" max="15291" width="9.140625" style="3" hidden="1"/>
    <col min="15292" max="15292" width="11" style="3" hidden="1"/>
    <col min="15293" max="15293" width="55.140625" style="3" hidden="1"/>
    <col min="15294" max="15350" width="9.140625" style="3" hidden="1"/>
    <col min="15351" max="15351" width="16.28515625" style="3" hidden="1"/>
    <col min="15352" max="15352" width="17.5703125" style="3" hidden="1"/>
    <col min="15353" max="15353" width="16" style="3" hidden="1"/>
    <col min="15354" max="15354" width="18.140625" style="3" hidden="1"/>
    <col min="15355" max="15547" width="9.140625" style="3" hidden="1"/>
    <col min="15548" max="15548" width="11" style="3" hidden="1"/>
    <col min="15549" max="15549" width="55.140625" style="3" hidden="1"/>
    <col min="15550" max="15606" width="9.140625" style="3" hidden="1"/>
    <col min="15607" max="15607" width="16.28515625" style="3" hidden="1"/>
    <col min="15608" max="15608" width="17.5703125" style="3" hidden="1"/>
    <col min="15609" max="15609" width="16" style="3" hidden="1"/>
    <col min="15610" max="15610" width="18.140625" style="3" hidden="1"/>
    <col min="15611" max="15803" width="9.140625" style="3" hidden="1"/>
    <col min="15804" max="15804" width="11" style="3" hidden="1"/>
    <col min="15805" max="15805" width="55.140625" style="3" hidden="1"/>
    <col min="15806" max="15862" width="9.140625" style="3" hidden="1"/>
    <col min="15863" max="15863" width="16.28515625" style="3" hidden="1"/>
    <col min="15864" max="15864" width="17.5703125" style="3" hidden="1"/>
    <col min="15865" max="15865" width="16" style="3" hidden="1"/>
    <col min="15866" max="15866" width="18.140625" style="3" hidden="1"/>
    <col min="15867" max="16059" width="9.140625" style="3" hidden="1"/>
    <col min="16060" max="16060" width="11" style="3" hidden="1"/>
    <col min="16061" max="16061" width="55.140625" style="3" hidden="1"/>
    <col min="16062" max="16118" width="9.140625" style="3" hidden="1"/>
    <col min="16119" max="16119" width="16.28515625" style="3" hidden="1"/>
    <col min="16120" max="16120" width="17.5703125" style="3" hidden="1"/>
    <col min="16121" max="16121" width="16" style="3" hidden="1"/>
    <col min="16122" max="16122" width="18.140625" style="3" hidden="1"/>
    <col min="16123" max="16384" width="9.140625" style="3" hidden="1"/>
  </cols>
  <sheetData>
    <row r="1" spans="1:6">
      <c r="B1" s="2" t="s">
        <v>866</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Worksheet'!$D$42</f>
        <v>84409</v>
      </c>
      <c r="E3" s="11"/>
      <c r="F3" s="11"/>
    </row>
    <row r="4" spans="1:6">
      <c r="A4" s="8">
        <v>0</v>
      </c>
      <c r="B4" s="11" t="s">
        <v>4</v>
      </c>
      <c r="C4" s="10">
        <v>1.188E-3</v>
      </c>
      <c r="D4" s="12">
        <f>ROUND(D$3*C4,0)</f>
        <v>100</v>
      </c>
      <c r="E4" s="13">
        <f>ROUND(D4/2,0)</f>
        <v>50</v>
      </c>
      <c r="F4" s="12">
        <f>D4-E4</f>
        <v>50</v>
      </c>
    </row>
    <row r="5" spans="1:6">
      <c r="A5" s="8">
        <v>1</v>
      </c>
      <c r="B5" s="11" t="s">
        <v>867</v>
      </c>
      <c r="C5" s="10">
        <v>0.27544200000000002</v>
      </c>
      <c r="D5" s="9">
        <f>ROUND(D$3*C5,0)</f>
        <v>23250</v>
      </c>
      <c r="E5" s="11">
        <f>ROUND(D5/2,0)</f>
        <v>11625</v>
      </c>
      <c r="F5" s="9">
        <f>D5-E5</f>
        <v>11625</v>
      </c>
    </row>
    <row r="6" spans="1:6">
      <c r="A6" s="8"/>
      <c r="B6" s="11" t="s">
        <v>6</v>
      </c>
      <c r="C6" s="11"/>
      <c r="D6" s="14">
        <v>0.34783799999999998</v>
      </c>
      <c r="E6" s="11"/>
      <c r="F6" s="11"/>
    </row>
    <row r="7" spans="1:6">
      <c r="A7" s="8"/>
      <c r="B7" s="11" t="s">
        <v>7</v>
      </c>
      <c r="C7" s="11"/>
      <c r="D7" s="225">
        <f>ROUND(D5*D6,0)</f>
        <v>8087</v>
      </c>
      <c r="E7" s="226">
        <f>ROUND(D7/2,0)</f>
        <v>4044</v>
      </c>
      <c r="F7" s="225">
        <f>D7-E7</f>
        <v>4043</v>
      </c>
    </row>
    <row r="8" spans="1:6">
      <c r="A8" s="8"/>
      <c r="B8" s="11" t="s">
        <v>8</v>
      </c>
      <c r="C8" s="11"/>
      <c r="D8" s="12">
        <f>+D5-D7</f>
        <v>15163</v>
      </c>
      <c r="E8" s="13">
        <f>ROUND(D8/2,0)</f>
        <v>7582</v>
      </c>
      <c r="F8" s="12">
        <f>D8-E8</f>
        <v>7581</v>
      </c>
    </row>
    <row r="9" spans="1:6">
      <c r="A9" s="8">
        <v>2</v>
      </c>
      <c r="B9" s="11" t="s">
        <v>868</v>
      </c>
      <c r="C9" s="11"/>
      <c r="D9" s="9"/>
      <c r="E9" s="11"/>
      <c r="F9" s="11"/>
    </row>
    <row r="10" spans="1:6">
      <c r="A10" s="8"/>
      <c r="B10" s="11" t="s">
        <v>10</v>
      </c>
      <c r="C10" s="10">
        <v>7.0200000000000004E-4</v>
      </c>
      <c r="D10" s="12">
        <f>ROUND(D$3*C10,0)</f>
        <v>59</v>
      </c>
      <c r="E10" s="13">
        <f>ROUND(D10/2,0)</f>
        <v>30</v>
      </c>
      <c r="F10" s="12">
        <f>D10-E10</f>
        <v>29</v>
      </c>
    </row>
    <row r="11" spans="1:6">
      <c r="A11" s="8"/>
      <c r="B11" s="11" t="s">
        <v>11</v>
      </c>
      <c r="C11" s="10">
        <v>2.3800000000000001E-4</v>
      </c>
      <c r="D11" s="12">
        <f>ROUND(D$3*C11,0)</f>
        <v>20</v>
      </c>
      <c r="E11" s="13">
        <f>ROUND(D11/2,0)</f>
        <v>10</v>
      </c>
      <c r="F11" s="12">
        <f>D11-E11</f>
        <v>10</v>
      </c>
    </row>
    <row r="12" spans="1:6">
      <c r="A12" s="8">
        <v>2</v>
      </c>
      <c r="B12" s="11" t="s">
        <v>869</v>
      </c>
      <c r="C12" s="11"/>
      <c r="D12" s="9"/>
      <c r="E12" s="11"/>
      <c r="F12" s="11"/>
    </row>
    <row r="13" spans="1:6">
      <c r="A13" s="8"/>
      <c r="B13" s="11" t="s">
        <v>10</v>
      </c>
      <c r="C13" s="10">
        <v>1.274E-3</v>
      </c>
      <c r="D13" s="12">
        <f>ROUND(D$3*C13,0)</f>
        <v>108</v>
      </c>
      <c r="E13" s="13">
        <f>ROUND(D13/2,0)</f>
        <v>54</v>
      </c>
      <c r="F13" s="12">
        <f>D13-E13</f>
        <v>54</v>
      </c>
    </row>
    <row r="14" spans="1:6">
      <c r="A14" s="8"/>
      <c r="B14" s="11" t="s">
        <v>11</v>
      </c>
      <c r="C14" s="10">
        <v>3.2400000000000001E-4</v>
      </c>
      <c r="D14" s="12">
        <f>ROUND(D$3*C14,0)</f>
        <v>27</v>
      </c>
      <c r="E14" s="13">
        <f>ROUND(D14/2,0)</f>
        <v>14</v>
      </c>
      <c r="F14" s="12">
        <f>D14-E14</f>
        <v>13</v>
      </c>
    </row>
    <row r="15" spans="1:6">
      <c r="A15" s="8">
        <v>2</v>
      </c>
      <c r="B15" s="11" t="s">
        <v>794</v>
      </c>
      <c r="C15" s="11"/>
      <c r="D15" s="9"/>
      <c r="E15" s="11"/>
      <c r="F15" s="11"/>
    </row>
    <row r="16" spans="1:6">
      <c r="A16" s="8"/>
      <c r="B16" s="11" t="s">
        <v>10</v>
      </c>
      <c r="C16" s="10">
        <v>5.5099999999999995E-4</v>
      </c>
      <c r="D16" s="12">
        <f>ROUND(D$3*C16,0)</f>
        <v>47</v>
      </c>
      <c r="E16" s="13">
        <f>ROUND(D16/2,0)</f>
        <v>24</v>
      </c>
      <c r="F16" s="12">
        <f>D16-E16</f>
        <v>23</v>
      </c>
    </row>
    <row r="17" spans="1:6">
      <c r="A17" s="8"/>
      <c r="B17" s="11" t="s">
        <v>11</v>
      </c>
      <c r="C17" s="10">
        <v>2.1599999999999999E-4</v>
      </c>
      <c r="D17" s="12">
        <f>ROUND(D$3*C17,0)</f>
        <v>18</v>
      </c>
      <c r="E17" s="13">
        <f>ROUND(D17/2,0)</f>
        <v>9</v>
      </c>
      <c r="F17" s="12">
        <f>D17-E17</f>
        <v>9</v>
      </c>
    </row>
    <row r="18" spans="1:6">
      <c r="A18" s="8">
        <v>2</v>
      </c>
      <c r="B18" s="11" t="s">
        <v>52</v>
      </c>
      <c r="C18" s="11"/>
      <c r="D18" s="9"/>
      <c r="E18" s="11"/>
      <c r="F18" s="11"/>
    </row>
    <row r="19" spans="1:6">
      <c r="A19" s="8"/>
      <c r="B19" s="11" t="s">
        <v>10</v>
      </c>
      <c r="C19" s="10">
        <v>9.1459999999999996E-3</v>
      </c>
      <c r="D19" s="12">
        <f>ROUND(D$3*C19,0)</f>
        <v>772</v>
      </c>
      <c r="E19" s="13">
        <f>ROUND(D19/2,0)</f>
        <v>386</v>
      </c>
      <c r="F19" s="12">
        <f>D19-E19</f>
        <v>386</v>
      </c>
    </row>
    <row r="20" spans="1:6">
      <c r="A20" s="8"/>
      <c r="B20" s="11" t="s">
        <v>11</v>
      </c>
      <c r="C20" s="10">
        <v>1.609E-3</v>
      </c>
      <c r="D20" s="12">
        <f>ROUND(D$3*C20,0)</f>
        <v>136</v>
      </c>
      <c r="E20" s="13">
        <f>ROUND(D20/2,0)</f>
        <v>68</v>
      </c>
      <c r="F20" s="12">
        <f>D20-E20</f>
        <v>68</v>
      </c>
    </row>
    <row r="21" spans="1:6" ht="16.5" customHeight="1">
      <c r="A21" s="8">
        <v>2</v>
      </c>
      <c r="B21" s="11" t="s">
        <v>870</v>
      </c>
      <c r="C21" s="11"/>
      <c r="D21" s="9"/>
      <c r="E21" s="11"/>
      <c r="F21" s="11"/>
    </row>
    <row r="22" spans="1:6" ht="16.5" customHeight="1">
      <c r="A22" s="8"/>
      <c r="B22" s="11" t="s">
        <v>10</v>
      </c>
      <c r="C22" s="10">
        <v>2.1599999999999999E-4</v>
      </c>
      <c r="D22" s="12">
        <f>ROUND(D$3*C22,0)</f>
        <v>18</v>
      </c>
      <c r="E22" s="13">
        <f>ROUND(D22/2,0)</f>
        <v>9</v>
      </c>
      <c r="F22" s="12">
        <f>D22-E22</f>
        <v>9</v>
      </c>
    </row>
    <row r="23" spans="1:6" ht="16.5" customHeight="1">
      <c r="A23" s="8"/>
      <c r="B23" s="11" t="s">
        <v>11</v>
      </c>
      <c r="C23" s="10">
        <v>1.94E-4</v>
      </c>
      <c r="D23" s="12">
        <f>ROUND(D$3*C23,0)</f>
        <v>16</v>
      </c>
      <c r="E23" s="13">
        <f>ROUND(D23/2,0)</f>
        <v>8</v>
      </c>
      <c r="F23" s="12">
        <f>D23-E23</f>
        <v>8</v>
      </c>
    </row>
    <row r="24" spans="1:6">
      <c r="A24" s="8">
        <v>2</v>
      </c>
      <c r="B24" s="11" t="s">
        <v>16</v>
      </c>
      <c r="C24" s="11"/>
      <c r="D24" s="9"/>
      <c r="E24" s="11"/>
      <c r="F24" s="11"/>
    </row>
    <row r="25" spans="1:6" ht="17.25" customHeight="1">
      <c r="A25" s="8"/>
      <c r="B25" s="11" t="s">
        <v>10</v>
      </c>
      <c r="C25" s="10">
        <v>6.4999999999999994E-5</v>
      </c>
      <c r="D25" s="12">
        <f>ROUND(D$3*C25,0)</f>
        <v>5</v>
      </c>
      <c r="E25" s="13">
        <f>ROUND(D25/2,0)</f>
        <v>3</v>
      </c>
      <c r="F25" s="12">
        <f>D25-E25</f>
        <v>2</v>
      </c>
    </row>
    <row r="26" spans="1:6">
      <c r="A26" s="8"/>
      <c r="B26" s="11" t="s">
        <v>11</v>
      </c>
      <c r="C26" s="10">
        <v>2.1999999999999999E-5</v>
      </c>
      <c r="D26" s="12">
        <f>ROUND(D$3*C26,0)</f>
        <v>2</v>
      </c>
      <c r="E26" s="13">
        <f>ROUND(D26/2,0)</f>
        <v>1</v>
      </c>
      <c r="F26" s="12">
        <f>D26-E26</f>
        <v>1</v>
      </c>
    </row>
    <row r="27" spans="1:6">
      <c r="A27" s="8">
        <v>2</v>
      </c>
      <c r="B27" s="11" t="s">
        <v>871</v>
      </c>
      <c r="C27" s="11"/>
      <c r="D27" s="9"/>
      <c r="E27" s="11"/>
      <c r="F27" s="11"/>
    </row>
    <row r="28" spans="1:6">
      <c r="A28" s="8"/>
      <c r="B28" s="11" t="s">
        <v>10</v>
      </c>
      <c r="C28" s="10">
        <v>2.343E-3</v>
      </c>
      <c r="D28" s="12">
        <f>ROUND(D$3*C28,0)</f>
        <v>198</v>
      </c>
      <c r="E28" s="13">
        <f>ROUND(D28/2,0)</f>
        <v>99</v>
      </c>
      <c r="F28" s="12">
        <f>D28-E28</f>
        <v>99</v>
      </c>
    </row>
    <row r="29" spans="1:6">
      <c r="A29" s="8"/>
      <c r="B29" s="11" t="s">
        <v>11</v>
      </c>
      <c r="C29" s="10">
        <v>6.4800000000000003E-4</v>
      </c>
      <c r="D29" s="12">
        <f>ROUND(D$3*C29,0)</f>
        <v>55</v>
      </c>
      <c r="E29" s="13">
        <f>ROUND(D29/2,0)</f>
        <v>28</v>
      </c>
      <c r="F29" s="12">
        <f>D29-E29</f>
        <v>27</v>
      </c>
    </row>
    <row r="30" spans="1:6">
      <c r="A30" s="8">
        <v>2</v>
      </c>
      <c r="B30" s="11" t="s">
        <v>872</v>
      </c>
      <c r="C30" s="11"/>
      <c r="D30" s="9"/>
      <c r="E30" s="11"/>
      <c r="F30" s="11"/>
    </row>
    <row r="31" spans="1:6">
      <c r="A31" s="8"/>
      <c r="B31" s="11" t="s">
        <v>10</v>
      </c>
      <c r="C31" s="10">
        <v>1.738E-3</v>
      </c>
      <c r="D31" s="12">
        <f>ROUND(D$3*C31,0)</f>
        <v>147</v>
      </c>
      <c r="E31" s="13">
        <f>ROUND(D31/2,0)</f>
        <v>74</v>
      </c>
      <c r="F31" s="12">
        <f>D31-E31</f>
        <v>73</v>
      </c>
    </row>
    <row r="32" spans="1:6">
      <c r="A32" s="8"/>
      <c r="B32" s="11" t="s">
        <v>11</v>
      </c>
      <c r="C32" s="10">
        <v>5.1800000000000001E-4</v>
      </c>
      <c r="D32" s="12">
        <f>ROUND(D$3*C32,0)</f>
        <v>44</v>
      </c>
      <c r="E32" s="13">
        <f>ROUND(D32/2,0)</f>
        <v>22</v>
      </c>
      <c r="F32" s="12">
        <f>D32-E32</f>
        <v>22</v>
      </c>
    </row>
    <row r="33" spans="1:6">
      <c r="A33" s="8">
        <v>2</v>
      </c>
      <c r="B33" s="11" t="s">
        <v>873</v>
      </c>
      <c r="C33" s="11"/>
      <c r="D33" s="9"/>
      <c r="E33" s="11"/>
      <c r="F33" s="11"/>
    </row>
    <row r="34" spans="1:6">
      <c r="A34" s="8"/>
      <c r="B34" s="11" t="s">
        <v>10</v>
      </c>
      <c r="C34" s="10">
        <v>7.6000000000000004E-5</v>
      </c>
      <c r="D34" s="12">
        <f>ROUND(D$3*C34,0)</f>
        <v>6</v>
      </c>
      <c r="E34" s="13">
        <f>ROUND(D34/2,0)</f>
        <v>3</v>
      </c>
      <c r="F34" s="12">
        <f>D34-E34</f>
        <v>3</v>
      </c>
    </row>
    <row r="35" spans="1:6">
      <c r="A35" s="8"/>
      <c r="B35" s="11" t="s">
        <v>11</v>
      </c>
      <c r="C35" s="10">
        <v>3.1999999999999999E-5</v>
      </c>
      <c r="D35" s="12">
        <f>ROUND(D$3*C35,0)</f>
        <v>3</v>
      </c>
      <c r="E35" s="13">
        <f>ROUND(D35/2,0)</f>
        <v>2</v>
      </c>
      <c r="F35" s="12">
        <f>D35-E35</f>
        <v>1</v>
      </c>
    </row>
    <row r="36" spans="1:6">
      <c r="A36" s="8">
        <v>2</v>
      </c>
      <c r="B36" s="11" t="s">
        <v>874</v>
      </c>
      <c r="C36" s="11"/>
      <c r="D36" s="9"/>
      <c r="E36" s="11"/>
      <c r="F36" s="11"/>
    </row>
    <row r="37" spans="1:6">
      <c r="A37" s="8"/>
      <c r="B37" s="11" t="s">
        <v>10</v>
      </c>
      <c r="C37" s="10">
        <v>9.2900000000000003E-4</v>
      </c>
      <c r="D37" s="12">
        <f t="shared" ref="D37:D43" si="0">ROUND(D$3*C37,0)</f>
        <v>78</v>
      </c>
      <c r="E37" s="13">
        <f t="shared" ref="E37:E43" si="1">ROUND(D37/2,0)</f>
        <v>39</v>
      </c>
      <c r="F37" s="12">
        <f t="shared" ref="F37:F43" si="2">D37-E37</f>
        <v>39</v>
      </c>
    </row>
    <row r="38" spans="1:6">
      <c r="A38" s="8"/>
      <c r="B38" s="11" t="s">
        <v>11</v>
      </c>
      <c r="C38" s="10">
        <v>3.0200000000000002E-4</v>
      </c>
      <c r="D38" s="12">
        <f t="shared" si="0"/>
        <v>25</v>
      </c>
      <c r="E38" s="13">
        <f t="shared" si="1"/>
        <v>13</v>
      </c>
      <c r="F38" s="12">
        <f t="shared" si="2"/>
        <v>12</v>
      </c>
    </row>
    <row r="39" spans="1:6">
      <c r="A39" s="8">
        <v>3</v>
      </c>
      <c r="B39" s="11" t="s">
        <v>875</v>
      </c>
      <c r="C39" s="10">
        <v>0</v>
      </c>
      <c r="D39" s="12">
        <f t="shared" si="0"/>
        <v>0</v>
      </c>
      <c r="E39" s="13">
        <f t="shared" si="1"/>
        <v>0</v>
      </c>
      <c r="F39" s="12">
        <f t="shared" si="2"/>
        <v>0</v>
      </c>
    </row>
    <row r="40" spans="1:6">
      <c r="A40" s="8">
        <v>3</v>
      </c>
      <c r="B40" s="11" t="s">
        <v>876</v>
      </c>
      <c r="C40" s="10">
        <v>0</v>
      </c>
      <c r="D40" s="12">
        <f t="shared" si="0"/>
        <v>0</v>
      </c>
      <c r="E40" s="13">
        <f t="shared" si="1"/>
        <v>0</v>
      </c>
      <c r="F40" s="12">
        <f t="shared" si="2"/>
        <v>0</v>
      </c>
    </row>
    <row r="41" spans="1:6">
      <c r="A41" s="8">
        <v>3</v>
      </c>
      <c r="B41" s="11" t="s">
        <v>877</v>
      </c>
      <c r="C41" s="10">
        <v>4.1359999999999999E-3</v>
      </c>
      <c r="D41" s="12">
        <f t="shared" si="0"/>
        <v>349</v>
      </c>
      <c r="E41" s="13">
        <f t="shared" si="1"/>
        <v>175</v>
      </c>
      <c r="F41" s="12">
        <f t="shared" si="2"/>
        <v>174</v>
      </c>
    </row>
    <row r="42" spans="1:6">
      <c r="A42" s="8">
        <v>3</v>
      </c>
      <c r="B42" s="11" t="s">
        <v>878</v>
      </c>
      <c r="C42" s="10">
        <v>6.2896999999999995E-2</v>
      </c>
      <c r="D42" s="12">
        <f t="shared" si="0"/>
        <v>5309</v>
      </c>
      <c r="E42" s="13">
        <f t="shared" si="1"/>
        <v>2655</v>
      </c>
      <c r="F42" s="12">
        <f t="shared" si="2"/>
        <v>2654</v>
      </c>
    </row>
    <row r="43" spans="1:6">
      <c r="A43" s="8">
        <v>4</v>
      </c>
      <c r="B43" s="11" t="s">
        <v>879</v>
      </c>
      <c r="C43" s="10">
        <v>0.42529499999999998</v>
      </c>
      <c r="D43" s="9">
        <f t="shared" si="0"/>
        <v>35899</v>
      </c>
      <c r="E43" s="11">
        <f t="shared" si="1"/>
        <v>17950</v>
      </c>
      <c r="F43" s="9">
        <f t="shared" si="2"/>
        <v>17949</v>
      </c>
    </row>
    <row r="44" spans="1:6">
      <c r="A44" s="8"/>
      <c r="B44" s="11" t="s">
        <v>28</v>
      </c>
      <c r="C44" s="11"/>
      <c r="D44" s="14">
        <v>0.42543599999999998</v>
      </c>
      <c r="E44" s="11"/>
      <c r="F44" s="11"/>
    </row>
    <row r="45" spans="1:6">
      <c r="A45" s="8"/>
      <c r="B45" s="11" t="s">
        <v>29</v>
      </c>
      <c r="C45" s="11"/>
      <c r="D45" s="225">
        <f>ROUND(D43*D44,0)</f>
        <v>15273</v>
      </c>
      <c r="E45" s="226">
        <f>ROUND(D45/2,0)</f>
        <v>7637</v>
      </c>
      <c r="F45" s="225">
        <f>D45-E45</f>
        <v>7636</v>
      </c>
    </row>
    <row r="46" spans="1:6">
      <c r="A46" s="8"/>
      <c r="B46" s="11" t="s">
        <v>30</v>
      </c>
      <c r="C46" s="11"/>
      <c r="D46" s="12">
        <f>+D43-D45</f>
        <v>20626</v>
      </c>
      <c r="E46" s="13">
        <f>ROUND(D46/2,0)</f>
        <v>10313</v>
      </c>
      <c r="F46" s="12">
        <f>D46-E46</f>
        <v>10313</v>
      </c>
    </row>
    <row r="47" spans="1:6">
      <c r="A47" s="8">
        <v>4</v>
      </c>
      <c r="B47" s="11" t="s">
        <v>880</v>
      </c>
      <c r="C47" s="10">
        <v>0.177592</v>
      </c>
      <c r="D47" s="9">
        <f>ROUND(D$3*C47,0)</f>
        <v>14990</v>
      </c>
      <c r="E47" s="11">
        <f>ROUND(D47/2,0)</f>
        <v>7495</v>
      </c>
      <c r="F47" s="9">
        <f>D47-E47</f>
        <v>7495</v>
      </c>
    </row>
    <row r="48" spans="1:6">
      <c r="A48" s="8"/>
      <c r="B48" s="11" t="s">
        <v>28</v>
      </c>
      <c r="C48" s="11"/>
      <c r="D48" s="14">
        <v>0.40010400000000002</v>
      </c>
      <c r="E48" s="11"/>
      <c r="F48" s="11"/>
    </row>
    <row r="49" spans="1:8">
      <c r="A49" s="8"/>
      <c r="B49" s="11" t="s">
        <v>29</v>
      </c>
      <c r="C49" s="11"/>
      <c r="D49" s="225">
        <f>ROUND(D47*D48,0)</f>
        <v>5998</v>
      </c>
      <c r="E49" s="226">
        <f>ROUND(D49/2,0)</f>
        <v>2999</v>
      </c>
      <c r="F49" s="225">
        <f>D49-E49</f>
        <v>2999</v>
      </c>
    </row>
    <row r="50" spans="1:8">
      <c r="A50" s="8"/>
      <c r="B50" s="11" t="s">
        <v>30</v>
      </c>
      <c r="C50" s="11"/>
      <c r="D50" s="12">
        <f>+D47-D49</f>
        <v>8992</v>
      </c>
      <c r="E50" s="13">
        <f>ROUND(D50/2,0)</f>
        <v>4496</v>
      </c>
      <c r="F50" s="12">
        <f>D50-E50</f>
        <v>4496</v>
      </c>
    </row>
    <row r="51" spans="1:8">
      <c r="A51" s="8">
        <v>5</v>
      </c>
      <c r="B51" s="11" t="s">
        <v>881</v>
      </c>
      <c r="C51" s="10">
        <v>2.7394000000000002E-2</v>
      </c>
      <c r="D51" s="12">
        <f>ROUND(D$3*C51,0)</f>
        <v>2312</v>
      </c>
      <c r="E51" s="13">
        <f>ROUND(D51/2,0)</f>
        <v>1156</v>
      </c>
      <c r="F51" s="12">
        <f>D51-E51</f>
        <v>1156</v>
      </c>
    </row>
    <row r="52" spans="1:8">
      <c r="A52" s="8">
        <v>6</v>
      </c>
      <c r="B52" s="11" t="s">
        <v>545</v>
      </c>
      <c r="C52" s="10">
        <v>4.9129999999999998E-3</v>
      </c>
      <c r="D52" s="12">
        <f>+D3-SUM(D4:D5)-SUM(D10:D43)-D47-D51</f>
        <v>416</v>
      </c>
      <c r="E52" s="13">
        <f>ROUND(D52/2,0)</f>
        <v>208</v>
      </c>
      <c r="F52" s="12">
        <f>D52-E52</f>
        <v>208</v>
      </c>
    </row>
    <row r="53" spans="1:8">
      <c r="A53" s="8"/>
      <c r="B53" s="28" t="s">
        <v>288</v>
      </c>
      <c r="C53" s="10">
        <v>1</v>
      </c>
      <c r="D53" s="12">
        <f>+D4+SUM(D7:D42)+SUM(D45:D46)+SUM(D49:D52)</f>
        <v>84409</v>
      </c>
      <c r="E53" s="12">
        <f>+E4+SUM(E7:E42)+SUM(E45:E46)+SUM(E49:E52)</f>
        <v>42211</v>
      </c>
      <c r="F53" s="12">
        <f>+F4+SUM(F7:F42)+SUM(F45:F46)+SUM(F49:F52)</f>
        <v>42198</v>
      </c>
    </row>
    <row r="54" spans="1:8">
      <c r="B54" s="18" t="s">
        <v>38</v>
      </c>
      <c r="D54" s="19">
        <f>+D4</f>
        <v>100</v>
      </c>
      <c r="E54" s="19">
        <f>+E4</f>
        <v>50</v>
      </c>
      <c r="F54" s="19">
        <f>+F4</f>
        <v>50</v>
      </c>
    </row>
    <row r="55" spans="1:8">
      <c r="B55" s="2" t="s">
        <v>39</v>
      </c>
      <c r="D55" s="19">
        <f>+D7</f>
        <v>8087</v>
      </c>
      <c r="E55" s="19">
        <f>+E7</f>
        <v>4044</v>
      </c>
      <c r="F55" s="19">
        <f>+F7</f>
        <v>4043</v>
      </c>
    </row>
    <row r="56" spans="1:8">
      <c r="B56" s="2" t="s">
        <v>40</v>
      </c>
      <c r="D56" s="19">
        <f>+D45+D49</f>
        <v>21271</v>
      </c>
      <c r="E56" s="19">
        <f>+E45+E49</f>
        <v>10636</v>
      </c>
      <c r="F56" s="19">
        <f>+F45+F49</f>
        <v>10635</v>
      </c>
      <c r="H56" s="3">
        <v>1</v>
      </c>
    </row>
    <row r="57" spans="1:8">
      <c r="B57" s="18" t="s">
        <v>41</v>
      </c>
      <c r="D57" s="19">
        <f>+D53-D54-D55-D56</f>
        <v>54951</v>
      </c>
      <c r="E57" s="19">
        <f>+E53-E54-E55-E56</f>
        <v>27481</v>
      </c>
      <c r="F57" s="19">
        <f>+F53-F54-F55-F56</f>
        <v>27470</v>
      </c>
      <c r="H57" s="3">
        <v>2</v>
      </c>
    </row>
    <row r="59" spans="1:8" hidden="1">
      <c r="B59" s="3" t="s">
        <v>42</v>
      </c>
      <c r="C59" s="4">
        <v>0</v>
      </c>
      <c r="D59" s="3">
        <f>+D52-ROUND(D3*C52,0)</f>
        <v>1</v>
      </c>
    </row>
    <row r="71" spans="1:1">
      <c r="A71" s="1" t="s">
        <v>590</v>
      </c>
    </row>
  </sheetData>
  <pageMargins left="0.7" right="0.7" top="0.75" bottom="0.75" header="0.3" footer="0.3"/>
  <pageSetup scale="6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pageSetUpPr fitToPage="1"/>
  </sheetPr>
  <dimension ref="A1:WVB71"/>
  <sheetViews>
    <sheetView topLeftCell="A25" zoomScaleNormal="100" zoomScaleSheetLayoutView="90" workbookViewId="0">
      <selection activeCell="D46" activeCellId="1" sqref="D7:F7 D46:F46"/>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140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140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140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140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140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140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140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140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140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140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140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140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140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140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140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140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140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140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140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140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140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140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140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140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140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140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140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140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140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140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140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140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140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140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140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140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140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140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140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140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140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140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140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140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140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140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140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140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140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140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140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140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140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140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140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140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140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140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140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140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140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140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140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882</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Worksheet'!$D$43</f>
        <v>277465</v>
      </c>
      <c r="E3" s="11"/>
      <c r="F3" s="11"/>
    </row>
    <row r="4" spans="1:6">
      <c r="A4" s="8">
        <v>0</v>
      </c>
      <c r="B4" s="11" t="s">
        <v>4</v>
      </c>
      <c r="C4" s="10">
        <v>1.3010000000000001E-3</v>
      </c>
      <c r="D4" s="12">
        <f>ROUND(D$3*C4,0)</f>
        <v>361</v>
      </c>
      <c r="E4" s="13">
        <f>ROUND(D4/2,0)</f>
        <v>181</v>
      </c>
      <c r="F4" s="12">
        <f>D4-E4</f>
        <v>180</v>
      </c>
    </row>
    <row r="5" spans="1:6">
      <c r="A5" s="8">
        <v>1</v>
      </c>
      <c r="B5" s="11" t="s">
        <v>883</v>
      </c>
      <c r="C5" s="10">
        <v>0.242949</v>
      </c>
      <c r="D5" s="9">
        <f>ROUND(D$3*C5,0)</f>
        <v>67410</v>
      </c>
      <c r="E5" s="11">
        <f>ROUND(D5/2,0)</f>
        <v>33705</v>
      </c>
      <c r="F5" s="9">
        <f>D5-E5</f>
        <v>33705</v>
      </c>
    </row>
    <row r="6" spans="1:6">
      <c r="A6" s="8"/>
      <c r="B6" s="11" t="s">
        <v>6</v>
      </c>
      <c r="C6" s="11"/>
      <c r="D6" s="14">
        <v>0.241366</v>
      </c>
      <c r="E6" s="11"/>
      <c r="F6" s="11"/>
    </row>
    <row r="7" spans="1:6">
      <c r="A7" s="8"/>
      <c r="B7" s="11" t="s">
        <v>7</v>
      </c>
      <c r="C7" s="11"/>
      <c r="D7" s="225">
        <f>ROUND(D5*D6,0)</f>
        <v>16270</v>
      </c>
      <c r="E7" s="226">
        <f>ROUND(D7/2,0)</f>
        <v>8135</v>
      </c>
      <c r="F7" s="225">
        <f>D7-E7</f>
        <v>8135</v>
      </c>
    </row>
    <row r="8" spans="1:6">
      <c r="A8" s="8"/>
      <c r="B8" s="11" t="s">
        <v>8</v>
      </c>
      <c r="C8" s="11"/>
      <c r="D8" s="12">
        <f>+D5-D7</f>
        <v>51140</v>
      </c>
      <c r="E8" s="13">
        <f>ROUND(D8/2,0)</f>
        <v>25570</v>
      </c>
      <c r="F8" s="12">
        <f>D8-E8</f>
        <v>25570</v>
      </c>
    </row>
    <row r="9" spans="1:6">
      <c r="A9" s="8">
        <v>2</v>
      </c>
      <c r="B9" s="11" t="s">
        <v>884</v>
      </c>
      <c r="C9" s="11"/>
      <c r="D9" s="9"/>
      <c r="E9" s="11"/>
      <c r="F9" s="11"/>
    </row>
    <row r="10" spans="1:6">
      <c r="A10" s="8"/>
      <c r="B10" s="11" t="s">
        <v>10</v>
      </c>
      <c r="C10" s="10">
        <v>3.1500000000000001E-4</v>
      </c>
      <c r="D10" s="12">
        <f>ROUND(D$3*C10,0)</f>
        <v>87</v>
      </c>
      <c r="E10" s="13">
        <f>ROUND(D10/2,0)</f>
        <v>44</v>
      </c>
      <c r="F10" s="12">
        <f>D10-E10</f>
        <v>43</v>
      </c>
    </row>
    <row r="11" spans="1:6">
      <c r="A11" s="8"/>
      <c r="B11" s="11" t="s">
        <v>11</v>
      </c>
      <c r="C11" s="10">
        <v>1.5799999999999999E-4</v>
      </c>
      <c r="D11" s="12">
        <f>ROUND(D$3*C11,0)</f>
        <v>44</v>
      </c>
      <c r="E11" s="13">
        <f>ROUND(D11/2,0)</f>
        <v>22</v>
      </c>
      <c r="F11" s="12">
        <f>D11-E11</f>
        <v>22</v>
      </c>
    </row>
    <row r="12" spans="1:6">
      <c r="A12" s="8">
        <v>2</v>
      </c>
      <c r="B12" s="11" t="s">
        <v>885</v>
      </c>
      <c r="C12" s="11"/>
      <c r="D12" s="9"/>
      <c r="E12" s="11"/>
      <c r="F12" s="11"/>
    </row>
    <row r="13" spans="1:6">
      <c r="A13" s="8"/>
      <c r="B13" s="11" t="s">
        <v>10</v>
      </c>
      <c r="C13" s="10">
        <v>1.1169999999999999E-3</v>
      </c>
      <c r="D13" s="12">
        <f>ROUND(D$3*C13,0)</f>
        <v>310</v>
      </c>
      <c r="E13" s="13">
        <f>ROUND(D13/2,0)</f>
        <v>155</v>
      </c>
      <c r="F13" s="12">
        <f>D13-E13</f>
        <v>155</v>
      </c>
    </row>
    <row r="14" spans="1:6">
      <c r="A14" s="8"/>
      <c r="B14" s="11" t="s">
        <v>11</v>
      </c>
      <c r="C14" s="10">
        <v>3.3500000000000001E-4</v>
      </c>
      <c r="D14" s="12">
        <f>ROUND(D$3*C14,0)</f>
        <v>93</v>
      </c>
      <c r="E14" s="13">
        <f>ROUND(D14/2,0)</f>
        <v>47</v>
      </c>
      <c r="F14" s="12">
        <f>D14-E14</f>
        <v>46</v>
      </c>
    </row>
    <row r="15" spans="1:6">
      <c r="A15" s="8">
        <v>2</v>
      </c>
      <c r="B15" s="11" t="s">
        <v>107</v>
      </c>
      <c r="C15" s="11"/>
      <c r="D15" s="9"/>
      <c r="E15" s="11"/>
      <c r="F15" s="11"/>
    </row>
    <row r="16" spans="1:6">
      <c r="A16" s="8"/>
      <c r="B16" s="11" t="s">
        <v>10</v>
      </c>
      <c r="C16" s="10">
        <v>2.9559999999999999E-3</v>
      </c>
      <c r="D16" s="12">
        <f>ROUND(D$3*C16,0)</f>
        <v>820</v>
      </c>
      <c r="E16" s="13">
        <f>ROUND(D16/2,0)</f>
        <v>410</v>
      </c>
      <c r="F16" s="12">
        <f>D16-E16</f>
        <v>410</v>
      </c>
    </row>
    <row r="17" spans="1:6">
      <c r="A17" s="8"/>
      <c r="B17" s="11" t="s">
        <v>11</v>
      </c>
      <c r="C17" s="10">
        <v>9.8999999999999994E-5</v>
      </c>
      <c r="D17" s="12">
        <f>ROUND(D$3*C17,0)</f>
        <v>27</v>
      </c>
      <c r="E17" s="13">
        <f>ROUND(D17/2,0)</f>
        <v>14</v>
      </c>
      <c r="F17" s="12">
        <f>D17-E17</f>
        <v>13</v>
      </c>
    </row>
    <row r="18" spans="1:6">
      <c r="A18" s="8">
        <v>2</v>
      </c>
      <c r="B18" s="11" t="s">
        <v>429</v>
      </c>
      <c r="C18" s="11"/>
      <c r="D18" s="9"/>
      <c r="E18" s="11"/>
      <c r="F18" s="11"/>
    </row>
    <row r="19" spans="1:6">
      <c r="A19" s="8"/>
      <c r="B19" s="11" t="s">
        <v>10</v>
      </c>
      <c r="C19" s="10">
        <v>7.8799999999999996E-4</v>
      </c>
      <c r="D19" s="12">
        <f>ROUND(D$3*C19,0)</f>
        <v>219</v>
      </c>
      <c r="E19" s="13">
        <f>ROUND(D19/2,0)</f>
        <v>110</v>
      </c>
      <c r="F19" s="12">
        <f>D19-E19</f>
        <v>109</v>
      </c>
    </row>
    <row r="20" spans="1:6">
      <c r="A20" s="8"/>
      <c r="B20" s="11" t="s">
        <v>11</v>
      </c>
      <c r="C20" s="10">
        <v>1.9699999999999999E-4</v>
      </c>
      <c r="D20" s="12">
        <f>ROUND(D$3*C20,0)</f>
        <v>55</v>
      </c>
      <c r="E20" s="13">
        <f>ROUND(D20/2,0)</f>
        <v>28</v>
      </c>
      <c r="F20" s="12">
        <f>D20-E20</f>
        <v>27</v>
      </c>
    </row>
    <row r="21" spans="1:6">
      <c r="A21" s="8">
        <v>2</v>
      </c>
      <c r="B21" s="11" t="s">
        <v>886</v>
      </c>
      <c r="C21" s="11"/>
      <c r="D21" s="9"/>
      <c r="E21" s="11"/>
      <c r="F21" s="11"/>
    </row>
    <row r="22" spans="1:6">
      <c r="A22" s="8"/>
      <c r="B22" s="11" t="s">
        <v>10</v>
      </c>
      <c r="C22" s="10">
        <v>2.7460000000000002E-3</v>
      </c>
      <c r="D22" s="12">
        <f>ROUND(D$3*C22,0)</f>
        <v>762</v>
      </c>
      <c r="E22" s="13">
        <f>ROUND(D22/2,0)</f>
        <v>381</v>
      </c>
      <c r="F22" s="12">
        <f>D22-E22</f>
        <v>381</v>
      </c>
    </row>
    <row r="23" spans="1:6">
      <c r="A23" s="8"/>
      <c r="B23" s="11" t="s">
        <v>11</v>
      </c>
      <c r="C23" s="10">
        <v>1.1169999999999999E-3</v>
      </c>
      <c r="D23" s="12">
        <f>ROUND(D$3*C23,0)</f>
        <v>310</v>
      </c>
      <c r="E23" s="13">
        <f>ROUND(D23/2,0)</f>
        <v>155</v>
      </c>
      <c r="F23" s="12">
        <f>D23-E23</f>
        <v>155</v>
      </c>
    </row>
    <row r="24" spans="1:6">
      <c r="A24" s="8">
        <v>2</v>
      </c>
      <c r="B24" s="11" t="s">
        <v>887</v>
      </c>
      <c r="C24" s="11"/>
      <c r="D24" s="9"/>
      <c r="E24" s="11"/>
      <c r="F24" s="11"/>
    </row>
    <row r="25" spans="1:6">
      <c r="A25" s="8"/>
      <c r="B25" s="11" t="s">
        <v>10</v>
      </c>
      <c r="C25" s="10">
        <v>2.33E-4</v>
      </c>
      <c r="D25" s="12">
        <f>ROUND(D$3*C25,0)</f>
        <v>65</v>
      </c>
      <c r="E25" s="13">
        <f>ROUND(D25/2,0)</f>
        <v>33</v>
      </c>
      <c r="F25" s="12">
        <f>D25-E25</f>
        <v>32</v>
      </c>
    </row>
    <row r="26" spans="1:6">
      <c r="A26" s="8"/>
      <c r="B26" s="11" t="s">
        <v>11</v>
      </c>
      <c r="C26" s="10">
        <v>6.8999999999999997E-5</v>
      </c>
      <c r="D26" s="12">
        <f>ROUND(D$3*C26,0)</f>
        <v>19</v>
      </c>
      <c r="E26" s="13">
        <f>ROUND(D26/2,0)</f>
        <v>10</v>
      </c>
      <c r="F26" s="12">
        <f>D26-E26</f>
        <v>9</v>
      </c>
    </row>
    <row r="27" spans="1:6">
      <c r="A27" s="8">
        <v>2</v>
      </c>
      <c r="B27" s="11" t="s">
        <v>53</v>
      </c>
      <c r="C27" s="11"/>
      <c r="D27" s="9"/>
      <c r="E27" s="11"/>
      <c r="F27" s="11"/>
    </row>
    <row r="28" spans="1:6">
      <c r="A28" s="8"/>
      <c r="B28" s="11" t="s">
        <v>10</v>
      </c>
      <c r="C28" s="10">
        <v>2.3599999999999999E-4</v>
      </c>
      <c r="D28" s="12">
        <f>ROUND(D$3*C28,0)</f>
        <v>65</v>
      </c>
      <c r="E28" s="13">
        <f>ROUND(D28/2,0)</f>
        <v>33</v>
      </c>
      <c r="F28" s="12">
        <f>D28-E28</f>
        <v>32</v>
      </c>
    </row>
    <row r="29" spans="1:6">
      <c r="A29" s="8"/>
      <c r="B29" s="11" t="s">
        <v>11</v>
      </c>
      <c r="C29" s="10">
        <v>5.8999999999999998E-5</v>
      </c>
      <c r="D29" s="12">
        <f>ROUND(D$3*C29,0)</f>
        <v>16</v>
      </c>
      <c r="E29" s="13">
        <f>ROUND(D29/2,0)</f>
        <v>8</v>
      </c>
      <c r="F29" s="12">
        <f>D29-E29</f>
        <v>8</v>
      </c>
    </row>
    <row r="30" spans="1:6">
      <c r="A30" s="8">
        <v>2</v>
      </c>
      <c r="B30" s="11" t="s">
        <v>568</v>
      </c>
      <c r="C30" s="11"/>
      <c r="D30" s="9"/>
      <c r="E30" s="11"/>
      <c r="F30" s="11"/>
    </row>
    <row r="31" spans="1:6">
      <c r="A31" s="8"/>
      <c r="B31" s="11" t="s">
        <v>10</v>
      </c>
      <c r="C31" s="10">
        <v>8.1800000000000004E-4</v>
      </c>
      <c r="D31" s="12">
        <f>ROUND(D$3*C31,0)</f>
        <v>227</v>
      </c>
      <c r="E31" s="13">
        <f>ROUND(D31/2,0)</f>
        <v>114</v>
      </c>
      <c r="F31" s="12">
        <f>D31-E31</f>
        <v>113</v>
      </c>
    </row>
    <row r="32" spans="1:6">
      <c r="A32" s="8"/>
      <c r="B32" s="11" t="s">
        <v>11</v>
      </c>
      <c r="C32" s="10">
        <v>5.1199999999999998E-4</v>
      </c>
      <c r="D32" s="12">
        <f>ROUND(D$3*C32,0)</f>
        <v>142</v>
      </c>
      <c r="E32" s="13">
        <f>ROUND(D32/2,0)</f>
        <v>71</v>
      </c>
      <c r="F32" s="12">
        <f>D32-E32</f>
        <v>71</v>
      </c>
    </row>
    <row r="33" spans="1:6">
      <c r="A33" s="8">
        <v>2</v>
      </c>
      <c r="B33" s="11" t="s">
        <v>888</v>
      </c>
      <c r="C33" s="11"/>
      <c r="D33" s="9"/>
      <c r="E33" s="11"/>
      <c r="F33" s="11"/>
    </row>
    <row r="34" spans="1:6">
      <c r="A34" s="8"/>
      <c r="B34" s="11" t="s">
        <v>10</v>
      </c>
      <c r="C34" s="10">
        <v>4.3399999999999998E-4</v>
      </c>
      <c r="D34" s="12">
        <f>ROUND(D$3*C34,0)</f>
        <v>120</v>
      </c>
      <c r="E34" s="13">
        <f>ROUND(D34/2,0)</f>
        <v>60</v>
      </c>
      <c r="F34" s="12">
        <f>D34-E34</f>
        <v>60</v>
      </c>
    </row>
    <row r="35" spans="1:6">
      <c r="A35" s="8"/>
      <c r="B35" s="11" t="s">
        <v>11</v>
      </c>
      <c r="C35" s="10">
        <v>8.5000000000000006E-5</v>
      </c>
      <c r="D35" s="12">
        <f>ROUND(D$3*C35,0)</f>
        <v>24</v>
      </c>
      <c r="E35" s="13">
        <f>ROUND(D35/2,0)</f>
        <v>12</v>
      </c>
      <c r="F35" s="12">
        <f>D35-E35</f>
        <v>12</v>
      </c>
    </row>
    <row r="36" spans="1:6">
      <c r="A36" s="8">
        <v>2</v>
      </c>
      <c r="B36" s="11" t="s">
        <v>376</v>
      </c>
      <c r="C36" s="11"/>
      <c r="D36" s="9"/>
      <c r="E36" s="11"/>
      <c r="F36" s="11"/>
    </row>
    <row r="37" spans="1:6">
      <c r="A37" s="8"/>
      <c r="B37" s="11" t="s">
        <v>10</v>
      </c>
      <c r="C37" s="10">
        <v>2.0100000000000001E-3</v>
      </c>
      <c r="D37" s="12">
        <f>ROUND(D$3*C37,0)</f>
        <v>558</v>
      </c>
      <c r="E37" s="13">
        <f>ROUND(D37/2,0)</f>
        <v>279</v>
      </c>
      <c r="F37" s="12">
        <f>D37-E37</f>
        <v>279</v>
      </c>
    </row>
    <row r="38" spans="1:6">
      <c r="A38" s="8"/>
      <c r="B38" s="11" t="s">
        <v>11</v>
      </c>
      <c r="C38" s="10">
        <v>8.6399999999999997E-4</v>
      </c>
      <c r="D38" s="12">
        <f>ROUND(D$3*C38,0)</f>
        <v>240</v>
      </c>
      <c r="E38" s="13">
        <f>ROUND(D38/2,0)</f>
        <v>120</v>
      </c>
      <c r="F38" s="12">
        <f>D38-E38</f>
        <v>120</v>
      </c>
    </row>
    <row r="39" spans="1:6">
      <c r="A39" s="8">
        <v>2</v>
      </c>
      <c r="B39" s="11" t="s">
        <v>673</v>
      </c>
      <c r="C39" s="11"/>
      <c r="D39" s="9"/>
      <c r="E39" s="11"/>
      <c r="F39" s="11"/>
    </row>
    <row r="40" spans="1:6">
      <c r="A40" s="8"/>
      <c r="B40" s="11" t="s">
        <v>10</v>
      </c>
      <c r="C40" s="10">
        <v>4.66E-4</v>
      </c>
      <c r="D40" s="12">
        <f>ROUND(D$3*C40,0)</f>
        <v>129</v>
      </c>
      <c r="E40" s="13">
        <f>ROUND(D40/2,0)</f>
        <v>65</v>
      </c>
      <c r="F40" s="12">
        <f>D40-E40</f>
        <v>64</v>
      </c>
    </row>
    <row r="41" spans="1:6">
      <c r="A41" s="8"/>
      <c r="B41" s="11" t="s">
        <v>11</v>
      </c>
      <c r="C41" s="10">
        <v>1.9699999999999999E-4</v>
      </c>
      <c r="D41" s="12">
        <f>ROUND(D$3*C41,0)</f>
        <v>55</v>
      </c>
      <c r="E41" s="13">
        <f>ROUND(D41/2,0)</f>
        <v>28</v>
      </c>
      <c r="F41" s="12">
        <f>D41-E41</f>
        <v>27</v>
      </c>
    </row>
    <row r="42" spans="1:6">
      <c r="A42" s="8">
        <v>3</v>
      </c>
      <c r="B42" s="11" t="s">
        <v>889</v>
      </c>
      <c r="C42" s="10">
        <v>0.108455</v>
      </c>
      <c r="D42" s="12">
        <f>ROUND(D$3*C42,0)</f>
        <v>30092</v>
      </c>
      <c r="E42" s="13">
        <f>ROUND(D42/2,0)</f>
        <v>15046</v>
      </c>
      <c r="F42" s="12">
        <f>D42-E42</f>
        <v>15046</v>
      </c>
    </row>
    <row r="43" spans="1:6">
      <c r="A43" s="8">
        <v>3</v>
      </c>
      <c r="B43" s="11" t="s">
        <v>890</v>
      </c>
      <c r="C43" s="10">
        <v>1.5100000000000001E-4</v>
      </c>
      <c r="D43" s="12">
        <f>ROUND(D$3*C43,0)</f>
        <v>42</v>
      </c>
      <c r="E43" s="13">
        <f>ROUND(D43/2,0)</f>
        <v>21</v>
      </c>
      <c r="F43" s="12">
        <f>D43-E43</f>
        <v>21</v>
      </c>
    </row>
    <row r="44" spans="1:6">
      <c r="A44" s="8">
        <v>4</v>
      </c>
      <c r="B44" s="11" t="s">
        <v>891</v>
      </c>
      <c r="C44" s="10">
        <v>0.58517699999999995</v>
      </c>
      <c r="D44" s="9">
        <f>ROUND(D$3*C44,0)</f>
        <v>162366</v>
      </c>
      <c r="E44" s="11">
        <f>ROUND(D44/2,0)</f>
        <v>81183</v>
      </c>
      <c r="F44" s="9">
        <f>D44-E44</f>
        <v>81183</v>
      </c>
    </row>
    <row r="45" spans="1:6">
      <c r="A45" s="8"/>
      <c r="B45" s="11" t="s">
        <v>28</v>
      </c>
      <c r="C45" s="11"/>
      <c r="D45" s="14">
        <v>0.39505600000000002</v>
      </c>
      <c r="E45" s="11"/>
      <c r="F45" s="11"/>
    </row>
    <row r="46" spans="1:6">
      <c r="A46" s="8"/>
      <c r="B46" s="11" t="s">
        <v>29</v>
      </c>
      <c r="C46" s="11"/>
      <c r="D46" s="225">
        <f>ROUND(D44*D45,0)</f>
        <v>64144</v>
      </c>
      <c r="E46" s="226">
        <f>ROUND(D46/2,0)</f>
        <v>32072</v>
      </c>
      <c r="F46" s="225">
        <f>D46-E46</f>
        <v>32072</v>
      </c>
    </row>
    <row r="47" spans="1:6">
      <c r="A47" s="8"/>
      <c r="B47" s="11" t="s">
        <v>30</v>
      </c>
      <c r="C47" s="11"/>
      <c r="D47" s="12">
        <f>+D44-D46</f>
        <v>98222</v>
      </c>
      <c r="E47" s="13">
        <f>ROUND(D47/2,0)</f>
        <v>49111</v>
      </c>
      <c r="F47" s="12">
        <f>D47-E47</f>
        <v>49111</v>
      </c>
    </row>
    <row r="48" spans="1:6">
      <c r="A48" s="8">
        <v>5</v>
      </c>
      <c r="B48" s="11" t="s">
        <v>892</v>
      </c>
      <c r="C48" s="10">
        <v>4.1137E-2</v>
      </c>
      <c r="D48" s="12">
        <f>ROUND(D$3*C48,0)</f>
        <v>11414</v>
      </c>
      <c r="E48" s="13">
        <f>ROUND(D48/2,0)</f>
        <v>5707</v>
      </c>
      <c r="F48" s="12">
        <f>D48-E48</f>
        <v>5707</v>
      </c>
    </row>
    <row r="49" spans="1:8">
      <c r="A49" s="8">
        <v>6</v>
      </c>
      <c r="B49" s="11" t="s">
        <v>545</v>
      </c>
      <c r="C49" s="10">
        <v>5.019E-3</v>
      </c>
      <c r="D49" s="12">
        <f>+D3-SUM(D4:D5)-SUM(D10:D44)-D48</f>
        <v>1393</v>
      </c>
      <c r="E49" s="13">
        <f>ROUND(D49/2,0)</f>
        <v>697</v>
      </c>
      <c r="F49" s="12">
        <f>D49-E49</f>
        <v>696</v>
      </c>
    </row>
    <row r="50" spans="1:8">
      <c r="A50" s="8"/>
      <c r="B50" s="28" t="s">
        <v>288</v>
      </c>
      <c r="C50" s="10">
        <v>0.99999999999999989</v>
      </c>
      <c r="D50" s="12">
        <f>+D4+SUM(D7:D43)+SUM(D46:D49)</f>
        <v>277465</v>
      </c>
      <c r="E50" s="12">
        <f>+E4+SUM(E7:E43)+SUM(E46:E49)</f>
        <v>138739</v>
      </c>
      <c r="F50" s="12">
        <f>+F4+SUM(F7:F43)+SUM(F46:F49)</f>
        <v>138726</v>
      </c>
    </row>
    <row r="51" spans="1:8">
      <c r="B51" s="18" t="s">
        <v>38</v>
      </c>
      <c r="D51" s="19">
        <f>+D4</f>
        <v>361</v>
      </c>
      <c r="E51" s="19">
        <f>+E4</f>
        <v>181</v>
      </c>
      <c r="F51" s="19">
        <f>+F4</f>
        <v>180</v>
      </c>
    </row>
    <row r="52" spans="1:8">
      <c r="B52" s="2" t="s">
        <v>39</v>
      </c>
      <c r="D52" s="19">
        <f>+D7</f>
        <v>16270</v>
      </c>
      <c r="E52" s="19">
        <f>+E7</f>
        <v>8135</v>
      </c>
      <c r="F52" s="19">
        <f>+F7</f>
        <v>8135</v>
      </c>
    </row>
    <row r="53" spans="1:8">
      <c r="B53" s="2" t="s">
        <v>40</v>
      </c>
      <c r="D53" s="19">
        <f>+D46</f>
        <v>64144</v>
      </c>
      <c r="E53" s="19">
        <f>+E46</f>
        <v>32072</v>
      </c>
      <c r="F53" s="19">
        <f>+F46</f>
        <v>32072</v>
      </c>
      <c r="H53" s="3">
        <v>1</v>
      </c>
    </row>
    <row r="54" spans="1:8">
      <c r="B54" s="18" t="s">
        <v>41</v>
      </c>
      <c r="D54" s="19">
        <f>+D50-D51-D52-D53</f>
        <v>196690</v>
      </c>
      <c r="E54" s="19">
        <f>+E50-E51-E52-E53</f>
        <v>98351</v>
      </c>
      <c r="F54" s="19">
        <f>+F50-F51-F52-F53</f>
        <v>98339</v>
      </c>
      <c r="H54" s="3">
        <v>2</v>
      </c>
    </row>
    <row r="56" spans="1:8" hidden="1">
      <c r="B56" s="3" t="s">
        <v>42</v>
      </c>
      <c r="C56" s="4">
        <v>0</v>
      </c>
      <c r="D56" s="3">
        <f>+D49-ROUND(D3*C49,0)</f>
        <v>0</v>
      </c>
    </row>
    <row r="71" spans="1:1">
      <c r="A71" s="1" t="s">
        <v>590</v>
      </c>
    </row>
  </sheetData>
  <pageMargins left="0.7" right="0.7" top="0.75" bottom="0.75" header="0.3" footer="0.3"/>
  <pageSetup scale="64"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2">
    <pageSetUpPr fitToPage="1"/>
  </sheetPr>
  <dimension ref="A1:WVB85"/>
  <sheetViews>
    <sheetView topLeftCell="A45" zoomScaleNormal="100" zoomScaleSheetLayoutView="90" workbookViewId="0">
      <selection activeCell="D66" activeCellId="6" sqref="D7:F7 D46:F46 D50:F50 D54:F54 D58:F58 D62:F62 D66:F66"/>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893</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Worksheet'!$D$44</f>
        <v>596008</v>
      </c>
      <c r="E3" s="11"/>
      <c r="F3" s="11"/>
    </row>
    <row r="4" spans="1:6">
      <c r="A4" s="8">
        <v>0</v>
      </c>
      <c r="B4" s="11" t="s">
        <v>4</v>
      </c>
      <c r="C4" s="10">
        <v>1.2110000000000001E-3</v>
      </c>
      <c r="D4" s="12">
        <f>ROUND(D$3*C4,0)</f>
        <v>722</v>
      </c>
      <c r="E4" s="13">
        <f>ROUND(D4/2,0)</f>
        <v>361</v>
      </c>
      <c r="F4" s="12">
        <f>D4-E4</f>
        <v>361</v>
      </c>
    </row>
    <row r="5" spans="1:6">
      <c r="A5" s="8">
        <v>1</v>
      </c>
      <c r="B5" s="11" t="s">
        <v>894</v>
      </c>
      <c r="C5" s="10">
        <v>0.116184</v>
      </c>
      <c r="D5" s="9">
        <f>ROUND(D$3*C5,0)</f>
        <v>69247</v>
      </c>
      <c r="E5" s="11">
        <f>ROUND(D5/2,0)</f>
        <v>34624</v>
      </c>
      <c r="F5" s="9">
        <f>D5-E5</f>
        <v>34623</v>
      </c>
    </row>
    <row r="6" spans="1:6">
      <c r="A6" s="8"/>
      <c r="B6" s="11" t="s">
        <v>6</v>
      </c>
      <c r="C6" s="11"/>
      <c r="D6" s="14">
        <v>0.116608</v>
      </c>
      <c r="E6" s="11"/>
      <c r="F6" s="11"/>
    </row>
    <row r="7" spans="1:6">
      <c r="A7" s="8"/>
      <c r="B7" s="11" t="s">
        <v>7</v>
      </c>
      <c r="C7" s="11"/>
      <c r="D7" s="225">
        <f>ROUND(D5*D6,0)</f>
        <v>8075</v>
      </c>
      <c r="E7" s="226">
        <f>ROUND(D7/2,0)</f>
        <v>4038</v>
      </c>
      <c r="F7" s="225">
        <f>D7-E7</f>
        <v>4037</v>
      </c>
    </row>
    <row r="8" spans="1:6">
      <c r="A8" s="8"/>
      <c r="B8" s="11" t="s">
        <v>8</v>
      </c>
      <c r="C8" s="11"/>
      <c r="D8" s="12">
        <f>+D5-D7</f>
        <v>61172</v>
      </c>
      <c r="E8" s="13">
        <f>ROUND(D8/2,0)</f>
        <v>30586</v>
      </c>
      <c r="F8" s="12">
        <f>D8-E8</f>
        <v>30586</v>
      </c>
    </row>
    <row r="9" spans="1:6">
      <c r="A9" s="8">
        <v>2</v>
      </c>
      <c r="B9" s="11" t="s">
        <v>669</v>
      </c>
      <c r="C9" s="11"/>
      <c r="D9" s="9"/>
      <c r="E9" s="11"/>
      <c r="F9" s="11"/>
    </row>
    <row r="10" spans="1:6">
      <c r="A10" s="8"/>
      <c r="B10" s="11" t="s">
        <v>10</v>
      </c>
      <c r="C10" s="10">
        <v>5.1400000000000003E-4</v>
      </c>
      <c r="D10" s="12">
        <f>ROUND(D$3*C10,0)</f>
        <v>306</v>
      </c>
      <c r="E10" s="13">
        <f>ROUND(D10/2,0)</f>
        <v>153</v>
      </c>
      <c r="F10" s="12">
        <f>D10-E10</f>
        <v>153</v>
      </c>
    </row>
    <row r="11" spans="1:6">
      <c r="A11" s="8"/>
      <c r="B11" s="11" t="s">
        <v>11</v>
      </c>
      <c r="C11" s="10">
        <v>3.6999999999999998E-5</v>
      </c>
      <c r="D11" s="12">
        <f>ROUND(D$3*C11,0)</f>
        <v>22</v>
      </c>
      <c r="E11" s="13">
        <f>ROUND(D11/2,0)</f>
        <v>11</v>
      </c>
      <c r="F11" s="12">
        <f>D11-E11</f>
        <v>11</v>
      </c>
    </row>
    <row r="12" spans="1:6">
      <c r="A12" s="8">
        <v>2</v>
      </c>
      <c r="B12" s="11" t="s">
        <v>895</v>
      </c>
      <c r="C12" s="11"/>
      <c r="D12" s="9"/>
      <c r="E12" s="11"/>
      <c r="F12" s="11"/>
    </row>
    <row r="13" spans="1:6">
      <c r="A13" s="8"/>
      <c r="B13" s="11" t="s">
        <v>10</v>
      </c>
      <c r="C13" s="10">
        <v>6.3299999999999999E-4</v>
      </c>
      <c r="D13" s="12">
        <f>ROUND(D$3*C13,0)</f>
        <v>377</v>
      </c>
      <c r="E13" s="13">
        <f>ROUND(D13/2,0)</f>
        <v>189</v>
      </c>
      <c r="F13" s="12">
        <f>D13-E13</f>
        <v>188</v>
      </c>
    </row>
    <row r="14" spans="1:6">
      <c r="A14" s="8"/>
      <c r="B14" s="11" t="s">
        <v>11</v>
      </c>
      <c r="C14" s="10">
        <v>6.3900000000000003E-4</v>
      </c>
      <c r="D14" s="12">
        <f>ROUND(D$3*C14,0)</f>
        <v>381</v>
      </c>
      <c r="E14" s="13">
        <f>ROUND(D14/2,0)</f>
        <v>191</v>
      </c>
      <c r="F14" s="12">
        <f>D14-E14</f>
        <v>190</v>
      </c>
    </row>
    <row r="15" spans="1:6">
      <c r="A15" s="8">
        <v>2</v>
      </c>
      <c r="B15" s="11" t="s">
        <v>372</v>
      </c>
      <c r="C15" s="11"/>
      <c r="D15" s="9"/>
      <c r="E15" s="11"/>
      <c r="F15" s="11"/>
    </row>
    <row r="16" spans="1:6">
      <c r="A16" s="8"/>
      <c r="B16" s="11" t="s">
        <v>10</v>
      </c>
      <c r="C16" s="10">
        <v>5.3399999999999997E-4</v>
      </c>
      <c r="D16" s="12">
        <f>ROUND(D$3*C16,0)</f>
        <v>318</v>
      </c>
      <c r="E16" s="13">
        <f>ROUND(D16/2,0)</f>
        <v>159</v>
      </c>
      <c r="F16" s="12">
        <f>D16-E16</f>
        <v>159</v>
      </c>
    </row>
    <row r="17" spans="1:6">
      <c r="A17" s="8"/>
      <c r="B17" s="11" t="s">
        <v>11</v>
      </c>
      <c r="C17" s="10">
        <v>0</v>
      </c>
      <c r="D17" s="12">
        <f>ROUND(D$3*C17,0)</f>
        <v>0</v>
      </c>
      <c r="E17" s="13">
        <f>ROUND(D17/2,0)</f>
        <v>0</v>
      </c>
      <c r="F17" s="12">
        <f>D17-E17</f>
        <v>0</v>
      </c>
    </row>
    <row r="18" spans="1:6">
      <c r="A18" s="8">
        <v>2</v>
      </c>
      <c r="B18" s="11" t="s">
        <v>896</v>
      </c>
      <c r="C18" s="11"/>
      <c r="D18" s="9"/>
      <c r="E18" s="11"/>
      <c r="F18" s="11"/>
    </row>
    <row r="19" spans="1:6">
      <c r="A19" s="8"/>
      <c r="B19" s="11" t="s">
        <v>10</v>
      </c>
      <c r="C19" s="10">
        <v>2.02E-4</v>
      </c>
      <c r="D19" s="12">
        <f>ROUND(D$3*C19,0)</f>
        <v>120</v>
      </c>
      <c r="E19" s="13">
        <f>ROUND(D19/2,0)</f>
        <v>60</v>
      </c>
      <c r="F19" s="12">
        <f>D19-E19</f>
        <v>60</v>
      </c>
    </row>
    <row r="20" spans="1:6">
      <c r="A20" s="8"/>
      <c r="B20" s="11" t="s">
        <v>11</v>
      </c>
      <c r="C20" s="10">
        <v>0</v>
      </c>
      <c r="D20" s="12">
        <f>ROUND(D$3*C20,0)</f>
        <v>0</v>
      </c>
      <c r="E20" s="13">
        <f>ROUND(D20/2,0)</f>
        <v>0</v>
      </c>
      <c r="F20" s="12">
        <f>D20-E20</f>
        <v>0</v>
      </c>
    </row>
    <row r="21" spans="1:6">
      <c r="A21" s="8">
        <v>2</v>
      </c>
      <c r="B21" s="11" t="s">
        <v>897</v>
      </c>
      <c r="C21" s="11"/>
      <c r="D21" s="9"/>
      <c r="E21" s="11"/>
      <c r="F21" s="11"/>
    </row>
    <row r="22" spans="1:6">
      <c r="A22" s="8"/>
      <c r="B22" s="11" t="s">
        <v>10</v>
      </c>
      <c r="C22" s="10">
        <v>1.5300000000000001E-4</v>
      </c>
      <c r="D22" s="12">
        <f>ROUND(D$3*C22,0)</f>
        <v>91</v>
      </c>
      <c r="E22" s="13">
        <f>ROUND(D22/2,0)</f>
        <v>46</v>
      </c>
      <c r="F22" s="12">
        <f>D22-E22</f>
        <v>45</v>
      </c>
    </row>
    <row r="23" spans="1:6">
      <c r="A23" s="8"/>
      <c r="B23" s="11" t="s">
        <v>11</v>
      </c>
      <c r="C23" s="10">
        <v>0</v>
      </c>
      <c r="D23" s="12">
        <f>ROUND(D$3*C23,0)</f>
        <v>0</v>
      </c>
      <c r="E23" s="13">
        <f>ROUND(D23/2,0)</f>
        <v>0</v>
      </c>
      <c r="F23" s="12">
        <f>D23-E23</f>
        <v>0</v>
      </c>
    </row>
    <row r="24" spans="1:6">
      <c r="A24" s="8">
        <v>2</v>
      </c>
      <c r="B24" s="11" t="s">
        <v>898</v>
      </c>
      <c r="C24" s="11"/>
      <c r="D24" s="9"/>
      <c r="E24" s="11"/>
      <c r="F24" s="11"/>
    </row>
    <row r="25" spans="1:6">
      <c r="A25" s="8"/>
      <c r="B25" s="11" t="s">
        <v>10</v>
      </c>
      <c r="C25" s="10">
        <v>5.5000000000000002E-5</v>
      </c>
      <c r="D25" s="12">
        <f>ROUND(D$3*C25,0)</f>
        <v>33</v>
      </c>
      <c r="E25" s="13">
        <f>ROUND(D25/2,0)</f>
        <v>17</v>
      </c>
      <c r="F25" s="12">
        <f>D25-E25</f>
        <v>16</v>
      </c>
    </row>
    <row r="26" spans="1:6">
      <c r="A26" s="8"/>
      <c r="B26" s="11" t="s">
        <v>11</v>
      </c>
      <c r="C26" s="10">
        <v>0</v>
      </c>
      <c r="D26" s="12">
        <f>ROUND(D$3*C26,0)</f>
        <v>0</v>
      </c>
      <c r="E26" s="13">
        <f>ROUND(D26/2,0)</f>
        <v>0</v>
      </c>
      <c r="F26" s="12">
        <f>D26-E26</f>
        <v>0</v>
      </c>
    </row>
    <row r="27" spans="1:6">
      <c r="A27" s="8">
        <v>2</v>
      </c>
      <c r="B27" s="11" t="s">
        <v>57</v>
      </c>
      <c r="C27" s="11"/>
      <c r="D27" s="9"/>
      <c r="E27" s="11"/>
      <c r="F27" s="11"/>
    </row>
    <row r="28" spans="1:6">
      <c r="A28" s="8"/>
      <c r="B28" s="11" t="s">
        <v>10</v>
      </c>
      <c r="C28" s="10">
        <v>1.8259999999999999E-3</v>
      </c>
      <c r="D28" s="12">
        <f>ROUND(D$3*C28,0)</f>
        <v>1088</v>
      </c>
      <c r="E28" s="13">
        <f>ROUND(D28/2,0)</f>
        <v>544</v>
      </c>
      <c r="F28" s="12">
        <f>D28-E28</f>
        <v>544</v>
      </c>
    </row>
    <row r="29" spans="1:6">
      <c r="A29" s="8"/>
      <c r="B29" s="11" t="s">
        <v>11</v>
      </c>
      <c r="C29" s="10">
        <v>4.6E-5</v>
      </c>
      <c r="D29" s="12">
        <f>ROUND(D$3*C29,0)</f>
        <v>27</v>
      </c>
      <c r="E29" s="13">
        <f>ROUND(D29/2,0)</f>
        <v>14</v>
      </c>
      <c r="F29" s="12">
        <f>D29-E29</f>
        <v>13</v>
      </c>
    </row>
    <row r="30" spans="1:6">
      <c r="A30" s="8">
        <v>2</v>
      </c>
      <c r="B30" s="11" t="s">
        <v>20</v>
      </c>
      <c r="C30" s="11"/>
      <c r="D30" s="9"/>
      <c r="E30" s="11"/>
      <c r="F30" s="11"/>
    </row>
    <row r="31" spans="1:6">
      <c r="A31" s="8"/>
      <c r="B31" s="11" t="s">
        <v>10</v>
      </c>
      <c r="C31" s="10">
        <v>9.5299999999999996E-4</v>
      </c>
      <c r="D31" s="12">
        <f>ROUND(D$3*C31,0)</f>
        <v>568</v>
      </c>
      <c r="E31" s="13">
        <f>ROUND(D31/2,0)</f>
        <v>284</v>
      </c>
      <c r="F31" s="12">
        <f>D31-E31</f>
        <v>284</v>
      </c>
    </row>
    <row r="32" spans="1:6">
      <c r="A32" s="8"/>
      <c r="B32" s="11" t="s">
        <v>11</v>
      </c>
      <c r="C32" s="10">
        <v>0</v>
      </c>
      <c r="D32" s="12">
        <f>ROUND(D$3*C32,0)</f>
        <v>0</v>
      </c>
      <c r="E32" s="13">
        <f>ROUND(D32/2,0)</f>
        <v>0</v>
      </c>
      <c r="F32" s="12">
        <f>D32-E32</f>
        <v>0</v>
      </c>
    </row>
    <row r="33" spans="1:6">
      <c r="A33" s="8">
        <v>2</v>
      </c>
      <c r="B33" s="11" t="s">
        <v>569</v>
      </c>
      <c r="C33" s="11"/>
      <c r="D33" s="9"/>
      <c r="E33" s="11"/>
      <c r="F33" s="11"/>
    </row>
    <row r="34" spans="1:6">
      <c r="A34" s="8"/>
      <c r="B34" s="11" t="s">
        <v>10</v>
      </c>
      <c r="C34" s="10">
        <v>6.5899999999999997E-4</v>
      </c>
      <c r="D34" s="12">
        <f t="shared" ref="D34:D44" si="0">ROUND(D$3*C34,0)</f>
        <v>393</v>
      </c>
      <c r="E34" s="13">
        <f t="shared" ref="E34:E44" si="1">ROUND(D34/2,0)</f>
        <v>197</v>
      </c>
      <c r="F34" s="12">
        <f t="shared" ref="F34:F44" si="2">D34-E34</f>
        <v>196</v>
      </c>
    </row>
    <row r="35" spans="1:6">
      <c r="A35" s="8"/>
      <c r="B35" s="11" t="s">
        <v>11</v>
      </c>
      <c r="C35" s="10">
        <v>0</v>
      </c>
      <c r="D35" s="12">
        <f t="shared" si="0"/>
        <v>0</v>
      </c>
      <c r="E35" s="13">
        <f t="shared" si="1"/>
        <v>0</v>
      </c>
      <c r="F35" s="12">
        <f t="shared" si="2"/>
        <v>0</v>
      </c>
    </row>
    <row r="36" spans="1:6">
      <c r="A36" s="8">
        <v>3</v>
      </c>
      <c r="B36" s="11" t="s">
        <v>899</v>
      </c>
      <c r="C36" s="10">
        <v>2.7260000000000001E-3</v>
      </c>
      <c r="D36" s="12">
        <f t="shared" si="0"/>
        <v>1625</v>
      </c>
      <c r="E36" s="13">
        <f t="shared" si="1"/>
        <v>813</v>
      </c>
      <c r="F36" s="12">
        <f t="shared" si="2"/>
        <v>812</v>
      </c>
    </row>
    <row r="37" spans="1:6">
      <c r="A37" s="8">
        <v>3</v>
      </c>
      <c r="B37" s="11" t="s">
        <v>93</v>
      </c>
      <c r="C37" s="10">
        <v>1.9316E-2</v>
      </c>
      <c r="D37" s="12">
        <f t="shared" si="0"/>
        <v>11512</v>
      </c>
      <c r="E37" s="13">
        <f t="shared" si="1"/>
        <v>5756</v>
      </c>
      <c r="F37" s="12">
        <f t="shared" si="2"/>
        <v>5756</v>
      </c>
    </row>
    <row r="38" spans="1:6">
      <c r="A38" s="8">
        <v>3</v>
      </c>
      <c r="B38" s="11" t="s">
        <v>900</v>
      </c>
      <c r="C38" s="10">
        <v>3.3642999999999999E-2</v>
      </c>
      <c r="D38" s="12">
        <f t="shared" si="0"/>
        <v>20051</v>
      </c>
      <c r="E38" s="13">
        <f t="shared" si="1"/>
        <v>10026</v>
      </c>
      <c r="F38" s="12">
        <f t="shared" si="2"/>
        <v>10025</v>
      </c>
    </row>
    <row r="39" spans="1:6">
      <c r="A39" s="8">
        <v>3</v>
      </c>
      <c r="B39" s="11" t="s">
        <v>901</v>
      </c>
      <c r="C39" s="10">
        <v>5.8531E-2</v>
      </c>
      <c r="D39" s="12">
        <f t="shared" si="0"/>
        <v>34885</v>
      </c>
      <c r="E39" s="13">
        <f t="shared" si="1"/>
        <v>17443</v>
      </c>
      <c r="F39" s="12">
        <f t="shared" si="2"/>
        <v>17442</v>
      </c>
    </row>
    <row r="40" spans="1:6">
      <c r="A40" s="8">
        <v>3</v>
      </c>
      <c r="B40" s="11" t="s">
        <v>902</v>
      </c>
      <c r="C40" s="10">
        <v>1.0870000000000001E-3</v>
      </c>
      <c r="D40" s="12">
        <f t="shared" si="0"/>
        <v>648</v>
      </c>
      <c r="E40" s="13">
        <f t="shared" si="1"/>
        <v>324</v>
      </c>
      <c r="F40" s="12">
        <f t="shared" si="2"/>
        <v>324</v>
      </c>
    </row>
    <row r="41" spans="1:6">
      <c r="A41" s="8">
        <v>3</v>
      </c>
      <c r="B41" s="11" t="s">
        <v>903</v>
      </c>
      <c r="C41" s="10">
        <v>6.0000000000000002E-6</v>
      </c>
      <c r="D41" s="12">
        <f t="shared" si="0"/>
        <v>4</v>
      </c>
      <c r="E41" s="13">
        <f t="shared" si="1"/>
        <v>2</v>
      </c>
      <c r="F41" s="12">
        <f t="shared" si="2"/>
        <v>2</v>
      </c>
    </row>
    <row r="42" spans="1:6">
      <c r="A42" s="8">
        <v>3</v>
      </c>
      <c r="B42" s="11" t="s">
        <v>904</v>
      </c>
      <c r="C42" s="10">
        <v>4.1599999999999997E-4</v>
      </c>
      <c r="D42" s="12">
        <f t="shared" si="0"/>
        <v>248</v>
      </c>
      <c r="E42" s="13">
        <f t="shared" si="1"/>
        <v>124</v>
      </c>
      <c r="F42" s="12">
        <f t="shared" si="2"/>
        <v>124</v>
      </c>
    </row>
    <row r="43" spans="1:6">
      <c r="A43" s="8">
        <v>3</v>
      </c>
      <c r="B43" s="11" t="s">
        <v>905</v>
      </c>
      <c r="C43" s="10">
        <v>9.2379999999999997E-3</v>
      </c>
      <c r="D43" s="12">
        <f t="shared" si="0"/>
        <v>5506</v>
      </c>
      <c r="E43" s="13">
        <f t="shared" si="1"/>
        <v>2753</v>
      </c>
      <c r="F43" s="12">
        <f t="shared" si="2"/>
        <v>2753</v>
      </c>
    </row>
    <row r="44" spans="1:6">
      <c r="A44" s="8">
        <v>4</v>
      </c>
      <c r="B44" s="11" t="s">
        <v>906</v>
      </c>
      <c r="C44" s="10">
        <v>0.102987</v>
      </c>
      <c r="D44" s="9">
        <f t="shared" si="0"/>
        <v>61381</v>
      </c>
      <c r="E44" s="11">
        <f t="shared" si="1"/>
        <v>30691</v>
      </c>
      <c r="F44" s="9">
        <f t="shared" si="2"/>
        <v>30690</v>
      </c>
    </row>
    <row r="45" spans="1:6">
      <c r="A45" s="8"/>
      <c r="B45" s="11" t="s">
        <v>28</v>
      </c>
      <c r="C45" s="11"/>
      <c r="D45" s="14">
        <v>0.45810699999999999</v>
      </c>
      <c r="E45" s="11"/>
      <c r="F45" s="11"/>
    </row>
    <row r="46" spans="1:6">
      <c r="A46" s="8"/>
      <c r="B46" s="11" t="s">
        <v>29</v>
      </c>
      <c r="C46" s="11"/>
      <c r="D46" s="225">
        <f>ROUND(D44*D45,0)</f>
        <v>28119</v>
      </c>
      <c r="E46" s="226">
        <f>ROUND(D46/2,0)</f>
        <v>14060</v>
      </c>
      <c r="F46" s="225">
        <f>D46-E46</f>
        <v>14059</v>
      </c>
    </row>
    <row r="47" spans="1:6">
      <c r="A47" s="8"/>
      <c r="B47" s="11" t="s">
        <v>30</v>
      </c>
      <c r="C47" s="11"/>
      <c r="D47" s="12">
        <f>+D44-D46</f>
        <v>33262</v>
      </c>
      <c r="E47" s="13">
        <f>ROUND(D47/2,0)</f>
        <v>16631</v>
      </c>
      <c r="F47" s="12">
        <f>D47-E47</f>
        <v>16631</v>
      </c>
    </row>
    <row r="48" spans="1:6">
      <c r="A48" s="8">
        <v>4</v>
      </c>
      <c r="B48" s="11" t="s">
        <v>907</v>
      </c>
      <c r="C48" s="10">
        <v>0.24438099999999999</v>
      </c>
      <c r="D48" s="9">
        <f>ROUND(D$3*C48,0)</f>
        <v>145653</v>
      </c>
      <c r="E48" s="11">
        <f>ROUND(D48/2,0)</f>
        <v>72827</v>
      </c>
      <c r="F48" s="9">
        <f>D48-E48</f>
        <v>72826</v>
      </c>
    </row>
    <row r="49" spans="1:6">
      <c r="A49" s="8"/>
      <c r="B49" s="11" t="s">
        <v>28</v>
      </c>
      <c r="C49" s="11"/>
      <c r="D49" s="14">
        <v>0.32530199999999998</v>
      </c>
      <c r="E49" s="11"/>
      <c r="F49" s="11"/>
    </row>
    <row r="50" spans="1:6">
      <c r="A50" s="8"/>
      <c r="B50" s="11" t="s">
        <v>29</v>
      </c>
      <c r="C50" s="11"/>
      <c r="D50" s="225">
        <f>ROUND(D48*D49,0)</f>
        <v>47381</v>
      </c>
      <c r="E50" s="226">
        <f>ROUND(D50/2,0)</f>
        <v>23691</v>
      </c>
      <c r="F50" s="225">
        <f>D50-E50</f>
        <v>23690</v>
      </c>
    </row>
    <row r="51" spans="1:6">
      <c r="A51" s="8"/>
      <c r="B51" s="11" t="s">
        <v>30</v>
      </c>
      <c r="C51" s="11"/>
      <c r="D51" s="12">
        <f>+D48-D50</f>
        <v>98272</v>
      </c>
      <c r="E51" s="13">
        <f>ROUND(D51/2,0)</f>
        <v>49136</v>
      </c>
      <c r="F51" s="12">
        <f>D51-E51</f>
        <v>49136</v>
      </c>
    </row>
    <row r="52" spans="1:6">
      <c r="A52" s="8">
        <v>4</v>
      </c>
      <c r="B52" s="11" t="s">
        <v>99</v>
      </c>
      <c r="C52" s="10">
        <v>3.8554999999999999E-2</v>
      </c>
      <c r="D52" s="9">
        <f>ROUND(D$3*C52,0)</f>
        <v>22979</v>
      </c>
      <c r="E52" s="11">
        <f>ROUND(D52/2,0)</f>
        <v>11490</v>
      </c>
      <c r="F52" s="9">
        <f>D52-E52</f>
        <v>11489</v>
      </c>
    </row>
    <row r="53" spans="1:6">
      <c r="A53" s="8"/>
      <c r="B53" s="11" t="s">
        <v>28</v>
      </c>
      <c r="C53" s="11"/>
      <c r="D53" s="14">
        <v>0.489618</v>
      </c>
      <c r="E53" s="11"/>
      <c r="F53" s="11"/>
    </row>
    <row r="54" spans="1:6">
      <c r="A54" s="8"/>
      <c r="B54" s="11" t="s">
        <v>29</v>
      </c>
      <c r="C54" s="11"/>
      <c r="D54" s="225">
        <f>ROUND(D52*D53,0)</f>
        <v>11251</v>
      </c>
      <c r="E54" s="226">
        <f>ROUND(D54/2,0)</f>
        <v>5626</v>
      </c>
      <c r="F54" s="225">
        <f>D54-E54</f>
        <v>5625</v>
      </c>
    </row>
    <row r="55" spans="1:6">
      <c r="A55" s="8"/>
      <c r="B55" s="11" t="s">
        <v>30</v>
      </c>
      <c r="C55" s="11"/>
      <c r="D55" s="12">
        <f>+D52-D54</f>
        <v>11728</v>
      </c>
      <c r="E55" s="13">
        <f>ROUND(D55/2,0)</f>
        <v>5864</v>
      </c>
      <c r="F55" s="12">
        <f>D55-E55</f>
        <v>5864</v>
      </c>
    </row>
    <row r="56" spans="1:6">
      <c r="A56" s="8">
        <v>4</v>
      </c>
      <c r="B56" s="11" t="s">
        <v>908</v>
      </c>
      <c r="C56" s="10">
        <v>0.19315099999999999</v>
      </c>
      <c r="D56" s="9">
        <f>ROUND(D$3*C56,0)</f>
        <v>115120</v>
      </c>
      <c r="E56" s="11">
        <f>ROUND(D56/2,0)</f>
        <v>57560</v>
      </c>
      <c r="F56" s="9">
        <f>D56-E56</f>
        <v>57560</v>
      </c>
    </row>
    <row r="57" spans="1:6">
      <c r="A57" s="8"/>
      <c r="B57" s="11" t="s">
        <v>28</v>
      </c>
      <c r="C57" s="11"/>
      <c r="D57" s="14">
        <v>0.35721900000000001</v>
      </c>
      <c r="E57" s="11"/>
      <c r="F57" s="11"/>
    </row>
    <row r="58" spans="1:6">
      <c r="A58" s="8"/>
      <c r="B58" s="11" t="s">
        <v>29</v>
      </c>
      <c r="C58" s="11"/>
      <c r="D58" s="225">
        <f>ROUND(D56*D57,0)</f>
        <v>41123</v>
      </c>
      <c r="E58" s="226">
        <f>ROUND(D58/2,0)</f>
        <v>20562</v>
      </c>
      <c r="F58" s="225">
        <f>D58-E58</f>
        <v>20561</v>
      </c>
    </row>
    <row r="59" spans="1:6">
      <c r="A59" s="8"/>
      <c r="B59" s="11" t="s">
        <v>30</v>
      </c>
      <c r="C59" s="11"/>
      <c r="D59" s="12">
        <f>+D56-D58</f>
        <v>73997</v>
      </c>
      <c r="E59" s="13">
        <f>ROUND(D59/2,0)</f>
        <v>36999</v>
      </c>
      <c r="F59" s="12">
        <f>D59-E59</f>
        <v>36998</v>
      </c>
    </row>
    <row r="60" spans="1:6">
      <c r="A60" s="8">
        <v>4</v>
      </c>
      <c r="B60" s="11" t="s">
        <v>909</v>
      </c>
      <c r="C60" s="10">
        <v>7.9033000000000006E-2</v>
      </c>
      <c r="D60" s="9">
        <f>ROUND(D$3*C60,0)</f>
        <v>47104</v>
      </c>
      <c r="E60" s="11">
        <f>ROUND(D60/2,0)</f>
        <v>23552</v>
      </c>
      <c r="F60" s="9">
        <f>D60-E60</f>
        <v>23552</v>
      </c>
    </row>
    <row r="61" spans="1:6">
      <c r="A61" s="8"/>
      <c r="B61" s="11" t="s">
        <v>28</v>
      </c>
      <c r="C61" s="11"/>
      <c r="D61" s="14">
        <v>0.47976099999999999</v>
      </c>
      <c r="E61" s="11"/>
      <c r="F61" s="11"/>
    </row>
    <row r="62" spans="1:6">
      <c r="A62" s="8"/>
      <c r="B62" s="11" t="s">
        <v>29</v>
      </c>
      <c r="C62" s="11"/>
      <c r="D62" s="225">
        <f>ROUND(D60*D61,0)</f>
        <v>22599</v>
      </c>
      <c r="E62" s="226">
        <f>ROUND(D62/2,0)</f>
        <v>11300</v>
      </c>
      <c r="F62" s="225">
        <f>D62-E62</f>
        <v>11299</v>
      </c>
    </row>
    <row r="63" spans="1:6">
      <c r="A63" s="8"/>
      <c r="B63" s="11" t="s">
        <v>30</v>
      </c>
      <c r="C63" s="11"/>
      <c r="D63" s="12">
        <f>+D60-D62</f>
        <v>24505</v>
      </c>
      <c r="E63" s="13">
        <f>ROUND(D63/2,0)</f>
        <v>12253</v>
      </c>
      <c r="F63" s="12">
        <f>D63-E63</f>
        <v>12252</v>
      </c>
    </row>
    <row r="64" spans="1:6">
      <c r="A64" s="8">
        <v>4</v>
      </c>
      <c r="B64" s="11" t="s">
        <v>910</v>
      </c>
      <c r="C64" s="10">
        <v>3.7532000000000003E-2</v>
      </c>
      <c r="D64" s="9">
        <f>ROUND(D$3*C64,0)</f>
        <v>22369</v>
      </c>
      <c r="E64" s="11">
        <f>ROUND(D64/2,0)</f>
        <v>11185</v>
      </c>
      <c r="F64" s="9">
        <f>D64-E64</f>
        <v>11184</v>
      </c>
    </row>
    <row r="65" spans="1:6">
      <c r="A65" s="8"/>
      <c r="B65" s="11" t="s">
        <v>28</v>
      </c>
      <c r="C65" s="11"/>
      <c r="D65" s="14">
        <v>0.41912500000000003</v>
      </c>
      <c r="E65" s="11"/>
      <c r="F65" s="11"/>
    </row>
    <row r="66" spans="1:6">
      <c r="A66" s="8"/>
      <c r="B66" s="11" t="s">
        <v>29</v>
      </c>
      <c r="C66" s="11"/>
      <c r="D66" s="225">
        <f>ROUND(D64*D65,0)</f>
        <v>9375</v>
      </c>
      <c r="E66" s="226">
        <f t="shared" ref="E66:E78" si="3">ROUND(D66/2,0)</f>
        <v>4688</v>
      </c>
      <c r="F66" s="225">
        <f t="shared" ref="F66:F78" si="4">D66-E66</f>
        <v>4687</v>
      </c>
    </row>
    <row r="67" spans="1:6">
      <c r="A67" s="8"/>
      <c r="B67" s="11" t="s">
        <v>30</v>
      </c>
      <c r="C67" s="11"/>
      <c r="D67" s="12">
        <f>+D64-D66</f>
        <v>12994</v>
      </c>
      <c r="E67" s="13">
        <f t="shared" si="3"/>
        <v>6497</v>
      </c>
      <c r="F67" s="12">
        <f t="shared" si="4"/>
        <v>6497</v>
      </c>
    </row>
    <row r="68" spans="1:6">
      <c r="A68" s="8">
        <v>5</v>
      </c>
      <c r="B68" s="11" t="s">
        <v>911</v>
      </c>
      <c r="C68" s="10">
        <v>1.9480000000000001E-3</v>
      </c>
      <c r="D68" s="12">
        <f t="shared" ref="D68:D77" si="5">ROUND(D$3*C68,0)</f>
        <v>1161</v>
      </c>
      <c r="E68" s="13">
        <f t="shared" si="3"/>
        <v>581</v>
      </c>
      <c r="F68" s="12">
        <f t="shared" si="4"/>
        <v>580</v>
      </c>
    </row>
    <row r="69" spans="1:6">
      <c r="A69" s="8">
        <v>5</v>
      </c>
      <c r="B69" s="11" t="s">
        <v>912</v>
      </c>
      <c r="C69" s="10">
        <v>9.0259999999999993E-3</v>
      </c>
      <c r="D69" s="12">
        <f t="shared" si="5"/>
        <v>5380</v>
      </c>
      <c r="E69" s="13">
        <f t="shared" si="3"/>
        <v>2690</v>
      </c>
      <c r="F69" s="12">
        <f t="shared" si="4"/>
        <v>2690</v>
      </c>
    </row>
    <row r="70" spans="1:6">
      <c r="A70" s="8">
        <v>5</v>
      </c>
      <c r="B70" s="11" t="s">
        <v>913</v>
      </c>
      <c r="C70" s="10">
        <v>2.5870000000000001E-2</v>
      </c>
      <c r="D70" s="12">
        <f t="shared" si="5"/>
        <v>15419</v>
      </c>
      <c r="E70" s="13">
        <f t="shared" si="3"/>
        <v>7710</v>
      </c>
      <c r="F70" s="12">
        <f t="shared" si="4"/>
        <v>7709</v>
      </c>
    </row>
    <row r="71" spans="1:6">
      <c r="A71" s="8" t="s">
        <v>590</v>
      </c>
      <c r="B71" s="11" t="s">
        <v>914</v>
      </c>
      <c r="C71" s="10">
        <v>1.243E-3</v>
      </c>
      <c r="D71" s="12">
        <f t="shared" si="5"/>
        <v>741</v>
      </c>
      <c r="E71" s="13">
        <f t="shared" si="3"/>
        <v>371</v>
      </c>
      <c r="F71" s="12">
        <f t="shared" si="4"/>
        <v>370</v>
      </c>
    </row>
    <row r="72" spans="1:6">
      <c r="A72" s="8">
        <v>6</v>
      </c>
      <c r="B72" s="11" t="s">
        <v>915</v>
      </c>
      <c r="C72" s="10">
        <v>6.7349999999999997E-3</v>
      </c>
      <c r="D72" s="12">
        <f t="shared" si="5"/>
        <v>4014</v>
      </c>
      <c r="E72" s="13">
        <f t="shared" si="3"/>
        <v>2007</v>
      </c>
      <c r="F72" s="12">
        <f t="shared" si="4"/>
        <v>2007</v>
      </c>
    </row>
    <row r="73" spans="1:6">
      <c r="A73" s="8">
        <v>6</v>
      </c>
      <c r="B73" s="11" t="s">
        <v>916</v>
      </c>
      <c r="C73" s="10">
        <v>1.041E-3</v>
      </c>
      <c r="D73" s="12">
        <f t="shared" si="5"/>
        <v>620</v>
      </c>
      <c r="E73" s="13">
        <f t="shared" si="3"/>
        <v>310</v>
      </c>
      <c r="F73" s="12">
        <f t="shared" si="4"/>
        <v>310</v>
      </c>
    </row>
    <row r="74" spans="1:6">
      <c r="A74" s="8">
        <v>6</v>
      </c>
      <c r="B74" s="11" t="s">
        <v>917</v>
      </c>
      <c r="C74" s="10">
        <v>1.6789999999999999E-3</v>
      </c>
      <c r="D74" s="12">
        <f t="shared" si="5"/>
        <v>1001</v>
      </c>
      <c r="E74" s="13">
        <f t="shared" si="3"/>
        <v>501</v>
      </c>
      <c r="F74" s="12">
        <f t="shared" si="4"/>
        <v>500</v>
      </c>
    </row>
    <row r="75" spans="1:6">
      <c r="A75" s="8">
        <v>6</v>
      </c>
      <c r="B75" s="11" t="s">
        <v>918</v>
      </c>
      <c r="C75" s="10">
        <v>9.4499999999999998E-4</v>
      </c>
      <c r="D75" s="12">
        <f t="shared" si="5"/>
        <v>563</v>
      </c>
      <c r="E75" s="13">
        <f t="shared" si="3"/>
        <v>282</v>
      </c>
      <c r="F75" s="12">
        <f t="shared" si="4"/>
        <v>281</v>
      </c>
    </row>
    <row r="76" spans="1:6">
      <c r="A76" s="8">
        <v>6</v>
      </c>
      <c r="B76" s="11" t="s">
        <v>919</v>
      </c>
      <c r="C76" s="10">
        <v>4.1399999999999998E-4</v>
      </c>
      <c r="D76" s="12">
        <f t="shared" si="5"/>
        <v>247</v>
      </c>
      <c r="E76" s="13">
        <f t="shared" si="3"/>
        <v>124</v>
      </c>
      <c r="F76" s="12">
        <f t="shared" si="4"/>
        <v>123</v>
      </c>
    </row>
    <row r="77" spans="1:6">
      <c r="A77" s="8">
        <v>6</v>
      </c>
      <c r="B77" s="11" t="s">
        <v>920</v>
      </c>
      <c r="C77" s="10">
        <v>3.8649999999999999E-3</v>
      </c>
      <c r="D77" s="12">
        <f t="shared" si="5"/>
        <v>2304</v>
      </c>
      <c r="E77" s="13">
        <f t="shared" si="3"/>
        <v>1152</v>
      </c>
      <c r="F77" s="12">
        <f t="shared" si="4"/>
        <v>1152</v>
      </c>
    </row>
    <row r="78" spans="1:6">
      <c r="A78" s="8">
        <v>6</v>
      </c>
      <c r="B78" s="11" t="s">
        <v>921</v>
      </c>
      <c r="C78" s="10">
        <v>2.9860000000001552E-3</v>
      </c>
      <c r="D78" s="12">
        <f>+D3-SUM(D4:D5)-SUM(D10:D44)-D48-D52-D56-D60-D64-SUM(D68:D77)</f>
        <v>1780</v>
      </c>
      <c r="E78" s="13">
        <f t="shared" si="3"/>
        <v>890</v>
      </c>
      <c r="F78" s="12">
        <f t="shared" si="4"/>
        <v>890</v>
      </c>
    </row>
    <row r="79" spans="1:6">
      <c r="A79" s="8"/>
      <c r="B79" s="28" t="s">
        <v>288</v>
      </c>
      <c r="C79" s="10">
        <v>1</v>
      </c>
      <c r="D79" s="12">
        <f>+D4+SUM(D7:D43)+SUM(D46:D47)+SUM(D50:D51)+SUM(D54:D55)+SUM(D58:D59)+SUM(D62:D63)+SUM(D66:D78)</f>
        <v>596008</v>
      </c>
      <c r="E79" s="12">
        <f>+E4+SUM(E7:E43)+SUM(E46:E47)+SUM(E50:E51)+SUM(E54:E55)+SUM(E58:E59)+SUM(E62:E63)+SUM(E66:E78)</f>
        <v>298016</v>
      </c>
      <c r="F79" s="12">
        <f>+F4+SUM(F7:F43)+SUM(F46:F47)+SUM(F50:F51)+SUM(F54:F55)+SUM(F58:F59)+SUM(F62:F63)+SUM(F66:F78)</f>
        <v>297992</v>
      </c>
    </row>
    <row r="80" spans="1:6">
      <c r="B80" s="18" t="s">
        <v>38</v>
      </c>
      <c r="D80" s="19">
        <f>+D4</f>
        <v>722</v>
      </c>
      <c r="E80" s="19">
        <f>+E4</f>
        <v>361</v>
      </c>
      <c r="F80" s="19">
        <f>+F4</f>
        <v>361</v>
      </c>
    </row>
    <row r="81" spans="2:8">
      <c r="B81" s="2" t="s">
        <v>39</v>
      </c>
      <c r="D81" s="19">
        <f>+D7</f>
        <v>8075</v>
      </c>
      <c r="E81" s="19">
        <f>+E7</f>
        <v>4038</v>
      </c>
      <c r="F81" s="19">
        <f>+F7</f>
        <v>4037</v>
      </c>
    </row>
    <row r="82" spans="2:8">
      <c r="B82" s="2" t="s">
        <v>40</v>
      </c>
      <c r="D82" s="19">
        <f>+D46+D50+D54+D58+D62+D66</f>
        <v>159848</v>
      </c>
      <c r="E82" s="19">
        <f>+E46+E50+E54+E58+E62+E66</f>
        <v>79927</v>
      </c>
      <c r="F82" s="19">
        <f>+F46+F50+F54+F58+F62+F66</f>
        <v>79921</v>
      </c>
      <c r="H82" s="3">
        <v>1</v>
      </c>
    </row>
    <row r="83" spans="2:8">
      <c r="B83" s="18" t="s">
        <v>41</v>
      </c>
      <c r="D83" s="19">
        <f>+D79-D80-D81-D82</f>
        <v>427363</v>
      </c>
      <c r="E83" s="19">
        <f>+E79-E80-E81-E82</f>
        <v>213690</v>
      </c>
      <c r="F83" s="19">
        <f>+F79-F80-F81-F82</f>
        <v>213673</v>
      </c>
      <c r="H83" s="3">
        <v>2</v>
      </c>
    </row>
    <row r="85" spans="2:8" hidden="1">
      <c r="B85" s="3" t="s">
        <v>42</v>
      </c>
      <c r="C85" s="4">
        <v>-1.9999999998450077E-6</v>
      </c>
      <c r="D85" s="3">
        <f>+D78-ROUND(D3*C78,0)</f>
        <v>0</v>
      </c>
    </row>
  </sheetData>
  <pageMargins left="0.7" right="0.7" top="0.75" bottom="0.75" header="0.3" footer="0.3"/>
  <pageSetup scale="54"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pageSetUpPr fitToPage="1"/>
  </sheetPr>
  <dimension ref="A1:WVB73"/>
  <sheetViews>
    <sheetView topLeftCell="A36" zoomScaleNormal="100" zoomScaleSheetLayoutView="80" workbookViewId="0">
      <selection activeCell="D57" activeCellId="3" sqref="D7:F7 D49:F49 D53:F53 D57:F57"/>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28515625" style="3" hidden="1"/>
    <col min="190" max="246" width="9.140625" style="3" hidden="1"/>
    <col min="247" max="247" width="16.28515625" style="3" hidden="1"/>
    <col min="248" max="248" width="17.5703125" style="3" hidden="1"/>
    <col min="249" max="249" width="16" style="3" hidden="1"/>
    <col min="250" max="250" width="18.140625" style="3" hidden="1"/>
    <col min="251" max="443" width="9.140625" style="3" hidden="1"/>
    <col min="444" max="444" width="11" style="3" hidden="1"/>
    <col min="445" max="445" width="54.28515625" style="3" hidden="1"/>
    <col min="446" max="502" width="9.140625" style="3" hidden="1"/>
    <col min="503" max="503" width="16.28515625" style="3" hidden="1"/>
    <col min="504" max="504" width="17.5703125" style="3" hidden="1"/>
    <col min="505" max="505" width="16" style="3" hidden="1"/>
    <col min="506" max="506" width="18.140625" style="3" hidden="1"/>
    <col min="507" max="699" width="9.140625" style="3" hidden="1"/>
    <col min="700" max="700" width="11" style="3" hidden="1"/>
    <col min="701" max="701" width="54.28515625" style="3" hidden="1"/>
    <col min="702" max="758" width="9.140625" style="3" hidden="1"/>
    <col min="759" max="759" width="16.28515625" style="3" hidden="1"/>
    <col min="760" max="760" width="17.5703125" style="3" hidden="1"/>
    <col min="761" max="761" width="16" style="3" hidden="1"/>
    <col min="762" max="762" width="18.140625" style="3" hidden="1"/>
    <col min="763" max="955" width="9.140625" style="3" hidden="1"/>
    <col min="956" max="956" width="11" style="3" hidden="1"/>
    <col min="957" max="957" width="54.28515625" style="3" hidden="1"/>
    <col min="958" max="1014" width="9.140625" style="3" hidden="1"/>
    <col min="1015" max="1015" width="16.28515625" style="3" hidden="1"/>
    <col min="1016" max="1016" width="17.5703125" style="3" hidden="1"/>
    <col min="1017" max="1017" width="16" style="3" hidden="1"/>
    <col min="1018" max="1018" width="18.140625" style="3" hidden="1"/>
    <col min="1019" max="1211" width="9.140625" style="3" hidden="1"/>
    <col min="1212" max="1212" width="11" style="3" hidden="1"/>
    <col min="1213" max="1213" width="54.28515625" style="3" hidden="1"/>
    <col min="1214" max="1270" width="9.140625" style="3" hidden="1"/>
    <col min="1271" max="1271" width="16.28515625" style="3" hidden="1"/>
    <col min="1272" max="1272" width="17.5703125" style="3" hidden="1"/>
    <col min="1273" max="1273" width="16" style="3" hidden="1"/>
    <col min="1274" max="1274" width="18.140625" style="3" hidden="1"/>
    <col min="1275" max="1467" width="9.140625" style="3" hidden="1"/>
    <col min="1468" max="1468" width="11" style="3" hidden="1"/>
    <col min="1469" max="1469" width="54.28515625" style="3" hidden="1"/>
    <col min="1470" max="1526" width="9.140625" style="3" hidden="1"/>
    <col min="1527" max="1527" width="16.28515625" style="3" hidden="1"/>
    <col min="1528" max="1528" width="17.5703125" style="3" hidden="1"/>
    <col min="1529" max="1529" width="16" style="3" hidden="1"/>
    <col min="1530" max="1530" width="18.140625" style="3" hidden="1"/>
    <col min="1531" max="1723" width="9.140625" style="3" hidden="1"/>
    <col min="1724" max="1724" width="11" style="3" hidden="1"/>
    <col min="1725" max="1725" width="54.28515625" style="3" hidden="1"/>
    <col min="1726" max="1782" width="9.140625" style="3" hidden="1"/>
    <col min="1783" max="1783" width="16.28515625" style="3" hidden="1"/>
    <col min="1784" max="1784" width="17.5703125" style="3" hidden="1"/>
    <col min="1785" max="1785" width="16" style="3" hidden="1"/>
    <col min="1786" max="1786" width="18.140625" style="3" hidden="1"/>
    <col min="1787" max="1979" width="9.140625" style="3" hidden="1"/>
    <col min="1980" max="1980" width="11" style="3" hidden="1"/>
    <col min="1981" max="1981" width="54.28515625" style="3" hidden="1"/>
    <col min="1982" max="2038" width="9.140625" style="3" hidden="1"/>
    <col min="2039" max="2039" width="16.28515625" style="3" hidden="1"/>
    <col min="2040" max="2040" width="17.5703125" style="3" hidden="1"/>
    <col min="2041" max="2041" width="16" style="3" hidden="1"/>
    <col min="2042" max="2042" width="18.140625" style="3" hidden="1"/>
    <col min="2043" max="2235" width="9.140625" style="3" hidden="1"/>
    <col min="2236" max="2236" width="11" style="3" hidden="1"/>
    <col min="2237" max="2237" width="54.28515625" style="3" hidden="1"/>
    <col min="2238" max="2294" width="9.140625" style="3" hidden="1"/>
    <col min="2295" max="2295" width="16.28515625" style="3" hidden="1"/>
    <col min="2296" max="2296" width="17.5703125" style="3" hidden="1"/>
    <col min="2297" max="2297" width="16" style="3" hidden="1"/>
    <col min="2298" max="2298" width="18.140625" style="3" hidden="1"/>
    <col min="2299" max="2491" width="9.140625" style="3" hidden="1"/>
    <col min="2492" max="2492" width="11" style="3" hidden="1"/>
    <col min="2493" max="2493" width="54.28515625" style="3" hidden="1"/>
    <col min="2494" max="2550" width="9.140625" style="3" hidden="1"/>
    <col min="2551" max="2551" width="16.28515625" style="3" hidden="1"/>
    <col min="2552" max="2552" width="17.5703125" style="3" hidden="1"/>
    <col min="2553" max="2553" width="16" style="3" hidden="1"/>
    <col min="2554" max="2554" width="18.140625" style="3" hidden="1"/>
    <col min="2555" max="2747" width="9.140625" style="3" hidden="1"/>
    <col min="2748" max="2748" width="11" style="3" hidden="1"/>
    <col min="2749" max="2749" width="54.28515625" style="3" hidden="1"/>
    <col min="2750" max="2806" width="9.140625" style="3" hidden="1"/>
    <col min="2807" max="2807" width="16.28515625" style="3" hidden="1"/>
    <col min="2808" max="2808" width="17.5703125" style="3" hidden="1"/>
    <col min="2809" max="2809" width="16" style="3" hidden="1"/>
    <col min="2810" max="2810" width="18.140625" style="3" hidden="1"/>
    <col min="2811" max="3003" width="9.140625" style="3" hidden="1"/>
    <col min="3004" max="3004" width="11" style="3" hidden="1"/>
    <col min="3005" max="3005" width="54.28515625" style="3" hidden="1"/>
    <col min="3006" max="3062" width="9.140625" style="3" hidden="1"/>
    <col min="3063" max="3063" width="16.28515625" style="3" hidden="1"/>
    <col min="3064" max="3064" width="17.5703125" style="3" hidden="1"/>
    <col min="3065" max="3065" width="16" style="3" hidden="1"/>
    <col min="3066" max="3066" width="18.140625" style="3" hidden="1"/>
    <col min="3067" max="3259" width="9.140625" style="3" hidden="1"/>
    <col min="3260" max="3260" width="11" style="3" hidden="1"/>
    <col min="3261" max="3261" width="54.28515625" style="3" hidden="1"/>
    <col min="3262" max="3318" width="9.140625" style="3" hidden="1"/>
    <col min="3319" max="3319" width="16.28515625" style="3" hidden="1"/>
    <col min="3320" max="3320" width="17.5703125" style="3" hidden="1"/>
    <col min="3321" max="3321" width="16" style="3" hidden="1"/>
    <col min="3322" max="3322" width="18.140625" style="3" hidden="1"/>
    <col min="3323" max="3515" width="9.140625" style="3" hidden="1"/>
    <col min="3516" max="3516" width="11" style="3" hidden="1"/>
    <col min="3517" max="3517" width="54.28515625" style="3" hidden="1"/>
    <col min="3518" max="3574" width="9.140625" style="3" hidden="1"/>
    <col min="3575" max="3575" width="16.28515625" style="3" hidden="1"/>
    <col min="3576" max="3576" width="17.5703125" style="3" hidden="1"/>
    <col min="3577" max="3577" width="16" style="3" hidden="1"/>
    <col min="3578" max="3578" width="18.140625" style="3" hidden="1"/>
    <col min="3579" max="3771" width="9.140625" style="3" hidden="1"/>
    <col min="3772" max="3772" width="11" style="3" hidden="1"/>
    <col min="3773" max="3773" width="54.28515625" style="3" hidden="1"/>
    <col min="3774" max="3830" width="9.140625" style="3" hidden="1"/>
    <col min="3831" max="3831" width="16.28515625" style="3" hidden="1"/>
    <col min="3832" max="3832" width="17.5703125" style="3" hidden="1"/>
    <col min="3833" max="3833" width="16" style="3" hidden="1"/>
    <col min="3834" max="3834" width="18.140625" style="3" hidden="1"/>
    <col min="3835" max="4027" width="9.140625" style="3" hidden="1"/>
    <col min="4028" max="4028" width="11" style="3" hidden="1"/>
    <col min="4029" max="4029" width="54.28515625" style="3" hidden="1"/>
    <col min="4030" max="4086" width="9.140625" style="3" hidden="1"/>
    <col min="4087" max="4087" width="16.28515625" style="3" hidden="1"/>
    <col min="4088" max="4088" width="17.5703125" style="3" hidden="1"/>
    <col min="4089" max="4089" width="16" style="3" hidden="1"/>
    <col min="4090" max="4090" width="18.140625" style="3" hidden="1"/>
    <col min="4091" max="4283" width="9.140625" style="3" hidden="1"/>
    <col min="4284" max="4284" width="11" style="3" hidden="1"/>
    <col min="4285" max="4285" width="54.28515625" style="3" hidden="1"/>
    <col min="4286" max="4342" width="9.140625" style="3" hidden="1"/>
    <col min="4343" max="4343" width="16.28515625" style="3" hidden="1"/>
    <col min="4344" max="4344" width="17.5703125" style="3" hidden="1"/>
    <col min="4345" max="4345" width="16" style="3" hidden="1"/>
    <col min="4346" max="4346" width="18.140625" style="3" hidden="1"/>
    <col min="4347" max="4539" width="9.140625" style="3" hidden="1"/>
    <col min="4540" max="4540" width="11" style="3" hidden="1"/>
    <col min="4541" max="4541" width="54.28515625" style="3" hidden="1"/>
    <col min="4542" max="4598" width="9.140625" style="3" hidden="1"/>
    <col min="4599" max="4599" width="16.28515625" style="3" hidden="1"/>
    <col min="4600" max="4600" width="17.5703125" style="3" hidden="1"/>
    <col min="4601" max="4601" width="16" style="3" hidden="1"/>
    <col min="4602" max="4602" width="18.140625" style="3" hidden="1"/>
    <col min="4603" max="4795" width="9.140625" style="3" hidden="1"/>
    <col min="4796" max="4796" width="11" style="3" hidden="1"/>
    <col min="4797" max="4797" width="54.28515625" style="3" hidden="1"/>
    <col min="4798" max="4854" width="9.140625" style="3" hidden="1"/>
    <col min="4855" max="4855" width="16.28515625" style="3" hidden="1"/>
    <col min="4856" max="4856" width="17.5703125" style="3" hidden="1"/>
    <col min="4857" max="4857" width="16" style="3" hidden="1"/>
    <col min="4858" max="4858" width="18.140625" style="3" hidden="1"/>
    <col min="4859" max="5051" width="9.140625" style="3" hidden="1"/>
    <col min="5052" max="5052" width="11" style="3" hidden="1"/>
    <col min="5053" max="5053" width="54.28515625" style="3" hidden="1"/>
    <col min="5054" max="5110" width="9.140625" style="3" hidden="1"/>
    <col min="5111" max="5111" width="16.28515625" style="3" hidden="1"/>
    <col min="5112" max="5112" width="17.5703125" style="3" hidden="1"/>
    <col min="5113" max="5113" width="16" style="3" hidden="1"/>
    <col min="5114" max="5114" width="18.140625" style="3" hidden="1"/>
    <col min="5115" max="5307" width="9.140625" style="3" hidden="1"/>
    <col min="5308" max="5308" width="11" style="3" hidden="1"/>
    <col min="5309" max="5309" width="54.28515625" style="3" hidden="1"/>
    <col min="5310" max="5366" width="9.140625" style="3" hidden="1"/>
    <col min="5367" max="5367" width="16.28515625" style="3" hidden="1"/>
    <col min="5368" max="5368" width="17.5703125" style="3" hidden="1"/>
    <col min="5369" max="5369" width="16" style="3" hidden="1"/>
    <col min="5370" max="5370" width="18.140625" style="3" hidden="1"/>
    <col min="5371" max="5563" width="9.140625" style="3" hidden="1"/>
    <col min="5564" max="5564" width="11" style="3" hidden="1"/>
    <col min="5565" max="5565" width="54.28515625" style="3" hidden="1"/>
    <col min="5566" max="5622" width="9.140625" style="3" hidden="1"/>
    <col min="5623" max="5623" width="16.28515625" style="3" hidden="1"/>
    <col min="5624" max="5624" width="17.5703125" style="3" hidden="1"/>
    <col min="5625" max="5625" width="16" style="3" hidden="1"/>
    <col min="5626" max="5626" width="18.140625" style="3" hidden="1"/>
    <col min="5627" max="5819" width="9.140625" style="3" hidden="1"/>
    <col min="5820" max="5820" width="11" style="3" hidden="1"/>
    <col min="5821" max="5821" width="54.28515625" style="3" hidden="1"/>
    <col min="5822" max="5878" width="9.140625" style="3" hidden="1"/>
    <col min="5879" max="5879" width="16.28515625" style="3" hidden="1"/>
    <col min="5880" max="5880" width="17.5703125" style="3" hidden="1"/>
    <col min="5881" max="5881" width="16" style="3" hidden="1"/>
    <col min="5882" max="5882" width="18.140625" style="3" hidden="1"/>
    <col min="5883" max="6075" width="9.140625" style="3" hidden="1"/>
    <col min="6076" max="6076" width="11" style="3" hidden="1"/>
    <col min="6077" max="6077" width="54.28515625" style="3" hidden="1"/>
    <col min="6078" max="6134" width="9.140625" style="3" hidden="1"/>
    <col min="6135" max="6135" width="16.28515625" style="3" hidden="1"/>
    <col min="6136" max="6136" width="17.5703125" style="3" hidden="1"/>
    <col min="6137" max="6137" width="16" style="3" hidden="1"/>
    <col min="6138" max="6138" width="18.140625" style="3" hidden="1"/>
    <col min="6139" max="6331" width="9.140625" style="3" hidden="1"/>
    <col min="6332" max="6332" width="11" style="3" hidden="1"/>
    <col min="6333" max="6333" width="54.28515625" style="3" hidden="1"/>
    <col min="6334" max="6390" width="9.140625" style="3" hidden="1"/>
    <col min="6391" max="6391" width="16.28515625" style="3" hidden="1"/>
    <col min="6392" max="6392" width="17.5703125" style="3" hidden="1"/>
    <col min="6393" max="6393" width="16" style="3" hidden="1"/>
    <col min="6394" max="6394" width="18.140625" style="3" hidden="1"/>
    <col min="6395" max="6587" width="9.140625" style="3" hidden="1"/>
    <col min="6588" max="6588" width="11" style="3" hidden="1"/>
    <col min="6589" max="6589" width="54.28515625" style="3" hidden="1"/>
    <col min="6590" max="6646" width="9.140625" style="3" hidden="1"/>
    <col min="6647" max="6647" width="16.28515625" style="3" hidden="1"/>
    <col min="6648" max="6648" width="17.5703125" style="3" hidden="1"/>
    <col min="6649" max="6649" width="16" style="3" hidden="1"/>
    <col min="6650" max="6650" width="18.140625" style="3" hidden="1"/>
    <col min="6651" max="6843" width="9.140625" style="3" hidden="1"/>
    <col min="6844" max="6844" width="11" style="3" hidden="1"/>
    <col min="6845" max="6845" width="54.28515625" style="3" hidden="1"/>
    <col min="6846" max="6902" width="9.140625" style="3" hidden="1"/>
    <col min="6903" max="6903" width="16.28515625" style="3" hidden="1"/>
    <col min="6904" max="6904" width="17.5703125" style="3" hidden="1"/>
    <col min="6905" max="6905" width="16" style="3" hidden="1"/>
    <col min="6906" max="6906" width="18.140625" style="3" hidden="1"/>
    <col min="6907" max="7099" width="9.140625" style="3" hidden="1"/>
    <col min="7100" max="7100" width="11" style="3" hidden="1"/>
    <col min="7101" max="7101" width="54.28515625" style="3" hidden="1"/>
    <col min="7102" max="7158" width="9.140625" style="3" hidden="1"/>
    <col min="7159" max="7159" width="16.28515625" style="3" hidden="1"/>
    <col min="7160" max="7160" width="17.5703125" style="3" hidden="1"/>
    <col min="7161" max="7161" width="16" style="3" hidden="1"/>
    <col min="7162" max="7162" width="18.140625" style="3" hidden="1"/>
    <col min="7163" max="7355" width="9.140625" style="3" hidden="1"/>
    <col min="7356" max="7356" width="11" style="3" hidden="1"/>
    <col min="7357" max="7357" width="54.28515625" style="3" hidden="1"/>
    <col min="7358" max="7414" width="9.140625" style="3" hidden="1"/>
    <col min="7415" max="7415" width="16.28515625" style="3" hidden="1"/>
    <col min="7416" max="7416" width="17.5703125" style="3" hidden="1"/>
    <col min="7417" max="7417" width="16" style="3" hidden="1"/>
    <col min="7418" max="7418" width="18.140625" style="3" hidden="1"/>
    <col min="7419" max="7611" width="9.140625" style="3" hidden="1"/>
    <col min="7612" max="7612" width="11" style="3" hidden="1"/>
    <col min="7613" max="7613" width="54.28515625" style="3" hidden="1"/>
    <col min="7614" max="7670" width="9.140625" style="3" hidden="1"/>
    <col min="7671" max="7671" width="16.28515625" style="3" hidden="1"/>
    <col min="7672" max="7672" width="17.5703125" style="3" hidden="1"/>
    <col min="7673" max="7673" width="16" style="3" hidden="1"/>
    <col min="7674" max="7674" width="18.140625" style="3" hidden="1"/>
    <col min="7675" max="7867" width="9.140625" style="3" hidden="1"/>
    <col min="7868" max="7868" width="11" style="3" hidden="1"/>
    <col min="7869" max="7869" width="54.28515625" style="3" hidden="1"/>
    <col min="7870" max="7926" width="9.140625" style="3" hidden="1"/>
    <col min="7927" max="7927" width="16.28515625" style="3" hidden="1"/>
    <col min="7928" max="7928" width="17.5703125" style="3" hidden="1"/>
    <col min="7929" max="7929" width="16" style="3" hidden="1"/>
    <col min="7930" max="7930" width="18.140625" style="3" hidden="1"/>
    <col min="7931" max="8123" width="9.140625" style="3" hidden="1"/>
    <col min="8124" max="8124" width="11" style="3" hidden="1"/>
    <col min="8125" max="8125" width="54.28515625" style="3" hidden="1"/>
    <col min="8126" max="8182" width="9.140625" style="3" hidden="1"/>
    <col min="8183" max="8183" width="16.28515625" style="3" hidden="1"/>
    <col min="8184" max="8184" width="17.5703125" style="3" hidden="1"/>
    <col min="8185" max="8185" width="16" style="3" hidden="1"/>
    <col min="8186" max="8186" width="18.140625" style="3" hidden="1"/>
    <col min="8187" max="8379" width="9.140625" style="3" hidden="1"/>
    <col min="8380" max="8380" width="11" style="3" hidden="1"/>
    <col min="8381" max="8381" width="54.28515625" style="3" hidden="1"/>
    <col min="8382" max="8438" width="9.140625" style="3" hidden="1"/>
    <col min="8439" max="8439" width="16.28515625" style="3" hidden="1"/>
    <col min="8440" max="8440" width="17.5703125" style="3" hidden="1"/>
    <col min="8441" max="8441" width="16" style="3" hidden="1"/>
    <col min="8442" max="8442" width="18.140625" style="3" hidden="1"/>
    <col min="8443" max="8635" width="9.140625" style="3" hidden="1"/>
    <col min="8636" max="8636" width="11" style="3" hidden="1"/>
    <col min="8637" max="8637" width="54.28515625" style="3" hidden="1"/>
    <col min="8638" max="8694" width="9.140625" style="3" hidden="1"/>
    <col min="8695" max="8695" width="16.28515625" style="3" hidden="1"/>
    <col min="8696" max="8696" width="17.5703125" style="3" hidden="1"/>
    <col min="8697" max="8697" width="16" style="3" hidden="1"/>
    <col min="8698" max="8698" width="18.140625" style="3" hidden="1"/>
    <col min="8699" max="8891" width="9.140625" style="3" hidden="1"/>
    <col min="8892" max="8892" width="11" style="3" hidden="1"/>
    <col min="8893" max="8893" width="54.28515625" style="3" hidden="1"/>
    <col min="8894" max="8950" width="9.140625" style="3" hidden="1"/>
    <col min="8951" max="8951" width="16.28515625" style="3" hidden="1"/>
    <col min="8952" max="8952" width="17.5703125" style="3" hidden="1"/>
    <col min="8953" max="8953" width="16" style="3" hidden="1"/>
    <col min="8954" max="8954" width="18.140625" style="3" hidden="1"/>
    <col min="8955" max="9147" width="9.140625" style="3" hidden="1"/>
    <col min="9148" max="9148" width="11" style="3" hidden="1"/>
    <col min="9149" max="9149" width="54.28515625" style="3" hidden="1"/>
    <col min="9150" max="9206" width="9.140625" style="3" hidden="1"/>
    <col min="9207" max="9207" width="16.28515625" style="3" hidden="1"/>
    <col min="9208" max="9208" width="17.5703125" style="3" hidden="1"/>
    <col min="9209" max="9209" width="16" style="3" hidden="1"/>
    <col min="9210" max="9210" width="18.140625" style="3" hidden="1"/>
    <col min="9211" max="9403" width="9.140625" style="3" hidden="1"/>
    <col min="9404" max="9404" width="11" style="3" hidden="1"/>
    <col min="9405" max="9405" width="54.28515625" style="3" hidden="1"/>
    <col min="9406" max="9462" width="9.140625" style="3" hidden="1"/>
    <col min="9463" max="9463" width="16.28515625" style="3" hidden="1"/>
    <col min="9464" max="9464" width="17.5703125" style="3" hidden="1"/>
    <col min="9465" max="9465" width="16" style="3" hidden="1"/>
    <col min="9466" max="9466" width="18.140625" style="3" hidden="1"/>
    <col min="9467" max="9659" width="9.140625" style="3" hidden="1"/>
    <col min="9660" max="9660" width="11" style="3" hidden="1"/>
    <col min="9661" max="9661" width="54.28515625" style="3" hidden="1"/>
    <col min="9662" max="9718" width="9.140625" style="3" hidden="1"/>
    <col min="9719" max="9719" width="16.28515625" style="3" hidden="1"/>
    <col min="9720" max="9720" width="17.5703125" style="3" hidden="1"/>
    <col min="9721" max="9721" width="16" style="3" hidden="1"/>
    <col min="9722" max="9722" width="18.140625" style="3" hidden="1"/>
    <col min="9723" max="9915" width="9.140625" style="3" hidden="1"/>
    <col min="9916" max="9916" width="11" style="3" hidden="1"/>
    <col min="9917" max="9917" width="54.28515625" style="3" hidden="1"/>
    <col min="9918" max="9974" width="9.140625" style="3" hidden="1"/>
    <col min="9975" max="9975" width="16.28515625" style="3" hidden="1"/>
    <col min="9976" max="9976" width="17.5703125" style="3" hidden="1"/>
    <col min="9977" max="9977" width="16" style="3" hidden="1"/>
    <col min="9978" max="9978" width="18.140625" style="3" hidden="1"/>
    <col min="9979" max="10171" width="9.140625" style="3" hidden="1"/>
    <col min="10172" max="10172" width="11" style="3" hidden="1"/>
    <col min="10173" max="10173" width="54.28515625" style="3" hidden="1"/>
    <col min="10174" max="10230" width="9.140625" style="3" hidden="1"/>
    <col min="10231" max="10231" width="16.28515625" style="3" hidden="1"/>
    <col min="10232" max="10232" width="17.5703125" style="3" hidden="1"/>
    <col min="10233" max="10233" width="16" style="3" hidden="1"/>
    <col min="10234" max="10234" width="18.140625" style="3" hidden="1"/>
    <col min="10235" max="10427" width="9.140625" style="3" hidden="1"/>
    <col min="10428" max="10428" width="11" style="3" hidden="1"/>
    <col min="10429" max="10429" width="54.28515625" style="3" hidden="1"/>
    <col min="10430" max="10486" width="9.140625" style="3" hidden="1"/>
    <col min="10487" max="10487" width="16.28515625" style="3" hidden="1"/>
    <col min="10488" max="10488" width="17.5703125" style="3" hidden="1"/>
    <col min="10489" max="10489" width="16" style="3" hidden="1"/>
    <col min="10490" max="10490" width="18.140625" style="3" hidden="1"/>
    <col min="10491" max="10683" width="9.140625" style="3" hidden="1"/>
    <col min="10684" max="10684" width="11" style="3" hidden="1"/>
    <col min="10685" max="10685" width="54.28515625" style="3" hidden="1"/>
    <col min="10686" max="10742" width="9.140625" style="3" hidden="1"/>
    <col min="10743" max="10743" width="16.28515625" style="3" hidden="1"/>
    <col min="10744" max="10744" width="17.5703125" style="3" hidden="1"/>
    <col min="10745" max="10745" width="16" style="3" hidden="1"/>
    <col min="10746" max="10746" width="18.140625" style="3" hidden="1"/>
    <col min="10747" max="10939" width="9.140625" style="3" hidden="1"/>
    <col min="10940" max="10940" width="11" style="3" hidden="1"/>
    <col min="10941" max="10941" width="54.28515625" style="3" hidden="1"/>
    <col min="10942" max="10998" width="9.140625" style="3" hidden="1"/>
    <col min="10999" max="10999" width="16.28515625" style="3" hidden="1"/>
    <col min="11000" max="11000" width="17.5703125" style="3" hidden="1"/>
    <col min="11001" max="11001" width="16" style="3" hidden="1"/>
    <col min="11002" max="11002" width="18.140625" style="3" hidden="1"/>
    <col min="11003" max="11195" width="9.140625" style="3" hidden="1"/>
    <col min="11196" max="11196" width="11" style="3" hidden="1"/>
    <col min="11197" max="11197" width="54.28515625" style="3" hidden="1"/>
    <col min="11198" max="11254" width="9.140625" style="3" hidden="1"/>
    <col min="11255" max="11255" width="16.28515625" style="3" hidden="1"/>
    <col min="11256" max="11256" width="17.5703125" style="3" hidden="1"/>
    <col min="11257" max="11257" width="16" style="3" hidden="1"/>
    <col min="11258" max="11258" width="18.140625" style="3" hidden="1"/>
    <col min="11259" max="11451" width="9.140625" style="3" hidden="1"/>
    <col min="11452" max="11452" width="11" style="3" hidden="1"/>
    <col min="11453" max="11453" width="54.28515625" style="3" hidden="1"/>
    <col min="11454" max="11510" width="9.140625" style="3" hidden="1"/>
    <col min="11511" max="11511" width="16.28515625" style="3" hidden="1"/>
    <col min="11512" max="11512" width="17.5703125" style="3" hidden="1"/>
    <col min="11513" max="11513" width="16" style="3" hidden="1"/>
    <col min="11514" max="11514" width="18.140625" style="3" hidden="1"/>
    <col min="11515" max="11707" width="9.140625" style="3" hidden="1"/>
    <col min="11708" max="11708" width="11" style="3" hidden="1"/>
    <col min="11709" max="11709" width="54.28515625" style="3" hidden="1"/>
    <col min="11710" max="11766" width="9.140625" style="3" hidden="1"/>
    <col min="11767" max="11767" width="16.28515625" style="3" hidden="1"/>
    <col min="11768" max="11768" width="17.5703125" style="3" hidden="1"/>
    <col min="11769" max="11769" width="16" style="3" hidden="1"/>
    <col min="11770" max="11770" width="18.140625" style="3" hidden="1"/>
    <col min="11771" max="11963" width="9.140625" style="3" hidden="1"/>
    <col min="11964" max="11964" width="11" style="3" hidden="1"/>
    <col min="11965" max="11965" width="54.28515625" style="3" hidden="1"/>
    <col min="11966" max="12022" width="9.140625" style="3" hidden="1"/>
    <col min="12023" max="12023" width="16.28515625" style="3" hidden="1"/>
    <col min="12024" max="12024" width="17.5703125" style="3" hidden="1"/>
    <col min="12025" max="12025" width="16" style="3" hidden="1"/>
    <col min="12026" max="12026" width="18.140625" style="3" hidden="1"/>
    <col min="12027" max="12219" width="9.140625" style="3" hidden="1"/>
    <col min="12220" max="12220" width="11" style="3" hidden="1"/>
    <col min="12221" max="12221" width="54.28515625" style="3" hidden="1"/>
    <col min="12222" max="12278" width="9.140625" style="3" hidden="1"/>
    <col min="12279" max="12279" width="16.28515625" style="3" hidden="1"/>
    <col min="12280" max="12280" width="17.5703125" style="3" hidden="1"/>
    <col min="12281" max="12281" width="16" style="3" hidden="1"/>
    <col min="12282" max="12282" width="18.140625" style="3" hidden="1"/>
    <col min="12283" max="12475" width="9.140625" style="3" hidden="1"/>
    <col min="12476" max="12476" width="11" style="3" hidden="1"/>
    <col min="12477" max="12477" width="54.28515625" style="3" hidden="1"/>
    <col min="12478" max="12534" width="9.140625" style="3" hidden="1"/>
    <col min="12535" max="12535" width="16.28515625" style="3" hidden="1"/>
    <col min="12536" max="12536" width="17.5703125" style="3" hidden="1"/>
    <col min="12537" max="12537" width="16" style="3" hidden="1"/>
    <col min="12538" max="12538" width="18.140625" style="3" hidden="1"/>
    <col min="12539" max="12731" width="9.140625" style="3" hidden="1"/>
    <col min="12732" max="12732" width="11" style="3" hidden="1"/>
    <col min="12733" max="12733" width="54.28515625" style="3" hidden="1"/>
    <col min="12734" max="12790" width="9.140625" style="3" hidden="1"/>
    <col min="12791" max="12791" width="16.28515625" style="3" hidden="1"/>
    <col min="12792" max="12792" width="17.5703125" style="3" hidden="1"/>
    <col min="12793" max="12793" width="16" style="3" hidden="1"/>
    <col min="12794" max="12794" width="18.140625" style="3" hidden="1"/>
    <col min="12795" max="12987" width="9.140625" style="3" hidden="1"/>
    <col min="12988" max="12988" width="11" style="3" hidden="1"/>
    <col min="12989" max="12989" width="54.28515625" style="3" hidden="1"/>
    <col min="12990" max="13046" width="9.140625" style="3" hidden="1"/>
    <col min="13047" max="13047" width="16.28515625" style="3" hidden="1"/>
    <col min="13048" max="13048" width="17.5703125" style="3" hidden="1"/>
    <col min="13049" max="13049" width="16" style="3" hidden="1"/>
    <col min="13050" max="13050" width="18.140625" style="3" hidden="1"/>
    <col min="13051" max="13243" width="9.140625" style="3" hidden="1"/>
    <col min="13244" max="13244" width="11" style="3" hidden="1"/>
    <col min="13245" max="13245" width="54.28515625" style="3" hidden="1"/>
    <col min="13246" max="13302" width="9.140625" style="3" hidden="1"/>
    <col min="13303" max="13303" width="16.28515625" style="3" hidden="1"/>
    <col min="13304" max="13304" width="17.5703125" style="3" hidden="1"/>
    <col min="13305" max="13305" width="16" style="3" hidden="1"/>
    <col min="13306" max="13306" width="18.140625" style="3" hidden="1"/>
    <col min="13307" max="13499" width="9.140625" style="3" hidden="1"/>
    <col min="13500" max="13500" width="11" style="3" hidden="1"/>
    <col min="13501" max="13501" width="54.28515625" style="3" hidden="1"/>
    <col min="13502" max="13558" width="9.140625" style="3" hidden="1"/>
    <col min="13559" max="13559" width="16.28515625" style="3" hidden="1"/>
    <col min="13560" max="13560" width="17.5703125" style="3" hidden="1"/>
    <col min="13561" max="13561" width="16" style="3" hidden="1"/>
    <col min="13562" max="13562" width="18.140625" style="3" hidden="1"/>
    <col min="13563" max="13755" width="9.140625" style="3" hidden="1"/>
    <col min="13756" max="13756" width="11" style="3" hidden="1"/>
    <col min="13757" max="13757" width="54.28515625" style="3" hidden="1"/>
    <col min="13758" max="13814" width="9.140625" style="3" hidden="1"/>
    <col min="13815" max="13815" width="16.28515625" style="3" hidden="1"/>
    <col min="13816" max="13816" width="17.5703125" style="3" hidden="1"/>
    <col min="13817" max="13817" width="16" style="3" hidden="1"/>
    <col min="13818" max="13818" width="18.140625" style="3" hidden="1"/>
    <col min="13819" max="14011" width="9.140625" style="3" hidden="1"/>
    <col min="14012" max="14012" width="11" style="3" hidden="1"/>
    <col min="14013" max="14013" width="54.28515625" style="3" hidden="1"/>
    <col min="14014" max="14070" width="9.140625" style="3" hidden="1"/>
    <col min="14071" max="14071" width="16.28515625" style="3" hidden="1"/>
    <col min="14072" max="14072" width="17.5703125" style="3" hidden="1"/>
    <col min="14073" max="14073" width="16" style="3" hidden="1"/>
    <col min="14074" max="14074" width="18.140625" style="3" hidden="1"/>
    <col min="14075" max="14267" width="9.140625" style="3" hidden="1"/>
    <col min="14268" max="14268" width="11" style="3" hidden="1"/>
    <col min="14269" max="14269" width="54.28515625" style="3" hidden="1"/>
    <col min="14270" max="14326" width="9.140625" style="3" hidden="1"/>
    <col min="14327" max="14327" width="16.28515625" style="3" hidden="1"/>
    <col min="14328" max="14328" width="17.5703125" style="3" hidden="1"/>
    <col min="14329" max="14329" width="16" style="3" hidden="1"/>
    <col min="14330" max="14330" width="18.140625" style="3" hidden="1"/>
    <col min="14331" max="14523" width="9.140625" style="3" hidden="1"/>
    <col min="14524" max="14524" width="11" style="3" hidden="1"/>
    <col min="14525" max="14525" width="54.28515625" style="3" hidden="1"/>
    <col min="14526" max="14582" width="9.140625" style="3" hidden="1"/>
    <col min="14583" max="14583" width="16.28515625" style="3" hidden="1"/>
    <col min="14584" max="14584" width="17.5703125" style="3" hidden="1"/>
    <col min="14585" max="14585" width="16" style="3" hidden="1"/>
    <col min="14586" max="14586" width="18.140625" style="3" hidden="1"/>
    <col min="14587" max="14779" width="9.140625" style="3" hidden="1"/>
    <col min="14780" max="14780" width="11" style="3" hidden="1"/>
    <col min="14781" max="14781" width="54.28515625" style="3" hidden="1"/>
    <col min="14782" max="14838" width="9.140625" style="3" hidden="1"/>
    <col min="14839" max="14839" width="16.28515625" style="3" hidden="1"/>
    <col min="14840" max="14840" width="17.5703125" style="3" hidden="1"/>
    <col min="14841" max="14841" width="16" style="3" hidden="1"/>
    <col min="14842" max="14842" width="18.140625" style="3" hidden="1"/>
    <col min="14843" max="15035" width="9.140625" style="3" hidden="1"/>
    <col min="15036" max="15036" width="11" style="3" hidden="1"/>
    <col min="15037" max="15037" width="54.28515625" style="3" hidden="1"/>
    <col min="15038" max="15094" width="9.140625" style="3" hidden="1"/>
    <col min="15095" max="15095" width="16.28515625" style="3" hidden="1"/>
    <col min="15096" max="15096" width="17.5703125" style="3" hidden="1"/>
    <col min="15097" max="15097" width="16" style="3" hidden="1"/>
    <col min="15098" max="15098" width="18.140625" style="3" hidden="1"/>
    <col min="15099" max="15291" width="9.140625" style="3" hidden="1"/>
    <col min="15292" max="15292" width="11" style="3" hidden="1"/>
    <col min="15293" max="15293" width="54.28515625" style="3" hidden="1"/>
    <col min="15294" max="15350" width="9.140625" style="3" hidden="1"/>
    <col min="15351" max="15351" width="16.28515625" style="3" hidden="1"/>
    <col min="15352" max="15352" width="17.5703125" style="3" hidden="1"/>
    <col min="15353" max="15353" width="16" style="3" hidden="1"/>
    <col min="15354" max="15354" width="18.140625" style="3" hidden="1"/>
    <col min="15355" max="15547" width="9.140625" style="3" hidden="1"/>
    <col min="15548" max="15548" width="11" style="3" hidden="1"/>
    <col min="15549" max="15549" width="54.28515625" style="3" hidden="1"/>
    <col min="15550" max="15606" width="9.140625" style="3" hidden="1"/>
    <col min="15607" max="15607" width="16.28515625" style="3" hidden="1"/>
    <col min="15608" max="15608" width="17.5703125" style="3" hidden="1"/>
    <col min="15609" max="15609" width="16" style="3" hidden="1"/>
    <col min="15610" max="15610" width="18.140625" style="3" hidden="1"/>
    <col min="15611" max="15803" width="9.140625" style="3" hidden="1"/>
    <col min="15804" max="15804" width="11" style="3" hidden="1"/>
    <col min="15805" max="15805" width="54.28515625" style="3" hidden="1"/>
    <col min="15806" max="15862" width="9.140625" style="3" hidden="1"/>
    <col min="15863" max="15863" width="16.28515625" style="3" hidden="1"/>
    <col min="15864" max="15864" width="17.5703125" style="3" hidden="1"/>
    <col min="15865" max="15865" width="16" style="3" hidden="1"/>
    <col min="15866" max="15866" width="18.140625" style="3" hidden="1"/>
    <col min="15867" max="16059" width="9.140625" style="3" hidden="1"/>
    <col min="16060" max="16060" width="11" style="3" hidden="1"/>
    <col min="16061" max="16061" width="54.28515625" style="3" hidden="1"/>
    <col min="16062" max="16118" width="9.140625" style="3" hidden="1"/>
    <col min="16119" max="16119" width="16.28515625" style="3" hidden="1"/>
    <col min="16120" max="16120" width="17.5703125" style="3" hidden="1"/>
    <col min="16121" max="16121" width="16" style="3" hidden="1"/>
    <col min="16122" max="16122" width="18.140625" style="3" hidden="1"/>
    <col min="16123" max="16384" width="9.140625" style="3" hidden="1"/>
  </cols>
  <sheetData>
    <row r="1" spans="1:6">
      <c r="B1" s="2" t="s">
        <v>922</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Worksheet'!$D$45</f>
        <v>553551</v>
      </c>
      <c r="E3" s="11"/>
      <c r="F3" s="11"/>
    </row>
    <row r="4" spans="1:6">
      <c r="A4" s="8">
        <v>0</v>
      </c>
      <c r="B4" s="11" t="s">
        <v>4</v>
      </c>
      <c r="C4" s="10">
        <v>1.078E-3</v>
      </c>
      <c r="D4" s="12">
        <f>ROUND(D$3*C4,0)</f>
        <v>597</v>
      </c>
      <c r="E4" s="13">
        <f>ROUND(D4/2,0)</f>
        <v>299</v>
      </c>
      <c r="F4" s="12">
        <f>D4-E4</f>
        <v>298</v>
      </c>
    </row>
    <row r="5" spans="1:6">
      <c r="A5" s="8">
        <v>1</v>
      </c>
      <c r="B5" s="11" t="s">
        <v>923</v>
      </c>
      <c r="C5" s="10">
        <v>0.22024299999999999</v>
      </c>
      <c r="D5" s="9">
        <f>ROUND(D$3*C5,0)</f>
        <v>121916</v>
      </c>
      <c r="E5" s="11">
        <f>ROUND(D5/2,0)</f>
        <v>60958</v>
      </c>
      <c r="F5" s="9">
        <f>D5-E5</f>
        <v>60958</v>
      </c>
    </row>
    <row r="6" spans="1:6">
      <c r="A6" s="8"/>
      <c r="B6" s="11" t="s">
        <v>6</v>
      </c>
      <c r="C6" s="11"/>
      <c r="D6" s="14">
        <v>0.26653500000000002</v>
      </c>
      <c r="E6" s="11"/>
      <c r="F6" s="11"/>
    </row>
    <row r="7" spans="1:6">
      <c r="A7" s="8"/>
      <c r="B7" s="11" t="s">
        <v>7</v>
      </c>
      <c r="C7" s="11"/>
      <c r="D7" s="225">
        <f>ROUND(D5*D6,0)</f>
        <v>32495</v>
      </c>
      <c r="E7" s="226">
        <f>ROUND(D7/2,0)</f>
        <v>16248</v>
      </c>
      <c r="F7" s="225">
        <f>D7-E7</f>
        <v>16247</v>
      </c>
    </row>
    <row r="8" spans="1:6">
      <c r="A8" s="8"/>
      <c r="B8" s="11" t="s">
        <v>8</v>
      </c>
      <c r="C8" s="11"/>
      <c r="D8" s="12">
        <f>+D5-D7</f>
        <v>89421</v>
      </c>
      <c r="E8" s="13">
        <f>ROUND(D8/2,0)</f>
        <v>44711</v>
      </c>
      <c r="F8" s="12">
        <f>D8-E8</f>
        <v>44710</v>
      </c>
    </row>
    <row r="9" spans="1:6">
      <c r="A9" s="8">
        <v>2</v>
      </c>
      <c r="B9" s="11" t="s">
        <v>924</v>
      </c>
      <c r="C9" s="11"/>
      <c r="D9" s="9"/>
      <c r="E9" s="11"/>
      <c r="F9" s="11"/>
    </row>
    <row r="10" spans="1:6">
      <c r="A10" s="8"/>
      <c r="B10" s="11" t="s">
        <v>10</v>
      </c>
      <c r="C10" s="10">
        <v>1.039E-3</v>
      </c>
      <c r="D10" s="12">
        <f>ROUND(D$3*C10,0)</f>
        <v>575</v>
      </c>
      <c r="E10" s="13">
        <f>ROUND(D10/2,0)</f>
        <v>288</v>
      </c>
      <c r="F10" s="12">
        <f>D10-E10</f>
        <v>287</v>
      </c>
    </row>
    <row r="11" spans="1:6">
      <c r="A11" s="8"/>
      <c r="B11" s="11" t="s">
        <v>11</v>
      </c>
      <c r="C11" s="10">
        <v>6.6699999999999995E-4</v>
      </c>
      <c r="D11" s="12">
        <f>ROUND(D$3*C11,0)</f>
        <v>369</v>
      </c>
      <c r="E11" s="13">
        <f>ROUND(D11/2,0)</f>
        <v>185</v>
      </c>
      <c r="F11" s="12">
        <f>D11-E11</f>
        <v>184</v>
      </c>
    </row>
    <row r="12" spans="1:6">
      <c r="A12" s="8">
        <v>2</v>
      </c>
      <c r="B12" s="11" t="s">
        <v>925</v>
      </c>
      <c r="C12" s="11"/>
      <c r="D12" s="9"/>
      <c r="E12" s="11"/>
      <c r="F12" s="11"/>
    </row>
    <row r="13" spans="1:6">
      <c r="A13" s="8"/>
      <c r="B13" s="11" t="s">
        <v>10</v>
      </c>
      <c r="C13" s="10">
        <v>4.6099999999999998E-4</v>
      </c>
      <c r="D13" s="12">
        <f>ROUND(D$3*C13,0)</f>
        <v>255</v>
      </c>
      <c r="E13" s="13">
        <f>ROUND(D13/2,0)</f>
        <v>128</v>
      </c>
      <c r="F13" s="12">
        <f>D13-E13</f>
        <v>127</v>
      </c>
    </row>
    <row r="14" spans="1:6">
      <c r="A14" s="8"/>
      <c r="B14" s="11" t="s">
        <v>11</v>
      </c>
      <c r="C14" s="10">
        <v>1.07E-4</v>
      </c>
      <c r="D14" s="12">
        <f>ROUND(D$3*C14,0)</f>
        <v>59</v>
      </c>
      <c r="E14" s="13">
        <f>ROUND(D14/2,0)</f>
        <v>30</v>
      </c>
      <c r="F14" s="12">
        <f>D14-E14</f>
        <v>29</v>
      </c>
    </row>
    <row r="15" spans="1:6">
      <c r="A15" s="8">
        <v>2</v>
      </c>
      <c r="B15" s="11" t="s">
        <v>86</v>
      </c>
      <c r="C15" s="11"/>
      <c r="D15" s="9"/>
      <c r="E15" s="11"/>
      <c r="F15" s="11"/>
    </row>
    <row r="16" spans="1:6">
      <c r="A16" s="8"/>
      <c r="B16" s="11" t="s">
        <v>10</v>
      </c>
      <c r="C16" s="10">
        <v>5.9299999999999999E-4</v>
      </c>
      <c r="D16" s="12">
        <f>ROUND(D$3*C16,0)</f>
        <v>328</v>
      </c>
      <c r="E16" s="13">
        <f>ROUND(D16/2,0)</f>
        <v>164</v>
      </c>
      <c r="F16" s="12">
        <f>D16-E16</f>
        <v>164</v>
      </c>
    </row>
    <row r="17" spans="1:6">
      <c r="A17" s="8"/>
      <c r="B17" s="11" t="s">
        <v>11</v>
      </c>
      <c r="C17" s="10">
        <v>6.8000000000000005E-4</v>
      </c>
      <c r="D17" s="12">
        <f>ROUND(D$3*C17,0)</f>
        <v>376</v>
      </c>
      <c r="E17" s="13">
        <f>ROUND(D17/2,0)</f>
        <v>188</v>
      </c>
      <c r="F17" s="12">
        <f>D17-E17</f>
        <v>188</v>
      </c>
    </row>
    <row r="18" spans="1:6">
      <c r="A18" s="8">
        <v>2</v>
      </c>
      <c r="B18" s="11" t="s">
        <v>268</v>
      </c>
      <c r="C18" s="11"/>
      <c r="D18" s="9"/>
      <c r="E18" s="11"/>
      <c r="F18" s="11"/>
    </row>
    <row r="19" spans="1:6">
      <c r="A19" s="8"/>
      <c r="B19" s="11" t="s">
        <v>10</v>
      </c>
      <c r="C19" s="10">
        <v>2.5000000000000001E-4</v>
      </c>
      <c r="D19" s="12">
        <f>ROUND(D$3*C19,0)</f>
        <v>138</v>
      </c>
      <c r="E19" s="13">
        <f>ROUND(D19/2,0)</f>
        <v>69</v>
      </c>
      <c r="F19" s="12">
        <f>D19-E19</f>
        <v>69</v>
      </c>
    </row>
    <row r="20" spans="1:6">
      <c r="A20" s="8"/>
      <c r="B20" s="11" t="s">
        <v>11</v>
      </c>
      <c r="C20" s="10">
        <v>0</v>
      </c>
      <c r="D20" s="12">
        <f>ROUND(D$3*C20,0)</f>
        <v>0</v>
      </c>
      <c r="E20" s="13">
        <f>ROUND(D20/2,0)</f>
        <v>0</v>
      </c>
      <c r="F20" s="12">
        <f>D20-E20</f>
        <v>0</v>
      </c>
    </row>
    <row r="21" spans="1:6">
      <c r="A21" s="8">
        <v>2</v>
      </c>
      <c r="B21" s="11" t="s">
        <v>926</v>
      </c>
      <c r="C21" s="11"/>
      <c r="D21" s="9"/>
      <c r="E21" s="11"/>
      <c r="F21" s="11"/>
    </row>
    <row r="22" spans="1:6">
      <c r="A22" s="8"/>
      <c r="B22" s="11" t="s">
        <v>10</v>
      </c>
      <c r="C22" s="10">
        <v>1.6230000000000001E-3</v>
      </c>
      <c r="D22" s="12">
        <f>ROUND(D$3*C22,0)</f>
        <v>898</v>
      </c>
      <c r="E22" s="13">
        <f>ROUND(D22/2,0)</f>
        <v>449</v>
      </c>
      <c r="F22" s="12">
        <f>D22-E22</f>
        <v>449</v>
      </c>
    </row>
    <row r="23" spans="1:6">
      <c r="A23" s="8"/>
      <c r="B23" s="11" t="s">
        <v>11</v>
      </c>
      <c r="C23" s="10">
        <v>8.5599999999999999E-4</v>
      </c>
      <c r="D23" s="12">
        <f>ROUND(D$3*C23,0)</f>
        <v>474</v>
      </c>
      <c r="E23" s="13">
        <f>ROUND(D23/2,0)</f>
        <v>237</v>
      </c>
      <c r="F23" s="12">
        <f>D23-E23</f>
        <v>237</v>
      </c>
    </row>
    <row r="24" spans="1:6">
      <c r="A24" s="8">
        <v>2</v>
      </c>
      <c r="B24" s="11" t="s">
        <v>927</v>
      </c>
      <c r="C24" s="11"/>
      <c r="D24" s="9"/>
      <c r="E24" s="11"/>
      <c r="F24" s="11"/>
    </row>
    <row r="25" spans="1:6">
      <c r="A25" s="8"/>
      <c r="B25" s="11" t="s">
        <v>10</v>
      </c>
      <c r="C25" s="10">
        <v>1.199E-3</v>
      </c>
      <c r="D25" s="12">
        <f>ROUND(D$3*C25,0)</f>
        <v>664</v>
      </c>
      <c r="E25" s="13">
        <f>ROUND(D25/2,0)</f>
        <v>332</v>
      </c>
      <c r="F25" s="12">
        <f>D25-E25</f>
        <v>332</v>
      </c>
    </row>
    <row r="26" spans="1:6">
      <c r="A26" s="8"/>
      <c r="B26" s="11" t="s">
        <v>11</v>
      </c>
      <c r="C26" s="10">
        <v>1.1150000000000001E-3</v>
      </c>
      <c r="D26" s="12">
        <f>ROUND(D$3*C26,0)</f>
        <v>617</v>
      </c>
      <c r="E26" s="13">
        <f>ROUND(D26/2,0)</f>
        <v>309</v>
      </c>
      <c r="F26" s="12">
        <f>D26-E26</f>
        <v>308</v>
      </c>
    </row>
    <row r="27" spans="1:6">
      <c r="A27" s="8">
        <v>2</v>
      </c>
      <c r="B27" s="11" t="s">
        <v>928</v>
      </c>
      <c r="C27" s="11"/>
      <c r="D27" s="9"/>
      <c r="E27" s="11"/>
      <c r="F27" s="11"/>
    </row>
    <row r="28" spans="1:6">
      <c r="A28" s="8"/>
      <c r="B28" s="11" t="s">
        <v>10</v>
      </c>
      <c r="C28" s="10">
        <v>2.82E-3</v>
      </c>
      <c r="D28" s="12">
        <f>ROUND(D$3*C28,0)</f>
        <v>1561</v>
      </c>
      <c r="E28" s="13">
        <f>ROUND(D28/2,0)</f>
        <v>781</v>
      </c>
      <c r="F28" s="12">
        <f>D28-E28</f>
        <v>780</v>
      </c>
    </row>
    <row r="29" spans="1:6">
      <c r="A29" s="8"/>
      <c r="B29" s="11" t="s">
        <v>11</v>
      </c>
      <c r="C29" s="10">
        <v>4.0700000000000003E-4</v>
      </c>
      <c r="D29" s="12">
        <f>ROUND(D$3*C29,0)</f>
        <v>225</v>
      </c>
      <c r="E29" s="13">
        <f>ROUND(D29/2,0)</f>
        <v>113</v>
      </c>
      <c r="F29" s="12">
        <f>D29-E29</f>
        <v>112</v>
      </c>
    </row>
    <row r="30" spans="1:6">
      <c r="A30" s="8">
        <v>2</v>
      </c>
      <c r="B30" s="11" t="s">
        <v>929</v>
      </c>
      <c r="C30" s="11"/>
      <c r="D30" s="9"/>
      <c r="E30" s="11"/>
      <c r="F30" s="11"/>
    </row>
    <row r="31" spans="1:6">
      <c r="A31" s="8"/>
      <c r="B31" s="11" t="s">
        <v>10</v>
      </c>
      <c r="C31" s="10">
        <v>4.5729999999999998E-3</v>
      </c>
      <c r="D31" s="12">
        <f>ROUND(D$3*C31,0)</f>
        <v>2531</v>
      </c>
      <c r="E31" s="13">
        <f>ROUND(D31/2,0)</f>
        <v>1266</v>
      </c>
      <c r="F31" s="12">
        <f>D31-E31</f>
        <v>1265</v>
      </c>
    </row>
    <row r="32" spans="1:6">
      <c r="A32" s="8"/>
      <c r="B32" s="11" t="s">
        <v>11</v>
      </c>
      <c r="C32" s="10">
        <v>0</v>
      </c>
      <c r="D32" s="12">
        <f>ROUND(D$3*C32,0)</f>
        <v>0</v>
      </c>
      <c r="E32" s="13">
        <f>ROUND(D32/2,0)</f>
        <v>0</v>
      </c>
      <c r="F32" s="12">
        <f>D32-E32</f>
        <v>0</v>
      </c>
    </row>
    <row r="33" spans="1:6">
      <c r="A33" s="8">
        <v>2</v>
      </c>
      <c r="B33" s="11" t="s">
        <v>22</v>
      </c>
      <c r="C33" s="11"/>
      <c r="D33" s="9"/>
      <c r="E33" s="11"/>
      <c r="F33" s="11"/>
    </row>
    <row r="34" spans="1:6">
      <c r="A34" s="8"/>
      <c r="B34" s="11" t="s">
        <v>10</v>
      </c>
      <c r="C34" s="10">
        <v>1.4920000000000001E-3</v>
      </c>
      <c r="D34" s="12">
        <f>ROUND(D$3*C34,0)</f>
        <v>826</v>
      </c>
      <c r="E34" s="13">
        <f>ROUND(D34/2,0)</f>
        <v>413</v>
      </c>
      <c r="F34" s="12">
        <f>D34-E34</f>
        <v>413</v>
      </c>
    </row>
    <row r="35" spans="1:6">
      <c r="A35" s="8"/>
      <c r="B35" s="11" t="s">
        <v>11</v>
      </c>
      <c r="C35" s="10">
        <v>1.475E-3</v>
      </c>
      <c r="D35" s="12">
        <f>ROUND(D$3*C35,0)</f>
        <v>816</v>
      </c>
      <c r="E35" s="13">
        <f>ROUND(D35/2,0)</f>
        <v>408</v>
      </c>
      <c r="F35" s="12">
        <f>D35-E35</f>
        <v>408</v>
      </c>
    </row>
    <row r="36" spans="1:6">
      <c r="A36" s="8">
        <v>2</v>
      </c>
      <c r="B36" s="11" t="s">
        <v>930</v>
      </c>
      <c r="C36" s="11"/>
      <c r="D36" s="9"/>
      <c r="E36" s="11"/>
      <c r="F36" s="11"/>
    </row>
    <row r="37" spans="1:6">
      <c r="A37" s="8"/>
      <c r="B37" s="11" t="s">
        <v>10</v>
      </c>
      <c r="C37" s="10">
        <v>1.289E-3</v>
      </c>
      <c r="D37" s="12">
        <f t="shared" ref="D37:D47" si="0">ROUND(D$3*C37,0)</f>
        <v>714</v>
      </c>
      <c r="E37" s="13">
        <f t="shared" ref="E37:E47" si="1">ROUND(D37/2,0)</f>
        <v>357</v>
      </c>
      <c r="F37" s="12">
        <f t="shared" ref="F37:F47" si="2">D37-E37</f>
        <v>357</v>
      </c>
    </row>
    <row r="38" spans="1:6">
      <c r="A38" s="8"/>
      <c r="B38" s="11" t="s">
        <v>11</v>
      </c>
      <c r="C38" s="10">
        <v>9.6500000000000004E-4</v>
      </c>
      <c r="D38" s="12">
        <f t="shared" si="0"/>
        <v>534</v>
      </c>
      <c r="E38" s="13">
        <f t="shared" si="1"/>
        <v>267</v>
      </c>
      <c r="F38" s="12">
        <f t="shared" si="2"/>
        <v>267</v>
      </c>
    </row>
    <row r="39" spans="1:6">
      <c r="A39" s="8">
        <v>3</v>
      </c>
      <c r="B39" s="11" t="s">
        <v>931</v>
      </c>
      <c r="C39" s="10">
        <v>1.66E-4</v>
      </c>
      <c r="D39" s="12">
        <f t="shared" si="0"/>
        <v>92</v>
      </c>
      <c r="E39" s="13">
        <f t="shared" si="1"/>
        <v>46</v>
      </c>
      <c r="F39" s="12">
        <f t="shared" si="2"/>
        <v>46</v>
      </c>
    </row>
    <row r="40" spans="1:6">
      <c r="A40" s="8">
        <v>3</v>
      </c>
      <c r="B40" s="11" t="s">
        <v>932</v>
      </c>
      <c r="C40" s="10">
        <v>0</v>
      </c>
      <c r="D40" s="12">
        <f t="shared" si="0"/>
        <v>0</v>
      </c>
      <c r="E40" s="13">
        <f t="shared" si="1"/>
        <v>0</v>
      </c>
      <c r="F40" s="12">
        <f t="shared" si="2"/>
        <v>0</v>
      </c>
    </row>
    <row r="41" spans="1:6">
      <c r="A41" s="8">
        <v>3</v>
      </c>
      <c r="B41" s="11" t="s">
        <v>933</v>
      </c>
      <c r="C41" s="10">
        <v>1.0139999999999999E-3</v>
      </c>
      <c r="D41" s="12">
        <f t="shared" si="0"/>
        <v>561</v>
      </c>
      <c r="E41" s="13">
        <f t="shared" si="1"/>
        <v>281</v>
      </c>
      <c r="F41" s="12">
        <f t="shared" si="2"/>
        <v>280</v>
      </c>
    </row>
    <row r="42" spans="1:6">
      <c r="A42" s="8">
        <v>3</v>
      </c>
      <c r="B42" s="11" t="s">
        <v>934</v>
      </c>
      <c r="C42" s="10">
        <v>0</v>
      </c>
      <c r="D42" s="12">
        <f t="shared" si="0"/>
        <v>0</v>
      </c>
      <c r="E42" s="13">
        <f t="shared" si="1"/>
        <v>0</v>
      </c>
      <c r="F42" s="12">
        <f t="shared" si="2"/>
        <v>0</v>
      </c>
    </row>
    <row r="43" spans="1:6">
      <c r="A43" s="8">
        <v>3</v>
      </c>
      <c r="B43" s="11" t="s">
        <v>935</v>
      </c>
      <c r="C43" s="10">
        <v>2.6800000000000001E-4</v>
      </c>
      <c r="D43" s="12">
        <f t="shared" si="0"/>
        <v>148</v>
      </c>
      <c r="E43" s="13">
        <f t="shared" si="1"/>
        <v>74</v>
      </c>
      <c r="F43" s="12">
        <f t="shared" si="2"/>
        <v>74</v>
      </c>
    </row>
    <row r="44" spans="1:6">
      <c r="A44" s="8">
        <v>3</v>
      </c>
      <c r="B44" s="11" t="s">
        <v>936</v>
      </c>
      <c r="C44" s="10">
        <v>6.8999999999999997E-4</v>
      </c>
      <c r="D44" s="12">
        <f t="shared" si="0"/>
        <v>382</v>
      </c>
      <c r="E44" s="13">
        <f t="shared" si="1"/>
        <v>191</v>
      </c>
      <c r="F44" s="12">
        <f t="shared" si="2"/>
        <v>191</v>
      </c>
    </row>
    <row r="45" spans="1:6">
      <c r="A45" s="8">
        <v>3</v>
      </c>
      <c r="B45" s="11" t="s">
        <v>937</v>
      </c>
      <c r="C45" s="10">
        <v>8.8205000000000006E-2</v>
      </c>
      <c r="D45" s="12">
        <f t="shared" si="0"/>
        <v>48826</v>
      </c>
      <c r="E45" s="13">
        <f t="shared" si="1"/>
        <v>24413</v>
      </c>
      <c r="F45" s="12">
        <f t="shared" si="2"/>
        <v>24413</v>
      </c>
    </row>
    <row r="46" spans="1:6">
      <c r="A46" s="8">
        <v>3</v>
      </c>
      <c r="B46" s="11" t="s">
        <v>938</v>
      </c>
      <c r="C46" s="10">
        <v>2.0300000000000001E-3</v>
      </c>
      <c r="D46" s="12">
        <f t="shared" si="0"/>
        <v>1124</v>
      </c>
      <c r="E46" s="13">
        <f t="shared" si="1"/>
        <v>562</v>
      </c>
      <c r="F46" s="12">
        <f t="shared" si="2"/>
        <v>562</v>
      </c>
    </row>
    <row r="47" spans="1:6">
      <c r="A47" s="8">
        <v>4</v>
      </c>
      <c r="B47" s="11" t="s">
        <v>939</v>
      </c>
      <c r="C47" s="10">
        <v>0.139871</v>
      </c>
      <c r="D47" s="9">
        <f t="shared" si="0"/>
        <v>77426</v>
      </c>
      <c r="E47" s="11">
        <f t="shared" si="1"/>
        <v>38713</v>
      </c>
      <c r="F47" s="9">
        <f t="shared" si="2"/>
        <v>38713</v>
      </c>
    </row>
    <row r="48" spans="1:6">
      <c r="A48" s="8"/>
      <c r="B48" s="11" t="s">
        <v>28</v>
      </c>
      <c r="C48" s="11"/>
      <c r="D48" s="14">
        <v>0.45267400000000002</v>
      </c>
      <c r="E48" s="11"/>
      <c r="F48" s="11"/>
    </row>
    <row r="49" spans="1:6">
      <c r="A49" s="8"/>
      <c r="B49" s="11" t="s">
        <v>29</v>
      </c>
      <c r="C49" s="11"/>
      <c r="D49" s="225">
        <f>ROUND(D47*D48,0)</f>
        <v>35049</v>
      </c>
      <c r="E49" s="226">
        <f>ROUND(D49/2,0)</f>
        <v>17525</v>
      </c>
      <c r="F49" s="225">
        <f>D49-E49</f>
        <v>17524</v>
      </c>
    </row>
    <row r="50" spans="1:6">
      <c r="A50" s="8"/>
      <c r="B50" s="11" t="s">
        <v>30</v>
      </c>
      <c r="C50" s="11"/>
      <c r="D50" s="12">
        <f>+D47-D49</f>
        <v>42377</v>
      </c>
      <c r="E50" s="13">
        <f>ROUND(D50/2,0)</f>
        <v>21189</v>
      </c>
      <c r="F50" s="12">
        <f>D50-E50</f>
        <v>21188</v>
      </c>
    </row>
    <row r="51" spans="1:6">
      <c r="A51" s="8">
        <v>4</v>
      </c>
      <c r="B51" s="11" t="s">
        <v>940</v>
      </c>
      <c r="C51" s="10">
        <v>0.15743599999999999</v>
      </c>
      <c r="D51" s="9">
        <f>ROUND(D$3*C51,0)</f>
        <v>87149</v>
      </c>
      <c r="E51" s="11">
        <f>ROUND(D51/2,0)</f>
        <v>43575</v>
      </c>
      <c r="F51" s="9">
        <f>D51-E51</f>
        <v>43574</v>
      </c>
    </row>
    <row r="52" spans="1:6">
      <c r="A52" s="8"/>
      <c r="B52" s="11" t="s">
        <v>28</v>
      </c>
      <c r="C52" s="11"/>
      <c r="D52" s="14">
        <v>0.45930399999999999</v>
      </c>
      <c r="E52" s="11"/>
      <c r="F52" s="11"/>
    </row>
    <row r="53" spans="1:6">
      <c r="A53" s="8"/>
      <c r="B53" s="11" t="s">
        <v>29</v>
      </c>
      <c r="C53" s="11"/>
      <c r="D53" s="225">
        <f>ROUND(D51*D52,0)</f>
        <v>40028</v>
      </c>
      <c r="E53" s="226">
        <f>ROUND(D53/2,0)</f>
        <v>20014</v>
      </c>
      <c r="F53" s="225">
        <f>D53-E53</f>
        <v>20014</v>
      </c>
    </row>
    <row r="54" spans="1:6">
      <c r="A54" s="8"/>
      <c r="B54" s="11" t="s">
        <v>30</v>
      </c>
      <c r="C54" s="11"/>
      <c r="D54" s="12">
        <f>+D51-D53</f>
        <v>47121</v>
      </c>
      <c r="E54" s="13">
        <f>ROUND(D54/2,0)</f>
        <v>23561</v>
      </c>
      <c r="F54" s="12">
        <f>D54-E54</f>
        <v>23560</v>
      </c>
    </row>
    <row r="55" spans="1:6">
      <c r="A55" s="8">
        <v>4</v>
      </c>
      <c r="B55" s="11" t="s">
        <v>941</v>
      </c>
      <c r="C55" s="10">
        <v>0.28235399999999999</v>
      </c>
      <c r="D55" s="9">
        <f>ROUND(D$3*C55,0)</f>
        <v>156297</v>
      </c>
      <c r="E55" s="11">
        <f>ROUND(D55/2,0)</f>
        <v>78149</v>
      </c>
      <c r="F55" s="9">
        <f>D55-E55</f>
        <v>78148</v>
      </c>
    </row>
    <row r="56" spans="1:6">
      <c r="A56" s="8"/>
      <c r="B56" s="11" t="s">
        <v>28</v>
      </c>
      <c r="C56" s="11"/>
      <c r="D56" s="14">
        <v>0.45843200000000001</v>
      </c>
      <c r="E56" s="11"/>
      <c r="F56" s="11"/>
    </row>
    <row r="57" spans="1:6">
      <c r="A57" s="8"/>
      <c r="B57" s="11" t="s">
        <v>29</v>
      </c>
      <c r="C57" s="11"/>
      <c r="D57" s="225">
        <f>ROUND(D55*D56,0)</f>
        <v>71652</v>
      </c>
      <c r="E57" s="226">
        <f t="shared" ref="E57:E66" si="3">ROUND(D57/2,0)</f>
        <v>35826</v>
      </c>
      <c r="F57" s="225">
        <f t="shared" ref="F57:F66" si="4">D57-E57</f>
        <v>35826</v>
      </c>
    </row>
    <row r="58" spans="1:6">
      <c r="A58" s="8"/>
      <c r="B58" s="11" t="s">
        <v>30</v>
      </c>
      <c r="C58" s="11"/>
      <c r="D58" s="12">
        <f>+D55-D57</f>
        <v>84645</v>
      </c>
      <c r="E58" s="13">
        <f t="shared" si="3"/>
        <v>42323</v>
      </c>
      <c r="F58" s="12">
        <f t="shared" si="4"/>
        <v>42322</v>
      </c>
    </row>
    <row r="59" spans="1:6">
      <c r="A59" s="8">
        <v>5</v>
      </c>
      <c r="B59" s="11" t="s">
        <v>942</v>
      </c>
      <c r="C59" s="10">
        <v>2.9880000000000002E-3</v>
      </c>
      <c r="D59" s="12">
        <f t="shared" ref="D59:D65" si="5">ROUND(D$3*C59,0)</f>
        <v>1654</v>
      </c>
      <c r="E59" s="13">
        <f t="shared" si="3"/>
        <v>827</v>
      </c>
      <c r="F59" s="12">
        <f t="shared" si="4"/>
        <v>827</v>
      </c>
    </row>
    <row r="60" spans="1:6">
      <c r="A60" s="8">
        <v>5</v>
      </c>
      <c r="B60" s="11" t="s">
        <v>943</v>
      </c>
      <c r="C60" s="10">
        <v>3.1432000000000002E-2</v>
      </c>
      <c r="D60" s="12">
        <f t="shared" si="5"/>
        <v>17399</v>
      </c>
      <c r="E60" s="13">
        <f t="shared" si="3"/>
        <v>8700</v>
      </c>
      <c r="F60" s="12">
        <f t="shared" si="4"/>
        <v>8699</v>
      </c>
    </row>
    <row r="61" spans="1:6">
      <c r="A61" s="8">
        <v>6</v>
      </c>
      <c r="B61" s="11" t="s">
        <v>944</v>
      </c>
      <c r="C61" s="10">
        <v>1.9970000000000001E-3</v>
      </c>
      <c r="D61" s="12">
        <f t="shared" si="5"/>
        <v>1105</v>
      </c>
      <c r="E61" s="13">
        <f t="shared" si="3"/>
        <v>553</v>
      </c>
      <c r="F61" s="12">
        <f t="shared" si="4"/>
        <v>552</v>
      </c>
    </row>
    <row r="62" spans="1:6">
      <c r="A62" s="8">
        <v>6</v>
      </c>
      <c r="B62" s="11" t="s">
        <v>945</v>
      </c>
      <c r="C62" s="10">
        <v>0</v>
      </c>
      <c r="D62" s="12">
        <f t="shared" si="5"/>
        <v>0</v>
      </c>
      <c r="E62" s="13">
        <f t="shared" si="3"/>
        <v>0</v>
      </c>
      <c r="F62" s="12">
        <f t="shared" si="4"/>
        <v>0</v>
      </c>
    </row>
    <row r="63" spans="1:6">
      <c r="A63" s="8">
        <v>6</v>
      </c>
      <c r="B63" s="11" t="s">
        <v>946</v>
      </c>
      <c r="C63" s="10">
        <v>2.2109999999999999E-3</v>
      </c>
      <c r="D63" s="12">
        <f t="shared" si="5"/>
        <v>1224</v>
      </c>
      <c r="E63" s="13">
        <f t="shared" si="3"/>
        <v>612</v>
      </c>
      <c r="F63" s="12">
        <f t="shared" si="4"/>
        <v>612</v>
      </c>
    </row>
    <row r="64" spans="1:6">
      <c r="A64" s="8">
        <v>6</v>
      </c>
      <c r="B64" s="11" t="s">
        <v>947</v>
      </c>
      <c r="C64" s="10">
        <v>3.4280000000000001E-3</v>
      </c>
      <c r="D64" s="12">
        <f t="shared" si="5"/>
        <v>1898</v>
      </c>
      <c r="E64" s="13">
        <f t="shared" si="3"/>
        <v>949</v>
      </c>
      <c r="F64" s="12">
        <f t="shared" si="4"/>
        <v>949</v>
      </c>
    </row>
    <row r="65" spans="1:8">
      <c r="A65" s="8">
        <v>6</v>
      </c>
      <c r="B65" s="11" t="s">
        <v>948</v>
      </c>
      <c r="C65" s="10">
        <v>4.0252999999999997E-2</v>
      </c>
      <c r="D65" s="12">
        <f t="shared" si="5"/>
        <v>22282</v>
      </c>
      <c r="E65" s="13">
        <f t="shared" si="3"/>
        <v>11141</v>
      </c>
      <c r="F65" s="12">
        <f t="shared" si="4"/>
        <v>11141</v>
      </c>
    </row>
    <row r="66" spans="1:8">
      <c r="A66" s="8"/>
      <c r="B66" s="11" t="s">
        <v>949</v>
      </c>
      <c r="C66" s="10">
        <v>2.7250000000000885E-3</v>
      </c>
      <c r="D66" s="12">
        <f>+D3-SUM(D4:D5)-SUM(D10:D47)-D51-D55-SUM(D59:D65)</f>
        <v>1511</v>
      </c>
      <c r="E66" s="13">
        <f t="shared" si="3"/>
        <v>756</v>
      </c>
      <c r="F66" s="12">
        <f t="shared" si="4"/>
        <v>755</v>
      </c>
    </row>
    <row r="67" spans="1:8">
      <c r="A67" s="8"/>
      <c r="B67" s="28" t="s">
        <v>288</v>
      </c>
      <c r="C67" s="10">
        <v>1</v>
      </c>
      <c r="D67" s="43">
        <f>+D4+SUM(D7:D46)+SUM(D49:D50)+SUM(D53:D54)+SUM(D57:D66)</f>
        <v>553551</v>
      </c>
      <c r="E67" s="43">
        <f>+E4+SUM(E7:E46)+SUM(E49:E50)+SUM(E53:E54)+SUM(E57:E66)</f>
        <v>276785</v>
      </c>
      <c r="F67" s="43">
        <f>+F4+SUM(F7:F46)+SUM(F49:F50)+SUM(F53:F54)+SUM(F57:F66)</f>
        <v>276766</v>
      </c>
    </row>
    <row r="68" spans="1:8">
      <c r="B68" s="18" t="s">
        <v>38</v>
      </c>
      <c r="D68" s="19">
        <f>+D4</f>
        <v>597</v>
      </c>
      <c r="E68" s="19">
        <f>+E4</f>
        <v>299</v>
      </c>
      <c r="F68" s="19">
        <f>+F4</f>
        <v>298</v>
      </c>
    </row>
    <row r="69" spans="1:8">
      <c r="B69" s="2" t="s">
        <v>39</v>
      </c>
      <c r="D69" s="19">
        <f>+D7</f>
        <v>32495</v>
      </c>
      <c r="E69" s="19">
        <f>+E7</f>
        <v>16248</v>
      </c>
      <c r="F69" s="19">
        <f>+F7</f>
        <v>16247</v>
      </c>
    </row>
    <row r="70" spans="1:8">
      <c r="B70" s="2" t="s">
        <v>40</v>
      </c>
      <c r="D70" s="19">
        <f>+D49+D53+D57</f>
        <v>146729</v>
      </c>
      <c r="E70" s="19">
        <f>+E49+E53+E57</f>
        <v>73365</v>
      </c>
      <c r="F70" s="19">
        <f>+F49+F53+F57</f>
        <v>73364</v>
      </c>
      <c r="H70" s="3">
        <v>1</v>
      </c>
    </row>
    <row r="71" spans="1:8">
      <c r="A71" s="1" t="s">
        <v>590</v>
      </c>
      <c r="B71" s="18" t="s">
        <v>41</v>
      </c>
      <c r="D71" s="19">
        <f>+D67-D68-D69-D70</f>
        <v>373730</v>
      </c>
      <c r="E71" s="19">
        <f>+E67-E68-E69-E70</f>
        <v>186873</v>
      </c>
      <c r="F71" s="19">
        <f>+F67-F68-F69-F70</f>
        <v>186857</v>
      </c>
      <c r="H71" s="3">
        <v>2</v>
      </c>
    </row>
    <row r="73" spans="1:8" hidden="1">
      <c r="B73" s="3" t="s">
        <v>42</v>
      </c>
      <c r="C73" s="4">
        <v>-9.9999999991166183E-7</v>
      </c>
      <c r="D73" s="3">
        <f>+D66-ROUND(D3*C66,0)</f>
        <v>3</v>
      </c>
    </row>
  </sheetData>
  <pageMargins left="0.7" right="0.7" top="0.75" bottom="0.75" header="0.3" footer="0.3"/>
  <pageSetup scale="6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4">
    <pageSetUpPr fitToPage="1"/>
  </sheetPr>
  <dimension ref="A1:WVB111"/>
  <sheetViews>
    <sheetView topLeftCell="A75" zoomScaleNormal="100" zoomScaleSheetLayoutView="90" workbookViewId="0">
      <selection activeCell="D96" activeCellId="6" sqref="D7:F7 D76:F76 D80:F80 D84:F84 D88:F88 D92:F92 D96:F96"/>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140625" style="3" hidden="1"/>
    <col min="189" max="189" width="53.28515625" style="3" hidden="1"/>
    <col min="190" max="246" width="9.140625" style="3" hidden="1"/>
    <col min="247" max="247" width="16" style="3" hidden="1"/>
    <col min="248" max="248" width="17.28515625" style="3" hidden="1"/>
    <col min="249" max="249" width="16" style="3" hidden="1"/>
    <col min="250" max="250" width="17.5703125" style="3" hidden="1"/>
    <col min="251" max="443" width="9.140625" style="3" hidden="1"/>
    <col min="444" max="444" width="11.140625" style="3" hidden="1"/>
    <col min="445" max="445" width="53.28515625" style="3" hidden="1"/>
    <col min="446" max="502" width="9.140625" style="3" hidden="1"/>
    <col min="503" max="503" width="16" style="3" hidden="1"/>
    <col min="504" max="504" width="17.28515625" style="3" hidden="1"/>
    <col min="505" max="505" width="16" style="3" hidden="1"/>
    <col min="506" max="506" width="17.5703125" style="3" hidden="1"/>
    <col min="507" max="699" width="9.140625" style="3" hidden="1"/>
    <col min="700" max="700" width="11.140625" style="3" hidden="1"/>
    <col min="701" max="701" width="53.28515625" style="3" hidden="1"/>
    <col min="702" max="758" width="9.140625" style="3" hidden="1"/>
    <col min="759" max="759" width="16" style="3" hidden="1"/>
    <col min="760" max="760" width="17.28515625" style="3" hidden="1"/>
    <col min="761" max="761" width="16" style="3" hidden="1"/>
    <col min="762" max="762" width="17.5703125" style="3" hidden="1"/>
    <col min="763" max="955" width="9.140625" style="3" hidden="1"/>
    <col min="956" max="956" width="11.140625" style="3" hidden="1"/>
    <col min="957" max="957" width="53.28515625" style="3" hidden="1"/>
    <col min="958" max="1014" width="9.140625" style="3" hidden="1"/>
    <col min="1015" max="1015" width="16" style="3" hidden="1"/>
    <col min="1016" max="1016" width="17.28515625" style="3" hidden="1"/>
    <col min="1017" max="1017" width="16" style="3" hidden="1"/>
    <col min="1018" max="1018" width="17.5703125" style="3" hidden="1"/>
    <col min="1019" max="1211" width="9.140625" style="3" hidden="1"/>
    <col min="1212" max="1212" width="11.140625" style="3" hidden="1"/>
    <col min="1213" max="1213" width="53.28515625" style="3" hidden="1"/>
    <col min="1214" max="1270" width="9.140625" style="3" hidden="1"/>
    <col min="1271" max="1271" width="16" style="3" hidden="1"/>
    <col min="1272" max="1272" width="17.28515625" style="3" hidden="1"/>
    <col min="1273" max="1273" width="16" style="3" hidden="1"/>
    <col min="1274" max="1274" width="17.5703125" style="3" hidden="1"/>
    <col min="1275" max="1467" width="9.140625" style="3" hidden="1"/>
    <col min="1468" max="1468" width="11.140625" style="3" hidden="1"/>
    <col min="1469" max="1469" width="53.28515625" style="3" hidden="1"/>
    <col min="1470" max="1526" width="9.140625" style="3" hidden="1"/>
    <col min="1527" max="1527" width="16" style="3" hidden="1"/>
    <col min="1528" max="1528" width="17.28515625" style="3" hidden="1"/>
    <col min="1529" max="1529" width="16" style="3" hidden="1"/>
    <col min="1530" max="1530" width="17.5703125" style="3" hidden="1"/>
    <col min="1531" max="1723" width="9.140625" style="3" hidden="1"/>
    <col min="1724" max="1724" width="11.140625" style="3" hidden="1"/>
    <col min="1725" max="1725" width="53.28515625" style="3" hidden="1"/>
    <col min="1726" max="1782" width="9.140625" style="3" hidden="1"/>
    <col min="1783" max="1783" width="16" style="3" hidden="1"/>
    <col min="1784" max="1784" width="17.28515625" style="3" hidden="1"/>
    <col min="1785" max="1785" width="16" style="3" hidden="1"/>
    <col min="1786" max="1786" width="17.5703125" style="3" hidden="1"/>
    <col min="1787" max="1979" width="9.140625" style="3" hidden="1"/>
    <col min="1980" max="1980" width="11.140625" style="3" hidden="1"/>
    <col min="1981" max="1981" width="53.28515625" style="3" hidden="1"/>
    <col min="1982" max="2038" width="9.140625" style="3" hidden="1"/>
    <col min="2039" max="2039" width="16" style="3" hidden="1"/>
    <col min="2040" max="2040" width="17.28515625" style="3" hidden="1"/>
    <col min="2041" max="2041" width="16" style="3" hidden="1"/>
    <col min="2042" max="2042" width="17.5703125" style="3" hidden="1"/>
    <col min="2043" max="2235" width="9.140625" style="3" hidden="1"/>
    <col min="2236" max="2236" width="11.140625" style="3" hidden="1"/>
    <col min="2237" max="2237" width="53.28515625" style="3" hidden="1"/>
    <col min="2238" max="2294" width="9.140625" style="3" hidden="1"/>
    <col min="2295" max="2295" width="16" style="3" hidden="1"/>
    <col min="2296" max="2296" width="17.28515625" style="3" hidden="1"/>
    <col min="2297" max="2297" width="16" style="3" hidden="1"/>
    <col min="2298" max="2298" width="17.5703125" style="3" hidden="1"/>
    <col min="2299" max="2491" width="9.140625" style="3" hidden="1"/>
    <col min="2492" max="2492" width="11.140625" style="3" hidden="1"/>
    <col min="2493" max="2493" width="53.28515625" style="3" hidden="1"/>
    <col min="2494" max="2550" width="9.140625" style="3" hidden="1"/>
    <col min="2551" max="2551" width="16" style="3" hidden="1"/>
    <col min="2552" max="2552" width="17.28515625" style="3" hidden="1"/>
    <col min="2553" max="2553" width="16" style="3" hidden="1"/>
    <col min="2554" max="2554" width="17.5703125" style="3" hidden="1"/>
    <col min="2555" max="2747" width="9.140625" style="3" hidden="1"/>
    <col min="2748" max="2748" width="11.140625" style="3" hidden="1"/>
    <col min="2749" max="2749" width="53.28515625" style="3" hidden="1"/>
    <col min="2750" max="2806" width="9.140625" style="3" hidden="1"/>
    <col min="2807" max="2807" width="16" style="3" hidden="1"/>
    <col min="2808" max="2808" width="17.28515625" style="3" hidden="1"/>
    <col min="2809" max="2809" width="16" style="3" hidden="1"/>
    <col min="2810" max="2810" width="17.5703125" style="3" hidden="1"/>
    <col min="2811" max="3003" width="9.140625" style="3" hidden="1"/>
    <col min="3004" max="3004" width="11.140625" style="3" hidden="1"/>
    <col min="3005" max="3005" width="53.28515625" style="3" hidden="1"/>
    <col min="3006" max="3062" width="9.140625" style="3" hidden="1"/>
    <col min="3063" max="3063" width="16" style="3" hidden="1"/>
    <col min="3064" max="3064" width="17.28515625" style="3" hidden="1"/>
    <col min="3065" max="3065" width="16" style="3" hidden="1"/>
    <col min="3066" max="3066" width="17.5703125" style="3" hidden="1"/>
    <col min="3067" max="3259" width="9.140625" style="3" hidden="1"/>
    <col min="3260" max="3260" width="11.140625" style="3" hidden="1"/>
    <col min="3261" max="3261" width="53.28515625" style="3" hidden="1"/>
    <col min="3262" max="3318" width="9.140625" style="3" hidden="1"/>
    <col min="3319" max="3319" width="16" style="3" hidden="1"/>
    <col min="3320" max="3320" width="17.28515625" style="3" hidden="1"/>
    <col min="3321" max="3321" width="16" style="3" hidden="1"/>
    <col min="3322" max="3322" width="17.5703125" style="3" hidden="1"/>
    <col min="3323" max="3515" width="9.140625" style="3" hidden="1"/>
    <col min="3516" max="3516" width="11.140625" style="3" hidden="1"/>
    <col min="3517" max="3517" width="53.28515625" style="3" hidden="1"/>
    <col min="3518" max="3574" width="9.140625" style="3" hidden="1"/>
    <col min="3575" max="3575" width="16" style="3" hidden="1"/>
    <col min="3576" max="3576" width="17.28515625" style="3" hidden="1"/>
    <col min="3577" max="3577" width="16" style="3" hidden="1"/>
    <col min="3578" max="3578" width="17.5703125" style="3" hidden="1"/>
    <col min="3579" max="3771" width="9.140625" style="3" hidden="1"/>
    <col min="3772" max="3772" width="11.140625" style="3" hidden="1"/>
    <col min="3773" max="3773" width="53.28515625" style="3" hidden="1"/>
    <col min="3774" max="3830" width="9.140625" style="3" hidden="1"/>
    <col min="3831" max="3831" width="16" style="3" hidden="1"/>
    <col min="3832" max="3832" width="17.28515625" style="3" hidden="1"/>
    <col min="3833" max="3833" width="16" style="3" hidden="1"/>
    <col min="3834" max="3834" width="17.5703125" style="3" hidden="1"/>
    <col min="3835" max="4027" width="9.140625" style="3" hidden="1"/>
    <col min="4028" max="4028" width="11.140625" style="3" hidden="1"/>
    <col min="4029" max="4029" width="53.28515625" style="3" hidden="1"/>
    <col min="4030" max="4086" width="9.140625" style="3" hidden="1"/>
    <col min="4087" max="4087" width="16" style="3" hidden="1"/>
    <col min="4088" max="4088" width="17.28515625" style="3" hidden="1"/>
    <col min="4089" max="4089" width="16" style="3" hidden="1"/>
    <col min="4090" max="4090" width="17.5703125" style="3" hidden="1"/>
    <col min="4091" max="4283" width="9.140625" style="3" hidden="1"/>
    <col min="4284" max="4284" width="11.140625" style="3" hidden="1"/>
    <col min="4285" max="4285" width="53.28515625" style="3" hidden="1"/>
    <col min="4286" max="4342" width="9.140625" style="3" hidden="1"/>
    <col min="4343" max="4343" width="16" style="3" hidden="1"/>
    <col min="4344" max="4344" width="17.28515625" style="3" hidden="1"/>
    <col min="4345" max="4345" width="16" style="3" hidden="1"/>
    <col min="4346" max="4346" width="17.5703125" style="3" hidden="1"/>
    <col min="4347" max="4539" width="9.140625" style="3" hidden="1"/>
    <col min="4540" max="4540" width="11.140625" style="3" hidden="1"/>
    <col min="4541" max="4541" width="53.28515625" style="3" hidden="1"/>
    <col min="4542" max="4598" width="9.140625" style="3" hidden="1"/>
    <col min="4599" max="4599" width="16" style="3" hidden="1"/>
    <col min="4600" max="4600" width="17.28515625" style="3" hidden="1"/>
    <col min="4601" max="4601" width="16" style="3" hidden="1"/>
    <col min="4602" max="4602" width="17.5703125" style="3" hidden="1"/>
    <col min="4603" max="4795" width="9.140625" style="3" hidden="1"/>
    <col min="4796" max="4796" width="11.140625" style="3" hidden="1"/>
    <col min="4797" max="4797" width="53.28515625" style="3" hidden="1"/>
    <col min="4798" max="4854" width="9.140625" style="3" hidden="1"/>
    <col min="4855" max="4855" width="16" style="3" hidden="1"/>
    <col min="4856" max="4856" width="17.28515625" style="3" hidden="1"/>
    <col min="4857" max="4857" width="16" style="3" hidden="1"/>
    <col min="4858" max="4858" width="17.5703125" style="3" hidden="1"/>
    <col min="4859" max="5051" width="9.140625" style="3" hidden="1"/>
    <col min="5052" max="5052" width="11.140625" style="3" hidden="1"/>
    <col min="5053" max="5053" width="53.28515625" style="3" hidden="1"/>
    <col min="5054" max="5110" width="9.140625" style="3" hidden="1"/>
    <col min="5111" max="5111" width="16" style="3" hidden="1"/>
    <col min="5112" max="5112" width="17.28515625" style="3" hidden="1"/>
    <col min="5113" max="5113" width="16" style="3" hidden="1"/>
    <col min="5114" max="5114" width="17.5703125" style="3" hidden="1"/>
    <col min="5115" max="5307" width="9.140625" style="3" hidden="1"/>
    <col min="5308" max="5308" width="11.140625" style="3" hidden="1"/>
    <col min="5309" max="5309" width="53.28515625" style="3" hidden="1"/>
    <col min="5310" max="5366" width="9.140625" style="3" hidden="1"/>
    <col min="5367" max="5367" width="16" style="3" hidden="1"/>
    <col min="5368" max="5368" width="17.28515625" style="3" hidden="1"/>
    <col min="5369" max="5369" width="16" style="3" hidden="1"/>
    <col min="5370" max="5370" width="17.5703125" style="3" hidden="1"/>
    <col min="5371" max="5563" width="9.140625" style="3" hidden="1"/>
    <col min="5564" max="5564" width="11.140625" style="3" hidden="1"/>
    <col min="5565" max="5565" width="53.28515625" style="3" hidden="1"/>
    <col min="5566" max="5622" width="9.140625" style="3" hidden="1"/>
    <col min="5623" max="5623" width="16" style="3" hidden="1"/>
    <col min="5624" max="5624" width="17.28515625" style="3" hidden="1"/>
    <col min="5625" max="5625" width="16" style="3" hidden="1"/>
    <col min="5626" max="5626" width="17.5703125" style="3" hidden="1"/>
    <col min="5627" max="5819" width="9.140625" style="3" hidden="1"/>
    <col min="5820" max="5820" width="11.140625" style="3" hidden="1"/>
    <col min="5821" max="5821" width="53.28515625" style="3" hidden="1"/>
    <col min="5822" max="5878" width="9.140625" style="3" hidden="1"/>
    <col min="5879" max="5879" width="16" style="3" hidden="1"/>
    <col min="5880" max="5880" width="17.28515625" style="3" hidden="1"/>
    <col min="5881" max="5881" width="16" style="3" hidden="1"/>
    <col min="5882" max="5882" width="17.5703125" style="3" hidden="1"/>
    <col min="5883" max="6075" width="9.140625" style="3" hidden="1"/>
    <col min="6076" max="6076" width="11.140625" style="3" hidden="1"/>
    <col min="6077" max="6077" width="53.28515625" style="3" hidden="1"/>
    <col min="6078" max="6134" width="9.140625" style="3" hidden="1"/>
    <col min="6135" max="6135" width="16" style="3" hidden="1"/>
    <col min="6136" max="6136" width="17.28515625" style="3" hidden="1"/>
    <col min="6137" max="6137" width="16" style="3" hidden="1"/>
    <col min="6138" max="6138" width="17.5703125" style="3" hidden="1"/>
    <col min="6139" max="6331" width="9.140625" style="3" hidden="1"/>
    <col min="6332" max="6332" width="11.140625" style="3" hidden="1"/>
    <col min="6333" max="6333" width="53.28515625" style="3" hidden="1"/>
    <col min="6334" max="6390" width="9.140625" style="3" hidden="1"/>
    <col min="6391" max="6391" width="16" style="3" hidden="1"/>
    <col min="6392" max="6392" width="17.28515625" style="3" hidden="1"/>
    <col min="6393" max="6393" width="16" style="3" hidden="1"/>
    <col min="6394" max="6394" width="17.5703125" style="3" hidden="1"/>
    <col min="6395" max="6587" width="9.140625" style="3" hidden="1"/>
    <col min="6588" max="6588" width="11.140625" style="3" hidden="1"/>
    <col min="6589" max="6589" width="53.28515625" style="3" hidden="1"/>
    <col min="6590" max="6646" width="9.140625" style="3" hidden="1"/>
    <col min="6647" max="6647" width="16" style="3" hidden="1"/>
    <col min="6648" max="6648" width="17.28515625" style="3" hidden="1"/>
    <col min="6649" max="6649" width="16" style="3" hidden="1"/>
    <col min="6650" max="6650" width="17.5703125" style="3" hidden="1"/>
    <col min="6651" max="6843" width="9.140625" style="3" hidden="1"/>
    <col min="6844" max="6844" width="11.140625" style="3" hidden="1"/>
    <col min="6845" max="6845" width="53.28515625" style="3" hidden="1"/>
    <col min="6846" max="6902" width="9.140625" style="3" hidden="1"/>
    <col min="6903" max="6903" width="16" style="3" hidden="1"/>
    <col min="6904" max="6904" width="17.28515625" style="3" hidden="1"/>
    <col min="6905" max="6905" width="16" style="3" hidden="1"/>
    <col min="6906" max="6906" width="17.5703125" style="3" hidden="1"/>
    <col min="6907" max="7099" width="9.140625" style="3" hidden="1"/>
    <col min="7100" max="7100" width="11.140625" style="3" hidden="1"/>
    <col min="7101" max="7101" width="53.28515625" style="3" hidden="1"/>
    <col min="7102" max="7158" width="9.140625" style="3" hidden="1"/>
    <col min="7159" max="7159" width="16" style="3" hidden="1"/>
    <col min="7160" max="7160" width="17.28515625" style="3" hidden="1"/>
    <col min="7161" max="7161" width="16" style="3" hidden="1"/>
    <col min="7162" max="7162" width="17.5703125" style="3" hidden="1"/>
    <col min="7163" max="7355" width="9.140625" style="3" hidden="1"/>
    <col min="7356" max="7356" width="11.140625" style="3" hidden="1"/>
    <col min="7357" max="7357" width="53.28515625" style="3" hidden="1"/>
    <col min="7358" max="7414" width="9.140625" style="3" hidden="1"/>
    <col min="7415" max="7415" width="16" style="3" hidden="1"/>
    <col min="7416" max="7416" width="17.28515625" style="3" hidden="1"/>
    <col min="7417" max="7417" width="16" style="3" hidden="1"/>
    <col min="7418" max="7418" width="17.5703125" style="3" hidden="1"/>
    <col min="7419" max="7611" width="9.140625" style="3" hidden="1"/>
    <col min="7612" max="7612" width="11.140625" style="3" hidden="1"/>
    <col min="7613" max="7613" width="53.28515625" style="3" hidden="1"/>
    <col min="7614" max="7670" width="9.140625" style="3" hidden="1"/>
    <col min="7671" max="7671" width="16" style="3" hidden="1"/>
    <col min="7672" max="7672" width="17.28515625" style="3" hidden="1"/>
    <col min="7673" max="7673" width="16" style="3" hidden="1"/>
    <col min="7674" max="7674" width="17.5703125" style="3" hidden="1"/>
    <col min="7675" max="7867" width="9.140625" style="3" hidden="1"/>
    <col min="7868" max="7868" width="11.140625" style="3" hidden="1"/>
    <col min="7869" max="7869" width="53.28515625" style="3" hidden="1"/>
    <col min="7870" max="7926" width="9.140625" style="3" hidden="1"/>
    <col min="7927" max="7927" width="16" style="3" hidden="1"/>
    <col min="7928" max="7928" width="17.28515625" style="3" hidden="1"/>
    <col min="7929" max="7929" width="16" style="3" hidden="1"/>
    <col min="7930" max="7930" width="17.5703125" style="3" hidden="1"/>
    <col min="7931" max="8123" width="9.140625" style="3" hidden="1"/>
    <col min="8124" max="8124" width="11.140625" style="3" hidden="1"/>
    <col min="8125" max="8125" width="53.28515625" style="3" hidden="1"/>
    <col min="8126" max="8182" width="9.140625" style="3" hidden="1"/>
    <col min="8183" max="8183" width="16" style="3" hidden="1"/>
    <col min="8184" max="8184" width="17.28515625" style="3" hidden="1"/>
    <col min="8185" max="8185" width="16" style="3" hidden="1"/>
    <col min="8186" max="8186" width="17.5703125" style="3" hidden="1"/>
    <col min="8187" max="8379" width="9.140625" style="3" hidden="1"/>
    <col min="8380" max="8380" width="11.140625" style="3" hidden="1"/>
    <col min="8381" max="8381" width="53.28515625" style="3" hidden="1"/>
    <col min="8382" max="8438" width="9.140625" style="3" hidden="1"/>
    <col min="8439" max="8439" width="16" style="3" hidden="1"/>
    <col min="8440" max="8440" width="17.28515625" style="3" hidden="1"/>
    <col min="8441" max="8441" width="16" style="3" hidden="1"/>
    <col min="8442" max="8442" width="17.5703125" style="3" hidden="1"/>
    <col min="8443" max="8635" width="9.140625" style="3" hidden="1"/>
    <col min="8636" max="8636" width="11.140625" style="3" hidden="1"/>
    <col min="8637" max="8637" width="53.28515625" style="3" hidden="1"/>
    <col min="8638" max="8694" width="9.140625" style="3" hidden="1"/>
    <col min="8695" max="8695" width="16" style="3" hidden="1"/>
    <col min="8696" max="8696" width="17.28515625" style="3" hidden="1"/>
    <col min="8697" max="8697" width="16" style="3" hidden="1"/>
    <col min="8698" max="8698" width="17.5703125" style="3" hidden="1"/>
    <col min="8699" max="8891" width="9.140625" style="3" hidden="1"/>
    <col min="8892" max="8892" width="11.140625" style="3" hidden="1"/>
    <col min="8893" max="8893" width="53.28515625" style="3" hidden="1"/>
    <col min="8894" max="8950" width="9.140625" style="3" hidden="1"/>
    <col min="8951" max="8951" width="16" style="3" hidden="1"/>
    <col min="8952" max="8952" width="17.28515625" style="3" hidden="1"/>
    <col min="8953" max="8953" width="16" style="3" hidden="1"/>
    <col min="8954" max="8954" width="17.5703125" style="3" hidden="1"/>
    <col min="8955" max="9147" width="9.140625" style="3" hidden="1"/>
    <col min="9148" max="9148" width="11.140625" style="3" hidden="1"/>
    <col min="9149" max="9149" width="53.28515625" style="3" hidden="1"/>
    <col min="9150" max="9206" width="9.140625" style="3" hidden="1"/>
    <col min="9207" max="9207" width="16" style="3" hidden="1"/>
    <col min="9208" max="9208" width="17.28515625" style="3" hidden="1"/>
    <col min="9209" max="9209" width="16" style="3" hidden="1"/>
    <col min="9210" max="9210" width="17.5703125" style="3" hidden="1"/>
    <col min="9211" max="9403" width="9.140625" style="3" hidden="1"/>
    <col min="9404" max="9404" width="11.140625" style="3" hidden="1"/>
    <col min="9405" max="9405" width="53.28515625" style="3" hidden="1"/>
    <col min="9406" max="9462" width="9.140625" style="3" hidden="1"/>
    <col min="9463" max="9463" width="16" style="3" hidden="1"/>
    <col min="9464" max="9464" width="17.28515625" style="3" hidden="1"/>
    <col min="9465" max="9465" width="16" style="3" hidden="1"/>
    <col min="9466" max="9466" width="17.5703125" style="3" hidden="1"/>
    <col min="9467" max="9659" width="9.140625" style="3" hidden="1"/>
    <col min="9660" max="9660" width="11.140625" style="3" hidden="1"/>
    <col min="9661" max="9661" width="53.28515625" style="3" hidden="1"/>
    <col min="9662" max="9718" width="9.140625" style="3" hidden="1"/>
    <col min="9719" max="9719" width="16" style="3" hidden="1"/>
    <col min="9720" max="9720" width="17.28515625" style="3" hidden="1"/>
    <col min="9721" max="9721" width="16" style="3" hidden="1"/>
    <col min="9722" max="9722" width="17.5703125" style="3" hidden="1"/>
    <col min="9723" max="9915" width="9.140625" style="3" hidden="1"/>
    <col min="9916" max="9916" width="11.140625" style="3" hidden="1"/>
    <col min="9917" max="9917" width="53.28515625" style="3" hidden="1"/>
    <col min="9918" max="9974" width="9.140625" style="3" hidden="1"/>
    <col min="9975" max="9975" width="16" style="3" hidden="1"/>
    <col min="9976" max="9976" width="17.28515625" style="3" hidden="1"/>
    <col min="9977" max="9977" width="16" style="3" hidden="1"/>
    <col min="9978" max="9978" width="17.5703125" style="3" hidden="1"/>
    <col min="9979" max="10171" width="9.140625" style="3" hidden="1"/>
    <col min="10172" max="10172" width="11.140625" style="3" hidden="1"/>
    <col min="10173" max="10173" width="53.28515625" style="3" hidden="1"/>
    <col min="10174" max="10230" width="9.140625" style="3" hidden="1"/>
    <col min="10231" max="10231" width="16" style="3" hidden="1"/>
    <col min="10232" max="10232" width="17.28515625" style="3" hidden="1"/>
    <col min="10233" max="10233" width="16" style="3" hidden="1"/>
    <col min="10234" max="10234" width="17.5703125" style="3" hidden="1"/>
    <col min="10235" max="10427" width="9.140625" style="3" hidden="1"/>
    <col min="10428" max="10428" width="11.140625" style="3" hidden="1"/>
    <col min="10429" max="10429" width="53.28515625" style="3" hidden="1"/>
    <col min="10430" max="10486" width="9.140625" style="3" hidden="1"/>
    <col min="10487" max="10487" width="16" style="3" hidden="1"/>
    <col min="10488" max="10488" width="17.28515625" style="3" hidden="1"/>
    <col min="10489" max="10489" width="16" style="3" hidden="1"/>
    <col min="10490" max="10490" width="17.5703125" style="3" hidden="1"/>
    <col min="10491" max="10683" width="9.140625" style="3" hidden="1"/>
    <col min="10684" max="10684" width="11.140625" style="3" hidden="1"/>
    <col min="10685" max="10685" width="53.28515625" style="3" hidden="1"/>
    <col min="10686" max="10742" width="9.140625" style="3" hidden="1"/>
    <col min="10743" max="10743" width="16" style="3" hidden="1"/>
    <col min="10744" max="10744" width="17.28515625" style="3" hidden="1"/>
    <col min="10745" max="10745" width="16" style="3" hidden="1"/>
    <col min="10746" max="10746" width="17.5703125" style="3" hidden="1"/>
    <col min="10747" max="10939" width="9.140625" style="3" hidden="1"/>
    <col min="10940" max="10940" width="11.140625" style="3" hidden="1"/>
    <col min="10941" max="10941" width="53.28515625" style="3" hidden="1"/>
    <col min="10942" max="10998" width="9.140625" style="3" hidden="1"/>
    <col min="10999" max="10999" width="16" style="3" hidden="1"/>
    <col min="11000" max="11000" width="17.28515625" style="3" hidden="1"/>
    <col min="11001" max="11001" width="16" style="3" hidden="1"/>
    <col min="11002" max="11002" width="17.5703125" style="3" hidden="1"/>
    <col min="11003" max="11195" width="9.140625" style="3" hidden="1"/>
    <col min="11196" max="11196" width="11.140625" style="3" hidden="1"/>
    <col min="11197" max="11197" width="53.28515625" style="3" hidden="1"/>
    <col min="11198" max="11254" width="9.140625" style="3" hidden="1"/>
    <col min="11255" max="11255" width="16" style="3" hidden="1"/>
    <col min="11256" max="11256" width="17.28515625" style="3" hidden="1"/>
    <col min="11257" max="11257" width="16" style="3" hidden="1"/>
    <col min="11258" max="11258" width="17.5703125" style="3" hidden="1"/>
    <col min="11259" max="11451" width="9.140625" style="3" hidden="1"/>
    <col min="11452" max="11452" width="11.140625" style="3" hidden="1"/>
    <col min="11453" max="11453" width="53.28515625" style="3" hidden="1"/>
    <col min="11454" max="11510" width="9.140625" style="3" hidden="1"/>
    <col min="11511" max="11511" width="16" style="3" hidden="1"/>
    <col min="11512" max="11512" width="17.28515625" style="3" hidden="1"/>
    <col min="11513" max="11513" width="16" style="3" hidden="1"/>
    <col min="11514" max="11514" width="17.5703125" style="3" hidden="1"/>
    <col min="11515" max="11707" width="9.140625" style="3" hidden="1"/>
    <col min="11708" max="11708" width="11.140625" style="3" hidden="1"/>
    <col min="11709" max="11709" width="53.28515625" style="3" hidden="1"/>
    <col min="11710" max="11766" width="9.140625" style="3" hidden="1"/>
    <col min="11767" max="11767" width="16" style="3" hidden="1"/>
    <col min="11768" max="11768" width="17.28515625" style="3" hidden="1"/>
    <col min="11769" max="11769" width="16" style="3" hidden="1"/>
    <col min="11770" max="11770" width="17.5703125" style="3" hidden="1"/>
    <col min="11771" max="11963" width="9.140625" style="3" hidden="1"/>
    <col min="11964" max="11964" width="11.140625" style="3" hidden="1"/>
    <col min="11965" max="11965" width="53.28515625" style="3" hidden="1"/>
    <col min="11966" max="12022" width="9.140625" style="3" hidden="1"/>
    <col min="12023" max="12023" width="16" style="3" hidden="1"/>
    <col min="12024" max="12024" width="17.28515625" style="3" hidden="1"/>
    <col min="12025" max="12025" width="16" style="3" hidden="1"/>
    <col min="12026" max="12026" width="17.5703125" style="3" hidden="1"/>
    <col min="12027" max="12219" width="9.140625" style="3" hidden="1"/>
    <col min="12220" max="12220" width="11.140625" style="3" hidden="1"/>
    <col min="12221" max="12221" width="53.28515625" style="3" hidden="1"/>
    <col min="12222" max="12278" width="9.140625" style="3" hidden="1"/>
    <col min="12279" max="12279" width="16" style="3" hidden="1"/>
    <col min="12280" max="12280" width="17.28515625" style="3" hidden="1"/>
    <col min="12281" max="12281" width="16" style="3" hidden="1"/>
    <col min="12282" max="12282" width="17.5703125" style="3" hidden="1"/>
    <col min="12283" max="12475" width="9.140625" style="3" hidden="1"/>
    <col min="12476" max="12476" width="11.140625" style="3" hidden="1"/>
    <col min="12477" max="12477" width="53.28515625" style="3" hidden="1"/>
    <col min="12478" max="12534" width="9.140625" style="3" hidden="1"/>
    <col min="12535" max="12535" width="16" style="3" hidden="1"/>
    <col min="12536" max="12536" width="17.28515625" style="3" hidden="1"/>
    <col min="12537" max="12537" width="16" style="3" hidden="1"/>
    <col min="12538" max="12538" width="17.5703125" style="3" hidden="1"/>
    <col min="12539" max="12731" width="9.140625" style="3" hidden="1"/>
    <col min="12732" max="12732" width="11.140625" style="3" hidden="1"/>
    <col min="12733" max="12733" width="53.28515625" style="3" hidden="1"/>
    <col min="12734" max="12790" width="9.140625" style="3" hidden="1"/>
    <col min="12791" max="12791" width="16" style="3" hidden="1"/>
    <col min="12792" max="12792" width="17.28515625" style="3" hidden="1"/>
    <col min="12793" max="12793" width="16" style="3" hidden="1"/>
    <col min="12794" max="12794" width="17.5703125" style="3" hidden="1"/>
    <col min="12795" max="12987" width="9.140625" style="3" hidden="1"/>
    <col min="12988" max="12988" width="11.140625" style="3" hidden="1"/>
    <col min="12989" max="12989" width="53.28515625" style="3" hidden="1"/>
    <col min="12990" max="13046" width="9.140625" style="3" hidden="1"/>
    <col min="13047" max="13047" width="16" style="3" hidden="1"/>
    <col min="13048" max="13048" width="17.28515625" style="3" hidden="1"/>
    <col min="13049" max="13049" width="16" style="3" hidden="1"/>
    <col min="13050" max="13050" width="17.5703125" style="3" hidden="1"/>
    <col min="13051" max="13243" width="9.140625" style="3" hidden="1"/>
    <col min="13244" max="13244" width="11.140625" style="3" hidden="1"/>
    <col min="13245" max="13245" width="53.28515625" style="3" hidden="1"/>
    <col min="13246" max="13302" width="9.140625" style="3" hidden="1"/>
    <col min="13303" max="13303" width="16" style="3" hidden="1"/>
    <col min="13304" max="13304" width="17.28515625" style="3" hidden="1"/>
    <col min="13305" max="13305" width="16" style="3" hidden="1"/>
    <col min="13306" max="13306" width="17.5703125" style="3" hidden="1"/>
    <col min="13307" max="13499" width="9.140625" style="3" hidden="1"/>
    <col min="13500" max="13500" width="11.140625" style="3" hidden="1"/>
    <col min="13501" max="13501" width="53.28515625" style="3" hidden="1"/>
    <col min="13502" max="13558" width="9.140625" style="3" hidden="1"/>
    <col min="13559" max="13559" width="16" style="3" hidden="1"/>
    <col min="13560" max="13560" width="17.28515625" style="3" hidden="1"/>
    <col min="13561" max="13561" width="16" style="3" hidden="1"/>
    <col min="13562" max="13562" width="17.5703125" style="3" hidden="1"/>
    <col min="13563" max="13755" width="9.140625" style="3" hidden="1"/>
    <col min="13756" max="13756" width="11.140625" style="3" hidden="1"/>
    <col min="13757" max="13757" width="53.28515625" style="3" hidden="1"/>
    <col min="13758" max="13814" width="9.140625" style="3" hidden="1"/>
    <col min="13815" max="13815" width="16" style="3" hidden="1"/>
    <col min="13816" max="13816" width="17.28515625" style="3" hidden="1"/>
    <col min="13817" max="13817" width="16" style="3" hidden="1"/>
    <col min="13818" max="13818" width="17.5703125" style="3" hidden="1"/>
    <col min="13819" max="14011" width="9.140625" style="3" hidden="1"/>
    <col min="14012" max="14012" width="11.140625" style="3" hidden="1"/>
    <col min="14013" max="14013" width="53.28515625" style="3" hidden="1"/>
    <col min="14014" max="14070" width="9.140625" style="3" hidden="1"/>
    <col min="14071" max="14071" width="16" style="3" hidden="1"/>
    <col min="14072" max="14072" width="17.28515625" style="3" hidden="1"/>
    <col min="14073" max="14073" width="16" style="3" hidden="1"/>
    <col min="14074" max="14074" width="17.5703125" style="3" hidden="1"/>
    <col min="14075" max="14267" width="9.140625" style="3" hidden="1"/>
    <col min="14268" max="14268" width="11.140625" style="3" hidden="1"/>
    <col min="14269" max="14269" width="53.28515625" style="3" hidden="1"/>
    <col min="14270" max="14326" width="9.140625" style="3" hidden="1"/>
    <col min="14327" max="14327" width="16" style="3" hidden="1"/>
    <col min="14328" max="14328" width="17.28515625" style="3" hidden="1"/>
    <col min="14329" max="14329" width="16" style="3" hidden="1"/>
    <col min="14330" max="14330" width="17.5703125" style="3" hidden="1"/>
    <col min="14331" max="14523" width="9.140625" style="3" hidden="1"/>
    <col min="14524" max="14524" width="11.140625" style="3" hidden="1"/>
    <col min="14525" max="14525" width="53.28515625" style="3" hidden="1"/>
    <col min="14526" max="14582" width="9.140625" style="3" hidden="1"/>
    <col min="14583" max="14583" width="16" style="3" hidden="1"/>
    <col min="14584" max="14584" width="17.28515625" style="3" hidden="1"/>
    <col min="14585" max="14585" width="16" style="3" hidden="1"/>
    <col min="14586" max="14586" width="17.5703125" style="3" hidden="1"/>
    <col min="14587" max="14779" width="9.140625" style="3" hidden="1"/>
    <col min="14780" max="14780" width="11.140625" style="3" hidden="1"/>
    <col min="14781" max="14781" width="53.28515625" style="3" hidden="1"/>
    <col min="14782" max="14838" width="9.140625" style="3" hidden="1"/>
    <col min="14839" max="14839" width="16" style="3" hidden="1"/>
    <col min="14840" max="14840" width="17.28515625" style="3" hidden="1"/>
    <col min="14841" max="14841" width="16" style="3" hidden="1"/>
    <col min="14842" max="14842" width="17.5703125" style="3" hidden="1"/>
    <col min="14843" max="15035" width="9.140625" style="3" hidden="1"/>
    <col min="15036" max="15036" width="11.140625" style="3" hidden="1"/>
    <col min="15037" max="15037" width="53.28515625" style="3" hidden="1"/>
    <col min="15038" max="15094" width="9.140625" style="3" hidden="1"/>
    <col min="15095" max="15095" width="16" style="3" hidden="1"/>
    <col min="15096" max="15096" width="17.28515625" style="3" hidden="1"/>
    <col min="15097" max="15097" width="16" style="3" hidden="1"/>
    <col min="15098" max="15098" width="17.5703125" style="3" hidden="1"/>
    <col min="15099" max="15291" width="9.140625" style="3" hidden="1"/>
    <col min="15292" max="15292" width="11.140625" style="3" hidden="1"/>
    <col min="15293" max="15293" width="53.28515625" style="3" hidden="1"/>
    <col min="15294" max="15350" width="9.140625" style="3" hidden="1"/>
    <col min="15351" max="15351" width="16" style="3" hidden="1"/>
    <col min="15352" max="15352" width="17.28515625" style="3" hidden="1"/>
    <col min="15353" max="15353" width="16" style="3" hidden="1"/>
    <col min="15354" max="15354" width="17.5703125" style="3" hidden="1"/>
    <col min="15355" max="15547" width="9.140625" style="3" hidden="1"/>
    <col min="15548" max="15548" width="11.140625" style="3" hidden="1"/>
    <col min="15549" max="15549" width="53.28515625" style="3" hidden="1"/>
    <col min="15550" max="15606" width="9.140625" style="3" hidden="1"/>
    <col min="15607" max="15607" width="16" style="3" hidden="1"/>
    <col min="15608" max="15608" width="17.28515625" style="3" hidden="1"/>
    <col min="15609" max="15609" width="16" style="3" hidden="1"/>
    <col min="15610" max="15610" width="17.5703125" style="3" hidden="1"/>
    <col min="15611" max="15803" width="9.140625" style="3" hidden="1"/>
    <col min="15804" max="15804" width="11.140625" style="3" hidden="1"/>
    <col min="15805" max="15805" width="53.28515625" style="3" hidden="1"/>
    <col min="15806" max="15862" width="9.140625" style="3" hidden="1"/>
    <col min="15863" max="15863" width="16" style="3" hidden="1"/>
    <col min="15864" max="15864" width="17.28515625" style="3" hidden="1"/>
    <col min="15865" max="15865" width="16" style="3" hidden="1"/>
    <col min="15866" max="15866" width="17.5703125" style="3" hidden="1"/>
    <col min="15867" max="16059" width="9.140625" style="3" hidden="1"/>
    <col min="16060" max="16060" width="11.140625" style="3" hidden="1"/>
    <col min="16061" max="16061" width="53.28515625" style="3" hidden="1"/>
    <col min="16062" max="16118" width="9.140625" style="3" hidden="1"/>
    <col min="16119" max="16119" width="16" style="3" hidden="1"/>
    <col min="16120" max="16120" width="17.28515625" style="3" hidden="1"/>
    <col min="16121" max="16121" width="16" style="3" hidden="1"/>
    <col min="16122" max="16122" width="17.5703125" style="3" hidden="1"/>
    <col min="16123" max="16384" width="9.140625" style="3" hidden="1"/>
  </cols>
  <sheetData>
    <row r="1" spans="1:6">
      <c r="B1" s="2" t="s">
        <v>950</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Worksheet'!$D$46</f>
        <v>615101</v>
      </c>
      <c r="E3" s="11"/>
      <c r="F3" s="11"/>
    </row>
    <row r="4" spans="1:6">
      <c r="A4" s="8">
        <v>0</v>
      </c>
      <c r="B4" s="11" t="s">
        <v>4</v>
      </c>
      <c r="C4" s="10">
        <v>1.4270000000000001E-3</v>
      </c>
      <c r="D4" s="12">
        <f>ROUND(D$3*C4,0)</f>
        <v>878</v>
      </c>
      <c r="E4" s="13">
        <f>ROUND(D4/2,0)</f>
        <v>439</v>
      </c>
      <c r="F4" s="12">
        <f>D4-E4</f>
        <v>439</v>
      </c>
    </row>
    <row r="5" spans="1:6">
      <c r="A5" s="8">
        <v>1</v>
      </c>
      <c r="B5" s="11" t="s">
        <v>951</v>
      </c>
      <c r="C5" s="10">
        <v>0.13065199999999999</v>
      </c>
      <c r="D5" s="9">
        <f>ROUND(D$3*C5,0)</f>
        <v>80364</v>
      </c>
      <c r="E5" s="11">
        <f>ROUND(D5/2,0)</f>
        <v>40182</v>
      </c>
      <c r="F5" s="9">
        <f>D5-E5</f>
        <v>40182</v>
      </c>
    </row>
    <row r="6" spans="1:6">
      <c r="A6" s="8"/>
      <c r="B6" s="11" t="s">
        <v>6</v>
      </c>
      <c r="C6" s="11"/>
      <c r="D6" s="14">
        <v>0.12561900000000001</v>
      </c>
      <c r="E6" s="11"/>
      <c r="F6" s="11"/>
    </row>
    <row r="7" spans="1:6">
      <c r="A7" s="8"/>
      <c r="B7" s="11" t="s">
        <v>7</v>
      </c>
      <c r="C7" s="11"/>
      <c r="D7" s="225">
        <f>ROUND(D5*D6,0)</f>
        <v>10095</v>
      </c>
      <c r="E7" s="226">
        <f>ROUND(D7/2,0)</f>
        <v>5048</v>
      </c>
      <c r="F7" s="225">
        <f>D7-E7</f>
        <v>5047</v>
      </c>
    </row>
    <row r="8" spans="1:6">
      <c r="A8" s="8"/>
      <c r="B8" s="11" t="s">
        <v>8</v>
      </c>
      <c r="C8" s="11"/>
      <c r="D8" s="12">
        <f>+D5-D7</f>
        <v>70269</v>
      </c>
      <c r="E8" s="13">
        <f>ROUND(D8/2,0)</f>
        <v>35135</v>
      </c>
      <c r="F8" s="12">
        <f>D8-E8</f>
        <v>35134</v>
      </c>
    </row>
    <row r="9" spans="1:6">
      <c r="A9" s="8">
        <v>2</v>
      </c>
      <c r="B9" s="11" t="s">
        <v>81</v>
      </c>
      <c r="C9" s="11"/>
      <c r="D9" s="9"/>
      <c r="E9" s="11"/>
      <c r="F9" s="11"/>
    </row>
    <row r="10" spans="1:6">
      <c r="A10" s="8"/>
      <c r="B10" s="11" t="s">
        <v>10</v>
      </c>
      <c r="C10" s="10">
        <v>1.119E-3</v>
      </c>
      <c r="D10" s="12">
        <f>ROUND(D$3*C10,0)</f>
        <v>688</v>
      </c>
      <c r="E10" s="13">
        <f>ROUND(D10/2,0)</f>
        <v>344</v>
      </c>
      <c r="F10" s="12">
        <f>D10-E10</f>
        <v>344</v>
      </c>
    </row>
    <row r="11" spans="1:6">
      <c r="A11" s="8"/>
      <c r="B11" s="11" t="s">
        <v>11</v>
      </c>
      <c r="C11" s="10">
        <v>1.6000000000000001E-4</v>
      </c>
      <c r="D11" s="12">
        <f>ROUND(D$3*C11,0)</f>
        <v>98</v>
      </c>
      <c r="E11" s="13">
        <f>ROUND(D11/2,0)</f>
        <v>49</v>
      </c>
      <c r="F11" s="12">
        <f>D11-E11</f>
        <v>49</v>
      </c>
    </row>
    <row r="12" spans="1:6">
      <c r="A12" s="8">
        <v>2</v>
      </c>
      <c r="B12" s="11" t="s">
        <v>952</v>
      </c>
      <c r="C12" s="11"/>
      <c r="D12" s="9"/>
      <c r="E12" s="11"/>
      <c r="F12" s="11"/>
    </row>
    <row r="13" spans="1:6">
      <c r="A13" s="8"/>
      <c r="B13" s="11" t="s">
        <v>10</v>
      </c>
      <c r="C13" s="10">
        <v>5.7300000000000005E-4</v>
      </c>
      <c r="D13" s="12">
        <f>ROUND(D$3*C13,0)</f>
        <v>352</v>
      </c>
      <c r="E13" s="13">
        <f>ROUND(D13/2,0)</f>
        <v>176</v>
      </c>
      <c r="F13" s="12">
        <f>D13-E13</f>
        <v>176</v>
      </c>
    </row>
    <row r="14" spans="1:6">
      <c r="A14" s="8"/>
      <c r="B14" s="11" t="s">
        <v>11</v>
      </c>
      <c r="C14" s="10">
        <v>3.19E-4</v>
      </c>
      <c r="D14" s="12">
        <f>ROUND(D$3*C14,0)</f>
        <v>196</v>
      </c>
      <c r="E14" s="13">
        <f>ROUND(D14/2,0)</f>
        <v>98</v>
      </c>
      <c r="F14" s="12">
        <f>D14-E14</f>
        <v>98</v>
      </c>
    </row>
    <row r="15" spans="1:6">
      <c r="A15" s="8">
        <v>2</v>
      </c>
      <c r="B15" s="11" t="s">
        <v>372</v>
      </c>
      <c r="C15" s="11"/>
      <c r="D15" s="9"/>
      <c r="E15" s="11"/>
      <c r="F15" s="11"/>
    </row>
    <row r="16" spans="1:6">
      <c r="A16" s="8"/>
      <c r="B16" s="11" t="s">
        <v>10</v>
      </c>
      <c r="C16" s="10">
        <v>2.1499999999999999E-4</v>
      </c>
      <c r="D16" s="12">
        <f>ROUND(D$3*C16,0)</f>
        <v>132</v>
      </c>
      <c r="E16" s="13">
        <f>ROUND(D16/2,0)</f>
        <v>66</v>
      </c>
      <c r="F16" s="12">
        <f>D16-E16</f>
        <v>66</v>
      </c>
    </row>
    <row r="17" spans="1:6">
      <c r="A17" s="8"/>
      <c r="B17" s="11" t="s">
        <v>11</v>
      </c>
      <c r="C17" s="10">
        <v>3.8999999999999999E-5</v>
      </c>
      <c r="D17" s="12">
        <f>ROUND(D$3*C17,0)</f>
        <v>24</v>
      </c>
      <c r="E17" s="13">
        <f>ROUND(D17/2,0)</f>
        <v>12</v>
      </c>
      <c r="F17" s="12">
        <f>D17-E17</f>
        <v>12</v>
      </c>
    </row>
    <row r="18" spans="1:6">
      <c r="A18" s="8">
        <v>2</v>
      </c>
      <c r="B18" s="11" t="s">
        <v>86</v>
      </c>
      <c r="C18" s="11"/>
      <c r="D18" s="9"/>
      <c r="E18" s="11"/>
      <c r="F18" s="11"/>
    </row>
    <row r="19" spans="1:6">
      <c r="A19" s="8"/>
      <c r="B19" s="11" t="s">
        <v>10</v>
      </c>
      <c r="C19" s="10">
        <v>2.689E-3</v>
      </c>
      <c r="D19" s="12">
        <f>ROUND(D$3*C19,0)</f>
        <v>1654</v>
      </c>
      <c r="E19" s="13">
        <f>ROUND(D19/2,0)</f>
        <v>827</v>
      </c>
      <c r="F19" s="12">
        <f>D19-E19</f>
        <v>827</v>
      </c>
    </row>
    <row r="20" spans="1:6">
      <c r="A20" s="8"/>
      <c r="B20" s="11" t="s">
        <v>11</v>
      </c>
      <c r="C20" s="10">
        <v>4.2999999999999999E-4</v>
      </c>
      <c r="D20" s="12">
        <f>ROUND(D$3*C20,0)</f>
        <v>264</v>
      </c>
      <c r="E20" s="13">
        <f>ROUND(D20/2,0)</f>
        <v>132</v>
      </c>
      <c r="F20" s="12">
        <f>D20-E20</f>
        <v>132</v>
      </c>
    </row>
    <row r="21" spans="1:6">
      <c r="A21" s="8">
        <v>2</v>
      </c>
      <c r="B21" s="11" t="s">
        <v>49</v>
      </c>
      <c r="C21" s="11"/>
      <c r="D21" s="9"/>
      <c r="E21" s="11"/>
      <c r="F21" s="11"/>
    </row>
    <row r="22" spans="1:6">
      <c r="A22" s="8"/>
      <c r="B22" s="11" t="s">
        <v>10</v>
      </c>
      <c r="C22" s="10">
        <v>5.2700000000000002E-4</v>
      </c>
      <c r="D22" s="12">
        <f>ROUND(D$3*C22,0)</f>
        <v>324</v>
      </c>
      <c r="E22" s="13">
        <f>ROUND(D22/2,0)</f>
        <v>162</v>
      </c>
      <c r="F22" s="12">
        <f>D22-E22</f>
        <v>162</v>
      </c>
    </row>
    <row r="23" spans="1:6">
      <c r="A23" s="8"/>
      <c r="B23" s="11" t="s">
        <v>11</v>
      </c>
      <c r="C23" s="10">
        <v>3.2699999999999998E-4</v>
      </c>
      <c r="D23" s="12">
        <f>ROUND(D$3*C23,0)</f>
        <v>201</v>
      </c>
      <c r="E23" s="13">
        <f>ROUND(D23/2,0)</f>
        <v>101</v>
      </c>
      <c r="F23" s="12">
        <f>D23-E23</f>
        <v>100</v>
      </c>
    </row>
    <row r="24" spans="1:6">
      <c r="A24" s="8">
        <v>2</v>
      </c>
      <c r="B24" s="11" t="s">
        <v>14</v>
      </c>
      <c r="C24" s="11"/>
      <c r="D24" s="9"/>
      <c r="E24" s="11"/>
      <c r="F24" s="11"/>
    </row>
    <row r="25" spans="1:6">
      <c r="A25" s="8"/>
      <c r="B25" s="11" t="s">
        <v>10</v>
      </c>
      <c r="C25" s="10">
        <v>2.42E-4</v>
      </c>
      <c r="D25" s="12">
        <f>ROUND(D$3*C25,0)</f>
        <v>149</v>
      </c>
      <c r="E25" s="13">
        <f>ROUND(D25/2,0)</f>
        <v>75</v>
      </c>
      <c r="F25" s="12">
        <f>D25-E25</f>
        <v>74</v>
      </c>
    </row>
    <row r="26" spans="1:6">
      <c r="A26" s="8"/>
      <c r="B26" s="11" t="s">
        <v>11</v>
      </c>
      <c r="C26" s="10">
        <v>3.6999999999999998E-5</v>
      </c>
      <c r="D26" s="12">
        <f>ROUND(D$3*C26,0)</f>
        <v>23</v>
      </c>
      <c r="E26" s="13">
        <f>ROUND(D26/2,0)</f>
        <v>12</v>
      </c>
      <c r="F26" s="12">
        <f>D26-E26</f>
        <v>11</v>
      </c>
    </row>
    <row r="27" spans="1:6">
      <c r="A27" s="8">
        <v>2</v>
      </c>
      <c r="B27" s="11" t="s">
        <v>51</v>
      </c>
      <c r="C27" s="11"/>
      <c r="D27" s="9"/>
      <c r="E27" s="11"/>
      <c r="F27" s="11"/>
    </row>
    <row r="28" spans="1:6">
      <c r="A28" s="8"/>
      <c r="B28" s="11" t="s">
        <v>10</v>
      </c>
      <c r="C28" s="10">
        <v>2.1080000000000001E-3</v>
      </c>
      <c r="D28" s="12">
        <f>ROUND(D$3*C28,0)</f>
        <v>1297</v>
      </c>
      <c r="E28" s="13">
        <f>ROUND(D28/2,0)</f>
        <v>649</v>
      </c>
      <c r="F28" s="12">
        <f>D28-E28</f>
        <v>648</v>
      </c>
    </row>
    <row r="29" spans="1:6">
      <c r="A29" s="8"/>
      <c r="B29" s="11" t="s">
        <v>11</v>
      </c>
      <c r="C29" s="10">
        <v>3.9100000000000002E-4</v>
      </c>
      <c r="D29" s="12">
        <f>ROUND(D$3*C29,0)</f>
        <v>241</v>
      </c>
      <c r="E29" s="13">
        <f>ROUND(D29/2,0)</f>
        <v>121</v>
      </c>
      <c r="F29" s="12">
        <f>D29-E29</f>
        <v>120</v>
      </c>
    </row>
    <row r="30" spans="1:6">
      <c r="A30" s="8">
        <v>2</v>
      </c>
      <c r="B30" s="11" t="s">
        <v>16</v>
      </c>
      <c r="C30" s="11"/>
      <c r="D30" s="9"/>
      <c r="E30" s="11"/>
      <c r="F30" s="11"/>
    </row>
    <row r="31" spans="1:6">
      <c r="A31" s="8"/>
      <c r="B31" s="11" t="s">
        <v>10</v>
      </c>
      <c r="C31" s="10">
        <v>1.1E-4</v>
      </c>
      <c r="D31" s="12">
        <f>ROUND(D$3*C31,0)</f>
        <v>68</v>
      </c>
      <c r="E31" s="13">
        <f>ROUND(D31/2,0)</f>
        <v>34</v>
      </c>
      <c r="F31" s="12">
        <f>D31-E31</f>
        <v>34</v>
      </c>
    </row>
    <row r="32" spans="1:6">
      <c r="A32" s="8"/>
      <c r="B32" s="11" t="s">
        <v>11</v>
      </c>
      <c r="C32" s="10">
        <v>6.7000000000000002E-5</v>
      </c>
      <c r="D32" s="12">
        <f>ROUND(D$3*C32,0)</f>
        <v>41</v>
      </c>
      <c r="E32" s="13">
        <f>ROUND(D32/2,0)</f>
        <v>21</v>
      </c>
      <c r="F32" s="12">
        <f>D32-E32</f>
        <v>20</v>
      </c>
    </row>
    <row r="33" spans="1:6">
      <c r="A33" s="8">
        <v>2</v>
      </c>
      <c r="B33" s="11" t="s">
        <v>953</v>
      </c>
      <c r="C33" s="11"/>
      <c r="D33" s="9"/>
      <c r="E33" s="11"/>
      <c r="F33" s="11"/>
    </row>
    <row r="34" spans="1:6">
      <c r="A34" s="8"/>
      <c r="B34" s="11" t="s">
        <v>10</v>
      </c>
      <c r="C34" s="10">
        <v>6.8849999999999996E-3</v>
      </c>
      <c r="D34" s="12">
        <f>ROUND(D$3*C34,0)</f>
        <v>4235</v>
      </c>
      <c r="E34" s="13">
        <f>ROUND(D34/2,0)</f>
        <v>2118</v>
      </c>
      <c r="F34" s="12">
        <f>D34-E34</f>
        <v>2117</v>
      </c>
    </row>
    <row r="35" spans="1:6">
      <c r="A35" s="8"/>
      <c r="B35" s="11" t="s">
        <v>11</v>
      </c>
      <c r="C35" s="10">
        <v>1.168E-3</v>
      </c>
      <c r="D35" s="12">
        <f>ROUND(D$3*C35,0)</f>
        <v>718</v>
      </c>
      <c r="E35" s="13">
        <f>ROUND(D35/2,0)</f>
        <v>359</v>
      </c>
      <c r="F35" s="12">
        <f>D35-E35</f>
        <v>359</v>
      </c>
    </row>
    <row r="36" spans="1:6">
      <c r="A36" s="8">
        <v>2</v>
      </c>
      <c r="B36" s="11" t="s">
        <v>744</v>
      </c>
      <c r="C36" s="11"/>
      <c r="D36" s="9"/>
      <c r="E36" s="11"/>
      <c r="F36" s="11"/>
    </row>
    <row r="37" spans="1:6">
      <c r="A37" s="8"/>
      <c r="B37" s="11" t="s">
        <v>10</v>
      </c>
      <c r="C37" s="10">
        <v>8.0900000000000004E-4</v>
      </c>
      <c r="D37" s="12">
        <f>ROUND(D$3*C37,0)</f>
        <v>498</v>
      </c>
      <c r="E37" s="13">
        <f>ROUND(D37/2,0)</f>
        <v>249</v>
      </c>
      <c r="F37" s="12">
        <f>D37-E37</f>
        <v>249</v>
      </c>
    </row>
    <row r="38" spans="1:6">
      <c r="A38" s="8"/>
      <c r="B38" s="11" t="s">
        <v>11</v>
      </c>
      <c r="C38" s="10">
        <v>3.39E-4</v>
      </c>
      <c r="D38" s="12">
        <f>ROUND(D$3*C38,0)</f>
        <v>209</v>
      </c>
      <c r="E38" s="13">
        <f>ROUND(D38/2,0)</f>
        <v>105</v>
      </c>
      <c r="F38" s="12">
        <f>D38-E38</f>
        <v>104</v>
      </c>
    </row>
    <row r="39" spans="1:6">
      <c r="A39" s="8">
        <v>2</v>
      </c>
      <c r="B39" s="11" t="s">
        <v>954</v>
      </c>
      <c r="C39" s="11"/>
      <c r="D39" s="9"/>
      <c r="E39" s="11"/>
      <c r="F39" s="11"/>
    </row>
    <row r="40" spans="1:6">
      <c r="A40" s="8"/>
      <c r="B40" s="11" t="s">
        <v>10</v>
      </c>
      <c r="C40" s="10">
        <v>1.5699999999999999E-4</v>
      </c>
      <c r="D40" s="12">
        <f>ROUND(D$3*C40,0)</f>
        <v>97</v>
      </c>
      <c r="E40" s="13">
        <f>ROUND(D40/2,0)</f>
        <v>49</v>
      </c>
      <c r="F40" s="12">
        <f>D40-E40</f>
        <v>48</v>
      </c>
    </row>
    <row r="41" spans="1:6">
      <c r="A41" s="8"/>
      <c r="B41" s="11" t="s">
        <v>11</v>
      </c>
      <c r="C41" s="10">
        <v>1.16E-4</v>
      </c>
      <c r="D41" s="12">
        <f>ROUND(D$3*C41,0)</f>
        <v>71</v>
      </c>
      <c r="E41" s="13">
        <f>ROUND(D41/2,0)</f>
        <v>36</v>
      </c>
      <c r="F41" s="12">
        <f>D41-E41</f>
        <v>35</v>
      </c>
    </row>
    <row r="42" spans="1:6">
      <c r="A42" s="8">
        <v>2</v>
      </c>
      <c r="B42" s="11" t="s">
        <v>955</v>
      </c>
      <c r="C42" s="11"/>
      <c r="D42" s="9"/>
      <c r="E42" s="11"/>
      <c r="F42" s="11"/>
    </row>
    <row r="43" spans="1:6">
      <c r="A43" s="8"/>
      <c r="B43" s="11" t="s">
        <v>10</v>
      </c>
      <c r="C43" s="10">
        <v>1.9589999999999998E-3</v>
      </c>
      <c r="D43" s="12">
        <f>ROUND(D$3*C43,0)</f>
        <v>1205</v>
      </c>
      <c r="E43" s="13">
        <f>ROUND(D43/2,0)</f>
        <v>603</v>
      </c>
      <c r="F43" s="12">
        <f>D43-E43</f>
        <v>602</v>
      </c>
    </row>
    <row r="44" spans="1:6">
      <c r="A44" s="8"/>
      <c r="B44" s="11" t="s">
        <v>11</v>
      </c>
      <c r="C44" s="10">
        <v>2.3809999999999999E-3</v>
      </c>
      <c r="D44" s="12">
        <f>ROUND(D$3*C44,0)</f>
        <v>1465</v>
      </c>
      <c r="E44" s="13">
        <f>ROUND(D44/2,0)</f>
        <v>733</v>
      </c>
      <c r="F44" s="12">
        <f>D44-E44</f>
        <v>732</v>
      </c>
    </row>
    <row r="45" spans="1:6">
      <c r="A45" s="8">
        <v>2</v>
      </c>
      <c r="B45" s="11" t="s">
        <v>183</v>
      </c>
      <c r="C45" s="11"/>
      <c r="D45" s="9"/>
      <c r="E45" s="11"/>
      <c r="F45" s="11"/>
    </row>
    <row r="46" spans="1:6">
      <c r="A46" s="8"/>
      <c r="B46" s="11" t="s">
        <v>10</v>
      </c>
      <c r="C46" s="10">
        <v>1.668E-3</v>
      </c>
      <c r="D46" s="12">
        <f>ROUND(D$3*C46,0)</f>
        <v>1026</v>
      </c>
      <c r="E46" s="13">
        <f>ROUND(D46/2,0)</f>
        <v>513</v>
      </c>
      <c r="F46" s="12">
        <f>D46-E46</f>
        <v>513</v>
      </c>
    </row>
    <row r="47" spans="1:6">
      <c r="A47" s="8"/>
      <c r="B47" s="11" t="s">
        <v>11</v>
      </c>
      <c r="C47" s="10">
        <v>1.1249999999999999E-3</v>
      </c>
      <c r="D47" s="12">
        <f>ROUND(D$3*C47,0)</f>
        <v>692</v>
      </c>
      <c r="E47" s="13">
        <f>ROUND(D47/2,0)</f>
        <v>346</v>
      </c>
      <c r="F47" s="12">
        <f>D47-E47</f>
        <v>346</v>
      </c>
    </row>
    <row r="48" spans="1:6">
      <c r="A48" s="8">
        <v>2</v>
      </c>
      <c r="B48" s="11" t="s">
        <v>956</v>
      </c>
      <c r="C48" s="11"/>
      <c r="D48" s="9"/>
      <c r="E48" s="11"/>
      <c r="F48" s="11"/>
    </row>
    <row r="49" spans="1:6">
      <c r="A49" s="8"/>
      <c r="B49" s="11" t="s">
        <v>10</v>
      </c>
      <c r="C49" s="10">
        <v>8.5800000000000004E-4</v>
      </c>
      <c r="D49" s="12">
        <f>ROUND(D$3*C49,0)</f>
        <v>528</v>
      </c>
      <c r="E49" s="13">
        <f>ROUND(D49/2,0)</f>
        <v>264</v>
      </c>
      <c r="F49" s="12">
        <f>D49-E49</f>
        <v>264</v>
      </c>
    </row>
    <row r="50" spans="1:6">
      <c r="A50" s="8"/>
      <c r="B50" s="11" t="s">
        <v>11</v>
      </c>
      <c r="C50" s="10">
        <v>8.0900000000000004E-4</v>
      </c>
      <c r="D50" s="12">
        <f>ROUND(D$3*C50,0)</f>
        <v>498</v>
      </c>
      <c r="E50" s="13">
        <f>ROUND(D50/2,0)</f>
        <v>249</v>
      </c>
      <c r="F50" s="12">
        <f>D50-E50</f>
        <v>249</v>
      </c>
    </row>
    <row r="51" spans="1:6">
      <c r="A51" s="8">
        <v>2</v>
      </c>
      <c r="B51" s="11" t="s">
        <v>169</v>
      </c>
      <c r="C51" s="11"/>
      <c r="D51" s="9"/>
      <c r="E51" s="11"/>
      <c r="F51" s="11"/>
    </row>
    <row r="52" spans="1:6">
      <c r="A52" s="8"/>
      <c r="B52" s="11" t="s">
        <v>10</v>
      </c>
      <c r="C52" s="10">
        <v>1.1440000000000001E-3</v>
      </c>
      <c r="D52" s="12">
        <f>ROUND(D$3*C52,0)</f>
        <v>704</v>
      </c>
      <c r="E52" s="13">
        <f>ROUND(D52/2,0)</f>
        <v>352</v>
      </c>
      <c r="F52" s="12">
        <f>D52-E52</f>
        <v>352</v>
      </c>
    </row>
    <row r="53" spans="1:6">
      <c r="A53" s="8"/>
      <c r="B53" s="11" t="s">
        <v>11</v>
      </c>
      <c r="C53" s="10">
        <v>2.0000000000000001E-4</v>
      </c>
      <c r="D53" s="12">
        <f>ROUND(D$3*C53,0)</f>
        <v>123</v>
      </c>
      <c r="E53" s="13">
        <f>ROUND(D53/2,0)</f>
        <v>62</v>
      </c>
      <c r="F53" s="12">
        <f>D53-E53</f>
        <v>61</v>
      </c>
    </row>
    <row r="54" spans="1:6">
      <c r="A54" s="8">
        <v>2</v>
      </c>
      <c r="B54" s="11" t="s">
        <v>22</v>
      </c>
      <c r="C54" s="11"/>
      <c r="D54" s="9"/>
      <c r="E54" s="11"/>
      <c r="F54" s="11"/>
    </row>
    <row r="55" spans="1:6">
      <c r="A55" s="8"/>
      <c r="B55" s="11" t="s">
        <v>10</v>
      </c>
      <c r="C55" s="10">
        <v>1.196E-3</v>
      </c>
      <c r="D55" s="12">
        <f>ROUND(D$3*C55,0)</f>
        <v>736</v>
      </c>
      <c r="E55" s="13">
        <f>ROUND(D55/2,0)</f>
        <v>368</v>
      </c>
      <c r="F55" s="12">
        <f>D55-E55</f>
        <v>368</v>
      </c>
    </row>
    <row r="56" spans="1:6">
      <c r="A56" s="8"/>
      <c r="B56" s="11" t="s">
        <v>11</v>
      </c>
      <c r="C56" s="10">
        <v>6.02E-4</v>
      </c>
      <c r="D56" s="12">
        <f>ROUND(D$3*C56,0)</f>
        <v>370</v>
      </c>
      <c r="E56" s="13">
        <f>ROUND(D56/2,0)</f>
        <v>185</v>
      </c>
      <c r="F56" s="12">
        <f>D56-E56</f>
        <v>185</v>
      </c>
    </row>
    <row r="57" spans="1:6">
      <c r="A57" s="8">
        <v>2</v>
      </c>
      <c r="B57" s="11" t="s">
        <v>61</v>
      </c>
      <c r="C57" s="11"/>
      <c r="D57" s="9"/>
      <c r="E57" s="11"/>
      <c r="F57" s="11"/>
    </row>
    <row r="58" spans="1:6">
      <c r="A58" s="8"/>
      <c r="B58" s="11" t="s">
        <v>10</v>
      </c>
      <c r="C58" s="10">
        <v>4.836E-3</v>
      </c>
      <c r="D58" s="12">
        <f t="shared" ref="D58:D74" si="0">ROUND(D$3*C58,0)</f>
        <v>2975</v>
      </c>
      <c r="E58" s="13">
        <f t="shared" ref="E58:E74" si="1">ROUND(D58/2,0)</f>
        <v>1488</v>
      </c>
      <c r="F58" s="12">
        <f t="shared" ref="F58:F74" si="2">D58-E58</f>
        <v>1487</v>
      </c>
    </row>
    <row r="59" spans="1:6">
      <c r="A59" s="8"/>
      <c r="B59" s="11" t="s">
        <v>11</v>
      </c>
      <c r="C59" s="10">
        <v>7.4200000000000004E-4</v>
      </c>
      <c r="D59" s="12">
        <f t="shared" si="0"/>
        <v>456</v>
      </c>
      <c r="E59" s="13">
        <f t="shared" si="1"/>
        <v>228</v>
      </c>
      <c r="F59" s="12">
        <f t="shared" si="2"/>
        <v>228</v>
      </c>
    </row>
    <row r="60" spans="1:6">
      <c r="A60" s="8">
        <v>3</v>
      </c>
      <c r="B60" s="11" t="s">
        <v>957</v>
      </c>
      <c r="C60" s="10">
        <v>2.61E-4</v>
      </c>
      <c r="D60" s="12">
        <f t="shared" si="0"/>
        <v>161</v>
      </c>
      <c r="E60" s="13">
        <f t="shared" si="1"/>
        <v>81</v>
      </c>
      <c r="F60" s="12">
        <f t="shared" si="2"/>
        <v>80</v>
      </c>
    </row>
    <row r="61" spans="1:6">
      <c r="A61" s="8">
        <v>3</v>
      </c>
      <c r="B61" s="11" t="s">
        <v>958</v>
      </c>
      <c r="C61" s="10">
        <v>1.85E-4</v>
      </c>
      <c r="D61" s="12">
        <f t="shared" si="0"/>
        <v>114</v>
      </c>
      <c r="E61" s="13">
        <f t="shared" si="1"/>
        <v>57</v>
      </c>
      <c r="F61" s="12">
        <f t="shared" si="2"/>
        <v>57</v>
      </c>
    </row>
    <row r="62" spans="1:6">
      <c r="A62" s="8">
        <v>3</v>
      </c>
      <c r="B62" s="11" t="s">
        <v>959</v>
      </c>
      <c r="C62" s="10">
        <v>0</v>
      </c>
      <c r="D62" s="12">
        <f t="shared" si="0"/>
        <v>0</v>
      </c>
      <c r="E62" s="13">
        <f t="shared" si="1"/>
        <v>0</v>
      </c>
      <c r="F62" s="12">
        <f t="shared" si="2"/>
        <v>0</v>
      </c>
    </row>
    <row r="63" spans="1:6">
      <c r="A63" s="8">
        <v>3</v>
      </c>
      <c r="B63" s="11" t="s">
        <v>960</v>
      </c>
      <c r="C63" s="10">
        <v>9.5600000000000004E-4</v>
      </c>
      <c r="D63" s="12">
        <f t="shared" si="0"/>
        <v>588</v>
      </c>
      <c r="E63" s="13">
        <f t="shared" si="1"/>
        <v>294</v>
      </c>
      <c r="F63" s="12">
        <f t="shared" si="2"/>
        <v>294</v>
      </c>
    </row>
    <row r="64" spans="1:6">
      <c r="A64" s="8">
        <v>3</v>
      </c>
      <c r="B64" s="11" t="s">
        <v>961</v>
      </c>
      <c r="C64" s="10">
        <v>2.5739999999999999E-3</v>
      </c>
      <c r="D64" s="12">
        <f t="shared" si="0"/>
        <v>1583</v>
      </c>
      <c r="E64" s="13">
        <f t="shared" si="1"/>
        <v>792</v>
      </c>
      <c r="F64" s="12">
        <f t="shared" si="2"/>
        <v>791</v>
      </c>
    </row>
    <row r="65" spans="1:6">
      <c r="A65" s="8">
        <v>3</v>
      </c>
      <c r="B65" s="11" t="s">
        <v>357</v>
      </c>
      <c r="C65" s="10">
        <v>4.3779999999999999E-3</v>
      </c>
      <c r="D65" s="12">
        <f t="shared" si="0"/>
        <v>2693</v>
      </c>
      <c r="E65" s="13">
        <f t="shared" si="1"/>
        <v>1347</v>
      </c>
      <c r="F65" s="12">
        <f t="shared" si="2"/>
        <v>1346</v>
      </c>
    </row>
    <row r="66" spans="1:6">
      <c r="A66" s="8">
        <v>3</v>
      </c>
      <c r="B66" s="11" t="s">
        <v>462</v>
      </c>
      <c r="C66" s="10">
        <v>0</v>
      </c>
      <c r="D66" s="12">
        <f t="shared" si="0"/>
        <v>0</v>
      </c>
      <c r="E66" s="13">
        <f t="shared" si="1"/>
        <v>0</v>
      </c>
      <c r="F66" s="12">
        <f t="shared" si="2"/>
        <v>0</v>
      </c>
    </row>
    <row r="67" spans="1:6">
      <c r="A67" s="8">
        <v>3</v>
      </c>
      <c r="B67" s="11" t="s">
        <v>962</v>
      </c>
      <c r="C67" s="10">
        <v>2.7079999999999999E-3</v>
      </c>
      <c r="D67" s="12">
        <f t="shared" si="0"/>
        <v>1666</v>
      </c>
      <c r="E67" s="13">
        <f t="shared" si="1"/>
        <v>833</v>
      </c>
      <c r="F67" s="12">
        <f t="shared" si="2"/>
        <v>833</v>
      </c>
    </row>
    <row r="68" spans="1:6">
      <c r="A68" s="8">
        <v>3</v>
      </c>
      <c r="B68" s="11" t="s">
        <v>963</v>
      </c>
      <c r="C68" s="10">
        <v>2.7339999999999999E-3</v>
      </c>
      <c r="D68" s="12">
        <f t="shared" si="0"/>
        <v>1682</v>
      </c>
      <c r="E68" s="13">
        <f t="shared" si="1"/>
        <v>841</v>
      </c>
      <c r="F68" s="12">
        <f t="shared" si="2"/>
        <v>841</v>
      </c>
    </row>
    <row r="69" spans="1:6">
      <c r="A69" s="8">
        <v>3</v>
      </c>
      <c r="B69" s="11" t="s">
        <v>964</v>
      </c>
      <c r="C69" s="10">
        <v>0</v>
      </c>
      <c r="D69" s="12">
        <f t="shared" si="0"/>
        <v>0</v>
      </c>
      <c r="E69" s="13">
        <f t="shared" si="1"/>
        <v>0</v>
      </c>
      <c r="F69" s="12">
        <f t="shared" si="2"/>
        <v>0</v>
      </c>
    </row>
    <row r="70" spans="1:6">
      <c r="A70" s="8">
        <v>3</v>
      </c>
      <c r="B70" s="11" t="s">
        <v>965</v>
      </c>
      <c r="C70" s="10">
        <v>2.6999999999999999E-5</v>
      </c>
      <c r="D70" s="12">
        <f t="shared" si="0"/>
        <v>17</v>
      </c>
      <c r="E70" s="13">
        <f t="shared" si="1"/>
        <v>9</v>
      </c>
      <c r="F70" s="12">
        <f t="shared" si="2"/>
        <v>8</v>
      </c>
    </row>
    <row r="71" spans="1:6">
      <c r="A71" s="8" t="s">
        <v>590</v>
      </c>
      <c r="B71" s="11" t="s">
        <v>966</v>
      </c>
      <c r="C71" s="10">
        <v>3.7309999999999999E-3</v>
      </c>
      <c r="D71" s="12">
        <f t="shared" si="0"/>
        <v>2295</v>
      </c>
      <c r="E71" s="13">
        <f t="shared" si="1"/>
        <v>1148</v>
      </c>
      <c r="F71" s="12">
        <f t="shared" si="2"/>
        <v>1147</v>
      </c>
    </row>
    <row r="72" spans="1:6">
      <c r="A72" s="8">
        <v>3</v>
      </c>
      <c r="B72" s="11" t="s">
        <v>967</v>
      </c>
      <c r="C72" s="10">
        <v>4.6195E-2</v>
      </c>
      <c r="D72" s="12">
        <f t="shared" si="0"/>
        <v>28415</v>
      </c>
      <c r="E72" s="13">
        <f t="shared" si="1"/>
        <v>14208</v>
      </c>
      <c r="F72" s="12">
        <f t="shared" si="2"/>
        <v>14207</v>
      </c>
    </row>
    <row r="73" spans="1:6">
      <c r="A73" s="8">
        <v>3</v>
      </c>
      <c r="B73" s="11" t="s">
        <v>968</v>
      </c>
      <c r="C73" s="10">
        <v>1.941E-3</v>
      </c>
      <c r="D73" s="12">
        <f t="shared" si="0"/>
        <v>1194</v>
      </c>
      <c r="E73" s="13">
        <f t="shared" si="1"/>
        <v>597</v>
      </c>
      <c r="F73" s="12">
        <f t="shared" si="2"/>
        <v>597</v>
      </c>
    </row>
    <row r="74" spans="1:6">
      <c r="A74" s="8">
        <v>4</v>
      </c>
      <c r="B74" s="11" t="s">
        <v>559</v>
      </c>
      <c r="C74" s="10">
        <v>0.18701799999999999</v>
      </c>
      <c r="D74" s="9">
        <f t="shared" si="0"/>
        <v>115035</v>
      </c>
      <c r="E74" s="11">
        <f t="shared" si="1"/>
        <v>57518</v>
      </c>
      <c r="F74" s="9">
        <f t="shared" si="2"/>
        <v>57517</v>
      </c>
    </row>
    <row r="75" spans="1:6">
      <c r="A75" s="8"/>
      <c r="B75" s="11" t="s">
        <v>28</v>
      </c>
      <c r="C75" s="11"/>
      <c r="D75" s="14">
        <v>0.37656099999999998</v>
      </c>
      <c r="E75" s="11"/>
      <c r="F75" s="11"/>
    </row>
    <row r="76" spans="1:6">
      <c r="A76" s="8"/>
      <c r="B76" s="11" t="s">
        <v>29</v>
      </c>
      <c r="C76" s="11"/>
      <c r="D76" s="225">
        <f>ROUND(D74*D75,0)</f>
        <v>43318</v>
      </c>
      <c r="E76" s="226">
        <f>ROUND(D76/2,0)</f>
        <v>21659</v>
      </c>
      <c r="F76" s="225">
        <f>D76-E76</f>
        <v>21659</v>
      </c>
    </row>
    <row r="77" spans="1:6">
      <c r="A77" s="8"/>
      <c r="B77" s="11" t="s">
        <v>30</v>
      </c>
      <c r="C77" s="11"/>
      <c r="D77" s="12">
        <f>+D74-D76</f>
        <v>71717</v>
      </c>
      <c r="E77" s="13">
        <f>ROUND(D77/2,0)</f>
        <v>35859</v>
      </c>
      <c r="F77" s="12">
        <f>D77-E77</f>
        <v>35858</v>
      </c>
    </row>
    <row r="78" spans="1:6">
      <c r="A78" s="8">
        <v>4</v>
      </c>
      <c r="B78" s="11" t="s">
        <v>969</v>
      </c>
      <c r="C78" s="10">
        <v>1.1773E-2</v>
      </c>
      <c r="D78" s="9">
        <f>ROUND(D$3*C78,0)</f>
        <v>7242</v>
      </c>
      <c r="E78" s="11">
        <f>ROUND(D78/2,0)</f>
        <v>3621</v>
      </c>
      <c r="F78" s="9">
        <f>D78-E78</f>
        <v>3621</v>
      </c>
    </row>
    <row r="79" spans="1:6">
      <c r="A79" s="8"/>
      <c r="B79" s="11" t="s">
        <v>28</v>
      </c>
      <c r="C79" s="11"/>
      <c r="D79" s="14">
        <v>0.50334699999999999</v>
      </c>
      <c r="E79" s="11"/>
      <c r="F79" s="11"/>
    </row>
    <row r="80" spans="1:6">
      <c r="A80" s="8"/>
      <c r="B80" s="11" t="s">
        <v>29</v>
      </c>
      <c r="C80" s="11"/>
      <c r="D80" s="225">
        <f>ROUND(D78*D79,0)</f>
        <v>3645</v>
      </c>
      <c r="E80" s="226">
        <f>ROUND(D80/2,0)</f>
        <v>1823</v>
      </c>
      <c r="F80" s="225">
        <f>D80-E80</f>
        <v>1822</v>
      </c>
    </row>
    <row r="81" spans="1:6">
      <c r="A81" s="8"/>
      <c r="B81" s="11" t="s">
        <v>30</v>
      </c>
      <c r="C81" s="11"/>
      <c r="D81" s="12">
        <f>+D78-D80</f>
        <v>3597</v>
      </c>
      <c r="E81" s="13">
        <f>ROUND(D81/2,0)</f>
        <v>1799</v>
      </c>
      <c r="F81" s="12">
        <f>D81-E81</f>
        <v>1798</v>
      </c>
    </row>
    <row r="82" spans="1:6">
      <c r="A82" s="8">
        <v>4</v>
      </c>
      <c r="B82" s="11" t="s">
        <v>470</v>
      </c>
      <c r="C82" s="10">
        <v>2.0636999999999999E-2</v>
      </c>
      <c r="D82" s="9">
        <f>ROUND(D$3*C82,0)</f>
        <v>12694</v>
      </c>
      <c r="E82" s="11">
        <f>ROUND(D82/2,0)</f>
        <v>6347</v>
      </c>
      <c r="F82" s="9">
        <f>D82-E82</f>
        <v>6347</v>
      </c>
    </row>
    <row r="83" spans="1:6">
      <c r="A83" s="8"/>
      <c r="B83" s="11" t="s">
        <v>28</v>
      </c>
      <c r="C83" s="11"/>
      <c r="D83" s="14">
        <v>0.384515</v>
      </c>
      <c r="E83" s="11"/>
      <c r="F83" s="11"/>
    </row>
    <row r="84" spans="1:6">
      <c r="A84" s="8"/>
      <c r="B84" s="11" t="s">
        <v>29</v>
      </c>
      <c r="C84" s="11"/>
      <c r="D84" s="225">
        <f>ROUND(D82*D83,0)</f>
        <v>4881</v>
      </c>
      <c r="E84" s="226">
        <f>ROUND(D84/2,0)</f>
        <v>2441</v>
      </c>
      <c r="F84" s="225">
        <f>D84-E84</f>
        <v>2440</v>
      </c>
    </row>
    <row r="85" spans="1:6">
      <c r="A85" s="8"/>
      <c r="B85" s="11" t="s">
        <v>30</v>
      </c>
      <c r="C85" s="11"/>
      <c r="D85" s="12">
        <f>+D82-D84</f>
        <v>7813</v>
      </c>
      <c r="E85" s="13">
        <f>ROUND(D85/2,0)</f>
        <v>3907</v>
      </c>
      <c r="F85" s="12">
        <f>D85-E85</f>
        <v>3906</v>
      </c>
    </row>
    <row r="86" spans="1:6">
      <c r="A86" s="8">
        <v>4</v>
      </c>
      <c r="B86" s="11" t="s">
        <v>970</v>
      </c>
      <c r="C86" s="10">
        <v>0.34298899999999999</v>
      </c>
      <c r="D86" s="9">
        <f>ROUND(D$3*C86,0)</f>
        <v>210973</v>
      </c>
      <c r="E86" s="11">
        <f>ROUND(D86/2,0)</f>
        <v>105487</v>
      </c>
      <c r="F86" s="9">
        <f>D86-E86</f>
        <v>105486</v>
      </c>
    </row>
    <row r="87" spans="1:6">
      <c r="A87" s="8"/>
      <c r="B87" s="11" t="s">
        <v>28</v>
      </c>
      <c r="C87" s="11"/>
      <c r="D87" s="14">
        <v>0.51649999999999996</v>
      </c>
      <c r="E87" s="11"/>
      <c r="F87" s="11"/>
    </row>
    <row r="88" spans="1:6">
      <c r="A88" s="8"/>
      <c r="B88" s="11" t="s">
        <v>29</v>
      </c>
      <c r="C88" s="11"/>
      <c r="D88" s="225">
        <f>ROUND(D86*D87,0)</f>
        <v>108968</v>
      </c>
      <c r="E88" s="226">
        <f>ROUND(D88/2,0)</f>
        <v>54484</v>
      </c>
      <c r="F88" s="225">
        <f>D88-E88</f>
        <v>54484</v>
      </c>
    </row>
    <row r="89" spans="1:6">
      <c r="A89" s="8"/>
      <c r="B89" s="11" t="s">
        <v>30</v>
      </c>
      <c r="C89" s="11"/>
      <c r="D89" s="12">
        <f>+D86-D88</f>
        <v>102005</v>
      </c>
      <c r="E89" s="13">
        <f>ROUND(D89/2,0)</f>
        <v>51003</v>
      </c>
      <c r="F89" s="12">
        <f>D89-E89</f>
        <v>51002</v>
      </c>
    </row>
    <row r="90" spans="1:6">
      <c r="A90" s="8">
        <v>4</v>
      </c>
      <c r="B90" s="11" t="s">
        <v>971</v>
      </c>
      <c r="C90" s="10">
        <v>0.129999</v>
      </c>
      <c r="D90" s="9">
        <f>ROUND(D$3*C90,0)</f>
        <v>79963</v>
      </c>
      <c r="E90" s="11">
        <f>ROUND(D90/2,0)</f>
        <v>39982</v>
      </c>
      <c r="F90" s="9">
        <f>D90-E90</f>
        <v>39981</v>
      </c>
    </row>
    <row r="91" spans="1:6">
      <c r="A91" s="8"/>
      <c r="B91" s="11" t="s">
        <v>28</v>
      </c>
      <c r="C91" s="11"/>
      <c r="D91" s="14">
        <v>0.55624700000000005</v>
      </c>
      <c r="E91" s="11"/>
      <c r="F91" s="11"/>
    </row>
    <row r="92" spans="1:6">
      <c r="A92" s="8"/>
      <c r="B92" s="11" t="s">
        <v>29</v>
      </c>
      <c r="C92" s="11"/>
      <c r="D92" s="225">
        <f>ROUND(D90*D91,0)</f>
        <v>44479</v>
      </c>
      <c r="E92" s="226">
        <f>ROUND(D92/2,0)</f>
        <v>22240</v>
      </c>
      <c r="F92" s="225">
        <f>D92-E92</f>
        <v>22239</v>
      </c>
    </row>
    <row r="93" spans="1:6">
      <c r="A93" s="8"/>
      <c r="B93" s="11" t="s">
        <v>30</v>
      </c>
      <c r="C93" s="11"/>
      <c r="D93" s="12">
        <f>+D90-D92</f>
        <v>35484</v>
      </c>
      <c r="E93" s="13">
        <f>ROUND(D93/2,0)</f>
        <v>17742</v>
      </c>
      <c r="F93" s="12">
        <f>D93-E93</f>
        <v>17742</v>
      </c>
    </row>
    <row r="94" spans="1:6">
      <c r="A94" s="8">
        <v>4</v>
      </c>
      <c r="B94" s="11" t="s">
        <v>972</v>
      </c>
      <c r="C94" s="10">
        <v>5.1174999999999998E-2</v>
      </c>
      <c r="D94" s="9">
        <f>ROUND(D$3*C94,0)</f>
        <v>31478</v>
      </c>
      <c r="E94" s="11">
        <f>ROUND(D94/2,0)</f>
        <v>15739</v>
      </c>
      <c r="F94" s="9">
        <f>D94-E94</f>
        <v>15739</v>
      </c>
    </row>
    <row r="95" spans="1:6">
      <c r="A95" s="8"/>
      <c r="B95" s="11" t="s">
        <v>28</v>
      </c>
      <c r="C95" s="11"/>
      <c r="D95" s="14">
        <v>0.39507700000000001</v>
      </c>
      <c r="E95" s="11"/>
      <c r="F95" s="11"/>
    </row>
    <row r="96" spans="1:6">
      <c r="A96" s="8"/>
      <c r="B96" s="11" t="s">
        <v>29</v>
      </c>
      <c r="C96" s="11"/>
      <c r="D96" s="225">
        <f>ROUND(D94*D95,0)</f>
        <v>12436</v>
      </c>
      <c r="E96" s="226">
        <f t="shared" ref="E96:E104" si="3">ROUND(D96/2,0)</f>
        <v>6218</v>
      </c>
      <c r="F96" s="225">
        <f t="shared" ref="F96:F104" si="4">D96-E96</f>
        <v>6218</v>
      </c>
    </row>
    <row r="97" spans="1:8">
      <c r="A97" s="8"/>
      <c r="B97" s="11" t="s">
        <v>30</v>
      </c>
      <c r="C97" s="11"/>
      <c r="D97" s="12">
        <f>+D94-D96</f>
        <v>19042</v>
      </c>
      <c r="E97" s="13">
        <f t="shared" si="3"/>
        <v>9521</v>
      </c>
      <c r="F97" s="12">
        <f t="shared" si="4"/>
        <v>9521</v>
      </c>
    </row>
    <row r="98" spans="1:8">
      <c r="A98" s="8">
        <v>5</v>
      </c>
      <c r="B98" s="11" t="s">
        <v>973</v>
      </c>
      <c r="C98" s="10">
        <v>4.261E-3</v>
      </c>
      <c r="D98" s="12">
        <f t="shared" ref="D98:D103" si="5">ROUND(D$3*C98,0)</f>
        <v>2621</v>
      </c>
      <c r="E98" s="13">
        <f t="shared" si="3"/>
        <v>1311</v>
      </c>
      <c r="F98" s="12">
        <f t="shared" si="4"/>
        <v>1310</v>
      </c>
    </row>
    <row r="99" spans="1:8">
      <c r="A99" s="8">
        <v>5</v>
      </c>
      <c r="B99" s="11" t="s">
        <v>974</v>
      </c>
      <c r="C99" s="10">
        <v>4.2389999999999997E-3</v>
      </c>
      <c r="D99" s="12">
        <f t="shared" si="5"/>
        <v>2607</v>
      </c>
      <c r="E99" s="13">
        <f t="shared" si="3"/>
        <v>1304</v>
      </c>
      <c r="F99" s="12">
        <f t="shared" si="4"/>
        <v>1303</v>
      </c>
    </row>
    <row r="100" spans="1:8">
      <c r="A100" s="8">
        <v>5</v>
      </c>
      <c r="B100" s="11" t="s">
        <v>475</v>
      </c>
      <c r="C100" s="10">
        <v>0</v>
      </c>
      <c r="D100" s="12">
        <f t="shared" si="5"/>
        <v>0</v>
      </c>
      <c r="E100" s="13">
        <f t="shared" si="3"/>
        <v>0</v>
      </c>
      <c r="F100" s="12">
        <f t="shared" si="4"/>
        <v>0</v>
      </c>
    </row>
    <row r="101" spans="1:8">
      <c r="A101" s="8">
        <v>5</v>
      </c>
      <c r="B101" s="11" t="s">
        <v>975</v>
      </c>
      <c r="C101" s="10">
        <v>7.5000000000000002E-4</v>
      </c>
      <c r="D101" s="12">
        <f t="shared" si="5"/>
        <v>461</v>
      </c>
      <c r="E101" s="13">
        <f t="shared" si="3"/>
        <v>231</v>
      </c>
      <c r="F101" s="12">
        <f t="shared" si="4"/>
        <v>230</v>
      </c>
    </row>
    <row r="102" spans="1:8">
      <c r="A102" s="8">
        <v>5</v>
      </c>
      <c r="B102" s="11" t="s">
        <v>976</v>
      </c>
      <c r="C102" s="10">
        <v>1.108E-3</v>
      </c>
      <c r="D102" s="12">
        <f t="shared" si="5"/>
        <v>682</v>
      </c>
      <c r="E102" s="13">
        <f t="shared" si="3"/>
        <v>341</v>
      </c>
      <c r="F102" s="12">
        <f t="shared" si="4"/>
        <v>341</v>
      </c>
    </row>
    <row r="103" spans="1:8">
      <c r="A103" s="8">
        <v>5</v>
      </c>
      <c r="B103" s="11" t="s">
        <v>977</v>
      </c>
      <c r="C103" s="10">
        <v>1.0956E-2</v>
      </c>
      <c r="D103" s="12">
        <f t="shared" si="5"/>
        <v>6739</v>
      </c>
      <c r="E103" s="13">
        <f t="shared" si="3"/>
        <v>3370</v>
      </c>
      <c r="F103" s="12">
        <f t="shared" si="4"/>
        <v>3369</v>
      </c>
    </row>
    <row r="104" spans="1:8">
      <c r="A104" s="8">
        <v>6</v>
      </c>
      <c r="B104" s="11" t="s">
        <v>978</v>
      </c>
      <c r="C104" s="10">
        <v>9.7900000000017418E-4</v>
      </c>
      <c r="D104" s="12">
        <f>+D3-SUM(D4:D5)-SUM(D10:D74)-D78-D82-D86-D90-D94-SUM(D98:D103)</f>
        <v>598</v>
      </c>
      <c r="E104" s="13">
        <f t="shared" si="3"/>
        <v>299</v>
      </c>
      <c r="F104" s="12">
        <f t="shared" si="4"/>
        <v>299</v>
      </c>
    </row>
    <row r="105" spans="1:8">
      <c r="A105" s="8"/>
      <c r="B105" s="28" t="s">
        <v>288</v>
      </c>
      <c r="C105" s="10">
        <v>1</v>
      </c>
      <c r="D105" s="12">
        <f>+D4+SUM(D7:D73)+SUM(D76:D77)+SUM(D80:D81)+SUM(D84:D85)+SUM(D88:D89)+SUM(D92:D93)+SUM(D96:D104)</f>
        <v>615101</v>
      </c>
      <c r="E105" s="12">
        <f>+E4+SUM(E7:E73)+SUM(E76:E77)+SUM(E80:E81)+SUM(E84:E85)+SUM(E88:E89)+SUM(E92:E93)+SUM(E96:E104)</f>
        <v>307567</v>
      </c>
      <c r="F105" s="12">
        <f>+F4+SUM(F7:F73)+SUM(F76:F77)+SUM(F80:F81)+SUM(F84:F85)+SUM(F88:F89)+SUM(F92:F93)+SUM(F96:F104)</f>
        <v>307534</v>
      </c>
    </row>
    <row r="106" spans="1:8">
      <c r="B106" s="18" t="s">
        <v>38</v>
      </c>
      <c r="D106" s="19">
        <f>+D4</f>
        <v>878</v>
      </c>
      <c r="E106" s="19">
        <f>+E4</f>
        <v>439</v>
      </c>
      <c r="F106" s="19">
        <f>+F4</f>
        <v>439</v>
      </c>
    </row>
    <row r="107" spans="1:8">
      <c r="B107" s="2" t="s">
        <v>39</v>
      </c>
      <c r="D107" s="19">
        <f>+D7</f>
        <v>10095</v>
      </c>
      <c r="E107" s="19">
        <f>+E7</f>
        <v>5048</v>
      </c>
      <c r="F107" s="19">
        <f>+F7</f>
        <v>5047</v>
      </c>
    </row>
    <row r="108" spans="1:8">
      <c r="B108" s="2" t="s">
        <v>40</v>
      </c>
      <c r="D108" s="19">
        <f>+D76+D80+D84+D88+D92+D96</f>
        <v>217727</v>
      </c>
      <c r="E108" s="19">
        <f>+E76+E80+E84+E88+E92+E96</f>
        <v>108865</v>
      </c>
      <c r="F108" s="19">
        <f>+F76+F80+F84+F88+F92+F96</f>
        <v>108862</v>
      </c>
      <c r="H108" s="3">
        <v>1</v>
      </c>
    </row>
    <row r="109" spans="1:8">
      <c r="B109" s="18" t="s">
        <v>41</v>
      </c>
      <c r="D109" s="19">
        <f>+D105-D106-D107-D108</f>
        <v>386401</v>
      </c>
      <c r="E109" s="19">
        <f>+E105-E106-E107-E108</f>
        <v>193215</v>
      </c>
      <c r="F109" s="19">
        <f>+F105-F106-F107-F108</f>
        <v>193186</v>
      </c>
      <c r="H109" s="3">
        <v>2</v>
      </c>
    </row>
    <row r="111" spans="1:8" hidden="1">
      <c r="B111" s="3" t="s">
        <v>42</v>
      </c>
      <c r="C111" s="4">
        <v>-4.9999999998258902E-6</v>
      </c>
      <c r="D111" s="3">
        <f>+D104-ROUND(D3*C104,0)</f>
        <v>-4</v>
      </c>
    </row>
  </sheetData>
  <pageMargins left="0.7" right="0.7" top="0.75" bottom="0.75" header="0.3" footer="0.3"/>
  <pageSetup scale="4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5">
    <pageSetUpPr fitToPage="1"/>
  </sheetPr>
  <dimension ref="A1:WVB71"/>
  <sheetViews>
    <sheetView topLeftCell="A35" zoomScaleNormal="100" zoomScaleSheetLayoutView="90" workbookViewId="0">
      <selection activeCell="D56" activeCellId="3" sqref="D7:F7 D48:F48 D52:F52 D56:F56"/>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28515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28515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28515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28515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28515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28515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28515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28515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28515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28515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28515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28515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28515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28515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28515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28515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28515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28515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28515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28515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28515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28515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28515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28515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28515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28515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28515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28515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28515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28515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28515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28515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28515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28515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28515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28515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28515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28515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28515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28515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28515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28515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28515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28515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28515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28515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28515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28515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28515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28515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28515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28515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28515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28515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28515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28515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28515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28515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28515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28515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28515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28515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28515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979</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Worksheet'!$D$47</f>
        <v>231283</v>
      </c>
      <c r="E3" s="11"/>
      <c r="F3" s="11"/>
    </row>
    <row r="4" spans="1:6">
      <c r="A4" s="8">
        <v>0</v>
      </c>
      <c r="B4" s="11" t="s">
        <v>4</v>
      </c>
      <c r="C4" s="10">
        <v>1.3910000000000001E-3</v>
      </c>
      <c r="D4" s="12">
        <f>ROUND(D$3*C4,0)</f>
        <v>322</v>
      </c>
      <c r="E4" s="13">
        <f>ROUND(D4/2,0)</f>
        <v>161</v>
      </c>
      <c r="F4" s="12">
        <f>D4-E4</f>
        <v>161</v>
      </c>
    </row>
    <row r="5" spans="1:6">
      <c r="A5" s="8">
        <v>1</v>
      </c>
      <c r="B5" s="11" t="s">
        <v>980</v>
      </c>
      <c r="C5" s="10">
        <v>0.21502399999999999</v>
      </c>
      <c r="D5" s="9">
        <f>ROUND(D$3*C5,0)</f>
        <v>49731</v>
      </c>
      <c r="E5" s="11">
        <f>ROUND(D5/2,0)</f>
        <v>24866</v>
      </c>
      <c r="F5" s="9">
        <f>D5-E5</f>
        <v>24865</v>
      </c>
    </row>
    <row r="6" spans="1:6">
      <c r="A6" s="8"/>
      <c r="B6" s="11" t="s">
        <v>6</v>
      </c>
      <c r="C6" s="11"/>
      <c r="D6" s="14">
        <v>0.24280599999999999</v>
      </c>
      <c r="E6" s="11"/>
      <c r="F6" s="11"/>
    </row>
    <row r="7" spans="1:6">
      <c r="A7" s="8"/>
      <c r="B7" s="11" t="s">
        <v>7</v>
      </c>
      <c r="C7" s="11"/>
      <c r="D7" s="225">
        <f>ROUND(D5*D6,0)</f>
        <v>12075</v>
      </c>
      <c r="E7" s="226">
        <f>ROUND(D7/2,0)</f>
        <v>6038</v>
      </c>
      <c r="F7" s="225">
        <f>D7-E7</f>
        <v>6037</v>
      </c>
    </row>
    <row r="8" spans="1:6">
      <c r="A8" s="8"/>
      <c r="B8" s="11" t="s">
        <v>8</v>
      </c>
      <c r="C8" s="11"/>
      <c r="D8" s="12">
        <f>+D5-D7</f>
        <v>37656</v>
      </c>
      <c r="E8" s="13">
        <f>ROUND(D8/2,0)</f>
        <v>18828</v>
      </c>
      <c r="F8" s="12">
        <f>D8-E8</f>
        <v>18828</v>
      </c>
    </row>
    <row r="9" spans="1:6">
      <c r="A9" s="8">
        <v>2</v>
      </c>
      <c r="B9" s="11" t="s">
        <v>981</v>
      </c>
      <c r="C9" s="11"/>
      <c r="D9" s="9"/>
      <c r="E9" s="11"/>
      <c r="F9" s="11"/>
    </row>
    <row r="10" spans="1:6">
      <c r="A10" s="8"/>
      <c r="B10" s="11" t="s">
        <v>10</v>
      </c>
      <c r="C10" s="10">
        <v>3.7000000000000002E-3</v>
      </c>
      <c r="D10" s="12">
        <f>ROUND(D$3*C10,0)</f>
        <v>856</v>
      </c>
      <c r="E10" s="13">
        <f>ROUND(D10/2,0)</f>
        <v>428</v>
      </c>
      <c r="F10" s="12">
        <f>D10-E10</f>
        <v>428</v>
      </c>
    </row>
    <row r="11" spans="1:6">
      <c r="A11" s="8"/>
      <c r="B11" s="11" t="s">
        <v>11</v>
      </c>
      <c r="C11" s="10">
        <v>3.1100000000000002E-4</v>
      </c>
      <c r="D11" s="12">
        <f>ROUND(D$3*C11,0)</f>
        <v>72</v>
      </c>
      <c r="E11" s="13">
        <f>ROUND(D11/2,0)</f>
        <v>36</v>
      </c>
      <c r="F11" s="12">
        <f>D11-E11</f>
        <v>36</v>
      </c>
    </row>
    <row r="12" spans="1:6">
      <c r="A12" s="8">
        <v>2</v>
      </c>
      <c r="B12" s="11" t="s">
        <v>81</v>
      </c>
      <c r="C12" s="11"/>
      <c r="D12" s="9"/>
      <c r="E12" s="11"/>
      <c r="F12" s="11"/>
    </row>
    <row r="13" spans="1:6">
      <c r="A13" s="8"/>
      <c r="B13" s="11" t="s">
        <v>10</v>
      </c>
      <c r="C13" s="10">
        <v>2.4120000000000001E-3</v>
      </c>
      <c r="D13" s="12">
        <f>ROUND(D$3*C13,0)</f>
        <v>558</v>
      </c>
      <c r="E13" s="13">
        <f>ROUND(D13/2,0)</f>
        <v>279</v>
      </c>
      <c r="F13" s="12">
        <f>D13-E13</f>
        <v>279</v>
      </c>
    </row>
    <row r="14" spans="1:6">
      <c r="A14" s="8"/>
      <c r="B14" s="11" t="s">
        <v>11</v>
      </c>
      <c r="C14" s="10">
        <v>1.639E-3</v>
      </c>
      <c r="D14" s="12">
        <f>ROUND(D$3*C14,0)</f>
        <v>379</v>
      </c>
      <c r="E14" s="13">
        <f>ROUND(D14/2,0)</f>
        <v>190</v>
      </c>
      <c r="F14" s="12">
        <f>D14-E14</f>
        <v>189</v>
      </c>
    </row>
    <row r="15" spans="1:6">
      <c r="A15" s="8">
        <v>2</v>
      </c>
      <c r="B15" s="11" t="s">
        <v>982</v>
      </c>
      <c r="C15" s="11"/>
      <c r="D15" s="9"/>
      <c r="E15" s="11"/>
      <c r="F15" s="11"/>
    </row>
    <row r="16" spans="1:6">
      <c r="A16" s="8"/>
      <c r="B16" s="11" t="s">
        <v>10</v>
      </c>
      <c r="C16" s="10">
        <v>3.2699999999999998E-4</v>
      </c>
      <c r="D16" s="12">
        <f>ROUND(D$3*C16,0)</f>
        <v>76</v>
      </c>
      <c r="E16" s="13">
        <f>ROUND(D16/2,0)</f>
        <v>38</v>
      </c>
      <c r="F16" s="12">
        <f>D16-E16</f>
        <v>38</v>
      </c>
    </row>
    <row r="17" spans="1:6">
      <c r="A17" s="8"/>
      <c r="B17" s="11" t="s">
        <v>11</v>
      </c>
      <c r="C17" s="10">
        <v>1.1E-4</v>
      </c>
      <c r="D17" s="12">
        <f>ROUND(D$3*C17,0)</f>
        <v>25</v>
      </c>
      <c r="E17" s="13">
        <f>ROUND(D17/2,0)</f>
        <v>13</v>
      </c>
      <c r="F17" s="12">
        <f>D17-E17</f>
        <v>12</v>
      </c>
    </row>
    <row r="18" spans="1:6">
      <c r="A18" s="8">
        <v>2</v>
      </c>
      <c r="B18" s="11" t="s">
        <v>983</v>
      </c>
      <c r="C18" s="11"/>
      <c r="D18" s="9"/>
      <c r="E18" s="11"/>
      <c r="F18" s="11"/>
    </row>
    <row r="19" spans="1:6">
      <c r="A19" s="8"/>
      <c r="B19" s="11" t="s">
        <v>10</v>
      </c>
      <c r="C19" s="10">
        <v>6.7000000000000002E-4</v>
      </c>
      <c r="D19" s="12">
        <f>ROUND(D$3*C19,0)</f>
        <v>155</v>
      </c>
      <c r="E19" s="13">
        <f>ROUND(D19/2,0)</f>
        <v>78</v>
      </c>
      <c r="F19" s="12">
        <f>D19-E19</f>
        <v>77</v>
      </c>
    </row>
    <row r="20" spans="1:6">
      <c r="A20" s="8"/>
      <c r="B20" s="11" t="s">
        <v>11</v>
      </c>
      <c r="C20" s="10">
        <v>0</v>
      </c>
      <c r="D20" s="12">
        <f>ROUND(D$3*C20,0)</f>
        <v>0</v>
      </c>
      <c r="E20" s="13">
        <f>ROUND(D20/2,0)</f>
        <v>0</v>
      </c>
      <c r="F20" s="12">
        <f>D20-E20</f>
        <v>0</v>
      </c>
    </row>
    <row r="21" spans="1:6">
      <c r="A21" s="8">
        <v>2</v>
      </c>
      <c r="B21" s="11" t="s">
        <v>984</v>
      </c>
      <c r="C21" s="11"/>
      <c r="D21" s="9"/>
      <c r="E21" s="11"/>
      <c r="F21" s="11"/>
    </row>
    <row r="22" spans="1:6">
      <c r="A22" s="8"/>
      <c r="B22" s="11" t="s">
        <v>10</v>
      </c>
      <c r="C22" s="10">
        <v>1.8900000000000001E-4</v>
      </c>
      <c r="D22" s="12">
        <f>ROUND(D$3*C22,0)</f>
        <v>44</v>
      </c>
      <c r="E22" s="13">
        <f>ROUND(D22/2,0)</f>
        <v>22</v>
      </c>
      <c r="F22" s="12">
        <f>D22-E22</f>
        <v>22</v>
      </c>
    </row>
    <row r="23" spans="1:6">
      <c r="A23" s="8"/>
      <c r="B23" s="11" t="s">
        <v>11</v>
      </c>
      <c r="C23" s="10">
        <v>1.02E-4</v>
      </c>
      <c r="D23" s="12">
        <f>ROUND(D$3*C23,0)</f>
        <v>24</v>
      </c>
      <c r="E23" s="13">
        <f>ROUND(D23/2,0)</f>
        <v>12</v>
      </c>
      <c r="F23" s="12">
        <f>D23-E23</f>
        <v>12</v>
      </c>
    </row>
    <row r="24" spans="1:6">
      <c r="A24" s="8">
        <v>2</v>
      </c>
      <c r="B24" s="11" t="s">
        <v>268</v>
      </c>
      <c r="C24" s="11"/>
      <c r="D24" s="9"/>
      <c r="E24" s="11"/>
      <c r="F24" s="11"/>
    </row>
    <row r="25" spans="1:6">
      <c r="A25" s="8"/>
      <c r="B25" s="11" t="s">
        <v>10</v>
      </c>
      <c r="C25" s="10">
        <v>5.1599999999999997E-4</v>
      </c>
      <c r="D25" s="12">
        <f>ROUND(D$3*C25,0)</f>
        <v>119</v>
      </c>
      <c r="E25" s="13">
        <f>ROUND(D25/2,0)</f>
        <v>60</v>
      </c>
      <c r="F25" s="12">
        <f>D25-E25</f>
        <v>59</v>
      </c>
    </row>
    <row r="26" spans="1:6">
      <c r="A26" s="8"/>
      <c r="B26" s="11" t="s">
        <v>11</v>
      </c>
      <c r="C26" s="10">
        <v>6.38E-4</v>
      </c>
      <c r="D26" s="12">
        <f>ROUND(D$3*C26,0)</f>
        <v>148</v>
      </c>
      <c r="E26" s="13">
        <f>ROUND(D26/2,0)</f>
        <v>74</v>
      </c>
      <c r="F26" s="12">
        <f>D26-E26</f>
        <v>74</v>
      </c>
    </row>
    <row r="27" spans="1:6">
      <c r="A27" s="8">
        <v>2</v>
      </c>
      <c r="B27" s="11" t="s">
        <v>985</v>
      </c>
      <c r="C27" s="11"/>
      <c r="D27" s="9"/>
      <c r="E27" s="11"/>
      <c r="F27" s="11"/>
    </row>
    <row r="28" spans="1:6">
      <c r="A28" s="8"/>
      <c r="B28" s="11" t="s">
        <v>10</v>
      </c>
      <c r="C28" s="10">
        <v>1.4419999999999999E-3</v>
      </c>
      <c r="D28" s="12">
        <f>ROUND(D$3*C28,0)</f>
        <v>334</v>
      </c>
      <c r="E28" s="13">
        <f>ROUND(D28/2,0)</f>
        <v>167</v>
      </c>
      <c r="F28" s="12">
        <f>D28-E28</f>
        <v>167</v>
      </c>
    </row>
    <row r="29" spans="1:6">
      <c r="A29" s="8"/>
      <c r="B29" s="11" t="s">
        <v>11</v>
      </c>
      <c r="C29" s="10">
        <v>1.1230000000000001E-3</v>
      </c>
      <c r="D29" s="12">
        <f>ROUND(D$3*C29,0)</f>
        <v>260</v>
      </c>
      <c r="E29" s="13">
        <f>ROUND(D29/2,0)</f>
        <v>130</v>
      </c>
      <c r="F29" s="12">
        <f>D29-E29</f>
        <v>130</v>
      </c>
    </row>
    <row r="30" spans="1:6">
      <c r="A30" s="8">
        <v>2</v>
      </c>
      <c r="B30" s="11" t="s">
        <v>986</v>
      </c>
      <c r="C30" s="11"/>
      <c r="D30" s="9"/>
      <c r="E30" s="11"/>
      <c r="F30" s="11"/>
    </row>
    <row r="31" spans="1:6">
      <c r="A31" s="8"/>
      <c r="B31" s="11" t="s">
        <v>10</v>
      </c>
      <c r="C31" s="10">
        <v>1.9189999999999999E-3</v>
      </c>
      <c r="D31" s="12">
        <f>ROUND(D$3*C31,0)</f>
        <v>444</v>
      </c>
      <c r="E31" s="13">
        <f>ROUND(D31/2,0)</f>
        <v>222</v>
      </c>
      <c r="F31" s="12">
        <f>D31-E31</f>
        <v>222</v>
      </c>
    </row>
    <row r="32" spans="1:6">
      <c r="A32" s="8"/>
      <c r="B32" s="11" t="s">
        <v>11</v>
      </c>
      <c r="C32" s="10">
        <v>1.596E-3</v>
      </c>
      <c r="D32" s="12">
        <f>ROUND(D$3*C32,0)</f>
        <v>369</v>
      </c>
      <c r="E32" s="13">
        <f>ROUND(D32/2,0)</f>
        <v>185</v>
      </c>
      <c r="F32" s="12">
        <f>D32-E32</f>
        <v>184</v>
      </c>
    </row>
    <row r="33" spans="1:6">
      <c r="A33" s="8">
        <v>2</v>
      </c>
      <c r="B33" s="11" t="s">
        <v>987</v>
      </c>
      <c r="C33" s="11"/>
      <c r="D33" s="9"/>
      <c r="E33" s="11"/>
      <c r="F33" s="11"/>
    </row>
    <row r="34" spans="1:6">
      <c r="A34" s="8"/>
      <c r="B34" s="11" t="s">
        <v>10</v>
      </c>
      <c r="C34" s="10">
        <v>9.0200000000000002E-4</v>
      </c>
      <c r="D34" s="12">
        <f>ROUND(D$3*C34,0)</f>
        <v>209</v>
      </c>
      <c r="E34" s="13">
        <f>ROUND(D34/2,0)</f>
        <v>105</v>
      </c>
      <c r="F34" s="12">
        <f>D34-E34</f>
        <v>104</v>
      </c>
    </row>
    <row r="35" spans="1:6">
      <c r="A35" s="8"/>
      <c r="B35" s="11" t="s">
        <v>11</v>
      </c>
      <c r="C35" s="10">
        <v>8.43E-4</v>
      </c>
      <c r="D35" s="12">
        <f>ROUND(D$3*C35,0)</f>
        <v>195</v>
      </c>
      <c r="E35" s="13">
        <f>ROUND(D35/2,0)</f>
        <v>98</v>
      </c>
      <c r="F35" s="12">
        <f>D35-E35</f>
        <v>97</v>
      </c>
    </row>
    <row r="36" spans="1:6">
      <c r="A36" s="8">
        <v>2</v>
      </c>
      <c r="B36" s="11" t="s">
        <v>59</v>
      </c>
      <c r="C36" s="11"/>
      <c r="D36" s="9"/>
      <c r="E36" s="11"/>
      <c r="F36" s="11"/>
    </row>
    <row r="37" spans="1:6">
      <c r="A37" s="8"/>
      <c r="B37" s="11" t="s">
        <v>10</v>
      </c>
      <c r="C37" s="10">
        <v>1.1509999999999999E-3</v>
      </c>
      <c r="D37" s="12">
        <f>ROUND(D$3*C37,0)</f>
        <v>266</v>
      </c>
      <c r="E37" s="13">
        <f>ROUND(D37/2,0)</f>
        <v>133</v>
      </c>
      <c r="F37" s="12">
        <f>D37-E37</f>
        <v>133</v>
      </c>
    </row>
    <row r="38" spans="1:6">
      <c r="A38" s="8"/>
      <c r="B38" s="11" t="s">
        <v>11</v>
      </c>
      <c r="C38" s="10">
        <v>2.99E-4</v>
      </c>
      <c r="D38" s="12">
        <f>ROUND(D$3*C38,0)</f>
        <v>69</v>
      </c>
      <c r="E38" s="13">
        <f>ROUND(D38/2,0)</f>
        <v>35</v>
      </c>
      <c r="F38" s="12">
        <f>D38-E38</f>
        <v>34</v>
      </c>
    </row>
    <row r="39" spans="1:6">
      <c r="A39" s="8">
        <v>2</v>
      </c>
      <c r="B39" s="11" t="s">
        <v>169</v>
      </c>
      <c r="C39" s="11"/>
      <c r="D39" s="9"/>
      <c r="E39" s="11"/>
      <c r="F39" s="11"/>
    </row>
    <row r="40" spans="1:6">
      <c r="A40" s="8"/>
      <c r="B40" s="11" t="s">
        <v>10</v>
      </c>
      <c r="C40" s="10">
        <v>2.5999999999999998E-4</v>
      </c>
      <c r="D40" s="12">
        <f t="shared" ref="D40:D46" si="0">ROUND(D$3*C40,0)</f>
        <v>60</v>
      </c>
      <c r="E40" s="13">
        <f t="shared" ref="E40:E46" si="1">ROUND(D40/2,0)</f>
        <v>30</v>
      </c>
      <c r="F40" s="12">
        <f t="shared" ref="F40:F46" si="2">D40-E40</f>
        <v>30</v>
      </c>
    </row>
    <row r="41" spans="1:6">
      <c r="A41" s="8"/>
      <c r="B41" s="11" t="s">
        <v>11</v>
      </c>
      <c r="C41" s="10">
        <v>1.1E-4</v>
      </c>
      <c r="D41" s="12">
        <f t="shared" si="0"/>
        <v>25</v>
      </c>
      <c r="E41" s="13">
        <f t="shared" si="1"/>
        <v>13</v>
      </c>
      <c r="F41" s="12">
        <f t="shared" si="2"/>
        <v>12</v>
      </c>
    </row>
    <row r="42" spans="1:6">
      <c r="A42" s="8">
        <v>3</v>
      </c>
      <c r="B42" s="11" t="s">
        <v>988</v>
      </c>
      <c r="C42" s="10">
        <v>3.7919000000000001E-2</v>
      </c>
      <c r="D42" s="12">
        <f t="shared" si="0"/>
        <v>8770</v>
      </c>
      <c r="E42" s="13">
        <f t="shared" si="1"/>
        <v>4385</v>
      </c>
      <c r="F42" s="12">
        <f t="shared" si="2"/>
        <v>4385</v>
      </c>
    </row>
    <row r="43" spans="1:6">
      <c r="A43" s="8">
        <v>3</v>
      </c>
      <c r="B43" s="11" t="s">
        <v>989</v>
      </c>
      <c r="C43" s="10">
        <v>1.259E-2</v>
      </c>
      <c r="D43" s="12">
        <f t="shared" si="0"/>
        <v>2912</v>
      </c>
      <c r="E43" s="13">
        <f t="shared" si="1"/>
        <v>1456</v>
      </c>
      <c r="F43" s="12">
        <f t="shared" si="2"/>
        <v>1456</v>
      </c>
    </row>
    <row r="44" spans="1:6">
      <c r="A44" s="8">
        <v>3</v>
      </c>
      <c r="B44" s="11" t="s">
        <v>990</v>
      </c>
      <c r="C44" s="10">
        <v>2.1266E-2</v>
      </c>
      <c r="D44" s="12">
        <f t="shared" si="0"/>
        <v>4918</v>
      </c>
      <c r="E44" s="13">
        <f t="shared" si="1"/>
        <v>2459</v>
      </c>
      <c r="F44" s="12">
        <f t="shared" si="2"/>
        <v>2459</v>
      </c>
    </row>
    <row r="45" spans="1:6">
      <c r="A45" s="8">
        <v>3</v>
      </c>
      <c r="B45" s="11" t="s">
        <v>991</v>
      </c>
      <c r="C45" s="10">
        <v>1.036E-3</v>
      </c>
      <c r="D45" s="12">
        <f t="shared" si="0"/>
        <v>240</v>
      </c>
      <c r="E45" s="13">
        <f t="shared" si="1"/>
        <v>120</v>
      </c>
      <c r="F45" s="12">
        <f t="shared" si="2"/>
        <v>120</v>
      </c>
    </row>
    <row r="46" spans="1:6">
      <c r="A46" s="8">
        <v>4</v>
      </c>
      <c r="B46" s="11" t="s">
        <v>992</v>
      </c>
      <c r="C46" s="10">
        <v>0.26509500000000003</v>
      </c>
      <c r="D46" s="9">
        <f t="shared" si="0"/>
        <v>61312</v>
      </c>
      <c r="E46" s="11">
        <f t="shared" si="1"/>
        <v>30656</v>
      </c>
      <c r="F46" s="9">
        <f t="shared" si="2"/>
        <v>30656</v>
      </c>
    </row>
    <row r="47" spans="1:6">
      <c r="A47" s="8"/>
      <c r="B47" s="11" t="s">
        <v>28</v>
      </c>
      <c r="C47" s="11"/>
      <c r="D47" s="14">
        <v>0.50151199999999996</v>
      </c>
      <c r="E47" s="11"/>
      <c r="F47" s="11"/>
    </row>
    <row r="48" spans="1:6">
      <c r="A48" s="8"/>
      <c r="B48" s="11" t="s">
        <v>29</v>
      </c>
      <c r="C48" s="11"/>
      <c r="D48" s="225">
        <f>ROUND(D46*D47,0)</f>
        <v>30749</v>
      </c>
      <c r="E48" s="226">
        <f>ROUND(D48/2,0)</f>
        <v>15375</v>
      </c>
      <c r="F48" s="225">
        <f>D48-E48</f>
        <v>15374</v>
      </c>
    </row>
    <row r="49" spans="1:8">
      <c r="A49" s="8"/>
      <c r="B49" s="11" t="s">
        <v>30</v>
      </c>
      <c r="C49" s="11"/>
      <c r="D49" s="12">
        <f>+D46-D48</f>
        <v>30563</v>
      </c>
      <c r="E49" s="13">
        <f>ROUND(D49/2,0)</f>
        <v>15282</v>
      </c>
      <c r="F49" s="12">
        <f>D49-E49</f>
        <v>15281</v>
      </c>
    </row>
    <row r="50" spans="1:8">
      <c r="A50" s="8">
        <v>4</v>
      </c>
      <c r="B50" s="11" t="s">
        <v>993</v>
      </c>
      <c r="C50" s="10">
        <v>0.152226</v>
      </c>
      <c r="D50" s="9">
        <f>ROUND(D$3*C50,0)</f>
        <v>35207</v>
      </c>
      <c r="E50" s="11">
        <f>ROUND(D50/2,0)</f>
        <v>17604</v>
      </c>
      <c r="F50" s="9">
        <f>D50-E50</f>
        <v>17603</v>
      </c>
    </row>
    <row r="51" spans="1:8">
      <c r="A51" s="8"/>
      <c r="B51" s="11" t="s">
        <v>28</v>
      </c>
      <c r="C51" s="11"/>
      <c r="D51" s="14">
        <v>0.44967800000000002</v>
      </c>
      <c r="E51" s="11"/>
      <c r="F51" s="11"/>
    </row>
    <row r="52" spans="1:8">
      <c r="A52" s="8"/>
      <c r="B52" s="11" t="s">
        <v>29</v>
      </c>
      <c r="C52" s="11"/>
      <c r="D52" s="225">
        <f>ROUND(D50*D51,0)</f>
        <v>15832</v>
      </c>
      <c r="E52" s="226">
        <f>ROUND(D52/2,0)</f>
        <v>7916</v>
      </c>
      <c r="F52" s="225">
        <f>D52-E52</f>
        <v>7916</v>
      </c>
    </row>
    <row r="53" spans="1:8">
      <c r="A53" s="8"/>
      <c r="B53" s="11" t="s">
        <v>30</v>
      </c>
      <c r="C53" s="11"/>
      <c r="D53" s="12">
        <f>+D50-D52</f>
        <v>19375</v>
      </c>
      <c r="E53" s="13">
        <f>ROUND(D53/2,0)</f>
        <v>9688</v>
      </c>
      <c r="F53" s="12">
        <f>D53-E53</f>
        <v>9687</v>
      </c>
    </row>
    <row r="54" spans="1:8">
      <c r="A54" s="8">
        <v>4</v>
      </c>
      <c r="B54" s="11" t="s">
        <v>994</v>
      </c>
      <c r="C54" s="10">
        <v>0.25154799999999999</v>
      </c>
      <c r="D54" s="9">
        <f>ROUND(D$3*C54,0)</f>
        <v>58179</v>
      </c>
      <c r="E54" s="11">
        <f>ROUND(D54/2,0)</f>
        <v>29090</v>
      </c>
      <c r="F54" s="9">
        <f>D54-E54</f>
        <v>29089</v>
      </c>
    </row>
    <row r="55" spans="1:8">
      <c r="A55" s="8"/>
      <c r="B55" s="11" t="s">
        <v>28</v>
      </c>
      <c r="C55" s="11"/>
      <c r="D55" s="14">
        <v>0.47811399999999998</v>
      </c>
      <c r="E55" s="11"/>
      <c r="F55" s="11"/>
    </row>
    <row r="56" spans="1:8">
      <c r="A56" s="8"/>
      <c r="B56" s="11" t="s">
        <v>29</v>
      </c>
      <c r="C56" s="11"/>
      <c r="D56" s="225">
        <f>ROUND(D54*D55,0)</f>
        <v>27816</v>
      </c>
      <c r="E56" s="226">
        <f>ROUND(D56/2,0)</f>
        <v>13908</v>
      </c>
      <c r="F56" s="225">
        <f>D56-E56</f>
        <v>13908</v>
      </c>
    </row>
    <row r="57" spans="1:8">
      <c r="A57" s="8"/>
      <c r="B57" s="11" t="s">
        <v>30</v>
      </c>
      <c r="C57" s="11"/>
      <c r="D57" s="12">
        <f>+D54-D56</f>
        <v>30363</v>
      </c>
      <c r="E57" s="13">
        <f>ROUND(D57/2,0)</f>
        <v>15182</v>
      </c>
      <c r="F57" s="12">
        <f>D57-E57</f>
        <v>15181</v>
      </c>
    </row>
    <row r="58" spans="1:8">
      <c r="A58" s="8">
        <v>5</v>
      </c>
      <c r="B58" s="11" t="s">
        <v>995</v>
      </c>
      <c r="C58" s="10">
        <v>1.6285999999999998E-2</v>
      </c>
      <c r="D58" s="12">
        <f>ROUND(D$3*C58,0)</f>
        <v>3767</v>
      </c>
      <c r="E58" s="13">
        <f>ROUND(D58/2,0)</f>
        <v>1884</v>
      </c>
      <c r="F58" s="12">
        <f>D58-E58</f>
        <v>1883</v>
      </c>
    </row>
    <row r="59" spans="1:8">
      <c r="A59" s="8">
        <v>6</v>
      </c>
      <c r="B59" s="11" t="s">
        <v>397</v>
      </c>
      <c r="C59" s="10">
        <v>5.3600000000000314E-3</v>
      </c>
      <c r="D59" s="12">
        <f>+D3-SUM(D4:D5)-SUM(D10:D46)-D50-D54-D58</f>
        <v>1238</v>
      </c>
      <c r="E59" s="13">
        <f>ROUND(D59/2,0)</f>
        <v>619</v>
      </c>
      <c r="F59" s="12">
        <f>D59-E59</f>
        <v>619</v>
      </c>
    </row>
    <row r="60" spans="1:8">
      <c r="A60" s="8"/>
      <c r="B60" s="28" t="s">
        <v>288</v>
      </c>
      <c r="C60" s="10">
        <v>1</v>
      </c>
      <c r="D60" s="12">
        <f>+D4+SUM(D7:D45)+SUM(D48:D49)+SUM(D52:D53)+SUM(D56:D59)</f>
        <v>231283</v>
      </c>
      <c r="E60" s="12">
        <f>+E4+SUM(E7:E45)+SUM(E48:E49)+SUM(E52:E53)+SUM(E56:E59)</f>
        <v>115649</v>
      </c>
      <c r="F60" s="12">
        <f>+F4+SUM(F7:F45)+SUM(F48:F49)+SUM(F52:F53)+SUM(F56:F59)</f>
        <v>115634</v>
      </c>
    </row>
    <row r="61" spans="1:8">
      <c r="B61" s="18" t="s">
        <v>38</v>
      </c>
      <c r="D61" s="19">
        <f>+D4</f>
        <v>322</v>
      </c>
      <c r="E61" s="19">
        <f>+E4</f>
        <v>161</v>
      </c>
      <c r="F61" s="19">
        <f>+F4</f>
        <v>161</v>
      </c>
    </row>
    <row r="62" spans="1:8">
      <c r="B62" s="2" t="s">
        <v>39</v>
      </c>
      <c r="D62" s="19">
        <f>+D7</f>
        <v>12075</v>
      </c>
      <c r="E62" s="19">
        <f>+E7</f>
        <v>6038</v>
      </c>
      <c r="F62" s="19">
        <f>+F7</f>
        <v>6037</v>
      </c>
    </row>
    <row r="63" spans="1:8">
      <c r="B63" s="2" t="s">
        <v>40</v>
      </c>
      <c r="D63" s="19">
        <f>+D48+D52+D56</f>
        <v>74397</v>
      </c>
      <c r="E63" s="19">
        <f>+E48+E52+E56</f>
        <v>37199</v>
      </c>
      <c r="F63" s="19">
        <f>+F48+F52+F56</f>
        <v>37198</v>
      </c>
      <c r="H63" s="3">
        <v>1</v>
      </c>
    </row>
    <row r="64" spans="1:8">
      <c r="B64" s="18" t="s">
        <v>41</v>
      </c>
      <c r="D64" s="19">
        <f>+D60-D61-D62-D63</f>
        <v>144489</v>
      </c>
      <c r="E64" s="19">
        <f>+E60-E61-E62-E63</f>
        <v>72251</v>
      </c>
      <c r="F64" s="19">
        <f>+F60-F61-F62-F63</f>
        <v>72238</v>
      </c>
      <c r="H64" s="3">
        <v>2</v>
      </c>
    </row>
    <row r="66" spans="1:4" hidden="1">
      <c r="B66" s="3" t="s">
        <v>42</v>
      </c>
      <c r="C66" s="4">
        <v>1.0000000000313577E-6</v>
      </c>
      <c r="D66" s="3">
        <f>+D59-ROUND(D3*C59,0)</f>
        <v>-2</v>
      </c>
    </row>
    <row r="71" spans="1:4">
      <c r="A71" s="1" t="s">
        <v>590</v>
      </c>
    </row>
  </sheetData>
  <pageMargins left="0.7" right="0.7" top="0.75" bottom="0.75" header="0.3" footer="0.3"/>
  <pageSetup scale="6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6">
    <pageSetUpPr fitToPage="1"/>
  </sheetPr>
  <dimension ref="A1:WVB156"/>
  <sheetViews>
    <sheetView topLeftCell="A102" zoomScaleNormal="100" zoomScaleSheetLayoutView="90" workbookViewId="0">
      <selection activeCell="D123" activeCellId="16" sqref="D7:F7 D63:F63 D67:F67 D71:F71 D75:F75 D79:F79 D83:F83 D87:F87 D91:F91 D95:F95 D99:F99 D103:F103 D107:F107 D111:F111 D115:F115 D119:F119 D123:F123"/>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5.140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5.140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5.140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5.140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5.140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5.140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5.140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5.140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5.140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5.140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5.140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5.140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5.140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5.140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5.140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5.140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5.140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5.140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5.140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5.140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5.140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5.140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5.140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5.140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5.140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5.140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5.140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5.140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5.140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5.140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5.140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5.140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5.140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5.140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5.140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5.140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5.140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5.140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5.140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5.140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5.140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5.140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5.140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5.140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5.140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5.140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5.140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5.140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5.140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5.140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5.140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5.140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5.140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5.140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5.140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5.140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5.140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5.140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5.140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5.140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5.140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5.140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5.140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996</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Worksheet'!$D$48</f>
        <v>5422774</v>
      </c>
      <c r="E3" s="11"/>
      <c r="F3" s="11"/>
    </row>
    <row r="4" spans="1:6">
      <c r="A4" s="8">
        <v>0</v>
      </c>
      <c r="B4" s="11" t="s">
        <v>4</v>
      </c>
      <c r="C4" s="10">
        <v>4.6999999999999999E-4</v>
      </c>
      <c r="D4" s="12">
        <f>ROUND(D$3*C4,0)</f>
        <v>2549</v>
      </c>
      <c r="E4" s="13">
        <f>ROUND(D4/2,0)</f>
        <v>1275</v>
      </c>
      <c r="F4" s="12">
        <f>D4-E4</f>
        <v>1274</v>
      </c>
    </row>
    <row r="5" spans="1:6">
      <c r="A5" s="8">
        <v>1</v>
      </c>
      <c r="B5" s="11" t="s">
        <v>997</v>
      </c>
      <c r="C5" s="10">
        <v>0.228634</v>
      </c>
      <c r="D5" s="9">
        <f>ROUND(D$3*C5,0)</f>
        <v>1239831</v>
      </c>
      <c r="E5" s="11">
        <f>ROUND(D5/2,0)</f>
        <v>619916</v>
      </c>
      <c r="F5" s="9">
        <f>D5-E5</f>
        <v>619915</v>
      </c>
    </row>
    <row r="6" spans="1:6">
      <c r="A6" s="8"/>
      <c r="B6" s="11" t="s">
        <v>6</v>
      </c>
      <c r="C6" s="11"/>
      <c r="D6" s="14">
        <v>0.44061899999999998</v>
      </c>
      <c r="E6" s="11"/>
      <c r="F6" s="11"/>
    </row>
    <row r="7" spans="1:6">
      <c r="A7" s="8"/>
      <c r="B7" s="11" t="s">
        <v>7</v>
      </c>
      <c r="C7" s="11"/>
      <c r="D7" s="232">
        <f>ROUND(D5*D6,0)</f>
        <v>546293</v>
      </c>
      <c r="E7" s="233">
        <f>ROUND(D7/2,0)</f>
        <v>273147</v>
      </c>
      <c r="F7" s="232">
        <f>D7-E7</f>
        <v>273146</v>
      </c>
    </row>
    <row r="8" spans="1:6">
      <c r="A8" s="8"/>
      <c r="B8" s="11" t="s">
        <v>8</v>
      </c>
      <c r="C8" s="11"/>
      <c r="D8" s="12">
        <f>+D5-D7</f>
        <v>693538</v>
      </c>
      <c r="E8" s="13">
        <f>ROUND(D8/2,0)</f>
        <v>346769</v>
      </c>
      <c r="F8" s="12">
        <f>D8-E8</f>
        <v>346769</v>
      </c>
    </row>
    <row r="9" spans="1:6">
      <c r="A9" s="8">
        <v>2</v>
      </c>
      <c r="B9" s="11" t="s">
        <v>998</v>
      </c>
      <c r="C9" s="11"/>
      <c r="D9" s="9"/>
      <c r="E9" s="11"/>
      <c r="F9" s="11"/>
    </row>
    <row r="10" spans="1:6">
      <c r="A10" s="8"/>
      <c r="B10" s="11" t="s">
        <v>10</v>
      </c>
      <c r="C10" s="10">
        <v>2.5218999999999998E-2</v>
      </c>
      <c r="D10" s="12">
        <f>ROUND(D$3*C10,0)</f>
        <v>136757</v>
      </c>
      <c r="E10" s="13">
        <f>ROUND(D10/2,0)</f>
        <v>68379</v>
      </c>
      <c r="F10" s="12">
        <f>D10-E10</f>
        <v>68378</v>
      </c>
    </row>
    <row r="11" spans="1:6">
      <c r="A11" s="8"/>
      <c r="B11" s="11" t="s">
        <v>11</v>
      </c>
      <c r="C11" s="10">
        <v>0</v>
      </c>
      <c r="D11" s="12">
        <f>ROUND(D$3*C11,0)</f>
        <v>0</v>
      </c>
      <c r="E11" s="13">
        <f>ROUND(D11/2,0)</f>
        <v>0</v>
      </c>
      <c r="F11" s="12">
        <f>D11-E11</f>
        <v>0</v>
      </c>
    </row>
    <row r="12" spans="1:6">
      <c r="A12" s="8">
        <v>2</v>
      </c>
      <c r="B12" s="11" t="s">
        <v>47</v>
      </c>
      <c r="C12" s="11"/>
      <c r="D12" s="9"/>
      <c r="E12" s="11"/>
      <c r="F12" s="11"/>
    </row>
    <row r="13" spans="1:6">
      <c r="A13" s="8"/>
      <c r="B13" s="11" t="s">
        <v>10</v>
      </c>
      <c r="C13" s="10">
        <v>1.5300000000000001E-4</v>
      </c>
      <c r="D13" s="12">
        <f>ROUND(D$3*C13,0)</f>
        <v>830</v>
      </c>
      <c r="E13" s="13">
        <f>ROUND(D13/2,0)</f>
        <v>415</v>
      </c>
      <c r="F13" s="12">
        <f>D13-E13</f>
        <v>415</v>
      </c>
    </row>
    <row r="14" spans="1:6">
      <c r="A14" s="8"/>
      <c r="B14" s="11" t="s">
        <v>11</v>
      </c>
      <c r="C14" s="10">
        <v>4.5000000000000003E-5</v>
      </c>
      <c r="D14" s="12">
        <f>ROUND(D$3*C14,0)</f>
        <v>244</v>
      </c>
      <c r="E14" s="13">
        <f>ROUND(D14/2,0)</f>
        <v>122</v>
      </c>
      <c r="F14" s="12">
        <f>D14-E14</f>
        <v>122</v>
      </c>
    </row>
    <row r="15" spans="1:6">
      <c r="A15" s="8">
        <v>2</v>
      </c>
      <c r="B15" s="11" t="s">
        <v>107</v>
      </c>
      <c r="C15" s="11"/>
      <c r="D15" s="9"/>
      <c r="E15" s="11"/>
      <c r="F15" s="11"/>
    </row>
    <row r="16" spans="1:6">
      <c r="A16" s="8"/>
      <c r="B16" s="11" t="s">
        <v>10</v>
      </c>
      <c r="C16" s="10">
        <v>4.3100000000000001E-4</v>
      </c>
      <c r="D16" s="12">
        <f>ROUND(D$3*C16,0)</f>
        <v>2337</v>
      </c>
      <c r="E16" s="13">
        <f>ROUND(D16/2,0)</f>
        <v>1169</v>
      </c>
      <c r="F16" s="12">
        <f>D16-E16</f>
        <v>1168</v>
      </c>
    </row>
    <row r="17" spans="1:6">
      <c r="A17" s="8"/>
      <c r="B17" s="11" t="s">
        <v>11</v>
      </c>
      <c r="C17" s="10">
        <v>1.3799999999999999E-4</v>
      </c>
      <c r="D17" s="12">
        <f>ROUND(D$3*C17,0)</f>
        <v>748</v>
      </c>
      <c r="E17" s="13">
        <f>ROUND(D17/2,0)</f>
        <v>374</v>
      </c>
      <c r="F17" s="12">
        <f>D17-E17</f>
        <v>374</v>
      </c>
    </row>
    <row r="18" spans="1:6">
      <c r="A18" s="8">
        <v>2</v>
      </c>
      <c r="B18" s="11" t="s">
        <v>999</v>
      </c>
      <c r="C18" s="11"/>
      <c r="D18" s="9"/>
      <c r="E18" s="11"/>
      <c r="F18" s="11"/>
    </row>
    <row r="19" spans="1:6">
      <c r="A19" s="8"/>
      <c r="B19" s="11" t="s">
        <v>10</v>
      </c>
      <c r="C19" s="10">
        <v>0</v>
      </c>
      <c r="D19" s="12">
        <f>ROUND(D$3*C19,0)</f>
        <v>0</v>
      </c>
      <c r="E19" s="13">
        <f>ROUND(D19/2,0)</f>
        <v>0</v>
      </c>
      <c r="F19" s="12">
        <f>D19-E19</f>
        <v>0</v>
      </c>
    </row>
    <row r="20" spans="1:6">
      <c r="A20" s="8"/>
      <c r="B20" s="11" t="s">
        <v>11</v>
      </c>
      <c r="C20" s="10">
        <v>0</v>
      </c>
      <c r="D20" s="12">
        <f>ROUND(D$3*C20,0)</f>
        <v>0</v>
      </c>
      <c r="E20" s="13">
        <f>ROUND(D20/2,0)</f>
        <v>0</v>
      </c>
      <c r="F20" s="12">
        <f>D20-E20</f>
        <v>0</v>
      </c>
    </row>
    <row r="21" spans="1:6">
      <c r="A21" s="8">
        <v>2</v>
      </c>
      <c r="B21" s="11" t="s">
        <v>869</v>
      </c>
      <c r="C21" s="11"/>
      <c r="D21" s="9"/>
      <c r="E21" s="11"/>
      <c r="F21" s="11"/>
    </row>
    <row r="22" spans="1:6">
      <c r="A22" s="8"/>
      <c r="B22" s="11" t="s">
        <v>10</v>
      </c>
      <c r="C22" s="10">
        <v>3.5599999999999998E-4</v>
      </c>
      <c r="D22" s="12">
        <f>ROUND(D$3*C22,0)</f>
        <v>1931</v>
      </c>
      <c r="E22" s="13">
        <f>ROUND(D22/2,0)</f>
        <v>966</v>
      </c>
      <c r="F22" s="12">
        <f>D22-E22</f>
        <v>965</v>
      </c>
    </row>
    <row r="23" spans="1:6">
      <c r="A23" s="8"/>
      <c r="B23" s="11" t="s">
        <v>11</v>
      </c>
      <c r="C23" s="10">
        <v>7.7999999999999999E-5</v>
      </c>
      <c r="D23" s="12">
        <f>ROUND(D$3*C23,0)</f>
        <v>423</v>
      </c>
      <c r="E23" s="13">
        <f>ROUND(D23/2,0)</f>
        <v>212</v>
      </c>
      <c r="F23" s="12">
        <f>D23-E23</f>
        <v>211</v>
      </c>
    </row>
    <row r="24" spans="1:6">
      <c r="A24" s="8">
        <v>2</v>
      </c>
      <c r="B24" s="11" t="s">
        <v>1000</v>
      </c>
      <c r="C24" s="11"/>
      <c r="D24" s="9"/>
      <c r="E24" s="11"/>
      <c r="F24" s="11"/>
    </row>
    <row r="25" spans="1:6">
      <c r="A25" s="8"/>
      <c r="B25" s="11" t="s">
        <v>10</v>
      </c>
      <c r="C25" s="10">
        <v>4.6000000000000001E-4</v>
      </c>
      <c r="D25" s="12">
        <f>ROUND(D$3*C25,0)</f>
        <v>2494</v>
      </c>
      <c r="E25" s="13">
        <f>ROUND(D25/2,0)</f>
        <v>1247</v>
      </c>
      <c r="F25" s="12">
        <f>D25-E25</f>
        <v>1247</v>
      </c>
    </row>
    <row r="26" spans="1:6">
      <c r="A26" s="8"/>
      <c r="B26" s="11" t="s">
        <v>11</v>
      </c>
      <c r="C26" s="10">
        <v>3.9999999999999998E-6</v>
      </c>
      <c r="D26" s="12">
        <f>ROUND(D$3*C26,0)</f>
        <v>22</v>
      </c>
      <c r="E26" s="13">
        <f>ROUND(D26/2,0)</f>
        <v>11</v>
      </c>
      <c r="F26" s="12">
        <f>D26-E26</f>
        <v>11</v>
      </c>
    </row>
    <row r="27" spans="1:6">
      <c r="A27" s="8">
        <v>2</v>
      </c>
      <c r="B27" s="11" t="s">
        <v>1001</v>
      </c>
      <c r="C27" s="11"/>
      <c r="D27" s="9"/>
      <c r="E27" s="11"/>
      <c r="F27" s="11"/>
    </row>
    <row r="28" spans="1:6">
      <c r="A28" s="8"/>
      <c r="B28" s="11" t="s">
        <v>10</v>
      </c>
      <c r="C28" s="10">
        <v>5.7840000000000001E-3</v>
      </c>
      <c r="D28" s="12">
        <f>ROUND(D$3*C28,0)</f>
        <v>31365</v>
      </c>
      <c r="E28" s="13">
        <f>ROUND(D28/2,0)</f>
        <v>15683</v>
      </c>
      <c r="F28" s="12">
        <f>D28-E28</f>
        <v>15682</v>
      </c>
    </row>
    <row r="29" spans="1:6">
      <c r="A29" s="8"/>
      <c r="B29" s="11" t="s">
        <v>11</v>
      </c>
      <c r="C29" s="10">
        <v>0</v>
      </c>
      <c r="D29" s="12">
        <f>ROUND(D$3*C29,0)</f>
        <v>0</v>
      </c>
      <c r="E29" s="13">
        <f>ROUND(D29/2,0)</f>
        <v>0</v>
      </c>
      <c r="F29" s="12">
        <f>D29-E29</f>
        <v>0</v>
      </c>
    </row>
    <row r="30" spans="1:6">
      <c r="A30" s="8">
        <v>2</v>
      </c>
      <c r="B30" s="11" t="s">
        <v>271</v>
      </c>
      <c r="C30" s="11"/>
      <c r="D30" s="9"/>
      <c r="E30" s="11"/>
      <c r="F30" s="11"/>
    </row>
    <row r="31" spans="1:6">
      <c r="A31" s="8"/>
      <c r="B31" s="11" t="s">
        <v>10</v>
      </c>
      <c r="C31" s="10">
        <v>4.28E-4</v>
      </c>
      <c r="D31" s="12">
        <f>ROUND(D$3*C31,0)</f>
        <v>2321</v>
      </c>
      <c r="E31" s="13">
        <f>ROUND(D31/2,0)</f>
        <v>1161</v>
      </c>
      <c r="F31" s="12">
        <f>D31-E31</f>
        <v>1160</v>
      </c>
    </row>
    <row r="32" spans="1:6">
      <c r="A32" s="8"/>
      <c r="B32" s="11" t="s">
        <v>11</v>
      </c>
      <c r="C32" s="10">
        <v>9.9999999999999995E-7</v>
      </c>
      <c r="D32" s="12">
        <f>ROUND(D$3*C32,0)</f>
        <v>5</v>
      </c>
      <c r="E32" s="13">
        <f>ROUND(D32/2,0)</f>
        <v>3</v>
      </c>
      <c r="F32" s="12">
        <f>D32-E32</f>
        <v>2</v>
      </c>
    </row>
    <row r="33" spans="1:6">
      <c r="A33" s="8">
        <v>2</v>
      </c>
      <c r="B33" s="11" t="s">
        <v>1002</v>
      </c>
      <c r="C33" s="11"/>
      <c r="D33" s="9"/>
      <c r="E33" s="11"/>
      <c r="F33" s="11"/>
    </row>
    <row r="34" spans="1:6">
      <c r="A34" s="8"/>
      <c r="B34" s="11" t="s">
        <v>10</v>
      </c>
      <c r="C34" s="10">
        <v>2.4800000000000001E-4</v>
      </c>
      <c r="D34" s="12">
        <f>ROUND(D$3*C34,0)</f>
        <v>1345</v>
      </c>
      <c r="E34" s="13">
        <f>ROUND(D34/2,0)</f>
        <v>673</v>
      </c>
      <c r="F34" s="12">
        <f>D34-E34</f>
        <v>672</v>
      </c>
    </row>
    <row r="35" spans="1:6">
      <c r="A35" s="8"/>
      <c r="B35" s="11" t="s">
        <v>11</v>
      </c>
      <c r="C35" s="10">
        <v>2.5999999999999998E-5</v>
      </c>
      <c r="D35" s="12">
        <f>ROUND(D$3*C35,0)</f>
        <v>141</v>
      </c>
      <c r="E35" s="13">
        <f>ROUND(D35/2,0)</f>
        <v>71</v>
      </c>
      <c r="F35" s="12">
        <f>D35-E35</f>
        <v>70</v>
      </c>
    </row>
    <row r="36" spans="1:6">
      <c r="A36" s="8">
        <v>2</v>
      </c>
      <c r="B36" s="11" t="s">
        <v>1003</v>
      </c>
      <c r="C36" s="11"/>
      <c r="D36" s="9"/>
      <c r="E36" s="11"/>
      <c r="F36" s="11"/>
    </row>
    <row r="37" spans="1:6">
      <c r="A37" s="8"/>
      <c r="B37" s="11" t="s">
        <v>10</v>
      </c>
      <c r="C37" s="10">
        <v>6.2600000000000004E-4</v>
      </c>
      <c r="D37" s="12">
        <f>ROUND(D$3*C37,0)</f>
        <v>3395</v>
      </c>
      <c r="E37" s="13">
        <f>ROUND(D37/2,0)</f>
        <v>1698</v>
      </c>
      <c r="F37" s="12">
        <f>D37-E37</f>
        <v>1697</v>
      </c>
    </row>
    <row r="38" spans="1:6">
      <c r="A38" s="8"/>
      <c r="B38" s="11" t="s">
        <v>11</v>
      </c>
      <c r="C38" s="10">
        <v>1E-4</v>
      </c>
      <c r="D38" s="12">
        <f>ROUND(D$3*C38,0)</f>
        <v>542</v>
      </c>
      <c r="E38" s="13">
        <f>ROUND(D38/2,0)</f>
        <v>271</v>
      </c>
      <c r="F38" s="12">
        <f>D38-E38</f>
        <v>271</v>
      </c>
    </row>
    <row r="39" spans="1:6">
      <c r="A39" s="8">
        <v>2</v>
      </c>
      <c r="B39" s="11" t="s">
        <v>1004</v>
      </c>
      <c r="C39" s="11"/>
      <c r="D39" s="9"/>
      <c r="E39" s="11"/>
      <c r="F39" s="11"/>
    </row>
    <row r="40" spans="1:6">
      <c r="A40" s="8"/>
      <c r="B40" s="11" t="s">
        <v>10</v>
      </c>
      <c r="C40" s="10">
        <v>0</v>
      </c>
      <c r="D40" s="12">
        <f t="shared" ref="D40:D61" si="0">ROUND(D$3*C40,0)</f>
        <v>0</v>
      </c>
      <c r="E40" s="13">
        <f t="shared" ref="E40:E61" si="1">ROUND(D40/2,0)</f>
        <v>0</v>
      </c>
      <c r="F40" s="12">
        <f t="shared" ref="F40:F61" si="2">D40-E40</f>
        <v>0</v>
      </c>
    </row>
    <row r="41" spans="1:6">
      <c r="A41" s="8"/>
      <c r="B41" s="11" t="s">
        <v>11</v>
      </c>
      <c r="C41" s="10">
        <v>0</v>
      </c>
      <c r="D41" s="12">
        <f t="shared" si="0"/>
        <v>0</v>
      </c>
      <c r="E41" s="13">
        <f t="shared" si="1"/>
        <v>0</v>
      </c>
      <c r="F41" s="12">
        <f t="shared" si="2"/>
        <v>0</v>
      </c>
    </row>
    <row r="42" spans="1:6">
      <c r="A42" s="8">
        <v>3</v>
      </c>
      <c r="B42" s="11" t="s">
        <v>1005</v>
      </c>
      <c r="C42" s="10">
        <v>3.3289999999999999E-3</v>
      </c>
      <c r="D42" s="12">
        <f t="shared" si="0"/>
        <v>18052</v>
      </c>
      <c r="E42" s="13">
        <f t="shared" si="1"/>
        <v>9026</v>
      </c>
      <c r="F42" s="12">
        <f t="shared" si="2"/>
        <v>9026</v>
      </c>
    </row>
    <row r="43" spans="1:6">
      <c r="A43" s="8">
        <v>3</v>
      </c>
      <c r="B43" s="11" t="s">
        <v>1006</v>
      </c>
      <c r="C43" s="10">
        <v>1.3476E-2</v>
      </c>
      <c r="D43" s="12">
        <f t="shared" si="0"/>
        <v>73077</v>
      </c>
      <c r="E43" s="13">
        <f t="shared" si="1"/>
        <v>36539</v>
      </c>
      <c r="F43" s="12">
        <f t="shared" si="2"/>
        <v>36538</v>
      </c>
    </row>
    <row r="44" spans="1:6">
      <c r="A44" s="8">
        <v>3</v>
      </c>
      <c r="B44" s="11" t="s">
        <v>1007</v>
      </c>
      <c r="C44" s="10">
        <v>1.854E-3</v>
      </c>
      <c r="D44" s="12">
        <f t="shared" si="0"/>
        <v>10054</v>
      </c>
      <c r="E44" s="13">
        <f t="shared" si="1"/>
        <v>5027</v>
      </c>
      <c r="F44" s="12">
        <f t="shared" si="2"/>
        <v>5027</v>
      </c>
    </row>
    <row r="45" spans="1:6">
      <c r="A45" s="8">
        <v>3</v>
      </c>
      <c r="B45" s="11" t="s">
        <v>1008</v>
      </c>
      <c r="C45" s="10">
        <v>2.6672000000000001E-2</v>
      </c>
      <c r="D45" s="12">
        <f t="shared" si="0"/>
        <v>144636</v>
      </c>
      <c r="E45" s="13">
        <f t="shared" si="1"/>
        <v>72318</v>
      </c>
      <c r="F45" s="12">
        <f t="shared" si="2"/>
        <v>72318</v>
      </c>
    </row>
    <row r="46" spans="1:6">
      <c r="A46" s="8">
        <v>3</v>
      </c>
      <c r="B46" s="11" t="s">
        <v>1009</v>
      </c>
      <c r="C46" s="10">
        <v>8.3257999999999999E-2</v>
      </c>
      <c r="D46" s="12">
        <f t="shared" si="0"/>
        <v>451489</v>
      </c>
      <c r="E46" s="13">
        <f t="shared" si="1"/>
        <v>225745</v>
      </c>
      <c r="F46" s="12">
        <f t="shared" si="2"/>
        <v>225744</v>
      </c>
    </row>
    <row r="47" spans="1:6">
      <c r="A47" s="8">
        <v>3</v>
      </c>
      <c r="B47" s="11" t="s">
        <v>1010</v>
      </c>
      <c r="C47" s="10">
        <v>1.4494999999999999E-2</v>
      </c>
      <c r="D47" s="12">
        <f t="shared" si="0"/>
        <v>78603</v>
      </c>
      <c r="E47" s="13">
        <f t="shared" si="1"/>
        <v>39302</v>
      </c>
      <c r="F47" s="12">
        <f t="shared" si="2"/>
        <v>39301</v>
      </c>
    </row>
    <row r="48" spans="1:6">
      <c r="A48" s="8">
        <v>3</v>
      </c>
      <c r="B48" s="11" t="s">
        <v>1011</v>
      </c>
      <c r="C48" s="10">
        <v>0.101705</v>
      </c>
      <c r="D48" s="12">
        <f t="shared" si="0"/>
        <v>551523</v>
      </c>
      <c r="E48" s="13">
        <f t="shared" si="1"/>
        <v>275762</v>
      </c>
      <c r="F48" s="12">
        <f t="shared" si="2"/>
        <v>275761</v>
      </c>
    </row>
    <row r="49" spans="1:6">
      <c r="A49" s="8">
        <v>3</v>
      </c>
      <c r="B49" s="11" t="s">
        <v>1012</v>
      </c>
      <c r="C49" s="10">
        <v>6.8060000000000004E-3</v>
      </c>
      <c r="D49" s="12">
        <f t="shared" si="0"/>
        <v>36907</v>
      </c>
      <c r="E49" s="13">
        <f t="shared" si="1"/>
        <v>18454</v>
      </c>
      <c r="F49" s="12">
        <f t="shared" si="2"/>
        <v>18453</v>
      </c>
    </row>
    <row r="50" spans="1:6">
      <c r="A50" s="8">
        <v>3</v>
      </c>
      <c r="B50" s="11" t="s">
        <v>1013</v>
      </c>
      <c r="C50" s="10">
        <v>7.3340000000000002E-3</v>
      </c>
      <c r="D50" s="12">
        <f t="shared" si="0"/>
        <v>39771</v>
      </c>
      <c r="E50" s="13">
        <f t="shared" si="1"/>
        <v>19886</v>
      </c>
      <c r="F50" s="12">
        <f t="shared" si="2"/>
        <v>19885</v>
      </c>
    </row>
    <row r="51" spans="1:6">
      <c r="A51" s="8">
        <v>3</v>
      </c>
      <c r="B51" s="11" t="s">
        <v>1014</v>
      </c>
      <c r="C51" s="10">
        <v>3.7789999999999998E-3</v>
      </c>
      <c r="D51" s="12">
        <f t="shared" si="0"/>
        <v>20493</v>
      </c>
      <c r="E51" s="13">
        <f t="shared" si="1"/>
        <v>10247</v>
      </c>
      <c r="F51" s="12">
        <f t="shared" si="2"/>
        <v>10246</v>
      </c>
    </row>
    <row r="52" spans="1:6">
      <c r="A52" s="8">
        <v>3</v>
      </c>
      <c r="B52" s="11" t="s">
        <v>1015</v>
      </c>
      <c r="C52" s="10">
        <v>6.3400000000000001E-4</v>
      </c>
      <c r="D52" s="12">
        <f t="shared" si="0"/>
        <v>3438</v>
      </c>
      <c r="E52" s="13">
        <f t="shared" si="1"/>
        <v>1719</v>
      </c>
      <c r="F52" s="12">
        <f t="shared" si="2"/>
        <v>1719</v>
      </c>
    </row>
    <row r="53" spans="1:6">
      <c r="A53" s="8">
        <v>3</v>
      </c>
      <c r="B53" s="11" t="s">
        <v>1016</v>
      </c>
      <c r="C53" s="10">
        <v>2.5400000000000002E-3</v>
      </c>
      <c r="D53" s="12">
        <f t="shared" si="0"/>
        <v>13774</v>
      </c>
      <c r="E53" s="13">
        <f t="shared" si="1"/>
        <v>6887</v>
      </c>
      <c r="F53" s="12">
        <f t="shared" si="2"/>
        <v>6887</v>
      </c>
    </row>
    <row r="54" spans="1:6">
      <c r="A54" s="8">
        <v>3</v>
      </c>
      <c r="B54" s="11" t="s">
        <v>1017</v>
      </c>
      <c r="C54" s="10">
        <v>5.8199999999999997E-3</v>
      </c>
      <c r="D54" s="12">
        <f t="shared" si="0"/>
        <v>31561</v>
      </c>
      <c r="E54" s="13">
        <f t="shared" si="1"/>
        <v>15781</v>
      </c>
      <c r="F54" s="12">
        <f t="shared" si="2"/>
        <v>15780</v>
      </c>
    </row>
    <row r="55" spans="1:6">
      <c r="A55" s="8">
        <v>3</v>
      </c>
      <c r="B55" s="11" t="s">
        <v>1018</v>
      </c>
      <c r="C55" s="10">
        <v>8.2000000000000001E-5</v>
      </c>
      <c r="D55" s="12">
        <f t="shared" si="0"/>
        <v>445</v>
      </c>
      <c r="E55" s="13">
        <f t="shared" si="1"/>
        <v>223</v>
      </c>
      <c r="F55" s="12">
        <f t="shared" si="2"/>
        <v>222</v>
      </c>
    </row>
    <row r="56" spans="1:6">
      <c r="A56" s="8">
        <v>3</v>
      </c>
      <c r="B56" s="11" t="s">
        <v>1019</v>
      </c>
      <c r="C56" s="10">
        <v>8.8970000000000004E-3</v>
      </c>
      <c r="D56" s="12">
        <f t="shared" si="0"/>
        <v>48246</v>
      </c>
      <c r="E56" s="13">
        <f t="shared" si="1"/>
        <v>24123</v>
      </c>
      <c r="F56" s="12">
        <f t="shared" si="2"/>
        <v>24123</v>
      </c>
    </row>
    <row r="57" spans="1:6">
      <c r="A57" s="8">
        <v>3</v>
      </c>
      <c r="B57" s="11" t="s">
        <v>1020</v>
      </c>
      <c r="C57" s="10">
        <v>0</v>
      </c>
      <c r="D57" s="12">
        <f t="shared" si="0"/>
        <v>0</v>
      </c>
      <c r="E57" s="13">
        <f t="shared" si="1"/>
        <v>0</v>
      </c>
      <c r="F57" s="12">
        <f t="shared" si="2"/>
        <v>0</v>
      </c>
    </row>
    <row r="58" spans="1:6">
      <c r="A58" s="8">
        <v>3</v>
      </c>
      <c r="B58" s="11" t="s">
        <v>1021</v>
      </c>
      <c r="C58" s="10">
        <v>2.1410000000000001E-3</v>
      </c>
      <c r="D58" s="12">
        <f t="shared" si="0"/>
        <v>11610</v>
      </c>
      <c r="E58" s="13">
        <f t="shared" si="1"/>
        <v>5805</v>
      </c>
      <c r="F58" s="12">
        <f t="shared" si="2"/>
        <v>5805</v>
      </c>
    </row>
    <row r="59" spans="1:6">
      <c r="A59" s="8">
        <v>3</v>
      </c>
      <c r="B59" s="11" t="s">
        <v>1022</v>
      </c>
      <c r="C59" s="10">
        <v>6.0879999999999997E-3</v>
      </c>
      <c r="D59" s="12">
        <f t="shared" si="0"/>
        <v>33014</v>
      </c>
      <c r="E59" s="13">
        <f t="shared" si="1"/>
        <v>16507</v>
      </c>
      <c r="F59" s="12">
        <f t="shared" si="2"/>
        <v>16507</v>
      </c>
    </row>
    <row r="60" spans="1:6">
      <c r="A60" s="8">
        <v>3</v>
      </c>
      <c r="B60" s="11" t="s">
        <v>1023</v>
      </c>
      <c r="C60" s="10">
        <v>0</v>
      </c>
      <c r="D60" s="12">
        <f t="shared" si="0"/>
        <v>0</v>
      </c>
      <c r="E60" s="13">
        <f t="shared" si="1"/>
        <v>0</v>
      </c>
      <c r="F60" s="12">
        <f t="shared" si="2"/>
        <v>0</v>
      </c>
    </row>
    <row r="61" spans="1:6">
      <c r="A61" s="8">
        <v>4</v>
      </c>
      <c r="B61" s="11" t="s">
        <v>1024</v>
      </c>
      <c r="C61" s="10">
        <v>2.1409999999999998E-2</v>
      </c>
      <c r="D61" s="9">
        <f t="shared" si="0"/>
        <v>116102</v>
      </c>
      <c r="E61" s="11">
        <f t="shared" si="1"/>
        <v>58051</v>
      </c>
      <c r="F61" s="9">
        <f t="shared" si="2"/>
        <v>58051</v>
      </c>
    </row>
    <row r="62" spans="1:6">
      <c r="A62" s="8"/>
      <c r="B62" s="11" t="s">
        <v>28</v>
      </c>
      <c r="C62" s="11"/>
      <c r="D62" s="14">
        <v>0.40711700000000001</v>
      </c>
      <c r="E62" s="11"/>
      <c r="F62" s="11"/>
    </row>
    <row r="63" spans="1:6">
      <c r="A63" s="8"/>
      <c r="B63" s="11" t="s">
        <v>29</v>
      </c>
      <c r="C63" s="11"/>
      <c r="D63" s="232">
        <f>ROUND(D61*D62,0)</f>
        <v>47267</v>
      </c>
      <c r="E63" s="233">
        <f>ROUND(D63/2,0)</f>
        <v>23634</v>
      </c>
      <c r="F63" s="232">
        <f>D63-E63</f>
        <v>23633</v>
      </c>
    </row>
    <row r="64" spans="1:6">
      <c r="A64" s="8"/>
      <c r="B64" s="11" t="s">
        <v>30</v>
      </c>
      <c r="C64" s="11"/>
      <c r="D64" s="12">
        <f>+D61-D63</f>
        <v>68835</v>
      </c>
      <c r="E64" s="13">
        <f>ROUND(D64/2,0)</f>
        <v>34418</v>
      </c>
      <c r="F64" s="12">
        <f>D64-E64</f>
        <v>34417</v>
      </c>
    </row>
    <row r="65" spans="1:6">
      <c r="A65" s="8">
        <v>4</v>
      </c>
      <c r="B65" s="11" t="s">
        <v>1025</v>
      </c>
      <c r="C65" s="10">
        <v>3.3808999999999999E-2</v>
      </c>
      <c r="D65" s="9">
        <f>ROUND(D$3*C65,0)</f>
        <v>183339</v>
      </c>
      <c r="E65" s="11">
        <f>ROUND(D65/2,0)</f>
        <v>91670</v>
      </c>
      <c r="F65" s="9">
        <f>D65-E65</f>
        <v>91669</v>
      </c>
    </row>
    <row r="66" spans="1:6">
      <c r="A66" s="8"/>
      <c r="B66" s="11" t="s">
        <v>28</v>
      </c>
      <c r="C66" s="11"/>
      <c r="D66" s="14">
        <v>0.33182699999999998</v>
      </c>
      <c r="E66" s="11"/>
      <c r="F66" s="11"/>
    </row>
    <row r="67" spans="1:6">
      <c r="A67" s="8"/>
      <c r="B67" s="11" t="s">
        <v>29</v>
      </c>
      <c r="C67" s="11"/>
      <c r="D67" s="232">
        <f>ROUND(D65*D66,0)</f>
        <v>60837</v>
      </c>
      <c r="E67" s="233">
        <f>ROUND(D67/2,0)</f>
        <v>30419</v>
      </c>
      <c r="F67" s="232">
        <f>D67-E67</f>
        <v>30418</v>
      </c>
    </row>
    <row r="68" spans="1:6">
      <c r="A68" s="8"/>
      <c r="B68" s="11" t="s">
        <v>30</v>
      </c>
      <c r="C68" s="11"/>
      <c r="D68" s="12">
        <f>+D65-D67</f>
        <v>122502</v>
      </c>
      <c r="E68" s="13">
        <f>ROUND(D68/2,0)</f>
        <v>61251</v>
      </c>
      <c r="F68" s="12">
        <f>D68-E68</f>
        <v>61251</v>
      </c>
    </row>
    <row r="69" spans="1:6">
      <c r="A69" s="8">
        <v>4</v>
      </c>
      <c r="B69" s="11" t="s">
        <v>1026</v>
      </c>
      <c r="C69" s="10">
        <v>6.8191000000000002E-2</v>
      </c>
      <c r="D69" s="9">
        <f>ROUND(D$3*C69,0)</f>
        <v>369784</v>
      </c>
      <c r="E69" s="11">
        <f>ROUND(D69/2,0)</f>
        <v>184892</v>
      </c>
      <c r="F69" s="9">
        <f>D69-E69</f>
        <v>184892</v>
      </c>
    </row>
    <row r="70" spans="1:6">
      <c r="A70" s="8"/>
      <c r="B70" s="11" t="s">
        <v>28</v>
      </c>
      <c r="C70" s="11"/>
      <c r="D70" s="14">
        <v>0.52289200000000002</v>
      </c>
      <c r="E70" s="11"/>
      <c r="F70" s="11"/>
    </row>
    <row r="71" spans="1:6">
      <c r="A71" s="8" t="s">
        <v>590</v>
      </c>
      <c r="B71" s="11" t="s">
        <v>29</v>
      </c>
      <c r="C71" s="11"/>
      <c r="D71" s="232">
        <f>ROUND(D69*D70,0)</f>
        <v>193357</v>
      </c>
      <c r="E71" s="233">
        <f>ROUND(D71/2,0)</f>
        <v>96679</v>
      </c>
      <c r="F71" s="232">
        <f>D71-E71</f>
        <v>96678</v>
      </c>
    </row>
    <row r="72" spans="1:6">
      <c r="A72" s="8"/>
      <c r="B72" s="11" t="s">
        <v>30</v>
      </c>
      <c r="C72" s="11"/>
      <c r="D72" s="12">
        <f>+D69-D71</f>
        <v>176427</v>
      </c>
      <c r="E72" s="13">
        <f>ROUND(D72/2,0)</f>
        <v>88214</v>
      </c>
      <c r="F72" s="12">
        <f>D72-E72</f>
        <v>88213</v>
      </c>
    </row>
    <row r="73" spans="1:6">
      <c r="A73" s="8">
        <v>4</v>
      </c>
      <c r="B73" s="11" t="s">
        <v>1027</v>
      </c>
      <c r="C73" s="10">
        <v>2.0174000000000001E-2</v>
      </c>
      <c r="D73" s="9">
        <f>ROUND(D$3*C73,0)</f>
        <v>109399</v>
      </c>
      <c r="E73" s="11">
        <f>ROUND(D73/2,0)</f>
        <v>54700</v>
      </c>
      <c r="F73" s="9">
        <f>D73-E73</f>
        <v>54699</v>
      </c>
    </row>
    <row r="74" spans="1:6">
      <c r="A74" s="8"/>
      <c r="B74" s="11" t="s">
        <v>28</v>
      </c>
      <c r="C74" s="11"/>
      <c r="D74" s="14">
        <v>0.41710000000000003</v>
      </c>
      <c r="E74" s="11"/>
      <c r="F74" s="11"/>
    </row>
    <row r="75" spans="1:6">
      <c r="A75" s="8"/>
      <c r="B75" s="11" t="s">
        <v>29</v>
      </c>
      <c r="C75" s="11"/>
      <c r="D75" s="232">
        <f>ROUND(D73*D74,0)</f>
        <v>45630</v>
      </c>
      <c r="E75" s="233">
        <f>ROUND(D75/2,0)</f>
        <v>22815</v>
      </c>
      <c r="F75" s="232">
        <f>D75-E75</f>
        <v>22815</v>
      </c>
    </row>
    <row r="76" spans="1:6">
      <c r="A76" s="8"/>
      <c r="B76" s="11" t="s">
        <v>30</v>
      </c>
      <c r="C76" s="11"/>
      <c r="D76" s="12">
        <f>+D73-D75</f>
        <v>63769</v>
      </c>
      <c r="E76" s="13">
        <f>ROUND(D76/2,0)</f>
        <v>31885</v>
      </c>
      <c r="F76" s="12">
        <f>D76-E76</f>
        <v>31884</v>
      </c>
    </row>
    <row r="77" spans="1:6">
      <c r="A77" s="8">
        <v>4</v>
      </c>
      <c r="B77" s="11" t="s">
        <v>1028</v>
      </c>
      <c r="C77" s="10">
        <v>0.105992</v>
      </c>
      <c r="D77" s="9">
        <f>ROUND(D$3*C77,0)</f>
        <v>574771</v>
      </c>
      <c r="E77" s="11">
        <f>ROUND(D77/2,0)</f>
        <v>287386</v>
      </c>
      <c r="F77" s="9">
        <f>D77-E77</f>
        <v>287385</v>
      </c>
    </row>
    <row r="78" spans="1:6">
      <c r="A78" s="8"/>
      <c r="B78" s="11" t="s">
        <v>28</v>
      </c>
      <c r="C78" s="11"/>
      <c r="D78" s="14">
        <v>0.30629600000000001</v>
      </c>
      <c r="E78" s="11"/>
      <c r="F78" s="11"/>
    </row>
    <row r="79" spans="1:6">
      <c r="A79" s="8"/>
      <c r="B79" s="11" t="s">
        <v>29</v>
      </c>
      <c r="C79" s="11"/>
      <c r="D79" s="232">
        <f>ROUND(D77*D78,0)</f>
        <v>176050</v>
      </c>
      <c r="E79" s="233">
        <f>ROUND(D79/2,0)</f>
        <v>88025</v>
      </c>
      <c r="F79" s="232">
        <f>D79-E79</f>
        <v>88025</v>
      </c>
    </row>
    <row r="80" spans="1:6">
      <c r="A80" s="8"/>
      <c r="B80" s="11" t="s">
        <v>30</v>
      </c>
      <c r="C80" s="11"/>
      <c r="D80" s="12">
        <f>+D77-D79</f>
        <v>398721</v>
      </c>
      <c r="E80" s="13">
        <f>ROUND(D80/2,0)</f>
        <v>199361</v>
      </c>
      <c r="F80" s="12">
        <f>D80-E80</f>
        <v>199360</v>
      </c>
    </row>
    <row r="81" spans="1:6">
      <c r="A81" s="8">
        <v>4</v>
      </c>
      <c r="B81" s="11" t="s">
        <v>1029</v>
      </c>
      <c r="C81" s="10">
        <v>5.8469999999999998E-3</v>
      </c>
      <c r="D81" s="9">
        <f>ROUND(D$3*C81,0)</f>
        <v>31707</v>
      </c>
      <c r="E81" s="11">
        <f>ROUND(D81/2,0)</f>
        <v>15854</v>
      </c>
      <c r="F81" s="9">
        <f>D81-E81</f>
        <v>15853</v>
      </c>
    </row>
    <row r="82" spans="1:6">
      <c r="A82" s="8"/>
      <c r="B82" s="11" t="s">
        <v>28</v>
      </c>
      <c r="C82" s="11"/>
      <c r="D82" s="14">
        <v>0.35559600000000002</v>
      </c>
      <c r="E82" s="11"/>
      <c r="F82" s="11"/>
    </row>
    <row r="83" spans="1:6">
      <c r="A83" s="8"/>
      <c r="B83" s="11" t="s">
        <v>29</v>
      </c>
      <c r="C83" s="11"/>
      <c r="D83" s="232">
        <f>ROUND(D81*D82,0)</f>
        <v>11275</v>
      </c>
      <c r="E83" s="233">
        <f>ROUND(D83/2,0)</f>
        <v>5638</v>
      </c>
      <c r="F83" s="232">
        <f>D83-E83</f>
        <v>5637</v>
      </c>
    </row>
    <row r="84" spans="1:6">
      <c r="A84" s="8"/>
      <c r="B84" s="11" t="s">
        <v>30</v>
      </c>
      <c r="C84" s="11"/>
      <c r="D84" s="12">
        <f>+D81-D83</f>
        <v>20432</v>
      </c>
      <c r="E84" s="13">
        <f>ROUND(D84/2,0)</f>
        <v>10216</v>
      </c>
      <c r="F84" s="12">
        <f>D84-E84</f>
        <v>10216</v>
      </c>
    </row>
    <row r="85" spans="1:6">
      <c r="A85" s="8">
        <v>4</v>
      </c>
      <c r="B85" s="11" t="s">
        <v>1030</v>
      </c>
      <c r="C85" s="10">
        <v>1.2602E-2</v>
      </c>
      <c r="D85" s="9">
        <f>ROUND(D$3*C85,0)</f>
        <v>68338</v>
      </c>
      <c r="E85" s="11">
        <f>ROUND(D85/2,0)</f>
        <v>34169</v>
      </c>
      <c r="F85" s="9">
        <f>D85-E85</f>
        <v>34169</v>
      </c>
    </row>
    <row r="86" spans="1:6">
      <c r="A86" s="8"/>
      <c r="B86" s="11" t="s">
        <v>28</v>
      </c>
      <c r="C86" s="11"/>
      <c r="D86" s="14">
        <v>0.58227399999999996</v>
      </c>
      <c r="E86" s="11"/>
      <c r="F86" s="11"/>
    </row>
    <row r="87" spans="1:6">
      <c r="A87" s="8"/>
      <c r="B87" s="11" t="s">
        <v>29</v>
      </c>
      <c r="C87" s="11"/>
      <c r="D87" s="232">
        <f>ROUND(D85*D86,0)</f>
        <v>39791</v>
      </c>
      <c r="E87" s="233">
        <f>ROUND(D87/2,0)</f>
        <v>19896</v>
      </c>
      <c r="F87" s="232">
        <f>D87-E87</f>
        <v>19895</v>
      </c>
    </row>
    <row r="88" spans="1:6">
      <c r="A88" s="8"/>
      <c r="B88" s="11" t="s">
        <v>30</v>
      </c>
      <c r="C88" s="11"/>
      <c r="D88" s="12">
        <f>+D85-D87</f>
        <v>28547</v>
      </c>
      <c r="E88" s="13">
        <f>ROUND(D88/2,0)</f>
        <v>14274</v>
      </c>
      <c r="F88" s="12">
        <f>D88-E88</f>
        <v>14273</v>
      </c>
    </row>
    <row r="89" spans="1:6">
      <c r="A89" s="8">
        <v>4</v>
      </c>
      <c r="B89" s="11" t="s">
        <v>1031</v>
      </c>
      <c r="C89" s="10">
        <v>2.8842E-2</v>
      </c>
      <c r="D89" s="9">
        <f>ROUND(D$3*C89,0)</f>
        <v>156404</v>
      </c>
      <c r="E89" s="11">
        <f>ROUND(D89/2,0)</f>
        <v>78202</v>
      </c>
      <c r="F89" s="9">
        <f>D89-E89</f>
        <v>78202</v>
      </c>
    </row>
    <row r="90" spans="1:6">
      <c r="A90" s="8"/>
      <c r="B90" s="11" t="s">
        <v>28</v>
      </c>
      <c r="C90" s="11"/>
      <c r="D90" s="14">
        <v>0.58030300000000001</v>
      </c>
      <c r="E90" s="11"/>
      <c r="F90" s="11"/>
    </row>
    <row r="91" spans="1:6">
      <c r="A91" s="8"/>
      <c r="B91" s="11" t="s">
        <v>29</v>
      </c>
      <c r="C91" s="11"/>
      <c r="D91" s="232">
        <f>ROUND(D89*D90,0)</f>
        <v>90762</v>
      </c>
      <c r="E91" s="233">
        <f>ROUND(D91/2,0)</f>
        <v>45381</v>
      </c>
      <c r="F91" s="232">
        <f>D91-E91</f>
        <v>45381</v>
      </c>
    </row>
    <row r="92" spans="1:6">
      <c r="A92" s="8"/>
      <c r="B92" s="11" t="s">
        <v>30</v>
      </c>
      <c r="C92" s="11"/>
      <c r="D92" s="12">
        <f>+D89-D91</f>
        <v>65642</v>
      </c>
      <c r="E92" s="13">
        <f>ROUND(D92/2,0)</f>
        <v>32821</v>
      </c>
      <c r="F92" s="12">
        <f>D92-E92</f>
        <v>32821</v>
      </c>
    </row>
    <row r="93" spans="1:6">
      <c r="A93" s="8">
        <v>4</v>
      </c>
      <c r="B93" s="11" t="s">
        <v>1032</v>
      </c>
      <c r="C93" s="10">
        <v>1.6362999999999999E-2</v>
      </c>
      <c r="D93" s="9">
        <f>ROUND(D$3*C93,0)</f>
        <v>88733</v>
      </c>
      <c r="E93" s="11">
        <f>ROUND(D93/2,0)</f>
        <v>44367</v>
      </c>
      <c r="F93" s="9">
        <f>D93-E93</f>
        <v>44366</v>
      </c>
    </row>
    <row r="94" spans="1:6">
      <c r="A94" s="8"/>
      <c r="B94" s="11" t="s">
        <v>28</v>
      </c>
      <c r="C94" s="11"/>
      <c r="D94" s="14">
        <v>0.34986</v>
      </c>
      <c r="E94" s="11"/>
      <c r="F94" s="11"/>
    </row>
    <row r="95" spans="1:6">
      <c r="A95" s="8"/>
      <c r="B95" s="11" t="s">
        <v>29</v>
      </c>
      <c r="C95" s="11"/>
      <c r="D95" s="232">
        <f>ROUND(D93*D94,0)</f>
        <v>31044</v>
      </c>
      <c r="E95" s="233">
        <f>ROUND(D95/2,0)</f>
        <v>15522</v>
      </c>
      <c r="F95" s="232">
        <f>D95-E95</f>
        <v>15522</v>
      </c>
    </row>
    <row r="96" spans="1:6">
      <c r="A96" s="8"/>
      <c r="B96" s="11" t="s">
        <v>30</v>
      </c>
      <c r="C96" s="11"/>
      <c r="D96" s="12">
        <f>+D93-D95</f>
        <v>57689</v>
      </c>
      <c r="E96" s="13">
        <f>ROUND(D96/2,0)</f>
        <v>28845</v>
      </c>
      <c r="F96" s="12">
        <f>D96-E96</f>
        <v>28844</v>
      </c>
    </row>
    <row r="97" spans="1:6">
      <c r="A97" s="8">
        <v>4</v>
      </c>
      <c r="B97" s="11" t="s">
        <v>1033</v>
      </c>
      <c r="C97" s="10">
        <v>2.6459999999999999E-3</v>
      </c>
      <c r="D97" s="9">
        <f>ROUND(D$3*C97,0)</f>
        <v>14349</v>
      </c>
      <c r="E97" s="11">
        <f>ROUND(D97/2,0)</f>
        <v>7175</v>
      </c>
      <c r="F97" s="9">
        <f>D97-E97</f>
        <v>7174</v>
      </c>
    </row>
    <row r="98" spans="1:6">
      <c r="A98" s="8"/>
      <c r="B98" s="11" t="s">
        <v>28</v>
      </c>
      <c r="C98" s="11"/>
      <c r="D98" s="14">
        <v>0.33048899999999998</v>
      </c>
      <c r="E98" s="11"/>
      <c r="F98" s="11"/>
    </row>
    <row r="99" spans="1:6">
      <c r="A99" s="8"/>
      <c r="B99" s="11" t="s">
        <v>29</v>
      </c>
      <c r="C99" s="11"/>
      <c r="D99" s="232">
        <f>ROUND(D97*D98,0)</f>
        <v>4742</v>
      </c>
      <c r="E99" s="233">
        <f>ROUND(D99/2,0)</f>
        <v>2371</v>
      </c>
      <c r="F99" s="232">
        <f>D99-E99</f>
        <v>2371</v>
      </c>
    </row>
    <row r="100" spans="1:6">
      <c r="A100" s="8"/>
      <c r="B100" s="11" t="s">
        <v>30</v>
      </c>
      <c r="C100" s="11"/>
      <c r="D100" s="12">
        <f>+D97-D99</f>
        <v>9607</v>
      </c>
      <c r="E100" s="13">
        <f>ROUND(D100/2,0)</f>
        <v>4804</v>
      </c>
      <c r="F100" s="12">
        <f>D100-E100</f>
        <v>4803</v>
      </c>
    </row>
    <row r="101" spans="1:6">
      <c r="A101" s="8">
        <v>4</v>
      </c>
      <c r="B101" s="11" t="s">
        <v>1034</v>
      </c>
      <c r="C101" s="10">
        <v>1.2921999999999999E-2</v>
      </c>
      <c r="D101" s="9">
        <f>ROUND(D$3*C101,0)</f>
        <v>70073</v>
      </c>
      <c r="E101" s="11">
        <f>ROUND(D101/2,0)</f>
        <v>35037</v>
      </c>
      <c r="F101" s="9">
        <f>D101-E101</f>
        <v>35036</v>
      </c>
    </row>
    <row r="102" spans="1:6">
      <c r="A102" s="8"/>
      <c r="B102" s="11" t="s">
        <v>28</v>
      </c>
      <c r="C102" s="11"/>
      <c r="D102" s="14">
        <v>0.37457099999999999</v>
      </c>
      <c r="E102" s="11"/>
      <c r="F102" s="11"/>
    </row>
    <row r="103" spans="1:6">
      <c r="A103" s="8"/>
      <c r="B103" s="11" t="s">
        <v>29</v>
      </c>
      <c r="C103" s="11"/>
      <c r="D103" s="232">
        <f>ROUND(D101*D102,0)</f>
        <v>26247</v>
      </c>
      <c r="E103" s="233">
        <f>ROUND(D103/2,0)</f>
        <v>13124</v>
      </c>
      <c r="F103" s="232">
        <f>D103-E103</f>
        <v>13123</v>
      </c>
    </row>
    <row r="104" spans="1:6">
      <c r="A104" s="8"/>
      <c r="B104" s="11" t="s">
        <v>30</v>
      </c>
      <c r="C104" s="11"/>
      <c r="D104" s="12">
        <f>+D101-D103</f>
        <v>43826</v>
      </c>
      <c r="E104" s="13">
        <f>ROUND(D104/2,0)</f>
        <v>21913</v>
      </c>
      <c r="F104" s="12">
        <f>D104-E104</f>
        <v>21913</v>
      </c>
    </row>
    <row r="105" spans="1:6">
      <c r="A105" s="8">
        <v>4</v>
      </c>
      <c r="B105" s="11" t="s">
        <v>1035</v>
      </c>
      <c r="C105" s="10">
        <v>1.1776E-2</v>
      </c>
      <c r="D105" s="9">
        <f>ROUND(D$3*C105,0)</f>
        <v>63859</v>
      </c>
      <c r="E105" s="11">
        <f>ROUND(D105/2,0)</f>
        <v>31930</v>
      </c>
      <c r="F105" s="9">
        <f>D105-E105</f>
        <v>31929</v>
      </c>
    </row>
    <row r="106" spans="1:6">
      <c r="A106" s="8"/>
      <c r="B106" s="11" t="s">
        <v>28</v>
      </c>
      <c r="C106" s="11"/>
      <c r="D106" s="14">
        <v>0.45821699999999999</v>
      </c>
      <c r="E106" s="11"/>
      <c r="F106" s="11"/>
    </row>
    <row r="107" spans="1:6">
      <c r="A107" s="8"/>
      <c r="B107" s="11" t="s">
        <v>29</v>
      </c>
      <c r="C107" s="11"/>
      <c r="D107" s="232">
        <f>ROUND(D105*D106,0)</f>
        <v>29261</v>
      </c>
      <c r="E107" s="233">
        <f>ROUND(D107/2,0)</f>
        <v>14631</v>
      </c>
      <c r="F107" s="232">
        <f>D107-E107</f>
        <v>14630</v>
      </c>
    </row>
    <row r="108" spans="1:6">
      <c r="A108" s="8"/>
      <c r="B108" s="11" t="s">
        <v>30</v>
      </c>
      <c r="C108" s="11"/>
      <c r="D108" s="12">
        <f>+D105-D107</f>
        <v>34598</v>
      </c>
      <c r="E108" s="13">
        <f>ROUND(D108/2,0)</f>
        <v>17299</v>
      </c>
      <c r="F108" s="12">
        <f>D108-E108</f>
        <v>17299</v>
      </c>
    </row>
    <row r="109" spans="1:6">
      <c r="A109" s="8">
        <v>4</v>
      </c>
      <c r="B109" s="11" t="s">
        <v>1036</v>
      </c>
      <c r="C109" s="10">
        <v>1.4369999999999999E-3</v>
      </c>
      <c r="D109" s="9">
        <f>ROUND(D$3*C109,0)</f>
        <v>7793</v>
      </c>
      <c r="E109" s="11">
        <f>ROUND(D109/2,0)</f>
        <v>3897</v>
      </c>
      <c r="F109" s="9">
        <f>D109-E109</f>
        <v>3896</v>
      </c>
    </row>
    <row r="110" spans="1:6">
      <c r="A110" s="8"/>
      <c r="B110" s="11" t="s">
        <v>28</v>
      </c>
      <c r="C110" s="11"/>
      <c r="D110" s="14">
        <v>0.33841700000000002</v>
      </c>
      <c r="E110" s="11"/>
      <c r="F110" s="11"/>
    </row>
    <row r="111" spans="1:6">
      <c r="A111" s="8"/>
      <c r="B111" s="11" t="s">
        <v>29</v>
      </c>
      <c r="C111" s="11"/>
      <c r="D111" s="232">
        <f>ROUND(D109*D110,0)</f>
        <v>2637</v>
      </c>
      <c r="E111" s="233">
        <f>ROUND(D111/2,0)</f>
        <v>1319</v>
      </c>
      <c r="F111" s="232">
        <f>D111-E111</f>
        <v>1318</v>
      </c>
    </row>
    <row r="112" spans="1:6">
      <c r="A112" s="8"/>
      <c r="B112" s="11" t="s">
        <v>30</v>
      </c>
      <c r="C112" s="11"/>
      <c r="D112" s="12">
        <f>+D109-D111</f>
        <v>5156</v>
      </c>
      <c r="E112" s="13">
        <f>ROUND(D112/2,0)</f>
        <v>2578</v>
      </c>
      <c r="F112" s="12">
        <f>D112-E112</f>
        <v>2578</v>
      </c>
    </row>
    <row r="113" spans="1:6">
      <c r="A113" s="8">
        <v>4</v>
      </c>
      <c r="B113" s="11" t="s">
        <v>1037</v>
      </c>
      <c r="C113" s="10">
        <v>7.757E-3</v>
      </c>
      <c r="D113" s="9">
        <f>ROUND(D$3*C113,0)</f>
        <v>42064</v>
      </c>
      <c r="E113" s="11">
        <f>ROUND(D113/2,0)</f>
        <v>21032</v>
      </c>
      <c r="F113" s="9">
        <f>D113-E113</f>
        <v>21032</v>
      </c>
    </row>
    <row r="114" spans="1:6">
      <c r="A114" s="8"/>
      <c r="B114" s="11" t="s">
        <v>28</v>
      </c>
      <c r="C114" s="11"/>
      <c r="D114" s="14">
        <v>0.36629400000000001</v>
      </c>
      <c r="E114" s="11"/>
      <c r="F114" s="11"/>
    </row>
    <row r="115" spans="1:6">
      <c r="A115" s="8"/>
      <c r="B115" s="11" t="s">
        <v>29</v>
      </c>
      <c r="C115" s="11"/>
      <c r="D115" s="232">
        <f>ROUND(D113*D114,0)</f>
        <v>15408</v>
      </c>
      <c r="E115" s="233">
        <f>ROUND(D115/2,0)</f>
        <v>7704</v>
      </c>
      <c r="F115" s="232">
        <f>D115-E115</f>
        <v>7704</v>
      </c>
    </row>
    <row r="116" spans="1:6">
      <c r="A116" s="8"/>
      <c r="B116" s="11" t="s">
        <v>30</v>
      </c>
      <c r="C116" s="11"/>
      <c r="D116" s="12">
        <f>+D113-D115</f>
        <v>26656</v>
      </c>
      <c r="E116" s="13">
        <f>ROUND(D116/2,0)</f>
        <v>13328</v>
      </c>
      <c r="F116" s="12">
        <f>D116-E116</f>
        <v>13328</v>
      </c>
    </row>
    <row r="117" spans="1:6">
      <c r="A117" s="8">
        <v>4</v>
      </c>
      <c r="B117" s="11" t="s">
        <v>1038</v>
      </c>
      <c r="C117" s="10">
        <v>9.7300000000000008E-3</v>
      </c>
      <c r="D117" s="9">
        <f>ROUND(D$3*C117,0)</f>
        <v>52764</v>
      </c>
      <c r="E117" s="11">
        <f>ROUND(D117/2,0)</f>
        <v>26382</v>
      </c>
      <c r="F117" s="9">
        <f>D117-E117</f>
        <v>26382</v>
      </c>
    </row>
    <row r="118" spans="1:6">
      <c r="A118" s="8"/>
      <c r="B118" s="11" t="s">
        <v>28</v>
      </c>
      <c r="C118" s="11"/>
      <c r="D118" s="14">
        <v>0.39481100000000002</v>
      </c>
      <c r="E118" s="11"/>
      <c r="F118" s="11"/>
    </row>
    <row r="119" spans="1:6">
      <c r="A119" s="8"/>
      <c r="B119" s="11" t="s">
        <v>29</v>
      </c>
      <c r="C119" s="11"/>
      <c r="D119" s="232">
        <f>ROUND(D117*D118,0)</f>
        <v>20832</v>
      </c>
      <c r="E119" s="233">
        <f>ROUND(D119/2,0)</f>
        <v>10416</v>
      </c>
      <c r="F119" s="232">
        <f>D119-E119</f>
        <v>10416</v>
      </c>
    </row>
    <row r="120" spans="1:6">
      <c r="A120" s="8"/>
      <c r="B120" s="11" t="s">
        <v>30</v>
      </c>
      <c r="C120" s="11"/>
      <c r="D120" s="12">
        <f>+D117-D119</f>
        <v>31932</v>
      </c>
      <c r="E120" s="13">
        <f>ROUND(D120/2,0)</f>
        <v>15966</v>
      </c>
      <c r="F120" s="12">
        <f>D120-E120</f>
        <v>15966</v>
      </c>
    </row>
    <row r="121" spans="1:6">
      <c r="A121" s="8">
        <v>4</v>
      </c>
      <c r="B121" s="11" t="s">
        <v>1039</v>
      </c>
      <c r="C121" s="10">
        <v>6.208E-3</v>
      </c>
      <c r="D121" s="9">
        <f>ROUND(D$3*C121,0)</f>
        <v>33665</v>
      </c>
      <c r="E121" s="11">
        <f>ROUND(D121/2,0)</f>
        <v>16833</v>
      </c>
      <c r="F121" s="9">
        <f>D121-E121</f>
        <v>16832</v>
      </c>
    </row>
    <row r="122" spans="1:6">
      <c r="A122" s="8"/>
      <c r="B122" s="11" t="s">
        <v>28</v>
      </c>
      <c r="C122" s="11"/>
      <c r="D122" s="14">
        <v>0.56514299999999995</v>
      </c>
      <c r="E122" s="11"/>
      <c r="F122" s="11"/>
    </row>
    <row r="123" spans="1:6">
      <c r="A123" s="8"/>
      <c r="B123" s="11" t="s">
        <v>29</v>
      </c>
      <c r="C123" s="11"/>
      <c r="D123" s="232">
        <f>ROUND(D121*D122,0)</f>
        <v>19026</v>
      </c>
      <c r="E123" s="233">
        <f t="shared" ref="E123:E149" si="3">ROUND(D123/2,0)</f>
        <v>9513</v>
      </c>
      <c r="F123" s="232">
        <f t="shared" ref="F123:F149" si="4">D123-E123</f>
        <v>9513</v>
      </c>
    </row>
    <row r="124" spans="1:6">
      <c r="A124" s="8"/>
      <c r="B124" s="11" t="s">
        <v>30</v>
      </c>
      <c r="C124" s="11"/>
      <c r="D124" s="12">
        <f>+D121-D123</f>
        <v>14639</v>
      </c>
      <c r="E124" s="13">
        <f t="shared" si="3"/>
        <v>7320</v>
      </c>
      <c r="F124" s="12">
        <f t="shared" si="4"/>
        <v>7319</v>
      </c>
    </row>
    <row r="125" spans="1:6">
      <c r="A125" s="8">
        <v>5</v>
      </c>
      <c r="B125" s="11" t="s">
        <v>1040</v>
      </c>
      <c r="C125" s="10">
        <v>1.2960000000000001E-3</v>
      </c>
      <c r="D125" s="12">
        <f t="shared" ref="D125:D148" si="5">ROUND(D$3*C125,0)</f>
        <v>7028</v>
      </c>
      <c r="E125" s="13">
        <f t="shared" si="3"/>
        <v>3514</v>
      </c>
      <c r="F125" s="12">
        <f t="shared" si="4"/>
        <v>3514</v>
      </c>
    </row>
    <row r="126" spans="1:6">
      <c r="A126" s="8">
        <v>5</v>
      </c>
      <c r="B126" s="11" t="s">
        <v>1041</v>
      </c>
      <c r="C126" s="10">
        <v>3.1389999999999999E-3</v>
      </c>
      <c r="D126" s="12">
        <f t="shared" si="5"/>
        <v>17022</v>
      </c>
      <c r="E126" s="13">
        <f t="shared" si="3"/>
        <v>8511</v>
      </c>
      <c r="F126" s="12">
        <f t="shared" si="4"/>
        <v>8511</v>
      </c>
    </row>
    <row r="127" spans="1:6">
      <c r="A127" s="8">
        <v>5</v>
      </c>
      <c r="B127" s="11" t="s">
        <v>1042</v>
      </c>
      <c r="C127" s="10">
        <v>7.221E-3</v>
      </c>
      <c r="D127" s="12">
        <f t="shared" si="5"/>
        <v>39158</v>
      </c>
      <c r="E127" s="13">
        <f t="shared" si="3"/>
        <v>19579</v>
      </c>
      <c r="F127" s="12">
        <f t="shared" si="4"/>
        <v>19579</v>
      </c>
    </row>
    <row r="128" spans="1:6">
      <c r="A128" s="8">
        <v>5</v>
      </c>
      <c r="B128" s="11" t="s">
        <v>1043</v>
      </c>
      <c r="C128" s="10">
        <v>8.0370000000000007E-3</v>
      </c>
      <c r="D128" s="12">
        <f t="shared" si="5"/>
        <v>43583</v>
      </c>
      <c r="E128" s="13">
        <f t="shared" si="3"/>
        <v>21792</v>
      </c>
      <c r="F128" s="12">
        <f t="shared" si="4"/>
        <v>21791</v>
      </c>
    </row>
    <row r="129" spans="1:6">
      <c r="A129" s="8">
        <v>5</v>
      </c>
      <c r="B129" s="11" t="s">
        <v>1044</v>
      </c>
      <c r="C129" s="10">
        <v>9.4219999999999998E-3</v>
      </c>
      <c r="D129" s="12">
        <f t="shared" si="5"/>
        <v>51093</v>
      </c>
      <c r="E129" s="13">
        <f t="shared" si="3"/>
        <v>25547</v>
      </c>
      <c r="F129" s="12">
        <f t="shared" si="4"/>
        <v>25546</v>
      </c>
    </row>
    <row r="130" spans="1:6">
      <c r="A130" s="8">
        <v>5</v>
      </c>
      <c r="B130" s="11" t="s">
        <v>1045</v>
      </c>
      <c r="C130" s="10">
        <v>1.0399999999999999E-3</v>
      </c>
      <c r="D130" s="12">
        <f t="shared" si="5"/>
        <v>5640</v>
      </c>
      <c r="E130" s="13">
        <f t="shared" si="3"/>
        <v>2820</v>
      </c>
      <c r="F130" s="12">
        <f t="shared" si="4"/>
        <v>2820</v>
      </c>
    </row>
    <row r="131" spans="1:6">
      <c r="A131" s="8">
        <v>5</v>
      </c>
      <c r="B131" s="11" t="s">
        <v>1046</v>
      </c>
      <c r="C131" s="10">
        <v>7.4200000000000004E-4</v>
      </c>
      <c r="D131" s="12">
        <f t="shared" si="5"/>
        <v>4024</v>
      </c>
      <c r="E131" s="13">
        <f t="shared" si="3"/>
        <v>2012</v>
      </c>
      <c r="F131" s="12">
        <f t="shared" si="4"/>
        <v>2012</v>
      </c>
    </row>
    <row r="132" spans="1:6">
      <c r="A132" s="8">
        <v>6</v>
      </c>
      <c r="B132" s="11" t="s">
        <v>1047</v>
      </c>
      <c r="C132" s="10">
        <v>3.6999999999999998E-5</v>
      </c>
      <c r="D132" s="12">
        <f t="shared" si="5"/>
        <v>201</v>
      </c>
      <c r="E132" s="13">
        <f t="shared" si="3"/>
        <v>101</v>
      </c>
      <c r="F132" s="12">
        <f t="shared" si="4"/>
        <v>100</v>
      </c>
    </row>
    <row r="133" spans="1:6">
      <c r="A133" s="8">
        <v>6</v>
      </c>
      <c r="B133" s="11" t="s">
        <v>1048</v>
      </c>
      <c r="C133" s="10">
        <v>2.8699999999999998E-4</v>
      </c>
      <c r="D133" s="12">
        <f t="shared" si="5"/>
        <v>1556</v>
      </c>
      <c r="E133" s="13">
        <f t="shared" si="3"/>
        <v>778</v>
      </c>
      <c r="F133" s="12">
        <f t="shared" si="4"/>
        <v>778</v>
      </c>
    </row>
    <row r="134" spans="1:6">
      <c r="A134" s="8">
        <v>6</v>
      </c>
      <c r="B134" s="11" t="s">
        <v>1049</v>
      </c>
      <c r="C134" s="10">
        <v>1.0565E-2</v>
      </c>
      <c r="D134" s="12">
        <f t="shared" si="5"/>
        <v>57292</v>
      </c>
      <c r="E134" s="13">
        <f t="shared" si="3"/>
        <v>28646</v>
      </c>
      <c r="F134" s="12">
        <f t="shared" si="4"/>
        <v>28646</v>
      </c>
    </row>
    <row r="135" spans="1:6">
      <c r="A135" s="8">
        <v>6</v>
      </c>
      <c r="B135" s="11" t="s">
        <v>1050</v>
      </c>
      <c r="C135" s="10">
        <v>1.825E-3</v>
      </c>
      <c r="D135" s="12">
        <f t="shared" si="5"/>
        <v>9897</v>
      </c>
      <c r="E135" s="13">
        <f t="shared" si="3"/>
        <v>4949</v>
      </c>
      <c r="F135" s="12">
        <f t="shared" si="4"/>
        <v>4948</v>
      </c>
    </row>
    <row r="136" spans="1:6">
      <c r="A136" s="8">
        <v>6</v>
      </c>
      <c r="B136" s="11" t="s">
        <v>1051</v>
      </c>
      <c r="C136" s="10">
        <v>2.5490000000000001E-3</v>
      </c>
      <c r="D136" s="12">
        <f t="shared" si="5"/>
        <v>13823</v>
      </c>
      <c r="E136" s="13">
        <f t="shared" si="3"/>
        <v>6912</v>
      </c>
      <c r="F136" s="12">
        <f t="shared" si="4"/>
        <v>6911</v>
      </c>
    </row>
    <row r="137" spans="1:6">
      <c r="A137" s="8">
        <v>6</v>
      </c>
      <c r="B137" s="11" t="s">
        <v>1052</v>
      </c>
      <c r="C137" s="10">
        <v>2.8699999999999998E-4</v>
      </c>
      <c r="D137" s="12">
        <f t="shared" si="5"/>
        <v>1556</v>
      </c>
      <c r="E137" s="13">
        <f t="shared" si="3"/>
        <v>778</v>
      </c>
      <c r="F137" s="12">
        <f t="shared" si="4"/>
        <v>778</v>
      </c>
    </row>
    <row r="138" spans="1:6">
      <c r="A138" s="8">
        <v>6</v>
      </c>
      <c r="B138" s="11" t="s">
        <v>1053</v>
      </c>
      <c r="C138" s="10">
        <v>9.7179999999999992E-3</v>
      </c>
      <c r="D138" s="12">
        <f t="shared" si="5"/>
        <v>52699</v>
      </c>
      <c r="E138" s="13">
        <f t="shared" si="3"/>
        <v>26350</v>
      </c>
      <c r="F138" s="12">
        <f t="shared" si="4"/>
        <v>26349</v>
      </c>
    </row>
    <row r="139" spans="1:6">
      <c r="A139" s="8">
        <v>6</v>
      </c>
      <c r="B139" s="11" t="s">
        <v>1054</v>
      </c>
      <c r="C139" s="10">
        <v>9.5200000000000005E-4</v>
      </c>
      <c r="D139" s="12">
        <f t="shared" si="5"/>
        <v>5162</v>
      </c>
      <c r="E139" s="13">
        <f t="shared" si="3"/>
        <v>2581</v>
      </c>
      <c r="F139" s="12">
        <f t="shared" si="4"/>
        <v>2581</v>
      </c>
    </row>
    <row r="140" spans="1:6">
      <c r="A140" s="8">
        <v>6</v>
      </c>
      <c r="B140" s="11" t="s">
        <v>1055</v>
      </c>
      <c r="C140" s="10">
        <v>1.3146E-2</v>
      </c>
      <c r="D140" s="12">
        <f t="shared" si="5"/>
        <v>71288</v>
      </c>
      <c r="E140" s="13">
        <f t="shared" si="3"/>
        <v>35644</v>
      </c>
      <c r="F140" s="12">
        <f t="shared" si="4"/>
        <v>35644</v>
      </c>
    </row>
    <row r="141" spans="1:6">
      <c r="A141" s="8">
        <v>6</v>
      </c>
      <c r="B141" s="11" t="s">
        <v>1056</v>
      </c>
      <c r="C141" s="10">
        <v>1.0809999999999999E-3</v>
      </c>
      <c r="D141" s="12">
        <f t="shared" si="5"/>
        <v>5862</v>
      </c>
      <c r="E141" s="13">
        <f t="shared" si="3"/>
        <v>2931</v>
      </c>
      <c r="F141" s="12">
        <f t="shared" si="4"/>
        <v>2931</v>
      </c>
    </row>
    <row r="142" spans="1:6">
      <c r="A142" s="8">
        <v>6</v>
      </c>
      <c r="B142" s="11" t="s">
        <v>1057</v>
      </c>
      <c r="C142" s="10">
        <v>3.1700000000000001E-4</v>
      </c>
      <c r="D142" s="12">
        <f t="shared" si="5"/>
        <v>1719</v>
      </c>
      <c r="E142" s="13">
        <f t="shared" si="3"/>
        <v>860</v>
      </c>
      <c r="F142" s="12">
        <f t="shared" si="4"/>
        <v>859</v>
      </c>
    </row>
    <row r="143" spans="1:6">
      <c r="A143" s="8">
        <v>6</v>
      </c>
      <c r="B143" s="11" t="s">
        <v>1058</v>
      </c>
      <c r="C143" s="10">
        <v>5.2729999999999999E-3</v>
      </c>
      <c r="D143" s="12">
        <f t="shared" si="5"/>
        <v>28594</v>
      </c>
      <c r="E143" s="13">
        <f t="shared" si="3"/>
        <v>14297</v>
      </c>
      <c r="F143" s="12">
        <f t="shared" si="4"/>
        <v>14297</v>
      </c>
    </row>
    <row r="144" spans="1:6">
      <c r="A144" s="8">
        <v>6</v>
      </c>
      <c r="B144" s="11" t="s">
        <v>1059</v>
      </c>
      <c r="C144" s="10">
        <v>1.622E-3</v>
      </c>
      <c r="D144" s="12">
        <f t="shared" si="5"/>
        <v>8796</v>
      </c>
      <c r="E144" s="13">
        <f t="shared" si="3"/>
        <v>4398</v>
      </c>
      <c r="F144" s="12">
        <f t="shared" si="4"/>
        <v>4398</v>
      </c>
    </row>
    <row r="145" spans="1:8">
      <c r="A145" s="8">
        <v>6</v>
      </c>
      <c r="B145" s="11" t="s">
        <v>1060</v>
      </c>
      <c r="C145" s="10">
        <v>1.16E-4</v>
      </c>
      <c r="D145" s="12">
        <f t="shared" si="5"/>
        <v>629</v>
      </c>
      <c r="E145" s="13">
        <f t="shared" si="3"/>
        <v>315</v>
      </c>
      <c r="F145" s="12">
        <f t="shared" si="4"/>
        <v>314</v>
      </c>
    </row>
    <row r="146" spans="1:8">
      <c r="A146" s="8">
        <v>6</v>
      </c>
      <c r="B146" s="11" t="s">
        <v>1061</v>
      </c>
      <c r="C146" s="10">
        <v>2.4399999999999999E-4</v>
      </c>
      <c r="D146" s="12">
        <f t="shared" si="5"/>
        <v>1323</v>
      </c>
      <c r="E146" s="13">
        <f t="shared" si="3"/>
        <v>662</v>
      </c>
      <c r="F146" s="12">
        <f t="shared" si="4"/>
        <v>661</v>
      </c>
    </row>
    <row r="147" spans="1:8">
      <c r="A147" s="8">
        <v>6</v>
      </c>
      <c r="B147" s="11" t="s">
        <v>1062</v>
      </c>
      <c r="C147" s="10">
        <v>1.16E-4</v>
      </c>
      <c r="D147" s="12">
        <f t="shared" si="5"/>
        <v>629</v>
      </c>
      <c r="E147" s="13">
        <f t="shared" si="3"/>
        <v>315</v>
      </c>
      <c r="F147" s="12">
        <f t="shared" si="4"/>
        <v>314</v>
      </c>
    </row>
    <row r="148" spans="1:8">
      <c r="A148" s="8">
        <v>6</v>
      </c>
      <c r="B148" s="11" t="s">
        <v>1063</v>
      </c>
      <c r="C148" s="10">
        <v>5.0500000000000002E-4</v>
      </c>
      <c r="D148" s="12">
        <f t="shared" si="5"/>
        <v>2739</v>
      </c>
      <c r="E148" s="13">
        <f t="shared" si="3"/>
        <v>1370</v>
      </c>
      <c r="F148" s="12">
        <f t="shared" si="4"/>
        <v>1369</v>
      </c>
    </row>
    <row r="149" spans="1:8">
      <c r="A149" s="8">
        <v>6</v>
      </c>
      <c r="B149" s="11" t="s">
        <v>1064</v>
      </c>
      <c r="C149" s="10">
        <v>2.6459999999994821E-3</v>
      </c>
      <c r="D149" s="12">
        <f>+D3-SUM(D4:D5)-SUM(D10:D61)-D65-D69-D73-D77-D81-D85-D89-D93-D97-D101-D105-D109-D113-D117-D121-SUM(D125:D148)</f>
        <v>14344</v>
      </c>
      <c r="E149" s="13">
        <f t="shared" si="3"/>
        <v>7172</v>
      </c>
      <c r="F149" s="12">
        <f t="shared" si="4"/>
        <v>7172</v>
      </c>
    </row>
    <row r="150" spans="1:8">
      <c r="A150" s="8"/>
      <c r="B150" s="28" t="s">
        <v>288</v>
      </c>
      <c r="C150" s="10">
        <v>1</v>
      </c>
      <c r="D150" s="12">
        <f>+D4+SUM(D7:D60)+SUM(D63:D64)+SUM(D67:D68)+SUM(D71:D72)+SUM(D75:D76)+SUM(D79:D80)+SUM(D83:D84)+SUM(D87:D88)+SUM(D91:D92)+SUM(D95:D96)+SUM(D99:D100)+SUM(D103:D104)+SUM(D107:D108)+SUM(D111:D112)+SUM(D115:D116)+SUM(D119:D120)+SUM(D123:D149)</f>
        <v>5422774</v>
      </c>
      <c r="E150" s="12">
        <f>+E4+SUM(E7:E60)+SUM(E63:E64)+SUM(E67:E68)+SUM(E71:E72)+SUM(E75:E76)+SUM(E79:E80)+SUM(E83:E84)+SUM(E87:E88)+SUM(E91:E92)+SUM(E95:E96)+SUM(E99:E100)+SUM(E103:E104)+SUM(E107:E108)+SUM(E111:E112)+SUM(E115:E116)+SUM(E119:E120)+SUM(E123:E149)</f>
        <v>2711411</v>
      </c>
      <c r="F150" s="12">
        <f>+F4+SUM(F7:F60)+SUM(F63:F64)+SUM(F67:F68)+SUM(F71:F72)+SUM(F75:F76)+SUM(F79:F80)+SUM(F83:F84)+SUM(F87:F88)+SUM(F91:F92)+SUM(F95:F96)+SUM(F99:F100)+SUM(F103:F104)+SUM(F107:F108)+SUM(F111:F112)+SUM(F115:F116)+SUM(F119:F120)+SUM(F123:F149)</f>
        <v>2711363</v>
      </c>
    </row>
    <row r="151" spans="1:8">
      <c r="B151" s="18" t="s">
        <v>38</v>
      </c>
      <c r="D151" s="19">
        <f>+D4</f>
        <v>2549</v>
      </c>
      <c r="E151" s="19">
        <f>+E4</f>
        <v>1275</v>
      </c>
      <c r="F151" s="19">
        <f>+F4</f>
        <v>1274</v>
      </c>
    </row>
    <row r="152" spans="1:8">
      <c r="B152" s="2" t="s">
        <v>39</v>
      </c>
      <c r="D152" s="19">
        <f>+D7</f>
        <v>546293</v>
      </c>
      <c r="E152" s="19">
        <f>+E7</f>
        <v>273147</v>
      </c>
      <c r="F152" s="19">
        <f>+F7</f>
        <v>273146</v>
      </c>
    </row>
    <row r="153" spans="1:8">
      <c r="B153" s="2" t="s">
        <v>40</v>
      </c>
      <c r="D153" s="19">
        <f>+D63+D67+D71+D75+D79+D83+D87+D91+D95+D99+D103+D107+D111+D115+D119+D123</f>
        <v>814166</v>
      </c>
      <c r="E153" s="19">
        <f>+E63+E67+E71+E75+E79+E83+E87+E91+E95+E99+E103+E107+E111+E115+E119+E123</f>
        <v>407087</v>
      </c>
      <c r="F153" s="19">
        <f>+F63+F67+F71+F75+F79+F83+F87+F91+F95+F99+F103+F107+F111+F115+F119+F123</f>
        <v>407079</v>
      </c>
      <c r="H153" s="3">
        <v>1</v>
      </c>
    </row>
    <row r="154" spans="1:8">
      <c r="B154" s="18" t="s">
        <v>41</v>
      </c>
      <c r="D154" s="19">
        <f>+D150-D151-D152-D153</f>
        <v>4059766</v>
      </c>
      <c r="E154" s="19">
        <f>+E150-E151-E152-E153</f>
        <v>2029902</v>
      </c>
      <c r="F154" s="19">
        <f>+F150-F151-F152-F153</f>
        <v>2029864</v>
      </c>
      <c r="H154" s="3">
        <v>2</v>
      </c>
    </row>
    <row r="156" spans="1:8" hidden="1">
      <c r="B156" s="3" t="s">
        <v>42</v>
      </c>
      <c r="C156" s="4">
        <v>-1.0000000005179477E-6</v>
      </c>
      <c r="D156" s="3">
        <f>+D149-ROUND(D3*C149,0)</f>
        <v>-5</v>
      </c>
    </row>
  </sheetData>
  <pageMargins left="0.7" right="0.7" top="0.75" bottom="0.75" header="0.3" footer="0.3"/>
  <pageSetup scale="55" fitToWidth="2" fitToHeight="2" orientation="portrait" r:id="rId1"/>
  <rowBreaks count="1" manualBreakCount="1">
    <brk id="7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7">
    <pageSetUpPr fitToPage="1"/>
  </sheetPr>
  <dimension ref="A1:WVB134"/>
  <sheetViews>
    <sheetView topLeftCell="A96" zoomScaleNormal="100" zoomScaleSheetLayoutView="90" workbookViewId="0">
      <selection activeCell="D117" activeCellId="9" sqref="D7:F7 D85:F85 D89:F89 D93:F93 D97:F97 D101:F101 D105:F105 D109:F109 D113:F113 D117:F117"/>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57031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57031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57031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57031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57031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57031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57031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57031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57031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57031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57031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57031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57031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57031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57031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57031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57031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57031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57031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57031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57031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57031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57031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57031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57031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57031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57031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57031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57031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57031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57031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57031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57031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57031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57031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57031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57031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57031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57031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57031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57031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57031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57031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57031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57031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57031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57031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57031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57031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57031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57031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57031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57031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57031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57031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57031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57031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57031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57031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57031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57031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57031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57031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1065</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Worksheet'!$D$49</f>
        <v>1347834</v>
      </c>
      <c r="E3" s="11"/>
      <c r="F3" s="11"/>
    </row>
    <row r="4" spans="1:6">
      <c r="A4" s="8">
        <v>0</v>
      </c>
      <c r="B4" s="11" t="s">
        <v>4</v>
      </c>
      <c r="C4" s="10">
        <v>9.4200000000000002E-4</v>
      </c>
      <c r="D4" s="12">
        <f>ROUND(D$3*C4,0)</f>
        <v>1270</v>
      </c>
      <c r="E4" s="13">
        <f>ROUND(D4/2,0)</f>
        <v>635</v>
      </c>
      <c r="F4" s="12">
        <f>D4-E4</f>
        <v>635</v>
      </c>
    </row>
    <row r="5" spans="1:6">
      <c r="A5" s="8">
        <v>1</v>
      </c>
      <c r="B5" s="11" t="s">
        <v>1066</v>
      </c>
      <c r="C5" s="10">
        <v>0.23323199999999999</v>
      </c>
      <c r="D5" s="9">
        <f>ROUND(D$3*C5,0)</f>
        <v>314358</v>
      </c>
      <c r="E5" s="11">
        <f>ROUND(D5/2,0)</f>
        <v>157179</v>
      </c>
      <c r="F5" s="9">
        <f>D5-E5</f>
        <v>157179</v>
      </c>
    </row>
    <row r="6" spans="1:6">
      <c r="A6" s="8"/>
      <c r="B6" s="11" t="s">
        <v>6</v>
      </c>
      <c r="C6" s="11"/>
      <c r="D6" s="14">
        <v>0.24724699999999999</v>
      </c>
      <c r="E6" s="11"/>
      <c r="F6" s="11"/>
    </row>
    <row r="7" spans="1:6">
      <c r="A7" s="8"/>
      <c r="B7" s="11" t="s">
        <v>7</v>
      </c>
      <c r="C7" s="11"/>
      <c r="D7" s="225">
        <f>ROUND(D5*D6,0)</f>
        <v>77724</v>
      </c>
      <c r="E7" s="226">
        <f>ROUND(D7/2,0)</f>
        <v>38862</v>
      </c>
      <c r="F7" s="225">
        <f>D7-E7</f>
        <v>38862</v>
      </c>
    </row>
    <row r="8" spans="1:6">
      <c r="A8" s="8"/>
      <c r="B8" s="11" t="s">
        <v>8</v>
      </c>
      <c r="C8" s="11"/>
      <c r="D8" s="12">
        <f>+D5-D7</f>
        <v>236634</v>
      </c>
      <c r="E8" s="13">
        <f>ROUND(D8/2,0)</f>
        <v>118317</v>
      </c>
      <c r="F8" s="12">
        <f>D8-E8</f>
        <v>118317</v>
      </c>
    </row>
    <row r="9" spans="1:6">
      <c r="A9" s="8">
        <v>2</v>
      </c>
      <c r="B9" s="11" t="s">
        <v>249</v>
      </c>
      <c r="C9" s="11"/>
      <c r="D9" s="9"/>
      <c r="E9" s="11"/>
      <c r="F9" s="11"/>
    </row>
    <row r="10" spans="1:6">
      <c r="A10" s="8"/>
      <c r="B10" s="11" t="s">
        <v>10</v>
      </c>
      <c r="C10" s="10">
        <v>9.8400000000000007E-4</v>
      </c>
      <c r="D10" s="12">
        <f>ROUND(D$3*C10,0)</f>
        <v>1326</v>
      </c>
      <c r="E10" s="13">
        <f>ROUND(D10/2,0)</f>
        <v>663</v>
      </c>
      <c r="F10" s="12">
        <f>D10-E10</f>
        <v>663</v>
      </c>
    </row>
    <row r="11" spans="1:6">
      <c r="A11" s="8"/>
      <c r="B11" s="11" t="s">
        <v>11</v>
      </c>
      <c r="C11" s="10">
        <v>4.4900000000000002E-4</v>
      </c>
      <c r="D11" s="12">
        <f>ROUND(D$3*C11,0)</f>
        <v>605</v>
      </c>
      <c r="E11" s="13">
        <f>ROUND(D11/2,0)</f>
        <v>303</v>
      </c>
      <c r="F11" s="12">
        <f>D11-E11</f>
        <v>302</v>
      </c>
    </row>
    <row r="12" spans="1:6">
      <c r="A12" s="8">
        <v>2</v>
      </c>
      <c r="B12" s="11" t="s">
        <v>107</v>
      </c>
      <c r="C12" s="11"/>
      <c r="D12" s="9"/>
      <c r="E12" s="11"/>
      <c r="F12" s="11"/>
    </row>
    <row r="13" spans="1:6">
      <c r="A13" s="8"/>
      <c r="B13" s="11" t="s">
        <v>10</v>
      </c>
      <c r="C13" s="10">
        <v>1.2930000000000001E-3</v>
      </c>
      <c r="D13" s="12">
        <f>ROUND(D$3*C13,0)</f>
        <v>1743</v>
      </c>
      <c r="E13" s="13">
        <f>ROUND(D13/2,0)</f>
        <v>872</v>
      </c>
      <c r="F13" s="12">
        <f>D13-E13</f>
        <v>871</v>
      </c>
    </row>
    <row r="14" spans="1:6">
      <c r="A14" s="8"/>
      <c r="B14" s="11" t="s">
        <v>11</v>
      </c>
      <c r="C14" s="10">
        <v>4.9200000000000003E-4</v>
      </c>
      <c r="D14" s="12">
        <f>ROUND(D$3*C14,0)</f>
        <v>663</v>
      </c>
      <c r="E14" s="13">
        <f>ROUND(D14/2,0)</f>
        <v>332</v>
      </c>
      <c r="F14" s="12">
        <f>D14-E14</f>
        <v>331</v>
      </c>
    </row>
    <row r="15" spans="1:6">
      <c r="A15" s="8">
        <v>2</v>
      </c>
      <c r="B15" s="11" t="s">
        <v>147</v>
      </c>
      <c r="C15" s="11"/>
      <c r="D15" s="9"/>
      <c r="E15" s="11"/>
      <c r="F15" s="11"/>
    </row>
    <row r="16" spans="1:6">
      <c r="A16" s="8"/>
      <c r="B16" s="11" t="s">
        <v>10</v>
      </c>
      <c r="C16" s="10">
        <v>1.5999999999999999E-5</v>
      </c>
      <c r="D16" s="12">
        <f>ROUND(D$3*C16,0)</f>
        <v>22</v>
      </c>
      <c r="E16" s="13">
        <f>ROUND(D16/2,0)</f>
        <v>11</v>
      </c>
      <c r="F16" s="12">
        <f>D16-E16</f>
        <v>11</v>
      </c>
    </row>
    <row r="17" spans="1:6">
      <c r="A17" s="8"/>
      <c r="B17" s="11" t="s">
        <v>11</v>
      </c>
      <c r="C17" s="10">
        <v>6.0999999999999999E-5</v>
      </c>
      <c r="D17" s="12">
        <f>ROUND(D$3*C17,0)</f>
        <v>82</v>
      </c>
      <c r="E17" s="13">
        <f>ROUND(D17/2,0)</f>
        <v>41</v>
      </c>
      <c r="F17" s="12">
        <f>D17-E17</f>
        <v>41</v>
      </c>
    </row>
    <row r="18" spans="1:6">
      <c r="A18" s="8">
        <v>2</v>
      </c>
      <c r="B18" s="11" t="s">
        <v>1067</v>
      </c>
      <c r="C18" s="11"/>
      <c r="D18" s="9"/>
      <c r="E18" s="11"/>
      <c r="F18" s="11"/>
    </row>
    <row r="19" spans="1:6">
      <c r="A19" s="8"/>
      <c r="B19" s="11" t="s">
        <v>10</v>
      </c>
      <c r="C19" s="10">
        <v>8.52E-4</v>
      </c>
      <c r="D19" s="12">
        <f>ROUND(D$3*C19,0)</f>
        <v>1148</v>
      </c>
      <c r="E19" s="13">
        <f>ROUND(D19/2,0)</f>
        <v>574</v>
      </c>
      <c r="F19" s="12">
        <f>D19-E19</f>
        <v>574</v>
      </c>
    </row>
    <row r="20" spans="1:6">
      <c r="A20" s="8"/>
      <c r="B20" s="11" t="s">
        <v>11</v>
      </c>
      <c r="C20" s="10">
        <v>3.4900000000000003E-4</v>
      </c>
      <c r="D20" s="12">
        <f>ROUND(D$3*C20,0)</f>
        <v>470</v>
      </c>
      <c r="E20" s="13">
        <f>ROUND(D20/2,0)</f>
        <v>235</v>
      </c>
      <c r="F20" s="12">
        <f>D20-E20</f>
        <v>235</v>
      </c>
    </row>
    <row r="21" spans="1:6">
      <c r="A21" s="8">
        <v>2</v>
      </c>
      <c r="B21" s="11" t="s">
        <v>1068</v>
      </c>
      <c r="C21" s="11"/>
      <c r="D21" s="9"/>
      <c r="E21" s="11"/>
      <c r="F21" s="11"/>
    </row>
    <row r="22" spans="1:6">
      <c r="A22" s="8"/>
      <c r="B22" s="11" t="s">
        <v>10</v>
      </c>
      <c r="C22" s="10">
        <v>8.8199999999999997E-4</v>
      </c>
      <c r="D22" s="12">
        <f>ROUND(D$3*C22,0)</f>
        <v>1189</v>
      </c>
      <c r="E22" s="13">
        <f>ROUND(D22/2,0)</f>
        <v>595</v>
      </c>
      <c r="F22" s="12">
        <f>D22-E22</f>
        <v>594</v>
      </c>
    </row>
    <row r="23" spans="1:6">
      <c r="A23" s="8"/>
      <c r="B23" s="11" t="s">
        <v>11</v>
      </c>
      <c r="C23" s="10">
        <v>2.2499999999999999E-4</v>
      </c>
      <c r="D23" s="12">
        <f>ROUND(D$3*C23,0)</f>
        <v>303</v>
      </c>
      <c r="E23" s="13">
        <f>ROUND(D23/2,0)</f>
        <v>152</v>
      </c>
      <c r="F23" s="12">
        <f>D23-E23</f>
        <v>151</v>
      </c>
    </row>
    <row r="24" spans="1:6">
      <c r="A24" s="8">
        <v>2</v>
      </c>
      <c r="B24" s="11" t="s">
        <v>1069</v>
      </c>
      <c r="C24" s="11"/>
      <c r="D24" s="9"/>
      <c r="E24" s="11"/>
      <c r="F24" s="11"/>
    </row>
    <row r="25" spans="1:6">
      <c r="A25" s="8"/>
      <c r="B25" s="11" t="s">
        <v>10</v>
      </c>
      <c r="C25" s="10">
        <v>8.7000000000000001E-5</v>
      </c>
      <c r="D25" s="12">
        <f>ROUND(D$3*C25,0)</f>
        <v>117</v>
      </c>
      <c r="E25" s="13">
        <f>ROUND(D25/2,0)</f>
        <v>59</v>
      </c>
      <c r="F25" s="12">
        <f>D25-E25</f>
        <v>58</v>
      </c>
    </row>
    <row r="26" spans="1:6">
      <c r="A26" s="8"/>
      <c r="B26" s="11" t="s">
        <v>11</v>
      </c>
      <c r="C26" s="10">
        <v>5.8999999999999998E-5</v>
      </c>
      <c r="D26" s="12">
        <f>ROUND(D$3*C26,0)</f>
        <v>80</v>
      </c>
      <c r="E26" s="13">
        <f>ROUND(D26/2,0)</f>
        <v>40</v>
      </c>
      <c r="F26" s="12">
        <f>D26-E26</f>
        <v>40</v>
      </c>
    </row>
    <row r="27" spans="1:6">
      <c r="A27" s="8">
        <v>2</v>
      </c>
      <c r="B27" s="11" t="s">
        <v>1070</v>
      </c>
      <c r="C27" s="11"/>
      <c r="D27" s="9"/>
      <c r="E27" s="11"/>
      <c r="F27" s="11"/>
    </row>
    <row r="28" spans="1:6">
      <c r="A28" s="8"/>
      <c r="B28" s="11" t="s">
        <v>10</v>
      </c>
      <c r="C28" s="10">
        <v>1.253E-3</v>
      </c>
      <c r="D28" s="12">
        <f>ROUND(D$3*C28,0)</f>
        <v>1689</v>
      </c>
      <c r="E28" s="13">
        <f>ROUND(D28/2,0)</f>
        <v>845</v>
      </c>
      <c r="F28" s="12">
        <f>D28-E28</f>
        <v>844</v>
      </c>
    </row>
    <row r="29" spans="1:6">
      <c r="A29" s="8"/>
      <c r="B29" s="11" t="s">
        <v>11</v>
      </c>
      <c r="C29" s="10">
        <v>1.005E-3</v>
      </c>
      <c r="D29" s="12">
        <f>ROUND(D$3*C29,0)</f>
        <v>1355</v>
      </c>
      <c r="E29" s="13">
        <f>ROUND(D29/2,0)</f>
        <v>678</v>
      </c>
      <c r="F29" s="12">
        <f>D29-E29</f>
        <v>677</v>
      </c>
    </row>
    <row r="30" spans="1:6">
      <c r="A30" s="8">
        <v>2</v>
      </c>
      <c r="B30" s="11" t="s">
        <v>1071</v>
      </c>
      <c r="C30" s="11"/>
      <c r="D30" s="9"/>
      <c r="E30" s="11"/>
      <c r="F30" s="11"/>
    </row>
    <row r="31" spans="1:6">
      <c r="A31" s="8"/>
      <c r="B31" s="11" t="s">
        <v>10</v>
      </c>
      <c r="C31" s="10">
        <v>1.7E-5</v>
      </c>
      <c r="D31" s="12">
        <f>ROUND(D$3*C31,0)</f>
        <v>23</v>
      </c>
      <c r="E31" s="13">
        <f>ROUND(D31/2,0)</f>
        <v>12</v>
      </c>
      <c r="F31" s="12">
        <f>D31-E31</f>
        <v>11</v>
      </c>
    </row>
    <row r="32" spans="1:6">
      <c r="A32" s="8"/>
      <c r="B32" s="11" t="s">
        <v>11</v>
      </c>
      <c r="C32" s="10">
        <v>1.5999999999999999E-5</v>
      </c>
      <c r="D32" s="12">
        <f>ROUND(D$3*C32,0)</f>
        <v>22</v>
      </c>
      <c r="E32" s="13">
        <f>ROUND(D32/2,0)</f>
        <v>11</v>
      </c>
      <c r="F32" s="12">
        <f>D32-E32</f>
        <v>11</v>
      </c>
    </row>
    <row r="33" spans="1:6">
      <c r="A33" s="8">
        <v>2</v>
      </c>
      <c r="B33" s="11" t="s">
        <v>268</v>
      </c>
      <c r="C33" s="11"/>
      <c r="D33" s="9"/>
      <c r="E33" s="11"/>
      <c r="F33" s="11"/>
    </row>
    <row r="34" spans="1:6">
      <c r="A34" s="8"/>
      <c r="B34" s="11" t="s">
        <v>10</v>
      </c>
      <c r="C34" s="10">
        <v>2.3E-5</v>
      </c>
      <c r="D34" s="12">
        <f>ROUND(D$3*C34,0)</f>
        <v>31</v>
      </c>
      <c r="E34" s="13">
        <f>ROUND(D34/2,0)</f>
        <v>16</v>
      </c>
      <c r="F34" s="12">
        <f>D34-E34</f>
        <v>15</v>
      </c>
    </row>
    <row r="35" spans="1:6">
      <c r="A35" s="8"/>
      <c r="B35" s="11" t="s">
        <v>11</v>
      </c>
      <c r="C35" s="10">
        <v>2.3E-5</v>
      </c>
      <c r="D35" s="12">
        <f>ROUND(D$3*C35,0)</f>
        <v>31</v>
      </c>
      <c r="E35" s="13">
        <f>ROUND(D35/2,0)</f>
        <v>16</v>
      </c>
      <c r="F35" s="12">
        <f>D35-E35</f>
        <v>15</v>
      </c>
    </row>
    <row r="36" spans="1:6">
      <c r="A36" s="8">
        <v>2</v>
      </c>
      <c r="B36" s="11" t="s">
        <v>836</v>
      </c>
      <c r="C36" s="11"/>
      <c r="D36" s="9"/>
      <c r="E36" s="11"/>
      <c r="F36" s="11"/>
    </row>
    <row r="37" spans="1:6">
      <c r="A37" s="8"/>
      <c r="B37" s="11" t="s">
        <v>10</v>
      </c>
      <c r="C37" s="10">
        <v>1.1119999999999999E-3</v>
      </c>
      <c r="D37" s="12">
        <f>ROUND(D$3*C37,0)</f>
        <v>1499</v>
      </c>
      <c r="E37" s="13">
        <f>ROUND(D37/2,0)</f>
        <v>750</v>
      </c>
      <c r="F37" s="12">
        <f>D37-E37</f>
        <v>749</v>
      </c>
    </row>
    <row r="38" spans="1:6">
      <c r="A38" s="8"/>
      <c r="B38" s="11" t="s">
        <v>11</v>
      </c>
      <c r="C38" s="10">
        <v>8.8999999999999995E-4</v>
      </c>
      <c r="D38" s="12">
        <f>ROUND(D$3*C38,0)</f>
        <v>1200</v>
      </c>
      <c r="E38" s="13">
        <f>ROUND(D38/2,0)</f>
        <v>600</v>
      </c>
      <c r="F38" s="12">
        <f>D38-E38</f>
        <v>600</v>
      </c>
    </row>
    <row r="39" spans="1:6">
      <c r="A39" s="8">
        <v>2</v>
      </c>
      <c r="B39" s="11" t="s">
        <v>714</v>
      </c>
      <c r="C39" s="11"/>
      <c r="D39" s="9"/>
      <c r="E39" s="11"/>
      <c r="F39" s="11"/>
    </row>
    <row r="40" spans="1:6">
      <c r="A40" s="8"/>
      <c r="B40" s="11" t="s">
        <v>10</v>
      </c>
      <c r="C40" s="10">
        <v>3.1100000000000002E-4</v>
      </c>
      <c r="D40" s="12">
        <f>ROUND(D$3*C40,0)</f>
        <v>419</v>
      </c>
      <c r="E40" s="13">
        <f>ROUND(D40/2,0)</f>
        <v>210</v>
      </c>
      <c r="F40" s="12">
        <f>D40-E40</f>
        <v>209</v>
      </c>
    </row>
    <row r="41" spans="1:6">
      <c r="A41" s="8"/>
      <c r="B41" s="11" t="s">
        <v>11</v>
      </c>
      <c r="C41" s="10">
        <v>3.1100000000000002E-4</v>
      </c>
      <c r="D41" s="12">
        <f>ROUND(D$3*C41,0)</f>
        <v>419</v>
      </c>
      <c r="E41" s="13">
        <f>ROUND(D41/2,0)</f>
        <v>210</v>
      </c>
      <c r="F41" s="12">
        <f>D41-E41</f>
        <v>209</v>
      </c>
    </row>
    <row r="42" spans="1:6">
      <c r="A42" s="8">
        <v>2</v>
      </c>
      <c r="B42" s="11" t="s">
        <v>270</v>
      </c>
      <c r="C42" s="11"/>
      <c r="D42" s="9"/>
      <c r="E42" s="11"/>
      <c r="F42" s="11"/>
    </row>
    <row r="43" spans="1:6">
      <c r="A43" s="8"/>
      <c r="B43" s="11" t="s">
        <v>10</v>
      </c>
      <c r="C43" s="10">
        <v>7.2499999999999995E-4</v>
      </c>
      <c r="D43" s="12">
        <f>ROUND(D$3*C43,0)</f>
        <v>977</v>
      </c>
      <c r="E43" s="13">
        <f>ROUND(D43/2,0)</f>
        <v>489</v>
      </c>
      <c r="F43" s="12">
        <f>D43-E43</f>
        <v>488</v>
      </c>
    </row>
    <row r="44" spans="1:6">
      <c r="A44" s="8"/>
      <c r="B44" s="11" t="s">
        <v>11</v>
      </c>
      <c r="C44" s="10">
        <v>0</v>
      </c>
      <c r="D44" s="12">
        <f>ROUND(D$3*C44,0)</f>
        <v>0</v>
      </c>
      <c r="E44" s="13">
        <f>ROUND(D44/2,0)</f>
        <v>0</v>
      </c>
      <c r="F44" s="12">
        <f>D44-E44</f>
        <v>0</v>
      </c>
    </row>
    <row r="45" spans="1:6">
      <c r="A45" s="8">
        <v>2</v>
      </c>
      <c r="B45" s="11" t="s">
        <v>1072</v>
      </c>
      <c r="C45" s="11"/>
      <c r="D45" s="9"/>
      <c r="E45" s="11"/>
      <c r="F45" s="11"/>
    </row>
    <row r="46" spans="1:6">
      <c r="A46" s="8"/>
      <c r="B46" s="11" t="s">
        <v>10</v>
      </c>
      <c r="C46" s="10">
        <v>8.9700000000000001E-4</v>
      </c>
      <c r="D46" s="12">
        <f>ROUND(D$3*C46,0)</f>
        <v>1209</v>
      </c>
      <c r="E46" s="13">
        <f>ROUND(D46/2,0)</f>
        <v>605</v>
      </c>
      <c r="F46" s="12">
        <f>D46-E46</f>
        <v>604</v>
      </c>
    </row>
    <row r="47" spans="1:6">
      <c r="A47" s="8"/>
      <c r="B47" s="11" t="s">
        <v>11</v>
      </c>
      <c r="C47" s="10">
        <v>6.1300000000000005E-4</v>
      </c>
      <c r="D47" s="12">
        <f>ROUND(D$3*C47,0)</f>
        <v>826</v>
      </c>
      <c r="E47" s="13">
        <f>ROUND(D47/2,0)</f>
        <v>413</v>
      </c>
      <c r="F47" s="12">
        <f>D47-E47</f>
        <v>413</v>
      </c>
    </row>
    <row r="48" spans="1:6">
      <c r="A48" s="8">
        <v>2</v>
      </c>
      <c r="B48" s="11" t="s">
        <v>203</v>
      </c>
      <c r="C48" s="11"/>
      <c r="D48" s="9"/>
      <c r="E48" s="11"/>
      <c r="F48" s="11"/>
    </row>
    <row r="49" spans="1:6">
      <c r="A49" s="8"/>
      <c r="B49" s="11" t="s">
        <v>10</v>
      </c>
      <c r="C49" s="10">
        <v>9.9500000000000001E-4</v>
      </c>
      <c r="D49" s="12">
        <f>ROUND(D$3*C49,0)</f>
        <v>1341</v>
      </c>
      <c r="E49" s="13">
        <f>ROUND(D49/2,0)</f>
        <v>671</v>
      </c>
      <c r="F49" s="12">
        <f>D49-E49</f>
        <v>670</v>
      </c>
    </row>
    <row r="50" spans="1:6">
      <c r="A50" s="8"/>
      <c r="B50" s="11" t="s">
        <v>11</v>
      </c>
      <c r="C50" s="10">
        <v>6.4800000000000003E-4</v>
      </c>
      <c r="D50" s="12">
        <f>ROUND(D$3*C50,0)</f>
        <v>873</v>
      </c>
      <c r="E50" s="13">
        <f>ROUND(D50/2,0)</f>
        <v>437</v>
      </c>
      <c r="F50" s="12">
        <f>D50-E50</f>
        <v>436</v>
      </c>
    </row>
    <row r="51" spans="1:6">
      <c r="A51" s="8">
        <v>2</v>
      </c>
      <c r="B51" s="11" t="s">
        <v>57</v>
      </c>
      <c r="C51" s="11"/>
      <c r="D51" s="9"/>
      <c r="E51" s="11"/>
      <c r="F51" s="11"/>
    </row>
    <row r="52" spans="1:6">
      <c r="A52" s="8"/>
      <c r="B52" s="11" t="s">
        <v>10</v>
      </c>
      <c r="C52" s="10">
        <v>9.1100000000000003E-4</v>
      </c>
      <c r="D52" s="12">
        <f>ROUND(D$3*C52,0)</f>
        <v>1228</v>
      </c>
      <c r="E52" s="13">
        <f>ROUND(D52/2,0)</f>
        <v>614</v>
      </c>
      <c r="F52" s="12">
        <f>D52-E52</f>
        <v>614</v>
      </c>
    </row>
    <row r="53" spans="1:6">
      <c r="A53" s="8"/>
      <c r="B53" s="11" t="s">
        <v>11</v>
      </c>
      <c r="C53" s="10">
        <v>1.4760000000000001E-3</v>
      </c>
      <c r="D53" s="12">
        <f>ROUND(D$3*C53,0)</f>
        <v>1989</v>
      </c>
      <c r="E53" s="13">
        <f>ROUND(D53/2,0)</f>
        <v>995</v>
      </c>
      <c r="F53" s="12">
        <f>D53-E53</f>
        <v>994</v>
      </c>
    </row>
    <row r="54" spans="1:6">
      <c r="A54" s="8">
        <v>2</v>
      </c>
      <c r="B54" s="11" t="s">
        <v>744</v>
      </c>
      <c r="C54" s="11"/>
      <c r="D54" s="9"/>
      <c r="E54" s="11"/>
      <c r="F54" s="11"/>
    </row>
    <row r="55" spans="1:6">
      <c r="A55" s="8"/>
      <c r="B55" s="11" t="s">
        <v>10</v>
      </c>
      <c r="C55" s="10">
        <v>1.9100000000000001E-4</v>
      </c>
      <c r="D55" s="12">
        <f>ROUND(D$3*C55,0)</f>
        <v>257</v>
      </c>
      <c r="E55" s="13">
        <f>ROUND(D55/2,0)</f>
        <v>129</v>
      </c>
      <c r="F55" s="12">
        <f>D55-E55</f>
        <v>128</v>
      </c>
    </row>
    <row r="56" spans="1:6">
      <c r="A56" s="8"/>
      <c r="B56" s="11" t="s">
        <v>11</v>
      </c>
      <c r="C56" s="10">
        <v>1.6899999999999999E-4</v>
      </c>
      <c r="D56" s="12">
        <f>ROUND(D$3*C56,0)</f>
        <v>228</v>
      </c>
      <c r="E56" s="13">
        <f>ROUND(D56/2,0)</f>
        <v>114</v>
      </c>
      <c r="F56" s="12">
        <f>D56-E56</f>
        <v>114</v>
      </c>
    </row>
    <row r="57" spans="1:6">
      <c r="A57" s="8">
        <v>2</v>
      </c>
      <c r="B57" s="11" t="s">
        <v>58</v>
      </c>
      <c r="C57" s="11"/>
      <c r="D57" s="9"/>
      <c r="E57" s="11"/>
      <c r="F57" s="11"/>
    </row>
    <row r="58" spans="1:6">
      <c r="A58" s="8"/>
      <c r="B58" s="11" t="s">
        <v>10</v>
      </c>
      <c r="C58" s="10">
        <v>8.7000000000000001E-5</v>
      </c>
      <c r="D58" s="12">
        <f>ROUND(D$3*C58,0)</f>
        <v>117</v>
      </c>
      <c r="E58" s="13">
        <f>ROUND(D58/2,0)</f>
        <v>59</v>
      </c>
      <c r="F58" s="12">
        <f>D58-E58</f>
        <v>58</v>
      </c>
    </row>
    <row r="59" spans="1:6">
      <c r="A59" s="8"/>
      <c r="B59" s="11" t="s">
        <v>11</v>
      </c>
      <c r="C59" s="10">
        <v>1E-4</v>
      </c>
      <c r="D59" s="12">
        <f>ROUND(D$3*C59,0)</f>
        <v>135</v>
      </c>
      <c r="E59" s="13">
        <f>ROUND(D59/2,0)</f>
        <v>68</v>
      </c>
      <c r="F59" s="12">
        <f>D59-E59</f>
        <v>67</v>
      </c>
    </row>
    <row r="60" spans="1:6">
      <c r="A60" s="8">
        <v>2</v>
      </c>
      <c r="B60" s="11" t="s">
        <v>59</v>
      </c>
      <c r="C60" s="11"/>
      <c r="D60" s="9"/>
      <c r="E60" s="11"/>
      <c r="F60" s="11"/>
    </row>
    <row r="61" spans="1:6">
      <c r="A61" s="8"/>
      <c r="B61" s="11" t="s">
        <v>10</v>
      </c>
      <c r="C61" s="10">
        <v>1.0449999999999999E-3</v>
      </c>
      <c r="D61" s="12">
        <f>ROUND(D$3*C61,0)</f>
        <v>1408</v>
      </c>
      <c r="E61" s="13">
        <f>ROUND(D61/2,0)</f>
        <v>704</v>
      </c>
      <c r="F61" s="12">
        <f>D61-E61</f>
        <v>704</v>
      </c>
    </row>
    <row r="62" spans="1:6">
      <c r="A62" s="8"/>
      <c r="B62" s="11" t="s">
        <v>11</v>
      </c>
      <c r="C62" s="10">
        <v>1.248E-3</v>
      </c>
      <c r="D62" s="12">
        <f>ROUND(D$3*C62,0)</f>
        <v>1682</v>
      </c>
      <c r="E62" s="13">
        <f>ROUND(D62/2,0)</f>
        <v>841</v>
      </c>
      <c r="F62" s="12">
        <f>D62-E62</f>
        <v>841</v>
      </c>
    </row>
    <row r="63" spans="1:6">
      <c r="A63" s="8">
        <v>2</v>
      </c>
      <c r="B63" s="11" t="s">
        <v>20</v>
      </c>
      <c r="C63" s="11"/>
      <c r="D63" s="9"/>
      <c r="E63" s="11"/>
      <c r="F63" s="11"/>
    </row>
    <row r="64" spans="1:6">
      <c r="A64" s="8"/>
      <c r="B64" s="11" t="s">
        <v>10</v>
      </c>
      <c r="C64" s="10">
        <v>1.2799999999999999E-4</v>
      </c>
      <c r="D64" s="12">
        <f>ROUND(D$3*C64,0)</f>
        <v>173</v>
      </c>
      <c r="E64" s="13">
        <f>ROUND(D64/2,0)</f>
        <v>87</v>
      </c>
      <c r="F64" s="12">
        <f>D64-E64</f>
        <v>86</v>
      </c>
    </row>
    <row r="65" spans="1:6">
      <c r="A65" s="8"/>
      <c r="B65" s="11" t="s">
        <v>11</v>
      </c>
      <c r="C65" s="10">
        <v>8.5000000000000006E-5</v>
      </c>
      <c r="D65" s="12">
        <f>ROUND(D$3*C65,0)</f>
        <v>115</v>
      </c>
      <c r="E65" s="13">
        <f>ROUND(D65/2,0)</f>
        <v>58</v>
      </c>
      <c r="F65" s="12">
        <f>D65-E65</f>
        <v>57</v>
      </c>
    </row>
    <row r="66" spans="1:6">
      <c r="A66" s="8">
        <v>2</v>
      </c>
      <c r="B66" s="11" t="s">
        <v>22</v>
      </c>
      <c r="C66" s="11"/>
      <c r="D66" s="9"/>
      <c r="E66" s="11"/>
      <c r="F66" s="11"/>
    </row>
    <row r="67" spans="1:6">
      <c r="A67" s="8"/>
      <c r="B67" s="11" t="s">
        <v>10</v>
      </c>
      <c r="C67" s="10">
        <v>5.8999999999999998E-5</v>
      </c>
      <c r="D67" s="12">
        <f>ROUND(D$3*C67,0)</f>
        <v>80</v>
      </c>
      <c r="E67" s="13">
        <f>ROUND(D67/2,0)</f>
        <v>40</v>
      </c>
      <c r="F67" s="12">
        <f>D67-E67</f>
        <v>40</v>
      </c>
    </row>
    <row r="68" spans="1:6">
      <c r="A68" s="8"/>
      <c r="B68" s="11" t="s">
        <v>11</v>
      </c>
      <c r="C68" s="10">
        <v>1.194E-3</v>
      </c>
      <c r="D68" s="12">
        <f>ROUND(D$3*C68,0)</f>
        <v>1609</v>
      </c>
      <c r="E68" s="13">
        <f>ROUND(D68/2,0)</f>
        <v>805</v>
      </c>
      <c r="F68" s="12">
        <f>D68-E68</f>
        <v>804</v>
      </c>
    </row>
    <row r="69" spans="1:6">
      <c r="A69" s="8">
        <v>2</v>
      </c>
      <c r="B69" s="11" t="s">
        <v>1073</v>
      </c>
      <c r="C69" s="11"/>
      <c r="D69" s="9"/>
      <c r="E69" s="11"/>
      <c r="F69" s="11"/>
    </row>
    <row r="70" spans="1:6">
      <c r="A70" s="8"/>
      <c r="B70" s="11" t="s">
        <v>10</v>
      </c>
      <c r="C70" s="10">
        <v>1.5699999999999999E-4</v>
      </c>
      <c r="D70" s="12">
        <f t="shared" ref="D70:D83" si="0">ROUND(D$3*C70,0)</f>
        <v>212</v>
      </c>
      <c r="E70" s="13">
        <f t="shared" ref="E70:E83" si="1">ROUND(D70/2,0)</f>
        <v>106</v>
      </c>
      <c r="F70" s="12">
        <f t="shared" ref="F70:F83" si="2">D70-E70</f>
        <v>106</v>
      </c>
    </row>
    <row r="71" spans="1:6">
      <c r="A71" s="8" t="s">
        <v>590</v>
      </c>
      <c r="B71" s="11" t="s">
        <v>11</v>
      </c>
      <c r="C71" s="10">
        <v>1.0900000000000001E-4</v>
      </c>
      <c r="D71" s="12">
        <f t="shared" si="0"/>
        <v>147</v>
      </c>
      <c r="E71" s="13">
        <f t="shared" si="1"/>
        <v>74</v>
      </c>
      <c r="F71" s="12">
        <f t="shared" si="2"/>
        <v>73</v>
      </c>
    </row>
    <row r="72" spans="1:6">
      <c r="A72" s="8">
        <v>3</v>
      </c>
      <c r="B72" s="11" t="s">
        <v>1074</v>
      </c>
      <c r="C72" s="10">
        <v>0</v>
      </c>
      <c r="D72" s="12">
        <f t="shared" si="0"/>
        <v>0</v>
      </c>
      <c r="E72" s="13">
        <f t="shared" si="1"/>
        <v>0</v>
      </c>
      <c r="F72" s="12">
        <f t="shared" si="2"/>
        <v>0</v>
      </c>
    </row>
    <row r="73" spans="1:6">
      <c r="A73" s="8">
        <v>3</v>
      </c>
      <c r="B73" s="11" t="s">
        <v>1075</v>
      </c>
      <c r="C73" s="10">
        <v>8.5599999999999999E-4</v>
      </c>
      <c r="D73" s="12">
        <f t="shared" si="0"/>
        <v>1154</v>
      </c>
      <c r="E73" s="13">
        <f t="shared" si="1"/>
        <v>577</v>
      </c>
      <c r="F73" s="12">
        <f t="shared" si="2"/>
        <v>577</v>
      </c>
    </row>
    <row r="74" spans="1:6">
      <c r="A74" s="8">
        <v>3</v>
      </c>
      <c r="B74" s="11" t="s">
        <v>1076</v>
      </c>
      <c r="C74" s="10">
        <v>2.2279999999999999E-3</v>
      </c>
      <c r="D74" s="12">
        <f t="shared" si="0"/>
        <v>3003</v>
      </c>
      <c r="E74" s="13">
        <f t="shared" si="1"/>
        <v>1502</v>
      </c>
      <c r="F74" s="12">
        <f t="shared" si="2"/>
        <v>1501</v>
      </c>
    </row>
    <row r="75" spans="1:6">
      <c r="A75" s="8">
        <v>3</v>
      </c>
      <c r="B75" s="11" t="s">
        <v>1077</v>
      </c>
      <c r="C75" s="10">
        <v>4.4259E-2</v>
      </c>
      <c r="D75" s="12">
        <f t="shared" si="0"/>
        <v>59654</v>
      </c>
      <c r="E75" s="13">
        <f t="shared" si="1"/>
        <v>29827</v>
      </c>
      <c r="F75" s="12">
        <f t="shared" si="2"/>
        <v>29827</v>
      </c>
    </row>
    <row r="76" spans="1:6">
      <c r="A76" s="8">
        <v>3</v>
      </c>
      <c r="B76" s="11" t="s">
        <v>1078</v>
      </c>
      <c r="C76" s="10">
        <v>4.4099999999999999E-4</v>
      </c>
      <c r="D76" s="12">
        <f t="shared" si="0"/>
        <v>594</v>
      </c>
      <c r="E76" s="13">
        <f t="shared" si="1"/>
        <v>297</v>
      </c>
      <c r="F76" s="12">
        <f t="shared" si="2"/>
        <v>297</v>
      </c>
    </row>
    <row r="77" spans="1:6">
      <c r="A77" s="8">
        <v>3</v>
      </c>
      <c r="B77" s="11" t="s">
        <v>1079</v>
      </c>
      <c r="C77" s="10">
        <v>3.8999999999999999E-5</v>
      </c>
      <c r="D77" s="12">
        <f t="shared" si="0"/>
        <v>53</v>
      </c>
      <c r="E77" s="13">
        <f t="shared" si="1"/>
        <v>27</v>
      </c>
      <c r="F77" s="12">
        <f t="shared" si="2"/>
        <v>26</v>
      </c>
    </row>
    <row r="78" spans="1:6">
      <c r="A78" s="8">
        <v>3</v>
      </c>
      <c r="B78" s="11" t="s">
        <v>1080</v>
      </c>
      <c r="C78" s="10">
        <v>9.9430000000000004E-2</v>
      </c>
      <c r="D78" s="12">
        <f t="shared" si="0"/>
        <v>134015</v>
      </c>
      <c r="E78" s="13">
        <f t="shared" si="1"/>
        <v>67008</v>
      </c>
      <c r="F78" s="12">
        <f t="shared" si="2"/>
        <v>67007</v>
      </c>
    </row>
    <row r="79" spans="1:6">
      <c r="A79" s="8">
        <v>3</v>
      </c>
      <c r="B79" s="11" t="s">
        <v>1081</v>
      </c>
      <c r="C79" s="10">
        <v>0</v>
      </c>
      <c r="D79" s="12">
        <f t="shared" si="0"/>
        <v>0</v>
      </c>
      <c r="E79" s="13">
        <f t="shared" si="1"/>
        <v>0</v>
      </c>
      <c r="F79" s="12">
        <f t="shared" si="2"/>
        <v>0</v>
      </c>
    </row>
    <row r="80" spans="1:6">
      <c r="A80" s="8">
        <v>3</v>
      </c>
      <c r="B80" s="11" t="s">
        <v>1082</v>
      </c>
      <c r="C80" s="10">
        <v>1.2329999999999999E-3</v>
      </c>
      <c r="D80" s="12">
        <f t="shared" si="0"/>
        <v>1662</v>
      </c>
      <c r="E80" s="13">
        <f t="shared" si="1"/>
        <v>831</v>
      </c>
      <c r="F80" s="12">
        <f t="shared" si="2"/>
        <v>831</v>
      </c>
    </row>
    <row r="81" spans="1:6">
      <c r="A81" s="8">
        <v>3</v>
      </c>
      <c r="B81" s="11" t="s">
        <v>1083</v>
      </c>
      <c r="C81" s="10">
        <v>4.4019999999999997E-3</v>
      </c>
      <c r="D81" s="12">
        <f t="shared" si="0"/>
        <v>5933</v>
      </c>
      <c r="E81" s="13">
        <f t="shared" si="1"/>
        <v>2967</v>
      </c>
      <c r="F81" s="12">
        <f t="shared" si="2"/>
        <v>2966</v>
      </c>
    </row>
    <row r="82" spans="1:6">
      <c r="A82" s="8">
        <v>3</v>
      </c>
      <c r="B82" s="11" t="s">
        <v>1084</v>
      </c>
      <c r="C82" s="10">
        <v>1.1428000000000001E-2</v>
      </c>
      <c r="D82" s="12">
        <f t="shared" si="0"/>
        <v>15403</v>
      </c>
      <c r="E82" s="13">
        <f t="shared" si="1"/>
        <v>7702</v>
      </c>
      <c r="F82" s="12">
        <f t="shared" si="2"/>
        <v>7701</v>
      </c>
    </row>
    <row r="83" spans="1:6">
      <c r="A83" s="8">
        <v>4</v>
      </c>
      <c r="B83" s="11" t="s">
        <v>1085</v>
      </c>
      <c r="C83" s="10">
        <v>2.5713E-2</v>
      </c>
      <c r="D83" s="9">
        <f t="shared" si="0"/>
        <v>34657</v>
      </c>
      <c r="E83" s="11">
        <f t="shared" si="1"/>
        <v>17329</v>
      </c>
      <c r="F83" s="9">
        <f t="shared" si="2"/>
        <v>17328</v>
      </c>
    </row>
    <row r="84" spans="1:6">
      <c r="A84" s="8"/>
      <c r="B84" s="11" t="s">
        <v>28</v>
      </c>
      <c r="C84" s="11"/>
      <c r="D84" s="14">
        <v>0.76115100000000002</v>
      </c>
      <c r="E84" s="11"/>
      <c r="F84" s="11"/>
    </row>
    <row r="85" spans="1:6">
      <c r="A85" s="8"/>
      <c r="B85" s="11" t="s">
        <v>29</v>
      </c>
      <c r="C85" s="11"/>
      <c r="D85" s="225">
        <f>ROUND(D83*D84,0)</f>
        <v>26379</v>
      </c>
      <c r="E85" s="226">
        <f>ROUND(D85/2,0)</f>
        <v>13190</v>
      </c>
      <c r="F85" s="225">
        <f>D85-E85</f>
        <v>13189</v>
      </c>
    </row>
    <row r="86" spans="1:6">
      <c r="A86" s="8"/>
      <c r="B86" s="11" t="s">
        <v>30</v>
      </c>
      <c r="C86" s="11"/>
      <c r="D86" s="12">
        <f>+D83-D85</f>
        <v>8278</v>
      </c>
      <c r="E86" s="13">
        <f>ROUND(D86/2,0)</f>
        <v>4139</v>
      </c>
      <c r="F86" s="12">
        <f>D86-E86</f>
        <v>4139</v>
      </c>
    </row>
    <row r="87" spans="1:6">
      <c r="A87" s="8">
        <v>4</v>
      </c>
      <c r="B87" s="11" t="s">
        <v>1086</v>
      </c>
      <c r="C87" s="10">
        <v>1.4296E-2</v>
      </c>
      <c r="D87" s="9">
        <f>ROUND(D$3*C87,0)</f>
        <v>19269</v>
      </c>
      <c r="E87" s="11">
        <f>ROUND(D87/2,0)</f>
        <v>9635</v>
      </c>
      <c r="F87" s="9">
        <f>D87-E87</f>
        <v>9634</v>
      </c>
    </row>
    <row r="88" spans="1:6">
      <c r="A88" s="8"/>
      <c r="B88" s="11" t="s">
        <v>28</v>
      </c>
      <c r="C88" s="11"/>
      <c r="D88" s="14">
        <v>0.73833199999999999</v>
      </c>
      <c r="E88" s="11"/>
      <c r="F88" s="11"/>
    </row>
    <row r="89" spans="1:6">
      <c r="A89" s="8"/>
      <c r="B89" s="11" t="s">
        <v>29</v>
      </c>
      <c r="C89" s="11"/>
      <c r="D89" s="225">
        <f>ROUND(D87*D88,0)</f>
        <v>14227</v>
      </c>
      <c r="E89" s="226">
        <f>ROUND(D89/2,0)</f>
        <v>7114</v>
      </c>
      <c r="F89" s="225">
        <f>D89-E89</f>
        <v>7113</v>
      </c>
    </row>
    <row r="90" spans="1:6">
      <c r="A90" s="8"/>
      <c r="B90" s="11" t="s">
        <v>30</v>
      </c>
      <c r="C90" s="11"/>
      <c r="D90" s="12">
        <f>+D87-D89</f>
        <v>5042</v>
      </c>
      <c r="E90" s="13">
        <f>ROUND(D90/2,0)</f>
        <v>2521</v>
      </c>
      <c r="F90" s="12">
        <f>D90-E90</f>
        <v>2521</v>
      </c>
    </row>
    <row r="91" spans="1:6">
      <c r="A91" s="8">
        <v>4</v>
      </c>
      <c r="B91" s="11" t="s">
        <v>1087</v>
      </c>
      <c r="C91" s="10">
        <v>1.66E-3</v>
      </c>
      <c r="D91" s="9">
        <f>ROUND(D$3*C91,0)</f>
        <v>2237</v>
      </c>
      <c r="E91" s="11">
        <f>ROUND(D91/2,0)</f>
        <v>1119</v>
      </c>
      <c r="F91" s="9">
        <f>D91-E91</f>
        <v>1118</v>
      </c>
    </row>
    <row r="92" spans="1:6">
      <c r="A92" s="8"/>
      <c r="B92" s="11" t="s">
        <v>28</v>
      </c>
      <c r="C92" s="11"/>
      <c r="D92" s="14">
        <v>0.410688</v>
      </c>
      <c r="E92" s="11"/>
      <c r="F92" s="11"/>
    </row>
    <row r="93" spans="1:6">
      <c r="A93" s="8"/>
      <c r="B93" s="11" t="s">
        <v>29</v>
      </c>
      <c r="C93" s="11"/>
      <c r="D93" s="225">
        <f>ROUND(D91*D92,0)</f>
        <v>919</v>
      </c>
      <c r="E93" s="226">
        <f>ROUND(D93/2,0)</f>
        <v>460</v>
      </c>
      <c r="F93" s="225">
        <f>D93-E93</f>
        <v>459</v>
      </c>
    </row>
    <row r="94" spans="1:6">
      <c r="A94" s="8"/>
      <c r="B94" s="11" t="s">
        <v>30</v>
      </c>
      <c r="C94" s="11"/>
      <c r="D94" s="12">
        <f>+D91-D93</f>
        <v>1318</v>
      </c>
      <c r="E94" s="13">
        <f>ROUND(D94/2,0)</f>
        <v>659</v>
      </c>
      <c r="F94" s="12">
        <f>D94-E94</f>
        <v>659</v>
      </c>
    </row>
    <row r="95" spans="1:6">
      <c r="A95" s="8">
        <v>4</v>
      </c>
      <c r="B95" s="11" t="s">
        <v>1088</v>
      </c>
      <c r="C95" s="10">
        <v>0.160162</v>
      </c>
      <c r="D95" s="9">
        <f>ROUND(D$3*C95,0)</f>
        <v>215872</v>
      </c>
      <c r="E95" s="11">
        <f>ROUND(D95/2,0)</f>
        <v>107936</v>
      </c>
      <c r="F95" s="9">
        <f>D95-E95</f>
        <v>107936</v>
      </c>
    </row>
    <row r="96" spans="1:6">
      <c r="A96" s="8"/>
      <c r="B96" s="11" t="s">
        <v>28</v>
      </c>
      <c r="C96" s="11"/>
      <c r="D96" s="14">
        <v>0.45946300000000001</v>
      </c>
      <c r="E96" s="11"/>
      <c r="F96" s="11"/>
    </row>
    <row r="97" spans="1:6">
      <c r="A97" s="8"/>
      <c r="B97" s="11" t="s">
        <v>29</v>
      </c>
      <c r="C97" s="11"/>
      <c r="D97" s="225">
        <f>ROUND(D95*D96,0)</f>
        <v>99185</v>
      </c>
      <c r="E97" s="226">
        <f>ROUND(D97/2,0)</f>
        <v>49593</v>
      </c>
      <c r="F97" s="225">
        <f>D97-E97</f>
        <v>49592</v>
      </c>
    </row>
    <row r="98" spans="1:6">
      <c r="A98" s="8"/>
      <c r="B98" s="11" t="s">
        <v>30</v>
      </c>
      <c r="C98" s="11"/>
      <c r="D98" s="12">
        <f>+D95-D97</f>
        <v>116687</v>
      </c>
      <c r="E98" s="13">
        <f>ROUND(D98/2,0)</f>
        <v>58344</v>
      </c>
      <c r="F98" s="12">
        <f>D98-E98</f>
        <v>58343</v>
      </c>
    </row>
    <row r="99" spans="1:6">
      <c r="A99" s="8">
        <v>4</v>
      </c>
      <c r="B99" s="11" t="s">
        <v>1089</v>
      </c>
      <c r="C99" s="10">
        <v>0.16100700000000001</v>
      </c>
      <c r="D99" s="9">
        <f>ROUND(D$3*C99,0)</f>
        <v>217011</v>
      </c>
      <c r="E99" s="11">
        <f>ROUND(D99/2,0)</f>
        <v>108506</v>
      </c>
      <c r="F99" s="9">
        <f>D99-E99</f>
        <v>108505</v>
      </c>
    </row>
    <row r="100" spans="1:6">
      <c r="A100" s="8"/>
      <c r="B100" s="11" t="s">
        <v>28</v>
      </c>
      <c r="C100" s="11"/>
      <c r="D100" s="14">
        <v>0.53610800000000003</v>
      </c>
      <c r="E100" s="11"/>
      <c r="F100" s="11"/>
    </row>
    <row r="101" spans="1:6">
      <c r="A101" s="8"/>
      <c r="B101" s="11" t="s">
        <v>29</v>
      </c>
      <c r="C101" s="11"/>
      <c r="D101" s="225">
        <f>ROUND(D99*D100,0)</f>
        <v>116341</v>
      </c>
      <c r="E101" s="226">
        <f>ROUND(D101/2,0)</f>
        <v>58171</v>
      </c>
      <c r="F101" s="225">
        <f>D101-E101</f>
        <v>58170</v>
      </c>
    </row>
    <row r="102" spans="1:6">
      <c r="A102" s="8"/>
      <c r="B102" s="11" t="s">
        <v>30</v>
      </c>
      <c r="C102" s="11"/>
      <c r="D102" s="12">
        <f>+D99-D101</f>
        <v>100670</v>
      </c>
      <c r="E102" s="13">
        <f>ROUND(D102/2,0)</f>
        <v>50335</v>
      </c>
      <c r="F102" s="12">
        <f>D102-E102</f>
        <v>50335</v>
      </c>
    </row>
    <row r="103" spans="1:6">
      <c r="A103" s="8">
        <v>4</v>
      </c>
      <c r="B103" s="11" t="s">
        <v>1090</v>
      </c>
      <c r="C103" s="10">
        <v>4.3130000000000002E-2</v>
      </c>
      <c r="D103" s="9">
        <f>ROUND(D$3*C103,0)</f>
        <v>58132</v>
      </c>
      <c r="E103" s="11">
        <f>ROUND(D103/2,0)</f>
        <v>29066</v>
      </c>
      <c r="F103" s="9">
        <f>D103-E103</f>
        <v>29066</v>
      </c>
    </row>
    <row r="104" spans="1:6">
      <c r="A104" s="8"/>
      <c r="B104" s="11" t="s">
        <v>28</v>
      </c>
      <c r="C104" s="11"/>
      <c r="D104" s="14">
        <v>0.41458600000000001</v>
      </c>
      <c r="E104" s="11"/>
      <c r="F104" s="11"/>
    </row>
    <row r="105" spans="1:6">
      <c r="A105" s="8"/>
      <c r="B105" s="11" t="s">
        <v>29</v>
      </c>
      <c r="C105" s="11"/>
      <c r="D105" s="225">
        <f>ROUND(D103*D104,0)</f>
        <v>24101</v>
      </c>
      <c r="E105" s="226">
        <f>ROUND(D105/2,0)</f>
        <v>12051</v>
      </c>
      <c r="F105" s="225">
        <f>D105-E105</f>
        <v>12050</v>
      </c>
    </row>
    <row r="106" spans="1:6">
      <c r="A106" s="8"/>
      <c r="B106" s="11" t="s">
        <v>30</v>
      </c>
      <c r="C106" s="11"/>
      <c r="D106" s="12">
        <f>+D103-D105</f>
        <v>34031</v>
      </c>
      <c r="E106" s="13">
        <f>ROUND(D106/2,0)</f>
        <v>17016</v>
      </c>
      <c r="F106" s="12">
        <f>D106-E106</f>
        <v>17015</v>
      </c>
    </row>
    <row r="107" spans="1:6">
      <c r="A107" s="8">
        <v>4</v>
      </c>
      <c r="B107" s="11" t="s">
        <v>1091</v>
      </c>
      <c r="C107" s="10">
        <v>5.6883999999999997E-2</v>
      </c>
      <c r="D107" s="9">
        <f>ROUND(D$3*C107,0)</f>
        <v>76670</v>
      </c>
      <c r="E107" s="11">
        <f>ROUND(D107/2,0)</f>
        <v>38335</v>
      </c>
      <c r="F107" s="9">
        <f>D107-E107</f>
        <v>38335</v>
      </c>
    </row>
    <row r="108" spans="1:6">
      <c r="A108" s="8"/>
      <c r="B108" s="11" t="s">
        <v>28</v>
      </c>
      <c r="C108" s="11"/>
      <c r="D108" s="14">
        <v>0.44144499999999998</v>
      </c>
      <c r="E108" s="11"/>
      <c r="F108" s="11"/>
    </row>
    <row r="109" spans="1:6">
      <c r="A109" s="8"/>
      <c r="B109" s="11" t="s">
        <v>29</v>
      </c>
      <c r="C109" s="11"/>
      <c r="D109" s="225">
        <f>ROUND(D107*D108,0)</f>
        <v>33846</v>
      </c>
      <c r="E109" s="226">
        <f>ROUND(D109/2,0)</f>
        <v>16923</v>
      </c>
      <c r="F109" s="225">
        <f>D109-E109</f>
        <v>16923</v>
      </c>
    </row>
    <row r="110" spans="1:6">
      <c r="A110" s="8"/>
      <c r="B110" s="11" t="s">
        <v>30</v>
      </c>
      <c r="C110" s="11"/>
      <c r="D110" s="12">
        <f>+D107-D109</f>
        <v>42824</v>
      </c>
      <c r="E110" s="13">
        <f>ROUND(D110/2,0)</f>
        <v>21412</v>
      </c>
      <c r="F110" s="12">
        <f>D110-E110</f>
        <v>21412</v>
      </c>
    </row>
    <row r="111" spans="1:6">
      <c r="A111" s="8">
        <v>4</v>
      </c>
      <c r="B111" s="11" t="s">
        <v>1092</v>
      </c>
      <c r="C111" s="10">
        <v>9.0700000000000004E-4</v>
      </c>
      <c r="D111" s="9">
        <f>ROUND(D$3*C111,0)</f>
        <v>1222</v>
      </c>
      <c r="E111" s="11">
        <f>ROUND(D111/2,0)</f>
        <v>611</v>
      </c>
      <c r="F111" s="9">
        <f>D111-E111</f>
        <v>611</v>
      </c>
    </row>
    <row r="112" spans="1:6">
      <c r="A112" s="8"/>
      <c r="B112" s="11" t="s">
        <v>28</v>
      </c>
      <c r="C112" s="11"/>
      <c r="D112" s="14">
        <v>0.2334</v>
      </c>
      <c r="E112" s="11"/>
      <c r="F112" s="11"/>
    </row>
    <row r="113" spans="1:6">
      <c r="A113" s="8"/>
      <c r="B113" s="11" t="s">
        <v>29</v>
      </c>
      <c r="C113" s="11"/>
      <c r="D113" s="225">
        <f>ROUND(D111*D112,0)</f>
        <v>285</v>
      </c>
      <c r="E113" s="226">
        <f>ROUND(D113/2,0)</f>
        <v>143</v>
      </c>
      <c r="F113" s="225">
        <f>D113-E113</f>
        <v>142</v>
      </c>
    </row>
    <row r="114" spans="1:6">
      <c r="A114" s="8"/>
      <c r="B114" s="11" t="s">
        <v>30</v>
      </c>
      <c r="C114" s="11"/>
      <c r="D114" s="12">
        <f>+D111-D113</f>
        <v>937</v>
      </c>
      <c r="E114" s="13">
        <f>ROUND(D114/2,0)</f>
        <v>469</v>
      </c>
      <c r="F114" s="12">
        <f>D114-E114</f>
        <v>468</v>
      </c>
    </row>
    <row r="115" spans="1:6">
      <c r="A115" s="8">
        <v>4</v>
      </c>
      <c r="B115" s="11" t="s">
        <v>1093</v>
      </c>
      <c r="C115" s="10">
        <v>4.3608000000000001E-2</v>
      </c>
      <c r="D115" s="9">
        <f>ROUND(D$3*C115,0)</f>
        <v>58776</v>
      </c>
      <c r="E115" s="11">
        <f>ROUND(D115/2,0)</f>
        <v>29388</v>
      </c>
      <c r="F115" s="9">
        <f>D115-E115</f>
        <v>29388</v>
      </c>
    </row>
    <row r="116" spans="1:6">
      <c r="A116" s="8"/>
      <c r="B116" s="11" t="s">
        <v>28</v>
      </c>
      <c r="C116" s="11"/>
      <c r="D116" s="14">
        <v>0.45180999999999999</v>
      </c>
      <c r="E116" s="11"/>
      <c r="F116" s="11"/>
    </row>
    <row r="117" spans="1:6">
      <c r="A117" s="8"/>
      <c r="B117" s="11" t="s">
        <v>29</v>
      </c>
      <c r="C117" s="11"/>
      <c r="D117" s="225">
        <f>ROUND(D115*D116,0)</f>
        <v>26556</v>
      </c>
      <c r="E117" s="226">
        <f t="shared" ref="E117:E127" si="3">ROUND(D117/2,0)</f>
        <v>13278</v>
      </c>
      <c r="F117" s="225">
        <f t="shared" ref="F117:F127" si="4">D117-E117</f>
        <v>13278</v>
      </c>
    </row>
    <row r="118" spans="1:6">
      <c r="A118" s="8"/>
      <c r="B118" s="11" t="s">
        <v>30</v>
      </c>
      <c r="C118" s="11"/>
      <c r="D118" s="12">
        <f>+D115-D117</f>
        <v>32220</v>
      </c>
      <c r="E118" s="13">
        <f t="shared" si="3"/>
        <v>16110</v>
      </c>
      <c r="F118" s="12">
        <f t="shared" si="4"/>
        <v>16110</v>
      </c>
    </row>
    <row r="119" spans="1:6">
      <c r="A119" s="8">
        <v>5</v>
      </c>
      <c r="B119" s="11" t="s">
        <v>1094</v>
      </c>
      <c r="C119" s="10">
        <v>7.54E-4</v>
      </c>
      <c r="D119" s="12">
        <f t="shared" ref="D119:D126" si="5">ROUND(D$3*C119,0)</f>
        <v>1016</v>
      </c>
      <c r="E119" s="13">
        <f t="shared" si="3"/>
        <v>508</v>
      </c>
      <c r="F119" s="12">
        <f t="shared" si="4"/>
        <v>508</v>
      </c>
    </row>
    <row r="120" spans="1:6">
      <c r="A120" s="8">
        <v>5</v>
      </c>
      <c r="B120" s="11" t="s">
        <v>1095</v>
      </c>
      <c r="C120" s="10">
        <v>2.5807E-2</v>
      </c>
      <c r="D120" s="12">
        <f t="shared" si="5"/>
        <v>34784</v>
      </c>
      <c r="E120" s="13">
        <f t="shared" si="3"/>
        <v>17392</v>
      </c>
      <c r="F120" s="12">
        <f t="shared" si="4"/>
        <v>17392</v>
      </c>
    </row>
    <row r="121" spans="1:6">
      <c r="A121" s="8">
        <v>5</v>
      </c>
      <c r="B121" s="11" t="s">
        <v>1096</v>
      </c>
      <c r="C121" s="10">
        <v>1.1894999999999999E-2</v>
      </c>
      <c r="D121" s="12">
        <f t="shared" si="5"/>
        <v>16032</v>
      </c>
      <c r="E121" s="13">
        <f t="shared" si="3"/>
        <v>8016</v>
      </c>
      <c r="F121" s="12">
        <f t="shared" si="4"/>
        <v>8016</v>
      </c>
    </row>
    <row r="122" spans="1:6">
      <c r="A122" s="8">
        <v>5</v>
      </c>
      <c r="B122" s="11" t="s">
        <v>1097</v>
      </c>
      <c r="C122" s="10">
        <v>8.52E-4</v>
      </c>
      <c r="D122" s="12">
        <f t="shared" si="5"/>
        <v>1148</v>
      </c>
      <c r="E122" s="13">
        <f t="shared" si="3"/>
        <v>574</v>
      </c>
      <c r="F122" s="12">
        <f t="shared" si="4"/>
        <v>574</v>
      </c>
    </row>
    <row r="123" spans="1:6">
      <c r="A123" s="8">
        <v>5</v>
      </c>
      <c r="B123" s="11" t="s">
        <v>1098</v>
      </c>
      <c r="C123" s="10">
        <v>2.2369999999999998E-3</v>
      </c>
      <c r="D123" s="12">
        <f t="shared" si="5"/>
        <v>3015</v>
      </c>
      <c r="E123" s="13">
        <f t="shared" si="3"/>
        <v>1508</v>
      </c>
      <c r="F123" s="12">
        <f t="shared" si="4"/>
        <v>1507</v>
      </c>
    </row>
    <row r="124" spans="1:6">
      <c r="A124" s="8">
        <v>6</v>
      </c>
      <c r="B124" s="11" t="s">
        <v>1099</v>
      </c>
      <c r="C124" s="10">
        <v>0</v>
      </c>
      <c r="D124" s="12">
        <f t="shared" si="5"/>
        <v>0</v>
      </c>
      <c r="E124" s="13">
        <f t="shared" si="3"/>
        <v>0</v>
      </c>
      <c r="F124" s="12">
        <f t="shared" si="4"/>
        <v>0</v>
      </c>
    </row>
    <row r="125" spans="1:6">
      <c r="A125" s="8">
        <v>6</v>
      </c>
      <c r="B125" s="11" t="s">
        <v>1100</v>
      </c>
      <c r="C125" s="10">
        <v>1.652E-3</v>
      </c>
      <c r="D125" s="12">
        <f t="shared" si="5"/>
        <v>2227</v>
      </c>
      <c r="E125" s="13">
        <f t="shared" si="3"/>
        <v>1114</v>
      </c>
      <c r="F125" s="12">
        <f t="shared" si="4"/>
        <v>1113</v>
      </c>
    </row>
    <row r="126" spans="1:6">
      <c r="A126" s="8">
        <v>6</v>
      </c>
      <c r="B126" s="11" t="s">
        <v>1101</v>
      </c>
      <c r="C126" s="10">
        <v>1.1299999999999999E-3</v>
      </c>
      <c r="D126" s="12">
        <f t="shared" si="5"/>
        <v>1523</v>
      </c>
      <c r="E126" s="13">
        <f t="shared" si="3"/>
        <v>762</v>
      </c>
      <c r="F126" s="12">
        <f t="shared" si="4"/>
        <v>761</v>
      </c>
    </row>
    <row r="127" spans="1:6">
      <c r="A127" s="8">
        <v>6</v>
      </c>
      <c r="B127" s="11" t="s">
        <v>1102</v>
      </c>
      <c r="C127" s="10">
        <v>2.8268999999999989E-2</v>
      </c>
      <c r="D127" s="12">
        <f>+D3-SUM(D4:D5)-SUM(D10:D83)-D87-D91-D95-D99-D103-D107-D111-D115-SUM(D119:D126)</f>
        <v>38102</v>
      </c>
      <c r="E127" s="13">
        <f t="shared" si="3"/>
        <v>19051</v>
      </c>
      <c r="F127" s="12">
        <f t="shared" si="4"/>
        <v>19051</v>
      </c>
    </row>
    <row r="128" spans="1:6">
      <c r="A128" s="8"/>
      <c r="B128" s="28" t="s">
        <v>288</v>
      </c>
      <c r="C128" s="10">
        <v>1</v>
      </c>
      <c r="D128" s="12">
        <f>+D4+SUM(D7:D82)+SUM(D85:D86)+SUM(D89:D90)+SUM(D93:D94)+SUM(D97:D98)+SUM(D101:D102)+SUM(D105:D106)+SUM(D109:D110)+SUM(D113:D114)+SUM(D117:D127)</f>
        <v>1347834</v>
      </c>
      <c r="E128" s="12">
        <f>+E4+SUM(E7:E82)+SUM(E85:E86)+SUM(E89:E90)+SUM(E93:E94)+SUM(E97:E98)+SUM(E101:E102)+SUM(E105:E106)+SUM(E109:E110)+SUM(E113:E114)+SUM(E117:E127)</f>
        <v>673939</v>
      </c>
      <c r="F128" s="12">
        <f>+F4+SUM(F7:F82)+SUM(F85:F86)+SUM(F89:F90)+SUM(F93:F94)+SUM(F97:F98)+SUM(F101:F102)+SUM(F105:F106)+SUM(F109:F110)+SUM(F113:F114)+SUM(F117:F127)</f>
        <v>673895</v>
      </c>
    </row>
    <row r="129" spans="2:8">
      <c r="B129" s="18" t="s">
        <v>38</v>
      </c>
      <c r="D129" s="19">
        <f>+D4</f>
        <v>1270</v>
      </c>
      <c r="E129" s="19">
        <f>+E4</f>
        <v>635</v>
      </c>
      <c r="F129" s="19">
        <f>+F4</f>
        <v>635</v>
      </c>
    </row>
    <row r="130" spans="2:8">
      <c r="B130" s="2" t="s">
        <v>39</v>
      </c>
      <c r="D130" s="19">
        <f>+D7</f>
        <v>77724</v>
      </c>
      <c r="E130" s="19">
        <f>+E7</f>
        <v>38862</v>
      </c>
      <c r="F130" s="19">
        <f>+F7</f>
        <v>38862</v>
      </c>
    </row>
    <row r="131" spans="2:8">
      <c r="B131" s="2" t="s">
        <v>40</v>
      </c>
      <c r="D131" s="19">
        <f>+D85+D89+D93+D97+D101+D105+D109+D113+D117</f>
        <v>341839</v>
      </c>
      <c r="E131" s="19">
        <f>+E85+E89+E93+E97+E101+E105+E109+E113+E117</f>
        <v>170923</v>
      </c>
      <c r="F131" s="19">
        <f>+F85+F89+F93+F97+F101+F105+F109+F113+F117</f>
        <v>170916</v>
      </c>
      <c r="H131" s="3">
        <v>1</v>
      </c>
    </row>
    <row r="132" spans="2:8">
      <c r="B132" s="18" t="s">
        <v>41</v>
      </c>
      <c r="D132" s="19">
        <f>+D128-D129-D130-D131</f>
        <v>927001</v>
      </c>
      <c r="E132" s="19">
        <f>+E128-E129-E130-E131</f>
        <v>463519</v>
      </c>
      <c r="F132" s="19">
        <f>+F128-F129-F130-F131</f>
        <v>463482</v>
      </c>
      <c r="H132" s="3">
        <v>2</v>
      </c>
    </row>
    <row r="134" spans="2:8" hidden="1">
      <c r="B134" s="3" t="s">
        <v>42</v>
      </c>
      <c r="C134" s="4">
        <v>-1.0000000000114084E-6</v>
      </c>
      <c r="D134" s="3">
        <f>+D127-ROUND(D3*C127,0)</f>
        <v>0</v>
      </c>
    </row>
  </sheetData>
  <pageMargins left="0.7" right="0.7" top="0.75" bottom="0.75" header="0.3" footer="0.3"/>
  <pageSetup scale="64" fitToHeight="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8">
    <pageSetUpPr fitToPage="1"/>
  </sheetPr>
  <dimension ref="A1:WVB71"/>
  <sheetViews>
    <sheetView topLeftCell="A24" zoomScaleNormal="100" zoomScaleSheetLayoutView="80" workbookViewId="0">
      <selection activeCell="D45" activeCellId="2" sqref="D7:F7 D41:F41 D45:F45"/>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6.140625" style="3" hidden="1"/>
    <col min="190" max="246" width="9.140625" style="3" hidden="1"/>
    <col min="247" max="247" width="16.28515625" style="3" hidden="1"/>
    <col min="248" max="248" width="17.5703125" style="3" hidden="1"/>
    <col min="249" max="249" width="16" style="3" hidden="1"/>
    <col min="250" max="250" width="18.140625" style="3" hidden="1"/>
    <col min="251" max="443" width="9.140625" style="3" hidden="1"/>
    <col min="444" max="444" width="11" style="3" hidden="1"/>
    <col min="445" max="445" width="56.140625" style="3" hidden="1"/>
    <col min="446" max="502" width="9.140625" style="3" hidden="1"/>
    <col min="503" max="503" width="16.28515625" style="3" hidden="1"/>
    <col min="504" max="504" width="17.5703125" style="3" hidden="1"/>
    <col min="505" max="505" width="16" style="3" hidden="1"/>
    <col min="506" max="506" width="18.140625" style="3" hidden="1"/>
    <col min="507" max="699" width="9.140625" style="3" hidden="1"/>
    <col min="700" max="700" width="11" style="3" hidden="1"/>
    <col min="701" max="701" width="56.140625" style="3" hidden="1"/>
    <col min="702" max="758" width="9.140625" style="3" hidden="1"/>
    <col min="759" max="759" width="16.28515625" style="3" hidden="1"/>
    <col min="760" max="760" width="17.5703125" style="3" hidden="1"/>
    <col min="761" max="761" width="16" style="3" hidden="1"/>
    <col min="762" max="762" width="18.140625" style="3" hidden="1"/>
    <col min="763" max="955" width="9.140625" style="3" hidden="1"/>
    <col min="956" max="956" width="11" style="3" hidden="1"/>
    <col min="957" max="957" width="56.140625" style="3" hidden="1"/>
    <col min="958" max="1014" width="9.140625" style="3" hidden="1"/>
    <col min="1015" max="1015" width="16.28515625" style="3" hidden="1"/>
    <col min="1016" max="1016" width="17.5703125" style="3" hidden="1"/>
    <col min="1017" max="1017" width="16" style="3" hidden="1"/>
    <col min="1018" max="1018" width="18.140625" style="3" hidden="1"/>
    <col min="1019" max="1211" width="9.140625" style="3" hidden="1"/>
    <col min="1212" max="1212" width="11" style="3" hidden="1"/>
    <col min="1213" max="1213" width="56.140625" style="3" hidden="1"/>
    <col min="1214" max="1270" width="9.140625" style="3" hidden="1"/>
    <col min="1271" max="1271" width="16.28515625" style="3" hidden="1"/>
    <col min="1272" max="1272" width="17.5703125" style="3" hidden="1"/>
    <col min="1273" max="1273" width="16" style="3" hidden="1"/>
    <col min="1274" max="1274" width="18.140625" style="3" hidden="1"/>
    <col min="1275" max="1467" width="9.140625" style="3" hidden="1"/>
    <col min="1468" max="1468" width="11" style="3" hidden="1"/>
    <col min="1469" max="1469" width="56.140625" style="3" hidden="1"/>
    <col min="1470" max="1526" width="9.140625" style="3" hidden="1"/>
    <col min="1527" max="1527" width="16.28515625" style="3" hidden="1"/>
    <col min="1528" max="1528" width="17.5703125" style="3" hidden="1"/>
    <col min="1529" max="1529" width="16" style="3" hidden="1"/>
    <col min="1530" max="1530" width="18.140625" style="3" hidden="1"/>
    <col min="1531" max="1723" width="9.140625" style="3" hidden="1"/>
    <col min="1724" max="1724" width="11" style="3" hidden="1"/>
    <col min="1725" max="1725" width="56.140625" style="3" hidden="1"/>
    <col min="1726" max="1782" width="9.140625" style="3" hidden="1"/>
    <col min="1783" max="1783" width="16.28515625" style="3" hidden="1"/>
    <col min="1784" max="1784" width="17.5703125" style="3" hidden="1"/>
    <col min="1785" max="1785" width="16" style="3" hidden="1"/>
    <col min="1786" max="1786" width="18.140625" style="3" hidden="1"/>
    <col min="1787" max="1979" width="9.140625" style="3" hidden="1"/>
    <col min="1980" max="1980" width="11" style="3" hidden="1"/>
    <col min="1981" max="1981" width="56.140625" style="3" hidden="1"/>
    <col min="1982" max="2038" width="9.140625" style="3" hidden="1"/>
    <col min="2039" max="2039" width="16.28515625" style="3" hidden="1"/>
    <col min="2040" max="2040" width="17.5703125" style="3" hidden="1"/>
    <col min="2041" max="2041" width="16" style="3" hidden="1"/>
    <col min="2042" max="2042" width="18.140625" style="3" hidden="1"/>
    <col min="2043" max="2235" width="9.140625" style="3" hidden="1"/>
    <col min="2236" max="2236" width="11" style="3" hidden="1"/>
    <col min="2237" max="2237" width="56.140625" style="3" hidden="1"/>
    <col min="2238" max="2294" width="9.140625" style="3" hidden="1"/>
    <col min="2295" max="2295" width="16.28515625" style="3" hidden="1"/>
    <col min="2296" max="2296" width="17.5703125" style="3" hidden="1"/>
    <col min="2297" max="2297" width="16" style="3" hidden="1"/>
    <col min="2298" max="2298" width="18.140625" style="3" hidden="1"/>
    <col min="2299" max="2491" width="9.140625" style="3" hidden="1"/>
    <col min="2492" max="2492" width="11" style="3" hidden="1"/>
    <col min="2493" max="2493" width="56.140625" style="3" hidden="1"/>
    <col min="2494" max="2550" width="9.140625" style="3" hidden="1"/>
    <col min="2551" max="2551" width="16.28515625" style="3" hidden="1"/>
    <col min="2552" max="2552" width="17.5703125" style="3" hidden="1"/>
    <col min="2553" max="2553" width="16" style="3" hidden="1"/>
    <col min="2554" max="2554" width="18.140625" style="3" hidden="1"/>
    <col min="2555" max="2747" width="9.140625" style="3" hidden="1"/>
    <col min="2748" max="2748" width="11" style="3" hidden="1"/>
    <col min="2749" max="2749" width="56.140625" style="3" hidden="1"/>
    <col min="2750" max="2806" width="9.140625" style="3" hidden="1"/>
    <col min="2807" max="2807" width="16.28515625" style="3" hidden="1"/>
    <col min="2808" max="2808" width="17.5703125" style="3" hidden="1"/>
    <col min="2809" max="2809" width="16" style="3" hidden="1"/>
    <col min="2810" max="2810" width="18.140625" style="3" hidden="1"/>
    <col min="2811" max="3003" width="9.140625" style="3" hidden="1"/>
    <col min="3004" max="3004" width="11" style="3" hidden="1"/>
    <col min="3005" max="3005" width="56.140625" style="3" hidden="1"/>
    <col min="3006" max="3062" width="9.140625" style="3" hidden="1"/>
    <col min="3063" max="3063" width="16.28515625" style="3" hidden="1"/>
    <col min="3064" max="3064" width="17.5703125" style="3" hidden="1"/>
    <col min="3065" max="3065" width="16" style="3" hidden="1"/>
    <col min="3066" max="3066" width="18.140625" style="3" hidden="1"/>
    <col min="3067" max="3259" width="9.140625" style="3" hidden="1"/>
    <col min="3260" max="3260" width="11" style="3" hidden="1"/>
    <col min="3261" max="3261" width="56.140625" style="3" hidden="1"/>
    <col min="3262" max="3318" width="9.140625" style="3" hidden="1"/>
    <col min="3319" max="3319" width="16.28515625" style="3" hidden="1"/>
    <col min="3320" max="3320" width="17.5703125" style="3" hidden="1"/>
    <col min="3321" max="3321" width="16" style="3" hidden="1"/>
    <col min="3322" max="3322" width="18.140625" style="3" hidden="1"/>
    <col min="3323" max="3515" width="9.140625" style="3" hidden="1"/>
    <col min="3516" max="3516" width="11" style="3" hidden="1"/>
    <col min="3517" max="3517" width="56.140625" style="3" hidden="1"/>
    <col min="3518" max="3574" width="9.140625" style="3" hidden="1"/>
    <col min="3575" max="3575" width="16.28515625" style="3" hidden="1"/>
    <col min="3576" max="3576" width="17.5703125" style="3" hidden="1"/>
    <col min="3577" max="3577" width="16" style="3" hidden="1"/>
    <col min="3578" max="3578" width="18.140625" style="3" hidden="1"/>
    <col min="3579" max="3771" width="9.140625" style="3" hidden="1"/>
    <col min="3772" max="3772" width="11" style="3" hidden="1"/>
    <col min="3773" max="3773" width="56.140625" style="3" hidden="1"/>
    <col min="3774" max="3830" width="9.140625" style="3" hidden="1"/>
    <col min="3831" max="3831" width="16.28515625" style="3" hidden="1"/>
    <col min="3832" max="3832" width="17.5703125" style="3" hidden="1"/>
    <col min="3833" max="3833" width="16" style="3" hidden="1"/>
    <col min="3834" max="3834" width="18.140625" style="3" hidden="1"/>
    <col min="3835" max="4027" width="9.140625" style="3" hidden="1"/>
    <col min="4028" max="4028" width="11" style="3" hidden="1"/>
    <col min="4029" max="4029" width="56.140625" style="3" hidden="1"/>
    <col min="4030" max="4086" width="9.140625" style="3" hidden="1"/>
    <col min="4087" max="4087" width="16.28515625" style="3" hidden="1"/>
    <col min="4088" max="4088" width="17.5703125" style="3" hidden="1"/>
    <col min="4089" max="4089" width="16" style="3" hidden="1"/>
    <col min="4090" max="4090" width="18.140625" style="3" hidden="1"/>
    <col min="4091" max="4283" width="9.140625" style="3" hidden="1"/>
    <col min="4284" max="4284" width="11" style="3" hidden="1"/>
    <col min="4285" max="4285" width="56.140625" style="3" hidden="1"/>
    <col min="4286" max="4342" width="9.140625" style="3" hidden="1"/>
    <col min="4343" max="4343" width="16.28515625" style="3" hidden="1"/>
    <col min="4344" max="4344" width="17.5703125" style="3" hidden="1"/>
    <col min="4345" max="4345" width="16" style="3" hidden="1"/>
    <col min="4346" max="4346" width="18.140625" style="3" hidden="1"/>
    <col min="4347" max="4539" width="9.140625" style="3" hidden="1"/>
    <col min="4540" max="4540" width="11" style="3" hidden="1"/>
    <col min="4541" max="4541" width="56.140625" style="3" hidden="1"/>
    <col min="4542" max="4598" width="9.140625" style="3" hidden="1"/>
    <col min="4599" max="4599" width="16.28515625" style="3" hidden="1"/>
    <col min="4600" max="4600" width="17.5703125" style="3" hidden="1"/>
    <col min="4601" max="4601" width="16" style="3" hidden="1"/>
    <col min="4602" max="4602" width="18.140625" style="3" hidden="1"/>
    <col min="4603" max="4795" width="9.140625" style="3" hidden="1"/>
    <col min="4796" max="4796" width="11" style="3" hidden="1"/>
    <col min="4797" max="4797" width="56.140625" style="3" hidden="1"/>
    <col min="4798" max="4854" width="9.140625" style="3" hidden="1"/>
    <col min="4855" max="4855" width="16.28515625" style="3" hidden="1"/>
    <col min="4856" max="4856" width="17.5703125" style="3" hidden="1"/>
    <col min="4857" max="4857" width="16" style="3" hidden="1"/>
    <col min="4858" max="4858" width="18.140625" style="3" hidden="1"/>
    <col min="4859" max="5051" width="9.140625" style="3" hidden="1"/>
    <col min="5052" max="5052" width="11" style="3" hidden="1"/>
    <col min="5053" max="5053" width="56.140625" style="3" hidden="1"/>
    <col min="5054" max="5110" width="9.140625" style="3" hidden="1"/>
    <col min="5111" max="5111" width="16.28515625" style="3" hidden="1"/>
    <col min="5112" max="5112" width="17.5703125" style="3" hidden="1"/>
    <col min="5113" max="5113" width="16" style="3" hidden="1"/>
    <col min="5114" max="5114" width="18.140625" style="3" hidden="1"/>
    <col min="5115" max="5307" width="9.140625" style="3" hidden="1"/>
    <col min="5308" max="5308" width="11" style="3" hidden="1"/>
    <col min="5309" max="5309" width="56.140625" style="3" hidden="1"/>
    <col min="5310" max="5366" width="9.140625" style="3" hidden="1"/>
    <col min="5367" max="5367" width="16.28515625" style="3" hidden="1"/>
    <col min="5368" max="5368" width="17.5703125" style="3" hidden="1"/>
    <col min="5369" max="5369" width="16" style="3" hidden="1"/>
    <col min="5370" max="5370" width="18.140625" style="3" hidden="1"/>
    <col min="5371" max="5563" width="9.140625" style="3" hidden="1"/>
    <col min="5564" max="5564" width="11" style="3" hidden="1"/>
    <col min="5565" max="5565" width="56.140625" style="3" hidden="1"/>
    <col min="5566" max="5622" width="9.140625" style="3" hidden="1"/>
    <col min="5623" max="5623" width="16.28515625" style="3" hidden="1"/>
    <col min="5624" max="5624" width="17.5703125" style="3" hidden="1"/>
    <col min="5625" max="5625" width="16" style="3" hidden="1"/>
    <col min="5626" max="5626" width="18.140625" style="3" hidden="1"/>
    <col min="5627" max="5819" width="9.140625" style="3" hidden="1"/>
    <col min="5820" max="5820" width="11" style="3" hidden="1"/>
    <col min="5821" max="5821" width="56.140625" style="3" hidden="1"/>
    <col min="5822" max="5878" width="9.140625" style="3" hidden="1"/>
    <col min="5879" max="5879" width="16.28515625" style="3" hidden="1"/>
    <col min="5880" max="5880" width="17.5703125" style="3" hidden="1"/>
    <col min="5881" max="5881" width="16" style="3" hidden="1"/>
    <col min="5882" max="5882" width="18.140625" style="3" hidden="1"/>
    <col min="5883" max="6075" width="9.140625" style="3" hidden="1"/>
    <col min="6076" max="6076" width="11" style="3" hidden="1"/>
    <col min="6077" max="6077" width="56.140625" style="3" hidden="1"/>
    <col min="6078" max="6134" width="9.140625" style="3" hidden="1"/>
    <col min="6135" max="6135" width="16.28515625" style="3" hidden="1"/>
    <col min="6136" max="6136" width="17.5703125" style="3" hidden="1"/>
    <col min="6137" max="6137" width="16" style="3" hidden="1"/>
    <col min="6138" max="6138" width="18.140625" style="3" hidden="1"/>
    <col min="6139" max="6331" width="9.140625" style="3" hidden="1"/>
    <col min="6332" max="6332" width="11" style="3" hidden="1"/>
    <col min="6333" max="6333" width="56.140625" style="3" hidden="1"/>
    <col min="6334" max="6390" width="9.140625" style="3" hidden="1"/>
    <col min="6391" max="6391" width="16.28515625" style="3" hidden="1"/>
    <col min="6392" max="6392" width="17.5703125" style="3" hidden="1"/>
    <col min="6393" max="6393" width="16" style="3" hidden="1"/>
    <col min="6394" max="6394" width="18.140625" style="3" hidden="1"/>
    <col min="6395" max="6587" width="9.140625" style="3" hidden="1"/>
    <col min="6588" max="6588" width="11" style="3" hidden="1"/>
    <col min="6589" max="6589" width="56.140625" style="3" hidden="1"/>
    <col min="6590" max="6646" width="9.140625" style="3" hidden="1"/>
    <col min="6647" max="6647" width="16.28515625" style="3" hidden="1"/>
    <col min="6648" max="6648" width="17.5703125" style="3" hidden="1"/>
    <col min="6649" max="6649" width="16" style="3" hidden="1"/>
    <col min="6650" max="6650" width="18.140625" style="3" hidden="1"/>
    <col min="6651" max="6843" width="9.140625" style="3" hidden="1"/>
    <col min="6844" max="6844" width="11" style="3" hidden="1"/>
    <col min="6845" max="6845" width="56.140625" style="3" hidden="1"/>
    <col min="6846" max="6902" width="9.140625" style="3" hidden="1"/>
    <col min="6903" max="6903" width="16.28515625" style="3" hidden="1"/>
    <col min="6904" max="6904" width="17.5703125" style="3" hidden="1"/>
    <col min="6905" max="6905" width="16" style="3" hidden="1"/>
    <col min="6906" max="6906" width="18.140625" style="3" hidden="1"/>
    <col min="6907" max="7099" width="9.140625" style="3" hidden="1"/>
    <col min="7100" max="7100" width="11" style="3" hidden="1"/>
    <col min="7101" max="7101" width="56.140625" style="3" hidden="1"/>
    <col min="7102" max="7158" width="9.140625" style="3" hidden="1"/>
    <col min="7159" max="7159" width="16.28515625" style="3" hidden="1"/>
    <col min="7160" max="7160" width="17.5703125" style="3" hidden="1"/>
    <col min="7161" max="7161" width="16" style="3" hidden="1"/>
    <col min="7162" max="7162" width="18.140625" style="3" hidden="1"/>
    <col min="7163" max="7355" width="9.140625" style="3" hidden="1"/>
    <col min="7356" max="7356" width="11" style="3" hidden="1"/>
    <col min="7357" max="7357" width="56.140625" style="3" hidden="1"/>
    <col min="7358" max="7414" width="9.140625" style="3" hidden="1"/>
    <col min="7415" max="7415" width="16.28515625" style="3" hidden="1"/>
    <col min="7416" max="7416" width="17.5703125" style="3" hidden="1"/>
    <col min="7417" max="7417" width="16" style="3" hidden="1"/>
    <col min="7418" max="7418" width="18.140625" style="3" hidden="1"/>
    <col min="7419" max="7611" width="9.140625" style="3" hidden="1"/>
    <col min="7612" max="7612" width="11" style="3" hidden="1"/>
    <col min="7613" max="7613" width="56.140625" style="3" hidden="1"/>
    <col min="7614" max="7670" width="9.140625" style="3" hidden="1"/>
    <col min="7671" max="7671" width="16.28515625" style="3" hidden="1"/>
    <col min="7672" max="7672" width="17.5703125" style="3" hidden="1"/>
    <col min="7673" max="7673" width="16" style="3" hidden="1"/>
    <col min="7674" max="7674" width="18.140625" style="3" hidden="1"/>
    <col min="7675" max="7867" width="9.140625" style="3" hidden="1"/>
    <col min="7868" max="7868" width="11" style="3" hidden="1"/>
    <col min="7869" max="7869" width="56.140625" style="3" hidden="1"/>
    <col min="7870" max="7926" width="9.140625" style="3" hidden="1"/>
    <col min="7927" max="7927" width="16.28515625" style="3" hidden="1"/>
    <col min="7928" max="7928" width="17.5703125" style="3" hidden="1"/>
    <col min="7929" max="7929" width="16" style="3" hidden="1"/>
    <col min="7930" max="7930" width="18.140625" style="3" hidden="1"/>
    <col min="7931" max="8123" width="9.140625" style="3" hidden="1"/>
    <col min="8124" max="8124" width="11" style="3" hidden="1"/>
    <col min="8125" max="8125" width="56.140625" style="3" hidden="1"/>
    <col min="8126" max="8182" width="9.140625" style="3" hidden="1"/>
    <col min="8183" max="8183" width="16.28515625" style="3" hidden="1"/>
    <col min="8184" max="8184" width="17.5703125" style="3" hidden="1"/>
    <col min="8185" max="8185" width="16" style="3" hidden="1"/>
    <col min="8186" max="8186" width="18.140625" style="3" hidden="1"/>
    <col min="8187" max="8379" width="9.140625" style="3" hidden="1"/>
    <col min="8380" max="8380" width="11" style="3" hidden="1"/>
    <col min="8381" max="8381" width="56.140625" style="3" hidden="1"/>
    <col min="8382" max="8438" width="9.140625" style="3" hidden="1"/>
    <col min="8439" max="8439" width="16.28515625" style="3" hidden="1"/>
    <col min="8440" max="8440" width="17.5703125" style="3" hidden="1"/>
    <col min="8441" max="8441" width="16" style="3" hidden="1"/>
    <col min="8442" max="8442" width="18.140625" style="3" hidden="1"/>
    <col min="8443" max="8635" width="9.140625" style="3" hidden="1"/>
    <col min="8636" max="8636" width="11" style="3" hidden="1"/>
    <col min="8637" max="8637" width="56.140625" style="3" hidden="1"/>
    <col min="8638" max="8694" width="9.140625" style="3" hidden="1"/>
    <col min="8695" max="8695" width="16.28515625" style="3" hidden="1"/>
    <col min="8696" max="8696" width="17.5703125" style="3" hidden="1"/>
    <col min="8697" max="8697" width="16" style="3" hidden="1"/>
    <col min="8698" max="8698" width="18.140625" style="3" hidden="1"/>
    <col min="8699" max="8891" width="9.140625" style="3" hidden="1"/>
    <col min="8892" max="8892" width="11" style="3" hidden="1"/>
    <col min="8893" max="8893" width="56.140625" style="3" hidden="1"/>
    <col min="8894" max="8950" width="9.140625" style="3" hidden="1"/>
    <col min="8951" max="8951" width="16.28515625" style="3" hidden="1"/>
    <col min="8952" max="8952" width="17.5703125" style="3" hidden="1"/>
    <col min="8953" max="8953" width="16" style="3" hidden="1"/>
    <col min="8954" max="8954" width="18.140625" style="3" hidden="1"/>
    <col min="8955" max="9147" width="9.140625" style="3" hidden="1"/>
    <col min="9148" max="9148" width="11" style="3" hidden="1"/>
    <col min="9149" max="9149" width="56.140625" style="3" hidden="1"/>
    <col min="9150" max="9206" width="9.140625" style="3" hidden="1"/>
    <col min="9207" max="9207" width="16.28515625" style="3" hidden="1"/>
    <col min="9208" max="9208" width="17.5703125" style="3" hidden="1"/>
    <col min="9209" max="9209" width="16" style="3" hidden="1"/>
    <col min="9210" max="9210" width="18.140625" style="3" hidden="1"/>
    <col min="9211" max="9403" width="9.140625" style="3" hidden="1"/>
    <col min="9404" max="9404" width="11" style="3" hidden="1"/>
    <col min="9405" max="9405" width="56.140625" style="3" hidden="1"/>
    <col min="9406" max="9462" width="9.140625" style="3" hidden="1"/>
    <col min="9463" max="9463" width="16.28515625" style="3" hidden="1"/>
    <col min="9464" max="9464" width="17.5703125" style="3" hidden="1"/>
    <col min="9465" max="9465" width="16" style="3" hidden="1"/>
    <col min="9466" max="9466" width="18.140625" style="3" hidden="1"/>
    <col min="9467" max="9659" width="9.140625" style="3" hidden="1"/>
    <col min="9660" max="9660" width="11" style="3" hidden="1"/>
    <col min="9661" max="9661" width="56.140625" style="3" hidden="1"/>
    <col min="9662" max="9718" width="9.140625" style="3" hidden="1"/>
    <col min="9719" max="9719" width="16.28515625" style="3" hidden="1"/>
    <col min="9720" max="9720" width="17.5703125" style="3" hidden="1"/>
    <col min="9721" max="9721" width="16" style="3" hidden="1"/>
    <col min="9722" max="9722" width="18.140625" style="3" hidden="1"/>
    <col min="9723" max="9915" width="9.140625" style="3" hidden="1"/>
    <col min="9916" max="9916" width="11" style="3" hidden="1"/>
    <col min="9917" max="9917" width="56.140625" style="3" hidden="1"/>
    <col min="9918" max="9974" width="9.140625" style="3" hidden="1"/>
    <col min="9975" max="9975" width="16.28515625" style="3" hidden="1"/>
    <col min="9976" max="9976" width="17.5703125" style="3" hidden="1"/>
    <col min="9977" max="9977" width="16" style="3" hidden="1"/>
    <col min="9978" max="9978" width="18.140625" style="3" hidden="1"/>
    <col min="9979" max="10171" width="9.140625" style="3" hidden="1"/>
    <col min="10172" max="10172" width="11" style="3" hidden="1"/>
    <col min="10173" max="10173" width="56.140625" style="3" hidden="1"/>
    <col min="10174" max="10230" width="9.140625" style="3" hidden="1"/>
    <col min="10231" max="10231" width="16.28515625" style="3" hidden="1"/>
    <col min="10232" max="10232" width="17.5703125" style="3" hidden="1"/>
    <col min="10233" max="10233" width="16" style="3" hidden="1"/>
    <col min="10234" max="10234" width="18.140625" style="3" hidden="1"/>
    <col min="10235" max="10427" width="9.140625" style="3" hidden="1"/>
    <col min="10428" max="10428" width="11" style="3" hidden="1"/>
    <col min="10429" max="10429" width="56.140625" style="3" hidden="1"/>
    <col min="10430" max="10486" width="9.140625" style="3" hidden="1"/>
    <col min="10487" max="10487" width="16.28515625" style="3" hidden="1"/>
    <col min="10488" max="10488" width="17.5703125" style="3" hidden="1"/>
    <col min="10489" max="10489" width="16" style="3" hidden="1"/>
    <col min="10490" max="10490" width="18.140625" style="3" hidden="1"/>
    <col min="10491" max="10683" width="9.140625" style="3" hidden="1"/>
    <col min="10684" max="10684" width="11" style="3" hidden="1"/>
    <col min="10685" max="10685" width="56.140625" style="3" hidden="1"/>
    <col min="10686" max="10742" width="9.140625" style="3" hidden="1"/>
    <col min="10743" max="10743" width="16.28515625" style="3" hidden="1"/>
    <col min="10744" max="10744" width="17.5703125" style="3" hidden="1"/>
    <col min="10745" max="10745" width="16" style="3" hidden="1"/>
    <col min="10746" max="10746" width="18.140625" style="3" hidden="1"/>
    <col min="10747" max="10939" width="9.140625" style="3" hidden="1"/>
    <col min="10940" max="10940" width="11" style="3" hidden="1"/>
    <col min="10941" max="10941" width="56.140625" style="3" hidden="1"/>
    <col min="10942" max="10998" width="9.140625" style="3" hidden="1"/>
    <col min="10999" max="10999" width="16.28515625" style="3" hidden="1"/>
    <col min="11000" max="11000" width="17.5703125" style="3" hidden="1"/>
    <col min="11001" max="11001" width="16" style="3" hidden="1"/>
    <col min="11002" max="11002" width="18.140625" style="3" hidden="1"/>
    <col min="11003" max="11195" width="9.140625" style="3" hidden="1"/>
    <col min="11196" max="11196" width="11" style="3" hidden="1"/>
    <col min="11197" max="11197" width="56.140625" style="3" hidden="1"/>
    <col min="11198" max="11254" width="9.140625" style="3" hidden="1"/>
    <col min="11255" max="11255" width="16.28515625" style="3" hidden="1"/>
    <col min="11256" max="11256" width="17.5703125" style="3" hidden="1"/>
    <col min="11257" max="11257" width="16" style="3" hidden="1"/>
    <col min="11258" max="11258" width="18.140625" style="3" hidden="1"/>
    <col min="11259" max="11451" width="9.140625" style="3" hidden="1"/>
    <col min="11452" max="11452" width="11" style="3" hidden="1"/>
    <col min="11453" max="11453" width="56.140625" style="3" hidden="1"/>
    <col min="11454" max="11510" width="9.140625" style="3" hidden="1"/>
    <col min="11511" max="11511" width="16.28515625" style="3" hidden="1"/>
    <col min="11512" max="11512" width="17.5703125" style="3" hidden="1"/>
    <col min="11513" max="11513" width="16" style="3" hidden="1"/>
    <col min="11514" max="11514" width="18.140625" style="3" hidden="1"/>
    <col min="11515" max="11707" width="9.140625" style="3" hidden="1"/>
    <col min="11708" max="11708" width="11" style="3" hidden="1"/>
    <col min="11709" max="11709" width="56.140625" style="3" hidden="1"/>
    <col min="11710" max="11766" width="9.140625" style="3" hidden="1"/>
    <col min="11767" max="11767" width="16.28515625" style="3" hidden="1"/>
    <col min="11768" max="11768" width="17.5703125" style="3" hidden="1"/>
    <col min="11769" max="11769" width="16" style="3" hidden="1"/>
    <col min="11770" max="11770" width="18.140625" style="3" hidden="1"/>
    <col min="11771" max="11963" width="9.140625" style="3" hidden="1"/>
    <col min="11964" max="11964" width="11" style="3" hidden="1"/>
    <col min="11965" max="11965" width="56.140625" style="3" hidden="1"/>
    <col min="11966" max="12022" width="9.140625" style="3" hidden="1"/>
    <col min="12023" max="12023" width="16.28515625" style="3" hidden="1"/>
    <col min="12024" max="12024" width="17.5703125" style="3" hidden="1"/>
    <col min="12025" max="12025" width="16" style="3" hidden="1"/>
    <col min="12026" max="12026" width="18.140625" style="3" hidden="1"/>
    <col min="12027" max="12219" width="9.140625" style="3" hidden="1"/>
    <col min="12220" max="12220" width="11" style="3" hidden="1"/>
    <col min="12221" max="12221" width="56.140625" style="3" hidden="1"/>
    <col min="12222" max="12278" width="9.140625" style="3" hidden="1"/>
    <col min="12279" max="12279" width="16.28515625" style="3" hidden="1"/>
    <col min="12280" max="12280" width="17.5703125" style="3" hidden="1"/>
    <col min="12281" max="12281" width="16" style="3" hidden="1"/>
    <col min="12282" max="12282" width="18.140625" style="3" hidden="1"/>
    <col min="12283" max="12475" width="9.140625" style="3" hidden="1"/>
    <col min="12476" max="12476" width="11" style="3" hidden="1"/>
    <col min="12477" max="12477" width="56.140625" style="3" hidden="1"/>
    <col min="12478" max="12534" width="9.140625" style="3" hidden="1"/>
    <col min="12535" max="12535" width="16.28515625" style="3" hidden="1"/>
    <col min="12536" max="12536" width="17.5703125" style="3" hidden="1"/>
    <col min="12537" max="12537" width="16" style="3" hidden="1"/>
    <col min="12538" max="12538" width="18.140625" style="3" hidden="1"/>
    <col min="12539" max="12731" width="9.140625" style="3" hidden="1"/>
    <col min="12732" max="12732" width="11" style="3" hidden="1"/>
    <col min="12733" max="12733" width="56.140625" style="3" hidden="1"/>
    <col min="12734" max="12790" width="9.140625" style="3" hidden="1"/>
    <col min="12791" max="12791" width="16.28515625" style="3" hidden="1"/>
    <col min="12792" max="12792" width="17.5703125" style="3" hidden="1"/>
    <col min="12793" max="12793" width="16" style="3" hidden="1"/>
    <col min="12794" max="12794" width="18.140625" style="3" hidden="1"/>
    <col min="12795" max="12987" width="9.140625" style="3" hidden="1"/>
    <col min="12988" max="12988" width="11" style="3" hidden="1"/>
    <col min="12989" max="12989" width="56.140625" style="3" hidden="1"/>
    <col min="12990" max="13046" width="9.140625" style="3" hidden="1"/>
    <col min="13047" max="13047" width="16.28515625" style="3" hidden="1"/>
    <col min="13048" max="13048" width="17.5703125" style="3" hidden="1"/>
    <col min="13049" max="13049" width="16" style="3" hidden="1"/>
    <col min="13050" max="13050" width="18.140625" style="3" hidden="1"/>
    <col min="13051" max="13243" width="9.140625" style="3" hidden="1"/>
    <col min="13244" max="13244" width="11" style="3" hidden="1"/>
    <col min="13245" max="13245" width="56.140625" style="3" hidden="1"/>
    <col min="13246" max="13302" width="9.140625" style="3" hidden="1"/>
    <col min="13303" max="13303" width="16.28515625" style="3" hidden="1"/>
    <col min="13304" max="13304" width="17.5703125" style="3" hidden="1"/>
    <col min="13305" max="13305" width="16" style="3" hidden="1"/>
    <col min="13306" max="13306" width="18.140625" style="3" hidden="1"/>
    <col min="13307" max="13499" width="9.140625" style="3" hidden="1"/>
    <col min="13500" max="13500" width="11" style="3" hidden="1"/>
    <col min="13501" max="13501" width="56.140625" style="3" hidden="1"/>
    <col min="13502" max="13558" width="9.140625" style="3" hidden="1"/>
    <col min="13559" max="13559" width="16.28515625" style="3" hidden="1"/>
    <col min="13560" max="13560" width="17.5703125" style="3" hidden="1"/>
    <col min="13561" max="13561" width="16" style="3" hidden="1"/>
    <col min="13562" max="13562" width="18.140625" style="3" hidden="1"/>
    <col min="13563" max="13755" width="9.140625" style="3" hidden="1"/>
    <col min="13756" max="13756" width="11" style="3" hidden="1"/>
    <col min="13757" max="13757" width="56.140625" style="3" hidden="1"/>
    <col min="13758" max="13814" width="9.140625" style="3" hidden="1"/>
    <col min="13815" max="13815" width="16.28515625" style="3" hidden="1"/>
    <col min="13816" max="13816" width="17.5703125" style="3" hidden="1"/>
    <col min="13817" max="13817" width="16" style="3" hidden="1"/>
    <col min="13818" max="13818" width="18.140625" style="3" hidden="1"/>
    <col min="13819" max="14011" width="9.140625" style="3" hidden="1"/>
    <col min="14012" max="14012" width="11" style="3" hidden="1"/>
    <col min="14013" max="14013" width="56.140625" style="3" hidden="1"/>
    <col min="14014" max="14070" width="9.140625" style="3" hidden="1"/>
    <col min="14071" max="14071" width="16.28515625" style="3" hidden="1"/>
    <col min="14072" max="14072" width="17.5703125" style="3" hidden="1"/>
    <col min="14073" max="14073" width="16" style="3" hidden="1"/>
    <col min="14074" max="14074" width="18.140625" style="3" hidden="1"/>
    <col min="14075" max="14267" width="9.140625" style="3" hidden="1"/>
    <col min="14268" max="14268" width="11" style="3" hidden="1"/>
    <col min="14269" max="14269" width="56.140625" style="3" hidden="1"/>
    <col min="14270" max="14326" width="9.140625" style="3" hidden="1"/>
    <col min="14327" max="14327" width="16.28515625" style="3" hidden="1"/>
    <col min="14328" max="14328" width="17.5703125" style="3" hidden="1"/>
    <col min="14329" max="14329" width="16" style="3" hidden="1"/>
    <col min="14330" max="14330" width="18.140625" style="3" hidden="1"/>
    <col min="14331" max="14523" width="9.140625" style="3" hidden="1"/>
    <col min="14524" max="14524" width="11" style="3" hidden="1"/>
    <col min="14525" max="14525" width="56.140625" style="3" hidden="1"/>
    <col min="14526" max="14582" width="9.140625" style="3" hidden="1"/>
    <col min="14583" max="14583" width="16.28515625" style="3" hidden="1"/>
    <col min="14584" max="14584" width="17.5703125" style="3" hidden="1"/>
    <col min="14585" max="14585" width="16" style="3" hidden="1"/>
    <col min="14586" max="14586" width="18.140625" style="3" hidden="1"/>
    <col min="14587" max="14779" width="9.140625" style="3" hidden="1"/>
    <col min="14780" max="14780" width="11" style="3" hidden="1"/>
    <col min="14781" max="14781" width="56.140625" style="3" hidden="1"/>
    <col min="14782" max="14838" width="9.140625" style="3" hidden="1"/>
    <col min="14839" max="14839" width="16.28515625" style="3" hidden="1"/>
    <col min="14840" max="14840" width="17.5703125" style="3" hidden="1"/>
    <col min="14841" max="14841" width="16" style="3" hidden="1"/>
    <col min="14842" max="14842" width="18.140625" style="3" hidden="1"/>
    <col min="14843" max="15035" width="9.140625" style="3" hidden="1"/>
    <col min="15036" max="15036" width="11" style="3" hidden="1"/>
    <col min="15037" max="15037" width="56.140625" style="3" hidden="1"/>
    <col min="15038" max="15094" width="9.140625" style="3" hidden="1"/>
    <col min="15095" max="15095" width="16.28515625" style="3" hidden="1"/>
    <col min="15096" max="15096" width="17.5703125" style="3" hidden="1"/>
    <col min="15097" max="15097" width="16" style="3" hidden="1"/>
    <col min="15098" max="15098" width="18.140625" style="3" hidden="1"/>
    <col min="15099" max="15291" width="9.140625" style="3" hidden="1"/>
    <col min="15292" max="15292" width="11" style="3" hidden="1"/>
    <col min="15293" max="15293" width="56.140625" style="3" hidden="1"/>
    <col min="15294" max="15350" width="9.140625" style="3" hidden="1"/>
    <col min="15351" max="15351" width="16.28515625" style="3" hidden="1"/>
    <col min="15352" max="15352" width="17.5703125" style="3" hidden="1"/>
    <col min="15353" max="15353" width="16" style="3" hidden="1"/>
    <col min="15354" max="15354" width="18.140625" style="3" hidden="1"/>
    <col min="15355" max="15547" width="9.140625" style="3" hidden="1"/>
    <col min="15548" max="15548" width="11" style="3" hidden="1"/>
    <col min="15549" max="15549" width="56.140625" style="3" hidden="1"/>
    <col min="15550" max="15606" width="9.140625" style="3" hidden="1"/>
    <col min="15607" max="15607" width="16.28515625" style="3" hidden="1"/>
    <col min="15608" max="15608" width="17.5703125" style="3" hidden="1"/>
    <col min="15609" max="15609" width="16" style="3" hidden="1"/>
    <col min="15610" max="15610" width="18.140625" style="3" hidden="1"/>
    <col min="15611" max="15803" width="9.140625" style="3" hidden="1"/>
    <col min="15804" max="15804" width="11" style="3" hidden="1"/>
    <col min="15805" max="15805" width="56.140625" style="3" hidden="1"/>
    <col min="15806" max="15862" width="9.140625" style="3" hidden="1"/>
    <col min="15863" max="15863" width="16.28515625" style="3" hidden="1"/>
    <col min="15864" max="15864" width="17.5703125" style="3" hidden="1"/>
    <col min="15865" max="15865" width="16" style="3" hidden="1"/>
    <col min="15866" max="15866" width="18.140625" style="3" hidden="1"/>
    <col min="15867" max="16059" width="9.140625" style="3" hidden="1"/>
    <col min="16060" max="16060" width="11" style="3" hidden="1"/>
    <col min="16061" max="16061" width="56.140625" style="3" hidden="1"/>
    <col min="16062" max="16118" width="9.140625" style="3" hidden="1"/>
    <col min="16119" max="16119" width="16.28515625" style="3" hidden="1"/>
    <col min="16120" max="16120" width="17.5703125" style="3" hidden="1"/>
    <col min="16121" max="16121" width="16" style="3" hidden="1"/>
    <col min="16122" max="16122" width="18.140625" style="3" hidden="1"/>
    <col min="16123" max="16384" width="9.140625" style="3" hidden="1"/>
  </cols>
  <sheetData>
    <row r="1" spans="1:6">
      <c r="B1" s="2" t="s">
        <v>1103</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Worksheet'!$D$50</f>
        <v>406178</v>
      </c>
      <c r="E3" s="11"/>
      <c r="F3" s="11"/>
    </row>
    <row r="4" spans="1:6">
      <c r="A4" s="8">
        <v>0</v>
      </c>
      <c r="B4" s="11" t="s">
        <v>4</v>
      </c>
      <c r="C4" s="10">
        <v>9.7400000000000004E-4</v>
      </c>
      <c r="D4" s="12">
        <f>ROUND(D$3*C4,0)</f>
        <v>396</v>
      </c>
      <c r="E4" s="13">
        <f>ROUND(D4/2,0)</f>
        <v>198</v>
      </c>
      <c r="F4" s="12">
        <f>D4-E4</f>
        <v>198</v>
      </c>
    </row>
    <row r="5" spans="1:6">
      <c r="A5" s="8">
        <v>1</v>
      </c>
      <c r="B5" s="11" t="s">
        <v>1104</v>
      </c>
      <c r="C5" s="10">
        <v>0.208399</v>
      </c>
      <c r="D5" s="9">
        <f>ROUND(D$3*C5,0)</f>
        <v>84647</v>
      </c>
      <c r="E5" s="11">
        <f>ROUND(D5/2,0)</f>
        <v>42324</v>
      </c>
      <c r="F5" s="9">
        <f>D5-E5</f>
        <v>42323</v>
      </c>
    </row>
    <row r="6" spans="1:6">
      <c r="A6" s="8"/>
      <c r="B6" s="11" t="s">
        <v>6</v>
      </c>
      <c r="C6" s="11"/>
      <c r="D6" s="14">
        <v>0.23760999999999999</v>
      </c>
      <c r="E6" s="11"/>
      <c r="F6" s="11"/>
    </row>
    <row r="7" spans="1:6">
      <c r="A7" s="8"/>
      <c r="B7" s="11" t="s">
        <v>7</v>
      </c>
      <c r="C7" s="11"/>
      <c r="D7" s="225">
        <f>ROUND(D5*D6,0)</f>
        <v>20113</v>
      </c>
      <c r="E7" s="226">
        <f>ROUND(D7/2,0)</f>
        <v>10057</v>
      </c>
      <c r="F7" s="225">
        <f>D7-E7</f>
        <v>10056</v>
      </c>
    </row>
    <row r="8" spans="1:6">
      <c r="A8" s="8"/>
      <c r="B8" s="11" t="s">
        <v>8</v>
      </c>
      <c r="C8" s="11"/>
      <c r="D8" s="12">
        <f>+D5-D7</f>
        <v>64534</v>
      </c>
      <c r="E8" s="13">
        <f>ROUND(D8/2,0)</f>
        <v>32267</v>
      </c>
      <c r="F8" s="12">
        <f>D8-E8</f>
        <v>32267</v>
      </c>
    </row>
    <row r="9" spans="1:6">
      <c r="A9" s="8">
        <v>2</v>
      </c>
      <c r="B9" s="11" t="s">
        <v>1105</v>
      </c>
      <c r="C9" s="11"/>
      <c r="D9" s="9"/>
      <c r="E9" s="11"/>
      <c r="F9" s="11"/>
    </row>
    <row r="10" spans="1:6">
      <c r="A10" s="8"/>
      <c r="B10" s="11" t="s">
        <v>10</v>
      </c>
      <c r="C10" s="10">
        <v>1.03E-4</v>
      </c>
      <c r="D10" s="12">
        <f>ROUND(D$3*C10,0)</f>
        <v>42</v>
      </c>
      <c r="E10" s="13">
        <f>ROUND(D10/2,0)</f>
        <v>21</v>
      </c>
      <c r="F10" s="12">
        <f>D10-E10</f>
        <v>21</v>
      </c>
    </row>
    <row r="11" spans="1:6">
      <c r="A11" s="8"/>
      <c r="B11" s="11" t="s">
        <v>11</v>
      </c>
      <c r="C11" s="10">
        <v>4.8999999999999998E-5</v>
      </c>
      <c r="D11" s="12">
        <f>ROUND(D$3*C11,0)</f>
        <v>20</v>
      </c>
      <c r="E11" s="13">
        <f>ROUND(D11/2,0)</f>
        <v>10</v>
      </c>
      <c r="F11" s="12">
        <f>D11-E11</f>
        <v>10</v>
      </c>
    </row>
    <row r="12" spans="1:6">
      <c r="A12" s="8">
        <v>2</v>
      </c>
      <c r="B12" s="11" t="s">
        <v>1106</v>
      </c>
      <c r="C12" s="11"/>
      <c r="D12" s="9"/>
      <c r="E12" s="11"/>
      <c r="F12" s="11"/>
    </row>
    <row r="13" spans="1:6">
      <c r="A13" s="8"/>
      <c r="B13" s="11" t="s">
        <v>10</v>
      </c>
      <c r="C13" s="10">
        <v>7.3399999999999995E-4</v>
      </c>
      <c r="D13" s="12">
        <f>ROUND(D$3*C13,0)</f>
        <v>298</v>
      </c>
      <c r="E13" s="13">
        <f>ROUND(D13/2,0)</f>
        <v>149</v>
      </c>
      <c r="F13" s="12">
        <f>D13-E13</f>
        <v>149</v>
      </c>
    </row>
    <row r="14" spans="1:6">
      <c r="A14" s="8"/>
      <c r="B14" s="11" t="s">
        <v>11</v>
      </c>
      <c r="C14" s="10">
        <v>3.6299999999999999E-4</v>
      </c>
      <c r="D14" s="12">
        <f>ROUND(D$3*C14,0)</f>
        <v>147</v>
      </c>
      <c r="E14" s="13">
        <f>ROUND(D14/2,0)</f>
        <v>74</v>
      </c>
      <c r="F14" s="12">
        <f>D14-E14</f>
        <v>73</v>
      </c>
    </row>
    <row r="15" spans="1:6">
      <c r="A15" s="8">
        <v>2</v>
      </c>
      <c r="B15" s="11" t="s">
        <v>1107</v>
      </c>
      <c r="C15" s="11"/>
      <c r="D15" s="9"/>
      <c r="E15" s="11"/>
      <c r="F15" s="11"/>
    </row>
    <row r="16" spans="1:6">
      <c r="A16" s="8"/>
      <c r="B16" s="11" t="s">
        <v>10</v>
      </c>
      <c r="C16" s="10">
        <v>5.2099999999999998E-4</v>
      </c>
      <c r="D16" s="12">
        <f>ROUND(D$3*C16,0)</f>
        <v>212</v>
      </c>
      <c r="E16" s="13">
        <f>ROUND(D16/2,0)</f>
        <v>106</v>
      </c>
      <c r="F16" s="12">
        <f>D16-E16</f>
        <v>106</v>
      </c>
    </row>
    <row r="17" spans="1:6">
      <c r="A17" s="8"/>
      <c r="B17" s="11" t="s">
        <v>11</v>
      </c>
      <c r="C17" s="10">
        <v>3.4299999999999999E-4</v>
      </c>
      <c r="D17" s="12">
        <f>ROUND(D$3*C17,0)</f>
        <v>139</v>
      </c>
      <c r="E17" s="13">
        <f>ROUND(D17/2,0)</f>
        <v>70</v>
      </c>
      <c r="F17" s="12">
        <f>D17-E17</f>
        <v>69</v>
      </c>
    </row>
    <row r="18" spans="1:6">
      <c r="A18" s="8">
        <v>2</v>
      </c>
      <c r="B18" s="11" t="s">
        <v>53</v>
      </c>
      <c r="C18" s="11"/>
      <c r="D18" s="9"/>
      <c r="E18" s="11"/>
      <c r="F18" s="11"/>
    </row>
    <row r="19" spans="1:6">
      <c r="A19" s="8"/>
      <c r="B19" s="11" t="s">
        <v>10</v>
      </c>
      <c r="C19" s="10">
        <v>1.243E-3</v>
      </c>
      <c r="D19" s="12">
        <f>ROUND(D$3*C19,0)</f>
        <v>505</v>
      </c>
      <c r="E19" s="13">
        <f>ROUND(D19/2,0)</f>
        <v>253</v>
      </c>
      <c r="F19" s="12">
        <f>D19-E19</f>
        <v>252</v>
      </c>
    </row>
    <row r="20" spans="1:6">
      <c r="A20" s="8"/>
      <c r="B20" s="11" t="s">
        <v>11</v>
      </c>
      <c r="C20" s="10">
        <v>9.3300000000000002E-4</v>
      </c>
      <c r="D20" s="12">
        <f>ROUND(D$3*C20,0)</f>
        <v>379</v>
      </c>
      <c r="E20" s="13">
        <f>ROUND(D20/2,0)</f>
        <v>190</v>
      </c>
      <c r="F20" s="12">
        <f>D20-E20</f>
        <v>189</v>
      </c>
    </row>
    <row r="21" spans="1:6">
      <c r="A21" s="8">
        <v>2</v>
      </c>
      <c r="B21" s="11" t="s">
        <v>1108</v>
      </c>
      <c r="C21" s="11"/>
      <c r="D21" s="9"/>
      <c r="E21" s="11"/>
      <c r="F21" s="11"/>
    </row>
    <row r="22" spans="1:6">
      <c r="A22" s="8"/>
      <c r="B22" s="11" t="s">
        <v>10</v>
      </c>
      <c r="C22" s="10">
        <v>1.052E-3</v>
      </c>
      <c r="D22" s="12">
        <f>ROUND(D$3*C22,0)</f>
        <v>427</v>
      </c>
      <c r="E22" s="13">
        <f>ROUND(D22/2,0)</f>
        <v>214</v>
      </c>
      <c r="F22" s="12">
        <f>D22-E22</f>
        <v>213</v>
      </c>
    </row>
    <row r="23" spans="1:6">
      <c r="A23" s="8"/>
      <c r="B23" s="11" t="s">
        <v>11</v>
      </c>
      <c r="C23" s="10">
        <v>6.1300000000000005E-4</v>
      </c>
      <c r="D23" s="12">
        <f>ROUND(D$3*C23,0)</f>
        <v>249</v>
      </c>
      <c r="E23" s="13">
        <f>ROUND(D23/2,0)</f>
        <v>125</v>
      </c>
      <c r="F23" s="12">
        <f>D23-E23</f>
        <v>124</v>
      </c>
    </row>
    <row r="24" spans="1:6">
      <c r="A24" s="8">
        <v>2</v>
      </c>
      <c r="B24" s="11" t="s">
        <v>56</v>
      </c>
      <c r="C24" s="11"/>
      <c r="D24" s="9"/>
      <c r="E24" s="11"/>
      <c r="F24" s="11"/>
    </row>
    <row r="25" spans="1:6">
      <c r="A25" s="8"/>
      <c r="B25" s="11" t="s">
        <v>10</v>
      </c>
      <c r="C25" s="10">
        <v>7.9900000000000001E-4</v>
      </c>
      <c r="D25" s="12">
        <f>ROUND(D$3*C25,0)</f>
        <v>325</v>
      </c>
      <c r="E25" s="13">
        <f>ROUND(D25/2,0)</f>
        <v>163</v>
      </c>
      <c r="F25" s="12">
        <f>D25-E25</f>
        <v>162</v>
      </c>
    </row>
    <row r="26" spans="1:6">
      <c r="A26" s="8"/>
      <c r="B26" s="11" t="s">
        <v>11</v>
      </c>
      <c r="C26" s="10">
        <v>5.5400000000000002E-4</v>
      </c>
      <c r="D26" s="12">
        <f>ROUND(D$3*C26,0)</f>
        <v>225</v>
      </c>
      <c r="E26" s="13">
        <f>ROUND(D26/2,0)</f>
        <v>113</v>
      </c>
      <c r="F26" s="12">
        <f>D26-E26</f>
        <v>112</v>
      </c>
    </row>
    <row r="27" spans="1:6">
      <c r="A27" s="8">
        <v>2</v>
      </c>
      <c r="B27" s="11" t="s">
        <v>1109</v>
      </c>
      <c r="C27" s="11"/>
      <c r="D27" s="9"/>
      <c r="E27" s="11"/>
      <c r="F27" s="11"/>
    </row>
    <row r="28" spans="1:6">
      <c r="A28" s="8"/>
      <c r="B28" s="11" t="s">
        <v>10</v>
      </c>
      <c r="C28" s="10">
        <v>1.0250000000000001E-3</v>
      </c>
      <c r="D28" s="12">
        <f>ROUND(D$3*C28,0)</f>
        <v>416</v>
      </c>
      <c r="E28" s="13">
        <f>ROUND(D28/2,0)</f>
        <v>208</v>
      </c>
      <c r="F28" s="12">
        <f>D28-E28</f>
        <v>208</v>
      </c>
    </row>
    <row r="29" spans="1:6">
      <c r="A29" s="8"/>
      <c r="B29" s="11" t="s">
        <v>11</v>
      </c>
      <c r="C29" s="10">
        <v>6.8400000000000004E-4</v>
      </c>
      <c r="D29" s="12">
        <f>ROUND(D$3*C29,0)</f>
        <v>278</v>
      </c>
      <c r="E29" s="13">
        <f>ROUND(D29/2,0)</f>
        <v>139</v>
      </c>
      <c r="F29" s="12">
        <f>D29-E29</f>
        <v>139</v>
      </c>
    </row>
    <row r="30" spans="1:6">
      <c r="A30" s="8">
        <v>2</v>
      </c>
      <c r="B30" s="11" t="s">
        <v>1110</v>
      </c>
      <c r="C30" s="11"/>
      <c r="D30" s="9"/>
      <c r="E30" s="11"/>
      <c r="F30" s="11"/>
    </row>
    <row r="31" spans="1:6">
      <c r="A31" s="8"/>
      <c r="B31" s="11" t="s">
        <v>10</v>
      </c>
      <c r="C31" s="10">
        <v>2.679E-3</v>
      </c>
      <c r="D31" s="12">
        <f>ROUND(D$3*C31,0)</f>
        <v>1088</v>
      </c>
      <c r="E31" s="13">
        <f>ROUND(D31/2,0)</f>
        <v>544</v>
      </c>
      <c r="F31" s="12">
        <f>D31-E31</f>
        <v>544</v>
      </c>
    </row>
    <row r="32" spans="1:6">
      <c r="A32" s="8"/>
      <c r="B32" s="11" t="s">
        <v>11</v>
      </c>
      <c r="C32" s="10">
        <v>4.7800000000000002E-4</v>
      </c>
      <c r="D32" s="12">
        <f>ROUND(D$3*C32,0)</f>
        <v>194</v>
      </c>
      <c r="E32" s="13">
        <f>ROUND(D32/2,0)</f>
        <v>97</v>
      </c>
      <c r="F32" s="12">
        <f>D32-E32</f>
        <v>97</v>
      </c>
    </row>
    <row r="33" spans="1:6">
      <c r="A33" s="8">
        <v>2</v>
      </c>
      <c r="B33" s="11" t="s">
        <v>1111</v>
      </c>
      <c r="C33" s="11"/>
      <c r="D33" s="9"/>
      <c r="E33" s="11"/>
      <c r="F33" s="11"/>
    </row>
    <row r="34" spans="1:6">
      <c r="A34" s="8"/>
      <c r="B34" s="11" t="s">
        <v>10</v>
      </c>
      <c r="C34" s="10">
        <v>2.199E-3</v>
      </c>
      <c r="D34" s="12">
        <f t="shared" ref="D34:D39" si="0">ROUND(D$3*C34,0)</f>
        <v>893</v>
      </c>
      <c r="E34" s="13">
        <f t="shared" ref="E34:E39" si="1">ROUND(D34/2,0)</f>
        <v>447</v>
      </c>
      <c r="F34" s="12">
        <f t="shared" ref="F34:F39" si="2">D34-E34</f>
        <v>446</v>
      </c>
    </row>
    <row r="35" spans="1:6">
      <c r="A35" s="8"/>
      <c r="B35" s="11" t="s">
        <v>11</v>
      </c>
      <c r="C35" s="10">
        <v>9.7999999999999997E-4</v>
      </c>
      <c r="D35" s="12">
        <f t="shared" si="0"/>
        <v>398</v>
      </c>
      <c r="E35" s="13">
        <f t="shared" si="1"/>
        <v>199</v>
      </c>
      <c r="F35" s="12">
        <f t="shared" si="2"/>
        <v>199</v>
      </c>
    </row>
    <row r="36" spans="1:6">
      <c r="A36" s="8">
        <v>3</v>
      </c>
      <c r="B36" s="11" t="s">
        <v>1112</v>
      </c>
      <c r="C36" s="10">
        <v>7.3298000000000002E-2</v>
      </c>
      <c r="D36" s="12">
        <f t="shared" si="0"/>
        <v>29772</v>
      </c>
      <c r="E36" s="13">
        <f t="shared" si="1"/>
        <v>14886</v>
      </c>
      <c r="F36" s="12">
        <f t="shared" si="2"/>
        <v>14886</v>
      </c>
    </row>
    <row r="37" spans="1:6">
      <c r="A37" s="8">
        <v>3</v>
      </c>
      <c r="B37" s="11" t="s">
        <v>1113</v>
      </c>
      <c r="C37" s="10">
        <v>1.7298999999999998E-2</v>
      </c>
      <c r="D37" s="12">
        <f t="shared" si="0"/>
        <v>7026</v>
      </c>
      <c r="E37" s="13">
        <f t="shared" si="1"/>
        <v>3513</v>
      </c>
      <c r="F37" s="12">
        <f t="shared" si="2"/>
        <v>3513</v>
      </c>
    </row>
    <row r="38" spans="1:6">
      <c r="A38" s="8">
        <v>3</v>
      </c>
      <c r="B38" s="11" t="s">
        <v>1114</v>
      </c>
      <c r="C38" s="10">
        <v>9.6699999999999998E-4</v>
      </c>
      <c r="D38" s="12">
        <f t="shared" si="0"/>
        <v>393</v>
      </c>
      <c r="E38" s="13">
        <f t="shared" si="1"/>
        <v>197</v>
      </c>
      <c r="F38" s="12">
        <f t="shared" si="2"/>
        <v>196</v>
      </c>
    </row>
    <row r="39" spans="1:6">
      <c r="A39" s="8">
        <v>4</v>
      </c>
      <c r="B39" s="11" t="s">
        <v>1115</v>
      </c>
      <c r="C39" s="10">
        <v>0.24216399999999999</v>
      </c>
      <c r="D39" s="9">
        <f t="shared" si="0"/>
        <v>98362</v>
      </c>
      <c r="E39" s="11">
        <f t="shared" si="1"/>
        <v>49181</v>
      </c>
      <c r="F39" s="9">
        <f t="shared" si="2"/>
        <v>49181</v>
      </c>
    </row>
    <row r="40" spans="1:6">
      <c r="A40" s="8"/>
      <c r="B40" s="11" t="s">
        <v>28</v>
      </c>
      <c r="C40" s="11"/>
      <c r="D40" s="14">
        <v>0.34018300000000001</v>
      </c>
      <c r="E40" s="11"/>
      <c r="F40" s="11"/>
    </row>
    <row r="41" spans="1:6">
      <c r="A41" s="8"/>
      <c r="B41" s="11" t="s">
        <v>29</v>
      </c>
      <c r="C41" s="11"/>
      <c r="D41" s="225">
        <f>ROUND(D39*D40,0)</f>
        <v>33461</v>
      </c>
      <c r="E41" s="226">
        <f>ROUND(D41/2,0)</f>
        <v>16731</v>
      </c>
      <c r="F41" s="225">
        <f>D41-E41</f>
        <v>16730</v>
      </c>
    </row>
    <row r="42" spans="1:6">
      <c r="A42" s="8"/>
      <c r="B42" s="11" t="s">
        <v>30</v>
      </c>
      <c r="C42" s="11"/>
      <c r="D42" s="12">
        <f>+D39-D41</f>
        <v>64901</v>
      </c>
      <c r="E42" s="13">
        <f>ROUND(D42/2,0)</f>
        <v>32451</v>
      </c>
      <c r="F42" s="12">
        <f>D42-E42</f>
        <v>32450</v>
      </c>
    </row>
    <row r="43" spans="1:6">
      <c r="A43" s="8">
        <v>4</v>
      </c>
      <c r="B43" s="11" t="s">
        <v>1116</v>
      </c>
      <c r="C43" s="10">
        <v>0.37528099999999998</v>
      </c>
      <c r="D43" s="9">
        <f>ROUND(D$3*C43,0)</f>
        <v>152431</v>
      </c>
      <c r="E43" s="11">
        <f>ROUND(D43/2,0)</f>
        <v>76216</v>
      </c>
      <c r="F43" s="9">
        <f>D43-E43</f>
        <v>76215</v>
      </c>
    </row>
    <row r="44" spans="1:6">
      <c r="A44" s="8"/>
      <c r="B44" s="11" t="s">
        <v>28</v>
      </c>
      <c r="C44" s="11"/>
      <c r="D44" s="14">
        <v>0.36336299999999999</v>
      </c>
      <c r="E44" s="11"/>
      <c r="F44" s="11"/>
    </row>
    <row r="45" spans="1:6">
      <c r="A45" s="8"/>
      <c r="B45" s="11" t="s">
        <v>29</v>
      </c>
      <c r="C45" s="11"/>
      <c r="D45" s="225">
        <f>ROUND(D43*D44,0)</f>
        <v>55388</v>
      </c>
      <c r="E45" s="226">
        <f>ROUND(D45/2,0)</f>
        <v>27694</v>
      </c>
      <c r="F45" s="225">
        <f>D45-E45</f>
        <v>27694</v>
      </c>
    </row>
    <row r="46" spans="1:6">
      <c r="A46" s="8"/>
      <c r="B46" s="11" t="s">
        <v>30</v>
      </c>
      <c r="C46" s="11"/>
      <c r="D46" s="12">
        <f>+D43-D45</f>
        <v>97043</v>
      </c>
      <c r="E46" s="13">
        <f>ROUND(D46/2,0)</f>
        <v>48522</v>
      </c>
      <c r="F46" s="12">
        <f>D46-E46</f>
        <v>48521</v>
      </c>
    </row>
    <row r="47" spans="1:6">
      <c r="A47" s="8">
        <v>5</v>
      </c>
      <c r="B47" s="11" t="s">
        <v>1117</v>
      </c>
      <c r="C47" s="10">
        <v>2.4091999999999999E-2</v>
      </c>
      <c r="D47" s="12">
        <f>ROUND(D$3*C47,0)</f>
        <v>9786</v>
      </c>
      <c r="E47" s="13">
        <f>ROUND(D47/2,0)</f>
        <v>4893</v>
      </c>
      <c r="F47" s="12">
        <f>D47-E47</f>
        <v>4893</v>
      </c>
    </row>
    <row r="48" spans="1:6">
      <c r="A48" s="8">
        <v>5</v>
      </c>
      <c r="B48" s="11" t="s">
        <v>1118</v>
      </c>
      <c r="C48" s="10">
        <v>1.7847999999999999E-2</v>
      </c>
      <c r="D48" s="12">
        <f>ROUND(D$3*C48,0)</f>
        <v>7249</v>
      </c>
      <c r="E48" s="13">
        <f>ROUND(D48/2,0)</f>
        <v>3625</v>
      </c>
      <c r="F48" s="12">
        <f>D48-E48</f>
        <v>3624</v>
      </c>
    </row>
    <row r="49" spans="1:8">
      <c r="A49" s="8">
        <v>6</v>
      </c>
      <c r="B49" s="11" t="s">
        <v>1119</v>
      </c>
      <c r="C49" s="10">
        <v>2.4326E-2</v>
      </c>
      <c r="D49" s="12">
        <f>+D3-SUM(D4:D5)-SUM(D10:D39)-D43-SUM(D47:D48)</f>
        <v>9881</v>
      </c>
      <c r="E49" s="13">
        <f>ROUND(D49/2,0)</f>
        <v>4941</v>
      </c>
      <c r="F49" s="12">
        <f>D49-E49</f>
        <v>4940</v>
      </c>
    </row>
    <row r="50" spans="1:8">
      <c r="A50" s="8"/>
      <c r="B50" s="28" t="s">
        <v>288</v>
      </c>
      <c r="C50" s="10">
        <v>0.99999999999999989</v>
      </c>
      <c r="D50" s="12">
        <f>+D4+SUM(D7:D38)+SUM(D41:D42)+SUM(D45:D49)</f>
        <v>406178</v>
      </c>
      <c r="E50" s="12">
        <f>+E4+SUM(E7:E38)+SUM(E41:E42)+SUM(E45:E49)</f>
        <v>203097</v>
      </c>
      <c r="F50" s="12">
        <f>+F4+SUM(F7:F38)+SUM(F41:F42)+SUM(F45:F49)</f>
        <v>203081</v>
      </c>
    </row>
    <row r="51" spans="1:8">
      <c r="B51" s="18" t="s">
        <v>38</v>
      </c>
      <c r="D51" s="19">
        <f>+D4</f>
        <v>396</v>
      </c>
      <c r="E51" s="19">
        <f>+E4</f>
        <v>198</v>
      </c>
      <c r="F51" s="19">
        <f>+F4</f>
        <v>198</v>
      </c>
    </row>
    <row r="52" spans="1:8">
      <c r="B52" s="2" t="s">
        <v>39</v>
      </c>
      <c r="D52" s="19">
        <f>+D7</f>
        <v>20113</v>
      </c>
      <c r="E52" s="19">
        <f>+E7</f>
        <v>10057</v>
      </c>
      <c r="F52" s="19">
        <f>+F7</f>
        <v>10056</v>
      </c>
    </row>
    <row r="53" spans="1:8">
      <c r="B53" s="2" t="s">
        <v>40</v>
      </c>
      <c r="D53" s="19">
        <f>+D41+D45</f>
        <v>88849</v>
      </c>
      <c r="E53" s="19">
        <f>+E41+E45</f>
        <v>44425</v>
      </c>
      <c r="F53" s="19">
        <f>+F41+F45</f>
        <v>44424</v>
      </c>
      <c r="H53" s="3">
        <v>1</v>
      </c>
    </row>
    <row r="54" spans="1:8">
      <c r="B54" s="18" t="s">
        <v>41</v>
      </c>
      <c r="D54" s="19">
        <f>+D50-D51-D52-D53</f>
        <v>296820</v>
      </c>
      <c r="E54" s="19">
        <f>+E50-E51-E52-E53</f>
        <v>148417</v>
      </c>
      <c r="F54" s="19">
        <f>+F50-F51-F52-F53</f>
        <v>148403</v>
      </c>
      <c r="H54" s="3">
        <v>2</v>
      </c>
    </row>
    <row r="56" spans="1:8" hidden="1">
      <c r="B56" s="3" t="s">
        <v>42</v>
      </c>
      <c r="C56" s="4">
        <v>0</v>
      </c>
      <c r="D56" s="3">
        <f>+D49-ROUND(D3*C49,0)</f>
        <v>0</v>
      </c>
    </row>
    <row r="71" spans="1:1">
      <c r="A71" s="1" t="s">
        <v>590</v>
      </c>
    </row>
  </sheetData>
  <pageMargins left="0.7" right="0.7" top="0.75" bottom="0.75" header="0.3" footer="0.3"/>
  <pageSetup scale="6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9">
    <pageSetUpPr fitToPage="1"/>
  </sheetPr>
  <dimension ref="A1:WVB102"/>
  <sheetViews>
    <sheetView topLeftCell="A67" zoomScaleNormal="100" zoomScaleSheetLayoutView="80" workbookViewId="0">
      <selection activeCell="D88" activeCellId="6" sqref="D7:F7 D68:F68 D72:F72 D76:F76 D80:F80 D84:F84 D88:F88"/>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1120</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Worksheet'!$D$51</f>
        <v>1222632</v>
      </c>
      <c r="E3" s="11"/>
      <c r="F3" s="11"/>
    </row>
    <row r="4" spans="1:6">
      <c r="A4" s="8">
        <v>0</v>
      </c>
      <c r="B4" s="11" t="s">
        <v>4</v>
      </c>
      <c r="C4" s="10">
        <v>9.2100000000000005E-4</v>
      </c>
      <c r="D4" s="12">
        <f>ROUND(D$3*C4,0)</f>
        <v>1126</v>
      </c>
      <c r="E4" s="13">
        <f>ROUND(D4/2,0)</f>
        <v>563</v>
      </c>
      <c r="F4" s="12">
        <f>D4-E4</f>
        <v>563</v>
      </c>
    </row>
    <row r="5" spans="1:6">
      <c r="A5" s="8">
        <v>1</v>
      </c>
      <c r="B5" s="11" t="s">
        <v>1121</v>
      </c>
      <c r="C5" s="10">
        <v>0.19403400000000001</v>
      </c>
      <c r="D5" s="9">
        <f>ROUND(D$3*C5,0)</f>
        <v>237232</v>
      </c>
      <c r="E5" s="11">
        <f>ROUND(D5/2,0)</f>
        <v>118616</v>
      </c>
      <c r="F5" s="9">
        <f>D5-E5</f>
        <v>118616</v>
      </c>
    </row>
    <row r="6" spans="1:6">
      <c r="A6" s="8"/>
      <c r="B6" s="11" t="s">
        <v>6</v>
      </c>
      <c r="C6" s="11"/>
      <c r="D6" s="14">
        <v>0.32717600000000002</v>
      </c>
      <c r="E6" s="11"/>
      <c r="F6" s="11"/>
    </row>
    <row r="7" spans="1:6">
      <c r="A7" s="8"/>
      <c r="B7" s="11" t="s">
        <v>7</v>
      </c>
      <c r="C7" s="11"/>
      <c r="D7" s="225">
        <f>ROUND(D5*D6,0)</f>
        <v>77617</v>
      </c>
      <c r="E7" s="226">
        <f>ROUND(D7/2,0)</f>
        <v>38809</v>
      </c>
      <c r="F7" s="225">
        <f>D7-E7</f>
        <v>38808</v>
      </c>
    </row>
    <row r="8" spans="1:6">
      <c r="A8" s="8"/>
      <c r="B8" s="11" t="s">
        <v>8</v>
      </c>
      <c r="C8" s="11"/>
      <c r="D8" s="12">
        <f>+D5-D7</f>
        <v>159615</v>
      </c>
      <c r="E8" s="13">
        <f>ROUND(D8/2,0)</f>
        <v>79808</v>
      </c>
      <c r="F8" s="12">
        <f>D8-E8</f>
        <v>79807</v>
      </c>
    </row>
    <row r="9" spans="1:6">
      <c r="A9" s="8">
        <v>2</v>
      </c>
      <c r="B9" s="11" t="s">
        <v>46</v>
      </c>
      <c r="C9" s="11"/>
      <c r="D9" s="9"/>
      <c r="E9" s="11"/>
      <c r="F9" s="11"/>
    </row>
    <row r="10" spans="1:6">
      <c r="A10" s="8"/>
      <c r="B10" s="11" t="s">
        <v>10</v>
      </c>
      <c r="C10" s="10">
        <v>8.7200000000000005E-4</v>
      </c>
      <c r="D10" s="12">
        <f>ROUND(D$3*C10,0)</f>
        <v>1066</v>
      </c>
      <c r="E10" s="13">
        <f>ROUND(D10/2,0)</f>
        <v>533</v>
      </c>
      <c r="F10" s="12">
        <f>D10-E10</f>
        <v>533</v>
      </c>
    </row>
    <row r="11" spans="1:6">
      <c r="A11" s="8"/>
      <c r="B11" s="11" t="s">
        <v>11</v>
      </c>
      <c r="C11" s="10">
        <v>9.7E-5</v>
      </c>
      <c r="D11" s="12">
        <f>ROUND(D$3*C11,0)</f>
        <v>119</v>
      </c>
      <c r="E11" s="13">
        <f>ROUND(D11/2,0)</f>
        <v>60</v>
      </c>
      <c r="F11" s="12">
        <f>D11-E11</f>
        <v>59</v>
      </c>
    </row>
    <row r="12" spans="1:6">
      <c r="A12" s="8">
        <v>2</v>
      </c>
      <c r="B12" s="11" t="s">
        <v>1122</v>
      </c>
      <c r="C12" s="11"/>
      <c r="D12" s="9"/>
      <c r="E12" s="11"/>
      <c r="F12" s="11"/>
    </row>
    <row r="13" spans="1:6">
      <c r="A13" s="8"/>
      <c r="B13" s="11" t="s">
        <v>10</v>
      </c>
      <c r="C13" s="10">
        <v>3.0379999999999999E-3</v>
      </c>
      <c r="D13" s="12">
        <f>ROUND(D$3*C13,0)</f>
        <v>3714</v>
      </c>
      <c r="E13" s="13">
        <f>ROUND(D13/2,0)</f>
        <v>1857</v>
      </c>
      <c r="F13" s="12">
        <f>D13-E13</f>
        <v>1857</v>
      </c>
    </row>
    <row r="14" spans="1:6">
      <c r="A14" s="8"/>
      <c r="B14" s="11" t="s">
        <v>11</v>
      </c>
      <c r="C14" s="10">
        <v>0</v>
      </c>
      <c r="D14" s="12">
        <f>ROUND(D$3*C14,0)</f>
        <v>0</v>
      </c>
      <c r="E14" s="13">
        <f>ROUND(D14/2,0)</f>
        <v>0</v>
      </c>
      <c r="F14" s="12">
        <f>D14-E14</f>
        <v>0</v>
      </c>
    </row>
    <row r="15" spans="1:6">
      <c r="A15" s="8">
        <v>2</v>
      </c>
      <c r="B15" s="11" t="s">
        <v>200</v>
      </c>
      <c r="C15" s="11"/>
      <c r="D15" s="9"/>
      <c r="E15" s="11"/>
      <c r="F15" s="11"/>
    </row>
    <row r="16" spans="1:6">
      <c r="A16" s="8"/>
      <c r="B16" s="11" t="s">
        <v>10</v>
      </c>
      <c r="C16" s="10">
        <v>2.03E-4</v>
      </c>
      <c r="D16" s="12">
        <f>ROUND(D$3*C16,0)</f>
        <v>248</v>
      </c>
      <c r="E16" s="13">
        <f>ROUND(D16/2,0)</f>
        <v>124</v>
      </c>
      <c r="F16" s="12">
        <f>D16-E16</f>
        <v>124</v>
      </c>
    </row>
    <row r="17" spans="1:6">
      <c r="A17" s="8"/>
      <c r="B17" s="11" t="s">
        <v>11</v>
      </c>
      <c r="C17" s="10">
        <v>1.2999999999999999E-4</v>
      </c>
      <c r="D17" s="12">
        <f>ROUND(D$3*C17,0)</f>
        <v>159</v>
      </c>
      <c r="E17" s="13">
        <f>ROUND(D17/2,0)</f>
        <v>80</v>
      </c>
      <c r="F17" s="12">
        <f>D17-E17</f>
        <v>79</v>
      </c>
    </row>
    <row r="18" spans="1:6">
      <c r="A18" s="8">
        <v>2</v>
      </c>
      <c r="B18" s="11" t="s">
        <v>1123</v>
      </c>
      <c r="C18" s="11"/>
      <c r="D18" s="9"/>
      <c r="E18" s="11"/>
      <c r="F18" s="11"/>
    </row>
    <row r="19" spans="1:6">
      <c r="A19" s="8"/>
      <c r="B19" s="11" t="s">
        <v>10</v>
      </c>
      <c r="C19" s="10">
        <v>3.4699999999999998E-4</v>
      </c>
      <c r="D19" s="12">
        <f>ROUND(D$3*C19,0)</f>
        <v>424</v>
      </c>
      <c r="E19" s="13">
        <f>ROUND(D19/2,0)</f>
        <v>212</v>
      </c>
      <c r="F19" s="12">
        <f>D19-E19</f>
        <v>212</v>
      </c>
    </row>
    <row r="20" spans="1:6">
      <c r="A20" s="8"/>
      <c r="B20" s="11" t="s">
        <v>11</v>
      </c>
      <c r="C20" s="10">
        <v>4.6700000000000002E-4</v>
      </c>
      <c r="D20" s="12">
        <f>ROUND(D$3*C20,0)</f>
        <v>571</v>
      </c>
      <c r="E20" s="13">
        <f>ROUND(D20/2,0)</f>
        <v>286</v>
      </c>
      <c r="F20" s="12">
        <f>D20-E20</f>
        <v>285</v>
      </c>
    </row>
    <row r="21" spans="1:6">
      <c r="A21" s="8">
        <v>2</v>
      </c>
      <c r="B21" s="11" t="s">
        <v>647</v>
      </c>
      <c r="C21" s="11"/>
      <c r="D21" s="9"/>
      <c r="E21" s="11"/>
      <c r="F21" s="11"/>
    </row>
    <row r="22" spans="1:6">
      <c r="A22" s="8"/>
      <c r="B22" s="11" t="s">
        <v>10</v>
      </c>
      <c r="C22" s="10">
        <v>1.6200000000000001E-4</v>
      </c>
      <c r="D22" s="12">
        <f>ROUND(D$3*C22,0)</f>
        <v>198</v>
      </c>
      <c r="E22" s="13">
        <f>ROUND(D22/2,0)</f>
        <v>99</v>
      </c>
      <c r="F22" s="12">
        <f>D22-E22</f>
        <v>99</v>
      </c>
    </row>
    <row r="23" spans="1:6">
      <c r="A23" s="8"/>
      <c r="B23" s="11" t="s">
        <v>11</v>
      </c>
      <c r="C23" s="10">
        <v>2.0100000000000001E-4</v>
      </c>
      <c r="D23" s="12">
        <f>ROUND(D$3*C23,0)</f>
        <v>246</v>
      </c>
      <c r="E23" s="13">
        <f>ROUND(D23/2,0)</f>
        <v>123</v>
      </c>
      <c r="F23" s="12">
        <f>D23-E23</f>
        <v>123</v>
      </c>
    </row>
    <row r="24" spans="1:6">
      <c r="A24" s="8">
        <v>2</v>
      </c>
      <c r="B24" s="11" t="s">
        <v>593</v>
      </c>
      <c r="C24" s="11"/>
      <c r="D24" s="9"/>
      <c r="E24" s="11"/>
      <c r="F24" s="11"/>
    </row>
    <row r="25" spans="1:6">
      <c r="A25" s="8"/>
      <c r="B25" s="11" t="s">
        <v>10</v>
      </c>
      <c r="C25" s="10">
        <v>1.9100000000000001E-4</v>
      </c>
      <c r="D25" s="12">
        <f>ROUND(D$3*C25,0)</f>
        <v>234</v>
      </c>
      <c r="E25" s="13">
        <f>ROUND(D25/2,0)</f>
        <v>117</v>
      </c>
      <c r="F25" s="12">
        <f>D25-E25</f>
        <v>117</v>
      </c>
    </row>
    <row r="26" spans="1:6">
      <c r="A26" s="8"/>
      <c r="B26" s="11" t="s">
        <v>11</v>
      </c>
      <c r="C26" s="10">
        <v>2.7900000000000001E-4</v>
      </c>
      <c r="D26" s="12">
        <f>ROUND(D$3*C26,0)</f>
        <v>341</v>
      </c>
      <c r="E26" s="13">
        <f>ROUND(D26/2,0)</f>
        <v>171</v>
      </c>
      <c r="F26" s="12">
        <f>D26-E26</f>
        <v>170</v>
      </c>
    </row>
    <row r="27" spans="1:6">
      <c r="A27" s="8">
        <v>2</v>
      </c>
      <c r="B27" s="11" t="s">
        <v>49</v>
      </c>
      <c r="C27" s="11"/>
      <c r="D27" s="9"/>
      <c r="E27" s="11"/>
      <c r="F27" s="11"/>
    </row>
    <row r="28" spans="1:6">
      <c r="A28" s="8"/>
      <c r="B28" s="11" t="s">
        <v>10</v>
      </c>
      <c r="C28" s="10">
        <v>1.27E-4</v>
      </c>
      <c r="D28" s="12">
        <f>ROUND(D$3*C28,0)</f>
        <v>155</v>
      </c>
      <c r="E28" s="13">
        <f>ROUND(D28/2,0)</f>
        <v>78</v>
      </c>
      <c r="F28" s="12">
        <f>D28-E28</f>
        <v>77</v>
      </c>
    </row>
    <row r="29" spans="1:6">
      <c r="A29" s="8"/>
      <c r="B29" s="11" t="s">
        <v>11</v>
      </c>
      <c r="C29" s="10">
        <v>1.0399999999999999E-4</v>
      </c>
      <c r="D29" s="12">
        <f>ROUND(D$3*C29,0)</f>
        <v>127</v>
      </c>
      <c r="E29" s="13">
        <f>ROUND(D29/2,0)</f>
        <v>64</v>
      </c>
      <c r="F29" s="12">
        <f>D29-E29</f>
        <v>63</v>
      </c>
    </row>
    <row r="30" spans="1:6">
      <c r="A30" s="8">
        <v>2</v>
      </c>
      <c r="B30" s="11" t="s">
        <v>50</v>
      </c>
      <c r="C30" s="11"/>
      <c r="D30" s="9"/>
      <c r="E30" s="11"/>
      <c r="F30" s="11"/>
    </row>
    <row r="31" spans="1:6">
      <c r="A31" s="8"/>
      <c r="B31" s="11" t="s">
        <v>10</v>
      </c>
      <c r="C31" s="10">
        <v>5.0500000000000002E-4</v>
      </c>
      <c r="D31" s="12">
        <f>ROUND(D$3*C31,0)</f>
        <v>617</v>
      </c>
      <c r="E31" s="13">
        <f>ROUND(D31/2,0)</f>
        <v>309</v>
      </c>
      <c r="F31" s="12">
        <f>D31-E31</f>
        <v>308</v>
      </c>
    </row>
    <row r="32" spans="1:6">
      <c r="A32" s="8"/>
      <c r="B32" s="11" t="s">
        <v>11</v>
      </c>
      <c r="C32" s="10">
        <v>2.81E-4</v>
      </c>
      <c r="D32" s="12">
        <f>ROUND(D$3*C32,0)</f>
        <v>344</v>
      </c>
      <c r="E32" s="13">
        <f>ROUND(D32/2,0)</f>
        <v>172</v>
      </c>
      <c r="F32" s="12">
        <f>D32-E32</f>
        <v>172</v>
      </c>
    </row>
    <row r="33" spans="1:6">
      <c r="A33" s="8">
        <v>2</v>
      </c>
      <c r="B33" s="11" t="s">
        <v>16</v>
      </c>
      <c r="C33" s="11"/>
      <c r="D33" s="9"/>
      <c r="E33" s="11"/>
      <c r="F33" s="11"/>
    </row>
    <row r="34" spans="1:6">
      <c r="A34" s="8"/>
      <c r="B34" s="11" t="s">
        <v>10</v>
      </c>
      <c r="C34" s="10">
        <v>1.0529999999999999E-3</v>
      </c>
      <c r="D34" s="12">
        <f>ROUND(D$3*C34,0)</f>
        <v>1287</v>
      </c>
      <c r="E34" s="13">
        <f>ROUND(D34/2,0)</f>
        <v>644</v>
      </c>
      <c r="F34" s="12">
        <f>D34-E34</f>
        <v>643</v>
      </c>
    </row>
    <row r="35" spans="1:6">
      <c r="A35" s="8"/>
      <c r="B35" s="11" t="s">
        <v>11</v>
      </c>
      <c r="C35" s="10">
        <v>6.1700000000000004E-4</v>
      </c>
      <c r="D35" s="12">
        <f>ROUND(D$3*C35,0)</f>
        <v>754</v>
      </c>
      <c r="E35" s="13">
        <f>ROUND(D35/2,0)</f>
        <v>377</v>
      </c>
      <c r="F35" s="12">
        <f>D35-E35</f>
        <v>377</v>
      </c>
    </row>
    <row r="36" spans="1:6">
      <c r="A36" s="8">
        <v>2</v>
      </c>
      <c r="B36" s="11" t="s">
        <v>1124</v>
      </c>
      <c r="C36" s="11"/>
      <c r="D36" s="9"/>
      <c r="E36" s="11"/>
      <c r="F36" s="11"/>
    </row>
    <row r="37" spans="1:6">
      <c r="A37" s="8"/>
      <c r="B37" s="11" t="s">
        <v>10</v>
      </c>
      <c r="C37" s="10">
        <v>5.4600000000000004E-4</v>
      </c>
      <c r="D37" s="12">
        <f>ROUND(D$3*C37,0)</f>
        <v>668</v>
      </c>
      <c r="E37" s="13">
        <f>ROUND(D37/2,0)</f>
        <v>334</v>
      </c>
      <c r="F37" s="12">
        <f>D37-E37</f>
        <v>334</v>
      </c>
    </row>
    <row r="38" spans="1:6">
      <c r="A38" s="8"/>
      <c r="B38" s="11" t="s">
        <v>11</v>
      </c>
      <c r="C38" s="10">
        <v>1.3100000000000001E-4</v>
      </c>
      <c r="D38" s="12">
        <f>ROUND(D$3*C38,0)</f>
        <v>160</v>
      </c>
      <c r="E38" s="13">
        <f>ROUND(D38/2,0)</f>
        <v>80</v>
      </c>
      <c r="F38" s="12">
        <f>D38-E38</f>
        <v>80</v>
      </c>
    </row>
    <row r="39" spans="1:6">
      <c r="A39" s="8">
        <v>2</v>
      </c>
      <c r="B39" s="11" t="s">
        <v>114</v>
      </c>
      <c r="C39" s="11"/>
      <c r="D39" s="9"/>
      <c r="E39" s="11"/>
      <c r="F39" s="11"/>
    </row>
    <row r="40" spans="1:6">
      <c r="A40" s="8"/>
      <c r="B40" s="11" t="s">
        <v>10</v>
      </c>
      <c r="C40" s="10">
        <v>2.33E-4</v>
      </c>
      <c r="D40" s="12">
        <f>ROUND(D$3*C40,0)</f>
        <v>285</v>
      </c>
      <c r="E40" s="13">
        <f>ROUND(D40/2,0)</f>
        <v>143</v>
      </c>
      <c r="F40" s="12">
        <f>D40-E40</f>
        <v>142</v>
      </c>
    </row>
    <row r="41" spans="1:6">
      <c r="A41" s="8"/>
      <c r="B41" s="11" t="s">
        <v>11</v>
      </c>
      <c r="C41" s="10">
        <v>1.3190000000000001E-3</v>
      </c>
      <c r="D41" s="12">
        <f>ROUND(D$3*C41,0)</f>
        <v>1613</v>
      </c>
      <c r="E41" s="13">
        <f>ROUND(D41/2,0)</f>
        <v>807</v>
      </c>
      <c r="F41" s="12">
        <f>D41-E41</f>
        <v>806</v>
      </c>
    </row>
    <row r="42" spans="1:6">
      <c r="A42" s="8">
        <v>2</v>
      </c>
      <c r="B42" s="11" t="s">
        <v>1125</v>
      </c>
      <c r="C42" s="11"/>
      <c r="D42" s="9"/>
      <c r="E42" s="11"/>
      <c r="F42" s="11"/>
    </row>
    <row r="43" spans="1:6">
      <c r="A43" s="8"/>
      <c r="B43" s="11" t="s">
        <v>10</v>
      </c>
      <c r="C43" s="10">
        <v>1.8E-3</v>
      </c>
      <c r="D43" s="12">
        <f>ROUND(D$3*C43,0)</f>
        <v>2201</v>
      </c>
      <c r="E43" s="13">
        <f>ROUND(D43/2,0)</f>
        <v>1101</v>
      </c>
      <c r="F43" s="12">
        <f>D43-E43</f>
        <v>1100</v>
      </c>
    </row>
    <row r="44" spans="1:6">
      <c r="A44" s="8"/>
      <c r="B44" s="11" t="s">
        <v>11</v>
      </c>
      <c r="C44" s="10">
        <v>1.8799999999999999E-3</v>
      </c>
      <c r="D44" s="12">
        <f>ROUND(D$3*C44,0)</f>
        <v>2299</v>
      </c>
      <c r="E44" s="13">
        <f>ROUND(D44/2,0)</f>
        <v>1150</v>
      </c>
      <c r="F44" s="12">
        <f>D44-E44</f>
        <v>1149</v>
      </c>
    </row>
    <row r="45" spans="1:6">
      <c r="A45" s="8">
        <v>2</v>
      </c>
      <c r="B45" s="11" t="s">
        <v>20</v>
      </c>
      <c r="C45" s="11"/>
      <c r="D45" s="9"/>
      <c r="E45" s="11"/>
      <c r="F45" s="11"/>
    </row>
    <row r="46" spans="1:6">
      <c r="A46" s="8"/>
      <c r="B46" s="11" t="s">
        <v>10</v>
      </c>
      <c r="C46" s="10">
        <v>3.1000000000000001E-5</v>
      </c>
      <c r="D46" s="12">
        <f>ROUND(D$3*C46,0)</f>
        <v>38</v>
      </c>
      <c r="E46" s="13">
        <f>ROUND(D46/2,0)</f>
        <v>19</v>
      </c>
      <c r="F46" s="12">
        <f>D46-E46</f>
        <v>19</v>
      </c>
    </row>
    <row r="47" spans="1:6">
      <c r="A47" s="8"/>
      <c r="B47" s="11" t="s">
        <v>11</v>
      </c>
      <c r="C47" s="10">
        <v>7.2000000000000002E-5</v>
      </c>
      <c r="D47" s="12">
        <f>ROUND(D$3*C47,0)</f>
        <v>88</v>
      </c>
      <c r="E47" s="13">
        <f>ROUND(D47/2,0)</f>
        <v>44</v>
      </c>
      <c r="F47" s="12">
        <f>D47-E47</f>
        <v>44</v>
      </c>
    </row>
    <row r="48" spans="1:6">
      <c r="A48" s="8">
        <v>2</v>
      </c>
      <c r="B48" s="11" t="s">
        <v>169</v>
      </c>
      <c r="C48" s="11"/>
      <c r="D48" s="9"/>
      <c r="E48" s="11"/>
      <c r="F48" s="11"/>
    </row>
    <row r="49" spans="1:6">
      <c r="A49" s="8"/>
      <c r="B49" s="11" t="s">
        <v>10</v>
      </c>
      <c r="C49" s="10">
        <v>3.2400000000000001E-4</v>
      </c>
      <c r="D49" s="12">
        <f t="shared" ref="D49:D66" si="0">ROUND(D$3*C49,0)</f>
        <v>396</v>
      </c>
      <c r="E49" s="13">
        <f t="shared" ref="E49:E66" si="1">ROUND(D49/2,0)</f>
        <v>198</v>
      </c>
      <c r="F49" s="12">
        <f t="shared" ref="F49:F66" si="2">D49-E49</f>
        <v>198</v>
      </c>
    </row>
    <row r="50" spans="1:6">
      <c r="A50" s="8"/>
      <c r="B50" s="11" t="s">
        <v>11</v>
      </c>
      <c r="C50" s="10">
        <v>2.1499999999999999E-4</v>
      </c>
      <c r="D50" s="12">
        <f t="shared" si="0"/>
        <v>263</v>
      </c>
      <c r="E50" s="13">
        <f t="shared" si="1"/>
        <v>132</v>
      </c>
      <c r="F50" s="12">
        <f t="shared" si="2"/>
        <v>131</v>
      </c>
    </row>
    <row r="51" spans="1:6">
      <c r="A51" s="8">
        <v>3</v>
      </c>
      <c r="B51" s="11" t="s">
        <v>1126</v>
      </c>
      <c r="C51" s="10">
        <v>8.5459999999999998E-3</v>
      </c>
      <c r="D51" s="12">
        <f t="shared" si="0"/>
        <v>10449</v>
      </c>
      <c r="E51" s="13">
        <f t="shared" si="1"/>
        <v>5225</v>
      </c>
      <c r="F51" s="12">
        <f t="shared" si="2"/>
        <v>5224</v>
      </c>
    </row>
    <row r="52" spans="1:6">
      <c r="A52" s="8">
        <v>3</v>
      </c>
      <c r="B52" s="11" t="s">
        <v>1127</v>
      </c>
      <c r="C52" s="10">
        <v>0.19006400000000001</v>
      </c>
      <c r="D52" s="12">
        <f t="shared" si="0"/>
        <v>232378</v>
      </c>
      <c r="E52" s="13">
        <f t="shared" si="1"/>
        <v>116189</v>
      </c>
      <c r="F52" s="12">
        <f t="shared" si="2"/>
        <v>116189</v>
      </c>
    </row>
    <row r="53" spans="1:6">
      <c r="A53" s="8">
        <v>3</v>
      </c>
      <c r="B53" s="11" t="s">
        <v>406</v>
      </c>
      <c r="C53" s="10">
        <v>3.4600000000000001E-4</v>
      </c>
      <c r="D53" s="12">
        <f t="shared" si="0"/>
        <v>423</v>
      </c>
      <c r="E53" s="13">
        <f t="shared" si="1"/>
        <v>212</v>
      </c>
      <c r="F53" s="12">
        <f t="shared" si="2"/>
        <v>211</v>
      </c>
    </row>
    <row r="54" spans="1:6">
      <c r="A54" s="8">
        <v>3</v>
      </c>
      <c r="B54" s="11" t="s">
        <v>1128</v>
      </c>
      <c r="C54" s="10">
        <v>3.9999999999999998E-6</v>
      </c>
      <c r="D54" s="12">
        <f t="shared" si="0"/>
        <v>5</v>
      </c>
      <c r="E54" s="13">
        <f t="shared" si="1"/>
        <v>3</v>
      </c>
      <c r="F54" s="12">
        <f t="shared" si="2"/>
        <v>2</v>
      </c>
    </row>
    <row r="55" spans="1:6">
      <c r="A55" s="8">
        <v>3</v>
      </c>
      <c r="B55" s="11" t="s">
        <v>1129</v>
      </c>
      <c r="C55" s="10">
        <v>1.45E-4</v>
      </c>
      <c r="D55" s="12">
        <f t="shared" si="0"/>
        <v>177</v>
      </c>
      <c r="E55" s="13">
        <f t="shared" si="1"/>
        <v>89</v>
      </c>
      <c r="F55" s="12">
        <f t="shared" si="2"/>
        <v>88</v>
      </c>
    </row>
    <row r="56" spans="1:6">
      <c r="A56" s="8">
        <v>3</v>
      </c>
      <c r="B56" s="11" t="s">
        <v>1130</v>
      </c>
      <c r="C56" s="10">
        <v>1.7721000000000001E-2</v>
      </c>
      <c r="D56" s="12">
        <f t="shared" si="0"/>
        <v>21666</v>
      </c>
      <c r="E56" s="13">
        <f t="shared" si="1"/>
        <v>10833</v>
      </c>
      <c r="F56" s="12">
        <f t="shared" si="2"/>
        <v>10833</v>
      </c>
    </row>
    <row r="57" spans="1:6">
      <c r="A57" s="8">
        <v>3</v>
      </c>
      <c r="B57" s="11" t="s">
        <v>1131</v>
      </c>
      <c r="C57" s="10">
        <v>5.8399999999999999E-4</v>
      </c>
      <c r="D57" s="12">
        <f t="shared" si="0"/>
        <v>714</v>
      </c>
      <c r="E57" s="13">
        <f t="shared" si="1"/>
        <v>357</v>
      </c>
      <c r="F57" s="12">
        <f t="shared" si="2"/>
        <v>357</v>
      </c>
    </row>
    <row r="58" spans="1:6">
      <c r="A58" s="8">
        <v>3</v>
      </c>
      <c r="B58" s="11" t="s">
        <v>1132</v>
      </c>
      <c r="C58" s="10">
        <v>4.7100000000000001E-4</v>
      </c>
      <c r="D58" s="12">
        <f t="shared" si="0"/>
        <v>576</v>
      </c>
      <c r="E58" s="13">
        <f t="shared" si="1"/>
        <v>288</v>
      </c>
      <c r="F58" s="12">
        <f t="shared" si="2"/>
        <v>288</v>
      </c>
    </row>
    <row r="59" spans="1:6">
      <c r="A59" s="8">
        <v>3</v>
      </c>
      <c r="B59" s="11" t="s">
        <v>1133</v>
      </c>
      <c r="C59" s="10">
        <v>1.2444999999999999E-2</v>
      </c>
      <c r="D59" s="12">
        <f t="shared" si="0"/>
        <v>15216</v>
      </c>
      <c r="E59" s="13">
        <f t="shared" si="1"/>
        <v>7608</v>
      </c>
      <c r="F59" s="12">
        <f t="shared" si="2"/>
        <v>7608</v>
      </c>
    </row>
    <row r="60" spans="1:6">
      <c r="A60" s="8">
        <v>3</v>
      </c>
      <c r="B60" s="11" t="s">
        <v>1134</v>
      </c>
      <c r="C60" s="10">
        <v>1.02E-4</v>
      </c>
      <c r="D60" s="12">
        <f t="shared" si="0"/>
        <v>125</v>
      </c>
      <c r="E60" s="13">
        <f t="shared" si="1"/>
        <v>63</v>
      </c>
      <c r="F60" s="12">
        <f t="shared" si="2"/>
        <v>62</v>
      </c>
    </row>
    <row r="61" spans="1:6">
      <c r="A61" s="8">
        <v>3</v>
      </c>
      <c r="B61" s="11" t="s">
        <v>1135</v>
      </c>
      <c r="C61" s="10">
        <v>2.7999999999999998E-4</v>
      </c>
      <c r="D61" s="12">
        <f t="shared" si="0"/>
        <v>342</v>
      </c>
      <c r="E61" s="13">
        <f t="shared" si="1"/>
        <v>171</v>
      </c>
      <c r="F61" s="12">
        <f t="shared" si="2"/>
        <v>171</v>
      </c>
    </row>
    <row r="62" spans="1:6">
      <c r="A62" s="8">
        <v>3</v>
      </c>
      <c r="B62" s="11" t="s">
        <v>1136</v>
      </c>
      <c r="C62" s="10">
        <v>9.3159999999999996E-3</v>
      </c>
      <c r="D62" s="12">
        <f t="shared" si="0"/>
        <v>11390</v>
      </c>
      <c r="E62" s="13">
        <f t="shared" si="1"/>
        <v>5695</v>
      </c>
      <c r="F62" s="12">
        <f t="shared" si="2"/>
        <v>5695</v>
      </c>
    </row>
    <row r="63" spans="1:6">
      <c r="A63" s="8">
        <v>3</v>
      </c>
      <c r="B63" s="11" t="s">
        <v>1137</v>
      </c>
      <c r="C63" s="10">
        <v>0</v>
      </c>
      <c r="D63" s="12">
        <f t="shared" si="0"/>
        <v>0</v>
      </c>
      <c r="E63" s="13">
        <f t="shared" si="1"/>
        <v>0</v>
      </c>
      <c r="F63" s="12">
        <f t="shared" si="2"/>
        <v>0</v>
      </c>
    </row>
    <row r="64" spans="1:6">
      <c r="A64" s="8">
        <v>3</v>
      </c>
      <c r="B64" s="11" t="s">
        <v>1138</v>
      </c>
      <c r="C64" s="10">
        <v>2.22E-4</v>
      </c>
      <c r="D64" s="12">
        <f t="shared" si="0"/>
        <v>271</v>
      </c>
      <c r="E64" s="13">
        <f t="shared" si="1"/>
        <v>136</v>
      </c>
      <c r="F64" s="12">
        <f t="shared" si="2"/>
        <v>135</v>
      </c>
    </row>
    <row r="65" spans="1:6">
      <c r="A65" s="8">
        <v>3</v>
      </c>
      <c r="B65" s="11" t="s">
        <v>1139</v>
      </c>
      <c r="C65" s="10">
        <v>0</v>
      </c>
      <c r="D65" s="12">
        <f t="shared" si="0"/>
        <v>0</v>
      </c>
      <c r="E65" s="13">
        <f t="shared" si="1"/>
        <v>0</v>
      </c>
      <c r="F65" s="12">
        <f t="shared" si="2"/>
        <v>0</v>
      </c>
    </row>
    <row r="66" spans="1:6">
      <c r="A66" s="8">
        <v>4</v>
      </c>
      <c r="B66" s="11" t="s">
        <v>1140</v>
      </c>
      <c r="C66" s="10">
        <v>1.9619999999999999E-2</v>
      </c>
      <c r="D66" s="9">
        <f t="shared" si="0"/>
        <v>23988</v>
      </c>
      <c r="E66" s="11">
        <f t="shared" si="1"/>
        <v>11994</v>
      </c>
      <c r="F66" s="9">
        <f t="shared" si="2"/>
        <v>11994</v>
      </c>
    </row>
    <row r="67" spans="1:6">
      <c r="A67" s="8"/>
      <c r="B67" s="11" t="s">
        <v>28</v>
      </c>
      <c r="C67" s="11"/>
      <c r="D67" s="14">
        <v>0.51545300000000005</v>
      </c>
      <c r="E67" s="11"/>
      <c r="F67" s="11"/>
    </row>
    <row r="68" spans="1:6">
      <c r="A68" s="8"/>
      <c r="B68" s="11" t="s">
        <v>29</v>
      </c>
      <c r="C68" s="11"/>
      <c r="D68" s="225">
        <f>ROUND(D66*D67,0)</f>
        <v>12365</v>
      </c>
      <c r="E68" s="226">
        <f>ROUND(D68/2,0)</f>
        <v>6183</v>
      </c>
      <c r="F68" s="225">
        <f>D68-E68</f>
        <v>6182</v>
      </c>
    </row>
    <row r="69" spans="1:6">
      <c r="A69" s="8"/>
      <c r="B69" s="11" t="s">
        <v>30</v>
      </c>
      <c r="C69" s="11"/>
      <c r="D69" s="12">
        <f>+D66-D68</f>
        <v>11623</v>
      </c>
      <c r="E69" s="13">
        <f>ROUND(D69/2,0)</f>
        <v>5812</v>
      </c>
      <c r="F69" s="12">
        <f>D69-E69</f>
        <v>5811</v>
      </c>
    </row>
    <row r="70" spans="1:6">
      <c r="A70" s="8">
        <v>4</v>
      </c>
      <c r="B70" s="11" t="s">
        <v>1141</v>
      </c>
      <c r="C70" s="10">
        <v>0.19852700000000001</v>
      </c>
      <c r="D70" s="9">
        <f>ROUND(D$3*C70,0)</f>
        <v>242725</v>
      </c>
      <c r="E70" s="11">
        <f>ROUND(D70/2,0)</f>
        <v>121363</v>
      </c>
      <c r="F70" s="9">
        <f>D70-E70</f>
        <v>121362</v>
      </c>
    </row>
    <row r="71" spans="1:6">
      <c r="A71" s="8" t="s">
        <v>590</v>
      </c>
      <c r="B71" s="11" t="s">
        <v>28</v>
      </c>
      <c r="C71" s="11"/>
      <c r="D71" s="14">
        <v>0.42924200000000001</v>
      </c>
      <c r="E71" s="11"/>
      <c r="F71" s="11"/>
    </row>
    <row r="72" spans="1:6">
      <c r="A72" s="8"/>
      <c r="B72" s="11" t="s">
        <v>29</v>
      </c>
      <c r="C72" s="11"/>
      <c r="D72" s="225">
        <f>ROUND(D70*D71,0)</f>
        <v>104188</v>
      </c>
      <c r="E72" s="226">
        <f>ROUND(D72/2,0)</f>
        <v>52094</v>
      </c>
      <c r="F72" s="225">
        <f>D72-E72</f>
        <v>52094</v>
      </c>
    </row>
    <row r="73" spans="1:6">
      <c r="A73" s="8"/>
      <c r="B73" s="11" t="s">
        <v>30</v>
      </c>
      <c r="C73" s="11"/>
      <c r="D73" s="12">
        <f>+D70-D72</f>
        <v>138537</v>
      </c>
      <c r="E73" s="13">
        <f>ROUND(D73/2,0)</f>
        <v>69269</v>
      </c>
      <c r="F73" s="12">
        <f>D73-E73</f>
        <v>69268</v>
      </c>
    </row>
    <row r="74" spans="1:6">
      <c r="A74" s="8">
        <v>4</v>
      </c>
      <c r="B74" s="11" t="s">
        <v>1142</v>
      </c>
      <c r="C74" s="10">
        <v>2.3826E-2</v>
      </c>
      <c r="D74" s="9">
        <f>ROUND(D$3*C74,0)</f>
        <v>29130</v>
      </c>
      <c r="E74" s="11">
        <f>ROUND(D74/2,0)</f>
        <v>14565</v>
      </c>
      <c r="F74" s="9">
        <f>D74-E74</f>
        <v>14565</v>
      </c>
    </row>
    <row r="75" spans="1:6">
      <c r="A75" s="8"/>
      <c r="B75" s="11" t="s">
        <v>28</v>
      </c>
      <c r="C75" s="11"/>
      <c r="D75" s="14">
        <v>0.24490899999999999</v>
      </c>
      <c r="E75" s="11"/>
      <c r="F75" s="11"/>
    </row>
    <row r="76" spans="1:6">
      <c r="A76" s="8"/>
      <c r="B76" s="11" t="s">
        <v>29</v>
      </c>
      <c r="C76" s="11"/>
      <c r="D76" s="225">
        <f>ROUND(D74*D75,0)</f>
        <v>7134</v>
      </c>
      <c r="E76" s="226">
        <f>ROUND(D76/2,0)</f>
        <v>3567</v>
      </c>
      <c r="F76" s="225">
        <f>D76-E76</f>
        <v>3567</v>
      </c>
    </row>
    <row r="77" spans="1:6">
      <c r="A77" s="8"/>
      <c r="B77" s="11" t="s">
        <v>30</v>
      </c>
      <c r="C77" s="11"/>
      <c r="D77" s="12">
        <f>+D74-D76</f>
        <v>21996</v>
      </c>
      <c r="E77" s="13">
        <f>ROUND(D77/2,0)</f>
        <v>10998</v>
      </c>
      <c r="F77" s="12">
        <f>D77-E77</f>
        <v>10998</v>
      </c>
    </row>
    <row r="78" spans="1:6">
      <c r="A78" s="8">
        <v>4</v>
      </c>
      <c r="B78" s="11" t="s">
        <v>1143</v>
      </c>
      <c r="C78" s="10">
        <v>0.19841200000000001</v>
      </c>
      <c r="D78" s="9">
        <f>ROUND(D$3*C78,0)</f>
        <v>242585</v>
      </c>
      <c r="E78" s="11">
        <f>ROUND(D78/2,0)</f>
        <v>121293</v>
      </c>
      <c r="F78" s="9">
        <f>D78-E78</f>
        <v>121292</v>
      </c>
    </row>
    <row r="79" spans="1:6">
      <c r="A79" s="8"/>
      <c r="B79" s="11" t="s">
        <v>28</v>
      </c>
      <c r="C79" s="11"/>
      <c r="D79" s="14">
        <v>0.35032600000000003</v>
      </c>
      <c r="E79" s="11"/>
      <c r="F79" s="11"/>
    </row>
    <row r="80" spans="1:6">
      <c r="A80" s="8"/>
      <c r="B80" s="11" t="s">
        <v>29</v>
      </c>
      <c r="C80" s="11"/>
      <c r="D80" s="225">
        <f>ROUND(D78*D79,0)</f>
        <v>84984</v>
      </c>
      <c r="E80" s="226">
        <f>ROUND(D80/2,0)</f>
        <v>42492</v>
      </c>
      <c r="F80" s="225">
        <f>D80-E80</f>
        <v>42492</v>
      </c>
    </row>
    <row r="81" spans="1:6">
      <c r="A81" s="8"/>
      <c r="B81" s="11" t="s">
        <v>30</v>
      </c>
      <c r="C81" s="11"/>
      <c r="D81" s="12">
        <f>+D78-D80</f>
        <v>157601</v>
      </c>
      <c r="E81" s="13">
        <f>ROUND(D81/2,0)</f>
        <v>78801</v>
      </c>
      <c r="F81" s="12">
        <f>D81-E81</f>
        <v>78800</v>
      </c>
    </row>
    <row r="82" spans="1:6">
      <c r="A82" s="8">
        <v>4</v>
      </c>
      <c r="B82" s="11" t="s">
        <v>608</v>
      </c>
      <c r="C82" s="10">
        <v>1.5651000000000002E-2</v>
      </c>
      <c r="D82" s="9">
        <f>ROUND(D$3*C82,0)</f>
        <v>19135</v>
      </c>
      <c r="E82" s="11">
        <f>ROUND(D82/2,0)</f>
        <v>9568</v>
      </c>
      <c r="F82" s="9">
        <f>D82-E82</f>
        <v>9567</v>
      </c>
    </row>
    <row r="83" spans="1:6">
      <c r="A83" s="8"/>
      <c r="B83" s="11" t="s">
        <v>28</v>
      </c>
      <c r="C83" s="11"/>
      <c r="D83" s="14">
        <v>0.45816000000000001</v>
      </c>
      <c r="E83" s="11"/>
      <c r="F83" s="11"/>
    </row>
    <row r="84" spans="1:6">
      <c r="A84" s="8"/>
      <c r="B84" s="11" t="s">
        <v>29</v>
      </c>
      <c r="C84" s="11"/>
      <c r="D84" s="225">
        <f>ROUND(D82*D83,0)</f>
        <v>8767</v>
      </c>
      <c r="E84" s="226">
        <f>ROUND(D84/2,0)</f>
        <v>4384</v>
      </c>
      <c r="F84" s="225">
        <f>D84-E84</f>
        <v>4383</v>
      </c>
    </row>
    <row r="85" spans="1:6">
      <c r="A85" s="8"/>
      <c r="B85" s="11" t="s">
        <v>30</v>
      </c>
      <c r="C85" s="11"/>
      <c r="D85" s="12">
        <f>+D82-D84</f>
        <v>10368</v>
      </c>
      <c r="E85" s="13">
        <f>ROUND(D85/2,0)</f>
        <v>5184</v>
      </c>
      <c r="F85" s="12">
        <f>D85-E85</f>
        <v>5184</v>
      </c>
    </row>
    <row r="86" spans="1:6">
      <c r="A86" s="8">
        <v>4</v>
      </c>
      <c r="B86" s="11" t="s">
        <v>1144</v>
      </c>
      <c r="C86" s="10">
        <v>4.8214E-2</v>
      </c>
      <c r="D86" s="9">
        <f>ROUND(D$3*C86,0)</f>
        <v>58948</v>
      </c>
      <c r="E86" s="11">
        <f>ROUND(D86/2,0)</f>
        <v>29474</v>
      </c>
      <c r="F86" s="9">
        <f>D86-E86</f>
        <v>29474</v>
      </c>
    </row>
    <row r="87" spans="1:6">
      <c r="A87" s="8"/>
      <c r="B87" s="11" t="s">
        <v>28</v>
      </c>
      <c r="C87" s="11"/>
      <c r="D87" s="14">
        <v>0.40493000000000001</v>
      </c>
      <c r="E87" s="11"/>
      <c r="F87" s="11"/>
    </row>
    <row r="88" spans="1:6">
      <c r="A88" s="8"/>
      <c r="B88" s="11" t="s">
        <v>29</v>
      </c>
      <c r="C88" s="11"/>
      <c r="D88" s="225">
        <f>ROUND(D86*D87,0)</f>
        <v>23870</v>
      </c>
      <c r="E88" s="226">
        <f t="shared" ref="E88:E95" si="3">ROUND(D88/2,0)</f>
        <v>11935</v>
      </c>
      <c r="F88" s="225">
        <f t="shared" ref="F88:F95" si="4">D88-E88</f>
        <v>11935</v>
      </c>
    </row>
    <row r="89" spans="1:6">
      <c r="A89" s="8"/>
      <c r="B89" s="11" t="s">
        <v>30</v>
      </c>
      <c r="C89" s="11"/>
      <c r="D89" s="12">
        <f>+D86-D88</f>
        <v>35078</v>
      </c>
      <c r="E89" s="13">
        <f t="shared" si="3"/>
        <v>17539</v>
      </c>
      <c r="F89" s="12">
        <f t="shared" si="4"/>
        <v>17539</v>
      </c>
    </row>
    <row r="90" spans="1:6">
      <c r="A90" s="8">
        <v>5</v>
      </c>
      <c r="B90" s="11" t="s">
        <v>1145</v>
      </c>
      <c r="C90" s="10">
        <v>2.6800000000000001E-3</v>
      </c>
      <c r="D90" s="12">
        <f>ROUND(D$3*C90,0)</f>
        <v>3277</v>
      </c>
      <c r="E90" s="13">
        <f t="shared" si="3"/>
        <v>1639</v>
      </c>
      <c r="F90" s="12">
        <f t="shared" si="4"/>
        <v>1638</v>
      </c>
    </row>
    <row r="91" spans="1:6">
      <c r="A91" s="8">
        <v>5</v>
      </c>
      <c r="B91" s="11" t="s">
        <v>1146</v>
      </c>
      <c r="C91" s="10">
        <v>3.1514E-2</v>
      </c>
      <c r="D91" s="12">
        <f>ROUND(D$3*C91,0)</f>
        <v>38530</v>
      </c>
      <c r="E91" s="13">
        <f t="shared" si="3"/>
        <v>19265</v>
      </c>
      <c r="F91" s="12">
        <f t="shared" si="4"/>
        <v>19265</v>
      </c>
    </row>
    <row r="92" spans="1:6">
      <c r="A92" s="8">
        <v>5</v>
      </c>
      <c r="B92" s="11" t="s">
        <v>1147</v>
      </c>
      <c r="C92" s="10">
        <v>6.3460000000000001E-3</v>
      </c>
      <c r="D92" s="12">
        <f>ROUND(D$3*C92,0)</f>
        <v>7759</v>
      </c>
      <c r="E92" s="13">
        <f t="shared" si="3"/>
        <v>3880</v>
      </c>
      <c r="F92" s="12">
        <f t="shared" si="4"/>
        <v>3879</v>
      </c>
    </row>
    <row r="93" spans="1:6">
      <c r="A93" s="8">
        <v>5</v>
      </c>
      <c r="B93" s="11" t="s">
        <v>1148</v>
      </c>
      <c r="C93" s="10">
        <v>2.565E-3</v>
      </c>
      <c r="D93" s="12">
        <f>ROUND(D$3*C93,0)</f>
        <v>3136</v>
      </c>
      <c r="E93" s="13">
        <f t="shared" si="3"/>
        <v>1568</v>
      </c>
      <c r="F93" s="12">
        <f t="shared" si="4"/>
        <v>1568</v>
      </c>
    </row>
    <row r="94" spans="1:6">
      <c r="A94" s="8">
        <v>6</v>
      </c>
      <c r="B94" s="11" t="s">
        <v>422</v>
      </c>
      <c r="C94" s="10">
        <v>2.2190000000000001E-3</v>
      </c>
      <c r="D94" s="12">
        <f>+D3-SUM(D4:D5)-SUM(D10:D66)-D70-D74-D78-D82-D86-SUM(D90:D93)</f>
        <v>2714</v>
      </c>
      <c r="E94" s="13">
        <f t="shared" si="3"/>
        <v>1357</v>
      </c>
      <c r="F94" s="12">
        <f t="shared" si="4"/>
        <v>1357</v>
      </c>
    </row>
    <row r="95" spans="1:6">
      <c r="A95" s="8">
        <v>6</v>
      </c>
      <c r="B95" s="11" t="s">
        <v>1149</v>
      </c>
      <c r="C95" s="10">
        <v>0</v>
      </c>
      <c r="D95" s="12">
        <f>ROUND(D$3*C95,0)</f>
        <v>0</v>
      </c>
      <c r="E95" s="13">
        <f t="shared" si="3"/>
        <v>0</v>
      </c>
      <c r="F95" s="12">
        <f t="shared" si="4"/>
        <v>0</v>
      </c>
    </row>
    <row r="96" spans="1:6">
      <c r="A96" s="8"/>
      <c r="B96" s="28" t="s">
        <v>288</v>
      </c>
      <c r="C96" s="10">
        <v>1</v>
      </c>
      <c r="D96" s="12">
        <f>+D4+SUM(D7:D65)+SUM(D68:D69)+SUM(D72:D73)+SUM(D76:D77)+SUM(D80:D81)+SUM(D84:D85)+SUM(D88:D95)</f>
        <v>1222632</v>
      </c>
      <c r="E96" s="12">
        <f>+E4+SUM(E7:E65)+SUM(E68:E69)+SUM(E72:E73)+SUM(E76:E77)+SUM(E80:E81)+SUM(E84:E85)+SUM(E88:E95)</f>
        <v>611330</v>
      </c>
      <c r="F96" s="12">
        <f>+F4+SUM(F7:F65)+SUM(F68:F69)+SUM(F72:F73)+SUM(F76:F77)+SUM(F80:F81)+SUM(F84:F85)+SUM(F88:F95)</f>
        <v>611302</v>
      </c>
    </row>
    <row r="97" spans="2:8">
      <c r="B97" s="18" t="s">
        <v>38</v>
      </c>
      <c r="D97" s="19">
        <f>+D4</f>
        <v>1126</v>
      </c>
      <c r="E97" s="19">
        <f>+E4</f>
        <v>563</v>
      </c>
      <c r="F97" s="19">
        <f>+F4</f>
        <v>563</v>
      </c>
    </row>
    <row r="98" spans="2:8">
      <c r="B98" s="2" t="s">
        <v>39</v>
      </c>
      <c r="D98" s="19">
        <f>+D7</f>
        <v>77617</v>
      </c>
      <c r="E98" s="19">
        <f>+E7</f>
        <v>38809</v>
      </c>
      <c r="F98" s="19">
        <f>+F7</f>
        <v>38808</v>
      </c>
    </row>
    <row r="99" spans="2:8">
      <c r="B99" s="2" t="s">
        <v>40</v>
      </c>
      <c r="D99" s="19">
        <f>+D68+D72+D76+D80+D84+D88</f>
        <v>241308</v>
      </c>
      <c r="E99" s="19">
        <f>+E68+E72+E76+E80+E84+E88</f>
        <v>120655</v>
      </c>
      <c r="F99" s="19">
        <f>+F68+F72+F76+F80+F84+F88</f>
        <v>120653</v>
      </c>
      <c r="H99" s="3">
        <v>1</v>
      </c>
    </row>
    <row r="100" spans="2:8">
      <c r="B100" s="18" t="s">
        <v>41</v>
      </c>
      <c r="D100" s="19">
        <f>+D96-D97-D98-D99</f>
        <v>902581</v>
      </c>
      <c r="E100" s="19">
        <f>+E96-E97-E98-E99</f>
        <v>451303</v>
      </c>
      <c r="F100" s="19">
        <f>+F96-F97-F98-F99</f>
        <v>451278</v>
      </c>
      <c r="H100" s="3">
        <v>2</v>
      </c>
    </row>
    <row r="102" spans="2:8" hidden="1">
      <c r="B102" s="3" t="s">
        <v>42</v>
      </c>
      <c r="C102" s="4">
        <v>0</v>
      </c>
      <c r="D102" s="3">
        <f>+D94-ROUND(D3*C94,0)</f>
        <v>1</v>
      </c>
    </row>
  </sheetData>
  <pageMargins left="0.7" right="0.7" top="0.75" bottom="0.75" header="0.3" footer="0.3"/>
  <pageSetup scale="4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1D40F-63BF-4154-8D4C-800DBC0BBFF6}">
  <dimension ref="A1:F99"/>
  <sheetViews>
    <sheetView topLeftCell="A84" zoomScale="145" zoomScaleNormal="145" workbookViewId="0">
      <selection activeCell="O42" sqref="O42"/>
    </sheetView>
  </sheetViews>
  <sheetFormatPr defaultColWidth="0" defaultRowHeight="15"/>
  <cols>
    <col min="1" max="1" width="9.42578125" customWidth="1"/>
    <col min="2" max="2" width="13.140625" bestFit="1" customWidth="1"/>
    <col min="3" max="3" width="15.42578125" bestFit="1" customWidth="1"/>
    <col min="4" max="4" width="17.28515625" style="46" bestFit="1" customWidth="1"/>
    <col min="5" max="5" width="14.28515625" bestFit="1" customWidth="1"/>
    <col min="6" max="6" width="9.140625" customWidth="1"/>
    <col min="7" max="16384" width="9.140625" hidden="1"/>
  </cols>
  <sheetData>
    <row r="1" spans="1:5" ht="15.75" thickBot="1">
      <c r="A1" s="248" t="s">
        <v>2002</v>
      </c>
      <c r="B1" s="250"/>
      <c r="C1" s="250"/>
      <c r="D1" s="250"/>
      <c r="E1" s="249"/>
    </row>
    <row r="2" spans="1:5">
      <c r="A2" s="55" t="s">
        <v>1991</v>
      </c>
      <c r="B2" s="53" t="s">
        <v>1894</v>
      </c>
      <c r="C2" s="53" t="s">
        <v>2004</v>
      </c>
      <c r="D2" s="144" t="s">
        <v>2025</v>
      </c>
      <c r="E2" s="54" t="s">
        <v>2062</v>
      </c>
    </row>
    <row r="3" spans="1:5">
      <c r="A3" s="52" t="s">
        <v>2095</v>
      </c>
      <c r="B3" t="s">
        <v>1895</v>
      </c>
      <c r="C3" s="142">
        <v>4.4488271999999999E-3</v>
      </c>
      <c r="D3" s="146">
        <f>-ROUND(C3*SUM('Query Paste'!$G$3:$G$1048576),0)</f>
        <v>287723</v>
      </c>
      <c r="E3" s="115">
        <f>-ROUND(C3*SUM('Query Paste PY'!$G$3:$G$1048576),0)</f>
        <v>296729</v>
      </c>
    </row>
    <row r="4" spans="1:5">
      <c r="A4" s="52" t="s">
        <v>2089</v>
      </c>
      <c r="B4" t="s">
        <v>1896</v>
      </c>
      <c r="C4" s="142">
        <v>5.7360266299999997E-2</v>
      </c>
      <c r="D4" s="146">
        <f>-ROUND(C4*SUM('Query Paste'!$G$3:$G$1048576),0)</f>
        <v>3709709</v>
      </c>
      <c r="E4" s="115">
        <f>-ROUND(C4*SUM('Query Paste PY'!$G$3:$G$1048576),0)</f>
        <v>3825828</v>
      </c>
    </row>
    <row r="5" spans="1:5">
      <c r="A5" s="52" t="s">
        <v>2090</v>
      </c>
      <c r="B5" t="s">
        <v>1897</v>
      </c>
      <c r="C5" s="142">
        <v>1.02889327E-2</v>
      </c>
      <c r="D5" s="146">
        <f>-ROUND(C5*SUM('Query Paste'!$G$3:$G$1048576),0)</f>
        <v>665425</v>
      </c>
      <c r="E5" s="115">
        <f>-ROUND(C5*SUM('Query Paste PY'!$G$3:$G$1048576),0)</f>
        <v>686254</v>
      </c>
    </row>
    <row r="6" spans="1:5">
      <c r="A6" s="52" t="s">
        <v>2091</v>
      </c>
      <c r="B6" t="s">
        <v>1898</v>
      </c>
      <c r="C6" s="142">
        <v>2.9615073E-3</v>
      </c>
      <c r="D6" s="146">
        <f>-ROUND(C6*SUM('Query Paste'!$G$3:$G$1048576),0)</f>
        <v>191532</v>
      </c>
      <c r="E6" s="115">
        <f>-ROUND(C6*SUM('Query Paste PY'!$G$3:$G$1048576),0)</f>
        <v>197527</v>
      </c>
    </row>
    <row r="7" spans="1:5">
      <c r="A7" s="52" t="s">
        <v>2092</v>
      </c>
      <c r="B7" t="s">
        <v>1899</v>
      </c>
      <c r="C7" s="142">
        <v>1.7829972E-3</v>
      </c>
      <c r="D7" s="146">
        <f>-ROUND(C7*SUM('Query Paste'!$G$3:$G$1048576),0)</f>
        <v>115313</v>
      </c>
      <c r="E7" s="115">
        <f>-ROUND(C7*SUM('Query Paste PY'!$G$3:$G$1048576),0)</f>
        <v>118923</v>
      </c>
    </row>
    <row r="8" spans="1:5">
      <c r="A8" s="52" t="s">
        <v>2093</v>
      </c>
      <c r="B8" t="s">
        <v>1900</v>
      </c>
      <c r="C8" s="142">
        <v>7.8116349999999999E-3</v>
      </c>
      <c r="D8" s="146">
        <f>-ROUND(C8*SUM('Query Paste'!$G$3:$G$1048576),0)</f>
        <v>505208</v>
      </c>
      <c r="E8" s="115">
        <f>-ROUND(C8*SUM('Query Paste PY'!$G$3:$G$1048576),0)</f>
        <v>521022</v>
      </c>
    </row>
    <row r="9" spans="1:5">
      <c r="A9" s="52" t="s">
        <v>2094</v>
      </c>
      <c r="B9" t="s">
        <v>1901</v>
      </c>
      <c r="C9" s="142">
        <v>2.2906534999999999E-3</v>
      </c>
      <c r="D9" s="146">
        <f>-ROUND(C9*SUM('Query Paste'!$G$3:$G$1048576),0)</f>
        <v>148145</v>
      </c>
      <c r="E9" s="115">
        <f>-ROUND(C9*SUM('Query Paste PY'!$G$3:$G$1048576),0)</f>
        <v>152783</v>
      </c>
    </row>
    <row r="10" spans="1:5">
      <c r="A10" s="52" t="s">
        <v>2096</v>
      </c>
      <c r="B10" t="s">
        <v>1902</v>
      </c>
      <c r="C10" s="142">
        <v>3.6188059E-3</v>
      </c>
      <c r="D10" s="146">
        <f>-ROUND(C10*SUM('Query Paste'!$G$3:$G$1048576),0)</f>
        <v>234042</v>
      </c>
      <c r="E10" s="115">
        <f>-ROUND(C10*SUM('Query Paste PY'!$G$3:$G$1048576),0)</f>
        <v>241368</v>
      </c>
    </row>
    <row r="11" spans="1:5">
      <c r="A11" s="52" t="s">
        <v>2097</v>
      </c>
      <c r="B11" t="s">
        <v>1903</v>
      </c>
      <c r="C11" s="142">
        <v>5.6699191000000003E-3</v>
      </c>
      <c r="D11" s="146">
        <f>-ROUND(C11*SUM('Query Paste'!$G$3:$G$1048576),0)</f>
        <v>366695</v>
      </c>
      <c r="E11" s="115">
        <f>-ROUND(C11*SUM('Query Paste PY'!$G$3:$G$1048576),0)</f>
        <v>378174</v>
      </c>
    </row>
    <row r="12" spans="1:5">
      <c r="A12" s="52" t="s">
        <v>2098</v>
      </c>
      <c r="B12" t="s">
        <v>1904</v>
      </c>
      <c r="C12" s="142">
        <v>2.31036066E-2</v>
      </c>
      <c r="D12" s="146">
        <f>-ROUND(C12*SUM('Query Paste'!$G$3:$G$1048576),0)</f>
        <v>1494199</v>
      </c>
      <c r="E12" s="115">
        <f>-ROUND(C12*SUM('Query Paste PY'!$G$3:$G$1048576),0)</f>
        <v>1540969</v>
      </c>
    </row>
    <row r="13" spans="1:5">
      <c r="A13" s="52" t="s">
        <v>2099</v>
      </c>
      <c r="B13" t="s">
        <v>1905</v>
      </c>
      <c r="C13" s="142">
        <v>3.8723523E-3</v>
      </c>
      <c r="D13" s="146">
        <f>-ROUND(C13*SUM('Query Paste'!$G$3:$G$1048576),0)</f>
        <v>250440</v>
      </c>
      <c r="E13" s="115">
        <f>-ROUND(C13*SUM('Query Paste PY'!$G$3:$G$1048576),0)</f>
        <v>258279</v>
      </c>
    </row>
    <row r="14" spans="1:5">
      <c r="A14" s="52" t="s">
        <v>2182</v>
      </c>
      <c r="B14" t="s">
        <v>1906</v>
      </c>
      <c r="C14" s="142">
        <v>7.5001479999999999E-3</v>
      </c>
      <c r="D14" s="146">
        <f>-ROUND(C14*SUM('Query Paste'!$G$3:$G$1048576),0)</f>
        <v>485063</v>
      </c>
      <c r="E14" s="115">
        <f>-ROUND(C14*SUM('Query Paste PY'!$G$3:$G$1048576),0)</f>
        <v>500247</v>
      </c>
    </row>
    <row r="15" spans="1:5">
      <c r="A15" s="52" t="s">
        <v>2100</v>
      </c>
      <c r="B15" t="s">
        <v>1907</v>
      </c>
      <c r="C15" s="142">
        <v>3.3532830000000002E-4</v>
      </c>
      <c r="D15" s="146">
        <f>-ROUND(C15*SUM('Query Paste'!$G$3:$G$1048576),0)</f>
        <v>21687</v>
      </c>
      <c r="E15" s="115">
        <f>-ROUND(C15*SUM('Query Paste PY'!$G$3:$G$1048576),0)</f>
        <v>22366</v>
      </c>
    </row>
    <row r="16" spans="1:5">
      <c r="A16" s="52" t="s">
        <v>2101</v>
      </c>
      <c r="B16" t="s">
        <v>1908</v>
      </c>
      <c r="C16" s="142">
        <v>7.3626801000000004E-3</v>
      </c>
      <c r="D16" s="146">
        <f>-ROUND(C16*SUM('Query Paste'!$G$3:$G$1048576),0)</f>
        <v>476173</v>
      </c>
      <c r="E16" s="115">
        <f>-ROUND(C16*SUM('Query Paste PY'!$G$3:$G$1048576),0)</f>
        <v>491078</v>
      </c>
    </row>
    <row r="17" spans="1:5">
      <c r="A17" s="52" t="s">
        <v>2102</v>
      </c>
      <c r="B17" t="s">
        <v>1909</v>
      </c>
      <c r="C17" s="142">
        <v>3.0304386000000001E-3</v>
      </c>
      <c r="D17" s="146">
        <f>-ROUND(C17*SUM('Query Paste'!$G$3:$G$1048576),0)</f>
        <v>195990</v>
      </c>
      <c r="E17" s="115">
        <f>-ROUND(C17*SUM('Query Paste PY'!$G$3:$G$1048576),0)</f>
        <v>202125</v>
      </c>
    </row>
    <row r="18" spans="1:5">
      <c r="A18" s="52" t="s">
        <v>2103</v>
      </c>
      <c r="B18" t="s">
        <v>1910</v>
      </c>
      <c r="C18" s="142">
        <v>5.0382372999999998E-3</v>
      </c>
      <c r="D18" s="146">
        <f>-ROUND(C18*SUM('Query Paste'!$G$3:$G$1048576),0)</f>
        <v>325842</v>
      </c>
      <c r="E18" s="115">
        <f>-ROUND(C18*SUM('Query Paste PY'!$G$3:$G$1048576),0)</f>
        <v>336041</v>
      </c>
    </row>
    <row r="19" spans="1:5">
      <c r="A19" s="52" t="s">
        <v>2104</v>
      </c>
      <c r="B19" t="s">
        <v>1911</v>
      </c>
      <c r="C19" s="142">
        <v>4.4785301999999997E-3</v>
      </c>
      <c r="D19" s="146">
        <f>-ROUND(C19*SUM('Query Paste'!$G$3:$G$1048576),0)</f>
        <v>289644</v>
      </c>
      <c r="E19" s="115">
        <f>-ROUND(C19*SUM('Query Paste PY'!$G$3:$G$1048576),0)</f>
        <v>298710</v>
      </c>
    </row>
    <row r="20" spans="1:5">
      <c r="A20" s="52" t="s">
        <v>2105</v>
      </c>
      <c r="B20" t="s">
        <v>1912</v>
      </c>
      <c r="C20" s="142">
        <v>1.6469495399999999E-2</v>
      </c>
      <c r="D20" s="146">
        <f>-ROUND(C20*SUM('Query Paste'!$G$3:$G$1048576),0)</f>
        <v>1065146</v>
      </c>
      <c r="E20" s="115">
        <f>-ROUND(C20*SUM('Query Paste PY'!$G$3:$G$1048576),0)</f>
        <v>1098486</v>
      </c>
    </row>
    <row r="21" spans="1:5">
      <c r="A21" s="52" t="s">
        <v>2106</v>
      </c>
      <c r="B21" t="s">
        <v>1913</v>
      </c>
      <c r="C21" s="142">
        <v>9.9105717000000006E-3</v>
      </c>
      <c r="D21" s="146">
        <f>-ROUND(C21*SUM('Query Paste'!$G$3:$G$1048576),0)</f>
        <v>640955</v>
      </c>
      <c r="E21" s="115">
        <f>-ROUND(C21*SUM('Query Paste PY'!$G$3:$G$1048576),0)</f>
        <v>661018</v>
      </c>
    </row>
    <row r="22" spans="1:5">
      <c r="A22" s="52" t="s">
        <v>2183</v>
      </c>
      <c r="B22" t="s">
        <v>1914</v>
      </c>
      <c r="C22" s="142">
        <v>3.0438781799999998E-2</v>
      </c>
      <c r="D22" s="146">
        <f>-ROUND(C22*SUM('Query Paste'!$G$3:$G$1048576),0)</f>
        <v>1968593</v>
      </c>
      <c r="E22" s="115">
        <f>-ROUND(C22*SUM('Query Paste PY'!$G$3:$G$1048576),0)</f>
        <v>2030213</v>
      </c>
    </row>
    <row r="23" spans="1:5">
      <c r="A23" s="52" t="s">
        <v>2107</v>
      </c>
      <c r="B23" t="s">
        <v>1915</v>
      </c>
      <c r="C23" s="142">
        <v>1.8018786E-3</v>
      </c>
      <c r="D23" s="146">
        <f>-ROUND(C23*SUM('Query Paste'!$G$3:$G$1048576),0)</f>
        <v>116534</v>
      </c>
      <c r="E23" s="115">
        <f>-ROUND(C23*SUM('Query Paste PY'!$G$3:$G$1048576),0)</f>
        <v>120182</v>
      </c>
    </row>
    <row r="24" spans="1:5">
      <c r="A24" s="52" t="s">
        <v>2108</v>
      </c>
      <c r="B24" t="s">
        <v>1916</v>
      </c>
      <c r="C24" s="142">
        <v>6.0363313000000004E-3</v>
      </c>
      <c r="D24" s="146">
        <f>-ROUND(C24*SUM('Query Paste'!$G$3:$G$1048576),0)</f>
        <v>390393</v>
      </c>
      <c r="E24" s="115">
        <f>-ROUND(C24*SUM('Query Paste PY'!$G$3:$G$1048576),0)</f>
        <v>402613</v>
      </c>
    </row>
    <row r="25" spans="1:5">
      <c r="A25" s="52" t="s">
        <v>2109</v>
      </c>
      <c r="B25" t="s">
        <v>1917</v>
      </c>
      <c r="C25" s="142">
        <v>1.5433723E-3</v>
      </c>
      <c r="D25" s="146">
        <f>-ROUND(C25*SUM('Query Paste'!$G$3:$G$1048576),0)</f>
        <v>99816</v>
      </c>
      <c r="E25" s="115">
        <f>-ROUND(C25*SUM('Query Paste PY'!$G$3:$G$1048576),0)</f>
        <v>102940</v>
      </c>
    </row>
    <row r="26" spans="1:5">
      <c r="A26" s="52" t="s">
        <v>2110</v>
      </c>
      <c r="B26" t="s">
        <v>1918</v>
      </c>
      <c r="C26" s="142">
        <v>2.3654465E-3</v>
      </c>
      <c r="D26" s="146">
        <f>-ROUND(C26*SUM('Query Paste'!$G$3:$G$1048576),0)</f>
        <v>152983</v>
      </c>
      <c r="E26" s="115">
        <f>-ROUND(C26*SUM('Query Paste PY'!$G$3:$G$1048576),0)</f>
        <v>157771</v>
      </c>
    </row>
    <row r="27" spans="1:5">
      <c r="A27" s="52" t="s">
        <v>2111</v>
      </c>
      <c r="B27" t="s">
        <v>1919</v>
      </c>
      <c r="C27" s="142">
        <v>3.6443945000000002E-3</v>
      </c>
      <c r="D27" s="146">
        <f>-ROUND(C27*SUM('Query Paste'!$G$3:$G$1048576),0)</f>
        <v>235697</v>
      </c>
      <c r="E27" s="115">
        <f>-ROUND(C27*SUM('Query Paste PY'!$G$3:$G$1048576),0)</f>
        <v>243075</v>
      </c>
    </row>
    <row r="28" spans="1:5">
      <c r="A28" s="52" t="s">
        <v>2112</v>
      </c>
      <c r="B28" t="s">
        <v>1920</v>
      </c>
      <c r="C28" s="142">
        <v>9.4317728999999996E-3</v>
      </c>
      <c r="D28" s="146">
        <f>-ROUND(C28*SUM('Query Paste'!$G$3:$G$1048576),0)</f>
        <v>609989</v>
      </c>
      <c r="E28" s="115">
        <f>-ROUND(C28*SUM('Query Paste PY'!$G$3:$G$1048576),0)</f>
        <v>629082</v>
      </c>
    </row>
    <row r="29" spans="1:5">
      <c r="A29" s="52" t="s">
        <v>2113</v>
      </c>
      <c r="B29" t="s">
        <v>1921</v>
      </c>
      <c r="C29" s="142">
        <v>7.1358777000000003E-3</v>
      </c>
      <c r="D29" s="146">
        <f>-ROUND(C29*SUM('Query Paste'!$G$3:$G$1048576),0)</f>
        <v>461505</v>
      </c>
      <c r="E29" s="115">
        <f>-ROUND(C29*SUM('Query Paste PY'!$G$3:$G$1048576),0)</f>
        <v>475950</v>
      </c>
    </row>
    <row r="30" spans="1:5">
      <c r="A30" s="52" t="s">
        <v>2114</v>
      </c>
      <c r="B30" t="s">
        <v>1922</v>
      </c>
      <c r="C30" s="142">
        <v>3.8895992000000002E-3</v>
      </c>
      <c r="D30" s="146">
        <f>-ROUND(C30*SUM('Query Paste'!$G$3:$G$1048576),0)</f>
        <v>251555</v>
      </c>
      <c r="E30" s="115">
        <f>-ROUND(C30*SUM('Query Paste PY'!$G$3:$G$1048576),0)</f>
        <v>259429</v>
      </c>
    </row>
    <row r="31" spans="1:5">
      <c r="A31" s="52" t="s">
        <v>2115</v>
      </c>
      <c r="B31" t="s">
        <v>1923</v>
      </c>
      <c r="C31" s="142">
        <v>2.0772062099999999E-2</v>
      </c>
      <c r="D31" s="146">
        <f>-ROUND(C31*SUM('Query Paste'!$G$3:$G$1048576),0)</f>
        <v>1343409</v>
      </c>
      <c r="E31" s="115">
        <f>-ROUND(C31*SUM('Query Paste PY'!$G$3:$G$1048576),0)</f>
        <v>1385460</v>
      </c>
    </row>
    <row r="32" spans="1:5">
      <c r="A32" s="52" t="s">
        <v>2116</v>
      </c>
      <c r="B32" t="s">
        <v>1924</v>
      </c>
      <c r="C32" s="142">
        <v>1.05115924E-2</v>
      </c>
      <c r="D32" s="146">
        <f>-ROUND(C32*SUM('Query Paste'!$G$3:$G$1048576),0)</f>
        <v>679825</v>
      </c>
      <c r="E32" s="115">
        <f>-ROUND(C32*SUM('Query Paste PY'!$G$3:$G$1048576),0)</f>
        <v>701105</v>
      </c>
    </row>
    <row r="33" spans="1:5">
      <c r="A33" s="52" t="s">
        <v>2117</v>
      </c>
      <c r="B33" t="s">
        <v>1925</v>
      </c>
      <c r="C33" s="142">
        <v>3.8347021999999998E-3</v>
      </c>
      <c r="D33" s="146">
        <f>-ROUND(C33*SUM('Query Paste'!$G$3:$G$1048576),0)</f>
        <v>248005</v>
      </c>
      <c r="E33" s="115">
        <f>-ROUND(C33*SUM('Query Paste PY'!$G$3:$G$1048576),0)</f>
        <v>255768</v>
      </c>
    </row>
    <row r="34" spans="1:5">
      <c r="A34" s="52" t="s">
        <v>2118</v>
      </c>
      <c r="B34" t="s">
        <v>1926</v>
      </c>
      <c r="C34" s="142">
        <v>1.84020503E-2</v>
      </c>
      <c r="D34" s="146">
        <f>-ROUND(C34*SUM('Query Paste'!$G$3:$G$1048576),0)</f>
        <v>1190131</v>
      </c>
      <c r="E34" s="115">
        <f>-ROUND(C34*SUM('Query Paste PY'!$G$3:$G$1048576),0)</f>
        <v>1227384</v>
      </c>
    </row>
    <row r="35" spans="1:5">
      <c r="A35" s="52" t="s">
        <v>2119</v>
      </c>
      <c r="B35" t="s">
        <v>1927</v>
      </c>
      <c r="C35" s="142">
        <v>4.665738E-3</v>
      </c>
      <c r="D35" s="146">
        <f>-ROUND(C35*SUM('Query Paste'!$G$3:$G$1048576),0)</f>
        <v>301751</v>
      </c>
      <c r="E35" s="115">
        <f>-ROUND(C35*SUM('Query Paste PY'!$G$3:$G$1048576),0)</f>
        <v>311196</v>
      </c>
    </row>
    <row r="36" spans="1:5">
      <c r="A36" s="52" t="s">
        <v>2120</v>
      </c>
      <c r="B36" t="s">
        <v>1928</v>
      </c>
      <c r="C36" s="142">
        <v>8.4397097000000008E-3</v>
      </c>
      <c r="D36" s="146">
        <f>-ROUND(C36*SUM('Query Paste'!$G$3:$G$1048576),0)</f>
        <v>545828</v>
      </c>
      <c r="E36" s="115">
        <f>-ROUND(C36*SUM('Query Paste PY'!$G$3:$G$1048576),0)</f>
        <v>562914</v>
      </c>
    </row>
    <row r="37" spans="1:5">
      <c r="A37" s="52" t="s">
        <v>2121</v>
      </c>
      <c r="B37" t="s">
        <v>1929</v>
      </c>
      <c r="C37" s="142">
        <v>6.1727283000000003E-3</v>
      </c>
      <c r="D37" s="146">
        <f>-ROUND(C37*SUM('Query Paste'!$G$3:$G$1048576),0)</f>
        <v>399214</v>
      </c>
      <c r="E37" s="115">
        <f>-ROUND(C37*SUM('Query Paste PY'!$G$3:$G$1048576),0)</f>
        <v>411710</v>
      </c>
    </row>
    <row r="38" spans="1:5">
      <c r="A38" s="52" t="s">
        <v>2122</v>
      </c>
      <c r="B38" t="s">
        <v>1930</v>
      </c>
      <c r="C38" s="142">
        <v>7.7638396E-3</v>
      </c>
      <c r="D38" s="146">
        <f>-ROUND(C38*SUM('Query Paste'!$G$3:$G$1048576),0)</f>
        <v>502117</v>
      </c>
      <c r="E38" s="115">
        <f>-ROUND(C38*SUM('Query Paste PY'!$G$3:$G$1048576),0)</f>
        <v>517834</v>
      </c>
    </row>
    <row r="39" spans="1:5">
      <c r="A39" s="52" t="s">
        <v>2123</v>
      </c>
      <c r="B39" t="s">
        <v>1931</v>
      </c>
      <c r="C39" s="142">
        <v>1.0911822E-2</v>
      </c>
      <c r="D39" s="146">
        <f>-ROUND(C39*SUM('Query Paste'!$G$3:$G$1048576),0)</f>
        <v>705710</v>
      </c>
      <c r="E39" s="115">
        <f>-ROUND(C39*SUM('Query Paste PY'!$G$3:$G$1048576),0)</f>
        <v>727799</v>
      </c>
    </row>
    <row r="40" spans="1:5">
      <c r="A40" s="52" t="s">
        <v>2184</v>
      </c>
      <c r="B40" t="s">
        <v>1932</v>
      </c>
      <c r="C40" s="142">
        <v>2.098824E-3</v>
      </c>
      <c r="D40" s="146">
        <f>-ROUND(C40*SUM('Query Paste'!$G$3:$G$1048576),0)</f>
        <v>135739</v>
      </c>
      <c r="E40" s="115">
        <f>-ROUND(C40*SUM('Query Paste PY'!$G$3:$G$1048576),0)</f>
        <v>139988</v>
      </c>
    </row>
    <row r="41" spans="1:5">
      <c r="A41" s="52" t="s">
        <v>2185</v>
      </c>
      <c r="B41" t="s">
        <v>1933</v>
      </c>
      <c r="C41" s="142">
        <v>1.3051565E-3</v>
      </c>
      <c r="D41" s="146">
        <f>-ROUND(C41*SUM('Query Paste'!$G$3:$G$1048576),0)</f>
        <v>84409</v>
      </c>
      <c r="E41" s="115">
        <f>-ROUND(C41*SUM('Query Paste PY'!$G$3:$G$1048576),0)</f>
        <v>87052</v>
      </c>
    </row>
    <row r="42" spans="1:5">
      <c r="A42" s="52" t="s">
        <v>2124</v>
      </c>
      <c r="B42" t="s">
        <v>1934</v>
      </c>
      <c r="C42" s="142">
        <v>4.2902232999999998E-3</v>
      </c>
      <c r="D42" s="146">
        <f>-ROUND(C42*SUM('Query Paste'!$G$3:$G$1048576),0)</f>
        <v>277465</v>
      </c>
      <c r="E42" s="115">
        <f>-ROUND(C42*SUM('Query Paste PY'!$G$3:$G$1048576),0)</f>
        <v>286150</v>
      </c>
    </row>
    <row r="43" spans="1:5">
      <c r="A43" s="52" t="s">
        <v>2125</v>
      </c>
      <c r="B43" t="s">
        <v>1935</v>
      </c>
      <c r="C43" s="142">
        <v>9.2155948000000008E-3</v>
      </c>
      <c r="D43" s="146">
        <f>-ROUND(C43*SUM('Query Paste'!$G$3:$G$1048576),0)</f>
        <v>596008</v>
      </c>
      <c r="E43" s="115">
        <f>-ROUND(C43*SUM('Query Paste PY'!$G$3:$G$1048576),0)</f>
        <v>614664</v>
      </c>
    </row>
    <row r="44" spans="1:5">
      <c r="A44" s="52" t="s">
        <v>2126</v>
      </c>
      <c r="B44" t="s">
        <v>1936</v>
      </c>
      <c r="C44" s="142">
        <v>8.5591134999999999E-3</v>
      </c>
      <c r="D44" s="146">
        <f>-ROUND(C44*SUM('Query Paste'!$G$3:$G$1048576),0)</f>
        <v>553551</v>
      </c>
      <c r="E44" s="115">
        <f>-ROUND(C44*SUM('Query Paste PY'!$G$3:$G$1048576),0)</f>
        <v>570878</v>
      </c>
    </row>
    <row r="45" spans="1:5">
      <c r="A45" s="52" t="s">
        <v>2127</v>
      </c>
      <c r="B45" t="s">
        <v>1937</v>
      </c>
      <c r="C45" s="142">
        <v>9.5108212000000001E-3</v>
      </c>
      <c r="D45" s="146">
        <f>-ROUND(C45*SUM('Query Paste'!$G$3:$G$1048576),0)</f>
        <v>615101</v>
      </c>
      <c r="E45" s="115">
        <f>-ROUND(C45*SUM('Query Paste PY'!$G$3:$G$1048576),0)</f>
        <v>634355</v>
      </c>
    </row>
    <row r="46" spans="1:5">
      <c r="A46" s="52" t="s">
        <v>2128</v>
      </c>
      <c r="B46" t="s">
        <v>1938</v>
      </c>
      <c r="C46" s="142">
        <v>3.5761396000000001E-3</v>
      </c>
      <c r="D46" s="146">
        <f>-ROUND(C46*SUM('Query Paste'!$G$3:$G$1048576),0)</f>
        <v>231283</v>
      </c>
      <c r="E46" s="115">
        <f>-ROUND(C46*SUM('Query Paste PY'!$G$3:$G$1048576),0)</f>
        <v>238522</v>
      </c>
    </row>
    <row r="47" spans="1:5">
      <c r="A47" s="52" t="s">
        <v>2129</v>
      </c>
      <c r="B47" t="s">
        <v>1939</v>
      </c>
      <c r="C47" s="142">
        <v>8.3848013900000004E-2</v>
      </c>
      <c r="D47" s="146">
        <f>-ROUND(C47*SUM('Query Paste'!$G$3:$G$1048576),0)</f>
        <v>5422774</v>
      </c>
      <c r="E47" s="115">
        <f>-ROUND(C47*SUM('Query Paste PY'!$G$3:$G$1048576),0)</f>
        <v>5592513</v>
      </c>
    </row>
    <row r="48" spans="1:5">
      <c r="A48" s="52" t="s">
        <v>2130</v>
      </c>
      <c r="B48" t="s">
        <v>1940</v>
      </c>
      <c r="C48" s="142">
        <v>2.08404861E-2</v>
      </c>
      <c r="D48" s="146">
        <f>-ROUND(C48*SUM('Query Paste'!$G$3:$G$1048576),0)</f>
        <v>1347834</v>
      </c>
      <c r="E48" s="115">
        <f>-ROUND(C48*SUM('Query Paste PY'!$G$3:$G$1048576),0)</f>
        <v>1390023</v>
      </c>
    </row>
    <row r="49" spans="1:5">
      <c r="A49" s="52" t="s">
        <v>2131</v>
      </c>
      <c r="B49" t="s">
        <v>1941</v>
      </c>
      <c r="C49" s="142">
        <v>6.2804087999999997E-3</v>
      </c>
      <c r="D49" s="146">
        <f>-ROUND(C49*SUM('Query Paste'!$G$3:$G$1048576),0)</f>
        <v>406178</v>
      </c>
      <c r="E49" s="115">
        <f>-ROUND(C49*SUM('Query Paste PY'!$G$3:$G$1048576),0)</f>
        <v>418892</v>
      </c>
    </row>
    <row r="50" spans="1:5">
      <c r="A50" s="52" t="s">
        <v>2132</v>
      </c>
      <c r="B50" t="s">
        <v>1942</v>
      </c>
      <c r="C50" s="142">
        <v>1.8904577700000001E-2</v>
      </c>
      <c r="D50" s="146">
        <f>-ROUND(C50*SUM('Query Paste'!$G$3:$G$1048576),0)</f>
        <v>1222632</v>
      </c>
      <c r="E50" s="115">
        <f>-ROUND(C50*SUM('Query Paste PY'!$G$3:$G$1048576),0)</f>
        <v>1260902</v>
      </c>
    </row>
    <row r="51" spans="1:5">
      <c r="A51" s="52" t="s">
        <v>2133</v>
      </c>
      <c r="B51" t="s">
        <v>1943</v>
      </c>
      <c r="C51" s="142">
        <v>0.1833657403</v>
      </c>
      <c r="D51" s="146">
        <f>-ROUND(C51*SUM('Query Paste'!$G$3:$G$1048576),0)</f>
        <v>11858968</v>
      </c>
      <c r="E51" s="115">
        <f>-ROUND(C51*SUM('Query Paste PY'!$G$3:$G$1048576),0)</f>
        <v>12230169</v>
      </c>
    </row>
    <row r="52" spans="1:5">
      <c r="A52" s="52" t="s">
        <v>2134</v>
      </c>
      <c r="B52" t="s">
        <v>1944</v>
      </c>
      <c r="C52" s="142">
        <v>8.1354089000000001E-3</v>
      </c>
      <c r="D52" s="146">
        <f>-ROUND(C52*SUM('Query Paste'!$G$3:$G$1048576),0)</f>
        <v>526148</v>
      </c>
      <c r="E52" s="115">
        <f>-ROUND(C52*SUM('Query Paste PY'!$G$3:$G$1048576),0)</f>
        <v>542617</v>
      </c>
    </row>
    <row r="53" spans="1:5">
      <c r="A53" s="52" t="s">
        <v>2135</v>
      </c>
      <c r="B53" t="s">
        <v>1945</v>
      </c>
      <c r="C53" s="142">
        <v>2.0211565999999999E-3</v>
      </c>
      <c r="D53" s="146">
        <f>-ROUND(C53*SUM('Query Paste'!$G$3:$G$1048576),0)</f>
        <v>130716</v>
      </c>
      <c r="E53" s="115">
        <f>-ROUND(C53*SUM('Query Paste PY'!$G$3:$G$1048576),0)</f>
        <v>134808</v>
      </c>
    </row>
    <row r="54" spans="1:5">
      <c r="A54" s="52" t="s">
        <v>2136</v>
      </c>
      <c r="B54" t="s">
        <v>1946</v>
      </c>
      <c r="C54" s="142">
        <v>3.7767334000000001E-3</v>
      </c>
      <c r="D54" s="146">
        <f>-ROUND(C54*SUM('Query Paste'!$G$3:$G$1048576),0)</f>
        <v>244256</v>
      </c>
      <c r="E54" s="115">
        <f>-ROUND(C54*SUM('Query Paste PY'!$G$3:$G$1048576),0)</f>
        <v>251901</v>
      </c>
    </row>
    <row r="55" spans="1:5">
      <c r="A55" s="52" t="s">
        <v>2137</v>
      </c>
      <c r="B55" t="s">
        <v>1947</v>
      </c>
      <c r="C55" s="142">
        <v>1.44430407E-2</v>
      </c>
      <c r="D55" s="146">
        <f>-ROUND(C55*SUM('Query Paste'!$G$3:$G$1048576),0)</f>
        <v>934087</v>
      </c>
      <c r="E55" s="115">
        <f>-ROUND(C55*SUM('Query Paste PY'!$G$3:$G$1048576),0)</f>
        <v>963325</v>
      </c>
    </row>
    <row r="56" spans="1:5">
      <c r="A56" s="52" t="s">
        <v>2138</v>
      </c>
      <c r="B56" t="s">
        <v>1948</v>
      </c>
      <c r="C56" s="142">
        <v>5.1285298999999996E-3</v>
      </c>
      <c r="D56" s="146">
        <f>-ROUND(C56*SUM('Query Paste'!$G$3:$G$1048576),0)</f>
        <v>331682</v>
      </c>
      <c r="E56" s="115">
        <f>-ROUND(C56*SUM('Query Paste PY'!$G$3:$G$1048576),0)</f>
        <v>342064</v>
      </c>
    </row>
    <row r="57" spans="1:5">
      <c r="A57" s="52" t="s">
        <v>2139</v>
      </c>
      <c r="B57" t="s">
        <v>1949</v>
      </c>
      <c r="C57" s="142">
        <v>7.0080476999999997E-3</v>
      </c>
      <c r="D57" s="146">
        <f>-ROUND(C57*SUM('Query Paste'!$G$3:$G$1048576),0)</f>
        <v>453237</v>
      </c>
      <c r="E57" s="115">
        <f>-ROUND(C57*SUM('Query Paste PY'!$G$3:$G$1048576),0)</f>
        <v>467424</v>
      </c>
    </row>
    <row r="58" spans="1:5">
      <c r="A58" s="52" t="s">
        <v>2140</v>
      </c>
      <c r="B58" t="s">
        <v>1950</v>
      </c>
      <c r="C58" s="142">
        <v>3.378392E-3</v>
      </c>
      <c r="D58" s="146">
        <f>-ROUND(C58*SUM('Query Paste'!$G$3:$G$1048576),0)</f>
        <v>218494</v>
      </c>
      <c r="E58" s="115">
        <f>-ROUND(C58*SUM('Query Paste PY'!$G$3:$G$1048576),0)</f>
        <v>225333</v>
      </c>
    </row>
    <row r="59" spans="1:5">
      <c r="A59" s="52" t="s">
        <v>2141</v>
      </c>
      <c r="B59" t="s">
        <v>1951</v>
      </c>
      <c r="C59" s="142">
        <v>4.3816714000000003E-3</v>
      </c>
      <c r="D59" s="146">
        <f>-ROUND(C59*SUM('Query Paste'!$G$3:$G$1048576),0)</f>
        <v>283380</v>
      </c>
      <c r="E59" s="115">
        <f>-ROUND(C59*SUM('Query Paste PY'!$G$3:$G$1048576),0)</f>
        <v>292250</v>
      </c>
    </row>
    <row r="60" spans="1:5">
      <c r="A60" s="52" t="s">
        <v>2142</v>
      </c>
      <c r="B60" t="s">
        <v>1952</v>
      </c>
      <c r="C60" s="142">
        <v>4.5213939999999998E-4</v>
      </c>
      <c r="D60" s="146">
        <f>-ROUND(C60*SUM('Query Paste'!$G$3:$G$1048576),0)</f>
        <v>29242</v>
      </c>
      <c r="E60" s="115">
        <f>-ROUND(C60*SUM('Query Paste PY'!$G$3:$G$1048576),0)</f>
        <v>30157</v>
      </c>
    </row>
    <row r="61" spans="1:5">
      <c r="A61" s="52" t="s">
        <v>2143</v>
      </c>
      <c r="B61" t="s">
        <v>1953</v>
      </c>
      <c r="C61" s="142">
        <v>5.4487811999999998E-3</v>
      </c>
      <c r="D61" s="146">
        <f>-ROUND(C61*SUM('Query Paste'!$G$3:$G$1048576),0)</f>
        <v>352394</v>
      </c>
      <c r="E61" s="115">
        <f>-ROUND(C61*SUM('Query Paste PY'!$G$3:$G$1048576),0)</f>
        <v>363424</v>
      </c>
    </row>
    <row r="62" spans="1:5">
      <c r="A62" s="52" t="s">
        <v>2144</v>
      </c>
      <c r="B62" t="s">
        <v>1954</v>
      </c>
      <c r="C62" s="142">
        <v>3.1283400999999999E-3</v>
      </c>
      <c r="D62" s="146">
        <f>-ROUND(C62*SUM('Query Paste'!$G$3:$G$1048576),0)</f>
        <v>202322</v>
      </c>
      <c r="E62" s="115">
        <f>-ROUND(C62*SUM('Query Paste PY'!$G$3:$G$1048576),0)</f>
        <v>208655</v>
      </c>
    </row>
    <row r="63" spans="1:5">
      <c r="A63" s="52" t="s">
        <v>2145</v>
      </c>
      <c r="B63" t="s">
        <v>1955</v>
      </c>
      <c r="C63" s="142">
        <v>1.3514581999999999E-3</v>
      </c>
      <c r="D63" s="146">
        <f>-ROUND(C63*SUM('Query Paste'!$G$3:$G$1048576),0)</f>
        <v>87404</v>
      </c>
      <c r="E63" s="115">
        <f>-ROUND(C63*SUM('Query Paste PY'!$G$3:$G$1048576),0)</f>
        <v>90140</v>
      </c>
    </row>
    <row r="64" spans="1:5">
      <c r="A64" s="52" t="s">
        <v>2146</v>
      </c>
      <c r="B64" t="s">
        <v>1956</v>
      </c>
      <c r="C64" s="142">
        <v>2.4132982E-3</v>
      </c>
      <c r="D64" s="146">
        <f>-ROUND(C64*SUM('Query Paste'!$G$3:$G$1048576),0)</f>
        <v>156077</v>
      </c>
      <c r="E64" s="115">
        <f>-ROUND(C64*SUM('Query Paste PY'!$G$3:$G$1048576),0)</f>
        <v>160963</v>
      </c>
    </row>
    <row r="65" spans="1:5">
      <c r="A65" s="52" t="s">
        <v>2147</v>
      </c>
      <c r="B65" t="s">
        <v>1957</v>
      </c>
      <c r="C65" s="142">
        <v>2.6339289000000001E-3</v>
      </c>
      <c r="D65" s="146">
        <f>-ROUND(C65*SUM('Query Paste'!$G$3:$G$1048576),0)</f>
        <v>170346</v>
      </c>
      <c r="E65" s="115">
        <f>-ROUND(C65*SUM('Query Paste PY'!$G$3:$G$1048576),0)</f>
        <v>175678</v>
      </c>
    </row>
    <row r="66" spans="1:5">
      <c r="A66" s="52" t="s">
        <v>2148</v>
      </c>
      <c r="B66" t="s">
        <v>1958</v>
      </c>
      <c r="C66" s="142">
        <v>2.8997594500000001E-2</v>
      </c>
      <c r="D66" s="146">
        <f>-ROUND(C66*SUM('Query Paste'!$G$3:$G$1048576),0)</f>
        <v>1875386</v>
      </c>
      <c r="E66" s="115">
        <f>-ROUND(C66*SUM('Query Paste PY'!$G$3:$G$1048576),0)</f>
        <v>1934088</v>
      </c>
    </row>
    <row r="67" spans="1:5">
      <c r="A67" s="52" t="s">
        <v>2149</v>
      </c>
      <c r="B67" t="s">
        <v>1959</v>
      </c>
      <c r="C67" s="142">
        <v>4.6600736E-3</v>
      </c>
      <c r="D67" s="146">
        <f>-ROUND(C67*SUM('Query Paste'!$G$3:$G$1048576),0)</f>
        <v>301385</v>
      </c>
      <c r="E67" s="115">
        <f>-ROUND(C67*SUM('Query Paste PY'!$G$3:$G$1048576),0)</f>
        <v>310819</v>
      </c>
    </row>
    <row r="68" spans="1:5">
      <c r="A68" s="52" t="s">
        <v>2150</v>
      </c>
      <c r="B68" t="s">
        <v>1960</v>
      </c>
      <c r="C68" s="142">
        <v>3.6455216999999999E-3</v>
      </c>
      <c r="D68" s="146">
        <f>-ROUND(C68*SUM('Query Paste'!$G$3:$G$1048576),0)</f>
        <v>235770</v>
      </c>
      <c r="E68" s="115">
        <f>-ROUND(C68*SUM('Query Paste PY'!$G$3:$G$1048576),0)</f>
        <v>243150</v>
      </c>
    </row>
    <row r="69" spans="1:5">
      <c r="A69" s="52" t="s">
        <v>2151</v>
      </c>
      <c r="B69" t="s">
        <v>1961</v>
      </c>
      <c r="C69" s="142">
        <v>3.6212294999999999E-3</v>
      </c>
      <c r="D69" s="146">
        <f>-ROUND(C69*SUM('Query Paste'!$G$3:$G$1048576),0)</f>
        <v>234199</v>
      </c>
      <c r="E69" s="115">
        <f>-ROUND(C69*SUM('Query Paste PY'!$G$3:$G$1048576),0)</f>
        <v>241530</v>
      </c>
    </row>
    <row r="70" spans="1:5">
      <c r="A70" s="52" t="s">
        <v>2152</v>
      </c>
      <c r="B70" t="s">
        <v>1962</v>
      </c>
      <c r="C70" s="142">
        <v>4.1463582000000002E-3</v>
      </c>
      <c r="D70" s="146">
        <f>-ROUND(C70*SUM('Query Paste'!$G$3:$G$1048576),0)</f>
        <v>268161</v>
      </c>
      <c r="E70" s="115">
        <f>-ROUND(C70*SUM('Query Paste PY'!$G$3:$G$1048576),0)</f>
        <v>276555</v>
      </c>
    </row>
    <row r="71" spans="1:5">
      <c r="A71" s="52" t="s">
        <v>2153</v>
      </c>
      <c r="B71" t="s">
        <v>1963</v>
      </c>
      <c r="C71" s="142">
        <v>2.4364912999999999E-3</v>
      </c>
      <c r="D71" s="146">
        <f>-ROUND(C71*SUM('Query Paste'!$G$3:$G$1048576),0)</f>
        <v>157577</v>
      </c>
      <c r="E71" s="115">
        <f>-ROUND(C71*SUM('Query Paste PY'!$G$3:$G$1048576),0)</f>
        <v>162510</v>
      </c>
    </row>
    <row r="72" spans="1:5">
      <c r="A72" s="52" t="s">
        <v>2154</v>
      </c>
      <c r="B72" t="s">
        <v>1964</v>
      </c>
      <c r="C72" s="142">
        <v>2.0066996E-3</v>
      </c>
      <c r="D72" s="146">
        <f>-ROUND(C72*SUM('Query Paste'!$G$3:$G$1048576),0)</f>
        <v>129781</v>
      </c>
      <c r="E72" s="115">
        <f>-ROUND(C72*SUM('Query Paste PY'!$G$3:$G$1048576),0)</f>
        <v>133843</v>
      </c>
    </row>
    <row r="73" spans="1:5">
      <c r="A73" s="52" t="s">
        <v>2155</v>
      </c>
      <c r="B73" t="s">
        <v>1965</v>
      </c>
      <c r="C73" s="142">
        <v>5.1725968300000001E-2</v>
      </c>
      <c r="D73" s="146">
        <f>-ROUND(C73*SUM('Query Paste'!$G$3:$G$1048576),0)</f>
        <v>3345317</v>
      </c>
      <c r="E73" s="115">
        <f>-ROUND(C73*SUM('Query Paste PY'!$G$3:$G$1048576),0)</f>
        <v>3450030</v>
      </c>
    </row>
    <row r="74" spans="1:5">
      <c r="A74" s="52" t="s">
        <v>2156</v>
      </c>
      <c r="B74" t="s">
        <v>1966</v>
      </c>
      <c r="C74" s="142">
        <v>1.3076082999999999E-3</v>
      </c>
      <c r="D74" s="146">
        <f>-ROUND(C74*SUM('Query Paste'!$G$3:$G$1048576),0)</f>
        <v>84568</v>
      </c>
      <c r="E74" s="115">
        <f>-ROUND(C74*SUM('Query Paste PY'!$G$3:$G$1048576),0)</f>
        <v>87215</v>
      </c>
    </row>
    <row r="75" spans="1:5">
      <c r="A75" s="52" t="s">
        <v>2157</v>
      </c>
      <c r="B75" t="s">
        <v>1967</v>
      </c>
      <c r="C75" s="142">
        <v>5.9514212999999998E-3</v>
      </c>
      <c r="D75" s="146">
        <f>-ROUND(C75*SUM('Query Paste'!$G$3:$G$1048576),0)</f>
        <v>384901</v>
      </c>
      <c r="E75" s="115">
        <f>-ROUND(C75*SUM('Query Paste PY'!$G$3:$G$1048576),0)</f>
        <v>396949</v>
      </c>
    </row>
    <row r="76" spans="1:5">
      <c r="A76" s="52" t="s">
        <v>2158</v>
      </c>
      <c r="B76" t="s">
        <v>1968</v>
      </c>
      <c r="C76" s="142">
        <v>4.3169391000000001E-3</v>
      </c>
      <c r="D76" s="146">
        <f>-ROUND(C76*SUM('Query Paste'!$G$3:$G$1048576),0)</f>
        <v>279193</v>
      </c>
      <c r="E76" s="115">
        <f>-ROUND(C76*SUM('Query Paste PY'!$G$3:$G$1048576),0)</f>
        <v>287932</v>
      </c>
    </row>
    <row r="77" spans="1:5">
      <c r="A77" s="52" t="s">
        <v>2159</v>
      </c>
      <c r="B77" t="s">
        <v>1969</v>
      </c>
      <c r="C77" s="142">
        <v>1.9970897999999999E-3</v>
      </c>
      <c r="D77" s="146">
        <f>-ROUND(C77*SUM('Query Paste'!$G$3:$G$1048576),0)</f>
        <v>129159</v>
      </c>
      <c r="E77" s="115">
        <f>-ROUND(C77*SUM('Query Paste PY'!$G$3:$G$1048576),0)</f>
        <v>133202</v>
      </c>
    </row>
    <row r="78" spans="1:5">
      <c r="A78" s="52" t="s">
        <v>2160</v>
      </c>
      <c r="B78" t="s">
        <v>1970</v>
      </c>
      <c r="C78" s="142">
        <v>4.4079080999999999E-3</v>
      </c>
      <c r="D78" s="146">
        <f>-ROUND(C78*SUM('Query Paste'!$G$3:$G$1048576),0)</f>
        <v>285076</v>
      </c>
      <c r="E78" s="115">
        <f>-ROUND(C78*SUM('Query Paste PY'!$G$3:$G$1048576),0)</f>
        <v>294000</v>
      </c>
    </row>
    <row r="79" spans="1:5">
      <c r="A79" s="52" t="s">
        <v>2161</v>
      </c>
      <c r="B79" t="s">
        <v>1971</v>
      </c>
      <c r="C79" s="142">
        <v>2.7616461E-3</v>
      </c>
      <c r="D79" s="146">
        <f>-ROUND(C79*SUM('Query Paste'!$G$3:$G$1048576),0)</f>
        <v>178606</v>
      </c>
      <c r="E79" s="115">
        <f>-ROUND(C79*SUM('Query Paste PY'!$G$3:$G$1048576),0)</f>
        <v>184197</v>
      </c>
    </row>
    <row r="80" spans="1:5">
      <c r="A80" s="52" t="s">
        <v>2162</v>
      </c>
      <c r="B80" t="s">
        <v>1972</v>
      </c>
      <c r="C80" s="142">
        <v>1.810925E-4</v>
      </c>
      <c r="D80" s="146">
        <f>-ROUND(C80*SUM('Query Paste'!$G$3:$G$1048576),0)</f>
        <v>11712</v>
      </c>
      <c r="E80" s="115">
        <f>-ROUND(C80*SUM('Query Paste PY'!$G$3:$G$1048576),0)</f>
        <v>12079</v>
      </c>
    </row>
    <row r="81" spans="1:5">
      <c r="A81" s="52" t="s">
        <v>2163</v>
      </c>
      <c r="B81" t="s">
        <v>1973</v>
      </c>
      <c r="C81" s="142">
        <v>2.0336634199999998E-2</v>
      </c>
      <c r="D81" s="146">
        <f>-ROUND(C81*SUM('Query Paste'!$G$3:$G$1048576),0)</f>
        <v>1315248</v>
      </c>
      <c r="E81" s="115">
        <f>-ROUND(C81*SUM('Query Paste PY'!$G$3:$G$1048576),0)</f>
        <v>1356417</v>
      </c>
    </row>
    <row r="82" spans="1:5">
      <c r="A82" s="52" t="s">
        <v>2164</v>
      </c>
      <c r="B82" t="s">
        <v>1974</v>
      </c>
      <c r="C82" s="142">
        <v>2.5546833E-3</v>
      </c>
      <c r="D82" s="146">
        <f>-ROUND(C82*SUM('Query Paste'!$G$3:$G$1048576),0)</f>
        <v>165221</v>
      </c>
      <c r="E82" s="115">
        <f>-ROUND(C82*SUM('Query Paste PY'!$G$3:$G$1048576),0)</f>
        <v>170393</v>
      </c>
    </row>
    <row r="83" spans="1:5">
      <c r="A83" s="52" t="s">
        <v>2165</v>
      </c>
      <c r="B83" t="s">
        <v>1975</v>
      </c>
      <c r="C83" s="142">
        <v>7.0027499999999999E-4</v>
      </c>
      <c r="D83" s="146">
        <f>-ROUND(C83*SUM('Query Paste'!$G$3:$G$1048576),0)</f>
        <v>45289</v>
      </c>
      <c r="E83" s="115">
        <f>-ROUND(C83*SUM('Query Paste PY'!$G$3:$G$1048576),0)</f>
        <v>46707</v>
      </c>
    </row>
    <row r="84" spans="1:5">
      <c r="A84" s="52" t="s">
        <v>2166</v>
      </c>
      <c r="B84" t="s">
        <v>1976</v>
      </c>
      <c r="C84" s="142">
        <v>3.7634403599999998E-2</v>
      </c>
      <c r="D84" s="146">
        <f>-ROUND(C84*SUM('Query Paste'!$G$3:$G$1048576),0)</f>
        <v>2433962</v>
      </c>
      <c r="E84" s="115">
        <f>-ROUND(C84*SUM('Query Paste PY'!$G$3:$G$1048576),0)</f>
        <v>2510148</v>
      </c>
    </row>
    <row r="85" spans="1:5">
      <c r="A85" s="52" t="s">
        <v>2167</v>
      </c>
      <c r="B85" t="s">
        <v>1977</v>
      </c>
      <c r="C85" s="142">
        <v>2.7885592E-3</v>
      </c>
      <c r="D85" s="146">
        <f>-ROUND(C85*SUM('Query Paste'!$G$3:$G$1048576),0)</f>
        <v>180347</v>
      </c>
      <c r="E85" s="115">
        <f>-ROUND(C85*SUM('Query Paste PY'!$G$3:$G$1048576),0)</f>
        <v>185992</v>
      </c>
    </row>
    <row r="86" spans="1:5">
      <c r="A86" s="52" t="s">
        <v>2168</v>
      </c>
      <c r="B86" t="s">
        <v>1978</v>
      </c>
      <c r="C86" s="142">
        <v>1.2269254699999999E-2</v>
      </c>
      <c r="D86" s="146">
        <f>-ROUND(C86*SUM('Query Paste'!$G$3:$G$1048576),0)</f>
        <v>793500</v>
      </c>
      <c r="E86" s="115">
        <f>-ROUND(C86*SUM('Query Paste PY'!$G$3:$G$1048576),0)</f>
        <v>818337</v>
      </c>
    </row>
    <row r="87" spans="1:5">
      <c r="A87" s="52" t="s">
        <v>2169</v>
      </c>
      <c r="B87" t="s">
        <v>1979</v>
      </c>
      <c r="C87" s="142">
        <v>5.3989286000000001E-3</v>
      </c>
      <c r="D87" s="146">
        <f>-ROUND(C87*SUM('Query Paste'!$G$3:$G$1048576),0)</f>
        <v>349169</v>
      </c>
      <c r="E87" s="115">
        <f>-ROUND(C87*SUM('Query Paste PY'!$G$3:$G$1048576),0)</f>
        <v>360099</v>
      </c>
    </row>
    <row r="88" spans="1:5">
      <c r="A88" s="52" t="s">
        <v>2170</v>
      </c>
      <c r="B88" t="s">
        <v>1980</v>
      </c>
      <c r="C88" s="142">
        <v>8.8474919999999996E-4</v>
      </c>
      <c r="D88" s="146">
        <f>-ROUND(C88*SUM('Query Paste'!$G$3:$G$1048576),0)</f>
        <v>57220</v>
      </c>
      <c r="E88" s="115">
        <f>-ROUND(C88*SUM('Query Paste PY'!$G$3:$G$1048576),0)</f>
        <v>59011</v>
      </c>
    </row>
    <row r="89" spans="1:5">
      <c r="A89" s="52" t="s">
        <v>2171</v>
      </c>
      <c r="B89" t="s">
        <v>1981</v>
      </c>
      <c r="C89" s="142">
        <v>4.2628874999999997E-3</v>
      </c>
      <c r="D89" s="146">
        <f>-ROUND(C89*SUM('Query Paste'!$G$3:$G$1048576),0)</f>
        <v>275697</v>
      </c>
      <c r="E89" s="115">
        <f>-ROUND(C89*SUM('Query Paste PY'!$G$3:$G$1048576),0)</f>
        <v>284327</v>
      </c>
    </row>
    <row r="90" spans="1:5">
      <c r="A90" s="52" t="s">
        <v>2172</v>
      </c>
      <c r="B90" t="s">
        <v>1982</v>
      </c>
      <c r="C90" s="142">
        <v>2.7330986E-3</v>
      </c>
      <c r="D90" s="146">
        <f>-ROUND(C90*SUM('Query Paste'!$G$3:$G$1048576),0)</f>
        <v>176760</v>
      </c>
      <c r="E90" s="115">
        <f>-ROUND(C90*SUM('Query Paste PY'!$G$3:$G$1048576),0)</f>
        <v>182293</v>
      </c>
    </row>
    <row r="91" spans="1:5">
      <c r="A91" s="52" t="s">
        <v>2173</v>
      </c>
      <c r="B91" t="s">
        <v>1983</v>
      </c>
      <c r="C91" s="142">
        <v>1.5079879799999999E-2</v>
      </c>
      <c r="D91" s="146">
        <f>-ROUND(C91*SUM('Query Paste'!$G$3:$G$1048576),0)</f>
        <v>975274</v>
      </c>
      <c r="E91" s="115">
        <f>-ROUND(C91*SUM('Query Paste PY'!$G$3:$G$1048576),0)</f>
        <v>1005801</v>
      </c>
    </row>
    <row r="92" spans="1:5">
      <c r="A92" s="52" t="s">
        <v>2174</v>
      </c>
      <c r="B92" t="s">
        <v>1984</v>
      </c>
      <c r="C92" s="142">
        <v>7.4385720999999997E-3</v>
      </c>
      <c r="D92" s="146">
        <f>-ROUND(C92*SUM('Query Paste'!$G$3:$G$1048576),0)</f>
        <v>481081</v>
      </c>
      <c r="E92" s="115">
        <f>-ROUND(C92*SUM('Query Paste PY'!$G$3:$G$1048576),0)</f>
        <v>496140</v>
      </c>
    </row>
    <row r="93" spans="1:5">
      <c r="A93" s="52" t="s">
        <v>2175</v>
      </c>
      <c r="B93" t="s">
        <v>1985</v>
      </c>
      <c r="C93" s="142">
        <v>6.8365086E-3</v>
      </c>
      <c r="D93" s="146">
        <f>-ROUND(C93*SUM('Query Paste'!$G$3:$G$1048576),0)</f>
        <v>442143</v>
      </c>
      <c r="E93" s="115">
        <f>-ROUND(C93*SUM('Query Paste PY'!$G$3:$G$1048576),0)</f>
        <v>455983</v>
      </c>
    </row>
    <row r="94" spans="1:5">
      <c r="A94" s="52" t="s">
        <v>2176</v>
      </c>
      <c r="B94" t="s">
        <v>1986</v>
      </c>
      <c r="C94" s="143">
        <v>8.3252652999999954E-3</v>
      </c>
      <c r="D94" s="146">
        <f>-ROUND(C94*SUM('Query Paste'!$G$3:$G$1048576),0)</f>
        <v>538427</v>
      </c>
      <c r="E94" s="115">
        <f>-ROUND(C94*SUM('Query Paste PY'!$G$3:$G$1048576),0)</f>
        <v>555280</v>
      </c>
    </row>
    <row r="95" spans="1:5" ht="15.75" thickBot="1">
      <c r="A95" s="251" t="s">
        <v>2003</v>
      </c>
      <c r="B95" s="252"/>
      <c r="C95" s="58">
        <f>SUM(C3:C94)</f>
        <v>1</v>
      </c>
      <c r="D95" s="148">
        <f>SUM(D3:D94)</f>
        <v>64673842</v>
      </c>
      <c r="E95" s="59">
        <f>SUM(E3:E94)</f>
        <v>66698226</v>
      </c>
    </row>
    <row r="97" spans="1:5">
      <c r="A97" s="254" t="s">
        <v>6422</v>
      </c>
      <c r="B97" s="254"/>
      <c r="C97" s="254"/>
      <c r="D97" s="254"/>
      <c r="E97" s="254"/>
    </row>
    <row r="98" spans="1:5">
      <c r="A98" s="253" t="s">
        <v>2027</v>
      </c>
      <c r="B98" s="253"/>
      <c r="C98" s="253"/>
      <c r="D98" s="253"/>
      <c r="E98" s="253"/>
    </row>
    <row r="99" spans="1:5">
      <c r="A99" s="253"/>
      <c r="B99" s="253"/>
      <c r="C99" s="253"/>
      <c r="D99" s="253"/>
      <c r="E99" s="253"/>
    </row>
  </sheetData>
  <mergeCells count="4">
    <mergeCell ref="A1:E1"/>
    <mergeCell ref="A95:B95"/>
    <mergeCell ref="A98:E99"/>
    <mergeCell ref="A97:E97"/>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pageSetUpPr fitToPage="1"/>
  </sheetPr>
  <dimension ref="A1:XFC112"/>
  <sheetViews>
    <sheetView topLeftCell="A71" zoomScaleNormal="100" workbookViewId="0">
      <selection activeCell="D92" activeCellId="11" sqref="D8:F8 D52:F52 D56:F56 D60:F60 D64:F64 D68:F68 D72:F72 D76:F76 D80:F80 D84:F84 D88:F88 D92:F92"/>
    </sheetView>
  </sheetViews>
  <sheetFormatPr defaultColWidth="0" defaultRowHeight="15" zeroHeight="1"/>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8.85546875" style="3" customWidth="1"/>
    <col min="8" max="16383" width="8.85546875" style="3" hidden="1"/>
    <col min="16384" max="16384" width="1.42578125" style="3" hidden="1"/>
  </cols>
  <sheetData>
    <row r="1" spans="1:6">
      <c r="B1" s="2" t="s">
        <v>1150</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Worksheet'!$D$52</f>
        <v>11858968</v>
      </c>
      <c r="E3" s="11"/>
      <c r="F3" s="11"/>
    </row>
    <row r="4" spans="1:6">
      <c r="A4" s="8">
        <v>0</v>
      </c>
      <c r="B4" s="11" t="s">
        <v>4</v>
      </c>
      <c r="C4" s="10">
        <v>9.2699999999999998E-4</v>
      </c>
      <c r="D4" s="12">
        <f>ROUND(D$3*C4,0)</f>
        <v>10993</v>
      </c>
      <c r="E4" s="13">
        <f>ROUND(D4/2,0)</f>
        <v>5497</v>
      </c>
      <c r="F4" s="12">
        <f>D4-E4</f>
        <v>5496</v>
      </c>
    </row>
    <row r="5" spans="1:6">
      <c r="A5" s="8">
        <v>1</v>
      </c>
      <c r="B5" s="11" t="s">
        <v>1151</v>
      </c>
      <c r="C5" s="10">
        <v>5.0327999999999998E-2</v>
      </c>
      <c r="D5" s="12">
        <f>ROUND(D$3*C5,0)</f>
        <v>596838</v>
      </c>
      <c r="E5" s="13">
        <f>ROUND(D5/2,0)</f>
        <v>298419</v>
      </c>
      <c r="F5" s="12">
        <f>D5-E5</f>
        <v>298419</v>
      </c>
    </row>
    <row r="6" spans="1:6">
      <c r="A6" s="8">
        <v>1</v>
      </c>
      <c r="B6" s="11" t="s">
        <v>1152</v>
      </c>
      <c r="C6" s="10">
        <v>0.13018299999999999</v>
      </c>
      <c r="D6" s="9">
        <f>ROUND(D$3*C6,0)</f>
        <v>1543836</v>
      </c>
      <c r="E6" s="11">
        <f>ROUND(D6/2,0)</f>
        <v>771918</v>
      </c>
      <c r="F6" s="9">
        <f>D6-E6</f>
        <v>771918</v>
      </c>
    </row>
    <row r="7" spans="1:6">
      <c r="A7" s="8"/>
      <c r="B7" s="11" t="s">
        <v>6</v>
      </c>
      <c r="C7" s="11"/>
      <c r="D7" s="14">
        <v>0.26215100000000002</v>
      </c>
      <c r="E7" s="11"/>
      <c r="F7" s="11"/>
    </row>
    <row r="8" spans="1:6">
      <c r="A8" s="8"/>
      <c r="B8" s="11" t="s">
        <v>7</v>
      </c>
      <c r="C8" s="11"/>
      <c r="D8" s="225">
        <f>ROUND(D6*D7,0)</f>
        <v>404718</v>
      </c>
      <c r="E8" s="226">
        <f>ROUND(D8/2,0)</f>
        <v>202359</v>
      </c>
      <c r="F8" s="225">
        <f>D8-E8</f>
        <v>202359</v>
      </c>
    </row>
    <row r="9" spans="1:6">
      <c r="A9" s="8"/>
      <c r="B9" s="11" t="s">
        <v>8</v>
      </c>
      <c r="C9" s="11"/>
      <c r="D9" s="12">
        <f>+D6-D8</f>
        <v>1139118</v>
      </c>
      <c r="E9" s="13">
        <f>ROUND(D9/2,0)</f>
        <v>569559</v>
      </c>
      <c r="F9" s="12">
        <f>D9-E9</f>
        <v>569559</v>
      </c>
    </row>
    <row r="10" spans="1:6">
      <c r="A10" s="8">
        <v>2</v>
      </c>
      <c r="B10" s="11" t="s">
        <v>107</v>
      </c>
      <c r="C10" s="11"/>
      <c r="D10" s="9"/>
      <c r="E10" s="11"/>
      <c r="F10" s="11"/>
    </row>
    <row r="11" spans="1:6">
      <c r="A11" s="8"/>
      <c r="B11" s="11" t="s">
        <v>10</v>
      </c>
      <c r="C11" s="10">
        <v>4.1099999999999999E-3</v>
      </c>
      <c r="D11" s="12">
        <f>ROUND(D$3*C11,0)</f>
        <v>48740</v>
      </c>
      <c r="E11" s="13">
        <f>ROUND(D11/2,0)</f>
        <v>24370</v>
      </c>
      <c r="F11" s="12">
        <f>D11-E11</f>
        <v>24370</v>
      </c>
    </row>
    <row r="12" spans="1:6">
      <c r="A12" s="8"/>
      <c r="B12" s="11" t="s">
        <v>11</v>
      </c>
      <c r="C12" s="10">
        <v>0</v>
      </c>
      <c r="D12" s="12">
        <f>ROUND(D$3*C12,0)</f>
        <v>0</v>
      </c>
      <c r="E12" s="13">
        <f>ROUND(D12/2,0)</f>
        <v>0</v>
      </c>
      <c r="F12" s="12">
        <f>D12-E12</f>
        <v>0</v>
      </c>
    </row>
    <row r="13" spans="1:6">
      <c r="A13" s="8">
        <v>2</v>
      </c>
      <c r="B13" s="11" t="s">
        <v>1153</v>
      </c>
      <c r="C13" s="11"/>
      <c r="D13" s="9"/>
      <c r="E13" s="11"/>
      <c r="F13" s="11"/>
    </row>
    <row r="14" spans="1:6">
      <c r="A14" s="8"/>
      <c r="B14" s="11" t="s">
        <v>10</v>
      </c>
      <c r="C14" s="10">
        <v>2.7500000000000002E-4</v>
      </c>
      <c r="D14" s="12">
        <f>ROUND(D$3*C14,0)</f>
        <v>3261</v>
      </c>
      <c r="E14" s="13">
        <f>ROUND(D14/2,0)</f>
        <v>1631</v>
      </c>
      <c r="F14" s="12">
        <f>D14-E14</f>
        <v>1630</v>
      </c>
    </row>
    <row r="15" spans="1:6">
      <c r="A15" s="8"/>
      <c r="B15" s="11" t="s">
        <v>11</v>
      </c>
      <c r="C15" s="10">
        <v>1.737E-3</v>
      </c>
      <c r="D15" s="12">
        <f>ROUND(D$3*C15,0)</f>
        <v>20599</v>
      </c>
      <c r="E15" s="13">
        <f>ROUND(D15/2,0)</f>
        <v>10300</v>
      </c>
      <c r="F15" s="12">
        <f>D15-E15</f>
        <v>10299</v>
      </c>
    </row>
    <row r="16" spans="1:6">
      <c r="A16" s="8">
        <v>2</v>
      </c>
      <c r="B16" s="11" t="s">
        <v>372</v>
      </c>
      <c r="C16" s="11"/>
      <c r="D16" s="9"/>
      <c r="E16" s="11"/>
      <c r="F16" s="11"/>
    </row>
    <row r="17" spans="1:6">
      <c r="A17" s="8"/>
      <c r="B17" s="11" t="s">
        <v>10</v>
      </c>
      <c r="C17" s="10">
        <v>7.1900000000000002E-4</v>
      </c>
      <c r="D17" s="12">
        <f>ROUND(D$3*C17,0)</f>
        <v>8527</v>
      </c>
      <c r="E17" s="13">
        <f>ROUND(D17/2,0)</f>
        <v>4264</v>
      </c>
      <c r="F17" s="12">
        <f>D17-E17</f>
        <v>4263</v>
      </c>
    </row>
    <row r="18" spans="1:6">
      <c r="A18" s="8"/>
      <c r="B18" s="11" t="s">
        <v>11</v>
      </c>
      <c r="C18" s="10">
        <v>1.3159999999999999E-3</v>
      </c>
      <c r="D18" s="12">
        <f>ROUND(D$3*C18,0)</f>
        <v>15606</v>
      </c>
      <c r="E18" s="13">
        <f>ROUND(D18/2,0)</f>
        <v>7803</v>
      </c>
      <c r="F18" s="12">
        <f>D18-E18</f>
        <v>7803</v>
      </c>
    </row>
    <row r="19" spans="1:6">
      <c r="A19" s="8">
        <v>2</v>
      </c>
      <c r="B19" s="11" t="s">
        <v>1154</v>
      </c>
      <c r="C19" s="11"/>
      <c r="D19" s="9"/>
      <c r="E19" s="11"/>
      <c r="F19" s="11"/>
    </row>
    <row r="20" spans="1:6">
      <c r="A20" s="8"/>
      <c r="B20" s="11" t="s">
        <v>10</v>
      </c>
      <c r="C20" s="10">
        <v>5.8600000000000004E-4</v>
      </c>
      <c r="D20" s="12">
        <f>ROUND(D$3*C20,0)</f>
        <v>6949</v>
      </c>
      <c r="E20" s="13">
        <f>ROUND(D20/2,0)</f>
        <v>3475</v>
      </c>
      <c r="F20" s="12">
        <f>D20-E20</f>
        <v>3474</v>
      </c>
    </row>
    <row r="21" spans="1:6">
      <c r="A21" s="8"/>
      <c r="B21" s="11" t="s">
        <v>11</v>
      </c>
      <c r="C21" s="10">
        <v>1.021E-3</v>
      </c>
      <c r="D21" s="12">
        <f>ROUND(D$3*C21,0)</f>
        <v>12108</v>
      </c>
      <c r="E21" s="13">
        <f>ROUND(D21/2,0)</f>
        <v>6054</v>
      </c>
      <c r="F21" s="12">
        <f>D21-E21</f>
        <v>6054</v>
      </c>
    </row>
    <row r="22" spans="1:6">
      <c r="A22" s="8">
        <v>2</v>
      </c>
      <c r="B22" s="11" t="s">
        <v>56</v>
      </c>
      <c r="C22" s="11"/>
      <c r="D22" s="9"/>
      <c r="E22" s="11"/>
      <c r="F22" s="11"/>
    </row>
    <row r="23" spans="1:6">
      <c r="A23" s="8"/>
      <c r="B23" s="11" t="s">
        <v>10</v>
      </c>
      <c r="C23" s="10">
        <v>2.1210000000000001E-3</v>
      </c>
      <c r="D23" s="12">
        <f>ROUND(D$3*C23,0)</f>
        <v>25153</v>
      </c>
      <c r="E23" s="13">
        <f>ROUND(D23/2,0)</f>
        <v>12577</v>
      </c>
      <c r="F23" s="12">
        <f>D23-E23</f>
        <v>12576</v>
      </c>
    </row>
    <row r="24" spans="1:6">
      <c r="A24" s="8"/>
      <c r="B24" s="11" t="s">
        <v>11</v>
      </c>
      <c r="C24" s="10">
        <v>7.842E-3</v>
      </c>
      <c r="D24" s="12">
        <f>ROUND(D$3*C24,0)</f>
        <v>92998</v>
      </c>
      <c r="E24" s="13">
        <f>ROUND(D24/2,0)</f>
        <v>46499</v>
      </c>
      <c r="F24" s="12">
        <f>D24-E24</f>
        <v>46499</v>
      </c>
    </row>
    <row r="25" spans="1:6">
      <c r="A25" s="8">
        <v>2</v>
      </c>
      <c r="B25" s="11" t="s">
        <v>858</v>
      </c>
      <c r="C25" s="11"/>
      <c r="D25" s="9"/>
      <c r="E25" s="11"/>
      <c r="F25" s="11"/>
    </row>
    <row r="26" spans="1:6">
      <c r="A26" s="8"/>
      <c r="B26" s="11" t="s">
        <v>10</v>
      </c>
      <c r="C26" s="10">
        <v>7.5100000000000004E-4</v>
      </c>
      <c r="D26" s="12">
        <f>ROUND(D$3*C26,0)</f>
        <v>8906</v>
      </c>
      <c r="E26" s="13">
        <f>ROUND(D26/2,0)</f>
        <v>4453</v>
      </c>
      <c r="F26" s="12">
        <f>D26-E26</f>
        <v>4453</v>
      </c>
    </row>
    <row r="27" spans="1:6">
      <c r="A27" s="8"/>
      <c r="B27" s="11" t="s">
        <v>11</v>
      </c>
      <c r="C27" s="10">
        <v>9.2280000000000001E-3</v>
      </c>
      <c r="D27" s="12">
        <f>ROUND(D$3*C27,0)</f>
        <v>109435</v>
      </c>
      <c r="E27" s="13">
        <f>ROUND(D27/2,0)</f>
        <v>54718</v>
      </c>
      <c r="F27" s="12">
        <f>D27-E27</f>
        <v>54717</v>
      </c>
    </row>
    <row r="28" spans="1:6">
      <c r="A28" s="8">
        <v>2</v>
      </c>
      <c r="B28" s="11" t="s">
        <v>272</v>
      </c>
      <c r="C28" s="11"/>
      <c r="D28" s="9"/>
      <c r="E28" s="11"/>
      <c r="F28" s="11"/>
    </row>
    <row r="29" spans="1:6">
      <c r="A29" s="8"/>
      <c r="B29" s="11" t="s">
        <v>10</v>
      </c>
      <c r="C29" s="10">
        <v>3.3379999999999998E-3</v>
      </c>
      <c r="D29" s="12">
        <f>ROUND(D$3*C29,0)</f>
        <v>39585</v>
      </c>
      <c r="E29" s="13">
        <f>ROUND(D29/2,0)</f>
        <v>19793</v>
      </c>
      <c r="F29" s="12">
        <f>D29-E29</f>
        <v>19792</v>
      </c>
    </row>
    <row r="30" spans="1:6">
      <c r="A30" s="8"/>
      <c r="B30" s="11" t="s">
        <v>11</v>
      </c>
      <c r="C30" s="10">
        <v>7.6920000000000001E-3</v>
      </c>
      <c r="D30" s="12">
        <f>ROUND(D$3*C30,0)</f>
        <v>91219</v>
      </c>
      <c r="E30" s="13">
        <f>ROUND(D30/2,0)</f>
        <v>45610</v>
      </c>
      <c r="F30" s="12">
        <f>D30-E30</f>
        <v>45609</v>
      </c>
    </row>
    <row r="31" spans="1:6">
      <c r="A31" s="8">
        <v>2</v>
      </c>
      <c r="B31" s="11" t="s">
        <v>22</v>
      </c>
      <c r="C31" s="11"/>
      <c r="D31" s="9"/>
      <c r="E31" s="11"/>
      <c r="F31" s="11"/>
    </row>
    <row r="32" spans="1:6">
      <c r="A32" s="8"/>
      <c r="B32" s="11" t="s">
        <v>10</v>
      </c>
      <c r="C32" s="10">
        <v>2.81E-4</v>
      </c>
      <c r="D32" s="12">
        <f>ROUND(D$3*C32,0)</f>
        <v>3332</v>
      </c>
      <c r="E32" s="13">
        <f>ROUND(D32/2,0)</f>
        <v>1666</v>
      </c>
      <c r="F32" s="12">
        <f>D32-E32</f>
        <v>1666</v>
      </c>
    </row>
    <row r="33" spans="1:6">
      <c r="A33" s="8"/>
      <c r="B33" s="11" t="s">
        <v>11</v>
      </c>
      <c r="C33" s="10">
        <v>7.0399999999999998E-4</v>
      </c>
      <c r="D33" s="12">
        <f>ROUND(D$3*C33,0)</f>
        <v>8349</v>
      </c>
      <c r="E33" s="13">
        <f>ROUND(D33/2,0)</f>
        <v>4175</v>
      </c>
      <c r="F33" s="12">
        <f>D33-E33</f>
        <v>4174</v>
      </c>
    </row>
    <row r="34" spans="1:6">
      <c r="A34" s="8">
        <v>2</v>
      </c>
      <c r="B34" s="11" t="s">
        <v>61</v>
      </c>
      <c r="C34" s="11"/>
      <c r="D34" s="9"/>
      <c r="E34" s="11"/>
      <c r="F34" s="11"/>
    </row>
    <row r="35" spans="1:6">
      <c r="A35" s="8"/>
      <c r="B35" s="11" t="s">
        <v>10</v>
      </c>
      <c r="C35" s="10">
        <v>6.6800000000000002E-3</v>
      </c>
      <c r="D35" s="12">
        <f t="shared" ref="D35:D50" si="0">ROUND(D$3*C35,0)</f>
        <v>79218</v>
      </c>
      <c r="E35" s="13">
        <f t="shared" ref="E35:E50" si="1">ROUND(D35/2,0)</f>
        <v>39609</v>
      </c>
      <c r="F35" s="12">
        <f t="shared" ref="F35:F50" si="2">D35-E35</f>
        <v>39609</v>
      </c>
    </row>
    <row r="36" spans="1:6">
      <c r="A36" s="8"/>
      <c r="B36" s="11" t="s">
        <v>11</v>
      </c>
      <c r="C36" s="10">
        <v>1.586E-3</v>
      </c>
      <c r="D36" s="12">
        <f t="shared" si="0"/>
        <v>18808</v>
      </c>
      <c r="E36" s="13">
        <f t="shared" si="1"/>
        <v>9404</v>
      </c>
      <c r="F36" s="12">
        <f t="shared" si="2"/>
        <v>9404</v>
      </c>
    </row>
    <row r="37" spans="1:6">
      <c r="A37" s="8">
        <v>3</v>
      </c>
      <c r="B37" s="11" t="s">
        <v>1155</v>
      </c>
      <c r="C37" s="10">
        <v>2.5279999999999999E-3</v>
      </c>
      <c r="D37" s="12">
        <f t="shared" si="0"/>
        <v>29979</v>
      </c>
      <c r="E37" s="13">
        <f t="shared" si="1"/>
        <v>14990</v>
      </c>
      <c r="F37" s="12">
        <f t="shared" si="2"/>
        <v>14989</v>
      </c>
    </row>
    <row r="38" spans="1:6">
      <c r="A38" s="8">
        <v>3</v>
      </c>
      <c r="B38" s="11" t="s">
        <v>1156</v>
      </c>
      <c r="C38" s="10">
        <v>1.614E-3</v>
      </c>
      <c r="D38" s="12">
        <f t="shared" si="0"/>
        <v>19140</v>
      </c>
      <c r="E38" s="13">
        <f t="shared" si="1"/>
        <v>9570</v>
      </c>
      <c r="F38" s="12">
        <f t="shared" si="2"/>
        <v>9570</v>
      </c>
    </row>
    <row r="39" spans="1:6">
      <c r="A39" s="8">
        <v>3</v>
      </c>
      <c r="B39" s="11" t="s">
        <v>674</v>
      </c>
      <c r="C39" s="10">
        <v>2.2699999999999999E-4</v>
      </c>
      <c r="D39" s="12">
        <f t="shared" si="0"/>
        <v>2692</v>
      </c>
      <c r="E39" s="13">
        <f t="shared" si="1"/>
        <v>1346</v>
      </c>
      <c r="F39" s="12">
        <f t="shared" si="2"/>
        <v>1346</v>
      </c>
    </row>
    <row r="40" spans="1:6">
      <c r="A40" s="8">
        <v>3</v>
      </c>
      <c r="B40" s="11" t="s">
        <v>1157</v>
      </c>
      <c r="C40" s="10">
        <v>1.1E-5</v>
      </c>
      <c r="D40" s="12">
        <f t="shared" si="0"/>
        <v>130</v>
      </c>
      <c r="E40" s="13">
        <f t="shared" si="1"/>
        <v>65</v>
      </c>
      <c r="F40" s="12">
        <f t="shared" si="2"/>
        <v>65</v>
      </c>
    </row>
    <row r="41" spans="1:6">
      <c r="A41" s="8">
        <v>3</v>
      </c>
      <c r="B41" s="11" t="s">
        <v>1158</v>
      </c>
      <c r="C41" s="10">
        <v>2.2447000000000002E-2</v>
      </c>
      <c r="D41" s="12">
        <f t="shared" si="0"/>
        <v>266198</v>
      </c>
      <c r="E41" s="13">
        <f t="shared" si="1"/>
        <v>133099</v>
      </c>
      <c r="F41" s="12">
        <f t="shared" si="2"/>
        <v>133099</v>
      </c>
    </row>
    <row r="42" spans="1:6">
      <c r="A42" s="8">
        <v>3</v>
      </c>
      <c r="B42" s="11" t="s">
        <v>1159</v>
      </c>
      <c r="C42" s="10">
        <v>3.7929999999999999E-3</v>
      </c>
      <c r="D42" s="12">
        <f t="shared" si="0"/>
        <v>44981</v>
      </c>
      <c r="E42" s="13">
        <f t="shared" si="1"/>
        <v>22491</v>
      </c>
      <c r="F42" s="12">
        <f t="shared" si="2"/>
        <v>22490</v>
      </c>
    </row>
    <row r="43" spans="1:6">
      <c r="A43" s="8">
        <v>3</v>
      </c>
      <c r="B43" s="11" t="s">
        <v>1160</v>
      </c>
      <c r="C43" s="10">
        <v>2.3E-5</v>
      </c>
      <c r="D43" s="12">
        <f t="shared" si="0"/>
        <v>273</v>
      </c>
      <c r="E43" s="13">
        <f t="shared" si="1"/>
        <v>137</v>
      </c>
      <c r="F43" s="12">
        <f t="shared" si="2"/>
        <v>136</v>
      </c>
    </row>
    <row r="44" spans="1:6">
      <c r="A44" s="8">
        <v>3</v>
      </c>
      <c r="B44" s="11" t="s">
        <v>1161</v>
      </c>
      <c r="C44" s="10">
        <v>0</v>
      </c>
      <c r="D44" s="12">
        <f t="shared" si="0"/>
        <v>0</v>
      </c>
      <c r="E44" s="13">
        <f t="shared" si="1"/>
        <v>0</v>
      </c>
      <c r="F44" s="12">
        <f t="shared" si="2"/>
        <v>0</v>
      </c>
    </row>
    <row r="45" spans="1:6">
      <c r="A45" s="8">
        <v>3</v>
      </c>
      <c r="B45" s="11" t="s">
        <v>1162</v>
      </c>
      <c r="C45" s="10">
        <v>7.2000000000000002E-5</v>
      </c>
      <c r="D45" s="12">
        <f t="shared" si="0"/>
        <v>854</v>
      </c>
      <c r="E45" s="13">
        <f t="shared" si="1"/>
        <v>427</v>
      </c>
      <c r="F45" s="12">
        <f t="shared" si="2"/>
        <v>427</v>
      </c>
    </row>
    <row r="46" spans="1:6">
      <c r="A46" s="8">
        <v>3</v>
      </c>
      <c r="B46" s="11" t="s">
        <v>1163</v>
      </c>
      <c r="C46" s="10">
        <v>3.594E-3</v>
      </c>
      <c r="D46" s="12">
        <f t="shared" si="0"/>
        <v>42621</v>
      </c>
      <c r="E46" s="13">
        <f t="shared" si="1"/>
        <v>21311</v>
      </c>
      <c r="F46" s="12">
        <f t="shared" si="2"/>
        <v>21310</v>
      </c>
    </row>
    <row r="47" spans="1:6">
      <c r="A47" s="8">
        <v>3</v>
      </c>
      <c r="B47" s="11" t="s">
        <v>1164</v>
      </c>
      <c r="C47" s="10">
        <v>0</v>
      </c>
      <c r="D47" s="12">
        <f t="shared" si="0"/>
        <v>0</v>
      </c>
      <c r="E47" s="13">
        <f t="shared" si="1"/>
        <v>0</v>
      </c>
      <c r="F47" s="12">
        <f t="shared" si="2"/>
        <v>0</v>
      </c>
    </row>
    <row r="48" spans="1:6">
      <c r="A48" s="8">
        <v>3</v>
      </c>
      <c r="B48" s="11" t="s">
        <v>1165</v>
      </c>
      <c r="C48" s="10">
        <v>0</v>
      </c>
      <c r="D48" s="12">
        <f t="shared" si="0"/>
        <v>0</v>
      </c>
      <c r="E48" s="13">
        <f t="shared" si="1"/>
        <v>0</v>
      </c>
      <c r="F48" s="12">
        <f t="shared" si="2"/>
        <v>0</v>
      </c>
    </row>
    <row r="49" spans="1:6">
      <c r="A49" s="8">
        <v>3</v>
      </c>
      <c r="B49" s="11" t="s">
        <v>1166</v>
      </c>
      <c r="C49" s="10">
        <v>0</v>
      </c>
      <c r="D49" s="12">
        <f t="shared" si="0"/>
        <v>0</v>
      </c>
      <c r="E49" s="13">
        <f t="shared" si="1"/>
        <v>0</v>
      </c>
      <c r="F49" s="12">
        <f t="shared" si="2"/>
        <v>0</v>
      </c>
    </row>
    <row r="50" spans="1:6">
      <c r="A50" s="8">
        <v>4</v>
      </c>
      <c r="B50" s="11" t="s">
        <v>1167</v>
      </c>
      <c r="C50" s="10">
        <v>3.9589999999999998E-3</v>
      </c>
      <c r="D50" s="9">
        <f t="shared" si="0"/>
        <v>46950</v>
      </c>
      <c r="E50" s="11">
        <f t="shared" si="1"/>
        <v>23475</v>
      </c>
      <c r="F50" s="9">
        <f t="shared" si="2"/>
        <v>23475</v>
      </c>
    </row>
    <row r="51" spans="1:6">
      <c r="A51" s="8"/>
      <c r="B51" s="11" t="s">
        <v>28</v>
      </c>
      <c r="C51" s="11"/>
      <c r="D51" s="14">
        <v>0.35447499999999998</v>
      </c>
      <c r="E51" s="11"/>
      <c r="F51" s="11"/>
    </row>
    <row r="52" spans="1:6">
      <c r="A52" s="8"/>
      <c r="B52" s="11" t="s">
        <v>29</v>
      </c>
      <c r="C52" s="11"/>
      <c r="D52" s="225">
        <f>ROUND(D50*D51,0)</f>
        <v>16643</v>
      </c>
      <c r="E52" s="226">
        <f>ROUND(D52/2,0)</f>
        <v>8322</v>
      </c>
      <c r="F52" s="225">
        <f>D52-E52</f>
        <v>8321</v>
      </c>
    </row>
    <row r="53" spans="1:6">
      <c r="A53" s="8"/>
      <c r="B53" s="11" t="s">
        <v>30</v>
      </c>
      <c r="C53" s="11"/>
      <c r="D53" s="12">
        <f>+D50-D52</f>
        <v>30307</v>
      </c>
      <c r="E53" s="13">
        <f>ROUND(D53/2,0)</f>
        <v>15154</v>
      </c>
      <c r="F53" s="12">
        <f>D53-E53</f>
        <v>15153</v>
      </c>
    </row>
    <row r="54" spans="1:6">
      <c r="A54" s="8">
        <v>4</v>
      </c>
      <c r="B54" s="11" t="s">
        <v>1168</v>
      </c>
      <c r="C54" s="10">
        <v>1.2227E-2</v>
      </c>
      <c r="D54" s="9">
        <f>ROUND(D$3*C54,0)</f>
        <v>145000</v>
      </c>
      <c r="E54" s="11">
        <f>ROUND(D54/2,0)</f>
        <v>72500</v>
      </c>
      <c r="F54" s="9">
        <f>D54-E54</f>
        <v>72500</v>
      </c>
    </row>
    <row r="55" spans="1:6">
      <c r="A55" s="8"/>
      <c r="B55" s="11" t="s">
        <v>28</v>
      </c>
      <c r="C55" s="11"/>
      <c r="D55" s="14">
        <v>0.36462800000000001</v>
      </c>
      <c r="E55" s="11"/>
      <c r="F55" s="11"/>
    </row>
    <row r="56" spans="1:6">
      <c r="A56" s="8"/>
      <c r="B56" s="11" t="s">
        <v>29</v>
      </c>
      <c r="C56" s="11"/>
      <c r="D56" s="225">
        <f>ROUND(D54*D55,0)</f>
        <v>52871</v>
      </c>
      <c r="E56" s="226">
        <f>ROUND(D56/2,0)</f>
        <v>26436</v>
      </c>
      <c r="F56" s="225">
        <f>D56-E56</f>
        <v>26435</v>
      </c>
    </row>
    <row r="57" spans="1:6">
      <c r="A57" s="8"/>
      <c r="B57" s="11" t="s">
        <v>30</v>
      </c>
      <c r="C57" s="11"/>
      <c r="D57" s="12">
        <f>+D54-D56</f>
        <v>92129</v>
      </c>
      <c r="E57" s="13">
        <f>ROUND(D57/2,0)</f>
        <v>46065</v>
      </c>
      <c r="F57" s="12">
        <f>D57-E57</f>
        <v>46064</v>
      </c>
    </row>
    <row r="58" spans="1:6">
      <c r="A58" s="8">
        <v>4</v>
      </c>
      <c r="B58" s="11" t="s">
        <v>1169</v>
      </c>
      <c r="C58" s="10">
        <v>0.162608</v>
      </c>
      <c r="D58" s="9">
        <f>ROUND(D$3*C58,0)</f>
        <v>1928363</v>
      </c>
      <c r="E58" s="11">
        <f>ROUND(D58/2,0)</f>
        <v>964182</v>
      </c>
      <c r="F58" s="9">
        <f>D58-E58</f>
        <v>964181</v>
      </c>
    </row>
    <row r="59" spans="1:6">
      <c r="A59" s="8"/>
      <c r="B59" s="11" t="s">
        <v>28</v>
      </c>
      <c r="C59" s="11"/>
      <c r="D59" s="14">
        <v>0.45038299999999998</v>
      </c>
      <c r="E59" s="11"/>
      <c r="F59" s="11"/>
    </row>
    <row r="60" spans="1:6">
      <c r="A60" s="8"/>
      <c r="B60" s="11" t="s">
        <v>29</v>
      </c>
      <c r="C60" s="11"/>
      <c r="D60" s="225">
        <f>ROUND(D58*D59,0)</f>
        <v>868502</v>
      </c>
      <c r="E60" s="226">
        <f>ROUND(D60/2,0)</f>
        <v>434251</v>
      </c>
      <c r="F60" s="225">
        <f>D60-E60</f>
        <v>434251</v>
      </c>
    </row>
    <row r="61" spans="1:6">
      <c r="A61" s="8"/>
      <c r="B61" s="11" t="s">
        <v>30</v>
      </c>
      <c r="C61" s="11"/>
      <c r="D61" s="12">
        <f>+D58-D60</f>
        <v>1059861</v>
      </c>
      <c r="E61" s="13">
        <f>ROUND(D61/2,0)</f>
        <v>529931</v>
      </c>
      <c r="F61" s="12">
        <f>D61-E61</f>
        <v>529930</v>
      </c>
    </row>
    <row r="62" spans="1:6">
      <c r="A62" s="8">
        <v>4</v>
      </c>
      <c r="B62" s="11" t="s">
        <v>1170</v>
      </c>
      <c r="C62" s="10">
        <v>2.7144999999999999E-2</v>
      </c>
      <c r="D62" s="9">
        <f>ROUND(D$3*C62,0)</f>
        <v>321912</v>
      </c>
      <c r="E62" s="11">
        <f>ROUND(D62/2,0)</f>
        <v>160956</v>
      </c>
      <c r="F62" s="9">
        <f>D62-E62</f>
        <v>160956</v>
      </c>
    </row>
    <row r="63" spans="1:6">
      <c r="A63" s="8"/>
      <c r="B63" s="11" t="s">
        <v>28</v>
      </c>
      <c r="C63" s="11"/>
      <c r="D63" s="14">
        <v>0.349024</v>
      </c>
      <c r="E63" s="11"/>
      <c r="F63" s="11"/>
    </row>
    <row r="64" spans="1:6">
      <c r="A64" s="8"/>
      <c r="B64" s="11" t="s">
        <v>29</v>
      </c>
      <c r="C64" s="11"/>
      <c r="D64" s="225">
        <f>ROUND(D62*D63,0)</f>
        <v>112355</v>
      </c>
      <c r="E64" s="226">
        <f>ROUND(D64/2,0)</f>
        <v>56178</v>
      </c>
      <c r="F64" s="225">
        <f>D64-E64</f>
        <v>56177</v>
      </c>
    </row>
    <row r="65" spans="1:6">
      <c r="A65" s="8"/>
      <c r="B65" s="11" t="s">
        <v>30</v>
      </c>
      <c r="C65" s="11"/>
      <c r="D65" s="12">
        <f>+D62-D64</f>
        <v>209557</v>
      </c>
      <c r="E65" s="13">
        <f>ROUND(D65/2,0)</f>
        <v>104779</v>
      </c>
      <c r="F65" s="12">
        <f>D65-E65</f>
        <v>104778</v>
      </c>
    </row>
    <row r="66" spans="1:6">
      <c r="A66" s="8">
        <v>4</v>
      </c>
      <c r="B66" s="11" t="s">
        <v>1171</v>
      </c>
      <c r="C66" s="10">
        <v>2.0358000000000001E-2</v>
      </c>
      <c r="D66" s="9">
        <f>ROUND(D$3*C66,0)</f>
        <v>241425</v>
      </c>
      <c r="E66" s="11">
        <f>ROUND(D66/2,0)</f>
        <v>120713</v>
      </c>
      <c r="F66" s="9">
        <f>D66-E66</f>
        <v>120712</v>
      </c>
    </row>
    <row r="67" spans="1:6">
      <c r="A67" s="8"/>
      <c r="B67" s="11" t="s">
        <v>28</v>
      </c>
      <c r="C67" s="11"/>
      <c r="D67" s="14">
        <v>0.44681100000000001</v>
      </c>
      <c r="E67" s="11"/>
      <c r="F67" s="11"/>
    </row>
    <row r="68" spans="1:6">
      <c r="A68" s="8"/>
      <c r="B68" s="11" t="s">
        <v>29</v>
      </c>
      <c r="C68" s="11"/>
      <c r="D68" s="225">
        <f>ROUND(D66*D67,0)</f>
        <v>107871</v>
      </c>
      <c r="E68" s="226">
        <f>ROUND(D68/2,0)</f>
        <v>53936</v>
      </c>
      <c r="F68" s="225">
        <f>D68-E68</f>
        <v>53935</v>
      </c>
    </row>
    <row r="69" spans="1:6">
      <c r="A69" s="8"/>
      <c r="B69" s="11" t="s">
        <v>30</v>
      </c>
      <c r="C69" s="11"/>
      <c r="D69" s="12">
        <f>+D66-D68</f>
        <v>133554</v>
      </c>
      <c r="E69" s="13">
        <f>ROUND(D69/2,0)</f>
        <v>66777</v>
      </c>
      <c r="F69" s="12">
        <f>D69-E69</f>
        <v>66777</v>
      </c>
    </row>
    <row r="70" spans="1:6">
      <c r="A70" s="8">
        <v>4</v>
      </c>
      <c r="B70" s="11" t="s">
        <v>1172</v>
      </c>
      <c r="C70" s="10">
        <v>5.9153999999999998E-2</v>
      </c>
      <c r="D70" s="9">
        <f>ROUND(D$3*C70,0)</f>
        <v>701505</v>
      </c>
      <c r="E70" s="11">
        <f>ROUND(D70/2,0)</f>
        <v>350753</v>
      </c>
      <c r="F70" s="9">
        <f>D70-E70</f>
        <v>350752</v>
      </c>
    </row>
    <row r="71" spans="1:6">
      <c r="A71" s="8" t="s">
        <v>590</v>
      </c>
      <c r="B71" s="11" t="s">
        <v>28</v>
      </c>
      <c r="C71" s="11"/>
      <c r="D71" s="14">
        <v>0.43310199999999999</v>
      </c>
      <c r="E71" s="11"/>
      <c r="F71" s="11"/>
    </row>
    <row r="72" spans="1:6">
      <c r="A72" s="8"/>
      <c r="B72" s="11" t="s">
        <v>29</v>
      </c>
      <c r="C72" s="11"/>
      <c r="D72" s="225">
        <f>ROUND(D70*D71,0)</f>
        <v>303823</v>
      </c>
      <c r="E72" s="226">
        <f>ROUND(D72/2,0)</f>
        <v>151912</v>
      </c>
      <c r="F72" s="225">
        <f>D72-E72</f>
        <v>151911</v>
      </c>
    </row>
    <row r="73" spans="1:6">
      <c r="A73" s="8"/>
      <c r="B73" s="11" t="s">
        <v>30</v>
      </c>
      <c r="C73" s="11"/>
      <c r="D73" s="12">
        <f>+D70-D72</f>
        <v>397682</v>
      </c>
      <c r="E73" s="13">
        <f>ROUND(D73/2,0)</f>
        <v>198841</v>
      </c>
      <c r="F73" s="12">
        <f>D73-E73</f>
        <v>198841</v>
      </c>
    </row>
    <row r="74" spans="1:6">
      <c r="A74" s="8">
        <v>4</v>
      </c>
      <c r="B74" s="11" t="s">
        <v>1173</v>
      </c>
      <c r="C74" s="10">
        <v>6.1627000000000001E-2</v>
      </c>
      <c r="D74" s="9">
        <f>ROUND(D$3*C74,0)</f>
        <v>730833</v>
      </c>
      <c r="E74" s="11">
        <f>ROUND(D74/2,0)</f>
        <v>365417</v>
      </c>
      <c r="F74" s="9">
        <f>D74-E74</f>
        <v>365416</v>
      </c>
    </row>
    <row r="75" spans="1:6">
      <c r="A75" s="8"/>
      <c r="B75" s="11" t="s">
        <v>28</v>
      </c>
      <c r="C75" s="11"/>
      <c r="D75" s="14">
        <v>0.48118</v>
      </c>
      <c r="E75" s="11"/>
      <c r="F75" s="11"/>
    </row>
    <row r="76" spans="1:6">
      <c r="A76" s="8"/>
      <c r="B76" s="11" t="s">
        <v>29</v>
      </c>
      <c r="C76" s="11"/>
      <c r="D76" s="225">
        <f>ROUND(D74*D75,0)</f>
        <v>351662</v>
      </c>
      <c r="E76" s="226">
        <f>ROUND(D76/2,0)</f>
        <v>175831</v>
      </c>
      <c r="F76" s="225">
        <f>D76-E76</f>
        <v>175831</v>
      </c>
    </row>
    <row r="77" spans="1:6">
      <c r="A77" s="8"/>
      <c r="B77" s="11" t="s">
        <v>30</v>
      </c>
      <c r="C77" s="11"/>
      <c r="D77" s="12">
        <f>+D74-D76</f>
        <v>379171</v>
      </c>
      <c r="E77" s="13">
        <f>ROUND(D77/2,0)</f>
        <v>189586</v>
      </c>
      <c r="F77" s="12">
        <f>D77-E77</f>
        <v>189585</v>
      </c>
    </row>
    <row r="78" spans="1:6">
      <c r="A78" s="8">
        <v>4</v>
      </c>
      <c r="B78" s="11" t="s">
        <v>1174</v>
      </c>
      <c r="C78" s="10">
        <v>7.3666999999999996E-2</v>
      </c>
      <c r="D78" s="9">
        <f>ROUND(D$3*C78,0)</f>
        <v>873615</v>
      </c>
      <c r="E78" s="11">
        <f>ROUND(D78/2,0)</f>
        <v>436808</v>
      </c>
      <c r="F78" s="9">
        <f>D78-E78</f>
        <v>436807</v>
      </c>
    </row>
    <row r="79" spans="1:6">
      <c r="A79" s="8"/>
      <c r="B79" s="11" t="s">
        <v>28</v>
      </c>
      <c r="C79" s="11"/>
      <c r="D79" s="14">
        <v>0.39560200000000001</v>
      </c>
      <c r="E79" s="11"/>
      <c r="F79" s="11"/>
    </row>
    <row r="80" spans="1:6">
      <c r="A80" s="8"/>
      <c r="B80" s="11" t="s">
        <v>29</v>
      </c>
      <c r="C80" s="11"/>
      <c r="D80" s="225">
        <f>ROUND(D78*D79,0)</f>
        <v>345604</v>
      </c>
      <c r="E80" s="226">
        <f>ROUND(D80/2,0)</f>
        <v>172802</v>
      </c>
      <c r="F80" s="225">
        <f>D80-E80</f>
        <v>172802</v>
      </c>
    </row>
    <row r="81" spans="1:6">
      <c r="A81" s="8"/>
      <c r="B81" s="11" t="s">
        <v>30</v>
      </c>
      <c r="C81" s="11"/>
      <c r="D81" s="12">
        <f>+D78-D80</f>
        <v>528011</v>
      </c>
      <c r="E81" s="13">
        <f>ROUND(D81/2,0)</f>
        <v>264006</v>
      </c>
      <c r="F81" s="12">
        <f>D81-E81</f>
        <v>264005</v>
      </c>
    </row>
    <row r="82" spans="1:6">
      <c r="A82" s="8">
        <v>4</v>
      </c>
      <c r="B82" s="11" t="s">
        <v>1175</v>
      </c>
      <c r="C82" s="10">
        <v>6.3689999999999997E-3</v>
      </c>
      <c r="D82" s="9">
        <f>ROUND(D$3*C82,0)</f>
        <v>75530</v>
      </c>
      <c r="E82" s="11">
        <f>ROUND(D82/2,0)</f>
        <v>37765</v>
      </c>
      <c r="F82" s="9">
        <f>D82-E82</f>
        <v>37765</v>
      </c>
    </row>
    <row r="83" spans="1:6">
      <c r="A83" s="8"/>
      <c r="B83" s="11" t="s">
        <v>28</v>
      </c>
      <c r="C83" s="11"/>
      <c r="D83" s="14">
        <v>0.58224699999999996</v>
      </c>
      <c r="E83" s="11"/>
      <c r="F83" s="11"/>
    </row>
    <row r="84" spans="1:6">
      <c r="A84" s="8"/>
      <c r="B84" s="11" t="s">
        <v>29</v>
      </c>
      <c r="C84" s="11"/>
      <c r="D84" s="225">
        <f>ROUND(D82*D83,0)</f>
        <v>43977</v>
      </c>
      <c r="E84" s="226">
        <f>ROUND(D84/2,0)</f>
        <v>21989</v>
      </c>
      <c r="F84" s="225">
        <f>D84-E84</f>
        <v>21988</v>
      </c>
    </row>
    <row r="85" spans="1:6">
      <c r="A85" s="8"/>
      <c r="B85" s="11" t="s">
        <v>30</v>
      </c>
      <c r="C85" s="11"/>
      <c r="D85" s="12">
        <f>+D82-D84</f>
        <v>31553</v>
      </c>
      <c r="E85" s="13">
        <f>ROUND(D85/2,0)</f>
        <v>15777</v>
      </c>
      <c r="F85" s="12">
        <f>D85-E85</f>
        <v>15776</v>
      </c>
    </row>
    <row r="86" spans="1:6">
      <c r="A86" s="8">
        <v>4</v>
      </c>
      <c r="B86" s="11" t="s">
        <v>1176</v>
      </c>
      <c r="C86" s="10">
        <v>7.0401000000000005E-2</v>
      </c>
      <c r="D86" s="9">
        <f>ROUND(D$3*C86,0)</f>
        <v>834883</v>
      </c>
      <c r="E86" s="11">
        <f>ROUND(D86/2,0)</f>
        <v>417442</v>
      </c>
      <c r="F86" s="9">
        <f>D86-E86</f>
        <v>417441</v>
      </c>
    </row>
    <row r="87" spans="1:6">
      <c r="A87" s="8"/>
      <c r="B87" s="11" t="s">
        <v>28</v>
      </c>
      <c r="C87" s="11"/>
      <c r="D87" s="14">
        <v>0.38041700000000001</v>
      </c>
      <c r="E87" s="11"/>
      <c r="F87" s="11"/>
    </row>
    <row r="88" spans="1:6">
      <c r="A88" s="8"/>
      <c r="B88" s="11" t="s">
        <v>29</v>
      </c>
      <c r="C88" s="11"/>
      <c r="D88" s="225">
        <f>ROUND(D86*D87,0)</f>
        <v>317604</v>
      </c>
      <c r="E88" s="226">
        <f>ROUND(D88/2,0)</f>
        <v>158802</v>
      </c>
      <c r="F88" s="225">
        <f>D88-E88</f>
        <v>158802</v>
      </c>
    </row>
    <row r="89" spans="1:6">
      <c r="A89" s="8"/>
      <c r="B89" s="11" t="s">
        <v>30</v>
      </c>
      <c r="C89" s="11"/>
      <c r="D89" s="12">
        <f>+D86-D88</f>
        <v>517279</v>
      </c>
      <c r="E89" s="13">
        <f>ROUND(D89/2,0)</f>
        <v>258640</v>
      </c>
      <c r="F89" s="12">
        <f>D89-E89</f>
        <v>258639</v>
      </c>
    </row>
    <row r="90" spans="1:6">
      <c r="A90" s="8">
        <v>4</v>
      </c>
      <c r="B90" s="11" t="s">
        <v>1177</v>
      </c>
      <c r="C90" s="10">
        <v>7.1850000000000004E-3</v>
      </c>
      <c r="D90" s="9">
        <f>ROUND(D$3*C90,0)</f>
        <v>85207</v>
      </c>
      <c r="E90" s="11">
        <f>ROUND(D90/2,0)</f>
        <v>42604</v>
      </c>
      <c r="F90" s="9">
        <f>D90-E90</f>
        <v>42603</v>
      </c>
    </row>
    <row r="91" spans="1:6">
      <c r="A91" s="8"/>
      <c r="B91" s="11" t="s">
        <v>28</v>
      </c>
      <c r="C91" s="11"/>
      <c r="D91" s="14">
        <v>0.68606199999999995</v>
      </c>
      <c r="E91" s="11"/>
      <c r="F91" s="11"/>
    </row>
    <row r="92" spans="1:6">
      <c r="A92" s="8"/>
      <c r="B92" s="11" t="s">
        <v>29</v>
      </c>
      <c r="C92" s="11"/>
      <c r="D92" s="225">
        <f>ROUND(D90*D91,0)</f>
        <v>58457</v>
      </c>
      <c r="E92" s="226">
        <f t="shared" ref="E92:E104" si="3">ROUND(D92/2,0)</f>
        <v>29229</v>
      </c>
      <c r="F92" s="225">
        <f t="shared" ref="F92:F104" si="4">D92-E92</f>
        <v>29228</v>
      </c>
    </row>
    <row r="93" spans="1:6">
      <c r="A93" s="8"/>
      <c r="B93" s="11" t="s">
        <v>30</v>
      </c>
      <c r="C93" s="11"/>
      <c r="D93" s="12">
        <f>+D90-D92</f>
        <v>26750</v>
      </c>
      <c r="E93" s="13">
        <f t="shared" si="3"/>
        <v>13375</v>
      </c>
      <c r="F93" s="12">
        <f t="shared" si="4"/>
        <v>13375</v>
      </c>
    </row>
    <row r="94" spans="1:6">
      <c r="A94" s="8">
        <v>5</v>
      </c>
      <c r="B94" s="11" t="s">
        <v>1178</v>
      </c>
      <c r="C94" s="10">
        <v>3.7500000000000001E-4</v>
      </c>
      <c r="D94" s="12">
        <f t="shared" ref="D94:D103" si="5">ROUND(D$3*C94,0)</f>
        <v>4447</v>
      </c>
      <c r="E94" s="13">
        <f t="shared" si="3"/>
        <v>2224</v>
      </c>
      <c r="F94" s="12">
        <f t="shared" si="4"/>
        <v>2223</v>
      </c>
    </row>
    <row r="95" spans="1:6">
      <c r="A95" s="8">
        <v>5</v>
      </c>
      <c r="B95" s="11" t="s">
        <v>1179</v>
      </c>
      <c r="C95" s="10">
        <v>3.1203999999999999E-2</v>
      </c>
      <c r="D95" s="12">
        <f t="shared" si="5"/>
        <v>370047</v>
      </c>
      <c r="E95" s="13">
        <f t="shared" si="3"/>
        <v>185024</v>
      </c>
      <c r="F95" s="12">
        <f t="shared" si="4"/>
        <v>185023</v>
      </c>
    </row>
    <row r="96" spans="1:6">
      <c r="A96" s="8">
        <v>5</v>
      </c>
      <c r="B96" s="11" t="s">
        <v>1180</v>
      </c>
      <c r="C96" s="10">
        <v>6.9399999999999996E-4</v>
      </c>
      <c r="D96" s="12">
        <f t="shared" si="5"/>
        <v>8230</v>
      </c>
      <c r="E96" s="13">
        <f t="shared" si="3"/>
        <v>4115</v>
      </c>
      <c r="F96" s="12">
        <f t="shared" si="4"/>
        <v>4115</v>
      </c>
    </row>
    <row r="97" spans="1:8">
      <c r="A97" s="8">
        <v>6</v>
      </c>
      <c r="B97" s="11" t="s">
        <v>1181</v>
      </c>
      <c r="C97" s="10">
        <v>3.5470000000000002E-2</v>
      </c>
      <c r="D97" s="12">
        <f t="shared" si="5"/>
        <v>420638</v>
      </c>
      <c r="E97" s="13">
        <f t="shared" si="3"/>
        <v>210319</v>
      </c>
      <c r="F97" s="12">
        <f t="shared" si="4"/>
        <v>210319</v>
      </c>
    </row>
    <row r="98" spans="1:8">
      <c r="A98" s="8">
        <v>6</v>
      </c>
      <c r="B98" s="11" t="s">
        <v>1182</v>
      </c>
      <c r="C98" s="10">
        <v>5.0155999999999999E-2</v>
      </c>
      <c r="D98" s="12">
        <f t="shared" si="5"/>
        <v>594798</v>
      </c>
      <c r="E98" s="13">
        <f t="shared" si="3"/>
        <v>297399</v>
      </c>
      <c r="F98" s="12">
        <f t="shared" si="4"/>
        <v>297399</v>
      </c>
    </row>
    <row r="99" spans="1:8">
      <c r="A99" s="8">
        <v>6</v>
      </c>
      <c r="B99" s="11" t="s">
        <v>1183</v>
      </c>
      <c r="C99" s="10">
        <v>9.8689999999999993E-3</v>
      </c>
      <c r="D99" s="12">
        <f t="shared" si="5"/>
        <v>117036</v>
      </c>
      <c r="E99" s="13">
        <f t="shared" si="3"/>
        <v>58518</v>
      </c>
      <c r="F99" s="12">
        <f t="shared" si="4"/>
        <v>58518</v>
      </c>
    </row>
    <row r="100" spans="1:8">
      <c r="A100" s="8">
        <v>6</v>
      </c>
      <c r="B100" s="11" t="s">
        <v>1184</v>
      </c>
      <c r="C100" s="10">
        <v>5.9769999999999997E-3</v>
      </c>
      <c r="D100" s="12">
        <f t="shared" si="5"/>
        <v>70881</v>
      </c>
      <c r="E100" s="13">
        <f t="shared" si="3"/>
        <v>35441</v>
      </c>
      <c r="F100" s="12">
        <f t="shared" si="4"/>
        <v>35440</v>
      </c>
    </row>
    <row r="101" spans="1:8">
      <c r="A101" s="8">
        <v>6</v>
      </c>
      <c r="B101" s="11" t="s">
        <v>1185</v>
      </c>
      <c r="C101" s="10">
        <v>2.2225000000000002E-2</v>
      </c>
      <c r="D101" s="12">
        <f t="shared" si="5"/>
        <v>263566</v>
      </c>
      <c r="E101" s="13">
        <f t="shared" si="3"/>
        <v>131783</v>
      </c>
      <c r="F101" s="12">
        <f t="shared" si="4"/>
        <v>131783</v>
      </c>
    </row>
    <row r="102" spans="1:8">
      <c r="A102" s="8">
        <v>6</v>
      </c>
      <c r="B102" s="11" t="s">
        <v>1186</v>
      </c>
      <c r="C102" s="10">
        <v>0</v>
      </c>
      <c r="D102" s="12">
        <f t="shared" si="5"/>
        <v>0</v>
      </c>
      <c r="E102" s="13">
        <f t="shared" si="3"/>
        <v>0</v>
      </c>
      <c r="F102" s="12">
        <f t="shared" si="4"/>
        <v>0</v>
      </c>
    </row>
    <row r="103" spans="1:8">
      <c r="A103" s="8">
        <v>6</v>
      </c>
      <c r="B103" s="11" t="s">
        <v>1187</v>
      </c>
      <c r="C103" s="10">
        <v>7.3438000000000003E-2</v>
      </c>
      <c r="D103" s="12">
        <f t="shared" si="5"/>
        <v>870899</v>
      </c>
      <c r="E103" s="13">
        <f t="shared" si="3"/>
        <v>435450</v>
      </c>
      <c r="F103" s="12">
        <f t="shared" si="4"/>
        <v>435449</v>
      </c>
    </row>
    <row r="104" spans="1:8">
      <c r="A104" s="8">
        <v>6</v>
      </c>
      <c r="B104" s="11" t="s">
        <v>1188</v>
      </c>
      <c r="C104" s="10">
        <v>1.5799999999988046E-4</v>
      </c>
      <c r="D104" s="12">
        <f>+D3-SUM(D4:D6)-SUM(D11:D50)-D54-D58-D62-D66-D70-D74-D78-D82-D86-D90-SUM(D94:D103)</f>
        <v>1875</v>
      </c>
      <c r="E104" s="13">
        <f t="shared" si="3"/>
        <v>938</v>
      </c>
      <c r="F104" s="12">
        <f t="shared" si="4"/>
        <v>937</v>
      </c>
    </row>
    <row r="105" spans="1:8">
      <c r="A105" s="8"/>
      <c r="B105" s="28" t="s">
        <v>288</v>
      </c>
      <c r="C105" s="10">
        <v>1</v>
      </c>
      <c r="D105" s="12">
        <f>+SUM(D4:D5)+SUM(D8:D49)+SUM(D52:D53)+SUM(D56:D57)+SUM(D60:D61)+SUM(D64:D65)+SUM(D68:D69)+SUM(D72:D73)+SUM(D76:D77)+SUM(D80:D81)+SUM(D84:D85)+SUM(D88:D89)+SUM(D92:D104)</f>
        <v>11858968</v>
      </c>
      <c r="E105" s="12">
        <f>+SUM(E4:E5)+SUM(E8:E49)+SUM(E52:E53)+SUM(E56:E57)+SUM(E60:E61)+SUM(E64:E65)+SUM(E68:E69)+SUM(E72:E73)+SUM(E76:E77)+SUM(E80:E81)+SUM(E84:E85)+SUM(E88:E89)+SUM(E92:E104)</f>
        <v>5929501</v>
      </c>
      <c r="F105" s="12">
        <f>+SUM(F4:F5)+SUM(F8:F49)+SUM(F52:F53)+SUM(F56:F57)+SUM(F60:F61)+SUM(F64:F65)+SUM(F68:F69)+SUM(F72:F73)+SUM(F76:F77)+SUM(F80:F81)+SUM(F84:F85)+SUM(F88:F89)+SUM(F92:F104)</f>
        <v>5929467</v>
      </c>
    </row>
    <row r="106" spans="1:8">
      <c r="B106" s="18" t="s">
        <v>38</v>
      </c>
      <c r="D106" s="19">
        <f>+D4</f>
        <v>10993</v>
      </c>
      <c r="E106" s="19">
        <f>+E4</f>
        <v>5497</v>
      </c>
      <c r="F106" s="19">
        <f>+F4</f>
        <v>5496</v>
      </c>
    </row>
    <row r="107" spans="1:8">
      <c r="B107" s="2" t="s">
        <v>39</v>
      </c>
      <c r="D107" s="19">
        <f>+D8</f>
        <v>404718</v>
      </c>
      <c r="E107" s="19">
        <f>+E8</f>
        <v>202359</v>
      </c>
      <c r="F107" s="19">
        <f>+F8</f>
        <v>202359</v>
      </c>
    </row>
    <row r="108" spans="1:8">
      <c r="B108" s="2" t="s">
        <v>40</v>
      </c>
      <c r="D108" s="19">
        <f>+D52+D56+D60+D64+D68+D72+D76+D80+D84+D88+D92</f>
        <v>2579369</v>
      </c>
      <c r="E108" s="19">
        <f>+E52+E56+E60+E64+E68+E72+E76+E80+E84+E88+E92</f>
        <v>1289688</v>
      </c>
      <c r="F108" s="19">
        <f>+F52+F56+F60+F64+F68+F72+F76+F80+F84+F88+F92</f>
        <v>1289681</v>
      </c>
      <c r="H108" s="3">
        <v>1</v>
      </c>
    </row>
    <row r="109" spans="1:8">
      <c r="B109" s="18" t="s">
        <v>41</v>
      </c>
      <c r="D109" s="19">
        <f>+D105-D106-D107-D108</f>
        <v>8863888</v>
      </c>
      <c r="E109" s="19">
        <f>+E105-E106-E107-E108</f>
        <v>4431957</v>
      </c>
      <c r="F109" s="19">
        <f>+F105-F106-F107-F108</f>
        <v>4431931</v>
      </c>
      <c r="H109" s="3">
        <v>2</v>
      </c>
    </row>
    <row r="110" spans="1:8"/>
    <row r="111" spans="1:8" hidden="1">
      <c r="B111" s="3" t="s">
        <v>42</v>
      </c>
      <c r="C111" s="4">
        <v>2.9999999998804583E-6</v>
      </c>
      <c r="D111" s="3">
        <f>+D104-ROUND(D3*C104,0)</f>
        <v>1</v>
      </c>
    </row>
    <row r="112" spans="1:8"/>
  </sheetData>
  <pageMargins left="0.7" right="0.7" top="0.75" bottom="0.75" header="0.3" footer="0.3"/>
  <pageSetup scale="65" fitToHeight="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pageSetUpPr fitToPage="1"/>
  </sheetPr>
  <dimension ref="A1:WVB85"/>
  <sheetViews>
    <sheetView topLeftCell="A50" zoomScaleNormal="100" zoomScaleSheetLayoutView="80" workbookViewId="0">
      <selection activeCell="D71" activeCellId="7" sqref="D7:F7 D47:F47 D51:F51 D55:F55 D59:F59 D63:F63 D67:F67 D71:F71"/>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3.140625" style="3" hidden="1"/>
    <col min="190" max="246" width="9.140625" style="3" hidden="1"/>
    <col min="247" max="247" width="16.28515625" style="3" hidden="1"/>
    <col min="248" max="248" width="17.5703125" style="3" hidden="1"/>
    <col min="249" max="249" width="16" style="3" hidden="1"/>
    <col min="250" max="250" width="18.140625" style="3" hidden="1"/>
    <col min="251" max="443" width="9.140625" style="3" hidden="1"/>
    <col min="444" max="444" width="11" style="3" hidden="1"/>
    <col min="445" max="445" width="53.140625" style="3" hidden="1"/>
    <col min="446" max="502" width="9.140625" style="3" hidden="1"/>
    <col min="503" max="503" width="16.28515625" style="3" hidden="1"/>
    <col min="504" max="504" width="17.5703125" style="3" hidden="1"/>
    <col min="505" max="505" width="16" style="3" hidden="1"/>
    <col min="506" max="506" width="18.140625" style="3" hidden="1"/>
    <col min="507" max="699" width="9.140625" style="3" hidden="1"/>
    <col min="700" max="700" width="11" style="3" hidden="1"/>
    <col min="701" max="701" width="53.140625" style="3" hidden="1"/>
    <col min="702" max="758" width="9.140625" style="3" hidden="1"/>
    <col min="759" max="759" width="16.28515625" style="3" hidden="1"/>
    <col min="760" max="760" width="17.5703125" style="3" hidden="1"/>
    <col min="761" max="761" width="16" style="3" hidden="1"/>
    <col min="762" max="762" width="18.140625" style="3" hidden="1"/>
    <col min="763" max="955" width="9.140625" style="3" hidden="1"/>
    <col min="956" max="956" width="11" style="3" hidden="1"/>
    <col min="957" max="957" width="53.140625" style="3" hidden="1"/>
    <col min="958" max="1014" width="9.140625" style="3" hidden="1"/>
    <col min="1015" max="1015" width="16.28515625" style="3" hidden="1"/>
    <col min="1016" max="1016" width="17.5703125" style="3" hidden="1"/>
    <col min="1017" max="1017" width="16" style="3" hidden="1"/>
    <col min="1018" max="1018" width="18.140625" style="3" hidden="1"/>
    <col min="1019" max="1211" width="9.140625" style="3" hidden="1"/>
    <col min="1212" max="1212" width="11" style="3" hidden="1"/>
    <col min="1213" max="1213" width="53.140625" style="3" hidden="1"/>
    <col min="1214" max="1270" width="9.140625" style="3" hidden="1"/>
    <col min="1271" max="1271" width="16.28515625" style="3" hidden="1"/>
    <col min="1272" max="1272" width="17.5703125" style="3" hidden="1"/>
    <col min="1273" max="1273" width="16" style="3" hidden="1"/>
    <col min="1274" max="1274" width="18.140625" style="3" hidden="1"/>
    <col min="1275" max="1467" width="9.140625" style="3" hidden="1"/>
    <col min="1468" max="1468" width="11" style="3" hidden="1"/>
    <col min="1469" max="1469" width="53.140625" style="3" hidden="1"/>
    <col min="1470" max="1526" width="9.140625" style="3" hidden="1"/>
    <col min="1527" max="1527" width="16.28515625" style="3" hidden="1"/>
    <col min="1528" max="1528" width="17.5703125" style="3" hidden="1"/>
    <col min="1529" max="1529" width="16" style="3" hidden="1"/>
    <col min="1530" max="1530" width="18.140625" style="3" hidden="1"/>
    <col min="1531" max="1723" width="9.140625" style="3" hidden="1"/>
    <col min="1724" max="1724" width="11" style="3" hidden="1"/>
    <col min="1725" max="1725" width="53.140625" style="3" hidden="1"/>
    <col min="1726" max="1782" width="9.140625" style="3" hidden="1"/>
    <col min="1783" max="1783" width="16.28515625" style="3" hidden="1"/>
    <col min="1784" max="1784" width="17.5703125" style="3" hidden="1"/>
    <col min="1785" max="1785" width="16" style="3" hidden="1"/>
    <col min="1786" max="1786" width="18.140625" style="3" hidden="1"/>
    <col min="1787" max="1979" width="9.140625" style="3" hidden="1"/>
    <col min="1980" max="1980" width="11" style="3" hidden="1"/>
    <col min="1981" max="1981" width="53.140625" style="3" hidden="1"/>
    <col min="1982" max="2038" width="9.140625" style="3" hidden="1"/>
    <col min="2039" max="2039" width="16.28515625" style="3" hidden="1"/>
    <col min="2040" max="2040" width="17.5703125" style="3" hidden="1"/>
    <col min="2041" max="2041" width="16" style="3" hidden="1"/>
    <col min="2042" max="2042" width="18.140625" style="3" hidden="1"/>
    <col min="2043" max="2235" width="9.140625" style="3" hidden="1"/>
    <col min="2236" max="2236" width="11" style="3" hidden="1"/>
    <col min="2237" max="2237" width="53.140625" style="3" hidden="1"/>
    <col min="2238" max="2294" width="9.140625" style="3" hidden="1"/>
    <col min="2295" max="2295" width="16.28515625" style="3" hidden="1"/>
    <col min="2296" max="2296" width="17.5703125" style="3" hidden="1"/>
    <col min="2297" max="2297" width="16" style="3" hidden="1"/>
    <col min="2298" max="2298" width="18.140625" style="3" hidden="1"/>
    <col min="2299" max="2491" width="9.140625" style="3" hidden="1"/>
    <col min="2492" max="2492" width="11" style="3" hidden="1"/>
    <col min="2493" max="2493" width="53.140625" style="3" hidden="1"/>
    <col min="2494" max="2550" width="9.140625" style="3" hidden="1"/>
    <col min="2551" max="2551" width="16.28515625" style="3" hidden="1"/>
    <col min="2552" max="2552" width="17.5703125" style="3" hidden="1"/>
    <col min="2553" max="2553" width="16" style="3" hidden="1"/>
    <col min="2554" max="2554" width="18.140625" style="3" hidden="1"/>
    <col min="2555" max="2747" width="9.140625" style="3" hidden="1"/>
    <col min="2748" max="2748" width="11" style="3" hidden="1"/>
    <col min="2749" max="2749" width="53.140625" style="3" hidden="1"/>
    <col min="2750" max="2806" width="9.140625" style="3" hidden="1"/>
    <col min="2807" max="2807" width="16.28515625" style="3" hidden="1"/>
    <col min="2808" max="2808" width="17.5703125" style="3" hidden="1"/>
    <col min="2809" max="2809" width="16" style="3" hidden="1"/>
    <col min="2810" max="2810" width="18.140625" style="3" hidden="1"/>
    <col min="2811" max="3003" width="9.140625" style="3" hidden="1"/>
    <col min="3004" max="3004" width="11" style="3" hidden="1"/>
    <col min="3005" max="3005" width="53.140625" style="3" hidden="1"/>
    <col min="3006" max="3062" width="9.140625" style="3" hidden="1"/>
    <col min="3063" max="3063" width="16.28515625" style="3" hidden="1"/>
    <col min="3064" max="3064" width="17.5703125" style="3" hidden="1"/>
    <col min="3065" max="3065" width="16" style="3" hidden="1"/>
    <col min="3066" max="3066" width="18.140625" style="3" hidden="1"/>
    <col min="3067" max="3259" width="9.140625" style="3" hidden="1"/>
    <col min="3260" max="3260" width="11" style="3" hidden="1"/>
    <col min="3261" max="3261" width="53.140625" style="3" hidden="1"/>
    <col min="3262" max="3318" width="9.140625" style="3" hidden="1"/>
    <col min="3319" max="3319" width="16.28515625" style="3" hidden="1"/>
    <col min="3320" max="3320" width="17.5703125" style="3" hidden="1"/>
    <col min="3321" max="3321" width="16" style="3" hidden="1"/>
    <col min="3322" max="3322" width="18.140625" style="3" hidden="1"/>
    <col min="3323" max="3515" width="9.140625" style="3" hidden="1"/>
    <col min="3516" max="3516" width="11" style="3" hidden="1"/>
    <col min="3517" max="3517" width="53.140625" style="3" hidden="1"/>
    <col min="3518" max="3574" width="9.140625" style="3" hidden="1"/>
    <col min="3575" max="3575" width="16.28515625" style="3" hidden="1"/>
    <col min="3576" max="3576" width="17.5703125" style="3" hidden="1"/>
    <col min="3577" max="3577" width="16" style="3" hidden="1"/>
    <col min="3578" max="3578" width="18.140625" style="3" hidden="1"/>
    <col min="3579" max="3771" width="9.140625" style="3" hidden="1"/>
    <col min="3772" max="3772" width="11" style="3" hidden="1"/>
    <col min="3773" max="3773" width="53.140625" style="3" hidden="1"/>
    <col min="3774" max="3830" width="9.140625" style="3" hidden="1"/>
    <col min="3831" max="3831" width="16.28515625" style="3" hidden="1"/>
    <col min="3832" max="3832" width="17.5703125" style="3" hidden="1"/>
    <col min="3833" max="3833" width="16" style="3" hidden="1"/>
    <col min="3834" max="3834" width="18.140625" style="3" hidden="1"/>
    <col min="3835" max="4027" width="9.140625" style="3" hidden="1"/>
    <col min="4028" max="4028" width="11" style="3" hidden="1"/>
    <col min="4029" max="4029" width="53.140625" style="3" hidden="1"/>
    <col min="4030" max="4086" width="9.140625" style="3" hidden="1"/>
    <col min="4087" max="4087" width="16.28515625" style="3" hidden="1"/>
    <col min="4088" max="4088" width="17.5703125" style="3" hidden="1"/>
    <col min="4089" max="4089" width="16" style="3" hidden="1"/>
    <col min="4090" max="4090" width="18.140625" style="3" hidden="1"/>
    <col min="4091" max="4283" width="9.140625" style="3" hidden="1"/>
    <col min="4284" max="4284" width="11" style="3" hidden="1"/>
    <col min="4285" max="4285" width="53.140625" style="3" hidden="1"/>
    <col min="4286" max="4342" width="9.140625" style="3" hidden="1"/>
    <col min="4343" max="4343" width="16.28515625" style="3" hidden="1"/>
    <col min="4344" max="4344" width="17.5703125" style="3" hidden="1"/>
    <col min="4345" max="4345" width="16" style="3" hidden="1"/>
    <col min="4346" max="4346" width="18.140625" style="3" hidden="1"/>
    <col min="4347" max="4539" width="9.140625" style="3" hidden="1"/>
    <col min="4540" max="4540" width="11" style="3" hidden="1"/>
    <col min="4541" max="4541" width="53.140625" style="3" hidden="1"/>
    <col min="4542" max="4598" width="9.140625" style="3" hidden="1"/>
    <col min="4599" max="4599" width="16.28515625" style="3" hidden="1"/>
    <col min="4600" max="4600" width="17.5703125" style="3" hidden="1"/>
    <col min="4601" max="4601" width="16" style="3" hidden="1"/>
    <col min="4602" max="4602" width="18.140625" style="3" hidden="1"/>
    <col min="4603" max="4795" width="9.140625" style="3" hidden="1"/>
    <col min="4796" max="4796" width="11" style="3" hidden="1"/>
    <col min="4797" max="4797" width="53.140625" style="3" hidden="1"/>
    <col min="4798" max="4854" width="9.140625" style="3" hidden="1"/>
    <col min="4855" max="4855" width="16.28515625" style="3" hidden="1"/>
    <col min="4856" max="4856" width="17.5703125" style="3" hidden="1"/>
    <col min="4857" max="4857" width="16" style="3" hidden="1"/>
    <col min="4858" max="4858" width="18.140625" style="3" hidden="1"/>
    <col min="4859" max="5051" width="9.140625" style="3" hidden="1"/>
    <col min="5052" max="5052" width="11" style="3" hidden="1"/>
    <col min="5053" max="5053" width="53.140625" style="3" hidden="1"/>
    <col min="5054" max="5110" width="9.140625" style="3" hidden="1"/>
    <col min="5111" max="5111" width="16.28515625" style="3" hidden="1"/>
    <col min="5112" max="5112" width="17.5703125" style="3" hidden="1"/>
    <col min="5113" max="5113" width="16" style="3" hidden="1"/>
    <col min="5114" max="5114" width="18.140625" style="3" hidden="1"/>
    <col min="5115" max="5307" width="9.140625" style="3" hidden="1"/>
    <col min="5308" max="5308" width="11" style="3" hidden="1"/>
    <col min="5309" max="5309" width="53.140625" style="3" hidden="1"/>
    <col min="5310" max="5366" width="9.140625" style="3" hidden="1"/>
    <col min="5367" max="5367" width="16.28515625" style="3" hidden="1"/>
    <col min="5368" max="5368" width="17.5703125" style="3" hidden="1"/>
    <col min="5369" max="5369" width="16" style="3" hidden="1"/>
    <col min="5370" max="5370" width="18.140625" style="3" hidden="1"/>
    <col min="5371" max="5563" width="9.140625" style="3" hidden="1"/>
    <col min="5564" max="5564" width="11" style="3" hidden="1"/>
    <col min="5565" max="5565" width="53.140625" style="3" hidden="1"/>
    <col min="5566" max="5622" width="9.140625" style="3" hidden="1"/>
    <col min="5623" max="5623" width="16.28515625" style="3" hidden="1"/>
    <col min="5624" max="5624" width="17.5703125" style="3" hidden="1"/>
    <col min="5625" max="5625" width="16" style="3" hidden="1"/>
    <col min="5626" max="5626" width="18.140625" style="3" hidden="1"/>
    <col min="5627" max="5819" width="9.140625" style="3" hidden="1"/>
    <col min="5820" max="5820" width="11" style="3" hidden="1"/>
    <col min="5821" max="5821" width="53.140625" style="3" hidden="1"/>
    <col min="5822" max="5878" width="9.140625" style="3" hidden="1"/>
    <col min="5879" max="5879" width="16.28515625" style="3" hidden="1"/>
    <col min="5880" max="5880" width="17.5703125" style="3" hidden="1"/>
    <col min="5881" max="5881" width="16" style="3" hidden="1"/>
    <col min="5882" max="5882" width="18.140625" style="3" hidden="1"/>
    <col min="5883" max="6075" width="9.140625" style="3" hidden="1"/>
    <col min="6076" max="6076" width="11" style="3" hidden="1"/>
    <col min="6077" max="6077" width="53.140625" style="3" hidden="1"/>
    <col min="6078" max="6134" width="9.140625" style="3" hidden="1"/>
    <col min="6135" max="6135" width="16.28515625" style="3" hidden="1"/>
    <col min="6136" max="6136" width="17.5703125" style="3" hidden="1"/>
    <col min="6137" max="6137" width="16" style="3" hidden="1"/>
    <col min="6138" max="6138" width="18.140625" style="3" hidden="1"/>
    <col min="6139" max="6331" width="9.140625" style="3" hidden="1"/>
    <col min="6332" max="6332" width="11" style="3" hidden="1"/>
    <col min="6333" max="6333" width="53.140625" style="3" hidden="1"/>
    <col min="6334" max="6390" width="9.140625" style="3" hidden="1"/>
    <col min="6391" max="6391" width="16.28515625" style="3" hidden="1"/>
    <col min="6392" max="6392" width="17.5703125" style="3" hidden="1"/>
    <col min="6393" max="6393" width="16" style="3" hidden="1"/>
    <col min="6394" max="6394" width="18.140625" style="3" hidden="1"/>
    <col min="6395" max="6587" width="9.140625" style="3" hidden="1"/>
    <col min="6588" max="6588" width="11" style="3" hidden="1"/>
    <col min="6589" max="6589" width="53.140625" style="3" hidden="1"/>
    <col min="6590" max="6646" width="9.140625" style="3" hidden="1"/>
    <col min="6647" max="6647" width="16.28515625" style="3" hidden="1"/>
    <col min="6648" max="6648" width="17.5703125" style="3" hidden="1"/>
    <col min="6649" max="6649" width="16" style="3" hidden="1"/>
    <col min="6650" max="6650" width="18.140625" style="3" hidden="1"/>
    <col min="6651" max="6843" width="9.140625" style="3" hidden="1"/>
    <col min="6844" max="6844" width="11" style="3" hidden="1"/>
    <col min="6845" max="6845" width="53.140625" style="3" hidden="1"/>
    <col min="6846" max="6902" width="9.140625" style="3" hidden="1"/>
    <col min="6903" max="6903" width="16.28515625" style="3" hidden="1"/>
    <col min="6904" max="6904" width="17.5703125" style="3" hidden="1"/>
    <col min="6905" max="6905" width="16" style="3" hidden="1"/>
    <col min="6906" max="6906" width="18.140625" style="3" hidden="1"/>
    <col min="6907" max="7099" width="9.140625" style="3" hidden="1"/>
    <col min="7100" max="7100" width="11" style="3" hidden="1"/>
    <col min="7101" max="7101" width="53.140625" style="3" hidden="1"/>
    <col min="7102" max="7158" width="9.140625" style="3" hidden="1"/>
    <col min="7159" max="7159" width="16.28515625" style="3" hidden="1"/>
    <col min="7160" max="7160" width="17.5703125" style="3" hidden="1"/>
    <col min="7161" max="7161" width="16" style="3" hidden="1"/>
    <col min="7162" max="7162" width="18.140625" style="3" hidden="1"/>
    <col min="7163" max="7355" width="9.140625" style="3" hidden="1"/>
    <col min="7356" max="7356" width="11" style="3" hidden="1"/>
    <col min="7357" max="7357" width="53.140625" style="3" hidden="1"/>
    <col min="7358" max="7414" width="9.140625" style="3" hidden="1"/>
    <col min="7415" max="7415" width="16.28515625" style="3" hidden="1"/>
    <col min="7416" max="7416" width="17.5703125" style="3" hidden="1"/>
    <col min="7417" max="7417" width="16" style="3" hidden="1"/>
    <col min="7418" max="7418" width="18.140625" style="3" hidden="1"/>
    <col min="7419" max="7611" width="9.140625" style="3" hidden="1"/>
    <col min="7612" max="7612" width="11" style="3" hidden="1"/>
    <col min="7613" max="7613" width="53.140625" style="3" hidden="1"/>
    <col min="7614" max="7670" width="9.140625" style="3" hidden="1"/>
    <col min="7671" max="7671" width="16.28515625" style="3" hidden="1"/>
    <col min="7672" max="7672" width="17.5703125" style="3" hidden="1"/>
    <col min="7673" max="7673" width="16" style="3" hidden="1"/>
    <col min="7674" max="7674" width="18.140625" style="3" hidden="1"/>
    <col min="7675" max="7867" width="9.140625" style="3" hidden="1"/>
    <col min="7868" max="7868" width="11" style="3" hidden="1"/>
    <col min="7869" max="7869" width="53.140625" style="3" hidden="1"/>
    <col min="7870" max="7926" width="9.140625" style="3" hidden="1"/>
    <col min="7927" max="7927" width="16.28515625" style="3" hidden="1"/>
    <col min="7928" max="7928" width="17.5703125" style="3" hidden="1"/>
    <col min="7929" max="7929" width="16" style="3" hidden="1"/>
    <col min="7930" max="7930" width="18.140625" style="3" hidden="1"/>
    <col min="7931" max="8123" width="9.140625" style="3" hidden="1"/>
    <col min="8124" max="8124" width="11" style="3" hidden="1"/>
    <col min="8125" max="8125" width="53.140625" style="3" hidden="1"/>
    <col min="8126" max="8182" width="9.140625" style="3" hidden="1"/>
    <col min="8183" max="8183" width="16.28515625" style="3" hidden="1"/>
    <col min="8184" max="8184" width="17.5703125" style="3" hidden="1"/>
    <col min="8185" max="8185" width="16" style="3" hidden="1"/>
    <col min="8186" max="8186" width="18.140625" style="3" hidden="1"/>
    <col min="8187" max="8379" width="9.140625" style="3" hidden="1"/>
    <col min="8380" max="8380" width="11" style="3" hidden="1"/>
    <col min="8381" max="8381" width="53.140625" style="3" hidden="1"/>
    <col min="8382" max="8438" width="9.140625" style="3" hidden="1"/>
    <col min="8439" max="8439" width="16.28515625" style="3" hidden="1"/>
    <col min="8440" max="8440" width="17.5703125" style="3" hidden="1"/>
    <col min="8441" max="8441" width="16" style="3" hidden="1"/>
    <col min="8442" max="8442" width="18.140625" style="3" hidden="1"/>
    <col min="8443" max="8635" width="9.140625" style="3" hidden="1"/>
    <col min="8636" max="8636" width="11" style="3" hidden="1"/>
    <col min="8637" max="8637" width="53.140625" style="3" hidden="1"/>
    <col min="8638" max="8694" width="9.140625" style="3" hidden="1"/>
    <col min="8695" max="8695" width="16.28515625" style="3" hidden="1"/>
    <col min="8696" max="8696" width="17.5703125" style="3" hidden="1"/>
    <col min="8697" max="8697" width="16" style="3" hidden="1"/>
    <col min="8698" max="8698" width="18.140625" style="3" hidden="1"/>
    <col min="8699" max="8891" width="9.140625" style="3" hidden="1"/>
    <col min="8892" max="8892" width="11" style="3" hidden="1"/>
    <col min="8893" max="8893" width="53.140625" style="3" hidden="1"/>
    <col min="8894" max="8950" width="9.140625" style="3" hidden="1"/>
    <col min="8951" max="8951" width="16.28515625" style="3" hidden="1"/>
    <col min="8952" max="8952" width="17.5703125" style="3" hidden="1"/>
    <col min="8953" max="8953" width="16" style="3" hidden="1"/>
    <col min="8954" max="8954" width="18.140625" style="3" hidden="1"/>
    <col min="8955" max="9147" width="9.140625" style="3" hidden="1"/>
    <col min="9148" max="9148" width="11" style="3" hidden="1"/>
    <col min="9149" max="9149" width="53.140625" style="3" hidden="1"/>
    <col min="9150" max="9206" width="9.140625" style="3" hidden="1"/>
    <col min="9207" max="9207" width="16.28515625" style="3" hidden="1"/>
    <col min="9208" max="9208" width="17.5703125" style="3" hidden="1"/>
    <col min="9209" max="9209" width="16" style="3" hidden="1"/>
    <col min="9210" max="9210" width="18.140625" style="3" hidden="1"/>
    <col min="9211" max="9403" width="9.140625" style="3" hidden="1"/>
    <col min="9404" max="9404" width="11" style="3" hidden="1"/>
    <col min="9405" max="9405" width="53.140625" style="3" hidden="1"/>
    <col min="9406" max="9462" width="9.140625" style="3" hidden="1"/>
    <col min="9463" max="9463" width="16.28515625" style="3" hidden="1"/>
    <col min="9464" max="9464" width="17.5703125" style="3" hidden="1"/>
    <col min="9465" max="9465" width="16" style="3" hidden="1"/>
    <col min="9466" max="9466" width="18.140625" style="3" hidden="1"/>
    <col min="9467" max="9659" width="9.140625" style="3" hidden="1"/>
    <col min="9660" max="9660" width="11" style="3" hidden="1"/>
    <col min="9661" max="9661" width="53.140625" style="3" hidden="1"/>
    <col min="9662" max="9718" width="9.140625" style="3" hidden="1"/>
    <col min="9719" max="9719" width="16.28515625" style="3" hidden="1"/>
    <col min="9720" max="9720" width="17.5703125" style="3" hidden="1"/>
    <col min="9721" max="9721" width="16" style="3" hidden="1"/>
    <col min="9722" max="9722" width="18.140625" style="3" hidden="1"/>
    <col min="9723" max="9915" width="9.140625" style="3" hidden="1"/>
    <col min="9916" max="9916" width="11" style="3" hidden="1"/>
    <col min="9917" max="9917" width="53.140625" style="3" hidden="1"/>
    <col min="9918" max="9974" width="9.140625" style="3" hidden="1"/>
    <col min="9975" max="9975" width="16.28515625" style="3" hidden="1"/>
    <col min="9976" max="9976" width="17.5703125" style="3" hidden="1"/>
    <col min="9977" max="9977" width="16" style="3" hidden="1"/>
    <col min="9978" max="9978" width="18.140625" style="3" hidden="1"/>
    <col min="9979" max="10171" width="9.140625" style="3" hidden="1"/>
    <col min="10172" max="10172" width="11" style="3" hidden="1"/>
    <col min="10173" max="10173" width="53.140625" style="3" hidden="1"/>
    <col min="10174" max="10230" width="9.140625" style="3" hidden="1"/>
    <col min="10231" max="10231" width="16.28515625" style="3" hidden="1"/>
    <col min="10232" max="10232" width="17.5703125" style="3" hidden="1"/>
    <col min="10233" max="10233" width="16" style="3" hidden="1"/>
    <col min="10234" max="10234" width="18.140625" style="3" hidden="1"/>
    <col min="10235" max="10427" width="9.140625" style="3" hidden="1"/>
    <col min="10428" max="10428" width="11" style="3" hidden="1"/>
    <col min="10429" max="10429" width="53.140625" style="3" hidden="1"/>
    <col min="10430" max="10486" width="9.140625" style="3" hidden="1"/>
    <col min="10487" max="10487" width="16.28515625" style="3" hidden="1"/>
    <col min="10488" max="10488" width="17.5703125" style="3" hidden="1"/>
    <col min="10489" max="10489" width="16" style="3" hidden="1"/>
    <col min="10490" max="10490" width="18.140625" style="3" hidden="1"/>
    <col min="10491" max="10683" width="9.140625" style="3" hidden="1"/>
    <col min="10684" max="10684" width="11" style="3" hidden="1"/>
    <col min="10685" max="10685" width="53.140625" style="3" hidden="1"/>
    <col min="10686" max="10742" width="9.140625" style="3" hidden="1"/>
    <col min="10743" max="10743" width="16.28515625" style="3" hidden="1"/>
    <col min="10744" max="10744" width="17.5703125" style="3" hidden="1"/>
    <col min="10745" max="10745" width="16" style="3" hidden="1"/>
    <col min="10746" max="10746" width="18.140625" style="3" hidden="1"/>
    <col min="10747" max="10939" width="9.140625" style="3" hidden="1"/>
    <col min="10940" max="10940" width="11" style="3" hidden="1"/>
    <col min="10941" max="10941" width="53.140625" style="3" hidden="1"/>
    <col min="10942" max="10998" width="9.140625" style="3" hidden="1"/>
    <col min="10999" max="10999" width="16.28515625" style="3" hidden="1"/>
    <col min="11000" max="11000" width="17.5703125" style="3" hidden="1"/>
    <col min="11001" max="11001" width="16" style="3" hidden="1"/>
    <col min="11002" max="11002" width="18.140625" style="3" hidden="1"/>
    <col min="11003" max="11195" width="9.140625" style="3" hidden="1"/>
    <col min="11196" max="11196" width="11" style="3" hidden="1"/>
    <col min="11197" max="11197" width="53.140625" style="3" hidden="1"/>
    <col min="11198" max="11254" width="9.140625" style="3" hidden="1"/>
    <col min="11255" max="11255" width="16.28515625" style="3" hidden="1"/>
    <col min="11256" max="11256" width="17.5703125" style="3" hidden="1"/>
    <col min="11257" max="11257" width="16" style="3" hidden="1"/>
    <col min="11258" max="11258" width="18.140625" style="3" hidden="1"/>
    <col min="11259" max="11451" width="9.140625" style="3" hidden="1"/>
    <col min="11452" max="11452" width="11" style="3" hidden="1"/>
    <col min="11453" max="11453" width="53.140625" style="3" hidden="1"/>
    <col min="11454" max="11510" width="9.140625" style="3" hidden="1"/>
    <col min="11511" max="11511" width="16.28515625" style="3" hidden="1"/>
    <col min="11512" max="11512" width="17.5703125" style="3" hidden="1"/>
    <col min="11513" max="11513" width="16" style="3" hidden="1"/>
    <col min="11514" max="11514" width="18.140625" style="3" hidden="1"/>
    <col min="11515" max="11707" width="9.140625" style="3" hidden="1"/>
    <col min="11708" max="11708" width="11" style="3" hidden="1"/>
    <col min="11709" max="11709" width="53.140625" style="3" hidden="1"/>
    <col min="11710" max="11766" width="9.140625" style="3" hidden="1"/>
    <col min="11767" max="11767" width="16.28515625" style="3" hidden="1"/>
    <col min="11768" max="11768" width="17.5703125" style="3" hidden="1"/>
    <col min="11769" max="11769" width="16" style="3" hidden="1"/>
    <col min="11770" max="11770" width="18.140625" style="3" hidden="1"/>
    <col min="11771" max="11963" width="9.140625" style="3" hidden="1"/>
    <col min="11964" max="11964" width="11" style="3" hidden="1"/>
    <col min="11965" max="11965" width="53.140625" style="3" hidden="1"/>
    <col min="11966" max="12022" width="9.140625" style="3" hidden="1"/>
    <col min="12023" max="12023" width="16.28515625" style="3" hidden="1"/>
    <col min="12024" max="12024" width="17.5703125" style="3" hidden="1"/>
    <col min="12025" max="12025" width="16" style="3" hidden="1"/>
    <col min="12026" max="12026" width="18.140625" style="3" hidden="1"/>
    <col min="12027" max="12219" width="9.140625" style="3" hidden="1"/>
    <col min="12220" max="12220" width="11" style="3" hidden="1"/>
    <col min="12221" max="12221" width="53.140625" style="3" hidden="1"/>
    <col min="12222" max="12278" width="9.140625" style="3" hidden="1"/>
    <col min="12279" max="12279" width="16.28515625" style="3" hidden="1"/>
    <col min="12280" max="12280" width="17.5703125" style="3" hidden="1"/>
    <col min="12281" max="12281" width="16" style="3" hidden="1"/>
    <col min="12282" max="12282" width="18.140625" style="3" hidden="1"/>
    <col min="12283" max="12475" width="9.140625" style="3" hidden="1"/>
    <col min="12476" max="12476" width="11" style="3" hidden="1"/>
    <col min="12477" max="12477" width="53.140625" style="3" hidden="1"/>
    <col min="12478" max="12534" width="9.140625" style="3" hidden="1"/>
    <col min="12535" max="12535" width="16.28515625" style="3" hidden="1"/>
    <col min="12536" max="12536" width="17.5703125" style="3" hidden="1"/>
    <col min="12537" max="12537" width="16" style="3" hidden="1"/>
    <col min="12538" max="12538" width="18.140625" style="3" hidden="1"/>
    <col min="12539" max="12731" width="9.140625" style="3" hidden="1"/>
    <col min="12732" max="12732" width="11" style="3" hidden="1"/>
    <col min="12733" max="12733" width="53.140625" style="3" hidden="1"/>
    <col min="12734" max="12790" width="9.140625" style="3" hidden="1"/>
    <col min="12791" max="12791" width="16.28515625" style="3" hidden="1"/>
    <col min="12792" max="12792" width="17.5703125" style="3" hidden="1"/>
    <col min="12793" max="12793" width="16" style="3" hidden="1"/>
    <col min="12794" max="12794" width="18.140625" style="3" hidden="1"/>
    <col min="12795" max="12987" width="9.140625" style="3" hidden="1"/>
    <col min="12988" max="12988" width="11" style="3" hidden="1"/>
    <col min="12989" max="12989" width="53.140625" style="3" hidden="1"/>
    <col min="12990" max="13046" width="9.140625" style="3" hidden="1"/>
    <col min="13047" max="13047" width="16.28515625" style="3" hidden="1"/>
    <col min="13048" max="13048" width="17.5703125" style="3" hidden="1"/>
    <col min="13049" max="13049" width="16" style="3" hidden="1"/>
    <col min="13050" max="13050" width="18.140625" style="3" hidden="1"/>
    <col min="13051" max="13243" width="9.140625" style="3" hidden="1"/>
    <col min="13244" max="13244" width="11" style="3" hidden="1"/>
    <col min="13245" max="13245" width="53.140625" style="3" hidden="1"/>
    <col min="13246" max="13302" width="9.140625" style="3" hidden="1"/>
    <col min="13303" max="13303" width="16.28515625" style="3" hidden="1"/>
    <col min="13304" max="13304" width="17.5703125" style="3" hidden="1"/>
    <col min="13305" max="13305" width="16" style="3" hidden="1"/>
    <col min="13306" max="13306" width="18.140625" style="3" hidden="1"/>
    <col min="13307" max="13499" width="9.140625" style="3" hidden="1"/>
    <col min="13500" max="13500" width="11" style="3" hidden="1"/>
    <col min="13501" max="13501" width="53.140625" style="3" hidden="1"/>
    <col min="13502" max="13558" width="9.140625" style="3" hidden="1"/>
    <col min="13559" max="13559" width="16.28515625" style="3" hidden="1"/>
    <col min="13560" max="13560" width="17.5703125" style="3" hidden="1"/>
    <col min="13561" max="13561" width="16" style="3" hidden="1"/>
    <col min="13562" max="13562" width="18.140625" style="3" hidden="1"/>
    <col min="13563" max="13755" width="9.140625" style="3" hidden="1"/>
    <col min="13756" max="13756" width="11" style="3" hidden="1"/>
    <col min="13757" max="13757" width="53.140625" style="3" hidden="1"/>
    <col min="13758" max="13814" width="9.140625" style="3" hidden="1"/>
    <col min="13815" max="13815" width="16.28515625" style="3" hidden="1"/>
    <col min="13816" max="13816" width="17.5703125" style="3" hidden="1"/>
    <col min="13817" max="13817" width="16" style="3" hidden="1"/>
    <col min="13818" max="13818" width="18.140625" style="3" hidden="1"/>
    <col min="13819" max="14011" width="9.140625" style="3" hidden="1"/>
    <col min="14012" max="14012" width="11" style="3" hidden="1"/>
    <col min="14013" max="14013" width="53.140625" style="3" hidden="1"/>
    <col min="14014" max="14070" width="9.140625" style="3" hidden="1"/>
    <col min="14071" max="14071" width="16.28515625" style="3" hidden="1"/>
    <col min="14072" max="14072" width="17.5703125" style="3" hidden="1"/>
    <col min="14073" max="14073" width="16" style="3" hidden="1"/>
    <col min="14074" max="14074" width="18.140625" style="3" hidden="1"/>
    <col min="14075" max="14267" width="9.140625" style="3" hidden="1"/>
    <col min="14268" max="14268" width="11" style="3" hidden="1"/>
    <col min="14269" max="14269" width="53.140625" style="3" hidden="1"/>
    <col min="14270" max="14326" width="9.140625" style="3" hidden="1"/>
    <col min="14327" max="14327" width="16.28515625" style="3" hidden="1"/>
    <col min="14328" max="14328" width="17.5703125" style="3" hidden="1"/>
    <col min="14329" max="14329" width="16" style="3" hidden="1"/>
    <col min="14330" max="14330" width="18.140625" style="3" hidden="1"/>
    <col min="14331" max="14523" width="9.140625" style="3" hidden="1"/>
    <col min="14524" max="14524" width="11" style="3" hidden="1"/>
    <col min="14525" max="14525" width="53.140625" style="3" hidden="1"/>
    <col min="14526" max="14582" width="9.140625" style="3" hidden="1"/>
    <col min="14583" max="14583" width="16.28515625" style="3" hidden="1"/>
    <col min="14584" max="14584" width="17.5703125" style="3" hidden="1"/>
    <col min="14585" max="14585" width="16" style="3" hidden="1"/>
    <col min="14586" max="14586" width="18.140625" style="3" hidden="1"/>
    <col min="14587" max="14779" width="9.140625" style="3" hidden="1"/>
    <col min="14780" max="14780" width="11" style="3" hidden="1"/>
    <col min="14781" max="14781" width="53.140625" style="3" hidden="1"/>
    <col min="14782" max="14838" width="9.140625" style="3" hidden="1"/>
    <col min="14839" max="14839" width="16.28515625" style="3" hidden="1"/>
    <col min="14840" max="14840" width="17.5703125" style="3" hidden="1"/>
    <col min="14841" max="14841" width="16" style="3" hidden="1"/>
    <col min="14842" max="14842" width="18.140625" style="3" hidden="1"/>
    <col min="14843" max="15035" width="9.140625" style="3" hidden="1"/>
    <col min="15036" max="15036" width="11" style="3" hidden="1"/>
    <col min="15037" max="15037" width="53.140625" style="3" hidden="1"/>
    <col min="15038" max="15094" width="9.140625" style="3" hidden="1"/>
    <col min="15095" max="15095" width="16.28515625" style="3" hidden="1"/>
    <col min="15096" max="15096" width="17.5703125" style="3" hidden="1"/>
    <col min="15097" max="15097" width="16" style="3" hidden="1"/>
    <col min="15098" max="15098" width="18.140625" style="3" hidden="1"/>
    <col min="15099" max="15291" width="9.140625" style="3" hidden="1"/>
    <col min="15292" max="15292" width="11" style="3" hidden="1"/>
    <col min="15293" max="15293" width="53.140625" style="3" hidden="1"/>
    <col min="15294" max="15350" width="9.140625" style="3" hidden="1"/>
    <col min="15351" max="15351" width="16.28515625" style="3" hidden="1"/>
    <col min="15352" max="15352" width="17.5703125" style="3" hidden="1"/>
    <col min="15353" max="15353" width="16" style="3" hidden="1"/>
    <col min="15354" max="15354" width="18.140625" style="3" hidden="1"/>
    <col min="15355" max="15547" width="9.140625" style="3" hidden="1"/>
    <col min="15548" max="15548" width="11" style="3" hidden="1"/>
    <col min="15549" max="15549" width="53.140625" style="3" hidden="1"/>
    <col min="15550" max="15606" width="9.140625" style="3" hidden="1"/>
    <col min="15607" max="15607" width="16.28515625" style="3" hidden="1"/>
    <col min="15608" max="15608" width="17.5703125" style="3" hidden="1"/>
    <col min="15609" max="15609" width="16" style="3" hidden="1"/>
    <col min="15610" max="15610" width="18.140625" style="3" hidden="1"/>
    <col min="15611" max="15803" width="9.140625" style="3" hidden="1"/>
    <col min="15804" max="15804" width="11" style="3" hidden="1"/>
    <col min="15805" max="15805" width="53.140625" style="3" hidden="1"/>
    <col min="15806" max="15862" width="9.140625" style="3" hidden="1"/>
    <col min="15863" max="15863" width="16.28515625" style="3" hidden="1"/>
    <col min="15864" max="15864" width="17.5703125" style="3" hidden="1"/>
    <col min="15865" max="15865" width="16" style="3" hidden="1"/>
    <col min="15866" max="15866" width="18.140625" style="3" hidden="1"/>
    <col min="15867" max="16059" width="9.140625" style="3" hidden="1"/>
    <col min="16060" max="16060" width="11" style="3" hidden="1"/>
    <col min="16061" max="16061" width="53.140625" style="3" hidden="1"/>
    <col min="16062" max="16118" width="9.140625" style="3" hidden="1"/>
    <col min="16119" max="16119" width="16.28515625" style="3" hidden="1"/>
    <col min="16120" max="16120" width="17.5703125" style="3" hidden="1"/>
    <col min="16121" max="16121" width="16" style="3" hidden="1"/>
    <col min="16122" max="16122" width="18.140625" style="3" hidden="1"/>
    <col min="16123" max="16384" width="9.140625" style="3" hidden="1"/>
  </cols>
  <sheetData>
    <row r="1" spans="1:6">
      <c r="B1" s="2" t="s">
        <v>1189</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Worksheet'!$D$53</f>
        <v>526148</v>
      </c>
      <c r="E3" s="11"/>
      <c r="F3" s="11"/>
    </row>
    <row r="4" spans="1:6">
      <c r="A4" s="8">
        <v>0</v>
      </c>
      <c r="B4" s="11" t="s">
        <v>4</v>
      </c>
      <c r="C4" s="10">
        <v>1.204E-3</v>
      </c>
      <c r="D4" s="12">
        <f>ROUND(D$3*C4,0)</f>
        <v>633</v>
      </c>
      <c r="E4" s="13">
        <f>ROUND(D4/2,0)</f>
        <v>317</v>
      </c>
      <c r="F4" s="12">
        <f>D4-E4</f>
        <v>316</v>
      </c>
    </row>
    <row r="5" spans="1:6">
      <c r="A5" s="8">
        <v>1</v>
      </c>
      <c r="B5" s="11" t="s">
        <v>1190</v>
      </c>
      <c r="C5" s="10">
        <v>0.17135500000000001</v>
      </c>
      <c r="D5" s="9">
        <f>ROUND(D$3*C5,0)</f>
        <v>90158</v>
      </c>
      <c r="E5" s="11">
        <f>ROUND(D5/2,0)</f>
        <v>45079</v>
      </c>
      <c r="F5" s="9">
        <f>D5-E5</f>
        <v>45079</v>
      </c>
    </row>
    <row r="6" spans="1:6">
      <c r="A6" s="8"/>
      <c r="B6" s="11" t="s">
        <v>6</v>
      </c>
      <c r="C6" s="11"/>
      <c r="D6" s="14">
        <v>0.34275800000000001</v>
      </c>
      <c r="E6" s="11"/>
      <c r="F6" s="11"/>
    </row>
    <row r="7" spans="1:6">
      <c r="A7" s="8"/>
      <c r="B7" s="11" t="s">
        <v>7</v>
      </c>
      <c r="C7" s="11"/>
      <c r="D7" s="228">
        <f>ROUND(D5*D6,0)</f>
        <v>30902</v>
      </c>
      <c r="E7" s="229">
        <f>ROUND(D7/2,0)</f>
        <v>15451</v>
      </c>
      <c r="F7" s="228">
        <f>D7-E7</f>
        <v>15451</v>
      </c>
    </row>
    <row r="8" spans="1:6">
      <c r="A8" s="8"/>
      <c r="B8" s="11" t="s">
        <v>8</v>
      </c>
      <c r="C8" s="11"/>
      <c r="D8" s="12">
        <f>+D5-D7</f>
        <v>59256</v>
      </c>
      <c r="E8" s="13">
        <f>ROUND(D8/2,0)</f>
        <v>29628</v>
      </c>
      <c r="F8" s="12">
        <f>D8-E8</f>
        <v>29628</v>
      </c>
    </row>
    <row r="9" spans="1:6">
      <c r="A9" s="8">
        <v>2</v>
      </c>
      <c r="B9" s="11" t="s">
        <v>1191</v>
      </c>
      <c r="C9" s="11"/>
      <c r="D9" s="9"/>
      <c r="E9" s="11"/>
      <c r="F9" s="11"/>
    </row>
    <row r="10" spans="1:6">
      <c r="A10" s="8"/>
      <c r="B10" s="11" t="s">
        <v>10</v>
      </c>
      <c r="C10" s="10">
        <v>1.5900000000000001E-3</v>
      </c>
      <c r="D10" s="12">
        <f>ROUND(D$3*C10,0)</f>
        <v>837</v>
      </c>
      <c r="E10" s="13">
        <f>ROUND(D10/2,0)</f>
        <v>419</v>
      </c>
      <c r="F10" s="12">
        <f>D10-E10</f>
        <v>418</v>
      </c>
    </row>
    <row r="11" spans="1:6">
      <c r="A11" s="8"/>
      <c r="B11" s="11" t="s">
        <v>11</v>
      </c>
      <c r="C11" s="10">
        <v>1.5899999999999999E-4</v>
      </c>
      <c r="D11" s="12">
        <f>ROUND(D$3*C11,0)</f>
        <v>84</v>
      </c>
      <c r="E11" s="13">
        <f>ROUND(D11/2,0)</f>
        <v>42</v>
      </c>
      <c r="F11" s="12">
        <f>D11-E11</f>
        <v>42</v>
      </c>
    </row>
    <row r="12" spans="1:6">
      <c r="A12" s="8">
        <v>2</v>
      </c>
      <c r="B12" s="11" t="s">
        <v>107</v>
      </c>
      <c r="C12" s="11"/>
      <c r="D12" s="9"/>
      <c r="E12" s="11"/>
      <c r="F12" s="11"/>
    </row>
    <row r="13" spans="1:6">
      <c r="A13" s="8"/>
      <c r="B13" s="11" t="s">
        <v>10</v>
      </c>
      <c r="C13" s="10">
        <v>6.8970000000000004E-3</v>
      </c>
      <c r="D13" s="12">
        <f>ROUND(D$3*C13,0)</f>
        <v>3629</v>
      </c>
      <c r="E13" s="13">
        <f>ROUND(D13/2,0)</f>
        <v>1815</v>
      </c>
      <c r="F13" s="12">
        <f>D13-E13</f>
        <v>1814</v>
      </c>
    </row>
    <row r="14" spans="1:6">
      <c r="A14" s="8"/>
      <c r="B14" s="11" t="s">
        <v>11</v>
      </c>
      <c r="C14" s="10">
        <v>7.2199999999999999E-4</v>
      </c>
      <c r="D14" s="12">
        <f>ROUND(D$3*C14,0)</f>
        <v>380</v>
      </c>
      <c r="E14" s="13">
        <f>ROUND(D14/2,0)</f>
        <v>190</v>
      </c>
      <c r="F14" s="12">
        <f>D14-E14</f>
        <v>190</v>
      </c>
    </row>
    <row r="15" spans="1:6">
      <c r="A15" s="8">
        <v>2</v>
      </c>
      <c r="B15" s="11" t="s">
        <v>85</v>
      </c>
      <c r="C15" s="11"/>
      <c r="D15" s="9"/>
      <c r="E15" s="11"/>
      <c r="F15" s="11"/>
    </row>
    <row r="16" spans="1:6">
      <c r="A16" s="8"/>
      <c r="B16" s="11" t="s">
        <v>10</v>
      </c>
      <c r="C16" s="10">
        <v>3.6670000000000001E-3</v>
      </c>
      <c r="D16" s="12">
        <f>ROUND(D$3*C16,0)</f>
        <v>1929</v>
      </c>
      <c r="E16" s="13">
        <f>ROUND(D16/2,0)</f>
        <v>965</v>
      </c>
      <c r="F16" s="12">
        <f>D16-E16</f>
        <v>964</v>
      </c>
    </row>
    <row r="17" spans="1:6">
      <c r="A17" s="8"/>
      <c r="B17" s="11" t="s">
        <v>11</v>
      </c>
      <c r="C17" s="10">
        <v>4.8000000000000001E-5</v>
      </c>
      <c r="D17" s="12">
        <f>ROUND(D$3*C17,0)</f>
        <v>25</v>
      </c>
      <c r="E17" s="13">
        <f>ROUND(D17/2,0)</f>
        <v>13</v>
      </c>
      <c r="F17" s="12">
        <f>D17-E17</f>
        <v>12</v>
      </c>
    </row>
    <row r="18" spans="1:6">
      <c r="A18" s="8">
        <v>2</v>
      </c>
      <c r="B18" s="11" t="s">
        <v>593</v>
      </c>
      <c r="C18" s="11"/>
      <c r="D18" s="9"/>
      <c r="E18" s="11"/>
      <c r="F18" s="11"/>
    </row>
    <row r="19" spans="1:6">
      <c r="A19" s="8"/>
      <c r="B19" s="11" t="s">
        <v>10</v>
      </c>
      <c r="C19" s="10">
        <v>9.01E-4</v>
      </c>
      <c r="D19" s="12">
        <f>ROUND(D$3*C19,0)</f>
        <v>474</v>
      </c>
      <c r="E19" s="13">
        <f>ROUND(D19/2,0)</f>
        <v>237</v>
      </c>
      <c r="F19" s="12">
        <f>D19-E19</f>
        <v>237</v>
      </c>
    </row>
    <row r="20" spans="1:6">
      <c r="A20" s="8"/>
      <c r="B20" s="11" t="s">
        <v>11</v>
      </c>
      <c r="C20" s="10">
        <v>7.4700000000000005E-4</v>
      </c>
      <c r="D20" s="12">
        <f>ROUND(D$3*C20,0)</f>
        <v>393</v>
      </c>
      <c r="E20" s="13">
        <f>ROUND(D20/2,0)</f>
        <v>197</v>
      </c>
      <c r="F20" s="12">
        <f>D20-E20</f>
        <v>196</v>
      </c>
    </row>
    <row r="21" spans="1:6">
      <c r="A21" s="8">
        <v>2</v>
      </c>
      <c r="B21" s="11" t="s">
        <v>1001</v>
      </c>
      <c r="C21" s="11"/>
      <c r="D21" s="9"/>
      <c r="E21" s="11"/>
      <c r="F21" s="11"/>
    </row>
    <row r="22" spans="1:6">
      <c r="A22" s="8"/>
      <c r="B22" s="11" t="s">
        <v>10</v>
      </c>
      <c r="C22" s="10">
        <v>2.3370000000000001E-3</v>
      </c>
      <c r="D22" s="12">
        <f>ROUND(D$3*C22,0)</f>
        <v>1230</v>
      </c>
      <c r="E22" s="13">
        <f>ROUND(D22/2,0)</f>
        <v>615</v>
      </c>
      <c r="F22" s="12">
        <f>D22-E22</f>
        <v>615</v>
      </c>
    </row>
    <row r="23" spans="1:6">
      <c r="A23" s="8"/>
      <c r="B23" s="11" t="s">
        <v>11</v>
      </c>
      <c r="C23" s="10">
        <v>5.1599999999999997E-4</v>
      </c>
      <c r="D23" s="12">
        <f>ROUND(D$3*C23,0)</f>
        <v>271</v>
      </c>
      <c r="E23" s="13">
        <f>ROUND(D23/2,0)</f>
        <v>136</v>
      </c>
      <c r="F23" s="12">
        <f>D23-E23</f>
        <v>135</v>
      </c>
    </row>
    <row r="24" spans="1:6">
      <c r="A24" s="8">
        <v>2</v>
      </c>
      <c r="B24" s="11" t="s">
        <v>795</v>
      </c>
      <c r="C24" s="11"/>
      <c r="D24" s="9"/>
      <c r="E24" s="11"/>
      <c r="F24" s="11"/>
    </row>
    <row r="25" spans="1:6">
      <c r="A25" s="8"/>
      <c r="B25" s="11" t="s">
        <v>10</v>
      </c>
      <c r="C25" s="10">
        <v>1.4120000000000001E-3</v>
      </c>
      <c r="D25" s="12">
        <f>ROUND(D$3*C25,0)</f>
        <v>743</v>
      </c>
      <c r="E25" s="13">
        <f>ROUND(D25/2,0)</f>
        <v>372</v>
      </c>
      <c r="F25" s="12">
        <f>D25-E25</f>
        <v>371</v>
      </c>
    </row>
    <row r="26" spans="1:6">
      <c r="A26" s="8"/>
      <c r="B26" s="11" t="s">
        <v>11</v>
      </c>
      <c r="C26" s="10">
        <v>1.0319999999999999E-3</v>
      </c>
      <c r="D26" s="12">
        <f>ROUND(D$3*C26,0)</f>
        <v>543</v>
      </c>
      <c r="E26" s="13">
        <f>ROUND(D26/2,0)</f>
        <v>272</v>
      </c>
      <c r="F26" s="12">
        <f>D26-E26</f>
        <v>271</v>
      </c>
    </row>
    <row r="27" spans="1:6">
      <c r="A27" s="8">
        <v>2</v>
      </c>
      <c r="B27" s="11" t="s">
        <v>183</v>
      </c>
      <c r="C27" s="11"/>
      <c r="D27" s="9"/>
      <c r="E27" s="11"/>
      <c r="F27" s="11"/>
    </row>
    <row r="28" spans="1:6">
      <c r="A28" s="8"/>
      <c r="B28" s="11" t="s">
        <v>10</v>
      </c>
      <c r="C28" s="10">
        <v>7.6199999999999998E-4</v>
      </c>
      <c r="D28" s="12">
        <f>ROUND(D$3*C28,0)</f>
        <v>401</v>
      </c>
      <c r="E28" s="13">
        <f>ROUND(D28/2,0)</f>
        <v>201</v>
      </c>
      <c r="F28" s="12">
        <f>D28-E28</f>
        <v>200</v>
      </c>
    </row>
    <row r="29" spans="1:6">
      <c r="A29" s="8"/>
      <c r="B29" s="11" t="s">
        <v>11</v>
      </c>
      <c r="C29" s="10">
        <v>2.63E-4</v>
      </c>
      <c r="D29" s="12">
        <f>ROUND(D$3*C29,0)</f>
        <v>138</v>
      </c>
      <c r="E29" s="13">
        <f>ROUND(D29/2,0)</f>
        <v>69</v>
      </c>
      <c r="F29" s="12">
        <f>D29-E29</f>
        <v>69</v>
      </c>
    </row>
    <row r="30" spans="1:6">
      <c r="A30" s="8">
        <v>2</v>
      </c>
      <c r="B30" s="11" t="s">
        <v>20</v>
      </c>
      <c r="C30" s="11"/>
      <c r="D30" s="9"/>
      <c r="E30" s="11"/>
      <c r="F30" s="11"/>
    </row>
    <row r="31" spans="1:6">
      <c r="A31" s="8"/>
      <c r="B31" s="11" t="s">
        <v>10</v>
      </c>
      <c r="C31" s="10">
        <v>4.9870000000000001E-3</v>
      </c>
      <c r="D31" s="12">
        <f>ROUND(D$3*C31,0)</f>
        <v>2624</v>
      </c>
      <c r="E31" s="13">
        <f>ROUND(D31/2,0)</f>
        <v>1312</v>
      </c>
      <c r="F31" s="12">
        <f>D31-E31</f>
        <v>1312</v>
      </c>
    </row>
    <row r="32" spans="1:6">
      <c r="A32" s="8"/>
      <c r="B32" s="11" t="s">
        <v>11</v>
      </c>
      <c r="C32" s="10">
        <v>6.3400000000000001E-4</v>
      </c>
      <c r="D32" s="12">
        <f>ROUND(D$3*C32,0)</f>
        <v>334</v>
      </c>
      <c r="E32" s="13">
        <f>ROUND(D32/2,0)</f>
        <v>167</v>
      </c>
      <c r="F32" s="12">
        <f>D32-E32</f>
        <v>167</v>
      </c>
    </row>
    <row r="33" spans="1:6">
      <c r="A33" s="8">
        <v>2</v>
      </c>
      <c r="B33" s="11" t="s">
        <v>1192</v>
      </c>
      <c r="C33" s="11"/>
      <c r="D33" s="9"/>
      <c r="E33" s="11"/>
      <c r="F33" s="11"/>
    </row>
    <row r="34" spans="1:6">
      <c r="A34" s="8"/>
      <c r="B34" s="11" t="s">
        <v>10</v>
      </c>
      <c r="C34" s="10">
        <v>1.122E-3</v>
      </c>
      <c r="D34" s="12">
        <f>ROUND(D$3*C34,0)</f>
        <v>590</v>
      </c>
      <c r="E34" s="13">
        <f>ROUND(D34/2,0)</f>
        <v>295</v>
      </c>
      <c r="F34" s="12">
        <f>D34-E34</f>
        <v>295</v>
      </c>
    </row>
    <row r="35" spans="1:6">
      <c r="A35" s="8"/>
      <c r="B35" s="11" t="s">
        <v>11</v>
      </c>
      <c r="C35" s="10">
        <v>1.84E-4</v>
      </c>
      <c r="D35" s="12">
        <f>ROUND(D$3*C35,0)</f>
        <v>97</v>
      </c>
      <c r="E35" s="13">
        <f>ROUND(D35/2,0)</f>
        <v>49</v>
      </c>
      <c r="F35" s="12">
        <f>D35-E35</f>
        <v>48</v>
      </c>
    </row>
    <row r="36" spans="1:6">
      <c r="A36" s="8">
        <v>2</v>
      </c>
      <c r="B36" s="11" t="s">
        <v>1193</v>
      </c>
      <c r="C36" s="11"/>
      <c r="D36" s="9"/>
      <c r="E36" s="11"/>
      <c r="F36" s="11"/>
    </row>
    <row r="37" spans="1:6">
      <c r="A37" s="8"/>
      <c r="B37" s="11" t="s">
        <v>10</v>
      </c>
      <c r="C37" s="10">
        <v>7.7999999999999999E-5</v>
      </c>
      <c r="D37" s="12">
        <f t="shared" ref="D37:D45" si="0">ROUND(D$3*C37,0)</f>
        <v>41</v>
      </c>
      <c r="E37" s="13">
        <f t="shared" ref="E37:E45" si="1">ROUND(D37/2,0)</f>
        <v>21</v>
      </c>
      <c r="F37" s="12">
        <f t="shared" ref="F37:F45" si="2">D37-E37</f>
        <v>20</v>
      </c>
    </row>
    <row r="38" spans="1:6">
      <c r="A38" s="8"/>
      <c r="B38" s="11" t="s">
        <v>11</v>
      </c>
      <c r="C38" s="10">
        <v>1.4530000000000001E-3</v>
      </c>
      <c r="D38" s="12">
        <f t="shared" si="0"/>
        <v>764</v>
      </c>
      <c r="E38" s="13">
        <f t="shared" si="1"/>
        <v>382</v>
      </c>
      <c r="F38" s="12">
        <f t="shared" si="2"/>
        <v>382</v>
      </c>
    </row>
    <row r="39" spans="1:6">
      <c r="A39" s="8">
        <v>3</v>
      </c>
      <c r="B39" s="11" t="s">
        <v>1194</v>
      </c>
      <c r="C39" s="10">
        <v>5.8999999999999998E-5</v>
      </c>
      <c r="D39" s="12">
        <f t="shared" si="0"/>
        <v>31</v>
      </c>
      <c r="E39" s="13">
        <f t="shared" si="1"/>
        <v>16</v>
      </c>
      <c r="F39" s="12">
        <f t="shared" si="2"/>
        <v>15</v>
      </c>
    </row>
    <row r="40" spans="1:6">
      <c r="A40" s="8">
        <v>3</v>
      </c>
      <c r="B40" s="11" t="s">
        <v>1195</v>
      </c>
      <c r="C40" s="10">
        <v>1.206E-2</v>
      </c>
      <c r="D40" s="12">
        <f t="shared" si="0"/>
        <v>6345</v>
      </c>
      <c r="E40" s="13">
        <f t="shared" si="1"/>
        <v>3173</v>
      </c>
      <c r="F40" s="12">
        <f t="shared" si="2"/>
        <v>3172</v>
      </c>
    </row>
    <row r="41" spans="1:6">
      <c r="A41" s="8">
        <v>3</v>
      </c>
      <c r="B41" s="11" t="s">
        <v>1196</v>
      </c>
      <c r="C41" s="10">
        <v>3.5099999999999999E-2</v>
      </c>
      <c r="D41" s="12">
        <f t="shared" si="0"/>
        <v>18468</v>
      </c>
      <c r="E41" s="13">
        <f t="shared" si="1"/>
        <v>9234</v>
      </c>
      <c r="F41" s="12">
        <f t="shared" si="2"/>
        <v>9234</v>
      </c>
    </row>
    <row r="42" spans="1:6">
      <c r="A42" s="8">
        <v>3</v>
      </c>
      <c r="B42" s="11" t="s">
        <v>1197</v>
      </c>
      <c r="C42" s="10">
        <v>1.341E-3</v>
      </c>
      <c r="D42" s="12">
        <f t="shared" si="0"/>
        <v>706</v>
      </c>
      <c r="E42" s="13">
        <f t="shared" si="1"/>
        <v>353</v>
      </c>
      <c r="F42" s="12">
        <f t="shared" si="2"/>
        <v>353</v>
      </c>
    </row>
    <row r="43" spans="1:6">
      <c r="A43" s="8">
        <v>3</v>
      </c>
      <c r="B43" s="11" t="s">
        <v>1198</v>
      </c>
      <c r="C43" s="10">
        <v>3.6400000000000001E-4</v>
      </c>
      <c r="D43" s="12">
        <f t="shared" si="0"/>
        <v>192</v>
      </c>
      <c r="E43" s="13">
        <f t="shared" si="1"/>
        <v>96</v>
      </c>
      <c r="F43" s="12">
        <f t="shared" si="2"/>
        <v>96</v>
      </c>
    </row>
    <row r="44" spans="1:6">
      <c r="A44" s="8">
        <v>3</v>
      </c>
      <c r="B44" s="11" t="s">
        <v>1199</v>
      </c>
      <c r="C44" s="10">
        <v>9.4527E-2</v>
      </c>
      <c r="D44" s="12">
        <f t="shared" si="0"/>
        <v>49735</v>
      </c>
      <c r="E44" s="13">
        <f t="shared" si="1"/>
        <v>24868</v>
      </c>
      <c r="F44" s="12">
        <f t="shared" si="2"/>
        <v>24867</v>
      </c>
    </row>
    <row r="45" spans="1:6">
      <c r="A45" s="8">
        <v>4</v>
      </c>
      <c r="B45" s="11" t="s">
        <v>1200</v>
      </c>
      <c r="C45" s="10">
        <v>4.5342E-2</v>
      </c>
      <c r="D45" s="9">
        <f t="shared" si="0"/>
        <v>23857</v>
      </c>
      <c r="E45" s="11">
        <f t="shared" si="1"/>
        <v>11929</v>
      </c>
      <c r="F45" s="9">
        <f t="shared" si="2"/>
        <v>11928</v>
      </c>
    </row>
    <row r="46" spans="1:6">
      <c r="A46" s="8"/>
      <c r="B46" s="11" t="s">
        <v>28</v>
      </c>
      <c r="C46" s="11"/>
      <c r="D46" s="14">
        <v>0.41400199999999998</v>
      </c>
      <c r="E46" s="11"/>
      <c r="F46" s="11"/>
    </row>
    <row r="47" spans="1:6">
      <c r="A47" s="8"/>
      <c r="B47" s="11" t="s">
        <v>29</v>
      </c>
      <c r="C47" s="11"/>
      <c r="D47" s="228">
        <f>ROUND(D45*D46,0)</f>
        <v>9877</v>
      </c>
      <c r="E47" s="229">
        <f>ROUND(D47/2,0)</f>
        <v>4939</v>
      </c>
      <c r="F47" s="228">
        <f>D47-E47</f>
        <v>4938</v>
      </c>
    </row>
    <row r="48" spans="1:6">
      <c r="A48" s="8"/>
      <c r="B48" s="11" t="s">
        <v>30</v>
      </c>
      <c r="C48" s="11"/>
      <c r="D48" s="12">
        <f>+D45-D47</f>
        <v>13980</v>
      </c>
      <c r="E48" s="13">
        <f>ROUND(D48/2,0)</f>
        <v>6990</v>
      </c>
      <c r="F48" s="12">
        <f>D48-E48</f>
        <v>6990</v>
      </c>
    </row>
    <row r="49" spans="1:6">
      <c r="A49" s="8">
        <v>4</v>
      </c>
      <c r="B49" s="11" t="s">
        <v>1201</v>
      </c>
      <c r="C49" s="10">
        <v>0.102782</v>
      </c>
      <c r="D49" s="9">
        <f>ROUND(D$3*C49,0)</f>
        <v>54079</v>
      </c>
      <c r="E49" s="11">
        <f>ROUND(D49/2,0)</f>
        <v>27040</v>
      </c>
      <c r="F49" s="9">
        <f>D49-E49</f>
        <v>27039</v>
      </c>
    </row>
    <row r="50" spans="1:6">
      <c r="A50" s="8"/>
      <c r="B50" s="11" t="s">
        <v>28</v>
      </c>
      <c r="C50" s="11"/>
      <c r="D50" s="14">
        <v>0.495645</v>
      </c>
      <c r="E50" s="11"/>
      <c r="F50" s="11"/>
    </row>
    <row r="51" spans="1:6">
      <c r="A51" s="8"/>
      <c r="B51" s="11" t="s">
        <v>29</v>
      </c>
      <c r="C51" s="11"/>
      <c r="D51" s="228">
        <f>ROUND(D49*D50,0)</f>
        <v>26804</v>
      </c>
      <c r="E51" s="229">
        <f>ROUND(D51/2,0)</f>
        <v>13402</v>
      </c>
      <c r="F51" s="228">
        <f>D51-E51</f>
        <v>13402</v>
      </c>
    </row>
    <row r="52" spans="1:6">
      <c r="A52" s="8"/>
      <c r="B52" s="11" t="s">
        <v>30</v>
      </c>
      <c r="C52" s="11"/>
      <c r="D52" s="12">
        <f>+D49-D51</f>
        <v>27275</v>
      </c>
      <c r="E52" s="13">
        <f>ROUND(D52/2,0)</f>
        <v>13638</v>
      </c>
      <c r="F52" s="12">
        <f>D52-E52</f>
        <v>13637</v>
      </c>
    </row>
    <row r="53" spans="1:6">
      <c r="A53" s="8">
        <v>4</v>
      </c>
      <c r="B53" s="11" t="s">
        <v>557</v>
      </c>
      <c r="C53" s="10">
        <v>5.6209000000000002E-2</v>
      </c>
      <c r="D53" s="9">
        <f>ROUND(D$3*C53,0)</f>
        <v>29574</v>
      </c>
      <c r="E53" s="11">
        <f>ROUND(D53/2,0)</f>
        <v>14787</v>
      </c>
      <c r="F53" s="9">
        <f>D53-E53</f>
        <v>14787</v>
      </c>
    </row>
    <row r="54" spans="1:6">
      <c r="A54" s="8"/>
      <c r="B54" s="11" t="s">
        <v>28</v>
      </c>
      <c r="C54" s="11"/>
      <c r="D54" s="14">
        <v>0.48541400000000001</v>
      </c>
      <c r="E54" s="11"/>
      <c r="F54" s="11"/>
    </row>
    <row r="55" spans="1:6">
      <c r="A55" s="8"/>
      <c r="B55" s="11" t="s">
        <v>29</v>
      </c>
      <c r="C55" s="11"/>
      <c r="D55" s="228">
        <f>ROUND(D53*D54,0)</f>
        <v>14356</v>
      </c>
      <c r="E55" s="229">
        <f>ROUND(D55/2,0)</f>
        <v>7178</v>
      </c>
      <c r="F55" s="228">
        <f>D55-E55</f>
        <v>7178</v>
      </c>
    </row>
    <row r="56" spans="1:6">
      <c r="A56" s="8"/>
      <c r="B56" s="11" t="s">
        <v>30</v>
      </c>
      <c r="C56" s="11"/>
      <c r="D56" s="12">
        <f>+D53-D55</f>
        <v>15218</v>
      </c>
      <c r="E56" s="13">
        <f>ROUND(D56/2,0)</f>
        <v>7609</v>
      </c>
      <c r="F56" s="12">
        <f>D56-E56</f>
        <v>7609</v>
      </c>
    </row>
    <row r="57" spans="1:6">
      <c r="A57" s="8">
        <v>4</v>
      </c>
      <c r="B57" s="11" t="s">
        <v>1087</v>
      </c>
      <c r="C57" s="10">
        <v>2.7023999999999999E-2</v>
      </c>
      <c r="D57" s="9">
        <f>ROUND(D$3*C57,0)</f>
        <v>14219</v>
      </c>
      <c r="E57" s="11">
        <f>ROUND(D57/2,0)</f>
        <v>7110</v>
      </c>
      <c r="F57" s="9">
        <f>D57-E57</f>
        <v>7109</v>
      </c>
    </row>
    <row r="58" spans="1:6">
      <c r="A58" s="8"/>
      <c r="B58" s="11" t="s">
        <v>28</v>
      </c>
      <c r="C58" s="11"/>
      <c r="D58" s="14">
        <v>0.41838999999999998</v>
      </c>
      <c r="E58" s="11"/>
      <c r="F58" s="11"/>
    </row>
    <row r="59" spans="1:6">
      <c r="A59" s="8"/>
      <c r="B59" s="11" t="s">
        <v>29</v>
      </c>
      <c r="C59" s="11"/>
      <c r="D59" s="228">
        <f>ROUND(D57*D58,0)</f>
        <v>5949</v>
      </c>
      <c r="E59" s="229">
        <f>ROUND(D59/2,0)</f>
        <v>2975</v>
      </c>
      <c r="F59" s="228">
        <f>D59-E59</f>
        <v>2974</v>
      </c>
    </row>
    <row r="60" spans="1:6">
      <c r="A60" s="8"/>
      <c r="B60" s="11" t="s">
        <v>30</v>
      </c>
      <c r="C60" s="11"/>
      <c r="D60" s="12">
        <f>+D57-D59</f>
        <v>8270</v>
      </c>
      <c r="E60" s="13">
        <f>ROUND(D60/2,0)</f>
        <v>4135</v>
      </c>
      <c r="F60" s="12">
        <f>D60-E60</f>
        <v>4135</v>
      </c>
    </row>
    <row r="61" spans="1:6">
      <c r="A61" s="8">
        <v>4</v>
      </c>
      <c r="B61" s="11" t="s">
        <v>1202</v>
      </c>
      <c r="C61" s="10">
        <v>0.27815899999999999</v>
      </c>
      <c r="D61" s="9">
        <f>ROUND(D$3*C61,0)</f>
        <v>146353</v>
      </c>
      <c r="E61" s="11">
        <f>ROUND(D61/2,0)</f>
        <v>73177</v>
      </c>
      <c r="F61" s="9">
        <f>D61-E61</f>
        <v>73176</v>
      </c>
    </row>
    <row r="62" spans="1:6">
      <c r="A62" s="8"/>
      <c r="B62" s="11" t="s">
        <v>28</v>
      </c>
      <c r="C62" s="11"/>
      <c r="D62" s="14">
        <v>0.455814</v>
      </c>
      <c r="E62" s="11"/>
      <c r="F62" s="11"/>
    </row>
    <row r="63" spans="1:6">
      <c r="A63" s="8"/>
      <c r="B63" s="11" t="s">
        <v>29</v>
      </c>
      <c r="C63" s="11"/>
      <c r="D63" s="228">
        <f>ROUND(D61*D62,0)</f>
        <v>66710</v>
      </c>
      <c r="E63" s="229">
        <f>ROUND(D63/2,0)</f>
        <v>33355</v>
      </c>
      <c r="F63" s="228">
        <f>D63-E63</f>
        <v>33355</v>
      </c>
    </row>
    <row r="64" spans="1:6">
      <c r="A64" s="8"/>
      <c r="B64" s="11" t="s">
        <v>30</v>
      </c>
      <c r="C64" s="11"/>
      <c r="D64" s="12">
        <f>+D61-D63</f>
        <v>79643</v>
      </c>
      <c r="E64" s="13">
        <f>ROUND(D64/2,0)</f>
        <v>39822</v>
      </c>
      <c r="F64" s="12">
        <f>D64-E64</f>
        <v>39821</v>
      </c>
    </row>
    <row r="65" spans="1:6">
      <c r="A65" s="8">
        <v>4</v>
      </c>
      <c r="B65" s="11" t="s">
        <v>969</v>
      </c>
      <c r="C65" s="10">
        <v>5.6895000000000001E-2</v>
      </c>
      <c r="D65" s="9">
        <f>ROUND(D$3*C65,0)</f>
        <v>29935</v>
      </c>
      <c r="E65" s="11">
        <f>ROUND(D65/2,0)</f>
        <v>14968</v>
      </c>
      <c r="F65" s="9">
        <f>D65-E65</f>
        <v>14967</v>
      </c>
    </row>
    <row r="66" spans="1:6">
      <c r="A66" s="8"/>
      <c r="B66" s="11" t="s">
        <v>28</v>
      </c>
      <c r="C66" s="11"/>
      <c r="D66" s="14">
        <v>0.50257799999999997</v>
      </c>
      <c r="E66" s="11"/>
      <c r="F66" s="11"/>
    </row>
    <row r="67" spans="1:6">
      <c r="A67" s="8"/>
      <c r="B67" s="11" t="s">
        <v>29</v>
      </c>
      <c r="C67" s="11"/>
      <c r="D67" s="228">
        <f>ROUND(D65*D66,0)</f>
        <v>15045</v>
      </c>
      <c r="E67" s="229">
        <f>ROUND(D67/2,0)</f>
        <v>7523</v>
      </c>
      <c r="F67" s="228">
        <f>D67-E67</f>
        <v>7522</v>
      </c>
    </row>
    <row r="68" spans="1:6">
      <c r="A68" s="8"/>
      <c r="B68" s="11" t="s">
        <v>30</v>
      </c>
      <c r="C68" s="11"/>
      <c r="D68" s="12">
        <f>+D65-D67</f>
        <v>14890</v>
      </c>
      <c r="E68" s="13">
        <f>ROUND(D68/2,0)</f>
        <v>7445</v>
      </c>
      <c r="F68" s="12">
        <f>D68-E68</f>
        <v>7445</v>
      </c>
    </row>
    <row r="69" spans="1:6">
      <c r="A69" s="8">
        <v>4</v>
      </c>
      <c r="B69" s="11" t="s">
        <v>1203</v>
      </c>
      <c r="C69" s="10">
        <v>4.6542E-2</v>
      </c>
      <c r="D69" s="9">
        <f>ROUND(D$3*C69,0)</f>
        <v>24488</v>
      </c>
      <c r="E69" s="11">
        <f>ROUND(D69/2,0)</f>
        <v>12244</v>
      </c>
      <c r="F69" s="9">
        <f>D69-E69</f>
        <v>12244</v>
      </c>
    </row>
    <row r="70" spans="1:6">
      <c r="A70" s="8"/>
      <c r="B70" s="11" t="s">
        <v>28</v>
      </c>
      <c r="C70" s="11"/>
      <c r="D70" s="14">
        <v>0.49469099999999999</v>
      </c>
      <c r="E70" s="11"/>
      <c r="F70" s="11"/>
    </row>
    <row r="71" spans="1:6">
      <c r="A71" s="8" t="s">
        <v>590</v>
      </c>
      <c r="B71" s="11" t="s">
        <v>29</v>
      </c>
      <c r="C71" s="11"/>
      <c r="D71" s="228">
        <f>ROUND(D69*D70,0)</f>
        <v>12114</v>
      </c>
      <c r="E71" s="229">
        <f t="shared" ref="E71:E78" si="3">ROUND(D71/2,0)</f>
        <v>6057</v>
      </c>
      <c r="F71" s="228">
        <f t="shared" ref="F71:F78" si="4">D71-E71</f>
        <v>6057</v>
      </c>
    </row>
    <row r="72" spans="1:6">
      <c r="A72" s="8"/>
      <c r="B72" s="11" t="s">
        <v>30</v>
      </c>
      <c r="C72" s="11"/>
      <c r="D72" s="12">
        <f>+D69-D71</f>
        <v>12374</v>
      </c>
      <c r="E72" s="13">
        <f t="shared" si="3"/>
        <v>6187</v>
      </c>
      <c r="F72" s="12">
        <f t="shared" si="4"/>
        <v>6187</v>
      </c>
    </row>
    <row r="73" spans="1:6">
      <c r="A73" s="8">
        <v>5</v>
      </c>
      <c r="B73" s="11" t="s">
        <v>1204</v>
      </c>
      <c r="C73" s="10">
        <v>1.4339999999999999E-3</v>
      </c>
      <c r="D73" s="12">
        <f>ROUND(D$3*C73,0)</f>
        <v>754</v>
      </c>
      <c r="E73" s="13">
        <f t="shared" si="3"/>
        <v>377</v>
      </c>
      <c r="F73" s="12">
        <f t="shared" si="4"/>
        <v>377</v>
      </c>
    </row>
    <row r="74" spans="1:6">
      <c r="A74" s="8">
        <v>5</v>
      </c>
      <c r="B74" s="11" t="s">
        <v>1205</v>
      </c>
      <c r="C74" s="10">
        <v>1.8289999999999999E-3</v>
      </c>
      <c r="D74" s="12">
        <f>ROUND(D$3*C74,0)</f>
        <v>962</v>
      </c>
      <c r="E74" s="13">
        <f t="shared" si="3"/>
        <v>481</v>
      </c>
      <c r="F74" s="12">
        <f t="shared" si="4"/>
        <v>481</v>
      </c>
    </row>
    <row r="75" spans="1:6">
      <c r="A75" s="8">
        <v>5</v>
      </c>
      <c r="B75" s="11" t="s">
        <v>1206</v>
      </c>
      <c r="C75" s="10">
        <v>1.0571000000000001E-2</v>
      </c>
      <c r="D75" s="12">
        <f>ROUND(D$3*C75,0)</f>
        <v>5562</v>
      </c>
      <c r="E75" s="13">
        <f t="shared" si="3"/>
        <v>2781</v>
      </c>
      <c r="F75" s="12">
        <f t="shared" si="4"/>
        <v>2781</v>
      </c>
    </row>
    <row r="76" spans="1:6">
      <c r="A76" s="8">
        <v>5</v>
      </c>
      <c r="B76" s="11" t="s">
        <v>1207</v>
      </c>
      <c r="C76" s="10">
        <v>4.8710000000000003E-3</v>
      </c>
      <c r="D76" s="12">
        <f>ROUND(D$3*C76,0)</f>
        <v>2563</v>
      </c>
      <c r="E76" s="13">
        <f t="shared" si="3"/>
        <v>1282</v>
      </c>
      <c r="F76" s="12">
        <f t="shared" si="4"/>
        <v>1281</v>
      </c>
    </row>
    <row r="77" spans="1:6">
      <c r="A77" s="8">
        <v>5</v>
      </c>
      <c r="B77" s="11" t="s">
        <v>1208</v>
      </c>
      <c r="C77" s="10">
        <v>1.7409000000000001E-2</v>
      </c>
      <c r="D77" s="12">
        <f>ROUND(D$3*C77,0)</f>
        <v>9160</v>
      </c>
      <c r="E77" s="13">
        <f t="shared" si="3"/>
        <v>4580</v>
      </c>
      <c r="F77" s="12">
        <f t="shared" si="4"/>
        <v>4580</v>
      </c>
    </row>
    <row r="78" spans="1:6">
      <c r="A78" s="8">
        <v>6</v>
      </c>
      <c r="B78" s="11" t="s">
        <v>1209</v>
      </c>
      <c r="C78" s="10">
        <v>5.4119999999999724E-3</v>
      </c>
      <c r="D78" s="12">
        <f>+D3-SUM(D4:D5)-SUM(D10:D45)-D49-D53-D57-D61-D65-D69-SUM(D73:D77)</f>
        <v>2847</v>
      </c>
      <c r="E78" s="13">
        <f t="shared" si="3"/>
        <v>1424</v>
      </c>
      <c r="F78" s="12">
        <f t="shared" si="4"/>
        <v>1423</v>
      </c>
    </row>
    <row r="79" spans="1:6">
      <c r="A79" s="8"/>
      <c r="B79" s="28" t="s">
        <v>288</v>
      </c>
      <c r="C79" s="10">
        <v>1</v>
      </c>
      <c r="D79" s="12">
        <f>+D4+SUM(D7:D44)+SUM(D47:D48)+SUM(D51:D52)+SUM(D55:D56)+SUM(D59:D60)+SUM(D63:D64)+SUM(D67:D68)+SUM(D71:D78)</f>
        <v>526148</v>
      </c>
      <c r="E79" s="12">
        <f>+E4+SUM(E7:E44)+SUM(E47:E48)+SUM(E51:E52)+SUM(E55:E56)+SUM(E59:E60)+SUM(E63:E64)+SUM(E67:E68)+SUM(E71:E78)</f>
        <v>263085</v>
      </c>
      <c r="F79" s="12">
        <f>+F4+SUM(F7:F44)+SUM(F47:F48)+SUM(F51:F52)+SUM(F55:F56)+SUM(F59:F60)+SUM(F63:F64)+SUM(F67:F68)+SUM(F71:F78)</f>
        <v>263063</v>
      </c>
    </row>
    <row r="80" spans="1:6">
      <c r="B80" s="18" t="s">
        <v>38</v>
      </c>
      <c r="D80" s="19">
        <f>+D4</f>
        <v>633</v>
      </c>
      <c r="E80" s="19">
        <f>+E4</f>
        <v>317</v>
      </c>
      <c r="F80" s="19">
        <f>+F4</f>
        <v>316</v>
      </c>
    </row>
    <row r="81" spans="2:8">
      <c r="B81" s="2" t="s">
        <v>39</v>
      </c>
      <c r="D81" s="19">
        <f>+D7</f>
        <v>30902</v>
      </c>
      <c r="E81" s="19">
        <f>+E7</f>
        <v>15451</v>
      </c>
      <c r="F81" s="19">
        <f>+F7</f>
        <v>15451</v>
      </c>
    </row>
    <row r="82" spans="2:8">
      <c r="B82" s="2" t="s">
        <v>40</v>
      </c>
      <c r="D82" s="19">
        <f>+D47+D51+D55+D59+D63+D67+D71</f>
        <v>150855</v>
      </c>
      <c r="E82" s="19">
        <f>+E47+E51+E55+E59+E63+E67+E71</f>
        <v>75429</v>
      </c>
      <c r="F82" s="19">
        <f>+F47+F51+F55+F59+F63+F67+F71</f>
        <v>75426</v>
      </c>
      <c r="H82" s="3">
        <v>1</v>
      </c>
    </row>
    <row r="83" spans="2:8">
      <c r="B83" s="18" t="s">
        <v>41</v>
      </c>
      <c r="D83" s="19">
        <f>+D79-D80-D81-D82</f>
        <v>343758</v>
      </c>
      <c r="E83" s="19">
        <f>+E79-E80-E81-E82</f>
        <v>171888</v>
      </c>
      <c r="F83" s="19">
        <f>+F79-F80-F81-F82</f>
        <v>171870</v>
      </c>
      <c r="H83" s="3">
        <v>2</v>
      </c>
    </row>
    <row r="85" spans="2:8" hidden="1">
      <c r="B85" s="3" t="s">
        <v>42</v>
      </c>
      <c r="C85" s="4">
        <v>-1.0000000000278883E-6</v>
      </c>
      <c r="D85" s="3">
        <f>+D78-ROUND(D3*C78,0)</f>
        <v>-1</v>
      </c>
    </row>
  </sheetData>
  <pageMargins left="0.7" right="0.7" top="0.75" bottom="0.75" header="0.3" footer="0.3"/>
  <pageSetup scale="5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pageSetUpPr fitToPage="1"/>
  </sheetPr>
  <dimension ref="A1:WVB71"/>
  <sheetViews>
    <sheetView zoomScaleNormal="100" zoomScaleSheetLayoutView="80" workbookViewId="0">
      <selection activeCell="D36" activeCellId="2" sqref="D7:F7 D32:F32 D36:F36"/>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3.710937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3.710937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3.710937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3.710937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3.710937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3.710937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3.710937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3.710937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3.710937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3.710937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3.710937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3.710937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3.710937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3.710937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3.710937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3.710937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3.710937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3.710937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3.710937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3.710937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3.710937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3.710937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3.710937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3.710937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3.710937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3.710937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3.710937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3.710937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3.710937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3.710937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3.710937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3.710937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3.710937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3.710937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3.710937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3.710937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3.710937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3.710937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3.710937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3.710937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3.710937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3.710937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3.710937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3.710937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3.710937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3.710937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3.710937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3.710937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3.710937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3.710937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3.710937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3.710937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3.710937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3.710937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3.710937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3.710937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3.710937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3.710937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3.710937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3.710937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3.710937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3.710937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3.710937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1210</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Worksheet'!$D$54</f>
        <v>130716</v>
      </c>
      <c r="E3" s="11"/>
      <c r="F3" s="11"/>
    </row>
    <row r="4" spans="1:6">
      <c r="A4" s="8">
        <v>0</v>
      </c>
      <c r="B4" s="11" t="s">
        <v>4</v>
      </c>
      <c r="C4" s="10">
        <v>1.129E-3</v>
      </c>
      <c r="D4" s="12">
        <f>ROUND(D$3*C4,0)</f>
        <v>148</v>
      </c>
      <c r="E4" s="13">
        <f>ROUND(D4/2,0)</f>
        <v>74</v>
      </c>
      <c r="F4" s="12">
        <f>D4-E4</f>
        <v>74</v>
      </c>
    </row>
    <row r="5" spans="1:6">
      <c r="A5" s="8">
        <v>1</v>
      </c>
      <c r="B5" s="11" t="s">
        <v>1211</v>
      </c>
      <c r="C5" s="10">
        <v>0.27809800000000001</v>
      </c>
      <c r="D5" s="9">
        <f>ROUND(D$3*C5,0)</f>
        <v>36352</v>
      </c>
      <c r="E5" s="11">
        <f>ROUND(D5/2,0)</f>
        <v>18176</v>
      </c>
      <c r="F5" s="9">
        <f>D5-E5</f>
        <v>18176</v>
      </c>
    </row>
    <row r="6" spans="1:6">
      <c r="A6" s="8"/>
      <c r="B6" s="11" t="s">
        <v>6</v>
      </c>
      <c r="C6" s="11"/>
      <c r="D6" s="14">
        <v>0.15964100000000001</v>
      </c>
      <c r="E6" s="11"/>
      <c r="F6" s="11"/>
    </row>
    <row r="7" spans="1:6">
      <c r="A7" s="8"/>
      <c r="B7" s="11" t="s">
        <v>7</v>
      </c>
      <c r="C7" s="11"/>
      <c r="D7" s="225">
        <f>ROUND(D5*D6,0)</f>
        <v>5803</v>
      </c>
      <c r="E7" s="226">
        <f>ROUND(D7/2,0)</f>
        <v>2902</v>
      </c>
      <c r="F7" s="225">
        <f>D7-E7</f>
        <v>2901</v>
      </c>
    </row>
    <row r="8" spans="1:6">
      <c r="A8" s="8"/>
      <c r="B8" s="11" t="s">
        <v>8</v>
      </c>
      <c r="C8" s="11"/>
      <c r="D8" s="12">
        <f>+D5-D7</f>
        <v>30549</v>
      </c>
      <c r="E8" s="13">
        <f>ROUND(D8/2,0)</f>
        <v>15275</v>
      </c>
      <c r="F8" s="12">
        <f>D8-E8</f>
        <v>15274</v>
      </c>
    </row>
    <row r="9" spans="1:6">
      <c r="A9" s="8">
        <v>2</v>
      </c>
      <c r="B9" s="11" t="s">
        <v>107</v>
      </c>
      <c r="C9" s="11"/>
      <c r="D9" s="9"/>
      <c r="E9" s="11"/>
      <c r="F9" s="11"/>
    </row>
    <row r="10" spans="1:6">
      <c r="A10" s="8"/>
      <c r="B10" s="11" t="s">
        <v>10</v>
      </c>
      <c r="C10" s="10">
        <v>9.6900000000000003E-4</v>
      </c>
      <c r="D10" s="12">
        <f>ROUND(D$3*C10,0)</f>
        <v>127</v>
      </c>
      <c r="E10" s="13">
        <f>ROUND(D10/2,0)</f>
        <v>64</v>
      </c>
      <c r="F10" s="12">
        <f>D10-E10</f>
        <v>63</v>
      </c>
    </row>
    <row r="11" spans="1:6">
      <c r="A11" s="8"/>
      <c r="B11" s="11" t="s">
        <v>11</v>
      </c>
      <c r="C11" s="10">
        <v>1.1900000000000001E-4</v>
      </c>
      <c r="D11" s="12">
        <f>ROUND(D$3*C11,0)</f>
        <v>16</v>
      </c>
      <c r="E11" s="13">
        <f>ROUND(D11/2,0)</f>
        <v>8</v>
      </c>
      <c r="F11" s="12">
        <f>D11-E11</f>
        <v>8</v>
      </c>
    </row>
    <row r="12" spans="1:6">
      <c r="A12" s="8">
        <v>2</v>
      </c>
      <c r="B12" s="11" t="s">
        <v>1212</v>
      </c>
      <c r="C12" s="11"/>
      <c r="D12" s="9"/>
      <c r="E12" s="11"/>
      <c r="F12" s="11"/>
    </row>
    <row r="13" spans="1:6">
      <c r="A13" s="8"/>
      <c r="B13" s="11" t="s">
        <v>10</v>
      </c>
      <c r="C13" s="10">
        <v>8.8830000000000003E-3</v>
      </c>
      <c r="D13" s="12">
        <f>ROUND(D$3*C13,0)</f>
        <v>1161</v>
      </c>
      <c r="E13" s="13">
        <f>ROUND(D13/2,0)</f>
        <v>581</v>
      </c>
      <c r="F13" s="12">
        <f>D13-E13</f>
        <v>580</v>
      </c>
    </row>
    <row r="14" spans="1:6">
      <c r="A14" s="8"/>
      <c r="B14" s="11" t="s">
        <v>11</v>
      </c>
      <c r="C14" s="10">
        <v>5.2300000000000003E-4</v>
      </c>
      <c r="D14" s="12">
        <f>ROUND(D$3*C14,0)</f>
        <v>68</v>
      </c>
      <c r="E14" s="13">
        <f>ROUND(D14/2,0)</f>
        <v>34</v>
      </c>
      <c r="F14" s="12">
        <f>D14-E14</f>
        <v>34</v>
      </c>
    </row>
    <row r="15" spans="1:6">
      <c r="A15" s="8">
        <v>2</v>
      </c>
      <c r="B15" s="11" t="s">
        <v>1213</v>
      </c>
      <c r="C15" s="11"/>
      <c r="D15" s="9"/>
      <c r="E15" s="11"/>
      <c r="F15" s="11"/>
    </row>
    <row r="16" spans="1:6">
      <c r="A16" s="8"/>
      <c r="B16" s="11" t="s">
        <v>10</v>
      </c>
      <c r="C16" s="10">
        <v>9.3400000000000004E-4</v>
      </c>
      <c r="D16" s="12">
        <f>ROUND(D$3*C16,0)</f>
        <v>122</v>
      </c>
      <c r="E16" s="13">
        <f>ROUND(D16/2,0)</f>
        <v>61</v>
      </c>
      <c r="F16" s="12">
        <f>D16-E16</f>
        <v>61</v>
      </c>
    </row>
    <row r="17" spans="1:6">
      <c r="A17" s="8"/>
      <c r="B17" s="11" t="s">
        <v>11</v>
      </c>
      <c r="C17" s="10">
        <v>2.6499999999999999E-4</v>
      </c>
      <c r="D17" s="12">
        <f>ROUND(D$3*C17,0)</f>
        <v>35</v>
      </c>
      <c r="E17" s="13">
        <f>ROUND(D17/2,0)</f>
        <v>18</v>
      </c>
      <c r="F17" s="12">
        <f>D17-E17</f>
        <v>17</v>
      </c>
    </row>
    <row r="18" spans="1:6">
      <c r="A18" s="8">
        <v>2</v>
      </c>
      <c r="B18" s="11" t="s">
        <v>1214</v>
      </c>
      <c r="C18" s="11"/>
      <c r="D18" s="9"/>
      <c r="E18" s="11"/>
      <c r="F18" s="11"/>
    </row>
    <row r="19" spans="1:6">
      <c r="A19" s="8"/>
      <c r="B19" s="11" t="s">
        <v>10</v>
      </c>
      <c r="C19" s="10">
        <v>1.3899999999999999E-4</v>
      </c>
      <c r="D19" s="12">
        <f>ROUND(D$3*C19,0)</f>
        <v>18</v>
      </c>
      <c r="E19" s="13">
        <f>ROUND(D19/2,0)</f>
        <v>9</v>
      </c>
      <c r="F19" s="12">
        <f>D19-E19</f>
        <v>9</v>
      </c>
    </row>
    <row r="20" spans="1:6">
      <c r="A20" s="8"/>
      <c r="B20" s="11" t="s">
        <v>11</v>
      </c>
      <c r="C20" s="10">
        <v>1.4E-5</v>
      </c>
      <c r="D20" s="12">
        <f>ROUND(D$3*C20,0)</f>
        <v>2</v>
      </c>
      <c r="E20" s="13">
        <f>ROUND(D20/2,0)</f>
        <v>1</v>
      </c>
      <c r="F20" s="12">
        <f>D20-E20</f>
        <v>1</v>
      </c>
    </row>
    <row r="21" spans="1:6">
      <c r="A21" s="8">
        <v>2</v>
      </c>
      <c r="B21" s="11" t="s">
        <v>56</v>
      </c>
      <c r="C21" s="11"/>
      <c r="D21" s="9"/>
      <c r="E21" s="11"/>
      <c r="F21" s="11"/>
    </row>
    <row r="22" spans="1:6">
      <c r="A22" s="8"/>
      <c r="B22" s="11" t="s">
        <v>10</v>
      </c>
      <c r="C22" s="10">
        <v>2.879E-3</v>
      </c>
      <c r="D22" s="12">
        <f>ROUND(D$3*C22,0)</f>
        <v>376</v>
      </c>
      <c r="E22" s="13">
        <f>ROUND(D22/2,0)</f>
        <v>188</v>
      </c>
      <c r="F22" s="12">
        <f>D22-E22</f>
        <v>188</v>
      </c>
    </row>
    <row r="23" spans="1:6">
      <c r="A23" s="8"/>
      <c r="B23" s="11" t="s">
        <v>11</v>
      </c>
      <c r="C23" s="10">
        <v>3.0699999999999998E-4</v>
      </c>
      <c r="D23" s="12">
        <f>ROUND(D$3*C23,0)</f>
        <v>40</v>
      </c>
      <c r="E23" s="13">
        <f>ROUND(D23/2,0)</f>
        <v>20</v>
      </c>
      <c r="F23" s="12">
        <f>D23-E23</f>
        <v>20</v>
      </c>
    </row>
    <row r="24" spans="1:6">
      <c r="A24" s="8">
        <v>2</v>
      </c>
      <c r="B24" s="11" t="s">
        <v>1215</v>
      </c>
      <c r="C24" s="11"/>
      <c r="D24" s="9"/>
      <c r="E24" s="11"/>
      <c r="F24" s="11"/>
    </row>
    <row r="25" spans="1:6">
      <c r="A25" s="8"/>
      <c r="B25" s="11" t="s">
        <v>10</v>
      </c>
      <c r="C25" s="10">
        <v>1.0809999999999999E-3</v>
      </c>
      <c r="D25" s="12">
        <f t="shared" ref="D25:D30" si="0">ROUND(D$3*C25,0)</f>
        <v>141</v>
      </c>
      <c r="E25" s="13">
        <f t="shared" ref="E25:E30" si="1">ROUND(D25/2,0)</f>
        <v>71</v>
      </c>
      <c r="F25" s="12">
        <f t="shared" ref="F25:F30" si="2">D25-E25</f>
        <v>70</v>
      </c>
    </row>
    <row r="26" spans="1:6">
      <c r="A26" s="8"/>
      <c r="B26" s="11" t="s">
        <v>11</v>
      </c>
      <c r="C26" s="10">
        <v>4.5300000000000001E-4</v>
      </c>
      <c r="D26" s="12">
        <f t="shared" si="0"/>
        <v>59</v>
      </c>
      <c r="E26" s="13">
        <f t="shared" si="1"/>
        <v>30</v>
      </c>
      <c r="F26" s="12">
        <f t="shared" si="2"/>
        <v>29</v>
      </c>
    </row>
    <row r="27" spans="1:6">
      <c r="A27" s="8">
        <v>3</v>
      </c>
      <c r="B27" s="11" t="s">
        <v>1216</v>
      </c>
      <c r="C27" s="10">
        <v>0</v>
      </c>
      <c r="D27" s="12">
        <f t="shared" si="0"/>
        <v>0</v>
      </c>
      <c r="E27" s="13">
        <f t="shared" si="1"/>
        <v>0</v>
      </c>
      <c r="F27" s="12">
        <f t="shared" si="2"/>
        <v>0</v>
      </c>
    </row>
    <row r="28" spans="1:6">
      <c r="A28" s="8">
        <v>3</v>
      </c>
      <c r="B28" s="11" t="s">
        <v>1217</v>
      </c>
      <c r="C28" s="10">
        <v>3.3570999999999997E-2</v>
      </c>
      <c r="D28" s="12">
        <f t="shared" si="0"/>
        <v>4388</v>
      </c>
      <c r="E28" s="13">
        <f t="shared" si="1"/>
        <v>2194</v>
      </c>
      <c r="F28" s="12">
        <f t="shared" si="2"/>
        <v>2194</v>
      </c>
    </row>
    <row r="29" spans="1:6">
      <c r="A29" s="8">
        <v>3</v>
      </c>
      <c r="B29" s="11" t="s">
        <v>1218</v>
      </c>
      <c r="C29" s="10">
        <v>2.6242999999999999E-2</v>
      </c>
      <c r="D29" s="12">
        <f t="shared" si="0"/>
        <v>3430</v>
      </c>
      <c r="E29" s="13">
        <f t="shared" si="1"/>
        <v>1715</v>
      </c>
      <c r="F29" s="12">
        <f t="shared" si="2"/>
        <v>1715</v>
      </c>
    </row>
    <row r="30" spans="1:6">
      <c r="A30" s="8">
        <v>4</v>
      </c>
      <c r="B30" s="11" t="s">
        <v>1219</v>
      </c>
      <c r="C30" s="10">
        <v>0.21643599999999999</v>
      </c>
      <c r="D30" s="9">
        <f t="shared" si="0"/>
        <v>28292</v>
      </c>
      <c r="E30" s="11">
        <f t="shared" si="1"/>
        <v>14146</v>
      </c>
      <c r="F30" s="9">
        <f t="shared" si="2"/>
        <v>14146</v>
      </c>
    </row>
    <row r="31" spans="1:6">
      <c r="A31" s="8"/>
      <c r="B31" s="11" t="s">
        <v>28</v>
      </c>
      <c r="C31" s="11"/>
      <c r="D31" s="14">
        <v>0.51748099999999997</v>
      </c>
      <c r="E31" s="11"/>
      <c r="F31" s="11"/>
    </row>
    <row r="32" spans="1:6">
      <c r="A32" s="8"/>
      <c r="B32" s="11" t="s">
        <v>29</v>
      </c>
      <c r="C32" s="11"/>
      <c r="D32" s="225">
        <f>ROUND(D30*D31,0)</f>
        <v>14641</v>
      </c>
      <c r="E32" s="226">
        <f>ROUND(D32/2,0)</f>
        <v>7321</v>
      </c>
      <c r="F32" s="225">
        <f>D32-E32</f>
        <v>7320</v>
      </c>
    </row>
    <row r="33" spans="1:8">
      <c r="A33" s="8"/>
      <c r="B33" s="11" t="s">
        <v>30</v>
      </c>
      <c r="C33" s="11"/>
      <c r="D33" s="12">
        <f>+D30-D32</f>
        <v>13651</v>
      </c>
      <c r="E33" s="13">
        <f>ROUND(D33/2,0)</f>
        <v>6826</v>
      </c>
      <c r="F33" s="12">
        <f>D33-E33</f>
        <v>6825</v>
      </c>
    </row>
    <row r="34" spans="1:8">
      <c r="A34" s="8">
        <v>4</v>
      </c>
      <c r="B34" s="11" t="s">
        <v>1220</v>
      </c>
      <c r="C34" s="10">
        <v>0.40582699999999999</v>
      </c>
      <c r="D34" s="9">
        <f>ROUND(D$3*C34,0)</f>
        <v>53048</v>
      </c>
      <c r="E34" s="11">
        <f>ROUND(D34/2,0)</f>
        <v>26524</v>
      </c>
      <c r="F34" s="9">
        <f>D34-E34</f>
        <v>26524</v>
      </c>
    </row>
    <row r="35" spans="1:8">
      <c r="A35" s="8"/>
      <c r="B35" s="11" t="s">
        <v>28</v>
      </c>
      <c r="C35" s="11"/>
      <c r="D35" s="14">
        <v>0.34824899999999998</v>
      </c>
      <c r="E35" s="11"/>
      <c r="F35" s="11"/>
    </row>
    <row r="36" spans="1:8">
      <c r="A36" s="8"/>
      <c r="B36" s="11" t="s">
        <v>29</v>
      </c>
      <c r="C36" s="11"/>
      <c r="D36" s="225">
        <f>ROUND(D34*D35,0)</f>
        <v>18474</v>
      </c>
      <c r="E36" s="226">
        <f>ROUND(D36/2,0)</f>
        <v>9237</v>
      </c>
      <c r="F36" s="225">
        <f>D36-E36</f>
        <v>9237</v>
      </c>
    </row>
    <row r="37" spans="1:8">
      <c r="A37" s="8"/>
      <c r="B37" s="11" t="s">
        <v>30</v>
      </c>
      <c r="C37" s="11"/>
      <c r="D37" s="12">
        <f>+D34-D36</f>
        <v>34574</v>
      </c>
      <c r="E37" s="13">
        <f>ROUND(D37/2,0)</f>
        <v>17287</v>
      </c>
      <c r="F37" s="12">
        <f>D37-E37</f>
        <v>17287</v>
      </c>
    </row>
    <row r="38" spans="1:8">
      <c r="A38" s="8">
        <v>5</v>
      </c>
      <c r="B38" s="11" t="s">
        <v>1221</v>
      </c>
      <c r="C38" s="10">
        <v>3.2070000000000002E-3</v>
      </c>
      <c r="D38" s="12">
        <f>ROUND(D$3*C38,0)</f>
        <v>419</v>
      </c>
      <c r="E38" s="13">
        <f>ROUND(D38/2,0)</f>
        <v>210</v>
      </c>
      <c r="F38" s="12">
        <f>D38-E38</f>
        <v>209</v>
      </c>
    </row>
    <row r="39" spans="1:8">
      <c r="A39" s="8">
        <v>5</v>
      </c>
      <c r="B39" s="11" t="s">
        <v>1222</v>
      </c>
      <c r="C39" s="10">
        <v>3.3809999999999999E-3</v>
      </c>
      <c r="D39" s="12">
        <f>ROUND(D$3*C39,0)</f>
        <v>442</v>
      </c>
      <c r="E39" s="13">
        <f>ROUND(D39/2,0)</f>
        <v>221</v>
      </c>
      <c r="F39" s="12">
        <f>D39-E39</f>
        <v>221</v>
      </c>
    </row>
    <row r="40" spans="1:8">
      <c r="A40" s="8">
        <v>6</v>
      </c>
      <c r="B40" s="11" t="s">
        <v>1223</v>
      </c>
      <c r="C40" s="10">
        <v>1.5542000000000056E-2</v>
      </c>
      <c r="D40" s="12">
        <f>+D3-SUM(D4:D5)-SUM(D10:D30)-D34-SUM(D38:D39)</f>
        <v>2032</v>
      </c>
      <c r="E40" s="13">
        <f>ROUND(D40/2,0)</f>
        <v>1016</v>
      </c>
      <c r="F40" s="12">
        <f>D40-E40</f>
        <v>1016</v>
      </c>
    </row>
    <row r="41" spans="1:8">
      <c r="A41" s="8"/>
      <c r="B41" s="28" t="s">
        <v>288</v>
      </c>
      <c r="C41" s="10">
        <v>1</v>
      </c>
      <c r="D41" s="12">
        <f>+D4+SUM(D7:D29)+SUM(D32:D33)+SUM(D36:D40)</f>
        <v>130716</v>
      </c>
      <c r="E41" s="12">
        <f>+E4+SUM(E7:E29)+SUM(E32:E33)+SUM(E36:E40)</f>
        <v>65363</v>
      </c>
      <c r="F41" s="12">
        <f>+F4+SUM(F7:F29)+SUM(F32:F33)+SUM(F36:F40)</f>
        <v>65353</v>
      </c>
    </row>
    <row r="42" spans="1:8">
      <c r="B42" s="18" t="s">
        <v>38</v>
      </c>
      <c r="D42" s="19">
        <f>+D4</f>
        <v>148</v>
      </c>
      <c r="E42" s="19">
        <f>+E4</f>
        <v>74</v>
      </c>
      <c r="F42" s="19">
        <f>+F4</f>
        <v>74</v>
      </c>
    </row>
    <row r="43" spans="1:8">
      <c r="B43" s="2" t="s">
        <v>39</v>
      </c>
      <c r="D43" s="19">
        <f>+D7</f>
        <v>5803</v>
      </c>
      <c r="E43" s="19">
        <f>+E7</f>
        <v>2902</v>
      </c>
      <c r="F43" s="19">
        <f>+F7</f>
        <v>2901</v>
      </c>
    </row>
    <row r="44" spans="1:8">
      <c r="B44" s="2" t="s">
        <v>40</v>
      </c>
      <c r="D44" s="19">
        <f>+D32+D36</f>
        <v>33115</v>
      </c>
      <c r="E44" s="19">
        <f>+E32+E36</f>
        <v>16558</v>
      </c>
      <c r="F44" s="19">
        <f>+F32+F36</f>
        <v>16557</v>
      </c>
      <c r="H44" s="3">
        <v>1</v>
      </c>
    </row>
    <row r="45" spans="1:8">
      <c r="B45" s="18" t="s">
        <v>41</v>
      </c>
      <c r="D45" s="19">
        <f>+D41-D42-D43-D44</f>
        <v>91650</v>
      </c>
      <c r="E45" s="19">
        <f>+E41-E42-E43-E44</f>
        <v>45829</v>
      </c>
      <c r="F45" s="19">
        <f>+F41-F42-F43-F44</f>
        <v>45821</v>
      </c>
      <c r="H45" s="3">
        <v>2</v>
      </c>
    </row>
    <row r="47" spans="1:8" hidden="1">
      <c r="B47" s="3" t="s">
        <v>42</v>
      </c>
      <c r="C47" s="4">
        <v>1.0000000000565112E-6</v>
      </c>
      <c r="D47" s="3">
        <f>+D40-ROUND(D3*C40,0)</f>
        <v>0</v>
      </c>
    </row>
    <row r="71" spans="1:1">
      <c r="A71" s="1" t="s">
        <v>590</v>
      </c>
    </row>
  </sheetData>
  <pageMargins left="0.7" right="0.7" top="0.75" bottom="0.75" header="0.3" footer="0.3"/>
  <pageSetup scale="6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pageSetUpPr fitToPage="1"/>
  </sheetPr>
  <dimension ref="A1:WVB82"/>
  <sheetViews>
    <sheetView topLeftCell="A50" zoomScaleNormal="100" zoomScaleSheetLayoutView="80" workbookViewId="0">
      <selection activeCell="D71" activeCellId="4" sqref="D7:F7 D59:F59 D63:F63 D67:F67 D71:F71"/>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140625" style="3" hidden="1"/>
    <col min="190" max="246" width="9.140625" style="3" hidden="1"/>
    <col min="247" max="247" width="16.28515625" style="3" hidden="1"/>
    <col min="248" max="248" width="17.5703125" style="3" hidden="1"/>
    <col min="249" max="249" width="16" style="3" hidden="1"/>
    <col min="250" max="250" width="18.140625" style="3" hidden="1"/>
    <col min="251" max="443" width="9.140625" style="3" hidden="1"/>
    <col min="444" max="444" width="11" style="3" hidden="1"/>
    <col min="445" max="445" width="54.140625" style="3" hidden="1"/>
    <col min="446" max="502" width="9.140625" style="3" hidden="1"/>
    <col min="503" max="503" width="16.28515625" style="3" hidden="1"/>
    <col min="504" max="504" width="17.5703125" style="3" hidden="1"/>
    <col min="505" max="505" width="16" style="3" hidden="1"/>
    <col min="506" max="506" width="18.140625" style="3" hidden="1"/>
    <col min="507" max="699" width="9.140625" style="3" hidden="1"/>
    <col min="700" max="700" width="11" style="3" hidden="1"/>
    <col min="701" max="701" width="54.140625" style="3" hidden="1"/>
    <col min="702" max="758" width="9.140625" style="3" hidden="1"/>
    <col min="759" max="759" width="16.28515625" style="3" hidden="1"/>
    <col min="760" max="760" width="17.5703125" style="3" hidden="1"/>
    <col min="761" max="761" width="16" style="3" hidden="1"/>
    <col min="762" max="762" width="18.140625" style="3" hidden="1"/>
    <col min="763" max="955" width="9.140625" style="3" hidden="1"/>
    <col min="956" max="956" width="11" style="3" hidden="1"/>
    <col min="957" max="957" width="54.140625" style="3" hidden="1"/>
    <col min="958" max="1014" width="9.140625" style="3" hidden="1"/>
    <col min="1015" max="1015" width="16.28515625" style="3" hidden="1"/>
    <col min="1016" max="1016" width="17.5703125" style="3" hidden="1"/>
    <col min="1017" max="1017" width="16" style="3" hidden="1"/>
    <col min="1018" max="1018" width="18.140625" style="3" hidden="1"/>
    <col min="1019" max="1211" width="9.140625" style="3" hidden="1"/>
    <col min="1212" max="1212" width="11" style="3" hidden="1"/>
    <col min="1213" max="1213" width="54.140625" style="3" hidden="1"/>
    <col min="1214" max="1270" width="9.140625" style="3" hidden="1"/>
    <col min="1271" max="1271" width="16.28515625" style="3" hidden="1"/>
    <col min="1272" max="1272" width="17.5703125" style="3" hidden="1"/>
    <col min="1273" max="1273" width="16" style="3" hidden="1"/>
    <col min="1274" max="1274" width="18.140625" style="3" hidden="1"/>
    <col min="1275" max="1467" width="9.140625" style="3" hidden="1"/>
    <col min="1468" max="1468" width="11" style="3" hidden="1"/>
    <col min="1469" max="1469" width="54.140625" style="3" hidden="1"/>
    <col min="1470" max="1526" width="9.140625" style="3" hidden="1"/>
    <col min="1527" max="1527" width="16.28515625" style="3" hidden="1"/>
    <col min="1528" max="1528" width="17.5703125" style="3" hidden="1"/>
    <col min="1529" max="1529" width="16" style="3" hidden="1"/>
    <col min="1530" max="1530" width="18.140625" style="3" hidden="1"/>
    <col min="1531" max="1723" width="9.140625" style="3" hidden="1"/>
    <col min="1724" max="1724" width="11" style="3" hidden="1"/>
    <col min="1725" max="1725" width="54.140625" style="3" hidden="1"/>
    <col min="1726" max="1782" width="9.140625" style="3" hidden="1"/>
    <col min="1783" max="1783" width="16.28515625" style="3" hidden="1"/>
    <col min="1784" max="1784" width="17.5703125" style="3" hidden="1"/>
    <col min="1785" max="1785" width="16" style="3" hidden="1"/>
    <col min="1786" max="1786" width="18.140625" style="3" hidden="1"/>
    <col min="1787" max="1979" width="9.140625" style="3" hidden="1"/>
    <col min="1980" max="1980" width="11" style="3" hidden="1"/>
    <col min="1981" max="1981" width="54.140625" style="3" hidden="1"/>
    <col min="1982" max="2038" width="9.140625" style="3" hidden="1"/>
    <col min="2039" max="2039" width="16.28515625" style="3" hidden="1"/>
    <col min="2040" max="2040" width="17.5703125" style="3" hidden="1"/>
    <col min="2041" max="2041" width="16" style="3" hidden="1"/>
    <col min="2042" max="2042" width="18.140625" style="3" hidden="1"/>
    <col min="2043" max="2235" width="9.140625" style="3" hidden="1"/>
    <col min="2236" max="2236" width="11" style="3" hidden="1"/>
    <col min="2237" max="2237" width="54.140625" style="3" hidden="1"/>
    <col min="2238" max="2294" width="9.140625" style="3" hidden="1"/>
    <col min="2295" max="2295" width="16.28515625" style="3" hidden="1"/>
    <col min="2296" max="2296" width="17.5703125" style="3" hidden="1"/>
    <col min="2297" max="2297" width="16" style="3" hidden="1"/>
    <col min="2298" max="2298" width="18.140625" style="3" hidden="1"/>
    <col min="2299" max="2491" width="9.140625" style="3" hidden="1"/>
    <col min="2492" max="2492" width="11" style="3" hidden="1"/>
    <col min="2493" max="2493" width="54.140625" style="3" hidden="1"/>
    <col min="2494" max="2550" width="9.140625" style="3" hidden="1"/>
    <col min="2551" max="2551" width="16.28515625" style="3" hidden="1"/>
    <col min="2552" max="2552" width="17.5703125" style="3" hidden="1"/>
    <col min="2553" max="2553" width="16" style="3" hidden="1"/>
    <col min="2554" max="2554" width="18.140625" style="3" hidden="1"/>
    <col min="2555" max="2747" width="9.140625" style="3" hidden="1"/>
    <col min="2748" max="2748" width="11" style="3" hidden="1"/>
    <col min="2749" max="2749" width="54.140625" style="3" hidden="1"/>
    <col min="2750" max="2806" width="9.140625" style="3" hidden="1"/>
    <col min="2807" max="2807" width="16.28515625" style="3" hidden="1"/>
    <col min="2808" max="2808" width="17.5703125" style="3" hidden="1"/>
    <col min="2809" max="2809" width="16" style="3" hidden="1"/>
    <col min="2810" max="2810" width="18.140625" style="3" hidden="1"/>
    <col min="2811" max="3003" width="9.140625" style="3" hidden="1"/>
    <col min="3004" max="3004" width="11" style="3" hidden="1"/>
    <col min="3005" max="3005" width="54.140625" style="3" hidden="1"/>
    <col min="3006" max="3062" width="9.140625" style="3" hidden="1"/>
    <col min="3063" max="3063" width="16.28515625" style="3" hidden="1"/>
    <col min="3064" max="3064" width="17.5703125" style="3" hidden="1"/>
    <col min="3065" max="3065" width="16" style="3" hidden="1"/>
    <col min="3066" max="3066" width="18.140625" style="3" hidden="1"/>
    <col min="3067" max="3259" width="9.140625" style="3" hidden="1"/>
    <col min="3260" max="3260" width="11" style="3" hidden="1"/>
    <col min="3261" max="3261" width="54.140625" style="3" hidden="1"/>
    <col min="3262" max="3318" width="9.140625" style="3" hidden="1"/>
    <col min="3319" max="3319" width="16.28515625" style="3" hidden="1"/>
    <col min="3320" max="3320" width="17.5703125" style="3" hidden="1"/>
    <col min="3321" max="3321" width="16" style="3" hidden="1"/>
    <col min="3322" max="3322" width="18.140625" style="3" hidden="1"/>
    <col min="3323" max="3515" width="9.140625" style="3" hidden="1"/>
    <col min="3516" max="3516" width="11" style="3" hidden="1"/>
    <col min="3517" max="3517" width="54.140625" style="3" hidden="1"/>
    <col min="3518" max="3574" width="9.140625" style="3" hidden="1"/>
    <col min="3575" max="3575" width="16.28515625" style="3" hidden="1"/>
    <col min="3576" max="3576" width="17.5703125" style="3" hidden="1"/>
    <col min="3577" max="3577" width="16" style="3" hidden="1"/>
    <col min="3578" max="3578" width="18.140625" style="3" hidden="1"/>
    <col min="3579" max="3771" width="9.140625" style="3" hidden="1"/>
    <col min="3772" max="3772" width="11" style="3" hidden="1"/>
    <col min="3773" max="3773" width="54.140625" style="3" hidden="1"/>
    <col min="3774" max="3830" width="9.140625" style="3" hidden="1"/>
    <col min="3831" max="3831" width="16.28515625" style="3" hidden="1"/>
    <col min="3832" max="3832" width="17.5703125" style="3" hidden="1"/>
    <col min="3833" max="3833" width="16" style="3" hidden="1"/>
    <col min="3834" max="3834" width="18.140625" style="3" hidden="1"/>
    <col min="3835" max="4027" width="9.140625" style="3" hidden="1"/>
    <col min="4028" max="4028" width="11" style="3" hidden="1"/>
    <col min="4029" max="4029" width="54.140625" style="3" hidden="1"/>
    <col min="4030" max="4086" width="9.140625" style="3" hidden="1"/>
    <col min="4087" max="4087" width="16.28515625" style="3" hidden="1"/>
    <col min="4088" max="4088" width="17.5703125" style="3" hidden="1"/>
    <col min="4089" max="4089" width="16" style="3" hidden="1"/>
    <col min="4090" max="4090" width="18.140625" style="3" hidden="1"/>
    <col min="4091" max="4283" width="9.140625" style="3" hidden="1"/>
    <col min="4284" max="4284" width="11" style="3" hidden="1"/>
    <col min="4285" max="4285" width="54.140625" style="3" hidden="1"/>
    <col min="4286" max="4342" width="9.140625" style="3" hidden="1"/>
    <col min="4343" max="4343" width="16.28515625" style="3" hidden="1"/>
    <col min="4344" max="4344" width="17.5703125" style="3" hidden="1"/>
    <col min="4345" max="4345" width="16" style="3" hidden="1"/>
    <col min="4346" max="4346" width="18.140625" style="3" hidden="1"/>
    <col min="4347" max="4539" width="9.140625" style="3" hidden="1"/>
    <col min="4540" max="4540" width="11" style="3" hidden="1"/>
    <col min="4541" max="4541" width="54.140625" style="3" hidden="1"/>
    <col min="4542" max="4598" width="9.140625" style="3" hidden="1"/>
    <col min="4599" max="4599" width="16.28515625" style="3" hidden="1"/>
    <col min="4600" max="4600" width="17.5703125" style="3" hidden="1"/>
    <col min="4601" max="4601" width="16" style="3" hidden="1"/>
    <col min="4602" max="4602" width="18.140625" style="3" hidden="1"/>
    <col min="4603" max="4795" width="9.140625" style="3" hidden="1"/>
    <col min="4796" max="4796" width="11" style="3" hidden="1"/>
    <col min="4797" max="4797" width="54.140625" style="3" hidden="1"/>
    <col min="4798" max="4854" width="9.140625" style="3" hidden="1"/>
    <col min="4855" max="4855" width="16.28515625" style="3" hidden="1"/>
    <col min="4856" max="4856" width="17.5703125" style="3" hidden="1"/>
    <col min="4857" max="4857" width="16" style="3" hidden="1"/>
    <col min="4858" max="4858" width="18.140625" style="3" hidden="1"/>
    <col min="4859" max="5051" width="9.140625" style="3" hidden="1"/>
    <col min="5052" max="5052" width="11" style="3" hidden="1"/>
    <col min="5053" max="5053" width="54.140625" style="3" hidden="1"/>
    <col min="5054" max="5110" width="9.140625" style="3" hidden="1"/>
    <col min="5111" max="5111" width="16.28515625" style="3" hidden="1"/>
    <col min="5112" max="5112" width="17.5703125" style="3" hidden="1"/>
    <col min="5113" max="5113" width="16" style="3" hidden="1"/>
    <col min="5114" max="5114" width="18.140625" style="3" hidden="1"/>
    <col min="5115" max="5307" width="9.140625" style="3" hidden="1"/>
    <col min="5308" max="5308" width="11" style="3" hidden="1"/>
    <col min="5309" max="5309" width="54.140625" style="3" hidden="1"/>
    <col min="5310" max="5366" width="9.140625" style="3" hidden="1"/>
    <col min="5367" max="5367" width="16.28515625" style="3" hidden="1"/>
    <col min="5368" max="5368" width="17.5703125" style="3" hidden="1"/>
    <col min="5369" max="5369" width="16" style="3" hidden="1"/>
    <col min="5370" max="5370" width="18.140625" style="3" hidden="1"/>
    <col min="5371" max="5563" width="9.140625" style="3" hidden="1"/>
    <col min="5564" max="5564" width="11" style="3" hidden="1"/>
    <col min="5565" max="5565" width="54.140625" style="3" hidden="1"/>
    <col min="5566" max="5622" width="9.140625" style="3" hidden="1"/>
    <col min="5623" max="5623" width="16.28515625" style="3" hidden="1"/>
    <col min="5624" max="5624" width="17.5703125" style="3" hidden="1"/>
    <col min="5625" max="5625" width="16" style="3" hidden="1"/>
    <col min="5626" max="5626" width="18.140625" style="3" hidden="1"/>
    <col min="5627" max="5819" width="9.140625" style="3" hidden="1"/>
    <col min="5820" max="5820" width="11" style="3" hidden="1"/>
    <col min="5821" max="5821" width="54.140625" style="3" hidden="1"/>
    <col min="5822" max="5878" width="9.140625" style="3" hidden="1"/>
    <col min="5879" max="5879" width="16.28515625" style="3" hidden="1"/>
    <col min="5880" max="5880" width="17.5703125" style="3" hidden="1"/>
    <col min="5881" max="5881" width="16" style="3" hidden="1"/>
    <col min="5882" max="5882" width="18.140625" style="3" hidden="1"/>
    <col min="5883" max="6075" width="9.140625" style="3" hidden="1"/>
    <col min="6076" max="6076" width="11" style="3" hidden="1"/>
    <col min="6077" max="6077" width="54.140625" style="3" hidden="1"/>
    <col min="6078" max="6134" width="9.140625" style="3" hidden="1"/>
    <col min="6135" max="6135" width="16.28515625" style="3" hidden="1"/>
    <col min="6136" max="6136" width="17.5703125" style="3" hidden="1"/>
    <col min="6137" max="6137" width="16" style="3" hidden="1"/>
    <col min="6138" max="6138" width="18.140625" style="3" hidden="1"/>
    <col min="6139" max="6331" width="9.140625" style="3" hidden="1"/>
    <col min="6332" max="6332" width="11" style="3" hidden="1"/>
    <col min="6333" max="6333" width="54.140625" style="3" hidden="1"/>
    <col min="6334" max="6390" width="9.140625" style="3" hidden="1"/>
    <col min="6391" max="6391" width="16.28515625" style="3" hidden="1"/>
    <col min="6392" max="6392" width="17.5703125" style="3" hidden="1"/>
    <col min="6393" max="6393" width="16" style="3" hidden="1"/>
    <col min="6394" max="6394" width="18.140625" style="3" hidden="1"/>
    <col min="6395" max="6587" width="9.140625" style="3" hidden="1"/>
    <col min="6588" max="6588" width="11" style="3" hidden="1"/>
    <col min="6589" max="6589" width="54.140625" style="3" hidden="1"/>
    <col min="6590" max="6646" width="9.140625" style="3" hidden="1"/>
    <col min="6647" max="6647" width="16.28515625" style="3" hidden="1"/>
    <col min="6648" max="6648" width="17.5703125" style="3" hidden="1"/>
    <col min="6649" max="6649" width="16" style="3" hidden="1"/>
    <col min="6650" max="6650" width="18.140625" style="3" hidden="1"/>
    <col min="6651" max="6843" width="9.140625" style="3" hidden="1"/>
    <col min="6844" max="6844" width="11" style="3" hidden="1"/>
    <col min="6845" max="6845" width="54.140625" style="3" hidden="1"/>
    <col min="6846" max="6902" width="9.140625" style="3" hidden="1"/>
    <col min="6903" max="6903" width="16.28515625" style="3" hidden="1"/>
    <col min="6904" max="6904" width="17.5703125" style="3" hidden="1"/>
    <col min="6905" max="6905" width="16" style="3" hidden="1"/>
    <col min="6906" max="6906" width="18.140625" style="3" hidden="1"/>
    <col min="6907" max="7099" width="9.140625" style="3" hidden="1"/>
    <col min="7100" max="7100" width="11" style="3" hidden="1"/>
    <col min="7101" max="7101" width="54.140625" style="3" hidden="1"/>
    <col min="7102" max="7158" width="9.140625" style="3" hidden="1"/>
    <col min="7159" max="7159" width="16.28515625" style="3" hidden="1"/>
    <col min="7160" max="7160" width="17.5703125" style="3" hidden="1"/>
    <col min="7161" max="7161" width="16" style="3" hidden="1"/>
    <col min="7162" max="7162" width="18.140625" style="3" hidden="1"/>
    <col min="7163" max="7355" width="9.140625" style="3" hidden="1"/>
    <col min="7356" max="7356" width="11" style="3" hidden="1"/>
    <col min="7357" max="7357" width="54.140625" style="3" hidden="1"/>
    <col min="7358" max="7414" width="9.140625" style="3" hidden="1"/>
    <col min="7415" max="7415" width="16.28515625" style="3" hidden="1"/>
    <col min="7416" max="7416" width="17.5703125" style="3" hidden="1"/>
    <col min="7417" max="7417" width="16" style="3" hidden="1"/>
    <col min="7418" max="7418" width="18.140625" style="3" hidden="1"/>
    <col min="7419" max="7611" width="9.140625" style="3" hidden="1"/>
    <col min="7612" max="7612" width="11" style="3" hidden="1"/>
    <col min="7613" max="7613" width="54.140625" style="3" hidden="1"/>
    <col min="7614" max="7670" width="9.140625" style="3" hidden="1"/>
    <col min="7671" max="7671" width="16.28515625" style="3" hidden="1"/>
    <col min="7672" max="7672" width="17.5703125" style="3" hidden="1"/>
    <col min="7673" max="7673" width="16" style="3" hidden="1"/>
    <col min="7674" max="7674" width="18.140625" style="3" hidden="1"/>
    <col min="7675" max="7867" width="9.140625" style="3" hidden="1"/>
    <col min="7868" max="7868" width="11" style="3" hidden="1"/>
    <col min="7869" max="7869" width="54.140625" style="3" hidden="1"/>
    <col min="7870" max="7926" width="9.140625" style="3" hidden="1"/>
    <col min="7927" max="7927" width="16.28515625" style="3" hidden="1"/>
    <col min="7928" max="7928" width="17.5703125" style="3" hidden="1"/>
    <col min="7929" max="7929" width="16" style="3" hidden="1"/>
    <col min="7930" max="7930" width="18.140625" style="3" hidden="1"/>
    <col min="7931" max="8123" width="9.140625" style="3" hidden="1"/>
    <col min="8124" max="8124" width="11" style="3" hidden="1"/>
    <col min="8125" max="8125" width="54.140625" style="3" hidden="1"/>
    <col min="8126" max="8182" width="9.140625" style="3" hidden="1"/>
    <col min="8183" max="8183" width="16.28515625" style="3" hidden="1"/>
    <col min="8184" max="8184" width="17.5703125" style="3" hidden="1"/>
    <col min="8185" max="8185" width="16" style="3" hidden="1"/>
    <col min="8186" max="8186" width="18.140625" style="3" hidden="1"/>
    <col min="8187" max="8379" width="9.140625" style="3" hidden="1"/>
    <col min="8380" max="8380" width="11" style="3" hidden="1"/>
    <col min="8381" max="8381" width="54.140625" style="3" hidden="1"/>
    <col min="8382" max="8438" width="9.140625" style="3" hidden="1"/>
    <col min="8439" max="8439" width="16.28515625" style="3" hidden="1"/>
    <col min="8440" max="8440" width="17.5703125" style="3" hidden="1"/>
    <col min="8441" max="8441" width="16" style="3" hidden="1"/>
    <col min="8442" max="8442" width="18.140625" style="3" hidden="1"/>
    <col min="8443" max="8635" width="9.140625" style="3" hidden="1"/>
    <col min="8636" max="8636" width="11" style="3" hidden="1"/>
    <col min="8637" max="8637" width="54.140625" style="3" hidden="1"/>
    <col min="8638" max="8694" width="9.140625" style="3" hidden="1"/>
    <col min="8695" max="8695" width="16.28515625" style="3" hidden="1"/>
    <col min="8696" max="8696" width="17.5703125" style="3" hidden="1"/>
    <col min="8697" max="8697" width="16" style="3" hidden="1"/>
    <col min="8698" max="8698" width="18.140625" style="3" hidden="1"/>
    <col min="8699" max="8891" width="9.140625" style="3" hidden="1"/>
    <col min="8892" max="8892" width="11" style="3" hidden="1"/>
    <col min="8893" max="8893" width="54.140625" style="3" hidden="1"/>
    <col min="8894" max="8950" width="9.140625" style="3" hidden="1"/>
    <col min="8951" max="8951" width="16.28515625" style="3" hidden="1"/>
    <col min="8952" max="8952" width="17.5703125" style="3" hidden="1"/>
    <col min="8953" max="8953" width="16" style="3" hidden="1"/>
    <col min="8954" max="8954" width="18.140625" style="3" hidden="1"/>
    <col min="8955" max="9147" width="9.140625" style="3" hidden="1"/>
    <col min="9148" max="9148" width="11" style="3" hidden="1"/>
    <col min="9149" max="9149" width="54.140625" style="3" hidden="1"/>
    <col min="9150" max="9206" width="9.140625" style="3" hidden="1"/>
    <col min="9207" max="9207" width="16.28515625" style="3" hidden="1"/>
    <col min="9208" max="9208" width="17.5703125" style="3" hidden="1"/>
    <col min="9209" max="9209" width="16" style="3" hidden="1"/>
    <col min="9210" max="9210" width="18.140625" style="3" hidden="1"/>
    <col min="9211" max="9403" width="9.140625" style="3" hidden="1"/>
    <col min="9404" max="9404" width="11" style="3" hidden="1"/>
    <col min="9405" max="9405" width="54.140625" style="3" hidden="1"/>
    <col min="9406" max="9462" width="9.140625" style="3" hidden="1"/>
    <col min="9463" max="9463" width="16.28515625" style="3" hidden="1"/>
    <col min="9464" max="9464" width="17.5703125" style="3" hidden="1"/>
    <col min="9465" max="9465" width="16" style="3" hidden="1"/>
    <col min="9466" max="9466" width="18.140625" style="3" hidden="1"/>
    <col min="9467" max="9659" width="9.140625" style="3" hidden="1"/>
    <col min="9660" max="9660" width="11" style="3" hidden="1"/>
    <col min="9661" max="9661" width="54.140625" style="3" hidden="1"/>
    <col min="9662" max="9718" width="9.140625" style="3" hidden="1"/>
    <col min="9719" max="9719" width="16.28515625" style="3" hidden="1"/>
    <col min="9720" max="9720" width="17.5703125" style="3" hidden="1"/>
    <col min="9721" max="9721" width="16" style="3" hidden="1"/>
    <col min="9722" max="9722" width="18.140625" style="3" hidden="1"/>
    <col min="9723" max="9915" width="9.140625" style="3" hidden="1"/>
    <col min="9916" max="9916" width="11" style="3" hidden="1"/>
    <col min="9917" max="9917" width="54.140625" style="3" hidden="1"/>
    <col min="9918" max="9974" width="9.140625" style="3" hidden="1"/>
    <col min="9975" max="9975" width="16.28515625" style="3" hidden="1"/>
    <col min="9976" max="9976" width="17.5703125" style="3" hidden="1"/>
    <col min="9977" max="9977" width="16" style="3" hidden="1"/>
    <col min="9978" max="9978" width="18.140625" style="3" hidden="1"/>
    <col min="9979" max="10171" width="9.140625" style="3" hidden="1"/>
    <col min="10172" max="10172" width="11" style="3" hidden="1"/>
    <col min="10173" max="10173" width="54.140625" style="3" hidden="1"/>
    <col min="10174" max="10230" width="9.140625" style="3" hidden="1"/>
    <col min="10231" max="10231" width="16.28515625" style="3" hidden="1"/>
    <col min="10232" max="10232" width="17.5703125" style="3" hidden="1"/>
    <col min="10233" max="10233" width="16" style="3" hidden="1"/>
    <col min="10234" max="10234" width="18.140625" style="3" hidden="1"/>
    <col min="10235" max="10427" width="9.140625" style="3" hidden="1"/>
    <col min="10428" max="10428" width="11" style="3" hidden="1"/>
    <col min="10429" max="10429" width="54.140625" style="3" hidden="1"/>
    <col min="10430" max="10486" width="9.140625" style="3" hidden="1"/>
    <col min="10487" max="10487" width="16.28515625" style="3" hidden="1"/>
    <col min="10488" max="10488" width="17.5703125" style="3" hidden="1"/>
    <col min="10489" max="10489" width="16" style="3" hidden="1"/>
    <col min="10490" max="10490" width="18.140625" style="3" hidden="1"/>
    <col min="10491" max="10683" width="9.140625" style="3" hidden="1"/>
    <col min="10684" max="10684" width="11" style="3" hidden="1"/>
    <col min="10685" max="10685" width="54.140625" style="3" hidden="1"/>
    <col min="10686" max="10742" width="9.140625" style="3" hidden="1"/>
    <col min="10743" max="10743" width="16.28515625" style="3" hidden="1"/>
    <col min="10744" max="10744" width="17.5703125" style="3" hidden="1"/>
    <col min="10745" max="10745" width="16" style="3" hidden="1"/>
    <col min="10746" max="10746" width="18.140625" style="3" hidden="1"/>
    <col min="10747" max="10939" width="9.140625" style="3" hidden="1"/>
    <col min="10940" max="10940" width="11" style="3" hidden="1"/>
    <col min="10941" max="10941" width="54.140625" style="3" hidden="1"/>
    <col min="10942" max="10998" width="9.140625" style="3" hidden="1"/>
    <col min="10999" max="10999" width="16.28515625" style="3" hidden="1"/>
    <col min="11000" max="11000" width="17.5703125" style="3" hidden="1"/>
    <col min="11001" max="11001" width="16" style="3" hidden="1"/>
    <col min="11002" max="11002" width="18.140625" style="3" hidden="1"/>
    <col min="11003" max="11195" width="9.140625" style="3" hidden="1"/>
    <col min="11196" max="11196" width="11" style="3" hidden="1"/>
    <col min="11197" max="11197" width="54.140625" style="3" hidden="1"/>
    <col min="11198" max="11254" width="9.140625" style="3" hidden="1"/>
    <col min="11255" max="11255" width="16.28515625" style="3" hidden="1"/>
    <col min="11256" max="11256" width="17.5703125" style="3" hidden="1"/>
    <col min="11257" max="11257" width="16" style="3" hidden="1"/>
    <col min="11258" max="11258" width="18.140625" style="3" hidden="1"/>
    <col min="11259" max="11451" width="9.140625" style="3" hidden="1"/>
    <col min="11452" max="11452" width="11" style="3" hidden="1"/>
    <col min="11453" max="11453" width="54.140625" style="3" hidden="1"/>
    <col min="11454" max="11510" width="9.140625" style="3" hidden="1"/>
    <col min="11511" max="11511" width="16.28515625" style="3" hidden="1"/>
    <col min="11512" max="11512" width="17.5703125" style="3" hidden="1"/>
    <col min="11513" max="11513" width="16" style="3" hidden="1"/>
    <col min="11514" max="11514" width="18.140625" style="3" hidden="1"/>
    <col min="11515" max="11707" width="9.140625" style="3" hidden="1"/>
    <col min="11708" max="11708" width="11" style="3" hidden="1"/>
    <col min="11709" max="11709" width="54.140625" style="3" hidden="1"/>
    <col min="11710" max="11766" width="9.140625" style="3" hidden="1"/>
    <col min="11767" max="11767" width="16.28515625" style="3" hidden="1"/>
    <col min="11768" max="11768" width="17.5703125" style="3" hidden="1"/>
    <col min="11769" max="11769" width="16" style="3" hidden="1"/>
    <col min="11770" max="11770" width="18.140625" style="3" hidden="1"/>
    <col min="11771" max="11963" width="9.140625" style="3" hidden="1"/>
    <col min="11964" max="11964" width="11" style="3" hidden="1"/>
    <col min="11965" max="11965" width="54.140625" style="3" hidden="1"/>
    <col min="11966" max="12022" width="9.140625" style="3" hidden="1"/>
    <col min="12023" max="12023" width="16.28515625" style="3" hidden="1"/>
    <col min="12024" max="12024" width="17.5703125" style="3" hidden="1"/>
    <col min="12025" max="12025" width="16" style="3" hidden="1"/>
    <col min="12026" max="12026" width="18.140625" style="3" hidden="1"/>
    <col min="12027" max="12219" width="9.140625" style="3" hidden="1"/>
    <col min="12220" max="12220" width="11" style="3" hidden="1"/>
    <col min="12221" max="12221" width="54.140625" style="3" hidden="1"/>
    <col min="12222" max="12278" width="9.140625" style="3" hidden="1"/>
    <col min="12279" max="12279" width="16.28515625" style="3" hidden="1"/>
    <col min="12280" max="12280" width="17.5703125" style="3" hidden="1"/>
    <col min="12281" max="12281" width="16" style="3" hidden="1"/>
    <col min="12282" max="12282" width="18.140625" style="3" hidden="1"/>
    <col min="12283" max="12475" width="9.140625" style="3" hidden="1"/>
    <col min="12476" max="12476" width="11" style="3" hidden="1"/>
    <col min="12477" max="12477" width="54.140625" style="3" hidden="1"/>
    <col min="12478" max="12534" width="9.140625" style="3" hidden="1"/>
    <col min="12535" max="12535" width="16.28515625" style="3" hidden="1"/>
    <col min="12536" max="12536" width="17.5703125" style="3" hidden="1"/>
    <col min="12537" max="12537" width="16" style="3" hidden="1"/>
    <col min="12538" max="12538" width="18.140625" style="3" hidden="1"/>
    <col min="12539" max="12731" width="9.140625" style="3" hidden="1"/>
    <col min="12732" max="12732" width="11" style="3" hidden="1"/>
    <col min="12733" max="12733" width="54.140625" style="3" hidden="1"/>
    <col min="12734" max="12790" width="9.140625" style="3" hidden="1"/>
    <col min="12791" max="12791" width="16.28515625" style="3" hidden="1"/>
    <col min="12792" max="12792" width="17.5703125" style="3" hidden="1"/>
    <col min="12793" max="12793" width="16" style="3" hidden="1"/>
    <col min="12794" max="12794" width="18.140625" style="3" hidden="1"/>
    <col min="12795" max="12987" width="9.140625" style="3" hidden="1"/>
    <col min="12988" max="12988" width="11" style="3" hidden="1"/>
    <col min="12989" max="12989" width="54.140625" style="3" hidden="1"/>
    <col min="12990" max="13046" width="9.140625" style="3" hidden="1"/>
    <col min="13047" max="13047" width="16.28515625" style="3" hidden="1"/>
    <col min="13048" max="13048" width="17.5703125" style="3" hidden="1"/>
    <col min="13049" max="13049" width="16" style="3" hidden="1"/>
    <col min="13050" max="13050" width="18.140625" style="3" hidden="1"/>
    <col min="13051" max="13243" width="9.140625" style="3" hidden="1"/>
    <col min="13244" max="13244" width="11" style="3" hidden="1"/>
    <col min="13245" max="13245" width="54.140625" style="3" hidden="1"/>
    <col min="13246" max="13302" width="9.140625" style="3" hidden="1"/>
    <col min="13303" max="13303" width="16.28515625" style="3" hidden="1"/>
    <col min="13304" max="13304" width="17.5703125" style="3" hidden="1"/>
    <col min="13305" max="13305" width="16" style="3" hidden="1"/>
    <col min="13306" max="13306" width="18.140625" style="3" hidden="1"/>
    <col min="13307" max="13499" width="9.140625" style="3" hidden="1"/>
    <col min="13500" max="13500" width="11" style="3" hidden="1"/>
    <col min="13501" max="13501" width="54.140625" style="3" hidden="1"/>
    <col min="13502" max="13558" width="9.140625" style="3" hidden="1"/>
    <col min="13559" max="13559" width="16.28515625" style="3" hidden="1"/>
    <col min="13560" max="13560" width="17.5703125" style="3" hidden="1"/>
    <col min="13561" max="13561" width="16" style="3" hidden="1"/>
    <col min="13562" max="13562" width="18.140625" style="3" hidden="1"/>
    <col min="13563" max="13755" width="9.140625" style="3" hidden="1"/>
    <col min="13756" max="13756" width="11" style="3" hidden="1"/>
    <col min="13757" max="13757" width="54.140625" style="3" hidden="1"/>
    <col min="13758" max="13814" width="9.140625" style="3" hidden="1"/>
    <col min="13815" max="13815" width="16.28515625" style="3" hidden="1"/>
    <col min="13816" max="13816" width="17.5703125" style="3" hidden="1"/>
    <col min="13817" max="13817" width="16" style="3" hidden="1"/>
    <col min="13818" max="13818" width="18.140625" style="3" hidden="1"/>
    <col min="13819" max="14011" width="9.140625" style="3" hidden="1"/>
    <col min="14012" max="14012" width="11" style="3" hidden="1"/>
    <col min="14013" max="14013" width="54.140625" style="3" hidden="1"/>
    <col min="14014" max="14070" width="9.140625" style="3" hidden="1"/>
    <col min="14071" max="14071" width="16.28515625" style="3" hidden="1"/>
    <col min="14072" max="14072" width="17.5703125" style="3" hidden="1"/>
    <col min="14073" max="14073" width="16" style="3" hidden="1"/>
    <col min="14074" max="14074" width="18.140625" style="3" hidden="1"/>
    <col min="14075" max="14267" width="9.140625" style="3" hidden="1"/>
    <col min="14268" max="14268" width="11" style="3" hidden="1"/>
    <col min="14269" max="14269" width="54.140625" style="3" hidden="1"/>
    <col min="14270" max="14326" width="9.140625" style="3" hidden="1"/>
    <col min="14327" max="14327" width="16.28515625" style="3" hidden="1"/>
    <col min="14328" max="14328" width="17.5703125" style="3" hidden="1"/>
    <col min="14329" max="14329" width="16" style="3" hidden="1"/>
    <col min="14330" max="14330" width="18.140625" style="3" hidden="1"/>
    <col min="14331" max="14523" width="9.140625" style="3" hidden="1"/>
    <col min="14524" max="14524" width="11" style="3" hidden="1"/>
    <col min="14525" max="14525" width="54.140625" style="3" hidden="1"/>
    <col min="14526" max="14582" width="9.140625" style="3" hidden="1"/>
    <col min="14583" max="14583" width="16.28515625" style="3" hidden="1"/>
    <col min="14584" max="14584" width="17.5703125" style="3" hidden="1"/>
    <col min="14585" max="14585" width="16" style="3" hidden="1"/>
    <col min="14586" max="14586" width="18.140625" style="3" hidden="1"/>
    <col min="14587" max="14779" width="9.140625" style="3" hidden="1"/>
    <col min="14780" max="14780" width="11" style="3" hidden="1"/>
    <col min="14781" max="14781" width="54.140625" style="3" hidden="1"/>
    <col min="14782" max="14838" width="9.140625" style="3" hidden="1"/>
    <col min="14839" max="14839" width="16.28515625" style="3" hidden="1"/>
    <col min="14840" max="14840" width="17.5703125" style="3" hidden="1"/>
    <col min="14841" max="14841" width="16" style="3" hidden="1"/>
    <col min="14842" max="14842" width="18.140625" style="3" hidden="1"/>
    <col min="14843" max="15035" width="9.140625" style="3" hidden="1"/>
    <col min="15036" max="15036" width="11" style="3" hidden="1"/>
    <col min="15037" max="15037" width="54.140625" style="3" hidden="1"/>
    <col min="15038" max="15094" width="9.140625" style="3" hidden="1"/>
    <col min="15095" max="15095" width="16.28515625" style="3" hidden="1"/>
    <col min="15096" max="15096" width="17.5703125" style="3" hidden="1"/>
    <col min="15097" max="15097" width="16" style="3" hidden="1"/>
    <col min="15098" max="15098" width="18.140625" style="3" hidden="1"/>
    <col min="15099" max="15291" width="9.140625" style="3" hidden="1"/>
    <col min="15292" max="15292" width="11" style="3" hidden="1"/>
    <col min="15293" max="15293" width="54.140625" style="3" hidden="1"/>
    <col min="15294" max="15350" width="9.140625" style="3" hidden="1"/>
    <col min="15351" max="15351" width="16.28515625" style="3" hidden="1"/>
    <col min="15352" max="15352" width="17.5703125" style="3" hidden="1"/>
    <col min="15353" max="15353" width="16" style="3" hidden="1"/>
    <col min="15354" max="15354" width="18.140625" style="3" hidden="1"/>
    <col min="15355" max="15547" width="9.140625" style="3" hidden="1"/>
    <col min="15548" max="15548" width="11" style="3" hidden="1"/>
    <col min="15549" max="15549" width="54.140625" style="3" hidden="1"/>
    <col min="15550" max="15606" width="9.140625" style="3" hidden="1"/>
    <col min="15607" max="15607" width="16.28515625" style="3" hidden="1"/>
    <col min="15608" max="15608" width="17.5703125" style="3" hidden="1"/>
    <col min="15609" max="15609" width="16" style="3" hidden="1"/>
    <col min="15610" max="15610" width="18.140625" style="3" hidden="1"/>
    <col min="15611" max="15803" width="9.140625" style="3" hidden="1"/>
    <col min="15804" max="15804" width="11" style="3" hidden="1"/>
    <col min="15805" max="15805" width="54.140625" style="3" hidden="1"/>
    <col min="15806" max="15862" width="9.140625" style="3" hidden="1"/>
    <col min="15863" max="15863" width="16.28515625" style="3" hidden="1"/>
    <col min="15864" max="15864" width="17.5703125" style="3" hidden="1"/>
    <col min="15865" max="15865" width="16" style="3" hidden="1"/>
    <col min="15866" max="15866" width="18.140625" style="3" hidden="1"/>
    <col min="15867" max="16059" width="9.140625" style="3" hidden="1"/>
    <col min="16060" max="16060" width="11" style="3" hidden="1"/>
    <col min="16061" max="16061" width="54.140625" style="3" hidden="1"/>
    <col min="16062" max="16118" width="9.140625" style="3" hidden="1"/>
    <col min="16119" max="16119" width="16.28515625" style="3" hidden="1"/>
    <col min="16120" max="16120" width="17.5703125" style="3" hidden="1"/>
    <col min="16121" max="16121" width="16" style="3" hidden="1"/>
    <col min="16122" max="16122" width="18.140625" style="3" hidden="1"/>
    <col min="16123" max="16384" width="9.140625" style="3" hidden="1"/>
  </cols>
  <sheetData>
    <row r="1" spans="1:6">
      <c r="B1" s="2" t="s">
        <v>1224</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Worksheet'!$D$55</f>
        <v>244256</v>
      </c>
      <c r="E3" s="11"/>
      <c r="F3" s="11"/>
    </row>
    <row r="4" spans="1:6">
      <c r="A4" s="8">
        <v>0</v>
      </c>
      <c r="B4" s="11" t="s">
        <v>4</v>
      </c>
      <c r="C4" s="10">
        <v>1.1980000000000001E-3</v>
      </c>
      <c r="D4" s="12">
        <f>ROUND(D$3*C4,0)</f>
        <v>293</v>
      </c>
      <c r="E4" s="13">
        <f>ROUND(D4/2,0)</f>
        <v>147</v>
      </c>
      <c r="F4" s="12">
        <f>D4-E4</f>
        <v>146</v>
      </c>
    </row>
    <row r="5" spans="1:6">
      <c r="A5" s="8">
        <v>1</v>
      </c>
      <c r="B5" s="11" t="s">
        <v>1225</v>
      </c>
      <c r="C5" s="10">
        <v>0.23414099999999999</v>
      </c>
      <c r="D5" s="9">
        <f>ROUND(D$3*C5,0)</f>
        <v>57190</v>
      </c>
      <c r="E5" s="11">
        <f>ROUND(D5/2,0)</f>
        <v>28595</v>
      </c>
      <c r="F5" s="9">
        <f>D5-E5</f>
        <v>28595</v>
      </c>
    </row>
    <row r="6" spans="1:6">
      <c r="A6" s="8"/>
      <c r="B6" s="11" t="s">
        <v>6</v>
      </c>
      <c r="C6" s="11"/>
      <c r="D6" s="14">
        <v>0.28745999999999999</v>
      </c>
      <c r="E6" s="11"/>
      <c r="F6" s="11"/>
    </row>
    <row r="7" spans="1:6">
      <c r="A7" s="8"/>
      <c r="B7" s="11" t="s">
        <v>7</v>
      </c>
      <c r="C7" s="11"/>
      <c r="D7" s="225">
        <f>ROUND(D5*D6,0)</f>
        <v>16440</v>
      </c>
      <c r="E7" s="226">
        <f>ROUND(D7/2,0)</f>
        <v>8220</v>
      </c>
      <c r="F7" s="225">
        <f>D7-E7</f>
        <v>8220</v>
      </c>
    </row>
    <row r="8" spans="1:6">
      <c r="A8" s="8"/>
      <c r="B8" s="11" t="s">
        <v>8</v>
      </c>
      <c r="C8" s="11"/>
      <c r="D8" s="12">
        <f>+D5-D7</f>
        <v>40750</v>
      </c>
      <c r="E8" s="13">
        <f>ROUND(D8/2,0)</f>
        <v>20375</v>
      </c>
      <c r="F8" s="12">
        <f>D8-E8</f>
        <v>20375</v>
      </c>
    </row>
    <row r="9" spans="1:6">
      <c r="A9" s="8">
        <v>2</v>
      </c>
      <c r="B9" s="11" t="s">
        <v>1226</v>
      </c>
      <c r="C9" s="11"/>
      <c r="D9" s="9"/>
      <c r="E9" s="11"/>
      <c r="F9" s="11"/>
    </row>
    <row r="10" spans="1:6">
      <c r="A10" s="8"/>
      <c r="B10" s="11" t="s">
        <v>10</v>
      </c>
      <c r="C10" s="10">
        <v>5.9299999999999999E-4</v>
      </c>
      <c r="D10" s="12">
        <f>ROUND(D$3*C10,0)</f>
        <v>145</v>
      </c>
      <c r="E10" s="13">
        <f>ROUND(D10/2,0)</f>
        <v>73</v>
      </c>
      <c r="F10" s="12">
        <f>D10-E10</f>
        <v>72</v>
      </c>
    </row>
    <row r="11" spans="1:6">
      <c r="A11" s="8"/>
      <c r="B11" s="11" t="s">
        <v>11</v>
      </c>
      <c r="C11" s="10">
        <v>2.9500000000000001E-4</v>
      </c>
      <c r="D11" s="12">
        <f>ROUND(D$3*C11,0)</f>
        <v>72</v>
      </c>
      <c r="E11" s="13">
        <f>ROUND(D11/2,0)</f>
        <v>36</v>
      </c>
      <c r="F11" s="12">
        <f>D11-E11</f>
        <v>36</v>
      </c>
    </row>
    <row r="12" spans="1:6">
      <c r="A12" s="8">
        <v>2</v>
      </c>
      <c r="B12" s="11" t="s">
        <v>369</v>
      </c>
      <c r="C12" s="11"/>
      <c r="D12" s="9"/>
      <c r="E12" s="11"/>
      <c r="F12" s="11"/>
    </row>
    <row r="13" spans="1:6">
      <c r="A13" s="8"/>
      <c r="B13" s="11" t="s">
        <v>10</v>
      </c>
      <c r="C13" s="10">
        <v>4.5899999999999999E-4</v>
      </c>
      <c r="D13" s="12">
        <f>ROUND(D$3*C13,0)</f>
        <v>112</v>
      </c>
      <c r="E13" s="13">
        <f>ROUND(D13/2,0)</f>
        <v>56</v>
      </c>
      <c r="F13" s="12">
        <f>D13-E13</f>
        <v>56</v>
      </c>
    </row>
    <row r="14" spans="1:6">
      <c r="A14" s="8"/>
      <c r="B14" s="11" t="s">
        <v>11</v>
      </c>
      <c r="C14" s="10">
        <v>2.2000000000000001E-4</v>
      </c>
      <c r="D14" s="12">
        <f>ROUND(D$3*C14,0)</f>
        <v>54</v>
      </c>
      <c r="E14" s="13">
        <f>ROUND(D14/2,0)</f>
        <v>27</v>
      </c>
      <c r="F14" s="12">
        <f>D14-E14</f>
        <v>27</v>
      </c>
    </row>
    <row r="15" spans="1:6">
      <c r="A15" s="8">
        <v>2</v>
      </c>
      <c r="B15" s="11" t="s">
        <v>81</v>
      </c>
      <c r="C15" s="11"/>
      <c r="D15" s="9"/>
      <c r="E15" s="11"/>
      <c r="F15" s="11"/>
    </row>
    <row r="16" spans="1:6">
      <c r="A16" s="8"/>
      <c r="B16" s="11" t="s">
        <v>10</v>
      </c>
      <c r="C16" s="10">
        <v>7.9100000000000004E-4</v>
      </c>
      <c r="D16" s="12">
        <f>ROUND(D$3*C16,0)</f>
        <v>193</v>
      </c>
      <c r="E16" s="13">
        <f>ROUND(D16/2,0)</f>
        <v>97</v>
      </c>
      <c r="F16" s="12">
        <f>D16-E16</f>
        <v>96</v>
      </c>
    </row>
    <row r="17" spans="1:6">
      <c r="A17" s="8"/>
      <c r="B17" s="11" t="s">
        <v>11</v>
      </c>
      <c r="C17" s="10">
        <v>5.04E-4</v>
      </c>
      <c r="D17" s="12">
        <f>ROUND(D$3*C17,0)</f>
        <v>123</v>
      </c>
      <c r="E17" s="13">
        <f>ROUND(D17/2,0)</f>
        <v>62</v>
      </c>
      <c r="F17" s="12">
        <f>D17-E17</f>
        <v>61</v>
      </c>
    </row>
    <row r="18" spans="1:6">
      <c r="A18" s="8">
        <v>2</v>
      </c>
      <c r="B18" s="11" t="s">
        <v>179</v>
      </c>
      <c r="C18" s="11"/>
      <c r="D18" s="9"/>
      <c r="E18" s="11"/>
      <c r="F18" s="11"/>
    </row>
    <row r="19" spans="1:6">
      <c r="A19" s="8"/>
      <c r="B19" s="11" t="s">
        <v>10</v>
      </c>
      <c r="C19" s="10">
        <v>3.5399999999999999E-4</v>
      </c>
      <c r="D19" s="12">
        <f>ROUND(D$3*C19,0)</f>
        <v>86</v>
      </c>
      <c r="E19" s="13">
        <f>ROUND(D19/2,0)</f>
        <v>43</v>
      </c>
      <c r="F19" s="12">
        <f>D19-E19</f>
        <v>43</v>
      </c>
    </row>
    <row r="20" spans="1:6">
      <c r="A20" s="8"/>
      <c r="B20" s="11" t="s">
        <v>11</v>
      </c>
      <c r="C20" s="10">
        <v>1.7200000000000001E-4</v>
      </c>
      <c r="D20" s="12">
        <f>ROUND(D$3*C20,0)</f>
        <v>42</v>
      </c>
      <c r="E20" s="13">
        <f>ROUND(D20/2,0)</f>
        <v>21</v>
      </c>
      <c r="F20" s="12">
        <f>D20-E20</f>
        <v>21</v>
      </c>
    </row>
    <row r="21" spans="1:6">
      <c r="A21" s="8">
        <v>2</v>
      </c>
      <c r="B21" s="11" t="s">
        <v>1227</v>
      </c>
      <c r="C21" s="11"/>
      <c r="D21" s="9"/>
      <c r="E21" s="11"/>
      <c r="F21" s="11"/>
    </row>
    <row r="22" spans="1:6">
      <c r="A22" s="8"/>
      <c r="B22" s="11" t="s">
        <v>10</v>
      </c>
      <c r="C22" s="10">
        <v>2.5700000000000001E-4</v>
      </c>
      <c r="D22" s="12">
        <f>ROUND(D$3*C22,0)</f>
        <v>63</v>
      </c>
      <c r="E22" s="13">
        <f>ROUND(D22/2,0)</f>
        <v>32</v>
      </c>
      <c r="F22" s="12">
        <f>D22-E22</f>
        <v>31</v>
      </c>
    </row>
    <row r="23" spans="1:6">
      <c r="A23" s="8"/>
      <c r="B23" s="11" t="s">
        <v>11</v>
      </c>
      <c r="C23" s="10">
        <v>1.01E-4</v>
      </c>
      <c r="D23" s="12">
        <f>ROUND(D$3*C23,0)</f>
        <v>25</v>
      </c>
      <c r="E23" s="13">
        <f>ROUND(D23/2,0)</f>
        <v>13</v>
      </c>
      <c r="F23" s="12">
        <f>D23-E23</f>
        <v>12</v>
      </c>
    </row>
    <row r="24" spans="1:6">
      <c r="A24" s="8">
        <v>2</v>
      </c>
      <c r="B24" s="11" t="s">
        <v>86</v>
      </c>
      <c r="C24" s="11"/>
      <c r="D24" s="9"/>
      <c r="E24" s="11"/>
      <c r="F24" s="11"/>
    </row>
    <row r="25" spans="1:6">
      <c r="A25" s="8"/>
      <c r="B25" s="11" t="s">
        <v>10</v>
      </c>
      <c r="C25" s="10">
        <v>2.6499999999999999E-4</v>
      </c>
      <c r="D25" s="12">
        <f>ROUND(D$3*C25,0)</f>
        <v>65</v>
      </c>
      <c r="E25" s="13">
        <f>ROUND(D25/2,0)</f>
        <v>33</v>
      </c>
      <c r="F25" s="12">
        <f>D25-E25</f>
        <v>32</v>
      </c>
    </row>
    <row r="26" spans="1:6">
      <c r="A26" s="8"/>
      <c r="B26" s="11" t="s">
        <v>11</v>
      </c>
      <c r="C26" s="10">
        <v>1.7200000000000001E-4</v>
      </c>
      <c r="D26" s="12">
        <f>ROUND(D$3*C26,0)</f>
        <v>42</v>
      </c>
      <c r="E26" s="13">
        <f>ROUND(D26/2,0)</f>
        <v>21</v>
      </c>
      <c r="F26" s="12">
        <f>D26-E26</f>
        <v>21</v>
      </c>
    </row>
    <row r="27" spans="1:6">
      <c r="A27" s="8">
        <v>2</v>
      </c>
      <c r="B27" s="11" t="s">
        <v>49</v>
      </c>
      <c r="C27" s="11"/>
      <c r="D27" s="9"/>
      <c r="E27" s="11"/>
      <c r="F27" s="11"/>
    </row>
    <row r="28" spans="1:6">
      <c r="A28" s="8"/>
      <c r="B28" s="11" t="s">
        <v>10</v>
      </c>
      <c r="C28" s="10">
        <v>9.2199999999999997E-4</v>
      </c>
      <c r="D28" s="12">
        <f>ROUND(D$3*C28,0)</f>
        <v>225</v>
      </c>
      <c r="E28" s="13">
        <f>ROUND(D28/2,0)</f>
        <v>113</v>
      </c>
      <c r="F28" s="12">
        <f>D28-E28</f>
        <v>112</v>
      </c>
    </row>
    <row r="29" spans="1:6">
      <c r="A29" s="8"/>
      <c r="B29" s="11" t="s">
        <v>11</v>
      </c>
      <c r="C29" s="10">
        <v>4.4000000000000002E-4</v>
      </c>
      <c r="D29" s="12">
        <f>ROUND(D$3*C29,0)</f>
        <v>107</v>
      </c>
      <c r="E29" s="13">
        <f>ROUND(D29/2,0)</f>
        <v>54</v>
      </c>
      <c r="F29" s="12">
        <f>D29-E29</f>
        <v>53</v>
      </c>
    </row>
    <row r="30" spans="1:6">
      <c r="A30" s="8">
        <v>2</v>
      </c>
      <c r="B30" s="11" t="s">
        <v>14</v>
      </c>
      <c r="C30" s="11"/>
      <c r="D30" s="9"/>
      <c r="E30" s="11"/>
      <c r="F30" s="11"/>
    </row>
    <row r="31" spans="1:6">
      <c r="A31" s="8"/>
      <c r="B31" s="11" t="s">
        <v>10</v>
      </c>
      <c r="C31" s="10">
        <v>8.6899999999999998E-4</v>
      </c>
      <c r="D31" s="12">
        <f>ROUND(D$3*C31,0)</f>
        <v>212</v>
      </c>
      <c r="E31" s="13">
        <f>ROUND(D31/2,0)</f>
        <v>106</v>
      </c>
      <c r="F31" s="12">
        <f>D31-E31</f>
        <v>106</v>
      </c>
    </row>
    <row r="32" spans="1:6">
      <c r="A32" s="8"/>
      <c r="B32" s="11" t="s">
        <v>11</v>
      </c>
      <c r="C32" s="10">
        <v>8.43E-4</v>
      </c>
      <c r="D32" s="12">
        <f>ROUND(D$3*C32,0)</f>
        <v>206</v>
      </c>
      <c r="E32" s="13">
        <f>ROUND(D32/2,0)</f>
        <v>103</v>
      </c>
      <c r="F32" s="12">
        <f>D32-E32</f>
        <v>103</v>
      </c>
    </row>
    <row r="33" spans="1:6">
      <c r="A33" s="8">
        <v>2</v>
      </c>
      <c r="B33" s="11" t="s">
        <v>56</v>
      </c>
      <c r="C33" s="11"/>
      <c r="D33" s="9"/>
      <c r="E33" s="11"/>
      <c r="F33" s="11"/>
    </row>
    <row r="34" spans="1:6">
      <c r="A34" s="8"/>
      <c r="B34" s="11" t="s">
        <v>10</v>
      </c>
      <c r="C34" s="10">
        <v>3.5399999999999999E-4</v>
      </c>
      <c r="D34" s="12">
        <f>ROUND(D$3*C34,0)</f>
        <v>86</v>
      </c>
      <c r="E34" s="13">
        <f>ROUND(D34/2,0)</f>
        <v>43</v>
      </c>
      <c r="F34" s="12">
        <f>D34-E34</f>
        <v>43</v>
      </c>
    </row>
    <row r="35" spans="1:6">
      <c r="A35" s="8"/>
      <c r="B35" s="11" t="s">
        <v>11</v>
      </c>
      <c r="C35" s="10">
        <v>1.27E-4</v>
      </c>
      <c r="D35" s="12">
        <f>ROUND(D$3*C35,0)</f>
        <v>31</v>
      </c>
      <c r="E35" s="13">
        <f>ROUND(D35/2,0)</f>
        <v>16</v>
      </c>
      <c r="F35" s="12">
        <f>D35-E35</f>
        <v>15</v>
      </c>
    </row>
    <row r="36" spans="1:6">
      <c r="A36" s="8">
        <v>2</v>
      </c>
      <c r="B36" s="11" t="s">
        <v>1228</v>
      </c>
      <c r="C36" s="11"/>
      <c r="D36" s="9"/>
      <c r="E36" s="11"/>
      <c r="F36" s="11"/>
    </row>
    <row r="37" spans="1:6">
      <c r="A37" s="8"/>
      <c r="B37" s="11" t="s">
        <v>10</v>
      </c>
      <c r="C37" s="10">
        <v>8.0029999999999997E-3</v>
      </c>
      <c r="D37" s="12">
        <f>ROUND(D$3*C37,0)</f>
        <v>1955</v>
      </c>
      <c r="E37" s="13">
        <f>ROUND(D37/2,0)</f>
        <v>978</v>
      </c>
      <c r="F37" s="12">
        <f>D37-E37</f>
        <v>977</v>
      </c>
    </row>
    <row r="38" spans="1:6">
      <c r="A38" s="8"/>
      <c r="B38" s="11" t="s">
        <v>11</v>
      </c>
      <c r="C38" s="10">
        <v>2.0070000000000001E-3</v>
      </c>
      <c r="D38" s="12">
        <f>ROUND(D$3*C38,0)</f>
        <v>490</v>
      </c>
      <c r="E38" s="13">
        <f>ROUND(D38/2,0)</f>
        <v>245</v>
      </c>
      <c r="F38" s="12">
        <f>D38-E38</f>
        <v>245</v>
      </c>
    </row>
    <row r="39" spans="1:6">
      <c r="A39" s="8">
        <v>2</v>
      </c>
      <c r="B39" s="11" t="s">
        <v>1124</v>
      </c>
      <c r="C39" s="11"/>
      <c r="D39" s="9"/>
      <c r="E39" s="11"/>
      <c r="F39" s="11"/>
    </row>
    <row r="40" spans="1:6">
      <c r="A40" s="8"/>
      <c r="B40" s="11" t="s">
        <v>10</v>
      </c>
      <c r="C40" s="10">
        <v>6.4199999999999999E-4</v>
      </c>
      <c r="D40" s="12">
        <f>ROUND(D$3*C40,0)</f>
        <v>157</v>
      </c>
      <c r="E40" s="13">
        <f>ROUND(D40/2,0)</f>
        <v>79</v>
      </c>
      <c r="F40" s="12">
        <f>D40-E40</f>
        <v>78</v>
      </c>
    </row>
    <row r="41" spans="1:6">
      <c r="A41" s="8"/>
      <c r="B41" s="11" t="s">
        <v>11</v>
      </c>
      <c r="C41" s="10">
        <v>6.0400000000000004E-4</v>
      </c>
      <c r="D41" s="12">
        <f>ROUND(D$3*C41,0)</f>
        <v>148</v>
      </c>
      <c r="E41" s="13">
        <f>ROUND(D41/2,0)</f>
        <v>74</v>
      </c>
      <c r="F41" s="12">
        <f>D41-E41</f>
        <v>74</v>
      </c>
    </row>
    <row r="42" spans="1:6">
      <c r="A42" s="8">
        <v>2</v>
      </c>
      <c r="B42" s="11" t="s">
        <v>114</v>
      </c>
      <c r="C42" s="11"/>
      <c r="D42" s="9"/>
      <c r="E42" s="11"/>
      <c r="F42" s="11"/>
    </row>
    <row r="43" spans="1:6">
      <c r="A43" s="8"/>
      <c r="B43" s="11" t="s">
        <v>10</v>
      </c>
      <c r="C43" s="10">
        <v>5.4100000000000003E-4</v>
      </c>
      <c r="D43" s="12">
        <f>ROUND(D$3*C43,0)</f>
        <v>132</v>
      </c>
      <c r="E43" s="13">
        <f>ROUND(D43/2,0)</f>
        <v>66</v>
      </c>
      <c r="F43" s="12">
        <f>D43-E43</f>
        <v>66</v>
      </c>
    </row>
    <row r="44" spans="1:6">
      <c r="A44" s="8"/>
      <c r="B44" s="11" t="s">
        <v>11</v>
      </c>
      <c r="C44" s="10">
        <v>2.7599999999999999E-4</v>
      </c>
      <c r="D44" s="12">
        <f>ROUND(D$3*C44,0)</f>
        <v>67</v>
      </c>
      <c r="E44" s="13">
        <f>ROUND(D44/2,0)</f>
        <v>34</v>
      </c>
      <c r="F44" s="12">
        <f>D44-E44</f>
        <v>33</v>
      </c>
    </row>
    <row r="45" spans="1:6">
      <c r="A45" s="8">
        <v>2</v>
      </c>
      <c r="B45" s="11" t="s">
        <v>1229</v>
      </c>
      <c r="C45" s="11"/>
      <c r="D45" s="9"/>
      <c r="E45" s="11"/>
      <c r="F45" s="11"/>
    </row>
    <row r="46" spans="1:6">
      <c r="A46" s="8"/>
      <c r="B46" s="11" t="s">
        <v>10</v>
      </c>
      <c r="C46" s="10">
        <v>9.3999999999999997E-4</v>
      </c>
      <c r="D46" s="12">
        <f>ROUND(D$3*C46,0)</f>
        <v>230</v>
      </c>
      <c r="E46" s="13">
        <f>ROUND(D46/2,0)</f>
        <v>115</v>
      </c>
      <c r="F46" s="12">
        <f>D46-E46</f>
        <v>115</v>
      </c>
    </row>
    <row r="47" spans="1:6">
      <c r="A47" s="8"/>
      <c r="B47" s="11" t="s">
        <v>11</v>
      </c>
      <c r="C47" s="10">
        <v>5.71E-4</v>
      </c>
      <c r="D47" s="12">
        <f>ROUND(D$3*C47,0)</f>
        <v>139</v>
      </c>
      <c r="E47" s="13">
        <f>ROUND(D47/2,0)</f>
        <v>70</v>
      </c>
      <c r="F47" s="12">
        <f>D47-E47</f>
        <v>69</v>
      </c>
    </row>
    <row r="48" spans="1:6">
      <c r="A48" s="8">
        <v>2</v>
      </c>
      <c r="B48" s="11" t="s">
        <v>22</v>
      </c>
      <c r="C48" s="11"/>
      <c r="D48" s="9"/>
      <c r="E48" s="11"/>
      <c r="F48" s="11"/>
    </row>
    <row r="49" spans="1:6">
      <c r="A49" s="8"/>
      <c r="B49" s="11" t="s">
        <v>10</v>
      </c>
      <c r="C49" s="10">
        <v>6.0800000000000003E-4</v>
      </c>
      <c r="D49" s="12">
        <f t="shared" ref="D49:D57" si="0">ROUND(D$3*C49,0)</f>
        <v>149</v>
      </c>
      <c r="E49" s="13">
        <f t="shared" ref="E49:E57" si="1">ROUND(D49/2,0)</f>
        <v>75</v>
      </c>
      <c r="F49" s="12">
        <f t="shared" ref="F49:F57" si="2">D49-E49</f>
        <v>74</v>
      </c>
    </row>
    <row r="50" spans="1:6">
      <c r="A50" s="8"/>
      <c r="B50" s="11" t="s">
        <v>11</v>
      </c>
      <c r="C50" s="10">
        <v>6.1200000000000002E-4</v>
      </c>
      <c r="D50" s="12">
        <f t="shared" si="0"/>
        <v>149</v>
      </c>
      <c r="E50" s="13">
        <f t="shared" si="1"/>
        <v>75</v>
      </c>
      <c r="F50" s="12">
        <f t="shared" si="2"/>
        <v>74</v>
      </c>
    </row>
    <row r="51" spans="1:6">
      <c r="A51" s="8">
        <v>3</v>
      </c>
      <c r="B51" s="11" t="s">
        <v>1230</v>
      </c>
      <c r="C51" s="10">
        <v>3.0600000000000001E-4</v>
      </c>
      <c r="D51" s="12">
        <f t="shared" si="0"/>
        <v>75</v>
      </c>
      <c r="E51" s="13">
        <f t="shared" si="1"/>
        <v>38</v>
      </c>
      <c r="F51" s="12">
        <f t="shared" si="2"/>
        <v>37</v>
      </c>
    </row>
    <row r="52" spans="1:6">
      <c r="A52" s="8">
        <v>3</v>
      </c>
      <c r="B52" s="11" t="s">
        <v>1231</v>
      </c>
      <c r="C52" s="10">
        <v>5.4500000000000002E-4</v>
      </c>
      <c r="D52" s="12">
        <f t="shared" si="0"/>
        <v>133</v>
      </c>
      <c r="E52" s="13">
        <f t="shared" si="1"/>
        <v>67</v>
      </c>
      <c r="F52" s="12">
        <f t="shared" si="2"/>
        <v>66</v>
      </c>
    </row>
    <row r="53" spans="1:6">
      <c r="A53" s="8">
        <v>3</v>
      </c>
      <c r="B53" s="11" t="s">
        <v>596</v>
      </c>
      <c r="C53" s="10">
        <v>6.6709999999999998E-3</v>
      </c>
      <c r="D53" s="12">
        <f t="shared" si="0"/>
        <v>1629</v>
      </c>
      <c r="E53" s="13">
        <f t="shared" si="1"/>
        <v>815</v>
      </c>
      <c r="F53" s="12">
        <f t="shared" si="2"/>
        <v>814</v>
      </c>
    </row>
    <row r="54" spans="1:6">
      <c r="A54" s="8">
        <v>3</v>
      </c>
      <c r="B54" s="11" t="s">
        <v>1232</v>
      </c>
      <c r="C54" s="10">
        <v>1.75E-4</v>
      </c>
      <c r="D54" s="12">
        <f t="shared" si="0"/>
        <v>43</v>
      </c>
      <c r="E54" s="13">
        <f t="shared" si="1"/>
        <v>22</v>
      </c>
      <c r="F54" s="12">
        <f t="shared" si="2"/>
        <v>21</v>
      </c>
    </row>
    <row r="55" spans="1:6">
      <c r="A55" s="8">
        <v>3</v>
      </c>
      <c r="B55" s="11" t="s">
        <v>1233</v>
      </c>
      <c r="C55" s="10">
        <v>1.01E-4</v>
      </c>
      <c r="D55" s="12">
        <f t="shared" si="0"/>
        <v>25</v>
      </c>
      <c r="E55" s="13">
        <f t="shared" si="1"/>
        <v>13</v>
      </c>
      <c r="F55" s="12">
        <f t="shared" si="2"/>
        <v>12</v>
      </c>
    </row>
    <row r="56" spans="1:6">
      <c r="A56" s="8">
        <v>3</v>
      </c>
      <c r="B56" s="11" t="s">
        <v>1234</v>
      </c>
      <c r="C56" s="10">
        <v>9.4884999999999997E-2</v>
      </c>
      <c r="D56" s="12">
        <f t="shared" si="0"/>
        <v>23176</v>
      </c>
      <c r="E56" s="13">
        <f t="shared" si="1"/>
        <v>11588</v>
      </c>
      <c r="F56" s="12">
        <f t="shared" si="2"/>
        <v>11588</v>
      </c>
    </row>
    <row r="57" spans="1:6">
      <c r="A57" s="8">
        <v>4</v>
      </c>
      <c r="B57" s="11" t="s">
        <v>1235</v>
      </c>
      <c r="C57" s="10">
        <v>0.171654</v>
      </c>
      <c r="D57" s="9">
        <f t="shared" si="0"/>
        <v>41928</v>
      </c>
      <c r="E57" s="11">
        <f t="shared" si="1"/>
        <v>20964</v>
      </c>
      <c r="F57" s="9">
        <f t="shared" si="2"/>
        <v>20964</v>
      </c>
    </row>
    <row r="58" spans="1:6">
      <c r="A58" s="8"/>
      <c r="B58" s="11" t="s">
        <v>28</v>
      </c>
      <c r="C58" s="11"/>
      <c r="D58" s="14">
        <v>0.66305099999999995</v>
      </c>
      <c r="E58" s="11"/>
      <c r="F58" s="11"/>
    </row>
    <row r="59" spans="1:6">
      <c r="A59" s="8"/>
      <c r="B59" s="11" t="s">
        <v>29</v>
      </c>
      <c r="C59" s="11"/>
      <c r="D59" s="225">
        <f>ROUND(D57*D58,0)</f>
        <v>27800</v>
      </c>
      <c r="E59" s="226">
        <f>ROUND(D59/2,0)</f>
        <v>13900</v>
      </c>
      <c r="F59" s="225">
        <f>D59-E59</f>
        <v>13900</v>
      </c>
    </row>
    <row r="60" spans="1:6">
      <c r="A60" s="8"/>
      <c r="B60" s="11" t="s">
        <v>30</v>
      </c>
      <c r="C60" s="11"/>
      <c r="D60" s="12">
        <f>+D57-D59</f>
        <v>14128</v>
      </c>
      <c r="E60" s="13">
        <f>ROUND(D60/2,0)</f>
        <v>7064</v>
      </c>
      <c r="F60" s="12">
        <f>D60-E60</f>
        <v>7064</v>
      </c>
    </row>
    <row r="61" spans="1:6">
      <c r="A61" s="8">
        <v>4</v>
      </c>
      <c r="B61" s="11" t="s">
        <v>1236</v>
      </c>
      <c r="C61" s="10">
        <v>0.14373</v>
      </c>
      <c r="D61" s="9">
        <f>ROUND(D$3*C61,0)</f>
        <v>35107</v>
      </c>
      <c r="E61" s="11">
        <f>ROUND(D61/2,0)</f>
        <v>17554</v>
      </c>
      <c r="F61" s="9">
        <f>D61-E61</f>
        <v>17553</v>
      </c>
    </row>
    <row r="62" spans="1:6">
      <c r="A62" s="8"/>
      <c r="B62" s="11" t="s">
        <v>28</v>
      </c>
      <c r="C62" s="11"/>
      <c r="D62" s="14">
        <v>0.45907700000000001</v>
      </c>
      <c r="E62" s="11"/>
      <c r="F62" s="11"/>
    </row>
    <row r="63" spans="1:6">
      <c r="A63" s="8"/>
      <c r="B63" s="11" t="s">
        <v>29</v>
      </c>
      <c r="C63" s="11"/>
      <c r="D63" s="225">
        <f>ROUND(D61*D62,0)</f>
        <v>16117</v>
      </c>
      <c r="E63" s="226">
        <f>ROUND(D63/2,0)</f>
        <v>8059</v>
      </c>
      <c r="F63" s="225">
        <f>D63-E63</f>
        <v>8058</v>
      </c>
    </row>
    <row r="64" spans="1:6">
      <c r="A64" s="8"/>
      <c r="B64" s="11" t="s">
        <v>30</v>
      </c>
      <c r="C64" s="11"/>
      <c r="D64" s="12">
        <f>+D61-D63</f>
        <v>18990</v>
      </c>
      <c r="E64" s="13">
        <f>ROUND(D64/2,0)</f>
        <v>9495</v>
      </c>
      <c r="F64" s="12">
        <f>D64-E64</f>
        <v>9495</v>
      </c>
    </row>
    <row r="65" spans="1:8">
      <c r="A65" s="8">
        <v>4</v>
      </c>
      <c r="B65" s="11" t="s">
        <v>611</v>
      </c>
      <c r="C65" s="10">
        <v>5.2039000000000002E-2</v>
      </c>
      <c r="D65" s="9">
        <f>ROUND(D$3*C65,0)</f>
        <v>12711</v>
      </c>
      <c r="E65" s="11">
        <f>ROUND(D65/2,0)</f>
        <v>6356</v>
      </c>
      <c r="F65" s="9">
        <f>D65-E65</f>
        <v>6355</v>
      </c>
    </row>
    <row r="66" spans="1:8">
      <c r="A66" s="8"/>
      <c r="B66" s="11" t="s">
        <v>28</v>
      </c>
      <c r="C66" s="11"/>
      <c r="D66" s="14">
        <v>0.415018</v>
      </c>
      <c r="E66" s="11"/>
      <c r="F66" s="11"/>
    </row>
    <row r="67" spans="1:8">
      <c r="A67" s="8"/>
      <c r="B67" s="11" t="s">
        <v>29</v>
      </c>
      <c r="C67" s="11"/>
      <c r="D67" s="225">
        <f>ROUND(D65*D66,0)</f>
        <v>5275</v>
      </c>
      <c r="E67" s="226">
        <f>ROUND(D67/2,0)</f>
        <v>2638</v>
      </c>
      <c r="F67" s="225">
        <f>D67-E67</f>
        <v>2637</v>
      </c>
    </row>
    <row r="68" spans="1:8">
      <c r="A68" s="8"/>
      <c r="B68" s="11" t="s">
        <v>30</v>
      </c>
      <c r="C68" s="11"/>
      <c r="D68" s="12">
        <f>+D65-D67</f>
        <v>7436</v>
      </c>
      <c r="E68" s="13">
        <f>ROUND(D68/2,0)</f>
        <v>3718</v>
      </c>
      <c r="F68" s="12">
        <f>D68-E68</f>
        <v>3718</v>
      </c>
    </row>
    <row r="69" spans="1:8">
      <c r="A69" s="8">
        <v>4</v>
      </c>
      <c r="B69" s="11" t="s">
        <v>1237</v>
      </c>
      <c r="C69" s="10">
        <v>0.26249800000000001</v>
      </c>
      <c r="D69" s="9">
        <f>ROUND(D$3*C69,0)</f>
        <v>64117</v>
      </c>
      <c r="E69" s="11">
        <f>ROUND(D69/2,0)</f>
        <v>32059</v>
      </c>
      <c r="F69" s="9">
        <f>D69-E69</f>
        <v>32058</v>
      </c>
    </row>
    <row r="70" spans="1:8">
      <c r="A70" s="8"/>
      <c r="B70" s="11" t="s">
        <v>28</v>
      </c>
      <c r="C70" s="11"/>
      <c r="D70" s="14">
        <v>0.38120900000000002</v>
      </c>
      <c r="E70" s="11"/>
      <c r="F70" s="11"/>
    </row>
    <row r="71" spans="1:8">
      <c r="A71" s="8" t="s">
        <v>590</v>
      </c>
      <c r="B71" s="11" t="s">
        <v>29</v>
      </c>
      <c r="C71" s="11"/>
      <c r="D71" s="225">
        <f>ROUND(D69*D70,0)</f>
        <v>24442</v>
      </c>
      <c r="E71" s="226">
        <f>ROUND(D71/2,0)</f>
        <v>12221</v>
      </c>
      <c r="F71" s="225">
        <f>D71-E71</f>
        <v>12221</v>
      </c>
    </row>
    <row r="72" spans="1:8">
      <c r="A72" s="8"/>
      <c r="B72" s="11" t="s">
        <v>30</v>
      </c>
      <c r="C72" s="11"/>
      <c r="D72" s="12">
        <f>+D69-D71</f>
        <v>39675</v>
      </c>
      <c r="E72" s="13">
        <f>ROUND(D72/2,0)</f>
        <v>19838</v>
      </c>
      <c r="F72" s="12">
        <f>D72-E72</f>
        <v>19837</v>
      </c>
    </row>
    <row r="73" spans="1:8">
      <c r="A73" s="8">
        <v>5</v>
      </c>
      <c r="B73" s="11" t="s">
        <v>1238</v>
      </c>
      <c r="C73" s="10">
        <v>3.313E-3</v>
      </c>
      <c r="D73" s="12">
        <f>ROUND(D$3*C73,0)</f>
        <v>809</v>
      </c>
      <c r="E73" s="13">
        <f>ROUND(D73/2,0)</f>
        <v>405</v>
      </c>
      <c r="F73" s="12">
        <f>D73-E73</f>
        <v>404</v>
      </c>
    </row>
    <row r="74" spans="1:8">
      <c r="A74" s="8">
        <v>5</v>
      </c>
      <c r="B74" s="11" t="s">
        <v>1239</v>
      </c>
      <c r="C74" s="10">
        <v>6.2020000000000408E-3</v>
      </c>
      <c r="D74" s="12">
        <f>+D3-SUM(D4:D5)-SUM(D10:D57)-D61-D65-D69-D73</f>
        <v>1515</v>
      </c>
      <c r="E74" s="13">
        <f>ROUND(D74/2,0)</f>
        <v>758</v>
      </c>
      <c r="F74" s="12">
        <f>D74-E74</f>
        <v>757</v>
      </c>
    </row>
    <row r="75" spans="1:8">
      <c r="A75" s="8">
        <v>6</v>
      </c>
      <c r="B75" s="11" t="s">
        <v>1240</v>
      </c>
      <c r="C75" s="10">
        <v>0</v>
      </c>
      <c r="D75" s="12">
        <f>ROUND(D$3*C75,0)</f>
        <v>0</v>
      </c>
      <c r="E75" s="13">
        <f>ROUND(D75/2,0)</f>
        <v>0</v>
      </c>
      <c r="F75" s="12">
        <f>D75-E75</f>
        <v>0</v>
      </c>
    </row>
    <row r="76" spans="1:8">
      <c r="A76" s="8"/>
      <c r="B76" s="28" t="s">
        <v>288</v>
      </c>
      <c r="C76" s="10">
        <v>1</v>
      </c>
      <c r="D76" s="12">
        <f>+D4+SUM(D7:D56)+SUM(D59:D60)+SUM(D63:D64)+SUM(D67:D68)+SUM(D71:D75)</f>
        <v>244256</v>
      </c>
      <c r="E76" s="12">
        <f>+E4+SUM(E7:E56)+SUM(E59:E60)+SUM(E63:E64)+SUM(E67:E68)+SUM(E71:E75)</f>
        <v>122141</v>
      </c>
      <c r="F76" s="12">
        <f>+F4+SUM(F7:F56)+SUM(F59:F60)+SUM(F63:F64)+SUM(F67:F68)+SUM(F71:F75)</f>
        <v>122115</v>
      </c>
    </row>
    <row r="77" spans="1:8">
      <c r="B77" s="18" t="s">
        <v>38</v>
      </c>
      <c r="D77" s="19">
        <f>+D4</f>
        <v>293</v>
      </c>
      <c r="E77" s="19">
        <f>+E4</f>
        <v>147</v>
      </c>
      <c r="F77" s="19">
        <f>+F4</f>
        <v>146</v>
      </c>
    </row>
    <row r="78" spans="1:8">
      <c r="B78" s="2" t="s">
        <v>39</v>
      </c>
      <c r="D78" s="19">
        <f>+D7</f>
        <v>16440</v>
      </c>
      <c r="E78" s="19">
        <f>+E7</f>
        <v>8220</v>
      </c>
      <c r="F78" s="19">
        <f>+F7</f>
        <v>8220</v>
      </c>
    </row>
    <row r="79" spans="1:8">
      <c r="B79" s="2" t="s">
        <v>40</v>
      </c>
      <c r="D79" s="19">
        <f>+D59+D63+D67+D71</f>
        <v>73634</v>
      </c>
      <c r="E79" s="19">
        <f>+E59+E63+E67+E71</f>
        <v>36818</v>
      </c>
      <c r="F79" s="19">
        <f>+F59+F63+F67+F71</f>
        <v>36816</v>
      </c>
      <c r="H79" s="3">
        <v>1</v>
      </c>
    </row>
    <row r="80" spans="1:8">
      <c r="B80" s="18" t="s">
        <v>41</v>
      </c>
      <c r="D80" s="19">
        <f>+D76-D77-D78-D79</f>
        <v>153889</v>
      </c>
      <c r="E80" s="19">
        <f>+E76-E77-E78-E79</f>
        <v>76956</v>
      </c>
      <c r="F80" s="19">
        <f>+F76-F77-F78-F79</f>
        <v>76933</v>
      </c>
      <c r="H80" s="3">
        <v>2</v>
      </c>
    </row>
    <row r="82" spans="2:4">
      <c r="B82" s="3" t="s">
        <v>42</v>
      </c>
      <c r="C82" s="4">
        <v>1.0000000000408987E-6</v>
      </c>
      <c r="D82" s="3">
        <f>+D74-ROUND(D3*C74,0)</f>
        <v>0</v>
      </c>
    </row>
  </sheetData>
  <pageMargins left="0.7" right="0.7" top="0.75" bottom="0.75" header="0.3" footer="0.3"/>
  <pageSetup scale="56"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pageSetUpPr fitToPage="1"/>
  </sheetPr>
  <dimension ref="A1:WVB71"/>
  <sheetViews>
    <sheetView topLeftCell="A30" zoomScaleNormal="100" zoomScaleSheetLayoutView="80" workbookViewId="0">
      <selection activeCell="D51" activeCellId="2" sqref="D7:F7 D47:F47 D51:F51"/>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5.710937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5.710937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5.710937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5.710937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5.710937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5.710937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5.710937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5.710937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5.710937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5.710937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5.710937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5.710937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5.710937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5.710937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5.710937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5.710937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5.710937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5.710937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5.710937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5.710937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5.710937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5.710937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5.710937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5.710937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5.710937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5.710937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5.710937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5.710937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5.710937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5.710937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5.710937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5.710937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5.710937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5.710937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5.710937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5.710937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5.710937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5.710937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5.710937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5.710937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5.710937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5.710937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5.710937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5.710937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5.710937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5.710937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5.710937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5.710937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5.710937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5.710937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5.710937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5.710937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5.710937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5.710937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5.710937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5.710937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5.710937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5.710937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5.710937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5.710937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5.710937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5.710937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5.710937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1241</v>
      </c>
    </row>
    <row r="2" spans="1:6" ht="60">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Worksheet'!$D$56</f>
        <v>934087</v>
      </c>
      <c r="E3" s="11"/>
      <c r="F3" s="11"/>
    </row>
    <row r="4" spans="1:6">
      <c r="A4" s="8">
        <v>0</v>
      </c>
      <c r="B4" s="11" t="s">
        <v>4</v>
      </c>
      <c r="C4" s="10">
        <v>1.109E-3</v>
      </c>
      <c r="D4" s="12">
        <f>ROUND(D$3*C4,0)</f>
        <v>1036</v>
      </c>
      <c r="E4" s="13">
        <f>ROUND(D4/2,0)</f>
        <v>518</v>
      </c>
      <c r="F4" s="12">
        <f>D4-E4</f>
        <v>518</v>
      </c>
    </row>
    <row r="5" spans="1:6">
      <c r="A5" s="8">
        <v>1</v>
      </c>
      <c r="B5" s="11" t="s">
        <v>1242</v>
      </c>
      <c r="C5" s="10">
        <v>0.22822700000000001</v>
      </c>
      <c r="D5" s="9">
        <f>ROUND(D$3*C5,0)</f>
        <v>213184</v>
      </c>
      <c r="E5" s="11">
        <f>ROUND(D5/2,0)</f>
        <v>106592</v>
      </c>
      <c r="F5" s="9">
        <f>D5-E5</f>
        <v>106592</v>
      </c>
    </row>
    <row r="6" spans="1:6">
      <c r="A6" s="8"/>
      <c r="B6" s="11" t="s">
        <v>6</v>
      </c>
      <c r="C6" s="11"/>
      <c r="D6" s="14">
        <v>0.28630299999999997</v>
      </c>
      <c r="E6" s="11"/>
      <c r="F6" s="11"/>
    </row>
    <row r="7" spans="1:6">
      <c r="A7" s="8"/>
      <c r="B7" s="11" t="s">
        <v>7</v>
      </c>
      <c r="C7" s="11"/>
      <c r="D7" s="225">
        <f>ROUND(D5*D6,0)</f>
        <v>61035</v>
      </c>
      <c r="E7" s="226">
        <f>ROUND(D7/2,0)</f>
        <v>30518</v>
      </c>
      <c r="F7" s="225">
        <f>D7-E7</f>
        <v>30517</v>
      </c>
    </row>
    <row r="8" spans="1:6">
      <c r="A8" s="8"/>
      <c r="B8" s="11" t="s">
        <v>8</v>
      </c>
      <c r="C8" s="11"/>
      <c r="D8" s="12">
        <f>+D5-D7</f>
        <v>152149</v>
      </c>
      <c r="E8" s="13">
        <f>ROUND(D8/2,0)</f>
        <v>76075</v>
      </c>
      <c r="F8" s="12">
        <f>D8-E8</f>
        <v>76074</v>
      </c>
    </row>
    <row r="9" spans="1:6">
      <c r="A9" s="8">
        <v>2</v>
      </c>
      <c r="B9" s="11" t="s">
        <v>1243</v>
      </c>
      <c r="C9" s="11"/>
      <c r="D9" s="9"/>
      <c r="E9" s="11"/>
      <c r="F9" s="11"/>
    </row>
    <row r="10" spans="1:6">
      <c r="A10" s="8"/>
      <c r="B10" s="11" t="s">
        <v>10</v>
      </c>
      <c r="C10" s="10">
        <v>2.33E-4</v>
      </c>
      <c r="D10" s="12">
        <f>ROUND(D$3*C10,0)</f>
        <v>218</v>
      </c>
      <c r="E10" s="13">
        <f>ROUND(D10/2,0)</f>
        <v>109</v>
      </c>
      <c r="F10" s="12">
        <f>D10-E10</f>
        <v>109</v>
      </c>
    </row>
    <row r="11" spans="1:6">
      <c r="A11" s="8"/>
      <c r="B11" s="11" t="s">
        <v>11</v>
      </c>
      <c r="C11" s="10">
        <v>7.6000000000000004E-4</v>
      </c>
      <c r="D11" s="12">
        <f>ROUND(D$3*C11,0)</f>
        <v>710</v>
      </c>
      <c r="E11" s="13">
        <f>ROUND(D11/2,0)</f>
        <v>355</v>
      </c>
      <c r="F11" s="12">
        <f>D11-E11</f>
        <v>355</v>
      </c>
    </row>
    <row r="12" spans="1:6">
      <c r="A12" s="8">
        <v>2</v>
      </c>
      <c r="B12" s="11" t="s">
        <v>450</v>
      </c>
      <c r="C12" s="11"/>
      <c r="D12" s="9"/>
      <c r="E12" s="11"/>
      <c r="F12" s="11"/>
    </row>
    <row r="13" spans="1:6">
      <c r="A13" s="8"/>
      <c r="B13" s="11" t="s">
        <v>10</v>
      </c>
      <c r="C13" s="10">
        <v>1.1440000000000001E-3</v>
      </c>
      <c r="D13" s="12">
        <f>ROUND(D$3*C13,0)</f>
        <v>1069</v>
      </c>
      <c r="E13" s="13">
        <f>ROUND(D13/2,0)</f>
        <v>535</v>
      </c>
      <c r="F13" s="12">
        <f>D13-E13</f>
        <v>534</v>
      </c>
    </row>
    <row r="14" spans="1:6">
      <c r="A14" s="8"/>
      <c r="B14" s="11" t="s">
        <v>11</v>
      </c>
      <c r="C14" s="10">
        <v>1.003E-3</v>
      </c>
      <c r="D14" s="12">
        <f>ROUND(D$3*C14,0)</f>
        <v>937</v>
      </c>
      <c r="E14" s="13">
        <f>ROUND(D14/2,0)</f>
        <v>469</v>
      </c>
      <c r="F14" s="12">
        <f>D14-E14</f>
        <v>468</v>
      </c>
    </row>
    <row r="15" spans="1:6">
      <c r="A15" s="8">
        <v>2</v>
      </c>
      <c r="B15" s="11" t="s">
        <v>1244</v>
      </c>
      <c r="C15" s="11"/>
      <c r="D15" s="9"/>
      <c r="E15" s="11"/>
      <c r="F15" s="11"/>
    </row>
    <row r="16" spans="1:6">
      <c r="A16" s="8"/>
      <c r="B16" s="11" t="s">
        <v>10</v>
      </c>
      <c r="C16" s="10">
        <v>1.5472E-2</v>
      </c>
      <c r="D16" s="12">
        <f>ROUND(D$3*C16,0)</f>
        <v>14452</v>
      </c>
      <c r="E16" s="13">
        <f>ROUND(D16/2,0)</f>
        <v>7226</v>
      </c>
      <c r="F16" s="12">
        <f>D16-E16</f>
        <v>7226</v>
      </c>
    </row>
    <row r="17" spans="1:6">
      <c r="A17" s="8"/>
      <c r="B17" s="11" t="s">
        <v>11</v>
      </c>
      <c r="C17" s="10">
        <v>1.536E-3</v>
      </c>
      <c r="D17" s="12">
        <f>ROUND(D$3*C17,0)</f>
        <v>1435</v>
      </c>
      <c r="E17" s="13">
        <f>ROUND(D17/2,0)</f>
        <v>718</v>
      </c>
      <c r="F17" s="12">
        <f>D17-E17</f>
        <v>717</v>
      </c>
    </row>
    <row r="18" spans="1:6">
      <c r="A18" s="8">
        <v>2</v>
      </c>
      <c r="B18" s="11" t="s">
        <v>791</v>
      </c>
      <c r="C18" s="11"/>
      <c r="D18" s="9"/>
      <c r="E18" s="11"/>
      <c r="F18" s="11"/>
    </row>
    <row r="19" spans="1:6">
      <c r="A19" s="8"/>
      <c r="B19" s="11" t="s">
        <v>10</v>
      </c>
      <c r="C19" s="10">
        <v>1.8240000000000001E-3</v>
      </c>
      <c r="D19" s="12">
        <f>ROUND(D$3*C19,0)</f>
        <v>1704</v>
      </c>
      <c r="E19" s="13">
        <f>ROUND(D19/2,0)</f>
        <v>852</v>
      </c>
      <c r="F19" s="12">
        <f>D19-E19</f>
        <v>852</v>
      </c>
    </row>
    <row r="20" spans="1:6">
      <c r="A20" s="8"/>
      <c r="B20" s="11" t="s">
        <v>11</v>
      </c>
      <c r="C20" s="10">
        <v>0</v>
      </c>
      <c r="D20" s="12">
        <f>ROUND(D$3*C20,0)</f>
        <v>0</v>
      </c>
      <c r="E20" s="13">
        <f>ROUND(D20/2,0)</f>
        <v>0</v>
      </c>
      <c r="F20" s="12">
        <f>D20-E20</f>
        <v>0</v>
      </c>
    </row>
    <row r="21" spans="1:6">
      <c r="A21" s="8">
        <v>2</v>
      </c>
      <c r="B21" s="11" t="s">
        <v>1107</v>
      </c>
      <c r="C21" s="11"/>
      <c r="D21" s="9"/>
      <c r="E21" s="11"/>
      <c r="F21" s="11"/>
    </row>
    <row r="22" spans="1:6">
      <c r="A22" s="8"/>
      <c r="B22" s="11" t="s">
        <v>10</v>
      </c>
      <c r="C22" s="10">
        <v>4.7600000000000002E-4</v>
      </c>
      <c r="D22" s="12">
        <f>ROUND(D$3*C22,0)</f>
        <v>445</v>
      </c>
      <c r="E22" s="13">
        <f>ROUND(D22/2,0)</f>
        <v>223</v>
      </c>
      <c r="F22" s="12">
        <f>D22-E22</f>
        <v>222</v>
      </c>
    </row>
    <row r="23" spans="1:6">
      <c r="A23" s="8"/>
      <c r="B23" s="11" t="s">
        <v>11</v>
      </c>
      <c r="C23" s="10">
        <v>3.19E-4</v>
      </c>
      <c r="D23" s="12">
        <f>ROUND(D$3*C23,0)</f>
        <v>298</v>
      </c>
      <c r="E23" s="13">
        <f>ROUND(D23/2,0)</f>
        <v>149</v>
      </c>
      <c r="F23" s="12">
        <f>D23-E23</f>
        <v>149</v>
      </c>
    </row>
    <row r="24" spans="1:6">
      <c r="A24" s="8">
        <v>2</v>
      </c>
      <c r="B24" s="11" t="s">
        <v>56</v>
      </c>
      <c r="C24" s="11"/>
      <c r="D24" s="9"/>
      <c r="E24" s="11"/>
      <c r="F24" s="11"/>
    </row>
    <row r="25" spans="1:6">
      <c r="A25" s="8"/>
      <c r="B25" s="11" t="s">
        <v>10</v>
      </c>
      <c r="C25" s="10">
        <v>3.869E-3</v>
      </c>
      <c r="D25" s="12">
        <f>ROUND(D$3*C25,0)</f>
        <v>3614</v>
      </c>
      <c r="E25" s="13">
        <f>ROUND(D25/2,0)</f>
        <v>1807</v>
      </c>
      <c r="F25" s="12">
        <f>D25-E25</f>
        <v>1807</v>
      </c>
    </row>
    <row r="26" spans="1:6">
      <c r="A26" s="8"/>
      <c r="B26" s="11" t="s">
        <v>11</v>
      </c>
      <c r="C26" s="10">
        <v>0</v>
      </c>
      <c r="D26" s="12">
        <f>ROUND(D$3*C26,0)</f>
        <v>0</v>
      </c>
      <c r="E26" s="13">
        <f>ROUND(D26/2,0)</f>
        <v>0</v>
      </c>
      <c r="F26" s="12">
        <f>D26-E26</f>
        <v>0</v>
      </c>
    </row>
    <row r="27" spans="1:6">
      <c r="A27" s="8">
        <v>2</v>
      </c>
      <c r="B27" s="11" t="s">
        <v>795</v>
      </c>
      <c r="C27" s="11"/>
      <c r="D27" s="9"/>
      <c r="E27" s="11"/>
      <c r="F27" s="11"/>
    </row>
    <row r="28" spans="1:6">
      <c r="A28" s="8"/>
      <c r="B28" s="11" t="s">
        <v>10</v>
      </c>
      <c r="C28" s="10">
        <v>4.8999999999999998E-5</v>
      </c>
      <c r="D28" s="12">
        <f>ROUND(D$3*C28,0)</f>
        <v>46</v>
      </c>
      <c r="E28" s="13">
        <f>ROUND(D28/2,0)</f>
        <v>23</v>
      </c>
      <c r="F28" s="12">
        <f>D28-E28</f>
        <v>23</v>
      </c>
    </row>
    <row r="29" spans="1:6">
      <c r="A29" s="8"/>
      <c r="B29" s="11" t="s">
        <v>11</v>
      </c>
      <c r="C29" s="10">
        <v>2.8E-5</v>
      </c>
      <c r="D29" s="12">
        <f>ROUND(D$3*C29,0)</f>
        <v>26</v>
      </c>
      <c r="E29" s="13">
        <f>ROUND(D29/2,0)</f>
        <v>13</v>
      </c>
      <c r="F29" s="12">
        <f>D29-E29</f>
        <v>13</v>
      </c>
    </row>
    <row r="30" spans="1:6">
      <c r="A30" s="8">
        <v>2</v>
      </c>
      <c r="B30" s="11" t="s">
        <v>114</v>
      </c>
      <c r="C30" s="11"/>
      <c r="D30" s="9"/>
      <c r="E30" s="11"/>
      <c r="F30" s="11"/>
    </row>
    <row r="31" spans="1:6">
      <c r="A31" s="8"/>
      <c r="B31" s="11" t="s">
        <v>10</v>
      </c>
      <c r="C31" s="10">
        <v>1.639E-3</v>
      </c>
      <c r="D31" s="12">
        <f>ROUND(D$3*C31,0)</f>
        <v>1531</v>
      </c>
      <c r="E31" s="13">
        <f>ROUND(D31/2,0)</f>
        <v>766</v>
      </c>
      <c r="F31" s="12">
        <f>D31-E31</f>
        <v>765</v>
      </c>
    </row>
    <row r="32" spans="1:6">
      <c r="A32" s="8"/>
      <c r="B32" s="11" t="s">
        <v>11</v>
      </c>
      <c r="C32" s="10">
        <v>3.2049999999999999E-3</v>
      </c>
      <c r="D32" s="12">
        <f>ROUND(D$3*C32,0)</f>
        <v>2994</v>
      </c>
      <c r="E32" s="13">
        <f>ROUND(D32/2,0)</f>
        <v>1497</v>
      </c>
      <c r="F32" s="12">
        <f>D32-E32</f>
        <v>1497</v>
      </c>
    </row>
    <row r="33" spans="1:6">
      <c r="A33" s="8">
        <v>2</v>
      </c>
      <c r="B33" s="11" t="s">
        <v>532</v>
      </c>
      <c r="C33" s="11"/>
      <c r="D33" s="9"/>
      <c r="E33" s="11"/>
      <c r="F33" s="11"/>
    </row>
    <row r="34" spans="1:6">
      <c r="A34" s="8"/>
      <c r="B34" s="11" t="s">
        <v>10</v>
      </c>
      <c r="C34" s="10">
        <v>1.83E-4</v>
      </c>
      <c r="D34" s="12">
        <f>ROUND(D$3*C34,0)</f>
        <v>171</v>
      </c>
      <c r="E34" s="13">
        <f>ROUND(D34/2,0)</f>
        <v>86</v>
      </c>
      <c r="F34" s="12">
        <f>D34-E34</f>
        <v>85</v>
      </c>
    </row>
    <row r="35" spans="1:6">
      <c r="A35" s="8"/>
      <c r="B35" s="11" t="s">
        <v>11</v>
      </c>
      <c r="C35" s="10">
        <v>1E-4</v>
      </c>
      <c r="D35" s="12">
        <f>ROUND(D$3*C35,0)</f>
        <v>93</v>
      </c>
      <c r="E35" s="13">
        <f>ROUND(D35/2,0)</f>
        <v>47</v>
      </c>
      <c r="F35" s="12">
        <f>D35-E35</f>
        <v>46</v>
      </c>
    </row>
    <row r="36" spans="1:6">
      <c r="A36" s="8">
        <v>2</v>
      </c>
      <c r="B36" s="11" t="s">
        <v>169</v>
      </c>
      <c r="C36" s="11"/>
      <c r="D36" s="9"/>
      <c r="E36" s="11"/>
      <c r="F36" s="11"/>
    </row>
    <row r="37" spans="1:6">
      <c r="A37" s="8"/>
      <c r="B37" s="11" t="s">
        <v>10</v>
      </c>
      <c r="C37" s="10">
        <v>5.1330000000000004E-3</v>
      </c>
      <c r="D37" s="12">
        <f>ROUND(D$3*C37,0)</f>
        <v>4795</v>
      </c>
      <c r="E37" s="13">
        <f>ROUND(D37/2,0)</f>
        <v>2398</v>
      </c>
      <c r="F37" s="12">
        <f>D37-E37</f>
        <v>2397</v>
      </c>
    </row>
    <row r="38" spans="1:6">
      <c r="A38" s="8"/>
      <c r="B38" s="11" t="s">
        <v>11</v>
      </c>
      <c r="C38" s="10">
        <v>9.7499999999999996E-4</v>
      </c>
      <c r="D38" s="12">
        <f>ROUND(D$3*C38,0)</f>
        <v>911</v>
      </c>
      <c r="E38" s="13">
        <f>ROUND(D38/2,0)</f>
        <v>456</v>
      </c>
      <c r="F38" s="12">
        <f>D38-E38</f>
        <v>455</v>
      </c>
    </row>
    <row r="39" spans="1:6">
      <c r="A39" s="8">
        <v>2</v>
      </c>
      <c r="B39" s="11" t="s">
        <v>22</v>
      </c>
      <c r="C39" s="11"/>
      <c r="D39" s="9"/>
      <c r="E39" s="11"/>
      <c r="F39" s="11"/>
    </row>
    <row r="40" spans="1:6">
      <c r="A40" s="8"/>
      <c r="B40" s="11" t="s">
        <v>10</v>
      </c>
      <c r="C40" s="10">
        <v>5.2599999999999999E-4</v>
      </c>
      <c r="D40" s="12">
        <f t="shared" ref="D40:D45" si="0">ROUND(D$3*C40,0)</f>
        <v>491</v>
      </c>
      <c r="E40" s="13">
        <f t="shared" ref="E40:E45" si="1">ROUND(D40/2,0)</f>
        <v>246</v>
      </c>
      <c r="F40" s="12">
        <f t="shared" ref="F40:F45" si="2">D40-E40</f>
        <v>245</v>
      </c>
    </row>
    <row r="41" spans="1:6">
      <c r="A41" s="8"/>
      <c r="B41" s="11" t="s">
        <v>11</v>
      </c>
      <c r="C41" s="10">
        <v>3.1199999999999999E-4</v>
      </c>
      <c r="D41" s="12">
        <f t="shared" si="0"/>
        <v>291</v>
      </c>
      <c r="E41" s="13">
        <f t="shared" si="1"/>
        <v>146</v>
      </c>
      <c r="F41" s="12">
        <f t="shared" si="2"/>
        <v>145</v>
      </c>
    </row>
    <row r="42" spans="1:6">
      <c r="A42" s="8">
        <v>3</v>
      </c>
      <c r="B42" s="11" t="s">
        <v>1245</v>
      </c>
      <c r="C42" s="10">
        <v>0.117699</v>
      </c>
      <c r="D42" s="12">
        <f t="shared" si="0"/>
        <v>109941</v>
      </c>
      <c r="E42" s="13">
        <f t="shared" si="1"/>
        <v>54971</v>
      </c>
      <c r="F42" s="12">
        <f t="shared" si="2"/>
        <v>54970</v>
      </c>
    </row>
    <row r="43" spans="1:6">
      <c r="A43" s="8">
        <v>3</v>
      </c>
      <c r="B43" s="11" t="s">
        <v>1246</v>
      </c>
      <c r="C43" s="10">
        <v>3.993E-3</v>
      </c>
      <c r="D43" s="12">
        <f t="shared" si="0"/>
        <v>3730</v>
      </c>
      <c r="E43" s="13">
        <f t="shared" si="1"/>
        <v>1865</v>
      </c>
      <c r="F43" s="12">
        <f t="shared" si="2"/>
        <v>1865</v>
      </c>
    </row>
    <row r="44" spans="1:6">
      <c r="A44" s="8">
        <v>3</v>
      </c>
      <c r="B44" s="11" t="s">
        <v>1247</v>
      </c>
      <c r="C44" s="10">
        <v>3.01E-4</v>
      </c>
      <c r="D44" s="12">
        <f t="shared" si="0"/>
        <v>281</v>
      </c>
      <c r="E44" s="13">
        <f t="shared" si="1"/>
        <v>141</v>
      </c>
      <c r="F44" s="12">
        <f t="shared" si="2"/>
        <v>140</v>
      </c>
    </row>
    <row r="45" spans="1:6">
      <c r="A45" s="8">
        <v>4</v>
      </c>
      <c r="B45" s="11" t="s">
        <v>1248</v>
      </c>
      <c r="C45" s="10">
        <v>0.42664600000000003</v>
      </c>
      <c r="D45" s="9">
        <f t="shared" si="0"/>
        <v>398524</v>
      </c>
      <c r="E45" s="11">
        <f t="shared" si="1"/>
        <v>199262</v>
      </c>
      <c r="F45" s="9">
        <f t="shared" si="2"/>
        <v>199262</v>
      </c>
    </row>
    <row r="46" spans="1:6">
      <c r="A46" s="8"/>
      <c r="B46" s="11" t="s">
        <v>28</v>
      </c>
      <c r="C46" s="11"/>
      <c r="D46" s="14">
        <v>0.56552000000000002</v>
      </c>
      <c r="E46" s="11"/>
      <c r="F46" s="11"/>
    </row>
    <row r="47" spans="1:6">
      <c r="A47" s="8"/>
      <c r="B47" s="11" t="s">
        <v>29</v>
      </c>
      <c r="C47" s="11"/>
      <c r="D47" s="225">
        <f>ROUND(D45*D46,0)</f>
        <v>225373</v>
      </c>
      <c r="E47" s="226">
        <f>ROUND(D47/2,0)</f>
        <v>112687</v>
      </c>
      <c r="F47" s="225">
        <f>D47-E47</f>
        <v>112686</v>
      </c>
    </row>
    <row r="48" spans="1:6">
      <c r="A48" s="8"/>
      <c r="B48" s="11" t="s">
        <v>30</v>
      </c>
      <c r="C48" s="11"/>
      <c r="D48" s="12">
        <f>+D45-D47</f>
        <v>173151</v>
      </c>
      <c r="E48" s="13">
        <f>ROUND(D48/2,0)</f>
        <v>86576</v>
      </c>
      <c r="F48" s="12">
        <f>D48-E48</f>
        <v>86575</v>
      </c>
    </row>
    <row r="49" spans="1:8">
      <c r="A49" s="8">
        <v>4</v>
      </c>
      <c r="B49" s="11" t="s">
        <v>1249</v>
      </c>
      <c r="C49" s="10">
        <v>9.8303000000000001E-2</v>
      </c>
      <c r="D49" s="9">
        <f>ROUND(D$3*C49,0)</f>
        <v>91824</v>
      </c>
      <c r="E49" s="11">
        <f>ROUND(D49/2,0)</f>
        <v>45912</v>
      </c>
      <c r="F49" s="9">
        <f>D49-E49</f>
        <v>45912</v>
      </c>
    </row>
    <row r="50" spans="1:8">
      <c r="A50" s="8"/>
      <c r="B50" s="11" t="s">
        <v>28</v>
      </c>
      <c r="C50" s="11"/>
      <c r="D50" s="14">
        <v>0.46112500000000001</v>
      </c>
      <c r="E50" s="11"/>
      <c r="F50" s="11"/>
    </row>
    <row r="51" spans="1:8">
      <c r="A51" s="8"/>
      <c r="B51" s="11" t="s">
        <v>29</v>
      </c>
      <c r="C51" s="11"/>
      <c r="D51" s="225">
        <f>ROUND(D49*D50,0)</f>
        <v>42342</v>
      </c>
      <c r="E51" s="226">
        <f t="shared" ref="E51:E56" si="3">ROUND(D51/2,0)</f>
        <v>21171</v>
      </c>
      <c r="F51" s="225">
        <f t="shared" ref="F51:F56" si="4">D51-E51</f>
        <v>21171</v>
      </c>
    </row>
    <row r="52" spans="1:8">
      <c r="A52" s="8"/>
      <c r="B52" s="11" t="s">
        <v>30</v>
      </c>
      <c r="C52" s="11"/>
      <c r="D52" s="12">
        <f>+D49-D51</f>
        <v>49482</v>
      </c>
      <c r="E52" s="13">
        <f t="shared" si="3"/>
        <v>24741</v>
      </c>
      <c r="F52" s="12">
        <f t="shared" si="4"/>
        <v>24741</v>
      </c>
    </row>
    <row r="53" spans="1:8">
      <c r="A53" s="8">
        <v>5</v>
      </c>
      <c r="B53" s="11" t="s">
        <v>1250</v>
      </c>
      <c r="C53" s="10">
        <v>5.7487000000000003E-2</v>
      </c>
      <c r="D53" s="12">
        <f>ROUND(D$3*C53,0)</f>
        <v>53698</v>
      </c>
      <c r="E53" s="13">
        <f t="shared" si="3"/>
        <v>26849</v>
      </c>
      <c r="F53" s="12">
        <f t="shared" si="4"/>
        <v>26849</v>
      </c>
    </row>
    <row r="54" spans="1:8">
      <c r="A54" s="8">
        <v>6</v>
      </c>
      <c r="B54" s="11" t="s">
        <v>1251</v>
      </c>
      <c r="C54" s="10">
        <v>4.8380000000000003E-3</v>
      </c>
      <c r="D54" s="12">
        <f>ROUND(D$3*C54,0)</f>
        <v>4519</v>
      </c>
      <c r="E54" s="13">
        <f t="shared" si="3"/>
        <v>2260</v>
      </c>
      <c r="F54" s="12">
        <f t="shared" si="4"/>
        <v>2259</v>
      </c>
    </row>
    <row r="55" spans="1:8">
      <c r="A55" s="8">
        <v>6</v>
      </c>
      <c r="B55" s="11" t="s">
        <v>1252</v>
      </c>
      <c r="C55" s="10">
        <v>9.665E-3</v>
      </c>
      <c r="D55" s="12">
        <f>ROUND(D$3*C55,0)</f>
        <v>9028</v>
      </c>
      <c r="E55" s="13">
        <f t="shared" si="3"/>
        <v>4514</v>
      </c>
      <c r="F55" s="12">
        <f t="shared" si="4"/>
        <v>4514</v>
      </c>
    </row>
    <row r="56" spans="1:8">
      <c r="A56" s="8">
        <v>6</v>
      </c>
      <c r="B56" s="11" t="s">
        <v>1253</v>
      </c>
      <c r="C56" s="10">
        <v>1.2945999999999902E-2</v>
      </c>
      <c r="D56" s="12">
        <f>+D3-SUM(D4:D5)-SUM(D10:D45)-D49-SUM(D53:D55)</f>
        <v>12091</v>
      </c>
      <c r="E56" s="13">
        <f t="shared" si="3"/>
        <v>6046</v>
      </c>
      <c r="F56" s="12">
        <f t="shared" si="4"/>
        <v>6045</v>
      </c>
    </row>
    <row r="57" spans="1:8">
      <c r="A57" s="8"/>
      <c r="B57" s="28" t="s">
        <v>288</v>
      </c>
      <c r="C57" s="10">
        <v>1</v>
      </c>
      <c r="D57" s="12">
        <f>+D4+SUM(D7:D44)+SUM(D47:D48)+SUM(D51:D56)</f>
        <v>934087</v>
      </c>
      <c r="E57" s="12">
        <f>+E4+SUM(E7:E44)+SUM(E47:E48)+SUM(E51:E56)</f>
        <v>467053</v>
      </c>
      <c r="F57" s="12">
        <f>+F4+SUM(F7:F44)+SUM(F47:F48)+SUM(F51:F56)</f>
        <v>467034</v>
      </c>
    </row>
    <row r="58" spans="1:8">
      <c r="B58" s="18" t="s">
        <v>38</v>
      </c>
      <c r="D58" s="19">
        <f>+D4</f>
        <v>1036</v>
      </c>
      <c r="E58" s="19">
        <f>+E4</f>
        <v>518</v>
      </c>
      <c r="F58" s="19">
        <f>+F4</f>
        <v>518</v>
      </c>
    </row>
    <row r="59" spans="1:8">
      <c r="B59" s="2" t="s">
        <v>39</v>
      </c>
      <c r="D59" s="19">
        <f>+D7</f>
        <v>61035</v>
      </c>
      <c r="E59" s="19">
        <f>+E7</f>
        <v>30518</v>
      </c>
      <c r="F59" s="19">
        <f>+F7</f>
        <v>30517</v>
      </c>
    </row>
    <row r="60" spans="1:8">
      <c r="B60" s="2" t="s">
        <v>40</v>
      </c>
      <c r="D60" s="19">
        <f>+D47+D51</f>
        <v>267715</v>
      </c>
      <c r="E60" s="19">
        <f>+E47+E51</f>
        <v>133858</v>
      </c>
      <c r="F60" s="19">
        <f>+F47+F51</f>
        <v>133857</v>
      </c>
      <c r="H60" s="3">
        <v>1</v>
      </c>
    </row>
    <row r="61" spans="1:8">
      <c r="B61" s="18" t="s">
        <v>41</v>
      </c>
      <c r="D61" s="19">
        <f>+D57-D58-D59-D60</f>
        <v>604301</v>
      </c>
      <c r="E61" s="19">
        <f>+E57-E58-E59-E60</f>
        <v>302159</v>
      </c>
      <c r="F61" s="19">
        <f>+F57-F58-F59-F60</f>
        <v>302142</v>
      </c>
      <c r="H61" s="3">
        <v>2</v>
      </c>
    </row>
    <row r="63" spans="1:8" hidden="1">
      <c r="B63" s="3" t="s">
        <v>42</v>
      </c>
      <c r="C63" s="4">
        <v>1.9999999999013862E-6</v>
      </c>
      <c r="D63" s="3">
        <f>+D56-ROUND(D3*C56,0)</f>
        <v>-2</v>
      </c>
    </row>
    <row r="71" spans="1:1">
      <c r="A71" s="1" t="s">
        <v>590</v>
      </c>
    </row>
  </sheetData>
  <pageMargins left="0.7" right="0.7" top="0.75" bottom="0.75" header="0.3" footer="0.3"/>
  <pageSetup scale="6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pageSetUpPr fitToPage="1"/>
  </sheetPr>
  <dimension ref="A1:WVB76"/>
  <sheetViews>
    <sheetView topLeftCell="A42" zoomScaleNormal="100" zoomScaleSheetLayoutView="80" workbookViewId="0">
      <selection activeCell="D63" activeCellId="3" sqref="D7:F7 D55:F55 D59:F59 D63:F63"/>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7"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7"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7"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7"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7"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7"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7"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7"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7"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7"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7"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7"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7"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7"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7"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7"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7"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7"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7"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7"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7"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7"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7"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7"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7"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7"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7"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7"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7"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7"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7"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7"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7"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7"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7"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7"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7"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7"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7"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7"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7"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7"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7"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7"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7"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7"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7"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7"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7"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7"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7"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7"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7"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7"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7"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7"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7"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7"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7"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7"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7"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7"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7"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1254</v>
      </c>
    </row>
    <row r="2" spans="1:6" ht="60">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Worksheet'!$D$57</f>
        <v>331682</v>
      </c>
      <c r="E3" s="11"/>
      <c r="F3" s="11"/>
    </row>
    <row r="4" spans="1:6">
      <c r="A4" s="8">
        <v>0</v>
      </c>
      <c r="B4" s="11" t="s">
        <v>4</v>
      </c>
      <c r="C4" s="10">
        <v>1.2689999999999999E-3</v>
      </c>
      <c r="D4" s="12">
        <f>ROUND(D$3*C4,0)</f>
        <v>421</v>
      </c>
      <c r="E4" s="12">
        <f>ROUND(D4/2,0)</f>
        <v>211</v>
      </c>
      <c r="F4" s="12">
        <f>D4-E4</f>
        <v>210</v>
      </c>
    </row>
    <row r="5" spans="1:6">
      <c r="A5" s="8">
        <v>1</v>
      </c>
      <c r="B5" s="11" t="s">
        <v>1255</v>
      </c>
      <c r="C5" s="10">
        <v>0.14826</v>
      </c>
      <c r="D5" s="9">
        <f>ROUND(D$3*C5,0)</f>
        <v>49175</v>
      </c>
      <c r="E5" s="11">
        <f>ROUND(D5/2,0)</f>
        <v>24588</v>
      </c>
      <c r="F5" s="9">
        <f>D5-E5</f>
        <v>24587</v>
      </c>
    </row>
    <row r="6" spans="1:6">
      <c r="A6" s="8"/>
      <c r="B6" s="11" t="s">
        <v>6</v>
      </c>
      <c r="C6" s="11"/>
      <c r="D6" s="14">
        <v>0.27552700000000002</v>
      </c>
      <c r="E6" s="11"/>
      <c r="F6" s="11"/>
    </row>
    <row r="7" spans="1:6">
      <c r="A7" s="8"/>
      <c r="B7" s="11" t="s">
        <v>7</v>
      </c>
      <c r="C7" s="11"/>
      <c r="D7" s="228">
        <f>ROUND(D5*D6,0)</f>
        <v>13549</v>
      </c>
      <c r="E7" s="229">
        <f>ROUND(D7/2,0)</f>
        <v>6775</v>
      </c>
      <c r="F7" s="228">
        <f>D7-E7</f>
        <v>6774</v>
      </c>
    </row>
    <row r="8" spans="1:6">
      <c r="A8" s="8"/>
      <c r="B8" s="11" t="s">
        <v>8</v>
      </c>
      <c r="C8" s="11"/>
      <c r="D8" s="12">
        <f>+D5-D7</f>
        <v>35626</v>
      </c>
      <c r="E8" s="12">
        <f>ROUND(D8/2,0)</f>
        <v>17813</v>
      </c>
      <c r="F8" s="12">
        <f>D8-E8</f>
        <v>17813</v>
      </c>
    </row>
    <row r="9" spans="1:6">
      <c r="A9" s="8">
        <v>2</v>
      </c>
      <c r="B9" s="11" t="s">
        <v>671</v>
      </c>
      <c r="C9" s="11"/>
      <c r="D9" s="9"/>
      <c r="E9" s="11"/>
      <c r="F9" s="11"/>
    </row>
    <row r="10" spans="1:6">
      <c r="A10" s="8"/>
      <c r="B10" s="11" t="s">
        <v>10</v>
      </c>
      <c r="C10" s="10">
        <v>1.6789999999999999E-3</v>
      </c>
      <c r="D10" s="12">
        <f>ROUND(D$3*C10,0)</f>
        <v>557</v>
      </c>
      <c r="E10" s="12">
        <f>ROUND(D10/2,0)</f>
        <v>279</v>
      </c>
      <c r="F10" s="12">
        <f>D10-E10</f>
        <v>278</v>
      </c>
    </row>
    <row r="11" spans="1:6">
      <c r="A11" s="8"/>
      <c r="B11" s="11" t="s">
        <v>11</v>
      </c>
      <c r="C11" s="10">
        <v>1.6949999999999999E-3</v>
      </c>
      <c r="D11" s="12">
        <f>ROUND(D$3*C11,0)</f>
        <v>562</v>
      </c>
      <c r="E11" s="12">
        <f>ROUND(D11/2,0)</f>
        <v>281</v>
      </c>
      <c r="F11" s="12">
        <f>D11-E11</f>
        <v>281</v>
      </c>
    </row>
    <row r="12" spans="1:6">
      <c r="A12" s="8">
        <v>2</v>
      </c>
      <c r="B12" s="11" t="s">
        <v>895</v>
      </c>
      <c r="C12" s="11"/>
      <c r="D12" s="9"/>
      <c r="E12" s="11"/>
      <c r="F12" s="11"/>
    </row>
    <row r="13" spans="1:6">
      <c r="A13" s="8"/>
      <c r="B13" s="11" t="s">
        <v>10</v>
      </c>
      <c r="C13" s="10">
        <v>2.091E-3</v>
      </c>
      <c r="D13" s="12">
        <f>ROUND(D$3*C13,0)</f>
        <v>694</v>
      </c>
      <c r="E13" s="12">
        <f>ROUND(D13/2,0)</f>
        <v>347</v>
      </c>
      <c r="F13" s="12">
        <f>D13-E13</f>
        <v>347</v>
      </c>
    </row>
    <row r="14" spans="1:6">
      <c r="A14" s="8"/>
      <c r="B14" s="11" t="s">
        <v>11</v>
      </c>
      <c r="C14" s="10">
        <v>4.37E-4</v>
      </c>
      <c r="D14" s="12">
        <f>ROUND(D$3*C14,0)</f>
        <v>145</v>
      </c>
      <c r="E14" s="12">
        <f>ROUND(D14/2,0)</f>
        <v>73</v>
      </c>
      <c r="F14" s="12">
        <f>D14-E14</f>
        <v>72</v>
      </c>
    </row>
    <row r="15" spans="1:6">
      <c r="A15" s="8">
        <v>2</v>
      </c>
      <c r="B15" s="11" t="s">
        <v>1256</v>
      </c>
      <c r="C15" s="11"/>
      <c r="D15" s="9"/>
      <c r="E15" s="11"/>
      <c r="F15" s="11"/>
    </row>
    <row r="16" spans="1:6">
      <c r="A16" s="8"/>
      <c r="B16" s="11" t="s">
        <v>10</v>
      </c>
      <c r="C16" s="10">
        <v>6.3699999999999998E-4</v>
      </c>
      <c r="D16" s="12">
        <f>ROUND(D$3*C16,0)</f>
        <v>211</v>
      </c>
      <c r="E16" s="12">
        <f>ROUND(D16/2,0)</f>
        <v>106</v>
      </c>
      <c r="F16" s="12">
        <f>D16-E16</f>
        <v>105</v>
      </c>
    </row>
    <row r="17" spans="1:6">
      <c r="A17" s="8"/>
      <c r="B17" s="11" t="s">
        <v>11</v>
      </c>
      <c r="C17" s="10">
        <v>2.1699999999999999E-4</v>
      </c>
      <c r="D17" s="12">
        <f>ROUND(D$3*C17,0)</f>
        <v>72</v>
      </c>
      <c r="E17" s="12">
        <f>ROUND(D17/2,0)</f>
        <v>36</v>
      </c>
      <c r="F17" s="12">
        <f>D17-E17</f>
        <v>36</v>
      </c>
    </row>
    <row r="18" spans="1:6">
      <c r="A18" s="8">
        <v>2</v>
      </c>
      <c r="B18" s="11" t="s">
        <v>372</v>
      </c>
      <c r="C18" s="11"/>
      <c r="D18" s="9"/>
      <c r="E18" s="11"/>
      <c r="F18" s="11"/>
    </row>
    <row r="19" spans="1:6">
      <c r="A19" s="8"/>
      <c r="B19" s="11" t="s">
        <v>10</v>
      </c>
      <c r="C19" s="10">
        <v>9.810000000000001E-4</v>
      </c>
      <c r="D19" s="12">
        <f>ROUND(D$3*C19,0)</f>
        <v>325</v>
      </c>
      <c r="E19" s="12">
        <f>ROUND(D19/2,0)</f>
        <v>163</v>
      </c>
      <c r="F19" s="12">
        <f>D19-E19</f>
        <v>162</v>
      </c>
    </row>
    <row r="20" spans="1:6">
      <c r="A20" s="8"/>
      <c r="B20" s="11" t="s">
        <v>11</v>
      </c>
      <c r="C20" s="10">
        <v>5.1900000000000004E-4</v>
      </c>
      <c r="D20" s="12">
        <f>ROUND(D$3*C20,0)</f>
        <v>172</v>
      </c>
      <c r="E20" s="12">
        <f>ROUND(D20/2,0)</f>
        <v>86</v>
      </c>
      <c r="F20" s="12">
        <f>D20-E20</f>
        <v>86</v>
      </c>
    </row>
    <row r="21" spans="1:6">
      <c r="A21" s="8">
        <v>2</v>
      </c>
      <c r="B21" s="11" t="s">
        <v>52</v>
      </c>
      <c r="C21" s="11"/>
      <c r="D21" s="9"/>
      <c r="E21" s="11"/>
      <c r="F21" s="11"/>
    </row>
    <row r="22" spans="1:6">
      <c r="A22" s="8"/>
      <c r="B22" s="11" t="s">
        <v>10</v>
      </c>
      <c r="C22" s="10">
        <v>5.385E-3</v>
      </c>
      <c r="D22" s="12">
        <f>ROUND(D$3*C22,0)</f>
        <v>1786</v>
      </c>
      <c r="E22" s="12">
        <f>ROUND(D22/2,0)</f>
        <v>893</v>
      </c>
      <c r="F22" s="12">
        <f>D22-E22</f>
        <v>893</v>
      </c>
    </row>
    <row r="23" spans="1:6">
      <c r="A23" s="8"/>
      <c r="B23" s="11" t="s">
        <v>11</v>
      </c>
      <c r="C23" s="10">
        <v>2.7750000000000001E-3</v>
      </c>
      <c r="D23" s="12">
        <f>ROUND(D$3*C23,0)</f>
        <v>920</v>
      </c>
      <c r="E23" s="12">
        <f>ROUND(D23/2,0)</f>
        <v>460</v>
      </c>
      <c r="F23" s="12">
        <f>D23-E23</f>
        <v>460</v>
      </c>
    </row>
    <row r="24" spans="1:6">
      <c r="A24" s="8">
        <v>2</v>
      </c>
      <c r="B24" s="11" t="s">
        <v>1257</v>
      </c>
      <c r="C24" s="11"/>
      <c r="D24" s="9"/>
      <c r="E24" s="11"/>
      <c r="F24" s="11"/>
    </row>
    <row r="25" spans="1:6">
      <c r="A25" s="8"/>
      <c r="B25" s="11" t="s">
        <v>10</v>
      </c>
      <c r="C25" s="10">
        <v>1.4649999999999999E-3</v>
      </c>
      <c r="D25" s="12">
        <f>ROUND(D$3*C25,0)</f>
        <v>486</v>
      </c>
      <c r="E25" s="12">
        <f>ROUND(D25/2,0)</f>
        <v>243</v>
      </c>
      <c r="F25" s="12">
        <f>D25-E25</f>
        <v>243</v>
      </c>
    </row>
    <row r="26" spans="1:6">
      <c r="A26" s="8"/>
      <c r="B26" s="11" t="s">
        <v>11</v>
      </c>
      <c r="C26" s="10">
        <v>6.8099999999999996E-4</v>
      </c>
      <c r="D26" s="12">
        <f>ROUND(D$3*C26,0)</f>
        <v>226</v>
      </c>
      <c r="E26" s="12">
        <f>ROUND(D26/2,0)</f>
        <v>113</v>
      </c>
      <c r="F26" s="12">
        <f>D26-E26</f>
        <v>113</v>
      </c>
    </row>
    <row r="27" spans="1:6">
      <c r="A27" s="8">
        <v>2</v>
      </c>
      <c r="B27" s="11" t="s">
        <v>954</v>
      </c>
      <c r="C27" s="11"/>
      <c r="D27" s="9"/>
      <c r="E27" s="11"/>
      <c r="F27" s="11"/>
    </row>
    <row r="28" spans="1:6">
      <c r="A28" s="8"/>
      <c r="B28" s="11" t="s">
        <v>10</v>
      </c>
      <c r="C28" s="10">
        <v>4.26E-4</v>
      </c>
      <c r="D28" s="12">
        <f>ROUND(D$3*C28,0)</f>
        <v>141</v>
      </c>
      <c r="E28" s="12">
        <f>ROUND(D28/2,0)</f>
        <v>71</v>
      </c>
      <c r="F28" s="12">
        <f>D28-E28</f>
        <v>70</v>
      </c>
    </row>
    <row r="29" spans="1:6">
      <c r="A29" s="8"/>
      <c r="B29" s="11" t="s">
        <v>11</v>
      </c>
      <c r="C29" s="10">
        <v>1.1950000000000001E-3</v>
      </c>
      <c r="D29" s="12">
        <f>ROUND(D$3*C29,0)</f>
        <v>396</v>
      </c>
      <c r="E29" s="12">
        <f>ROUND(D29/2,0)</f>
        <v>198</v>
      </c>
      <c r="F29" s="12">
        <f>D29-E29</f>
        <v>198</v>
      </c>
    </row>
    <row r="30" spans="1:6">
      <c r="A30" s="8">
        <v>2</v>
      </c>
      <c r="B30" s="11" t="s">
        <v>149</v>
      </c>
      <c r="C30" s="11"/>
      <c r="D30" s="9"/>
      <c r="E30" s="11"/>
      <c r="F30" s="11"/>
    </row>
    <row r="31" spans="1:6">
      <c r="A31" s="8"/>
      <c r="B31" s="11" t="s">
        <v>10</v>
      </c>
      <c r="C31" s="10">
        <v>1.3929999999999999E-3</v>
      </c>
      <c r="D31" s="12">
        <f>ROUND(D$3*C31,0)</f>
        <v>462</v>
      </c>
      <c r="E31" s="12">
        <f>ROUND(D31/2,0)</f>
        <v>231</v>
      </c>
      <c r="F31" s="12">
        <f>D31-E31</f>
        <v>231</v>
      </c>
    </row>
    <row r="32" spans="1:6">
      <c r="A32" s="8"/>
      <c r="B32" s="11" t="s">
        <v>11</v>
      </c>
      <c r="C32" s="10">
        <v>6.8400000000000004E-4</v>
      </c>
      <c r="D32" s="12">
        <f>ROUND(D$3*C32,0)</f>
        <v>227</v>
      </c>
      <c r="E32" s="12">
        <f>ROUND(D32/2,0)</f>
        <v>114</v>
      </c>
      <c r="F32" s="12">
        <f>D32-E32</f>
        <v>113</v>
      </c>
    </row>
    <row r="33" spans="1:6">
      <c r="A33" s="8">
        <v>2</v>
      </c>
      <c r="B33" s="11" t="s">
        <v>20</v>
      </c>
      <c r="C33" s="11"/>
      <c r="D33" s="9"/>
      <c r="E33" s="11"/>
      <c r="F33" s="11"/>
    </row>
    <row r="34" spans="1:6">
      <c r="A34" s="8"/>
      <c r="B34" s="11" t="s">
        <v>10</v>
      </c>
      <c r="C34" s="10">
        <v>6.0920000000000002E-3</v>
      </c>
      <c r="D34" s="12">
        <f>ROUND(D$3*C34,0)</f>
        <v>2021</v>
      </c>
      <c r="E34" s="12">
        <f>ROUND(D34/2,0)</f>
        <v>1011</v>
      </c>
      <c r="F34" s="12">
        <f>D34-E34</f>
        <v>1010</v>
      </c>
    </row>
    <row r="35" spans="1:6">
      <c r="A35" s="8"/>
      <c r="B35" s="11" t="s">
        <v>11</v>
      </c>
      <c r="C35" s="10">
        <v>1.753E-3</v>
      </c>
      <c r="D35" s="12">
        <f>ROUND(D$3*C35,0)</f>
        <v>581</v>
      </c>
      <c r="E35" s="12">
        <f>ROUND(D35/2,0)</f>
        <v>291</v>
      </c>
      <c r="F35" s="12">
        <f>D35-E35</f>
        <v>290</v>
      </c>
    </row>
    <row r="36" spans="1:6">
      <c r="A36" s="8">
        <v>2</v>
      </c>
      <c r="B36" s="11" t="s">
        <v>1192</v>
      </c>
      <c r="C36" s="11"/>
      <c r="D36" s="9"/>
      <c r="E36" s="11"/>
      <c r="F36" s="11"/>
    </row>
    <row r="37" spans="1:6">
      <c r="A37" s="8"/>
      <c r="B37" s="11" t="s">
        <v>10</v>
      </c>
      <c r="C37" s="10">
        <v>5.5500000000000005E-4</v>
      </c>
      <c r="D37" s="12">
        <f>ROUND(D$3*C37,0)</f>
        <v>184</v>
      </c>
      <c r="E37" s="12">
        <f>ROUND(D37/2,0)</f>
        <v>92</v>
      </c>
      <c r="F37" s="12">
        <f>D37-E37</f>
        <v>92</v>
      </c>
    </row>
    <row r="38" spans="1:6">
      <c r="A38" s="8"/>
      <c r="B38" s="11" t="s">
        <v>11</v>
      </c>
      <c r="C38" s="10">
        <v>3.5199999999999999E-4</v>
      </c>
      <c r="D38" s="12">
        <f>ROUND(D$3*C38,0)</f>
        <v>117</v>
      </c>
      <c r="E38" s="12">
        <f>ROUND(D38/2,0)</f>
        <v>59</v>
      </c>
      <c r="F38" s="12">
        <f>D38-E38</f>
        <v>58</v>
      </c>
    </row>
    <row r="39" spans="1:6">
      <c r="A39" s="8">
        <v>2</v>
      </c>
      <c r="B39" s="11" t="s">
        <v>61</v>
      </c>
      <c r="C39" s="11"/>
      <c r="D39" s="9"/>
      <c r="E39" s="11"/>
      <c r="F39" s="11"/>
    </row>
    <row r="40" spans="1:6">
      <c r="A40" s="8"/>
      <c r="B40" s="11" t="s">
        <v>10</v>
      </c>
      <c r="C40" s="10">
        <v>7.8299999999999995E-4</v>
      </c>
      <c r="D40" s="12">
        <f t="shared" ref="D40:D53" si="0">ROUND(D$3*C40,0)</f>
        <v>260</v>
      </c>
      <c r="E40" s="12">
        <f t="shared" ref="E40:E53" si="1">ROUND(D40/2,0)</f>
        <v>130</v>
      </c>
      <c r="F40" s="12">
        <f t="shared" ref="F40:F53" si="2">D40-E40</f>
        <v>130</v>
      </c>
    </row>
    <row r="41" spans="1:6">
      <c r="A41" s="8"/>
      <c r="B41" s="11" t="s">
        <v>11</v>
      </c>
      <c r="C41" s="10">
        <v>5.6099999999999998E-4</v>
      </c>
      <c r="D41" s="12">
        <f t="shared" si="0"/>
        <v>186</v>
      </c>
      <c r="E41" s="12">
        <f t="shared" si="1"/>
        <v>93</v>
      </c>
      <c r="F41" s="12">
        <f t="shared" si="2"/>
        <v>93</v>
      </c>
    </row>
    <row r="42" spans="1:6">
      <c r="A42" s="8">
        <v>3</v>
      </c>
      <c r="B42" s="11" t="s">
        <v>1258</v>
      </c>
      <c r="C42" s="10">
        <v>1.2899999999999999E-4</v>
      </c>
      <c r="D42" s="12">
        <f t="shared" si="0"/>
        <v>43</v>
      </c>
      <c r="E42" s="12">
        <f t="shared" si="1"/>
        <v>22</v>
      </c>
      <c r="F42" s="12">
        <f t="shared" si="2"/>
        <v>21</v>
      </c>
    </row>
    <row r="43" spans="1:6">
      <c r="A43" s="8">
        <v>3</v>
      </c>
      <c r="B43" s="11" t="s">
        <v>1259</v>
      </c>
      <c r="C43" s="10">
        <v>6.3235E-2</v>
      </c>
      <c r="D43" s="12">
        <f t="shared" si="0"/>
        <v>20974</v>
      </c>
      <c r="E43" s="12">
        <f t="shared" si="1"/>
        <v>10487</v>
      </c>
      <c r="F43" s="12">
        <f t="shared" si="2"/>
        <v>10487</v>
      </c>
    </row>
    <row r="44" spans="1:6">
      <c r="A44" s="8">
        <v>3</v>
      </c>
      <c r="B44" s="11" t="s">
        <v>1260</v>
      </c>
      <c r="C44" s="10">
        <v>1.9040000000000001E-3</v>
      </c>
      <c r="D44" s="12">
        <f t="shared" si="0"/>
        <v>632</v>
      </c>
      <c r="E44" s="12">
        <f t="shared" si="1"/>
        <v>316</v>
      </c>
      <c r="F44" s="12">
        <f t="shared" si="2"/>
        <v>316</v>
      </c>
    </row>
    <row r="45" spans="1:6">
      <c r="A45" s="8">
        <v>3</v>
      </c>
      <c r="B45" s="11" t="s">
        <v>1261</v>
      </c>
      <c r="C45" s="10">
        <v>9.1200000000000005E-4</v>
      </c>
      <c r="D45" s="12">
        <f t="shared" si="0"/>
        <v>302</v>
      </c>
      <c r="E45" s="12">
        <f t="shared" si="1"/>
        <v>151</v>
      </c>
      <c r="F45" s="12">
        <f t="shared" si="2"/>
        <v>151</v>
      </c>
    </row>
    <row r="46" spans="1:6">
      <c r="A46" s="8">
        <v>3</v>
      </c>
      <c r="B46" s="11" t="s">
        <v>1262</v>
      </c>
      <c r="C46" s="10">
        <v>2.8470000000000001E-3</v>
      </c>
      <c r="D46" s="12">
        <f t="shared" si="0"/>
        <v>944</v>
      </c>
      <c r="E46" s="12">
        <f t="shared" si="1"/>
        <v>472</v>
      </c>
      <c r="F46" s="12">
        <f t="shared" si="2"/>
        <v>472</v>
      </c>
    </row>
    <row r="47" spans="1:6">
      <c r="A47" s="8">
        <v>3</v>
      </c>
      <c r="B47" s="11" t="s">
        <v>1263</v>
      </c>
      <c r="C47" s="10">
        <v>7.8299999999999995E-4</v>
      </c>
      <c r="D47" s="12">
        <f t="shared" si="0"/>
        <v>260</v>
      </c>
      <c r="E47" s="12">
        <f t="shared" si="1"/>
        <v>130</v>
      </c>
      <c r="F47" s="12">
        <f t="shared" si="2"/>
        <v>130</v>
      </c>
    </row>
    <row r="48" spans="1:6">
      <c r="A48" s="8">
        <v>3</v>
      </c>
      <c r="B48" s="11" t="s">
        <v>1264</v>
      </c>
      <c r="C48" s="10">
        <v>0</v>
      </c>
      <c r="D48" s="12">
        <f t="shared" si="0"/>
        <v>0</v>
      </c>
      <c r="E48" s="12">
        <f t="shared" si="1"/>
        <v>0</v>
      </c>
      <c r="F48" s="12">
        <f t="shared" si="2"/>
        <v>0</v>
      </c>
    </row>
    <row r="49" spans="1:6">
      <c r="A49" s="8">
        <v>3</v>
      </c>
      <c r="B49" s="11" t="s">
        <v>1265</v>
      </c>
      <c r="C49" s="10">
        <v>5.9100000000000005E-4</v>
      </c>
      <c r="D49" s="12">
        <f t="shared" si="0"/>
        <v>196</v>
      </c>
      <c r="E49" s="12">
        <f t="shared" si="1"/>
        <v>98</v>
      </c>
      <c r="F49" s="12">
        <f t="shared" si="2"/>
        <v>98</v>
      </c>
    </row>
    <row r="50" spans="1:6">
      <c r="A50" s="8">
        <v>3</v>
      </c>
      <c r="B50" s="11" t="s">
        <v>1266</v>
      </c>
      <c r="C50" s="10">
        <v>5.7700000000000004E-4</v>
      </c>
      <c r="D50" s="12">
        <f t="shared" si="0"/>
        <v>191</v>
      </c>
      <c r="E50" s="12">
        <f t="shared" si="1"/>
        <v>96</v>
      </c>
      <c r="F50" s="12">
        <f t="shared" si="2"/>
        <v>95</v>
      </c>
    </row>
    <row r="51" spans="1:6">
      <c r="A51" s="8">
        <v>3</v>
      </c>
      <c r="B51" s="11" t="s">
        <v>1267</v>
      </c>
      <c r="C51" s="10">
        <v>1.75E-3</v>
      </c>
      <c r="D51" s="12">
        <f t="shared" si="0"/>
        <v>580</v>
      </c>
      <c r="E51" s="12">
        <f t="shared" si="1"/>
        <v>290</v>
      </c>
      <c r="F51" s="12">
        <f t="shared" si="2"/>
        <v>290</v>
      </c>
    </row>
    <row r="52" spans="1:6">
      <c r="A52" s="8">
        <v>3</v>
      </c>
      <c r="B52" s="11" t="s">
        <v>1268</v>
      </c>
      <c r="C52" s="10">
        <v>1.8990000000000001E-3</v>
      </c>
      <c r="D52" s="12">
        <f t="shared" si="0"/>
        <v>630</v>
      </c>
      <c r="E52" s="12">
        <f t="shared" si="1"/>
        <v>315</v>
      </c>
      <c r="F52" s="12">
        <f t="shared" si="2"/>
        <v>315</v>
      </c>
    </row>
    <row r="53" spans="1:6">
      <c r="A53" s="8">
        <v>4</v>
      </c>
      <c r="B53" s="11" t="s">
        <v>1269</v>
      </c>
      <c r="C53" s="10">
        <v>0.12316000000000001</v>
      </c>
      <c r="D53" s="9">
        <f t="shared" si="0"/>
        <v>40850</v>
      </c>
      <c r="E53" s="11">
        <f t="shared" si="1"/>
        <v>20425</v>
      </c>
      <c r="F53" s="9">
        <f t="shared" si="2"/>
        <v>20425</v>
      </c>
    </row>
    <row r="54" spans="1:6">
      <c r="A54" s="8"/>
      <c r="B54" s="11" t="s">
        <v>28</v>
      </c>
      <c r="C54" s="11"/>
      <c r="D54" s="14">
        <v>0.31659900000000002</v>
      </c>
      <c r="E54" s="11"/>
      <c r="F54" s="11"/>
    </row>
    <row r="55" spans="1:6">
      <c r="A55" s="8"/>
      <c r="B55" s="11" t="s">
        <v>29</v>
      </c>
      <c r="C55" s="11"/>
      <c r="D55" s="228">
        <f>ROUND(D53*D54,0)</f>
        <v>12933</v>
      </c>
      <c r="E55" s="229">
        <f>ROUND(D55/2,0)</f>
        <v>6467</v>
      </c>
      <c r="F55" s="228">
        <f>D55-E55</f>
        <v>6466</v>
      </c>
    </row>
    <row r="56" spans="1:6">
      <c r="A56" s="8"/>
      <c r="B56" s="11" t="s">
        <v>30</v>
      </c>
      <c r="C56" s="11"/>
      <c r="D56" s="12">
        <f>+D53-D55</f>
        <v>27917</v>
      </c>
      <c r="E56" s="12">
        <f>ROUND(D56/2,0)</f>
        <v>13959</v>
      </c>
      <c r="F56" s="12">
        <f>D56-E56</f>
        <v>13958</v>
      </c>
    </row>
    <row r="57" spans="1:6">
      <c r="A57" s="8">
        <v>4</v>
      </c>
      <c r="B57" s="11" t="s">
        <v>1270</v>
      </c>
      <c r="C57" s="10">
        <v>0.33996900000000002</v>
      </c>
      <c r="D57" s="9">
        <f>ROUND(D$3*C57,0)</f>
        <v>112762</v>
      </c>
      <c r="E57" s="11">
        <f>ROUND(D57/2,0)</f>
        <v>56381</v>
      </c>
      <c r="F57" s="9">
        <f>D57-E57</f>
        <v>56381</v>
      </c>
    </row>
    <row r="58" spans="1:6">
      <c r="A58" s="8"/>
      <c r="B58" s="11" t="s">
        <v>28</v>
      </c>
      <c r="C58" s="11"/>
      <c r="D58" s="14">
        <v>0.396789</v>
      </c>
      <c r="E58" s="11"/>
      <c r="F58" s="11"/>
    </row>
    <row r="59" spans="1:6">
      <c r="A59" s="8"/>
      <c r="B59" s="11" t="s">
        <v>29</v>
      </c>
      <c r="C59" s="11"/>
      <c r="D59" s="228">
        <f>ROUND(D57*D58,0)</f>
        <v>44743</v>
      </c>
      <c r="E59" s="229">
        <f>ROUND(D59/2,0)</f>
        <v>22372</v>
      </c>
      <c r="F59" s="228">
        <f>D59-E59</f>
        <v>22371</v>
      </c>
    </row>
    <row r="60" spans="1:6">
      <c r="A60" s="8"/>
      <c r="B60" s="11" t="s">
        <v>30</v>
      </c>
      <c r="C60" s="11"/>
      <c r="D60" s="12">
        <f>+D57-D59</f>
        <v>68019</v>
      </c>
      <c r="E60" s="12">
        <f>ROUND(D60/2,0)</f>
        <v>34010</v>
      </c>
      <c r="F60" s="12">
        <f>D60-E60</f>
        <v>34009</v>
      </c>
    </row>
    <row r="61" spans="1:6">
      <c r="A61" s="8">
        <v>4</v>
      </c>
      <c r="B61" s="11" t="s">
        <v>1271</v>
      </c>
      <c r="C61" s="10">
        <v>0.259077</v>
      </c>
      <c r="D61" s="9">
        <f>ROUND(D$3*C61,0)</f>
        <v>85931</v>
      </c>
      <c r="E61" s="11">
        <f>ROUND(D61/2,0)</f>
        <v>42966</v>
      </c>
      <c r="F61" s="9">
        <f>D61-E61</f>
        <v>42965</v>
      </c>
    </row>
    <row r="62" spans="1:6">
      <c r="A62" s="8"/>
      <c r="B62" s="11" t="s">
        <v>28</v>
      </c>
      <c r="C62" s="11"/>
      <c r="D62" s="14">
        <v>0.45506999999999997</v>
      </c>
      <c r="E62" s="11"/>
      <c r="F62" s="11"/>
    </row>
    <row r="63" spans="1:6">
      <c r="A63" s="8"/>
      <c r="B63" s="11" t="s">
        <v>29</v>
      </c>
      <c r="C63" s="11"/>
      <c r="D63" s="228">
        <f>ROUND(D61*D62,0)</f>
        <v>39105</v>
      </c>
      <c r="E63" s="229">
        <f t="shared" ref="E63:E69" si="3">ROUND(D63/2,0)</f>
        <v>19553</v>
      </c>
      <c r="F63" s="228">
        <f t="shared" ref="F63:F69" si="4">D63-E63</f>
        <v>19552</v>
      </c>
    </row>
    <row r="64" spans="1:6">
      <c r="A64" s="8"/>
      <c r="B64" s="11" t="s">
        <v>30</v>
      </c>
      <c r="C64" s="11"/>
      <c r="D64" s="12">
        <f>+D61-D63</f>
        <v>46826</v>
      </c>
      <c r="E64" s="12">
        <f t="shared" si="3"/>
        <v>23413</v>
      </c>
      <c r="F64" s="12">
        <f t="shared" si="4"/>
        <v>23413</v>
      </c>
    </row>
    <row r="65" spans="1:8">
      <c r="A65" s="8">
        <v>5</v>
      </c>
      <c r="B65" s="11" t="s">
        <v>1272</v>
      </c>
      <c r="C65" s="10">
        <v>1.0312E-2</v>
      </c>
      <c r="D65" s="12">
        <f>ROUND(D$3*C65,0)</f>
        <v>3420</v>
      </c>
      <c r="E65" s="12">
        <f t="shared" si="3"/>
        <v>1710</v>
      </c>
      <c r="F65" s="12">
        <f t="shared" si="4"/>
        <v>1710</v>
      </c>
    </row>
    <row r="66" spans="1:8">
      <c r="A66" s="8">
        <v>5</v>
      </c>
      <c r="B66" s="11" t="s">
        <v>1273</v>
      </c>
      <c r="C66" s="10">
        <v>2.0089999999999999E-3</v>
      </c>
      <c r="D66" s="12">
        <f>ROUND(D$3*C66,0)</f>
        <v>666</v>
      </c>
      <c r="E66" s="12">
        <f t="shared" si="3"/>
        <v>333</v>
      </c>
      <c r="F66" s="12">
        <f t="shared" si="4"/>
        <v>333</v>
      </c>
    </row>
    <row r="67" spans="1:8">
      <c r="A67" s="8">
        <v>5</v>
      </c>
      <c r="B67" s="11" t="s">
        <v>1274</v>
      </c>
      <c r="C67" s="10">
        <v>2.9020000000000001E-3</v>
      </c>
      <c r="D67" s="12">
        <f>ROUND(D$3*C67,0)</f>
        <v>963</v>
      </c>
      <c r="E67" s="12">
        <f t="shared" si="3"/>
        <v>482</v>
      </c>
      <c r="F67" s="12">
        <f t="shared" si="4"/>
        <v>481</v>
      </c>
    </row>
    <row r="68" spans="1:8">
      <c r="A68" s="8">
        <v>5</v>
      </c>
      <c r="B68" s="11" t="s">
        <v>1275</v>
      </c>
      <c r="C68" s="10">
        <v>2.7780000000000001E-3</v>
      </c>
      <c r="D68" s="12">
        <f>ROUND(D$3*C68,0)</f>
        <v>921</v>
      </c>
      <c r="E68" s="12">
        <f t="shared" si="3"/>
        <v>461</v>
      </c>
      <c r="F68" s="12">
        <f t="shared" si="4"/>
        <v>460</v>
      </c>
    </row>
    <row r="69" spans="1:8">
      <c r="A69" s="8">
        <v>5</v>
      </c>
      <c r="B69" s="11" t="s">
        <v>1276</v>
      </c>
      <c r="C69" s="10">
        <v>3.2810000000000001E-3</v>
      </c>
      <c r="D69" s="12">
        <f>+D3-SUM(D4:D5)-SUM(D10:D53)-D57-D61-SUM(D65:D68)</f>
        <v>1090</v>
      </c>
      <c r="E69" s="12">
        <f t="shared" si="3"/>
        <v>545</v>
      </c>
      <c r="F69" s="12">
        <f t="shared" si="4"/>
        <v>545</v>
      </c>
    </row>
    <row r="70" spans="1:8">
      <c r="A70" s="8"/>
      <c r="B70" s="28" t="s">
        <v>288</v>
      </c>
      <c r="C70" s="10">
        <v>0.99999999999999989</v>
      </c>
      <c r="D70" s="12">
        <f>+D4+SUM(D7:D52)+SUM(D55:D56)+SUM(D59:D60)+SUM(D63:D69)</f>
        <v>331682</v>
      </c>
      <c r="E70" s="12">
        <f>+E4+SUM(E7:E52)+SUM(E55:E56)+SUM(E59:E60)+SUM(E63:E69)</f>
        <v>165851</v>
      </c>
      <c r="F70" s="12">
        <f>+F4+SUM(F7:F52)+SUM(F55:F56)+SUM(F59:F60)+SUM(F63:F69)</f>
        <v>165831</v>
      </c>
    </row>
    <row r="71" spans="1:8">
      <c r="A71" s="1" t="s">
        <v>590</v>
      </c>
      <c r="B71" s="18" t="s">
        <v>38</v>
      </c>
      <c r="D71" s="19">
        <f>+D4</f>
        <v>421</v>
      </c>
      <c r="E71" s="19">
        <f>+E4</f>
        <v>211</v>
      </c>
      <c r="F71" s="19">
        <f>+F4</f>
        <v>210</v>
      </c>
    </row>
    <row r="72" spans="1:8">
      <c r="B72" s="2" t="s">
        <v>39</v>
      </c>
      <c r="D72" s="19">
        <f>+D7</f>
        <v>13549</v>
      </c>
      <c r="E72" s="19">
        <f>+E7</f>
        <v>6775</v>
      </c>
      <c r="F72" s="19">
        <f>+F7</f>
        <v>6774</v>
      </c>
    </row>
    <row r="73" spans="1:8">
      <c r="B73" s="2" t="s">
        <v>40</v>
      </c>
      <c r="D73" s="19">
        <f>+D55+D59+D63</f>
        <v>96781</v>
      </c>
      <c r="E73" s="19">
        <f>+E55+E59+E63</f>
        <v>48392</v>
      </c>
      <c r="F73" s="19">
        <f>+F55+F59+F63</f>
        <v>48389</v>
      </c>
      <c r="H73" s="3">
        <v>1</v>
      </c>
    </row>
    <row r="74" spans="1:8">
      <c r="B74" s="18" t="s">
        <v>41</v>
      </c>
      <c r="D74" s="19">
        <f>+D70-D71-D72-D73</f>
        <v>220931</v>
      </c>
      <c r="E74" s="19">
        <f>+E70-E71-E72-E73</f>
        <v>110473</v>
      </c>
      <c r="F74" s="19">
        <f>+F70-F71-F72-F73</f>
        <v>110458</v>
      </c>
      <c r="H74" s="3">
        <v>2</v>
      </c>
    </row>
    <row r="76" spans="1:8" hidden="1">
      <c r="B76" s="3" t="s">
        <v>42</v>
      </c>
      <c r="C76" s="4">
        <v>0</v>
      </c>
      <c r="D76" s="3">
        <f>+D69-ROUND(D3*C69,0)</f>
        <v>2</v>
      </c>
    </row>
  </sheetData>
  <pageMargins left="0.7" right="0.7" top="0.75" bottom="0.75" header="0.3" footer="0.3"/>
  <pageSetup scale="6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pageSetUpPr fitToPage="1"/>
  </sheetPr>
  <dimension ref="A1:WVB88"/>
  <sheetViews>
    <sheetView topLeftCell="A55" zoomScaleNormal="100" zoomScaleSheetLayoutView="70" workbookViewId="0">
      <selection activeCell="D76" activeCellId="5" sqref="D7:F7 D60:F60 D64:F64 D68:F68 D72:F72 D76:F76"/>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57031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57031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57031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57031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57031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57031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57031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57031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57031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57031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57031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57031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57031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57031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57031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57031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57031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57031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57031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57031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57031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57031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57031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57031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57031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57031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57031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57031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57031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57031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57031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57031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57031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57031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57031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57031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57031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57031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57031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57031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57031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57031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57031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57031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57031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57031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57031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57031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57031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57031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57031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57031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57031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57031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57031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57031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57031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57031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57031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57031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57031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57031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57031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1277</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Worksheet'!$D$58</f>
        <v>453237</v>
      </c>
      <c r="E3" s="11"/>
      <c r="F3" s="11"/>
    </row>
    <row r="4" spans="1:6">
      <c r="A4" s="8">
        <v>0</v>
      </c>
      <c r="B4" s="11" t="s">
        <v>4</v>
      </c>
      <c r="C4" s="10">
        <v>1.369E-3</v>
      </c>
      <c r="D4" s="12">
        <f>ROUND(D$3*C4,0)</f>
        <v>620</v>
      </c>
      <c r="E4" s="13">
        <f>ROUND(D4/2,0)</f>
        <v>310</v>
      </c>
      <c r="F4" s="12">
        <f>D4-E4</f>
        <v>310</v>
      </c>
    </row>
    <row r="5" spans="1:6">
      <c r="A5" s="8">
        <v>1</v>
      </c>
      <c r="B5" s="11" t="s">
        <v>1278</v>
      </c>
      <c r="C5" s="10">
        <v>0.15270700000000001</v>
      </c>
      <c r="D5" s="9">
        <f>ROUND(D$3*C5,0)</f>
        <v>69212</v>
      </c>
      <c r="E5" s="11">
        <f>ROUND(D5/2,0)</f>
        <v>34606</v>
      </c>
      <c r="F5" s="9">
        <f>D5-E5</f>
        <v>34606</v>
      </c>
    </row>
    <row r="6" spans="1:6">
      <c r="A6" s="8"/>
      <c r="B6" s="11" t="s">
        <v>6</v>
      </c>
      <c r="C6" s="11"/>
      <c r="D6" s="14">
        <v>0.22949600000000001</v>
      </c>
      <c r="E6" s="11"/>
      <c r="F6" s="11"/>
    </row>
    <row r="7" spans="1:6">
      <c r="A7" s="8"/>
      <c r="B7" s="11" t="s">
        <v>7</v>
      </c>
      <c r="C7" s="11"/>
      <c r="D7" s="225">
        <f>ROUND(D5*D6,0)</f>
        <v>15884</v>
      </c>
      <c r="E7" s="226">
        <f>ROUND(D7/2,0)</f>
        <v>7942</v>
      </c>
      <c r="F7" s="225">
        <f>D7-E7</f>
        <v>7942</v>
      </c>
    </row>
    <row r="8" spans="1:6">
      <c r="A8" s="8"/>
      <c r="B8" s="11" t="s">
        <v>8</v>
      </c>
      <c r="C8" s="11"/>
      <c r="D8" s="12">
        <f>+D5-D7</f>
        <v>53328</v>
      </c>
      <c r="E8" s="13">
        <f>ROUND(D8/2,0)</f>
        <v>26664</v>
      </c>
      <c r="F8" s="12">
        <f>D8-E8</f>
        <v>26664</v>
      </c>
    </row>
    <row r="9" spans="1:6">
      <c r="A9" s="8">
        <v>2</v>
      </c>
      <c r="B9" s="11" t="s">
        <v>46</v>
      </c>
      <c r="C9" s="11"/>
      <c r="D9" s="9"/>
      <c r="E9" s="11"/>
      <c r="F9" s="11"/>
    </row>
    <row r="10" spans="1:6">
      <c r="A10" s="8"/>
      <c r="B10" s="11" t="s">
        <v>10</v>
      </c>
      <c r="C10" s="10">
        <v>7.4799999999999997E-4</v>
      </c>
      <c r="D10" s="12">
        <f>ROUND(D$3*C10,0)</f>
        <v>339</v>
      </c>
      <c r="E10" s="13">
        <f>ROUND(D10/2,0)</f>
        <v>170</v>
      </c>
      <c r="F10" s="12">
        <f>D10-E10</f>
        <v>169</v>
      </c>
    </row>
    <row r="11" spans="1:6">
      <c r="A11" s="8"/>
      <c r="B11" s="11" t="s">
        <v>11</v>
      </c>
      <c r="C11" s="10">
        <v>5.2099999999999998E-4</v>
      </c>
      <c r="D11" s="12">
        <f>ROUND(D$3*C11,0)</f>
        <v>236</v>
      </c>
      <c r="E11" s="13">
        <f>ROUND(D11/2,0)</f>
        <v>118</v>
      </c>
      <c r="F11" s="12">
        <f>D11-E11</f>
        <v>118</v>
      </c>
    </row>
    <row r="12" spans="1:6">
      <c r="A12" s="8">
        <v>2</v>
      </c>
      <c r="B12" s="11" t="s">
        <v>1279</v>
      </c>
      <c r="C12" s="11"/>
      <c r="D12" s="9"/>
      <c r="E12" s="11"/>
      <c r="F12" s="11"/>
    </row>
    <row r="13" spans="1:6">
      <c r="A13" s="8"/>
      <c r="B13" s="11" t="s">
        <v>10</v>
      </c>
      <c r="C13" s="10">
        <v>3.5199999999999999E-4</v>
      </c>
      <c r="D13" s="12">
        <f>ROUND(D$3*C13,0)</f>
        <v>160</v>
      </c>
      <c r="E13" s="13">
        <f>ROUND(D13/2,0)</f>
        <v>80</v>
      </c>
      <c r="F13" s="12">
        <f>D13-E13</f>
        <v>80</v>
      </c>
    </row>
    <row r="14" spans="1:6">
      <c r="A14" s="8"/>
      <c r="B14" s="11" t="s">
        <v>11</v>
      </c>
      <c r="C14" s="10">
        <v>2.5099999999999998E-4</v>
      </c>
      <c r="D14" s="12">
        <f>ROUND(D$3*C14,0)</f>
        <v>114</v>
      </c>
      <c r="E14" s="13">
        <f>ROUND(D14/2,0)</f>
        <v>57</v>
      </c>
      <c r="F14" s="12">
        <f>D14-E14</f>
        <v>57</v>
      </c>
    </row>
    <row r="15" spans="1:6">
      <c r="A15" s="8">
        <v>2</v>
      </c>
      <c r="B15" s="11" t="s">
        <v>1280</v>
      </c>
      <c r="C15" s="11"/>
      <c r="D15" s="9"/>
      <c r="E15" s="11"/>
      <c r="F15" s="11"/>
    </row>
    <row r="16" spans="1:6">
      <c r="A16" s="8"/>
      <c r="B16" s="11" t="s">
        <v>10</v>
      </c>
      <c r="C16" s="10">
        <v>2.1499999999999999E-4</v>
      </c>
      <c r="D16" s="12">
        <f>ROUND(D$3*C16,0)</f>
        <v>97</v>
      </c>
      <c r="E16" s="13">
        <f>ROUND(D16/2,0)</f>
        <v>49</v>
      </c>
      <c r="F16" s="12">
        <f>D16-E16</f>
        <v>48</v>
      </c>
    </row>
    <row r="17" spans="1:6">
      <c r="A17" s="8"/>
      <c r="B17" s="11" t="s">
        <v>11</v>
      </c>
      <c r="C17" s="10">
        <v>1.4E-5</v>
      </c>
      <c r="D17" s="12">
        <f>ROUND(D$3*C17,0)</f>
        <v>6</v>
      </c>
      <c r="E17" s="13">
        <f>ROUND(D17/2,0)</f>
        <v>3</v>
      </c>
      <c r="F17" s="12">
        <f>D17-E17</f>
        <v>3</v>
      </c>
    </row>
    <row r="18" spans="1:6">
      <c r="A18" s="8">
        <v>2</v>
      </c>
      <c r="B18" s="11" t="s">
        <v>671</v>
      </c>
      <c r="C18" s="11"/>
      <c r="D18" s="9"/>
      <c r="E18" s="11"/>
      <c r="F18" s="11"/>
    </row>
    <row r="19" spans="1:6">
      <c r="A19" s="8"/>
      <c r="B19" s="11" t="s">
        <v>10</v>
      </c>
      <c r="C19" s="10">
        <v>8.7930000000000005E-3</v>
      </c>
      <c r="D19" s="12">
        <f>ROUND(D$3*C19,0)</f>
        <v>3985</v>
      </c>
      <c r="E19" s="13">
        <f>ROUND(D19/2,0)</f>
        <v>1993</v>
      </c>
      <c r="F19" s="12">
        <f>D19-E19</f>
        <v>1992</v>
      </c>
    </row>
    <row r="20" spans="1:6">
      <c r="A20" s="8"/>
      <c r="B20" s="11" t="s">
        <v>11</v>
      </c>
      <c r="C20" s="10">
        <v>2.222E-3</v>
      </c>
      <c r="D20" s="12">
        <f>ROUND(D$3*C20,0)</f>
        <v>1007</v>
      </c>
      <c r="E20" s="13">
        <f>ROUND(D20/2,0)</f>
        <v>504</v>
      </c>
      <c r="F20" s="12">
        <f>D20-E20</f>
        <v>503</v>
      </c>
    </row>
    <row r="21" spans="1:6">
      <c r="A21" s="8">
        <v>2</v>
      </c>
      <c r="B21" s="11" t="s">
        <v>81</v>
      </c>
      <c r="C21" s="11"/>
      <c r="D21" s="9"/>
      <c r="E21" s="11"/>
      <c r="F21" s="11"/>
    </row>
    <row r="22" spans="1:6">
      <c r="A22" s="8"/>
      <c r="B22" s="11" t="s">
        <v>10</v>
      </c>
      <c r="C22" s="10">
        <v>2.0100000000000001E-4</v>
      </c>
      <c r="D22" s="12">
        <f>ROUND(D$3*C22,0)</f>
        <v>91</v>
      </c>
      <c r="E22" s="13">
        <f>ROUND(D22/2,0)</f>
        <v>46</v>
      </c>
      <c r="F22" s="12">
        <f>D22-E22</f>
        <v>45</v>
      </c>
    </row>
    <row r="23" spans="1:6">
      <c r="A23" s="8"/>
      <c r="B23" s="11" t="s">
        <v>11</v>
      </c>
      <c r="C23" s="10">
        <v>3.8000000000000002E-4</v>
      </c>
      <c r="D23" s="12">
        <f>ROUND(D$3*C23,0)</f>
        <v>172</v>
      </c>
      <c r="E23" s="13">
        <f>ROUND(D23/2,0)</f>
        <v>86</v>
      </c>
      <c r="F23" s="12">
        <f>D23-E23</f>
        <v>86</v>
      </c>
    </row>
    <row r="24" spans="1:6">
      <c r="A24" s="8">
        <v>2</v>
      </c>
      <c r="B24" s="11" t="s">
        <v>593</v>
      </c>
      <c r="C24" s="11"/>
      <c r="D24" s="9"/>
      <c r="E24" s="11"/>
      <c r="F24" s="11"/>
    </row>
    <row r="25" spans="1:6">
      <c r="A25" s="8"/>
      <c r="B25" s="11" t="s">
        <v>10</v>
      </c>
      <c r="C25" s="10">
        <v>3.225E-3</v>
      </c>
      <c r="D25" s="12">
        <f>ROUND(D$3*C25,0)</f>
        <v>1462</v>
      </c>
      <c r="E25" s="13">
        <f>ROUND(D25/2,0)</f>
        <v>731</v>
      </c>
      <c r="F25" s="12">
        <f>D25-E25</f>
        <v>731</v>
      </c>
    </row>
    <row r="26" spans="1:6">
      <c r="A26" s="8"/>
      <c r="B26" s="11" t="s">
        <v>11</v>
      </c>
      <c r="C26" s="10">
        <v>7.2800000000000002E-4</v>
      </c>
      <c r="D26" s="12">
        <f>ROUND(D$3*C26,0)</f>
        <v>330</v>
      </c>
      <c r="E26" s="13">
        <f>ROUND(D26/2,0)</f>
        <v>165</v>
      </c>
      <c r="F26" s="12">
        <f>D26-E26</f>
        <v>165</v>
      </c>
    </row>
    <row r="27" spans="1:6">
      <c r="A27" s="8">
        <v>2</v>
      </c>
      <c r="B27" s="11" t="s">
        <v>1281</v>
      </c>
      <c r="C27" s="11"/>
      <c r="D27" s="9"/>
      <c r="E27" s="11"/>
      <c r="F27" s="11"/>
    </row>
    <row r="28" spans="1:6">
      <c r="A28" s="8"/>
      <c r="B28" s="11" t="s">
        <v>10</v>
      </c>
      <c r="C28" s="10">
        <v>1.65E-4</v>
      </c>
      <c r="D28" s="12">
        <f>ROUND(D$3*C28,0)</f>
        <v>75</v>
      </c>
      <c r="E28" s="13">
        <f>ROUND(D28/2,0)</f>
        <v>38</v>
      </c>
      <c r="F28" s="12">
        <f>D28-E28</f>
        <v>37</v>
      </c>
    </row>
    <row r="29" spans="1:6">
      <c r="A29" s="8"/>
      <c r="B29" s="11" t="s">
        <v>11</v>
      </c>
      <c r="C29" s="10">
        <v>9.0000000000000006E-5</v>
      </c>
      <c r="D29" s="12">
        <f>ROUND(D$3*C29,0)</f>
        <v>41</v>
      </c>
      <c r="E29" s="13">
        <f>ROUND(D29/2,0)</f>
        <v>21</v>
      </c>
      <c r="F29" s="12">
        <f>D29-E29</f>
        <v>20</v>
      </c>
    </row>
    <row r="30" spans="1:6">
      <c r="A30" s="8">
        <v>2</v>
      </c>
      <c r="B30" s="11" t="s">
        <v>86</v>
      </c>
      <c r="C30" s="11"/>
      <c r="D30" s="9"/>
      <c r="E30" s="11"/>
      <c r="F30" s="11"/>
    </row>
    <row r="31" spans="1:6">
      <c r="A31" s="8"/>
      <c r="B31" s="11" t="s">
        <v>10</v>
      </c>
      <c r="C31" s="10">
        <v>4.8099999999999998E-4</v>
      </c>
      <c r="D31" s="12">
        <f>ROUND(D$3*C31,0)</f>
        <v>218</v>
      </c>
      <c r="E31" s="13">
        <f>ROUND(D31/2,0)</f>
        <v>109</v>
      </c>
      <c r="F31" s="12">
        <f>D31-E31</f>
        <v>109</v>
      </c>
    </row>
    <row r="32" spans="1:6">
      <c r="A32" s="8"/>
      <c r="B32" s="11" t="s">
        <v>11</v>
      </c>
      <c r="C32" s="10">
        <v>0</v>
      </c>
      <c r="D32" s="12">
        <f>ROUND(D$3*C32,0)</f>
        <v>0</v>
      </c>
      <c r="E32" s="13">
        <f>ROUND(D32/2,0)</f>
        <v>0</v>
      </c>
      <c r="F32" s="12">
        <f>D32-E32</f>
        <v>0</v>
      </c>
    </row>
    <row r="33" spans="1:6">
      <c r="A33" s="8">
        <v>2</v>
      </c>
      <c r="B33" s="11" t="s">
        <v>49</v>
      </c>
      <c r="C33" s="11"/>
      <c r="D33" s="9"/>
      <c r="E33" s="11"/>
      <c r="F33" s="11"/>
    </row>
    <row r="34" spans="1:6">
      <c r="A34" s="8"/>
      <c r="B34" s="11" t="s">
        <v>10</v>
      </c>
      <c r="C34" s="10">
        <v>1.116E-3</v>
      </c>
      <c r="D34" s="12">
        <f>ROUND(D$3*C34,0)</f>
        <v>506</v>
      </c>
      <c r="E34" s="13">
        <f>ROUND(D34/2,0)</f>
        <v>253</v>
      </c>
      <c r="F34" s="12">
        <f>D34-E34</f>
        <v>253</v>
      </c>
    </row>
    <row r="35" spans="1:6">
      <c r="A35" s="8"/>
      <c r="B35" s="11" t="s">
        <v>11</v>
      </c>
      <c r="C35" s="10">
        <v>3.9199999999999999E-4</v>
      </c>
      <c r="D35" s="12">
        <f>ROUND(D$3*C35,0)</f>
        <v>178</v>
      </c>
      <c r="E35" s="13">
        <f>ROUND(D35/2,0)</f>
        <v>89</v>
      </c>
      <c r="F35" s="12">
        <f>D35-E35</f>
        <v>89</v>
      </c>
    </row>
    <row r="36" spans="1:6">
      <c r="A36" s="8">
        <v>2</v>
      </c>
      <c r="B36" s="11" t="s">
        <v>14</v>
      </c>
      <c r="C36" s="11"/>
      <c r="D36" s="9"/>
      <c r="E36" s="11"/>
      <c r="F36" s="11"/>
    </row>
    <row r="37" spans="1:6">
      <c r="A37" s="8"/>
      <c r="B37" s="11" t="s">
        <v>10</v>
      </c>
      <c r="C37" s="10">
        <v>9.6100000000000005E-4</v>
      </c>
      <c r="D37" s="12">
        <f>ROUND(D$3*C37,0)</f>
        <v>436</v>
      </c>
      <c r="E37" s="13">
        <f>ROUND(D37/2,0)</f>
        <v>218</v>
      </c>
      <c r="F37" s="12">
        <f>D37-E37</f>
        <v>218</v>
      </c>
    </row>
    <row r="38" spans="1:6">
      <c r="A38" s="8"/>
      <c r="B38" s="11" t="s">
        <v>11</v>
      </c>
      <c r="C38" s="10">
        <v>7.2199999999999999E-4</v>
      </c>
      <c r="D38" s="12">
        <f>ROUND(D$3*C38,0)</f>
        <v>327</v>
      </c>
      <c r="E38" s="13">
        <f>ROUND(D38/2,0)</f>
        <v>164</v>
      </c>
      <c r="F38" s="12">
        <f>D38-E38</f>
        <v>163</v>
      </c>
    </row>
    <row r="39" spans="1:6">
      <c r="A39" s="8">
        <v>2</v>
      </c>
      <c r="B39" s="11" t="s">
        <v>52</v>
      </c>
      <c r="C39" s="11"/>
      <c r="D39" s="9"/>
      <c r="E39" s="11"/>
      <c r="F39" s="11"/>
    </row>
    <row r="40" spans="1:6">
      <c r="A40" s="8"/>
      <c r="B40" s="11" t="s">
        <v>10</v>
      </c>
      <c r="C40" s="10">
        <v>5.9459999999999999E-3</v>
      </c>
      <c r="D40" s="12">
        <f>ROUND(D$3*C40,0)</f>
        <v>2695</v>
      </c>
      <c r="E40" s="13">
        <f>ROUND(D40/2,0)</f>
        <v>1348</v>
      </c>
      <c r="F40" s="12">
        <f>D40-E40</f>
        <v>1347</v>
      </c>
    </row>
    <row r="41" spans="1:6">
      <c r="A41" s="8"/>
      <c r="B41" s="11" t="s">
        <v>11</v>
      </c>
      <c r="C41" s="10">
        <v>3.3300000000000001E-3</v>
      </c>
      <c r="D41" s="12">
        <f>ROUND(D$3*C41,0)</f>
        <v>1509</v>
      </c>
      <c r="E41" s="13">
        <f>ROUND(D41/2,0)</f>
        <v>755</v>
      </c>
      <c r="F41" s="12">
        <f>D41-E41</f>
        <v>754</v>
      </c>
    </row>
    <row r="42" spans="1:6">
      <c r="A42" s="8">
        <v>2</v>
      </c>
      <c r="B42" s="11" t="s">
        <v>16</v>
      </c>
      <c r="C42" s="11"/>
      <c r="D42" s="9"/>
      <c r="E42" s="11"/>
      <c r="F42" s="11"/>
    </row>
    <row r="43" spans="1:6">
      <c r="A43" s="8"/>
      <c r="B43" s="11" t="s">
        <v>10</v>
      </c>
      <c r="C43" s="10">
        <v>1.15E-4</v>
      </c>
      <c r="D43" s="12">
        <f>ROUND(D$3*C43,0)</f>
        <v>52</v>
      </c>
      <c r="E43" s="13">
        <f>ROUND(D43/2,0)</f>
        <v>26</v>
      </c>
      <c r="F43" s="12">
        <f>D43-E43</f>
        <v>26</v>
      </c>
    </row>
    <row r="44" spans="1:6">
      <c r="A44" s="8"/>
      <c r="B44" s="11" t="s">
        <v>11</v>
      </c>
      <c r="C44" s="10">
        <v>0</v>
      </c>
      <c r="D44" s="12">
        <f>ROUND(D$3*C44,0)</f>
        <v>0</v>
      </c>
      <c r="E44" s="13">
        <f>ROUND(D44/2,0)</f>
        <v>0</v>
      </c>
      <c r="F44" s="12">
        <f>D44-E44</f>
        <v>0</v>
      </c>
    </row>
    <row r="45" spans="1:6">
      <c r="A45" s="8">
        <v>2</v>
      </c>
      <c r="B45" s="11" t="s">
        <v>531</v>
      </c>
      <c r="C45" s="11"/>
      <c r="D45" s="9"/>
      <c r="E45" s="11"/>
      <c r="F45" s="11"/>
    </row>
    <row r="46" spans="1:6">
      <c r="A46" s="8"/>
      <c r="B46" s="11" t="s">
        <v>10</v>
      </c>
      <c r="C46" s="10">
        <v>9.6699999999999998E-4</v>
      </c>
      <c r="D46" s="12">
        <f>ROUND(D$3*C46,0)</f>
        <v>438</v>
      </c>
      <c r="E46" s="13">
        <f>ROUND(D46/2,0)</f>
        <v>219</v>
      </c>
      <c r="F46" s="12">
        <f>D46-E46</f>
        <v>219</v>
      </c>
    </row>
    <row r="47" spans="1:6">
      <c r="A47" s="8"/>
      <c r="B47" s="11" t="s">
        <v>11</v>
      </c>
      <c r="C47" s="10">
        <v>4.5199999999999998E-4</v>
      </c>
      <c r="D47" s="12">
        <f>ROUND(D$3*C47,0)</f>
        <v>205</v>
      </c>
      <c r="E47" s="13">
        <f>ROUND(D47/2,0)</f>
        <v>103</v>
      </c>
      <c r="F47" s="12">
        <f>D47-E47</f>
        <v>102</v>
      </c>
    </row>
    <row r="48" spans="1:6">
      <c r="A48" s="8">
        <v>2</v>
      </c>
      <c r="B48" s="11" t="s">
        <v>22</v>
      </c>
      <c r="C48" s="11"/>
      <c r="D48" s="9"/>
      <c r="E48" s="11"/>
      <c r="F48" s="11"/>
    </row>
    <row r="49" spans="1:6">
      <c r="A49" s="8"/>
      <c r="B49" s="11" t="s">
        <v>10</v>
      </c>
      <c r="C49" s="10">
        <v>3.7559999999999998E-3</v>
      </c>
      <c r="D49" s="12">
        <f t="shared" ref="D49:D58" si="0">ROUND(D$3*C49,0)</f>
        <v>1702</v>
      </c>
      <c r="E49" s="13">
        <f t="shared" ref="E49:E58" si="1">ROUND(D49/2,0)</f>
        <v>851</v>
      </c>
      <c r="F49" s="12">
        <f t="shared" ref="F49:F58" si="2">D49-E49</f>
        <v>851</v>
      </c>
    </row>
    <row r="50" spans="1:6">
      <c r="A50" s="8"/>
      <c r="B50" s="11" t="s">
        <v>11</v>
      </c>
      <c r="C50" s="10">
        <v>2.5760000000000002E-3</v>
      </c>
      <c r="D50" s="12">
        <f t="shared" si="0"/>
        <v>1168</v>
      </c>
      <c r="E50" s="13">
        <f t="shared" si="1"/>
        <v>584</v>
      </c>
      <c r="F50" s="12">
        <f t="shared" si="2"/>
        <v>584</v>
      </c>
    </row>
    <row r="51" spans="1:6">
      <c r="A51" s="8">
        <v>3</v>
      </c>
      <c r="B51" s="11" t="s">
        <v>1282</v>
      </c>
      <c r="C51" s="10">
        <v>1.0000000000000001E-5</v>
      </c>
      <c r="D51" s="12">
        <f t="shared" si="0"/>
        <v>5</v>
      </c>
      <c r="E51" s="13">
        <f t="shared" si="1"/>
        <v>3</v>
      </c>
      <c r="F51" s="12">
        <f t="shared" si="2"/>
        <v>2</v>
      </c>
    </row>
    <row r="52" spans="1:6">
      <c r="A52" s="8">
        <v>3</v>
      </c>
      <c r="B52" s="11" t="s">
        <v>1283</v>
      </c>
      <c r="C52" s="10">
        <v>2.1100000000000001E-4</v>
      </c>
      <c r="D52" s="12">
        <f t="shared" si="0"/>
        <v>96</v>
      </c>
      <c r="E52" s="13">
        <f t="shared" si="1"/>
        <v>48</v>
      </c>
      <c r="F52" s="12">
        <f t="shared" si="2"/>
        <v>48</v>
      </c>
    </row>
    <row r="53" spans="1:6">
      <c r="A53" s="8">
        <v>3</v>
      </c>
      <c r="B53" s="11" t="s">
        <v>1284</v>
      </c>
      <c r="C53" s="10">
        <v>5.2794000000000001E-2</v>
      </c>
      <c r="D53" s="12">
        <f t="shared" si="0"/>
        <v>23928</v>
      </c>
      <c r="E53" s="13">
        <f t="shared" si="1"/>
        <v>11964</v>
      </c>
      <c r="F53" s="12">
        <f t="shared" si="2"/>
        <v>11964</v>
      </c>
    </row>
    <row r="54" spans="1:6">
      <c r="A54" s="8">
        <v>3</v>
      </c>
      <c r="B54" s="11" t="s">
        <v>1285</v>
      </c>
      <c r="C54" s="10">
        <v>2.6199999999999999E-3</v>
      </c>
      <c r="D54" s="12">
        <f t="shared" si="0"/>
        <v>1187</v>
      </c>
      <c r="E54" s="13">
        <f t="shared" si="1"/>
        <v>594</v>
      </c>
      <c r="F54" s="12">
        <f t="shared" si="2"/>
        <v>593</v>
      </c>
    </row>
    <row r="55" spans="1:6">
      <c r="A55" s="8">
        <v>3</v>
      </c>
      <c r="B55" s="11" t="s">
        <v>1286</v>
      </c>
      <c r="C55" s="10">
        <v>4.7918000000000002E-2</v>
      </c>
      <c r="D55" s="12">
        <f t="shared" si="0"/>
        <v>21718</v>
      </c>
      <c r="E55" s="13">
        <f t="shared" si="1"/>
        <v>10859</v>
      </c>
      <c r="F55" s="12">
        <f t="shared" si="2"/>
        <v>10859</v>
      </c>
    </row>
    <row r="56" spans="1:6">
      <c r="A56" s="8">
        <v>3</v>
      </c>
      <c r="B56" s="11" t="s">
        <v>1287</v>
      </c>
      <c r="C56" s="10">
        <v>1.0900000000000001E-4</v>
      </c>
      <c r="D56" s="12">
        <f t="shared" si="0"/>
        <v>49</v>
      </c>
      <c r="E56" s="13">
        <f t="shared" si="1"/>
        <v>25</v>
      </c>
      <c r="F56" s="12">
        <f t="shared" si="2"/>
        <v>24</v>
      </c>
    </row>
    <row r="57" spans="1:6">
      <c r="A57" s="8">
        <v>3</v>
      </c>
      <c r="B57" s="11" t="s">
        <v>1288</v>
      </c>
      <c r="C57" s="10">
        <v>1.7470000000000001E-3</v>
      </c>
      <c r="D57" s="12">
        <f t="shared" si="0"/>
        <v>792</v>
      </c>
      <c r="E57" s="13">
        <f t="shared" si="1"/>
        <v>396</v>
      </c>
      <c r="F57" s="12">
        <f t="shared" si="2"/>
        <v>396</v>
      </c>
    </row>
    <row r="58" spans="1:6">
      <c r="A58" s="8">
        <v>4</v>
      </c>
      <c r="B58" s="11" t="s">
        <v>1289</v>
      </c>
      <c r="C58" s="10">
        <v>4.3199000000000001E-2</v>
      </c>
      <c r="D58" s="9">
        <f t="shared" si="0"/>
        <v>19579</v>
      </c>
      <c r="E58" s="11">
        <f t="shared" si="1"/>
        <v>9790</v>
      </c>
      <c r="F58" s="9">
        <f t="shared" si="2"/>
        <v>9789</v>
      </c>
    </row>
    <row r="59" spans="1:6">
      <c r="A59" s="8"/>
      <c r="B59" s="11" t="s">
        <v>28</v>
      </c>
      <c r="C59" s="11"/>
      <c r="D59" s="14">
        <v>0.46447699999999997</v>
      </c>
      <c r="E59" s="11"/>
      <c r="F59" s="11"/>
    </row>
    <row r="60" spans="1:6">
      <c r="A60" s="8"/>
      <c r="B60" s="11" t="s">
        <v>29</v>
      </c>
      <c r="C60" s="11"/>
      <c r="D60" s="225">
        <f>ROUND(D58*D59,0)</f>
        <v>9094</v>
      </c>
      <c r="E60" s="226">
        <f>ROUND(D60/2,0)</f>
        <v>4547</v>
      </c>
      <c r="F60" s="225">
        <f>D60-E60</f>
        <v>4547</v>
      </c>
    </row>
    <row r="61" spans="1:6">
      <c r="A61" s="8"/>
      <c r="B61" s="11" t="s">
        <v>30</v>
      </c>
      <c r="C61" s="11"/>
      <c r="D61" s="12">
        <f>+D58-D60</f>
        <v>10485</v>
      </c>
      <c r="E61" s="13">
        <f>ROUND(D61/2,0)</f>
        <v>5243</v>
      </c>
      <c r="F61" s="12">
        <f>D61-E61</f>
        <v>5242</v>
      </c>
    </row>
    <row r="62" spans="1:6">
      <c r="A62" s="8">
        <v>4</v>
      </c>
      <c r="B62" s="11" t="s">
        <v>1290</v>
      </c>
      <c r="C62" s="10">
        <v>0.32753399999999999</v>
      </c>
      <c r="D62" s="9">
        <f>ROUND(D$3*C62,0)</f>
        <v>148451</v>
      </c>
      <c r="E62" s="11">
        <f>ROUND(D62/2,0)</f>
        <v>74226</v>
      </c>
      <c r="F62" s="9">
        <f>D62-E62</f>
        <v>74225</v>
      </c>
    </row>
    <row r="63" spans="1:6">
      <c r="A63" s="8"/>
      <c r="B63" s="11" t="s">
        <v>28</v>
      </c>
      <c r="C63" s="11"/>
      <c r="D63" s="14">
        <v>0.51149500000000003</v>
      </c>
      <c r="E63" s="11"/>
      <c r="F63" s="11"/>
    </row>
    <row r="64" spans="1:6">
      <c r="A64" s="8"/>
      <c r="B64" s="11" t="s">
        <v>29</v>
      </c>
      <c r="C64" s="11"/>
      <c r="D64" s="225">
        <f>ROUND(D62*D63,0)</f>
        <v>75932</v>
      </c>
      <c r="E64" s="226">
        <f>ROUND(D64/2,0)</f>
        <v>37966</v>
      </c>
      <c r="F64" s="225">
        <f>D64-E64</f>
        <v>37966</v>
      </c>
    </row>
    <row r="65" spans="1:6">
      <c r="A65" s="8"/>
      <c r="B65" s="11" t="s">
        <v>30</v>
      </c>
      <c r="C65" s="11"/>
      <c r="D65" s="12">
        <f>+D62-D64</f>
        <v>72519</v>
      </c>
      <c r="E65" s="13">
        <f>ROUND(D65/2,0)</f>
        <v>36260</v>
      </c>
      <c r="F65" s="12">
        <f>D65-E65</f>
        <v>36259</v>
      </c>
    </row>
    <row r="66" spans="1:6">
      <c r="A66" s="8">
        <v>4</v>
      </c>
      <c r="B66" s="11" t="s">
        <v>1291</v>
      </c>
      <c r="C66" s="10">
        <v>3.8581999999999998E-2</v>
      </c>
      <c r="D66" s="9">
        <f>ROUND(D$3*C66,0)</f>
        <v>17487</v>
      </c>
      <c r="E66" s="11">
        <f>ROUND(D66/2,0)</f>
        <v>8744</v>
      </c>
      <c r="F66" s="9">
        <f>D66-E66</f>
        <v>8743</v>
      </c>
    </row>
    <row r="67" spans="1:6">
      <c r="A67" s="8"/>
      <c r="B67" s="11" t="s">
        <v>28</v>
      </c>
      <c r="C67" s="11"/>
      <c r="D67" s="14">
        <v>0.42618499999999998</v>
      </c>
      <c r="E67" s="11"/>
      <c r="F67" s="11"/>
    </row>
    <row r="68" spans="1:6">
      <c r="A68" s="8"/>
      <c r="B68" s="11" t="s">
        <v>29</v>
      </c>
      <c r="C68" s="11"/>
      <c r="D68" s="225">
        <f>ROUND(D66*D67,0)</f>
        <v>7453</v>
      </c>
      <c r="E68" s="226">
        <f>ROUND(D68/2,0)</f>
        <v>3727</v>
      </c>
      <c r="F68" s="225">
        <f>D68-E68</f>
        <v>3726</v>
      </c>
    </row>
    <row r="69" spans="1:6">
      <c r="A69" s="8"/>
      <c r="B69" s="11" t="s">
        <v>30</v>
      </c>
      <c r="C69" s="11"/>
      <c r="D69" s="12">
        <f>+D66-D68</f>
        <v>10034</v>
      </c>
      <c r="E69" s="13">
        <f>ROUND(D69/2,0)</f>
        <v>5017</v>
      </c>
      <c r="F69" s="12">
        <f>D69-E69</f>
        <v>5017</v>
      </c>
    </row>
    <row r="70" spans="1:6">
      <c r="A70" s="8">
        <v>4</v>
      </c>
      <c r="B70" s="11" t="s">
        <v>1292</v>
      </c>
      <c r="C70" s="10">
        <v>0.24737300000000001</v>
      </c>
      <c r="D70" s="9">
        <f>ROUND(D$3*C70,0)</f>
        <v>112119</v>
      </c>
      <c r="E70" s="11">
        <f>ROUND(D70/2,0)</f>
        <v>56060</v>
      </c>
      <c r="F70" s="9">
        <f>D70-E70</f>
        <v>56059</v>
      </c>
    </row>
    <row r="71" spans="1:6">
      <c r="A71" s="8" t="s">
        <v>590</v>
      </c>
      <c r="B71" s="11" t="s">
        <v>28</v>
      </c>
      <c r="C71" s="11"/>
      <c r="D71" s="14">
        <v>0.43861499999999998</v>
      </c>
      <c r="E71" s="11"/>
      <c r="F71" s="11"/>
    </row>
    <row r="72" spans="1:6">
      <c r="A72" s="8"/>
      <c r="B72" s="11" t="s">
        <v>29</v>
      </c>
      <c r="C72" s="11"/>
      <c r="D72" s="225">
        <f>ROUND(D70*D71,0)</f>
        <v>49177</v>
      </c>
      <c r="E72" s="226">
        <f>ROUND(D72/2,0)</f>
        <v>24589</v>
      </c>
      <c r="F72" s="225">
        <f>D72-E72</f>
        <v>24588</v>
      </c>
    </row>
    <row r="73" spans="1:6">
      <c r="A73" s="8"/>
      <c r="B73" s="11" t="s">
        <v>30</v>
      </c>
      <c r="C73" s="11"/>
      <c r="D73" s="12">
        <f>+D70-D72</f>
        <v>62942</v>
      </c>
      <c r="E73" s="13">
        <f>ROUND(D73/2,0)</f>
        <v>31471</v>
      </c>
      <c r="F73" s="12">
        <f>D73-E73</f>
        <v>31471</v>
      </c>
    </row>
    <row r="74" spans="1:6">
      <c r="A74" s="8">
        <v>4</v>
      </c>
      <c r="B74" s="11" t="s">
        <v>910</v>
      </c>
      <c r="C74" s="10">
        <v>2.0655E-2</v>
      </c>
      <c r="D74" s="9">
        <f>ROUND(D$3*C74,0)</f>
        <v>9362</v>
      </c>
      <c r="E74" s="11">
        <f>ROUND(D74/2,0)</f>
        <v>4681</v>
      </c>
      <c r="F74" s="9">
        <f>D74-E74</f>
        <v>4681</v>
      </c>
    </row>
    <row r="75" spans="1:6">
      <c r="A75" s="8"/>
      <c r="B75" s="11" t="s">
        <v>28</v>
      </c>
      <c r="C75" s="11"/>
      <c r="D75" s="14">
        <v>0.41900399999999999</v>
      </c>
      <c r="E75" s="11"/>
      <c r="F75" s="11"/>
    </row>
    <row r="76" spans="1:6">
      <c r="A76" s="8"/>
      <c r="B76" s="11" t="s">
        <v>29</v>
      </c>
      <c r="C76" s="11"/>
      <c r="D76" s="225">
        <f>ROUND(D74*D75,0)</f>
        <v>3923</v>
      </c>
      <c r="E76" s="226">
        <f t="shared" ref="E76:E81" si="3">ROUND(D76/2,0)</f>
        <v>1962</v>
      </c>
      <c r="F76" s="225">
        <f t="shared" ref="F76:F81" si="4">D76-E76</f>
        <v>1961</v>
      </c>
    </row>
    <row r="77" spans="1:6">
      <c r="A77" s="8"/>
      <c r="B77" s="11" t="s">
        <v>30</v>
      </c>
      <c r="C77" s="11"/>
      <c r="D77" s="12">
        <f>+D74-D76</f>
        <v>5439</v>
      </c>
      <c r="E77" s="13">
        <f t="shared" si="3"/>
        <v>2720</v>
      </c>
      <c r="F77" s="12">
        <f t="shared" si="4"/>
        <v>2719</v>
      </c>
    </row>
    <row r="78" spans="1:6">
      <c r="A78" s="8">
        <v>5</v>
      </c>
      <c r="B78" s="11" t="s">
        <v>1293</v>
      </c>
      <c r="C78" s="10">
        <v>6.5209999999999999E-3</v>
      </c>
      <c r="D78" s="12">
        <f>ROUND(D$3*C78,0)</f>
        <v>2956</v>
      </c>
      <c r="E78" s="13">
        <f t="shared" si="3"/>
        <v>1478</v>
      </c>
      <c r="F78" s="12">
        <f t="shared" si="4"/>
        <v>1478</v>
      </c>
    </row>
    <row r="79" spans="1:6">
      <c r="A79" s="8">
        <v>5</v>
      </c>
      <c r="B79" s="11" t="s">
        <v>1294</v>
      </c>
      <c r="C79" s="10">
        <v>1.5513000000000001E-2</v>
      </c>
      <c r="D79" s="12">
        <f>ROUND(D$3*C79,0)</f>
        <v>7031</v>
      </c>
      <c r="E79" s="13">
        <f t="shared" si="3"/>
        <v>3516</v>
      </c>
      <c r="F79" s="12">
        <f t="shared" si="4"/>
        <v>3515</v>
      </c>
    </row>
    <row r="80" spans="1:6">
      <c r="A80" s="8">
        <v>6</v>
      </c>
      <c r="B80" s="11" t="s">
        <v>1295</v>
      </c>
      <c r="C80" s="10">
        <v>1.5460000000000001E-3</v>
      </c>
      <c r="D80" s="12">
        <f>ROUND(D$3*C80,0)</f>
        <v>701</v>
      </c>
      <c r="E80" s="13">
        <f t="shared" si="3"/>
        <v>351</v>
      </c>
      <c r="F80" s="12">
        <f t="shared" si="4"/>
        <v>350</v>
      </c>
    </row>
    <row r="81" spans="1:8">
      <c r="A81" s="8">
        <v>6</v>
      </c>
      <c r="B81" s="11" t="s">
        <v>1296</v>
      </c>
      <c r="C81" s="10">
        <v>8.7299999999990163E-4</v>
      </c>
      <c r="D81" s="12">
        <f>+D3-SUM(D4:D5)-SUM(D10:D58)-D62-D66-D70-D74-SUM(D78:D80)</f>
        <v>395</v>
      </c>
      <c r="E81" s="13">
        <f t="shared" si="3"/>
        <v>198</v>
      </c>
      <c r="F81" s="12">
        <f t="shared" si="4"/>
        <v>197</v>
      </c>
    </row>
    <row r="82" spans="1:8">
      <c r="A82" s="8"/>
      <c r="B82" s="28" t="s">
        <v>288</v>
      </c>
      <c r="C82" s="10">
        <v>1</v>
      </c>
      <c r="D82" s="12">
        <f>+D4+SUM(D7:D57)+SUM(D60:D61)+SUM(D64:D65)+SUM(D68:D69)+SUM(D72:D73)+SUM(D76:D81)</f>
        <v>453237</v>
      </c>
      <c r="E82" s="12">
        <f>+E4+SUM(E7:E57)+SUM(E60:E61)+SUM(E64:E65)+SUM(E68:E69)+SUM(E72:E73)+SUM(E76:E81)</f>
        <v>226630</v>
      </c>
      <c r="F82" s="12">
        <f>+F4+SUM(F7:F57)+SUM(F60:F61)+SUM(F64:F65)+SUM(F68:F69)+SUM(F72:F73)+SUM(F76:F81)</f>
        <v>226607</v>
      </c>
    </row>
    <row r="83" spans="1:8">
      <c r="B83" s="18" t="s">
        <v>38</v>
      </c>
      <c r="D83" s="19">
        <f>+D4</f>
        <v>620</v>
      </c>
      <c r="E83" s="19">
        <f>+E4</f>
        <v>310</v>
      </c>
      <c r="F83" s="19">
        <f>+F4</f>
        <v>310</v>
      </c>
    </row>
    <row r="84" spans="1:8">
      <c r="B84" s="2" t="s">
        <v>39</v>
      </c>
      <c r="D84" s="19">
        <f>+D7</f>
        <v>15884</v>
      </c>
      <c r="E84" s="19">
        <f>+E7</f>
        <v>7942</v>
      </c>
      <c r="F84" s="19">
        <f>+F7</f>
        <v>7942</v>
      </c>
    </row>
    <row r="85" spans="1:8">
      <c r="B85" s="2" t="s">
        <v>40</v>
      </c>
      <c r="D85" s="19">
        <f>+D60+D64+D68+D72+D76</f>
        <v>145579</v>
      </c>
      <c r="E85" s="19">
        <f>+E60+E64+E68+E72+E76</f>
        <v>72791</v>
      </c>
      <c r="F85" s="19">
        <f>+F60+F64+F68+F72+F76</f>
        <v>72788</v>
      </c>
      <c r="H85" s="3">
        <v>1</v>
      </c>
    </row>
    <row r="86" spans="1:8">
      <c r="B86" s="18" t="s">
        <v>41</v>
      </c>
      <c r="D86" s="19">
        <f>+D82-D83-D84-D85</f>
        <v>291154</v>
      </c>
      <c r="E86" s="19">
        <f>+E82-E83-E84-E85</f>
        <v>145587</v>
      </c>
      <c r="F86" s="19">
        <f>+F82-F83-F84-F85</f>
        <v>145567</v>
      </c>
      <c r="H86" s="3">
        <v>2</v>
      </c>
    </row>
    <row r="88" spans="1:8" hidden="1">
      <c r="B88" s="3" t="s">
        <v>42</v>
      </c>
      <c r="C88" s="4">
        <v>1.9999999999016031E-6</v>
      </c>
      <c r="D88" s="3">
        <f>+D81-ROUND(D3*C81,0)</f>
        <v>-1</v>
      </c>
    </row>
  </sheetData>
  <pageMargins left="0.7" right="0.7" top="0.75" bottom="0.75" header="0.3" footer="0.3"/>
  <pageSetup scale="5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pageSetUpPr fitToPage="1"/>
  </sheetPr>
  <dimension ref="A1:WVB71"/>
  <sheetViews>
    <sheetView topLeftCell="A29" zoomScaleNormal="100" zoomScaleSheetLayoutView="80" workbookViewId="0">
      <selection activeCell="D50" activeCellId="2" sqref="D7:F7 D46:F46 D50:F50"/>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710937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710937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710937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710937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710937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710937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710937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710937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710937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710937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710937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710937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710937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710937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710937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710937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710937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710937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710937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710937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710937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710937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710937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710937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710937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710937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710937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710937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710937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710937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710937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710937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710937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710937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710937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710937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710937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710937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710937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710937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710937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710937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710937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710937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710937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710937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710937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710937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710937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710937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710937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710937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710937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710937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710937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710937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710937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710937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710937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710937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710937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710937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710937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1297</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Worksheet'!$D$59</f>
        <v>218494</v>
      </c>
      <c r="E3" s="11"/>
      <c r="F3" s="11"/>
    </row>
    <row r="4" spans="1:6">
      <c r="A4" s="8">
        <v>0</v>
      </c>
      <c r="B4" s="11" t="s">
        <v>4</v>
      </c>
      <c r="C4" s="10">
        <v>9.8900000000000008E-4</v>
      </c>
      <c r="D4" s="12">
        <f>ROUND(D$3*C4,0)</f>
        <v>216</v>
      </c>
      <c r="E4" s="13">
        <f>ROUND(D4/2,0)</f>
        <v>108</v>
      </c>
      <c r="F4" s="12">
        <f>D4-E4</f>
        <v>108</v>
      </c>
    </row>
    <row r="5" spans="1:6">
      <c r="A5" s="8">
        <v>1</v>
      </c>
      <c r="B5" s="11" t="s">
        <v>1298</v>
      </c>
      <c r="C5" s="10">
        <v>0.28554800000000002</v>
      </c>
      <c r="D5" s="9">
        <f>ROUND(D$3*C5,0)</f>
        <v>62391</v>
      </c>
      <c r="E5" s="11">
        <f>ROUND(D5/2,0)</f>
        <v>31196</v>
      </c>
      <c r="F5" s="9">
        <f>D5-E5</f>
        <v>31195</v>
      </c>
    </row>
    <row r="6" spans="1:6">
      <c r="A6" s="8"/>
      <c r="B6" s="11" t="s">
        <v>6</v>
      </c>
      <c r="C6" s="11"/>
      <c r="D6" s="14">
        <v>0.18049699999999999</v>
      </c>
      <c r="E6" s="11"/>
      <c r="F6" s="11"/>
    </row>
    <row r="7" spans="1:6">
      <c r="A7" s="8"/>
      <c r="B7" s="11" t="s">
        <v>7</v>
      </c>
      <c r="C7" s="11"/>
      <c r="D7" s="225">
        <f>ROUND(D5*D6,0)</f>
        <v>11261</v>
      </c>
      <c r="E7" s="226">
        <f>ROUND(D7/2,0)</f>
        <v>5631</v>
      </c>
      <c r="F7" s="225">
        <f>D7-E7</f>
        <v>5630</v>
      </c>
    </row>
    <row r="8" spans="1:6">
      <c r="A8" s="8"/>
      <c r="B8" s="11" t="s">
        <v>8</v>
      </c>
      <c r="C8" s="11"/>
      <c r="D8" s="12">
        <f>+D5-D7</f>
        <v>51130</v>
      </c>
      <c r="E8" s="13">
        <f>ROUND(D8/2,0)</f>
        <v>25565</v>
      </c>
      <c r="F8" s="12">
        <f>D8-E8</f>
        <v>25565</v>
      </c>
    </row>
    <row r="9" spans="1:6">
      <c r="A9" s="8">
        <v>2</v>
      </c>
      <c r="B9" s="11" t="s">
        <v>1299</v>
      </c>
      <c r="C9" s="11"/>
      <c r="D9" s="9"/>
      <c r="E9" s="11"/>
      <c r="F9" s="11"/>
    </row>
    <row r="10" spans="1:6">
      <c r="A10" s="8"/>
      <c r="B10" s="11" t="s">
        <v>10</v>
      </c>
      <c r="C10" s="10">
        <v>7.842E-3</v>
      </c>
      <c r="D10" s="12">
        <f>ROUND(D$3*C10,0)</f>
        <v>1713</v>
      </c>
      <c r="E10" s="13">
        <f>ROUND(D10/2,0)</f>
        <v>857</v>
      </c>
      <c r="F10" s="12">
        <f>D10-E10</f>
        <v>856</v>
      </c>
    </row>
    <row r="11" spans="1:6">
      <c r="A11" s="8"/>
      <c r="B11" s="11" t="s">
        <v>11</v>
      </c>
      <c r="C11" s="10">
        <v>3.0990000000000002E-3</v>
      </c>
      <c r="D11" s="12">
        <f>ROUND(D$3*C11,0)</f>
        <v>677</v>
      </c>
      <c r="E11" s="13">
        <f>ROUND(D11/2,0)</f>
        <v>339</v>
      </c>
      <c r="F11" s="12">
        <f>D11-E11</f>
        <v>338</v>
      </c>
    </row>
    <row r="12" spans="1:6">
      <c r="A12" s="8">
        <v>2</v>
      </c>
      <c r="B12" s="11" t="s">
        <v>1300</v>
      </c>
      <c r="C12" s="11"/>
      <c r="D12" s="9"/>
      <c r="E12" s="11"/>
      <c r="F12" s="11"/>
    </row>
    <row r="13" spans="1:6">
      <c r="A13" s="8"/>
      <c r="B13" s="11" t="s">
        <v>10</v>
      </c>
      <c r="C13" s="10">
        <v>6.0099999999999997E-4</v>
      </c>
      <c r="D13" s="12">
        <f>ROUND(D$3*C13,0)</f>
        <v>131</v>
      </c>
      <c r="E13" s="13">
        <f>ROUND(D13/2,0)</f>
        <v>66</v>
      </c>
      <c r="F13" s="12">
        <f>D13-E13</f>
        <v>65</v>
      </c>
    </row>
    <row r="14" spans="1:6">
      <c r="A14" s="8"/>
      <c r="B14" s="11" t="s">
        <v>11</v>
      </c>
      <c r="C14" s="10">
        <v>2.04E-4</v>
      </c>
      <c r="D14" s="12">
        <f>ROUND(D$3*C14,0)</f>
        <v>45</v>
      </c>
      <c r="E14" s="13">
        <f>ROUND(D14/2,0)</f>
        <v>23</v>
      </c>
      <c r="F14" s="12">
        <f>D14-E14</f>
        <v>22</v>
      </c>
    </row>
    <row r="15" spans="1:6">
      <c r="A15" s="8">
        <v>2</v>
      </c>
      <c r="B15" s="11" t="s">
        <v>109</v>
      </c>
      <c r="C15" s="11"/>
      <c r="D15" s="9"/>
      <c r="E15" s="11"/>
      <c r="F15" s="11"/>
    </row>
    <row r="16" spans="1:6">
      <c r="A16" s="8"/>
      <c r="B16" s="11" t="s">
        <v>10</v>
      </c>
      <c r="C16" s="10">
        <v>1.1429999999999999E-3</v>
      </c>
      <c r="D16" s="12">
        <f>ROUND(D$3*C16,0)</f>
        <v>250</v>
      </c>
      <c r="E16" s="13">
        <f>ROUND(D16/2,0)</f>
        <v>125</v>
      </c>
      <c r="F16" s="12">
        <f>D16-E16</f>
        <v>125</v>
      </c>
    </row>
    <row r="17" spans="1:6">
      <c r="A17" s="8"/>
      <c r="B17" s="11" t="s">
        <v>11</v>
      </c>
      <c r="C17" s="10">
        <v>3.6699999999999998E-4</v>
      </c>
      <c r="D17" s="12">
        <f>ROUND(D$3*C17,0)</f>
        <v>80</v>
      </c>
      <c r="E17" s="13">
        <f>ROUND(D17/2,0)</f>
        <v>40</v>
      </c>
      <c r="F17" s="12">
        <f>D17-E17</f>
        <v>40</v>
      </c>
    </row>
    <row r="18" spans="1:6">
      <c r="A18" s="8">
        <v>2</v>
      </c>
      <c r="B18" s="11" t="s">
        <v>1301</v>
      </c>
      <c r="C18" s="11"/>
      <c r="D18" s="9"/>
      <c r="E18" s="11"/>
      <c r="F18" s="11"/>
    </row>
    <row r="19" spans="1:6">
      <c r="A19" s="8"/>
      <c r="B19" s="11" t="s">
        <v>10</v>
      </c>
      <c r="C19" s="10">
        <v>1.8519999999999999E-3</v>
      </c>
      <c r="D19" s="12">
        <f>ROUND(D$3*C19,0)</f>
        <v>405</v>
      </c>
      <c r="E19" s="13">
        <f>ROUND(D19/2,0)</f>
        <v>203</v>
      </c>
      <c r="F19" s="12">
        <f>D19-E19</f>
        <v>202</v>
      </c>
    </row>
    <row r="20" spans="1:6">
      <c r="A20" s="8"/>
      <c r="B20" s="11" t="s">
        <v>11</v>
      </c>
      <c r="C20" s="10">
        <v>3.6699999999999998E-4</v>
      </c>
      <c r="D20" s="12">
        <f>ROUND(D$3*C20,0)</f>
        <v>80</v>
      </c>
      <c r="E20" s="13">
        <f>ROUND(D20/2,0)</f>
        <v>40</v>
      </c>
      <c r="F20" s="12">
        <f>D20-E20</f>
        <v>40</v>
      </c>
    </row>
    <row r="21" spans="1:6">
      <c r="A21" s="8">
        <v>2</v>
      </c>
      <c r="B21" s="11" t="s">
        <v>49</v>
      </c>
      <c r="C21" s="11"/>
      <c r="D21" s="9"/>
      <c r="E21" s="11"/>
      <c r="F21" s="11"/>
    </row>
    <row r="22" spans="1:6">
      <c r="A22" s="8"/>
      <c r="B22" s="11" t="s">
        <v>10</v>
      </c>
      <c r="C22" s="10">
        <v>5.1699999999999999E-4</v>
      </c>
      <c r="D22" s="12">
        <f>ROUND(D$3*C22,0)</f>
        <v>113</v>
      </c>
      <c r="E22" s="13">
        <f>ROUND(D22/2,0)</f>
        <v>57</v>
      </c>
      <c r="F22" s="12">
        <f>D22-E22</f>
        <v>56</v>
      </c>
    </row>
    <row r="23" spans="1:6">
      <c r="A23" s="8"/>
      <c r="B23" s="11" t="s">
        <v>11</v>
      </c>
      <c r="C23" s="10">
        <v>1.21E-4</v>
      </c>
      <c r="D23" s="12">
        <f>ROUND(D$3*C23,0)</f>
        <v>26</v>
      </c>
      <c r="E23" s="13">
        <f>ROUND(D23/2,0)</f>
        <v>13</v>
      </c>
      <c r="F23" s="12">
        <f>D23-E23</f>
        <v>13</v>
      </c>
    </row>
    <row r="24" spans="1:6">
      <c r="A24" s="8">
        <v>2</v>
      </c>
      <c r="B24" s="11" t="s">
        <v>14</v>
      </c>
      <c r="C24" s="11"/>
      <c r="D24" s="9"/>
      <c r="E24" s="11"/>
      <c r="F24" s="11"/>
    </row>
    <row r="25" spans="1:6">
      <c r="A25" s="8"/>
      <c r="B25" s="11" t="s">
        <v>10</v>
      </c>
      <c r="C25" s="10">
        <v>1.1299999999999999E-3</v>
      </c>
      <c r="D25" s="12">
        <f>ROUND(D$3*C25,0)</f>
        <v>247</v>
      </c>
      <c r="E25" s="13">
        <f>ROUND(D25/2,0)</f>
        <v>124</v>
      </c>
      <c r="F25" s="12">
        <f>D25-E25</f>
        <v>123</v>
      </c>
    </row>
    <row r="26" spans="1:6">
      <c r="A26" s="8"/>
      <c r="B26" s="11" t="s">
        <v>11</v>
      </c>
      <c r="C26" s="10">
        <v>3.4200000000000002E-4</v>
      </c>
      <c r="D26" s="12">
        <f>ROUND(D$3*C26,0)</f>
        <v>75</v>
      </c>
      <c r="E26" s="13">
        <f>ROUND(D26/2,0)</f>
        <v>38</v>
      </c>
      <c r="F26" s="12">
        <f>D26-E26</f>
        <v>37</v>
      </c>
    </row>
    <row r="27" spans="1:6">
      <c r="A27" s="8">
        <v>2</v>
      </c>
      <c r="B27" s="11" t="s">
        <v>51</v>
      </c>
      <c r="C27" s="11"/>
      <c r="D27" s="9"/>
      <c r="E27" s="11"/>
      <c r="F27" s="11"/>
    </row>
    <row r="28" spans="1:6">
      <c r="A28" s="8"/>
      <c r="B28" s="11" t="s">
        <v>10</v>
      </c>
      <c r="C28" s="10">
        <v>6.019E-3</v>
      </c>
      <c r="D28" s="12">
        <f>ROUND(D$3*C28,0)</f>
        <v>1315</v>
      </c>
      <c r="E28" s="13">
        <f>ROUND(D28/2,0)</f>
        <v>658</v>
      </c>
      <c r="F28" s="12">
        <f>D28-E28</f>
        <v>657</v>
      </c>
    </row>
    <row r="29" spans="1:6">
      <c r="A29" s="8"/>
      <c r="B29" s="11" t="s">
        <v>11</v>
      </c>
      <c r="C29" s="10">
        <v>3.0490000000000001E-3</v>
      </c>
      <c r="D29" s="12">
        <f>ROUND(D$3*C29,0)</f>
        <v>666</v>
      </c>
      <c r="E29" s="13">
        <f>ROUND(D29/2,0)</f>
        <v>333</v>
      </c>
      <c r="F29" s="12">
        <f>D29-E29</f>
        <v>333</v>
      </c>
    </row>
    <row r="30" spans="1:6">
      <c r="A30" s="8">
        <v>2</v>
      </c>
      <c r="B30" s="11" t="s">
        <v>714</v>
      </c>
      <c r="C30" s="11"/>
      <c r="D30" s="9"/>
      <c r="E30" s="11"/>
      <c r="F30" s="11"/>
    </row>
    <row r="31" spans="1:6">
      <c r="A31" s="8"/>
      <c r="B31" s="11" t="s">
        <v>10</v>
      </c>
      <c r="C31" s="10">
        <v>4.0169999999999997E-3</v>
      </c>
      <c r="D31" s="12">
        <f>ROUND(D$3*C31,0)</f>
        <v>878</v>
      </c>
      <c r="E31" s="13">
        <f>ROUND(D31/2,0)</f>
        <v>439</v>
      </c>
      <c r="F31" s="12">
        <f>D31-E31</f>
        <v>439</v>
      </c>
    </row>
    <row r="32" spans="1:6">
      <c r="A32" s="8"/>
      <c r="B32" s="11" t="s">
        <v>11</v>
      </c>
      <c r="C32" s="10">
        <v>2.4529999999999999E-3</v>
      </c>
      <c r="D32" s="12">
        <f>ROUND(D$3*C32,0)</f>
        <v>536</v>
      </c>
      <c r="E32" s="13">
        <f>ROUND(D32/2,0)</f>
        <v>268</v>
      </c>
      <c r="F32" s="12">
        <f>D32-E32</f>
        <v>268</v>
      </c>
    </row>
    <row r="33" spans="1:6">
      <c r="A33" s="8">
        <v>2</v>
      </c>
      <c r="B33" s="11" t="s">
        <v>1302</v>
      </c>
      <c r="C33" s="11"/>
      <c r="D33" s="9"/>
      <c r="E33" s="11"/>
      <c r="F33" s="11"/>
    </row>
    <row r="34" spans="1:6">
      <c r="A34" s="8"/>
      <c r="B34" s="11" t="s">
        <v>10</v>
      </c>
      <c r="C34" s="10">
        <v>6.8000000000000005E-4</v>
      </c>
      <c r="D34" s="12">
        <f>ROUND(D$3*C34,0)</f>
        <v>149</v>
      </c>
      <c r="E34" s="13">
        <f>ROUND(D34/2,0)</f>
        <v>75</v>
      </c>
      <c r="F34" s="12">
        <f>D34-E34</f>
        <v>74</v>
      </c>
    </row>
    <row r="35" spans="1:6">
      <c r="A35" s="8"/>
      <c r="B35" s="11" t="s">
        <v>11</v>
      </c>
      <c r="C35" s="10">
        <v>8.2999999999999998E-5</v>
      </c>
      <c r="D35" s="12">
        <f>ROUND(D$3*C35,0)</f>
        <v>18</v>
      </c>
      <c r="E35" s="13">
        <f>ROUND(D35/2,0)</f>
        <v>9</v>
      </c>
      <c r="F35" s="12">
        <f>D35-E35</f>
        <v>9</v>
      </c>
    </row>
    <row r="36" spans="1:6">
      <c r="A36" s="8">
        <v>2</v>
      </c>
      <c r="B36" s="11" t="s">
        <v>22</v>
      </c>
      <c r="C36" s="11"/>
      <c r="D36" s="9"/>
      <c r="E36" s="11"/>
      <c r="F36" s="11"/>
    </row>
    <row r="37" spans="1:6">
      <c r="A37" s="8"/>
      <c r="B37" s="11" t="s">
        <v>10</v>
      </c>
      <c r="C37" s="10">
        <v>1.614E-3</v>
      </c>
      <c r="D37" s="12">
        <f t="shared" ref="D37:D44" si="0">ROUND(D$3*C37,0)</f>
        <v>353</v>
      </c>
      <c r="E37" s="13">
        <f t="shared" ref="E37:E44" si="1">ROUND(D37/2,0)</f>
        <v>177</v>
      </c>
      <c r="F37" s="12">
        <f t="shared" ref="F37:F44" si="2">D37-E37</f>
        <v>176</v>
      </c>
    </row>
    <row r="38" spans="1:6">
      <c r="A38" s="8"/>
      <c r="B38" s="11" t="s">
        <v>11</v>
      </c>
      <c r="C38" s="10">
        <v>2.5000000000000001E-4</v>
      </c>
      <c r="D38" s="12">
        <f t="shared" si="0"/>
        <v>55</v>
      </c>
      <c r="E38" s="13">
        <f t="shared" si="1"/>
        <v>28</v>
      </c>
      <c r="F38" s="12">
        <f t="shared" si="2"/>
        <v>27</v>
      </c>
    </row>
    <row r="39" spans="1:6">
      <c r="A39" s="8">
        <v>3</v>
      </c>
      <c r="B39" s="11" t="s">
        <v>1303</v>
      </c>
      <c r="C39" s="10">
        <v>2.7144999999999999E-2</v>
      </c>
      <c r="D39" s="12">
        <f t="shared" si="0"/>
        <v>5931</v>
      </c>
      <c r="E39" s="13">
        <f t="shared" si="1"/>
        <v>2966</v>
      </c>
      <c r="F39" s="12">
        <f t="shared" si="2"/>
        <v>2965</v>
      </c>
    </row>
    <row r="40" spans="1:6">
      <c r="A40" s="8">
        <v>3</v>
      </c>
      <c r="B40" s="11" t="s">
        <v>1304</v>
      </c>
      <c r="C40" s="10">
        <v>7.0619999999999997E-3</v>
      </c>
      <c r="D40" s="12">
        <f t="shared" si="0"/>
        <v>1543</v>
      </c>
      <c r="E40" s="13">
        <f t="shared" si="1"/>
        <v>772</v>
      </c>
      <c r="F40" s="12">
        <f t="shared" si="2"/>
        <v>771</v>
      </c>
    </row>
    <row r="41" spans="1:6">
      <c r="A41" s="8">
        <v>3</v>
      </c>
      <c r="B41" s="11" t="s">
        <v>1305</v>
      </c>
      <c r="C41" s="10">
        <v>1.2989000000000001E-2</v>
      </c>
      <c r="D41" s="12">
        <f t="shared" si="0"/>
        <v>2838</v>
      </c>
      <c r="E41" s="13">
        <f t="shared" si="1"/>
        <v>1419</v>
      </c>
      <c r="F41" s="12">
        <f t="shared" si="2"/>
        <v>1419</v>
      </c>
    </row>
    <row r="42" spans="1:6">
      <c r="A42" s="8">
        <v>3</v>
      </c>
      <c r="B42" s="11" t="s">
        <v>1306</v>
      </c>
      <c r="C42" s="10">
        <v>1.8995000000000001E-2</v>
      </c>
      <c r="D42" s="12">
        <f t="shared" si="0"/>
        <v>4150</v>
      </c>
      <c r="E42" s="13">
        <f t="shared" si="1"/>
        <v>2075</v>
      </c>
      <c r="F42" s="12">
        <f t="shared" si="2"/>
        <v>2075</v>
      </c>
    </row>
    <row r="43" spans="1:6">
      <c r="A43" s="8">
        <v>3</v>
      </c>
      <c r="B43" s="11" t="s">
        <v>1307</v>
      </c>
      <c r="C43" s="10">
        <v>1.3600000000000001E-3</v>
      </c>
      <c r="D43" s="12">
        <f t="shared" si="0"/>
        <v>297</v>
      </c>
      <c r="E43" s="13">
        <f t="shared" si="1"/>
        <v>149</v>
      </c>
      <c r="F43" s="12">
        <f t="shared" si="2"/>
        <v>148</v>
      </c>
    </row>
    <row r="44" spans="1:6">
      <c r="A44" s="8">
        <v>4</v>
      </c>
      <c r="B44" s="11" t="s">
        <v>1308</v>
      </c>
      <c r="C44" s="10">
        <v>0.30964000000000003</v>
      </c>
      <c r="D44" s="9">
        <f t="shared" si="0"/>
        <v>67654</v>
      </c>
      <c r="E44" s="11">
        <f t="shared" si="1"/>
        <v>33827</v>
      </c>
      <c r="F44" s="9">
        <f t="shared" si="2"/>
        <v>33827</v>
      </c>
    </row>
    <row r="45" spans="1:6">
      <c r="A45" s="8"/>
      <c r="B45" s="11" t="s">
        <v>28</v>
      </c>
      <c r="C45" s="11"/>
      <c r="D45" s="14">
        <v>0.47567799999999999</v>
      </c>
      <c r="E45" s="11"/>
      <c r="F45" s="11"/>
    </row>
    <row r="46" spans="1:6">
      <c r="A46" s="8"/>
      <c r="B46" s="11" t="s">
        <v>29</v>
      </c>
      <c r="C46" s="11"/>
      <c r="D46" s="225">
        <f>ROUND(D44*D45,0)</f>
        <v>32182</v>
      </c>
      <c r="E46" s="226">
        <f>ROUND(D46/2,0)</f>
        <v>16091</v>
      </c>
      <c r="F46" s="225">
        <f>D46-E46</f>
        <v>16091</v>
      </c>
    </row>
    <row r="47" spans="1:6">
      <c r="A47" s="8"/>
      <c r="B47" s="11" t="s">
        <v>30</v>
      </c>
      <c r="C47" s="11"/>
      <c r="D47" s="12">
        <f>+D44-D46</f>
        <v>35472</v>
      </c>
      <c r="E47" s="13">
        <f>ROUND(D47/2,0)</f>
        <v>17736</v>
      </c>
      <c r="F47" s="12">
        <f>D47-E47</f>
        <v>17736</v>
      </c>
    </row>
    <row r="48" spans="1:6">
      <c r="A48" s="8">
        <v>4</v>
      </c>
      <c r="B48" s="11" t="s">
        <v>123</v>
      </c>
      <c r="C48" s="10">
        <v>0.26789200000000002</v>
      </c>
      <c r="D48" s="9">
        <f>ROUND(D$3*C48,0)</f>
        <v>58533</v>
      </c>
      <c r="E48" s="11">
        <f>ROUND(D48/2,0)</f>
        <v>29267</v>
      </c>
      <c r="F48" s="9">
        <f>D48-E48</f>
        <v>29266</v>
      </c>
    </row>
    <row r="49" spans="1:8">
      <c r="A49" s="8"/>
      <c r="B49" s="11" t="s">
        <v>28</v>
      </c>
      <c r="C49" s="11"/>
      <c r="D49" s="14">
        <v>0.46950199999999997</v>
      </c>
      <c r="E49" s="11"/>
      <c r="F49" s="11"/>
    </row>
    <row r="50" spans="1:8">
      <c r="A50" s="8"/>
      <c r="B50" s="11" t="s">
        <v>29</v>
      </c>
      <c r="C50" s="11"/>
      <c r="D50" s="225">
        <f>ROUND(D48*D49,0)</f>
        <v>27481</v>
      </c>
      <c r="E50" s="226">
        <f t="shared" ref="E50:E56" si="3">ROUND(D50/2,0)</f>
        <v>13741</v>
      </c>
      <c r="F50" s="225">
        <f t="shared" ref="F50:F56" si="4">D50-E50</f>
        <v>13740</v>
      </c>
    </row>
    <row r="51" spans="1:8">
      <c r="A51" s="8"/>
      <c r="B51" s="11" t="s">
        <v>30</v>
      </c>
      <c r="C51" s="11"/>
      <c r="D51" s="12">
        <f>+D48-D50</f>
        <v>31052</v>
      </c>
      <c r="E51" s="13">
        <f t="shared" si="3"/>
        <v>15526</v>
      </c>
      <c r="F51" s="12">
        <f t="shared" si="4"/>
        <v>15526</v>
      </c>
    </row>
    <row r="52" spans="1:8">
      <c r="A52" s="8">
        <v>5</v>
      </c>
      <c r="B52" s="11" t="s">
        <v>1309</v>
      </c>
      <c r="C52" s="10">
        <v>7.9459999999999999E-3</v>
      </c>
      <c r="D52" s="12">
        <f>ROUND(D$3*C52,0)</f>
        <v>1736</v>
      </c>
      <c r="E52" s="13">
        <f t="shared" si="3"/>
        <v>868</v>
      </c>
      <c r="F52" s="12">
        <f t="shared" si="4"/>
        <v>868</v>
      </c>
    </row>
    <row r="53" spans="1:8">
      <c r="A53" s="8">
        <v>5</v>
      </c>
      <c r="B53" s="11" t="s">
        <v>1310</v>
      </c>
      <c r="C53" s="10">
        <v>3.3909999999999999E-3</v>
      </c>
      <c r="D53" s="12">
        <f>ROUND(D$3*C53,0)</f>
        <v>741</v>
      </c>
      <c r="E53" s="13">
        <f t="shared" si="3"/>
        <v>371</v>
      </c>
      <c r="F53" s="12">
        <f t="shared" si="4"/>
        <v>370</v>
      </c>
    </row>
    <row r="54" spans="1:8">
      <c r="A54" s="8">
        <v>5</v>
      </c>
      <c r="B54" s="11" t="s">
        <v>1311</v>
      </c>
      <c r="C54" s="10">
        <v>3.8289999999999999E-3</v>
      </c>
      <c r="D54" s="12">
        <f>ROUND(D$3*C54,0)</f>
        <v>837</v>
      </c>
      <c r="E54" s="13">
        <f t="shared" si="3"/>
        <v>419</v>
      </c>
      <c r="F54" s="12">
        <f t="shared" si="4"/>
        <v>418</v>
      </c>
    </row>
    <row r="55" spans="1:8">
      <c r="A55" s="8">
        <v>5</v>
      </c>
      <c r="B55" s="11" t="s">
        <v>1312</v>
      </c>
      <c r="C55" s="10">
        <v>1.7464E-2</v>
      </c>
      <c r="D55" s="12">
        <f>+D3-SUM(D4:D5)-SUM(D10:D44)-D48-SUM(D52:D54)</f>
        <v>3815</v>
      </c>
      <c r="E55" s="13">
        <f t="shared" si="3"/>
        <v>1908</v>
      </c>
      <c r="F55" s="12">
        <f t="shared" si="4"/>
        <v>1907</v>
      </c>
    </row>
    <row r="56" spans="1:8">
      <c r="A56" s="8">
        <v>6</v>
      </c>
      <c r="B56" s="11" t="s">
        <v>131</v>
      </c>
      <c r="C56" s="10">
        <v>0</v>
      </c>
      <c r="D56" s="12">
        <f>ROUND(D$3*C56,0)</f>
        <v>0</v>
      </c>
      <c r="E56" s="13">
        <f t="shared" si="3"/>
        <v>0</v>
      </c>
      <c r="F56" s="12">
        <f t="shared" si="4"/>
        <v>0</v>
      </c>
    </row>
    <row r="57" spans="1:8">
      <c r="A57" s="8"/>
      <c r="B57" s="28" t="s">
        <v>288</v>
      </c>
      <c r="C57" s="10">
        <v>1.0000000000000002</v>
      </c>
      <c r="D57" s="12">
        <f>+D4+SUM(D7:D43)+SUM(D46:D47)+SUM(D50:D56)</f>
        <v>218494</v>
      </c>
      <c r="E57" s="12">
        <f>+E4+SUM(E7:E43)+SUM(E46:E47)+SUM(E50:E56)</f>
        <v>109257</v>
      </c>
      <c r="F57" s="12">
        <f>+F4+SUM(F7:F43)+SUM(F46:F47)+SUM(F50:F56)</f>
        <v>109237</v>
      </c>
    </row>
    <row r="58" spans="1:8">
      <c r="B58" s="18" t="s">
        <v>38</v>
      </c>
      <c r="D58" s="19">
        <f>+D4</f>
        <v>216</v>
      </c>
      <c r="E58" s="19">
        <f>+E4</f>
        <v>108</v>
      </c>
      <c r="F58" s="19">
        <f>+F4</f>
        <v>108</v>
      </c>
    </row>
    <row r="59" spans="1:8">
      <c r="B59" s="2" t="s">
        <v>39</v>
      </c>
      <c r="D59" s="19">
        <f>+D7</f>
        <v>11261</v>
      </c>
      <c r="E59" s="19">
        <f>+E7</f>
        <v>5631</v>
      </c>
      <c r="F59" s="19">
        <f>+F7</f>
        <v>5630</v>
      </c>
    </row>
    <row r="60" spans="1:8">
      <c r="B60" s="2" t="s">
        <v>40</v>
      </c>
      <c r="D60" s="19">
        <f>+D46+D50</f>
        <v>59663</v>
      </c>
      <c r="E60" s="19">
        <f>+E46+E50</f>
        <v>29832</v>
      </c>
      <c r="F60" s="19">
        <f>+F46+F50</f>
        <v>29831</v>
      </c>
      <c r="H60" s="3">
        <v>1</v>
      </c>
    </row>
    <row r="61" spans="1:8">
      <c r="B61" s="18" t="s">
        <v>41</v>
      </c>
      <c r="D61" s="19">
        <f>+D57-D58-D59-D60</f>
        <v>147354</v>
      </c>
      <c r="E61" s="19">
        <f>+E57-E58-E59-E60</f>
        <v>73686</v>
      </c>
      <c r="F61" s="19">
        <f>+F57-F58-F59-F60</f>
        <v>73668</v>
      </c>
      <c r="H61" s="3">
        <v>2</v>
      </c>
    </row>
    <row r="63" spans="1:8" hidden="1">
      <c r="B63" s="3" t="s">
        <v>42</v>
      </c>
      <c r="C63" s="4">
        <v>0</v>
      </c>
      <c r="D63" s="3">
        <f>+D56-ROUND(D3*C56,0)</f>
        <v>0</v>
      </c>
    </row>
    <row r="71" spans="1:1">
      <c r="A71" s="1" t="s">
        <v>590</v>
      </c>
    </row>
  </sheetData>
  <pageMargins left="0.7" right="0.7" top="0.75" bottom="0.75" header="0.3" footer="0.3"/>
  <pageSetup scale="6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8">
    <pageSetUpPr fitToPage="1"/>
  </sheetPr>
  <dimension ref="A1:WVB85"/>
  <sheetViews>
    <sheetView topLeftCell="A52" zoomScaleNormal="100" zoomScaleSheetLayoutView="80" workbookViewId="0">
      <selection activeCell="D73" activeCellId="5" sqref="D7:F7 D57:F57 D61:F61 D65:F65 D69:F69 D73:F73"/>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57031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57031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57031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57031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57031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57031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57031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57031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57031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57031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57031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57031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57031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57031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57031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57031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57031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57031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57031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57031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57031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57031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57031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57031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57031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57031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57031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57031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57031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57031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57031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57031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57031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57031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57031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57031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57031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57031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57031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57031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57031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57031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57031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57031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57031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57031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57031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57031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57031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57031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57031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57031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57031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57031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57031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57031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57031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57031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57031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57031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57031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57031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57031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1313</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Worksheet'!$D$60</f>
        <v>283380</v>
      </c>
      <c r="E3" s="11"/>
      <c r="F3" s="11"/>
    </row>
    <row r="4" spans="1:6">
      <c r="A4" s="8">
        <v>0</v>
      </c>
      <c r="B4" s="11" t="s">
        <v>4</v>
      </c>
      <c r="C4" s="10">
        <v>1.354E-3</v>
      </c>
      <c r="D4" s="12">
        <f>ROUND(D$3*C4,0)</f>
        <v>384</v>
      </c>
      <c r="E4" s="13">
        <f>ROUND(D4/2,0)</f>
        <v>192</v>
      </c>
      <c r="F4" s="12">
        <f>D4-E4</f>
        <v>192</v>
      </c>
    </row>
    <row r="5" spans="1:6">
      <c r="A5" s="8">
        <v>1</v>
      </c>
      <c r="B5" s="11" t="s">
        <v>1314</v>
      </c>
      <c r="C5" s="10">
        <v>0.17034199999999999</v>
      </c>
      <c r="D5" s="9">
        <f>ROUND(D$3*C5,0)</f>
        <v>48272</v>
      </c>
      <c r="E5" s="11">
        <f>ROUND(D5/2,0)</f>
        <v>24136</v>
      </c>
      <c r="F5" s="9">
        <f>D5-E5</f>
        <v>24136</v>
      </c>
    </row>
    <row r="6" spans="1:6">
      <c r="A6" s="8"/>
      <c r="B6" s="11" t="s">
        <v>6</v>
      </c>
      <c r="C6" s="11"/>
      <c r="D6" s="14">
        <v>0.16686000000000001</v>
      </c>
      <c r="E6" s="11"/>
      <c r="F6" s="11"/>
    </row>
    <row r="7" spans="1:6">
      <c r="A7" s="8"/>
      <c r="B7" s="11" t="s">
        <v>7</v>
      </c>
      <c r="C7" s="11"/>
      <c r="D7" s="225">
        <f>ROUND(D5*D6,0)</f>
        <v>8055</v>
      </c>
      <c r="E7" s="226">
        <f>ROUND(D7/2,0)</f>
        <v>4028</v>
      </c>
      <c r="F7" s="225">
        <f>D7-E7</f>
        <v>4027</v>
      </c>
    </row>
    <row r="8" spans="1:6">
      <c r="A8" s="8"/>
      <c r="B8" s="11" t="s">
        <v>8</v>
      </c>
      <c r="C8" s="11"/>
      <c r="D8" s="12">
        <f>+D5-D7</f>
        <v>40217</v>
      </c>
      <c r="E8" s="13">
        <f>ROUND(D8/2,0)</f>
        <v>20109</v>
      </c>
      <c r="F8" s="12">
        <f>D8-E8</f>
        <v>20108</v>
      </c>
    </row>
    <row r="9" spans="1:6">
      <c r="A9" s="8">
        <v>2</v>
      </c>
      <c r="B9" s="11" t="s">
        <v>1315</v>
      </c>
      <c r="C9" s="11"/>
      <c r="D9" s="9"/>
      <c r="E9" s="11"/>
      <c r="F9" s="11"/>
    </row>
    <row r="10" spans="1:6">
      <c r="A10" s="8"/>
      <c r="B10" s="11" t="s">
        <v>10</v>
      </c>
      <c r="C10" s="10">
        <v>3.0600000000000001E-4</v>
      </c>
      <c r="D10" s="12">
        <f>ROUND(D$3*C10,0)</f>
        <v>87</v>
      </c>
      <c r="E10" s="13">
        <f>ROUND(D10/2,0)</f>
        <v>44</v>
      </c>
      <c r="F10" s="12">
        <f>D10-E10</f>
        <v>43</v>
      </c>
    </row>
    <row r="11" spans="1:6">
      <c r="A11" s="8"/>
      <c r="B11" s="11" t="s">
        <v>11</v>
      </c>
      <c r="C11" s="10">
        <v>3.0000000000000001E-6</v>
      </c>
      <c r="D11" s="12">
        <f>ROUND(D$3*C11,0)</f>
        <v>1</v>
      </c>
      <c r="E11" s="13">
        <f>ROUND(D11/2,0)</f>
        <v>1</v>
      </c>
      <c r="F11" s="12">
        <f>D11-E11</f>
        <v>0</v>
      </c>
    </row>
    <row r="12" spans="1:6">
      <c r="A12" s="8">
        <v>2</v>
      </c>
      <c r="B12" s="11" t="s">
        <v>1226</v>
      </c>
      <c r="C12" s="11"/>
      <c r="D12" s="9"/>
      <c r="E12" s="11"/>
      <c r="F12" s="11"/>
    </row>
    <row r="13" spans="1:6">
      <c r="A13" s="8"/>
      <c r="B13" s="11" t="s">
        <v>10</v>
      </c>
      <c r="C13" s="10">
        <v>1.2669999999999999E-3</v>
      </c>
      <c r="D13" s="12">
        <f>ROUND(D$3*C13,0)</f>
        <v>359</v>
      </c>
      <c r="E13" s="13">
        <f>ROUND(D13/2,0)</f>
        <v>180</v>
      </c>
      <c r="F13" s="12">
        <f>D13-E13</f>
        <v>179</v>
      </c>
    </row>
    <row r="14" spans="1:6">
      <c r="A14" s="8"/>
      <c r="B14" s="11" t="s">
        <v>11</v>
      </c>
      <c r="C14" s="10">
        <v>2.22E-4</v>
      </c>
      <c r="D14" s="12">
        <f>ROUND(D$3*C14,0)</f>
        <v>63</v>
      </c>
      <c r="E14" s="13">
        <f>ROUND(D14/2,0)</f>
        <v>32</v>
      </c>
      <c r="F14" s="12">
        <f>D14-E14</f>
        <v>31</v>
      </c>
    </row>
    <row r="15" spans="1:6">
      <c r="A15" s="8">
        <v>2</v>
      </c>
      <c r="B15" s="11" t="s">
        <v>452</v>
      </c>
      <c r="C15" s="11"/>
      <c r="D15" s="9"/>
      <c r="E15" s="11"/>
      <c r="F15" s="11"/>
    </row>
    <row r="16" spans="1:6">
      <c r="A16" s="8"/>
      <c r="B16" s="11" t="s">
        <v>10</v>
      </c>
      <c r="C16" s="10">
        <v>1.3600000000000001E-3</v>
      </c>
      <c r="D16" s="12">
        <f>ROUND(D$3*C16,0)</f>
        <v>385</v>
      </c>
      <c r="E16" s="13">
        <f>ROUND(D16/2,0)</f>
        <v>193</v>
      </c>
      <c r="F16" s="12">
        <f>D16-E16</f>
        <v>192</v>
      </c>
    </row>
    <row r="17" spans="1:6">
      <c r="A17" s="8"/>
      <c r="B17" s="11" t="s">
        <v>11</v>
      </c>
      <c r="C17" s="10">
        <v>2.7700000000000001E-4</v>
      </c>
      <c r="D17" s="12">
        <f>ROUND(D$3*C17,0)</f>
        <v>78</v>
      </c>
      <c r="E17" s="13">
        <f>ROUND(D17/2,0)</f>
        <v>39</v>
      </c>
      <c r="F17" s="12">
        <f>D17-E17</f>
        <v>39</v>
      </c>
    </row>
    <row r="18" spans="1:6">
      <c r="A18" s="8">
        <v>2</v>
      </c>
      <c r="B18" s="11" t="s">
        <v>593</v>
      </c>
      <c r="C18" s="11"/>
      <c r="D18" s="9"/>
      <c r="E18" s="11"/>
      <c r="F18" s="11"/>
    </row>
    <row r="19" spans="1:6">
      <c r="A19" s="8"/>
      <c r="B19" s="11" t="s">
        <v>10</v>
      </c>
      <c r="C19" s="10">
        <v>5.6599999999999999E-4</v>
      </c>
      <c r="D19" s="12">
        <f>ROUND(D$3*C19,0)</f>
        <v>160</v>
      </c>
      <c r="E19" s="13">
        <f>ROUND(D19/2,0)</f>
        <v>80</v>
      </c>
      <c r="F19" s="12">
        <f>D19-E19</f>
        <v>80</v>
      </c>
    </row>
    <row r="20" spans="1:6">
      <c r="A20" s="8"/>
      <c r="B20" s="11" t="s">
        <v>11</v>
      </c>
      <c r="C20" s="10">
        <v>2.5399999999999999E-4</v>
      </c>
      <c r="D20" s="12">
        <f>ROUND(D$3*C20,0)</f>
        <v>72</v>
      </c>
      <c r="E20" s="13">
        <f>ROUND(D20/2,0)</f>
        <v>36</v>
      </c>
      <c r="F20" s="12">
        <f>D20-E20</f>
        <v>36</v>
      </c>
    </row>
    <row r="21" spans="1:6">
      <c r="A21" s="8">
        <v>2</v>
      </c>
      <c r="B21" s="11" t="s">
        <v>14</v>
      </c>
      <c r="C21" s="11"/>
      <c r="D21" s="9"/>
      <c r="E21" s="11"/>
      <c r="F21" s="11"/>
    </row>
    <row r="22" spans="1:6">
      <c r="A22" s="8"/>
      <c r="B22" s="11" t="s">
        <v>10</v>
      </c>
      <c r="C22" s="10">
        <v>5.6599999999999999E-4</v>
      </c>
      <c r="D22" s="12">
        <f>ROUND(D$3*C22,0)</f>
        <v>160</v>
      </c>
      <c r="E22" s="13">
        <f>ROUND(D22/2,0)</f>
        <v>80</v>
      </c>
      <c r="F22" s="12">
        <f>D22-E22</f>
        <v>80</v>
      </c>
    </row>
    <row r="23" spans="1:6">
      <c r="A23" s="8"/>
      <c r="B23" s="11" t="s">
        <v>11</v>
      </c>
      <c r="C23" s="10">
        <v>6.69E-4</v>
      </c>
      <c r="D23" s="12">
        <f>ROUND(D$3*C23,0)</f>
        <v>190</v>
      </c>
      <c r="E23" s="13">
        <f>ROUND(D23/2,0)</f>
        <v>95</v>
      </c>
      <c r="F23" s="12">
        <f>D23-E23</f>
        <v>95</v>
      </c>
    </row>
    <row r="24" spans="1:6">
      <c r="A24" s="8">
        <v>2</v>
      </c>
      <c r="B24" s="11" t="s">
        <v>203</v>
      </c>
      <c r="C24" s="11"/>
      <c r="D24" s="9"/>
      <c r="E24" s="11"/>
      <c r="F24" s="11"/>
    </row>
    <row r="25" spans="1:6">
      <c r="A25" s="8"/>
      <c r="B25" s="11" t="s">
        <v>10</v>
      </c>
      <c r="C25" s="10">
        <v>4.1549999999999998E-3</v>
      </c>
      <c r="D25" s="12">
        <f>ROUND(D$3*C25,0)</f>
        <v>1177</v>
      </c>
      <c r="E25" s="13">
        <f>ROUND(D25/2,0)</f>
        <v>589</v>
      </c>
      <c r="F25" s="12">
        <f>D25-E25</f>
        <v>588</v>
      </c>
    </row>
    <row r="26" spans="1:6">
      <c r="A26" s="8"/>
      <c r="B26" s="11" t="s">
        <v>11</v>
      </c>
      <c r="C26" s="10">
        <v>2.052E-3</v>
      </c>
      <c r="D26" s="12">
        <f>ROUND(D$3*C26,0)</f>
        <v>581</v>
      </c>
      <c r="E26" s="13">
        <f>ROUND(D26/2,0)</f>
        <v>291</v>
      </c>
      <c r="F26" s="12">
        <f>D26-E26</f>
        <v>290</v>
      </c>
    </row>
    <row r="27" spans="1:6">
      <c r="A27" s="8">
        <v>2</v>
      </c>
      <c r="B27" s="11" t="s">
        <v>482</v>
      </c>
      <c r="C27" s="11"/>
      <c r="D27" s="9"/>
      <c r="E27" s="11"/>
      <c r="F27" s="11"/>
    </row>
    <row r="28" spans="1:6">
      <c r="A28" s="8"/>
      <c r="B28" s="11" t="s">
        <v>10</v>
      </c>
      <c r="C28" s="10">
        <v>6.2100000000000002E-3</v>
      </c>
      <c r="D28" s="12">
        <f>ROUND(D$3*C28,0)</f>
        <v>1760</v>
      </c>
      <c r="E28" s="13">
        <f>ROUND(D28/2,0)</f>
        <v>880</v>
      </c>
      <c r="F28" s="12">
        <f>D28-E28</f>
        <v>880</v>
      </c>
    </row>
    <row r="29" spans="1:6">
      <c r="A29" s="8"/>
      <c r="B29" s="11" t="s">
        <v>11</v>
      </c>
      <c r="C29" s="10">
        <v>1.8400000000000001E-3</v>
      </c>
      <c r="D29" s="12">
        <f>ROUND(D$3*C29,0)</f>
        <v>521</v>
      </c>
      <c r="E29" s="13">
        <f>ROUND(D29/2,0)</f>
        <v>261</v>
      </c>
      <c r="F29" s="12">
        <f>D29-E29</f>
        <v>260</v>
      </c>
    </row>
    <row r="30" spans="1:6">
      <c r="A30" s="8">
        <v>2</v>
      </c>
      <c r="B30" s="11" t="s">
        <v>56</v>
      </c>
      <c r="C30" s="11"/>
      <c r="D30" s="9"/>
      <c r="E30" s="11"/>
      <c r="F30" s="11"/>
    </row>
    <row r="31" spans="1:6">
      <c r="A31" s="8"/>
      <c r="B31" s="11" t="s">
        <v>10</v>
      </c>
      <c r="C31" s="10">
        <v>4.7400000000000003E-3</v>
      </c>
      <c r="D31" s="12">
        <f>ROUND(D$3*C31,0)</f>
        <v>1343</v>
      </c>
      <c r="E31" s="13">
        <f>ROUND(D31/2,0)</f>
        <v>672</v>
      </c>
      <c r="F31" s="12">
        <f>D31-E31</f>
        <v>671</v>
      </c>
    </row>
    <row r="32" spans="1:6">
      <c r="A32" s="8"/>
      <c r="B32" s="11" t="s">
        <v>11</v>
      </c>
      <c r="C32" s="10">
        <v>0</v>
      </c>
      <c r="D32" s="12">
        <f>ROUND(D$3*C32,0)</f>
        <v>0</v>
      </c>
      <c r="E32" s="13">
        <f>ROUND(D32/2,0)</f>
        <v>0</v>
      </c>
      <c r="F32" s="12">
        <f>D32-E32</f>
        <v>0</v>
      </c>
    </row>
    <row r="33" spans="1:6">
      <c r="A33" s="8">
        <v>2</v>
      </c>
      <c r="B33" s="11" t="s">
        <v>338</v>
      </c>
      <c r="C33" s="11"/>
      <c r="D33" s="9"/>
      <c r="E33" s="11"/>
      <c r="F33" s="11"/>
    </row>
    <row r="34" spans="1:6">
      <c r="A34" s="8"/>
      <c r="B34" s="11" t="s">
        <v>10</v>
      </c>
      <c r="C34" s="10">
        <v>1.2899999999999999E-3</v>
      </c>
      <c r="D34" s="12">
        <f>ROUND(D$3*C34,0)</f>
        <v>366</v>
      </c>
      <c r="E34" s="13">
        <f>ROUND(D34/2,0)</f>
        <v>183</v>
      </c>
      <c r="F34" s="12">
        <f>D34-E34</f>
        <v>183</v>
      </c>
    </row>
    <row r="35" spans="1:6">
      <c r="A35" s="8"/>
      <c r="B35" s="11" t="s">
        <v>11</v>
      </c>
      <c r="C35" s="10">
        <v>1.495E-3</v>
      </c>
      <c r="D35" s="12">
        <f>ROUND(D$3*C35,0)</f>
        <v>424</v>
      </c>
      <c r="E35" s="13">
        <f>ROUND(D35/2,0)</f>
        <v>212</v>
      </c>
      <c r="F35" s="12">
        <f>D35-E35</f>
        <v>212</v>
      </c>
    </row>
    <row r="36" spans="1:6">
      <c r="A36" s="8">
        <v>2</v>
      </c>
      <c r="B36" s="11" t="s">
        <v>1316</v>
      </c>
      <c r="C36" s="11"/>
      <c r="D36" s="9"/>
      <c r="E36" s="11"/>
      <c r="F36" s="11"/>
    </row>
    <row r="37" spans="1:6">
      <c r="A37" s="8"/>
      <c r="B37" s="11" t="s">
        <v>10</v>
      </c>
      <c r="C37" s="10">
        <v>1.322E-3</v>
      </c>
      <c r="D37" s="12">
        <f>ROUND(D$3*C37,0)</f>
        <v>375</v>
      </c>
      <c r="E37" s="13">
        <f>ROUND(D37/2,0)</f>
        <v>188</v>
      </c>
      <c r="F37" s="12">
        <f>D37-E37</f>
        <v>187</v>
      </c>
    </row>
    <row r="38" spans="1:6">
      <c r="A38" s="8"/>
      <c r="B38" s="11" t="s">
        <v>11</v>
      </c>
      <c r="C38" s="10">
        <v>1.126E-3</v>
      </c>
      <c r="D38" s="12">
        <f>ROUND(D$3*C38,0)</f>
        <v>319</v>
      </c>
      <c r="E38" s="13">
        <f>ROUND(D38/2,0)</f>
        <v>160</v>
      </c>
      <c r="F38" s="12">
        <f>D38-E38</f>
        <v>159</v>
      </c>
    </row>
    <row r="39" spans="1:6">
      <c r="A39" s="8">
        <v>2</v>
      </c>
      <c r="B39" s="11" t="s">
        <v>22</v>
      </c>
      <c r="C39" s="11"/>
      <c r="D39" s="9"/>
      <c r="E39" s="11"/>
      <c r="F39" s="11"/>
    </row>
    <row r="40" spans="1:6">
      <c r="A40" s="8"/>
      <c r="B40" s="11" t="s">
        <v>10</v>
      </c>
      <c r="C40" s="10">
        <v>8.2299999999999995E-4</v>
      </c>
      <c r="D40" s="12">
        <f>ROUND(D$3*C40,0)</f>
        <v>233</v>
      </c>
      <c r="E40" s="13">
        <f>ROUND(D40/2,0)</f>
        <v>117</v>
      </c>
      <c r="F40" s="12">
        <f>D40-E40</f>
        <v>116</v>
      </c>
    </row>
    <row r="41" spans="1:6">
      <c r="A41" s="8"/>
      <c r="B41" s="11" t="s">
        <v>11</v>
      </c>
      <c r="C41" s="10">
        <v>3.9199999999999999E-4</v>
      </c>
      <c r="D41" s="12">
        <f>ROUND(D$3*C41,0)</f>
        <v>111</v>
      </c>
      <c r="E41" s="13">
        <f>ROUND(D41/2,0)</f>
        <v>56</v>
      </c>
      <c r="F41" s="12">
        <f>D41-E41</f>
        <v>55</v>
      </c>
    </row>
    <row r="42" spans="1:6">
      <c r="A42" s="8">
        <v>2</v>
      </c>
      <c r="B42" s="11" t="s">
        <v>61</v>
      </c>
      <c r="C42" s="11"/>
      <c r="D42" s="9"/>
      <c r="E42" s="11"/>
      <c r="F42" s="11"/>
    </row>
    <row r="43" spans="1:6">
      <c r="A43" s="8"/>
      <c r="B43" s="11" t="s">
        <v>10</v>
      </c>
      <c r="C43" s="10">
        <v>1.093E-3</v>
      </c>
      <c r="D43" s="12">
        <f>ROUND(D$3*C43,0)</f>
        <v>310</v>
      </c>
      <c r="E43" s="13">
        <f>ROUND(D43/2,0)</f>
        <v>155</v>
      </c>
      <c r="F43" s="12">
        <f>D43-E43</f>
        <v>155</v>
      </c>
    </row>
    <row r="44" spans="1:6">
      <c r="A44" s="8"/>
      <c r="B44" s="11" t="s">
        <v>11</v>
      </c>
      <c r="C44" s="10">
        <v>1.4200000000000001E-4</v>
      </c>
      <c r="D44" s="12">
        <f>ROUND(D$3*C44,0)</f>
        <v>40</v>
      </c>
      <c r="E44" s="13">
        <f>ROUND(D44/2,0)</f>
        <v>20</v>
      </c>
      <c r="F44" s="12">
        <f>D44-E44</f>
        <v>20</v>
      </c>
    </row>
    <row r="45" spans="1:6">
      <c r="A45" s="8">
        <v>2</v>
      </c>
      <c r="B45" s="11" t="s">
        <v>115</v>
      </c>
      <c r="C45" s="11"/>
      <c r="D45" s="9"/>
      <c r="E45" s="11"/>
      <c r="F45" s="11"/>
    </row>
    <row r="46" spans="1:6">
      <c r="A46" s="8"/>
      <c r="B46" s="11" t="s">
        <v>10</v>
      </c>
      <c r="C46" s="10">
        <v>3.3799999999999998E-4</v>
      </c>
      <c r="D46" s="12">
        <f t="shared" ref="D46:D55" si="0">ROUND(D$3*C46,0)</f>
        <v>96</v>
      </c>
      <c r="E46" s="13">
        <f t="shared" ref="E46:E55" si="1">ROUND(D46/2,0)</f>
        <v>48</v>
      </c>
      <c r="F46" s="12">
        <f t="shared" ref="F46:F55" si="2">D46-E46</f>
        <v>48</v>
      </c>
    </row>
    <row r="47" spans="1:6">
      <c r="A47" s="8"/>
      <c r="B47" s="11" t="s">
        <v>11</v>
      </c>
      <c r="C47" s="10">
        <v>3.2499999999999999E-4</v>
      </c>
      <c r="D47" s="12">
        <f t="shared" si="0"/>
        <v>92</v>
      </c>
      <c r="E47" s="13">
        <f t="shared" si="1"/>
        <v>46</v>
      </c>
      <c r="F47" s="12">
        <f t="shared" si="2"/>
        <v>46</v>
      </c>
    </row>
    <row r="48" spans="1:6">
      <c r="A48" s="8">
        <v>3</v>
      </c>
      <c r="B48" s="11" t="s">
        <v>1317</v>
      </c>
      <c r="C48" s="10">
        <v>6.9760000000000004E-3</v>
      </c>
      <c r="D48" s="12">
        <f t="shared" si="0"/>
        <v>1977</v>
      </c>
      <c r="E48" s="13">
        <f t="shared" si="1"/>
        <v>989</v>
      </c>
      <c r="F48" s="12">
        <f t="shared" si="2"/>
        <v>988</v>
      </c>
    </row>
    <row r="49" spans="1:6">
      <c r="A49" s="8">
        <v>3</v>
      </c>
      <c r="B49" s="11" t="s">
        <v>1318</v>
      </c>
      <c r="C49" s="10">
        <v>2.7399999999999998E-3</v>
      </c>
      <c r="D49" s="12">
        <f t="shared" si="0"/>
        <v>776</v>
      </c>
      <c r="E49" s="13">
        <f t="shared" si="1"/>
        <v>388</v>
      </c>
      <c r="F49" s="12">
        <f t="shared" si="2"/>
        <v>388</v>
      </c>
    </row>
    <row r="50" spans="1:6">
      <c r="A50" s="8">
        <v>3</v>
      </c>
      <c r="B50" s="11" t="s">
        <v>1319</v>
      </c>
      <c r="C50" s="10">
        <v>5.6860000000000001E-3</v>
      </c>
      <c r="D50" s="12">
        <f t="shared" si="0"/>
        <v>1611</v>
      </c>
      <c r="E50" s="13">
        <f t="shared" si="1"/>
        <v>806</v>
      </c>
      <c r="F50" s="12">
        <f t="shared" si="2"/>
        <v>805</v>
      </c>
    </row>
    <row r="51" spans="1:6">
      <c r="A51" s="8">
        <v>3</v>
      </c>
      <c r="B51" s="11" t="s">
        <v>1320</v>
      </c>
      <c r="C51" s="10">
        <v>3.9467000000000002E-2</v>
      </c>
      <c r="D51" s="12">
        <f t="shared" si="0"/>
        <v>11184</v>
      </c>
      <c r="E51" s="13">
        <f t="shared" si="1"/>
        <v>5592</v>
      </c>
      <c r="F51" s="12">
        <f t="shared" si="2"/>
        <v>5592</v>
      </c>
    </row>
    <row r="52" spans="1:6">
      <c r="A52" s="8">
        <v>3</v>
      </c>
      <c r="B52" s="11" t="s">
        <v>1321</v>
      </c>
      <c r="C52" s="10">
        <v>3.3960999999999998E-2</v>
      </c>
      <c r="D52" s="12">
        <f t="shared" si="0"/>
        <v>9624</v>
      </c>
      <c r="E52" s="13">
        <f t="shared" si="1"/>
        <v>4812</v>
      </c>
      <c r="F52" s="12">
        <f t="shared" si="2"/>
        <v>4812</v>
      </c>
    </row>
    <row r="53" spans="1:6">
      <c r="A53" s="8">
        <v>3</v>
      </c>
      <c r="B53" s="11" t="s">
        <v>1322</v>
      </c>
      <c r="C53" s="10">
        <v>6.2399999999999999E-4</v>
      </c>
      <c r="D53" s="12">
        <f t="shared" si="0"/>
        <v>177</v>
      </c>
      <c r="E53" s="13">
        <f t="shared" si="1"/>
        <v>89</v>
      </c>
      <c r="F53" s="12">
        <f t="shared" si="2"/>
        <v>88</v>
      </c>
    </row>
    <row r="54" spans="1:6">
      <c r="A54" s="8">
        <v>3</v>
      </c>
      <c r="B54" s="11" t="s">
        <v>991</v>
      </c>
      <c r="C54" s="10">
        <v>1.1658E-2</v>
      </c>
      <c r="D54" s="12">
        <f t="shared" si="0"/>
        <v>3304</v>
      </c>
      <c r="E54" s="13">
        <f t="shared" si="1"/>
        <v>1652</v>
      </c>
      <c r="F54" s="12">
        <f t="shared" si="2"/>
        <v>1652</v>
      </c>
    </row>
    <row r="55" spans="1:6">
      <c r="A55" s="8">
        <v>4</v>
      </c>
      <c r="B55" s="11" t="s">
        <v>1323</v>
      </c>
      <c r="C55" s="10">
        <v>0.121796</v>
      </c>
      <c r="D55" s="9">
        <f t="shared" si="0"/>
        <v>34515</v>
      </c>
      <c r="E55" s="11">
        <f t="shared" si="1"/>
        <v>17258</v>
      </c>
      <c r="F55" s="9">
        <f t="shared" si="2"/>
        <v>17257</v>
      </c>
    </row>
    <row r="56" spans="1:6">
      <c r="A56" s="8"/>
      <c r="B56" s="11" t="s">
        <v>28</v>
      </c>
      <c r="C56" s="11"/>
      <c r="D56" s="14">
        <v>0.46808699999999998</v>
      </c>
      <c r="E56" s="11"/>
      <c r="F56" s="11"/>
    </row>
    <row r="57" spans="1:6">
      <c r="A57" s="8"/>
      <c r="B57" s="11" t="s">
        <v>29</v>
      </c>
      <c r="C57" s="11"/>
      <c r="D57" s="225">
        <f>ROUND(D55*D56,0)</f>
        <v>16156</v>
      </c>
      <c r="E57" s="226">
        <f>ROUND(D57/2,0)</f>
        <v>8078</v>
      </c>
      <c r="F57" s="225">
        <f>D57-E57</f>
        <v>8078</v>
      </c>
    </row>
    <row r="58" spans="1:6">
      <c r="A58" s="8"/>
      <c r="B58" s="11" t="s">
        <v>30</v>
      </c>
      <c r="C58" s="11"/>
      <c r="D58" s="12">
        <f>+D55-D57</f>
        <v>18359</v>
      </c>
      <c r="E58" s="13">
        <f>ROUND(D58/2,0)</f>
        <v>9180</v>
      </c>
      <c r="F58" s="12">
        <f>D58-E58</f>
        <v>9179</v>
      </c>
    </row>
    <row r="59" spans="1:6">
      <c r="A59" s="8">
        <v>4</v>
      </c>
      <c r="B59" s="11" t="s">
        <v>1324</v>
      </c>
      <c r="C59" s="10">
        <v>0.25220500000000001</v>
      </c>
      <c r="D59" s="9">
        <f>ROUND(D$3*C59,0)</f>
        <v>71470</v>
      </c>
      <c r="E59" s="11">
        <f>ROUND(D59/2,0)</f>
        <v>35735</v>
      </c>
      <c r="F59" s="9">
        <f>D59-E59</f>
        <v>35735</v>
      </c>
    </row>
    <row r="60" spans="1:6">
      <c r="A60" s="8"/>
      <c r="B60" s="11" t="s">
        <v>28</v>
      </c>
      <c r="C60" s="11"/>
      <c r="D60" s="14">
        <v>0.45510499999999998</v>
      </c>
      <c r="E60" s="11"/>
      <c r="F60" s="11"/>
    </row>
    <row r="61" spans="1:6">
      <c r="A61" s="8"/>
      <c r="B61" s="11" t="s">
        <v>29</v>
      </c>
      <c r="C61" s="11"/>
      <c r="D61" s="225">
        <f>ROUND(D59*D60,0)</f>
        <v>32526</v>
      </c>
      <c r="E61" s="226">
        <f>ROUND(D61/2,0)</f>
        <v>16263</v>
      </c>
      <c r="F61" s="225">
        <f>D61-E61</f>
        <v>16263</v>
      </c>
    </row>
    <row r="62" spans="1:6">
      <c r="A62" s="8"/>
      <c r="B62" s="11" t="s">
        <v>30</v>
      </c>
      <c r="C62" s="11"/>
      <c r="D62" s="12">
        <f>+D59-D61</f>
        <v>38944</v>
      </c>
      <c r="E62" s="13">
        <f>ROUND(D62/2,0)</f>
        <v>19472</v>
      </c>
      <c r="F62" s="12">
        <f>D62-E62</f>
        <v>19472</v>
      </c>
    </row>
    <row r="63" spans="1:6">
      <c r="A63" s="8">
        <v>4</v>
      </c>
      <c r="B63" s="11" t="s">
        <v>992</v>
      </c>
      <c r="C63" s="10">
        <v>1.5266E-2</v>
      </c>
      <c r="D63" s="9">
        <f>ROUND(D$3*C63,0)</f>
        <v>4326</v>
      </c>
      <c r="E63" s="11">
        <f>ROUND(D63/2,0)</f>
        <v>2163</v>
      </c>
      <c r="F63" s="9">
        <f>D63-E63</f>
        <v>2163</v>
      </c>
    </row>
    <row r="64" spans="1:6">
      <c r="A64" s="8"/>
      <c r="B64" s="11" t="s">
        <v>28</v>
      </c>
      <c r="C64" s="11"/>
      <c r="D64" s="14">
        <v>0.50163199999999997</v>
      </c>
      <c r="E64" s="11"/>
      <c r="F64" s="11"/>
    </row>
    <row r="65" spans="1:6">
      <c r="A65" s="8"/>
      <c r="B65" s="11" t="s">
        <v>29</v>
      </c>
      <c r="C65" s="11"/>
      <c r="D65" s="225">
        <f>ROUND(D63*D64,0)</f>
        <v>2170</v>
      </c>
      <c r="E65" s="226">
        <f>ROUND(D65/2,0)</f>
        <v>1085</v>
      </c>
      <c r="F65" s="225">
        <f>D65-E65</f>
        <v>1085</v>
      </c>
    </row>
    <row r="66" spans="1:6">
      <c r="A66" s="8"/>
      <c r="B66" s="11" t="s">
        <v>30</v>
      </c>
      <c r="C66" s="11"/>
      <c r="D66" s="12">
        <f>+D63-D65</f>
        <v>2156</v>
      </c>
      <c r="E66" s="13">
        <f>ROUND(D66/2,0)</f>
        <v>1078</v>
      </c>
      <c r="F66" s="12">
        <f>D66-E66</f>
        <v>1078</v>
      </c>
    </row>
    <row r="67" spans="1:6">
      <c r="A67" s="8">
        <v>4</v>
      </c>
      <c r="B67" s="11" t="s">
        <v>1325</v>
      </c>
      <c r="C67" s="10">
        <v>1.8248E-2</v>
      </c>
      <c r="D67" s="9">
        <f>ROUND(D$3*C67,0)</f>
        <v>5171</v>
      </c>
      <c r="E67" s="11">
        <f>ROUND(D67/2,0)</f>
        <v>2586</v>
      </c>
      <c r="F67" s="9">
        <f>D67-E67</f>
        <v>2585</v>
      </c>
    </row>
    <row r="68" spans="1:6">
      <c r="A68" s="8"/>
      <c r="B68" s="11" t="s">
        <v>28</v>
      </c>
      <c r="C68" s="11"/>
      <c r="D68" s="14">
        <v>0.47263899999999998</v>
      </c>
      <c r="E68" s="11"/>
      <c r="F68" s="11"/>
    </row>
    <row r="69" spans="1:6">
      <c r="A69" s="8"/>
      <c r="B69" s="11" t="s">
        <v>29</v>
      </c>
      <c r="C69" s="11"/>
      <c r="D69" s="225">
        <f>ROUND(D67*D68,0)</f>
        <v>2444</v>
      </c>
      <c r="E69" s="226">
        <f>ROUND(D69/2,0)</f>
        <v>1222</v>
      </c>
      <c r="F69" s="225">
        <f>D69-E69</f>
        <v>1222</v>
      </c>
    </row>
    <row r="70" spans="1:6">
      <c r="A70" s="8"/>
      <c r="B70" s="11" t="s">
        <v>30</v>
      </c>
      <c r="C70" s="11"/>
      <c r="D70" s="12">
        <f>+D67-D69</f>
        <v>2727</v>
      </c>
      <c r="E70" s="13">
        <f>ROUND(D70/2,0)</f>
        <v>1364</v>
      </c>
      <c r="F70" s="12">
        <f>D70-E70</f>
        <v>1363</v>
      </c>
    </row>
    <row r="71" spans="1:6">
      <c r="A71" s="8" t="s">
        <v>590</v>
      </c>
      <c r="B71" s="11" t="s">
        <v>1326</v>
      </c>
      <c r="C71" s="10">
        <v>0.24460599999999999</v>
      </c>
      <c r="D71" s="9">
        <f>ROUND(D$3*C71,0)</f>
        <v>69316</v>
      </c>
      <c r="E71" s="11">
        <f>ROUND(D71/2,0)</f>
        <v>34658</v>
      </c>
      <c r="F71" s="9">
        <f>D71-E71</f>
        <v>34658</v>
      </c>
    </row>
    <row r="72" spans="1:6">
      <c r="A72" s="8"/>
      <c r="B72" s="11" t="s">
        <v>28</v>
      </c>
      <c r="C72" s="11"/>
      <c r="D72" s="14">
        <v>0.37976799999999999</v>
      </c>
      <c r="E72" s="11"/>
      <c r="F72" s="11"/>
    </row>
    <row r="73" spans="1:6">
      <c r="A73" s="8"/>
      <c r="B73" s="11" t="s">
        <v>29</v>
      </c>
      <c r="C73" s="11"/>
      <c r="D73" s="225">
        <f>ROUND(D71*D72,0)</f>
        <v>26324</v>
      </c>
      <c r="E73" s="226">
        <f t="shared" ref="E73:E78" si="3">ROUND(D73/2,0)</f>
        <v>13162</v>
      </c>
      <c r="F73" s="225">
        <f t="shared" ref="F73:F78" si="4">D73-E73</f>
        <v>13162</v>
      </c>
    </row>
    <row r="74" spans="1:6">
      <c r="A74" s="8"/>
      <c r="B74" s="11" t="s">
        <v>30</v>
      </c>
      <c r="C74" s="11"/>
      <c r="D74" s="12">
        <f>+D71-D73</f>
        <v>42992</v>
      </c>
      <c r="E74" s="13">
        <f t="shared" si="3"/>
        <v>21496</v>
      </c>
      <c r="F74" s="12">
        <f t="shared" si="4"/>
        <v>21496</v>
      </c>
    </row>
    <row r="75" spans="1:6">
      <c r="A75" s="8">
        <v>5</v>
      </c>
      <c r="B75" s="11" t="s">
        <v>1327</v>
      </c>
      <c r="C75" s="10">
        <v>1.4636E-2</v>
      </c>
      <c r="D75" s="12">
        <f>ROUND(D$3*C75,0)</f>
        <v>4148</v>
      </c>
      <c r="E75" s="13">
        <f t="shared" si="3"/>
        <v>2074</v>
      </c>
      <c r="F75" s="12">
        <f t="shared" si="4"/>
        <v>2074</v>
      </c>
    </row>
    <row r="76" spans="1:6">
      <c r="A76" s="8">
        <v>5</v>
      </c>
      <c r="B76" s="11" t="s">
        <v>1328</v>
      </c>
      <c r="C76" s="10">
        <v>5.1710000000000002E-3</v>
      </c>
      <c r="D76" s="12">
        <f>ROUND(D$3*C76,0)</f>
        <v>1465</v>
      </c>
      <c r="E76" s="13">
        <f t="shared" si="3"/>
        <v>733</v>
      </c>
      <c r="F76" s="12">
        <f t="shared" si="4"/>
        <v>732</v>
      </c>
    </row>
    <row r="77" spans="1:6">
      <c r="A77" s="8">
        <v>5</v>
      </c>
      <c r="B77" s="11" t="s">
        <v>1329</v>
      </c>
      <c r="C77" s="10">
        <v>1.6941999999999999E-2</v>
      </c>
      <c r="D77" s="12">
        <f>ROUND(D$3*C77,0)</f>
        <v>4801</v>
      </c>
      <c r="E77" s="13">
        <f t="shared" si="3"/>
        <v>2401</v>
      </c>
      <c r="F77" s="12">
        <f t="shared" si="4"/>
        <v>2400</v>
      </c>
    </row>
    <row r="78" spans="1:6">
      <c r="A78" s="8">
        <v>6</v>
      </c>
      <c r="B78" s="11" t="s">
        <v>397</v>
      </c>
      <c r="C78" s="10">
        <v>5.4889999999998551E-3</v>
      </c>
      <c r="D78" s="12">
        <f>+D3-SUM(D4:D5)-SUM(D10:D55)-D59-D63-D67-D71-SUM(D75:D77)</f>
        <v>1556</v>
      </c>
      <c r="E78" s="13">
        <f t="shared" si="3"/>
        <v>778</v>
      </c>
      <c r="F78" s="12">
        <f t="shared" si="4"/>
        <v>778</v>
      </c>
    </row>
    <row r="79" spans="1:6">
      <c r="A79" s="8"/>
      <c r="B79" s="28" t="s">
        <v>1330</v>
      </c>
      <c r="C79" s="10">
        <v>1</v>
      </c>
      <c r="D79" s="12">
        <f>+D4+SUM(D7:D54)+SUM(D57:D58)+SUM(D61:D62)+SUM(D65:D66)+SUM(D69:D70)+SUM(D73:D78)</f>
        <v>283380</v>
      </c>
      <c r="E79" s="12">
        <f>+E4+SUM(E7:E54)+SUM(E57:E58)+SUM(E61:E62)+SUM(E65:E66)+SUM(E69:E70)+SUM(E73:E78)</f>
        <v>141701</v>
      </c>
      <c r="F79" s="12">
        <f>+F4+SUM(F7:F54)+SUM(F57:F58)+SUM(F61:F62)+SUM(F65:F66)+SUM(F69:F70)+SUM(F73:F78)</f>
        <v>141679</v>
      </c>
    </row>
    <row r="80" spans="1:6">
      <c r="B80" s="18" t="s">
        <v>38</v>
      </c>
      <c r="D80" s="19">
        <f>+D4</f>
        <v>384</v>
      </c>
      <c r="E80" s="19">
        <f>+E4</f>
        <v>192</v>
      </c>
      <c r="F80" s="19">
        <f>+F4</f>
        <v>192</v>
      </c>
    </row>
    <row r="81" spans="2:8">
      <c r="B81" s="2" t="s">
        <v>39</v>
      </c>
      <c r="D81" s="19">
        <f>+D7</f>
        <v>8055</v>
      </c>
      <c r="E81" s="19">
        <f>+E7</f>
        <v>4028</v>
      </c>
      <c r="F81" s="19">
        <f>+F7</f>
        <v>4027</v>
      </c>
    </row>
    <row r="82" spans="2:8">
      <c r="B82" s="2" t="s">
        <v>40</v>
      </c>
      <c r="D82" s="19">
        <f>+D57+D61+D65+D69+D73</f>
        <v>79620</v>
      </c>
      <c r="E82" s="19">
        <f>+E57+E61+E65+E69+E73</f>
        <v>39810</v>
      </c>
      <c r="F82" s="19">
        <f>+F57+F61+F65+F69+F73</f>
        <v>39810</v>
      </c>
      <c r="H82" s="3">
        <v>1</v>
      </c>
    </row>
    <row r="83" spans="2:8">
      <c r="B83" s="18" t="s">
        <v>41</v>
      </c>
      <c r="D83" s="19">
        <f>+D79-D80-D81-D82</f>
        <v>195321</v>
      </c>
      <c r="E83" s="19">
        <f>+E79-E80-E81-E82</f>
        <v>97671</v>
      </c>
      <c r="F83" s="19">
        <f>+F79-F80-F81-F82</f>
        <v>97650</v>
      </c>
      <c r="H83" s="3">
        <v>2</v>
      </c>
    </row>
    <row r="85" spans="2:8" hidden="1">
      <c r="B85" s="3" t="s">
        <v>42</v>
      </c>
      <c r="C85" s="4">
        <v>-1.0000000001449821E-6</v>
      </c>
      <c r="D85" s="3">
        <f>+D78-ROUND(D3*C78,0)</f>
        <v>1</v>
      </c>
    </row>
  </sheetData>
  <pageMargins left="0.7" right="0.7" top="0.75" bottom="0.75" header="0.3" footer="0.3"/>
  <pageSetup scale="5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pageSetUpPr fitToPage="1"/>
  </sheetPr>
  <dimension ref="A1:WVB71"/>
  <sheetViews>
    <sheetView zoomScaleNormal="100" zoomScaleSheetLayoutView="80" workbookViewId="0">
      <selection activeCell="D24" activeCellId="1" sqref="D7:F7 D24:F24"/>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140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140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140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140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140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140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140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140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140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140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140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140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140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140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140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140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140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140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140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140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140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140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140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140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140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140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140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140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140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140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140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140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140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140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140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140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140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140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140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140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140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140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140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140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140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140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140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140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140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140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140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140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140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140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140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140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140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140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140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140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140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140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140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1331</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Worksheet'!$D$61</f>
        <v>29242</v>
      </c>
      <c r="E3" s="11"/>
      <c r="F3" s="11"/>
    </row>
    <row r="4" spans="1:6">
      <c r="A4" s="8">
        <v>0</v>
      </c>
      <c r="B4" s="11" t="s">
        <v>4</v>
      </c>
      <c r="C4" s="10">
        <v>1.4959999999999999E-3</v>
      </c>
      <c r="D4" s="12">
        <f>ROUND(D$3*C4,0)</f>
        <v>44</v>
      </c>
      <c r="E4" s="13">
        <f>ROUND(D4/2,0)</f>
        <v>22</v>
      </c>
      <c r="F4" s="12">
        <f>D4-E4</f>
        <v>22</v>
      </c>
    </row>
    <row r="5" spans="1:6">
      <c r="A5" s="8">
        <v>1</v>
      </c>
      <c r="B5" s="11" t="s">
        <v>1332</v>
      </c>
      <c r="C5" s="10">
        <v>0.245972</v>
      </c>
      <c r="D5" s="9">
        <f>ROUND(D$3*C5,0)</f>
        <v>7193</v>
      </c>
      <c r="E5" s="11">
        <f>ROUND(D5/2,0)</f>
        <v>3597</v>
      </c>
      <c r="F5" s="9">
        <f>D5-E5</f>
        <v>3596</v>
      </c>
    </row>
    <row r="6" spans="1:6">
      <c r="A6" s="8"/>
      <c r="B6" s="11" t="s">
        <v>6</v>
      </c>
      <c r="C6" s="11"/>
      <c r="D6" s="14">
        <v>0.28086899999999998</v>
      </c>
      <c r="E6" s="11"/>
      <c r="F6" s="11"/>
    </row>
    <row r="7" spans="1:6">
      <c r="A7" s="8"/>
      <c r="B7" s="11" t="s">
        <v>7</v>
      </c>
      <c r="C7" s="11"/>
      <c r="D7" s="225">
        <f>ROUND(D5*D6,0)</f>
        <v>2020</v>
      </c>
      <c r="E7" s="226">
        <f>ROUND(D7/2,0)</f>
        <v>1010</v>
      </c>
      <c r="F7" s="225">
        <f>D7-E7</f>
        <v>1010</v>
      </c>
    </row>
    <row r="8" spans="1:6">
      <c r="A8" s="8"/>
      <c r="B8" s="11" t="s">
        <v>8</v>
      </c>
      <c r="C8" s="11"/>
      <c r="D8" s="12">
        <f>+D5-D7</f>
        <v>5173</v>
      </c>
      <c r="E8" s="13">
        <f>ROUND(D8/2,0)</f>
        <v>2587</v>
      </c>
      <c r="F8" s="12">
        <f>D8-E8</f>
        <v>2586</v>
      </c>
    </row>
    <row r="9" spans="1:6">
      <c r="A9" s="8">
        <v>2</v>
      </c>
      <c r="B9" s="11" t="s">
        <v>249</v>
      </c>
      <c r="C9" s="11"/>
      <c r="D9" s="9"/>
      <c r="E9" s="11"/>
      <c r="F9" s="11"/>
    </row>
    <row r="10" spans="1:6">
      <c r="A10" s="8"/>
      <c r="B10" s="11" t="s">
        <v>10</v>
      </c>
      <c r="C10" s="10">
        <v>4.1139999999999996E-3</v>
      </c>
      <c r="D10" s="12">
        <f>ROUND(D$3*C10,0)</f>
        <v>120</v>
      </c>
      <c r="E10" s="13">
        <f>ROUND(D10/2,0)</f>
        <v>60</v>
      </c>
      <c r="F10" s="12">
        <f>D10-E10</f>
        <v>60</v>
      </c>
    </row>
    <row r="11" spans="1:6">
      <c r="A11" s="8"/>
      <c r="B11" s="11" t="s">
        <v>11</v>
      </c>
      <c r="C11" s="10">
        <v>8.0999999999999996E-4</v>
      </c>
      <c r="D11" s="12">
        <f>ROUND(D$3*C11,0)</f>
        <v>24</v>
      </c>
      <c r="E11" s="13">
        <f>ROUND(D11/2,0)</f>
        <v>12</v>
      </c>
      <c r="F11" s="12">
        <f>D11-E11</f>
        <v>12</v>
      </c>
    </row>
    <row r="12" spans="1:6">
      <c r="A12" s="8">
        <v>2</v>
      </c>
      <c r="B12" s="11" t="s">
        <v>858</v>
      </c>
      <c r="C12" s="11"/>
      <c r="D12" s="9"/>
      <c r="E12" s="11"/>
      <c r="F12" s="11"/>
    </row>
    <row r="13" spans="1:6">
      <c r="A13" s="8"/>
      <c r="B13" s="11" t="s">
        <v>10</v>
      </c>
      <c r="C13" s="10">
        <v>2.0569999999999998E-3</v>
      </c>
      <c r="D13" s="12">
        <f>ROUND(D$3*C13,0)</f>
        <v>60</v>
      </c>
      <c r="E13" s="13">
        <f>ROUND(D13/2,0)</f>
        <v>30</v>
      </c>
      <c r="F13" s="12">
        <f>D13-E13</f>
        <v>30</v>
      </c>
    </row>
    <row r="14" spans="1:6">
      <c r="A14" s="8"/>
      <c r="B14" s="11" t="s">
        <v>11</v>
      </c>
      <c r="C14" s="10">
        <v>6.5499999999999998E-4</v>
      </c>
      <c r="D14" s="12">
        <f>ROUND(D$3*C14,0)</f>
        <v>19</v>
      </c>
      <c r="E14" s="13">
        <f>ROUND(D14/2,0)</f>
        <v>10</v>
      </c>
      <c r="F14" s="12">
        <f>D14-E14</f>
        <v>9</v>
      </c>
    </row>
    <row r="15" spans="1:6">
      <c r="A15" s="8">
        <v>2</v>
      </c>
      <c r="B15" s="11" t="s">
        <v>1333</v>
      </c>
      <c r="C15" s="11"/>
      <c r="D15" s="9"/>
      <c r="E15" s="11"/>
      <c r="F15" s="11"/>
    </row>
    <row r="16" spans="1:6">
      <c r="A16" s="8"/>
      <c r="B16" s="11" t="s">
        <v>10</v>
      </c>
      <c r="C16" s="10">
        <v>7.2620000000000002E-3</v>
      </c>
      <c r="D16" s="12">
        <f>ROUND(D$3*C16,0)</f>
        <v>212</v>
      </c>
      <c r="E16" s="13">
        <f>ROUND(D16/2,0)</f>
        <v>106</v>
      </c>
      <c r="F16" s="12">
        <f>D16-E16</f>
        <v>106</v>
      </c>
    </row>
    <row r="17" spans="1:8">
      <c r="A17" s="8"/>
      <c r="B17" s="11" t="s">
        <v>11</v>
      </c>
      <c r="C17" s="10">
        <v>2.2439999999999999E-3</v>
      </c>
      <c r="D17" s="12">
        <f>ROUND(D$3*C17,0)</f>
        <v>66</v>
      </c>
      <c r="E17" s="13">
        <f>ROUND(D17/2,0)</f>
        <v>33</v>
      </c>
      <c r="F17" s="12">
        <f>D17-E17</f>
        <v>33</v>
      </c>
    </row>
    <row r="18" spans="1:8">
      <c r="A18" s="8">
        <v>2</v>
      </c>
      <c r="B18" s="11" t="s">
        <v>20</v>
      </c>
      <c r="C18" s="11"/>
      <c r="D18" s="9"/>
      <c r="E18" s="11"/>
      <c r="F18" s="11"/>
    </row>
    <row r="19" spans="1:8">
      <c r="A19" s="8"/>
      <c r="B19" s="11" t="s">
        <v>10</v>
      </c>
      <c r="C19" s="10">
        <v>3.117E-3</v>
      </c>
      <c r="D19" s="12">
        <f>ROUND(D$3*C19,0)</f>
        <v>91</v>
      </c>
      <c r="E19" s="13">
        <f>ROUND(D19/2,0)</f>
        <v>46</v>
      </c>
      <c r="F19" s="12">
        <f>D19-E19</f>
        <v>45</v>
      </c>
    </row>
    <row r="20" spans="1:8">
      <c r="A20" s="8"/>
      <c r="B20" s="11" t="s">
        <v>11</v>
      </c>
      <c r="C20" s="10">
        <v>6.8599999999999998E-4</v>
      </c>
      <c r="D20" s="12">
        <f>ROUND(D$3*C20,0)</f>
        <v>20</v>
      </c>
      <c r="E20" s="13">
        <f>ROUND(D20/2,0)</f>
        <v>10</v>
      </c>
      <c r="F20" s="12">
        <f>D20-E20</f>
        <v>10</v>
      </c>
    </row>
    <row r="21" spans="1:8">
      <c r="A21" s="8">
        <v>3</v>
      </c>
      <c r="B21" s="11" t="s">
        <v>1334</v>
      </c>
      <c r="C21" s="10">
        <v>2.3344E-2</v>
      </c>
      <c r="D21" s="12">
        <f>ROUND(D$3*C21,0)</f>
        <v>683</v>
      </c>
      <c r="E21" s="13">
        <f>ROUND(D21/2,0)</f>
        <v>342</v>
      </c>
      <c r="F21" s="12">
        <f>D21-E21</f>
        <v>341</v>
      </c>
    </row>
    <row r="22" spans="1:8">
      <c r="A22" s="8">
        <v>4</v>
      </c>
      <c r="B22" s="11" t="s">
        <v>1335</v>
      </c>
      <c r="C22" s="10">
        <v>0.68181400000000003</v>
      </c>
      <c r="D22" s="9">
        <f>ROUND(D$3*C22,0)</f>
        <v>19938</v>
      </c>
      <c r="E22" s="11">
        <f>ROUND(D22/2,0)</f>
        <v>9969</v>
      </c>
      <c r="F22" s="9">
        <f>D22-E22</f>
        <v>9969</v>
      </c>
    </row>
    <row r="23" spans="1:8">
      <c r="A23" s="8"/>
      <c r="B23" s="11" t="s">
        <v>28</v>
      </c>
      <c r="C23" s="11"/>
      <c r="D23" s="14">
        <v>0.66781900000000005</v>
      </c>
      <c r="E23" s="11"/>
      <c r="F23" s="11"/>
    </row>
    <row r="24" spans="1:8">
      <c r="A24" s="8"/>
      <c r="B24" s="11" t="s">
        <v>29</v>
      </c>
      <c r="C24" s="11"/>
      <c r="D24" s="225">
        <f>ROUND(D22*D23,0)</f>
        <v>13315</v>
      </c>
      <c r="E24" s="226">
        <f>ROUND(D24/2,0)</f>
        <v>6658</v>
      </c>
      <c r="F24" s="225">
        <f>D24-E24</f>
        <v>6657</v>
      </c>
    </row>
    <row r="25" spans="1:8">
      <c r="A25" s="8"/>
      <c r="B25" s="11" t="s">
        <v>30</v>
      </c>
      <c r="C25" s="11"/>
      <c r="D25" s="12">
        <f>+D22-D24</f>
        <v>6623</v>
      </c>
      <c r="E25" s="13">
        <f>ROUND(D25/2,0)</f>
        <v>3312</v>
      </c>
      <c r="F25" s="12">
        <f>D25-E25</f>
        <v>3311</v>
      </c>
    </row>
    <row r="26" spans="1:8">
      <c r="A26" s="8">
        <v>5</v>
      </c>
      <c r="B26" s="11" t="s">
        <v>1336</v>
      </c>
      <c r="C26" s="10">
        <v>2.0382999999999998E-2</v>
      </c>
      <c r="D26" s="12">
        <f>ROUND(D$3*C26,0)</f>
        <v>596</v>
      </c>
      <c r="E26" s="13">
        <f>ROUND(D26/2,0)</f>
        <v>298</v>
      </c>
      <c r="F26" s="12">
        <f>D26-E26</f>
        <v>298</v>
      </c>
    </row>
    <row r="27" spans="1:8">
      <c r="A27" s="8">
        <v>6</v>
      </c>
      <c r="B27" s="11" t="s">
        <v>545</v>
      </c>
      <c r="C27" s="10">
        <v>6.0460000000000002E-3</v>
      </c>
      <c r="D27" s="12">
        <f>+D3-SUM(D4:D5)-SUM(D10:D22)-D26</f>
        <v>176</v>
      </c>
      <c r="E27" s="13">
        <f>ROUND(D27/2,0)</f>
        <v>88</v>
      </c>
      <c r="F27" s="12">
        <f>D27-E27</f>
        <v>88</v>
      </c>
    </row>
    <row r="28" spans="1:8">
      <c r="A28" s="8"/>
      <c r="B28" s="28" t="s">
        <v>288</v>
      </c>
      <c r="C28" s="10">
        <v>1</v>
      </c>
      <c r="D28" s="12">
        <f>+D4+SUM(D7:D21)+SUM(D24:D27)</f>
        <v>29242</v>
      </c>
      <c r="E28" s="12">
        <f>+E4+SUM(E7:E21)+SUM(E24:E27)</f>
        <v>14624</v>
      </c>
      <c r="F28" s="12">
        <f>+F4+SUM(F7:F21)+SUM(F24:F27)</f>
        <v>14618</v>
      </c>
    </row>
    <row r="29" spans="1:8">
      <c r="B29" s="18" t="s">
        <v>38</v>
      </c>
      <c r="D29" s="19">
        <f>+D4</f>
        <v>44</v>
      </c>
      <c r="E29" s="19">
        <f>+E4</f>
        <v>22</v>
      </c>
      <c r="F29" s="19">
        <f>+F4</f>
        <v>22</v>
      </c>
    </row>
    <row r="30" spans="1:8">
      <c r="B30" s="2" t="s">
        <v>39</v>
      </c>
      <c r="D30" s="19">
        <f>+D7</f>
        <v>2020</v>
      </c>
      <c r="E30" s="19">
        <f>+E7</f>
        <v>1010</v>
      </c>
      <c r="F30" s="19">
        <f>+F7</f>
        <v>1010</v>
      </c>
    </row>
    <row r="31" spans="1:8">
      <c r="B31" s="2" t="s">
        <v>40</v>
      </c>
      <c r="D31" s="19">
        <f>+D24</f>
        <v>13315</v>
      </c>
      <c r="E31" s="19">
        <f>+E24</f>
        <v>6658</v>
      </c>
      <c r="F31" s="19">
        <f>+F24</f>
        <v>6657</v>
      </c>
      <c r="H31" s="3">
        <v>1</v>
      </c>
    </row>
    <row r="32" spans="1:8">
      <c r="B32" s="18" t="s">
        <v>41</v>
      </c>
      <c r="D32" s="19">
        <f>+D28-D29-D30-D31</f>
        <v>13863</v>
      </c>
      <c r="E32" s="19">
        <f>+E28-E29-E30-E31</f>
        <v>6934</v>
      </c>
      <c r="F32" s="19">
        <f>+F28-F29-F30-F31</f>
        <v>6929</v>
      </c>
      <c r="H32" s="3">
        <v>2</v>
      </c>
    </row>
    <row r="34" spans="2:4" hidden="1">
      <c r="B34" s="3" t="s">
        <v>42</v>
      </c>
      <c r="C34" s="4">
        <v>0</v>
      </c>
      <c r="D34" s="3">
        <f>+D27-ROUND(D3*C27,0)</f>
        <v>-1</v>
      </c>
    </row>
    <row r="71" spans="1:1">
      <c r="A71" s="1" t="s">
        <v>590</v>
      </c>
    </row>
  </sheetData>
  <pageMargins left="0.7" right="0.7" top="0.75" bottom="0.75" header="0.3" footer="0.3"/>
  <pageSetup scale="6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D45FB-AB04-43D0-9E4E-1022050BD308}">
  <dimension ref="A1:R6692"/>
  <sheetViews>
    <sheetView zoomScale="115" zoomScaleNormal="115" workbookViewId="0">
      <pane ySplit="1" topLeftCell="A2" activePane="bottomLeft" state="frozen"/>
      <selection pane="bottomLeft" activeCell="A2" sqref="A2"/>
    </sheetView>
  </sheetViews>
  <sheetFormatPr defaultColWidth="12.42578125" defaultRowHeight="15"/>
  <cols>
    <col min="1" max="1" width="26.28515625" bestFit="1" customWidth="1"/>
    <col min="2" max="3" width="5.5703125" bestFit="1" customWidth="1"/>
    <col min="4" max="4" width="6.140625" bestFit="1" customWidth="1"/>
    <col min="5" max="5" width="54" bestFit="1" customWidth="1"/>
    <col min="6" max="6" width="14" bestFit="1" customWidth="1"/>
    <col min="7" max="7" width="19.28515625" style="46" bestFit="1" customWidth="1"/>
    <col min="8" max="9" width="15.85546875" style="46" bestFit="1" customWidth="1"/>
    <col min="10" max="10" width="27.140625" customWidth="1"/>
    <col min="11" max="11" width="15.5703125" bestFit="1" customWidth="1"/>
  </cols>
  <sheetData>
    <row r="1" spans="1:10" s="3" customFormat="1">
      <c r="B1" s="3">
        <f>COUNTA(B2:B6692)</f>
        <v>6507</v>
      </c>
      <c r="C1" s="3">
        <f>COUNTA(C2:C6692)</f>
        <v>6417</v>
      </c>
      <c r="D1" s="3">
        <f>+B1-C1</f>
        <v>90</v>
      </c>
      <c r="E1" s="2" t="s">
        <v>0</v>
      </c>
      <c r="F1" s="4"/>
      <c r="G1" s="100"/>
      <c r="H1" s="100"/>
      <c r="I1" s="100"/>
    </row>
    <row r="2" spans="1:10" s="3" customFormat="1" ht="45.75" customHeight="1">
      <c r="C2" s="1"/>
      <c r="E2" s="1"/>
      <c r="F2" s="6" t="s">
        <v>1</v>
      </c>
      <c r="G2" s="117" t="str">
        <f>'Allocation Worksheet'!H3</f>
        <v>2026 TOTAL BASED ON CY2025 CVET REVENUE</v>
      </c>
      <c r="H2" s="118" t="str">
        <f>'Allocation Worksheet'!H4</f>
        <v>MAY 2026 DISTRIBUTION</v>
      </c>
      <c r="I2" s="118" t="str">
        <f>'Allocation Worksheet'!H5</f>
        <v>NOVEMBER 2026 DISTRIBUTION</v>
      </c>
      <c r="J2" s="3" t="s">
        <v>3138</v>
      </c>
    </row>
    <row r="3" spans="1:10" s="3" customFormat="1">
      <c r="A3" s="3" t="s">
        <v>6270</v>
      </c>
      <c r="B3" s="3" t="s">
        <v>2086</v>
      </c>
      <c r="C3" s="7" t="s">
        <v>2087</v>
      </c>
      <c r="D3" s="3" t="s">
        <v>2088</v>
      </c>
      <c r="E3" s="7" t="s">
        <v>3137</v>
      </c>
      <c r="F3" s="10"/>
      <c r="G3" s="119">
        <f>'Allocation Worksheet'!$D$4</f>
        <v>287723</v>
      </c>
      <c r="H3" s="119"/>
      <c r="I3" s="119"/>
      <c r="J3" s="3" t="str">
        <f>B3&amp;C3&amp;D3</f>
        <v>COUTUC</v>
      </c>
    </row>
    <row r="4" spans="1:10" s="3" customFormat="1">
      <c r="B4" s="3" t="s">
        <v>2095</v>
      </c>
      <c r="C4" s="8">
        <v>0</v>
      </c>
      <c r="D4" s="3" t="s">
        <v>2187</v>
      </c>
      <c r="E4" s="11" t="s">
        <v>4</v>
      </c>
      <c r="F4" s="10">
        <v>1.2539999999999999E-3</v>
      </c>
      <c r="G4" s="12">
        <f>ROUND(G$3*F4,0)</f>
        <v>361</v>
      </c>
      <c r="H4" s="13">
        <f>ROUND(G4/2,0)</f>
        <v>181</v>
      </c>
      <c r="I4" s="12">
        <f>+G4-H4</f>
        <v>180</v>
      </c>
      <c r="J4" s="3" t="str">
        <f t="shared" ref="J4:J67" si="0">B4&amp;C4&amp;D4</f>
        <v>0100000</v>
      </c>
    </row>
    <row r="5" spans="1:10" s="3" customFormat="1">
      <c r="B5" s="3" t="s">
        <v>2095</v>
      </c>
      <c r="C5" s="8">
        <v>1</v>
      </c>
      <c r="D5" s="3" t="s">
        <v>2187</v>
      </c>
      <c r="E5" s="11" t="s">
        <v>5</v>
      </c>
      <c r="F5" s="10">
        <v>0.21342700000000001</v>
      </c>
      <c r="G5" s="9">
        <f>ROUND(G$3*F5,0)</f>
        <v>61408</v>
      </c>
      <c r="H5" s="11">
        <f>ROUND(G5/2,0)</f>
        <v>30704</v>
      </c>
      <c r="I5" s="9">
        <f>+G5-H5</f>
        <v>30704</v>
      </c>
      <c r="J5" s="3" t="str">
        <f t="shared" si="0"/>
        <v>0110000</v>
      </c>
    </row>
    <row r="6" spans="1:10" s="3" customFormat="1">
      <c r="B6" s="3" t="s">
        <v>2095</v>
      </c>
      <c r="C6" s="8">
        <v>1</v>
      </c>
      <c r="D6" s="3" t="s">
        <v>2187</v>
      </c>
      <c r="E6" s="11" t="s">
        <v>6</v>
      </c>
      <c r="F6" s="14"/>
      <c r="G6" s="14">
        <v>0.17400199999999999</v>
      </c>
      <c r="H6" s="11"/>
      <c r="I6" s="11"/>
      <c r="J6" s="3" t="str">
        <f t="shared" si="0"/>
        <v>0110000</v>
      </c>
    </row>
    <row r="7" spans="1:10" s="3" customFormat="1">
      <c r="B7" s="3" t="s">
        <v>2095</v>
      </c>
      <c r="C7" s="8">
        <v>1</v>
      </c>
      <c r="D7" s="3" t="s">
        <v>2187</v>
      </c>
      <c r="E7" s="11" t="s">
        <v>7</v>
      </c>
      <c r="F7" s="10"/>
      <c r="G7" s="15">
        <f>ROUND(G5*G6,0)</f>
        <v>10685</v>
      </c>
      <c r="H7" s="16">
        <f>ROUND(G7/2,0)</f>
        <v>5343</v>
      </c>
      <c r="I7" s="15">
        <f>+G7-H7</f>
        <v>5342</v>
      </c>
      <c r="J7" s="3" t="str">
        <f t="shared" si="0"/>
        <v>0110000</v>
      </c>
    </row>
    <row r="8" spans="1:10" s="3" customFormat="1">
      <c r="B8" s="3" t="s">
        <v>2095</v>
      </c>
      <c r="C8" s="8">
        <v>1</v>
      </c>
      <c r="D8" s="3" t="s">
        <v>2187</v>
      </c>
      <c r="E8" s="11" t="s">
        <v>8</v>
      </c>
      <c r="F8" s="10"/>
      <c r="G8" s="12">
        <f>+G5-G7</f>
        <v>50723</v>
      </c>
      <c r="H8" s="13">
        <f>ROUND(G8/2,0)</f>
        <v>25362</v>
      </c>
      <c r="I8" s="12">
        <f>+G8-H8</f>
        <v>25361</v>
      </c>
      <c r="J8" s="3" t="str">
        <f t="shared" si="0"/>
        <v>0110000</v>
      </c>
    </row>
    <row r="9" spans="1:10" s="3" customFormat="1">
      <c r="B9" s="3" t="s">
        <v>2095</v>
      </c>
      <c r="C9" s="8">
        <v>2</v>
      </c>
      <c r="D9" s="3" t="s">
        <v>2188</v>
      </c>
      <c r="E9" s="11" t="s">
        <v>9</v>
      </c>
      <c r="F9" s="10"/>
      <c r="G9" s="9"/>
      <c r="H9" s="11"/>
      <c r="I9" s="11"/>
      <c r="J9" s="3" t="str">
        <f t="shared" si="0"/>
        <v>0120001</v>
      </c>
    </row>
    <row r="10" spans="1:10" s="3" customFormat="1">
      <c r="B10" s="3" t="s">
        <v>2095</v>
      </c>
      <c r="C10" s="8">
        <v>2</v>
      </c>
      <c r="D10" s="3" t="s">
        <v>2188</v>
      </c>
      <c r="E10" s="11" t="s">
        <v>10</v>
      </c>
      <c r="F10" s="10">
        <v>2.2499999999999999E-4</v>
      </c>
      <c r="G10" s="12">
        <f>ROUND(G$3*F10,0)</f>
        <v>65</v>
      </c>
      <c r="H10" s="13">
        <f>ROUND(G10/2,0)</f>
        <v>33</v>
      </c>
      <c r="I10" s="12">
        <f>+G10-H10</f>
        <v>32</v>
      </c>
      <c r="J10" s="3" t="str">
        <f t="shared" si="0"/>
        <v>0120001</v>
      </c>
    </row>
    <row r="11" spans="1:10" s="3" customFormat="1">
      <c r="B11" s="3" t="s">
        <v>2095</v>
      </c>
      <c r="C11" s="8">
        <v>2</v>
      </c>
      <c r="D11" s="3" t="s">
        <v>2188</v>
      </c>
      <c r="E11" s="11" t="s">
        <v>11</v>
      </c>
      <c r="F11" s="10">
        <v>5.3999999999999998E-5</v>
      </c>
      <c r="G11" s="12">
        <f>ROUND(G$3*F11,0)</f>
        <v>16</v>
      </c>
      <c r="H11" s="13">
        <f>ROUND(G11/2,0)</f>
        <v>8</v>
      </c>
      <c r="I11" s="12">
        <f>+G11-H11</f>
        <v>8</v>
      </c>
      <c r="J11" s="3" t="str">
        <f t="shared" si="0"/>
        <v>0120001</v>
      </c>
    </row>
    <row r="12" spans="1:10" s="3" customFormat="1">
      <c r="B12" s="3" t="s">
        <v>2095</v>
      </c>
      <c r="C12" s="8">
        <v>2</v>
      </c>
      <c r="D12" s="3" t="s">
        <v>2189</v>
      </c>
      <c r="E12" s="11" t="s">
        <v>12</v>
      </c>
      <c r="F12" s="10"/>
      <c r="G12" s="9"/>
      <c r="H12" s="11"/>
      <c r="I12" s="11"/>
      <c r="J12" s="3" t="str">
        <f t="shared" si="0"/>
        <v>0120002</v>
      </c>
    </row>
    <row r="13" spans="1:10" s="3" customFormat="1">
      <c r="B13" s="3" t="s">
        <v>2095</v>
      </c>
      <c r="C13" s="8">
        <v>2</v>
      </c>
      <c r="D13" s="3" t="s">
        <v>2189</v>
      </c>
      <c r="E13" s="11" t="s">
        <v>10</v>
      </c>
      <c r="F13" s="10">
        <v>1.042E-3</v>
      </c>
      <c r="G13" s="12">
        <f>ROUND(G$3*F13,0)</f>
        <v>300</v>
      </c>
      <c r="H13" s="13">
        <f>ROUND(G13/2,0)</f>
        <v>150</v>
      </c>
      <c r="I13" s="12">
        <f>+G13-H13</f>
        <v>150</v>
      </c>
      <c r="J13" s="3" t="str">
        <f t="shared" si="0"/>
        <v>0120002</v>
      </c>
    </row>
    <row r="14" spans="1:10" s="3" customFormat="1">
      <c r="B14" s="3" t="s">
        <v>2095</v>
      </c>
      <c r="C14" s="8">
        <v>2</v>
      </c>
      <c r="D14" s="3" t="s">
        <v>2189</v>
      </c>
      <c r="E14" s="11" t="s">
        <v>11</v>
      </c>
      <c r="F14" s="10">
        <v>4.15E-4</v>
      </c>
      <c r="G14" s="12">
        <f>ROUND(G$3*F14,0)</f>
        <v>119</v>
      </c>
      <c r="H14" s="13">
        <f>ROUND(G14/2,0)</f>
        <v>60</v>
      </c>
      <c r="I14" s="12">
        <f>+G14-H14</f>
        <v>59</v>
      </c>
      <c r="J14" s="3" t="str">
        <f t="shared" si="0"/>
        <v>0120002</v>
      </c>
    </row>
    <row r="15" spans="1:10" s="3" customFormat="1">
      <c r="B15" s="3" t="s">
        <v>2095</v>
      </c>
      <c r="C15" s="8">
        <v>2</v>
      </c>
      <c r="D15" s="3" t="s">
        <v>2190</v>
      </c>
      <c r="E15" s="11" t="s">
        <v>13</v>
      </c>
      <c r="F15" s="10"/>
      <c r="G15" s="9"/>
      <c r="H15" s="11"/>
      <c r="I15" s="11"/>
      <c r="J15" s="3" t="str">
        <f t="shared" si="0"/>
        <v>0120003</v>
      </c>
    </row>
    <row r="16" spans="1:10" s="3" customFormat="1">
      <c r="B16" s="3" t="s">
        <v>2095</v>
      </c>
      <c r="C16" s="8">
        <v>2</v>
      </c>
      <c r="D16" s="3" t="s">
        <v>2190</v>
      </c>
      <c r="E16" s="11" t="s">
        <v>10</v>
      </c>
      <c r="F16" s="10">
        <v>3.39E-4</v>
      </c>
      <c r="G16" s="12">
        <f>ROUND(G$3*F16,0)</f>
        <v>98</v>
      </c>
      <c r="H16" s="13">
        <f>ROUND(G16/2,0)</f>
        <v>49</v>
      </c>
      <c r="I16" s="12">
        <f>+G16-H16</f>
        <v>49</v>
      </c>
      <c r="J16" s="3" t="str">
        <f t="shared" si="0"/>
        <v>0120003</v>
      </c>
    </row>
    <row r="17" spans="2:10" s="3" customFormat="1">
      <c r="B17" s="3" t="s">
        <v>2095</v>
      </c>
      <c r="C17" s="8">
        <v>2</v>
      </c>
      <c r="D17" s="3" t="s">
        <v>2190</v>
      </c>
      <c r="E17" s="11" t="s">
        <v>11</v>
      </c>
      <c r="F17" s="10">
        <v>1.01E-4</v>
      </c>
      <c r="G17" s="12">
        <f>ROUND(G$3*F17,0)</f>
        <v>29</v>
      </c>
      <c r="H17" s="13">
        <f>ROUND(G17/2,0)</f>
        <v>15</v>
      </c>
      <c r="I17" s="12">
        <f>+G17-H17</f>
        <v>14</v>
      </c>
      <c r="J17" s="3" t="str">
        <f t="shared" si="0"/>
        <v>0120003</v>
      </c>
    </row>
    <row r="18" spans="2:10" s="3" customFormat="1">
      <c r="B18" s="3" t="s">
        <v>2095</v>
      </c>
      <c r="C18" s="8">
        <v>2</v>
      </c>
      <c r="D18" s="3" t="s">
        <v>2191</v>
      </c>
      <c r="E18" s="11" t="s">
        <v>14</v>
      </c>
      <c r="F18" s="10"/>
      <c r="G18" s="9"/>
      <c r="H18" s="11"/>
      <c r="I18" s="11"/>
      <c r="J18" s="3" t="str">
        <f t="shared" si="0"/>
        <v>0120004</v>
      </c>
    </row>
    <row r="19" spans="2:10" s="3" customFormat="1">
      <c r="B19" s="3" t="s">
        <v>2095</v>
      </c>
      <c r="C19" s="8">
        <v>2</v>
      </c>
      <c r="D19" s="3" t="s">
        <v>2191</v>
      </c>
      <c r="E19" s="11" t="s">
        <v>10</v>
      </c>
      <c r="F19" s="10">
        <v>1.46E-4</v>
      </c>
      <c r="G19" s="12">
        <f>ROUND(G$3*F19,0)</f>
        <v>42</v>
      </c>
      <c r="H19" s="13">
        <f>ROUND(G19/2,0)</f>
        <v>21</v>
      </c>
      <c r="I19" s="12">
        <f>+G19-H19</f>
        <v>21</v>
      </c>
      <c r="J19" s="3" t="str">
        <f t="shared" si="0"/>
        <v>0120004</v>
      </c>
    </row>
    <row r="20" spans="2:10" s="3" customFormat="1">
      <c r="B20" s="3" t="s">
        <v>2095</v>
      </c>
      <c r="C20" s="8">
        <v>2</v>
      </c>
      <c r="D20" s="3" t="s">
        <v>2191</v>
      </c>
      <c r="E20" s="11" t="s">
        <v>11</v>
      </c>
      <c r="F20" s="10">
        <v>5.7000000000000003E-5</v>
      </c>
      <c r="G20" s="12">
        <f>ROUND(G$3*F20,0)</f>
        <v>16</v>
      </c>
      <c r="H20" s="13">
        <f>ROUND(G20/2,0)</f>
        <v>8</v>
      </c>
      <c r="I20" s="12">
        <f>+G20-H20</f>
        <v>8</v>
      </c>
      <c r="J20" s="3" t="str">
        <f t="shared" si="0"/>
        <v>0120004</v>
      </c>
    </row>
    <row r="21" spans="2:10" s="3" customFormat="1">
      <c r="B21" s="3" t="s">
        <v>2095</v>
      </c>
      <c r="C21" s="8">
        <v>2</v>
      </c>
      <c r="D21" s="3" t="s">
        <v>2192</v>
      </c>
      <c r="E21" s="11" t="s">
        <v>15</v>
      </c>
      <c r="F21" s="10"/>
      <c r="G21" s="9"/>
      <c r="H21" s="11"/>
      <c r="I21" s="11"/>
      <c r="J21" s="3" t="str">
        <f t="shared" si="0"/>
        <v>0120005</v>
      </c>
    </row>
    <row r="22" spans="2:10" s="3" customFormat="1">
      <c r="B22" s="3" t="s">
        <v>2095</v>
      </c>
      <c r="C22" s="8">
        <v>2</v>
      </c>
      <c r="D22" s="3" t="s">
        <v>2192</v>
      </c>
      <c r="E22" s="11" t="s">
        <v>10</v>
      </c>
      <c r="F22" s="10">
        <v>5.3200000000000003E-4</v>
      </c>
      <c r="G22" s="12">
        <f>ROUND(G$3*F22,0)</f>
        <v>153</v>
      </c>
      <c r="H22" s="13">
        <f>ROUND(G22/2,0)</f>
        <v>77</v>
      </c>
      <c r="I22" s="12">
        <f>+G22-H22</f>
        <v>76</v>
      </c>
      <c r="J22" s="3" t="str">
        <f t="shared" si="0"/>
        <v>0120005</v>
      </c>
    </row>
    <row r="23" spans="2:10" s="3" customFormat="1">
      <c r="B23" s="3" t="s">
        <v>2095</v>
      </c>
      <c r="C23" s="8">
        <v>2</v>
      </c>
      <c r="D23" s="3" t="s">
        <v>2192</v>
      </c>
      <c r="E23" s="11" t="s">
        <v>11</v>
      </c>
      <c r="F23" s="10">
        <v>2.7599999999999999E-4</v>
      </c>
      <c r="G23" s="12">
        <f>ROUND(G$3*F23,0)</f>
        <v>79</v>
      </c>
      <c r="H23" s="13">
        <f>ROUND(G23/2,0)</f>
        <v>40</v>
      </c>
      <c r="I23" s="12">
        <f>+G23-H23</f>
        <v>39</v>
      </c>
      <c r="J23" s="3" t="str">
        <f t="shared" si="0"/>
        <v>0120005</v>
      </c>
    </row>
    <row r="24" spans="2:10" s="3" customFormat="1">
      <c r="B24" s="3" t="s">
        <v>2095</v>
      </c>
      <c r="C24" s="8">
        <v>2</v>
      </c>
      <c r="D24" s="3" t="s">
        <v>2193</v>
      </c>
      <c r="E24" s="11" t="s">
        <v>16</v>
      </c>
      <c r="F24" s="10"/>
      <c r="G24" s="9"/>
      <c r="H24" s="11"/>
      <c r="I24" s="11"/>
      <c r="J24" s="3" t="str">
        <f t="shared" si="0"/>
        <v>0120006</v>
      </c>
    </row>
    <row r="25" spans="2:10" s="3" customFormat="1">
      <c r="B25" s="3" t="s">
        <v>2095</v>
      </c>
      <c r="C25" s="8">
        <v>2</v>
      </c>
      <c r="D25" s="3" t="s">
        <v>2193</v>
      </c>
      <c r="E25" s="11" t="s">
        <v>10</v>
      </c>
      <c r="F25" s="10">
        <v>1.634E-3</v>
      </c>
      <c r="G25" s="12">
        <f>ROUND(G$3*F25,0)</f>
        <v>470</v>
      </c>
      <c r="H25" s="13">
        <f>ROUND(G25/2,0)</f>
        <v>235</v>
      </c>
      <c r="I25" s="12">
        <f>+G25-H25</f>
        <v>235</v>
      </c>
      <c r="J25" s="3" t="str">
        <f t="shared" si="0"/>
        <v>0120006</v>
      </c>
    </row>
    <row r="26" spans="2:10" s="3" customFormat="1">
      <c r="B26" s="3" t="s">
        <v>2095</v>
      </c>
      <c r="C26" s="8">
        <v>2</v>
      </c>
      <c r="D26" s="3" t="s">
        <v>2193</v>
      </c>
      <c r="E26" s="11" t="s">
        <v>11</v>
      </c>
      <c r="F26" s="10">
        <v>1.8699999999999999E-4</v>
      </c>
      <c r="G26" s="12">
        <f>ROUND(G$3*F26,0)</f>
        <v>54</v>
      </c>
      <c r="H26" s="13">
        <f>ROUND(G26/2,0)</f>
        <v>27</v>
      </c>
      <c r="I26" s="12">
        <f>+G26-H26</f>
        <v>27</v>
      </c>
      <c r="J26" s="3" t="str">
        <f t="shared" si="0"/>
        <v>0120006</v>
      </c>
    </row>
    <row r="27" spans="2:10" s="3" customFormat="1">
      <c r="B27" s="3" t="s">
        <v>2095</v>
      </c>
      <c r="C27" s="8">
        <v>2</v>
      </c>
      <c r="D27" s="3" t="s">
        <v>2194</v>
      </c>
      <c r="E27" s="11" t="s">
        <v>17</v>
      </c>
      <c r="F27" s="10"/>
      <c r="G27" s="9"/>
      <c r="H27" s="11"/>
      <c r="I27" s="11"/>
      <c r="J27" s="3" t="str">
        <f t="shared" si="0"/>
        <v>0120007</v>
      </c>
    </row>
    <row r="28" spans="2:10" s="3" customFormat="1">
      <c r="B28" s="3" t="s">
        <v>2095</v>
      </c>
      <c r="C28" s="8">
        <v>2</v>
      </c>
      <c r="D28" s="3" t="s">
        <v>2194</v>
      </c>
      <c r="E28" s="11" t="s">
        <v>10</v>
      </c>
      <c r="F28" s="10">
        <v>5.6099999999999998E-4</v>
      </c>
      <c r="G28" s="12">
        <f>ROUND(G$3*F28,0)</f>
        <v>161</v>
      </c>
      <c r="H28" s="13">
        <f>ROUND(G28/2,0)</f>
        <v>81</v>
      </c>
      <c r="I28" s="12">
        <f>+G28-H28</f>
        <v>80</v>
      </c>
      <c r="J28" s="3" t="str">
        <f t="shared" si="0"/>
        <v>0120007</v>
      </c>
    </row>
    <row r="29" spans="2:10" s="3" customFormat="1">
      <c r="B29" s="3" t="s">
        <v>2095</v>
      </c>
      <c r="C29" s="8">
        <v>2</v>
      </c>
      <c r="D29" s="3" t="s">
        <v>2194</v>
      </c>
      <c r="E29" s="11" t="s">
        <v>11</v>
      </c>
      <c r="F29" s="10">
        <v>3.3300000000000002E-4</v>
      </c>
      <c r="G29" s="12">
        <f>ROUND(G$3*F29,0)</f>
        <v>96</v>
      </c>
      <c r="H29" s="13">
        <f>ROUND(G29/2,0)</f>
        <v>48</v>
      </c>
      <c r="I29" s="12">
        <f>+G29-H29</f>
        <v>48</v>
      </c>
      <c r="J29" s="3" t="str">
        <f t="shared" si="0"/>
        <v>0120007</v>
      </c>
    </row>
    <row r="30" spans="2:10" s="3" customFormat="1">
      <c r="B30" s="3" t="s">
        <v>2095</v>
      </c>
      <c r="C30" s="8">
        <v>2</v>
      </c>
      <c r="D30" s="3" t="s">
        <v>2195</v>
      </c>
      <c r="E30" s="11" t="s">
        <v>18</v>
      </c>
      <c r="F30" s="10"/>
      <c r="G30" s="9"/>
      <c r="H30" s="11"/>
      <c r="I30" s="11"/>
      <c r="J30" s="3" t="str">
        <f t="shared" si="0"/>
        <v>0120008</v>
      </c>
    </row>
    <row r="31" spans="2:10" s="3" customFormat="1">
      <c r="B31" s="3" t="s">
        <v>2095</v>
      </c>
      <c r="C31" s="8">
        <v>2</v>
      </c>
      <c r="D31" s="3" t="s">
        <v>2195</v>
      </c>
      <c r="E31" s="11" t="s">
        <v>10</v>
      </c>
      <c r="F31" s="10">
        <v>1.843E-3</v>
      </c>
      <c r="G31" s="12">
        <f>ROUND(G$3*F31,0)</f>
        <v>530</v>
      </c>
      <c r="H31" s="13">
        <f>ROUND(G31/2,0)</f>
        <v>265</v>
      </c>
      <c r="I31" s="12">
        <f>+G31-H31</f>
        <v>265</v>
      </c>
      <c r="J31" s="3" t="str">
        <f t="shared" si="0"/>
        <v>0120008</v>
      </c>
    </row>
    <row r="32" spans="2:10" s="3" customFormat="1">
      <c r="B32" s="3" t="s">
        <v>2095</v>
      </c>
      <c r="C32" s="8">
        <v>2</v>
      </c>
      <c r="D32" s="3" t="s">
        <v>2195</v>
      </c>
      <c r="E32" s="11" t="s">
        <v>11</v>
      </c>
      <c r="F32" s="10">
        <v>1.27E-4</v>
      </c>
      <c r="G32" s="12">
        <f>ROUND(G$3*F32,0)</f>
        <v>37</v>
      </c>
      <c r="H32" s="13">
        <f>ROUND(G32/2,0)</f>
        <v>19</v>
      </c>
      <c r="I32" s="12">
        <f>+G32-H32</f>
        <v>18</v>
      </c>
      <c r="J32" s="3" t="str">
        <f t="shared" si="0"/>
        <v>0120008</v>
      </c>
    </row>
    <row r="33" spans="2:10" s="3" customFormat="1">
      <c r="B33" s="3" t="s">
        <v>2095</v>
      </c>
      <c r="C33" s="8">
        <v>2</v>
      </c>
      <c r="D33" s="3" t="s">
        <v>2196</v>
      </c>
      <c r="E33" s="11" t="s">
        <v>19</v>
      </c>
      <c r="F33" s="10"/>
      <c r="G33" s="9"/>
      <c r="H33" s="11"/>
      <c r="I33" s="11"/>
      <c r="J33" s="3" t="str">
        <f t="shared" si="0"/>
        <v>0120009</v>
      </c>
    </row>
    <row r="34" spans="2:10" s="3" customFormat="1">
      <c r="B34" s="3" t="s">
        <v>2095</v>
      </c>
      <c r="C34" s="8">
        <v>2</v>
      </c>
      <c r="D34" s="3" t="s">
        <v>2196</v>
      </c>
      <c r="E34" s="11" t="s">
        <v>10</v>
      </c>
      <c r="F34" s="10">
        <v>4.8099999999999998E-4</v>
      </c>
      <c r="G34" s="12">
        <f>ROUND(G$3*F34,0)</f>
        <v>138</v>
      </c>
      <c r="H34" s="13">
        <f>ROUND(G34/2,0)</f>
        <v>69</v>
      </c>
      <c r="I34" s="12">
        <f>+G34-H34</f>
        <v>69</v>
      </c>
      <c r="J34" s="3" t="str">
        <f t="shared" si="0"/>
        <v>0120009</v>
      </c>
    </row>
    <row r="35" spans="2:10" s="3" customFormat="1">
      <c r="B35" s="3" t="s">
        <v>2095</v>
      </c>
      <c r="C35" s="8">
        <v>2</v>
      </c>
      <c r="D35" s="3" t="s">
        <v>2196</v>
      </c>
      <c r="E35" s="11" t="s">
        <v>11</v>
      </c>
      <c r="F35" s="10">
        <v>1.7100000000000001E-4</v>
      </c>
      <c r="G35" s="12">
        <f>ROUND(G$3*F35,0)</f>
        <v>49</v>
      </c>
      <c r="H35" s="13">
        <f>ROUND(G35/2,0)</f>
        <v>25</v>
      </c>
      <c r="I35" s="12">
        <f>+G35-H35</f>
        <v>24</v>
      </c>
      <c r="J35" s="3" t="str">
        <f t="shared" si="0"/>
        <v>0120009</v>
      </c>
    </row>
    <row r="36" spans="2:10" s="3" customFormat="1">
      <c r="B36" s="3" t="s">
        <v>2095</v>
      </c>
      <c r="C36" s="8">
        <v>2</v>
      </c>
      <c r="D36" s="3" t="s">
        <v>2197</v>
      </c>
      <c r="E36" s="11" t="s">
        <v>20</v>
      </c>
      <c r="F36" s="10"/>
      <c r="G36" s="9"/>
      <c r="H36" s="11"/>
      <c r="I36" s="11"/>
      <c r="J36" s="3" t="str">
        <f t="shared" si="0"/>
        <v>0120010</v>
      </c>
    </row>
    <row r="37" spans="2:10" s="3" customFormat="1">
      <c r="B37" s="3" t="s">
        <v>2095</v>
      </c>
      <c r="C37" s="8">
        <v>2</v>
      </c>
      <c r="D37" s="3" t="s">
        <v>2197</v>
      </c>
      <c r="E37" s="11" t="s">
        <v>10</v>
      </c>
      <c r="F37" s="10">
        <v>2.7599999999999999E-4</v>
      </c>
      <c r="G37" s="12">
        <f>ROUND(G$3*F37,0)</f>
        <v>79</v>
      </c>
      <c r="H37" s="13">
        <f>ROUND(G37/2,0)</f>
        <v>40</v>
      </c>
      <c r="I37" s="12">
        <f>+G37-H37</f>
        <v>39</v>
      </c>
      <c r="J37" s="3" t="str">
        <f t="shared" si="0"/>
        <v>0120010</v>
      </c>
    </row>
    <row r="38" spans="2:10" s="3" customFormat="1">
      <c r="B38" s="3" t="s">
        <v>2095</v>
      </c>
      <c r="C38" s="8">
        <v>2</v>
      </c>
      <c r="D38" s="3" t="s">
        <v>2197</v>
      </c>
      <c r="E38" s="11" t="s">
        <v>11</v>
      </c>
      <c r="F38" s="10">
        <v>6.9999999999999994E-5</v>
      </c>
      <c r="G38" s="12">
        <f>ROUND(G$3*F38,0)</f>
        <v>20</v>
      </c>
      <c r="H38" s="13">
        <f>ROUND(G38/2,0)</f>
        <v>10</v>
      </c>
      <c r="I38" s="12">
        <f>+G38-H38</f>
        <v>10</v>
      </c>
      <c r="J38" s="3" t="str">
        <f t="shared" si="0"/>
        <v>0120010</v>
      </c>
    </row>
    <row r="39" spans="2:10" s="3" customFormat="1">
      <c r="B39" s="3" t="s">
        <v>2095</v>
      </c>
      <c r="C39" s="8">
        <v>2</v>
      </c>
      <c r="D39" s="3" t="s">
        <v>2198</v>
      </c>
      <c r="E39" s="11" t="s">
        <v>21</v>
      </c>
      <c r="F39" s="10"/>
      <c r="G39" s="9"/>
      <c r="H39" s="11"/>
      <c r="I39" s="11"/>
      <c r="J39" s="3" t="str">
        <f t="shared" si="0"/>
        <v>0120011</v>
      </c>
    </row>
    <row r="40" spans="2:10" s="3" customFormat="1">
      <c r="B40" s="3" t="s">
        <v>2095</v>
      </c>
      <c r="C40" s="8">
        <v>2</v>
      </c>
      <c r="D40" s="3" t="s">
        <v>2198</v>
      </c>
      <c r="E40" s="11" t="s">
        <v>10</v>
      </c>
      <c r="F40" s="10">
        <v>2.5300000000000002E-4</v>
      </c>
      <c r="G40" s="12">
        <f>ROUND(G$3*F40,0)</f>
        <v>73</v>
      </c>
      <c r="H40" s="13">
        <f>ROUND(G40/2,0)</f>
        <v>37</v>
      </c>
      <c r="I40" s="12">
        <f>+G40-H40</f>
        <v>36</v>
      </c>
      <c r="J40" s="3" t="str">
        <f t="shared" si="0"/>
        <v>0120011</v>
      </c>
    </row>
    <row r="41" spans="2:10" s="3" customFormat="1">
      <c r="B41" s="3" t="s">
        <v>2095</v>
      </c>
      <c r="C41" s="8">
        <v>2</v>
      </c>
      <c r="D41" s="3" t="s">
        <v>2198</v>
      </c>
      <c r="E41" s="11" t="s">
        <v>11</v>
      </c>
      <c r="F41" s="10">
        <v>1.5999999999999999E-5</v>
      </c>
      <c r="G41" s="12">
        <f>ROUND(G$3*F41,0)</f>
        <v>5</v>
      </c>
      <c r="H41" s="13">
        <f>ROUND(G41/2,0)</f>
        <v>3</v>
      </c>
      <c r="I41" s="12">
        <f>+G41-H41</f>
        <v>2</v>
      </c>
      <c r="J41" s="3" t="str">
        <f t="shared" si="0"/>
        <v>0120011</v>
      </c>
    </row>
    <row r="42" spans="2:10" s="3" customFormat="1">
      <c r="B42" s="3" t="s">
        <v>2095</v>
      </c>
      <c r="C42" s="8">
        <v>2</v>
      </c>
      <c r="D42" s="3" t="s">
        <v>2199</v>
      </c>
      <c r="E42" s="11" t="s">
        <v>22</v>
      </c>
      <c r="F42" s="10"/>
      <c r="G42" s="9"/>
      <c r="H42" s="11"/>
      <c r="I42" s="11"/>
      <c r="J42" s="3" t="str">
        <f t="shared" si="0"/>
        <v>0120012</v>
      </c>
    </row>
    <row r="43" spans="2:10" s="3" customFormat="1">
      <c r="B43" s="3" t="s">
        <v>2095</v>
      </c>
      <c r="C43" s="8">
        <v>2</v>
      </c>
      <c r="D43" s="3" t="s">
        <v>2199</v>
      </c>
      <c r="E43" s="11" t="s">
        <v>10</v>
      </c>
      <c r="F43" s="10">
        <v>7.2880000000000002E-3</v>
      </c>
      <c r="G43" s="12">
        <f t="shared" ref="G43:G49" si="1">ROUND(G$3*F43,0)</f>
        <v>2097</v>
      </c>
      <c r="H43" s="13">
        <f t="shared" ref="H43:H48" si="2">ROUND(G43/2,0)</f>
        <v>1049</v>
      </c>
      <c r="I43" s="12">
        <f t="shared" ref="I43:I48" si="3">+G43-H43</f>
        <v>1048</v>
      </c>
      <c r="J43" s="3" t="str">
        <f t="shared" si="0"/>
        <v>0120012</v>
      </c>
    </row>
    <row r="44" spans="2:10" s="3" customFormat="1">
      <c r="B44" s="3" t="s">
        <v>2095</v>
      </c>
      <c r="C44" s="8">
        <v>2</v>
      </c>
      <c r="D44" s="3" t="s">
        <v>2199</v>
      </c>
      <c r="E44" s="11" t="s">
        <v>11</v>
      </c>
      <c r="F44" s="10">
        <v>2.72E-4</v>
      </c>
      <c r="G44" s="12">
        <f t="shared" si="1"/>
        <v>78</v>
      </c>
      <c r="H44" s="13">
        <f t="shared" si="2"/>
        <v>39</v>
      </c>
      <c r="I44" s="12">
        <f t="shared" si="3"/>
        <v>39</v>
      </c>
      <c r="J44" s="3" t="str">
        <f t="shared" si="0"/>
        <v>0120012</v>
      </c>
    </row>
    <row r="45" spans="2:10" s="3" customFormat="1">
      <c r="B45" s="3" t="s">
        <v>2095</v>
      </c>
      <c r="C45" s="8">
        <v>3</v>
      </c>
      <c r="D45" s="3" t="s">
        <v>2201</v>
      </c>
      <c r="E45" s="11" t="s">
        <v>23</v>
      </c>
      <c r="F45" s="10">
        <v>3.4845000000000001E-2</v>
      </c>
      <c r="G45" s="12">
        <f t="shared" si="1"/>
        <v>10026</v>
      </c>
      <c r="H45" s="13">
        <f t="shared" si="2"/>
        <v>5013</v>
      </c>
      <c r="I45" s="12">
        <f t="shared" si="3"/>
        <v>5013</v>
      </c>
      <c r="J45" s="3" t="str">
        <f t="shared" si="0"/>
        <v>0130453</v>
      </c>
    </row>
    <row r="46" spans="2:10" s="3" customFormat="1">
      <c r="B46" s="3" t="s">
        <v>2095</v>
      </c>
      <c r="C46" s="8">
        <v>3</v>
      </c>
      <c r="D46" s="3" t="s">
        <v>2200</v>
      </c>
      <c r="E46" s="11" t="s">
        <v>24</v>
      </c>
      <c r="F46" s="10">
        <v>9.1036000000000006E-2</v>
      </c>
      <c r="G46" s="12">
        <f t="shared" si="1"/>
        <v>26193</v>
      </c>
      <c r="H46" s="13">
        <f t="shared" si="2"/>
        <v>13097</v>
      </c>
      <c r="I46" s="12">
        <f t="shared" si="3"/>
        <v>13096</v>
      </c>
      <c r="J46" s="3" t="str">
        <f t="shared" si="0"/>
        <v>0130407</v>
      </c>
    </row>
    <row r="47" spans="2:10" s="3" customFormat="1">
      <c r="B47" s="3" t="s">
        <v>2095</v>
      </c>
      <c r="C47" s="8">
        <v>3</v>
      </c>
      <c r="D47" s="3" t="s">
        <v>2202</v>
      </c>
      <c r="E47" s="11" t="s">
        <v>25</v>
      </c>
      <c r="F47" s="10">
        <v>1.457E-3</v>
      </c>
      <c r="G47" s="12">
        <f t="shared" si="1"/>
        <v>419</v>
      </c>
      <c r="H47" s="13">
        <f t="shared" si="2"/>
        <v>210</v>
      </c>
      <c r="I47" s="12">
        <f t="shared" si="3"/>
        <v>209</v>
      </c>
      <c r="J47" s="3" t="str">
        <f t="shared" si="0"/>
        <v>0130520</v>
      </c>
    </row>
    <row r="48" spans="2:10" s="3" customFormat="1">
      <c r="B48" s="3" t="s">
        <v>2095</v>
      </c>
      <c r="C48" s="8">
        <v>3</v>
      </c>
      <c r="D48" s="3" t="s">
        <v>2203</v>
      </c>
      <c r="E48" s="11" t="s">
        <v>26</v>
      </c>
      <c r="F48" s="10">
        <v>6.0369999999999998E-3</v>
      </c>
      <c r="G48" s="12">
        <f t="shared" si="1"/>
        <v>1737</v>
      </c>
      <c r="H48" s="13">
        <f t="shared" si="2"/>
        <v>869</v>
      </c>
      <c r="I48" s="12">
        <f t="shared" si="3"/>
        <v>868</v>
      </c>
      <c r="J48" s="3" t="str">
        <f t="shared" si="0"/>
        <v>0130521</v>
      </c>
    </row>
    <row r="49" spans="1:10" s="3" customFormat="1">
      <c r="B49" s="3" t="s">
        <v>2095</v>
      </c>
      <c r="C49" s="8">
        <v>4</v>
      </c>
      <c r="D49" s="116" t="s">
        <v>2204</v>
      </c>
      <c r="E49" s="11" t="s">
        <v>27</v>
      </c>
      <c r="F49" s="10">
        <v>0.13650200000000001</v>
      </c>
      <c r="G49" s="9">
        <f t="shared" si="1"/>
        <v>39275</v>
      </c>
      <c r="H49" s="11">
        <f>ROUND(G49/2,0)</f>
        <v>19638</v>
      </c>
      <c r="I49" s="9">
        <f>+G49-H49</f>
        <v>19637</v>
      </c>
      <c r="J49" s="3" t="str">
        <f t="shared" si="0"/>
        <v>0140015</v>
      </c>
    </row>
    <row r="50" spans="1:10" s="3" customFormat="1">
      <c r="B50" s="3" t="s">
        <v>2095</v>
      </c>
      <c r="C50" s="8">
        <v>4</v>
      </c>
      <c r="D50" s="116" t="s">
        <v>2204</v>
      </c>
      <c r="E50" s="11" t="s">
        <v>28</v>
      </c>
      <c r="F50" s="10"/>
      <c r="G50" s="14">
        <v>0.51348400000000005</v>
      </c>
      <c r="H50" s="11"/>
      <c r="I50" s="11"/>
      <c r="J50" s="3" t="str">
        <f t="shared" si="0"/>
        <v>0140015</v>
      </c>
    </row>
    <row r="51" spans="1:10" s="3" customFormat="1">
      <c r="B51" s="3" t="s">
        <v>2095</v>
      </c>
      <c r="C51" s="8">
        <v>4</v>
      </c>
      <c r="D51" s="116" t="s">
        <v>2204</v>
      </c>
      <c r="E51" s="11" t="s">
        <v>29</v>
      </c>
      <c r="F51" s="10"/>
      <c r="G51" s="15">
        <f>ROUND(G49*G50,0)</f>
        <v>20167</v>
      </c>
      <c r="H51" s="16">
        <f>ROUND(G51/2,0)</f>
        <v>10084</v>
      </c>
      <c r="I51" s="15">
        <f>+G51-H51</f>
        <v>10083</v>
      </c>
      <c r="J51" s="3" t="str">
        <f t="shared" si="0"/>
        <v>0140015</v>
      </c>
    </row>
    <row r="52" spans="1:10" s="3" customFormat="1">
      <c r="B52" s="3" t="s">
        <v>2095</v>
      </c>
      <c r="C52" s="8">
        <v>4</v>
      </c>
      <c r="D52" s="116" t="s">
        <v>2204</v>
      </c>
      <c r="E52" s="11" t="s">
        <v>30</v>
      </c>
      <c r="F52" s="10"/>
      <c r="G52" s="12">
        <f>+G49-G51</f>
        <v>19108</v>
      </c>
      <c r="H52" s="13">
        <f>ROUND(G52/2,0)</f>
        <v>9554</v>
      </c>
      <c r="I52" s="12">
        <f>+G52-H52</f>
        <v>9554</v>
      </c>
      <c r="J52" s="3" t="str">
        <f t="shared" si="0"/>
        <v>0140015</v>
      </c>
    </row>
    <row r="53" spans="1:10" s="3" customFormat="1">
      <c r="B53" s="3" t="s">
        <v>2095</v>
      </c>
      <c r="C53" s="8">
        <v>4</v>
      </c>
      <c r="D53" s="116" t="s">
        <v>2205</v>
      </c>
      <c r="E53" s="11" t="s">
        <v>31</v>
      </c>
      <c r="F53" s="10">
        <v>0.31000299999999997</v>
      </c>
      <c r="G53" s="9">
        <f>ROUND(G$3*F53,0)</f>
        <v>89195</v>
      </c>
      <c r="H53" s="11">
        <f>ROUND(G53/2,0)</f>
        <v>44598</v>
      </c>
      <c r="I53" s="9">
        <f>+G53-H53</f>
        <v>44597</v>
      </c>
      <c r="J53" s="3" t="str">
        <f t="shared" si="0"/>
        <v>0140025</v>
      </c>
    </row>
    <row r="54" spans="1:10" s="3" customFormat="1">
      <c r="B54" s="3" t="s">
        <v>2095</v>
      </c>
      <c r="C54" s="8">
        <v>4</v>
      </c>
      <c r="D54" s="116" t="s">
        <v>2205</v>
      </c>
      <c r="E54" s="11" t="s">
        <v>28</v>
      </c>
      <c r="F54" s="10"/>
      <c r="G54" s="14">
        <v>0.406918</v>
      </c>
      <c r="H54" s="11"/>
      <c r="I54" s="11"/>
      <c r="J54" s="3" t="str">
        <f t="shared" si="0"/>
        <v>0140025</v>
      </c>
    </row>
    <row r="55" spans="1:10" s="3" customFormat="1">
      <c r="B55" s="3" t="s">
        <v>2095</v>
      </c>
      <c r="C55" s="8">
        <v>4</v>
      </c>
      <c r="D55" s="116" t="s">
        <v>2205</v>
      </c>
      <c r="E55" s="11" t="s">
        <v>29</v>
      </c>
      <c r="F55" s="10"/>
      <c r="G55" s="15">
        <f>ROUND(G53*G54,0)</f>
        <v>36295</v>
      </c>
      <c r="H55" s="16">
        <f>ROUND(G55/2,0)</f>
        <v>18148</v>
      </c>
      <c r="I55" s="15">
        <f>+G55-H55</f>
        <v>18147</v>
      </c>
      <c r="J55" s="3" t="str">
        <f t="shared" si="0"/>
        <v>0140025</v>
      </c>
    </row>
    <row r="56" spans="1:10" s="3" customFormat="1">
      <c r="B56" s="3" t="s">
        <v>2095</v>
      </c>
      <c r="C56" s="8">
        <v>4</v>
      </c>
      <c r="D56" s="116" t="s">
        <v>2205</v>
      </c>
      <c r="E56" s="11" t="s">
        <v>30</v>
      </c>
      <c r="F56" s="10"/>
      <c r="G56" s="12">
        <f>+G53-G55</f>
        <v>52900</v>
      </c>
      <c r="H56" s="13">
        <f>ROUND(G56/2,0)</f>
        <v>26450</v>
      </c>
      <c r="I56" s="12">
        <f>+G56-H56</f>
        <v>26450</v>
      </c>
      <c r="J56" s="3" t="str">
        <f t="shared" si="0"/>
        <v>0140025</v>
      </c>
    </row>
    <row r="57" spans="1:10" s="3" customFormat="1">
      <c r="B57" s="3" t="s">
        <v>2095</v>
      </c>
      <c r="C57" s="8">
        <v>4</v>
      </c>
      <c r="D57" s="116" t="s">
        <v>2206</v>
      </c>
      <c r="E57" s="11" t="s">
        <v>32</v>
      </c>
      <c r="F57" s="10">
        <v>0.14466399999999999</v>
      </c>
      <c r="G57" s="9">
        <f>ROUND(G$3*F57,0)</f>
        <v>41623</v>
      </c>
      <c r="H57" s="11">
        <f>ROUND(G57/2,0)</f>
        <v>20812</v>
      </c>
      <c r="I57" s="9">
        <f>+G57-H57</f>
        <v>20811</v>
      </c>
      <c r="J57" s="3" t="str">
        <f t="shared" si="0"/>
        <v>0140035</v>
      </c>
    </row>
    <row r="58" spans="1:10" s="3" customFormat="1">
      <c r="B58" s="3" t="s">
        <v>2095</v>
      </c>
      <c r="C58" s="8">
        <v>4</v>
      </c>
      <c r="D58" s="116" t="s">
        <v>2206</v>
      </c>
      <c r="E58" s="11" t="s">
        <v>28</v>
      </c>
      <c r="F58" s="10"/>
      <c r="G58" s="14">
        <v>0.45625399999999999</v>
      </c>
      <c r="H58" s="11"/>
      <c r="I58" s="11"/>
      <c r="J58" s="3" t="str">
        <f t="shared" si="0"/>
        <v>0140035</v>
      </c>
    </row>
    <row r="59" spans="1:10" s="3" customFormat="1">
      <c r="B59" s="3" t="s">
        <v>2095</v>
      </c>
      <c r="C59" s="8">
        <v>4</v>
      </c>
      <c r="D59" s="116" t="s">
        <v>2206</v>
      </c>
      <c r="E59" s="11" t="s">
        <v>29</v>
      </c>
      <c r="F59" s="10"/>
      <c r="G59" s="15">
        <f>ROUND(G57*G58,0)</f>
        <v>18991</v>
      </c>
      <c r="H59" s="16">
        <f t="shared" ref="H59:H64" si="4">ROUND(G59/2,0)</f>
        <v>9496</v>
      </c>
      <c r="I59" s="15">
        <f t="shared" ref="I59:I64" si="5">+G59-H59</f>
        <v>9495</v>
      </c>
      <c r="J59" s="3" t="str">
        <f t="shared" si="0"/>
        <v>0140035</v>
      </c>
    </row>
    <row r="60" spans="1:10" s="3" customFormat="1">
      <c r="B60" s="3" t="s">
        <v>2095</v>
      </c>
      <c r="C60" s="8">
        <v>4</v>
      </c>
      <c r="D60" s="116" t="s">
        <v>2206</v>
      </c>
      <c r="E60" s="11" t="s">
        <v>30</v>
      </c>
      <c r="F60" s="10"/>
      <c r="G60" s="12">
        <f>+G57-G59</f>
        <v>22632</v>
      </c>
      <c r="H60" s="13">
        <f t="shared" si="4"/>
        <v>11316</v>
      </c>
      <c r="I60" s="12">
        <f t="shared" si="5"/>
        <v>11316</v>
      </c>
      <c r="J60" s="3" t="str">
        <f t="shared" si="0"/>
        <v>0140035</v>
      </c>
    </row>
    <row r="61" spans="1:10" s="3" customFormat="1">
      <c r="B61" s="3" t="s">
        <v>2095</v>
      </c>
      <c r="C61" s="8">
        <v>5</v>
      </c>
      <c r="D61" s="3" t="s">
        <v>2188</v>
      </c>
      <c r="E61" s="11" t="s">
        <v>33</v>
      </c>
      <c r="F61" s="10">
        <v>1.0836E-2</v>
      </c>
      <c r="G61" s="120">
        <f>ROUND(G$3*F61,0)</f>
        <v>3118</v>
      </c>
      <c r="H61" s="120">
        <f t="shared" si="4"/>
        <v>1559</v>
      </c>
      <c r="I61" s="120">
        <f t="shared" si="5"/>
        <v>1559</v>
      </c>
      <c r="J61" s="3" t="str">
        <f t="shared" si="0"/>
        <v>0150001</v>
      </c>
    </row>
    <row r="62" spans="1:10" s="3" customFormat="1">
      <c r="A62" s="122"/>
      <c r="B62" s="3" t="s">
        <v>2095</v>
      </c>
      <c r="C62" s="8">
        <v>5</v>
      </c>
      <c r="D62" s="125" t="s">
        <v>2207</v>
      </c>
      <c r="E62" s="11" t="s">
        <v>34</v>
      </c>
      <c r="F62" s="10">
        <v>1.6347E-2</v>
      </c>
      <c r="G62" s="120">
        <f>ROUND(G$3*F62,0)</f>
        <v>4703</v>
      </c>
      <c r="H62" s="120">
        <f t="shared" si="4"/>
        <v>2352</v>
      </c>
      <c r="I62" s="120">
        <f t="shared" si="5"/>
        <v>2351</v>
      </c>
      <c r="J62" s="3" t="str">
        <f t="shared" si="0"/>
        <v>0150304</v>
      </c>
    </row>
    <row r="63" spans="1:10" s="3" customFormat="1">
      <c r="A63" s="122"/>
      <c r="B63" s="3" t="s">
        <v>2095</v>
      </c>
      <c r="C63" s="8">
        <v>5</v>
      </c>
      <c r="D63" s="125" t="s">
        <v>2207</v>
      </c>
      <c r="E63" s="11" t="s">
        <v>35</v>
      </c>
      <c r="F63" s="10">
        <v>3.2299999999999999E-4</v>
      </c>
      <c r="G63" s="120">
        <f>ROUND(G$3*F63,0)</f>
        <v>93</v>
      </c>
      <c r="H63" s="120">
        <f t="shared" si="4"/>
        <v>47</v>
      </c>
      <c r="I63" s="120">
        <f t="shared" si="5"/>
        <v>46</v>
      </c>
      <c r="J63" s="3" t="str">
        <f t="shared" si="0"/>
        <v>0150304</v>
      </c>
    </row>
    <row r="64" spans="1:10" s="3" customFormat="1">
      <c r="B64" s="3" t="s">
        <v>2095</v>
      </c>
      <c r="C64" s="8">
        <v>6</v>
      </c>
      <c r="D64" s="3" t="s">
        <v>3171</v>
      </c>
      <c r="E64" s="11" t="s">
        <v>36</v>
      </c>
      <c r="F64" s="10">
        <v>1.6569999999999974E-2</v>
      </c>
      <c r="G64" s="120">
        <f>+G3-SUM(G4:G5)-SUM(G10:G49)-G53-G57-SUM(G61:G63)</f>
        <v>4768</v>
      </c>
      <c r="H64" s="120">
        <f t="shared" si="4"/>
        <v>2384</v>
      </c>
      <c r="I64" s="120">
        <f t="shared" si="5"/>
        <v>2384</v>
      </c>
      <c r="J64" s="3" t="str">
        <f t="shared" si="0"/>
        <v>0161011</v>
      </c>
    </row>
    <row r="65" spans="2:10" s="3" customFormat="1">
      <c r="B65" s="3" t="s">
        <v>2095</v>
      </c>
      <c r="C65" s="8">
        <v>0</v>
      </c>
      <c r="D65" s="125" t="s">
        <v>2187</v>
      </c>
      <c r="E65" s="17" t="s">
        <v>37</v>
      </c>
      <c r="F65" s="10">
        <v>1</v>
      </c>
      <c r="G65" s="12">
        <f>+G4+SUM(G7:G48)+G51+G52+G55+G56+SUM(G59:G64)</f>
        <v>287723</v>
      </c>
      <c r="H65" s="12">
        <f>+H4+SUM(H7:H48)+H51+H52+H55+H56+SUM(H59:H64)</f>
        <v>143873</v>
      </c>
      <c r="I65" s="12">
        <f>+I4+SUM(I7:I48)+I51+I52+I55+I56+SUM(I59:I64)</f>
        <v>143850</v>
      </c>
      <c r="J65" s="3" t="str">
        <f t="shared" si="0"/>
        <v>0100000</v>
      </c>
    </row>
    <row r="66" spans="2:10" s="3" customFormat="1">
      <c r="B66" s="3" t="s">
        <v>2095</v>
      </c>
      <c r="C66" s="8">
        <v>0</v>
      </c>
      <c r="D66" s="3" t="s">
        <v>2187</v>
      </c>
      <c r="E66" s="2" t="s">
        <v>38</v>
      </c>
      <c r="F66" s="4"/>
      <c r="G66" s="19">
        <f>+G4</f>
        <v>361</v>
      </c>
      <c r="H66" s="19">
        <f>+H4</f>
        <v>181</v>
      </c>
      <c r="I66" s="19">
        <f>+I4</f>
        <v>180</v>
      </c>
      <c r="J66" s="3" t="str">
        <f t="shared" si="0"/>
        <v>0100000</v>
      </c>
    </row>
    <row r="67" spans="2:10" s="3" customFormat="1">
      <c r="B67" s="3" t="s">
        <v>2095</v>
      </c>
      <c r="C67" s="8">
        <v>0</v>
      </c>
      <c r="D67" s="3" t="s">
        <v>2187</v>
      </c>
      <c r="E67" s="2" t="s">
        <v>39</v>
      </c>
      <c r="F67" s="4"/>
      <c r="G67" s="19">
        <f>+G7</f>
        <v>10685</v>
      </c>
      <c r="H67" s="19">
        <f>+H7</f>
        <v>5343</v>
      </c>
      <c r="I67" s="19">
        <f>+I7</f>
        <v>5342</v>
      </c>
      <c r="J67" s="3" t="str">
        <f t="shared" si="0"/>
        <v>0100000</v>
      </c>
    </row>
    <row r="68" spans="2:10" s="3" customFormat="1">
      <c r="B68" s="3" t="s">
        <v>2095</v>
      </c>
      <c r="C68" s="8">
        <v>0</v>
      </c>
      <c r="D68" s="3" t="s">
        <v>2187</v>
      </c>
      <c r="E68" s="2" t="s">
        <v>40</v>
      </c>
      <c r="F68" s="4"/>
      <c r="G68" s="19">
        <f>+G51+G55+G59</f>
        <v>75453</v>
      </c>
      <c r="H68" s="19">
        <f>+H51+H55+H59</f>
        <v>37728</v>
      </c>
      <c r="I68" s="19">
        <f>+I51+I55+I59</f>
        <v>37725</v>
      </c>
      <c r="J68" s="3" t="str">
        <f t="shared" ref="J68:J131" si="6">B68&amp;C68&amp;D68</f>
        <v>0100000</v>
      </c>
    </row>
    <row r="69" spans="2:10" s="3" customFormat="1">
      <c r="B69" s="3" t="s">
        <v>2095</v>
      </c>
      <c r="C69" s="8">
        <v>0</v>
      </c>
      <c r="D69" s="125" t="s">
        <v>2187</v>
      </c>
      <c r="E69" s="2" t="s">
        <v>41</v>
      </c>
      <c r="F69" s="4"/>
      <c r="G69" s="19">
        <f>+G65-G66-G67-G68</f>
        <v>201224</v>
      </c>
      <c r="H69" s="19">
        <f>+H65-H66-H67-H68</f>
        <v>100621</v>
      </c>
      <c r="I69" s="19">
        <f>+I65-I66-I67-I68</f>
        <v>100603</v>
      </c>
      <c r="J69" s="3" t="str">
        <f t="shared" si="6"/>
        <v>0100000</v>
      </c>
    </row>
    <row r="70" spans="2:10" ht="15.75">
      <c r="B70" s="3" t="s">
        <v>2186</v>
      </c>
      <c r="D70" t="s">
        <v>2186</v>
      </c>
      <c r="E70">
        <v>0</v>
      </c>
      <c r="G70"/>
      <c r="H70"/>
      <c r="I70"/>
      <c r="J70" s="3" t="str">
        <f t="shared" si="6"/>
        <v/>
      </c>
    </row>
    <row r="71" spans="2:10" s="3" customFormat="1">
      <c r="C71" s="1"/>
      <c r="D71" s="3" t="s">
        <v>2186</v>
      </c>
      <c r="E71" s="2" t="s">
        <v>43</v>
      </c>
      <c r="J71" s="3" t="str">
        <f t="shared" si="6"/>
        <v/>
      </c>
    </row>
    <row r="72" spans="2:10" s="22" customFormat="1" ht="45.75" customHeight="1">
      <c r="B72" s="3" t="s">
        <v>2186</v>
      </c>
      <c r="C72" s="21"/>
      <c r="D72" s="22" t="s">
        <v>2186</v>
      </c>
      <c r="E72" s="21">
        <v>0</v>
      </c>
      <c r="F72" s="6" t="s">
        <v>1</v>
      </c>
      <c r="G72" s="60">
        <f>'Allocation Worksheet'!H73</f>
        <v>0</v>
      </c>
      <c r="H72" s="60">
        <f>'Allocation Worksheet'!H74</f>
        <v>0</v>
      </c>
      <c r="I72" s="60">
        <f>'Allocation Worksheet'!H75</f>
        <v>0</v>
      </c>
      <c r="J72" s="3" t="str">
        <f t="shared" si="6"/>
        <v/>
      </c>
    </row>
    <row r="73" spans="2:10" s="3" customFormat="1">
      <c r="C73" s="7" t="s">
        <v>2087</v>
      </c>
      <c r="D73" s="3" t="s">
        <v>2186</v>
      </c>
      <c r="E73" s="7" t="s">
        <v>3</v>
      </c>
      <c r="F73" s="10"/>
      <c r="G73" s="23">
        <f>'Allocation Worksheet'!$D$5</f>
        <v>3709709</v>
      </c>
      <c r="H73" s="11"/>
      <c r="I73" s="11"/>
      <c r="J73" s="3" t="str">
        <f t="shared" si="6"/>
        <v>UT</v>
      </c>
    </row>
    <row r="74" spans="2:10" s="3" customFormat="1">
      <c r="B74" s="3" t="s">
        <v>2089</v>
      </c>
      <c r="C74" s="8">
        <v>0</v>
      </c>
      <c r="D74" s="3" t="s">
        <v>2187</v>
      </c>
      <c r="E74" s="11" t="s">
        <v>4</v>
      </c>
      <c r="F74" s="10">
        <v>1.039E-3</v>
      </c>
      <c r="G74" s="25">
        <f>ROUND(G$3*F74,0)</f>
        <v>299</v>
      </c>
      <c r="H74" s="13">
        <f>+ROUND(G74/2,0)</f>
        <v>150</v>
      </c>
      <c r="I74" s="12">
        <f>+G74-H74</f>
        <v>149</v>
      </c>
      <c r="J74" s="3" t="str">
        <f t="shared" si="6"/>
        <v>0200000</v>
      </c>
    </row>
    <row r="75" spans="2:10" s="3" customFormat="1">
      <c r="B75" s="3" t="s">
        <v>2089</v>
      </c>
      <c r="C75" s="8">
        <v>1</v>
      </c>
      <c r="D75" s="3" t="s">
        <v>2187</v>
      </c>
      <c r="E75" s="11" t="s">
        <v>44</v>
      </c>
      <c r="F75" s="10">
        <v>0.18340300000000001</v>
      </c>
      <c r="G75" s="23">
        <f>ROUND(G$3*F75,0)</f>
        <v>52769</v>
      </c>
      <c r="H75" s="11">
        <f>+ROUND(G75/2,0)</f>
        <v>26385</v>
      </c>
      <c r="I75" s="9">
        <f>+G75-H75</f>
        <v>26384</v>
      </c>
      <c r="J75" s="3" t="str">
        <f t="shared" si="6"/>
        <v>0210000</v>
      </c>
    </row>
    <row r="76" spans="2:10" s="3" customFormat="1">
      <c r="B76" s="3" t="s">
        <v>2089</v>
      </c>
      <c r="C76" s="8">
        <v>1</v>
      </c>
      <c r="D76" s="3" t="s">
        <v>2187</v>
      </c>
      <c r="E76" s="11" t="s">
        <v>6</v>
      </c>
      <c r="F76" s="11"/>
      <c r="G76" s="26">
        <v>0.28551700000000002</v>
      </c>
      <c r="H76" s="11"/>
      <c r="I76" s="11"/>
      <c r="J76" s="3" t="str">
        <f t="shared" si="6"/>
        <v>0210000</v>
      </c>
    </row>
    <row r="77" spans="2:10" s="3" customFormat="1">
      <c r="B77" s="3" t="s">
        <v>2089</v>
      </c>
      <c r="C77" s="8">
        <v>1</v>
      </c>
      <c r="D77" s="3" t="s">
        <v>2187</v>
      </c>
      <c r="E77" s="11" t="s">
        <v>7</v>
      </c>
      <c r="F77" s="11"/>
      <c r="G77" s="27">
        <f>ROUND(G75*G76,0)</f>
        <v>15066</v>
      </c>
      <c r="H77" s="16">
        <f>+ROUND(G77/2,0)</f>
        <v>7533</v>
      </c>
      <c r="I77" s="15">
        <f>+G77-H77</f>
        <v>7533</v>
      </c>
      <c r="J77" s="3" t="str">
        <f t="shared" si="6"/>
        <v>0210000</v>
      </c>
    </row>
    <row r="78" spans="2:10" s="3" customFormat="1">
      <c r="B78" s="3" t="s">
        <v>2089</v>
      </c>
      <c r="C78" s="8">
        <v>1</v>
      </c>
      <c r="D78" s="3" t="s">
        <v>2187</v>
      </c>
      <c r="E78" s="11" t="s">
        <v>8</v>
      </c>
      <c r="F78" s="11"/>
      <c r="G78" s="25">
        <f>+G75-G77</f>
        <v>37703</v>
      </c>
      <c r="H78" s="13">
        <f>+ROUND(G78/2,0)</f>
        <v>18852</v>
      </c>
      <c r="I78" s="12">
        <f>+G78-H78</f>
        <v>18851</v>
      </c>
      <c r="J78" s="3" t="str">
        <f t="shared" si="6"/>
        <v>0210000</v>
      </c>
    </row>
    <row r="79" spans="2:10" s="3" customFormat="1">
      <c r="B79" s="3" t="s">
        <v>2089</v>
      </c>
      <c r="C79" s="8">
        <v>2</v>
      </c>
      <c r="D79" s="3" t="s">
        <v>2188</v>
      </c>
      <c r="E79" s="11" t="s">
        <v>45</v>
      </c>
      <c r="F79" s="11"/>
      <c r="G79" s="23"/>
      <c r="H79" s="11"/>
      <c r="I79" s="11"/>
      <c r="J79" s="3" t="str">
        <f t="shared" si="6"/>
        <v>0220001</v>
      </c>
    </row>
    <row r="80" spans="2:10" s="3" customFormat="1">
      <c r="B80" s="3" t="s">
        <v>2089</v>
      </c>
      <c r="C80" s="8">
        <v>2</v>
      </c>
      <c r="D80" s="3" t="s">
        <v>2188</v>
      </c>
      <c r="E80" s="11" t="s">
        <v>10</v>
      </c>
      <c r="F80" s="10">
        <v>2.7399999999999999E-4</v>
      </c>
      <c r="G80" s="25">
        <f>ROUND(G$3*F80,0)</f>
        <v>79</v>
      </c>
      <c r="H80" s="13">
        <f>+ROUND(G80/2,0)</f>
        <v>40</v>
      </c>
      <c r="I80" s="12">
        <f>+G80-H80</f>
        <v>39</v>
      </c>
      <c r="J80" s="3" t="str">
        <f t="shared" si="6"/>
        <v>0220001</v>
      </c>
    </row>
    <row r="81" spans="2:10" s="3" customFormat="1">
      <c r="B81" s="3" t="s">
        <v>2089</v>
      </c>
      <c r="C81" s="8">
        <v>2</v>
      </c>
      <c r="D81" s="3" t="s">
        <v>2188</v>
      </c>
      <c r="E81" s="11" t="s">
        <v>11</v>
      </c>
      <c r="F81" s="10">
        <v>4.8999999999999998E-5</v>
      </c>
      <c r="G81" s="25">
        <f>ROUND(G$3*F81,0)</f>
        <v>14</v>
      </c>
      <c r="H81" s="13">
        <f>+ROUND(G81/2,0)</f>
        <v>7</v>
      </c>
      <c r="I81" s="12">
        <f>+G81-H81</f>
        <v>7</v>
      </c>
      <c r="J81" s="3" t="str">
        <f t="shared" si="6"/>
        <v>0220001</v>
      </c>
    </row>
    <row r="82" spans="2:10" s="3" customFormat="1">
      <c r="B82" s="3" t="s">
        <v>2089</v>
      </c>
      <c r="C82" s="8">
        <v>2</v>
      </c>
      <c r="D82" s="3" t="s">
        <v>2189</v>
      </c>
      <c r="E82" s="11" t="s">
        <v>46</v>
      </c>
      <c r="F82" s="11"/>
      <c r="G82" s="23"/>
      <c r="H82" s="11"/>
      <c r="I82" s="11"/>
      <c r="J82" s="3" t="str">
        <f t="shared" si="6"/>
        <v>0220002</v>
      </c>
    </row>
    <row r="83" spans="2:10" s="3" customFormat="1">
      <c r="B83" s="3" t="s">
        <v>2089</v>
      </c>
      <c r="C83" s="8">
        <v>2</v>
      </c>
      <c r="D83" s="3" t="s">
        <v>2189</v>
      </c>
      <c r="E83" s="11" t="s">
        <v>10</v>
      </c>
      <c r="F83" s="10">
        <v>2.6359999999999999E-3</v>
      </c>
      <c r="G83" s="25">
        <f>ROUND(G$3*F83,0)</f>
        <v>758</v>
      </c>
      <c r="H83" s="13">
        <f>+ROUND(G83/2,0)</f>
        <v>379</v>
      </c>
      <c r="I83" s="12">
        <f>+G83-H83</f>
        <v>379</v>
      </c>
      <c r="J83" s="3" t="str">
        <f t="shared" si="6"/>
        <v>0220002</v>
      </c>
    </row>
    <row r="84" spans="2:10" s="3" customFormat="1">
      <c r="B84" s="3" t="s">
        <v>2089</v>
      </c>
      <c r="C84" s="8">
        <v>2</v>
      </c>
      <c r="D84" s="3" t="s">
        <v>2189</v>
      </c>
      <c r="E84" s="11" t="s">
        <v>11</v>
      </c>
      <c r="F84" s="10">
        <v>8.6000000000000003E-5</v>
      </c>
      <c r="G84" s="25">
        <f>ROUND(G$3*F84,0)</f>
        <v>25</v>
      </c>
      <c r="H84" s="13">
        <f>+ROUND(G84/2,0)</f>
        <v>13</v>
      </c>
      <c r="I84" s="12">
        <f>+G84-H84</f>
        <v>12</v>
      </c>
      <c r="J84" s="3" t="str">
        <f t="shared" si="6"/>
        <v>0220002</v>
      </c>
    </row>
    <row r="85" spans="2:10" s="3" customFormat="1">
      <c r="B85" s="3" t="s">
        <v>2089</v>
      </c>
      <c r="C85" s="8">
        <v>2</v>
      </c>
      <c r="D85" s="3" t="s">
        <v>2190</v>
      </c>
      <c r="E85" s="11" t="s">
        <v>47</v>
      </c>
      <c r="F85" s="11"/>
      <c r="G85" s="23"/>
      <c r="H85" s="11"/>
      <c r="I85" s="11"/>
      <c r="J85" s="3" t="str">
        <f t="shared" si="6"/>
        <v>0220003</v>
      </c>
    </row>
    <row r="86" spans="2:10" s="3" customFormat="1">
      <c r="B86" s="3" t="s">
        <v>2089</v>
      </c>
      <c r="C86" s="8">
        <v>2</v>
      </c>
      <c r="D86" s="3" t="s">
        <v>2190</v>
      </c>
      <c r="E86" s="11" t="s">
        <v>10</v>
      </c>
      <c r="F86" s="10">
        <v>9.7E-5</v>
      </c>
      <c r="G86" s="25">
        <f>ROUND(G$3*F86,0)</f>
        <v>28</v>
      </c>
      <c r="H86" s="13">
        <f>+ROUND(G86/2,0)</f>
        <v>14</v>
      </c>
      <c r="I86" s="12">
        <f>+G86-H86</f>
        <v>14</v>
      </c>
      <c r="J86" s="3" t="str">
        <f t="shared" si="6"/>
        <v>0220003</v>
      </c>
    </row>
    <row r="87" spans="2:10" s="3" customFormat="1">
      <c r="B87" s="3" t="s">
        <v>2089</v>
      </c>
      <c r="C87" s="8">
        <v>2</v>
      </c>
      <c r="D87" s="3" t="s">
        <v>2190</v>
      </c>
      <c r="E87" s="11" t="s">
        <v>11</v>
      </c>
      <c r="F87" s="10">
        <v>8.8999999999999995E-5</v>
      </c>
      <c r="G87" s="25">
        <f>ROUND(G$3*F87,0)</f>
        <v>26</v>
      </c>
      <c r="H87" s="13">
        <f>+ROUND(G87/2,0)</f>
        <v>13</v>
      </c>
      <c r="I87" s="12">
        <f>+G87-H87</f>
        <v>13</v>
      </c>
      <c r="J87" s="3" t="str">
        <f t="shared" si="6"/>
        <v>0220003</v>
      </c>
    </row>
    <row r="88" spans="2:10" s="3" customFormat="1">
      <c r="B88" s="3" t="s">
        <v>2089</v>
      </c>
      <c r="C88" s="8">
        <v>2</v>
      </c>
      <c r="D88" s="3" t="s">
        <v>2191</v>
      </c>
      <c r="E88" s="11" t="s">
        <v>48</v>
      </c>
      <c r="F88" s="11"/>
      <c r="G88" s="23"/>
      <c r="H88" s="11"/>
      <c r="I88" s="11"/>
      <c r="J88" s="3" t="str">
        <f t="shared" si="6"/>
        <v>0220004</v>
      </c>
    </row>
    <row r="89" spans="2:10" s="3" customFormat="1">
      <c r="B89" s="3" t="s">
        <v>2089</v>
      </c>
      <c r="C89" s="8">
        <v>2</v>
      </c>
      <c r="D89" s="3" t="s">
        <v>2191</v>
      </c>
      <c r="E89" s="11" t="s">
        <v>10</v>
      </c>
      <c r="F89" s="10">
        <v>9.0000000000000006E-5</v>
      </c>
      <c r="G89" s="25">
        <f>ROUND(G$3*F89,0)</f>
        <v>26</v>
      </c>
      <c r="H89" s="13">
        <f>+ROUND(G89/2,0)</f>
        <v>13</v>
      </c>
      <c r="I89" s="12">
        <f>+G89-H89</f>
        <v>13</v>
      </c>
      <c r="J89" s="3" t="str">
        <f t="shared" si="6"/>
        <v>0220004</v>
      </c>
    </row>
    <row r="90" spans="2:10" s="3" customFormat="1">
      <c r="B90" s="3" t="s">
        <v>2089</v>
      </c>
      <c r="C90" s="8">
        <v>2</v>
      </c>
      <c r="D90" s="3" t="s">
        <v>2191</v>
      </c>
      <c r="E90" s="11" t="s">
        <v>11</v>
      </c>
      <c r="F90" s="10">
        <v>5.1999999999999997E-5</v>
      </c>
      <c r="G90" s="25">
        <f>ROUND(G$3*F90,0)</f>
        <v>15</v>
      </c>
      <c r="H90" s="13">
        <f>+ROUND(G90/2,0)</f>
        <v>8</v>
      </c>
      <c r="I90" s="12">
        <f>+G90-H90</f>
        <v>7</v>
      </c>
      <c r="J90" s="3" t="str">
        <f t="shared" si="6"/>
        <v>0220004</v>
      </c>
    </row>
    <row r="91" spans="2:10" s="3" customFormat="1">
      <c r="B91" s="3" t="s">
        <v>2089</v>
      </c>
      <c r="C91" s="8">
        <v>2</v>
      </c>
      <c r="D91" s="3" t="s">
        <v>2192</v>
      </c>
      <c r="E91" s="11" t="s">
        <v>49</v>
      </c>
      <c r="F91" s="11"/>
      <c r="G91" s="23"/>
      <c r="H91" s="11"/>
      <c r="I91" s="11"/>
      <c r="J91" s="3" t="str">
        <f t="shared" si="6"/>
        <v>0220005</v>
      </c>
    </row>
    <row r="92" spans="2:10" s="3" customFormat="1">
      <c r="B92" s="3" t="s">
        <v>2089</v>
      </c>
      <c r="C92" s="8">
        <v>2</v>
      </c>
      <c r="D92" s="3" t="s">
        <v>2192</v>
      </c>
      <c r="E92" s="11" t="s">
        <v>10</v>
      </c>
      <c r="F92" s="10">
        <v>3.3000000000000003E-5</v>
      </c>
      <c r="G92" s="25">
        <f>ROUND(G$3*F92,0)</f>
        <v>9</v>
      </c>
      <c r="H92" s="13">
        <f>+ROUND(G92/2,0)</f>
        <v>5</v>
      </c>
      <c r="I92" s="12">
        <f>+G92-H92</f>
        <v>4</v>
      </c>
      <c r="J92" s="3" t="str">
        <f t="shared" si="6"/>
        <v>0220005</v>
      </c>
    </row>
    <row r="93" spans="2:10" s="3" customFormat="1">
      <c r="B93" s="3" t="s">
        <v>2089</v>
      </c>
      <c r="C93" s="8">
        <v>2</v>
      </c>
      <c r="D93" s="3" t="s">
        <v>2192</v>
      </c>
      <c r="E93" s="11" t="s">
        <v>11</v>
      </c>
      <c r="F93" s="10">
        <v>2.3E-5</v>
      </c>
      <c r="G93" s="25">
        <f>ROUND(G$3*F93,0)</f>
        <v>7</v>
      </c>
      <c r="H93" s="13">
        <f>+ROUND(G93/2,0)</f>
        <v>4</v>
      </c>
      <c r="I93" s="12">
        <f>+G93-H93</f>
        <v>3</v>
      </c>
      <c r="J93" s="3" t="str">
        <f t="shared" si="6"/>
        <v>0220005</v>
      </c>
    </row>
    <row r="94" spans="2:10" s="3" customFormat="1">
      <c r="B94" s="3" t="s">
        <v>2089</v>
      </c>
      <c r="C94" s="8">
        <v>2</v>
      </c>
      <c r="D94" s="3" t="s">
        <v>2193</v>
      </c>
      <c r="E94" s="11" t="s">
        <v>14</v>
      </c>
      <c r="F94" s="11"/>
      <c r="G94" s="23"/>
      <c r="H94" s="11"/>
      <c r="I94" s="11"/>
      <c r="J94" s="3" t="str">
        <f t="shared" si="6"/>
        <v>0220006</v>
      </c>
    </row>
    <row r="95" spans="2:10" s="3" customFormat="1">
      <c r="B95" s="3" t="s">
        <v>2089</v>
      </c>
      <c r="C95" s="8">
        <v>2</v>
      </c>
      <c r="D95" s="3" t="s">
        <v>2193</v>
      </c>
      <c r="E95" s="11" t="s">
        <v>10</v>
      </c>
      <c r="F95" s="10">
        <v>9.7E-5</v>
      </c>
      <c r="G95" s="25">
        <f>ROUND(G$3*F95,0)</f>
        <v>28</v>
      </c>
      <c r="H95" s="13">
        <f>+ROUND(G95/2,0)</f>
        <v>14</v>
      </c>
      <c r="I95" s="12">
        <f>+G95-H95</f>
        <v>14</v>
      </c>
      <c r="J95" s="3" t="str">
        <f t="shared" si="6"/>
        <v>0220006</v>
      </c>
    </row>
    <row r="96" spans="2:10" s="3" customFormat="1">
      <c r="B96" s="3" t="s">
        <v>2089</v>
      </c>
      <c r="C96" s="8">
        <v>2</v>
      </c>
      <c r="D96" s="3" t="s">
        <v>2193</v>
      </c>
      <c r="E96" s="11" t="s">
        <v>11</v>
      </c>
      <c r="F96" s="10">
        <v>1.1E-5</v>
      </c>
      <c r="G96" s="25">
        <f>ROUND(G$3*F96,0)</f>
        <v>3</v>
      </c>
      <c r="H96" s="13">
        <f>+ROUND(G96/2,0)</f>
        <v>2</v>
      </c>
      <c r="I96" s="12">
        <f>+G96-H96</f>
        <v>1</v>
      </c>
      <c r="J96" s="3" t="str">
        <f t="shared" si="6"/>
        <v>0220006</v>
      </c>
    </row>
    <row r="97" spans="1:10" s="3" customFormat="1">
      <c r="B97" s="3" t="s">
        <v>2089</v>
      </c>
      <c r="C97" s="8">
        <v>2</v>
      </c>
      <c r="D97" s="3" t="s">
        <v>2194</v>
      </c>
      <c r="E97" s="11" t="s">
        <v>50</v>
      </c>
      <c r="F97" s="11"/>
      <c r="G97" s="23"/>
      <c r="H97" s="11"/>
      <c r="I97" s="11"/>
      <c r="J97" s="3" t="str">
        <f t="shared" si="6"/>
        <v>0220007</v>
      </c>
    </row>
    <row r="98" spans="1:10" s="3" customFormat="1">
      <c r="B98" s="3" t="s">
        <v>2089</v>
      </c>
      <c r="C98" s="8">
        <v>2</v>
      </c>
      <c r="D98" s="3" t="s">
        <v>2194</v>
      </c>
      <c r="E98" s="11" t="s">
        <v>10</v>
      </c>
      <c r="F98" s="10">
        <v>2.0999999999999999E-5</v>
      </c>
      <c r="G98" s="25">
        <f>ROUND(G$3*F98,0)</f>
        <v>6</v>
      </c>
      <c r="H98" s="13">
        <f>+ROUND(G98/2,0)</f>
        <v>3</v>
      </c>
      <c r="I98" s="12">
        <f>+G98-H98</f>
        <v>3</v>
      </c>
      <c r="J98" s="3" t="str">
        <f t="shared" si="6"/>
        <v>0220007</v>
      </c>
    </row>
    <row r="99" spans="1:10" s="3" customFormat="1">
      <c r="A99" s="3" t="s">
        <v>6269</v>
      </c>
      <c r="B99" s="3" t="s">
        <v>2089</v>
      </c>
      <c r="C99" s="8">
        <v>2</v>
      </c>
      <c r="D99" s="3" t="s">
        <v>2194</v>
      </c>
      <c r="E99" s="11" t="s">
        <v>11</v>
      </c>
      <c r="F99" s="10">
        <v>0</v>
      </c>
      <c r="G99" s="25">
        <f>ROUND(G$3*F99,0)</f>
        <v>0</v>
      </c>
      <c r="H99" s="13">
        <f>+ROUND(G99/2,0)</f>
        <v>0</v>
      </c>
      <c r="I99" s="12">
        <f>+G99-H99</f>
        <v>0</v>
      </c>
      <c r="J99" s="3" t="str">
        <f t="shared" si="6"/>
        <v>0220007</v>
      </c>
    </row>
    <row r="100" spans="1:10" s="3" customFormat="1">
      <c r="B100" s="3" t="s">
        <v>2089</v>
      </c>
      <c r="C100" s="8">
        <v>2</v>
      </c>
      <c r="D100" s="3" t="s">
        <v>2195</v>
      </c>
      <c r="E100" s="11" t="s">
        <v>51</v>
      </c>
      <c r="F100" s="11"/>
      <c r="G100" s="23"/>
      <c r="H100" s="11"/>
      <c r="I100" s="11"/>
      <c r="J100" s="3" t="str">
        <f t="shared" si="6"/>
        <v>0220008</v>
      </c>
    </row>
    <row r="101" spans="1:10" s="3" customFormat="1">
      <c r="B101" s="3" t="s">
        <v>2089</v>
      </c>
      <c r="C101" s="8">
        <v>2</v>
      </c>
      <c r="D101" s="3" t="s">
        <v>2195</v>
      </c>
      <c r="E101" s="11" t="s">
        <v>10</v>
      </c>
      <c r="F101" s="10">
        <v>1.9900000000000001E-4</v>
      </c>
      <c r="G101" s="25">
        <f>ROUND(G$3*F101,0)</f>
        <v>57</v>
      </c>
      <c r="H101" s="13">
        <f>+ROUND(G101/2,0)</f>
        <v>29</v>
      </c>
      <c r="I101" s="12">
        <f>+G101-H101</f>
        <v>28</v>
      </c>
      <c r="J101" s="3" t="str">
        <f t="shared" si="6"/>
        <v>0220008</v>
      </c>
    </row>
    <row r="102" spans="1:10" s="3" customFormat="1">
      <c r="B102" s="3" t="s">
        <v>2089</v>
      </c>
      <c r="C102" s="8">
        <v>2</v>
      </c>
      <c r="D102" s="3" t="s">
        <v>2195</v>
      </c>
      <c r="E102" s="11" t="s">
        <v>11</v>
      </c>
      <c r="F102" s="10">
        <v>8.5000000000000006E-5</v>
      </c>
      <c r="G102" s="25">
        <f>ROUND(G$3*F102,0)</f>
        <v>24</v>
      </c>
      <c r="H102" s="13">
        <f>+ROUND(G102/2,0)</f>
        <v>12</v>
      </c>
      <c r="I102" s="12">
        <f>+G102-H102</f>
        <v>12</v>
      </c>
      <c r="J102" s="3" t="str">
        <f t="shared" si="6"/>
        <v>0220008</v>
      </c>
    </row>
    <row r="103" spans="1:10" s="3" customFormat="1">
      <c r="B103" s="3" t="s">
        <v>2089</v>
      </c>
      <c r="C103" s="8">
        <v>2</v>
      </c>
      <c r="D103" s="3" t="s">
        <v>2196</v>
      </c>
      <c r="E103" s="11" t="s">
        <v>52</v>
      </c>
      <c r="F103" s="11"/>
      <c r="G103" s="23"/>
      <c r="H103" s="11"/>
      <c r="I103" s="11"/>
      <c r="J103" s="3" t="str">
        <f t="shared" si="6"/>
        <v>0220009</v>
      </c>
    </row>
    <row r="104" spans="1:10" s="3" customFormat="1">
      <c r="B104" s="3" t="s">
        <v>2089</v>
      </c>
      <c r="C104" s="8">
        <v>2</v>
      </c>
      <c r="D104" s="3" t="s">
        <v>2196</v>
      </c>
      <c r="E104" s="11" t="s">
        <v>10</v>
      </c>
      <c r="F104" s="10">
        <v>4.1999999999999998E-5</v>
      </c>
      <c r="G104" s="25">
        <f>ROUND(G$3*F104,0)</f>
        <v>12</v>
      </c>
      <c r="H104" s="13">
        <f>+ROUND(G104/2,0)</f>
        <v>6</v>
      </c>
      <c r="I104" s="12">
        <f>+G104-H104</f>
        <v>6</v>
      </c>
      <c r="J104" s="3" t="str">
        <f t="shared" si="6"/>
        <v>0220009</v>
      </c>
    </row>
    <row r="105" spans="1:10" s="3" customFormat="1">
      <c r="B105" s="3" t="s">
        <v>2089</v>
      </c>
      <c r="C105" s="8">
        <v>2</v>
      </c>
      <c r="D105" s="3" t="s">
        <v>2196</v>
      </c>
      <c r="E105" s="11" t="s">
        <v>11</v>
      </c>
      <c r="F105" s="10">
        <v>3.3000000000000003E-5</v>
      </c>
      <c r="G105" s="25">
        <f>ROUND(G$3*F105,0)</f>
        <v>9</v>
      </c>
      <c r="H105" s="13">
        <f>+ROUND(G105/2,0)</f>
        <v>5</v>
      </c>
      <c r="I105" s="12">
        <f>+G105-H105</f>
        <v>4</v>
      </c>
      <c r="J105" s="3" t="str">
        <f t="shared" si="6"/>
        <v>0220009</v>
      </c>
    </row>
    <row r="106" spans="1:10" s="3" customFormat="1">
      <c r="B106" s="3" t="s">
        <v>2089</v>
      </c>
      <c r="C106" s="8">
        <v>2</v>
      </c>
      <c r="D106" s="3" t="s">
        <v>2197</v>
      </c>
      <c r="E106" s="11" t="s">
        <v>53</v>
      </c>
      <c r="F106" s="11"/>
      <c r="G106" s="23"/>
      <c r="H106" s="11"/>
      <c r="I106" s="11"/>
      <c r="J106" s="3" t="str">
        <f t="shared" si="6"/>
        <v>0220010</v>
      </c>
    </row>
    <row r="107" spans="1:10" s="3" customFormat="1">
      <c r="B107" s="3" t="s">
        <v>2089</v>
      </c>
      <c r="C107" s="8">
        <v>2</v>
      </c>
      <c r="D107" s="3" t="s">
        <v>2197</v>
      </c>
      <c r="E107" s="11" t="s">
        <v>10</v>
      </c>
      <c r="F107" s="10">
        <v>1.5E-5</v>
      </c>
      <c r="G107" s="25">
        <f>ROUND(G$3*F107,0)</f>
        <v>4</v>
      </c>
      <c r="H107" s="13">
        <f>+ROUND(G107/2,0)</f>
        <v>2</v>
      </c>
      <c r="I107" s="12">
        <f>+G107-H107</f>
        <v>2</v>
      </c>
      <c r="J107" s="3" t="str">
        <f t="shared" si="6"/>
        <v>0220010</v>
      </c>
    </row>
    <row r="108" spans="1:10" s="3" customFormat="1">
      <c r="B108" s="3" t="s">
        <v>2089</v>
      </c>
      <c r="C108" s="8">
        <v>2</v>
      </c>
      <c r="D108" s="3" t="s">
        <v>2197</v>
      </c>
      <c r="E108" s="11" t="s">
        <v>11</v>
      </c>
      <c r="F108" s="10">
        <v>1.2E-5</v>
      </c>
      <c r="G108" s="25">
        <f>ROUND(G$3*F108,0)</f>
        <v>3</v>
      </c>
      <c r="H108" s="13">
        <f>+ROUND(G108/2,0)</f>
        <v>2</v>
      </c>
      <c r="I108" s="12">
        <f>+G108-H108</f>
        <v>1</v>
      </c>
      <c r="J108" s="3" t="str">
        <f t="shared" si="6"/>
        <v>0220010</v>
      </c>
    </row>
    <row r="109" spans="1:10" s="3" customFormat="1">
      <c r="B109" s="3" t="s">
        <v>2089</v>
      </c>
      <c r="C109" s="8">
        <v>2</v>
      </c>
      <c r="D109" s="3" t="s">
        <v>2198</v>
      </c>
      <c r="E109" s="11" t="s">
        <v>54</v>
      </c>
      <c r="F109" s="11"/>
      <c r="G109" s="23"/>
      <c r="H109" s="11"/>
      <c r="I109" s="11"/>
      <c r="J109" s="3" t="str">
        <f t="shared" si="6"/>
        <v>0220011</v>
      </c>
    </row>
    <row r="110" spans="1:10" s="3" customFormat="1">
      <c r="B110" s="3" t="s">
        <v>2089</v>
      </c>
      <c r="C110" s="8">
        <v>2</v>
      </c>
      <c r="D110" s="3" t="s">
        <v>2198</v>
      </c>
      <c r="E110" s="11" t="s">
        <v>10</v>
      </c>
      <c r="F110" s="10">
        <v>1.4100000000000001E-4</v>
      </c>
      <c r="G110" s="25">
        <f>ROUND(G$3*F110,0)</f>
        <v>41</v>
      </c>
      <c r="H110" s="13">
        <f>+ROUND(G110/2,0)</f>
        <v>21</v>
      </c>
      <c r="I110" s="12">
        <f>+G110-H110</f>
        <v>20</v>
      </c>
      <c r="J110" s="3" t="str">
        <f t="shared" si="6"/>
        <v>0220011</v>
      </c>
    </row>
    <row r="111" spans="1:10" s="3" customFormat="1">
      <c r="B111" s="3" t="s">
        <v>2089</v>
      </c>
      <c r="C111" s="8">
        <v>2</v>
      </c>
      <c r="D111" s="3" t="s">
        <v>2198</v>
      </c>
      <c r="E111" s="11" t="s">
        <v>11</v>
      </c>
      <c r="F111" s="10">
        <v>5.3000000000000001E-5</v>
      </c>
      <c r="G111" s="25">
        <f>ROUND(G$3*F111,0)</f>
        <v>15</v>
      </c>
      <c r="H111" s="13">
        <f>+ROUND(G111/2,0)</f>
        <v>8</v>
      </c>
      <c r="I111" s="12">
        <f>+G111-H111</f>
        <v>7</v>
      </c>
      <c r="J111" s="3" t="str">
        <f t="shared" si="6"/>
        <v>0220011</v>
      </c>
    </row>
    <row r="112" spans="1:10" s="3" customFormat="1">
      <c r="B112" s="3" t="s">
        <v>2089</v>
      </c>
      <c r="C112" s="8">
        <v>2</v>
      </c>
      <c r="D112" s="3" t="s">
        <v>2199</v>
      </c>
      <c r="E112" s="11" t="s">
        <v>55</v>
      </c>
      <c r="F112" s="11"/>
      <c r="G112" s="23"/>
      <c r="H112" s="11"/>
      <c r="I112" s="11"/>
      <c r="J112" s="3" t="str">
        <f t="shared" si="6"/>
        <v>0220012</v>
      </c>
    </row>
    <row r="113" spans="1:10" s="3" customFormat="1">
      <c r="B113" s="3" t="s">
        <v>2089</v>
      </c>
      <c r="C113" s="8">
        <v>2</v>
      </c>
      <c r="D113" s="3" t="s">
        <v>2199</v>
      </c>
      <c r="E113" s="11" t="s">
        <v>10</v>
      </c>
      <c r="F113" s="10">
        <v>4.3000000000000002E-5</v>
      </c>
      <c r="G113" s="25">
        <f>ROUND(G$3*F113,0)</f>
        <v>12</v>
      </c>
      <c r="H113" s="13">
        <f>+ROUND(G113/2,0)</f>
        <v>6</v>
      </c>
      <c r="I113" s="12">
        <f>+G113-H113</f>
        <v>6</v>
      </c>
      <c r="J113" s="3" t="str">
        <f t="shared" si="6"/>
        <v>0220012</v>
      </c>
    </row>
    <row r="114" spans="1:10" s="3" customFormat="1">
      <c r="B114" s="3" t="s">
        <v>2089</v>
      </c>
      <c r="C114" s="8">
        <v>2</v>
      </c>
      <c r="D114" s="3" t="s">
        <v>2199</v>
      </c>
      <c r="E114" s="11" t="s">
        <v>11</v>
      </c>
      <c r="F114" s="10">
        <v>2.5000000000000001E-5</v>
      </c>
      <c r="G114" s="25">
        <f>ROUND(G$3*F114,0)</f>
        <v>7</v>
      </c>
      <c r="H114" s="13">
        <f>+ROUND(G114/2,0)</f>
        <v>4</v>
      </c>
      <c r="I114" s="12">
        <f>+G114-H114</f>
        <v>3</v>
      </c>
      <c r="J114" s="3" t="str">
        <f t="shared" si="6"/>
        <v>0220012</v>
      </c>
    </row>
    <row r="115" spans="1:10" s="3" customFormat="1">
      <c r="B115" s="3" t="s">
        <v>2089</v>
      </c>
      <c r="C115" s="8">
        <v>2</v>
      </c>
      <c r="D115" s="3" t="s">
        <v>2208</v>
      </c>
      <c r="E115" s="11" t="s">
        <v>16</v>
      </c>
      <c r="F115" s="11"/>
      <c r="G115" s="23"/>
      <c r="H115" s="11"/>
      <c r="I115" s="11"/>
      <c r="J115" s="3" t="str">
        <f t="shared" si="6"/>
        <v>0220013</v>
      </c>
    </row>
    <row r="116" spans="1:10" s="3" customFormat="1">
      <c r="B116" s="3" t="s">
        <v>2089</v>
      </c>
      <c r="C116" s="8">
        <v>2</v>
      </c>
      <c r="D116" s="3" t="s">
        <v>2208</v>
      </c>
      <c r="E116" s="11" t="s">
        <v>10</v>
      </c>
      <c r="F116" s="10">
        <v>2.9E-5</v>
      </c>
      <c r="G116" s="25">
        <f>ROUND(G$3*F116,0)</f>
        <v>8</v>
      </c>
      <c r="H116" s="13">
        <f>+ROUND(G116/2,0)</f>
        <v>4</v>
      </c>
      <c r="I116" s="12">
        <f>+G116-H116</f>
        <v>4</v>
      </c>
      <c r="J116" s="3" t="str">
        <f t="shared" si="6"/>
        <v>0220013</v>
      </c>
    </row>
    <row r="117" spans="1:10" s="3" customFormat="1">
      <c r="B117" s="3" t="s">
        <v>2089</v>
      </c>
      <c r="C117" s="8">
        <v>2</v>
      </c>
      <c r="D117" s="3" t="s">
        <v>2208</v>
      </c>
      <c r="E117" s="11" t="s">
        <v>11</v>
      </c>
      <c r="F117" s="10">
        <v>1.2E-5</v>
      </c>
      <c r="G117" s="25">
        <f>ROUND(G$3*F117,0)</f>
        <v>3</v>
      </c>
      <c r="H117" s="13">
        <f>+ROUND(G117/2,0)</f>
        <v>2</v>
      </c>
      <c r="I117" s="12">
        <f>+G117-H117</f>
        <v>1</v>
      </c>
      <c r="J117" s="3" t="str">
        <f t="shared" si="6"/>
        <v>0220013</v>
      </c>
    </row>
    <row r="118" spans="1:10" s="3" customFormat="1">
      <c r="B118" s="3" t="s">
        <v>2089</v>
      </c>
      <c r="C118" s="8">
        <v>2</v>
      </c>
      <c r="D118" s="3" t="s">
        <v>2209</v>
      </c>
      <c r="E118" s="11" t="s">
        <v>56</v>
      </c>
      <c r="F118" s="11"/>
      <c r="G118" s="23"/>
      <c r="H118" s="11"/>
      <c r="I118" s="11"/>
      <c r="J118" s="3" t="str">
        <f t="shared" si="6"/>
        <v>0220014</v>
      </c>
    </row>
    <row r="119" spans="1:10" s="3" customFormat="1">
      <c r="B119" s="3" t="s">
        <v>2089</v>
      </c>
      <c r="C119" s="8">
        <v>2</v>
      </c>
      <c r="D119" s="3" t="s">
        <v>2209</v>
      </c>
      <c r="E119" s="11" t="s">
        <v>10</v>
      </c>
      <c r="F119" s="10">
        <v>9.7E-5</v>
      </c>
      <c r="G119" s="25">
        <f>ROUND(G$3*F119,0)</f>
        <v>28</v>
      </c>
      <c r="H119" s="13">
        <f>+ROUND(G119/2,0)</f>
        <v>14</v>
      </c>
      <c r="I119" s="12">
        <f>+G119-H119</f>
        <v>14</v>
      </c>
      <c r="J119" s="3" t="str">
        <f t="shared" si="6"/>
        <v>0220014</v>
      </c>
    </row>
    <row r="120" spans="1:10" s="3" customFormat="1">
      <c r="B120" s="3" t="s">
        <v>2089</v>
      </c>
      <c r="C120" s="8">
        <v>2</v>
      </c>
      <c r="D120" s="3" t="s">
        <v>2209</v>
      </c>
      <c r="E120" s="11" t="s">
        <v>11</v>
      </c>
      <c r="F120" s="10">
        <v>1.56E-4</v>
      </c>
      <c r="G120" s="25">
        <f>ROUND(G$3*F120,0)</f>
        <v>45</v>
      </c>
      <c r="H120" s="13">
        <f>+ROUND(G120/2,0)</f>
        <v>23</v>
      </c>
      <c r="I120" s="12">
        <f>+G120-H120</f>
        <v>22</v>
      </c>
      <c r="J120" s="3" t="str">
        <f t="shared" si="6"/>
        <v>0220014</v>
      </c>
    </row>
    <row r="121" spans="1:10" s="3" customFormat="1">
      <c r="B121" s="3" t="s">
        <v>2089</v>
      </c>
      <c r="C121" s="8">
        <v>2</v>
      </c>
      <c r="D121" s="3" t="s">
        <v>2204</v>
      </c>
      <c r="E121" s="11" t="s">
        <v>57</v>
      </c>
      <c r="F121" s="11"/>
      <c r="G121" s="23"/>
      <c r="H121" s="11"/>
      <c r="I121" s="11"/>
      <c r="J121" s="3" t="str">
        <f t="shared" si="6"/>
        <v>0220015</v>
      </c>
    </row>
    <row r="122" spans="1:10" s="3" customFormat="1">
      <c r="B122" s="3" t="s">
        <v>2089</v>
      </c>
      <c r="C122" s="8">
        <v>2</v>
      </c>
      <c r="D122" s="3" t="s">
        <v>2204</v>
      </c>
      <c r="E122" s="11" t="s">
        <v>10</v>
      </c>
      <c r="F122" s="10">
        <v>4.1999999999999998E-5</v>
      </c>
      <c r="G122" s="25">
        <f>ROUND(G$3*F122,0)</f>
        <v>12</v>
      </c>
      <c r="H122" s="13">
        <f>+ROUND(G122/2,0)</f>
        <v>6</v>
      </c>
      <c r="I122" s="12">
        <f>+G122-H122</f>
        <v>6</v>
      </c>
      <c r="J122" s="3" t="str">
        <f t="shared" si="6"/>
        <v>0220015</v>
      </c>
    </row>
    <row r="123" spans="1:10" s="3" customFormat="1">
      <c r="A123" s="3" t="s">
        <v>6269</v>
      </c>
      <c r="B123" s="3" t="s">
        <v>2089</v>
      </c>
      <c r="C123" s="8">
        <v>2</v>
      </c>
      <c r="D123" s="3" t="s">
        <v>2204</v>
      </c>
      <c r="E123" s="11" t="s">
        <v>11</v>
      </c>
      <c r="F123" s="10">
        <v>0</v>
      </c>
      <c r="G123" s="25">
        <f>ROUND(G$3*F123,0)</f>
        <v>0</v>
      </c>
      <c r="H123" s="13">
        <f>+ROUND(G123/2,0)</f>
        <v>0</v>
      </c>
      <c r="I123" s="12">
        <f>+G123-H123</f>
        <v>0</v>
      </c>
      <c r="J123" s="3" t="str">
        <f t="shared" si="6"/>
        <v>0220015</v>
      </c>
    </row>
    <row r="124" spans="1:10" s="3" customFormat="1">
      <c r="B124" s="3" t="s">
        <v>2089</v>
      </c>
      <c r="C124" s="8">
        <v>2</v>
      </c>
      <c r="D124" s="3" t="s">
        <v>2210</v>
      </c>
      <c r="E124" s="11" t="s">
        <v>58</v>
      </c>
      <c r="F124" s="11"/>
      <c r="G124" s="23"/>
      <c r="H124" s="11"/>
      <c r="I124" s="11"/>
      <c r="J124" s="3" t="str">
        <f t="shared" si="6"/>
        <v>0220016</v>
      </c>
    </row>
    <row r="125" spans="1:10" s="3" customFormat="1">
      <c r="B125" s="3" t="s">
        <v>2089</v>
      </c>
      <c r="C125" s="8">
        <v>2</v>
      </c>
      <c r="D125" s="3" t="s">
        <v>2210</v>
      </c>
      <c r="E125" s="11" t="s">
        <v>10</v>
      </c>
      <c r="F125" s="10">
        <v>9.9999999999999995E-7</v>
      </c>
      <c r="G125" s="25">
        <f>ROUND(G$3*F125,0)</f>
        <v>0</v>
      </c>
      <c r="H125" s="13">
        <f>+ROUND(G125/2,0)</f>
        <v>0</v>
      </c>
      <c r="I125" s="12">
        <f>+G125-H125</f>
        <v>0</v>
      </c>
      <c r="J125" s="3" t="str">
        <f t="shared" si="6"/>
        <v>0220016</v>
      </c>
    </row>
    <row r="126" spans="1:10" s="3" customFormat="1">
      <c r="B126" s="3" t="s">
        <v>2089</v>
      </c>
      <c r="C126" s="8">
        <v>2</v>
      </c>
      <c r="D126" s="3" t="s">
        <v>2210</v>
      </c>
      <c r="E126" s="11" t="s">
        <v>11</v>
      </c>
      <c r="F126" s="10">
        <v>9.9999999999999995E-7</v>
      </c>
      <c r="G126" s="25">
        <f>ROUND(G$3*F126,0)</f>
        <v>0</v>
      </c>
      <c r="H126" s="13">
        <f>+ROUND(G126/2,0)</f>
        <v>0</v>
      </c>
      <c r="I126" s="12">
        <f>+G126-H126</f>
        <v>0</v>
      </c>
      <c r="J126" s="3" t="str">
        <f t="shared" si="6"/>
        <v>0220016</v>
      </c>
    </row>
    <row r="127" spans="1:10" s="3" customFormat="1">
      <c r="B127" s="3" t="s">
        <v>2089</v>
      </c>
      <c r="C127" s="8">
        <v>2</v>
      </c>
      <c r="D127" s="3" t="s">
        <v>2211</v>
      </c>
      <c r="E127" s="11" t="s">
        <v>59</v>
      </c>
      <c r="F127" s="11"/>
      <c r="G127" s="23"/>
      <c r="H127" s="11"/>
      <c r="I127" s="11"/>
      <c r="J127" s="3" t="str">
        <f t="shared" si="6"/>
        <v>0220017</v>
      </c>
    </row>
    <row r="128" spans="1:10" s="3" customFormat="1">
      <c r="B128" s="3" t="s">
        <v>2089</v>
      </c>
      <c r="C128" s="8">
        <v>2</v>
      </c>
      <c r="D128" s="3" t="s">
        <v>2211</v>
      </c>
      <c r="E128" s="11" t="s">
        <v>10</v>
      </c>
      <c r="F128" s="10">
        <v>1.5300000000000001E-4</v>
      </c>
      <c r="G128" s="25">
        <f>ROUND(G$3*F128,0)</f>
        <v>44</v>
      </c>
      <c r="H128" s="13">
        <f>+ROUND(G128/2,0)</f>
        <v>22</v>
      </c>
      <c r="I128" s="12">
        <f>+G128-H128</f>
        <v>22</v>
      </c>
      <c r="J128" s="3" t="str">
        <f t="shared" si="6"/>
        <v>0220017</v>
      </c>
    </row>
    <row r="129" spans="1:10" s="3" customFormat="1">
      <c r="B129" s="3" t="s">
        <v>2089</v>
      </c>
      <c r="C129" s="8">
        <v>2</v>
      </c>
      <c r="D129" s="3" t="s">
        <v>2211</v>
      </c>
      <c r="E129" s="11" t="s">
        <v>11</v>
      </c>
      <c r="F129" s="10">
        <v>6.3999999999999997E-5</v>
      </c>
      <c r="G129" s="25">
        <f>ROUND(G$3*F129,0)</f>
        <v>18</v>
      </c>
      <c r="H129" s="13">
        <f>+ROUND(G129/2,0)</f>
        <v>9</v>
      </c>
      <c r="I129" s="12">
        <f>+G129-H129</f>
        <v>9</v>
      </c>
      <c r="J129" s="3" t="str">
        <f t="shared" si="6"/>
        <v>0220017</v>
      </c>
    </row>
    <row r="130" spans="1:10" s="3" customFormat="1">
      <c r="B130" s="3" t="s">
        <v>2089</v>
      </c>
      <c r="C130" s="8">
        <v>2</v>
      </c>
      <c r="D130" s="3" t="s">
        <v>2212</v>
      </c>
      <c r="E130" s="11" t="s">
        <v>60</v>
      </c>
      <c r="F130" s="11"/>
      <c r="G130" s="23"/>
      <c r="H130" s="11"/>
      <c r="I130" s="11"/>
      <c r="J130" s="3" t="str">
        <f t="shared" si="6"/>
        <v>0220018</v>
      </c>
    </row>
    <row r="131" spans="1:10" s="3" customFormat="1">
      <c r="B131" s="3" t="s">
        <v>2089</v>
      </c>
      <c r="C131" s="8">
        <v>2</v>
      </c>
      <c r="D131" s="3" t="s">
        <v>2212</v>
      </c>
      <c r="E131" s="11" t="s">
        <v>10</v>
      </c>
      <c r="F131" s="10">
        <v>2.61E-4</v>
      </c>
      <c r="G131" s="25">
        <f>ROUND(G$3*F131,0)</f>
        <v>75</v>
      </c>
      <c r="H131" s="13">
        <f>+ROUND(G131/2,0)</f>
        <v>38</v>
      </c>
      <c r="I131" s="12">
        <f>+G131-H131</f>
        <v>37</v>
      </c>
      <c r="J131" s="3" t="str">
        <f t="shared" si="6"/>
        <v>0220018</v>
      </c>
    </row>
    <row r="132" spans="1:10" s="3" customFormat="1">
      <c r="B132" s="3" t="s">
        <v>2089</v>
      </c>
      <c r="C132" s="8">
        <v>2</v>
      </c>
      <c r="D132" s="3" t="s">
        <v>2212</v>
      </c>
      <c r="E132" s="11" t="s">
        <v>11</v>
      </c>
      <c r="F132" s="10">
        <v>1.9000000000000001E-5</v>
      </c>
      <c r="G132" s="25">
        <f>ROUND(G$3*F132,0)</f>
        <v>5</v>
      </c>
      <c r="H132" s="13">
        <f>+ROUND(G132/2,0)</f>
        <v>3</v>
      </c>
      <c r="I132" s="12">
        <f>+G132-H132</f>
        <v>2</v>
      </c>
      <c r="J132" s="3" t="str">
        <f t="shared" ref="J132:J195" si="7">B132&amp;C132&amp;D132</f>
        <v>0220018</v>
      </c>
    </row>
    <row r="133" spans="1:10" s="3" customFormat="1">
      <c r="B133" s="3" t="s">
        <v>2089</v>
      </c>
      <c r="C133" s="8">
        <v>2</v>
      </c>
      <c r="D133" s="3" t="s">
        <v>2213</v>
      </c>
      <c r="E133" s="11" t="s">
        <v>22</v>
      </c>
      <c r="F133" s="11"/>
      <c r="G133" s="23"/>
      <c r="H133" s="11"/>
      <c r="I133" s="11"/>
      <c r="J133" s="3" t="str">
        <f t="shared" si="7"/>
        <v>0220019</v>
      </c>
    </row>
    <row r="134" spans="1:10" s="3" customFormat="1">
      <c r="B134" s="3" t="s">
        <v>2089</v>
      </c>
      <c r="C134" s="8">
        <v>2</v>
      </c>
      <c r="D134" s="3" t="s">
        <v>2213</v>
      </c>
      <c r="E134" s="11" t="s">
        <v>10</v>
      </c>
      <c r="F134" s="10">
        <v>1.389E-3</v>
      </c>
      <c r="G134" s="25">
        <f>ROUND(G$3*F134,0)</f>
        <v>400</v>
      </c>
      <c r="H134" s="13">
        <f>+ROUND(G134/2,0)</f>
        <v>200</v>
      </c>
      <c r="I134" s="12">
        <f>+G134-H134</f>
        <v>200</v>
      </c>
      <c r="J134" s="3" t="str">
        <f t="shared" si="7"/>
        <v>0220019</v>
      </c>
    </row>
    <row r="135" spans="1:10" s="3" customFormat="1">
      <c r="B135" s="3" t="s">
        <v>2089</v>
      </c>
      <c r="C135" s="8">
        <v>2</v>
      </c>
      <c r="D135" s="3" t="s">
        <v>2213</v>
      </c>
      <c r="E135" s="11" t="s">
        <v>11</v>
      </c>
      <c r="F135" s="10">
        <v>8.8999999999999995E-5</v>
      </c>
      <c r="G135" s="25">
        <f>ROUND(G$3*F135,0)</f>
        <v>26</v>
      </c>
      <c r="H135" s="13">
        <f>+ROUND(G135/2,0)</f>
        <v>13</v>
      </c>
      <c r="I135" s="12">
        <f>+G135-H135</f>
        <v>13</v>
      </c>
      <c r="J135" s="3" t="str">
        <f t="shared" si="7"/>
        <v>0220019</v>
      </c>
    </row>
    <row r="136" spans="1:10" s="3" customFormat="1">
      <c r="B136" s="3" t="s">
        <v>2089</v>
      </c>
      <c r="C136" s="8">
        <v>2</v>
      </c>
      <c r="D136" s="3" t="s">
        <v>2214</v>
      </c>
      <c r="E136" s="11" t="s">
        <v>61</v>
      </c>
      <c r="F136" s="11"/>
      <c r="G136" s="23"/>
      <c r="H136" s="11"/>
      <c r="I136" s="11"/>
      <c r="J136" s="3" t="str">
        <f t="shared" si="7"/>
        <v>0220020</v>
      </c>
    </row>
    <row r="137" spans="1:10" s="3" customFormat="1">
      <c r="B137" s="3" t="s">
        <v>2089</v>
      </c>
      <c r="C137" s="8">
        <v>2</v>
      </c>
      <c r="D137" s="3" t="s">
        <v>2214</v>
      </c>
      <c r="E137" s="11" t="s">
        <v>10</v>
      </c>
      <c r="F137" s="10">
        <v>1.1211E-2</v>
      </c>
      <c r="G137" s="25">
        <f t="shared" ref="G137:G147" si="8">ROUND(G$3*F137,0)</f>
        <v>3226</v>
      </c>
      <c r="H137" s="13">
        <f t="shared" ref="H137:H147" si="9">+ROUND(G137/2,0)</f>
        <v>1613</v>
      </c>
      <c r="I137" s="12">
        <f t="shared" ref="I137:I147" si="10">+G137-H137</f>
        <v>1613</v>
      </c>
      <c r="J137" s="3" t="str">
        <f t="shared" si="7"/>
        <v>0220020</v>
      </c>
    </row>
    <row r="138" spans="1:10" s="3" customFormat="1">
      <c r="A138" s="3" t="s">
        <v>6269</v>
      </c>
      <c r="B138" s="3" t="s">
        <v>2089</v>
      </c>
      <c r="C138" s="8">
        <v>2</v>
      </c>
      <c r="D138" s="3" t="s">
        <v>2214</v>
      </c>
      <c r="E138" s="11" t="s">
        <v>11</v>
      </c>
      <c r="F138" s="10">
        <v>0</v>
      </c>
      <c r="G138" s="25">
        <f t="shared" si="8"/>
        <v>0</v>
      </c>
      <c r="H138" s="13">
        <f t="shared" si="9"/>
        <v>0</v>
      </c>
      <c r="I138" s="12">
        <f t="shared" si="10"/>
        <v>0</v>
      </c>
      <c r="J138" s="3" t="str">
        <f t="shared" si="7"/>
        <v>0220020</v>
      </c>
    </row>
    <row r="139" spans="1:10" s="3" customFormat="1">
      <c r="B139" s="3" t="s">
        <v>2089</v>
      </c>
      <c r="C139" s="8">
        <v>3</v>
      </c>
      <c r="D139" s="3" t="s">
        <v>2215</v>
      </c>
      <c r="E139" s="11" t="s">
        <v>62</v>
      </c>
      <c r="F139" s="10">
        <v>0.17504900000000001</v>
      </c>
      <c r="G139" s="25">
        <f t="shared" si="8"/>
        <v>50366</v>
      </c>
      <c r="H139" s="13">
        <f t="shared" si="9"/>
        <v>25183</v>
      </c>
      <c r="I139" s="12">
        <f t="shared" si="10"/>
        <v>25183</v>
      </c>
      <c r="J139" s="3" t="str">
        <f t="shared" si="7"/>
        <v>0230100</v>
      </c>
    </row>
    <row r="140" spans="1:10" s="3" customFormat="1">
      <c r="B140" s="3" t="s">
        <v>2089</v>
      </c>
      <c r="C140" s="8">
        <v>3</v>
      </c>
      <c r="D140" s="3" t="s">
        <v>2219</v>
      </c>
      <c r="E140" s="11" t="s">
        <v>63</v>
      </c>
      <c r="F140" s="10">
        <v>1.92E-4</v>
      </c>
      <c r="G140" s="25">
        <f t="shared" si="8"/>
        <v>55</v>
      </c>
      <c r="H140" s="13">
        <f t="shared" si="9"/>
        <v>28</v>
      </c>
      <c r="I140" s="12">
        <f t="shared" si="10"/>
        <v>27</v>
      </c>
      <c r="J140" s="3" t="str">
        <f t="shared" si="7"/>
        <v>0230522</v>
      </c>
    </row>
    <row r="141" spans="1:10" s="3" customFormat="1">
      <c r="B141" s="3" t="s">
        <v>2089</v>
      </c>
      <c r="C141" s="8">
        <v>3</v>
      </c>
      <c r="D141" s="3" t="s">
        <v>3199</v>
      </c>
      <c r="E141" s="11" t="s">
        <v>64</v>
      </c>
      <c r="F141" s="10">
        <v>4.9100000000000001E-4</v>
      </c>
      <c r="G141" s="25">
        <f t="shared" si="8"/>
        <v>141</v>
      </c>
      <c r="H141" s="13">
        <f t="shared" si="9"/>
        <v>71</v>
      </c>
      <c r="I141" s="12">
        <f t="shared" si="10"/>
        <v>70</v>
      </c>
      <c r="J141" s="3" t="str">
        <f t="shared" si="7"/>
        <v>0230523</v>
      </c>
    </row>
    <row r="142" spans="1:10" s="3" customFormat="1">
      <c r="B142" s="3" t="s">
        <v>2089</v>
      </c>
      <c r="C142" s="8">
        <v>3</v>
      </c>
      <c r="D142" s="3" t="s">
        <v>2221</v>
      </c>
      <c r="E142" s="11" t="s">
        <v>65</v>
      </c>
      <c r="F142" s="10">
        <v>6.2200000000000005E-4</v>
      </c>
      <c r="G142" s="25">
        <f t="shared" si="8"/>
        <v>179</v>
      </c>
      <c r="H142" s="13">
        <f t="shared" si="9"/>
        <v>90</v>
      </c>
      <c r="I142" s="12">
        <f t="shared" si="10"/>
        <v>89</v>
      </c>
      <c r="J142" s="3" t="str">
        <f t="shared" si="7"/>
        <v>0230968</v>
      </c>
    </row>
    <row r="143" spans="1:10" s="3" customFormat="1">
      <c r="B143" s="3" t="s">
        <v>2089</v>
      </c>
      <c r="C143" s="8">
        <v>3</v>
      </c>
      <c r="D143" s="3" t="s">
        <v>2220</v>
      </c>
      <c r="E143" s="11" t="s">
        <v>66</v>
      </c>
      <c r="F143" s="10">
        <v>3.1700000000000001E-4</v>
      </c>
      <c r="G143" s="25">
        <f t="shared" si="8"/>
        <v>91</v>
      </c>
      <c r="H143" s="13">
        <f t="shared" si="9"/>
        <v>46</v>
      </c>
      <c r="I143" s="12">
        <f t="shared" si="10"/>
        <v>45</v>
      </c>
      <c r="J143" s="3" t="str">
        <f t="shared" si="7"/>
        <v>0230524</v>
      </c>
    </row>
    <row r="144" spans="1:10" s="3" customFormat="1">
      <c r="B144" s="3" t="s">
        <v>2089</v>
      </c>
      <c r="C144" s="8">
        <v>3</v>
      </c>
      <c r="D144" s="3" t="s">
        <v>2216</v>
      </c>
      <c r="E144" s="11" t="s">
        <v>67</v>
      </c>
      <c r="F144" s="10">
        <v>2.9343999999999999E-2</v>
      </c>
      <c r="G144" s="25">
        <f t="shared" si="8"/>
        <v>8443</v>
      </c>
      <c r="H144" s="13">
        <f t="shared" si="9"/>
        <v>4222</v>
      </c>
      <c r="I144" s="12">
        <f t="shared" si="10"/>
        <v>4221</v>
      </c>
      <c r="J144" s="3" t="str">
        <f t="shared" si="7"/>
        <v>0230424</v>
      </c>
    </row>
    <row r="145" spans="1:10" s="3" customFormat="1">
      <c r="B145" s="3" t="s">
        <v>2089</v>
      </c>
      <c r="C145" s="8">
        <v>3</v>
      </c>
      <c r="D145" s="3" t="s">
        <v>2217</v>
      </c>
      <c r="E145" s="11" t="s">
        <v>68</v>
      </c>
      <c r="F145" s="10">
        <v>2.43E-4</v>
      </c>
      <c r="G145" s="25">
        <f t="shared" si="8"/>
        <v>70</v>
      </c>
      <c r="H145" s="13">
        <f t="shared" si="9"/>
        <v>35</v>
      </c>
      <c r="I145" s="12">
        <f t="shared" si="10"/>
        <v>35</v>
      </c>
      <c r="J145" s="3" t="str">
        <f t="shared" si="7"/>
        <v>0230465</v>
      </c>
    </row>
    <row r="146" spans="1:10" s="3" customFormat="1">
      <c r="A146" s="3" t="s">
        <v>6269</v>
      </c>
      <c r="B146" s="3" t="s">
        <v>2089</v>
      </c>
      <c r="C146" s="8">
        <v>3</v>
      </c>
      <c r="D146" s="3" t="s">
        <v>2218</v>
      </c>
      <c r="E146" s="11" t="s">
        <v>69</v>
      </c>
      <c r="F146" s="10">
        <v>0</v>
      </c>
      <c r="G146" s="25">
        <f t="shared" si="8"/>
        <v>0</v>
      </c>
      <c r="H146" s="13">
        <f t="shared" si="9"/>
        <v>0</v>
      </c>
      <c r="I146" s="12">
        <f t="shared" si="10"/>
        <v>0</v>
      </c>
      <c r="J146" s="3" t="str">
        <f t="shared" si="7"/>
        <v>0230476</v>
      </c>
    </row>
    <row r="147" spans="1:10" s="3" customFormat="1">
      <c r="B147" s="3" t="s">
        <v>2089</v>
      </c>
      <c r="C147" s="8">
        <v>4</v>
      </c>
      <c r="D147" s="116" t="s">
        <v>2225</v>
      </c>
      <c r="E147" s="11" t="s">
        <v>70</v>
      </c>
      <c r="F147" s="10">
        <v>0.124371</v>
      </c>
      <c r="G147" s="23">
        <f t="shared" si="8"/>
        <v>35784</v>
      </c>
      <c r="H147" s="11">
        <f t="shared" si="9"/>
        <v>17892</v>
      </c>
      <c r="I147" s="9">
        <f t="shared" si="10"/>
        <v>17892</v>
      </c>
      <c r="J147" s="3" t="str">
        <f t="shared" si="7"/>
        <v>0240255</v>
      </c>
    </row>
    <row r="148" spans="1:10" s="3" customFormat="1">
      <c r="B148" s="3" t="s">
        <v>2089</v>
      </c>
      <c r="C148" s="8">
        <v>4</v>
      </c>
      <c r="D148" s="116" t="s">
        <v>2225</v>
      </c>
      <c r="E148" s="11" t="s">
        <v>28</v>
      </c>
      <c r="F148" s="11"/>
      <c r="G148" s="26">
        <v>0.45873399999999998</v>
      </c>
      <c r="H148" s="11"/>
      <c r="I148" s="11"/>
      <c r="J148" s="3" t="str">
        <f t="shared" si="7"/>
        <v>0240255</v>
      </c>
    </row>
    <row r="149" spans="1:10" s="3" customFormat="1">
      <c r="B149" s="3" t="s">
        <v>2089</v>
      </c>
      <c r="C149" s="8">
        <v>4</v>
      </c>
      <c r="D149" s="116" t="s">
        <v>2225</v>
      </c>
      <c r="E149" s="11" t="s">
        <v>29</v>
      </c>
      <c r="F149" s="11"/>
      <c r="G149" s="27">
        <f>ROUND(G147*G148,0)</f>
        <v>16415</v>
      </c>
      <c r="H149" s="16">
        <f>+ROUND(G149/2,0)</f>
        <v>8208</v>
      </c>
      <c r="I149" s="15">
        <f>+G149-H149</f>
        <v>8207</v>
      </c>
      <c r="J149" s="3" t="str">
        <f t="shared" si="7"/>
        <v>0240255</v>
      </c>
    </row>
    <row r="150" spans="1:10" s="3" customFormat="1">
      <c r="B150" s="3" t="s">
        <v>2089</v>
      </c>
      <c r="C150" s="8">
        <v>4</v>
      </c>
      <c r="D150" s="116" t="s">
        <v>2225</v>
      </c>
      <c r="E150" s="11" t="s">
        <v>30</v>
      </c>
      <c r="F150" s="11"/>
      <c r="G150" s="25">
        <f>+G147-G149</f>
        <v>19369</v>
      </c>
      <c r="H150" s="13">
        <f>+ROUND(G150/2,0)</f>
        <v>9685</v>
      </c>
      <c r="I150" s="12">
        <f>+G150-H150</f>
        <v>9684</v>
      </c>
      <c r="J150" s="3" t="str">
        <f t="shared" si="7"/>
        <v>0240255</v>
      </c>
    </row>
    <row r="151" spans="1:10" s="3" customFormat="1">
      <c r="B151" s="3" t="s">
        <v>2089</v>
      </c>
      <c r="C151" s="8">
        <v>4</v>
      </c>
      <c r="D151" s="116" t="s">
        <v>2224</v>
      </c>
      <c r="E151" s="11" t="s">
        <v>71</v>
      </c>
      <c r="F151" s="10">
        <v>0.33696700000000002</v>
      </c>
      <c r="G151" s="23">
        <f>ROUND(G$3*F151,0)</f>
        <v>96953</v>
      </c>
      <c r="H151" s="11">
        <f>+ROUND(G151/2,0)</f>
        <v>48477</v>
      </c>
      <c r="I151" s="9">
        <f>+G151-H151</f>
        <v>48476</v>
      </c>
      <c r="J151" s="3" t="str">
        <f t="shared" si="7"/>
        <v>0240235</v>
      </c>
    </row>
    <row r="152" spans="1:10" s="3" customFormat="1">
      <c r="B152" s="3" t="s">
        <v>2089</v>
      </c>
      <c r="C152" s="8">
        <v>4</v>
      </c>
      <c r="D152" s="116" t="s">
        <v>2224</v>
      </c>
      <c r="E152" s="11" t="s">
        <v>28</v>
      </c>
      <c r="F152" s="11"/>
      <c r="G152" s="26">
        <v>0.45568399999999998</v>
      </c>
      <c r="H152" s="11"/>
      <c r="I152" s="11"/>
      <c r="J152" s="3" t="str">
        <f t="shared" si="7"/>
        <v>0240235</v>
      </c>
    </row>
    <row r="153" spans="1:10" s="3" customFormat="1">
      <c r="B153" s="3" t="s">
        <v>2089</v>
      </c>
      <c r="C153" s="8">
        <v>4</v>
      </c>
      <c r="D153" s="116" t="s">
        <v>2224</v>
      </c>
      <c r="E153" s="11" t="s">
        <v>29</v>
      </c>
      <c r="F153" s="11"/>
      <c r="G153" s="27">
        <f>ROUND(G151*G152,0)</f>
        <v>44180</v>
      </c>
      <c r="H153" s="16">
        <f>+ROUND(G153/2,0)</f>
        <v>22090</v>
      </c>
      <c r="I153" s="15">
        <f>+G153-H153</f>
        <v>22090</v>
      </c>
      <c r="J153" s="3" t="str">
        <f t="shared" si="7"/>
        <v>0240235</v>
      </c>
    </row>
    <row r="154" spans="1:10" s="3" customFormat="1">
      <c r="B154" s="3" t="s">
        <v>2089</v>
      </c>
      <c r="C154" s="8">
        <v>4</v>
      </c>
      <c r="D154" s="116" t="s">
        <v>2224</v>
      </c>
      <c r="E154" s="11" t="s">
        <v>30</v>
      </c>
      <c r="F154" s="11"/>
      <c r="G154" s="25">
        <f>+G151-G153</f>
        <v>52773</v>
      </c>
      <c r="H154" s="13">
        <f>+ROUND(G154/2,0)</f>
        <v>26387</v>
      </c>
      <c r="I154" s="12">
        <f>+G154-H154</f>
        <v>26386</v>
      </c>
      <c r="J154" s="3" t="str">
        <f t="shared" si="7"/>
        <v>0240235</v>
      </c>
    </row>
    <row r="155" spans="1:10" s="3" customFormat="1">
      <c r="B155" s="3" t="s">
        <v>2089</v>
      </c>
      <c r="C155" s="8">
        <v>4</v>
      </c>
      <c r="D155" s="116" t="s">
        <v>2222</v>
      </c>
      <c r="E155" s="11" t="s">
        <v>72</v>
      </c>
      <c r="F155" s="10">
        <v>3.2927999999999999E-2</v>
      </c>
      <c r="G155" s="23">
        <f>ROUND(G$3*F155,0)</f>
        <v>9474</v>
      </c>
      <c r="H155" s="11">
        <f>+ROUND(G155/2,0)</f>
        <v>4737</v>
      </c>
      <c r="I155" s="9">
        <f>+G155-H155</f>
        <v>4737</v>
      </c>
      <c r="J155" s="3" t="str">
        <f t="shared" si="7"/>
        <v>0240125</v>
      </c>
    </row>
    <row r="156" spans="1:10" s="3" customFormat="1">
      <c r="B156" s="3" t="s">
        <v>2089</v>
      </c>
      <c r="C156" s="8">
        <v>4</v>
      </c>
      <c r="D156" s="116" t="s">
        <v>2222</v>
      </c>
      <c r="E156" s="11" t="s">
        <v>28</v>
      </c>
      <c r="F156" s="11"/>
      <c r="G156" s="26">
        <v>0.48022399999999998</v>
      </c>
      <c r="H156" s="11"/>
      <c r="I156" s="11"/>
      <c r="J156" s="3" t="str">
        <f t="shared" si="7"/>
        <v>0240125</v>
      </c>
    </row>
    <row r="157" spans="1:10" s="3" customFormat="1">
      <c r="B157" s="3" t="s">
        <v>2089</v>
      </c>
      <c r="C157" s="8">
        <v>4</v>
      </c>
      <c r="D157" s="116" t="s">
        <v>2222</v>
      </c>
      <c r="E157" s="11" t="s">
        <v>29</v>
      </c>
      <c r="F157" s="11"/>
      <c r="G157" s="27">
        <f>ROUND(G155*G156,0)</f>
        <v>4550</v>
      </c>
      <c r="H157" s="16">
        <f>+ROUND(G157/2,0)</f>
        <v>2275</v>
      </c>
      <c r="I157" s="15">
        <f>+G157-H157</f>
        <v>2275</v>
      </c>
      <c r="J157" s="3" t="str">
        <f t="shared" si="7"/>
        <v>0240125</v>
      </c>
    </row>
    <row r="158" spans="1:10" s="3" customFormat="1">
      <c r="B158" s="3" t="s">
        <v>2089</v>
      </c>
      <c r="C158" s="8">
        <v>4</v>
      </c>
      <c r="D158" s="116" t="s">
        <v>2222</v>
      </c>
      <c r="E158" s="11" t="s">
        <v>30</v>
      </c>
      <c r="F158" s="11"/>
      <c r="G158" s="25">
        <f>+G155-G157</f>
        <v>4924</v>
      </c>
      <c r="H158" s="13">
        <f>+ROUND(G158/2,0)</f>
        <v>2462</v>
      </c>
      <c r="I158" s="12">
        <f>+G158-H158</f>
        <v>2462</v>
      </c>
      <c r="J158" s="3" t="str">
        <f t="shared" si="7"/>
        <v>0240125</v>
      </c>
    </row>
    <row r="159" spans="1:10" s="3" customFormat="1">
      <c r="B159" s="3" t="s">
        <v>2089</v>
      </c>
      <c r="C159" s="8">
        <v>4</v>
      </c>
      <c r="D159" s="116" t="s">
        <v>2223</v>
      </c>
      <c r="E159" s="11" t="s">
        <v>73</v>
      </c>
      <c r="F159" s="10">
        <v>2.5451999999999999E-2</v>
      </c>
      <c r="G159" s="23">
        <f>ROUND(G$3*F159,0)</f>
        <v>7323</v>
      </c>
      <c r="H159" s="11">
        <f>+ROUND(G159/2,0)</f>
        <v>3662</v>
      </c>
      <c r="I159" s="9">
        <f>+G159-H159</f>
        <v>3661</v>
      </c>
      <c r="J159" s="3" t="str">
        <f t="shared" si="7"/>
        <v>0240225</v>
      </c>
    </row>
    <row r="160" spans="1:10" s="3" customFormat="1">
      <c r="B160" s="3" t="s">
        <v>2089</v>
      </c>
      <c r="C160" s="8">
        <v>4</v>
      </c>
      <c r="D160" s="116" t="s">
        <v>2223</v>
      </c>
      <c r="E160" s="11" t="s">
        <v>28</v>
      </c>
      <c r="F160" s="11"/>
      <c r="G160" s="26">
        <v>0.45088099999999998</v>
      </c>
      <c r="H160" s="11"/>
      <c r="I160" s="11"/>
      <c r="J160" s="3" t="str">
        <f t="shared" si="7"/>
        <v>0240225</v>
      </c>
    </row>
    <row r="161" spans="1:10" s="3" customFormat="1">
      <c r="B161" s="3" t="s">
        <v>2089</v>
      </c>
      <c r="C161" s="8">
        <v>4</v>
      </c>
      <c r="D161" s="116" t="s">
        <v>2223</v>
      </c>
      <c r="E161" s="11" t="s">
        <v>29</v>
      </c>
      <c r="F161" s="11"/>
      <c r="G161" s="27">
        <f>ROUND(G159*G160,0)</f>
        <v>3302</v>
      </c>
      <c r="H161" s="16">
        <f t="shared" ref="H161:H167" si="11">+ROUND(G161/2,0)</f>
        <v>1651</v>
      </c>
      <c r="I161" s="15">
        <f t="shared" ref="I161:I167" si="12">+G161-H161</f>
        <v>1651</v>
      </c>
      <c r="J161" s="3" t="str">
        <f t="shared" si="7"/>
        <v>0240225</v>
      </c>
    </row>
    <row r="162" spans="1:10" s="3" customFormat="1">
      <c r="B162" s="3" t="s">
        <v>2089</v>
      </c>
      <c r="C162" s="8">
        <v>4</v>
      </c>
      <c r="D162" s="116" t="s">
        <v>2223</v>
      </c>
      <c r="E162" s="11" t="s">
        <v>30</v>
      </c>
      <c r="F162" s="11"/>
      <c r="G162" s="25">
        <f>+G159-G161</f>
        <v>4021</v>
      </c>
      <c r="H162" s="13">
        <f t="shared" si="11"/>
        <v>2011</v>
      </c>
      <c r="I162" s="12">
        <f t="shared" si="12"/>
        <v>2010</v>
      </c>
      <c r="J162" s="3" t="str">
        <f t="shared" si="7"/>
        <v>0240225</v>
      </c>
    </row>
    <row r="163" spans="1:10" s="3" customFormat="1">
      <c r="B163" s="3" t="s">
        <v>2089</v>
      </c>
      <c r="C163" s="8">
        <v>5</v>
      </c>
      <c r="D163" s="3" t="s">
        <v>3210</v>
      </c>
      <c r="E163" s="11" t="s">
        <v>74</v>
      </c>
      <c r="F163" s="10">
        <v>4.5010000000000001E-2</v>
      </c>
      <c r="G163" s="121">
        <f>ROUND(G$3*F163,0)</f>
        <v>12950</v>
      </c>
      <c r="H163" s="120">
        <f t="shared" si="11"/>
        <v>6475</v>
      </c>
      <c r="I163" s="120">
        <f t="shared" si="12"/>
        <v>6475</v>
      </c>
      <c r="J163" s="3" t="str">
        <f t="shared" si="7"/>
        <v>0250260</v>
      </c>
    </row>
    <row r="164" spans="1:10" s="3" customFormat="1">
      <c r="A164" s="3" t="s">
        <v>6269</v>
      </c>
      <c r="B164" s="3" t="s">
        <v>2089</v>
      </c>
      <c r="C164" s="8">
        <v>6</v>
      </c>
      <c r="D164" s="3" t="s">
        <v>6267</v>
      </c>
      <c r="E164" s="11" t="s">
        <v>75</v>
      </c>
      <c r="F164" s="10">
        <v>0</v>
      </c>
      <c r="G164" s="121">
        <f>ROUND(G$3*F164,0)</f>
        <v>0</v>
      </c>
      <c r="H164" s="120">
        <f t="shared" si="11"/>
        <v>0</v>
      </c>
      <c r="I164" s="120">
        <f t="shared" si="12"/>
        <v>0</v>
      </c>
      <c r="J164" s="3" t="str">
        <f t="shared" si="7"/>
        <v>026XXXX</v>
      </c>
    </row>
    <row r="165" spans="1:10" s="3" customFormat="1">
      <c r="B165" s="3" t="s">
        <v>2089</v>
      </c>
      <c r="C165" s="8">
        <v>6</v>
      </c>
      <c r="D165" s="3" t="s">
        <v>2226</v>
      </c>
      <c r="E165" s="11" t="s">
        <v>76</v>
      </c>
      <c r="F165" s="10">
        <v>1.0461E-2</v>
      </c>
      <c r="G165" s="121">
        <f>ROUND(G$3*F165,0)</f>
        <v>3010</v>
      </c>
      <c r="H165" s="120">
        <f t="shared" si="11"/>
        <v>1505</v>
      </c>
      <c r="I165" s="120">
        <f t="shared" si="12"/>
        <v>1505</v>
      </c>
      <c r="J165" s="3" t="str">
        <f t="shared" si="7"/>
        <v>0260800</v>
      </c>
    </row>
    <row r="166" spans="1:10" s="3" customFormat="1">
      <c r="B166" s="3" t="s">
        <v>2089</v>
      </c>
      <c r="C166" s="8">
        <v>6</v>
      </c>
      <c r="D166" s="116" t="s">
        <v>2227</v>
      </c>
      <c r="E166" s="11" t="s">
        <v>77</v>
      </c>
      <c r="F166" s="10">
        <v>8.3389999999999992E-3</v>
      </c>
      <c r="G166" s="121">
        <f>ROUND(G$3*F166,0)</f>
        <v>2399</v>
      </c>
      <c r="H166" s="120">
        <f t="shared" si="11"/>
        <v>1200</v>
      </c>
      <c r="I166" s="120">
        <f t="shared" si="12"/>
        <v>1199</v>
      </c>
      <c r="J166" s="3" t="str">
        <f t="shared" si="7"/>
        <v>0260960</v>
      </c>
    </row>
    <row r="167" spans="1:10" s="3" customFormat="1">
      <c r="B167" s="3" t="s">
        <v>2089</v>
      </c>
      <c r="C167" s="8">
        <v>6</v>
      </c>
      <c r="D167" s="3" t="s">
        <v>2228</v>
      </c>
      <c r="E167" s="11" t="s">
        <v>78</v>
      </c>
      <c r="F167" s="10">
        <v>8.0419999999998826E-3</v>
      </c>
      <c r="G167" s="121">
        <f>+G73-SUM(G74:G75)-SUM(G80:G147)-G151-G155-G159-SUM(G163:G166)</f>
        <v>3424305</v>
      </c>
      <c r="H167" s="120">
        <f t="shared" si="11"/>
        <v>1712153</v>
      </c>
      <c r="I167" s="120">
        <f t="shared" si="12"/>
        <v>1712152</v>
      </c>
      <c r="J167" s="3" t="str">
        <f t="shared" si="7"/>
        <v>0260969</v>
      </c>
    </row>
    <row r="168" spans="1:10" s="3" customFormat="1">
      <c r="B168" s="3" t="s">
        <v>2089</v>
      </c>
      <c r="C168" s="8">
        <v>0</v>
      </c>
      <c r="D168" s="125" t="s">
        <v>2187</v>
      </c>
      <c r="E168" s="28" t="s">
        <v>37</v>
      </c>
      <c r="F168" s="10">
        <v>1</v>
      </c>
      <c r="G168" s="29">
        <f>+G74+SUM(G77:G146)+G149+G150+G153+G154+G157+G158+SUM(G161:G167)</f>
        <v>3709709</v>
      </c>
      <c r="H168" s="29">
        <f>+H74+SUM(H77:H146)+H149+H150+H153+H154+H157+H158+SUM(H161:H167)</f>
        <v>1854869</v>
      </c>
      <c r="I168" s="29">
        <f>+I74+SUM(I77:I146)+I149+I150+I153+I154+I157+I158+SUM(I161:I167)</f>
        <v>1854840</v>
      </c>
      <c r="J168" s="3" t="str">
        <f t="shared" si="7"/>
        <v>0200000</v>
      </c>
    </row>
    <row r="169" spans="1:10" s="3" customFormat="1">
      <c r="B169" s="3" t="s">
        <v>2089</v>
      </c>
      <c r="C169" s="8">
        <v>0</v>
      </c>
      <c r="D169" s="3" t="s">
        <v>2187</v>
      </c>
      <c r="E169" s="18" t="s">
        <v>38</v>
      </c>
      <c r="G169" s="30">
        <f>+G74</f>
        <v>299</v>
      </c>
      <c r="H169" s="30">
        <f>+H74</f>
        <v>150</v>
      </c>
      <c r="I169" s="30">
        <f>+I74</f>
        <v>149</v>
      </c>
      <c r="J169" s="3" t="str">
        <f t="shared" si="7"/>
        <v>0200000</v>
      </c>
    </row>
    <row r="170" spans="1:10" s="3" customFormat="1">
      <c r="B170" s="3" t="s">
        <v>2089</v>
      </c>
      <c r="C170" s="8">
        <v>0</v>
      </c>
      <c r="D170" s="3" t="s">
        <v>2187</v>
      </c>
      <c r="E170" s="18" t="s">
        <v>39</v>
      </c>
      <c r="G170" s="30">
        <f>+G77</f>
        <v>15066</v>
      </c>
      <c r="H170" s="30">
        <f>+H77</f>
        <v>7533</v>
      </c>
      <c r="I170" s="30">
        <f>+I77</f>
        <v>7533</v>
      </c>
      <c r="J170" s="3" t="str">
        <f t="shared" si="7"/>
        <v>0200000</v>
      </c>
    </row>
    <row r="171" spans="1:10" s="3" customFormat="1">
      <c r="B171" s="3" t="s">
        <v>2089</v>
      </c>
      <c r="C171" s="8">
        <v>0</v>
      </c>
      <c r="D171" s="3" t="s">
        <v>2187</v>
      </c>
      <c r="E171" s="18" t="s">
        <v>40</v>
      </c>
      <c r="G171" s="30">
        <f>+G149+G153+G157+G161</f>
        <v>68447</v>
      </c>
      <c r="H171" s="30">
        <f>+H149+H153+H157+H161</f>
        <v>34224</v>
      </c>
      <c r="I171" s="30">
        <f>+I149+I153+I157+I161</f>
        <v>34223</v>
      </c>
      <c r="J171" s="3" t="str">
        <f t="shared" si="7"/>
        <v>0200000</v>
      </c>
    </row>
    <row r="172" spans="1:10" s="3" customFormat="1">
      <c r="B172" s="3" t="s">
        <v>2089</v>
      </c>
      <c r="C172" s="8">
        <v>0</v>
      </c>
      <c r="D172" s="125" t="s">
        <v>2187</v>
      </c>
      <c r="E172" s="18" t="s">
        <v>41</v>
      </c>
      <c r="G172" s="30">
        <f>+G168-G169-G170-G171</f>
        <v>3625897</v>
      </c>
      <c r="H172" s="30">
        <f>+H168-H169-H170-H171</f>
        <v>1812962</v>
      </c>
      <c r="I172" s="30">
        <f>+I168-I169-I170-I171</f>
        <v>1812935</v>
      </c>
      <c r="J172" s="3" t="str">
        <f t="shared" si="7"/>
        <v>0200000</v>
      </c>
    </row>
    <row r="173" spans="1:10" ht="15.75">
      <c r="B173" s="3" t="s">
        <v>2186</v>
      </c>
      <c r="D173" t="s">
        <v>2186</v>
      </c>
      <c r="E173">
        <v>0</v>
      </c>
      <c r="G173"/>
      <c r="H173"/>
      <c r="I173"/>
      <c r="J173" s="3" t="str">
        <f t="shared" si="7"/>
        <v/>
      </c>
    </row>
    <row r="174" spans="1:10" s="3" customFormat="1">
      <c r="C174" s="1"/>
      <c r="D174" s="3" t="s">
        <v>2186</v>
      </c>
      <c r="E174" s="2" t="s">
        <v>2177</v>
      </c>
      <c r="J174" s="3" t="str">
        <f t="shared" si="7"/>
        <v/>
      </c>
    </row>
    <row r="175" spans="1:10" s="3" customFormat="1" ht="45.75" customHeight="1">
      <c r="B175" s="3" t="s">
        <v>2186</v>
      </c>
      <c r="C175" s="1"/>
      <c r="D175" s="3" t="s">
        <v>2186</v>
      </c>
      <c r="E175" s="1">
        <v>0</v>
      </c>
      <c r="F175" s="6" t="s">
        <v>1</v>
      </c>
      <c r="G175" s="60">
        <f>'Allocation Worksheet'!H175</f>
        <v>0</v>
      </c>
      <c r="H175" s="60">
        <f>'Allocation Worksheet'!H176</f>
        <v>0</v>
      </c>
      <c r="I175" s="60">
        <f>'Allocation Worksheet'!H177</f>
        <v>0</v>
      </c>
      <c r="J175" s="3" t="str">
        <f t="shared" si="7"/>
        <v/>
      </c>
    </row>
    <row r="176" spans="1:10" s="3" customFormat="1">
      <c r="C176" s="7" t="s">
        <v>2087</v>
      </c>
      <c r="D176" s="3" t="s">
        <v>2186</v>
      </c>
      <c r="E176" s="7" t="s">
        <v>3</v>
      </c>
      <c r="F176" s="10"/>
      <c r="G176" s="23">
        <f>'Allocation Worksheet'!$D$6</f>
        <v>665425</v>
      </c>
      <c r="H176" s="11"/>
      <c r="I176" s="11"/>
      <c r="J176" s="3" t="str">
        <f t="shared" si="7"/>
        <v>UT</v>
      </c>
    </row>
    <row r="177" spans="2:10" s="3" customFormat="1">
      <c r="B177" s="3" t="s">
        <v>2090</v>
      </c>
      <c r="C177" s="8">
        <v>0</v>
      </c>
      <c r="D177" s="3" t="s">
        <v>2187</v>
      </c>
      <c r="E177" s="11" t="s">
        <v>4</v>
      </c>
      <c r="F177" s="10">
        <v>1.317E-3</v>
      </c>
      <c r="G177" s="25">
        <f>ROUND(G$3*F177,0)</f>
        <v>379</v>
      </c>
      <c r="H177" s="25">
        <f>ROUND(G177/2,0)</f>
        <v>190</v>
      </c>
      <c r="I177" s="25">
        <f>G177-H177</f>
        <v>189</v>
      </c>
      <c r="J177" s="3" t="str">
        <f t="shared" si="7"/>
        <v>0300000</v>
      </c>
    </row>
    <row r="178" spans="2:10" s="3" customFormat="1">
      <c r="B178" s="3" t="s">
        <v>2090</v>
      </c>
      <c r="C178" s="8">
        <v>1</v>
      </c>
      <c r="D178" s="3" t="s">
        <v>2187</v>
      </c>
      <c r="E178" s="11" t="s">
        <v>80</v>
      </c>
      <c r="F178" s="10">
        <v>0.18949199999999999</v>
      </c>
      <c r="G178" s="23">
        <f>ROUND(G$3*F178,0)</f>
        <v>54521</v>
      </c>
      <c r="H178" s="11">
        <f>ROUND(G178/2,0)</f>
        <v>27261</v>
      </c>
      <c r="I178" s="9">
        <f>G178-H178</f>
        <v>27260</v>
      </c>
      <c r="J178" s="3" t="str">
        <f t="shared" si="7"/>
        <v>0310000</v>
      </c>
    </row>
    <row r="179" spans="2:10" s="3" customFormat="1">
      <c r="B179" s="3" t="s">
        <v>2090</v>
      </c>
      <c r="C179" s="8">
        <v>1</v>
      </c>
      <c r="D179" s="3" t="s">
        <v>2187</v>
      </c>
      <c r="E179" s="11" t="s">
        <v>6</v>
      </c>
      <c r="F179" s="11"/>
      <c r="G179" s="26">
        <v>0.62741499999999994</v>
      </c>
      <c r="H179" s="11"/>
      <c r="I179" s="11"/>
      <c r="J179" s="3" t="str">
        <f t="shared" si="7"/>
        <v>0310000</v>
      </c>
    </row>
    <row r="180" spans="2:10" s="3" customFormat="1">
      <c r="B180" s="3" t="s">
        <v>2090</v>
      </c>
      <c r="C180" s="8">
        <v>1</v>
      </c>
      <c r="D180" s="3" t="s">
        <v>2187</v>
      </c>
      <c r="E180" s="11" t="s">
        <v>7</v>
      </c>
      <c r="F180" s="11"/>
      <c r="G180" s="27">
        <f>ROUND(G178*G179,0)</f>
        <v>34207</v>
      </c>
      <c r="H180" s="16">
        <f>ROUND(G180/2,0)</f>
        <v>17104</v>
      </c>
      <c r="I180" s="15">
        <f>G180-H180</f>
        <v>17103</v>
      </c>
      <c r="J180" s="3" t="str">
        <f t="shared" si="7"/>
        <v>0310000</v>
      </c>
    </row>
    <row r="181" spans="2:10" s="3" customFormat="1">
      <c r="B181" s="3" t="s">
        <v>2090</v>
      </c>
      <c r="C181" s="8">
        <v>1</v>
      </c>
      <c r="D181" s="3" t="s">
        <v>2187</v>
      </c>
      <c r="E181" s="11" t="s">
        <v>8</v>
      </c>
      <c r="F181" s="11"/>
      <c r="G181" s="25">
        <f>G178-G180</f>
        <v>20314</v>
      </c>
      <c r="H181" s="25">
        <f>ROUND(G181/2,0)</f>
        <v>10157</v>
      </c>
      <c r="I181" s="25">
        <f>G181-H181</f>
        <v>10157</v>
      </c>
      <c r="J181" s="3" t="str">
        <f t="shared" si="7"/>
        <v>0310000</v>
      </c>
    </row>
    <row r="182" spans="2:10" s="3" customFormat="1">
      <c r="B182" s="3" t="s">
        <v>2090</v>
      </c>
      <c r="C182" s="8">
        <v>2</v>
      </c>
      <c r="D182" s="3" t="s">
        <v>2188</v>
      </c>
      <c r="E182" s="11" t="s">
        <v>81</v>
      </c>
      <c r="F182" s="11"/>
      <c r="G182" s="23"/>
      <c r="H182" s="11"/>
      <c r="I182" s="11"/>
      <c r="J182" s="3" t="str">
        <f t="shared" si="7"/>
        <v>0320001</v>
      </c>
    </row>
    <row r="183" spans="2:10" s="3" customFormat="1">
      <c r="B183" s="3" t="s">
        <v>2090</v>
      </c>
      <c r="C183" s="8">
        <v>2</v>
      </c>
      <c r="D183" s="3" t="s">
        <v>2188</v>
      </c>
      <c r="E183" s="11" t="s">
        <v>10</v>
      </c>
      <c r="F183" s="10">
        <v>2.12E-4</v>
      </c>
      <c r="G183" s="25">
        <f>ROUND(G$3*F183,0)</f>
        <v>61</v>
      </c>
      <c r="H183" s="25">
        <f>ROUND(G183/2,0)</f>
        <v>31</v>
      </c>
      <c r="I183" s="25">
        <f>G183-H183</f>
        <v>30</v>
      </c>
      <c r="J183" s="3" t="str">
        <f t="shared" si="7"/>
        <v>0320001</v>
      </c>
    </row>
    <row r="184" spans="2:10" s="3" customFormat="1">
      <c r="B184" s="3" t="s">
        <v>2090</v>
      </c>
      <c r="C184" s="8">
        <v>2</v>
      </c>
      <c r="D184" s="3" t="s">
        <v>2188</v>
      </c>
      <c r="E184" s="11" t="s">
        <v>11</v>
      </c>
      <c r="F184" s="10">
        <v>1.6000000000000001E-4</v>
      </c>
      <c r="G184" s="25">
        <f>ROUND(G$3*F184,0)</f>
        <v>46</v>
      </c>
      <c r="H184" s="25">
        <f>ROUND(G184/2,0)</f>
        <v>23</v>
      </c>
      <c r="I184" s="25">
        <f>G184-H184</f>
        <v>23</v>
      </c>
      <c r="J184" s="3" t="str">
        <f t="shared" si="7"/>
        <v>0320001</v>
      </c>
    </row>
    <row r="185" spans="2:10" s="3" customFormat="1">
      <c r="B185" s="3" t="s">
        <v>2090</v>
      </c>
      <c r="C185" s="8">
        <v>2</v>
      </c>
      <c r="D185" s="3" t="s">
        <v>2189</v>
      </c>
      <c r="E185" s="11" t="s">
        <v>82</v>
      </c>
      <c r="F185" s="11"/>
      <c r="G185" s="23"/>
      <c r="H185" s="11"/>
      <c r="I185" s="11"/>
      <c r="J185" s="3" t="str">
        <f t="shared" si="7"/>
        <v>0320002</v>
      </c>
    </row>
    <row r="186" spans="2:10" s="3" customFormat="1">
      <c r="B186" s="3" t="s">
        <v>2090</v>
      </c>
      <c r="C186" s="8">
        <v>2</v>
      </c>
      <c r="D186" s="3" t="s">
        <v>2189</v>
      </c>
      <c r="E186" s="11" t="s">
        <v>10</v>
      </c>
      <c r="F186" s="10">
        <v>1.21E-4</v>
      </c>
      <c r="G186" s="25">
        <f>ROUND(G$3*F186,0)</f>
        <v>35</v>
      </c>
      <c r="H186" s="25">
        <f>ROUND(G186/2,0)</f>
        <v>18</v>
      </c>
      <c r="I186" s="25">
        <f>G186-H186</f>
        <v>17</v>
      </c>
      <c r="J186" s="3" t="str">
        <f t="shared" si="7"/>
        <v>0320002</v>
      </c>
    </row>
    <row r="187" spans="2:10" s="3" customFormat="1">
      <c r="B187" s="3" t="s">
        <v>2090</v>
      </c>
      <c r="C187" s="8">
        <v>2</v>
      </c>
      <c r="D187" s="3" t="s">
        <v>2189</v>
      </c>
      <c r="E187" s="11" t="s">
        <v>11</v>
      </c>
      <c r="F187" s="10">
        <v>3.6000000000000001E-5</v>
      </c>
      <c r="G187" s="25">
        <f>ROUND(G$3*F187,0)</f>
        <v>10</v>
      </c>
      <c r="H187" s="25">
        <f>ROUND(G187/2,0)</f>
        <v>5</v>
      </c>
      <c r="I187" s="25">
        <f>G187-H187</f>
        <v>5</v>
      </c>
      <c r="J187" s="3" t="str">
        <f t="shared" si="7"/>
        <v>0320002</v>
      </c>
    </row>
    <row r="188" spans="2:10" s="3" customFormat="1">
      <c r="B188" s="3" t="s">
        <v>2090</v>
      </c>
      <c r="C188" s="8">
        <v>2</v>
      </c>
      <c r="D188" s="3" t="s">
        <v>2190</v>
      </c>
      <c r="E188" s="11" t="s">
        <v>83</v>
      </c>
      <c r="F188" s="11"/>
      <c r="G188" s="23"/>
      <c r="H188" s="11"/>
      <c r="I188" s="11"/>
      <c r="J188" s="3" t="str">
        <f t="shared" si="7"/>
        <v>0320003</v>
      </c>
    </row>
    <row r="189" spans="2:10" s="3" customFormat="1">
      <c r="B189" s="3" t="s">
        <v>2090</v>
      </c>
      <c r="C189" s="8">
        <v>2</v>
      </c>
      <c r="D189" s="3" t="s">
        <v>2190</v>
      </c>
      <c r="E189" s="11" t="s">
        <v>10</v>
      </c>
      <c r="F189" s="10">
        <v>4.4669999999999996E-3</v>
      </c>
      <c r="G189" s="25">
        <f>ROUND(G$3*F189,0)</f>
        <v>1285</v>
      </c>
      <c r="H189" s="25">
        <f>ROUND(G189/2,0)</f>
        <v>643</v>
      </c>
      <c r="I189" s="25">
        <f>G189-H189</f>
        <v>642</v>
      </c>
      <c r="J189" s="3" t="str">
        <f t="shared" si="7"/>
        <v>0320003</v>
      </c>
    </row>
    <row r="190" spans="2:10" s="3" customFormat="1">
      <c r="B190" s="3" t="s">
        <v>2090</v>
      </c>
      <c r="C190" s="8">
        <v>2</v>
      </c>
      <c r="D190" s="3" t="s">
        <v>2190</v>
      </c>
      <c r="E190" s="11" t="s">
        <v>11</v>
      </c>
      <c r="F190" s="10">
        <v>1.9699999999999999E-4</v>
      </c>
      <c r="G190" s="25">
        <f>ROUND(G$3*F190,0)</f>
        <v>57</v>
      </c>
      <c r="H190" s="25">
        <f>ROUND(G190/2,0)</f>
        <v>29</v>
      </c>
      <c r="I190" s="25">
        <f>G190-H190</f>
        <v>28</v>
      </c>
      <c r="J190" s="3" t="str">
        <f t="shared" si="7"/>
        <v>0320003</v>
      </c>
    </row>
    <row r="191" spans="2:10" s="3" customFormat="1">
      <c r="B191" s="3" t="s">
        <v>2090</v>
      </c>
      <c r="C191" s="8">
        <v>2</v>
      </c>
      <c r="D191" s="3" t="s">
        <v>2191</v>
      </c>
      <c r="E191" s="11" t="s">
        <v>84</v>
      </c>
      <c r="F191" s="11"/>
      <c r="G191" s="23"/>
      <c r="H191" s="11"/>
      <c r="I191" s="11"/>
      <c r="J191" s="3" t="str">
        <f t="shared" si="7"/>
        <v>0320004</v>
      </c>
    </row>
    <row r="192" spans="2:10" s="3" customFormat="1">
      <c r="B192" s="3" t="s">
        <v>2090</v>
      </c>
      <c r="C192" s="8">
        <v>2</v>
      </c>
      <c r="D192" s="3" t="s">
        <v>2191</v>
      </c>
      <c r="E192" s="11" t="s">
        <v>10</v>
      </c>
      <c r="F192" s="10">
        <v>2.14E-4</v>
      </c>
      <c r="G192" s="25">
        <f>ROUND(G$3*F192,0)</f>
        <v>62</v>
      </c>
      <c r="H192" s="25">
        <f>ROUND(G192/2,0)</f>
        <v>31</v>
      </c>
      <c r="I192" s="25">
        <f>G192-H192</f>
        <v>31</v>
      </c>
      <c r="J192" s="3" t="str">
        <f t="shared" si="7"/>
        <v>0320004</v>
      </c>
    </row>
    <row r="193" spans="2:10" s="3" customFormat="1">
      <c r="B193" s="3" t="s">
        <v>2090</v>
      </c>
      <c r="C193" s="8">
        <v>2</v>
      </c>
      <c r="D193" s="3" t="s">
        <v>2191</v>
      </c>
      <c r="E193" s="11" t="s">
        <v>11</v>
      </c>
      <c r="F193" s="10">
        <v>2.5900000000000001E-4</v>
      </c>
      <c r="G193" s="25">
        <f>ROUND(G$3*F193,0)</f>
        <v>75</v>
      </c>
      <c r="H193" s="25">
        <f>ROUND(G193/2,0)</f>
        <v>38</v>
      </c>
      <c r="I193" s="25">
        <f>G193-H193</f>
        <v>37</v>
      </c>
      <c r="J193" s="3" t="str">
        <f t="shared" si="7"/>
        <v>0320004</v>
      </c>
    </row>
    <row r="194" spans="2:10" s="3" customFormat="1">
      <c r="B194" s="3" t="s">
        <v>2090</v>
      </c>
      <c r="C194" s="8">
        <v>2</v>
      </c>
      <c r="D194" s="3" t="s">
        <v>2192</v>
      </c>
      <c r="E194" s="11" t="s">
        <v>85</v>
      </c>
      <c r="F194" s="11"/>
      <c r="G194" s="23"/>
      <c r="H194" s="11"/>
      <c r="I194" s="11"/>
      <c r="J194" s="3" t="str">
        <f t="shared" si="7"/>
        <v>0320005</v>
      </c>
    </row>
    <row r="195" spans="2:10" s="3" customFormat="1">
      <c r="B195" s="3" t="s">
        <v>2090</v>
      </c>
      <c r="C195" s="8">
        <v>2</v>
      </c>
      <c r="D195" s="3" t="s">
        <v>2192</v>
      </c>
      <c r="E195" s="11" t="s">
        <v>10</v>
      </c>
      <c r="F195" s="10">
        <v>6.3530000000000001E-3</v>
      </c>
      <c r="G195" s="25">
        <f>ROUND(G$3*F195,0)</f>
        <v>1828</v>
      </c>
      <c r="H195" s="25">
        <f>ROUND(G195/2,0)</f>
        <v>914</v>
      </c>
      <c r="I195" s="25">
        <f>G195-H195</f>
        <v>914</v>
      </c>
      <c r="J195" s="3" t="str">
        <f t="shared" si="7"/>
        <v>0320005</v>
      </c>
    </row>
    <row r="196" spans="2:10" s="3" customFormat="1">
      <c r="B196" s="3" t="s">
        <v>2090</v>
      </c>
      <c r="C196" s="8">
        <v>2</v>
      </c>
      <c r="D196" s="3" t="s">
        <v>2192</v>
      </c>
      <c r="E196" s="11" t="s">
        <v>11</v>
      </c>
      <c r="F196" s="10">
        <v>2.676E-3</v>
      </c>
      <c r="G196" s="25">
        <f>ROUND(G$3*F196,0)</f>
        <v>770</v>
      </c>
      <c r="H196" s="25">
        <f>ROUND(G196/2,0)</f>
        <v>385</v>
      </c>
      <c r="I196" s="25">
        <f>G196-H196</f>
        <v>385</v>
      </c>
      <c r="J196" s="3" t="str">
        <f t="shared" ref="J196:J259" si="13">B196&amp;C196&amp;D196</f>
        <v>0320005</v>
      </c>
    </row>
    <row r="197" spans="2:10" s="3" customFormat="1">
      <c r="B197" s="3" t="s">
        <v>2090</v>
      </c>
      <c r="C197" s="8">
        <v>2</v>
      </c>
      <c r="D197" s="3" t="s">
        <v>2193</v>
      </c>
      <c r="E197" s="11" t="s">
        <v>86</v>
      </c>
      <c r="F197" s="11"/>
      <c r="G197" s="23"/>
      <c r="H197" s="11"/>
      <c r="I197" s="11"/>
      <c r="J197" s="3" t="str">
        <f t="shared" si="13"/>
        <v>0320006</v>
      </c>
    </row>
    <row r="198" spans="2:10" s="3" customFormat="1">
      <c r="B198" s="3" t="s">
        <v>2090</v>
      </c>
      <c r="C198" s="8">
        <v>2</v>
      </c>
      <c r="D198" s="3" t="s">
        <v>2193</v>
      </c>
      <c r="E198" s="11" t="s">
        <v>10</v>
      </c>
      <c r="F198" s="10">
        <v>3.5199999999999999E-4</v>
      </c>
      <c r="G198" s="25">
        <f>ROUND(G$3*F198,0)</f>
        <v>101</v>
      </c>
      <c r="H198" s="25">
        <f>ROUND(G198/2,0)</f>
        <v>51</v>
      </c>
      <c r="I198" s="25">
        <f>G198-H198</f>
        <v>50</v>
      </c>
      <c r="J198" s="3" t="str">
        <f t="shared" si="13"/>
        <v>0320006</v>
      </c>
    </row>
    <row r="199" spans="2:10" s="3" customFormat="1">
      <c r="B199" s="3" t="s">
        <v>2090</v>
      </c>
      <c r="C199" s="8">
        <v>2</v>
      </c>
      <c r="D199" s="3" t="s">
        <v>2193</v>
      </c>
      <c r="E199" s="11" t="s">
        <v>11</v>
      </c>
      <c r="F199" s="10">
        <v>1.3100000000000001E-4</v>
      </c>
      <c r="G199" s="25">
        <f>ROUND(G$3*F199,0)</f>
        <v>38</v>
      </c>
      <c r="H199" s="25">
        <f>ROUND(G199/2,0)</f>
        <v>19</v>
      </c>
      <c r="I199" s="25">
        <f>G199-H199</f>
        <v>19</v>
      </c>
      <c r="J199" s="3" t="str">
        <f t="shared" si="13"/>
        <v>0320006</v>
      </c>
    </row>
    <row r="200" spans="2:10" s="3" customFormat="1">
      <c r="B200" s="3" t="s">
        <v>2090</v>
      </c>
      <c r="C200" s="8">
        <v>2</v>
      </c>
      <c r="D200" s="3" t="s">
        <v>2194</v>
      </c>
      <c r="E200" s="11" t="s">
        <v>87</v>
      </c>
      <c r="F200" s="11"/>
      <c r="G200" s="23"/>
      <c r="H200" s="11"/>
      <c r="I200" s="11"/>
      <c r="J200" s="3" t="str">
        <f t="shared" si="13"/>
        <v>0320007</v>
      </c>
    </row>
    <row r="201" spans="2:10" s="3" customFormat="1">
      <c r="B201" s="3" t="s">
        <v>2090</v>
      </c>
      <c r="C201" s="8">
        <v>2</v>
      </c>
      <c r="D201" s="3" t="s">
        <v>2194</v>
      </c>
      <c r="E201" s="11" t="s">
        <v>10</v>
      </c>
      <c r="F201" s="10">
        <v>8.6799999999999996E-4</v>
      </c>
      <c r="G201" s="25">
        <f>ROUND(G$3*F201,0)</f>
        <v>250</v>
      </c>
      <c r="H201" s="25">
        <f>ROUND(G201/2,0)</f>
        <v>125</v>
      </c>
      <c r="I201" s="25">
        <f>G201-H201</f>
        <v>125</v>
      </c>
      <c r="J201" s="3" t="str">
        <f t="shared" si="13"/>
        <v>0320007</v>
      </c>
    </row>
    <row r="202" spans="2:10" s="3" customFormat="1">
      <c r="B202" s="3" t="s">
        <v>2090</v>
      </c>
      <c r="C202" s="8">
        <v>2</v>
      </c>
      <c r="D202" s="3" t="s">
        <v>2194</v>
      </c>
      <c r="E202" s="11" t="s">
        <v>11</v>
      </c>
      <c r="F202" s="10">
        <v>7.1900000000000002E-4</v>
      </c>
      <c r="G202" s="25">
        <f>ROUND(G$3*F202,0)</f>
        <v>207</v>
      </c>
      <c r="H202" s="25">
        <f>ROUND(G202/2,0)</f>
        <v>104</v>
      </c>
      <c r="I202" s="25">
        <f>G202-H202</f>
        <v>103</v>
      </c>
      <c r="J202" s="3" t="str">
        <f t="shared" si="13"/>
        <v>0320007</v>
      </c>
    </row>
    <row r="203" spans="2:10" s="3" customFormat="1">
      <c r="B203" s="3" t="s">
        <v>2090</v>
      </c>
      <c r="C203" s="8">
        <v>2</v>
      </c>
      <c r="D203" s="3" t="s">
        <v>2195</v>
      </c>
      <c r="E203" s="11" t="s">
        <v>49</v>
      </c>
      <c r="F203" s="11"/>
      <c r="G203" s="23"/>
      <c r="H203" s="11"/>
      <c r="I203" s="11"/>
      <c r="J203" s="3" t="str">
        <f t="shared" si="13"/>
        <v>0320008</v>
      </c>
    </row>
    <row r="204" spans="2:10" s="3" customFormat="1">
      <c r="B204" s="3" t="s">
        <v>2090</v>
      </c>
      <c r="C204" s="8">
        <v>2</v>
      </c>
      <c r="D204" s="3" t="s">
        <v>2195</v>
      </c>
      <c r="E204" s="11" t="s">
        <v>10</v>
      </c>
      <c r="F204" s="10">
        <v>2.7799999999999998E-4</v>
      </c>
      <c r="G204" s="25">
        <f>ROUND(G$3*F204,0)</f>
        <v>80</v>
      </c>
      <c r="H204" s="25">
        <f>ROUND(G204/2,0)</f>
        <v>40</v>
      </c>
      <c r="I204" s="25">
        <f>G204-H204</f>
        <v>40</v>
      </c>
      <c r="J204" s="3" t="str">
        <f t="shared" si="13"/>
        <v>0320008</v>
      </c>
    </row>
    <row r="205" spans="2:10" s="3" customFormat="1">
      <c r="B205" s="3" t="s">
        <v>2090</v>
      </c>
      <c r="C205" s="8">
        <v>2</v>
      </c>
      <c r="D205" s="3" t="s">
        <v>2195</v>
      </c>
      <c r="E205" s="11" t="s">
        <v>11</v>
      </c>
      <c r="F205" s="10">
        <v>1.18E-4</v>
      </c>
      <c r="G205" s="25">
        <f>ROUND(G$3*F205,0)</f>
        <v>34</v>
      </c>
      <c r="H205" s="25">
        <f>ROUND(G205/2,0)</f>
        <v>17</v>
      </c>
      <c r="I205" s="25">
        <f>G205-H205</f>
        <v>17</v>
      </c>
      <c r="J205" s="3" t="str">
        <f t="shared" si="13"/>
        <v>0320008</v>
      </c>
    </row>
    <row r="206" spans="2:10" s="3" customFormat="1">
      <c r="B206" s="3" t="s">
        <v>2090</v>
      </c>
      <c r="C206" s="8">
        <v>2</v>
      </c>
      <c r="D206" s="3" t="s">
        <v>2196</v>
      </c>
      <c r="E206" s="11" t="s">
        <v>88</v>
      </c>
      <c r="F206" s="11"/>
      <c r="G206" s="23"/>
      <c r="H206" s="11"/>
      <c r="I206" s="11"/>
      <c r="J206" s="3" t="str">
        <f t="shared" si="13"/>
        <v>0320009</v>
      </c>
    </row>
    <row r="207" spans="2:10" s="3" customFormat="1">
      <c r="B207" s="3" t="s">
        <v>2090</v>
      </c>
      <c r="C207" s="8">
        <v>2</v>
      </c>
      <c r="D207" s="3" t="s">
        <v>2196</v>
      </c>
      <c r="E207" s="11" t="s">
        <v>10</v>
      </c>
      <c r="F207" s="10">
        <v>7.2999999999999999E-5</v>
      </c>
      <c r="G207" s="25">
        <f>ROUND(G$3*F207,0)</f>
        <v>21</v>
      </c>
      <c r="H207" s="25">
        <f>ROUND(G207/2,0)</f>
        <v>11</v>
      </c>
      <c r="I207" s="25">
        <f>G207-H207</f>
        <v>10</v>
      </c>
      <c r="J207" s="3" t="str">
        <f t="shared" si="13"/>
        <v>0320009</v>
      </c>
    </row>
    <row r="208" spans="2:10" s="3" customFormat="1">
      <c r="B208" s="3" t="s">
        <v>2090</v>
      </c>
      <c r="C208" s="8">
        <v>2</v>
      </c>
      <c r="D208" s="3" t="s">
        <v>2196</v>
      </c>
      <c r="E208" s="11" t="s">
        <v>11</v>
      </c>
      <c r="F208" s="10">
        <v>3.6999999999999998E-5</v>
      </c>
      <c r="G208" s="25">
        <f>ROUND(G$3*F208,0)</f>
        <v>11</v>
      </c>
      <c r="H208" s="25">
        <f>ROUND(G208/2,0)</f>
        <v>6</v>
      </c>
      <c r="I208" s="25">
        <f>G208-H208</f>
        <v>5</v>
      </c>
      <c r="J208" s="3" t="str">
        <f t="shared" si="13"/>
        <v>0320009</v>
      </c>
    </row>
    <row r="209" spans="1:10" s="3" customFormat="1">
      <c r="B209" s="3" t="s">
        <v>2090</v>
      </c>
      <c r="C209" s="8">
        <v>2</v>
      </c>
      <c r="D209" s="3" t="s">
        <v>2197</v>
      </c>
      <c r="E209" s="11" t="s">
        <v>89</v>
      </c>
      <c r="F209" s="11"/>
      <c r="G209" s="23"/>
      <c r="H209" s="11"/>
      <c r="I209" s="11"/>
      <c r="J209" s="3" t="str">
        <f t="shared" si="13"/>
        <v>0320010</v>
      </c>
    </row>
    <row r="210" spans="1:10" s="3" customFormat="1">
      <c r="B210" s="3" t="s">
        <v>2090</v>
      </c>
      <c r="C210" s="8">
        <v>2</v>
      </c>
      <c r="D210" s="3" t="s">
        <v>2197</v>
      </c>
      <c r="E210" s="11" t="s">
        <v>10</v>
      </c>
      <c r="F210" s="10">
        <v>1.3929999999999999E-3</v>
      </c>
      <c r="G210" s="25">
        <f>ROUND(G$3*F210,0)</f>
        <v>401</v>
      </c>
      <c r="H210" s="25">
        <f>ROUND(G210/2,0)</f>
        <v>201</v>
      </c>
      <c r="I210" s="25">
        <f>G210-H210</f>
        <v>200</v>
      </c>
      <c r="J210" s="3" t="str">
        <f t="shared" si="13"/>
        <v>0320010</v>
      </c>
    </row>
    <row r="211" spans="1:10" s="3" customFormat="1">
      <c r="B211" s="3" t="s">
        <v>2090</v>
      </c>
      <c r="C211" s="8">
        <v>2</v>
      </c>
      <c r="D211" s="3" t="s">
        <v>2197</v>
      </c>
      <c r="E211" s="11" t="s">
        <v>11</v>
      </c>
      <c r="F211" s="10">
        <v>5.5599999999999996E-4</v>
      </c>
      <c r="G211" s="25">
        <f>ROUND(G$3*F211,0)</f>
        <v>160</v>
      </c>
      <c r="H211" s="25">
        <f>ROUND(G211/2,0)</f>
        <v>80</v>
      </c>
      <c r="I211" s="25">
        <f>G211-H211</f>
        <v>80</v>
      </c>
      <c r="J211" s="3" t="str">
        <f t="shared" si="13"/>
        <v>0320010</v>
      </c>
    </row>
    <row r="212" spans="1:10" s="3" customFormat="1">
      <c r="B212" s="3" t="s">
        <v>2090</v>
      </c>
      <c r="C212" s="8">
        <v>2</v>
      </c>
      <c r="D212" s="3" t="s">
        <v>2198</v>
      </c>
      <c r="E212" s="11" t="s">
        <v>90</v>
      </c>
      <c r="F212" s="11"/>
      <c r="G212" s="23"/>
      <c r="H212" s="11"/>
      <c r="I212" s="11"/>
      <c r="J212" s="3" t="str">
        <f t="shared" si="13"/>
        <v>0320011</v>
      </c>
    </row>
    <row r="213" spans="1:10" s="3" customFormat="1">
      <c r="B213" s="3" t="s">
        <v>2090</v>
      </c>
      <c r="C213" s="8">
        <v>2</v>
      </c>
      <c r="D213" s="3" t="s">
        <v>2198</v>
      </c>
      <c r="E213" s="11" t="s">
        <v>10</v>
      </c>
      <c r="F213" s="10">
        <v>2.42E-4</v>
      </c>
      <c r="G213" s="25">
        <f>ROUND(G$3*F213,0)</f>
        <v>70</v>
      </c>
      <c r="H213" s="25">
        <f>ROUND(G213/2,0)</f>
        <v>35</v>
      </c>
      <c r="I213" s="25">
        <f>G213-H213</f>
        <v>35</v>
      </c>
      <c r="J213" s="3" t="str">
        <f t="shared" si="13"/>
        <v>0320011</v>
      </c>
    </row>
    <row r="214" spans="1:10" s="3" customFormat="1">
      <c r="B214" s="3" t="s">
        <v>2090</v>
      </c>
      <c r="C214" s="8">
        <v>2</v>
      </c>
      <c r="D214" s="3" t="s">
        <v>2198</v>
      </c>
      <c r="E214" s="11" t="s">
        <v>11</v>
      </c>
      <c r="F214" s="10">
        <v>2.4800000000000001E-4</v>
      </c>
      <c r="G214" s="25">
        <f>ROUND(G$3*F214,0)</f>
        <v>71</v>
      </c>
      <c r="H214" s="25">
        <f>ROUND(G214/2,0)</f>
        <v>36</v>
      </c>
      <c r="I214" s="25">
        <f>G214-H214</f>
        <v>35</v>
      </c>
      <c r="J214" s="3" t="str">
        <f t="shared" si="13"/>
        <v>0320011</v>
      </c>
    </row>
    <row r="215" spans="1:10" s="3" customFormat="1">
      <c r="B215" s="3" t="s">
        <v>2090</v>
      </c>
      <c r="C215" s="8">
        <v>2</v>
      </c>
      <c r="D215" s="3" t="s">
        <v>2199</v>
      </c>
      <c r="E215" s="11" t="s">
        <v>61</v>
      </c>
      <c r="F215" s="11"/>
      <c r="G215" s="23"/>
      <c r="H215" s="11"/>
      <c r="I215" s="11"/>
      <c r="J215" s="3" t="str">
        <f t="shared" si="13"/>
        <v>0320012</v>
      </c>
    </row>
    <row r="216" spans="1:10" s="3" customFormat="1">
      <c r="B216" s="3" t="s">
        <v>2090</v>
      </c>
      <c r="C216" s="8">
        <v>2</v>
      </c>
      <c r="D216" s="3" t="s">
        <v>2199</v>
      </c>
      <c r="E216" s="11" t="s">
        <v>10</v>
      </c>
      <c r="F216" s="10">
        <v>2.1310000000000001E-3</v>
      </c>
      <c r="G216" s="25">
        <f t="shared" ref="G216:G225" si="14">ROUND(G$3*F216,0)</f>
        <v>613</v>
      </c>
      <c r="H216" s="25">
        <f t="shared" ref="H216:H225" si="15">ROUND(G216/2,0)</f>
        <v>307</v>
      </c>
      <c r="I216" s="25">
        <f t="shared" ref="I216:I225" si="16">G216-H216</f>
        <v>306</v>
      </c>
      <c r="J216" s="3" t="str">
        <f t="shared" si="13"/>
        <v>0320012</v>
      </c>
    </row>
    <row r="217" spans="1:10" s="3" customFormat="1">
      <c r="B217" s="3" t="s">
        <v>2090</v>
      </c>
      <c r="C217" s="8">
        <v>2</v>
      </c>
      <c r="D217" s="3" t="s">
        <v>2199</v>
      </c>
      <c r="E217" s="11" t="s">
        <v>11</v>
      </c>
      <c r="F217" s="10">
        <v>2.8499999999999999E-4</v>
      </c>
      <c r="G217" s="25">
        <f t="shared" si="14"/>
        <v>82</v>
      </c>
      <c r="H217" s="25">
        <f t="shared" si="15"/>
        <v>41</v>
      </c>
      <c r="I217" s="25">
        <f t="shared" si="16"/>
        <v>41</v>
      </c>
      <c r="J217" s="3" t="str">
        <f t="shared" si="13"/>
        <v>0320012</v>
      </c>
    </row>
    <row r="218" spans="1:10" s="3" customFormat="1">
      <c r="B218" s="3" t="s">
        <v>2090</v>
      </c>
      <c r="C218" s="8">
        <v>3</v>
      </c>
      <c r="D218" s="3" t="s">
        <v>2230</v>
      </c>
      <c r="E218" s="11" t="s">
        <v>91</v>
      </c>
      <c r="F218" s="10">
        <v>1.0859999999999999E-3</v>
      </c>
      <c r="G218" s="25">
        <f t="shared" si="14"/>
        <v>312</v>
      </c>
      <c r="H218" s="25">
        <f t="shared" si="15"/>
        <v>156</v>
      </c>
      <c r="I218" s="25">
        <f t="shared" si="16"/>
        <v>156</v>
      </c>
      <c r="J218" s="3" t="str">
        <f t="shared" si="13"/>
        <v>0330525</v>
      </c>
    </row>
    <row r="219" spans="1:10" s="3" customFormat="1">
      <c r="B219" s="3" t="s">
        <v>2090</v>
      </c>
      <c r="C219" s="8">
        <v>3</v>
      </c>
      <c r="D219" s="3" t="s">
        <v>2229</v>
      </c>
      <c r="E219" s="11" t="s">
        <v>92</v>
      </c>
      <c r="F219" s="10">
        <v>0.12584300000000001</v>
      </c>
      <c r="G219" s="25">
        <f t="shared" si="14"/>
        <v>36208</v>
      </c>
      <c r="H219" s="25">
        <f t="shared" si="15"/>
        <v>18104</v>
      </c>
      <c r="I219" s="25">
        <f t="shared" si="16"/>
        <v>18104</v>
      </c>
      <c r="J219" s="3" t="str">
        <f t="shared" si="13"/>
        <v>0330200</v>
      </c>
    </row>
    <row r="220" spans="1:10" s="3" customFormat="1">
      <c r="B220" s="3" t="s">
        <v>2090</v>
      </c>
      <c r="C220" s="8">
        <v>3</v>
      </c>
      <c r="D220" s="3" t="s">
        <v>2235</v>
      </c>
      <c r="E220" s="11" t="s">
        <v>93</v>
      </c>
      <c r="F220" s="10">
        <v>9.2900000000000003E-4</v>
      </c>
      <c r="G220" s="25">
        <f t="shared" si="14"/>
        <v>267</v>
      </c>
      <c r="H220" s="25">
        <f t="shared" si="15"/>
        <v>134</v>
      </c>
      <c r="I220" s="25">
        <f t="shared" si="16"/>
        <v>133</v>
      </c>
      <c r="J220" s="3" t="str">
        <f t="shared" si="13"/>
        <v>0330703</v>
      </c>
    </row>
    <row r="221" spans="1:10" s="3" customFormat="1">
      <c r="A221" s="3" t="s">
        <v>6269</v>
      </c>
      <c r="B221" s="3" t="s">
        <v>2090</v>
      </c>
      <c r="C221" s="8">
        <v>3</v>
      </c>
      <c r="D221" s="3" t="s">
        <v>2231</v>
      </c>
      <c r="E221" s="11" t="s">
        <v>94</v>
      </c>
      <c r="F221" s="10">
        <v>0</v>
      </c>
      <c r="G221" s="25">
        <f t="shared" si="14"/>
        <v>0</v>
      </c>
      <c r="H221" s="25">
        <f t="shared" si="15"/>
        <v>0</v>
      </c>
      <c r="I221" s="25">
        <f t="shared" si="16"/>
        <v>0</v>
      </c>
      <c r="J221" s="3" t="str">
        <f t="shared" si="13"/>
        <v>0330526</v>
      </c>
    </row>
    <row r="222" spans="1:10" s="3" customFormat="1">
      <c r="B222" s="3" t="s">
        <v>2090</v>
      </c>
      <c r="C222" s="8">
        <v>3</v>
      </c>
      <c r="D222" s="3" t="s">
        <v>2232</v>
      </c>
      <c r="E222" s="11" t="s">
        <v>95</v>
      </c>
      <c r="F222" s="10">
        <v>2.5999999999999998E-5</v>
      </c>
      <c r="G222" s="25">
        <f t="shared" si="14"/>
        <v>7</v>
      </c>
      <c r="H222" s="25">
        <f t="shared" si="15"/>
        <v>4</v>
      </c>
      <c r="I222" s="25">
        <f t="shared" si="16"/>
        <v>3</v>
      </c>
      <c r="J222" s="3" t="str">
        <f t="shared" si="13"/>
        <v>0330527</v>
      </c>
    </row>
    <row r="223" spans="1:10" s="3" customFormat="1">
      <c r="B223" s="3" t="s">
        <v>2090</v>
      </c>
      <c r="C223" s="8">
        <v>3</v>
      </c>
      <c r="D223" s="3" t="s">
        <v>2233</v>
      </c>
      <c r="E223" s="11" t="s">
        <v>96</v>
      </c>
      <c r="F223" s="10">
        <v>2.6250000000000002E-3</v>
      </c>
      <c r="G223" s="25">
        <f t="shared" si="14"/>
        <v>755</v>
      </c>
      <c r="H223" s="25">
        <f t="shared" si="15"/>
        <v>378</v>
      </c>
      <c r="I223" s="25">
        <f t="shared" si="16"/>
        <v>377</v>
      </c>
      <c r="J223" s="3" t="str">
        <f t="shared" si="13"/>
        <v>0330528</v>
      </c>
    </row>
    <row r="224" spans="1:10" s="3" customFormat="1">
      <c r="B224" s="3" t="s">
        <v>2090</v>
      </c>
      <c r="C224" s="8">
        <v>3</v>
      </c>
      <c r="D224" s="3" t="s">
        <v>2234</v>
      </c>
      <c r="E224" s="11" t="s">
        <v>97</v>
      </c>
      <c r="F224" s="10">
        <v>4.1E-5</v>
      </c>
      <c r="G224" s="25">
        <f t="shared" si="14"/>
        <v>12</v>
      </c>
      <c r="H224" s="25">
        <f t="shared" si="15"/>
        <v>6</v>
      </c>
      <c r="I224" s="25">
        <f t="shared" si="16"/>
        <v>6</v>
      </c>
      <c r="J224" s="3" t="str">
        <f t="shared" si="13"/>
        <v>0330529</v>
      </c>
    </row>
    <row r="225" spans="2:10" s="3" customFormat="1">
      <c r="B225" s="3" t="s">
        <v>2090</v>
      </c>
      <c r="C225" s="8">
        <v>4</v>
      </c>
      <c r="D225" s="116" t="s">
        <v>2236</v>
      </c>
      <c r="E225" s="11" t="s">
        <v>98</v>
      </c>
      <c r="F225" s="10">
        <v>0.59325000000000006</v>
      </c>
      <c r="G225" s="23">
        <f t="shared" si="14"/>
        <v>170692</v>
      </c>
      <c r="H225" s="11">
        <f t="shared" si="15"/>
        <v>85346</v>
      </c>
      <c r="I225" s="9">
        <f t="shared" si="16"/>
        <v>85346</v>
      </c>
      <c r="J225" s="3" t="str">
        <f t="shared" si="13"/>
        <v>0340365</v>
      </c>
    </row>
    <row r="226" spans="2:10" s="3" customFormat="1">
      <c r="B226" s="3" t="s">
        <v>2090</v>
      </c>
      <c r="C226" s="8">
        <v>4</v>
      </c>
      <c r="D226" s="116" t="s">
        <v>2236</v>
      </c>
      <c r="E226" s="11" t="s">
        <v>28</v>
      </c>
      <c r="F226" s="11"/>
      <c r="G226" s="31">
        <v>0.45757999999999999</v>
      </c>
      <c r="H226" s="11"/>
      <c r="I226" s="11"/>
      <c r="J226" s="3" t="str">
        <f t="shared" si="13"/>
        <v>0340365</v>
      </c>
    </row>
    <row r="227" spans="2:10" s="3" customFormat="1">
      <c r="B227" s="3" t="s">
        <v>2090</v>
      </c>
      <c r="C227" s="8">
        <v>4</v>
      </c>
      <c r="D227" s="116" t="s">
        <v>2236</v>
      </c>
      <c r="E227" s="11" t="s">
        <v>29</v>
      </c>
      <c r="F227" s="11"/>
      <c r="G227" s="27">
        <f>ROUND(G225*G226,0)</f>
        <v>78105</v>
      </c>
      <c r="H227" s="16">
        <f>ROUND(G227/2,0)</f>
        <v>39053</v>
      </c>
      <c r="I227" s="15">
        <f>G227-H227</f>
        <v>39052</v>
      </c>
      <c r="J227" s="3" t="str">
        <f t="shared" si="13"/>
        <v>0340365</v>
      </c>
    </row>
    <row r="228" spans="2:10" s="3" customFormat="1">
      <c r="B228" s="3" t="s">
        <v>2090</v>
      </c>
      <c r="C228" s="8">
        <v>4</v>
      </c>
      <c r="D228" s="116" t="s">
        <v>2236</v>
      </c>
      <c r="E228" s="11" t="s">
        <v>30</v>
      </c>
      <c r="F228" s="11"/>
      <c r="G228" s="25">
        <f>G225-G227</f>
        <v>92587</v>
      </c>
      <c r="H228" s="25">
        <f>ROUND(G228/2,0)</f>
        <v>46294</v>
      </c>
      <c r="I228" s="25">
        <f>G228-H228</f>
        <v>46293</v>
      </c>
      <c r="J228" s="3" t="str">
        <f t="shared" si="13"/>
        <v>0340365</v>
      </c>
    </row>
    <row r="229" spans="2:10" s="3" customFormat="1">
      <c r="B229" s="3" t="s">
        <v>2090</v>
      </c>
      <c r="C229" s="8">
        <v>4</v>
      </c>
      <c r="D229" s="3" t="s">
        <v>2238</v>
      </c>
      <c r="E229" s="11" t="s">
        <v>99</v>
      </c>
      <c r="F229" s="10">
        <v>9.4600000000000001E-4</v>
      </c>
      <c r="G229" s="23">
        <f>ROUND(G$3*F229,0)</f>
        <v>272</v>
      </c>
      <c r="H229" s="11">
        <f>ROUND(G229/2,0)</f>
        <v>136</v>
      </c>
      <c r="I229" s="9">
        <f>G229-H229</f>
        <v>136</v>
      </c>
      <c r="J229" s="3" t="str">
        <f t="shared" si="13"/>
        <v>0344215</v>
      </c>
    </row>
    <row r="230" spans="2:10" s="3" customFormat="1">
      <c r="B230" s="3" t="s">
        <v>2090</v>
      </c>
      <c r="C230" s="8">
        <v>4</v>
      </c>
      <c r="D230" s="3" t="s">
        <v>2238</v>
      </c>
      <c r="E230" s="11" t="s">
        <v>28</v>
      </c>
      <c r="F230" s="11"/>
      <c r="G230" s="31">
        <v>0.48823699999999998</v>
      </c>
      <c r="H230" s="11"/>
      <c r="I230" s="11"/>
      <c r="J230" s="3" t="str">
        <f t="shared" si="13"/>
        <v>0344215</v>
      </c>
    </row>
    <row r="231" spans="2:10" s="3" customFormat="1">
      <c r="B231" s="3" t="s">
        <v>2090</v>
      </c>
      <c r="C231" s="8">
        <v>4</v>
      </c>
      <c r="D231" s="3" t="s">
        <v>2238</v>
      </c>
      <c r="E231" s="11" t="s">
        <v>29</v>
      </c>
      <c r="F231" s="11"/>
      <c r="G231" s="27">
        <f>ROUND(G229*G230,0)</f>
        <v>133</v>
      </c>
      <c r="H231" s="16">
        <f>ROUND(G231/2,0)</f>
        <v>67</v>
      </c>
      <c r="I231" s="15">
        <f>G231-H231</f>
        <v>66</v>
      </c>
      <c r="J231" s="3" t="str">
        <f t="shared" si="13"/>
        <v>0344215</v>
      </c>
    </row>
    <row r="232" spans="2:10" s="3" customFormat="1">
      <c r="B232" s="3" t="s">
        <v>2090</v>
      </c>
      <c r="C232" s="8">
        <v>4</v>
      </c>
      <c r="D232" s="3" t="s">
        <v>2238</v>
      </c>
      <c r="E232" s="11" t="s">
        <v>30</v>
      </c>
      <c r="F232" s="11"/>
      <c r="G232" s="25">
        <f>G229-G231</f>
        <v>139</v>
      </c>
      <c r="H232" s="25">
        <f>ROUND(G232/2,0)</f>
        <v>70</v>
      </c>
      <c r="I232" s="25">
        <f>G232-H232</f>
        <v>69</v>
      </c>
      <c r="J232" s="3" t="str">
        <f t="shared" si="13"/>
        <v>0344215</v>
      </c>
    </row>
    <row r="233" spans="2:10" s="3" customFormat="1">
      <c r="B233" s="3" t="s">
        <v>2090</v>
      </c>
      <c r="C233" s="8">
        <v>4</v>
      </c>
      <c r="D233" s="3" t="s">
        <v>2237</v>
      </c>
      <c r="E233" s="11" t="s">
        <v>100</v>
      </c>
      <c r="F233" s="10">
        <v>3.6627E-2</v>
      </c>
      <c r="G233" s="23">
        <f>ROUND(G$3*F233,0)</f>
        <v>10538</v>
      </c>
      <c r="H233" s="11">
        <f>ROUND(G233/2,0)</f>
        <v>5269</v>
      </c>
      <c r="I233" s="9">
        <f>G233-H233</f>
        <v>5269</v>
      </c>
      <c r="J233" s="3" t="str">
        <f t="shared" si="13"/>
        <v>0340370</v>
      </c>
    </row>
    <row r="234" spans="2:10" s="3" customFormat="1">
      <c r="B234" s="3" t="s">
        <v>2090</v>
      </c>
      <c r="C234" s="8">
        <v>4</v>
      </c>
      <c r="D234" s="3" t="s">
        <v>2237</v>
      </c>
      <c r="E234" s="11" t="s">
        <v>28</v>
      </c>
      <c r="F234" s="11"/>
      <c r="G234" s="31">
        <v>0.41181600000000002</v>
      </c>
      <c r="H234" s="11"/>
      <c r="I234" s="11"/>
      <c r="J234" s="3" t="str">
        <f t="shared" si="13"/>
        <v>0340370</v>
      </c>
    </row>
    <row r="235" spans="2:10" s="3" customFormat="1">
      <c r="B235" s="3" t="s">
        <v>2090</v>
      </c>
      <c r="C235" s="8">
        <v>4</v>
      </c>
      <c r="D235" s="3" t="s">
        <v>2237</v>
      </c>
      <c r="E235" s="11" t="s">
        <v>29</v>
      </c>
      <c r="F235" s="11"/>
      <c r="G235" s="27">
        <f>ROUND(G233*G234,0)</f>
        <v>4340</v>
      </c>
      <c r="H235" s="16">
        <f>ROUND(G235/2,0)</f>
        <v>2170</v>
      </c>
      <c r="I235" s="15">
        <f>G235-H235</f>
        <v>2170</v>
      </c>
      <c r="J235" s="3" t="str">
        <f t="shared" si="13"/>
        <v>0340370</v>
      </c>
    </row>
    <row r="236" spans="2:10" s="3" customFormat="1">
      <c r="B236" s="3" t="s">
        <v>2090</v>
      </c>
      <c r="C236" s="8">
        <v>4</v>
      </c>
      <c r="D236" s="3" t="s">
        <v>2237</v>
      </c>
      <c r="E236" s="11" t="s">
        <v>30</v>
      </c>
      <c r="F236" s="11"/>
      <c r="G236" s="25">
        <f>G233-G235</f>
        <v>6198</v>
      </c>
      <c r="H236" s="25">
        <f>ROUND(G236/2,0)</f>
        <v>3099</v>
      </c>
      <c r="I236" s="25">
        <f>G236-H236</f>
        <v>3099</v>
      </c>
      <c r="J236" s="3" t="str">
        <f t="shared" si="13"/>
        <v>0340370</v>
      </c>
    </row>
    <row r="237" spans="2:10" s="3" customFormat="1">
      <c r="B237" s="3" t="s">
        <v>2090</v>
      </c>
      <c r="C237" s="8">
        <v>5</v>
      </c>
      <c r="D237" s="3" t="s">
        <v>2193</v>
      </c>
      <c r="E237" s="11" t="s">
        <v>101</v>
      </c>
      <c r="F237" s="10">
        <v>2.0565E-2</v>
      </c>
      <c r="G237" s="121">
        <f>ROUND(G$3*F237,0)</f>
        <v>5917</v>
      </c>
      <c r="H237" s="121">
        <f>ROUND(G237/2,0)</f>
        <v>2959</v>
      </c>
      <c r="I237" s="121">
        <f>G237-H237</f>
        <v>2958</v>
      </c>
      <c r="J237" s="3" t="str">
        <f t="shared" si="13"/>
        <v>0350006</v>
      </c>
    </row>
    <row r="238" spans="2:10" s="3" customFormat="1">
      <c r="B238" s="3" t="s">
        <v>2090</v>
      </c>
      <c r="C238" s="8">
        <v>5</v>
      </c>
      <c r="D238" s="3" t="s">
        <v>2239</v>
      </c>
      <c r="E238" s="11" t="s">
        <v>102</v>
      </c>
      <c r="F238" s="10">
        <v>9.3999999999999994E-5</v>
      </c>
      <c r="G238" s="121">
        <f>ROUND(G$3*F238,0)</f>
        <v>27</v>
      </c>
      <c r="H238" s="121">
        <f>ROUND(G238/2,0)</f>
        <v>14</v>
      </c>
      <c r="I238" s="121">
        <f>G238-H238</f>
        <v>13</v>
      </c>
      <c r="J238" s="3" t="str">
        <f t="shared" si="13"/>
        <v>0350111</v>
      </c>
    </row>
    <row r="239" spans="2:10" s="3" customFormat="1">
      <c r="B239" s="3" t="s">
        <v>2090</v>
      </c>
      <c r="C239" s="8">
        <v>6</v>
      </c>
      <c r="D239" s="116" t="s">
        <v>3251</v>
      </c>
      <c r="E239" s="11" t="s">
        <v>103</v>
      </c>
      <c r="F239" s="10">
        <v>5.0329999999998432E-3</v>
      </c>
      <c r="G239" s="121">
        <f>+G176-SUM(G177:G178)-SUM(G183:G225)-G229-G233-SUM(G237:G238)</f>
        <v>379150</v>
      </c>
      <c r="H239" s="121">
        <f>ROUND(G239/2,0)</f>
        <v>189575</v>
      </c>
      <c r="I239" s="121">
        <f>G239-H239</f>
        <v>189575</v>
      </c>
      <c r="J239" s="3" t="str">
        <f t="shared" si="13"/>
        <v>0361039</v>
      </c>
    </row>
    <row r="240" spans="2:10" s="3" customFormat="1">
      <c r="B240" s="3" t="s">
        <v>2090</v>
      </c>
      <c r="C240" s="8">
        <v>0</v>
      </c>
      <c r="D240" s="125" t="s">
        <v>2187</v>
      </c>
      <c r="E240" s="28" t="s">
        <v>37</v>
      </c>
      <c r="F240" s="10">
        <v>1</v>
      </c>
      <c r="G240" s="12">
        <f>+G177+SUM(G180:G224)+G227+G228+G231+G232+G235+G236+G237+G238+G239</f>
        <v>665425</v>
      </c>
      <c r="H240" s="12">
        <f>+H177+SUM(H180:H224)+H227+H228+H231+H232+H235+H236+H237+H238+H239</f>
        <v>332724</v>
      </c>
      <c r="I240" s="12">
        <f>+I177+SUM(I180:I224)+I227+I228+I231+I232+I235+I236+I237+I238+I239</f>
        <v>332701</v>
      </c>
      <c r="J240" s="3" t="str">
        <f t="shared" si="13"/>
        <v>0300000</v>
      </c>
    </row>
    <row r="241" spans="2:10" s="3" customFormat="1">
      <c r="B241" s="3" t="s">
        <v>2090</v>
      </c>
      <c r="C241" s="8">
        <v>0</v>
      </c>
      <c r="D241" s="3" t="s">
        <v>2187</v>
      </c>
      <c r="E241" s="18" t="s">
        <v>38</v>
      </c>
      <c r="G241" s="19">
        <f>+G177</f>
        <v>379</v>
      </c>
      <c r="H241" s="19">
        <f>+H177</f>
        <v>190</v>
      </c>
      <c r="I241" s="19">
        <f>+I177</f>
        <v>189</v>
      </c>
      <c r="J241" s="3" t="str">
        <f t="shared" si="13"/>
        <v>0300000</v>
      </c>
    </row>
    <row r="242" spans="2:10" s="3" customFormat="1">
      <c r="B242" s="3" t="s">
        <v>2090</v>
      </c>
      <c r="C242" s="8">
        <v>0</v>
      </c>
      <c r="D242" s="3" t="s">
        <v>2187</v>
      </c>
      <c r="E242" s="2" t="s">
        <v>39</v>
      </c>
      <c r="G242" s="19">
        <f>+G180</f>
        <v>34207</v>
      </c>
      <c r="H242" s="19">
        <f>+H180</f>
        <v>17104</v>
      </c>
      <c r="I242" s="19">
        <f>+I180</f>
        <v>17103</v>
      </c>
      <c r="J242" s="3" t="str">
        <f t="shared" si="13"/>
        <v>0300000</v>
      </c>
    </row>
    <row r="243" spans="2:10" s="3" customFormat="1">
      <c r="B243" s="3" t="s">
        <v>2090</v>
      </c>
      <c r="C243" s="8">
        <v>0</v>
      </c>
      <c r="D243" s="3" t="s">
        <v>2187</v>
      </c>
      <c r="E243" s="2" t="s">
        <v>40</v>
      </c>
      <c r="G243" s="19">
        <f>+G227+G231+G235</f>
        <v>82578</v>
      </c>
      <c r="H243" s="19">
        <f>+H227+H231+H235</f>
        <v>41290</v>
      </c>
      <c r="I243" s="19">
        <f>+I227+I231+I235</f>
        <v>41288</v>
      </c>
      <c r="J243" s="3" t="str">
        <f t="shared" si="13"/>
        <v>0300000</v>
      </c>
    </row>
    <row r="244" spans="2:10" s="3" customFormat="1">
      <c r="B244" s="3" t="s">
        <v>2090</v>
      </c>
      <c r="C244" s="8">
        <v>0</v>
      </c>
      <c r="D244" s="125" t="s">
        <v>2187</v>
      </c>
      <c r="E244" s="18" t="s">
        <v>41</v>
      </c>
      <c r="G244" s="19">
        <f>+G240-G241-G242-G243</f>
        <v>548261</v>
      </c>
      <c r="H244" s="19">
        <f>+H240-H241-H242-H243</f>
        <v>274140</v>
      </c>
      <c r="I244" s="19">
        <f>+I240-I241-I242-I243</f>
        <v>274121</v>
      </c>
      <c r="J244" s="3" t="str">
        <f t="shared" si="13"/>
        <v>0300000</v>
      </c>
    </row>
    <row r="245" spans="2:10" ht="15.75">
      <c r="B245" s="3" t="s">
        <v>2186</v>
      </c>
      <c r="D245" t="s">
        <v>2186</v>
      </c>
      <c r="E245">
        <v>0</v>
      </c>
      <c r="G245"/>
      <c r="H245"/>
      <c r="I245"/>
      <c r="J245" s="3" t="str">
        <f t="shared" si="13"/>
        <v/>
      </c>
    </row>
    <row r="246" spans="2:10" s="3" customFormat="1">
      <c r="C246" s="1"/>
      <c r="D246" s="3" t="s">
        <v>2186</v>
      </c>
      <c r="E246" s="2" t="s">
        <v>104</v>
      </c>
      <c r="J246" s="3" t="str">
        <f t="shared" si="13"/>
        <v/>
      </c>
    </row>
    <row r="247" spans="2:10" s="3" customFormat="1" ht="45.75" customHeight="1">
      <c r="B247" s="3" t="s">
        <v>2186</v>
      </c>
      <c r="C247" s="1"/>
      <c r="D247" s="3" t="s">
        <v>2186</v>
      </c>
      <c r="E247" s="1">
        <v>0</v>
      </c>
      <c r="F247" s="6" t="s">
        <v>1</v>
      </c>
      <c r="G247" s="60">
        <f>'Allocation Worksheet'!H247</f>
        <v>0</v>
      </c>
      <c r="H247" s="60">
        <f>'Allocation Worksheet'!H248</f>
        <v>0</v>
      </c>
      <c r="I247" s="60">
        <f>'Allocation Worksheet'!H249</f>
        <v>0</v>
      </c>
      <c r="J247" s="3" t="str">
        <f t="shared" si="13"/>
        <v/>
      </c>
    </row>
    <row r="248" spans="2:10" s="3" customFormat="1" ht="15.75">
      <c r="C248" s="7" t="s">
        <v>2087</v>
      </c>
      <c r="D248" s="3" t="s">
        <v>2186</v>
      </c>
      <c r="E248" s="7" t="s">
        <v>3</v>
      </c>
      <c r="F248" s="10"/>
      <c r="G248" s="33">
        <f>'Allocation Worksheet'!$D$7</f>
        <v>191532</v>
      </c>
      <c r="H248" s="11"/>
      <c r="I248" s="11"/>
      <c r="J248" s="3" t="str">
        <f t="shared" si="13"/>
        <v>UT</v>
      </c>
    </row>
    <row r="249" spans="2:10" s="3" customFormat="1">
      <c r="B249" s="3" t="s">
        <v>2091</v>
      </c>
      <c r="C249" s="8">
        <v>0</v>
      </c>
      <c r="D249" s="3" t="s">
        <v>2187</v>
      </c>
      <c r="E249" s="11" t="s">
        <v>4</v>
      </c>
      <c r="F249" s="10">
        <v>1.1900000000000001E-3</v>
      </c>
      <c r="G249" s="13">
        <f>ROUND(G$3*F249,0)</f>
        <v>342</v>
      </c>
      <c r="H249" s="13">
        <f>ROUND(G249/2,0)</f>
        <v>171</v>
      </c>
      <c r="I249" s="13">
        <f>G249-H249</f>
        <v>171</v>
      </c>
      <c r="J249" s="3" t="str">
        <f t="shared" si="13"/>
        <v>0400000</v>
      </c>
    </row>
    <row r="250" spans="2:10" s="3" customFormat="1">
      <c r="B250" s="3" t="s">
        <v>2091</v>
      </c>
      <c r="C250" s="8">
        <v>1</v>
      </c>
      <c r="D250" s="3" t="s">
        <v>2187</v>
      </c>
      <c r="E250" s="11" t="s">
        <v>105</v>
      </c>
      <c r="F250" s="10">
        <v>0.213697</v>
      </c>
      <c r="G250" s="11">
        <f>ROUND(G$3*F250,0)</f>
        <v>61486</v>
      </c>
      <c r="H250" s="11">
        <f>ROUND(G250/2,0)</f>
        <v>30743</v>
      </c>
      <c r="I250" s="11">
        <f>G250-H250</f>
        <v>30743</v>
      </c>
      <c r="J250" s="3" t="str">
        <f t="shared" si="13"/>
        <v>0410000</v>
      </c>
    </row>
    <row r="251" spans="2:10" s="3" customFormat="1">
      <c r="B251" s="3" t="s">
        <v>2091</v>
      </c>
      <c r="C251" s="8">
        <v>1</v>
      </c>
      <c r="D251" s="3" t="s">
        <v>2187</v>
      </c>
      <c r="E251" s="11" t="s">
        <v>6</v>
      </c>
      <c r="F251" s="11"/>
      <c r="G251" s="14">
        <v>0.15290699999999999</v>
      </c>
      <c r="H251" s="11"/>
      <c r="I251" s="11"/>
      <c r="J251" s="3" t="str">
        <f t="shared" si="13"/>
        <v>0410000</v>
      </c>
    </row>
    <row r="252" spans="2:10" s="3" customFormat="1">
      <c r="B252" s="3" t="s">
        <v>2091</v>
      </c>
      <c r="C252" s="8">
        <v>1</v>
      </c>
      <c r="D252" s="3" t="s">
        <v>2187</v>
      </c>
      <c r="E252" s="11" t="s">
        <v>7</v>
      </c>
      <c r="F252" s="11"/>
      <c r="G252" s="15">
        <f>ROUND(G250*G251,0)</f>
        <v>9402</v>
      </c>
      <c r="H252" s="16">
        <f>ROUND(G252/2,0)</f>
        <v>4701</v>
      </c>
      <c r="I252" s="16">
        <f>G252-H252</f>
        <v>4701</v>
      </c>
      <c r="J252" s="3" t="str">
        <f t="shared" si="13"/>
        <v>0410000</v>
      </c>
    </row>
    <row r="253" spans="2:10" s="3" customFormat="1">
      <c r="B253" s="3" t="s">
        <v>2091</v>
      </c>
      <c r="C253" s="8">
        <v>1</v>
      </c>
      <c r="D253" s="3" t="s">
        <v>2187</v>
      </c>
      <c r="E253" s="11" t="s">
        <v>8</v>
      </c>
      <c r="F253" s="11"/>
      <c r="G253" s="12">
        <f>+G250-G252</f>
        <v>52084</v>
      </c>
      <c r="H253" s="13">
        <f>ROUND(G253/2,0)</f>
        <v>26042</v>
      </c>
      <c r="I253" s="13">
        <f>G253-H253</f>
        <v>26042</v>
      </c>
      <c r="J253" s="3" t="str">
        <f t="shared" si="13"/>
        <v>0410000</v>
      </c>
    </row>
    <row r="254" spans="2:10" s="3" customFormat="1">
      <c r="B254" s="3" t="s">
        <v>2091</v>
      </c>
      <c r="C254" s="8">
        <v>2</v>
      </c>
      <c r="D254" s="3" t="s">
        <v>2188</v>
      </c>
      <c r="E254" s="11" t="s">
        <v>106</v>
      </c>
      <c r="F254" s="11"/>
      <c r="G254" s="11"/>
      <c r="H254" s="11"/>
      <c r="I254" s="11"/>
      <c r="J254" s="3" t="str">
        <f t="shared" si="13"/>
        <v>0420001</v>
      </c>
    </row>
    <row r="255" spans="2:10" s="3" customFormat="1">
      <c r="B255" s="3" t="s">
        <v>2091</v>
      </c>
      <c r="C255" s="8">
        <v>2</v>
      </c>
      <c r="D255" s="3" t="s">
        <v>2188</v>
      </c>
      <c r="E255" s="11" t="s">
        <v>10</v>
      </c>
      <c r="F255" s="10">
        <v>2.598E-3</v>
      </c>
      <c r="G255" s="13">
        <f>ROUND(G$3*F255,0)</f>
        <v>748</v>
      </c>
      <c r="H255" s="13">
        <f>ROUND(G255/2,0)</f>
        <v>374</v>
      </c>
      <c r="I255" s="13">
        <f>G255-H255</f>
        <v>374</v>
      </c>
      <c r="J255" s="3" t="str">
        <f t="shared" si="13"/>
        <v>0420001</v>
      </c>
    </row>
    <row r="256" spans="2:10" s="3" customFormat="1">
      <c r="B256" s="3" t="s">
        <v>2091</v>
      </c>
      <c r="C256" s="8">
        <v>2</v>
      </c>
      <c r="D256" s="3" t="s">
        <v>2188</v>
      </c>
      <c r="E256" s="11" t="s">
        <v>11</v>
      </c>
      <c r="F256" s="10">
        <v>9.7099999999999997E-4</v>
      </c>
      <c r="G256" s="13">
        <f>ROUND(G$3*F256,0)</f>
        <v>279</v>
      </c>
      <c r="H256" s="13">
        <f>ROUND(G256/2,0)</f>
        <v>140</v>
      </c>
      <c r="I256" s="13">
        <f>G256-H256</f>
        <v>139</v>
      </c>
      <c r="J256" s="3" t="str">
        <f t="shared" si="13"/>
        <v>0420001</v>
      </c>
    </row>
    <row r="257" spans="2:10" s="3" customFormat="1">
      <c r="B257" s="3" t="s">
        <v>2091</v>
      </c>
      <c r="C257" s="8">
        <v>2</v>
      </c>
      <c r="D257" s="3" t="s">
        <v>2189</v>
      </c>
      <c r="E257" s="11" t="s">
        <v>107</v>
      </c>
      <c r="F257" s="11"/>
      <c r="G257" s="11"/>
      <c r="H257" s="11"/>
      <c r="I257" s="11"/>
      <c r="J257" s="3" t="str">
        <f t="shared" si="13"/>
        <v>0420002</v>
      </c>
    </row>
    <row r="258" spans="2:10" s="3" customFormat="1">
      <c r="B258" s="3" t="s">
        <v>2091</v>
      </c>
      <c r="C258" s="8">
        <v>2</v>
      </c>
      <c r="D258" s="3" t="s">
        <v>2189</v>
      </c>
      <c r="E258" s="11" t="s">
        <v>10</v>
      </c>
      <c r="F258" s="10">
        <v>4.535E-3</v>
      </c>
      <c r="G258" s="13">
        <f>ROUND(G$3*F258,0)</f>
        <v>1305</v>
      </c>
      <c r="H258" s="13">
        <f>ROUND(G258/2,0)</f>
        <v>653</v>
      </c>
      <c r="I258" s="13">
        <f>G258-H258</f>
        <v>652</v>
      </c>
      <c r="J258" s="3" t="str">
        <f t="shared" si="13"/>
        <v>0420002</v>
      </c>
    </row>
    <row r="259" spans="2:10" s="3" customFormat="1">
      <c r="B259" s="3" t="s">
        <v>2091</v>
      </c>
      <c r="C259" s="8">
        <v>2</v>
      </c>
      <c r="D259" s="3" t="s">
        <v>2189</v>
      </c>
      <c r="E259" s="11" t="s">
        <v>11</v>
      </c>
      <c r="F259" s="10">
        <v>2.0600000000000002E-3</v>
      </c>
      <c r="G259" s="13">
        <f>ROUND(G$3*F259,0)</f>
        <v>593</v>
      </c>
      <c r="H259" s="13">
        <f>ROUND(G259/2,0)</f>
        <v>297</v>
      </c>
      <c r="I259" s="13">
        <f>G259-H259</f>
        <v>296</v>
      </c>
      <c r="J259" s="3" t="str">
        <f t="shared" si="13"/>
        <v>0420002</v>
      </c>
    </row>
    <row r="260" spans="2:10" s="3" customFormat="1">
      <c r="B260" s="3" t="s">
        <v>2091</v>
      </c>
      <c r="C260" s="8">
        <v>2</v>
      </c>
      <c r="D260" s="3" t="s">
        <v>2190</v>
      </c>
      <c r="E260" s="11" t="s">
        <v>108</v>
      </c>
      <c r="F260" s="11"/>
      <c r="G260" s="11"/>
      <c r="H260" s="11"/>
      <c r="I260" s="11"/>
      <c r="J260" s="3" t="str">
        <f t="shared" ref="J260:J323" si="17">B260&amp;C260&amp;D260</f>
        <v>0420003</v>
      </c>
    </row>
    <row r="261" spans="2:10" s="3" customFormat="1">
      <c r="B261" s="3" t="s">
        <v>2091</v>
      </c>
      <c r="C261" s="8">
        <v>2</v>
      </c>
      <c r="D261" s="3" t="s">
        <v>2190</v>
      </c>
      <c r="E261" s="11" t="s">
        <v>10</v>
      </c>
      <c r="F261" s="10">
        <v>5.1400000000000003E-4</v>
      </c>
      <c r="G261" s="13">
        <f>ROUND(G$3*F261,0)</f>
        <v>148</v>
      </c>
      <c r="H261" s="13">
        <f>ROUND(G261/2,0)</f>
        <v>74</v>
      </c>
      <c r="I261" s="13">
        <f>G261-H261</f>
        <v>74</v>
      </c>
      <c r="J261" s="3" t="str">
        <f t="shared" si="17"/>
        <v>0420003</v>
      </c>
    </row>
    <row r="262" spans="2:10" s="3" customFormat="1">
      <c r="B262" s="3" t="s">
        <v>2091</v>
      </c>
      <c r="C262" s="8">
        <v>2</v>
      </c>
      <c r="D262" s="3" t="s">
        <v>2190</v>
      </c>
      <c r="E262" s="11" t="s">
        <v>11</v>
      </c>
      <c r="F262" s="10">
        <v>3.3799999999999998E-4</v>
      </c>
      <c r="G262" s="13">
        <f>ROUND(G$3*F262,0)</f>
        <v>97</v>
      </c>
      <c r="H262" s="13">
        <f>ROUND(G262/2,0)</f>
        <v>49</v>
      </c>
      <c r="I262" s="13">
        <f>G262-H262</f>
        <v>48</v>
      </c>
      <c r="J262" s="3" t="str">
        <f t="shared" si="17"/>
        <v>0420003</v>
      </c>
    </row>
    <row r="263" spans="2:10" s="3" customFormat="1">
      <c r="B263" s="3" t="s">
        <v>2091</v>
      </c>
      <c r="C263" s="8">
        <v>2</v>
      </c>
      <c r="D263" s="3" t="s">
        <v>2191</v>
      </c>
      <c r="E263" s="11" t="s">
        <v>109</v>
      </c>
      <c r="F263" s="11"/>
      <c r="G263" s="11"/>
      <c r="H263" s="11"/>
      <c r="I263" s="11"/>
      <c r="J263" s="3" t="str">
        <f t="shared" si="17"/>
        <v>0420004</v>
      </c>
    </row>
    <row r="264" spans="2:10" s="3" customFormat="1">
      <c r="B264" s="3" t="s">
        <v>2091</v>
      </c>
      <c r="C264" s="8">
        <v>2</v>
      </c>
      <c r="D264" s="3" t="s">
        <v>2191</v>
      </c>
      <c r="E264" s="11" t="s">
        <v>10</v>
      </c>
      <c r="F264" s="10">
        <v>2.7550000000000001E-3</v>
      </c>
      <c r="G264" s="13">
        <f>ROUND(G$3*F264,0)</f>
        <v>793</v>
      </c>
      <c r="H264" s="13">
        <f>ROUND(G264/2,0)</f>
        <v>397</v>
      </c>
      <c r="I264" s="13">
        <f>G264-H264</f>
        <v>396</v>
      </c>
      <c r="J264" s="3" t="str">
        <f t="shared" si="17"/>
        <v>0420004</v>
      </c>
    </row>
    <row r="265" spans="2:10" s="3" customFormat="1">
      <c r="B265" s="3" t="s">
        <v>2091</v>
      </c>
      <c r="C265" s="8">
        <v>2</v>
      </c>
      <c r="D265" s="3" t="s">
        <v>2191</v>
      </c>
      <c r="E265" s="11" t="s">
        <v>11</v>
      </c>
      <c r="F265" s="10">
        <v>3.57E-4</v>
      </c>
      <c r="G265" s="13">
        <f>ROUND(G$3*F265,0)</f>
        <v>103</v>
      </c>
      <c r="H265" s="13">
        <f>ROUND(G265/2,0)</f>
        <v>52</v>
      </c>
      <c r="I265" s="13">
        <f>G265-H265</f>
        <v>51</v>
      </c>
      <c r="J265" s="3" t="str">
        <f t="shared" si="17"/>
        <v>0420004</v>
      </c>
    </row>
    <row r="266" spans="2:10" s="3" customFormat="1">
      <c r="B266" s="3" t="s">
        <v>2091</v>
      </c>
      <c r="C266" s="8">
        <v>2</v>
      </c>
      <c r="D266" s="3" t="s">
        <v>2192</v>
      </c>
      <c r="E266" s="11" t="s">
        <v>110</v>
      </c>
      <c r="F266" s="11"/>
      <c r="G266" s="11"/>
      <c r="H266" s="11"/>
      <c r="I266" s="11"/>
      <c r="J266" s="3" t="str">
        <f t="shared" si="17"/>
        <v>0420005</v>
      </c>
    </row>
    <row r="267" spans="2:10" s="3" customFormat="1">
      <c r="B267" s="3" t="s">
        <v>2091</v>
      </c>
      <c r="C267" s="8">
        <v>2</v>
      </c>
      <c r="D267" s="3" t="s">
        <v>2192</v>
      </c>
      <c r="E267" s="11" t="s">
        <v>10</v>
      </c>
      <c r="F267" s="10">
        <v>4.6959999999999997E-3</v>
      </c>
      <c r="G267" s="13">
        <f>ROUND(G$3*F267,0)</f>
        <v>1351</v>
      </c>
      <c r="H267" s="13">
        <f>ROUND(G267/2,0)</f>
        <v>676</v>
      </c>
      <c r="I267" s="13">
        <f>G267-H267</f>
        <v>675</v>
      </c>
      <c r="J267" s="3" t="str">
        <f t="shared" si="17"/>
        <v>0420005</v>
      </c>
    </row>
    <row r="268" spans="2:10" s="3" customFormat="1">
      <c r="B268" s="3" t="s">
        <v>2091</v>
      </c>
      <c r="C268" s="8">
        <v>2</v>
      </c>
      <c r="D268" s="3" t="s">
        <v>2192</v>
      </c>
      <c r="E268" s="11" t="s">
        <v>11</v>
      </c>
      <c r="F268" s="10">
        <v>3.9020000000000001E-3</v>
      </c>
      <c r="G268" s="13">
        <f>ROUND(G$3*F268,0)</f>
        <v>1123</v>
      </c>
      <c r="H268" s="13">
        <f>ROUND(G268/2,0)</f>
        <v>562</v>
      </c>
      <c r="I268" s="13">
        <f>G268-H268</f>
        <v>561</v>
      </c>
      <c r="J268" s="3" t="str">
        <f t="shared" si="17"/>
        <v>0420005</v>
      </c>
    </row>
    <row r="269" spans="2:10" s="3" customFormat="1">
      <c r="B269" s="3" t="s">
        <v>2091</v>
      </c>
      <c r="C269" s="8">
        <v>2</v>
      </c>
      <c r="D269" s="3" t="s">
        <v>2193</v>
      </c>
      <c r="E269" s="11" t="s">
        <v>111</v>
      </c>
      <c r="F269" s="11"/>
      <c r="G269" s="11"/>
      <c r="H269" s="11"/>
      <c r="I269" s="11"/>
      <c r="J269" s="3" t="str">
        <f t="shared" si="17"/>
        <v>0420006</v>
      </c>
    </row>
    <row r="270" spans="2:10" s="3" customFormat="1">
      <c r="B270" s="3" t="s">
        <v>2091</v>
      </c>
      <c r="C270" s="8">
        <v>2</v>
      </c>
      <c r="D270" s="3" t="s">
        <v>2193</v>
      </c>
      <c r="E270" s="11" t="s">
        <v>10</v>
      </c>
      <c r="F270" s="10">
        <v>1.194E-3</v>
      </c>
      <c r="G270" s="13">
        <f>ROUND(G$3*F270,0)</f>
        <v>344</v>
      </c>
      <c r="H270" s="13">
        <f>ROUND(G270/2,0)</f>
        <v>172</v>
      </c>
      <c r="I270" s="13">
        <f>G270-H270</f>
        <v>172</v>
      </c>
      <c r="J270" s="3" t="str">
        <f t="shared" si="17"/>
        <v>0420006</v>
      </c>
    </row>
    <row r="271" spans="2:10" s="3" customFormat="1">
      <c r="B271" s="3" t="s">
        <v>2091</v>
      </c>
      <c r="C271" s="8">
        <v>2</v>
      </c>
      <c r="D271" s="3" t="s">
        <v>2193</v>
      </c>
      <c r="E271" s="11" t="s">
        <v>11</v>
      </c>
      <c r="F271" s="10">
        <v>5.6099999999999998E-4</v>
      </c>
      <c r="G271" s="13">
        <f>ROUND(G$3*F271,0)</f>
        <v>161</v>
      </c>
      <c r="H271" s="13">
        <f>ROUND(G271/2,0)</f>
        <v>81</v>
      </c>
      <c r="I271" s="13">
        <f>G271-H271</f>
        <v>80</v>
      </c>
      <c r="J271" s="3" t="str">
        <f t="shared" si="17"/>
        <v>0420006</v>
      </c>
    </row>
    <row r="272" spans="2:10" s="3" customFormat="1">
      <c r="B272" s="3" t="s">
        <v>2091</v>
      </c>
      <c r="C272" s="8">
        <v>2</v>
      </c>
      <c r="D272" s="3" t="s">
        <v>2194</v>
      </c>
      <c r="E272" s="11" t="s">
        <v>112</v>
      </c>
      <c r="F272" s="11"/>
      <c r="G272" s="11"/>
      <c r="H272" s="11"/>
      <c r="I272" s="11"/>
      <c r="J272" s="3" t="str">
        <f t="shared" si="17"/>
        <v>0420007</v>
      </c>
    </row>
    <row r="273" spans="2:10" s="3" customFormat="1">
      <c r="B273" s="3" t="s">
        <v>2091</v>
      </c>
      <c r="C273" s="8">
        <v>2</v>
      </c>
      <c r="D273" s="3" t="s">
        <v>2194</v>
      </c>
      <c r="E273" s="11" t="s">
        <v>10</v>
      </c>
      <c r="F273" s="10">
        <v>2.8600000000000001E-4</v>
      </c>
      <c r="G273" s="13">
        <f>ROUND(G$3*F273,0)</f>
        <v>82</v>
      </c>
      <c r="H273" s="13">
        <f>ROUND(G273/2,0)</f>
        <v>41</v>
      </c>
      <c r="I273" s="13">
        <f>G273-H273</f>
        <v>41</v>
      </c>
      <c r="J273" s="3" t="str">
        <f t="shared" si="17"/>
        <v>0420007</v>
      </c>
    </row>
    <row r="274" spans="2:10" s="3" customFormat="1">
      <c r="B274" s="3" t="s">
        <v>2091</v>
      </c>
      <c r="C274" s="8">
        <v>2</v>
      </c>
      <c r="D274" s="3" t="s">
        <v>2194</v>
      </c>
      <c r="E274" s="11" t="s">
        <v>11</v>
      </c>
      <c r="F274" s="10">
        <v>9.5000000000000005E-5</v>
      </c>
      <c r="G274" s="13">
        <f>ROUND(G$3*F274,0)</f>
        <v>27</v>
      </c>
      <c r="H274" s="13">
        <f>ROUND(G274/2,0)</f>
        <v>14</v>
      </c>
      <c r="I274" s="13">
        <f>G274-H274</f>
        <v>13</v>
      </c>
      <c r="J274" s="3" t="str">
        <f t="shared" si="17"/>
        <v>0420007</v>
      </c>
    </row>
    <row r="275" spans="2:10" s="3" customFormat="1">
      <c r="B275" s="3" t="s">
        <v>2091</v>
      </c>
      <c r="C275" s="8">
        <v>2</v>
      </c>
      <c r="D275" s="3" t="s">
        <v>2195</v>
      </c>
      <c r="E275" s="11" t="s">
        <v>113</v>
      </c>
      <c r="F275" s="11"/>
      <c r="G275" s="11"/>
      <c r="H275" s="11"/>
      <c r="I275" s="11"/>
      <c r="J275" s="3" t="str">
        <f t="shared" si="17"/>
        <v>0420008</v>
      </c>
    </row>
    <row r="276" spans="2:10" s="3" customFormat="1">
      <c r="B276" s="3" t="s">
        <v>2091</v>
      </c>
      <c r="C276" s="8">
        <v>2</v>
      </c>
      <c r="D276" s="3" t="s">
        <v>2195</v>
      </c>
      <c r="E276" s="11" t="s">
        <v>10</v>
      </c>
      <c r="F276" s="10">
        <v>7.7999999999999999E-4</v>
      </c>
      <c r="G276" s="13">
        <f>ROUND(G$3*F276,0)</f>
        <v>224</v>
      </c>
      <c r="H276" s="13">
        <f>ROUND(G276/2,0)</f>
        <v>112</v>
      </c>
      <c r="I276" s="13">
        <f>G276-H276</f>
        <v>112</v>
      </c>
      <c r="J276" s="3" t="str">
        <f t="shared" si="17"/>
        <v>0420008</v>
      </c>
    </row>
    <row r="277" spans="2:10" s="3" customFormat="1">
      <c r="B277" s="3" t="s">
        <v>2091</v>
      </c>
      <c r="C277" s="8">
        <v>2</v>
      </c>
      <c r="D277" s="3" t="s">
        <v>2195</v>
      </c>
      <c r="E277" s="11" t="s">
        <v>11</v>
      </c>
      <c r="F277" s="10">
        <v>3.5199999999999999E-4</v>
      </c>
      <c r="G277" s="13">
        <f>ROUND(G$3*F277,0)</f>
        <v>101</v>
      </c>
      <c r="H277" s="13">
        <f>ROUND(G277/2,0)</f>
        <v>51</v>
      </c>
      <c r="I277" s="13">
        <f>G277-H277</f>
        <v>50</v>
      </c>
      <c r="J277" s="3" t="str">
        <f t="shared" si="17"/>
        <v>0420008</v>
      </c>
    </row>
    <row r="278" spans="2:10" s="3" customFormat="1">
      <c r="B278" s="3" t="s">
        <v>2091</v>
      </c>
      <c r="C278" s="8">
        <v>2</v>
      </c>
      <c r="D278" s="3" t="s">
        <v>2196</v>
      </c>
      <c r="E278" s="11" t="s">
        <v>114</v>
      </c>
      <c r="F278" s="11"/>
      <c r="G278" s="11"/>
      <c r="H278" s="11"/>
      <c r="I278" s="11"/>
      <c r="J278" s="3" t="str">
        <f t="shared" si="17"/>
        <v>0420009</v>
      </c>
    </row>
    <row r="279" spans="2:10" s="3" customFormat="1">
      <c r="B279" s="3" t="s">
        <v>2091</v>
      </c>
      <c r="C279" s="8">
        <v>2</v>
      </c>
      <c r="D279" s="3" t="s">
        <v>2196</v>
      </c>
      <c r="E279" s="11" t="s">
        <v>10</v>
      </c>
      <c r="F279" s="10">
        <v>6.5200000000000002E-4</v>
      </c>
      <c r="G279" s="13">
        <f>ROUND(G$3*F279,0)</f>
        <v>188</v>
      </c>
      <c r="H279" s="13">
        <f>ROUND(G279/2,0)</f>
        <v>94</v>
      </c>
      <c r="I279" s="13">
        <f>G279-H279</f>
        <v>94</v>
      </c>
      <c r="J279" s="3" t="str">
        <f t="shared" si="17"/>
        <v>0420009</v>
      </c>
    </row>
    <row r="280" spans="2:10" s="3" customFormat="1">
      <c r="B280" s="3" t="s">
        <v>2091</v>
      </c>
      <c r="C280" s="8">
        <v>2</v>
      </c>
      <c r="D280" s="3" t="s">
        <v>2196</v>
      </c>
      <c r="E280" s="11" t="s">
        <v>11</v>
      </c>
      <c r="F280" s="10">
        <v>1.0660000000000001E-3</v>
      </c>
      <c r="G280" s="13">
        <f>ROUND(G$3*F280,0)</f>
        <v>307</v>
      </c>
      <c r="H280" s="13">
        <f>ROUND(G280/2,0)</f>
        <v>154</v>
      </c>
      <c r="I280" s="13">
        <f>G280-H280</f>
        <v>153</v>
      </c>
      <c r="J280" s="3" t="str">
        <f t="shared" si="17"/>
        <v>0420009</v>
      </c>
    </row>
    <row r="281" spans="2:10" s="3" customFormat="1">
      <c r="B281" s="3" t="s">
        <v>2091</v>
      </c>
      <c r="C281" s="8">
        <v>2</v>
      </c>
      <c r="D281" s="3" t="s">
        <v>2197</v>
      </c>
      <c r="E281" s="11" t="s">
        <v>20</v>
      </c>
      <c r="F281" s="11"/>
      <c r="G281" s="11"/>
      <c r="H281" s="11"/>
      <c r="I281" s="11"/>
      <c r="J281" s="3" t="str">
        <f t="shared" si="17"/>
        <v>0420010</v>
      </c>
    </row>
    <row r="282" spans="2:10" s="3" customFormat="1">
      <c r="B282" s="3" t="s">
        <v>2091</v>
      </c>
      <c r="C282" s="8">
        <v>2</v>
      </c>
      <c r="D282" s="3" t="s">
        <v>2197</v>
      </c>
      <c r="E282" s="11" t="s">
        <v>10</v>
      </c>
      <c r="F282" s="10">
        <v>3.57E-4</v>
      </c>
      <c r="G282" s="13">
        <f>ROUND(G$3*F282,0)</f>
        <v>103</v>
      </c>
      <c r="H282" s="13">
        <f>ROUND(G282/2,0)</f>
        <v>52</v>
      </c>
      <c r="I282" s="13">
        <f>G282-H282</f>
        <v>51</v>
      </c>
      <c r="J282" s="3" t="str">
        <f t="shared" si="17"/>
        <v>0420010</v>
      </c>
    </row>
    <row r="283" spans="2:10" s="3" customFormat="1">
      <c r="B283" s="3" t="s">
        <v>2091</v>
      </c>
      <c r="C283" s="8">
        <v>2</v>
      </c>
      <c r="D283" s="3" t="s">
        <v>2197</v>
      </c>
      <c r="E283" s="11" t="s">
        <v>11</v>
      </c>
      <c r="F283" s="10">
        <v>1.3799999999999999E-4</v>
      </c>
      <c r="G283" s="13">
        <f>ROUND(G$3*F283,0)</f>
        <v>40</v>
      </c>
      <c r="H283" s="13">
        <f>ROUND(G283/2,0)</f>
        <v>20</v>
      </c>
      <c r="I283" s="13">
        <f>G283-H283</f>
        <v>20</v>
      </c>
      <c r="J283" s="3" t="str">
        <f t="shared" si="17"/>
        <v>0420010</v>
      </c>
    </row>
    <row r="284" spans="2:10" s="3" customFormat="1">
      <c r="B284" s="3" t="s">
        <v>2091</v>
      </c>
      <c r="C284" s="8">
        <v>2</v>
      </c>
      <c r="D284" s="3" t="s">
        <v>2198</v>
      </c>
      <c r="E284" s="11" t="s">
        <v>115</v>
      </c>
      <c r="F284" s="11"/>
      <c r="G284" s="11"/>
      <c r="H284" s="11"/>
      <c r="I284" s="11"/>
      <c r="J284" s="3" t="str">
        <f t="shared" si="17"/>
        <v>0420011</v>
      </c>
    </row>
    <row r="285" spans="2:10" s="3" customFormat="1">
      <c r="B285" s="3" t="s">
        <v>2091</v>
      </c>
      <c r="C285" s="8">
        <v>2</v>
      </c>
      <c r="D285" s="3" t="s">
        <v>2198</v>
      </c>
      <c r="E285" s="11" t="s">
        <v>10</v>
      </c>
      <c r="F285" s="10">
        <v>1.09E-3</v>
      </c>
      <c r="G285" s="13">
        <f t="shared" ref="G285:G293" si="18">ROUND(G$3*F285,0)</f>
        <v>314</v>
      </c>
      <c r="H285" s="13">
        <f t="shared" ref="H285:H293" si="19">ROUND(G285/2,0)</f>
        <v>157</v>
      </c>
      <c r="I285" s="13">
        <f t="shared" ref="I285:I293" si="20">G285-H285</f>
        <v>157</v>
      </c>
      <c r="J285" s="3" t="str">
        <f t="shared" si="17"/>
        <v>0420011</v>
      </c>
    </row>
    <row r="286" spans="2:10" s="3" customFormat="1">
      <c r="B286" s="3" t="s">
        <v>2091</v>
      </c>
      <c r="C286" s="8">
        <v>2</v>
      </c>
      <c r="D286" s="3" t="s">
        <v>2198</v>
      </c>
      <c r="E286" s="11" t="s">
        <v>11</v>
      </c>
      <c r="F286" s="10">
        <v>3.57E-4</v>
      </c>
      <c r="G286" s="13">
        <f t="shared" si="18"/>
        <v>103</v>
      </c>
      <c r="H286" s="13">
        <f t="shared" si="19"/>
        <v>52</v>
      </c>
      <c r="I286" s="13">
        <f t="shared" si="20"/>
        <v>51</v>
      </c>
      <c r="J286" s="3" t="str">
        <f t="shared" si="17"/>
        <v>0420011</v>
      </c>
    </row>
    <row r="287" spans="2:10" s="3" customFormat="1">
      <c r="B287" s="3" t="s">
        <v>2091</v>
      </c>
      <c r="C287" s="8">
        <v>3</v>
      </c>
      <c r="D287" s="3" t="s">
        <v>2240</v>
      </c>
      <c r="E287" s="11" t="s">
        <v>116</v>
      </c>
      <c r="F287" s="10">
        <v>9.6599999999999995E-4</v>
      </c>
      <c r="G287" s="13">
        <f t="shared" si="18"/>
        <v>278</v>
      </c>
      <c r="H287" s="13">
        <f t="shared" si="19"/>
        <v>139</v>
      </c>
      <c r="I287" s="13">
        <f t="shared" si="20"/>
        <v>139</v>
      </c>
      <c r="J287" s="3" t="str">
        <f t="shared" si="17"/>
        <v>0430530</v>
      </c>
    </row>
    <row r="288" spans="2:10" s="3" customFormat="1">
      <c r="B288" s="3" t="s">
        <v>2091</v>
      </c>
      <c r="C288" s="8">
        <v>3</v>
      </c>
      <c r="D288" s="3" t="s">
        <v>2241</v>
      </c>
      <c r="E288" s="11" t="s">
        <v>117</v>
      </c>
      <c r="F288" s="10">
        <v>7.3850000000000001E-3</v>
      </c>
      <c r="G288" s="13">
        <f t="shared" si="18"/>
        <v>2125</v>
      </c>
      <c r="H288" s="13">
        <f t="shared" si="19"/>
        <v>1063</v>
      </c>
      <c r="I288" s="13">
        <f t="shared" si="20"/>
        <v>1062</v>
      </c>
      <c r="J288" s="3" t="str">
        <f t="shared" si="17"/>
        <v>0430531</v>
      </c>
    </row>
    <row r="289" spans="2:10" s="3" customFormat="1">
      <c r="B289" s="3" t="s">
        <v>2091</v>
      </c>
      <c r="C289" s="8">
        <v>3</v>
      </c>
      <c r="D289" s="3" t="s">
        <v>2242</v>
      </c>
      <c r="E289" s="11" t="s">
        <v>118</v>
      </c>
      <c r="F289" s="10">
        <v>1.0035000000000001E-2</v>
      </c>
      <c r="G289" s="13">
        <f t="shared" si="18"/>
        <v>2887</v>
      </c>
      <c r="H289" s="13">
        <f t="shared" si="19"/>
        <v>1444</v>
      </c>
      <c r="I289" s="13">
        <f t="shared" si="20"/>
        <v>1443</v>
      </c>
      <c r="J289" s="3" t="str">
        <f t="shared" si="17"/>
        <v>0430532</v>
      </c>
    </row>
    <row r="290" spans="2:10" s="3" customFormat="1">
      <c r="B290" s="3" t="s">
        <v>2091</v>
      </c>
      <c r="C290" s="8">
        <v>3</v>
      </c>
      <c r="D290" s="3" t="s">
        <v>2243</v>
      </c>
      <c r="E290" s="11" t="s">
        <v>119</v>
      </c>
      <c r="F290" s="10">
        <v>2.8493000000000001E-2</v>
      </c>
      <c r="G290" s="13">
        <f t="shared" si="18"/>
        <v>8198</v>
      </c>
      <c r="H290" s="13">
        <f t="shared" si="19"/>
        <v>4099</v>
      </c>
      <c r="I290" s="13">
        <f t="shared" si="20"/>
        <v>4099</v>
      </c>
      <c r="J290" s="3" t="str">
        <f t="shared" si="17"/>
        <v>0430533</v>
      </c>
    </row>
    <row r="291" spans="2:10" s="3" customFormat="1">
      <c r="B291" s="3" t="s">
        <v>2091</v>
      </c>
      <c r="C291" s="8">
        <v>3</v>
      </c>
      <c r="D291" s="3" t="s">
        <v>2244</v>
      </c>
      <c r="E291" s="11" t="s">
        <v>120</v>
      </c>
      <c r="F291" s="10">
        <v>3.869E-3</v>
      </c>
      <c r="G291" s="13">
        <f t="shared" si="18"/>
        <v>1113</v>
      </c>
      <c r="H291" s="13">
        <f t="shared" si="19"/>
        <v>557</v>
      </c>
      <c r="I291" s="13">
        <f t="shared" si="20"/>
        <v>556</v>
      </c>
      <c r="J291" s="3" t="str">
        <f t="shared" si="17"/>
        <v>0430534</v>
      </c>
    </row>
    <row r="292" spans="2:10" s="3" customFormat="1">
      <c r="B292" s="3" t="s">
        <v>2091</v>
      </c>
      <c r="C292" s="8">
        <v>3</v>
      </c>
      <c r="D292" s="3" t="s">
        <v>2245</v>
      </c>
      <c r="E292" s="11" t="s">
        <v>121</v>
      </c>
      <c r="F292" s="10">
        <v>5.025E-3</v>
      </c>
      <c r="G292" s="13">
        <f t="shared" si="18"/>
        <v>1446</v>
      </c>
      <c r="H292" s="13">
        <f t="shared" si="19"/>
        <v>723</v>
      </c>
      <c r="I292" s="13">
        <f t="shared" si="20"/>
        <v>723</v>
      </c>
      <c r="J292" s="3" t="str">
        <f t="shared" si="17"/>
        <v>0430535</v>
      </c>
    </row>
    <row r="293" spans="2:10" s="3" customFormat="1">
      <c r="B293" s="3" t="s">
        <v>2091</v>
      </c>
      <c r="C293" s="8">
        <v>4</v>
      </c>
      <c r="D293" s="3" t="s">
        <v>2246</v>
      </c>
      <c r="E293" s="11" t="s">
        <v>122</v>
      </c>
      <c r="F293" s="10">
        <v>0.60161699999999996</v>
      </c>
      <c r="G293" s="11">
        <f t="shared" si="18"/>
        <v>173099</v>
      </c>
      <c r="H293" s="11">
        <f t="shared" si="19"/>
        <v>86550</v>
      </c>
      <c r="I293" s="11">
        <f t="shared" si="20"/>
        <v>86549</v>
      </c>
      <c r="J293" s="3" t="str">
        <f t="shared" si="17"/>
        <v>0440395</v>
      </c>
    </row>
    <row r="294" spans="2:10" s="3" customFormat="1">
      <c r="B294" s="3" t="s">
        <v>2091</v>
      </c>
      <c r="C294" s="8">
        <v>4</v>
      </c>
      <c r="D294" s="3" t="s">
        <v>2246</v>
      </c>
      <c r="E294" s="11" t="s">
        <v>28</v>
      </c>
      <c r="F294" s="11"/>
      <c r="G294" s="14">
        <v>0.45689600000000002</v>
      </c>
      <c r="H294" s="11"/>
      <c r="I294" s="11"/>
      <c r="J294" s="3" t="str">
        <f t="shared" si="17"/>
        <v>0440395</v>
      </c>
    </row>
    <row r="295" spans="2:10" s="3" customFormat="1">
      <c r="B295" s="3" t="s">
        <v>2091</v>
      </c>
      <c r="C295" s="8">
        <v>4</v>
      </c>
      <c r="D295" s="3" t="s">
        <v>2246</v>
      </c>
      <c r="E295" s="11" t="s">
        <v>29</v>
      </c>
      <c r="F295" s="11"/>
      <c r="G295" s="15">
        <f>ROUND(G293*G294,0)</f>
        <v>79088</v>
      </c>
      <c r="H295" s="16">
        <f>ROUND(G295/2,0)</f>
        <v>39544</v>
      </c>
      <c r="I295" s="16">
        <f>G295-H295</f>
        <v>39544</v>
      </c>
      <c r="J295" s="3" t="str">
        <f t="shared" si="17"/>
        <v>0440395</v>
      </c>
    </row>
    <row r="296" spans="2:10" s="3" customFormat="1">
      <c r="B296" s="3" t="s">
        <v>2091</v>
      </c>
      <c r="C296" s="8">
        <v>4</v>
      </c>
      <c r="D296" s="3" t="s">
        <v>2246</v>
      </c>
      <c r="E296" s="11" t="s">
        <v>30</v>
      </c>
      <c r="F296" s="11"/>
      <c r="G296" s="12">
        <f>+G293-G295</f>
        <v>94011</v>
      </c>
      <c r="H296" s="13">
        <f>ROUND(G296/2,0)</f>
        <v>47006</v>
      </c>
      <c r="I296" s="13">
        <f>G296-H296</f>
        <v>47005</v>
      </c>
      <c r="J296" s="3" t="str">
        <f t="shared" si="17"/>
        <v>0440395</v>
      </c>
    </row>
    <row r="297" spans="2:10" s="3" customFormat="1">
      <c r="B297" s="3" t="s">
        <v>2091</v>
      </c>
      <c r="C297" s="8">
        <v>4</v>
      </c>
      <c r="D297" s="3" t="s">
        <v>2247</v>
      </c>
      <c r="E297" s="11" t="s">
        <v>123</v>
      </c>
      <c r="F297" s="10">
        <v>3.0886E-2</v>
      </c>
      <c r="G297" s="11">
        <f>ROUND(G$3*F297,0)</f>
        <v>8887</v>
      </c>
      <c r="H297" s="11">
        <f>ROUND(G297/2,0)</f>
        <v>4444</v>
      </c>
      <c r="I297" s="11">
        <f>G297-H297</f>
        <v>4443</v>
      </c>
      <c r="J297" s="3" t="str">
        <f t="shared" si="17"/>
        <v>0445995</v>
      </c>
    </row>
    <row r="298" spans="2:10" s="3" customFormat="1">
      <c r="B298" s="3" t="s">
        <v>2091</v>
      </c>
      <c r="C298" s="8">
        <v>4</v>
      </c>
      <c r="D298" s="3" t="s">
        <v>2247</v>
      </c>
      <c r="E298" s="11" t="s">
        <v>28</v>
      </c>
      <c r="F298" s="11"/>
      <c r="G298" s="14">
        <v>0.46941100000000002</v>
      </c>
      <c r="H298" s="11"/>
      <c r="I298" s="11"/>
      <c r="J298" s="3" t="str">
        <f t="shared" si="17"/>
        <v>0445995</v>
      </c>
    </row>
    <row r="299" spans="2:10" s="3" customFormat="1">
      <c r="B299" s="3" t="s">
        <v>2091</v>
      </c>
      <c r="C299" s="8">
        <v>4</v>
      </c>
      <c r="D299" s="3" t="s">
        <v>2247</v>
      </c>
      <c r="E299" s="11" t="s">
        <v>29</v>
      </c>
      <c r="F299" s="11"/>
      <c r="G299" s="15">
        <f>ROUND(G297*G298,0)</f>
        <v>4172</v>
      </c>
      <c r="H299" s="16">
        <f>ROUND(G299/2,0)</f>
        <v>2086</v>
      </c>
      <c r="I299" s="16">
        <f>G299-H299</f>
        <v>2086</v>
      </c>
      <c r="J299" s="3" t="str">
        <f t="shared" si="17"/>
        <v>0445995</v>
      </c>
    </row>
    <row r="300" spans="2:10" s="3" customFormat="1">
      <c r="B300" s="3" t="s">
        <v>2091</v>
      </c>
      <c r="C300" s="8">
        <v>4</v>
      </c>
      <c r="D300" s="3" t="s">
        <v>2247</v>
      </c>
      <c r="E300" s="11" t="s">
        <v>30</v>
      </c>
      <c r="F300" s="11"/>
      <c r="G300" s="12">
        <f>+G297-G299</f>
        <v>4715</v>
      </c>
      <c r="H300" s="13">
        <f>ROUND(G300/2,0)</f>
        <v>2358</v>
      </c>
      <c r="I300" s="13">
        <f>G300-H300</f>
        <v>2357</v>
      </c>
      <c r="J300" s="3" t="str">
        <f t="shared" si="17"/>
        <v>0445995</v>
      </c>
    </row>
    <row r="301" spans="2:10" s="3" customFormat="1">
      <c r="B301" s="3" t="s">
        <v>2091</v>
      </c>
      <c r="C301" s="8">
        <v>4</v>
      </c>
      <c r="D301" s="116" t="s">
        <v>2248</v>
      </c>
      <c r="E301" s="11" t="s">
        <v>124</v>
      </c>
      <c r="F301" s="10">
        <v>2.8920999999999999E-2</v>
      </c>
      <c r="G301" s="11">
        <f>ROUND(G$3*F301,0)</f>
        <v>8321</v>
      </c>
      <c r="H301" s="11">
        <f>ROUND(G301/2,0)</f>
        <v>4161</v>
      </c>
      <c r="I301" s="11">
        <f>G301-H301</f>
        <v>4160</v>
      </c>
      <c r="J301" s="3" t="str">
        <f t="shared" si="17"/>
        <v>0448535</v>
      </c>
    </row>
    <row r="302" spans="2:10" s="3" customFormat="1">
      <c r="B302" s="3" t="s">
        <v>2091</v>
      </c>
      <c r="C302" s="8">
        <v>4</v>
      </c>
      <c r="D302" s="116" t="s">
        <v>2248</v>
      </c>
      <c r="E302" s="11" t="s">
        <v>28</v>
      </c>
      <c r="F302" s="11"/>
      <c r="G302" s="14">
        <v>0.55137800000000003</v>
      </c>
      <c r="H302" s="11"/>
      <c r="I302" s="11"/>
      <c r="J302" s="3" t="str">
        <f t="shared" si="17"/>
        <v>0448535</v>
      </c>
    </row>
    <row r="303" spans="2:10" s="3" customFormat="1">
      <c r="B303" s="3" t="s">
        <v>2091</v>
      </c>
      <c r="C303" s="8">
        <v>4</v>
      </c>
      <c r="D303" s="116" t="s">
        <v>2248</v>
      </c>
      <c r="E303" s="11" t="s">
        <v>29</v>
      </c>
      <c r="F303" s="11"/>
      <c r="G303" s="15">
        <f>ROUND(G301*G302,0)</f>
        <v>4588</v>
      </c>
      <c r="H303" s="16">
        <f t="shared" ref="H303:H311" si="21">ROUND(G303/2,0)</f>
        <v>2294</v>
      </c>
      <c r="I303" s="16">
        <f t="shared" ref="I303:I311" si="22">G303-H303</f>
        <v>2294</v>
      </c>
      <c r="J303" s="3" t="str">
        <f t="shared" si="17"/>
        <v>0448535</v>
      </c>
    </row>
    <row r="304" spans="2:10" s="3" customFormat="1">
      <c r="B304" s="3" t="s">
        <v>2091</v>
      </c>
      <c r="C304" s="8">
        <v>4</v>
      </c>
      <c r="D304" s="116" t="s">
        <v>2248</v>
      </c>
      <c r="E304" s="11" t="s">
        <v>30</v>
      </c>
      <c r="F304" s="11"/>
      <c r="G304" s="12">
        <f>+G301-G303</f>
        <v>3733</v>
      </c>
      <c r="H304" s="13">
        <f t="shared" si="21"/>
        <v>1867</v>
      </c>
      <c r="I304" s="13">
        <f t="shared" si="22"/>
        <v>1866</v>
      </c>
      <c r="J304" s="3" t="str">
        <f t="shared" si="17"/>
        <v>0448535</v>
      </c>
    </row>
    <row r="305" spans="1:10" s="3" customFormat="1">
      <c r="B305" s="3" t="s">
        <v>2091</v>
      </c>
      <c r="C305" s="8">
        <v>5</v>
      </c>
      <c r="D305" s="3" t="s">
        <v>2198</v>
      </c>
      <c r="E305" s="11" t="s">
        <v>125</v>
      </c>
      <c r="F305" s="10">
        <v>2.0156E-2</v>
      </c>
      <c r="G305" s="120">
        <f>ROUND(G$3*F305,0)</f>
        <v>5799</v>
      </c>
      <c r="H305" s="120">
        <f t="shared" si="21"/>
        <v>2900</v>
      </c>
      <c r="I305" s="120">
        <f t="shared" si="22"/>
        <v>2899</v>
      </c>
      <c r="J305" s="3" t="str">
        <f t="shared" si="17"/>
        <v>0450011</v>
      </c>
    </row>
    <row r="306" spans="1:10" s="3" customFormat="1">
      <c r="B306" s="3" t="s">
        <v>2091</v>
      </c>
      <c r="C306" s="8">
        <v>5</v>
      </c>
      <c r="D306" s="3" t="s">
        <v>2194</v>
      </c>
      <c r="E306" s="11" t="s">
        <v>126</v>
      </c>
      <c r="F306" s="10">
        <v>5.934E-3</v>
      </c>
      <c r="G306" s="120">
        <f>ROUND(G$3*F306,0)</f>
        <v>1707</v>
      </c>
      <c r="H306" s="120">
        <f t="shared" si="21"/>
        <v>854</v>
      </c>
      <c r="I306" s="120">
        <f t="shared" si="22"/>
        <v>853</v>
      </c>
      <c r="J306" s="3" t="str">
        <f t="shared" si="17"/>
        <v>0450007</v>
      </c>
    </row>
    <row r="307" spans="1:10" s="3" customFormat="1">
      <c r="B307" s="3" t="s">
        <v>2091</v>
      </c>
      <c r="C307" s="8">
        <v>5</v>
      </c>
      <c r="D307" s="3" t="s">
        <v>2195</v>
      </c>
      <c r="E307" s="11" t="s">
        <v>127</v>
      </c>
      <c r="F307" s="10">
        <v>2.379E-3</v>
      </c>
      <c r="G307" s="120">
        <f>ROUND(G$3*F307,0)</f>
        <v>684</v>
      </c>
      <c r="H307" s="120">
        <f t="shared" si="21"/>
        <v>342</v>
      </c>
      <c r="I307" s="120">
        <f t="shared" si="22"/>
        <v>342</v>
      </c>
      <c r="J307" s="3" t="str">
        <f t="shared" si="17"/>
        <v>0450008</v>
      </c>
    </row>
    <row r="308" spans="1:10" s="3" customFormat="1">
      <c r="B308" s="3" t="s">
        <v>2091</v>
      </c>
      <c r="C308" s="8">
        <v>5</v>
      </c>
      <c r="D308" s="3" t="s">
        <v>2196</v>
      </c>
      <c r="E308" s="11" t="s">
        <v>128</v>
      </c>
      <c r="F308" s="10">
        <v>5.4770000000000001E-3</v>
      </c>
      <c r="G308" s="120">
        <f>ROUND(G$3*F308,0)</f>
        <v>1576</v>
      </c>
      <c r="H308" s="120">
        <f t="shared" si="21"/>
        <v>788</v>
      </c>
      <c r="I308" s="120">
        <f t="shared" si="22"/>
        <v>788</v>
      </c>
      <c r="J308" s="3" t="str">
        <f t="shared" si="17"/>
        <v>0450009</v>
      </c>
    </row>
    <row r="309" spans="1:10" s="3" customFormat="1">
      <c r="B309" s="3" t="s">
        <v>2091</v>
      </c>
      <c r="C309" s="8">
        <v>5</v>
      </c>
      <c r="D309" s="3" t="s">
        <v>2197</v>
      </c>
      <c r="E309" s="11" t="s">
        <v>129</v>
      </c>
      <c r="F309" s="10">
        <v>3.7919999999999998E-3</v>
      </c>
      <c r="G309" s="120">
        <f>ROUND(G$3*F309,0)</f>
        <v>1091</v>
      </c>
      <c r="H309" s="120">
        <f t="shared" si="21"/>
        <v>546</v>
      </c>
      <c r="I309" s="120">
        <f t="shared" si="22"/>
        <v>545</v>
      </c>
      <c r="J309" s="3" t="str">
        <f t="shared" si="17"/>
        <v>0450010</v>
      </c>
    </row>
    <row r="310" spans="1:10" s="3" customFormat="1">
      <c r="B310" s="3" t="s">
        <v>2091</v>
      </c>
      <c r="C310" s="8">
        <v>5</v>
      </c>
      <c r="D310" s="3" t="s">
        <v>2199</v>
      </c>
      <c r="E310" s="11" t="s">
        <v>130</v>
      </c>
      <c r="F310" s="10">
        <v>5.2400000000007996E-4</v>
      </c>
      <c r="G310" s="120">
        <f>+G248-SUM(G249:G250)-SUM(G255:G293)-G297-G301-SUM(G305:G309)</f>
        <v>-96041</v>
      </c>
      <c r="H310" s="120">
        <f t="shared" si="21"/>
        <v>-48021</v>
      </c>
      <c r="I310" s="120">
        <f t="shared" si="22"/>
        <v>-48020</v>
      </c>
      <c r="J310" s="3" t="str">
        <f t="shared" si="17"/>
        <v>0450012</v>
      </c>
    </row>
    <row r="311" spans="1:10" s="3" customFormat="1">
      <c r="A311" s="3" t="s">
        <v>6269</v>
      </c>
      <c r="B311" s="3" t="s">
        <v>2091</v>
      </c>
      <c r="C311" s="8">
        <v>6</v>
      </c>
      <c r="D311" s="3" t="s">
        <v>3281</v>
      </c>
      <c r="E311" s="11" t="s">
        <v>131</v>
      </c>
      <c r="F311" s="10">
        <v>0</v>
      </c>
      <c r="G311" s="120">
        <f>ROUND(G$3*F311,0)</f>
        <v>0</v>
      </c>
      <c r="H311" s="120">
        <f t="shared" si="21"/>
        <v>0</v>
      </c>
      <c r="I311" s="120">
        <f t="shared" si="22"/>
        <v>0</v>
      </c>
      <c r="J311" s="3" t="str">
        <f t="shared" si="17"/>
        <v>0461062</v>
      </c>
    </row>
    <row r="312" spans="1:10" s="3" customFormat="1">
      <c r="B312" s="3" t="s">
        <v>2091</v>
      </c>
      <c r="C312" s="8">
        <v>0</v>
      </c>
      <c r="D312" s="125" t="s">
        <v>2187</v>
      </c>
      <c r="E312" s="34" t="s">
        <v>37</v>
      </c>
      <c r="F312" s="10">
        <v>1</v>
      </c>
      <c r="G312" s="12">
        <f>+G249+SUM(G252:G292)+G295+G296+G299+G300+G303+SUM(G304:G311)</f>
        <v>191532</v>
      </c>
      <c r="H312" s="12">
        <f>+H249+SUM(H252:H292)+H295+H296+H299+H300+H303+SUM(H304:H311)</f>
        <v>95777</v>
      </c>
      <c r="I312" s="12">
        <f>+I249+SUM(I252:I292)+I295+I296+I299+I300+I303+SUM(I304:I311)</f>
        <v>95755</v>
      </c>
      <c r="J312" s="3" t="str">
        <f t="shared" si="17"/>
        <v>0400000</v>
      </c>
    </row>
    <row r="313" spans="1:10" s="3" customFormat="1">
      <c r="B313" s="3" t="s">
        <v>2091</v>
      </c>
      <c r="C313" s="8">
        <v>0</v>
      </c>
      <c r="D313" s="3" t="s">
        <v>2187</v>
      </c>
      <c r="E313" s="18" t="s">
        <v>38</v>
      </c>
      <c r="G313" s="19">
        <f>+G249</f>
        <v>342</v>
      </c>
      <c r="H313" s="19">
        <f>+H249</f>
        <v>171</v>
      </c>
      <c r="I313" s="19">
        <f>+I249</f>
        <v>171</v>
      </c>
      <c r="J313" s="3" t="str">
        <f t="shared" si="17"/>
        <v>0400000</v>
      </c>
    </row>
    <row r="314" spans="1:10" s="3" customFormat="1">
      <c r="B314" s="3" t="s">
        <v>2091</v>
      </c>
      <c r="C314" s="8">
        <v>0</v>
      </c>
      <c r="D314" s="3" t="s">
        <v>2187</v>
      </c>
      <c r="E314" s="2" t="s">
        <v>39</v>
      </c>
      <c r="G314" s="19">
        <f>+G252</f>
        <v>9402</v>
      </c>
      <c r="H314" s="19">
        <f>+H252</f>
        <v>4701</v>
      </c>
      <c r="I314" s="19">
        <f>+I252</f>
        <v>4701</v>
      </c>
      <c r="J314" s="3" t="str">
        <f t="shared" si="17"/>
        <v>0400000</v>
      </c>
    </row>
    <row r="315" spans="1:10" s="3" customFormat="1">
      <c r="B315" s="3" t="s">
        <v>2091</v>
      </c>
      <c r="C315" s="8">
        <v>0</v>
      </c>
      <c r="D315" s="3" t="s">
        <v>2187</v>
      </c>
      <c r="E315" s="2" t="s">
        <v>40</v>
      </c>
      <c r="G315" s="19">
        <f>+G295+G299+G303</f>
        <v>87848</v>
      </c>
      <c r="H315" s="19">
        <f>+H295+H299+H303</f>
        <v>43924</v>
      </c>
      <c r="I315" s="19">
        <f>+I295+I299+I303</f>
        <v>43924</v>
      </c>
      <c r="J315" s="3" t="str">
        <f t="shared" si="17"/>
        <v>0400000</v>
      </c>
    </row>
    <row r="316" spans="1:10" s="3" customFormat="1">
      <c r="B316" s="3" t="s">
        <v>2091</v>
      </c>
      <c r="C316" s="8">
        <v>0</v>
      </c>
      <c r="D316" s="125" t="s">
        <v>2187</v>
      </c>
      <c r="E316" s="18" t="s">
        <v>41</v>
      </c>
      <c r="G316" s="19">
        <f>+G312-G313-G314-G315</f>
        <v>93940</v>
      </c>
      <c r="H316" s="19">
        <f>+H312-H313-H314-H315</f>
        <v>46981</v>
      </c>
      <c r="I316" s="19">
        <f>+I312-I313-I314-I315</f>
        <v>46959</v>
      </c>
      <c r="J316" s="3" t="str">
        <f t="shared" si="17"/>
        <v>0400000</v>
      </c>
    </row>
    <row r="317" spans="1:10" ht="15.75">
      <c r="B317" s="3" t="s">
        <v>2186</v>
      </c>
      <c r="D317" t="s">
        <v>2186</v>
      </c>
      <c r="E317">
        <v>0</v>
      </c>
      <c r="G317"/>
      <c r="H317"/>
      <c r="I317"/>
      <c r="J317" s="3" t="str">
        <f t="shared" si="17"/>
        <v/>
      </c>
    </row>
    <row r="318" spans="1:10" s="3" customFormat="1">
      <c r="D318" s="3" t="s">
        <v>2186</v>
      </c>
      <c r="E318" s="2" t="s">
        <v>132</v>
      </c>
      <c r="J318" s="3" t="str">
        <f t="shared" si="17"/>
        <v/>
      </c>
    </row>
    <row r="319" spans="1:10" s="3" customFormat="1" ht="45.75" customHeight="1">
      <c r="B319" s="3" t="s">
        <v>2186</v>
      </c>
      <c r="C319" s="1"/>
      <c r="D319" s="3" t="s">
        <v>2186</v>
      </c>
      <c r="E319" s="1">
        <v>0</v>
      </c>
      <c r="F319" s="6" t="s">
        <v>1</v>
      </c>
      <c r="G319" s="60">
        <f>'Allocation Worksheet'!H319</f>
        <v>0</v>
      </c>
      <c r="H319" s="60">
        <f>'Allocation Worksheet'!H320</f>
        <v>0</v>
      </c>
      <c r="I319" s="60">
        <f>'Allocation Worksheet'!H321</f>
        <v>0</v>
      </c>
      <c r="J319" s="3" t="str">
        <f t="shared" si="17"/>
        <v/>
      </c>
    </row>
    <row r="320" spans="1:10" s="3" customFormat="1">
      <c r="C320" s="7" t="s">
        <v>2087</v>
      </c>
      <c r="D320" s="3" t="s">
        <v>2186</v>
      </c>
      <c r="E320" s="7" t="s">
        <v>3</v>
      </c>
      <c r="F320" s="10"/>
      <c r="G320" s="9">
        <f>'Allocation Worksheet'!$D$8</f>
        <v>115313</v>
      </c>
      <c r="H320" s="11"/>
      <c r="I320" s="11"/>
      <c r="J320" s="3" t="str">
        <f t="shared" si="17"/>
        <v>UT</v>
      </c>
    </row>
    <row r="321" spans="2:10" s="3" customFormat="1">
      <c r="B321" s="3" t="s">
        <v>2092</v>
      </c>
      <c r="C321" s="8">
        <v>0</v>
      </c>
      <c r="D321" s="3" t="s">
        <v>2187</v>
      </c>
      <c r="E321" s="11" t="s">
        <v>4</v>
      </c>
      <c r="F321" s="10">
        <v>8.8500000000000004E-4</v>
      </c>
      <c r="G321" s="12">
        <f>ROUND(G$3*F321,0)</f>
        <v>255</v>
      </c>
      <c r="H321" s="13">
        <f>ROUND(G321/2,0)</f>
        <v>128</v>
      </c>
      <c r="I321" s="12">
        <f>G321-H321</f>
        <v>127</v>
      </c>
      <c r="J321" s="3" t="str">
        <f t="shared" si="17"/>
        <v>0500000</v>
      </c>
    </row>
    <row r="322" spans="2:10" s="3" customFormat="1">
      <c r="B322" s="3" t="s">
        <v>2092</v>
      </c>
      <c r="C322" s="8">
        <v>1</v>
      </c>
      <c r="D322" s="3" t="s">
        <v>2187</v>
      </c>
      <c r="E322" s="11" t="s">
        <v>133</v>
      </c>
      <c r="F322" s="10">
        <v>0.25756400000000002</v>
      </c>
      <c r="G322" s="9">
        <f>ROUND(G$3*F322,0)</f>
        <v>74107</v>
      </c>
      <c r="H322" s="11">
        <f>ROUND(G322/2,0)</f>
        <v>37054</v>
      </c>
      <c r="I322" s="9">
        <f>G322-H322</f>
        <v>37053</v>
      </c>
      <c r="J322" s="3" t="str">
        <f t="shared" si="17"/>
        <v>0510000</v>
      </c>
    </row>
    <row r="323" spans="2:10" s="3" customFormat="1">
      <c r="B323" s="3" t="s">
        <v>2092</v>
      </c>
      <c r="C323" s="8">
        <v>1</v>
      </c>
      <c r="D323" s="3" t="s">
        <v>2187</v>
      </c>
      <c r="E323" s="11" t="s">
        <v>6</v>
      </c>
      <c r="F323" s="11"/>
      <c r="G323" s="14">
        <v>0.13148599999999999</v>
      </c>
      <c r="H323" s="11"/>
      <c r="I323" s="11"/>
      <c r="J323" s="3" t="str">
        <f t="shared" si="17"/>
        <v>0510000</v>
      </c>
    </row>
    <row r="324" spans="2:10" s="3" customFormat="1">
      <c r="B324" s="3" t="s">
        <v>2092</v>
      </c>
      <c r="C324" s="8">
        <v>1</v>
      </c>
      <c r="D324" s="3" t="s">
        <v>2187</v>
      </c>
      <c r="E324" s="11" t="s">
        <v>7</v>
      </c>
      <c r="F324" s="11"/>
      <c r="G324" s="15">
        <f>ROUND(G322*G323,0)</f>
        <v>9744</v>
      </c>
      <c r="H324" s="16">
        <f>ROUND(G324/2,0)</f>
        <v>4872</v>
      </c>
      <c r="I324" s="15">
        <f>G324-H324</f>
        <v>4872</v>
      </c>
      <c r="J324" s="3" t="str">
        <f t="shared" ref="J324:J387" si="23">B324&amp;C324&amp;D324</f>
        <v>0510000</v>
      </c>
    </row>
    <row r="325" spans="2:10" s="3" customFormat="1">
      <c r="B325" s="3" t="s">
        <v>2092</v>
      </c>
      <c r="C325" s="8">
        <v>1</v>
      </c>
      <c r="D325" s="3" t="s">
        <v>2187</v>
      </c>
      <c r="E325" s="11" t="s">
        <v>8</v>
      </c>
      <c r="F325" s="11"/>
      <c r="G325" s="12">
        <f>+G322-G324</f>
        <v>64363</v>
      </c>
      <c r="H325" s="13">
        <f>ROUND(G325/2,0)</f>
        <v>32182</v>
      </c>
      <c r="I325" s="12">
        <f>G325-H325</f>
        <v>32181</v>
      </c>
      <c r="J325" s="3" t="str">
        <f t="shared" si="23"/>
        <v>0510000</v>
      </c>
    </row>
    <row r="326" spans="2:10" s="3" customFormat="1">
      <c r="B326" s="3" t="s">
        <v>2092</v>
      </c>
      <c r="C326" s="8">
        <v>2</v>
      </c>
      <c r="D326" s="3" t="s">
        <v>2188</v>
      </c>
      <c r="E326" s="11" t="s">
        <v>86</v>
      </c>
      <c r="F326" s="11"/>
      <c r="G326" s="9"/>
      <c r="H326" s="11"/>
      <c r="I326" s="11"/>
      <c r="J326" s="3" t="str">
        <f t="shared" si="23"/>
        <v>0520001</v>
      </c>
    </row>
    <row r="327" spans="2:10" s="3" customFormat="1">
      <c r="B327" s="3" t="s">
        <v>2092</v>
      </c>
      <c r="C327" s="8">
        <v>2</v>
      </c>
      <c r="D327" s="3" t="s">
        <v>2188</v>
      </c>
      <c r="E327" s="11" t="s">
        <v>10</v>
      </c>
      <c r="F327" s="10">
        <v>3.9519999999999998E-3</v>
      </c>
      <c r="G327" s="12">
        <f>ROUND(G$3*F327,0)</f>
        <v>1137</v>
      </c>
      <c r="H327" s="13">
        <f>ROUND(G327/2,0)</f>
        <v>569</v>
      </c>
      <c r="I327" s="12">
        <f>G327-H327</f>
        <v>568</v>
      </c>
      <c r="J327" s="3" t="str">
        <f t="shared" si="23"/>
        <v>0520001</v>
      </c>
    </row>
    <row r="328" spans="2:10" s="3" customFormat="1">
      <c r="B328" s="3" t="s">
        <v>2092</v>
      </c>
      <c r="C328" s="8">
        <v>2</v>
      </c>
      <c r="D328" s="3" t="s">
        <v>2188</v>
      </c>
      <c r="E328" s="11" t="s">
        <v>11</v>
      </c>
      <c r="F328" s="10">
        <v>1.2570000000000001E-3</v>
      </c>
      <c r="G328" s="12">
        <f>ROUND(G$3*F328,0)</f>
        <v>362</v>
      </c>
      <c r="H328" s="13">
        <f>ROUND(G328/2,0)</f>
        <v>181</v>
      </c>
      <c r="I328" s="12">
        <f>G328-H328</f>
        <v>181</v>
      </c>
      <c r="J328" s="3" t="str">
        <f t="shared" si="23"/>
        <v>0520001</v>
      </c>
    </row>
    <row r="329" spans="2:10" s="3" customFormat="1">
      <c r="B329" s="3" t="s">
        <v>2092</v>
      </c>
      <c r="C329" s="8">
        <v>2</v>
      </c>
      <c r="D329" s="3" t="s">
        <v>2189</v>
      </c>
      <c r="E329" s="11" t="s">
        <v>49</v>
      </c>
      <c r="F329" s="11"/>
      <c r="G329" s="9"/>
      <c r="H329" s="11"/>
      <c r="I329" s="11"/>
      <c r="J329" s="3" t="str">
        <f t="shared" si="23"/>
        <v>0520002</v>
      </c>
    </row>
    <row r="330" spans="2:10" s="3" customFormat="1">
      <c r="B330" s="3" t="s">
        <v>2092</v>
      </c>
      <c r="C330" s="8">
        <v>2</v>
      </c>
      <c r="D330" s="3" t="s">
        <v>2189</v>
      </c>
      <c r="E330" s="11" t="s">
        <v>10</v>
      </c>
      <c r="F330" s="10">
        <v>1.225E-3</v>
      </c>
      <c r="G330" s="12">
        <f>ROUND(G$3*F330,0)</f>
        <v>352</v>
      </c>
      <c r="H330" s="13">
        <f>ROUND(G330/2,0)</f>
        <v>176</v>
      </c>
      <c r="I330" s="12">
        <f>G330-H330</f>
        <v>176</v>
      </c>
      <c r="J330" s="3" t="str">
        <f t="shared" si="23"/>
        <v>0520002</v>
      </c>
    </row>
    <row r="331" spans="2:10" s="3" customFormat="1">
      <c r="B331" s="3" t="s">
        <v>2092</v>
      </c>
      <c r="C331" s="8">
        <v>2</v>
      </c>
      <c r="D331" s="3" t="s">
        <v>2189</v>
      </c>
      <c r="E331" s="11" t="s">
        <v>11</v>
      </c>
      <c r="F331" s="10">
        <v>2.5999999999999999E-3</v>
      </c>
      <c r="G331" s="12">
        <f>ROUND(G$3*F331,0)</f>
        <v>748</v>
      </c>
      <c r="H331" s="13">
        <f>ROUND(G331/2,0)</f>
        <v>374</v>
      </c>
      <c r="I331" s="12">
        <f>G331-H331</f>
        <v>374</v>
      </c>
      <c r="J331" s="3" t="str">
        <f t="shared" si="23"/>
        <v>0520002</v>
      </c>
    </row>
    <row r="332" spans="2:10" s="3" customFormat="1">
      <c r="B332" s="3" t="s">
        <v>2092</v>
      </c>
      <c r="C332" s="8">
        <v>2</v>
      </c>
      <c r="D332" s="3" t="s">
        <v>2190</v>
      </c>
      <c r="E332" s="11" t="s">
        <v>134</v>
      </c>
      <c r="F332" s="11"/>
      <c r="G332" s="9"/>
      <c r="H332" s="11"/>
      <c r="I332" s="11"/>
      <c r="J332" s="3" t="str">
        <f t="shared" si="23"/>
        <v>0520003</v>
      </c>
    </row>
    <row r="333" spans="2:10" s="3" customFormat="1">
      <c r="B333" s="3" t="s">
        <v>2092</v>
      </c>
      <c r="C333" s="8">
        <v>2</v>
      </c>
      <c r="D333" s="3" t="s">
        <v>2190</v>
      </c>
      <c r="E333" s="11" t="s">
        <v>10</v>
      </c>
      <c r="F333" s="10">
        <v>6.4409999999999997E-3</v>
      </c>
      <c r="G333" s="12">
        <f>ROUND(G$3*F333,0)</f>
        <v>1853</v>
      </c>
      <c r="H333" s="13">
        <f>ROUND(G333/2,0)</f>
        <v>927</v>
      </c>
      <c r="I333" s="12">
        <f>G333-H333</f>
        <v>926</v>
      </c>
      <c r="J333" s="3" t="str">
        <f t="shared" si="23"/>
        <v>0520003</v>
      </c>
    </row>
    <row r="334" spans="2:10" s="3" customFormat="1">
      <c r="B334" s="3" t="s">
        <v>2092</v>
      </c>
      <c r="C334" s="8">
        <v>2</v>
      </c>
      <c r="D334" s="3" t="s">
        <v>2190</v>
      </c>
      <c r="E334" s="11" t="s">
        <v>11</v>
      </c>
      <c r="F334" s="10">
        <v>2.13E-4</v>
      </c>
      <c r="G334" s="12">
        <f>ROUND(G$3*F334,0)</f>
        <v>61</v>
      </c>
      <c r="H334" s="13">
        <f>ROUND(G334/2,0)</f>
        <v>31</v>
      </c>
      <c r="I334" s="12">
        <f>G334-H334</f>
        <v>30</v>
      </c>
      <c r="J334" s="3" t="str">
        <f t="shared" si="23"/>
        <v>0520003</v>
      </c>
    </row>
    <row r="335" spans="2:10" s="3" customFormat="1">
      <c r="B335" s="3" t="s">
        <v>2092</v>
      </c>
      <c r="C335" s="8">
        <v>2</v>
      </c>
      <c r="D335" s="3" t="s">
        <v>2191</v>
      </c>
      <c r="E335" s="11" t="s">
        <v>22</v>
      </c>
      <c r="F335" s="11"/>
      <c r="G335" s="9"/>
      <c r="H335" s="11"/>
      <c r="I335" s="11"/>
      <c r="J335" s="3" t="str">
        <f t="shared" si="23"/>
        <v>0520004</v>
      </c>
    </row>
    <row r="336" spans="2:10" s="3" customFormat="1">
      <c r="B336" s="3" t="s">
        <v>2092</v>
      </c>
      <c r="C336" s="8">
        <v>2</v>
      </c>
      <c r="D336" s="3" t="s">
        <v>2191</v>
      </c>
      <c r="E336" s="11" t="s">
        <v>10</v>
      </c>
      <c r="F336" s="10">
        <v>2.5300000000000002E-4</v>
      </c>
      <c r="G336" s="12">
        <f t="shared" ref="G336:G341" si="24">ROUND(G$3*F336,0)</f>
        <v>73</v>
      </c>
      <c r="H336" s="13">
        <f t="shared" ref="H336:H342" si="25">ROUND(G336/2,0)</f>
        <v>37</v>
      </c>
      <c r="I336" s="12">
        <f t="shared" ref="I336:I342" si="26">G336-H336</f>
        <v>36</v>
      </c>
      <c r="J336" s="3" t="str">
        <f t="shared" si="23"/>
        <v>0520004</v>
      </c>
    </row>
    <row r="337" spans="1:10" s="3" customFormat="1">
      <c r="B337" s="3" t="s">
        <v>2092</v>
      </c>
      <c r="C337" s="8">
        <v>2</v>
      </c>
      <c r="D337" s="3" t="s">
        <v>2191</v>
      </c>
      <c r="E337" s="11" t="s">
        <v>11</v>
      </c>
      <c r="F337" s="10">
        <v>1.74E-4</v>
      </c>
      <c r="G337" s="12">
        <f t="shared" si="24"/>
        <v>50</v>
      </c>
      <c r="H337" s="13">
        <f t="shared" si="25"/>
        <v>25</v>
      </c>
      <c r="I337" s="12">
        <f t="shared" si="26"/>
        <v>25</v>
      </c>
      <c r="J337" s="3" t="str">
        <f t="shared" si="23"/>
        <v>0520004</v>
      </c>
    </row>
    <row r="338" spans="1:10" s="3" customFormat="1">
      <c r="A338" s="3" t="s">
        <v>6269</v>
      </c>
      <c r="B338" s="3" t="s">
        <v>2092</v>
      </c>
      <c r="C338" s="8">
        <v>3</v>
      </c>
      <c r="D338" s="3" t="s">
        <v>2251</v>
      </c>
      <c r="E338" s="11" t="s">
        <v>135</v>
      </c>
      <c r="F338" s="10">
        <v>0</v>
      </c>
      <c r="G338" s="12">
        <f t="shared" si="24"/>
        <v>0</v>
      </c>
      <c r="H338" s="13">
        <f t="shared" si="25"/>
        <v>0</v>
      </c>
      <c r="I338" s="12">
        <f t="shared" si="26"/>
        <v>0</v>
      </c>
      <c r="J338" s="3" t="str">
        <f t="shared" si="23"/>
        <v>0530450</v>
      </c>
    </row>
    <row r="339" spans="1:10" s="3" customFormat="1">
      <c r="B339" s="3" t="s">
        <v>2092</v>
      </c>
      <c r="C339" s="8">
        <v>3</v>
      </c>
      <c r="D339" s="3" t="s">
        <v>2250</v>
      </c>
      <c r="E339" s="11" t="s">
        <v>136</v>
      </c>
      <c r="F339" s="10">
        <v>0.12617</v>
      </c>
      <c r="G339" s="12">
        <f t="shared" si="24"/>
        <v>36302</v>
      </c>
      <c r="H339" s="13">
        <f t="shared" si="25"/>
        <v>18151</v>
      </c>
      <c r="I339" s="12">
        <f t="shared" si="26"/>
        <v>18151</v>
      </c>
      <c r="J339" s="3" t="str">
        <f t="shared" si="23"/>
        <v>0530409</v>
      </c>
    </row>
    <row r="340" spans="1:10" s="3" customFormat="1">
      <c r="B340" s="3" t="s">
        <v>2092</v>
      </c>
      <c r="C340" s="8">
        <v>3</v>
      </c>
      <c r="D340" s="3" t="s">
        <v>2252</v>
      </c>
      <c r="E340" s="11" t="s">
        <v>137</v>
      </c>
      <c r="F340" s="10">
        <v>3.248E-3</v>
      </c>
      <c r="G340" s="12">
        <f t="shared" si="24"/>
        <v>935</v>
      </c>
      <c r="H340" s="13">
        <f t="shared" si="25"/>
        <v>468</v>
      </c>
      <c r="I340" s="12">
        <f t="shared" si="26"/>
        <v>467</v>
      </c>
      <c r="J340" s="3" t="str">
        <f t="shared" si="23"/>
        <v>0530464</v>
      </c>
    </row>
    <row r="341" spans="1:10" s="3" customFormat="1">
      <c r="A341" s="3" t="s">
        <v>6269</v>
      </c>
      <c r="B341" s="3" t="s">
        <v>2092</v>
      </c>
      <c r="C341" s="8">
        <v>3</v>
      </c>
      <c r="D341" s="3" t="s">
        <v>2253</v>
      </c>
      <c r="E341" s="11" t="s">
        <v>138</v>
      </c>
      <c r="F341" s="10">
        <v>0</v>
      </c>
      <c r="G341" s="12">
        <f t="shared" si="24"/>
        <v>0</v>
      </c>
      <c r="H341" s="13">
        <f t="shared" si="25"/>
        <v>0</v>
      </c>
      <c r="I341" s="12">
        <f t="shared" si="26"/>
        <v>0</v>
      </c>
      <c r="J341" s="3" t="str">
        <f t="shared" si="23"/>
        <v>0530951</v>
      </c>
    </row>
    <row r="342" spans="1:10" s="3" customFormat="1">
      <c r="B342" s="3" t="s">
        <v>2092</v>
      </c>
      <c r="C342" s="8">
        <v>4</v>
      </c>
      <c r="D342" s="3" t="s">
        <v>2254</v>
      </c>
      <c r="E342" s="11" t="s">
        <v>139</v>
      </c>
      <c r="F342" s="10">
        <v>0.57178600000000002</v>
      </c>
      <c r="G342" s="9">
        <f>ROUND(G$3*F342,0)</f>
        <v>164516</v>
      </c>
      <c r="H342" s="11">
        <f t="shared" si="25"/>
        <v>82258</v>
      </c>
      <c r="I342" s="9">
        <f t="shared" si="26"/>
        <v>82258</v>
      </c>
      <c r="J342" s="3" t="str">
        <f t="shared" si="23"/>
        <v>0540515</v>
      </c>
    </row>
    <row r="343" spans="1:10" s="3" customFormat="1">
      <c r="B343" s="3" t="s">
        <v>2092</v>
      </c>
      <c r="C343" s="8">
        <v>4</v>
      </c>
      <c r="D343" s="3" t="s">
        <v>2254</v>
      </c>
      <c r="E343" s="11" t="s">
        <v>28</v>
      </c>
      <c r="F343" s="11"/>
      <c r="G343" s="14">
        <v>0.41443600000000003</v>
      </c>
      <c r="H343" s="11"/>
      <c r="I343" s="11"/>
      <c r="J343" s="3" t="str">
        <f t="shared" si="23"/>
        <v>0540515</v>
      </c>
    </row>
    <row r="344" spans="1:10" s="3" customFormat="1">
      <c r="B344" s="3" t="s">
        <v>2092</v>
      </c>
      <c r="C344" s="8">
        <v>4</v>
      </c>
      <c r="D344" s="3" t="s">
        <v>2254</v>
      </c>
      <c r="E344" s="11" t="s">
        <v>29</v>
      </c>
      <c r="F344" s="11"/>
      <c r="G344" s="15">
        <f>ROUND(G342*G343,0)</f>
        <v>68181</v>
      </c>
      <c r="H344" s="16">
        <f>ROUND(G344/2,0)</f>
        <v>34091</v>
      </c>
      <c r="I344" s="15">
        <f>G344-H344</f>
        <v>34090</v>
      </c>
      <c r="J344" s="3" t="str">
        <f t="shared" si="23"/>
        <v>0540515</v>
      </c>
    </row>
    <row r="345" spans="1:10" s="3" customFormat="1">
      <c r="B345" s="3" t="s">
        <v>2092</v>
      </c>
      <c r="C345" s="8">
        <v>4</v>
      </c>
      <c r="D345" s="3" t="s">
        <v>2254</v>
      </c>
      <c r="E345" s="11" t="s">
        <v>30</v>
      </c>
      <c r="F345" s="11"/>
      <c r="G345" s="12">
        <f>+G342-G344</f>
        <v>96335</v>
      </c>
      <c r="H345" s="13">
        <f>ROUND(G345/2,0)</f>
        <v>48168</v>
      </c>
      <c r="I345" s="12">
        <f>G345-H345</f>
        <v>48167</v>
      </c>
      <c r="J345" s="3" t="str">
        <f t="shared" si="23"/>
        <v>0540515</v>
      </c>
    </row>
    <row r="346" spans="1:10" s="3" customFormat="1">
      <c r="A346" s="3" t="s">
        <v>6269</v>
      </c>
      <c r="B346" s="3" t="s">
        <v>2092</v>
      </c>
      <c r="C346" s="8">
        <v>4</v>
      </c>
      <c r="D346" s="3" t="s">
        <v>2255</v>
      </c>
      <c r="E346" s="11" t="s">
        <v>140</v>
      </c>
      <c r="F346" s="10">
        <v>0</v>
      </c>
      <c r="G346" s="9">
        <f>ROUND(G$3*F346,0)</f>
        <v>0</v>
      </c>
      <c r="H346" s="11">
        <f>ROUND(G346/2,0)</f>
        <v>0</v>
      </c>
      <c r="I346" s="9">
        <f>G346-H346</f>
        <v>0</v>
      </c>
      <c r="J346" s="3" t="str">
        <f t="shared" si="23"/>
        <v>0543945</v>
      </c>
    </row>
    <row r="347" spans="1:10" s="3" customFormat="1">
      <c r="B347" s="3" t="s">
        <v>2092</v>
      </c>
      <c r="C347" s="8">
        <v>4</v>
      </c>
      <c r="D347" s="3" t="s">
        <v>2255</v>
      </c>
      <c r="E347" s="11" t="s">
        <v>28</v>
      </c>
      <c r="F347" s="11"/>
      <c r="G347" s="14">
        <v>0.43941999999999998</v>
      </c>
      <c r="H347" s="11"/>
      <c r="I347" s="11"/>
      <c r="J347" s="3" t="str">
        <f t="shared" si="23"/>
        <v>0543945</v>
      </c>
    </row>
    <row r="348" spans="1:10" s="3" customFormat="1">
      <c r="B348" s="3" t="s">
        <v>2092</v>
      </c>
      <c r="C348" s="8">
        <v>4</v>
      </c>
      <c r="D348" s="3" t="s">
        <v>2255</v>
      </c>
      <c r="E348" s="11" t="s">
        <v>29</v>
      </c>
      <c r="F348" s="11"/>
      <c r="G348" s="15">
        <f>ROUND(G346*G347,0)</f>
        <v>0</v>
      </c>
      <c r="H348" s="16">
        <f t="shared" ref="H348:H353" si="27">ROUND(G348/2,0)</f>
        <v>0</v>
      </c>
      <c r="I348" s="15">
        <f t="shared" ref="I348:I353" si="28">G348-H348</f>
        <v>0</v>
      </c>
      <c r="J348" s="3" t="str">
        <f t="shared" si="23"/>
        <v>0543945</v>
      </c>
    </row>
    <row r="349" spans="1:10" s="3" customFormat="1">
      <c r="B349" s="3" t="s">
        <v>2092</v>
      </c>
      <c r="C349" s="8">
        <v>4</v>
      </c>
      <c r="D349" s="3" t="s">
        <v>2255</v>
      </c>
      <c r="E349" s="11" t="s">
        <v>30</v>
      </c>
      <c r="F349" s="11"/>
      <c r="G349" s="12">
        <f>+G346-G348</f>
        <v>0</v>
      </c>
      <c r="H349" s="13">
        <f t="shared" si="27"/>
        <v>0</v>
      </c>
      <c r="I349" s="12">
        <f t="shared" si="28"/>
        <v>0</v>
      </c>
      <c r="J349" s="3" t="str">
        <f t="shared" si="23"/>
        <v>0543945</v>
      </c>
    </row>
    <row r="350" spans="1:10" s="3" customFormat="1">
      <c r="A350" s="3" t="s">
        <v>6269</v>
      </c>
      <c r="B350" s="3" t="s">
        <v>2092</v>
      </c>
      <c r="C350" s="8">
        <v>5</v>
      </c>
      <c r="D350" s="3" t="s">
        <v>2256</v>
      </c>
      <c r="E350" s="11" t="s">
        <v>141</v>
      </c>
      <c r="F350" s="10">
        <v>0</v>
      </c>
      <c r="G350" s="120">
        <f>ROUND(G$3*F350,0)</f>
        <v>0</v>
      </c>
      <c r="H350" s="120">
        <f t="shared" si="27"/>
        <v>0</v>
      </c>
      <c r="I350" s="120">
        <f t="shared" si="28"/>
        <v>0</v>
      </c>
      <c r="J350" s="3" t="str">
        <f t="shared" si="23"/>
        <v>0550106</v>
      </c>
    </row>
    <row r="351" spans="1:10" s="3" customFormat="1">
      <c r="B351" s="3" t="s">
        <v>2092</v>
      </c>
      <c r="C351" s="8">
        <v>5</v>
      </c>
      <c r="D351" s="3" t="s">
        <v>2208</v>
      </c>
      <c r="E351" s="11" t="s">
        <v>142</v>
      </c>
      <c r="F351" s="10">
        <v>1.9592999999999999E-2</v>
      </c>
      <c r="G351" s="120">
        <f>ROUND(G$3*F351,0)</f>
        <v>5637</v>
      </c>
      <c r="H351" s="120">
        <f t="shared" si="27"/>
        <v>2819</v>
      </c>
      <c r="I351" s="120">
        <f t="shared" si="28"/>
        <v>2818</v>
      </c>
      <c r="J351" s="3" t="str">
        <f t="shared" si="23"/>
        <v>0550013</v>
      </c>
    </row>
    <row r="352" spans="1:10" s="3" customFormat="1">
      <c r="B352" s="3" t="s">
        <v>2092</v>
      </c>
      <c r="C352" s="8">
        <v>5</v>
      </c>
      <c r="D352" s="3" t="s">
        <v>2209</v>
      </c>
      <c r="E352" s="11" t="s">
        <v>143</v>
      </c>
      <c r="F352" s="10">
        <v>4.6389999999999999E-3</v>
      </c>
      <c r="G352" s="120">
        <f>+G320-SUM(G321:G322)-SUM(G327:G342)-G351</f>
        <v>-171075</v>
      </c>
      <c r="H352" s="120">
        <f t="shared" si="27"/>
        <v>-85538</v>
      </c>
      <c r="I352" s="120">
        <f t="shared" si="28"/>
        <v>-85537</v>
      </c>
      <c r="J352" s="3" t="str">
        <f t="shared" si="23"/>
        <v>0550014</v>
      </c>
    </row>
    <row r="353" spans="1:10" s="3" customFormat="1">
      <c r="A353" s="3" t="s">
        <v>6269</v>
      </c>
      <c r="B353" s="3" t="s">
        <v>2092</v>
      </c>
      <c r="C353" s="8">
        <v>6</v>
      </c>
      <c r="D353" s="3" t="s">
        <v>6267</v>
      </c>
      <c r="E353" s="11" t="s">
        <v>144</v>
      </c>
      <c r="F353" s="10">
        <v>0</v>
      </c>
      <c r="G353" s="120">
        <f>ROUND(G$3*F353,0)</f>
        <v>0</v>
      </c>
      <c r="H353" s="120">
        <f t="shared" si="27"/>
        <v>0</v>
      </c>
      <c r="I353" s="120">
        <f t="shared" si="28"/>
        <v>0</v>
      </c>
      <c r="J353" s="3" t="str">
        <f t="shared" si="23"/>
        <v>056XXXX</v>
      </c>
    </row>
    <row r="354" spans="1:10" s="3" customFormat="1">
      <c r="B354" s="3" t="s">
        <v>2092</v>
      </c>
      <c r="C354" s="8">
        <v>0</v>
      </c>
      <c r="D354" s="125" t="s">
        <v>2187</v>
      </c>
      <c r="E354" s="34" t="s">
        <v>37</v>
      </c>
      <c r="F354" s="10">
        <v>0.99999999999999989</v>
      </c>
      <c r="G354" s="12">
        <f>+G321+SUM(G324:G341)+G344+G345+G348+G349+G350+G351+G352+G353</f>
        <v>115313</v>
      </c>
      <c r="H354" s="12">
        <f>+H321+SUM(H324:H341)+H344+H345+H348+H349+H350+H351+H352+H353</f>
        <v>57661</v>
      </c>
      <c r="I354" s="12">
        <f>+I321+SUM(I324:I341)+I344+I345+I348+I349+I350+I351+I352+I353</f>
        <v>57652</v>
      </c>
      <c r="J354" s="3" t="str">
        <f t="shared" si="23"/>
        <v>0500000</v>
      </c>
    </row>
    <row r="355" spans="1:10" s="3" customFormat="1">
      <c r="B355" s="3" t="s">
        <v>2092</v>
      </c>
      <c r="C355" s="8">
        <v>0</v>
      </c>
      <c r="D355" s="3" t="s">
        <v>2187</v>
      </c>
      <c r="E355" s="18" t="s">
        <v>38</v>
      </c>
      <c r="G355" s="19">
        <f>+G321</f>
        <v>255</v>
      </c>
      <c r="H355" s="19">
        <f>+H321</f>
        <v>128</v>
      </c>
      <c r="I355" s="19">
        <f>+I321</f>
        <v>127</v>
      </c>
      <c r="J355" s="3" t="str">
        <f t="shared" si="23"/>
        <v>0500000</v>
      </c>
    </row>
    <row r="356" spans="1:10" s="3" customFormat="1">
      <c r="B356" s="3" t="s">
        <v>2092</v>
      </c>
      <c r="C356" s="8">
        <v>0</v>
      </c>
      <c r="D356" s="3" t="s">
        <v>2187</v>
      </c>
      <c r="E356" s="2" t="s">
        <v>39</v>
      </c>
      <c r="G356" s="19">
        <f>+G324</f>
        <v>9744</v>
      </c>
      <c r="H356" s="19">
        <f>+H324</f>
        <v>4872</v>
      </c>
      <c r="I356" s="19">
        <f>+I324</f>
        <v>4872</v>
      </c>
      <c r="J356" s="3" t="str">
        <f t="shared" si="23"/>
        <v>0500000</v>
      </c>
    </row>
    <row r="357" spans="1:10" s="3" customFormat="1">
      <c r="B357" s="3" t="s">
        <v>2092</v>
      </c>
      <c r="C357" s="8">
        <v>0</v>
      </c>
      <c r="D357" s="3" t="s">
        <v>2187</v>
      </c>
      <c r="E357" s="2" t="s">
        <v>40</v>
      </c>
      <c r="G357" s="19">
        <f>+G344+G348</f>
        <v>68181</v>
      </c>
      <c r="H357" s="19">
        <f>+H344+H348</f>
        <v>34091</v>
      </c>
      <c r="I357" s="19">
        <f>+I344+I348</f>
        <v>34090</v>
      </c>
      <c r="J357" s="3" t="str">
        <f t="shared" si="23"/>
        <v>0500000</v>
      </c>
    </row>
    <row r="358" spans="1:10" s="3" customFormat="1">
      <c r="B358" s="3" t="s">
        <v>2092</v>
      </c>
      <c r="C358" s="8">
        <v>0</v>
      </c>
      <c r="D358" s="125" t="s">
        <v>2187</v>
      </c>
      <c r="E358" s="18" t="s">
        <v>41</v>
      </c>
      <c r="G358" s="19">
        <f>+G354-G355-G356-G357</f>
        <v>37133</v>
      </c>
      <c r="H358" s="19">
        <f>+H354-H355-H356-H357</f>
        <v>18570</v>
      </c>
      <c r="I358" s="19">
        <f>+I354-I355-I356-I357</f>
        <v>18563</v>
      </c>
      <c r="J358" s="3" t="str">
        <f t="shared" si="23"/>
        <v>0500000</v>
      </c>
    </row>
    <row r="359" spans="1:10" ht="15.75">
      <c r="B359" s="3" t="s">
        <v>2186</v>
      </c>
      <c r="D359" t="s">
        <v>2186</v>
      </c>
      <c r="E359">
        <v>0</v>
      </c>
      <c r="G359"/>
      <c r="H359"/>
      <c r="I359"/>
      <c r="J359" s="3" t="str">
        <f t="shared" si="23"/>
        <v/>
      </c>
    </row>
    <row r="360" spans="1:10" ht="15.75">
      <c r="B360" s="3" t="s">
        <v>2186</v>
      </c>
      <c r="D360" t="s">
        <v>2186</v>
      </c>
      <c r="E360">
        <v>0</v>
      </c>
      <c r="G360"/>
      <c r="H360"/>
      <c r="I360"/>
      <c r="J360" s="3" t="str">
        <f t="shared" si="23"/>
        <v/>
      </c>
    </row>
    <row r="361" spans="1:10" s="3" customFormat="1">
      <c r="D361" s="3" t="s">
        <v>2186</v>
      </c>
      <c r="E361" s="2" t="s">
        <v>145</v>
      </c>
      <c r="J361" s="3" t="str">
        <f t="shared" si="23"/>
        <v/>
      </c>
    </row>
    <row r="362" spans="1:10" s="3" customFormat="1" ht="45.75" customHeight="1">
      <c r="B362" s="3" t="s">
        <v>2186</v>
      </c>
      <c r="C362" s="1"/>
      <c r="D362" s="3" t="s">
        <v>2186</v>
      </c>
      <c r="E362" s="1">
        <v>0</v>
      </c>
      <c r="F362" s="6" t="s">
        <v>1</v>
      </c>
      <c r="G362" s="60">
        <f>'Allocation Worksheet'!H362</f>
        <v>0</v>
      </c>
      <c r="H362" s="60">
        <f>'Allocation Worksheet'!H363</f>
        <v>0</v>
      </c>
      <c r="I362" s="60">
        <f>'Allocation Worksheet'!H364</f>
        <v>0</v>
      </c>
      <c r="J362" s="3" t="str">
        <f t="shared" si="23"/>
        <v/>
      </c>
    </row>
    <row r="363" spans="1:10" s="3" customFormat="1">
      <c r="C363" s="7" t="s">
        <v>2087</v>
      </c>
      <c r="D363" s="3" t="s">
        <v>2186</v>
      </c>
      <c r="E363" s="7" t="s">
        <v>3</v>
      </c>
      <c r="F363" s="10"/>
      <c r="G363" s="9">
        <f>'Allocation Worksheet'!$D$9</f>
        <v>505208</v>
      </c>
      <c r="H363" s="11"/>
      <c r="I363" s="11"/>
      <c r="J363" s="3" t="str">
        <f t="shared" si="23"/>
        <v>UT</v>
      </c>
    </row>
    <row r="364" spans="1:10" s="3" customFormat="1">
      <c r="B364" s="3" t="s">
        <v>2093</v>
      </c>
      <c r="C364" s="8">
        <v>0</v>
      </c>
      <c r="D364" s="3" t="s">
        <v>2187</v>
      </c>
      <c r="E364" s="11" t="s">
        <v>4</v>
      </c>
      <c r="F364" s="10">
        <v>1.2179999999999999E-3</v>
      </c>
      <c r="G364" s="12">
        <f>ROUND(G$3*F364,0)</f>
        <v>350</v>
      </c>
      <c r="H364" s="13">
        <f>ROUND(G364/2,0)</f>
        <v>175</v>
      </c>
      <c r="I364" s="12">
        <f>G364-H364</f>
        <v>175</v>
      </c>
      <c r="J364" s="3" t="str">
        <f t="shared" si="23"/>
        <v>0600000</v>
      </c>
    </row>
    <row r="365" spans="1:10" s="3" customFormat="1">
      <c r="B365" s="3" t="s">
        <v>2093</v>
      </c>
      <c r="C365" s="8">
        <v>1</v>
      </c>
      <c r="D365" s="3" t="s">
        <v>2187</v>
      </c>
      <c r="E365" s="11" t="s">
        <v>146</v>
      </c>
      <c r="F365" s="10">
        <v>0.154589</v>
      </c>
      <c r="G365" s="9">
        <f>ROUND(G$3*F365,0)</f>
        <v>44479</v>
      </c>
      <c r="H365" s="11">
        <f>ROUND(G365/2,0)</f>
        <v>22240</v>
      </c>
      <c r="I365" s="9">
        <f>G365-H365</f>
        <v>22239</v>
      </c>
      <c r="J365" s="3" t="str">
        <f t="shared" si="23"/>
        <v>0610000</v>
      </c>
    </row>
    <row r="366" spans="1:10" s="3" customFormat="1">
      <c r="B366" s="3" t="s">
        <v>2093</v>
      </c>
      <c r="C366" s="8">
        <v>1</v>
      </c>
      <c r="D366" s="3" t="s">
        <v>2187</v>
      </c>
      <c r="E366" s="11" t="s">
        <v>6</v>
      </c>
      <c r="F366" s="11"/>
      <c r="G366" s="14">
        <v>0.22176899999999999</v>
      </c>
      <c r="H366" s="11"/>
      <c r="I366" s="11"/>
      <c r="J366" s="3" t="str">
        <f t="shared" si="23"/>
        <v>0610000</v>
      </c>
    </row>
    <row r="367" spans="1:10" s="3" customFormat="1">
      <c r="B367" s="3" t="s">
        <v>2093</v>
      </c>
      <c r="C367" s="8">
        <v>1</v>
      </c>
      <c r="D367" s="3" t="s">
        <v>2187</v>
      </c>
      <c r="E367" s="11" t="s">
        <v>7</v>
      </c>
      <c r="F367" s="11"/>
      <c r="G367" s="15">
        <f>ROUND(G365*G366,0)</f>
        <v>9864</v>
      </c>
      <c r="H367" s="16">
        <f>ROUND(G367/2,0)</f>
        <v>4932</v>
      </c>
      <c r="I367" s="15">
        <f>G367-H367</f>
        <v>4932</v>
      </c>
      <c r="J367" s="3" t="str">
        <f t="shared" si="23"/>
        <v>0610000</v>
      </c>
    </row>
    <row r="368" spans="1:10" s="3" customFormat="1">
      <c r="B368" s="3" t="s">
        <v>2093</v>
      </c>
      <c r="C368" s="8">
        <v>1</v>
      </c>
      <c r="D368" s="3" t="s">
        <v>2187</v>
      </c>
      <c r="E368" s="11" t="s">
        <v>8</v>
      </c>
      <c r="F368" s="11"/>
      <c r="G368" s="12">
        <f>+G365-G367</f>
        <v>34615</v>
      </c>
      <c r="H368" s="13">
        <f>ROUND(G368/2,0)</f>
        <v>17308</v>
      </c>
      <c r="I368" s="12">
        <f>G368-H368</f>
        <v>17307</v>
      </c>
      <c r="J368" s="3" t="str">
        <f t="shared" si="23"/>
        <v>0610000</v>
      </c>
    </row>
    <row r="369" spans="1:10" s="3" customFormat="1">
      <c r="B369" s="3" t="s">
        <v>2093</v>
      </c>
      <c r="C369" s="8">
        <v>2</v>
      </c>
      <c r="D369" s="3" t="s">
        <v>2188</v>
      </c>
      <c r="E369" s="11" t="s">
        <v>107</v>
      </c>
      <c r="F369" s="11"/>
      <c r="G369" s="9"/>
      <c r="H369" s="11"/>
      <c r="I369" s="11"/>
      <c r="J369" s="3" t="str">
        <f t="shared" si="23"/>
        <v>0620001</v>
      </c>
    </row>
    <row r="370" spans="1:10" s="3" customFormat="1">
      <c r="B370" s="3" t="s">
        <v>2093</v>
      </c>
      <c r="C370" s="8">
        <v>2</v>
      </c>
      <c r="D370" s="3" t="s">
        <v>2188</v>
      </c>
      <c r="E370" s="11" t="s">
        <v>10</v>
      </c>
      <c r="F370" s="10">
        <v>7.3740000000000003E-3</v>
      </c>
      <c r="G370" s="12">
        <f>ROUND(G$3*F370,0)</f>
        <v>2122</v>
      </c>
      <c r="H370" s="13">
        <f>ROUND(G370/2,0)</f>
        <v>1061</v>
      </c>
      <c r="I370" s="12">
        <f>G370-H370</f>
        <v>1061</v>
      </c>
      <c r="J370" s="3" t="str">
        <f t="shared" si="23"/>
        <v>0620001</v>
      </c>
    </row>
    <row r="371" spans="1:10" s="3" customFormat="1">
      <c r="B371" s="3" t="s">
        <v>2093</v>
      </c>
      <c r="C371" s="8">
        <v>2</v>
      </c>
      <c r="D371" s="3" t="s">
        <v>2188</v>
      </c>
      <c r="E371" s="11" t="s">
        <v>11</v>
      </c>
      <c r="F371" s="10">
        <v>2.0370000000000002E-3</v>
      </c>
      <c r="G371" s="12">
        <f>ROUND(G$3*F371,0)</f>
        <v>586</v>
      </c>
      <c r="H371" s="13">
        <f>ROUND(G371/2,0)</f>
        <v>293</v>
      </c>
      <c r="I371" s="12">
        <f>G371-H371</f>
        <v>293</v>
      </c>
      <c r="J371" s="3" t="str">
        <f t="shared" si="23"/>
        <v>0620001</v>
      </c>
    </row>
    <row r="372" spans="1:10" s="3" customFormat="1">
      <c r="B372" s="3" t="s">
        <v>2093</v>
      </c>
      <c r="C372" s="8">
        <v>2</v>
      </c>
      <c r="D372" s="3" t="s">
        <v>2189</v>
      </c>
      <c r="E372" s="11" t="s">
        <v>147</v>
      </c>
      <c r="F372" s="11"/>
      <c r="G372" s="9"/>
      <c r="H372" s="11"/>
      <c r="I372" s="11"/>
      <c r="J372" s="3" t="str">
        <f t="shared" si="23"/>
        <v>0620002</v>
      </c>
    </row>
    <row r="373" spans="1:10" s="3" customFormat="1">
      <c r="A373" s="3" t="s">
        <v>6269</v>
      </c>
      <c r="B373" s="3" t="s">
        <v>2093</v>
      </c>
      <c r="C373" s="8">
        <v>2</v>
      </c>
      <c r="D373" s="3" t="s">
        <v>2189</v>
      </c>
      <c r="E373" s="11" t="s">
        <v>10</v>
      </c>
      <c r="F373" s="10">
        <v>0</v>
      </c>
      <c r="G373" s="12">
        <f>ROUND(G$3*F373,0)</f>
        <v>0</v>
      </c>
      <c r="H373" s="13">
        <f>ROUND(G373/2,0)</f>
        <v>0</v>
      </c>
      <c r="I373" s="12">
        <f>G373-H373</f>
        <v>0</v>
      </c>
      <c r="J373" s="3" t="str">
        <f t="shared" si="23"/>
        <v>0620002</v>
      </c>
    </row>
    <row r="374" spans="1:10" s="3" customFormat="1">
      <c r="A374" s="3" t="s">
        <v>6269</v>
      </c>
      <c r="B374" s="3" t="s">
        <v>2093</v>
      </c>
      <c r="C374" s="8">
        <v>2</v>
      </c>
      <c r="D374" s="3" t="s">
        <v>2189</v>
      </c>
      <c r="E374" s="11" t="s">
        <v>11</v>
      </c>
      <c r="F374" s="10">
        <v>0</v>
      </c>
      <c r="G374" s="12">
        <f>ROUND(G$3*F374,0)</f>
        <v>0</v>
      </c>
      <c r="H374" s="13">
        <f>ROUND(G374/2,0)</f>
        <v>0</v>
      </c>
      <c r="I374" s="12">
        <f>G374-H374</f>
        <v>0</v>
      </c>
      <c r="J374" s="3" t="str">
        <f t="shared" si="23"/>
        <v>0620002</v>
      </c>
    </row>
    <row r="375" spans="1:10" s="128" customFormat="1">
      <c r="B375" s="128" t="s">
        <v>2093</v>
      </c>
      <c r="C375" s="129">
        <v>2</v>
      </c>
      <c r="D375" s="128" t="s">
        <v>6267</v>
      </c>
      <c r="E375" s="131" t="s">
        <v>148</v>
      </c>
      <c r="F375" s="131"/>
      <c r="G375" s="132"/>
      <c r="H375" s="131"/>
      <c r="I375" s="131"/>
      <c r="J375" s="128" t="str">
        <f t="shared" si="23"/>
        <v>062XXXX</v>
      </c>
    </row>
    <row r="376" spans="1:10" s="128" customFormat="1">
      <c r="B376" s="128" t="s">
        <v>2093</v>
      </c>
      <c r="C376" s="129">
        <v>2</v>
      </c>
      <c r="D376" s="128" t="s">
        <v>6267</v>
      </c>
      <c r="E376" s="131" t="s">
        <v>10</v>
      </c>
      <c r="F376" s="133">
        <v>1.856E-3</v>
      </c>
      <c r="G376" s="134">
        <f>ROUND(G$3*F376,0)</f>
        <v>534</v>
      </c>
      <c r="H376" s="135">
        <f>ROUND(G376/2,0)</f>
        <v>267</v>
      </c>
      <c r="I376" s="134">
        <f>G376-H376</f>
        <v>267</v>
      </c>
      <c r="J376" s="128" t="str">
        <f t="shared" si="23"/>
        <v>062XXXX</v>
      </c>
    </row>
    <row r="377" spans="1:10" s="128" customFormat="1">
      <c r="B377" s="128" t="s">
        <v>2093</v>
      </c>
      <c r="C377" s="129">
        <v>2</v>
      </c>
      <c r="D377" s="128" t="s">
        <v>6267</v>
      </c>
      <c r="E377" s="131" t="s">
        <v>11</v>
      </c>
      <c r="F377" s="133">
        <v>9.3800000000000003E-4</v>
      </c>
      <c r="G377" s="134">
        <f>ROUND(G$3*F377,0)</f>
        <v>270</v>
      </c>
      <c r="H377" s="135">
        <f>ROUND(G377/2,0)</f>
        <v>135</v>
      </c>
      <c r="I377" s="134">
        <f>G377-H377</f>
        <v>135</v>
      </c>
      <c r="J377" s="128" t="str">
        <f t="shared" si="23"/>
        <v>062XXXX</v>
      </c>
    </row>
    <row r="378" spans="1:10" s="3" customFormat="1">
      <c r="B378" s="3" t="s">
        <v>2093</v>
      </c>
      <c r="C378" s="8">
        <v>2</v>
      </c>
      <c r="D378" s="3" t="s">
        <v>2191</v>
      </c>
      <c r="E378" s="11" t="s">
        <v>86</v>
      </c>
      <c r="F378" s="11"/>
      <c r="G378" s="9"/>
      <c r="H378" s="11"/>
      <c r="I378" s="11"/>
      <c r="J378" s="3" t="str">
        <f t="shared" si="23"/>
        <v>0620004</v>
      </c>
    </row>
    <row r="379" spans="1:10" s="3" customFormat="1">
      <c r="B379" s="3" t="s">
        <v>2093</v>
      </c>
      <c r="C379" s="8">
        <v>2</v>
      </c>
      <c r="D379" s="3" t="s">
        <v>2191</v>
      </c>
      <c r="E379" s="11" t="s">
        <v>10</v>
      </c>
      <c r="F379" s="10">
        <v>1.1900000000000001E-4</v>
      </c>
      <c r="G379" s="12">
        <f>ROUND(G$3*F379,0)</f>
        <v>34</v>
      </c>
      <c r="H379" s="13">
        <f>ROUND(G379/2,0)</f>
        <v>17</v>
      </c>
      <c r="I379" s="12">
        <f>G379-H379</f>
        <v>17</v>
      </c>
      <c r="J379" s="3" t="str">
        <f t="shared" si="23"/>
        <v>0620004</v>
      </c>
    </row>
    <row r="380" spans="1:10" s="3" customFormat="1">
      <c r="B380" s="3" t="s">
        <v>2093</v>
      </c>
      <c r="C380" s="8">
        <v>2</v>
      </c>
      <c r="D380" s="3" t="s">
        <v>2191</v>
      </c>
      <c r="E380" s="11" t="s">
        <v>11</v>
      </c>
      <c r="F380" s="10">
        <v>3.6000000000000001E-5</v>
      </c>
      <c r="G380" s="12">
        <f>ROUND(G$3*F380,0)</f>
        <v>10</v>
      </c>
      <c r="H380" s="13">
        <f>ROUND(G380/2,0)</f>
        <v>5</v>
      </c>
      <c r="I380" s="12">
        <f>G380-H380</f>
        <v>5</v>
      </c>
      <c r="J380" s="3" t="str">
        <f t="shared" si="23"/>
        <v>0620004</v>
      </c>
    </row>
    <row r="381" spans="1:10" s="3" customFormat="1">
      <c r="B381" s="3" t="s">
        <v>2093</v>
      </c>
      <c r="C381" s="8">
        <v>2</v>
      </c>
      <c r="D381" s="3" t="s">
        <v>2192</v>
      </c>
      <c r="E381" s="11" t="s">
        <v>49</v>
      </c>
      <c r="F381" s="11"/>
      <c r="G381" s="9"/>
      <c r="H381" s="11"/>
      <c r="I381" s="11"/>
      <c r="J381" s="3" t="str">
        <f t="shared" si="23"/>
        <v>0620005</v>
      </c>
    </row>
    <row r="382" spans="1:10" s="3" customFormat="1">
      <c r="B382" s="3" t="s">
        <v>2093</v>
      </c>
      <c r="C382" s="8">
        <v>2</v>
      </c>
      <c r="D382" s="3" t="s">
        <v>2192</v>
      </c>
      <c r="E382" s="11" t="s">
        <v>10</v>
      </c>
      <c r="F382" s="10">
        <v>3.1E-4</v>
      </c>
      <c r="G382" s="12">
        <f>ROUND(G$3*F382,0)</f>
        <v>89</v>
      </c>
      <c r="H382" s="13">
        <f>ROUND(G382/2,0)</f>
        <v>45</v>
      </c>
      <c r="I382" s="12">
        <f>G382-H382</f>
        <v>44</v>
      </c>
      <c r="J382" s="3" t="str">
        <f t="shared" si="23"/>
        <v>0620005</v>
      </c>
    </row>
    <row r="383" spans="1:10" s="3" customFormat="1">
      <c r="B383" s="3" t="s">
        <v>2093</v>
      </c>
      <c r="C383" s="8">
        <v>2</v>
      </c>
      <c r="D383" s="3" t="s">
        <v>2192</v>
      </c>
      <c r="E383" s="11" t="s">
        <v>11</v>
      </c>
      <c r="F383" s="10">
        <v>2.5999999999999998E-4</v>
      </c>
      <c r="G383" s="12">
        <f>ROUND(G$3*F383,0)</f>
        <v>75</v>
      </c>
      <c r="H383" s="13">
        <f>ROUND(G383/2,0)</f>
        <v>38</v>
      </c>
      <c r="I383" s="12">
        <f>G383-H383</f>
        <v>37</v>
      </c>
      <c r="J383" s="3" t="str">
        <f t="shared" si="23"/>
        <v>0620005</v>
      </c>
    </row>
    <row r="384" spans="1:10" s="3" customFormat="1">
      <c r="B384" s="3" t="s">
        <v>2093</v>
      </c>
      <c r="C384" s="8">
        <v>2</v>
      </c>
      <c r="D384" s="3" t="s">
        <v>2193</v>
      </c>
      <c r="E384" s="11" t="s">
        <v>14</v>
      </c>
      <c r="F384" s="11"/>
      <c r="G384" s="9"/>
      <c r="H384" s="11"/>
      <c r="I384" s="11"/>
      <c r="J384" s="3" t="str">
        <f t="shared" si="23"/>
        <v>0620006</v>
      </c>
    </row>
    <row r="385" spans="2:10" s="3" customFormat="1">
      <c r="B385" s="3" t="s">
        <v>2093</v>
      </c>
      <c r="C385" s="8">
        <v>2</v>
      </c>
      <c r="D385" s="3" t="s">
        <v>2193</v>
      </c>
      <c r="E385" s="11" t="s">
        <v>10</v>
      </c>
      <c r="F385" s="10">
        <v>1.12E-4</v>
      </c>
      <c r="G385" s="12">
        <f>ROUND(G$3*F385,0)</f>
        <v>32</v>
      </c>
      <c r="H385" s="13">
        <f>ROUND(G385/2,0)</f>
        <v>16</v>
      </c>
      <c r="I385" s="12">
        <f>G385-H385</f>
        <v>16</v>
      </c>
      <c r="J385" s="3" t="str">
        <f t="shared" si="23"/>
        <v>0620006</v>
      </c>
    </row>
    <row r="386" spans="2:10" s="3" customFormat="1">
      <c r="B386" s="3" t="s">
        <v>2093</v>
      </c>
      <c r="C386" s="8">
        <v>2</v>
      </c>
      <c r="D386" s="3" t="s">
        <v>2193</v>
      </c>
      <c r="E386" s="11" t="s">
        <v>11</v>
      </c>
      <c r="F386" s="10">
        <v>6.0999999999999999E-5</v>
      </c>
      <c r="G386" s="12">
        <f>ROUND(G$3*F386,0)</f>
        <v>18</v>
      </c>
      <c r="H386" s="13">
        <f>ROUND(G386/2,0)</f>
        <v>9</v>
      </c>
      <c r="I386" s="12">
        <f>G386-H386</f>
        <v>9</v>
      </c>
      <c r="J386" s="3" t="str">
        <f t="shared" si="23"/>
        <v>0620006</v>
      </c>
    </row>
    <row r="387" spans="2:10" s="3" customFormat="1">
      <c r="B387" s="3" t="s">
        <v>2093</v>
      </c>
      <c r="C387" s="8">
        <v>2</v>
      </c>
      <c r="D387" s="3" t="s">
        <v>2194</v>
      </c>
      <c r="E387" s="11" t="s">
        <v>53</v>
      </c>
      <c r="F387" s="11"/>
      <c r="G387" s="9"/>
      <c r="H387" s="11"/>
      <c r="I387" s="11"/>
      <c r="J387" s="3" t="str">
        <f t="shared" si="23"/>
        <v>0620007</v>
      </c>
    </row>
    <row r="388" spans="2:10" s="3" customFormat="1">
      <c r="B388" s="3" t="s">
        <v>2093</v>
      </c>
      <c r="C388" s="8">
        <v>2</v>
      </c>
      <c r="D388" s="3" t="s">
        <v>2194</v>
      </c>
      <c r="E388" s="11" t="s">
        <v>10</v>
      </c>
      <c r="F388" s="10">
        <v>1.93E-4</v>
      </c>
      <c r="G388" s="12">
        <f>ROUND(G$3*F388,0)</f>
        <v>56</v>
      </c>
      <c r="H388" s="13">
        <f>ROUND(G388/2,0)</f>
        <v>28</v>
      </c>
      <c r="I388" s="12">
        <f>G388-H388</f>
        <v>28</v>
      </c>
      <c r="J388" s="3" t="str">
        <f t="shared" ref="J388:J451" si="29">B388&amp;C388&amp;D388</f>
        <v>0620007</v>
      </c>
    </row>
    <row r="389" spans="2:10" s="3" customFormat="1">
      <c r="B389" s="3" t="s">
        <v>2093</v>
      </c>
      <c r="C389" s="8">
        <v>2</v>
      </c>
      <c r="D389" s="3" t="s">
        <v>2194</v>
      </c>
      <c r="E389" s="11" t="s">
        <v>11</v>
      </c>
      <c r="F389" s="10">
        <v>1.2999999999999999E-4</v>
      </c>
      <c r="G389" s="12">
        <f>ROUND(G$3*F389,0)</f>
        <v>37</v>
      </c>
      <c r="H389" s="13">
        <f>ROUND(G389/2,0)</f>
        <v>19</v>
      </c>
      <c r="I389" s="12">
        <f>G389-H389</f>
        <v>18</v>
      </c>
      <c r="J389" s="3" t="str">
        <f t="shared" si="29"/>
        <v>0620007</v>
      </c>
    </row>
    <row r="390" spans="2:10" s="128" customFormat="1">
      <c r="B390" s="128" t="s">
        <v>2093</v>
      </c>
      <c r="C390" s="129">
        <v>2</v>
      </c>
      <c r="D390" s="128" t="s">
        <v>6267</v>
      </c>
      <c r="E390" s="131" t="s">
        <v>56</v>
      </c>
      <c r="F390" s="131"/>
      <c r="G390" s="132"/>
      <c r="H390" s="131"/>
      <c r="I390" s="131"/>
      <c r="J390" s="128" t="str">
        <f t="shared" si="29"/>
        <v>062XXXX</v>
      </c>
    </row>
    <row r="391" spans="2:10" s="128" customFormat="1">
      <c r="B391" s="128" t="s">
        <v>2093</v>
      </c>
      <c r="C391" s="129">
        <v>2</v>
      </c>
      <c r="D391" s="128" t="s">
        <v>6267</v>
      </c>
      <c r="E391" s="131" t="s">
        <v>10</v>
      </c>
      <c r="F391" s="133">
        <v>4.8199999999999996E-3</v>
      </c>
      <c r="G391" s="134">
        <f>ROUND(G$3*F391,0)</f>
        <v>1387</v>
      </c>
      <c r="H391" s="135">
        <f>ROUND(G391/2,0)</f>
        <v>694</v>
      </c>
      <c r="I391" s="134">
        <f>G391-H391</f>
        <v>693</v>
      </c>
      <c r="J391" s="128" t="str">
        <f t="shared" si="29"/>
        <v>062XXXX</v>
      </c>
    </row>
    <row r="392" spans="2:10" s="128" customFormat="1">
      <c r="B392" s="128" t="s">
        <v>2093</v>
      </c>
      <c r="C392" s="129">
        <v>2</v>
      </c>
      <c r="D392" s="128" t="s">
        <v>6267</v>
      </c>
      <c r="E392" s="131" t="s">
        <v>11</v>
      </c>
      <c r="F392" s="133">
        <v>3.8999999999999998E-3</v>
      </c>
      <c r="G392" s="134">
        <f>ROUND(G$3*F392,0)</f>
        <v>1122</v>
      </c>
      <c r="H392" s="135">
        <f>ROUND(G392/2,0)</f>
        <v>561</v>
      </c>
      <c r="I392" s="134">
        <f>G392-H392</f>
        <v>561</v>
      </c>
      <c r="J392" s="128" t="str">
        <f t="shared" si="29"/>
        <v>062XXXX</v>
      </c>
    </row>
    <row r="393" spans="2:10" s="3" customFormat="1">
      <c r="B393" s="3" t="s">
        <v>2093</v>
      </c>
      <c r="C393" s="8">
        <v>2</v>
      </c>
      <c r="D393" s="3" t="s">
        <v>2196</v>
      </c>
      <c r="E393" s="11" t="s">
        <v>149</v>
      </c>
      <c r="F393" s="11"/>
      <c r="G393" s="9"/>
      <c r="H393" s="11"/>
      <c r="I393" s="11"/>
      <c r="J393" s="3" t="str">
        <f t="shared" si="29"/>
        <v>0620009</v>
      </c>
    </row>
    <row r="394" spans="2:10" s="3" customFormat="1">
      <c r="B394" s="3" t="s">
        <v>2093</v>
      </c>
      <c r="C394" s="8">
        <v>2</v>
      </c>
      <c r="D394" s="3" t="s">
        <v>2196</v>
      </c>
      <c r="E394" s="11" t="s">
        <v>10</v>
      </c>
      <c r="F394" s="10">
        <v>4.1800000000000002E-4</v>
      </c>
      <c r="G394" s="12">
        <f>ROUND(G$3*F394,0)</f>
        <v>120</v>
      </c>
      <c r="H394" s="13">
        <f>ROUND(G394/2,0)</f>
        <v>60</v>
      </c>
      <c r="I394" s="12">
        <f>G394-H394</f>
        <v>60</v>
      </c>
      <c r="J394" s="3" t="str">
        <f t="shared" si="29"/>
        <v>0620009</v>
      </c>
    </row>
    <row r="395" spans="2:10" s="3" customFormat="1">
      <c r="B395" s="3" t="s">
        <v>2093</v>
      </c>
      <c r="C395" s="8">
        <v>2</v>
      </c>
      <c r="D395" s="3" t="s">
        <v>2196</v>
      </c>
      <c r="E395" s="11" t="s">
        <v>11</v>
      </c>
      <c r="F395" s="10">
        <v>3.7500000000000001E-4</v>
      </c>
      <c r="G395" s="12">
        <f>ROUND(G$3*F395,0)</f>
        <v>108</v>
      </c>
      <c r="H395" s="13">
        <f>ROUND(G395/2,0)</f>
        <v>54</v>
      </c>
      <c r="I395" s="12">
        <f>G395-H395</f>
        <v>54</v>
      </c>
      <c r="J395" s="3" t="str">
        <f t="shared" si="29"/>
        <v>0620009</v>
      </c>
    </row>
    <row r="396" spans="2:10" s="128" customFormat="1">
      <c r="B396" s="128" t="s">
        <v>2093</v>
      </c>
      <c r="C396" s="129">
        <v>2</v>
      </c>
      <c r="D396" s="128" t="s">
        <v>6267</v>
      </c>
      <c r="E396" s="131" t="s">
        <v>20</v>
      </c>
      <c r="F396" s="131"/>
      <c r="G396" s="132"/>
      <c r="H396" s="131"/>
      <c r="I396" s="131"/>
      <c r="J396" s="128" t="str">
        <f t="shared" si="29"/>
        <v>062XXXX</v>
      </c>
    </row>
    <row r="397" spans="2:10" s="128" customFormat="1">
      <c r="B397" s="128" t="s">
        <v>2093</v>
      </c>
      <c r="C397" s="129">
        <v>2</v>
      </c>
      <c r="D397" s="128" t="s">
        <v>6267</v>
      </c>
      <c r="E397" s="131" t="s">
        <v>10</v>
      </c>
      <c r="F397" s="133">
        <v>3.6600000000000001E-4</v>
      </c>
      <c r="G397" s="134">
        <f>ROUND(G$3*F397,0)</f>
        <v>105</v>
      </c>
      <c r="H397" s="135">
        <f>ROUND(G397/2,0)</f>
        <v>53</v>
      </c>
      <c r="I397" s="134">
        <f>G397-H397</f>
        <v>52</v>
      </c>
      <c r="J397" s="128" t="str">
        <f t="shared" si="29"/>
        <v>062XXXX</v>
      </c>
    </row>
    <row r="398" spans="2:10" s="128" customFormat="1">
      <c r="B398" s="128" t="s">
        <v>2093</v>
      </c>
      <c r="C398" s="129">
        <v>2</v>
      </c>
      <c r="D398" s="128" t="s">
        <v>6267</v>
      </c>
      <c r="E398" s="131" t="s">
        <v>11</v>
      </c>
      <c r="F398" s="133">
        <v>1.4799999999999999E-4</v>
      </c>
      <c r="G398" s="134">
        <f>ROUND(G$3*F398,0)</f>
        <v>43</v>
      </c>
      <c r="H398" s="135">
        <f>ROUND(G398/2,0)</f>
        <v>22</v>
      </c>
      <c r="I398" s="134">
        <f>G398-H398</f>
        <v>21</v>
      </c>
      <c r="J398" s="128" t="str">
        <f t="shared" si="29"/>
        <v>062XXXX</v>
      </c>
    </row>
    <row r="399" spans="2:10" s="3" customFormat="1">
      <c r="B399" s="3" t="s">
        <v>2093</v>
      </c>
      <c r="C399" s="8">
        <v>2</v>
      </c>
      <c r="D399" s="3" t="s">
        <v>2198</v>
      </c>
      <c r="E399" s="11" t="s">
        <v>22</v>
      </c>
      <c r="F399" s="11"/>
      <c r="G399" s="9"/>
      <c r="H399" s="11"/>
      <c r="I399" s="11"/>
      <c r="J399" s="3" t="str">
        <f t="shared" si="29"/>
        <v>0620011</v>
      </c>
    </row>
    <row r="400" spans="2:10" s="3" customFormat="1">
      <c r="B400" s="3" t="s">
        <v>2093</v>
      </c>
      <c r="C400" s="8">
        <v>2</v>
      </c>
      <c r="D400" s="3" t="s">
        <v>2198</v>
      </c>
      <c r="E400" s="11" t="s">
        <v>10</v>
      </c>
      <c r="F400" s="10">
        <v>4.28E-4</v>
      </c>
      <c r="G400" s="12">
        <f>ROUND(G$3*F400,0)</f>
        <v>123</v>
      </c>
      <c r="H400" s="13">
        <f>ROUND(G400/2,0)</f>
        <v>62</v>
      </c>
      <c r="I400" s="12">
        <f>G400-H400</f>
        <v>61</v>
      </c>
      <c r="J400" s="3" t="str">
        <f t="shared" si="29"/>
        <v>0620011</v>
      </c>
    </row>
    <row r="401" spans="1:10" s="3" customFormat="1">
      <c r="B401" s="3" t="s">
        <v>2093</v>
      </c>
      <c r="C401" s="8">
        <v>2</v>
      </c>
      <c r="D401" s="3" t="s">
        <v>2198</v>
      </c>
      <c r="E401" s="11" t="s">
        <v>11</v>
      </c>
      <c r="F401" s="10">
        <v>1.9100000000000001E-4</v>
      </c>
      <c r="G401" s="12">
        <f>ROUND(G$3*F401,0)</f>
        <v>55</v>
      </c>
      <c r="H401" s="13">
        <f>ROUND(G401/2,0)</f>
        <v>28</v>
      </c>
      <c r="I401" s="12">
        <f>G401-H401</f>
        <v>27</v>
      </c>
      <c r="J401" s="3" t="str">
        <f t="shared" si="29"/>
        <v>0620011</v>
      </c>
    </row>
    <row r="402" spans="1:10" s="3" customFormat="1">
      <c r="B402" s="3" t="s">
        <v>2093</v>
      </c>
      <c r="C402" s="8">
        <v>2</v>
      </c>
      <c r="D402" s="3" t="s">
        <v>2199</v>
      </c>
      <c r="E402" s="11" t="s">
        <v>150</v>
      </c>
      <c r="F402" s="11"/>
      <c r="G402" s="9"/>
      <c r="H402" s="11"/>
      <c r="I402" s="11"/>
      <c r="J402" s="3" t="str">
        <f t="shared" si="29"/>
        <v>0620012</v>
      </c>
    </row>
    <row r="403" spans="1:10" s="3" customFormat="1">
      <c r="B403" s="3" t="s">
        <v>2093</v>
      </c>
      <c r="C403" s="8">
        <v>2</v>
      </c>
      <c r="D403" s="3" t="s">
        <v>2199</v>
      </c>
      <c r="E403" s="11" t="s">
        <v>10</v>
      </c>
      <c r="F403" s="10">
        <v>6.0999999999999999E-5</v>
      </c>
      <c r="G403" s="12">
        <f t="shared" ref="G403:G412" si="30">ROUND(G$3*F403,0)</f>
        <v>18</v>
      </c>
      <c r="H403" s="13">
        <f t="shared" ref="H403:H412" si="31">ROUND(G403/2,0)</f>
        <v>9</v>
      </c>
      <c r="I403" s="12">
        <f t="shared" ref="I403:I412" si="32">G403-H403</f>
        <v>9</v>
      </c>
      <c r="J403" s="3" t="str">
        <f t="shared" si="29"/>
        <v>0620012</v>
      </c>
    </row>
    <row r="404" spans="1:10" s="3" customFormat="1">
      <c r="B404" s="3" t="s">
        <v>2093</v>
      </c>
      <c r="C404" s="8">
        <v>2</v>
      </c>
      <c r="D404" s="3" t="s">
        <v>2199</v>
      </c>
      <c r="E404" s="11" t="s">
        <v>11</v>
      </c>
      <c r="F404" s="10">
        <v>1.01E-4</v>
      </c>
      <c r="G404" s="12">
        <f t="shared" si="30"/>
        <v>29</v>
      </c>
      <c r="H404" s="13">
        <f t="shared" si="31"/>
        <v>15</v>
      </c>
      <c r="I404" s="12">
        <f t="shared" si="32"/>
        <v>14</v>
      </c>
      <c r="J404" s="3" t="str">
        <f t="shared" si="29"/>
        <v>0620012</v>
      </c>
    </row>
    <row r="405" spans="1:10" s="3" customFormat="1">
      <c r="B405" s="3" t="s">
        <v>2093</v>
      </c>
      <c r="C405" s="8">
        <v>3</v>
      </c>
      <c r="D405" s="3" t="s">
        <v>2258</v>
      </c>
      <c r="E405" s="11" t="s">
        <v>151</v>
      </c>
      <c r="F405" s="10">
        <v>9.4700000000000003E-4</v>
      </c>
      <c r="G405" s="12">
        <f t="shared" si="30"/>
        <v>272</v>
      </c>
      <c r="H405" s="13">
        <f t="shared" si="31"/>
        <v>136</v>
      </c>
      <c r="I405" s="12">
        <f t="shared" si="32"/>
        <v>136</v>
      </c>
      <c r="J405" s="3" t="str">
        <f t="shared" si="29"/>
        <v>0630536</v>
      </c>
    </row>
    <row r="406" spans="1:10" s="3" customFormat="1">
      <c r="B406" s="3" t="s">
        <v>2093</v>
      </c>
      <c r="C406" s="8">
        <v>3</v>
      </c>
      <c r="D406" s="3" t="s">
        <v>2259</v>
      </c>
      <c r="E406" s="11" t="s">
        <v>152</v>
      </c>
      <c r="F406" s="10">
        <v>2.3800000000000001E-4</v>
      </c>
      <c r="G406" s="12">
        <f t="shared" si="30"/>
        <v>68</v>
      </c>
      <c r="H406" s="13">
        <f t="shared" si="31"/>
        <v>34</v>
      </c>
      <c r="I406" s="12">
        <f t="shared" si="32"/>
        <v>34</v>
      </c>
      <c r="J406" s="3" t="str">
        <f t="shared" si="29"/>
        <v>0630537</v>
      </c>
    </row>
    <row r="407" spans="1:10" s="3" customFormat="1">
      <c r="B407" s="3" t="s">
        <v>2093</v>
      </c>
      <c r="C407" s="8">
        <v>3</v>
      </c>
      <c r="D407" s="3" t="s">
        <v>2257</v>
      </c>
      <c r="E407" s="11" t="s">
        <v>153</v>
      </c>
      <c r="F407" s="10">
        <v>3.073E-2</v>
      </c>
      <c r="G407" s="12">
        <f t="shared" si="30"/>
        <v>8842</v>
      </c>
      <c r="H407" s="13">
        <f t="shared" si="31"/>
        <v>4421</v>
      </c>
      <c r="I407" s="12">
        <f t="shared" si="32"/>
        <v>4421</v>
      </c>
      <c r="J407" s="3" t="str">
        <f t="shared" si="29"/>
        <v>0630402</v>
      </c>
    </row>
    <row r="408" spans="1:10" s="3" customFormat="1">
      <c r="B408" s="3" t="s">
        <v>2093</v>
      </c>
      <c r="C408" s="8">
        <v>3</v>
      </c>
      <c r="D408" s="3" t="s">
        <v>2260</v>
      </c>
      <c r="E408" s="11" t="s">
        <v>154</v>
      </c>
      <c r="F408" s="10">
        <v>1.7100000000000001E-4</v>
      </c>
      <c r="G408" s="12">
        <f t="shared" si="30"/>
        <v>49</v>
      </c>
      <c r="H408" s="13">
        <f t="shared" si="31"/>
        <v>25</v>
      </c>
      <c r="I408" s="12">
        <f t="shared" si="32"/>
        <v>24</v>
      </c>
      <c r="J408" s="3" t="str">
        <f t="shared" si="29"/>
        <v>0630538</v>
      </c>
    </row>
    <row r="409" spans="1:10" s="3" customFormat="1">
      <c r="A409" s="3" t="s">
        <v>6269</v>
      </c>
      <c r="B409" s="3" t="s">
        <v>2093</v>
      </c>
      <c r="C409" s="8">
        <v>3</v>
      </c>
      <c r="D409" s="3" t="s">
        <v>2261</v>
      </c>
      <c r="E409" s="11" t="s">
        <v>155</v>
      </c>
      <c r="F409" s="10">
        <v>0</v>
      </c>
      <c r="G409" s="12">
        <f t="shared" si="30"/>
        <v>0</v>
      </c>
      <c r="H409" s="13">
        <f t="shared" si="31"/>
        <v>0</v>
      </c>
      <c r="I409" s="12">
        <f t="shared" si="32"/>
        <v>0</v>
      </c>
      <c r="J409" s="3" t="str">
        <f t="shared" si="29"/>
        <v>0630539</v>
      </c>
    </row>
    <row r="410" spans="1:10" s="3" customFormat="1">
      <c r="B410" s="3" t="s">
        <v>2093</v>
      </c>
      <c r="C410" s="8">
        <v>3</v>
      </c>
      <c r="D410" s="3" t="s">
        <v>2262</v>
      </c>
      <c r="E410" s="11" t="s">
        <v>156</v>
      </c>
      <c r="F410" s="10">
        <v>2.3969999999999998E-3</v>
      </c>
      <c r="G410" s="12">
        <f t="shared" si="30"/>
        <v>690</v>
      </c>
      <c r="H410" s="13">
        <f t="shared" si="31"/>
        <v>345</v>
      </c>
      <c r="I410" s="12">
        <f t="shared" si="32"/>
        <v>345</v>
      </c>
      <c r="J410" s="3" t="str">
        <f t="shared" si="29"/>
        <v>0630540</v>
      </c>
    </row>
    <row r="411" spans="1:10" s="3" customFormat="1">
      <c r="B411" s="3" t="s">
        <v>2093</v>
      </c>
      <c r="C411" s="8">
        <v>3</v>
      </c>
      <c r="D411" s="3" t="s">
        <v>2263</v>
      </c>
      <c r="E411" s="11" t="s">
        <v>157</v>
      </c>
      <c r="F411" s="10">
        <v>1.2015E-2</v>
      </c>
      <c r="G411" s="12">
        <f t="shared" si="30"/>
        <v>3457</v>
      </c>
      <c r="H411" s="13">
        <f t="shared" si="31"/>
        <v>1729</v>
      </c>
      <c r="I411" s="12">
        <f t="shared" si="32"/>
        <v>1728</v>
      </c>
      <c r="J411" s="3" t="str">
        <f t="shared" si="29"/>
        <v>0630541</v>
      </c>
    </row>
    <row r="412" spans="1:10" s="128" customFormat="1" ht="15.75">
      <c r="B412" s="128" t="s">
        <v>2093</v>
      </c>
      <c r="C412" s="129">
        <v>4</v>
      </c>
      <c r="D412" t="s">
        <v>2265</v>
      </c>
      <c r="E412" s="131" t="s">
        <v>158</v>
      </c>
      <c r="F412" s="133">
        <v>0.145348</v>
      </c>
      <c r="G412" s="132">
        <f t="shared" si="30"/>
        <v>41820</v>
      </c>
      <c r="H412" s="131">
        <f t="shared" si="31"/>
        <v>20910</v>
      </c>
      <c r="I412" s="132">
        <f t="shared" si="32"/>
        <v>20910</v>
      </c>
      <c r="J412" s="128" t="str">
        <f t="shared" si="29"/>
        <v>0640630</v>
      </c>
    </row>
    <row r="413" spans="1:10" s="3" customFormat="1" ht="15.75">
      <c r="B413" s="3" t="s">
        <v>2093</v>
      </c>
      <c r="C413" s="8">
        <v>4</v>
      </c>
      <c r="D413" t="s">
        <v>2265</v>
      </c>
      <c r="E413" s="11" t="s">
        <v>28</v>
      </c>
      <c r="F413" s="11"/>
      <c r="G413" s="14">
        <v>0.43420599999999998</v>
      </c>
      <c r="H413" s="11"/>
      <c r="I413" s="11"/>
      <c r="J413" s="3" t="str">
        <f t="shared" si="29"/>
        <v>0640630</v>
      </c>
    </row>
    <row r="414" spans="1:10" s="3" customFormat="1" ht="15.75">
      <c r="B414" s="3" t="s">
        <v>2093</v>
      </c>
      <c r="C414" s="8">
        <v>4</v>
      </c>
      <c r="D414" t="s">
        <v>2265</v>
      </c>
      <c r="E414" s="11" t="s">
        <v>29</v>
      </c>
      <c r="F414" s="11"/>
      <c r="G414" s="15">
        <f>ROUND(G412*G413,0)</f>
        <v>18158</v>
      </c>
      <c r="H414" s="16">
        <f>ROUND(G414/2,0)</f>
        <v>9079</v>
      </c>
      <c r="I414" s="15">
        <f>G414-H414</f>
        <v>9079</v>
      </c>
      <c r="J414" s="3" t="str">
        <f t="shared" si="29"/>
        <v>0640630</v>
      </c>
    </row>
    <row r="415" spans="1:10" s="3" customFormat="1" ht="15.75">
      <c r="B415" s="3" t="s">
        <v>2093</v>
      </c>
      <c r="C415" s="8">
        <v>4</v>
      </c>
      <c r="D415" t="s">
        <v>2265</v>
      </c>
      <c r="E415" s="11" t="s">
        <v>30</v>
      </c>
      <c r="F415" s="11"/>
      <c r="G415" s="12">
        <f>+G412-G414</f>
        <v>23662</v>
      </c>
      <c r="H415" s="13">
        <f>ROUND(G415/2,0)</f>
        <v>11831</v>
      </c>
      <c r="I415" s="12">
        <f>G415-H415</f>
        <v>11831</v>
      </c>
      <c r="J415" s="3" t="str">
        <f t="shared" si="29"/>
        <v>0640630</v>
      </c>
    </row>
    <row r="416" spans="1:10" s="3" customFormat="1">
      <c r="B416" s="3" t="s">
        <v>2093</v>
      </c>
      <c r="C416" s="8">
        <v>4</v>
      </c>
      <c r="D416" s="3" t="s">
        <v>2266</v>
      </c>
      <c r="E416" s="11" t="s">
        <v>159</v>
      </c>
      <c r="F416" s="10">
        <v>0.48934100000000003</v>
      </c>
      <c r="G416" s="9">
        <f>ROUND(G$3*F416,0)</f>
        <v>140795</v>
      </c>
      <c r="H416" s="11">
        <f>ROUND(G416/2,0)</f>
        <v>70398</v>
      </c>
      <c r="I416" s="9">
        <f>G416-H416</f>
        <v>70397</v>
      </c>
      <c r="J416" s="3" t="str">
        <f t="shared" si="29"/>
        <v>0640665</v>
      </c>
    </row>
    <row r="417" spans="1:10" s="3" customFormat="1">
      <c r="B417" s="3" t="s">
        <v>2093</v>
      </c>
      <c r="C417" s="8">
        <v>4</v>
      </c>
      <c r="D417" s="3" t="s">
        <v>2266</v>
      </c>
      <c r="E417" s="11" t="s">
        <v>28</v>
      </c>
      <c r="F417" s="11"/>
      <c r="G417" s="14">
        <v>0.385326</v>
      </c>
      <c r="H417" s="11"/>
      <c r="I417" s="11"/>
      <c r="J417" s="3" t="str">
        <f t="shared" si="29"/>
        <v>0640665</v>
      </c>
    </row>
    <row r="418" spans="1:10" s="3" customFormat="1">
      <c r="B418" s="3" t="s">
        <v>2093</v>
      </c>
      <c r="C418" s="8">
        <v>4</v>
      </c>
      <c r="D418" s="3" t="s">
        <v>2266</v>
      </c>
      <c r="E418" s="11" t="s">
        <v>29</v>
      </c>
      <c r="F418" s="11"/>
      <c r="G418" s="15">
        <f>ROUND(G416*G417,0)</f>
        <v>54252</v>
      </c>
      <c r="H418" s="16">
        <f>ROUND(G418/2,0)</f>
        <v>27126</v>
      </c>
      <c r="I418" s="15">
        <f>G418-H418</f>
        <v>27126</v>
      </c>
      <c r="J418" s="3" t="str">
        <f t="shared" si="29"/>
        <v>0640665</v>
      </c>
    </row>
    <row r="419" spans="1:10" s="3" customFormat="1">
      <c r="B419" s="3" t="s">
        <v>2093</v>
      </c>
      <c r="C419" s="8">
        <v>4</v>
      </c>
      <c r="D419" s="3" t="s">
        <v>2266</v>
      </c>
      <c r="E419" s="11" t="s">
        <v>30</v>
      </c>
      <c r="F419" s="11"/>
      <c r="G419" s="12">
        <f>+G416-G418</f>
        <v>86543</v>
      </c>
      <c r="H419" s="13">
        <f>ROUND(G419/2,0)</f>
        <v>43272</v>
      </c>
      <c r="I419" s="12">
        <f>G419-H419</f>
        <v>43271</v>
      </c>
      <c r="J419" s="3" t="str">
        <f t="shared" si="29"/>
        <v>0640665</v>
      </c>
    </row>
    <row r="420" spans="1:10" s="128" customFormat="1" ht="15.75">
      <c r="B420" s="128" t="s">
        <v>2093</v>
      </c>
      <c r="C420" s="129">
        <v>4</v>
      </c>
      <c r="D420" t="s">
        <v>3327</v>
      </c>
      <c r="E420" s="131" t="s">
        <v>160</v>
      </c>
      <c r="F420" s="133">
        <v>2.0445000000000001E-2</v>
      </c>
      <c r="G420" s="132">
        <f>ROUND(G$3*F420,0)</f>
        <v>5882</v>
      </c>
      <c r="H420" s="131">
        <f>ROUND(G420/2,0)</f>
        <v>2941</v>
      </c>
      <c r="I420" s="132">
        <f>G420-H420</f>
        <v>2941</v>
      </c>
      <c r="J420" s="128" t="str">
        <f t="shared" si="29"/>
        <v>0643055</v>
      </c>
    </row>
    <row r="421" spans="1:10" s="3" customFormat="1" ht="15.75">
      <c r="B421" s="3" t="s">
        <v>2093</v>
      </c>
      <c r="C421" s="8">
        <v>4</v>
      </c>
      <c r="D421" t="s">
        <v>3327</v>
      </c>
      <c r="E421" s="11" t="s">
        <v>28</v>
      </c>
      <c r="F421" s="11"/>
      <c r="G421" s="14">
        <v>0.49457099999999998</v>
      </c>
      <c r="H421" s="11"/>
      <c r="I421" s="11"/>
      <c r="J421" s="3" t="str">
        <f t="shared" si="29"/>
        <v>0643055</v>
      </c>
    </row>
    <row r="422" spans="1:10" s="3" customFormat="1" ht="15.75">
      <c r="B422" s="3" t="s">
        <v>2093</v>
      </c>
      <c r="C422" s="8">
        <v>4</v>
      </c>
      <c r="D422" t="s">
        <v>3327</v>
      </c>
      <c r="E422" s="11" t="s">
        <v>29</v>
      </c>
      <c r="F422" s="11"/>
      <c r="G422" s="15">
        <f>ROUND(G420*G421,0)</f>
        <v>2909</v>
      </c>
      <c r="H422" s="16">
        <f>ROUND(G422/2,0)</f>
        <v>1455</v>
      </c>
      <c r="I422" s="15">
        <f>G422-H422</f>
        <v>1454</v>
      </c>
      <c r="J422" s="3" t="str">
        <f t="shared" si="29"/>
        <v>0643055</v>
      </c>
    </row>
    <row r="423" spans="1:10" s="3" customFormat="1" ht="15.75">
      <c r="B423" s="3" t="s">
        <v>2093</v>
      </c>
      <c r="C423" s="8">
        <v>4</v>
      </c>
      <c r="D423" t="s">
        <v>3327</v>
      </c>
      <c r="E423" s="11" t="s">
        <v>30</v>
      </c>
      <c r="F423" s="11"/>
      <c r="G423" s="12">
        <f>+G420-G422</f>
        <v>2973</v>
      </c>
      <c r="H423" s="13">
        <f>ROUND(G423/2,0)</f>
        <v>1487</v>
      </c>
      <c r="I423" s="12">
        <f>G423-H423</f>
        <v>1486</v>
      </c>
      <c r="J423" s="3" t="str">
        <f t="shared" si="29"/>
        <v>0643055</v>
      </c>
    </row>
    <row r="424" spans="1:10" s="3" customFormat="1">
      <c r="B424" s="3" t="s">
        <v>2093</v>
      </c>
      <c r="C424" s="8">
        <v>4</v>
      </c>
      <c r="D424" s="3" t="s">
        <v>2264</v>
      </c>
      <c r="E424" s="11" t="s">
        <v>161</v>
      </c>
      <c r="F424" s="10">
        <v>9.9436999999999998E-2</v>
      </c>
      <c r="G424" s="9">
        <f>ROUND(G$3*F424,0)</f>
        <v>28610</v>
      </c>
      <c r="H424" s="11">
        <f>ROUND(G424/2,0)</f>
        <v>14305</v>
      </c>
      <c r="I424" s="9">
        <f>G424-H424</f>
        <v>14305</v>
      </c>
      <c r="J424" s="3" t="str">
        <f t="shared" si="29"/>
        <v>0640615</v>
      </c>
    </row>
    <row r="425" spans="1:10" s="3" customFormat="1">
      <c r="B425" s="3" t="s">
        <v>2093</v>
      </c>
      <c r="C425" s="8">
        <v>4</v>
      </c>
      <c r="D425" s="3" t="s">
        <v>2264</v>
      </c>
      <c r="E425" s="11" t="s">
        <v>28</v>
      </c>
      <c r="F425" s="11"/>
      <c r="G425" s="14">
        <v>0.43268299999999998</v>
      </c>
      <c r="H425" s="11"/>
      <c r="I425" s="11"/>
      <c r="J425" s="3" t="str">
        <f t="shared" si="29"/>
        <v>0640615</v>
      </c>
    </row>
    <row r="426" spans="1:10" s="3" customFormat="1">
      <c r="B426" s="3" t="s">
        <v>2093</v>
      </c>
      <c r="C426" s="8">
        <v>4</v>
      </c>
      <c r="D426" s="3" t="s">
        <v>2264</v>
      </c>
      <c r="E426" s="11" t="s">
        <v>29</v>
      </c>
      <c r="F426" s="11"/>
      <c r="G426" s="15">
        <f>ROUND(G424*G425,0)</f>
        <v>12379</v>
      </c>
      <c r="H426" s="16">
        <f t="shared" ref="H426:H431" si="33">ROUND(G426/2,0)</f>
        <v>6190</v>
      </c>
      <c r="I426" s="15">
        <f t="shared" ref="I426:I431" si="34">G426-H426</f>
        <v>6189</v>
      </c>
      <c r="J426" s="3" t="str">
        <f t="shared" si="29"/>
        <v>0640615</v>
      </c>
    </row>
    <row r="427" spans="1:10" s="3" customFormat="1">
      <c r="B427" s="3" t="s">
        <v>2093</v>
      </c>
      <c r="C427" s="8">
        <v>4</v>
      </c>
      <c r="D427" s="3" t="s">
        <v>2264</v>
      </c>
      <c r="E427" s="11" t="s">
        <v>30</v>
      </c>
      <c r="F427" s="11"/>
      <c r="G427" s="12">
        <f>+G424-G426</f>
        <v>16231</v>
      </c>
      <c r="H427" s="13">
        <f t="shared" si="33"/>
        <v>8116</v>
      </c>
      <c r="I427" s="12">
        <f t="shared" si="34"/>
        <v>8115</v>
      </c>
      <c r="J427" s="3" t="str">
        <f t="shared" si="29"/>
        <v>0640615</v>
      </c>
    </row>
    <row r="428" spans="1:10" s="3" customFormat="1">
      <c r="B428" s="3" t="s">
        <v>2093</v>
      </c>
      <c r="C428" s="8">
        <v>5</v>
      </c>
      <c r="D428" s="3" t="s">
        <v>2267</v>
      </c>
      <c r="E428" s="11" t="s">
        <v>162</v>
      </c>
      <c r="F428" s="10">
        <v>7.7279999999999996E-3</v>
      </c>
      <c r="G428" s="120">
        <f>ROUND(G$3*F428,0)</f>
        <v>2224</v>
      </c>
      <c r="H428" s="120">
        <f t="shared" si="33"/>
        <v>1112</v>
      </c>
      <c r="I428" s="120">
        <f t="shared" si="34"/>
        <v>1112</v>
      </c>
      <c r="J428" s="3" t="str">
        <f t="shared" si="29"/>
        <v>0650296</v>
      </c>
    </row>
    <row r="429" spans="1:10" s="3" customFormat="1">
      <c r="B429" s="3" t="s">
        <v>2093</v>
      </c>
      <c r="C429" s="8">
        <v>5</v>
      </c>
      <c r="D429" s="3" t="s">
        <v>2204</v>
      </c>
      <c r="E429" s="11" t="s">
        <v>163</v>
      </c>
      <c r="F429" s="10">
        <v>7.2009999999999999E-3</v>
      </c>
      <c r="G429" s="120">
        <f>ROUND(G$3*F429,0)</f>
        <v>2072</v>
      </c>
      <c r="H429" s="120">
        <f t="shared" si="33"/>
        <v>1036</v>
      </c>
      <c r="I429" s="120">
        <f t="shared" si="34"/>
        <v>1036</v>
      </c>
      <c r="J429" s="3" t="str">
        <f t="shared" si="29"/>
        <v>0650015</v>
      </c>
    </row>
    <row r="430" spans="1:10" s="3" customFormat="1">
      <c r="B430" s="3" t="s">
        <v>2093</v>
      </c>
      <c r="C430" s="8">
        <v>5</v>
      </c>
      <c r="D430" s="3" t="s">
        <v>2210</v>
      </c>
      <c r="E430" s="11" t="s">
        <v>164</v>
      </c>
      <c r="F430" s="10">
        <v>3.9609999999998813E-3</v>
      </c>
      <c r="G430" s="120">
        <f>+G363-SUM(G364:G365)-SUM(G370:G412)-G416-G420-G424-SUM(G428:G429)</f>
        <v>218625</v>
      </c>
      <c r="H430" s="120">
        <f t="shared" si="33"/>
        <v>109313</v>
      </c>
      <c r="I430" s="120">
        <f t="shared" si="34"/>
        <v>109312</v>
      </c>
      <c r="J430" s="3" t="str">
        <f t="shared" si="29"/>
        <v>0650016</v>
      </c>
    </row>
    <row r="431" spans="1:10" s="3" customFormat="1">
      <c r="A431" s="3" t="s">
        <v>6269</v>
      </c>
      <c r="B431" s="3" t="s">
        <v>2093</v>
      </c>
      <c r="C431" s="8">
        <v>6</v>
      </c>
      <c r="D431" s="3" t="s">
        <v>6267</v>
      </c>
      <c r="E431" s="11" t="s">
        <v>165</v>
      </c>
      <c r="F431" s="10">
        <v>0</v>
      </c>
      <c r="G431" s="12">
        <f>ROUND(G$3*F431,0)</f>
        <v>0</v>
      </c>
      <c r="H431" s="13">
        <f t="shared" si="33"/>
        <v>0</v>
      </c>
      <c r="I431" s="12">
        <f t="shared" si="34"/>
        <v>0</v>
      </c>
      <c r="J431" s="3" t="str">
        <f t="shared" si="29"/>
        <v>066XXXX</v>
      </c>
    </row>
    <row r="432" spans="1:10" s="3" customFormat="1">
      <c r="B432" s="3" t="s">
        <v>2093</v>
      </c>
      <c r="C432" s="8">
        <v>0</v>
      </c>
      <c r="D432" s="125" t="s">
        <v>2187</v>
      </c>
      <c r="E432" s="28" t="s">
        <v>37</v>
      </c>
      <c r="F432" s="10">
        <v>1</v>
      </c>
      <c r="G432" s="12">
        <f>+G364+SUM(G367:G411)+G414+G415+G418+G419+G422+G423+G426+G427+G428+G429+G430+G431</f>
        <v>505208</v>
      </c>
      <c r="H432" s="12">
        <f>+H364+SUM(H367:H411)+H414+H415+H418+H419+H422+H423+H426+H427+H428+H429+H430+H431</f>
        <v>252613</v>
      </c>
      <c r="I432" s="12">
        <f>+I364+SUM(I367:I411)+I414+I415+I418+I419+I422+I423+I426+I427+I428+I429+I430+I431</f>
        <v>252595</v>
      </c>
      <c r="J432" s="3" t="str">
        <f t="shared" si="29"/>
        <v>0600000</v>
      </c>
    </row>
    <row r="433" spans="2:10" s="3" customFormat="1">
      <c r="B433" s="3" t="s">
        <v>2093</v>
      </c>
      <c r="C433" s="8">
        <v>0</v>
      </c>
      <c r="D433" s="3" t="s">
        <v>2187</v>
      </c>
      <c r="E433" s="18" t="s">
        <v>38</v>
      </c>
      <c r="G433" s="19">
        <f>+G364</f>
        <v>350</v>
      </c>
      <c r="H433" s="19">
        <f>+H364</f>
        <v>175</v>
      </c>
      <c r="I433" s="19">
        <f>+I364</f>
        <v>175</v>
      </c>
      <c r="J433" s="3" t="str">
        <f t="shared" si="29"/>
        <v>0600000</v>
      </c>
    </row>
    <row r="434" spans="2:10" s="3" customFormat="1">
      <c r="B434" s="3" t="s">
        <v>2093</v>
      </c>
      <c r="C434" s="8">
        <v>0</v>
      </c>
      <c r="D434" s="3" t="s">
        <v>2187</v>
      </c>
      <c r="E434" s="2" t="s">
        <v>39</v>
      </c>
      <c r="G434" s="19">
        <f>+G367</f>
        <v>9864</v>
      </c>
      <c r="H434" s="19">
        <f>+H367</f>
        <v>4932</v>
      </c>
      <c r="I434" s="19">
        <f>+I367</f>
        <v>4932</v>
      </c>
      <c r="J434" s="3" t="str">
        <f t="shared" si="29"/>
        <v>0600000</v>
      </c>
    </row>
    <row r="435" spans="2:10" s="3" customFormat="1">
      <c r="B435" s="3" t="s">
        <v>2093</v>
      </c>
      <c r="C435" s="8">
        <v>0</v>
      </c>
      <c r="D435" s="3" t="s">
        <v>2187</v>
      </c>
      <c r="E435" s="2" t="s">
        <v>40</v>
      </c>
      <c r="G435" s="19">
        <f>+G414+G418+G422+G426</f>
        <v>87698</v>
      </c>
      <c r="H435" s="19">
        <f>+H414+H418+H422+H426</f>
        <v>43850</v>
      </c>
      <c r="I435" s="19">
        <f>+I414+I418+I422+I426</f>
        <v>43848</v>
      </c>
      <c r="J435" s="3" t="str">
        <f t="shared" si="29"/>
        <v>0600000</v>
      </c>
    </row>
    <row r="436" spans="2:10" s="3" customFormat="1">
      <c r="B436" s="3" t="s">
        <v>2093</v>
      </c>
      <c r="C436" s="8">
        <v>0</v>
      </c>
      <c r="D436" s="125" t="s">
        <v>2187</v>
      </c>
      <c r="E436" s="18" t="s">
        <v>41</v>
      </c>
      <c r="G436" s="19">
        <f>+G432-G433-G434-G435</f>
        <v>407296</v>
      </c>
      <c r="H436" s="19">
        <f>+H432-H433-H434-H435</f>
        <v>203656</v>
      </c>
      <c r="I436" s="19">
        <f>+I432-I433-I434-I435</f>
        <v>203640</v>
      </c>
      <c r="J436" s="3" t="str">
        <f t="shared" si="29"/>
        <v>0600000</v>
      </c>
    </row>
    <row r="437" spans="2:10" ht="15.75">
      <c r="B437" s="3" t="s">
        <v>2186</v>
      </c>
      <c r="D437" t="s">
        <v>2186</v>
      </c>
      <c r="E437">
        <v>0</v>
      </c>
      <c r="G437"/>
      <c r="H437"/>
      <c r="I437"/>
      <c r="J437" s="3" t="str">
        <f t="shared" si="29"/>
        <v/>
      </c>
    </row>
    <row r="438" spans="2:10" s="3" customFormat="1">
      <c r="D438" s="3" t="s">
        <v>2186</v>
      </c>
      <c r="E438" s="2" t="s">
        <v>166</v>
      </c>
      <c r="J438" s="3" t="str">
        <f t="shared" si="29"/>
        <v/>
      </c>
    </row>
    <row r="439" spans="2:10" s="3" customFormat="1" ht="45.75" customHeight="1">
      <c r="B439" s="3" t="s">
        <v>2186</v>
      </c>
      <c r="C439" s="1"/>
      <c r="D439" s="3" t="s">
        <v>2186</v>
      </c>
      <c r="E439" s="1">
        <v>0</v>
      </c>
      <c r="F439" s="6" t="s">
        <v>1</v>
      </c>
      <c r="G439" s="60">
        <f>'Allocation Worksheet'!H439</f>
        <v>0</v>
      </c>
      <c r="H439" s="60">
        <f>'Allocation Worksheet'!H440</f>
        <v>0</v>
      </c>
      <c r="I439" s="60">
        <f>'Allocation Worksheet'!H441</f>
        <v>0</v>
      </c>
      <c r="J439" s="3" t="str">
        <f t="shared" si="29"/>
        <v/>
      </c>
    </row>
    <row r="440" spans="2:10" s="3" customFormat="1">
      <c r="C440" s="7" t="s">
        <v>2087</v>
      </c>
      <c r="D440" s="3" t="s">
        <v>2186</v>
      </c>
      <c r="E440" s="7" t="s">
        <v>3</v>
      </c>
      <c r="F440" s="10"/>
      <c r="G440" s="9">
        <f>'Allocation Worksheet'!$D$10</f>
        <v>148145</v>
      </c>
      <c r="H440" s="11"/>
      <c r="I440" s="11"/>
      <c r="J440" s="3" t="str">
        <f t="shared" si="29"/>
        <v>UT</v>
      </c>
    </row>
    <row r="441" spans="2:10" s="3" customFormat="1">
      <c r="B441" s="3" t="s">
        <v>2094</v>
      </c>
      <c r="C441" s="8">
        <v>0</v>
      </c>
      <c r="D441" s="3" t="s">
        <v>2187</v>
      </c>
      <c r="E441" s="11" t="s">
        <v>4</v>
      </c>
      <c r="F441" s="10">
        <v>1.4270000000000001E-3</v>
      </c>
      <c r="G441" s="12">
        <f>ROUND(G$3*F441,0)</f>
        <v>411</v>
      </c>
      <c r="H441" s="13">
        <f>ROUND(G441/2,0)</f>
        <v>206</v>
      </c>
      <c r="I441" s="12">
        <f>G441-H441</f>
        <v>205</v>
      </c>
      <c r="J441" s="3" t="str">
        <f t="shared" si="29"/>
        <v>0700000</v>
      </c>
    </row>
    <row r="442" spans="2:10" s="3" customFormat="1">
      <c r="B442" s="3" t="s">
        <v>2094</v>
      </c>
      <c r="C442" s="8">
        <v>1</v>
      </c>
      <c r="D442" s="3" t="s">
        <v>2187</v>
      </c>
      <c r="E442" s="11" t="s">
        <v>167</v>
      </c>
      <c r="F442" s="10">
        <v>0.242421</v>
      </c>
      <c r="G442" s="9">
        <f>ROUND(G$3*F442,0)</f>
        <v>69750</v>
      </c>
      <c r="H442" s="11">
        <f>ROUND(G442/2,0)</f>
        <v>34875</v>
      </c>
      <c r="I442" s="9">
        <f>G442-H442</f>
        <v>34875</v>
      </c>
      <c r="J442" s="3" t="str">
        <f t="shared" si="29"/>
        <v>0710000</v>
      </c>
    </row>
    <row r="443" spans="2:10" s="3" customFormat="1">
      <c r="B443" s="3" t="s">
        <v>2094</v>
      </c>
      <c r="C443" s="8">
        <v>1</v>
      </c>
      <c r="D443" s="3" t="s">
        <v>2187</v>
      </c>
      <c r="E443" s="11" t="s">
        <v>6</v>
      </c>
      <c r="F443" s="11"/>
      <c r="G443" s="14">
        <v>0.14463799999999999</v>
      </c>
      <c r="H443" s="11"/>
      <c r="I443" s="11"/>
      <c r="J443" s="3" t="str">
        <f t="shared" si="29"/>
        <v>0710000</v>
      </c>
    </row>
    <row r="444" spans="2:10" s="3" customFormat="1">
      <c r="B444" s="3" t="s">
        <v>2094</v>
      </c>
      <c r="C444" s="8">
        <v>1</v>
      </c>
      <c r="D444" s="3" t="s">
        <v>2187</v>
      </c>
      <c r="E444" s="11" t="s">
        <v>7</v>
      </c>
      <c r="F444" s="11"/>
      <c r="G444" s="15">
        <f>ROUND(G442*G443,0)</f>
        <v>10089</v>
      </c>
      <c r="H444" s="16">
        <f>ROUND(G444/2,0)</f>
        <v>5045</v>
      </c>
      <c r="I444" s="15">
        <f>G444-H444</f>
        <v>5044</v>
      </c>
      <c r="J444" s="3" t="str">
        <f t="shared" si="29"/>
        <v>0710000</v>
      </c>
    </row>
    <row r="445" spans="2:10" s="3" customFormat="1">
      <c r="B445" s="3" t="s">
        <v>2094</v>
      </c>
      <c r="C445" s="8">
        <v>1</v>
      </c>
      <c r="D445" s="3" t="s">
        <v>2187</v>
      </c>
      <c r="E445" s="11" t="s">
        <v>8</v>
      </c>
      <c r="F445" s="11"/>
      <c r="G445" s="12">
        <f>+G442-G444</f>
        <v>59661</v>
      </c>
      <c r="H445" s="13">
        <f>ROUND(G445/2,0)</f>
        <v>29831</v>
      </c>
      <c r="I445" s="12">
        <f>G445-H445</f>
        <v>29830</v>
      </c>
      <c r="J445" s="3" t="str">
        <f t="shared" si="29"/>
        <v>0710000</v>
      </c>
    </row>
    <row r="446" spans="2:10" s="3" customFormat="1">
      <c r="B446" s="3" t="s">
        <v>2094</v>
      </c>
      <c r="C446" s="8">
        <v>2</v>
      </c>
      <c r="D446" s="3" t="s">
        <v>2188</v>
      </c>
      <c r="E446" s="11" t="s">
        <v>168</v>
      </c>
      <c r="F446" s="11"/>
      <c r="G446" s="9"/>
      <c r="H446" s="11"/>
      <c r="I446" s="11"/>
      <c r="J446" s="3" t="str">
        <f t="shared" si="29"/>
        <v>0720001</v>
      </c>
    </row>
    <row r="447" spans="2:10" s="3" customFormat="1">
      <c r="B447" s="3" t="s">
        <v>2094</v>
      </c>
      <c r="C447" s="8">
        <v>2</v>
      </c>
      <c r="D447" s="3" t="s">
        <v>2188</v>
      </c>
      <c r="E447" s="11" t="s">
        <v>10</v>
      </c>
      <c r="F447" s="10">
        <v>3.0200000000000001E-3</v>
      </c>
      <c r="G447" s="12">
        <f>ROUND(G$3*F447,0)</f>
        <v>869</v>
      </c>
      <c r="H447" s="13">
        <f>ROUND(G447/2,0)</f>
        <v>435</v>
      </c>
      <c r="I447" s="12">
        <f>G447-H447</f>
        <v>434</v>
      </c>
      <c r="J447" s="3" t="str">
        <f t="shared" si="29"/>
        <v>0720001</v>
      </c>
    </row>
    <row r="448" spans="2:10" s="3" customFormat="1">
      <c r="B448" s="3" t="s">
        <v>2094</v>
      </c>
      <c r="C448" s="8">
        <v>2</v>
      </c>
      <c r="D448" s="3" t="s">
        <v>2188</v>
      </c>
      <c r="E448" s="11" t="s">
        <v>11</v>
      </c>
      <c r="F448" s="10">
        <v>9.6000000000000002E-4</v>
      </c>
      <c r="G448" s="12">
        <f>ROUND(G$3*F448,0)</f>
        <v>276</v>
      </c>
      <c r="H448" s="13">
        <f>ROUND(G448/2,0)</f>
        <v>138</v>
      </c>
      <c r="I448" s="12">
        <f>G448-H448</f>
        <v>138</v>
      </c>
      <c r="J448" s="3" t="str">
        <f t="shared" si="29"/>
        <v>0720001</v>
      </c>
    </row>
    <row r="449" spans="2:10" s="3" customFormat="1">
      <c r="B449" s="3" t="s">
        <v>2094</v>
      </c>
      <c r="C449" s="8">
        <v>2</v>
      </c>
      <c r="D449" s="3" t="s">
        <v>2189</v>
      </c>
      <c r="E449" s="11" t="s">
        <v>49</v>
      </c>
      <c r="F449" s="11"/>
      <c r="G449" s="9"/>
      <c r="H449" s="11"/>
      <c r="I449" s="11"/>
      <c r="J449" s="3" t="str">
        <f t="shared" si="29"/>
        <v>0720002</v>
      </c>
    </row>
    <row r="450" spans="2:10" s="3" customFormat="1">
      <c r="B450" s="3" t="s">
        <v>2094</v>
      </c>
      <c r="C450" s="8">
        <v>2</v>
      </c>
      <c r="D450" s="3" t="s">
        <v>2189</v>
      </c>
      <c r="E450" s="11" t="s">
        <v>10</v>
      </c>
      <c r="F450" s="10">
        <v>2.264E-3</v>
      </c>
      <c r="G450" s="12">
        <f>ROUND(G$3*F450,0)</f>
        <v>651</v>
      </c>
      <c r="H450" s="13">
        <f>ROUND(G450/2,0)</f>
        <v>326</v>
      </c>
      <c r="I450" s="12">
        <f>G450-H450</f>
        <v>325</v>
      </c>
      <c r="J450" s="3" t="str">
        <f t="shared" si="29"/>
        <v>0720002</v>
      </c>
    </row>
    <row r="451" spans="2:10" s="3" customFormat="1">
      <c r="B451" s="3" t="s">
        <v>2094</v>
      </c>
      <c r="C451" s="8">
        <v>2</v>
      </c>
      <c r="D451" s="3" t="s">
        <v>2189</v>
      </c>
      <c r="E451" s="11" t="s">
        <v>11</v>
      </c>
      <c r="F451" s="10">
        <v>1.359E-3</v>
      </c>
      <c r="G451" s="12">
        <f>ROUND(G$3*F451,0)</f>
        <v>391</v>
      </c>
      <c r="H451" s="13">
        <f>ROUND(G451/2,0)</f>
        <v>196</v>
      </c>
      <c r="I451" s="12">
        <f>G451-H451</f>
        <v>195</v>
      </c>
      <c r="J451" s="3" t="str">
        <f t="shared" si="29"/>
        <v>0720002</v>
      </c>
    </row>
    <row r="452" spans="2:10" s="3" customFormat="1">
      <c r="B452" s="3" t="s">
        <v>2094</v>
      </c>
      <c r="C452" s="8">
        <v>2</v>
      </c>
      <c r="D452" s="3" t="s">
        <v>2190</v>
      </c>
      <c r="E452" s="11" t="s">
        <v>169</v>
      </c>
      <c r="F452" s="11"/>
      <c r="G452" s="9"/>
      <c r="H452" s="11"/>
      <c r="I452" s="11"/>
      <c r="J452" s="3" t="str">
        <f t="shared" ref="J452:J515" si="35">B452&amp;C452&amp;D452</f>
        <v>0720003</v>
      </c>
    </row>
    <row r="453" spans="2:10" s="3" customFormat="1">
      <c r="B453" s="3" t="s">
        <v>2094</v>
      </c>
      <c r="C453" s="8">
        <v>2</v>
      </c>
      <c r="D453" s="3" t="s">
        <v>2190</v>
      </c>
      <c r="E453" s="11" t="s">
        <v>10</v>
      </c>
      <c r="F453" s="10">
        <v>4.3059999999999999E-3</v>
      </c>
      <c r="G453" s="12">
        <f>ROUND(G$3*F453,0)</f>
        <v>1239</v>
      </c>
      <c r="H453" s="13">
        <f>ROUND(G453/2,0)</f>
        <v>620</v>
      </c>
      <c r="I453" s="12">
        <f>G453-H453</f>
        <v>619</v>
      </c>
      <c r="J453" s="3" t="str">
        <f t="shared" si="35"/>
        <v>0720003</v>
      </c>
    </row>
    <row r="454" spans="2:10" s="3" customFormat="1">
      <c r="B454" s="3" t="s">
        <v>2094</v>
      </c>
      <c r="C454" s="8">
        <v>2</v>
      </c>
      <c r="D454" s="3" t="s">
        <v>2190</v>
      </c>
      <c r="E454" s="11" t="s">
        <v>11</v>
      </c>
      <c r="F454" s="10">
        <v>8.4900000000000004E-4</v>
      </c>
      <c r="G454" s="12">
        <f>ROUND(G$3*F454,0)</f>
        <v>244</v>
      </c>
      <c r="H454" s="13">
        <f>ROUND(G454/2,0)</f>
        <v>122</v>
      </c>
      <c r="I454" s="12">
        <f>G454-H454</f>
        <v>122</v>
      </c>
      <c r="J454" s="3" t="str">
        <f t="shared" si="35"/>
        <v>0720003</v>
      </c>
    </row>
    <row r="455" spans="2:10" s="3" customFormat="1">
      <c r="B455" s="3" t="s">
        <v>2094</v>
      </c>
      <c r="C455" s="8">
        <v>2</v>
      </c>
      <c r="D455" s="3" t="s">
        <v>2191</v>
      </c>
      <c r="E455" s="11" t="s">
        <v>22</v>
      </c>
      <c r="F455" s="11"/>
      <c r="G455" s="9"/>
      <c r="H455" s="11"/>
      <c r="I455" s="11"/>
      <c r="J455" s="3" t="str">
        <f t="shared" si="35"/>
        <v>0720004</v>
      </c>
    </row>
    <row r="456" spans="2:10" s="3" customFormat="1">
      <c r="B456" s="3" t="s">
        <v>2094</v>
      </c>
      <c r="C456" s="8">
        <v>2</v>
      </c>
      <c r="D456" s="3" t="s">
        <v>2191</v>
      </c>
      <c r="E456" s="11" t="s">
        <v>10</v>
      </c>
      <c r="F456" s="10">
        <v>5.7580000000000001E-3</v>
      </c>
      <c r="G456" s="12">
        <f>ROUND(G$3*F456,0)</f>
        <v>1657</v>
      </c>
      <c r="H456" s="13">
        <f>ROUND(G456/2,0)</f>
        <v>829</v>
      </c>
      <c r="I456" s="12">
        <f>G456-H456</f>
        <v>828</v>
      </c>
      <c r="J456" s="3" t="str">
        <f t="shared" si="35"/>
        <v>0720004</v>
      </c>
    </row>
    <row r="457" spans="2:10" s="3" customFormat="1">
      <c r="B457" s="3" t="s">
        <v>2094</v>
      </c>
      <c r="C457" s="8">
        <v>2</v>
      </c>
      <c r="D457" s="3" t="s">
        <v>2191</v>
      </c>
      <c r="E457" s="11" t="s">
        <v>11</v>
      </c>
      <c r="F457" s="10">
        <v>1.655E-3</v>
      </c>
      <c r="G457" s="12">
        <f>ROUND(G$3*F457,0)</f>
        <v>476</v>
      </c>
      <c r="H457" s="13">
        <f>ROUND(G457/2,0)</f>
        <v>238</v>
      </c>
      <c r="I457" s="12">
        <f>G457-H457</f>
        <v>238</v>
      </c>
      <c r="J457" s="3" t="str">
        <f t="shared" si="35"/>
        <v>0720004</v>
      </c>
    </row>
    <row r="458" spans="2:10" s="3" customFormat="1">
      <c r="B458" s="3" t="s">
        <v>2094</v>
      </c>
      <c r="C458" s="8">
        <v>3</v>
      </c>
      <c r="D458" s="3" t="s">
        <v>2268</v>
      </c>
      <c r="E458" s="11" t="s">
        <v>170</v>
      </c>
      <c r="F458" s="10">
        <v>2.307E-3</v>
      </c>
      <c r="G458" s="12">
        <f>ROUND(G$3*F458,0)</f>
        <v>664</v>
      </c>
      <c r="H458" s="13">
        <f>ROUND(G458/2,0)</f>
        <v>332</v>
      </c>
      <c r="I458" s="12">
        <f>G458-H458</f>
        <v>332</v>
      </c>
      <c r="J458" s="3" t="str">
        <f t="shared" si="35"/>
        <v>0730542</v>
      </c>
    </row>
    <row r="459" spans="2:10" s="3" customFormat="1">
      <c r="B459" s="3" t="s">
        <v>2094</v>
      </c>
      <c r="C459" s="8">
        <v>4</v>
      </c>
      <c r="D459" s="116" t="s">
        <v>2269</v>
      </c>
      <c r="E459" s="11" t="s">
        <v>171</v>
      </c>
      <c r="F459" s="10">
        <v>0.69649399999999995</v>
      </c>
      <c r="G459" s="9">
        <f>ROUND(G$3*F459,0)</f>
        <v>200397</v>
      </c>
      <c r="H459" s="11">
        <f>ROUND(G459/2,0)</f>
        <v>100199</v>
      </c>
      <c r="I459" s="9">
        <f>G459-H459</f>
        <v>100198</v>
      </c>
      <c r="J459" s="3" t="str">
        <f t="shared" si="35"/>
        <v>0740670</v>
      </c>
    </row>
    <row r="460" spans="2:10" s="3" customFormat="1">
      <c r="B460" s="3" t="s">
        <v>2094</v>
      </c>
      <c r="C460" s="8">
        <v>4</v>
      </c>
      <c r="D460" s="116" t="s">
        <v>2269</v>
      </c>
      <c r="E460" s="11" t="s">
        <v>28</v>
      </c>
      <c r="F460" s="11"/>
      <c r="G460" s="14">
        <v>0.439749</v>
      </c>
      <c r="H460" s="11"/>
      <c r="I460" s="11"/>
      <c r="J460" s="3" t="str">
        <f t="shared" si="35"/>
        <v>0740670</v>
      </c>
    </row>
    <row r="461" spans="2:10" s="3" customFormat="1">
      <c r="B461" s="3" t="s">
        <v>2094</v>
      </c>
      <c r="C461" s="8">
        <v>4</v>
      </c>
      <c r="D461" s="116" t="s">
        <v>2269</v>
      </c>
      <c r="E461" s="11" t="s">
        <v>29</v>
      </c>
      <c r="F461" s="11"/>
      <c r="G461" s="15">
        <f>ROUND(G459*G460,0)</f>
        <v>88124</v>
      </c>
      <c r="H461" s="16">
        <f>ROUND(G461/2,0)</f>
        <v>44062</v>
      </c>
      <c r="I461" s="15">
        <f>G461-H461</f>
        <v>44062</v>
      </c>
      <c r="J461" s="3" t="str">
        <f t="shared" si="35"/>
        <v>0740670</v>
      </c>
    </row>
    <row r="462" spans="2:10" s="3" customFormat="1">
      <c r="B462" s="3" t="s">
        <v>2094</v>
      </c>
      <c r="C462" s="8">
        <v>4</v>
      </c>
      <c r="D462" s="116" t="s">
        <v>2269</v>
      </c>
      <c r="E462" s="11" t="s">
        <v>30</v>
      </c>
      <c r="F462" s="11"/>
      <c r="G462" s="12">
        <f>+G459-G461</f>
        <v>112273</v>
      </c>
      <c r="H462" s="13">
        <f>ROUND(G462/2,0)</f>
        <v>56137</v>
      </c>
      <c r="I462" s="12">
        <f>G462-H462</f>
        <v>56136</v>
      </c>
      <c r="J462" s="3" t="str">
        <f t="shared" si="35"/>
        <v>0740670</v>
      </c>
    </row>
    <row r="463" spans="2:10" s="3" customFormat="1">
      <c r="B463" s="3" t="s">
        <v>2094</v>
      </c>
      <c r="C463" s="8">
        <v>5</v>
      </c>
      <c r="D463" s="3" t="s">
        <v>2211</v>
      </c>
      <c r="E463" s="11" t="s">
        <v>172</v>
      </c>
      <c r="F463" s="10">
        <v>2.0102999999999999E-2</v>
      </c>
      <c r="G463" s="120">
        <f>ROUND(G$3*F463,0)</f>
        <v>5784</v>
      </c>
      <c r="H463" s="120">
        <f>ROUND(G463/2,0)</f>
        <v>2892</v>
      </c>
      <c r="I463" s="120">
        <f>G463-H463</f>
        <v>2892</v>
      </c>
      <c r="J463" s="3" t="str">
        <f t="shared" si="35"/>
        <v>0750017</v>
      </c>
    </row>
    <row r="464" spans="2:10" s="3" customFormat="1">
      <c r="B464" s="3" t="s">
        <v>2094</v>
      </c>
      <c r="C464" s="8">
        <v>6</v>
      </c>
      <c r="D464" s="3" t="s">
        <v>3347</v>
      </c>
      <c r="E464" s="11" t="s">
        <v>173</v>
      </c>
      <c r="F464" s="10">
        <v>1.5705E-2</v>
      </c>
      <c r="G464" s="120">
        <f>ROUND(G$3*F464,0)</f>
        <v>4519</v>
      </c>
      <c r="H464" s="120">
        <f>ROUND(G464/2,0)</f>
        <v>2260</v>
      </c>
      <c r="I464" s="120">
        <f>G464-H464</f>
        <v>2259</v>
      </c>
      <c r="J464" s="3" t="str">
        <f t="shared" si="35"/>
        <v>0761041</v>
      </c>
    </row>
    <row r="465" spans="2:10" s="3" customFormat="1">
      <c r="B465" s="3" t="s">
        <v>2094</v>
      </c>
      <c r="C465" s="8">
        <v>6</v>
      </c>
      <c r="D465" s="116" t="s">
        <v>2227</v>
      </c>
      <c r="E465" s="11" t="s">
        <v>174</v>
      </c>
      <c r="F465" s="10">
        <v>1.372E-3</v>
      </c>
      <c r="G465" s="120">
        <f>+G440-SUM(G441:G442)-SUM(G447:G459)-SUM(G463:G464)</f>
        <v>-139183</v>
      </c>
      <c r="H465" s="120">
        <f>ROUND(G465/2,0)</f>
        <v>-69592</v>
      </c>
      <c r="I465" s="120">
        <f>G465-H465</f>
        <v>-69591</v>
      </c>
      <c r="J465" s="3" t="str">
        <f t="shared" si="35"/>
        <v>0760960</v>
      </c>
    </row>
    <row r="466" spans="2:10" s="3" customFormat="1">
      <c r="B466" s="3" t="s">
        <v>2094</v>
      </c>
      <c r="C466" s="8">
        <v>0</v>
      </c>
      <c r="D466" s="125" t="s">
        <v>2187</v>
      </c>
      <c r="E466" s="28" t="s">
        <v>37</v>
      </c>
      <c r="F466" s="10">
        <v>0.99999999999999989</v>
      </c>
      <c r="G466" s="12">
        <f>+G441+SUM(G444:G458)+G461+G462+G463+G464+G465</f>
        <v>148145</v>
      </c>
      <c r="H466" s="12">
        <f>+H441+SUM(H444:H458)+H461+H462+H463+H464+H465</f>
        <v>74077</v>
      </c>
      <c r="I466" s="12">
        <f>+I441+SUM(I444:I458)+I461+I462+I463+I464+I465</f>
        <v>74068</v>
      </c>
      <c r="J466" s="3" t="str">
        <f t="shared" si="35"/>
        <v>0700000</v>
      </c>
    </row>
    <row r="467" spans="2:10" s="3" customFormat="1">
      <c r="B467" s="3" t="s">
        <v>2094</v>
      </c>
      <c r="C467" s="8">
        <v>0</v>
      </c>
      <c r="D467" s="3" t="s">
        <v>2187</v>
      </c>
      <c r="E467" s="18" t="s">
        <v>38</v>
      </c>
      <c r="G467" s="19">
        <f>+G441</f>
        <v>411</v>
      </c>
      <c r="H467" s="19">
        <f>+H441</f>
        <v>206</v>
      </c>
      <c r="I467" s="19">
        <f>+I441</f>
        <v>205</v>
      </c>
      <c r="J467" s="3" t="str">
        <f t="shared" si="35"/>
        <v>0700000</v>
      </c>
    </row>
    <row r="468" spans="2:10" s="3" customFormat="1">
      <c r="B468" s="3" t="s">
        <v>2094</v>
      </c>
      <c r="C468" s="8">
        <v>0</v>
      </c>
      <c r="D468" s="3" t="s">
        <v>2187</v>
      </c>
      <c r="E468" s="2" t="s">
        <v>39</v>
      </c>
      <c r="G468" s="19">
        <f>+G444</f>
        <v>10089</v>
      </c>
      <c r="H468" s="19">
        <f>+H444</f>
        <v>5045</v>
      </c>
      <c r="I468" s="19">
        <f>+I444</f>
        <v>5044</v>
      </c>
      <c r="J468" s="3" t="str">
        <f t="shared" si="35"/>
        <v>0700000</v>
      </c>
    </row>
    <row r="469" spans="2:10" s="3" customFormat="1">
      <c r="B469" s="3" t="s">
        <v>2094</v>
      </c>
      <c r="C469" s="8">
        <v>0</v>
      </c>
      <c r="D469" s="3" t="s">
        <v>2187</v>
      </c>
      <c r="E469" s="2" t="s">
        <v>40</v>
      </c>
      <c r="G469" s="19">
        <f>+G461</f>
        <v>88124</v>
      </c>
      <c r="H469" s="19">
        <f>+H461</f>
        <v>44062</v>
      </c>
      <c r="I469" s="19">
        <f>+I461</f>
        <v>44062</v>
      </c>
      <c r="J469" s="3" t="str">
        <f t="shared" si="35"/>
        <v>0700000</v>
      </c>
    </row>
    <row r="470" spans="2:10" s="3" customFormat="1">
      <c r="B470" s="3" t="s">
        <v>2094</v>
      </c>
      <c r="C470" s="8">
        <v>0</v>
      </c>
      <c r="D470" s="125" t="s">
        <v>2187</v>
      </c>
      <c r="E470" s="18" t="s">
        <v>41</v>
      </c>
      <c r="G470" s="19">
        <f>+G466-G467-G468-G469</f>
        <v>49521</v>
      </c>
      <c r="H470" s="19">
        <f>+H466-H467-H468-H469</f>
        <v>24764</v>
      </c>
      <c r="I470" s="19">
        <f>+I466-I467-I468-I469</f>
        <v>24757</v>
      </c>
      <c r="J470" s="3" t="str">
        <f t="shared" si="35"/>
        <v>0700000</v>
      </c>
    </row>
    <row r="471" spans="2:10" ht="15.75">
      <c r="B471" s="3" t="s">
        <v>2186</v>
      </c>
      <c r="D471" t="s">
        <v>2186</v>
      </c>
      <c r="E471">
        <v>0</v>
      </c>
      <c r="G471"/>
      <c r="H471"/>
      <c r="I471"/>
      <c r="J471" s="3" t="str">
        <f t="shared" si="35"/>
        <v/>
      </c>
    </row>
    <row r="472" spans="2:10" s="3" customFormat="1">
      <c r="C472" s="1"/>
      <c r="D472" s="3" t="s">
        <v>2186</v>
      </c>
      <c r="E472" s="2" t="s">
        <v>175</v>
      </c>
      <c r="J472" s="3" t="str">
        <f t="shared" si="35"/>
        <v/>
      </c>
    </row>
    <row r="473" spans="2:10" s="3" customFormat="1" ht="45.75" customHeight="1">
      <c r="B473" s="3" t="s">
        <v>2186</v>
      </c>
      <c r="C473" s="1"/>
      <c r="D473" s="3" t="s">
        <v>2186</v>
      </c>
      <c r="E473" s="1">
        <v>0</v>
      </c>
      <c r="F473" s="6" t="s">
        <v>1</v>
      </c>
      <c r="G473" s="60">
        <f>'Allocation Worksheet'!H473</f>
        <v>0</v>
      </c>
      <c r="H473" s="60">
        <f>'Allocation Worksheet'!H474</f>
        <v>0</v>
      </c>
      <c r="I473" s="60">
        <f>'Allocation Worksheet'!H475</f>
        <v>0</v>
      </c>
      <c r="J473" s="3" t="str">
        <f t="shared" si="35"/>
        <v/>
      </c>
    </row>
    <row r="474" spans="2:10" s="3" customFormat="1">
      <c r="C474" s="7" t="s">
        <v>2087</v>
      </c>
      <c r="D474" s="3" t="s">
        <v>2186</v>
      </c>
      <c r="E474" s="7" t="s">
        <v>3</v>
      </c>
      <c r="F474" s="10"/>
      <c r="G474" s="9">
        <f>'Allocation Worksheet'!$D$11</f>
        <v>234042</v>
      </c>
      <c r="H474" s="11"/>
      <c r="I474" s="11"/>
      <c r="J474" s="3" t="str">
        <f t="shared" si="35"/>
        <v>UT</v>
      </c>
    </row>
    <row r="475" spans="2:10" s="3" customFormat="1">
      <c r="B475" s="3" t="s">
        <v>2096</v>
      </c>
      <c r="C475" s="8">
        <v>0</v>
      </c>
      <c r="D475" s="3" t="s">
        <v>2187</v>
      </c>
      <c r="E475" s="11" t="s">
        <v>4</v>
      </c>
      <c r="F475" s="10">
        <v>1.281E-3</v>
      </c>
      <c r="G475" s="12">
        <f>ROUND(G$3*F475,0)</f>
        <v>369</v>
      </c>
      <c r="H475" s="13">
        <f>ROUND(G475/2,0)</f>
        <v>185</v>
      </c>
      <c r="I475" s="12">
        <f>G475-H475</f>
        <v>184</v>
      </c>
      <c r="J475" s="3" t="str">
        <f t="shared" si="35"/>
        <v>0800000</v>
      </c>
    </row>
    <row r="476" spans="2:10" s="3" customFormat="1">
      <c r="B476" s="3" t="s">
        <v>2096</v>
      </c>
      <c r="C476" s="8">
        <v>1</v>
      </c>
      <c r="D476" s="3" t="s">
        <v>2187</v>
      </c>
      <c r="E476" s="11" t="s">
        <v>176</v>
      </c>
      <c r="F476" s="10">
        <v>0.19517399999999999</v>
      </c>
      <c r="G476" s="9">
        <f>ROUND(G$3*F476,0)</f>
        <v>56156</v>
      </c>
      <c r="H476" s="11">
        <f>ROUND(G476/2,0)</f>
        <v>28078</v>
      </c>
      <c r="I476" s="9">
        <f>G476-H476</f>
        <v>28078</v>
      </c>
      <c r="J476" s="3" t="str">
        <f t="shared" si="35"/>
        <v>0810000</v>
      </c>
    </row>
    <row r="477" spans="2:10" s="3" customFormat="1">
      <c r="B477" s="3" t="s">
        <v>2096</v>
      </c>
      <c r="C477" s="8">
        <v>1</v>
      </c>
      <c r="D477" s="3" t="s">
        <v>2187</v>
      </c>
      <c r="E477" s="11" t="s">
        <v>6</v>
      </c>
      <c r="F477" s="11"/>
      <c r="G477" s="14">
        <v>9.8448999999999995E-2</v>
      </c>
      <c r="H477" s="11"/>
      <c r="I477" s="11"/>
      <c r="J477" s="3" t="str">
        <f t="shared" si="35"/>
        <v>0810000</v>
      </c>
    </row>
    <row r="478" spans="2:10" s="3" customFormat="1">
      <c r="B478" s="3" t="s">
        <v>2096</v>
      </c>
      <c r="C478" s="8">
        <v>1</v>
      </c>
      <c r="D478" s="3" t="s">
        <v>2187</v>
      </c>
      <c r="E478" s="11" t="s">
        <v>7</v>
      </c>
      <c r="F478" s="11"/>
      <c r="G478" s="15">
        <f>ROUND(G476*G477,0)</f>
        <v>5529</v>
      </c>
      <c r="H478" s="16">
        <f>ROUND(G478/2,0)</f>
        <v>2765</v>
      </c>
      <c r="I478" s="15">
        <f>G478-H478</f>
        <v>2764</v>
      </c>
      <c r="J478" s="3" t="str">
        <f t="shared" si="35"/>
        <v>0810000</v>
      </c>
    </row>
    <row r="479" spans="2:10" s="3" customFormat="1">
      <c r="B479" s="3" t="s">
        <v>2096</v>
      </c>
      <c r="C479" s="8">
        <v>1</v>
      </c>
      <c r="D479" s="3" t="s">
        <v>2187</v>
      </c>
      <c r="E479" s="11" t="s">
        <v>8</v>
      </c>
      <c r="F479" s="11"/>
      <c r="G479" s="12">
        <f>+G476-G478</f>
        <v>50627</v>
      </c>
      <c r="H479" s="13">
        <f>ROUND(G479/2,0)</f>
        <v>25314</v>
      </c>
      <c r="I479" s="12">
        <f>G479-H479</f>
        <v>25313</v>
      </c>
      <c r="J479" s="3" t="str">
        <f t="shared" si="35"/>
        <v>0810000</v>
      </c>
    </row>
    <row r="480" spans="2:10" s="3" customFormat="1">
      <c r="B480" s="3" t="s">
        <v>2096</v>
      </c>
      <c r="C480" s="8">
        <v>2</v>
      </c>
      <c r="D480" s="3" t="s">
        <v>2188</v>
      </c>
      <c r="E480" s="11" t="s">
        <v>46</v>
      </c>
      <c r="F480" s="11"/>
      <c r="G480" s="9"/>
      <c r="H480" s="11"/>
      <c r="I480" s="11"/>
      <c r="J480" s="3" t="str">
        <f t="shared" si="35"/>
        <v>0820001</v>
      </c>
    </row>
    <row r="481" spans="2:10" s="3" customFormat="1">
      <c r="B481" s="3" t="s">
        <v>2096</v>
      </c>
      <c r="C481" s="8">
        <v>2</v>
      </c>
      <c r="D481" s="3" t="s">
        <v>2188</v>
      </c>
      <c r="E481" s="11" t="s">
        <v>10</v>
      </c>
      <c r="F481" s="10">
        <v>2.4499999999999999E-4</v>
      </c>
      <c r="G481" s="12">
        <f>ROUND(G$3*F481,0)</f>
        <v>70</v>
      </c>
      <c r="H481" s="13">
        <f>ROUND(G481/2,0)</f>
        <v>35</v>
      </c>
      <c r="I481" s="12">
        <f>G481-H481</f>
        <v>35</v>
      </c>
      <c r="J481" s="3" t="str">
        <f t="shared" si="35"/>
        <v>0820001</v>
      </c>
    </row>
    <row r="482" spans="2:10" s="3" customFormat="1">
      <c r="B482" s="3" t="s">
        <v>2096</v>
      </c>
      <c r="C482" s="8">
        <v>2</v>
      </c>
      <c r="D482" s="3" t="s">
        <v>2188</v>
      </c>
      <c r="E482" s="11" t="s">
        <v>11</v>
      </c>
      <c r="F482" s="10">
        <v>1.75E-4</v>
      </c>
      <c r="G482" s="12">
        <f>ROUND(G$3*F482,0)</f>
        <v>50</v>
      </c>
      <c r="H482" s="13">
        <f>ROUND(G482/2,0)</f>
        <v>25</v>
      </c>
      <c r="I482" s="12">
        <f>G482-H482</f>
        <v>25</v>
      </c>
      <c r="J482" s="3" t="str">
        <f t="shared" si="35"/>
        <v>0820001</v>
      </c>
    </row>
    <row r="483" spans="2:10" s="3" customFormat="1">
      <c r="B483" s="3" t="s">
        <v>2096</v>
      </c>
      <c r="C483" s="8">
        <v>2</v>
      </c>
      <c r="D483" s="3" t="s">
        <v>2189</v>
      </c>
      <c r="E483" s="11" t="s">
        <v>177</v>
      </c>
      <c r="F483" s="11"/>
      <c r="G483" s="9"/>
      <c r="H483" s="11"/>
      <c r="I483" s="11"/>
      <c r="J483" s="3" t="str">
        <f t="shared" si="35"/>
        <v>0820002</v>
      </c>
    </row>
    <row r="484" spans="2:10" s="3" customFormat="1">
      <c r="B484" s="3" t="s">
        <v>2096</v>
      </c>
      <c r="C484" s="8">
        <v>2</v>
      </c>
      <c r="D484" s="3" t="s">
        <v>2189</v>
      </c>
      <c r="E484" s="11" t="s">
        <v>10</v>
      </c>
      <c r="F484" s="10">
        <v>4.3540000000000002E-3</v>
      </c>
      <c r="G484" s="12">
        <f>ROUND(G$3*F484,0)</f>
        <v>1253</v>
      </c>
      <c r="H484" s="13">
        <f>ROUND(G484/2,0)</f>
        <v>627</v>
      </c>
      <c r="I484" s="12">
        <f>G484-H484</f>
        <v>626</v>
      </c>
      <c r="J484" s="3" t="str">
        <f t="shared" si="35"/>
        <v>0820002</v>
      </c>
    </row>
    <row r="485" spans="2:10" s="3" customFormat="1">
      <c r="B485" s="3" t="s">
        <v>2096</v>
      </c>
      <c r="C485" s="8">
        <v>2</v>
      </c>
      <c r="D485" s="3" t="s">
        <v>2189</v>
      </c>
      <c r="E485" s="11" t="s">
        <v>11</v>
      </c>
      <c r="F485" s="10">
        <v>1.281E-3</v>
      </c>
      <c r="G485" s="12">
        <f>ROUND(G$3*F485,0)</f>
        <v>369</v>
      </c>
      <c r="H485" s="13">
        <f>ROUND(G485/2,0)</f>
        <v>185</v>
      </c>
      <c r="I485" s="12">
        <f>G485-H485</f>
        <v>184</v>
      </c>
      <c r="J485" s="3" t="str">
        <f t="shared" si="35"/>
        <v>0820002</v>
      </c>
    </row>
    <row r="486" spans="2:10" s="3" customFormat="1">
      <c r="B486" s="3" t="s">
        <v>2096</v>
      </c>
      <c r="C486" s="8">
        <v>2</v>
      </c>
      <c r="D486" s="3" t="s">
        <v>2190</v>
      </c>
      <c r="E486" s="11" t="s">
        <v>178</v>
      </c>
      <c r="F486" s="11"/>
      <c r="G486" s="9"/>
      <c r="H486" s="11"/>
      <c r="I486" s="11"/>
      <c r="J486" s="3" t="str">
        <f t="shared" si="35"/>
        <v>0820003</v>
      </c>
    </row>
    <row r="487" spans="2:10" s="3" customFormat="1">
      <c r="B487" s="3" t="s">
        <v>2096</v>
      </c>
      <c r="C487" s="8">
        <v>2</v>
      </c>
      <c r="D487" s="3" t="s">
        <v>2190</v>
      </c>
      <c r="E487" s="11" t="s">
        <v>10</v>
      </c>
      <c r="F487" s="10">
        <v>5.0199999999999995E-4</v>
      </c>
      <c r="G487" s="12">
        <f>ROUND(G$3*F487,0)</f>
        <v>144</v>
      </c>
      <c r="H487" s="13">
        <f>ROUND(G487/2,0)</f>
        <v>72</v>
      </c>
      <c r="I487" s="12">
        <f>G487-H487</f>
        <v>72</v>
      </c>
      <c r="J487" s="3" t="str">
        <f t="shared" si="35"/>
        <v>0820003</v>
      </c>
    </row>
    <row r="488" spans="2:10" s="3" customFormat="1">
      <c r="B488" s="3" t="s">
        <v>2096</v>
      </c>
      <c r="C488" s="8">
        <v>2</v>
      </c>
      <c r="D488" s="3" t="s">
        <v>2190</v>
      </c>
      <c r="E488" s="11" t="s">
        <v>11</v>
      </c>
      <c r="F488" s="10">
        <v>2.5700000000000001E-4</v>
      </c>
      <c r="G488" s="12">
        <f>ROUND(G$3*F488,0)</f>
        <v>74</v>
      </c>
      <c r="H488" s="13">
        <f>ROUND(G488/2,0)</f>
        <v>37</v>
      </c>
      <c r="I488" s="12">
        <f>G488-H488</f>
        <v>37</v>
      </c>
      <c r="J488" s="3" t="str">
        <f t="shared" si="35"/>
        <v>0820003</v>
      </c>
    </row>
    <row r="489" spans="2:10" s="3" customFormat="1">
      <c r="B489" s="3" t="s">
        <v>2096</v>
      </c>
      <c r="C489" s="8">
        <v>2</v>
      </c>
      <c r="D489" s="3" t="s">
        <v>2191</v>
      </c>
      <c r="E489" s="11" t="s">
        <v>81</v>
      </c>
      <c r="F489" s="11"/>
      <c r="G489" s="9"/>
      <c r="H489" s="11"/>
      <c r="I489" s="11"/>
      <c r="J489" s="3" t="str">
        <f t="shared" si="35"/>
        <v>0820004</v>
      </c>
    </row>
    <row r="490" spans="2:10" s="3" customFormat="1">
      <c r="B490" s="3" t="s">
        <v>2096</v>
      </c>
      <c r="C490" s="8">
        <v>2</v>
      </c>
      <c r="D490" s="3" t="s">
        <v>2191</v>
      </c>
      <c r="E490" s="11" t="s">
        <v>10</v>
      </c>
      <c r="F490" s="10">
        <v>8.2899999999999998E-4</v>
      </c>
      <c r="G490" s="12">
        <f>ROUND(G$3*F490,0)</f>
        <v>239</v>
      </c>
      <c r="H490" s="13">
        <f>ROUND(G490/2,0)</f>
        <v>120</v>
      </c>
      <c r="I490" s="12">
        <f>G490-H490</f>
        <v>119</v>
      </c>
      <c r="J490" s="3" t="str">
        <f t="shared" si="35"/>
        <v>0820004</v>
      </c>
    </row>
    <row r="491" spans="2:10" s="3" customFormat="1">
      <c r="B491" s="3" t="s">
        <v>2096</v>
      </c>
      <c r="C491" s="8">
        <v>2</v>
      </c>
      <c r="D491" s="3" t="s">
        <v>2191</v>
      </c>
      <c r="E491" s="11" t="s">
        <v>11</v>
      </c>
      <c r="F491" s="10">
        <v>4.1300000000000001E-4</v>
      </c>
      <c r="G491" s="12">
        <f>ROUND(G$3*F491,0)</f>
        <v>119</v>
      </c>
      <c r="H491" s="13">
        <f>ROUND(G491/2,0)</f>
        <v>60</v>
      </c>
      <c r="I491" s="12">
        <f>G491-H491</f>
        <v>59</v>
      </c>
      <c r="J491" s="3" t="str">
        <f t="shared" si="35"/>
        <v>0820004</v>
      </c>
    </row>
    <row r="492" spans="2:10" s="3" customFormat="1">
      <c r="B492" s="3" t="s">
        <v>2096</v>
      </c>
      <c r="C492" s="8">
        <v>2</v>
      </c>
      <c r="D492" s="3" t="s">
        <v>2192</v>
      </c>
      <c r="E492" s="11" t="s">
        <v>179</v>
      </c>
      <c r="F492" s="11"/>
      <c r="G492" s="9"/>
      <c r="H492" s="11"/>
      <c r="I492" s="11"/>
      <c r="J492" s="3" t="str">
        <f t="shared" si="35"/>
        <v>0820005</v>
      </c>
    </row>
    <row r="493" spans="2:10" s="3" customFormat="1">
      <c r="B493" s="3" t="s">
        <v>2096</v>
      </c>
      <c r="C493" s="8">
        <v>2</v>
      </c>
      <c r="D493" s="3" t="s">
        <v>2192</v>
      </c>
      <c r="E493" s="11" t="s">
        <v>10</v>
      </c>
      <c r="F493" s="10">
        <v>2.1570000000000001E-3</v>
      </c>
      <c r="G493" s="12">
        <f>ROUND(G$3*F493,0)</f>
        <v>621</v>
      </c>
      <c r="H493" s="13">
        <f>ROUND(G493/2,0)</f>
        <v>311</v>
      </c>
      <c r="I493" s="12">
        <f>G493-H493</f>
        <v>310</v>
      </c>
      <c r="J493" s="3" t="str">
        <f t="shared" si="35"/>
        <v>0820005</v>
      </c>
    </row>
    <row r="494" spans="2:10" s="3" customFormat="1">
      <c r="B494" s="3" t="s">
        <v>2096</v>
      </c>
      <c r="C494" s="8">
        <v>2</v>
      </c>
      <c r="D494" s="3" t="s">
        <v>2192</v>
      </c>
      <c r="E494" s="11" t="s">
        <v>11</v>
      </c>
      <c r="F494" s="10">
        <v>6.6600000000000003E-4</v>
      </c>
      <c r="G494" s="12">
        <f>ROUND(G$3*F494,0)</f>
        <v>192</v>
      </c>
      <c r="H494" s="13">
        <f>ROUND(G494/2,0)</f>
        <v>96</v>
      </c>
      <c r="I494" s="12">
        <f>G494-H494</f>
        <v>96</v>
      </c>
      <c r="J494" s="3" t="str">
        <f t="shared" si="35"/>
        <v>0820005</v>
      </c>
    </row>
    <row r="495" spans="2:10" s="3" customFormat="1">
      <c r="B495" s="3" t="s">
        <v>2096</v>
      </c>
      <c r="C495" s="8">
        <v>2</v>
      </c>
      <c r="D495" s="3" t="s">
        <v>2193</v>
      </c>
      <c r="E495" s="11" t="s">
        <v>180</v>
      </c>
      <c r="F495" s="11"/>
      <c r="G495" s="9"/>
      <c r="H495" s="11"/>
      <c r="I495" s="11"/>
      <c r="J495" s="3" t="str">
        <f t="shared" si="35"/>
        <v>0820006</v>
      </c>
    </row>
    <row r="496" spans="2:10" s="3" customFormat="1">
      <c r="B496" s="3" t="s">
        <v>2096</v>
      </c>
      <c r="C496" s="8">
        <v>2</v>
      </c>
      <c r="D496" s="3" t="s">
        <v>2193</v>
      </c>
      <c r="E496" s="11" t="s">
        <v>10</v>
      </c>
      <c r="F496" s="10">
        <v>9.9700000000000006E-4</v>
      </c>
      <c r="G496" s="12">
        <f>ROUND(G$3*F496,0)</f>
        <v>287</v>
      </c>
      <c r="H496" s="13">
        <f>ROUND(G496/2,0)</f>
        <v>144</v>
      </c>
      <c r="I496" s="12">
        <f>G496-H496</f>
        <v>143</v>
      </c>
      <c r="J496" s="3" t="str">
        <f t="shared" si="35"/>
        <v>0820006</v>
      </c>
    </row>
    <row r="497" spans="2:10" s="3" customFormat="1">
      <c r="B497" s="3" t="s">
        <v>2096</v>
      </c>
      <c r="C497" s="8">
        <v>2</v>
      </c>
      <c r="D497" s="3" t="s">
        <v>2193</v>
      </c>
      <c r="E497" s="11" t="s">
        <v>11</v>
      </c>
      <c r="F497" s="10">
        <v>6.0400000000000004E-4</v>
      </c>
      <c r="G497" s="12">
        <f>ROUND(G$3*F497,0)</f>
        <v>174</v>
      </c>
      <c r="H497" s="13">
        <f>ROUND(G497/2,0)</f>
        <v>87</v>
      </c>
      <c r="I497" s="12">
        <f>G497-H497</f>
        <v>87</v>
      </c>
      <c r="J497" s="3" t="str">
        <f t="shared" si="35"/>
        <v>0820006</v>
      </c>
    </row>
    <row r="498" spans="2:10" s="3" customFormat="1">
      <c r="B498" s="3" t="s">
        <v>2096</v>
      </c>
      <c r="C498" s="8">
        <v>2</v>
      </c>
      <c r="D498" s="3" t="s">
        <v>2194</v>
      </c>
      <c r="E498" s="11" t="s">
        <v>49</v>
      </c>
      <c r="F498" s="11"/>
      <c r="G498" s="9"/>
      <c r="H498" s="11"/>
      <c r="I498" s="11"/>
      <c r="J498" s="3" t="str">
        <f t="shared" si="35"/>
        <v>0820007</v>
      </c>
    </row>
    <row r="499" spans="2:10" s="3" customFormat="1">
      <c r="B499" s="3" t="s">
        <v>2096</v>
      </c>
      <c r="C499" s="8">
        <v>2</v>
      </c>
      <c r="D499" s="3" t="s">
        <v>2194</v>
      </c>
      <c r="E499" s="11" t="s">
        <v>10</v>
      </c>
      <c r="F499" s="10">
        <v>2.3749999999999999E-3</v>
      </c>
      <c r="G499" s="12">
        <f>ROUND(G$3*F499,0)</f>
        <v>683</v>
      </c>
      <c r="H499" s="13">
        <f>ROUND(G499/2,0)</f>
        <v>342</v>
      </c>
      <c r="I499" s="12">
        <f>G499-H499</f>
        <v>341</v>
      </c>
      <c r="J499" s="3" t="str">
        <f t="shared" si="35"/>
        <v>0820007</v>
      </c>
    </row>
    <row r="500" spans="2:10" s="3" customFormat="1">
      <c r="B500" s="3" t="s">
        <v>2096</v>
      </c>
      <c r="C500" s="8">
        <v>2</v>
      </c>
      <c r="D500" s="3" t="s">
        <v>2194</v>
      </c>
      <c r="E500" s="11" t="s">
        <v>11</v>
      </c>
      <c r="F500" s="10">
        <v>1.09E-3</v>
      </c>
      <c r="G500" s="12">
        <f>ROUND(G$3*F500,0)</f>
        <v>314</v>
      </c>
      <c r="H500" s="13">
        <f>ROUND(G500/2,0)</f>
        <v>157</v>
      </c>
      <c r="I500" s="12">
        <f>G500-H500</f>
        <v>157</v>
      </c>
      <c r="J500" s="3" t="str">
        <f t="shared" si="35"/>
        <v>0820007</v>
      </c>
    </row>
    <row r="501" spans="2:10" s="3" customFormat="1">
      <c r="B501" s="3" t="s">
        <v>2096</v>
      </c>
      <c r="C501" s="8">
        <v>2</v>
      </c>
      <c r="D501" s="3" t="s">
        <v>2195</v>
      </c>
      <c r="E501" s="11" t="s">
        <v>14</v>
      </c>
      <c r="F501" s="5"/>
      <c r="G501" s="5"/>
      <c r="H501" s="6"/>
      <c r="I501" s="11"/>
      <c r="J501" s="3" t="str">
        <f t="shared" si="35"/>
        <v>0820008</v>
      </c>
    </row>
    <row r="502" spans="2:10" s="3" customFormat="1">
      <c r="B502" s="3" t="s">
        <v>2096</v>
      </c>
      <c r="C502" s="8">
        <v>2</v>
      </c>
      <c r="D502" s="3" t="s">
        <v>2195</v>
      </c>
      <c r="E502" s="11" t="s">
        <v>10</v>
      </c>
      <c r="F502" s="10">
        <v>6.6600000000000003E-4</v>
      </c>
      <c r="G502" s="12">
        <f>ROUND(G$3*F502,0)</f>
        <v>192</v>
      </c>
      <c r="H502" s="13">
        <f>ROUND(G502/2,0)</f>
        <v>96</v>
      </c>
      <c r="I502" s="12">
        <f>G502-H502</f>
        <v>96</v>
      </c>
      <c r="J502" s="3" t="str">
        <f t="shared" si="35"/>
        <v>0820008</v>
      </c>
    </row>
    <row r="503" spans="2:10" s="3" customFormat="1">
      <c r="B503" s="3" t="s">
        <v>2096</v>
      </c>
      <c r="C503" s="8">
        <v>2</v>
      </c>
      <c r="D503" s="3" t="s">
        <v>2195</v>
      </c>
      <c r="E503" s="11" t="s">
        <v>11</v>
      </c>
      <c r="F503" s="10">
        <v>2.0249999999999999E-3</v>
      </c>
      <c r="G503" s="12">
        <f>ROUND(G$3*F503,0)</f>
        <v>583</v>
      </c>
      <c r="H503" s="13">
        <f>ROUND(G503/2,0)</f>
        <v>292</v>
      </c>
      <c r="I503" s="12">
        <f>G503-H503</f>
        <v>291</v>
      </c>
      <c r="J503" s="3" t="str">
        <f t="shared" si="35"/>
        <v>0820008</v>
      </c>
    </row>
    <row r="504" spans="2:10" s="3" customFormat="1">
      <c r="B504" s="3" t="s">
        <v>2096</v>
      </c>
      <c r="C504" s="8">
        <v>2</v>
      </c>
      <c r="D504" s="3" t="s">
        <v>2196</v>
      </c>
      <c r="E504" s="11" t="s">
        <v>181</v>
      </c>
      <c r="F504" s="11"/>
      <c r="G504" s="9"/>
      <c r="H504" s="11"/>
      <c r="I504" s="11"/>
      <c r="J504" s="3" t="str">
        <f t="shared" si="35"/>
        <v>0820009</v>
      </c>
    </row>
    <row r="505" spans="2:10" s="3" customFormat="1">
      <c r="B505" s="3" t="s">
        <v>2096</v>
      </c>
      <c r="C505" s="8">
        <v>2</v>
      </c>
      <c r="D505" s="3" t="s">
        <v>2196</v>
      </c>
      <c r="E505" s="11" t="s">
        <v>10</v>
      </c>
      <c r="F505" s="10">
        <v>7.3999999999999999E-4</v>
      </c>
      <c r="G505" s="12">
        <f>ROUND(G$3*F505,0)</f>
        <v>213</v>
      </c>
      <c r="H505" s="13">
        <f>ROUND(G505/2,0)</f>
        <v>107</v>
      </c>
      <c r="I505" s="12">
        <f>G505-H505</f>
        <v>106</v>
      </c>
      <c r="J505" s="3" t="str">
        <f t="shared" si="35"/>
        <v>0820009</v>
      </c>
    </row>
    <row r="506" spans="2:10" s="3" customFormat="1">
      <c r="B506" s="3" t="s">
        <v>2096</v>
      </c>
      <c r="C506" s="8">
        <v>2</v>
      </c>
      <c r="D506" s="3" t="s">
        <v>2196</v>
      </c>
      <c r="E506" s="11" t="s">
        <v>11</v>
      </c>
      <c r="F506" s="10">
        <v>4.4000000000000002E-4</v>
      </c>
      <c r="G506" s="12">
        <f>ROUND(G$3*F506,0)</f>
        <v>127</v>
      </c>
      <c r="H506" s="13">
        <f>ROUND(G506/2,0)</f>
        <v>64</v>
      </c>
      <c r="I506" s="12">
        <f>G506-H506</f>
        <v>63</v>
      </c>
      <c r="J506" s="3" t="str">
        <f t="shared" si="35"/>
        <v>0820009</v>
      </c>
    </row>
    <row r="507" spans="2:10" s="3" customFormat="1">
      <c r="B507" s="3" t="s">
        <v>2096</v>
      </c>
      <c r="C507" s="8">
        <v>2</v>
      </c>
      <c r="D507" s="3" t="s">
        <v>2197</v>
      </c>
      <c r="E507" s="11" t="s">
        <v>52</v>
      </c>
      <c r="F507" s="11"/>
      <c r="G507" s="9"/>
      <c r="H507" s="11"/>
      <c r="I507" s="11"/>
      <c r="J507" s="3" t="str">
        <f t="shared" si="35"/>
        <v>0820010</v>
      </c>
    </row>
    <row r="508" spans="2:10" s="3" customFormat="1">
      <c r="B508" s="3" t="s">
        <v>2096</v>
      </c>
      <c r="C508" s="8">
        <v>2</v>
      </c>
      <c r="D508" s="3" t="s">
        <v>2197</v>
      </c>
      <c r="E508" s="11" t="s">
        <v>10</v>
      </c>
      <c r="F508" s="10">
        <v>1.702E-3</v>
      </c>
      <c r="G508" s="12">
        <f>ROUND(G$3*F508,0)</f>
        <v>490</v>
      </c>
      <c r="H508" s="13">
        <f>ROUND(G508/2,0)</f>
        <v>245</v>
      </c>
      <c r="I508" s="12">
        <f>G508-H508</f>
        <v>245</v>
      </c>
      <c r="J508" s="3" t="str">
        <f t="shared" si="35"/>
        <v>0820010</v>
      </c>
    </row>
    <row r="509" spans="2:10" s="3" customFormat="1">
      <c r="B509" s="3" t="s">
        <v>2096</v>
      </c>
      <c r="C509" s="8">
        <v>2</v>
      </c>
      <c r="D509" s="3" t="s">
        <v>2197</v>
      </c>
      <c r="E509" s="11" t="s">
        <v>11</v>
      </c>
      <c r="F509" s="10">
        <v>1.1950000000000001E-3</v>
      </c>
      <c r="G509" s="12">
        <f>ROUND(G$3*F509,0)</f>
        <v>344</v>
      </c>
      <c r="H509" s="13">
        <f>ROUND(G509/2,0)</f>
        <v>172</v>
      </c>
      <c r="I509" s="12">
        <f>G509-H509</f>
        <v>172</v>
      </c>
      <c r="J509" s="3" t="str">
        <f t="shared" si="35"/>
        <v>0820010</v>
      </c>
    </row>
    <row r="510" spans="2:10" s="3" customFormat="1">
      <c r="B510" s="3" t="s">
        <v>2096</v>
      </c>
      <c r="C510" s="8">
        <v>2</v>
      </c>
      <c r="D510" s="3" t="s">
        <v>2198</v>
      </c>
      <c r="E510" s="11" t="s">
        <v>16</v>
      </c>
      <c r="F510" s="11"/>
      <c r="G510" s="9"/>
      <c r="H510" s="11"/>
      <c r="I510" s="11"/>
      <c r="J510" s="3" t="str">
        <f t="shared" si="35"/>
        <v>0820011</v>
      </c>
    </row>
    <row r="511" spans="2:10" s="3" customFormat="1">
      <c r="B511" s="3" t="s">
        <v>2096</v>
      </c>
      <c r="C511" s="8">
        <v>2</v>
      </c>
      <c r="D511" s="3" t="s">
        <v>2198</v>
      </c>
      <c r="E511" s="11" t="s">
        <v>10</v>
      </c>
      <c r="F511" s="10">
        <v>3.3530000000000001E-3</v>
      </c>
      <c r="G511" s="12">
        <f>ROUND(G$3*F511,0)</f>
        <v>965</v>
      </c>
      <c r="H511" s="13">
        <f>ROUND(G511/2,0)</f>
        <v>483</v>
      </c>
      <c r="I511" s="12">
        <f>G511-H511</f>
        <v>482</v>
      </c>
      <c r="J511" s="3" t="str">
        <f t="shared" si="35"/>
        <v>0820011</v>
      </c>
    </row>
    <row r="512" spans="2:10" s="3" customFormat="1">
      <c r="B512" s="3" t="s">
        <v>2096</v>
      </c>
      <c r="C512" s="8">
        <v>2</v>
      </c>
      <c r="D512" s="3" t="s">
        <v>2198</v>
      </c>
      <c r="E512" s="11" t="s">
        <v>11</v>
      </c>
      <c r="F512" s="10">
        <v>8.0999999999999996E-4</v>
      </c>
      <c r="G512" s="12">
        <f>ROUND(G$3*F512,0)</f>
        <v>233</v>
      </c>
      <c r="H512" s="13">
        <f>ROUND(G512/2,0)</f>
        <v>117</v>
      </c>
      <c r="I512" s="12">
        <f>G512-H512</f>
        <v>116</v>
      </c>
      <c r="J512" s="3" t="str">
        <f t="shared" si="35"/>
        <v>0820011</v>
      </c>
    </row>
    <row r="513" spans="2:10" s="3" customFormat="1">
      <c r="B513" s="3" t="s">
        <v>2096</v>
      </c>
      <c r="C513" s="8">
        <v>2</v>
      </c>
      <c r="D513" s="3" t="s">
        <v>2199</v>
      </c>
      <c r="E513" s="11" t="s">
        <v>182</v>
      </c>
      <c r="F513" s="11"/>
      <c r="G513" s="9"/>
      <c r="H513" s="11"/>
      <c r="I513" s="11"/>
      <c r="J513" s="3" t="str">
        <f t="shared" si="35"/>
        <v>0820012</v>
      </c>
    </row>
    <row r="514" spans="2:10" s="3" customFormat="1">
      <c r="B514" s="3" t="s">
        <v>2096</v>
      </c>
      <c r="C514" s="8">
        <v>2</v>
      </c>
      <c r="D514" s="3" t="s">
        <v>2199</v>
      </c>
      <c r="E514" s="11" t="s">
        <v>10</v>
      </c>
      <c r="F514" s="10">
        <v>5.22E-4</v>
      </c>
      <c r="G514" s="12">
        <f>ROUND(G$3*F514,0)</f>
        <v>150</v>
      </c>
      <c r="H514" s="13">
        <f>ROUND(G514/2,0)</f>
        <v>75</v>
      </c>
      <c r="I514" s="12">
        <f>G514-H514</f>
        <v>75</v>
      </c>
      <c r="J514" s="3" t="str">
        <f t="shared" si="35"/>
        <v>0820012</v>
      </c>
    </row>
    <row r="515" spans="2:10" s="3" customFormat="1">
      <c r="B515" s="3" t="s">
        <v>2096</v>
      </c>
      <c r="C515" s="8">
        <v>2</v>
      </c>
      <c r="D515" s="3" t="s">
        <v>2199</v>
      </c>
      <c r="E515" s="11" t="s">
        <v>11</v>
      </c>
      <c r="F515" s="10">
        <v>3.2699999999999998E-4</v>
      </c>
      <c r="G515" s="12">
        <f>ROUND(G$3*F515,0)</f>
        <v>94</v>
      </c>
      <c r="H515" s="13">
        <f>ROUND(G515/2,0)</f>
        <v>47</v>
      </c>
      <c r="I515" s="12">
        <f>G515-H515</f>
        <v>47</v>
      </c>
      <c r="J515" s="3" t="str">
        <f t="shared" si="35"/>
        <v>0820012</v>
      </c>
    </row>
    <row r="516" spans="2:10" s="3" customFormat="1">
      <c r="B516" s="3" t="s">
        <v>2096</v>
      </c>
      <c r="C516" s="8">
        <v>2</v>
      </c>
      <c r="D516" s="3" t="s">
        <v>2208</v>
      </c>
      <c r="E516" s="11" t="s">
        <v>183</v>
      </c>
      <c r="F516" s="11"/>
      <c r="G516" s="9"/>
      <c r="H516" s="11"/>
      <c r="I516" s="11"/>
      <c r="J516" s="3" t="str">
        <f t="shared" ref="J516:J579" si="36">B516&amp;C516&amp;D516</f>
        <v>0820013</v>
      </c>
    </row>
    <row r="517" spans="2:10" s="3" customFormat="1">
      <c r="B517" s="3" t="s">
        <v>2096</v>
      </c>
      <c r="C517" s="8">
        <v>2</v>
      </c>
      <c r="D517" s="3" t="s">
        <v>2208</v>
      </c>
      <c r="E517" s="11" t="s">
        <v>10</v>
      </c>
      <c r="F517" s="10">
        <v>1.0009999999999999E-3</v>
      </c>
      <c r="G517" s="12">
        <f>ROUND(G$3*F517,0)</f>
        <v>288</v>
      </c>
      <c r="H517" s="13">
        <f>ROUND(G517/2,0)</f>
        <v>144</v>
      </c>
      <c r="I517" s="12">
        <f>G517-H517</f>
        <v>144</v>
      </c>
      <c r="J517" s="3" t="str">
        <f t="shared" si="36"/>
        <v>0820013</v>
      </c>
    </row>
    <row r="518" spans="2:10" s="3" customFormat="1">
      <c r="B518" s="3" t="s">
        <v>2096</v>
      </c>
      <c r="C518" s="8">
        <v>2</v>
      </c>
      <c r="D518" s="3" t="s">
        <v>2208</v>
      </c>
      <c r="E518" s="11" t="s">
        <v>11</v>
      </c>
      <c r="F518" s="10">
        <v>3.2299999999999999E-4</v>
      </c>
      <c r="G518" s="12">
        <f>ROUND(G$3*F518,0)</f>
        <v>93</v>
      </c>
      <c r="H518" s="13">
        <f>ROUND(G518/2,0)</f>
        <v>47</v>
      </c>
      <c r="I518" s="12">
        <f>G518-H518</f>
        <v>46</v>
      </c>
      <c r="J518" s="3" t="str">
        <f t="shared" si="36"/>
        <v>0820013</v>
      </c>
    </row>
    <row r="519" spans="2:10" s="3" customFormat="1">
      <c r="B519" s="3" t="s">
        <v>2096</v>
      </c>
      <c r="C519" s="8">
        <v>2</v>
      </c>
      <c r="D519" s="3" t="s">
        <v>2209</v>
      </c>
      <c r="E519" s="11" t="s">
        <v>22</v>
      </c>
      <c r="F519" s="11"/>
      <c r="G519" s="9"/>
      <c r="H519" s="11"/>
      <c r="I519" s="11"/>
      <c r="J519" s="3" t="str">
        <f t="shared" si="36"/>
        <v>0820014</v>
      </c>
    </row>
    <row r="520" spans="2:10" s="3" customFormat="1">
      <c r="B520" s="3" t="s">
        <v>2096</v>
      </c>
      <c r="C520" s="8">
        <v>2</v>
      </c>
      <c r="D520" s="3" t="s">
        <v>2209</v>
      </c>
      <c r="E520" s="11" t="s">
        <v>10</v>
      </c>
      <c r="F520" s="10">
        <v>1.7799999999999999E-3</v>
      </c>
      <c r="G520" s="12">
        <f t="shared" ref="G520:G527" si="37">ROUND(G$3*F520,0)</f>
        <v>512</v>
      </c>
      <c r="H520" s="13">
        <f t="shared" ref="H520:H527" si="38">ROUND(G520/2,0)</f>
        <v>256</v>
      </c>
      <c r="I520" s="12">
        <f t="shared" ref="I520:I527" si="39">G520-H520</f>
        <v>256</v>
      </c>
      <c r="J520" s="3" t="str">
        <f t="shared" si="36"/>
        <v>0820014</v>
      </c>
    </row>
    <row r="521" spans="2:10" s="3" customFormat="1">
      <c r="B521" s="3" t="s">
        <v>2096</v>
      </c>
      <c r="C521" s="8">
        <v>2</v>
      </c>
      <c r="D521" s="3" t="s">
        <v>2209</v>
      </c>
      <c r="E521" s="11" t="s">
        <v>11</v>
      </c>
      <c r="F521" s="10">
        <v>4.1300000000000001E-4</v>
      </c>
      <c r="G521" s="12">
        <f t="shared" si="37"/>
        <v>119</v>
      </c>
      <c r="H521" s="13">
        <f t="shared" si="38"/>
        <v>60</v>
      </c>
      <c r="I521" s="12">
        <f t="shared" si="39"/>
        <v>59</v>
      </c>
      <c r="J521" s="3" t="str">
        <f t="shared" si="36"/>
        <v>0820014</v>
      </c>
    </row>
    <row r="522" spans="2:10" s="3" customFormat="1">
      <c r="B522" s="3" t="s">
        <v>2096</v>
      </c>
      <c r="C522" s="8">
        <v>3</v>
      </c>
      <c r="D522" s="3" t="s">
        <v>2271</v>
      </c>
      <c r="E522" s="11" t="s">
        <v>184</v>
      </c>
      <c r="F522" s="10">
        <v>5.7320000000000001E-3</v>
      </c>
      <c r="G522" s="12">
        <f t="shared" si="37"/>
        <v>1649</v>
      </c>
      <c r="H522" s="13">
        <f t="shared" si="38"/>
        <v>825</v>
      </c>
      <c r="I522" s="12">
        <f t="shared" si="39"/>
        <v>824</v>
      </c>
      <c r="J522" s="3" t="str">
        <f t="shared" si="36"/>
        <v>0830543</v>
      </c>
    </row>
    <row r="523" spans="2:10" s="3" customFormat="1">
      <c r="B523" s="3" t="s">
        <v>2096</v>
      </c>
      <c r="C523" s="8">
        <v>3</v>
      </c>
      <c r="D523" s="3" t="s">
        <v>2272</v>
      </c>
      <c r="E523" s="11" t="s">
        <v>185</v>
      </c>
      <c r="F523" s="10">
        <v>2.068E-3</v>
      </c>
      <c r="G523" s="12">
        <f t="shared" si="37"/>
        <v>595</v>
      </c>
      <c r="H523" s="13">
        <f t="shared" si="38"/>
        <v>298</v>
      </c>
      <c r="I523" s="12">
        <f t="shared" si="39"/>
        <v>297</v>
      </c>
      <c r="J523" s="3" t="str">
        <f t="shared" si="36"/>
        <v>0830544</v>
      </c>
    </row>
    <row r="524" spans="2:10" s="3" customFormat="1">
      <c r="B524" s="3" t="s">
        <v>2096</v>
      </c>
      <c r="C524" s="8">
        <v>3</v>
      </c>
      <c r="D524" s="3" t="s">
        <v>2270</v>
      </c>
      <c r="E524" s="11" t="s">
        <v>186</v>
      </c>
      <c r="F524" s="10">
        <v>1.6670000000000001E-2</v>
      </c>
      <c r="G524" s="12">
        <f t="shared" si="37"/>
        <v>4796</v>
      </c>
      <c r="H524" s="13">
        <f t="shared" si="38"/>
        <v>2398</v>
      </c>
      <c r="I524" s="12">
        <f t="shared" si="39"/>
        <v>2398</v>
      </c>
      <c r="J524" s="3" t="str">
        <f t="shared" si="36"/>
        <v>0830457</v>
      </c>
    </row>
    <row r="525" spans="2:10" s="3" customFormat="1">
      <c r="B525" s="3" t="s">
        <v>2096</v>
      </c>
      <c r="C525" s="8">
        <v>3</v>
      </c>
      <c r="D525" s="3" t="s">
        <v>2273</v>
      </c>
      <c r="E525" s="11" t="s">
        <v>187</v>
      </c>
      <c r="F525" s="10">
        <v>2.4957E-2</v>
      </c>
      <c r="G525" s="12">
        <f t="shared" si="37"/>
        <v>7181</v>
      </c>
      <c r="H525" s="13">
        <f t="shared" si="38"/>
        <v>3591</v>
      </c>
      <c r="I525" s="12">
        <f t="shared" si="39"/>
        <v>3590</v>
      </c>
      <c r="J525" s="3" t="str">
        <f t="shared" si="36"/>
        <v>0830545</v>
      </c>
    </row>
    <row r="526" spans="2:10" s="3" customFormat="1">
      <c r="B526" s="3" t="s">
        <v>2096</v>
      </c>
      <c r="C526" s="8">
        <v>3</v>
      </c>
      <c r="D526" s="3" t="s">
        <v>2274</v>
      </c>
      <c r="E526" s="11" t="s">
        <v>188</v>
      </c>
      <c r="F526" s="10">
        <v>4.75E-4</v>
      </c>
      <c r="G526" s="12">
        <f t="shared" si="37"/>
        <v>137</v>
      </c>
      <c r="H526" s="13">
        <f t="shared" si="38"/>
        <v>69</v>
      </c>
      <c r="I526" s="12">
        <f t="shared" si="39"/>
        <v>68</v>
      </c>
      <c r="J526" s="3" t="str">
        <f t="shared" si="36"/>
        <v>0830546</v>
      </c>
    </row>
    <row r="527" spans="2:10" s="3" customFormat="1">
      <c r="B527" s="3" t="s">
        <v>2096</v>
      </c>
      <c r="C527" s="8">
        <v>4</v>
      </c>
      <c r="D527" s="3" t="s">
        <v>2275</v>
      </c>
      <c r="E527" s="11" t="s">
        <v>189</v>
      </c>
      <c r="F527" s="10">
        <v>0.26967099999999999</v>
      </c>
      <c r="G527" s="9">
        <f t="shared" si="37"/>
        <v>77591</v>
      </c>
      <c r="H527" s="11">
        <f t="shared" si="38"/>
        <v>38796</v>
      </c>
      <c r="I527" s="9">
        <f t="shared" si="39"/>
        <v>38795</v>
      </c>
      <c r="J527" s="3" t="str">
        <f t="shared" si="36"/>
        <v>0840750</v>
      </c>
    </row>
    <row r="528" spans="2:10" s="3" customFormat="1">
      <c r="B528" s="3" t="s">
        <v>2096</v>
      </c>
      <c r="C528" s="8">
        <v>4</v>
      </c>
      <c r="D528" s="3" t="s">
        <v>2275</v>
      </c>
      <c r="E528" s="11" t="s">
        <v>28</v>
      </c>
      <c r="F528" s="11"/>
      <c r="G528" s="14">
        <v>0.53313200000000005</v>
      </c>
      <c r="H528" s="11"/>
      <c r="I528" s="11"/>
      <c r="J528" s="3" t="str">
        <f t="shared" si="36"/>
        <v>0840750</v>
      </c>
    </row>
    <row r="529" spans="2:10" s="3" customFormat="1">
      <c r="B529" s="3" t="s">
        <v>2096</v>
      </c>
      <c r="C529" s="8">
        <v>4</v>
      </c>
      <c r="D529" s="3" t="s">
        <v>2275</v>
      </c>
      <c r="E529" s="11" t="s">
        <v>29</v>
      </c>
      <c r="F529" s="11"/>
      <c r="G529" s="15">
        <f>ROUND(G527*G528,0)</f>
        <v>41366</v>
      </c>
      <c r="H529" s="16">
        <f>ROUND(G529/2,0)</f>
        <v>20683</v>
      </c>
      <c r="I529" s="15">
        <f>G529-H529</f>
        <v>20683</v>
      </c>
      <c r="J529" s="3" t="str">
        <f t="shared" si="36"/>
        <v>0840750</v>
      </c>
    </row>
    <row r="530" spans="2:10" s="3" customFormat="1">
      <c r="B530" s="3" t="s">
        <v>2096</v>
      </c>
      <c r="C530" s="8">
        <v>4</v>
      </c>
      <c r="D530" s="3" t="s">
        <v>2275</v>
      </c>
      <c r="E530" s="11" t="s">
        <v>30</v>
      </c>
      <c r="F530" s="11"/>
      <c r="G530" s="12">
        <f>+G527-G529</f>
        <v>36225</v>
      </c>
      <c r="H530" s="13">
        <f>ROUND(G530/2,0)</f>
        <v>18113</v>
      </c>
      <c r="I530" s="12">
        <f>G530-H530</f>
        <v>18112</v>
      </c>
      <c r="J530" s="3" t="str">
        <f t="shared" si="36"/>
        <v>0840750</v>
      </c>
    </row>
    <row r="531" spans="2:10" s="3" customFormat="1">
      <c r="B531" s="3" t="s">
        <v>2096</v>
      </c>
      <c r="C531" s="8">
        <v>4</v>
      </c>
      <c r="D531" s="3" t="s">
        <v>2276</v>
      </c>
      <c r="E531" s="11" t="s">
        <v>190</v>
      </c>
      <c r="F531" s="10">
        <v>0.28865800000000003</v>
      </c>
      <c r="G531" s="9">
        <f>ROUND(G$3*F531,0)</f>
        <v>83054</v>
      </c>
      <c r="H531" s="11">
        <f>ROUND(G531/2,0)</f>
        <v>41527</v>
      </c>
      <c r="I531" s="9">
        <f>G531-H531</f>
        <v>41527</v>
      </c>
      <c r="J531" s="3" t="str">
        <f t="shared" si="36"/>
        <v>0840755</v>
      </c>
    </row>
    <row r="532" spans="2:10" s="3" customFormat="1">
      <c r="B532" s="3" t="s">
        <v>2096</v>
      </c>
      <c r="C532" s="8">
        <v>4</v>
      </c>
      <c r="D532" s="3" t="s">
        <v>2276</v>
      </c>
      <c r="E532" s="11" t="s">
        <v>28</v>
      </c>
      <c r="F532" s="11"/>
      <c r="G532" s="14">
        <v>0.37595200000000001</v>
      </c>
      <c r="H532" s="11"/>
      <c r="I532" s="11"/>
      <c r="J532" s="3" t="str">
        <f t="shared" si="36"/>
        <v>0840755</v>
      </c>
    </row>
    <row r="533" spans="2:10" s="3" customFormat="1">
      <c r="B533" s="3" t="s">
        <v>2096</v>
      </c>
      <c r="C533" s="8">
        <v>4</v>
      </c>
      <c r="D533" s="3" t="s">
        <v>2276</v>
      </c>
      <c r="E533" s="11" t="s">
        <v>29</v>
      </c>
      <c r="F533" s="11"/>
      <c r="G533" s="15">
        <f>ROUND(G531*G532,0)</f>
        <v>31224</v>
      </c>
      <c r="H533" s="16">
        <f>ROUND(G533/2,0)</f>
        <v>15612</v>
      </c>
      <c r="I533" s="15">
        <f>G533-H533</f>
        <v>15612</v>
      </c>
      <c r="J533" s="3" t="str">
        <f t="shared" si="36"/>
        <v>0840755</v>
      </c>
    </row>
    <row r="534" spans="2:10" s="3" customFormat="1">
      <c r="B534" s="3" t="s">
        <v>2096</v>
      </c>
      <c r="C534" s="8">
        <v>4</v>
      </c>
      <c r="D534" s="3" t="s">
        <v>2276</v>
      </c>
      <c r="E534" s="11" t="s">
        <v>30</v>
      </c>
      <c r="F534" s="11"/>
      <c r="G534" s="12">
        <f>+G531-G533</f>
        <v>51830</v>
      </c>
      <c r="H534" s="13">
        <f>ROUND(G534/2,0)</f>
        <v>25915</v>
      </c>
      <c r="I534" s="12">
        <f>G534-H534</f>
        <v>25915</v>
      </c>
      <c r="J534" s="3" t="str">
        <f t="shared" si="36"/>
        <v>0840755</v>
      </c>
    </row>
    <row r="535" spans="2:10" s="128" customFormat="1" ht="15.75">
      <c r="B535" s="128" t="s">
        <v>2096</v>
      </c>
      <c r="C535" s="129">
        <v>4</v>
      </c>
      <c r="D535" t="s">
        <v>2277</v>
      </c>
      <c r="E535" s="131" t="s">
        <v>191</v>
      </c>
      <c r="F535" s="133">
        <v>3.2024999999999998E-2</v>
      </c>
      <c r="G535" s="132">
        <f>ROUND(G$3*F535,0)</f>
        <v>9214</v>
      </c>
      <c r="H535" s="131">
        <f>ROUND(G535/2,0)</f>
        <v>4607</v>
      </c>
      <c r="I535" s="132">
        <f>G535-H535</f>
        <v>4607</v>
      </c>
      <c r="J535" s="128" t="str">
        <f t="shared" si="36"/>
        <v>0841180</v>
      </c>
    </row>
    <row r="536" spans="2:10" s="3" customFormat="1" ht="15.75">
      <c r="B536" s="3" t="s">
        <v>2096</v>
      </c>
      <c r="C536" s="8">
        <v>4</v>
      </c>
      <c r="D536" t="s">
        <v>2277</v>
      </c>
      <c r="E536" s="11" t="s">
        <v>28</v>
      </c>
      <c r="F536" s="11"/>
      <c r="G536" s="14">
        <v>0.43913000000000002</v>
      </c>
      <c r="H536" s="11"/>
      <c r="I536" s="11"/>
      <c r="J536" s="3" t="str">
        <f t="shared" si="36"/>
        <v>0841180</v>
      </c>
    </row>
    <row r="537" spans="2:10" s="3" customFormat="1" ht="15.75">
      <c r="B537" s="3" t="s">
        <v>2096</v>
      </c>
      <c r="C537" s="8">
        <v>4</v>
      </c>
      <c r="D537" t="s">
        <v>2277</v>
      </c>
      <c r="E537" s="11" t="s">
        <v>29</v>
      </c>
      <c r="F537" s="11"/>
      <c r="G537" s="15">
        <f>ROUND(G535*G536,0)</f>
        <v>4046</v>
      </c>
      <c r="H537" s="16">
        <f>ROUND(G537/2,0)</f>
        <v>2023</v>
      </c>
      <c r="I537" s="15">
        <f>G537-H537</f>
        <v>2023</v>
      </c>
      <c r="J537" s="3" t="str">
        <f t="shared" si="36"/>
        <v>0841180</v>
      </c>
    </row>
    <row r="538" spans="2:10" s="3" customFormat="1" ht="15.75">
      <c r="B538" s="3" t="s">
        <v>2096</v>
      </c>
      <c r="C538" s="8">
        <v>4</v>
      </c>
      <c r="D538" t="s">
        <v>2277</v>
      </c>
      <c r="E538" s="11" t="s">
        <v>30</v>
      </c>
      <c r="F538" s="11"/>
      <c r="G538" s="12">
        <f>+G535-G537</f>
        <v>5168</v>
      </c>
      <c r="H538" s="13">
        <f>ROUND(G538/2,0)</f>
        <v>2584</v>
      </c>
      <c r="I538" s="12">
        <f>G538-H538</f>
        <v>2584</v>
      </c>
      <c r="J538" s="3" t="str">
        <f t="shared" si="36"/>
        <v>0841180</v>
      </c>
    </row>
    <row r="539" spans="2:10" s="3" customFormat="1">
      <c r="B539" s="3" t="s">
        <v>2096</v>
      </c>
      <c r="C539" s="8">
        <v>4</v>
      </c>
      <c r="D539" s="3" t="s">
        <v>2278</v>
      </c>
      <c r="E539" s="11" t="s">
        <v>192</v>
      </c>
      <c r="F539" s="10">
        <v>0.101062</v>
      </c>
      <c r="G539" s="9">
        <f>ROUND(G$3*F539,0)</f>
        <v>29078</v>
      </c>
      <c r="H539" s="11">
        <f>ROUND(G539/2,0)</f>
        <v>14539</v>
      </c>
      <c r="I539" s="9">
        <f>G539-H539</f>
        <v>14539</v>
      </c>
      <c r="J539" s="3" t="str">
        <f t="shared" si="36"/>
        <v>0848565</v>
      </c>
    </row>
    <row r="540" spans="2:10" s="3" customFormat="1">
      <c r="B540" s="3" t="s">
        <v>2096</v>
      </c>
      <c r="C540" s="8">
        <v>4</v>
      </c>
      <c r="D540" s="3" t="s">
        <v>2278</v>
      </c>
      <c r="E540" s="11" t="s">
        <v>28</v>
      </c>
      <c r="F540" s="11"/>
      <c r="G540" s="14">
        <v>0.49465300000000001</v>
      </c>
      <c r="H540" s="11"/>
      <c r="I540" s="11"/>
      <c r="J540" s="3" t="str">
        <f t="shared" si="36"/>
        <v>0848565</v>
      </c>
    </row>
    <row r="541" spans="2:10" s="3" customFormat="1">
      <c r="B541" s="3" t="s">
        <v>2096</v>
      </c>
      <c r="C541" s="8">
        <v>4</v>
      </c>
      <c r="D541" s="3" t="s">
        <v>2278</v>
      </c>
      <c r="E541" s="11" t="s">
        <v>29</v>
      </c>
      <c r="F541" s="11"/>
      <c r="G541" s="15">
        <f>ROUND(G539*G540,0)</f>
        <v>14384</v>
      </c>
      <c r="H541" s="16">
        <f t="shared" ref="H541:H546" si="40">ROUND(G541/2,0)</f>
        <v>7192</v>
      </c>
      <c r="I541" s="15">
        <f t="shared" ref="I541:I546" si="41">G541-H541</f>
        <v>7192</v>
      </c>
      <c r="J541" s="3" t="str">
        <f t="shared" si="36"/>
        <v>0848565</v>
      </c>
    </row>
    <row r="542" spans="2:10" s="3" customFormat="1">
      <c r="B542" s="3" t="s">
        <v>2096</v>
      </c>
      <c r="C542" s="8">
        <v>4</v>
      </c>
      <c r="D542" s="3" t="s">
        <v>2278</v>
      </c>
      <c r="E542" s="11" t="s">
        <v>30</v>
      </c>
      <c r="F542" s="11"/>
      <c r="G542" s="12">
        <f>+G539-G541</f>
        <v>14694</v>
      </c>
      <c r="H542" s="13">
        <f t="shared" si="40"/>
        <v>7347</v>
      </c>
      <c r="I542" s="12">
        <f t="shared" si="41"/>
        <v>7347</v>
      </c>
      <c r="J542" s="3" t="str">
        <f t="shared" si="36"/>
        <v>0848565</v>
      </c>
    </row>
    <row r="543" spans="2:10" s="3" customFormat="1">
      <c r="B543" s="3" t="s">
        <v>2096</v>
      </c>
      <c r="C543" s="8">
        <v>5</v>
      </c>
      <c r="D543" s="3" t="s">
        <v>2212</v>
      </c>
      <c r="E543" s="11" t="s">
        <v>193</v>
      </c>
      <c r="F543" s="10">
        <v>1.456E-3</v>
      </c>
      <c r="G543" s="120">
        <f>ROUND(G$3*F543,0)</f>
        <v>419</v>
      </c>
      <c r="H543" s="120">
        <f t="shared" si="40"/>
        <v>210</v>
      </c>
      <c r="I543" s="120">
        <f t="shared" si="41"/>
        <v>209</v>
      </c>
      <c r="J543" s="3" t="str">
        <f t="shared" si="36"/>
        <v>0850018</v>
      </c>
    </row>
    <row r="544" spans="2:10" s="3" customFormat="1">
      <c r="B544" s="3" t="s">
        <v>2096</v>
      </c>
      <c r="C544" s="8">
        <v>5</v>
      </c>
      <c r="D544" s="3" t="s">
        <v>2213</v>
      </c>
      <c r="E544" s="11" t="s">
        <v>194</v>
      </c>
      <c r="F544" s="10">
        <v>1.4938E-2</v>
      </c>
      <c r="G544" s="120">
        <f>ROUND(G$3*F544,0)</f>
        <v>4298</v>
      </c>
      <c r="H544" s="120">
        <f t="shared" si="40"/>
        <v>2149</v>
      </c>
      <c r="I544" s="120">
        <f t="shared" si="41"/>
        <v>2149</v>
      </c>
      <c r="J544" s="3" t="str">
        <f t="shared" si="36"/>
        <v>0850019</v>
      </c>
    </row>
    <row r="545" spans="1:10" s="3" customFormat="1">
      <c r="B545" s="3" t="s">
        <v>2096</v>
      </c>
      <c r="C545" s="8">
        <v>5</v>
      </c>
      <c r="D545" s="3" t="s">
        <v>2214</v>
      </c>
      <c r="E545" s="11" t="s">
        <v>195</v>
      </c>
      <c r="F545" s="10">
        <v>1.4591E-2</v>
      </c>
      <c r="G545" s="120">
        <f>+G474-SUM(G475:G476)-SUM(G481:G527)-G531-G535-G539-SUM(G543:G544)</f>
        <v>-49487</v>
      </c>
      <c r="H545" s="120">
        <f t="shared" si="40"/>
        <v>-24744</v>
      </c>
      <c r="I545" s="120">
        <f t="shared" si="41"/>
        <v>-24743</v>
      </c>
      <c r="J545" s="3" t="str">
        <f t="shared" si="36"/>
        <v>0850020</v>
      </c>
    </row>
    <row r="546" spans="1:10" s="3" customFormat="1">
      <c r="A546" s="3" t="s">
        <v>6269</v>
      </c>
      <c r="B546" s="3" t="s">
        <v>2096</v>
      </c>
      <c r="C546" s="8">
        <v>6</v>
      </c>
      <c r="D546" s="3" t="s">
        <v>6267</v>
      </c>
      <c r="E546" s="11" t="s">
        <v>196</v>
      </c>
      <c r="F546" s="10">
        <v>0</v>
      </c>
      <c r="G546" s="120">
        <f>ROUND(G$3*F546,0)</f>
        <v>0</v>
      </c>
      <c r="H546" s="120">
        <f t="shared" si="40"/>
        <v>0</v>
      </c>
      <c r="I546" s="120">
        <f t="shared" si="41"/>
        <v>0</v>
      </c>
      <c r="J546" s="3" t="str">
        <f t="shared" si="36"/>
        <v>086XXXX</v>
      </c>
    </row>
    <row r="547" spans="1:10" s="3" customFormat="1">
      <c r="B547" s="3" t="s">
        <v>2096</v>
      </c>
      <c r="C547" s="8">
        <v>0</v>
      </c>
      <c r="D547" s="125" t="s">
        <v>2187</v>
      </c>
      <c r="E547" s="28" t="s">
        <v>37</v>
      </c>
      <c r="F547" s="10">
        <v>1</v>
      </c>
      <c r="G547" s="12">
        <f>+G475+SUM(G478:G526)+G529+G530+G533+G534+G537+G538+G541+G542+G543+G544+G545+G546</f>
        <v>234042</v>
      </c>
      <c r="H547" s="12">
        <f>+H475+SUM(H478:H526)+H529+H530+H533+H534+H537+H538+H541+H542+H543+H544+H545+H546</f>
        <v>117032</v>
      </c>
      <c r="I547" s="12">
        <f>+I475+SUM(I478:I526)+I529+I530+I533+I534+I537+I538+I541+I542+I543+I544+I545+I546</f>
        <v>117010</v>
      </c>
      <c r="J547" s="3" t="str">
        <f t="shared" si="36"/>
        <v>0800000</v>
      </c>
    </row>
    <row r="548" spans="1:10" s="3" customFormat="1">
      <c r="B548" s="3" t="s">
        <v>2096</v>
      </c>
      <c r="C548" s="8">
        <v>0</v>
      </c>
      <c r="D548" s="3" t="s">
        <v>2187</v>
      </c>
      <c r="E548" s="18" t="s">
        <v>38</v>
      </c>
      <c r="G548" s="19">
        <f>+G475</f>
        <v>369</v>
      </c>
      <c r="H548" s="19">
        <f>+H475</f>
        <v>185</v>
      </c>
      <c r="I548" s="19">
        <f>+I475</f>
        <v>184</v>
      </c>
      <c r="J548" s="3" t="str">
        <f t="shared" si="36"/>
        <v>0800000</v>
      </c>
    </row>
    <row r="549" spans="1:10" s="3" customFormat="1">
      <c r="B549" s="3" t="s">
        <v>2096</v>
      </c>
      <c r="C549" s="8">
        <v>0</v>
      </c>
      <c r="D549" s="3" t="s">
        <v>2187</v>
      </c>
      <c r="E549" s="2" t="s">
        <v>39</v>
      </c>
      <c r="G549" s="19">
        <f>+G478</f>
        <v>5529</v>
      </c>
      <c r="H549" s="19">
        <f>+H478</f>
        <v>2765</v>
      </c>
      <c r="I549" s="19">
        <f>+I478</f>
        <v>2764</v>
      </c>
      <c r="J549" s="3" t="str">
        <f t="shared" si="36"/>
        <v>0800000</v>
      </c>
    </row>
    <row r="550" spans="1:10" s="3" customFormat="1">
      <c r="B550" s="3" t="s">
        <v>2096</v>
      </c>
      <c r="C550" s="8">
        <v>0</v>
      </c>
      <c r="D550" s="3" t="s">
        <v>2187</v>
      </c>
      <c r="E550" s="2" t="s">
        <v>40</v>
      </c>
      <c r="G550" s="19">
        <f>+G529+G533+G537+G541</f>
        <v>91020</v>
      </c>
      <c r="H550" s="19">
        <f>+H529+H533+H537+H541</f>
        <v>45510</v>
      </c>
      <c r="I550" s="19">
        <f>+I529+I533+I537+I541</f>
        <v>45510</v>
      </c>
      <c r="J550" s="3" t="str">
        <f t="shared" si="36"/>
        <v>0800000</v>
      </c>
    </row>
    <row r="551" spans="1:10" s="3" customFormat="1">
      <c r="B551" s="3" t="s">
        <v>2096</v>
      </c>
      <c r="C551" s="8">
        <v>0</v>
      </c>
      <c r="D551" s="125" t="s">
        <v>2187</v>
      </c>
      <c r="E551" s="18" t="s">
        <v>41</v>
      </c>
      <c r="G551" s="19">
        <f>+G547-G548-G549-G550</f>
        <v>137124</v>
      </c>
      <c r="H551" s="19">
        <f>+H547-H548-H549-H550</f>
        <v>68572</v>
      </c>
      <c r="I551" s="19">
        <f>+I547-I548-I549-I550</f>
        <v>68552</v>
      </c>
      <c r="J551" s="3" t="str">
        <f t="shared" si="36"/>
        <v>0800000</v>
      </c>
    </row>
    <row r="552" spans="1:10" ht="15.75">
      <c r="B552" s="3" t="s">
        <v>2186</v>
      </c>
      <c r="D552" t="s">
        <v>2186</v>
      </c>
      <c r="E552">
        <v>0</v>
      </c>
      <c r="G552"/>
      <c r="H552"/>
      <c r="I552"/>
      <c r="J552" s="3" t="str">
        <f t="shared" si="36"/>
        <v/>
      </c>
    </row>
    <row r="553" spans="1:10" s="3" customFormat="1">
      <c r="C553" s="1"/>
      <c r="D553" s="3" t="s">
        <v>2186</v>
      </c>
      <c r="E553" s="2" t="s">
        <v>197</v>
      </c>
      <c r="J553" s="3" t="str">
        <f t="shared" si="36"/>
        <v/>
      </c>
    </row>
    <row r="554" spans="1:10" s="3" customFormat="1" ht="45">
      <c r="B554" s="3" t="s">
        <v>2186</v>
      </c>
      <c r="C554" s="1"/>
      <c r="D554" s="3" t="s">
        <v>2186</v>
      </c>
      <c r="E554" s="1">
        <v>0</v>
      </c>
      <c r="F554" s="6" t="s">
        <v>1</v>
      </c>
      <c r="G554" s="60">
        <f>'Allocation Worksheet'!H554</f>
        <v>0</v>
      </c>
      <c r="H554" s="60">
        <f>'Allocation Worksheet'!H555</f>
        <v>0</v>
      </c>
      <c r="I554" s="60">
        <f>'Allocation Worksheet'!H556</f>
        <v>0</v>
      </c>
      <c r="J554" s="3" t="str">
        <f t="shared" si="36"/>
        <v/>
      </c>
    </row>
    <row r="555" spans="1:10" s="3" customFormat="1">
      <c r="C555" s="7" t="s">
        <v>2087</v>
      </c>
      <c r="D555" s="3" t="s">
        <v>2186</v>
      </c>
      <c r="E555" s="7" t="s">
        <v>3</v>
      </c>
      <c r="F555" s="10"/>
      <c r="G555" s="9">
        <f>'Allocation Worksheet'!$D$12</f>
        <v>366695</v>
      </c>
      <c r="H555" s="11"/>
      <c r="I555" s="11"/>
      <c r="J555" s="3" t="str">
        <f t="shared" si="36"/>
        <v>UT</v>
      </c>
    </row>
    <row r="556" spans="1:10" s="3" customFormat="1">
      <c r="B556" s="3" t="s">
        <v>2097</v>
      </c>
      <c r="C556" s="8">
        <v>0</v>
      </c>
      <c r="D556" s="3" t="s">
        <v>2187</v>
      </c>
      <c r="E556" s="11" t="s">
        <v>4</v>
      </c>
      <c r="F556" s="10">
        <v>1.036E-3</v>
      </c>
      <c r="G556" s="12">
        <f>ROUND(G$3*F556,0)</f>
        <v>298</v>
      </c>
      <c r="H556" s="13">
        <f>ROUND(G556/2,0)</f>
        <v>149</v>
      </c>
      <c r="I556" s="12">
        <f>G556-H556</f>
        <v>149</v>
      </c>
      <c r="J556" s="3" t="str">
        <f t="shared" si="36"/>
        <v>0900000</v>
      </c>
    </row>
    <row r="557" spans="1:10" s="3" customFormat="1">
      <c r="B557" s="3" t="s">
        <v>2097</v>
      </c>
      <c r="C557" s="8">
        <v>1</v>
      </c>
      <c r="D557" s="3" t="s">
        <v>2187</v>
      </c>
      <c r="E557" s="11" t="s">
        <v>198</v>
      </c>
      <c r="F557" s="10">
        <v>0.23255999999999999</v>
      </c>
      <c r="G557" s="9">
        <f>ROUND(G$3*F557,0)</f>
        <v>66913</v>
      </c>
      <c r="H557" s="11">
        <f>ROUND(G557/2,0)</f>
        <v>33457</v>
      </c>
      <c r="I557" s="9">
        <f>G557-H557</f>
        <v>33456</v>
      </c>
      <c r="J557" s="3" t="str">
        <f t="shared" si="36"/>
        <v>0910000</v>
      </c>
    </row>
    <row r="558" spans="1:10" s="3" customFormat="1">
      <c r="B558" s="3" t="s">
        <v>2097</v>
      </c>
      <c r="C558" s="8">
        <v>1</v>
      </c>
      <c r="D558" s="3" t="s">
        <v>2187</v>
      </c>
      <c r="E558" s="11" t="s">
        <v>6</v>
      </c>
      <c r="F558" s="11"/>
      <c r="G558" s="14">
        <v>0.28138800000000003</v>
      </c>
      <c r="H558" s="11"/>
      <c r="I558" s="11"/>
      <c r="J558" s="3" t="str">
        <f t="shared" si="36"/>
        <v>0910000</v>
      </c>
    </row>
    <row r="559" spans="1:10" s="3" customFormat="1">
      <c r="B559" s="3" t="s">
        <v>2097</v>
      </c>
      <c r="C559" s="8">
        <v>1</v>
      </c>
      <c r="D559" s="3" t="s">
        <v>2187</v>
      </c>
      <c r="E559" s="11" t="s">
        <v>7</v>
      </c>
      <c r="F559" s="11"/>
      <c r="G559" s="15">
        <f>ROUND(G557*G558,0)</f>
        <v>18829</v>
      </c>
      <c r="H559" s="16">
        <f>ROUND(G559/2,0)</f>
        <v>9415</v>
      </c>
      <c r="I559" s="15">
        <f>G559-H559</f>
        <v>9414</v>
      </c>
      <c r="J559" s="3" t="str">
        <f t="shared" si="36"/>
        <v>0910000</v>
      </c>
    </row>
    <row r="560" spans="1:10" s="3" customFormat="1">
      <c r="B560" s="3" t="s">
        <v>2097</v>
      </c>
      <c r="C560" s="8">
        <v>1</v>
      </c>
      <c r="D560" s="3" t="s">
        <v>2187</v>
      </c>
      <c r="E560" s="11" t="s">
        <v>8</v>
      </c>
      <c r="F560" s="11"/>
      <c r="G560" s="12">
        <f>+G557-G559</f>
        <v>48084</v>
      </c>
      <c r="H560" s="13">
        <f>ROUND(G560/2,0)</f>
        <v>24042</v>
      </c>
      <c r="I560" s="12">
        <f>G560-H560</f>
        <v>24042</v>
      </c>
      <c r="J560" s="3" t="str">
        <f t="shared" si="36"/>
        <v>0910000</v>
      </c>
    </row>
    <row r="561" spans="2:10" s="3" customFormat="1">
      <c r="B561" s="3" t="s">
        <v>2097</v>
      </c>
      <c r="C561" s="8">
        <v>2</v>
      </c>
      <c r="D561" s="3" t="s">
        <v>2188</v>
      </c>
      <c r="E561" s="11" t="s">
        <v>46</v>
      </c>
      <c r="F561" s="11"/>
      <c r="G561" s="9"/>
      <c r="H561" s="11"/>
      <c r="I561" s="11"/>
      <c r="J561" s="3" t="str">
        <f t="shared" si="36"/>
        <v>0920001</v>
      </c>
    </row>
    <row r="562" spans="2:10" s="3" customFormat="1">
      <c r="B562" s="3" t="s">
        <v>2097</v>
      </c>
      <c r="C562" s="8">
        <v>2</v>
      </c>
      <c r="D562" s="3" t="s">
        <v>2188</v>
      </c>
      <c r="E562" s="11" t="s">
        <v>10</v>
      </c>
      <c r="F562" s="10">
        <v>7.1599999999999995E-4</v>
      </c>
      <c r="G562" s="12">
        <f>ROUND(G$3*F562,0)</f>
        <v>206</v>
      </c>
      <c r="H562" s="13">
        <f>ROUND(G562/2,0)</f>
        <v>103</v>
      </c>
      <c r="I562" s="12">
        <f>G562-H562</f>
        <v>103</v>
      </c>
      <c r="J562" s="3" t="str">
        <f t="shared" si="36"/>
        <v>0920001</v>
      </c>
    </row>
    <row r="563" spans="2:10" s="3" customFormat="1">
      <c r="B563" s="3" t="s">
        <v>2097</v>
      </c>
      <c r="C563" s="8">
        <v>2</v>
      </c>
      <c r="D563" s="3" t="s">
        <v>2188</v>
      </c>
      <c r="E563" s="11" t="s">
        <v>11</v>
      </c>
      <c r="F563" s="10">
        <v>4.15E-4</v>
      </c>
      <c r="G563" s="12">
        <f>ROUND(G$3*F563,0)</f>
        <v>119</v>
      </c>
      <c r="H563" s="13">
        <f>ROUND(G563/2,0)</f>
        <v>60</v>
      </c>
      <c r="I563" s="12">
        <f>G563-H563</f>
        <v>59</v>
      </c>
      <c r="J563" s="3" t="str">
        <f t="shared" si="36"/>
        <v>0920001</v>
      </c>
    </row>
    <row r="564" spans="2:10" s="3" customFormat="1">
      <c r="B564" s="3" t="s">
        <v>2097</v>
      </c>
      <c r="C564" s="8">
        <v>2</v>
      </c>
      <c r="D564" s="3" t="s">
        <v>2189</v>
      </c>
      <c r="E564" s="11" t="s">
        <v>199</v>
      </c>
      <c r="F564" s="11"/>
      <c r="G564" s="9"/>
      <c r="H564" s="11"/>
      <c r="I564" s="11"/>
      <c r="J564" s="3" t="str">
        <f t="shared" si="36"/>
        <v>0920002</v>
      </c>
    </row>
    <row r="565" spans="2:10" s="3" customFormat="1">
      <c r="B565" s="3" t="s">
        <v>2097</v>
      </c>
      <c r="C565" s="8">
        <v>2</v>
      </c>
      <c r="D565" s="3" t="s">
        <v>2189</v>
      </c>
      <c r="E565" s="11" t="s">
        <v>10</v>
      </c>
      <c r="F565" s="10">
        <v>3.5E-4</v>
      </c>
      <c r="G565" s="12">
        <f>ROUND(G$3*F565,0)</f>
        <v>101</v>
      </c>
      <c r="H565" s="13">
        <f>ROUND(G565/2,0)</f>
        <v>51</v>
      </c>
      <c r="I565" s="12">
        <f>G565-H565</f>
        <v>50</v>
      </c>
      <c r="J565" s="3" t="str">
        <f t="shared" si="36"/>
        <v>0920002</v>
      </c>
    </row>
    <row r="566" spans="2:10" s="3" customFormat="1">
      <c r="B566" s="3" t="s">
        <v>2097</v>
      </c>
      <c r="C566" s="8">
        <v>2</v>
      </c>
      <c r="D566" s="3" t="s">
        <v>2189</v>
      </c>
      <c r="E566" s="11" t="s">
        <v>11</v>
      </c>
      <c r="F566" s="10">
        <v>2.5599999999999999E-4</v>
      </c>
      <c r="G566" s="12">
        <f>ROUND(G$3*F566,0)</f>
        <v>74</v>
      </c>
      <c r="H566" s="13">
        <f>ROUND(G566/2,0)</f>
        <v>37</v>
      </c>
      <c r="I566" s="12">
        <f>G566-H566</f>
        <v>37</v>
      </c>
      <c r="J566" s="3" t="str">
        <f t="shared" si="36"/>
        <v>0920002</v>
      </c>
    </row>
    <row r="567" spans="2:10" s="3" customFormat="1">
      <c r="B567" s="3" t="s">
        <v>2097</v>
      </c>
      <c r="C567" s="8">
        <v>2</v>
      </c>
      <c r="D567" s="3" t="s">
        <v>2190</v>
      </c>
      <c r="E567" s="11" t="s">
        <v>200</v>
      </c>
      <c r="F567" s="11"/>
      <c r="G567" s="9"/>
      <c r="H567" s="11"/>
      <c r="I567" s="11"/>
      <c r="J567" s="3" t="str">
        <f t="shared" si="36"/>
        <v>0920003</v>
      </c>
    </row>
    <row r="568" spans="2:10" s="3" customFormat="1">
      <c r="B568" s="3" t="s">
        <v>2097</v>
      </c>
      <c r="C568" s="8">
        <v>2</v>
      </c>
      <c r="D568" s="3" t="s">
        <v>2190</v>
      </c>
      <c r="E568" s="11" t="s">
        <v>10</v>
      </c>
      <c r="F568" s="10">
        <v>5.1400000000000003E-4</v>
      </c>
      <c r="G568" s="12">
        <f>ROUND(G$3*F568,0)</f>
        <v>148</v>
      </c>
      <c r="H568" s="13">
        <f>ROUND(G568/2,0)</f>
        <v>74</v>
      </c>
      <c r="I568" s="12">
        <f>G568-H568</f>
        <v>74</v>
      </c>
      <c r="J568" s="3" t="str">
        <f t="shared" si="36"/>
        <v>0920003</v>
      </c>
    </row>
    <row r="569" spans="2:10" s="3" customFormat="1">
      <c r="B569" s="3" t="s">
        <v>2097</v>
      </c>
      <c r="C569" s="8">
        <v>2</v>
      </c>
      <c r="D569" s="3" t="s">
        <v>2190</v>
      </c>
      <c r="E569" s="11" t="s">
        <v>11</v>
      </c>
      <c r="F569" s="10">
        <v>1.0900000000000001E-4</v>
      </c>
      <c r="G569" s="12">
        <f>ROUND(G$3*F569,0)</f>
        <v>31</v>
      </c>
      <c r="H569" s="13">
        <f>ROUND(G569/2,0)</f>
        <v>16</v>
      </c>
      <c r="I569" s="12">
        <f>G569-H569</f>
        <v>15</v>
      </c>
      <c r="J569" s="3" t="str">
        <f t="shared" si="36"/>
        <v>0920003</v>
      </c>
    </row>
    <row r="570" spans="2:10" s="3" customFormat="1">
      <c r="B570" s="3" t="s">
        <v>2097</v>
      </c>
      <c r="C570" s="8">
        <v>2</v>
      </c>
      <c r="D570" s="3" t="s">
        <v>2191</v>
      </c>
      <c r="E570" s="11" t="s">
        <v>81</v>
      </c>
      <c r="F570" s="11"/>
      <c r="G570" s="9"/>
      <c r="H570" s="11"/>
      <c r="I570" s="11"/>
      <c r="J570" s="3" t="str">
        <f t="shared" si="36"/>
        <v>0920004</v>
      </c>
    </row>
    <row r="571" spans="2:10" s="3" customFormat="1">
      <c r="B571" s="3" t="s">
        <v>2097</v>
      </c>
      <c r="C571" s="8">
        <v>2</v>
      </c>
      <c r="D571" s="3" t="s">
        <v>2191</v>
      </c>
      <c r="E571" s="11" t="s">
        <v>10</v>
      </c>
      <c r="F571" s="10">
        <v>8.0000000000000007E-5</v>
      </c>
      <c r="G571" s="12">
        <f>ROUND(G$3*F571,0)</f>
        <v>23</v>
      </c>
      <c r="H571" s="13">
        <f>ROUND(G571/2,0)</f>
        <v>12</v>
      </c>
      <c r="I571" s="12">
        <f>G571-H571</f>
        <v>11</v>
      </c>
      <c r="J571" s="3" t="str">
        <f t="shared" si="36"/>
        <v>0920004</v>
      </c>
    </row>
    <row r="572" spans="2:10" s="3" customFormat="1">
      <c r="B572" s="3" t="s">
        <v>2097</v>
      </c>
      <c r="C572" s="8">
        <v>2</v>
      </c>
      <c r="D572" s="3" t="s">
        <v>2191</v>
      </c>
      <c r="E572" s="11" t="s">
        <v>11</v>
      </c>
      <c r="F572" s="10">
        <v>2.2900000000000001E-4</v>
      </c>
      <c r="G572" s="12">
        <f>ROUND(G$3*F572,0)</f>
        <v>66</v>
      </c>
      <c r="H572" s="13">
        <f>ROUND(G572/2,0)</f>
        <v>33</v>
      </c>
      <c r="I572" s="12">
        <f>G572-H572</f>
        <v>33</v>
      </c>
      <c r="J572" s="3" t="str">
        <f t="shared" si="36"/>
        <v>0920004</v>
      </c>
    </row>
    <row r="573" spans="2:10" s="3" customFormat="1">
      <c r="B573" s="3" t="s">
        <v>2097</v>
      </c>
      <c r="C573" s="8">
        <v>2</v>
      </c>
      <c r="D573" s="3" t="s">
        <v>2192</v>
      </c>
      <c r="E573" s="11" t="s">
        <v>147</v>
      </c>
      <c r="F573" s="11"/>
      <c r="G573" s="9"/>
      <c r="H573" s="11"/>
      <c r="I573" s="11"/>
      <c r="J573" s="3" t="str">
        <f t="shared" si="36"/>
        <v>0920005</v>
      </c>
    </row>
    <row r="574" spans="2:10" s="3" customFormat="1">
      <c r="B574" s="3" t="s">
        <v>2097</v>
      </c>
      <c r="C574" s="8">
        <v>2</v>
      </c>
      <c r="D574" s="3" t="s">
        <v>2192</v>
      </c>
      <c r="E574" s="11" t="s">
        <v>10</v>
      </c>
      <c r="F574" s="10">
        <v>7.3099999999999999E-4</v>
      </c>
      <c r="G574" s="12">
        <f>ROUND(G$3*F574,0)</f>
        <v>210</v>
      </c>
      <c r="H574" s="13">
        <f>ROUND(G574/2,0)</f>
        <v>105</v>
      </c>
      <c r="I574" s="12">
        <f>G574-H574</f>
        <v>105</v>
      </c>
      <c r="J574" s="3" t="str">
        <f t="shared" si="36"/>
        <v>0920005</v>
      </c>
    </row>
    <row r="575" spans="2:10" s="3" customFormat="1">
      <c r="B575" s="3" t="s">
        <v>2097</v>
      </c>
      <c r="C575" s="8">
        <v>2</v>
      </c>
      <c r="D575" s="3" t="s">
        <v>2192</v>
      </c>
      <c r="E575" s="11" t="s">
        <v>11</v>
      </c>
      <c r="F575" s="10">
        <v>6.4599999999999998E-4</v>
      </c>
      <c r="G575" s="12">
        <f>ROUND(G$3*F575,0)</f>
        <v>186</v>
      </c>
      <c r="H575" s="13">
        <f>ROUND(G575/2,0)</f>
        <v>93</v>
      </c>
      <c r="I575" s="12">
        <f>G575-H575</f>
        <v>93</v>
      </c>
      <c r="J575" s="3" t="str">
        <f t="shared" si="36"/>
        <v>0920005</v>
      </c>
    </row>
    <row r="576" spans="2:10" s="3" customFormat="1">
      <c r="B576" s="3" t="s">
        <v>2097</v>
      </c>
      <c r="C576" s="8">
        <v>2</v>
      </c>
      <c r="D576" s="3" t="s">
        <v>2193</v>
      </c>
      <c r="E576" s="11" t="s">
        <v>179</v>
      </c>
      <c r="F576" s="11"/>
      <c r="G576" s="9"/>
      <c r="H576" s="11"/>
      <c r="I576" s="11"/>
      <c r="J576" s="3" t="str">
        <f t="shared" si="36"/>
        <v>0920006</v>
      </c>
    </row>
    <row r="577" spans="2:10" s="3" customFormat="1">
      <c r="B577" s="3" t="s">
        <v>2097</v>
      </c>
      <c r="C577" s="8">
        <v>2</v>
      </c>
      <c r="D577" s="3" t="s">
        <v>2193</v>
      </c>
      <c r="E577" s="11" t="s">
        <v>10</v>
      </c>
      <c r="F577" s="10">
        <v>4.9700000000000005E-4</v>
      </c>
      <c r="G577" s="12">
        <f>ROUND(G$3*F577,0)</f>
        <v>143</v>
      </c>
      <c r="H577" s="13">
        <f>ROUND(G577/2,0)</f>
        <v>72</v>
      </c>
      <c r="I577" s="12">
        <f>G577-H577</f>
        <v>71</v>
      </c>
      <c r="J577" s="3" t="str">
        <f t="shared" si="36"/>
        <v>0920006</v>
      </c>
    </row>
    <row r="578" spans="2:10" s="3" customFormat="1">
      <c r="B578" s="3" t="s">
        <v>2097</v>
      </c>
      <c r="C578" s="8">
        <v>2</v>
      </c>
      <c r="D578" s="3" t="s">
        <v>2193</v>
      </c>
      <c r="E578" s="11" t="s">
        <v>11</v>
      </c>
      <c r="F578" s="10">
        <v>3.2299999999999999E-4</v>
      </c>
      <c r="G578" s="12">
        <f>ROUND(G$3*F578,0)</f>
        <v>93</v>
      </c>
      <c r="H578" s="13">
        <f>ROUND(G578/2,0)</f>
        <v>47</v>
      </c>
      <c r="I578" s="12">
        <f>G578-H578</f>
        <v>46</v>
      </c>
      <c r="J578" s="3" t="str">
        <f t="shared" si="36"/>
        <v>0920006</v>
      </c>
    </row>
    <row r="579" spans="2:10" s="3" customFormat="1">
      <c r="B579" s="3" t="s">
        <v>2097</v>
      </c>
      <c r="C579" s="8">
        <v>2</v>
      </c>
      <c r="D579" s="3" t="s">
        <v>2194</v>
      </c>
      <c r="E579" s="11" t="s">
        <v>201</v>
      </c>
      <c r="F579" s="11"/>
      <c r="G579" s="9"/>
      <c r="H579" s="11"/>
      <c r="I579" s="11"/>
      <c r="J579" s="3" t="str">
        <f t="shared" si="36"/>
        <v>0920007</v>
      </c>
    </row>
    <row r="580" spans="2:10" s="3" customFormat="1">
      <c r="B580" s="3" t="s">
        <v>2097</v>
      </c>
      <c r="C580" s="8">
        <v>2</v>
      </c>
      <c r="D580" s="3" t="s">
        <v>2194</v>
      </c>
      <c r="E580" s="11" t="s">
        <v>10</v>
      </c>
      <c r="F580" s="10">
        <v>4.3470000000000002E-3</v>
      </c>
      <c r="G580" s="12">
        <f>ROUND(G$3*F580,0)</f>
        <v>1251</v>
      </c>
      <c r="H580" s="13">
        <f>ROUND(G580/2,0)</f>
        <v>626</v>
      </c>
      <c r="I580" s="12">
        <f>G580-H580</f>
        <v>625</v>
      </c>
      <c r="J580" s="3" t="str">
        <f t="shared" ref="J580:J643" si="42">B580&amp;C580&amp;D580</f>
        <v>0920007</v>
      </c>
    </row>
    <row r="581" spans="2:10" s="3" customFormat="1">
      <c r="B581" s="3" t="s">
        <v>2097</v>
      </c>
      <c r="C581" s="8">
        <v>2</v>
      </c>
      <c r="D581" s="3" t="s">
        <v>2194</v>
      </c>
      <c r="E581" s="11" t="s">
        <v>11</v>
      </c>
      <c r="F581" s="10">
        <v>4.2700000000000002E-4</v>
      </c>
      <c r="G581" s="12">
        <f>ROUND(G$3*F581,0)</f>
        <v>123</v>
      </c>
      <c r="H581" s="13">
        <f>ROUND(G581/2,0)</f>
        <v>62</v>
      </c>
      <c r="I581" s="12">
        <f>G581-H581</f>
        <v>61</v>
      </c>
      <c r="J581" s="3" t="str">
        <f t="shared" si="42"/>
        <v>0920007</v>
      </c>
    </row>
    <row r="582" spans="2:10" s="3" customFormat="1">
      <c r="B582" s="3" t="s">
        <v>2097</v>
      </c>
      <c r="C582" s="8">
        <v>2</v>
      </c>
      <c r="D582" s="3" t="s">
        <v>2195</v>
      </c>
      <c r="E582" s="11" t="s">
        <v>86</v>
      </c>
      <c r="F582" s="5"/>
      <c r="G582" s="5"/>
      <c r="H582" s="6"/>
      <c r="I582" s="11"/>
      <c r="J582" s="3" t="str">
        <f t="shared" si="42"/>
        <v>0920008</v>
      </c>
    </row>
    <row r="583" spans="2:10" s="3" customFormat="1">
      <c r="B583" s="3" t="s">
        <v>2097</v>
      </c>
      <c r="C583" s="8">
        <v>2</v>
      </c>
      <c r="D583" s="3" t="s">
        <v>2195</v>
      </c>
      <c r="E583" s="11" t="s">
        <v>10</v>
      </c>
      <c r="F583" s="10">
        <v>7.4600000000000003E-4</v>
      </c>
      <c r="G583" s="12">
        <f>ROUND(G$3*F583,0)</f>
        <v>215</v>
      </c>
      <c r="H583" s="13">
        <f>ROUND(G583/2,0)</f>
        <v>108</v>
      </c>
      <c r="I583" s="12">
        <f>G583-H583</f>
        <v>107</v>
      </c>
      <c r="J583" s="3" t="str">
        <f t="shared" si="42"/>
        <v>0920008</v>
      </c>
    </row>
    <row r="584" spans="2:10" s="3" customFormat="1">
      <c r="B584" s="3" t="s">
        <v>2097</v>
      </c>
      <c r="C584" s="8">
        <v>2</v>
      </c>
      <c r="D584" s="3" t="s">
        <v>2195</v>
      </c>
      <c r="E584" s="11" t="s">
        <v>11</v>
      </c>
      <c r="F584" s="10">
        <v>5.8399999999999999E-4</v>
      </c>
      <c r="G584" s="12">
        <f>ROUND(G$3*F584,0)</f>
        <v>168</v>
      </c>
      <c r="H584" s="13">
        <f>ROUND(G584/2,0)</f>
        <v>84</v>
      </c>
      <c r="I584" s="12">
        <f>G584-H584</f>
        <v>84</v>
      </c>
      <c r="J584" s="3" t="str">
        <f t="shared" si="42"/>
        <v>0920008</v>
      </c>
    </row>
    <row r="585" spans="2:10" s="3" customFormat="1">
      <c r="B585" s="3" t="s">
        <v>2097</v>
      </c>
      <c r="C585" s="8">
        <v>2</v>
      </c>
      <c r="D585" s="3" t="s">
        <v>2196</v>
      </c>
      <c r="E585" s="11" t="s">
        <v>49</v>
      </c>
      <c r="F585" s="11"/>
      <c r="G585" s="9"/>
      <c r="H585" s="11"/>
      <c r="I585" s="11"/>
      <c r="J585" s="3" t="str">
        <f t="shared" si="42"/>
        <v>0920009</v>
      </c>
    </row>
    <row r="586" spans="2:10" s="3" customFormat="1">
      <c r="B586" s="3" t="s">
        <v>2097</v>
      </c>
      <c r="C586" s="8">
        <v>2</v>
      </c>
      <c r="D586" s="3" t="s">
        <v>2196</v>
      </c>
      <c r="E586" s="11" t="s">
        <v>10</v>
      </c>
      <c r="F586" s="10">
        <v>5.9599999999999996E-4</v>
      </c>
      <c r="G586" s="12">
        <f>ROUND(G$3*F586,0)</f>
        <v>171</v>
      </c>
      <c r="H586" s="13">
        <f>ROUND(G586/2,0)</f>
        <v>86</v>
      </c>
      <c r="I586" s="12">
        <f>G586-H586</f>
        <v>85</v>
      </c>
      <c r="J586" s="3" t="str">
        <f t="shared" si="42"/>
        <v>0920009</v>
      </c>
    </row>
    <row r="587" spans="2:10" s="3" customFormat="1">
      <c r="B587" s="3" t="s">
        <v>2097</v>
      </c>
      <c r="C587" s="8">
        <v>2</v>
      </c>
      <c r="D587" s="3" t="s">
        <v>2196</v>
      </c>
      <c r="E587" s="11" t="s">
        <v>11</v>
      </c>
      <c r="F587" s="10">
        <v>3.8000000000000002E-4</v>
      </c>
      <c r="G587" s="12">
        <f>ROUND(G$3*F587,0)</f>
        <v>109</v>
      </c>
      <c r="H587" s="13">
        <f>ROUND(G587/2,0)</f>
        <v>55</v>
      </c>
      <c r="I587" s="12">
        <f>G587-H587</f>
        <v>54</v>
      </c>
      <c r="J587" s="3" t="str">
        <f t="shared" si="42"/>
        <v>0920009</v>
      </c>
    </row>
    <row r="588" spans="2:10" s="3" customFormat="1">
      <c r="B588" s="3" t="s">
        <v>2097</v>
      </c>
      <c r="C588" s="8">
        <v>2</v>
      </c>
      <c r="D588" s="3" t="s">
        <v>2197</v>
      </c>
      <c r="E588" s="11" t="s">
        <v>14</v>
      </c>
      <c r="F588" s="11"/>
      <c r="G588" s="9"/>
      <c r="H588" s="11"/>
      <c r="I588" s="11"/>
      <c r="J588" s="3" t="str">
        <f t="shared" si="42"/>
        <v>0920010</v>
      </c>
    </row>
    <row r="589" spans="2:10" s="3" customFormat="1">
      <c r="B589" s="3" t="s">
        <v>2097</v>
      </c>
      <c r="C589" s="8">
        <v>2</v>
      </c>
      <c r="D589" s="3" t="s">
        <v>2197</v>
      </c>
      <c r="E589" s="11" t="s">
        <v>10</v>
      </c>
      <c r="F589" s="10">
        <v>4.0000000000000002E-4</v>
      </c>
      <c r="G589" s="12">
        <f>ROUND(G$3*F589,0)</f>
        <v>115</v>
      </c>
      <c r="H589" s="13">
        <f>ROUND(G589/2,0)</f>
        <v>58</v>
      </c>
      <c r="I589" s="12">
        <f>G589-H589</f>
        <v>57</v>
      </c>
      <c r="J589" s="3" t="str">
        <f t="shared" si="42"/>
        <v>0920010</v>
      </c>
    </row>
    <row r="590" spans="2:10" s="3" customFormat="1">
      <c r="B590" s="3" t="s">
        <v>2097</v>
      </c>
      <c r="C590" s="8">
        <v>2</v>
      </c>
      <c r="D590" s="3" t="s">
        <v>2197</v>
      </c>
      <c r="E590" s="11" t="s">
        <v>11</v>
      </c>
      <c r="F590" s="10">
        <v>2.7300000000000002E-4</v>
      </c>
      <c r="G590" s="12">
        <f>ROUND(G$3*F590,0)</f>
        <v>79</v>
      </c>
      <c r="H590" s="13">
        <f>ROUND(G590/2,0)</f>
        <v>40</v>
      </c>
      <c r="I590" s="12">
        <f>G590-H590</f>
        <v>39</v>
      </c>
      <c r="J590" s="3" t="str">
        <f t="shared" si="42"/>
        <v>0920010</v>
      </c>
    </row>
    <row r="591" spans="2:10" s="3" customFormat="1">
      <c r="B591" s="3" t="s">
        <v>2097</v>
      </c>
      <c r="C591" s="8">
        <v>2</v>
      </c>
      <c r="D591" s="3" t="s">
        <v>2198</v>
      </c>
      <c r="E591" s="11" t="s">
        <v>202</v>
      </c>
      <c r="F591" s="11"/>
      <c r="G591" s="9"/>
      <c r="H591" s="11"/>
      <c r="I591" s="11"/>
      <c r="J591" s="3" t="str">
        <f t="shared" si="42"/>
        <v>0920011</v>
      </c>
    </row>
    <row r="592" spans="2:10" s="3" customFormat="1">
      <c r="B592" s="3" t="s">
        <v>2097</v>
      </c>
      <c r="C592" s="8">
        <v>2</v>
      </c>
      <c r="D592" s="3" t="s">
        <v>2198</v>
      </c>
      <c r="E592" s="11" t="s">
        <v>10</v>
      </c>
      <c r="F592" s="10">
        <v>3.4499999999999998E-4</v>
      </c>
      <c r="G592" s="12">
        <f>ROUND(G$3*F592,0)</f>
        <v>99</v>
      </c>
      <c r="H592" s="13">
        <f>ROUND(G592/2,0)</f>
        <v>50</v>
      </c>
      <c r="I592" s="12">
        <f>G592-H592</f>
        <v>49</v>
      </c>
      <c r="J592" s="3" t="str">
        <f t="shared" si="42"/>
        <v>0920011</v>
      </c>
    </row>
    <row r="593" spans="2:10" s="3" customFormat="1">
      <c r="B593" s="3" t="s">
        <v>2097</v>
      </c>
      <c r="C593" s="8">
        <v>2</v>
      </c>
      <c r="D593" s="3" t="s">
        <v>2198</v>
      </c>
      <c r="E593" s="11" t="s">
        <v>11</v>
      </c>
      <c r="F593" s="10">
        <v>2.3900000000000001E-4</v>
      </c>
      <c r="G593" s="12">
        <f>ROUND(G$3*F593,0)</f>
        <v>69</v>
      </c>
      <c r="H593" s="13">
        <f>ROUND(G593/2,0)</f>
        <v>35</v>
      </c>
      <c r="I593" s="12">
        <f>G593-H593</f>
        <v>34</v>
      </c>
      <c r="J593" s="3" t="str">
        <f t="shared" si="42"/>
        <v>0920011</v>
      </c>
    </row>
    <row r="594" spans="2:10" s="3" customFormat="1">
      <c r="B594" s="3" t="s">
        <v>2097</v>
      </c>
      <c r="C594" s="8">
        <v>2</v>
      </c>
      <c r="D594" s="3" t="s">
        <v>2199</v>
      </c>
      <c r="E594" s="11" t="s">
        <v>203</v>
      </c>
      <c r="F594" s="11"/>
      <c r="G594" s="9"/>
      <c r="H594" s="11"/>
      <c r="I594" s="11"/>
      <c r="J594" s="3" t="str">
        <f t="shared" si="42"/>
        <v>0920012</v>
      </c>
    </row>
    <row r="595" spans="2:10" s="3" customFormat="1">
      <c r="B595" s="3" t="s">
        <v>2097</v>
      </c>
      <c r="C595" s="8">
        <v>2</v>
      </c>
      <c r="D595" s="3" t="s">
        <v>2199</v>
      </c>
      <c r="E595" s="11" t="s">
        <v>10</v>
      </c>
      <c r="F595" s="10">
        <v>4.1800000000000002E-4</v>
      </c>
      <c r="G595" s="12">
        <f>ROUND(G$3*F595,0)</f>
        <v>120</v>
      </c>
      <c r="H595" s="13">
        <f>ROUND(G595/2,0)</f>
        <v>60</v>
      </c>
      <c r="I595" s="12">
        <f>G595-H595</f>
        <v>60</v>
      </c>
      <c r="J595" s="3" t="str">
        <f t="shared" si="42"/>
        <v>0920012</v>
      </c>
    </row>
    <row r="596" spans="2:10" s="3" customFormat="1">
      <c r="B596" s="3" t="s">
        <v>2097</v>
      </c>
      <c r="C596" s="8">
        <v>2</v>
      </c>
      <c r="D596" s="3" t="s">
        <v>2199</v>
      </c>
      <c r="E596" s="11" t="s">
        <v>11</v>
      </c>
      <c r="F596" s="10">
        <v>7.7800000000000005E-4</v>
      </c>
      <c r="G596" s="12">
        <f>ROUND(G$3*F596,0)</f>
        <v>224</v>
      </c>
      <c r="H596" s="13">
        <f>ROUND(G596/2,0)</f>
        <v>112</v>
      </c>
      <c r="I596" s="12">
        <f>G596-H596</f>
        <v>112</v>
      </c>
      <c r="J596" s="3" t="str">
        <f t="shared" si="42"/>
        <v>0920012</v>
      </c>
    </row>
    <row r="597" spans="2:10" s="3" customFormat="1">
      <c r="B597" s="3" t="s">
        <v>2097</v>
      </c>
      <c r="C597" s="8">
        <v>2</v>
      </c>
      <c r="D597" s="3" t="s">
        <v>2208</v>
      </c>
      <c r="E597" s="11" t="s">
        <v>204</v>
      </c>
      <c r="F597" s="11"/>
      <c r="G597" s="9"/>
      <c r="H597" s="11"/>
      <c r="I597" s="11"/>
      <c r="J597" s="3" t="str">
        <f t="shared" si="42"/>
        <v>0920013</v>
      </c>
    </row>
    <row r="598" spans="2:10" s="3" customFormat="1">
      <c r="B598" s="3" t="s">
        <v>2097</v>
      </c>
      <c r="C598" s="8">
        <v>2</v>
      </c>
      <c r="D598" s="3" t="s">
        <v>2208</v>
      </c>
      <c r="E598" s="11" t="s">
        <v>10</v>
      </c>
      <c r="F598" s="10">
        <v>5.0900000000000001E-4</v>
      </c>
      <c r="G598" s="12">
        <f>ROUND(G$3*F598,0)</f>
        <v>146</v>
      </c>
      <c r="H598" s="13">
        <f>ROUND(G598/2,0)</f>
        <v>73</v>
      </c>
      <c r="I598" s="12">
        <f>G598-H598</f>
        <v>73</v>
      </c>
      <c r="J598" s="3" t="str">
        <f t="shared" si="42"/>
        <v>0920013</v>
      </c>
    </row>
    <row r="599" spans="2:10" s="3" customFormat="1">
      <c r="B599" s="3" t="s">
        <v>2097</v>
      </c>
      <c r="C599" s="8">
        <v>2</v>
      </c>
      <c r="D599" s="3" t="s">
        <v>2208</v>
      </c>
      <c r="E599" s="11" t="s">
        <v>11</v>
      </c>
      <c r="F599" s="10">
        <v>6.5399999999999996E-4</v>
      </c>
      <c r="G599" s="12">
        <f>ROUND(G$3*F599,0)</f>
        <v>188</v>
      </c>
      <c r="H599" s="13">
        <f>ROUND(G599/2,0)</f>
        <v>94</v>
      </c>
      <c r="I599" s="12">
        <f>G599-H599</f>
        <v>94</v>
      </c>
      <c r="J599" s="3" t="str">
        <f t="shared" si="42"/>
        <v>0920013</v>
      </c>
    </row>
    <row r="600" spans="2:10" s="3" customFormat="1">
      <c r="B600" s="3" t="s">
        <v>2097</v>
      </c>
      <c r="C600" s="8">
        <v>2</v>
      </c>
      <c r="D600" s="3" t="s">
        <v>2209</v>
      </c>
      <c r="E600" s="11" t="s">
        <v>22</v>
      </c>
      <c r="F600" s="11"/>
      <c r="G600" s="9"/>
      <c r="H600" s="11"/>
      <c r="I600" s="11"/>
      <c r="J600" s="3" t="str">
        <f t="shared" si="42"/>
        <v>0920014</v>
      </c>
    </row>
    <row r="601" spans="2:10" s="3" customFormat="1">
      <c r="B601" s="3" t="s">
        <v>2097</v>
      </c>
      <c r="C601" s="8">
        <v>2</v>
      </c>
      <c r="D601" s="3" t="s">
        <v>2209</v>
      </c>
      <c r="E601" s="11" t="s">
        <v>10</v>
      </c>
      <c r="F601" s="10">
        <v>1.9380000000000001E-3</v>
      </c>
      <c r="G601" s="12">
        <f t="shared" ref="G601:G608" si="43">ROUND(G$3*F601,0)</f>
        <v>558</v>
      </c>
      <c r="H601" s="13">
        <f t="shared" ref="H601:H608" si="44">ROUND(G601/2,0)</f>
        <v>279</v>
      </c>
      <c r="I601" s="12">
        <f t="shared" ref="I601:I608" si="45">G601-H601</f>
        <v>279</v>
      </c>
      <c r="J601" s="3" t="str">
        <f t="shared" si="42"/>
        <v>0920014</v>
      </c>
    </row>
    <row r="602" spans="2:10" s="3" customFormat="1">
      <c r="B602" s="3" t="s">
        <v>2097</v>
      </c>
      <c r="C602" s="8">
        <v>2</v>
      </c>
      <c r="D602" s="3" t="s">
        <v>2209</v>
      </c>
      <c r="E602" s="11" t="s">
        <v>11</v>
      </c>
      <c r="F602" s="10">
        <v>1.0889999999999999E-3</v>
      </c>
      <c r="G602" s="12">
        <f t="shared" si="43"/>
        <v>313</v>
      </c>
      <c r="H602" s="13">
        <f t="shared" si="44"/>
        <v>157</v>
      </c>
      <c r="I602" s="12">
        <f t="shared" si="45"/>
        <v>156</v>
      </c>
      <c r="J602" s="3" t="str">
        <f t="shared" si="42"/>
        <v>0920014</v>
      </c>
    </row>
    <row r="603" spans="2:10" s="3" customFormat="1">
      <c r="B603" s="3" t="s">
        <v>2097</v>
      </c>
      <c r="C603" s="8">
        <v>3</v>
      </c>
      <c r="D603" s="3" t="s">
        <v>2280</v>
      </c>
      <c r="E603" s="11" t="s">
        <v>205</v>
      </c>
      <c r="F603" s="10">
        <v>4.8060000000000004E-3</v>
      </c>
      <c r="G603" s="12">
        <f t="shared" si="43"/>
        <v>1383</v>
      </c>
      <c r="H603" s="13">
        <f t="shared" si="44"/>
        <v>692</v>
      </c>
      <c r="I603" s="12">
        <f t="shared" si="45"/>
        <v>691</v>
      </c>
      <c r="J603" s="3" t="str">
        <f t="shared" si="42"/>
        <v>0930547</v>
      </c>
    </row>
    <row r="604" spans="2:10" s="3" customFormat="1">
      <c r="B604" s="3" t="s">
        <v>2097</v>
      </c>
      <c r="C604" s="8">
        <v>3</v>
      </c>
      <c r="D604" s="3" t="s">
        <v>2279</v>
      </c>
      <c r="E604" s="11" t="s">
        <v>206</v>
      </c>
      <c r="F604" s="10">
        <v>0.14824799999999999</v>
      </c>
      <c r="G604" s="12">
        <f t="shared" si="43"/>
        <v>42654</v>
      </c>
      <c r="H604" s="13">
        <f t="shared" si="44"/>
        <v>21327</v>
      </c>
      <c r="I604" s="12">
        <f t="shared" si="45"/>
        <v>21327</v>
      </c>
      <c r="J604" s="3" t="str">
        <f t="shared" si="42"/>
        <v>0930301</v>
      </c>
    </row>
    <row r="605" spans="2:10" s="3" customFormat="1">
      <c r="B605" s="3" t="s">
        <v>2097</v>
      </c>
      <c r="C605" s="8">
        <v>3</v>
      </c>
      <c r="D605" s="3" t="s">
        <v>2281</v>
      </c>
      <c r="E605" s="11" t="s">
        <v>207</v>
      </c>
      <c r="F605" s="10">
        <v>2.1999999999999999E-5</v>
      </c>
      <c r="G605" s="12">
        <f t="shared" si="43"/>
        <v>6</v>
      </c>
      <c r="H605" s="13">
        <f t="shared" si="44"/>
        <v>3</v>
      </c>
      <c r="I605" s="12">
        <f t="shared" si="45"/>
        <v>3</v>
      </c>
      <c r="J605" s="3" t="str">
        <f t="shared" si="42"/>
        <v>0930548</v>
      </c>
    </row>
    <row r="606" spans="2:10" s="3" customFormat="1">
      <c r="B606" s="3" t="s">
        <v>2097</v>
      </c>
      <c r="C606" s="8">
        <v>3</v>
      </c>
      <c r="D606" s="3" t="s">
        <v>2282</v>
      </c>
      <c r="E606" s="11" t="s">
        <v>208</v>
      </c>
      <c r="F606" s="10">
        <v>3.5300000000000002E-4</v>
      </c>
      <c r="G606" s="12">
        <f t="shared" si="43"/>
        <v>102</v>
      </c>
      <c r="H606" s="13">
        <f t="shared" si="44"/>
        <v>51</v>
      </c>
      <c r="I606" s="12">
        <f t="shared" si="45"/>
        <v>51</v>
      </c>
      <c r="J606" s="3" t="str">
        <f t="shared" si="42"/>
        <v>0930549</v>
      </c>
    </row>
    <row r="607" spans="2:10" s="3" customFormat="1">
      <c r="B607" s="3" t="s">
        <v>2097</v>
      </c>
      <c r="C607" s="8">
        <v>3</v>
      </c>
      <c r="D607" s="3" t="s">
        <v>2283</v>
      </c>
      <c r="E607" s="11" t="s">
        <v>209</v>
      </c>
      <c r="F607" s="10">
        <v>3.2810000000000001E-3</v>
      </c>
      <c r="G607" s="12">
        <f t="shared" si="43"/>
        <v>944</v>
      </c>
      <c r="H607" s="13">
        <f t="shared" si="44"/>
        <v>472</v>
      </c>
      <c r="I607" s="12">
        <f t="shared" si="45"/>
        <v>472</v>
      </c>
      <c r="J607" s="3" t="str">
        <f t="shared" si="42"/>
        <v>0930550</v>
      </c>
    </row>
    <row r="608" spans="2:10" s="3" customFormat="1">
      <c r="B608" s="3" t="s">
        <v>2097</v>
      </c>
      <c r="C608" s="8">
        <v>4</v>
      </c>
      <c r="D608" s="3" t="s">
        <v>2287</v>
      </c>
      <c r="E608" s="11" t="s">
        <v>210</v>
      </c>
      <c r="F608" s="10">
        <v>4.7120000000000002E-2</v>
      </c>
      <c r="G608" s="9">
        <f t="shared" si="43"/>
        <v>13558</v>
      </c>
      <c r="H608" s="11">
        <f t="shared" si="44"/>
        <v>6779</v>
      </c>
      <c r="I608" s="9">
        <f t="shared" si="45"/>
        <v>6779</v>
      </c>
      <c r="J608" s="3" t="str">
        <f t="shared" si="42"/>
        <v>0942650</v>
      </c>
    </row>
    <row r="609" spans="2:10" s="3" customFormat="1">
      <c r="B609" s="3" t="s">
        <v>2097</v>
      </c>
      <c r="C609" s="8">
        <v>4</v>
      </c>
      <c r="D609" s="3" t="s">
        <v>2287</v>
      </c>
      <c r="E609" s="11" t="s">
        <v>28</v>
      </c>
      <c r="F609" s="11"/>
      <c r="G609" s="14">
        <v>0.54480600000000001</v>
      </c>
      <c r="H609" s="11"/>
      <c r="I609" s="11"/>
      <c r="J609" s="3" t="str">
        <f t="shared" si="42"/>
        <v>0942650</v>
      </c>
    </row>
    <row r="610" spans="2:10" s="3" customFormat="1">
      <c r="B610" s="3" t="s">
        <v>2097</v>
      </c>
      <c r="C610" s="8">
        <v>4</v>
      </c>
      <c r="D610" s="3" t="s">
        <v>2287</v>
      </c>
      <c r="E610" s="11" t="s">
        <v>29</v>
      </c>
      <c r="F610" s="11"/>
      <c r="G610" s="15">
        <f>ROUND(G608*G609,0)</f>
        <v>7386</v>
      </c>
      <c r="H610" s="16">
        <f>ROUND(G610/2,0)</f>
        <v>3693</v>
      </c>
      <c r="I610" s="15">
        <f>G610-H610</f>
        <v>3693</v>
      </c>
      <c r="J610" s="3" t="str">
        <f t="shared" si="42"/>
        <v>0942650</v>
      </c>
    </row>
    <row r="611" spans="2:10" s="3" customFormat="1">
      <c r="B611" s="3" t="s">
        <v>2097</v>
      </c>
      <c r="C611" s="8">
        <v>4</v>
      </c>
      <c r="D611" s="3" t="s">
        <v>2287</v>
      </c>
      <c r="E611" s="11" t="s">
        <v>30</v>
      </c>
      <c r="F611" s="11"/>
      <c r="G611" s="12">
        <f>+G608-G610</f>
        <v>6172</v>
      </c>
      <c r="H611" s="13">
        <f>ROUND(G611/2,0)</f>
        <v>3086</v>
      </c>
      <c r="I611" s="12">
        <f>G611-H611</f>
        <v>3086</v>
      </c>
      <c r="J611" s="3" t="str">
        <f t="shared" si="42"/>
        <v>0942650</v>
      </c>
    </row>
    <row r="612" spans="2:10" s="3" customFormat="1">
      <c r="B612" s="3" t="s">
        <v>2097</v>
      </c>
      <c r="C612" s="8">
        <v>4</v>
      </c>
      <c r="D612" s="3" t="s">
        <v>2286</v>
      </c>
      <c r="E612" s="11" t="s">
        <v>211</v>
      </c>
      <c r="F612" s="10">
        <v>0.22808100000000001</v>
      </c>
      <c r="G612" s="9">
        <f>ROUND(G$3*F612,0)</f>
        <v>65624</v>
      </c>
      <c r="H612" s="11">
        <f>ROUND(G612/2,0)</f>
        <v>32812</v>
      </c>
      <c r="I612" s="9">
        <f>G612-H612</f>
        <v>32812</v>
      </c>
      <c r="J612" s="3" t="str">
        <f t="shared" si="42"/>
        <v>0940875</v>
      </c>
    </row>
    <row r="613" spans="2:10" s="3" customFormat="1">
      <c r="B613" s="3" t="s">
        <v>2097</v>
      </c>
      <c r="C613" s="8">
        <v>4</v>
      </c>
      <c r="D613" s="3" t="s">
        <v>2286</v>
      </c>
      <c r="E613" s="11" t="s">
        <v>28</v>
      </c>
      <c r="F613" s="11"/>
      <c r="G613" s="14">
        <v>0.32965800000000001</v>
      </c>
      <c r="H613" s="11"/>
      <c r="I613" s="11"/>
      <c r="J613" s="3" t="str">
        <f t="shared" si="42"/>
        <v>0940875</v>
      </c>
    </row>
    <row r="614" spans="2:10" s="3" customFormat="1">
      <c r="B614" s="3" t="s">
        <v>2097</v>
      </c>
      <c r="C614" s="8">
        <v>4</v>
      </c>
      <c r="D614" s="3" t="s">
        <v>2286</v>
      </c>
      <c r="E614" s="11" t="s">
        <v>29</v>
      </c>
      <c r="F614" s="11"/>
      <c r="G614" s="15">
        <f>ROUND(G612*G613,0)</f>
        <v>21633</v>
      </c>
      <c r="H614" s="16">
        <f>ROUND(G614/2,0)</f>
        <v>10817</v>
      </c>
      <c r="I614" s="15">
        <f>G614-H614</f>
        <v>10816</v>
      </c>
      <c r="J614" s="3" t="str">
        <f t="shared" si="42"/>
        <v>0940875</v>
      </c>
    </row>
    <row r="615" spans="2:10" s="3" customFormat="1">
      <c r="B615" s="3" t="s">
        <v>2097</v>
      </c>
      <c r="C615" s="8">
        <v>4</v>
      </c>
      <c r="D615" s="3" t="s">
        <v>2286</v>
      </c>
      <c r="E615" s="11" t="s">
        <v>30</v>
      </c>
      <c r="F615" s="11"/>
      <c r="G615" s="12">
        <f>+G612-G614</f>
        <v>43991</v>
      </c>
      <c r="H615" s="13">
        <f>ROUND(G615/2,0)</f>
        <v>21996</v>
      </c>
      <c r="I615" s="12">
        <f>G615-H615</f>
        <v>21995</v>
      </c>
      <c r="J615" s="3" t="str">
        <f t="shared" si="42"/>
        <v>0940875</v>
      </c>
    </row>
    <row r="616" spans="2:10" s="3" customFormat="1">
      <c r="B616" s="3" t="s">
        <v>2097</v>
      </c>
      <c r="C616" s="8">
        <v>4</v>
      </c>
      <c r="D616" s="3" t="s">
        <v>2284</v>
      </c>
      <c r="E616" s="11" t="s">
        <v>212</v>
      </c>
      <c r="F616" s="10">
        <v>8.1248000000000001E-2</v>
      </c>
      <c r="G616" s="9">
        <f>ROUND(G$3*F616,0)</f>
        <v>23377</v>
      </c>
      <c r="H616" s="11">
        <f>ROUND(G616/2,0)</f>
        <v>11689</v>
      </c>
      <c r="I616" s="9">
        <f>G616-H616</f>
        <v>11688</v>
      </c>
      <c r="J616" s="3" t="str">
        <f t="shared" si="42"/>
        <v>0940775</v>
      </c>
    </row>
    <row r="617" spans="2:10" s="3" customFormat="1">
      <c r="B617" s="3" t="s">
        <v>2097</v>
      </c>
      <c r="C617" s="8">
        <v>4</v>
      </c>
      <c r="D617" s="3" t="s">
        <v>2284</v>
      </c>
      <c r="E617" s="11" t="s">
        <v>28</v>
      </c>
      <c r="F617" s="11"/>
      <c r="G617" s="14">
        <v>0.42049799999999998</v>
      </c>
      <c r="H617" s="11"/>
      <c r="I617" s="11"/>
      <c r="J617" s="3" t="str">
        <f t="shared" si="42"/>
        <v>0940775</v>
      </c>
    </row>
    <row r="618" spans="2:10" s="3" customFormat="1">
      <c r="B618" s="3" t="s">
        <v>2097</v>
      </c>
      <c r="C618" s="8">
        <v>4</v>
      </c>
      <c r="D618" s="3" t="s">
        <v>2284</v>
      </c>
      <c r="E618" s="11" t="s">
        <v>29</v>
      </c>
      <c r="F618" s="11"/>
      <c r="G618" s="15">
        <f>ROUND(G616*G617,0)</f>
        <v>9830</v>
      </c>
      <c r="H618" s="16">
        <f>ROUND(G618/2,0)</f>
        <v>4915</v>
      </c>
      <c r="I618" s="15">
        <f>G618-H618</f>
        <v>4915</v>
      </c>
      <c r="J618" s="3" t="str">
        <f t="shared" si="42"/>
        <v>0940775</v>
      </c>
    </row>
    <row r="619" spans="2:10" s="3" customFormat="1">
      <c r="B619" s="3" t="s">
        <v>2097</v>
      </c>
      <c r="C619" s="8">
        <v>4</v>
      </c>
      <c r="D619" s="3" t="s">
        <v>2284</v>
      </c>
      <c r="E619" s="11" t="s">
        <v>30</v>
      </c>
      <c r="F619" s="11"/>
      <c r="G619" s="12">
        <f>+G616-G618</f>
        <v>13547</v>
      </c>
      <c r="H619" s="13">
        <f>ROUND(G619/2,0)</f>
        <v>6774</v>
      </c>
      <c r="I619" s="12">
        <f>G619-H619</f>
        <v>6773</v>
      </c>
      <c r="J619" s="3" t="str">
        <f t="shared" si="42"/>
        <v>0940775</v>
      </c>
    </row>
    <row r="620" spans="2:10" s="128" customFormat="1" ht="15.75">
      <c r="B620" s="128" t="s">
        <v>2097</v>
      </c>
      <c r="C620" s="129">
        <v>4</v>
      </c>
      <c r="D620" t="s">
        <v>2285</v>
      </c>
      <c r="E620" s="131" t="s">
        <v>213</v>
      </c>
      <c r="F620" s="133">
        <v>0.20543600000000001</v>
      </c>
      <c r="G620" s="132">
        <f>ROUND(G$3*F620,0)</f>
        <v>59109</v>
      </c>
      <c r="H620" s="131">
        <f>ROUND(G620/2,0)</f>
        <v>29555</v>
      </c>
      <c r="I620" s="132">
        <f>G620-H620</f>
        <v>29554</v>
      </c>
      <c r="J620" s="128" t="str">
        <f t="shared" si="42"/>
        <v>0940815</v>
      </c>
    </row>
    <row r="621" spans="2:10" s="3" customFormat="1" ht="15.75">
      <c r="B621" s="3" t="s">
        <v>2097</v>
      </c>
      <c r="C621" s="8">
        <v>4</v>
      </c>
      <c r="D621" t="s">
        <v>2285</v>
      </c>
      <c r="E621" s="11" t="s">
        <v>28</v>
      </c>
      <c r="F621" s="11"/>
      <c r="G621" s="14">
        <v>0.48886400000000002</v>
      </c>
      <c r="H621" s="11"/>
      <c r="I621" s="11"/>
      <c r="J621" s="3" t="str">
        <f t="shared" si="42"/>
        <v>0940815</v>
      </c>
    </row>
    <row r="622" spans="2:10" s="3" customFormat="1" ht="15.75">
      <c r="B622" s="3" t="s">
        <v>2097</v>
      </c>
      <c r="C622" s="8">
        <v>4</v>
      </c>
      <c r="D622" t="s">
        <v>2285</v>
      </c>
      <c r="E622" s="11" t="s">
        <v>29</v>
      </c>
      <c r="F622" s="11"/>
      <c r="G622" s="15">
        <f>ROUND(G620*G621,0)</f>
        <v>28896</v>
      </c>
      <c r="H622" s="16">
        <f t="shared" ref="H622:H627" si="46">ROUND(G622/2,0)</f>
        <v>14448</v>
      </c>
      <c r="I622" s="15">
        <f t="shared" ref="I622:I627" si="47">G622-H622</f>
        <v>14448</v>
      </c>
      <c r="J622" s="3" t="str">
        <f t="shared" si="42"/>
        <v>0940815</v>
      </c>
    </row>
    <row r="623" spans="2:10" s="3" customFormat="1" ht="15.75">
      <c r="B623" s="3" t="s">
        <v>2097</v>
      </c>
      <c r="C623" s="8">
        <v>4</v>
      </c>
      <c r="D623" t="s">
        <v>2285</v>
      </c>
      <c r="E623" s="11" t="s">
        <v>30</v>
      </c>
      <c r="F623" s="11"/>
      <c r="G623" s="12">
        <f>+G620-G622</f>
        <v>30213</v>
      </c>
      <c r="H623" s="13">
        <f t="shared" si="46"/>
        <v>15107</v>
      </c>
      <c r="I623" s="12">
        <f t="shared" si="47"/>
        <v>15106</v>
      </c>
      <c r="J623" s="3" t="str">
        <f t="shared" si="42"/>
        <v>0940815</v>
      </c>
    </row>
    <row r="624" spans="2:10" s="3" customFormat="1">
      <c r="B624" s="3" t="s">
        <v>2097</v>
      </c>
      <c r="C624" s="8">
        <v>5</v>
      </c>
      <c r="D624" s="3" t="s">
        <v>2288</v>
      </c>
      <c r="E624" s="11" t="s">
        <v>214</v>
      </c>
      <c r="F624" s="10">
        <v>2.4320999999999999E-2</v>
      </c>
      <c r="G624" s="120">
        <f>ROUND(G$3*F624,0)</f>
        <v>6998</v>
      </c>
      <c r="H624" s="120">
        <f t="shared" si="46"/>
        <v>3499</v>
      </c>
      <c r="I624" s="120">
        <f t="shared" si="47"/>
        <v>3499</v>
      </c>
      <c r="J624" s="3" t="str">
        <f t="shared" si="42"/>
        <v>0950021</v>
      </c>
    </row>
    <row r="625" spans="1:10" s="3" customFormat="1">
      <c r="B625" s="3" t="s">
        <v>2097</v>
      </c>
      <c r="C625" s="8">
        <v>5</v>
      </c>
      <c r="D625" s="3" t="s">
        <v>3415</v>
      </c>
      <c r="E625" s="11" t="s">
        <v>215</v>
      </c>
      <c r="F625" s="10">
        <v>1.683E-3</v>
      </c>
      <c r="G625" s="120">
        <f>ROUND(G$3*F625,0)</f>
        <v>484</v>
      </c>
      <c r="H625" s="120">
        <f t="shared" si="46"/>
        <v>242</v>
      </c>
      <c r="I625" s="120">
        <f t="shared" si="47"/>
        <v>242</v>
      </c>
      <c r="J625" s="3" t="str">
        <f t="shared" si="42"/>
        <v>0950022</v>
      </c>
    </row>
    <row r="626" spans="1:10" s="3" customFormat="1">
      <c r="B626" s="3" t="s">
        <v>2097</v>
      </c>
      <c r="C626" s="8">
        <v>5</v>
      </c>
      <c r="D626" s="3" t="s">
        <v>2289</v>
      </c>
      <c r="E626" s="11" t="s">
        <v>216</v>
      </c>
      <c r="F626" s="10">
        <v>3.2160000000000001E-3</v>
      </c>
      <c r="G626" s="120">
        <f>+G555-SUM(G556:G557)-SUM(G562:G608)-G612-G616-G620-SUM(G624:G625)</f>
        <v>79897</v>
      </c>
      <c r="H626" s="120">
        <f t="shared" si="46"/>
        <v>39949</v>
      </c>
      <c r="I626" s="120">
        <f t="shared" si="47"/>
        <v>39948</v>
      </c>
      <c r="J626" s="3" t="str">
        <f t="shared" si="42"/>
        <v>0950023</v>
      </c>
    </row>
    <row r="627" spans="1:10" s="3" customFormat="1">
      <c r="A627" s="3" t="s">
        <v>6269</v>
      </c>
      <c r="B627" s="3" t="s">
        <v>2097</v>
      </c>
      <c r="C627" s="8">
        <v>6</v>
      </c>
      <c r="D627" s="3" t="s">
        <v>6267</v>
      </c>
      <c r="E627" s="11" t="s">
        <v>217</v>
      </c>
      <c r="F627" s="10">
        <v>0</v>
      </c>
      <c r="G627" s="120">
        <f>ROUND(G$3*F627,0)</f>
        <v>0</v>
      </c>
      <c r="H627" s="120">
        <f t="shared" si="46"/>
        <v>0</v>
      </c>
      <c r="I627" s="120">
        <f t="shared" si="47"/>
        <v>0</v>
      </c>
      <c r="J627" s="3" t="str">
        <f t="shared" si="42"/>
        <v>096XXXX</v>
      </c>
    </row>
    <row r="628" spans="1:10" s="3" customFormat="1">
      <c r="B628" s="3" t="s">
        <v>2097</v>
      </c>
      <c r="C628" s="8">
        <v>0</v>
      </c>
      <c r="D628" s="125" t="s">
        <v>2187</v>
      </c>
      <c r="E628" s="28" t="s">
        <v>37</v>
      </c>
      <c r="F628" s="10">
        <v>1</v>
      </c>
      <c r="G628" s="12">
        <f>+G556+SUM(G559:G607)+G610+G611+G614+G615+G618+G619+G622+G623+G624+G625+G626+G627</f>
        <v>366695</v>
      </c>
      <c r="H628" s="12">
        <f>+H556+SUM(H559:H607)+H610+H611+H614+H615+H618+H619+H622+H623+H624+H625+H626+H627</f>
        <v>183359</v>
      </c>
      <c r="I628" s="12">
        <f>+I556+SUM(I559:I607)+I610+I611+I614+I615+I618+I619+I622+I623+I624+I625+I626+I627</f>
        <v>183336</v>
      </c>
      <c r="J628" s="3" t="str">
        <f t="shared" si="42"/>
        <v>0900000</v>
      </c>
    </row>
    <row r="629" spans="1:10" s="3" customFormat="1">
      <c r="B629" s="3" t="s">
        <v>2097</v>
      </c>
      <c r="C629" s="8">
        <v>0</v>
      </c>
      <c r="D629" s="3" t="s">
        <v>2187</v>
      </c>
      <c r="E629" s="18" t="s">
        <v>38</v>
      </c>
      <c r="G629" s="19">
        <f>+G556</f>
        <v>298</v>
      </c>
      <c r="H629" s="19">
        <f>+H556</f>
        <v>149</v>
      </c>
      <c r="I629" s="19">
        <f>+I556</f>
        <v>149</v>
      </c>
      <c r="J629" s="3" t="str">
        <f t="shared" si="42"/>
        <v>0900000</v>
      </c>
    </row>
    <row r="630" spans="1:10" s="3" customFormat="1">
      <c r="B630" s="3" t="s">
        <v>2097</v>
      </c>
      <c r="C630" s="8">
        <v>0</v>
      </c>
      <c r="D630" s="3" t="s">
        <v>2187</v>
      </c>
      <c r="E630" s="2" t="s">
        <v>39</v>
      </c>
      <c r="G630" s="19">
        <f>+G559</f>
        <v>18829</v>
      </c>
      <c r="H630" s="19">
        <f>+H559</f>
        <v>9415</v>
      </c>
      <c r="I630" s="19">
        <f>+I559</f>
        <v>9414</v>
      </c>
      <c r="J630" s="3" t="str">
        <f t="shared" si="42"/>
        <v>0900000</v>
      </c>
    </row>
    <row r="631" spans="1:10" s="3" customFormat="1">
      <c r="B631" s="3" t="s">
        <v>2097</v>
      </c>
      <c r="C631" s="8">
        <v>0</v>
      </c>
      <c r="D631" s="3" t="s">
        <v>2187</v>
      </c>
      <c r="E631" s="2" t="s">
        <v>40</v>
      </c>
      <c r="G631" s="19">
        <f>+G610+G614+G618+G622</f>
        <v>67745</v>
      </c>
      <c r="H631" s="19">
        <f>+H610+H614+H618+H622</f>
        <v>33873</v>
      </c>
      <c r="I631" s="19">
        <f>+I610+I614+I618+I622</f>
        <v>33872</v>
      </c>
      <c r="J631" s="3" t="str">
        <f t="shared" si="42"/>
        <v>0900000</v>
      </c>
    </row>
    <row r="632" spans="1:10" s="3" customFormat="1">
      <c r="B632" s="3" t="s">
        <v>2097</v>
      </c>
      <c r="C632" s="8">
        <v>0</v>
      </c>
      <c r="D632" s="125" t="s">
        <v>2187</v>
      </c>
      <c r="E632" s="18" t="s">
        <v>41</v>
      </c>
      <c r="G632" s="19">
        <f>+G628-G629-G630-G631</f>
        <v>279823</v>
      </c>
      <c r="H632" s="19">
        <f>+H628-H629-H630-H631</f>
        <v>139922</v>
      </c>
      <c r="I632" s="19">
        <f>+I628-I629-I630-I631</f>
        <v>139901</v>
      </c>
      <c r="J632" s="3" t="str">
        <f t="shared" si="42"/>
        <v>0900000</v>
      </c>
    </row>
    <row r="633" spans="1:10" ht="15.75">
      <c r="B633" s="3" t="s">
        <v>2186</v>
      </c>
      <c r="D633" t="s">
        <v>2186</v>
      </c>
      <c r="E633">
        <v>0</v>
      </c>
      <c r="G633"/>
      <c r="H633"/>
      <c r="I633"/>
      <c r="J633" s="3" t="str">
        <f t="shared" si="42"/>
        <v/>
      </c>
    </row>
    <row r="634" spans="1:10" s="3" customFormat="1">
      <c r="C634" s="1"/>
      <c r="D634" s="3" t="s">
        <v>2186</v>
      </c>
      <c r="E634" s="2" t="s">
        <v>218</v>
      </c>
      <c r="J634" s="3" t="str">
        <f t="shared" si="42"/>
        <v/>
      </c>
    </row>
    <row r="635" spans="1:10" s="3" customFormat="1" ht="45">
      <c r="B635" s="3" t="s">
        <v>2186</v>
      </c>
      <c r="C635" s="1"/>
      <c r="D635" s="3" t="s">
        <v>2186</v>
      </c>
      <c r="E635" s="1">
        <v>0</v>
      </c>
      <c r="F635" s="6" t="s">
        <v>1</v>
      </c>
      <c r="G635" s="60">
        <f>'Allocation Worksheet'!H635</f>
        <v>0</v>
      </c>
      <c r="H635" s="60">
        <f>'Allocation Worksheet'!H636</f>
        <v>0</v>
      </c>
      <c r="I635" s="60">
        <f>'Allocation Worksheet'!H637</f>
        <v>0</v>
      </c>
      <c r="J635" s="3" t="str">
        <f t="shared" si="42"/>
        <v/>
      </c>
    </row>
    <row r="636" spans="1:10" s="3" customFormat="1">
      <c r="C636" s="7" t="s">
        <v>2087</v>
      </c>
      <c r="D636" s="3" t="s">
        <v>2186</v>
      </c>
      <c r="E636" s="7" t="s">
        <v>3</v>
      </c>
      <c r="F636" s="10"/>
      <c r="G636" s="9">
        <f>'Allocation Worksheet'!$D$13</f>
        <v>1494199</v>
      </c>
      <c r="H636" s="11"/>
      <c r="I636" s="11"/>
      <c r="J636" s="3" t="str">
        <f t="shared" si="42"/>
        <v>UT</v>
      </c>
    </row>
    <row r="637" spans="1:10" s="3" customFormat="1">
      <c r="B637" s="3" t="s">
        <v>2098</v>
      </c>
      <c r="C637" s="8">
        <v>0</v>
      </c>
      <c r="D637" s="3" t="s">
        <v>2187</v>
      </c>
      <c r="E637" s="11" t="s">
        <v>4</v>
      </c>
      <c r="F637" s="10">
        <v>8.9999999999999998E-4</v>
      </c>
      <c r="G637" s="12">
        <f>ROUND(G$3*F637,0)</f>
        <v>259</v>
      </c>
      <c r="H637" s="13">
        <f>ROUND(G637/2,0)</f>
        <v>130</v>
      </c>
      <c r="I637" s="12">
        <f>G637-H637</f>
        <v>129</v>
      </c>
      <c r="J637" s="3" t="str">
        <f t="shared" si="42"/>
        <v>1000000</v>
      </c>
    </row>
    <row r="638" spans="1:10" s="3" customFormat="1">
      <c r="B638" s="3" t="s">
        <v>2098</v>
      </c>
      <c r="C638" s="8">
        <v>1</v>
      </c>
      <c r="D638" s="3" t="s">
        <v>2187</v>
      </c>
      <c r="E638" s="11" t="s">
        <v>219</v>
      </c>
      <c r="F638" s="10">
        <v>0.16949500000000001</v>
      </c>
      <c r="G638" s="9">
        <f>ROUND(G$3*F638,0)</f>
        <v>48768</v>
      </c>
      <c r="H638" s="11">
        <f>ROUND(G638/2,0)</f>
        <v>24384</v>
      </c>
      <c r="I638" s="9">
        <f>G638-H638</f>
        <v>24384</v>
      </c>
      <c r="J638" s="3" t="str">
        <f t="shared" si="42"/>
        <v>1010000</v>
      </c>
    </row>
    <row r="639" spans="1:10" s="3" customFormat="1">
      <c r="B639" s="3" t="s">
        <v>2098</v>
      </c>
      <c r="C639" s="8">
        <v>1</v>
      </c>
      <c r="D639" s="3" t="s">
        <v>2187</v>
      </c>
      <c r="E639" s="11" t="s">
        <v>6</v>
      </c>
      <c r="F639" s="11"/>
      <c r="G639" s="14">
        <v>0.38001600000000002</v>
      </c>
      <c r="H639" s="11"/>
      <c r="I639" s="11"/>
      <c r="J639" s="3" t="str">
        <f t="shared" si="42"/>
        <v>1010000</v>
      </c>
    </row>
    <row r="640" spans="1:10" s="3" customFormat="1">
      <c r="B640" s="3" t="s">
        <v>2098</v>
      </c>
      <c r="C640" s="8">
        <v>1</v>
      </c>
      <c r="D640" s="3" t="s">
        <v>2187</v>
      </c>
      <c r="E640" s="11" t="s">
        <v>7</v>
      </c>
      <c r="F640" s="11"/>
      <c r="G640" s="15">
        <f>ROUND(G638*G639,0)</f>
        <v>18533</v>
      </c>
      <c r="H640" s="16">
        <f>ROUND(G640/2,0)</f>
        <v>9267</v>
      </c>
      <c r="I640" s="15">
        <f>G640-H640</f>
        <v>9266</v>
      </c>
      <c r="J640" s="3" t="str">
        <f t="shared" si="42"/>
        <v>1010000</v>
      </c>
    </row>
    <row r="641" spans="1:10" s="3" customFormat="1">
      <c r="B641" s="3" t="s">
        <v>2098</v>
      </c>
      <c r="C641" s="8">
        <v>1</v>
      </c>
      <c r="D641" s="3" t="s">
        <v>2187</v>
      </c>
      <c r="E641" s="11" t="s">
        <v>8</v>
      </c>
      <c r="F641" s="11"/>
      <c r="G641" s="12">
        <f>+G638-G640</f>
        <v>30235</v>
      </c>
      <c r="H641" s="13">
        <f>ROUND(G641/2,0)</f>
        <v>15118</v>
      </c>
      <c r="I641" s="12">
        <f>G641-H641</f>
        <v>15117</v>
      </c>
      <c r="J641" s="3" t="str">
        <f t="shared" si="42"/>
        <v>1010000</v>
      </c>
    </row>
    <row r="642" spans="1:10" s="3" customFormat="1">
      <c r="B642" s="3" t="s">
        <v>2098</v>
      </c>
      <c r="C642" s="8">
        <v>2</v>
      </c>
      <c r="D642" s="3" t="s">
        <v>2188</v>
      </c>
      <c r="E642" s="11" t="s">
        <v>199</v>
      </c>
      <c r="F642" s="11"/>
      <c r="G642" s="9"/>
      <c r="H642" s="11"/>
      <c r="I642" s="11"/>
      <c r="J642" s="3" t="str">
        <f t="shared" si="42"/>
        <v>1020001</v>
      </c>
    </row>
    <row r="643" spans="1:10" s="3" customFormat="1">
      <c r="A643" s="3" t="s">
        <v>6269</v>
      </c>
      <c r="B643" s="3" t="s">
        <v>2098</v>
      </c>
      <c r="C643" s="8">
        <v>2</v>
      </c>
      <c r="D643" s="3" t="s">
        <v>2188</v>
      </c>
      <c r="E643" s="11" t="s">
        <v>10</v>
      </c>
      <c r="F643" s="10">
        <v>0</v>
      </c>
      <c r="G643" s="12">
        <f>ROUND(G$3*F643,0)</f>
        <v>0</v>
      </c>
      <c r="H643" s="13">
        <f>ROUND(G643/2,0)</f>
        <v>0</v>
      </c>
      <c r="I643" s="12">
        <f>G643-H643</f>
        <v>0</v>
      </c>
      <c r="J643" s="3" t="str">
        <f t="shared" si="42"/>
        <v>1020001</v>
      </c>
    </row>
    <row r="644" spans="1:10" s="3" customFormat="1">
      <c r="A644" s="3" t="s">
        <v>6269</v>
      </c>
      <c r="B644" s="3" t="s">
        <v>2098</v>
      </c>
      <c r="C644" s="8">
        <v>2</v>
      </c>
      <c r="D644" s="3" t="s">
        <v>2188</v>
      </c>
      <c r="E644" s="11" t="s">
        <v>11</v>
      </c>
      <c r="F644" s="10">
        <v>0</v>
      </c>
      <c r="G644" s="12">
        <f>ROUND(G$3*F644,0)</f>
        <v>0</v>
      </c>
      <c r="H644" s="13">
        <f>ROUND(G644/2,0)</f>
        <v>0</v>
      </c>
      <c r="I644" s="12">
        <f>G644-H644</f>
        <v>0</v>
      </c>
      <c r="J644" s="3" t="str">
        <f t="shared" ref="J644:J707" si="48">B644&amp;C644&amp;D644</f>
        <v>1020001</v>
      </c>
    </row>
    <row r="645" spans="1:10" s="3" customFormat="1">
      <c r="B645" s="3" t="s">
        <v>2098</v>
      </c>
      <c r="C645" s="8">
        <v>2</v>
      </c>
      <c r="D645" s="3" t="s">
        <v>2189</v>
      </c>
      <c r="E645" s="11" t="s">
        <v>220</v>
      </c>
      <c r="F645" s="11"/>
      <c r="G645" s="9"/>
      <c r="H645" s="11"/>
      <c r="I645" s="11"/>
      <c r="J645" s="3" t="str">
        <f t="shared" si="48"/>
        <v>1020002</v>
      </c>
    </row>
    <row r="646" spans="1:10" s="3" customFormat="1">
      <c r="B646" s="3" t="s">
        <v>2098</v>
      </c>
      <c r="C646" s="8">
        <v>2</v>
      </c>
      <c r="D646" s="3" t="s">
        <v>2189</v>
      </c>
      <c r="E646" s="11" t="s">
        <v>10</v>
      </c>
      <c r="F646" s="10">
        <v>4.3399999999999998E-4</v>
      </c>
      <c r="G646" s="12">
        <f>ROUND(G$3*F646,0)</f>
        <v>125</v>
      </c>
      <c r="H646" s="13">
        <f>ROUND(G646/2,0)</f>
        <v>63</v>
      </c>
      <c r="I646" s="12">
        <f>G646-H646</f>
        <v>62</v>
      </c>
      <c r="J646" s="3" t="str">
        <f t="shared" si="48"/>
        <v>1020002</v>
      </c>
    </row>
    <row r="647" spans="1:10" s="3" customFormat="1">
      <c r="A647" s="3" t="s">
        <v>6269</v>
      </c>
      <c r="B647" s="3" t="s">
        <v>2098</v>
      </c>
      <c r="C647" s="8">
        <v>2</v>
      </c>
      <c r="D647" s="3" t="s">
        <v>2189</v>
      </c>
      <c r="E647" s="11" t="s">
        <v>11</v>
      </c>
      <c r="F647" s="10">
        <v>0</v>
      </c>
      <c r="G647" s="12">
        <f>ROUND(G$3*F647,0)</f>
        <v>0</v>
      </c>
      <c r="H647" s="13">
        <f>ROUND(G647/2,0)</f>
        <v>0</v>
      </c>
      <c r="I647" s="12">
        <f>G647-H647</f>
        <v>0</v>
      </c>
      <c r="J647" s="3" t="str">
        <f t="shared" si="48"/>
        <v>1020002</v>
      </c>
    </row>
    <row r="648" spans="1:10" s="3" customFormat="1">
      <c r="B648" s="3" t="s">
        <v>2098</v>
      </c>
      <c r="C648" s="8">
        <v>2</v>
      </c>
      <c r="D648" s="3" t="s">
        <v>2190</v>
      </c>
      <c r="E648" s="11" t="s">
        <v>221</v>
      </c>
      <c r="F648" s="11"/>
      <c r="G648" s="9"/>
      <c r="H648" s="11"/>
      <c r="I648" s="11"/>
      <c r="J648" s="3" t="str">
        <f t="shared" si="48"/>
        <v>1020003</v>
      </c>
    </row>
    <row r="649" spans="1:10" s="3" customFormat="1">
      <c r="B649" s="3" t="s">
        <v>2098</v>
      </c>
      <c r="C649" s="8">
        <v>2</v>
      </c>
      <c r="D649" s="3" t="s">
        <v>2190</v>
      </c>
      <c r="E649" s="11" t="s">
        <v>10</v>
      </c>
      <c r="F649" s="10">
        <v>4.64E-4</v>
      </c>
      <c r="G649" s="12">
        <f>ROUND(G$3*F649,0)</f>
        <v>134</v>
      </c>
      <c r="H649" s="13">
        <f>ROUND(G649/2,0)</f>
        <v>67</v>
      </c>
      <c r="I649" s="12">
        <f>G649-H649</f>
        <v>67</v>
      </c>
      <c r="J649" s="3" t="str">
        <f t="shared" si="48"/>
        <v>1020003</v>
      </c>
    </row>
    <row r="650" spans="1:10" s="3" customFormat="1">
      <c r="A650" s="3" t="s">
        <v>6269</v>
      </c>
      <c r="B650" s="3" t="s">
        <v>2098</v>
      </c>
      <c r="C650" s="8">
        <v>2</v>
      </c>
      <c r="D650" s="3" t="s">
        <v>2190</v>
      </c>
      <c r="E650" s="11" t="s">
        <v>11</v>
      </c>
      <c r="F650" s="10">
        <v>0</v>
      </c>
      <c r="G650" s="12">
        <f>ROUND(G$3*F650,0)</f>
        <v>0</v>
      </c>
      <c r="H650" s="13">
        <f>ROUND(G650/2,0)</f>
        <v>0</v>
      </c>
      <c r="I650" s="12">
        <f>G650-H650</f>
        <v>0</v>
      </c>
      <c r="J650" s="3" t="str">
        <f t="shared" si="48"/>
        <v>1020003</v>
      </c>
    </row>
    <row r="651" spans="1:10" s="3" customFormat="1">
      <c r="B651" s="3" t="s">
        <v>2098</v>
      </c>
      <c r="C651" s="8">
        <v>2</v>
      </c>
      <c r="D651" s="3" t="s">
        <v>2191</v>
      </c>
      <c r="E651" s="11" t="s">
        <v>222</v>
      </c>
      <c r="F651" s="11"/>
      <c r="G651" s="9"/>
      <c r="H651" s="11"/>
      <c r="I651" s="11"/>
      <c r="J651" s="3" t="str">
        <f t="shared" si="48"/>
        <v>1020004</v>
      </c>
    </row>
    <row r="652" spans="1:10" s="3" customFormat="1">
      <c r="B652" s="3" t="s">
        <v>2098</v>
      </c>
      <c r="C652" s="8">
        <v>2</v>
      </c>
      <c r="D652" s="3" t="s">
        <v>2191</v>
      </c>
      <c r="E652" s="11" t="s">
        <v>10</v>
      </c>
      <c r="F652" s="10">
        <v>9.7850000000000003E-3</v>
      </c>
      <c r="G652" s="12">
        <f>ROUND(G$3*F652,0)</f>
        <v>2815</v>
      </c>
      <c r="H652" s="13">
        <f>ROUND(G652/2,0)</f>
        <v>1408</v>
      </c>
      <c r="I652" s="12">
        <f>G652-H652</f>
        <v>1407</v>
      </c>
      <c r="J652" s="3" t="str">
        <f t="shared" si="48"/>
        <v>1020004</v>
      </c>
    </row>
    <row r="653" spans="1:10" s="3" customFormat="1">
      <c r="B653" s="3" t="s">
        <v>2098</v>
      </c>
      <c r="C653" s="8">
        <v>2</v>
      </c>
      <c r="D653" s="3" t="s">
        <v>2191</v>
      </c>
      <c r="E653" s="11" t="s">
        <v>11</v>
      </c>
      <c r="F653" s="10">
        <v>8.8099999999999995E-4</v>
      </c>
      <c r="G653" s="12">
        <f>ROUND(G$3*F653,0)</f>
        <v>253</v>
      </c>
      <c r="H653" s="13">
        <f>ROUND(G653/2,0)</f>
        <v>127</v>
      </c>
      <c r="I653" s="12">
        <f>G653-H653</f>
        <v>126</v>
      </c>
      <c r="J653" s="3" t="str">
        <f t="shared" si="48"/>
        <v>1020004</v>
      </c>
    </row>
    <row r="654" spans="1:10" s="3" customFormat="1">
      <c r="B654" s="3" t="s">
        <v>2098</v>
      </c>
      <c r="C654" s="8">
        <v>2</v>
      </c>
      <c r="D654" s="3" t="s">
        <v>2192</v>
      </c>
      <c r="E654" s="11" t="s">
        <v>16</v>
      </c>
      <c r="F654" s="11"/>
      <c r="G654" s="9"/>
      <c r="H654" s="11"/>
      <c r="I654" s="11"/>
      <c r="J654" s="3" t="str">
        <f t="shared" si="48"/>
        <v>1020005</v>
      </c>
    </row>
    <row r="655" spans="1:10" s="3" customFormat="1">
      <c r="B655" s="3" t="s">
        <v>2098</v>
      </c>
      <c r="C655" s="8">
        <v>2</v>
      </c>
      <c r="D655" s="3" t="s">
        <v>2192</v>
      </c>
      <c r="E655" s="11" t="s">
        <v>10</v>
      </c>
      <c r="F655" s="10">
        <v>3.9999999999999998E-6</v>
      </c>
      <c r="G655" s="12">
        <f>ROUND(G$3*F655,0)</f>
        <v>1</v>
      </c>
      <c r="H655" s="13">
        <f>ROUND(G655/2,0)</f>
        <v>1</v>
      </c>
      <c r="I655" s="12">
        <f>G655-H655</f>
        <v>0</v>
      </c>
      <c r="J655" s="3" t="str">
        <f t="shared" si="48"/>
        <v>1020005</v>
      </c>
    </row>
    <row r="656" spans="1:10" s="3" customFormat="1">
      <c r="A656" s="3" t="s">
        <v>6269</v>
      </c>
      <c r="B656" s="3" t="s">
        <v>2098</v>
      </c>
      <c r="C656" s="8">
        <v>2</v>
      </c>
      <c r="D656" s="3" t="s">
        <v>2192</v>
      </c>
      <c r="E656" s="11" t="s">
        <v>11</v>
      </c>
      <c r="F656" s="10">
        <v>0</v>
      </c>
      <c r="G656" s="12">
        <f>ROUND(G$3*F656,0)</f>
        <v>0</v>
      </c>
      <c r="H656" s="13">
        <f>ROUND(G656/2,0)</f>
        <v>0</v>
      </c>
      <c r="I656" s="12">
        <f>G656-H656</f>
        <v>0</v>
      </c>
      <c r="J656" s="3" t="str">
        <f t="shared" si="48"/>
        <v>1020005</v>
      </c>
    </row>
    <row r="657" spans="1:10" s="3" customFormat="1">
      <c r="B657" s="3" t="s">
        <v>2098</v>
      </c>
      <c r="C657" s="8">
        <v>2</v>
      </c>
      <c r="D657" s="3" t="s">
        <v>2193</v>
      </c>
      <c r="E657" s="11" t="s">
        <v>223</v>
      </c>
      <c r="F657" s="11"/>
      <c r="G657" s="9"/>
      <c r="H657" s="11"/>
      <c r="I657" s="11"/>
      <c r="J657" s="3" t="str">
        <f t="shared" si="48"/>
        <v>1020006</v>
      </c>
    </row>
    <row r="658" spans="1:10" s="3" customFormat="1">
      <c r="B658" s="3" t="s">
        <v>2098</v>
      </c>
      <c r="C658" s="8">
        <v>2</v>
      </c>
      <c r="D658" s="3" t="s">
        <v>2193</v>
      </c>
      <c r="E658" s="11" t="s">
        <v>10</v>
      </c>
      <c r="F658" s="10">
        <v>1.5E-5</v>
      </c>
      <c r="G658" s="12">
        <f>ROUND(G$3*F658,0)</f>
        <v>4</v>
      </c>
      <c r="H658" s="13">
        <f>ROUND(G658/2,0)</f>
        <v>2</v>
      </c>
      <c r="I658" s="12">
        <f>G658-H658</f>
        <v>2</v>
      </c>
      <c r="J658" s="3" t="str">
        <f t="shared" si="48"/>
        <v>1020006</v>
      </c>
    </row>
    <row r="659" spans="1:10" s="3" customFormat="1">
      <c r="A659" s="3" t="s">
        <v>6269</v>
      </c>
      <c r="B659" s="3" t="s">
        <v>2098</v>
      </c>
      <c r="C659" s="8">
        <v>2</v>
      </c>
      <c r="D659" s="3" t="s">
        <v>2193</v>
      </c>
      <c r="E659" s="11" t="s">
        <v>11</v>
      </c>
      <c r="F659" s="10">
        <v>0</v>
      </c>
      <c r="G659" s="12">
        <f>ROUND(G$3*F659,0)</f>
        <v>0</v>
      </c>
      <c r="H659" s="13">
        <f>ROUND(G659/2,0)</f>
        <v>0</v>
      </c>
      <c r="I659" s="12">
        <f>G659-H659</f>
        <v>0</v>
      </c>
      <c r="J659" s="3" t="str">
        <f t="shared" si="48"/>
        <v>1020006</v>
      </c>
    </row>
    <row r="660" spans="1:10" s="3" customFormat="1">
      <c r="B660" s="3" t="s">
        <v>2098</v>
      </c>
      <c r="C660" s="8">
        <v>2</v>
      </c>
      <c r="D660" s="3" t="s">
        <v>2194</v>
      </c>
      <c r="E660" s="11" t="s">
        <v>224</v>
      </c>
      <c r="F660" s="11"/>
      <c r="G660" s="9"/>
      <c r="H660" s="11"/>
      <c r="I660" s="11"/>
      <c r="J660" s="3" t="str">
        <f t="shared" si="48"/>
        <v>1020007</v>
      </c>
    </row>
    <row r="661" spans="1:10" s="3" customFormat="1">
      <c r="B661" s="3" t="s">
        <v>2098</v>
      </c>
      <c r="C661" s="8">
        <v>2</v>
      </c>
      <c r="D661" s="3" t="s">
        <v>2194</v>
      </c>
      <c r="E661" s="11" t="s">
        <v>10</v>
      </c>
      <c r="F661" s="10">
        <v>5.0000000000000004E-6</v>
      </c>
      <c r="G661" s="12">
        <f>ROUND(G$3*F661,0)</f>
        <v>1</v>
      </c>
      <c r="H661" s="13">
        <f>ROUND(G661/2,0)</f>
        <v>1</v>
      </c>
      <c r="I661" s="12">
        <f>G661-H661</f>
        <v>0</v>
      </c>
      <c r="J661" s="3" t="str">
        <f t="shared" si="48"/>
        <v>1020007</v>
      </c>
    </row>
    <row r="662" spans="1:10" s="3" customFormat="1">
      <c r="A662" s="3" t="s">
        <v>6269</v>
      </c>
      <c r="B662" s="3" t="s">
        <v>2098</v>
      </c>
      <c r="C662" s="8">
        <v>2</v>
      </c>
      <c r="D662" s="3" t="s">
        <v>2194</v>
      </c>
      <c r="E662" s="11" t="s">
        <v>11</v>
      </c>
      <c r="F662" s="10">
        <v>0</v>
      </c>
      <c r="G662" s="12">
        <f>ROUND(G$3*F662,0)</f>
        <v>0</v>
      </c>
      <c r="H662" s="13">
        <f>ROUND(G662/2,0)</f>
        <v>0</v>
      </c>
      <c r="I662" s="12">
        <f>G662-H662</f>
        <v>0</v>
      </c>
      <c r="J662" s="3" t="str">
        <f t="shared" si="48"/>
        <v>1020007</v>
      </c>
    </row>
    <row r="663" spans="1:10" s="3" customFormat="1">
      <c r="B663" s="3" t="s">
        <v>2098</v>
      </c>
      <c r="C663" s="8">
        <v>2</v>
      </c>
      <c r="D663" s="3" t="s">
        <v>2195</v>
      </c>
      <c r="E663" s="11" t="s">
        <v>225</v>
      </c>
      <c r="F663" s="5"/>
      <c r="G663" s="5"/>
      <c r="H663" s="6"/>
      <c r="I663" s="11"/>
      <c r="J663" s="3" t="str">
        <f t="shared" si="48"/>
        <v>1020008</v>
      </c>
    </row>
    <row r="664" spans="1:10" s="3" customFormat="1">
      <c r="B664" s="3" t="s">
        <v>2098</v>
      </c>
      <c r="C664" s="8">
        <v>2</v>
      </c>
      <c r="D664" s="3" t="s">
        <v>2195</v>
      </c>
      <c r="E664" s="11" t="s">
        <v>10</v>
      </c>
      <c r="F664" s="10">
        <v>4.8899999999999996E-4</v>
      </c>
      <c r="G664" s="12">
        <f>ROUND(G$3*F664,0)</f>
        <v>141</v>
      </c>
      <c r="H664" s="13">
        <f>ROUND(G664/2,0)</f>
        <v>71</v>
      </c>
      <c r="I664" s="12">
        <f>G664-H664</f>
        <v>70</v>
      </c>
      <c r="J664" s="3" t="str">
        <f t="shared" si="48"/>
        <v>1020008</v>
      </c>
    </row>
    <row r="665" spans="1:10" s="3" customFormat="1">
      <c r="A665" s="3" t="s">
        <v>6269</v>
      </c>
      <c r="B665" s="3" t="s">
        <v>2098</v>
      </c>
      <c r="C665" s="8">
        <v>2</v>
      </c>
      <c r="D665" s="3" t="s">
        <v>2195</v>
      </c>
      <c r="E665" s="11" t="s">
        <v>11</v>
      </c>
      <c r="F665" s="10">
        <v>0</v>
      </c>
      <c r="G665" s="12">
        <f>ROUND(G$3*F665,0)</f>
        <v>0</v>
      </c>
      <c r="H665" s="13">
        <f>ROUND(G665/2,0)</f>
        <v>0</v>
      </c>
      <c r="I665" s="12">
        <f>G665-H665</f>
        <v>0</v>
      </c>
      <c r="J665" s="3" t="str">
        <f t="shared" si="48"/>
        <v>1020008</v>
      </c>
    </row>
    <row r="666" spans="1:10" s="3" customFormat="1">
      <c r="B666" s="3" t="s">
        <v>2098</v>
      </c>
      <c r="C666" s="8">
        <v>2</v>
      </c>
      <c r="D666" s="3" t="s">
        <v>2196</v>
      </c>
      <c r="E666" s="11" t="s">
        <v>20</v>
      </c>
      <c r="F666" s="11"/>
      <c r="G666" s="9"/>
      <c r="H666" s="11"/>
      <c r="I666" s="11"/>
      <c r="J666" s="3" t="str">
        <f t="shared" si="48"/>
        <v>1020009</v>
      </c>
    </row>
    <row r="667" spans="1:10" s="3" customFormat="1">
      <c r="B667" s="3" t="s">
        <v>2098</v>
      </c>
      <c r="C667" s="8">
        <v>2</v>
      </c>
      <c r="D667" s="3" t="s">
        <v>2196</v>
      </c>
      <c r="E667" s="11" t="s">
        <v>10</v>
      </c>
      <c r="F667" s="10">
        <v>2.7300000000000002E-4</v>
      </c>
      <c r="G667" s="12">
        <f>ROUND(G$3*F667,0)</f>
        <v>79</v>
      </c>
      <c r="H667" s="13">
        <f>ROUND(G667/2,0)</f>
        <v>40</v>
      </c>
      <c r="I667" s="12">
        <f>G667-H667</f>
        <v>39</v>
      </c>
      <c r="J667" s="3" t="str">
        <f t="shared" si="48"/>
        <v>1020009</v>
      </c>
    </row>
    <row r="668" spans="1:10" s="3" customFormat="1">
      <c r="A668" s="3" t="s">
        <v>6269</v>
      </c>
      <c r="B668" s="3" t="s">
        <v>2098</v>
      </c>
      <c r="C668" s="8">
        <v>2</v>
      </c>
      <c r="D668" s="3" t="s">
        <v>2196</v>
      </c>
      <c r="E668" s="11" t="s">
        <v>11</v>
      </c>
      <c r="F668" s="10">
        <v>0</v>
      </c>
      <c r="G668" s="12">
        <f>ROUND(G$3*F668,0)</f>
        <v>0</v>
      </c>
      <c r="H668" s="13">
        <f>ROUND(G668/2,0)</f>
        <v>0</v>
      </c>
      <c r="I668" s="12">
        <f>G668-H668</f>
        <v>0</v>
      </c>
      <c r="J668" s="3" t="str">
        <f t="shared" si="48"/>
        <v>1020009</v>
      </c>
    </row>
    <row r="669" spans="1:10" s="3" customFormat="1">
      <c r="B669" s="3" t="s">
        <v>2098</v>
      </c>
      <c r="C669" s="8">
        <v>2</v>
      </c>
      <c r="D669" s="3" t="s">
        <v>2197</v>
      </c>
      <c r="E669" s="11" t="s">
        <v>226</v>
      </c>
      <c r="F669" s="11"/>
      <c r="G669" s="9"/>
      <c r="H669" s="11"/>
      <c r="I669" s="11"/>
      <c r="J669" s="3" t="str">
        <f t="shared" si="48"/>
        <v>1020010</v>
      </c>
    </row>
    <row r="670" spans="1:10" s="3" customFormat="1">
      <c r="B670" s="3" t="s">
        <v>2098</v>
      </c>
      <c r="C670" s="8">
        <v>2</v>
      </c>
      <c r="D670" s="3" t="s">
        <v>2197</v>
      </c>
      <c r="E670" s="11" t="s">
        <v>10</v>
      </c>
      <c r="F670" s="10">
        <v>4.6E-5</v>
      </c>
      <c r="G670" s="12">
        <f>ROUND(G$3*F670,0)</f>
        <v>13</v>
      </c>
      <c r="H670" s="13">
        <f>ROUND(G670/2,0)</f>
        <v>7</v>
      </c>
      <c r="I670" s="12">
        <f>G670-H670</f>
        <v>6</v>
      </c>
      <c r="J670" s="3" t="str">
        <f t="shared" si="48"/>
        <v>1020010</v>
      </c>
    </row>
    <row r="671" spans="1:10" s="3" customFormat="1">
      <c r="A671" s="3" t="s">
        <v>6269</v>
      </c>
      <c r="B671" s="3" t="s">
        <v>2098</v>
      </c>
      <c r="C671" s="8">
        <v>2</v>
      </c>
      <c r="D671" s="3" t="s">
        <v>2197</v>
      </c>
      <c r="E671" s="11" t="s">
        <v>11</v>
      </c>
      <c r="F671" s="10">
        <v>0</v>
      </c>
      <c r="G671" s="12">
        <f>ROUND(G$3*F671,0)</f>
        <v>0</v>
      </c>
      <c r="H671" s="13">
        <f>ROUND(G671/2,0)</f>
        <v>0</v>
      </c>
      <c r="I671" s="12">
        <f>G671-H671</f>
        <v>0</v>
      </c>
      <c r="J671" s="3" t="str">
        <f t="shared" si="48"/>
        <v>1020010</v>
      </c>
    </row>
    <row r="672" spans="1:10" s="3" customFormat="1">
      <c r="B672" s="3" t="s">
        <v>2098</v>
      </c>
      <c r="C672" s="8">
        <v>2</v>
      </c>
      <c r="D672" s="3" t="s">
        <v>2198</v>
      </c>
      <c r="E672" s="11" t="s">
        <v>22</v>
      </c>
      <c r="F672" s="11"/>
      <c r="G672" s="9"/>
      <c r="H672" s="11"/>
      <c r="I672" s="11"/>
      <c r="J672" s="3" t="str">
        <f t="shared" si="48"/>
        <v>1020011</v>
      </c>
    </row>
    <row r="673" spans="1:10" s="3" customFormat="1">
      <c r="B673" s="3" t="s">
        <v>2098</v>
      </c>
      <c r="C673" s="8">
        <v>2</v>
      </c>
      <c r="D673" s="3" t="s">
        <v>2198</v>
      </c>
      <c r="E673" s="11" t="s">
        <v>10</v>
      </c>
      <c r="F673" s="10">
        <v>1.2999999999999999E-5</v>
      </c>
      <c r="G673" s="12">
        <f>ROUND(G$3*F673,0)</f>
        <v>4</v>
      </c>
      <c r="H673" s="13">
        <f>ROUND(G673/2,0)</f>
        <v>2</v>
      </c>
      <c r="I673" s="12">
        <f>G673-H673</f>
        <v>2</v>
      </c>
      <c r="J673" s="3" t="str">
        <f t="shared" si="48"/>
        <v>1020011</v>
      </c>
    </row>
    <row r="674" spans="1:10" s="3" customFormat="1">
      <c r="A674" s="3" t="s">
        <v>6269</v>
      </c>
      <c r="B674" s="3" t="s">
        <v>2098</v>
      </c>
      <c r="C674" s="8">
        <v>2</v>
      </c>
      <c r="D674" s="3" t="s">
        <v>2198</v>
      </c>
      <c r="E674" s="11" t="s">
        <v>11</v>
      </c>
      <c r="F674" s="10">
        <v>0</v>
      </c>
      <c r="G674" s="12">
        <f>ROUND(G$3*F674,0)</f>
        <v>0</v>
      </c>
      <c r="H674" s="13">
        <f>ROUND(G674/2,0)</f>
        <v>0</v>
      </c>
      <c r="I674" s="12">
        <f>G674-H674</f>
        <v>0</v>
      </c>
      <c r="J674" s="3" t="str">
        <f t="shared" si="48"/>
        <v>1020011</v>
      </c>
    </row>
    <row r="675" spans="1:10" s="3" customFormat="1">
      <c r="B675" s="3" t="s">
        <v>2098</v>
      </c>
      <c r="C675" s="8">
        <v>2</v>
      </c>
      <c r="D675" s="3" t="s">
        <v>2199</v>
      </c>
      <c r="E675" s="11" t="s">
        <v>227</v>
      </c>
      <c r="F675" s="11"/>
      <c r="G675" s="9"/>
      <c r="H675" s="11"/>
      <c r="I675" s="11"/>
      <c r="J675" s="3" t="str">
        <f t="shared" si="48"/>
        <v>1020012</v>
      </c>
    </row>
    <row r="676" spans="1:10" s="3" customFormat="1">
      <c r="B676" s="3" t="s">
        <v>2098</v>
      </c>
      <c r="C676" s="8">
        <v>2</v>
      </c>
      <c r="D676" s="3" t="s">
        <v>2199</v>
      </c>
      <c r="E676" s="11" t="s">
        <v>10</v>
      </c>
      <c r="F676" s="10">
        <v>1.93E-4</v>
      </c>
      <c r="G676" s="12">
        <f t="shared" ref="G676:G684" si="49">ROUND(G$3*F676,0)</f>
        <v>56</v>
      </c>
      <c r="H676" s="13">
        <f t="shared" ref="H676:H684" si="50">ROUND(G676/2,0)</f>
        <v>28</v>
      </c>
      <c r="I676" s="12">
        <f t="shared" ref="I676:I684" si="51">G676-H676</f>
        <v>28</v>
      </c>
      <c r="J676" s="3" t="str">
        <f t="shared" si="48"/>
        <v>1020012</v>
      </c>
    </row>
    <row r="677" spans="1:10" s="3" customFormat="1">
      <c r="B677" s="3" t="s">
        <v>2098</v>
      </c>
      <c r="C677" s="8">
        <v>2</v>
      </c>
      <c r="D677" s="3" t="s">
        <v>2199</v>
      </c>
      <c r="E677" s="11" t="s">
        <v>11</v>
      </c>
      <c r="F677" s="10">
        <v>8.3999999999999995E-5</v>
      </c>
      <c r="G677" s="12">
        <f t="shared" si="49"/>
        <v>24</v>
      </c>
      <c r="H677" s="13">
        <f t="shared" si="50"/>
        <v>12</v>
      </c>
      <c r="I677" s="12">
        <f t="shared" si="51"/>
        <v>12</v>
      </c>
      <c r="J677" s="3" t="str">
        <f t="shared" si="48"/>
        <v>1020012</v>
      </c>
    </row>
    <row r="678" spans="1:10" s="3" customFormat="1">
      <c r="B678" s="3" t="s">
        <v>2098</v>
      </c>
      <c r="C678" s="8">
        <v>3</v>
      </c>
      <c r="D678" s="3" t="s">
        <v>2291</v>
      </c>
      <c r="E678" s="11" t="s">
        <v>228</v>
      </c>
      <c r="F678" s="10">
        <v>1.9919999999999998E-3</v>
      </c>
      <c r="G678" s="12">
        <f t="shared" si="49"/>
        <v>573</v>
      </c>
      <c r="H678" s="13">
        <f t="shared" si="50"/>
        <v>287</v>
      </c>
      <c r="I678" s="12">
        <f t="shared" si="51"/>
        <v>286</v>
      </c>
      <c r="J678" s="3" t="str">
        <f t="shared" si="48"/>
        <v>1030421</v>
      </c>
    </row>
    <row r="679" spans="1:10" s="3" customFormat="1">
      <c r="B679" s="3" t="s">
        <v>2098</v>
      </c>
      <c r="C679" s="8">
        <v>3</v>
      </c>
      <c r="D679" s="3" t="s">
        <v>2292</v>
      </c>
      <c r="E679" s="11" t="s">
        <v>229</v>
      </c>
      <c r="F679" s="10">
        <v>0.117618</v>
      </c>
      <c r="G679" s="12">
        <f t="shared" si="49"/>
        <v>33841</v>
      </c>
      <c r="H679" s="13">
        <f t="shared" si="50"/>
        <v>16921</v>
      </c>
      <c r="I679" s="12">
        <f t="shared" si="51"/>
        <v>16920</v>
      </c>
      <c r="J679" s="3" t="str">
        <f t="shared" si="48"/>
        <v>1030500</v>
      </c>
    </row>
    <row r="680" spans="1:10" s="3" customFormat="1">
      <c r="B680" s="3" t="s">
        <v>2098</v>
      </c>
      <c r="C680" s="8">
        <v>3</v>
      </c>
      <c r="D680" s="3" t="s">
        <v>2290</v>
      </c>
      <c r="E680" s="11" t="s">
        <v>230</v>
      </c>
      <c r="F680" s="10">
        <v>0.169097</v>
      </c>
      <c r="G680" s="12">
        <f t="shared" si="49"/>
        <v>48653</v>
      </c>
      <c r="H680" s="13">
        <f t="shared" si="50"/>
        <v>24327</v>
      </c>
      <c r="I680" s="12">
        <f t="shared" si="51"/>
        <v>24326</v>
      </c>
      <c r="J680" s="3" t="str">
        <f t="shared" si="48"/>
        <v>1030205</v>
      </c>
    </row>
    <row r="681" spans="1:10" s="3" customFormat="1">
      <c r="B681" s="3" t="s">
        <v>2098</v>
      </c>
      <c r="C681" s="8">
        <v>3</v>
      </c>
      <c r="D681" s="116" t="s">
        <v>2293</v>
      </c>
      <c r="E681" s="11" t="s">
        <v>231</v>
      </c>
      <c r="F681" s="10">
        <v>7.6499999999999995E-4</v>
      </c>
      <c r="G681" s="12">
        <f t="shared" si="49"/>
        <v>220</v>
      </c>
      <c r="H681" s="13">
        <f t="shared" si="50"/>
        <v>110</v>
      </c>
      <c r="I681" s="12">
        <f t="shared" si="51"/>
        <v>110</v>
      </c>
      <c r="J681" s="3" t="str">
        <f t="shared" si="48"/>
        <v>1030551</v>
      </c>
    </row>
    <row r="682" spans="1:10" s="3" customFormat="1">
      <c r="B682" s="3" t="s">
        <v>2098</v>
      </c>
      <c r="C682" s="8">
        <v>3</v>
      </c>
      <c r="D682" s="3" t="s">
        <v>2294</v>
      </c>
      <c r="E682" s="11" t="s">
        <v>232</v>
      </c>
      <c r="F682" s="10">
        <v>9.4830000000000001E-3</v>
      </c>
      <c r="G682" s="12">
        <f t="shared" si="49"/>
        <v>2728</v>
      </c>
      <c r="H682" s="13">
        <f t="shared" si="50"/>
        <v>1364</v>
      </c>
      <c r="I682" s="12">
        <f t="shared" si="51"/>
        <v>1364</v>
      </c>
      <c r="J682" s="3" t="str">
        <f t="shared" si="48"/>
        <v>1030552</v>
      </c>
    </row>
    <row r="683" spans="1:10" s="3" customFormat="1">
      <c r="B683" s="3" t="s">
        <v>2098</v>
      </c>
      <c r="C683" s="8">
        <v>3</v>
      </c>
      <c r="D683" s="3" t="s">
        <v>2295</v>
      </c>
      <c r="E683" s="11" t="s">
        <v>233</v>
      </c>
      <c r="F683" s="10">
        <v>4.2400000000000001E-4</v>
      </c>
      <c r="G683" s="12">
        <f t="shared" si="49"/>
        <v>122</v>
      </c>
      <c r="H683" s="13">
        <f t="shared" si="50"/>
        <v>61</v>
      </c>
      <c r="I683" s="12">
        <f t="shared" si="51"/>
        <v>61</v>
      </c>
      <c r="J683" s="3" t="str">
        <f t="shared" si="48"/>
        <v>1030962</v>
      </c>
    </row>
    <row r="684" spans="1:10" s="3" customFormat="1">
      <c r="B684" s="3" t="s">
        <v>2098</v>
      </c>
      <c r="C684" s="8">
        <v>4</v>
      </c>
      <c r="D684" s="3" t="s">
        <v>2298</v>
      </c>
      <c r="E684" s="11" t="s">
        <v>234</v>
      </c>
      <c r="F684" s="10">
        <v>9.9511000000000002E-2</v>
      </c>
      <c r="G684" s="9">
        <f t="shared" si="49"/>
        <v>28632</v>
      </c>
      <c r="H684" s="11">
        <f t="shared" si="50"/>
        <v>14316</v>
      </c>
      <c r="I684" s="9">
        <f t="shared" si="51"/>
        <v>14316</v>
      </c>
      <c r="J684" s="3" t="str">
        <f t="shared" si="48"/>
        <v>1041000</v>
      </c>
    </row>
    <row r="685" spans="1:10" s="3" customFormat="1">
      <c r="B685" s="3" t="s">
        <v>2098</v>
      </c>
      <c r="C685" s="8">
        <v>4</v>
      </c>
      <c r="D685" s="3" t="s">
        <v>2298</v>
      </c>
      <c r="E685" s="11" t="s">
        <v>28</v>
      </c>
      <c r="F685" s="11"/>
      <c r="G685" s="14">
        <v>0.40416099999999999</v>
      </c>
      <c r="H685" s="11"/>
      <c r="I685" s="11"/>
      <c r="J685" s="3" t="str">
        <f t="shared" si="48"/>
        <v>1041000</v>
      </c>
    </row>
    <row r="686" spans="1:10" s="3" customFormat="1">
      <c r="B686" s="3" t="s">
        <v>2098</v>
      </c>
      <c r="C686" s="8">
        <v>4</v>
      </c>
      <c r="D686" s="3" t="s">
        <v>2298</v>
      </c>
      <c r="E686" s="11" t="s">
        <v>29</v>
      </c>
      <c r="F686" s="11"/>
      <c r="G686" s="15">
        <f>ROUND(G684*G685,0)</f>
        <v>11572</v>
      </c>
      <c r="H686" s="16">
        <f>ROUND(G686/2,0)</f>
        <v>5786</v>
      </c>
      <c r="I686" s="15">
        <f>G686-H686</f>
        <v>5786</v>
      </c>
      <c r="J686" s="3" t="str">
        <f t="shared" si="48"/>
        <v>1041000</v>
      </c>
    </row>
    <row r="687" spans="1:10" s="3" customFormat="1">
      <c r="B687" s="3" t="s">
        <v>2098</v>
      </c>
      <c r="C687" s="8">
        <v>4</v>
      </c>
      <c r="D687" s="3" t="s">
        <v>2298</v>
      </c>
      <c r="E687" s="11" t="s">
        <v>30</v>
      </c>
      <c r="F687" s="11"/>
      <c r="G687" s="12">
        <f>+G684-G686</f>
        <v>17060</v>
      </c>
      <c r="H687" s="13">
        <f>ROUND(G687/2,0)</f>
        <v>8530</v>
      </c>
      <c r="I687" s="12">
        <f>G687-H687</f>
        <v>8530</v>
      </c>
      <c r="J687" s="3" t="str">
        <f t="shared" si="48"/>
        <v>1041000</v>
      </c>
    </row>
    <row r="688" spans="1:10" s="3" customFormat="1">
      <c r="B688" s="3" t="s">
        <v>2098</v>
      </c>
      <c r="C688" s="8">
        <v>4</v>
      </c>
      <c r="D688" s="3" t="s">
        <v>2299</v>
      </c>
      <c r="E688" s="11" t="s">
        <v>235</v>
      </c>
      <c r="F688" s="10">
        <v>0.30374499999999999</v>
      </c>
      <c r="G688" s="9">
        <f>ROUND(G$3*F688,0)</f>
        <v>87394</v>
      </c>
      <c r="H688" s="11">
        <f>ROUND(G688/2,0)</f>
        <v>43697</v>
      </c>
      <c r="I688" s="9">
        <f>G688-H688</f>
        <v>43697</v>
      </c>
      <c r="J688" s="3" t="str">
        <f t="shared" si="48"/>
        <v>1041010</v>
      </c>
    </row>
    <row r="689" spans="1:11" s="3" customFormat="1">
      <c r="B689" s="3" t="s">
        <v>2098</v>
      </c>
      <c r="C689" s="8">
        <v>4</v>
      </c>
      <c r="D689" s="3" t="s">
        <v>2299</v>
      </c>
      <c r="E689" s="11" t="s">
        <v>28</v>
      </c>
      <c r="F689" s="11"/>
      <c r="G689" s="14">
        <v>0.48830000000000001</v>
      </c>
      <c r="H689" s="11"/>
      <c r="I689" s="11"/>
      <c r="J689" s="3" t="str">
        <f t="shared" si="48"/>
        <v>1041010</v>
      </c>
    </row>
    <row r="690" spans="1:11" s="3" customFormat="1">
      <c r="B690" s="3" t="s">
        <v>2098</v>
      </c>
      <c r="C690" s="8">
        <v>4</v>
      </c>
      <c r="D690" s="3" t="s">
        <v>2299</v>
      </c>
      <c r="E690" s="11" t="s">
        <v>29</v>
      </c>
      <c r="F690" s="11"/>
      <c r="G690" s="15">
        <f>ROUND(G688*G689,0)</f>
        <v>42674</v>
      </c>
      <c r="H690" s="16">
        <f>ROUND(G690/2,0)</f>
        <v>21337</v>
      </c>
      <c r="I690" s="15">
        <f>G690-H690</f>
        <v>21337</v>
      </c>
      <c r="J690" s="3" t="str">
        <f t="shared" si="48"/>
        <v>1041010</v>
      </c>
    </row>
    <row r="691" spans="1:11" s="3" customFormat="1">
      <c r="B691" s="3" t="s">
        <v>2098</v>
      </c>
      <c r="C691" s="8">
        <v>4</v>
      </c>
      <c r="D691" s="3" t="s">
        <v>2299</v>
      </c>
      <c r="E691" s="11" t="s">
        <v>30</v>
      </c>
      <c r="F691" s="11"/>
      <c r="G691" s="12">
        <f>+G688-G690</f>
        <v>44720</v>
      </c>
      <c r="H691" s="13">
        <f>ROUND(G691/2,0)</f>
        <v>22360</v>
      </c>
      <c r="I691" s="12">
        <f>G691-H691</f>
        <v>22360</v>
      </c>
      <c r="J691" s="3" t="str">
        <f t="shared" si="48"/>
        <v>1041010</v>
      </c>
    </row>
    <row r="692" spans="1:11" s="128" customFormat="1">
      <c r="B692" s="128" t="s">
        <v>2098</v>
      </c>
      <c r="C692" s="129">
        <v>4</v>
      </c>
      <c r="D692" s="130" t="s">
        <v>2617</v>
      </c>
      <c r="E692" s="131" t="s">
        <v>236</v>
      </c>
      <c r="F692" s="133">
        <v>6.9823999999999997E-2</v>
      </c>
      <c r="G692" s="132">
        <f>ROUND(G$3*F692,0)</f>
        <v>20090</v>
      </c>
      <c r="H692" s="131">
        <f>ROUND(G692/2,0)</f>
        <v>10045</v>
      </c>
      <c r="I692" s="132">
        <f>G692-H692</f>
        <v>10045</v>
      </c>
      <c r="J692" s="128" t="str">
        <f t="shared" si="48"/>
        <v>1040940</v>
      </c>
      <c r="K692" s="128" t="s">
        <v>6372</v>
      </c>
    </row>
    <row r="693" spans="1:11" s="3" customFormat="1">
      <c r="B693" s="3" t="s">
        <v>2098</v>
      </c>
      <c r="C693" s="8">
        <v>4</v>
      </c>
      <c r="D693" s="3" t="s">
        <v>6267</v>
      </c>
      <c r="E693" s="11" t="s">
        <v>28</v>
      </c>
      <c r="F693" s="11"/>
      <c r="G693" s="14">
        <v>0.40515800000000002</v>
      </c>
      <c r="H693" s="11"/>
      <c r="I693" s="11"/>
      <c r="J693" s="3" t="str">
        <f t="shared" si="48"/>
        <v>104XXXX</v>
      </c>
    </row>
    <row r="694" spans="1:11" s="3" customFormat="1">
      <c r="B694" s="3" t="s">
        <v>2098</v>
      </c>
      <c r="C694" s="8">
        <v>4</v>
      </c>
      <c r="D694" s="3" t="s">
        <v>6267</v>
      </c>
      <c r="E694" s="11" t="s">
        <v>29</v>
      </c>
      <c r="F694" s="11"/>
      <c r="G694" s="15">
        <f>ROUND(G692*G693,0)</f>
        <v>8140</v>
      </c>
      <c r="H694" s="16">
        <f t="shared" ref="H694:H704" si="52">ROUND(G694/2,0)</f>
        <v>4070</v>
      </c>
      <c r="I694" s="15">
        <f t="shared" ref="I694:I704" si="53">G694-H694</f>
        <v>4070</v>
      </c>
      <c r="J694" s="3" t="str">
        <f t="shared" si="48"/>
        <v>104XXXX</v>
      </c>
    </row>
    <row r="695" spans="1:11" s="3" customFormat="1">
      <c r="B695" s="3" t="s">
        <v>2098</v>
      </c>
      <c r="C695" s="8">
        <v>4</v>
      </c>
      <c r="D695" s="3" t="s">
        <v>6267</v>
      </c>
      <c r="E695" s="11" t="s">
        <v>30</v>
      </c>
      <c r="F695" s="11"/>
      <c r="G695" s="12">
        <f>+G692-G694</f>
        <v>11950</v>
      </c>
      <c r="H695" s="13">
        <f t="shared" si="52"/>
        <v>5975</v>
      </c>
      <c r="I695" s="12">
        <f t="shared" si="53"/>
        <v>5975</v>
      </c>
      <c r="J695" s="3" t="str">
        <f t="shared" si="48"/>
        <v>104XXXX</v>
      </c>
    </row>
    <row r="696" spans="1:11" s="3" customFormat="1">
      <c r="B696" s="3" t="s">
        <v>2098</v>
      </c>
      <c r="C696" s="8">
        <v>5</v>
      </c>
      <c r="D696" s="3" t="s">
        <v>3455</v>
      </c>
      <c r="E696" s="11" t="s">
        <v>237</v>
      </c>
      <c r="F696" s="10">
        <v>5.7390000000000002E-3</v>
      </c>
      <c r="G696" s="120">
        <f t="shared" ref="G696:G703" si="54">ROUND(G$3*F696,0)</f>
        <v>1651</v>
      </c>
      <c r="H696" s="120">
        <f t="shared" si="52"/>
        <v>826</v>
      </c>
      <c r="I696" s="120">
        <f t="shared" si="53"/>
        <v>825</v>
      </c>
      <c r="J696" s="3" t="str">
        <f t="shared" si="48"/>
        <v>1050287</v>
      </c>
    </row>
    <row r="697" spans="1:11" s="3" customFormat="1">
      <c r="B697" s="3" t="s">
        <v>2098</v>
      </c>
      <c r="C697" s="8">
        <v>5</v>
      </c>
      <c r="D697" s="3" t="s">
        <v>2205</v>
      </c>
      <c r="E697" s="11" t="s">
        <v>238</v>
      </c>
      <c r="F697" s="10">
        <v>2.4490000000000001E-2</v>
      </c>
      <c r="G697" s="120">
        <f t="shared" si="54"/>
        <v>7046</v>
      </c>
      <c r="H697" s="120">
        <f t="shared" si="52"/>
        <v>3523</v>
      </c>
      <c r="I697" s="120">
        <f t="shared" si="53"/>
        <v>3523</v>
      </c>
      <c r="J697" s="3" t="str">
        <f t="shared" si="48"/>
        <v>1050025</v>
      </c>
    </row>
    <row r="698" spans="1:11" s="3" customFormat="1">
      <c r="B698" s="3" t="s">
        <v>2098</v>
      </c>
      <c r="C698" s="8">
        <v>6</v>
      </c>
      <c r="D698" s="3" t="s">
        <v>2295</v>
      </c>
      <c r="E698" s="11" t="s">
        <v>239</v>
      </c>
      <c r="F698" s="10">
        <v>1.232E-3</v>
      </c>
      <c r="G698" s="12">
        <f t="shared" si="54"/>
        <v>354</v>
      </c>
      <c r="H698" s="13">
        <f t="shared" si="52"/>
        <v>177</v>
      </c>
      <c r="I698" s="12">
        <f t="shared" si="53"/>
        <v>177</v>
      </c>
      <c r="J698" s="3" t="str">
        <f t="shared" si="48"/>
        <v>1060962</v>
      </c>
    </row>
    <row r="699" spans="1:11" s="3" customFormat="1">
      <c r="A699" s="3" t="s">
        <v>6269</v>
      </c>
      <c r="B699" s="3" t="s">
        <v>2098</v>
      </c>
      <c r="C699" s="8">
        <v>6</v>
      </c>
      <c r="D699" s="3" t="s">
        <v>3467</v>
      </c>
      <c r="E699" s="11" t="s">
        <v>240</v>
      </c>
      <c r="F699" s="10">
        <v>0</v>
      </c>
      <c r="G699" s="120">
        <f t="shared" si="54"/>
        <v>0</v>
      </c>
      <c r="H699" s="120">
        <f t="shared" si="52"/>
        <v>0</v>
      </c>
      <c r="I699" s="120">
        <f t="shared" si="53"/>
        <v>0</v>
      </c>
      <c r="J699" s="3" t="str">
        <f t="shared" si="48"/>
        <v>1061043</v>
      </c>
    </row>
    <row r="700" spans="1:11" s="3" customFormat="1">
      <c r="B700" s="3" t="s">
        <v>2098</v>
      </c>
      <c r="C700" s="8">
        <v>6</v>
      </c>
      <c r="D700" s="3" t="s">
        <v>2300</v>
      </c>
      <c r="E700" s="11" t="s">
        <v>241</v>
      </c>
      <c r="F700" s="10">
        <v>5.7910000000000001E-3</v>
      </c>
      <c r="G700" s="120">
        <f t="shared" si="54"/>
        <v>1666</v>
      </c>
      <c r="H700" s="120">
        <f t="shared" si="52"/>
        <v>833</v>
      </c>
      <c r="I700" s="120">
        <f t="shared" si="53"/>
        <v>833</v>
      </c>
      <c r="J700" s="3" t="str">
        <f t="shared" si="48"/>
        <v>1060802</v>
      </c>
    </row>
    <row r="701" spans="1:11" s="3" customFormat="1">
      <c r="B701" s="3" t="s">
        <v>2098</v>
      </c>
      <c r="C701" s="8">
        <v>6</v>
      </c>
      <c r="D701" s="3" t="s">
        <v>3461</v>
      </c>
      <c r="E701" s="11" t="s">
        <v>242</v>
      </c>
      <c r="F701" s="10">
        <v>1.8E-5</v>
      </c>
      <c r="G701" s="120">
        <f t="shared" si="54"/>
        <v>5</v>
      </c>
      <c r="H701" s="120">
        <f t="shared" si="52"/>
        <v>3</v>
      </c>
      <c r="I701" s="120">
        <f t="shared" si="53"/>
        <v>2</v>
      </c>
      <c r="J701" s="3" t="str">
        <f t="shared" si="48"/>
        <v>1060971</v>
      </c>
    </row>
    <row r="702" spans="1:11" s="3" customFormat="1">
      <c r="B702" s="3" t="s">
        <v>2098</v>
      </c>
      <c r="C702" s="8">
        <v>6</v>
      </c>
      <c r="D702" s="3" t="s">
        <v>3465</v>
      </c>
      <c r="E702" s="11" t="s">
        <v>243</v>
      </c>
      <c r="F702" s="10">
        <v>1.08E-4</v>
      </c>
      <c r="G702" s="120">
        <f t="shared" si="54"/>
        <v>31</v>
      </c>
      <c r="H702" s="120">
        <f t="shared" si="52"/>
        <v>16</v>
      </c>
      <c r="I702" s="120">
        <f t="shared" si="53"/>
        <v>15</v>
      </c>
      <c r="J702" s="3" t="str">
        <f t="shared" si="48"/>
        <v>1060997</v>
      </c>
    </row>
    <row r="703" spans="1:11" s="3" customFormat="1">
      <c r="B703" s="3" t="s">
        <v>2098</v>
      </c>
      <c r="C703" s="8">
        <v>6</v>
      </c>
      <c r="D703" s="3" t="s">
        <v>3459</v>
      </c>
      <c r="E703" s="11" t="s">
        <v>244</v>
      </c>
      <c r="F703" s="10">
        <v>6.9620000000000003E-3</v>
      </c>
      <c r="G703" s="120">
        <f t="shared" si="54"/>
        <v>2003</v>
      </c>
      <c r="H703" s="120">
        <f t="shared" si="52"/>
        <v>1002</v>
      </c>
      <c r="I703" s="120">
        <f t="shared" si="53"/>
        <v>1001</v>
      </c>
      <c r="J703" s="3" t="str">
        <f t="shared" si="48"/>
        <v>1060967</v>
      </c>
    </row>
    <row r="704" spans="1:11" s="3" customFormat="1">
      <c r="B704" s="3" t="s">
        <v>2098</v>
      </c>
      <c r="C704" s="8">
        <v>6</v>
      </c>
      <c r="D704" s="123" t="s">
        <v>3463</v>
      </c>
      <c r="E704" s="11" t="s">
        <v>245</v>
      </c>
      <c r="F704" s="10">
        <v>1.2E-4</v>
      </c>
      <c r="G704" s="12">
        <f>+G636-SUM(G637:G638)-SUM(G643:G684)-G688-G692-SUM(G696:G703)</f>
        <v>1206513</v>
      </c>
      <c r="H704" s="13">
        <f t="shared" si="52"/>
        <v>603257</v>
      </c>
      <c r="I704" s="12">
        <f t="shared" si="53"/>
        <v>603256</v>
      </c>
      <c r="J704" s="3" t="str">
        <f t="shared" si="48"/>
        <v>1060972</v>
      </c>
    </row>
    <row r="705" spans="2:10" s="3" customFormat="1">
      <c r="B705" s="3" t="s">
        <v>2098</v>
      </c>
      <c r="C705" s="8">
        <v>0</v>
      </c>
      <c r="D705" s="125" t="s">
        <v>2187</v>
      </c>
      <c r="E705" s="28" t="s">
        <v>37</v>
      </c>
      <c r="F705" s="10">
        <v>1</v>
      </c>
      <c r="G705" s="12">
        <f>+G637+SUM(G640:G683)+G686+G687+G690+G691+G694+G695+G696+G697+G698+G699+G700+G701+G702+G703+G704</f>
        <v>1494199</v>
      </c>
      <c r="H705" s="12">
        <f>+H637+SUM(H640:H683)+H686+H687+H690+H691+H694+H695+H696+H697+H698+H699+H700+H701+H702+H703+H704</f>
        <v>747109</v>
      </c>
      <c r="I705" s="12">
        <f>+I637+SUM(I640:I683)+I686+I687+I690+I691+I694+I695+I696+I697+I698+I699+I700+I701+I702+I703+I704</f>
        <v>747090</v>
      </c>
      <c r="J705" s="3" t="str">
        <f t="shared" si="48"/>
        <v>1000000</v>
      </c>
    </row>
    <row r="706" spans="2:10" s="3" customFormat="1">
      <c r="B706" s="3" t="s">
        <v>2098</v>
      </c>
      <c r="C706" s="8">
        <v>0</v>
      </c>
      <c r="D706" s="3" t="s">
        <v>2187</v>
      </c>
      <c r="E706" s="18" t="s">
        <v>38</v>
      </c>
      <c r="G706" s="19">
        <f>+G637</f>
        <v>259</v>
      </c>
      <c r="H706" s="19">
        <f>+H637</f>
        <v>130</v>
      </c>
      <c r="I706" s="19">
        <f>+I637</f>
        <v>129</v>
      </c>
      <c r="J706" s="3" t="str">
        <f t="shared" si="48"/>
        <v>1000000</v>
      </c>
    </row>
    <row r="707" spans="2:10" s="3" customFormat="1">
      <c r="B707" s="3" t="s">
        <v>2098</v>
      </c>
      <c r="C707" s="8">
        <v>0</v>
      </c>
      <c r="D707" s="3" t="s">
        <v>2187</v>
      </c>
      <c r="E707" s="2" t="s">
        <v>39</v>
      </c>
      <c r="G707" s="19">
        <f>+G640</f>
        <v>18533</v>
      </c>
      <c r="H707" s="19">
        <f>+H640</f>
        <v>9267</v>
      </c>
      <c r="I707" s="19">
        <f>+I640</f>
        <v>9266</v>
      </c>
      <c r="J707" s="3" t="str">
        <f t="shared" si="48"/>
        <v>1000000</v>
      </c>
    </row>
    <row r="708" spans="2:10" s="3" customFormat="1">
      <c r="B708" s="3" t="s">
        <v>2098</v>
      </c>
      <c r="C708" s="8">
        <v>0</v>
      </c>
      <c r="D708" s="3" t="s">
        <v>2187</v>
      </c>
      <c r="E708" s="2" t="s">
        <v>40</v>
      </c>
      <c r="G708" s="19">
        <f>+G686+G690+G694</f>
        <v>62386</v>
      </c>
      <c r="H708" s="19">
        <f>+H686+H690+H694</f>
        <v>31193</v>
      </c>
      <c r="I708" s="19">
        <f>+I686+I690+I694</f>
        <v>31193</v>
      </c>
      <c r="J708" s="3" t="str">
        <f t="shared" ref="J708:J771" si="55">B708&amp;C708&amp;D708</f>
        <v>1000000</v>
      </c>
    </row>
    <row r="709" spans="2:10" s="3" customFormat="1">
      <c r="B709" s="3" t="s">
        <v>2098</v>
      </c>
      <c r="C709" s="8">
        <v>0</v>
      </c>
      <c r="D709" s="125" t="s">
        <v>2187</v>
      </c>
      <c r="E709" s="18" t="s">
        <v>41</v>
      </c>
      <c r="G709" s="19">
        <f>+G705-G706-G707-G708</f>
        <v>1413021</v>
      </c>
      <c r="H709" s="19">
        <f>+H705-H706-H707-H708</f>
        <v>706519</v>
      </c>
      <c r="I709" s="19">
        <f>+I705-I706-I707-I708</f>
        <v>706502</v>
      </c>
      <c r="J709" s="3" t="str">
        <f t="shared" si="55"/>
        <v>1000000</v>
      </c>
    </row>
    <row r="710" spans="2:10" ht="15.75">
      <c r="B710" s="3" t="s">
        <v>2186</v>
      </c>
      <c r="D710" t="s">
        <v>2186</v>
      </c>
      <c r="E710">
        <v>0</v>
      </c>
      <c r="G710"/>
      <c r="H710"/>
      <c r="I710"/>
      <c r="J710" s="3" t="str">
        <f t="shared" si="55"/>
        <v/>
      </c>
    </row>
    <row r="711" spans="2:10" s="3" customFormat="1">
      <c r="C711" s="1"/>
      <c r="D711" s="3" t="s">
        <v>2186</v>
      </c>
      <c r="E711" s="2" t="s">
        <v>246</v>
      </c>
      <c r="J711" s="3" t="str">
        <f t="shared" si="55"/>
        <v/>
      </c>
    </row>
    <row r="712" spans="2:10" s="3" customFormat="1" ht="45.75" customHeight="1">
      <c r="B712" s="3" t="s">
        <v>2186</v>
      </c>
      <c r="C712" s="1"/>
      <c r="D712" s="3" t="s">
        <v>2186</v>
      </c>
      <c r="E712" s="1">
        <v>0</v>
      </c>
      <c r="F712" s="6" t="s">
        <v>1</v>
      </c>
      <c r="G712" s="60">
        <f>'Allocation Worksheet'!H712</f>
        <v>0</v>
      </c>
      <c r="H712" s="60">
        <f>'Allocation Worksheet'!H713</f>
        <v>0</v>
      </c>
      <c r="I712" s="60">
        <f>'Allocation Worksheet'!H714</f>
        <v>0</v>
      </c>
      <c r="J712" s="3" t="str">
        <f t="shared" si="55"/>
        <v/>
      </c>
    </row>
    <row r="713" spans="2:10" s="3" customFormat="1">
      <c r="C713" s="7" t="s">
        <v>2087</v>
      </c>
      <c r="D713" s="3" t="s">
        <v>2186</v>
      </c>
      <c r="E713" s="7" t="s">
        <v>3</v>
      </c>
      <c r="F713" s="10"/>
      <c r="G713" s="9">
        <f>'Allocation Worksheet'!$D$14</f>
        <v>250440</v>
      </c>
      <c r="H713" s="11"/>
      <c r="I713" s="11"/>
      <c r="J713" s="3" t="str">
        <f t="shared" si="55"/>
        <v>UT</v>
      </c>
    </row>
    <row r="714" spans="2:10" s="3" customFormat="1">
      <c r="B714" s="3" t="s">
        <v>2099</v>
      </c>
      <c r="C714" s="8">
        <v>0</v>
      </c>
      <c r="D714" s="3" t="s">
        <v>2187</v>
      </c>
      <c r="E714" s="11" t="s">
        <v>4</v>
      </c>
      <c r="F714" s="10">
        <v>1.325E-3</v>
      </c>
      <c r="G714" s="12">
        <f>ROUND(G$3*F714,0)</f>
        <v>381</v>
      </c>
      <c r="H714" s="13">
        <f>ROUND(G714/2,0)</f>
        <v>191</v>
      </c>
      <c r="I714" s="12">
        <f>G714-H714</f>
        <v>190</v>
      </c>
      <c r="J714" s="3" t="str">
        <f t="shared" si="55"/>
        <v>1100000</v>
      </c>
    </row>
    <row r="715" spans="2:10" s="3" customFormat="1">
      <c r="B715" s="3" t="s">
        <v>2099</v>
      </c>
      <c r="C715" s="8">
        <v>1</v>
      </c>
      <c r="D715" s="3" t="s">
        <v>2187</v>
      </c>
      <c r="E715" s="11" t="s">
        <v>247</v>
      </c>
      <c r="F715" s="10">
        <v>0.16377900000000001</v>
      </c>
      <c r="G715" s="9">
        <f>ROUND(G$3*F715,0)</f>
        <v>47123</v>
      </c>
      <c r="H715" s="11">
        <f>ROUND(G715/2,0)</f>
        <v>23562</v>
      </c>
      <c r="I715" s="9">
        <f>G715-H715</f>
        <v>23561</v>
      </c>
      <c r="J715" s="3" t="str">
        <f t="shared" si="55"/>
        <v>1110000</v>
      </c>
    </row>
    <row r="716" spans="2:10" s="3" customFormat="1">
      <c r="B716" s="3" t="s">
        <v>2099</v>
      </c>
      <c r="C716" s="8">
        <v>1</v>
      </c>
      <c r="D716" s="3" t="s">
        <v>2187</v>
      </c>
      <c r="E716" s="11" t="s">
        <v>6</v>
      </c>
      <c r="F716" s="11"/>
      <c r="G716" s="14">
        <v>0.109068</v>
      </c>
      <c r="H716" s="11"/>
      <c r="I716" s="11"/>
      <c r="J716" s="3" t="str">
        <f t="shared" si="55"/>
        <v>1110000</v>
      </c>
    </row>
    <row r="717" spans="2:10" s="3" customFormat="1">
      <c r="B717" s="3" t="s">
        <v>2099</v>
      </c>
      <c r="C717" s="8">
        <v>1</v>
      </c>
      <c r="D717" s="3" t="s">
        <v>2187</v>
      </c>
      <c r="E717" s="11" t="s">
        <v>7</v>
      </c>
      <c r="F717" s="11"/>
      <c r="G717" s="15">
        <f>ROUND(G715*G716,0)</f>
        <v>5140</v>
      </c>
      <c r="H717" s="16">
        <f>ROUND(G717/2,0)</f>
        <v>2570</v>
      </c>
      <c r="I717" s="15">
        <f>G717-H717</f>
        <v>2570</v>
      </c>
      <c r="J717" s="3" t="str">
        <f t="shared" si="55"/>
        <v>1110000</v>
      </c>
    </row>
    <row r="718" spans="2:10" s="3" customFormat="1">
      <c r="B718" s="3" t="s">
        <v>2099</v>
      </c>
      <c r="C718" s="8">
        <v>1</v>
      </c>
      <c r="D718" s="3" t="s">
        <v>2187</v>
      </c>
      <c r="E718" s="11" t="s">
        <v>8</v>
      </c>
      <c r="F718" s="11"/>
      <c r="G718" s="12">
        <f>+G715-G717</f>
        <v>41983</v>
      </c>
      <c r="H718" s="13">
        <f>ROUND(G718/2,0)</f>
        <v>20992</v>
      </c>
      <c r="I718" s="12">
        <f>G718-H718</f>
        <v>20991</v>
      </c>
      <c r="J718" s="3" t="str">
        <f t="shared" si="55"/>
        <v>1110000</v>
      </c>
    </row>
    <row r="719" spans="2:10" s="3" customFormat="1">
      <c r="B719" s="3" t="s">
        <v>2099</v>
      </c>
      <c r="C719" s="8">
        <v>2</v>
      </c>
      <c r="D719" s="3" t="s">
        <v>2188</v>
      </c>
      <c r="E719" s="11" t="s">
        <v>248</v>
      </c>
      <c r="F719" s="11"/>
      <c r="G719" s="9"/>
      <c r="H719" s="11"/>
      <c r="I719" s="11"/>
      <c r="J719" s="3" t="str">
        <f t="shared" si="55"/>
        <v>1120001</v>
      </c>
    </row>
    <row r="720" spans="2:10" s="3" customFormat="1">
      <c r="B720" s="3" t="s">
        <v>2099</v>
      </c>
      <c r="C720" s="8">
        <v>2</v>
      </c>
      <c r="D720" s="3" t="s">
        <v>2188</v>
      </c>
      <c r="E720" s="11" t="s">
        <v>10</v>
      </c>
      <c r="F720" s="10">
        <v>2.4710000000000001E-3</v>
      </c>
      <c r="G720" s="12">
        <f>ROUND(G$3*F720,0)</f>
        <v>711</v>
      </c>
      <c r="H720" s="13">
        <f>ROUND(G720/2,0)</f>
        <v>356</v>
      </c>
      <c r="I720" s="12">
        <f>G720-H720</f>
        <v>355</v>
      </c>
      <c r="J720" s="3" t="str">
        <f t="shared" si="55"/>
        <v>1120001</v>
      </c>
    </row>
    <row r="721" spans="2:10" s="3" customFormat="1">
      <c r="B721" s="3" t="s">
        <v>2099</v>
      </c>
      <c r="C721" s="8">
        <v>2</v>
      </c>
      <c r="D721" s="3" t="s">
        <v>2188</v>
      </c>
      <c r="E721" s="11" t="s">
        <v>11</v>
      </c>
      <c r="F721" s="10">
        <v>3.1300000000000002E-4</v>
      </c>
      <c r="G721" s="12">
        <f>ROUND(G$3*F721,0)</f>
        <v>90</v>
      </c>
      <c r="H721" s="13">
        <f>ROUND(G721/2,0)</f>
        <v>45</v>
      </c>
      <c r="I721" s="12">
        <f>G721-H721</f>
        <v>45</v>
      </c>
      <c r="J721" s="3" t="str">
        <f t="shared" si="55"/>
        <v>1120001</v>
      </c>
    </row>
    <row r="722" spans="2:10" s="3" customFormat="1">
      <c r="B722" s="3" t="s">
        <v>2099</v>
      </c>
      <c r="C722" s="8">
        <v>2</v>
      </c>
      <c r="D722" s="3" t="s">
        <v>2189</v>
      </c>
      <c r="E722" s="11" t="s">
        <v>249</v>
      </c>
      <c r="F722" s="11"/>
      <c r="G722" s="9"/>
      <c r="H722" s="11"/>
      <c r="I722" s="11"/>
      <c r="J722" s="3" t="str">
        <f t="shared" si="55"/>
        <v>1120002</v>
      </c>
    </row>
    <row r="723" spans="2:10" s="3" customFormat="1">
      <c r="B723" s="3" t="s">
        <v>2099</v>
      </c>
      <c r="C723" s="8">
        <v>2</v>
      </c>
      <c r="D723" s="3" t="s">
        <v>2189</v>
      </c>
      <c r="E723" s="11" t="s">
        <v>10</v>
      </c>
      <c r="F723" s="10">
        <v>2.2599999999999999E-4</v>
      </c>
      <c r="G723" s="12">
        <f>ROUND(G$3*F723,0)</f>
        <v>65</v>
      </c>
      <c r="H723" s="13">
        <f>ROUND(G723/2,0)</f>
        <v>33</v>
      </c>
      <c r="I723" s="12">
        <f>G723-H723</f>
        <v>32</v>
      </c>
      <c r="J723" s="3" t="str">
        <f t="shared" si="55"/>
        <v>1120002</v>
      </c>
    </row>
    <row r="724" spans="2:10" s="3" customFormat="1">
      <c r="B724" s="3" t="s">
        <v>2099</v>
      </c>
      <c r="C724" s="8">
        <v>2</v>
      </c>
      <c r="D724" s="3" t="s">
        <v>2189</v>
      </c>
      <c r="E724" s="11" t="s">
        <v>11</v>
      </c>
      <c r="F724" s="10">
        <v>1.7799999999999999E-4</v>
      </c>
      <c r="G724" s="12">
        <f>ROUND(G$3*F724,0)</f>
        <v>51</v>
      </c>
      <c r="H724" s="13">
        <f>ROUND(G724/2,0)</f>
        <v>26</v>
      </c>
      <c r="I724" s="12">
        <f>G724-H724</f>
        <v>25</v>
      </c>
      <c r="J724" s="3" t="str">
        <f t="shared" si="55"/>
        <v>1120002</v>
      </c>
    </row>
    <row r="725" spans="2:10" s="3" customFormat="1">
      <c r="B725" s="3" t="s">
        <v>2099</v>
      </c>
      <c r="C725" s="8">
        <v>2</v>
      </c>
      <c r="D725" s="3" t="s">
        <v>2190</v>
      </c>
      <c r="E725" s="11" t="s">
        <v>250</v>
      </c>
      <c r="F725" s="11"/>
      <c r="G725" s="9"/>
      <c r="H725" s="11"/>
      <c r="I725" s="11"/>
      <c r="J725" s="3" t="str">
        <f t="shared" si="55"/>
        <v>1120003</v>
      </c>
    </row>
    <row r="726" spans="2:10" s="3" customFormat="1">
      <c r="B726" s="3" t="s">
        <v>2099</v>
      </c>
      <c r="C726" s="8">
        <v>2</v>
      </c>
      <c r="D726" s="3" t="s">
        <v>2190</v>
      </c>
      <c r="E726" s="11" t="s">
        <v>10</v>
      </c>
      <c r="F726" s="10">
        <v>2.464E-3</v>
      </c>
      <c r="G726" s="12">
        <f>ROUND(G$3*F726,0)</f>
        <v>709</v>
      </c>
      <c r="H726" s="13">
        <f>ROUND(G726/2,0)</f>
        <v>355</v>
      </c>
      <c r="I726" s="12">
        <f>G726-H726</f>
        <v>354</v>
      </c>
      <c r="J726" s="3" t="str">
        <f t="shared" si="55"/>
        <v>1120003</v>
      </c>
    </row>
    <row r="727" spans="2:10" s="3" customFormat="1">
      <c r="B727" s="3" t="s">
        <v>2099</v>
      </c>
      <c r="C727" s="8">
        <v>2</v>
      </c>
      <c r="D727" s="3" t="s">
        <v>2190</v>
      </c>
      <c r="E727" s="11" t="s">
        <v>11</v>
      </c>
      <c r="F727" s="10">
        <v>2.3470000000000001E-3</v>
      </c>
      <c r="G727" s="12">
        <f>ROUND(G$3*F727,0)</f>
        <v>675</v>
      </c>
      <c r="H727" s="13">
        <f>ROUND(G727/2,0)</f>
        <v>338</v>
      </c>
      <c r="I727" s="12">
        <f>G727-H727</f>
        <v>337</v>
      </c>
      <c r="J727" s="3" t="str">
        <f t="shared" si="55"/>
        <v>1120003</v>
      </c>
    </row>
    <row r="728" spans="2:10" s="3" customFormat="1">
      <c r="B728" s="3" t="s">
        <v>2099</v>
      </c>
      <c r="C728" s="8">
        <v>2</v>
      </c>
      <c r="D728" s="3" t="s">
        <v>2191</v>
      </c>
      <c r="E728" s="11" t="s">
        <v>86</v>
      </c>
      <c r="F728" s="11"/>
      <c r="G728" s="9"/>
      <c r="H728" s="11"/>
      <c r="I728" s="11"/>
      <c r="J728" s="3" t="str">
        <f t="shared" si="55"/>
        <v>1120004</v>
      </c>
    </row>
    <row r="729" spans="2:10" s="3" customFormat="1">
      <c r="B729" s="3" t="s">
        <v>2099</v>
      </c>
      <c r="C729" s="8">
        <v>2</v>
      </c>
      <c r="D729" s="3" t="s">
        <v>2191</v>
      </c>
      <c r="E729" s="11" t="s">
        <v>10</v>
      </c>
      <c r="F729" s="10">
        <v>9.8829999999999994E-3</v>
      </c>
      <c r="G729" s="12">
        <f>ROUND(G$3*F729,0)</f>
        <v>2844</v>
      </c>
      <c r="H729" s="13">
        <f>ROUND(G729/2,0)</f>
        <v>1422</v>
      </c>
      <c r="I729" s="12">
        <f>G729-H729</f>
        <v>1422</v>
      </c>
      <c r="J729" s="3" t="str">
        <f t="shared" si="55"/>
        <v>1120004</v>
      </c>
    </row>
    <row r="730" spans="2:10" s="3" customFormat="1">
      <c r="B730" s="3" t="s">
        <v>2099</v>
      </c>
      <c r="C730" s="8">
        <v>2</v>
      </c>
      <c r="D730" s="3" t="s">
        <v>2191</v>
      </c>
      <c r="E730" s="11" t="s">
        <v>11</v>
      </c>
      <c r="F730" s="10">
        <v>2.307E-3</v>
      </c>
      <c r="G730" s="12">
        <f>ROUND(G$3*F730,0)</f>
        <v>664</v>
      </c>
      <c r="H730" s="13">
        <f>ROUND(G730/2,0)</f>
        <v>332</v>
      </c>
      <c r="I730" s="12">
        <f>G730-H730</f>
        <v>332</v>
      </c>
      <c r="J730" s="3" t="str">
        <f t="shared" si="55"/>
        <v>1120004</v>
      </c>
    </row>
    <row r="731" spans="2:10" s="3" customFormat="1">
      <c r="B731" s="3" t="s">
        <v>2099</v>
      </c>
      <c r="C731" s="8">
        <v>2</v>
      </c>
      <c r="D731" s="3" t="s">
        <v>2192</v>
      </c>
      <c r="E731" s="11" t="s">
        <v>49</v>
      </c>
      <c r="F731" s="11"/>
      <c r="G731" s="9"/>
      <c r="H731" s="11"/>
      <c r="I731" s="11"/>
      <c r="J731" s="3" t="str">
        <f t="shared" si="55"/>
        <v>1120005</v>
      </c>
    </row>
    <row r="732" spans="2:10" s="3" customFormat="1">
      <c r="B732" s="3" t="s">
        <v>2099</v>
      </c>
      <c r="C732" s="8">
        <v>2</v>
      </c>
      <c r="D732" s="3" t="s">
        <v>2192</v>
      </c>
      <c r="E732" s="11" t="s">
        <v>10</v>
      </c>
      <c r="F732" s="10">
        <v>9.3499999999999996E-4</v>
      </c>
      <c r="G732" s="12">
        <f>ROUND(G$3*F732,0)</f>
        <v>269</v>
      </c>
      <c r="H732" s="13">
        <f>ROUND(G732/2,0)</f>
        <v>135</v>
      </c>
      <c r="I732" s="12">
        <f>G732-H732</f>
        <v>134</v>
      </c>
      <c r="J732" s="3" t="str">
        <f t="shared" si="55"/>
        <v>1120005</v>
      </c>
    </row>
    <row r="733" spans="2:10" s="3" customFormat="1">
      <c r="B733" s="3" t="s">
        <v>2099</v>
      </c>
      <c r="C733" s="8">
        <v>2</v>
      </c>
      <c r="D733" s="3" t="s">
        <v>2192</v>
      </c>
      <c r="E733" s="11" t="s">
        <v>11</v>
      </c>
      <c r="F733" s="10">
        <v>1.3760000000000001E-3</v>
      </c>
      <c r="G733" s="12">
        <f>ROUND(G$3*F733,0)</f>
        <v>396</v>
      </c>
      <c r="H733" s="13">
        <f>ROUND(G733/2,0)</f>
        <v>198</v>
      </c>
      <c r="I733" s="12">
        <f>G733-H733</f>
        <v>198</v>
      </c>
      <c r="J733" s="3" t="str">
        <f t="shared" si="55"/>
        <v>1120005</v>
      </c>
    </row>
    <row r="734" spans="2:10" s="3" customFormat="1">
      <c r="B734" s="3" t="s">
        <v>2099</v>
      </c>
      <c r="C734" s="8">
        <v>2</v>
      </c>
      <c r="D734" s="3" t="s">
        <v>2193</v>
      </c>
      <c r="E734" s="11" t="s">
        <v>251</v>
      </c>
      <c r="F734" s="11"/>
      <c r="G734" s="9"/>
      <c r="H734" s="11"/>
      <c r="I734" s="11"/>
      <c r="J734" s="3" t="str">
        <f t="shared" si="55"/>
        <v>1120006</v>
      </c>
    </row>
    <row r="735" spans="2:10" s="3" customFormat="1">
      <c r="B735" s="3" t="s">
        <v>2099</v>
      </c>
      <c r="C735" s="8">
        <v>2</v>
      </c>
      <c r="D735" s="3" t="s">
        <v>2193</v>
      </c>
      <c r="E735" s="11" t="s">
        <v>10</v>
      </c>
      <c r="F735" s="10">
        <v>1.8270000000000001E-3</v>
      </c>
      <c r="G735" s="12">
        <f>ROUND(G$3*F735,0)</f>
        <v>526</v>
      </c>
      <c r="H735" s="13">
        <f>ROUND(G735/2,0)</f>
        <v>263</v>
      </c>
      <c r="I735" s="12">
        <f>G735-H735</f>
        <v>263</v>
      </c>
      <c r="J735" s="3" t="str">
        <f t="shared" si="55"/>
        <v>1120006</v>
      </c>
    </row>
    <row r="736" spans="2:10" s="3" customFormat="1">
      <c r="B736" s="3" t="s">
        <v>2099</v>
      </c>
      <c r="C736" s="8">
        <v>2</v>
      </c>
      <c r="D736" s="3" t="s">
        <v>2193</v>
      </c>
      <c r="E736" s="11" t="s">
        <v>11</v>
      </c>
      <c r="F736" s="10">
        <v>3.68E-4</v>
      </c>
      <c r="G736" s="12">
        <f>ROUND(G$3*F736,0)</f>
        <v>106</v>
      </c>
      <c r="H736" s="13">
        <f>ROUND(G736/2,0)</f>
        <v>53</v>
      </c>
      <c r="I736" s="12">
        <f>G736-H736</f>
        <v>53</v>
      </c>
      <c r="J736" s="3" t="str">
        <f t="shared" si="55"/>
        <v>1120006</v>
      </c>
    </row>
    <row r="737" spans="2:10" s="3" customFormat="1">
      <c r="B737" s="3" t="s">
        <v>2099</v>
      </c>
      <c r="C737" s="8">
        <v>2</v>
      </c>
      <c r="D737" s="3" t="s">
        <v>2194</v>
      </c>
      <c r="E737" s="11" t="s">
        <v>56</v>
      </c>
      <c r="F737" s="11"/>
      <c r="G737" s="9"/>
      <c r="H737" s="11"/>
      <c r="I737" s="11"/>
      <c r="J737" s="3" t="str">
        <f t="shared" si="55"/>
        <v>1120007</v>
      </c>
    </row>
    <row r="738" spans="2:10" s="3" customFormat="1">
      <c r="B738" s="3" t="s">
        <v>2099</v>
      </c>
      <c r="C738" s="8">
        <v>2</v>
      </c>
      <c r="D738" s="3" t="s">
        <v>2194</v>
      </c>
      <c r="E738" s="11" t="s">
        <v>10</v>
      </c>
      <c r="F738" s="10">
        <v>2.9100000000000003E-4</v>
      </c>
      <c r="G738" s="12">
        <f>ROUND(G$3*F738,0)</f>
        <v>84</v>
      </c>
      <c r="H738" s="13">
        <f>ROUND(G738/2,0)</f>
        <v>42</v>
      </c>
      <c r="I738" s="12">
        <f>G738-H738</f>
        <v>42</v>
      </c>
      <c r="J738" s="3" t="str">
        <f t="shared" si="55"/>
        <v>1120007</v>
      </c>
    </row>
    <row r="739" spans="2:10" s="3" customFormat="1">
      <c r="B739" s="3" t="s">
        <v>2099</v>
      </c>
      <c r="C739" s="8">
        <v>2</v>
      </c>
      <c r="D739" s="3" t="s">
        <v>2194</v>
      </c>
      <c r="E739" s="11" t="s">
        <v>11</v>
      </c>
      <c r="F739" s="10">
        <v>1.16E-4</v>
      </c>
      <c r="G739" s="12">
        <f>ROUND(G$3*F739,0)</f>
        <v>33</v>
      </c>
      <c r="H739" s="13">
        <f>ROUND(G739/2,0)</f>
        <v>17</v>
      </c>
      <c r="I739" s="12">
        <f>G739-H739</f>
        <v>16</v>
      </c>
      <c r="J739" s="3" t="str">
        <f t="shared" si="55"/>
        <v>1120007</v>
      </c>
    </row>
    <row r="740" spans="2:10" s="3" customFormat="1">
      <c r="B740" s="3" t="s">
        <v>2099</v>
      </c>
      <c r="C740" s="8">
        <v>2</v>
      </c>
      <c r="D740" s="3" t="s">
        <v>2195</v>
      </c>
      <c r="E740" s="11" t="s">
        <v>252</v>
      </c>
      <c r="F740" s="11"/>
      <c r="G740" s="9"/>
      <c r="H740" s="11"/>
      <c r="I740" s="11"/>
      <c r="J740" s="3" t="str">
        <f t="shared" si="55"/>
        <v>1120008</v>
      </c>
    </row>
    <row r="741" spans="2:10" s="3" customFormat="1">
      <c r="B741" s="3" t="s">
        <v>2099</v>
      </c>
      <c r="C741" s="8">
        <v>2</v>
      </c>
      <c r="D741" s="3" t="s">
        <v>2195</v>
      </c>
      <c r="E741" s="11" t="s">
        <v>10</v>
      </c>
      <c r="F741" s="10">
        <v>1.0900000000000001E-4</v>
      </c>
      <c r="G741" s="12">
        <f>ROUND(G$3*F741,0)</f>
        <v>31</v>
      </c>
      <c r="H741" s="13">
        <f>ROUND(G741/2,0)</f>
        <v>16</v>
      </c>
      <c r="I741" s="12">
        <f>G741-H741</f>
        <v>15</v>
      </c>
      <c r="J741" s="3" t="str">
        <f t="shared" si="55"/>
        <v>1120008</v>
      </c>
    </row>
    <row r="742" spans="2:10" s="3" customFormat="1">
      <c r="B742" s="3" t="s">
        <v>2099</v>
      </c>
      <c r="C742" s="8">
        <v>2</v>
      </c>
      <c r="D742" s="3" t="s">
        <v>2195</v>
      </c>
      <c r="E742" s="11" t="s">
        <v>11</v>
      </c>
      <c r="F742" s="10">
        <v>4.5100000000000001E-4</v>
      </c>
      <c r="G742" s="12">
        <f>ROUND(G$3*F742,0)</f>
        <v>130</v>
      </c>
      <c r="H742" s="13">
        <f>ROUND(G742/2,0)</f>
        <v>65</v>
      </c>
      <c r="I742" s="12">
        <f>G742-H742</f>
        <v>65</v>
      </c>
      <c r="J742" s="3" t="str">
        <f t="shared" si="55"/>
        <v>1120008</v>
      </c>
    </row>
    <row r="743" spans="2:10" s="3" customFormat="1">
      <c r="B743" s="3" t="s">
        <v>2099</v>
      </c>
      <c r="C743" s="8">
        <v>2</v>
      </c>
      <c r="D743" s="3" t="s">
        <v>2196</v>
      </c>
      <c r="E743" s="11" t="s">
        <v>253</v>
      </c>
      <c r="F743" s="11"/>
      <c r="G743" s="9"/>
      <c r="H743" s="11"/>
      <c r="I743" s="11"/>
      <c r="J743" s="3" t="str">
        <f t="shared" si="55"/>
        <v>1120009</v>
      </c>
    </row>
    <row r="744" spans="2:10" s="3" customFormat="1">
      <c r="B744" s="3" t="s">
        <v>2099</v>
      </c>
      <c r="C744" s="8">
        <v>2</v>
      </c>
      <c r="D744" s="3" t="s">
        <v>2196</v>
      </c>
      <c r="E744" s="11" t="s">
        <v>10</v>
      </c>
      <c r="F744" s="10">
        <v>4.7699999999999999E-4</v>
      </c>
      <c r="G744" s="12">
        <f>ROUND(G$3*F744,0)</f>
        <v>137</v>
      </c>
      <c r="H744" s="13">
        <f>ROUND(G744/2,0)</f>
        <v>69</v>
      </c>
      <c r="I744" s="12">
        <f>G744-H744</f>
        <v>68</v>
      </c>
      <c r="J744" s="3" t="str">
        <f t="shared" si="55"/>
        <v>1120009</v>
      </c>
    </row>
    <row r="745" spans="2:10" s="3" customFormat="1">
      <c r="B745" s="3" t="s">
        <v>2099</v>
      </c>
      <c r="C745" s="8">
        <v>2</v>
      </c>
      <c r="D745" s="3" t="s">
        <v>2196</v>
      </c>
      <c r="E745" s="11" t="s">
        <v>11</v>
      </c>
      <c r="F745" s="10">
        <v>2.5799999999999998E-4</v>
      </c>
      <c r="G745" s="12">
        <f>ROUND(G$3*F745,0)</f>
        <v>74</v>
      </c>
      <c r="H745" s="13">
        <f>ROUND(G745/2,0)</f>
        <v>37</v>
      </c>
      <c r="I745" s="12">
        <f>G745-H745</f>
        <v>37</v>
      </c>
      <c r="J745" s="3" t="str">
        <f t="shared" si="55"/>
        <v>1120009</v>
      </c>
    </row>
    <row r="746" spans="2:10" s="3" customFormat="1">
      <c r="B746" s="3" t="s">
        <v>2099</v>
      </c>
      <c r="C746" s="8">
        <v>2</v>
      </c>
      <c r="D746" s="3" t="s">
        <v>2197</v>
      </c>
      <c r="E746" s="11" t="s">
        <v>169</v>
      </c>
      <c r="F746" s="11"/>
      <c r="G746" s="9"/>
      <c r="H746" s="11"/>
      <c r="I746" s="11"/>
      <c r="J746" s="3" t="str">
        <f t="shared" si="55"/>
        <v>1120010</v>
      </c>
    </row>
    <row r="747" spans="2:10" s="3" customFormat="1">
      <c r="B747" s="3" t="s">
        <v>2099</v>
      </c>
      <c r="C747" s="8">
        <v>2</v>
      </c>
      <c r="D747" s="3" t="s">
        <v>2197</v>
      </c>
      <c r="E747" s="11" t="s">
        <v>10</v>
      </c>
      <c r="F747" s="10">
        <v>1.0839999999999999E-3</v>
      </c>
      <c r="G747" s="12">
        <f>ROUND(G$3*F747,0)</f>
        <v>312</v>
      </c>
      <c r="H747" s="13">
        <f>ROUND(G747/2,0)</f>
        <v>156</v>
      </c>
      <c r="I747" s="12">
        <f>G747-H747</f>
        <v>156</v>
      </c>
      <c r="J747" s="3" t="str">
        <f t="shared" si="55"/>
        <v>1120010</v>
      </c>
    </row>
    <row r="748" spans="2:10" s="3" customFormat="1">
      <c r="B748" s="3" t="s">
        <v>2099</v>
      </c>
      <c r="C748" s="8">
        <v>2</v>
      </c>
      <c r="D748" s="3" t="s">
        <v>2197</v>
      </c>
      <c r="E748" s="11" t="s">
        <v>11</v>
      </c>
      <c r="F748" s="10">
        <v>1.1169999999999999E-3</v>
      </c>
      <c r="G748" s="12">
        <f>ROUND(G$3*F748,0)</f>
        <v>321</v>
      </c>
      <c r="H748" s="13">
        <f>ROUND(G748/2,0)</f>
        <v>161</v>
      </c>
      <c r="I748" s="12">
        <f>G748-H748</f>
        <v>160</v>
      </c>
      <c r="J748" s="3" t="str">
        <f t="shared" si="55"/>
        <v>1120010</v>
      </c>
    </row>
    <row r="749" spans="2:10" s="3" customFormat="1">
      <c r="B749" s="3" t="s">
        <v>2099</v>
      </c>
      <c r="C749" s="8">
        <v>2</v>
      </c>
      <c r="D749" s="3" t="s">
        <v>2198</v>
      </c>
      <c r="E749" s="11" t="s">
        <v>22</v>
      </c>
      <c r="F749" s="11"/>
      <c r="G749" s="9"/>
      <c r="H749" s="11"/>
      <c r="I749" s="11"/>
      <c r="J749" s="3" t="str">
        <f t="shared" si="55"/>
        <v>1120011</v>
      </c>
    </row>
    <row r="750" spans="2:10" s="3" customFormat="1">
      <c r="B750" s="3" t="s">
        <v>2099</v>
      </c>
      <c r="C750" s="8">
        <v>2</v>
      </c>
      <c r="D750" s="3" t="s">
        <v>2198</v>
      </c>
      <c r="E750" s="11" t="s">
        <v>10</v>
      </c>
      <c r="F750" s="10">
        <v>1.8200000000000001E-4</v>
      </c>
      <c r="G750" s="12">
        <f t="shared" ref="G750:G759" si="56">ROUND(G$3*F750,0)</f>
        <v>52</v>
      </c>
      <c r="H750" s="13">
        <f t="shared" ref="H750:H759" si="57">ROUND(G750/2,0)</f>
        <v>26</v>
      </c>
      <c r="I750" s="12">
        <f t="shared" ref="I750:I759" si="58">G750-H750</f>
        <v>26</v>
      </c>
      <c r="J750" s="3" t="str">
        <f t="shared" si="55"/>
        <v>1120011</v>
      </c>
    </row>
    <row r="751" spans="2:10" s="3" customFormat="1">
      <c r="B751" s="3" t="s">
        <v>2099</v>
      </c>
      <c r="C751" s="8">
        <v>2</v>
      </c>
      <c r="D751" s="3" t="s">
        <v>2198</v>
      </c>
      <c r="E751" s="11" t="s">
        <v>11</v>
      </c>
      <c r="F751" s="10">
        <v>1.3100000000000001E-4</v>
      </c>
      <c r="G751" s="12">
        <f t="shared" si="56"/>
        <v>38</v>
      </c>
      <c r="H751" s="13">
        <f t="shared" si="57"/>
        <v>19</v>
      </c>
      <c r="I751" s="12">
        <f t="shared" si="58"/>
        <v>19</v>
      </c>
      <c r="J751" s="3" t="str">
        <f t="shared" si="55"/>
        <v>1120011</v>
      </c>
    </row>
    <row r="752" spans="2:10" s="3" customFormat="1">
      <c r="B752" s="3" t="s">
        <v>2099</v>
      </c>
      <c r="C752" s="8">
        <v>3</v>
      </c>
      <c r="D752" s="3" t="s">
        <v>2302</v>
      </c>
      <c r="E752" s="11" t="s">
        <v>254</v>
      </c>
      <c r="F752" s="10">
        <v>2.9363E-2</v>
      </c>
      <c r="G752" s="12">
        <f t="shared" si="56"/>
        <v>8448</v>
      </c>
      <c r="H752" s="12">
        <f t="shared" si="57"/>
        <v>4224</v>
      </c>
      <c r="I752" s="12">
        <f t="shared" si="58"/>
        <v>4224</v>
      </c>
      <c r="J752" s="3" t="str">
        <f t="shared" si="55"/>
        <v>1130410</v>
      </c>
    </row>
    <row r="753" spans="1:10" s="3" customFormat="1">
      <c r="B753" s="3" t="s">
        <v>2099</v>
      </c>
      <c r="C753" s="8">
        <v>3</v>
      </c>
      <c r="D753" s="3" t="s">
        <v>2303</v>
      </c>
      <c r="E753" s="11" t="s">
        <v>255</v>
      </c>
      <c r="F753" s="10">
        <v>2.9E-5</v>
      </c>
      <c r="G753" s="12">
        <f t="shared" si="56"/>
        <v>8</v>
      </c>
      <c r="H753" s="12">
        <f t="shared" si="57"/>
        <v>4</v>
      </c>
      <c r="I753" s="12">
        <f t="shared" si="58"/>
        <v>4</v>
      </c>
      <c r="J753" s="3" t="str">
        <f t="shared" si="55"/>
        <v>1130553</v>
      </c>
    </row>
    <row r="754" spans="1:10" s="3" customFormat="1">
      <c r="A754" s="3" t="s">
        <v>6269</v>
      </c>
      <c r="B754" s="3" t="s">
        <v>2099</v>
      </c>
      <c r="C754" s="8">
        <v>3</v>
      </c>
      <c r="D754" s="3" t="s">
        <v>2304</v>
      </c>
      <c r="E754" s="11" t="s">
        <v>256</v>
      </c>
      <c r="F754" s="10">
        <v>0</v>
      </c>
      <c r="G754" s="12">
        <f t="shared" si="56"/>
        <v>0</v>
      </c>
      <c r="H754" s="12">
        <f t="shared" si="57"/>
        <v>0</v>
      </c>
      <c r="I754" s="12">
        <f t="shared" si="58"/>
        <v>0</v>
      </c>
      <c r="J754" s="3" t="str">
        <f t="shared" si="55"/>
        <v>1130554</v>
      </c>
    </row>
    <row r="755" spans="1:10" s="3" customFormat="1">
      <c r="A755" s="3" t="s">
        <v>6269</v>
      </c>
      <c r="B755" s="3" t="s">
        <v>2099</v>
      </c>
      <c r="C755" s="8">
        <v>3</v>
      </c>
      <c r="D755" s="3" t="s">
        <v>2305</v>
      </c>
      <c r="E755" s="11" t="s">
        <v>257</v>
      </c>
      <c r="F755" s="10">
        <v>0</v>
      </c>
      <c r="G755" s="12">
        <f t="shared" si="56"/>
        <v>0</v>
      </c>
      <c r="H755" s="12">
        <f t="shared" si="57"/>
        <v>0</v>
      </c>
      <c r="I755" s="12">
        <f t="shared" si="58"/>
        <v>0</v>
      </c>
      <c r="J755" s="3" t="str">
        <f t="shared" si="55"/>
        <v>1130555</v>
      </c>
    </row>
    <row r="756" spans="1:10" s="3" customFormat="1">
      <c r="B756" s="3" t="s">
        <v>2099</v>
      </c>
      <c r="C756" s="8">
        <v>3</v>
      </c>
      <c r="D756" s="3" t="s">
        <v>2308</v>
      </c>
      <c r="E756" s="11" t="s">
        <v>258</v>
      </c>
      <c r="F756" s="10">
        <v>1.1280000000000001E-3</v>
      </c>
      <c r="G756" s="12">
        <f t="shared" si="56"/>
        <v>325</v>
      </c>
      <c r="H756" s="12">
        <f t="shared" si="57"/>
        <v>163</v>
      </c>
      <c r="I756" s="12">
        <f t="shared" si="58"/>
        <v>162</v>
      </c>
      <c r="J756" s="3" t="str">
        <f t="shared" si="55"/>
        <v>1130558</v>
      </c>
    </row>
    <row r="757" spans="1:10" s="3" customFormat="1">
      <c r="B757" s="3" t="s">
        <v>2099</v>
      </c>
      <c r="C757" s="8">
        <v>3</v>
      </c>
      <c r="D757" s="3" t="s">
        <v>2306</v>
      </c>
      <c r="E757" s="11" t="s">
        <v>259</v>
      </c>
      <c r="F757" s="10">
        <v>8.3299999999999997E-4</v>
      </c>
      <c r="G757" s="12">
        <f t="shared" si="56"/>
        <v>240</v>
      </c>
      <c r="H757" s="12">
        <f t="shared" si="57"/>
        <v>120</v>
      </c>
      <c r="I757" s="12">
        <f t="shared" si="58"/>
        <v>120</v>
      </c>
      <c r="J757" s="3" t="str">
        <f t="shared" si="55"/>
        <v>1130556</v>
      </c>
    </row>
    <row r="758" spans="1:10" s="3" customFormat="1">
      <c r="A758" s="3" t="s">
        <v>6269</v>
      </c>
      <c r="B758" s="3" t="s">
        <v>2099</v>
      </c>
      <c r="C758" s="8">
        <v>3</v>
      </c>
      <c r="D758" s="3" t="s">
        <v>2307</v>
      </c>
      <c r="E758" s="11" t="s">
        <v>260</v>
      </c>
      <c r="F758" s="10">
        <v>0</v>
      </c>
      <c r="G758" s="12">
        <f t="shared" si="56"/>
        <v>0</v>
      </c>
      <c r="H758" s="12">
        <f t="shared" si="57"/>
        <v>0</v>
      </c>
      <c r="I758" s="12">
        <f t="shared" si="58"/>
        <v>0</v>
      </c>
      <c r="J758" s="3" t="str">
        <f t="shared" si="55"/>
        <v>1130557</v>
      </c>
    </row>
    <row r="759" spans="1:10" s="3" customFormat="1">
      <c r="B759" s="3" t="s">
        <v>2099</v>
      </c>
      <c r="C759" s="8">
        <v>4</v>
      </c>
      <c r="D759" s="3" t="s">
        <v>2309</v>
      </c>
      <c r="E759" s="11" t="s">
        <v>261</v>
      </c>
      <c r="F759" s="10">
        <v>0.70628500000000005</v>
      </c>
      <c r="G759" s="9">
        <f t="shared" si="56"/>
        <v>203214</v>
      </c>
      <c r="H759" s="11">
        <f t="shared" si="57"/>
        <v>101607</v>
      </c>
      <c r="I759" s="9">
        <f t="shared" si="58"/>
        <v>101607</v>
      </c>
      <c r="J759" s="3" t="str">
        <f t="shared" si="55"/>
        <v>1141125</v>
      </c>
    </row>
    <row r="760" spans="1:10" s="3" customFormat="1">
      <c r="B760" s="3" t="s">
        <v>2099</v>
      </c>
      <c r="C760" s="8">
        <v>4</v>
      </c>
      <c r="D760" s="3" t="s">
        <v>2309</v>
      </c>
      <c r="E760" s="11" t="s">
        <v>28</v>
      </c>
      <c r="F760" s="11"/>
      <c r="G760" s="14">
        <v>0.37822099999999997</v>
      </c>
      <c r="H760" s="11"/>
      <c r="I760" s="11"/>
      <c r="J760" s="3" t="str">
        <f t="shared" si="55"/>
        <v>1141125</v>
      </c>
    </row>
    <row r="761" spans="1:10" s="3" customFormat="1">
      <c r="B761" s="3" t="s">
        <v>2099</v>
      </c>
      <c r="C761" s="8">
        <v>4</v>
      </c>
      <c r="D761" s="3" t="s">
        <v>2309</v>
      </c>
      <c r="E761" s="11" t="s">
        <v>29</v>
      </c>
      <c r="F761" s="11"/>
      <c r="G761" s="15">
        <f>ROUND(G759*G760,0)</f>
        <v>76860</v>
      </c>
      <c r="H761" s="16">
        <f>ROUND(G761/2,0)</f>
        <v>38430</v>
      </c>
      <c r="I761" s="15">
        <f>G761-H761</f>
        <v>38430</v>
      </c>
      <c r="J761" s="3" t="str">
        <f t="shared" si="55"/>
        <v>1141125</v>
      </c>
    </row>
    <row r="762" spans="1:10" s="3" customFormat="1">
      <c r="B762" s="3" t="s">
        <v>2099</v>
      </c>
      <c r="C762" s="8">
        <v>4</v>
      </c>
      <c r="D762" s="3" t="s">
        <v>2309</v>
      </c>
      <c r="E762" s="11" t="s">
        <v>30</v>
      </c>
      <c r="F762" s="11"/>
      <c r="G762" s="12">
        <f>+G759-G761</f>
        <v>126354</v>
      </c>
      <c r="H762" s="12">
        <f>ROUND(G762/2,0)</f>
        <v>63177</v>
      </c>
      <c r="I762" s="12">
        <f>G762-H762</f>
        <v>63177</v>
      </c>
      <c r="J762" s="3" t="str">
        <f t="shared" si="55"/>
        <v>1141125</v>
      </c>
    </row>
    <row r="763" spans="1:10" s="3" customFormat="1">
      <c r="B763" s="3" t="s">
        <v>2099</v>
      </c>
      <c r="C763" s="8">
        <v>4</v>
      </c>
      <c r="D763" s="3" t="s">
        <v>2310</v>
      </c>
      <c r="E763" s="11" t="s">
        <v>262</v>
      </c>
      <c r="F763" s="10">
        <v>6.0432E-2</v>
      </c>
      <c r="G763" s="9">
        <f>ROUND(G$3*F763,0)</f>
        <v>17388</v>
      </c>
      <c r="H763" s="11">
        <f>ROUND(G763/2,0)</f>
        <v>8694</v>
      </c>
      <c r="I763" s="9">
        <f>G763-H763</f>
        <v>8694</v>
      </c>
      <c r="J763" s="3" t="str">
        <f t="shared" si="55"/>
        <v>1142960</v>
      </c>
    </row>
    <row r="764" spans="1:10" s="3" customFormat="1">
      <c r="B764" s="3" t="s">
        <v>2099</v>
      </c>
      <c r="C764" s="8">
        <v>4</v>
      </c>
      <c r="D764" s="3" t="s">
        <v>2310</v>
      </c>
      <c r="E764" s="11" t="s">
        <v>28</v>
      </c>
      <c r="F764" s="11"/>
      <c r="G764" s="14">
        <v>0.38711699999999999</v>
      </c>
      <c r="H764" s="11"/>
      <c r="I764" s="11"/>
      <c r="J764" s="3" t="str">
        <f t="shared" si="55"/>
        <v>1142960</v>
      </c>
    </row>
    <row r="765" spans="1:10" s="3" customFormat="1">
      <c r="B765" s="3" t="s">
        <v>2099</v>
      </c>
      <c r="C765" s="8">
        <v>4</v>
      </c>
      <c r="D765" s="3" t="s">
        <v>2310</v>
      </c>
      <c r="E765" s="11" t="s">
        <v>29</v>
      </c>
      <c r="F765" s="11"/>
      <c r="G765" s="15">
        <f>ROUND(G763*G764,0)</f>
        <v>6731</v>
      </c>
      <c r="H765" s="16">
        <f>ROUND(G765/2,0)</f>
        <v>3366</v>
      </c>
      <c r="I765" s="15">
        <f>G765-H765</f>
        <v>3365</v>
      </c>
      <c r="J765" s="3" t="str">
        <f t="shared" si="55"/>
        <v>1142960</v>
      </c>
    </row>
    <row r="766" spans="1:10" s="3" customFormat="1">
      <c r="B766" s="3" t="s">
        <v>2099</v>
      </c>
      <c r="C766" s="8">
        <v>4</v>
      </c>
      <c r="D766" s="3" t="s">
        <v>2310</v>
      </c>
      <c r="E766" s="11" t="s">
        <v>30</v>
      </c>
      <c r="F766" s="11"/>
      <c r="G766" s="12">
        <f>+G763-G765</f>
        <v>10657</v>
      </c>
      <c r="H766" s="12">
        <f>ROUND(G766/2,0)</f>
        <v>5329</v>
      </c>
      <c r="I766" s="12">
        <f>G766-H766</f>
        <v>5328</v>
      </c>
      <c r="J766" s="3" t="str">
        <f t="shared" si="55"/>
        <v>1142960</v>
      </c>
    </row>
    <row r="767" spans="1:10" s="3" customFormat="1">
      <c r="B767" s="3" t="s">
        <v>2099</v>
      </c>
      <c r="C767" s="8">
        <v>5</v>
      </c>
      <c r="D767" s="3" t="s">
        <v>2311</v>
      </c>
      <c r="E767" s="11" t="s">
        <v>263</v>
      </c>
      <c r="F767" s="10">
        <v>7.9150000000000002E-3</v>
      </c>
      <c r="G767" s="120">
        <f>+G713-SUM(G714:G715)-SUM(G720:G759)-G763</f>
        <v>-35005</v>
      </c>
      <c r="H767" s="120">
        <f>ROUND(G767/2,0)</f>
        <v>-17503</v>
      </c>
      <c r="I767" s="120">
        <f>G767-H767</f>
        <v>-17502</v>
      </c>
      <c r="J767" s="3" t="str">
        <f t="shared" si="55"/>
        <v>1150026</v>
      </c>
    </row>
    <row r="768" spans="1:10" s="3" customFormat="1">
      <c r="A768" s="3" t="s">
        <v>6269</v>
      </c>
      <c r="B768" s="3" t="s">
        <v>2099</v>
      </c>
      <c r="C768" s="8">
        <v>6</v>
      </c>
      <c r="D768" s="3" t="s">
        <v>6267</v>
      </c>
      <c r="E768" s="11" t="s">
        <v>264</v>
      </c>
      <c r="F768" s="10">
        <v>0</v>
      </c>
      <c r="G768" s="120">
        <f>ROUND(G$3*F768,0)</f>
        <v>0</v>
      </c>
      <c r="H768" s="120">
        <f>ROUND(G768/2,0)</f>
        <v>0</v>
      </c>
      <c r="I768" s="120">
        <f>G768-H768</f>
        <v>0</v>
      </c>
      <c r="J768" s="3" t="str">
        <f t="shared" si="55"/>
        <v>116XXXX</v>
      </c>
    </row>
    <row r="769" spans="2:10" s="3" customFormat="1">
      <c r="B769" s="3" t="s">
        <v>2099</v>
      </c>
      <c r="C769" s="8">
        <v>0</v>
      </c>
      <c r="D769" s="125" t="s">
        <v>2187</v>
      </c>
      <c r="E769" s="28" t="s">
        <v>37</v>
      </c>
      <c r="F769" s="10">
        <v>1</v>
      </c>
      <c r="G769" s="12">
        <f>+G714+SUM(G717:G758)+SUM(G761:G762)+SUM(G765:G768)</f>
        <v>250440</v>
      </c>
      <c r="H769" s="12">
        <f>+H714+SUM(H717:H758)+SUM(H761:H762)+SUM(H765:H768)</f>
        <v>125227</v>
      </c>
      <c r="I769" s="12">
        <f>+I714+SUM(I717:I758)+SUM(I761:I762)+SUM(I765:I768)</f>
        <v>125213</v>
      </c>
      <c r="J769" s="3" t="str">
        <f t="shared" si="55"/>
        <v>1100000</v>
      </c>
    </row>
    <row r="770" spans="2:10" s="3" customFormat="1">
      <c r="B770" s="3" t="s">
        <v>2099</v>
      </c>
      <c r="C770" s="8">
        <v>0</v>
      </c>
      <c r="D770" s="3" t="s">
        <v>2187</v>
      </c>
      <c r="E770" s="18" t="s">
        <v>38</v>
      </c>
      <c r="G770" s="19">
        <f>+G714</f>
        <v>381</v>
      </c>
      <c r="H770" s="19">
        <f>+H714</f>
        <v>191</v>
      </c>
      <c r="I770" s="19">
        <f>+I714</f>
        <v>190</v>
      </c>
      <c r="J770" s="3" t="str">
        <f t="shared" si="55"/>
        <v>1100000</v>
      </c>
    </row>
    <row r="771" spans="2:10" s="3" customFormat="1">
      <c r="B771" s="3" t="s">
        <v>2099</v>
      </c>
      <c r="C771" s="8">
        <v>0</v>
      </c>
      <c r="D771" s="3" t="s">
        <v>2187</v>
      </c>
      <c r="E771" s="2" t="s">
        <v>39</v>
      </c>
      <c r="G771" s="19">
        <f>+G717</f>
        <v>5140</v>
      </c>
      <c r="H771" s="19">
        <f>+H717</f>
        <v>2570</v>
      </c>
      <c r="I771" s="19">
        <f>+I717</f>
        <v>2570</v>
      </c>
      <c r="J771" s="3" t="str">
        <f t="shared" si="55"/>
        <v>1100000</v>
      </c>
    </row>
    <row r="772" spans="2:10" s="3" customFormat="1">
      <c r="B772" s="3" t="s">
        <v>2099</v>
      </c>
      <c r="C772" s="8">
        <v>0</v>
      </c>
      <c r="D772" s="3" t="s">
        <v>2187</v>
      </c>
      <c r="E772" s="2" t="s">
        <v>40</v>
      </c>
      <c r="G772" s="19">
        <f>+G761+G765</f>
        <v>83591</v>
      </c>
      <c r="H772" s="19">
        <f>+H761+H765</f>
        <v>41796</v>
      </c>
      <c r="I772" s="19">
        <f>+I761+I765</f>
        <v>41795</v>
      </c>
      <c r="J772" s="3" t="str">
        <f t="shared" ref="J772:J835" si="59">B772&amp;C772&amp;D772</f>
        <v>1100000</v>
      </c>
    </row>
    <row r="773" spans="2:10" s="3" customFormat="1">
      <c r="B773" s="3" t="s">
        <v>2099</v>
      </c>
      <c r="C773" s="8">
        <v>0</v>
      </c>
      <c r="D773" s="125" t="s">
        <v>2187</v>
      </c>
      <c r="E773" s="18" t="s">
        <v>41</v>
      </c>
      <c r="G773" s="19">
        <f>+G769-G770-G771-G772</f>
        <v>161328</v>
      </c>
      <c r="H773" s="19">
        <f>+H769-H770-H771-H772</f>
        <v>80670</v>
      </c>
      <c r="I773" s="19">
        <f>+I769-I770-I771-I772</f>
        <v>80658</v>
      </c>
      <c r="J773" s="3" t="str">
        <f t="shared" si="59"/>
        <v>1100000</v>
      </c>
    </row>
    <row r="774" spans="2:10" ht="15.75">
      <c r="B774" s="3" t="s">
        <v>2186</v>
      </c>
      <c r="D774" t="s">
        <v>2186</v>
      </c>
      <c r="E774">
        <v>0</v>
      </c>
      <c r="G774"/>
      <c r="H774"/>
      <c r="I774"/>
      <c r="J774" s="3" t="str">
        <f t="shared" si="59"/>
        <v/>
      </c>
    </row>
    <row r="775" spans="2:10" s="3" customFormat="1">
      <c r="C775" s="1"/>
      <c r="D775" s="3" t="s">
        <v>2186</v>
      </c>
      <c r="E775" s="2" t="s">
        <v>2178</v>
      </c>
      <c r="J775" s="3" t="str">
        <f t="shared" si="59"/>
        <v/>
      </c>
    </row>
    <row r="776" spans="2:10" s="3" customFormat="1" ht="45">
      <c r="B776" s="3" t="s">
        <v>2186</v>
      </c>
      <c r="C776" s="1"/>
      <c r="D776" s="3" t="s">
        <v>2186</v>
      </c>
      <c r="E776" s="3">
        <v>0</v>
      </c>
      <c r="F776" s="6" t="s">
        <v>1</v>
      </c>
      <c r="G776" s="60">
        <f>'Allocation Worksheet'!H776</f>
        <v>0</v>
      </c>
      <c r="H776" s="60">
        <f>'Allocation Worksheet'!H777</f>
        <v>0</v>
      </c>
      <c r="I776" s="60">
        <f>'Allocation Worksheet'!H778</f>
        <v>0</v>
      </c>
      <c r="J776" s="3" t="str">
        <f t="shared" si="59"/>
        <v/>
      </c>
    </row>
    <row r="777" spans="2:10" s="3" customFormat="1">
      <c r="C777" s="8" t="s">
        <v>2087</v>
      </c>
      <c r="D777" s="3" t="s">
        <v>2186</v>
      </c>
      <c r="E777" s="8" t="s">
        <v>3</v>
      </c>
      <c r="F777" s="10"/>
      <c r="G777" s="9">
        <f>'Allocation Worksheet'!$D$15</f>
        <v>485063</v>
      </c>
      <c r="H777" s="11"/>
      <c r="I777" s="11"/>
      <c r="J777" s="3" t="str">
        <f t="shared" si="59"/>
        <v>UT</v>
      </c>
    </row>
    <row r="778" spans="2:10" s="3" customFormat="1">
      <c r="B778" s="3" t="s">
        <v>2182</v>
      </c>
      <c r="C778" s="8">
        <v>0</v>
      </c>
      <c r="D778" s="3" t="s">
        <v>2187</v>
      </c>
      <c r="E778" s="11" t="s">
        <v>4</v>
      </c>
      <c r="F778" s="10">
        <v>1.0499999999999999E-3</v>
      </c>
      <c r="G778" s="12">
        <f>ROUND(G$3*F778,0)</f>
        <v>302</v>
      </c>
      <c r="H778" s="13">
        <f>ROUND(G778/2,0)</f>
        <v>151</v>
      </c>
      <c r="I778" s="12">
        <f>G778-H778</f>
        <v>151</v>
      </c>
      <c r="J778" s="3" t="str">
        <f t="shared" si="59"/>
        <v>1200000</v>
      </c>
    </row>
    <row r="779" spans="2:10" s="3" customFormat="1">
      <c r="B779" s="3" t="s">
        <v>2182</v>
      </c>
      <c r="C779" s="8">
        <v>1</v>
      </c>
      <c r="D779" s="3" t="s">
        <v>2187</v>
      </c>
      <c r="E779" s="11" t="s">
        <v>266</v>
      </c>
      <c r="F779" s="10">
        <v>0.34461999999999998</v>
      </c>
      <c r="G779" s="9">
        <f>ROUND(G$3*F779,0)</f>
        <v>99155</v>
      </c>
      <c r="H779" s="11">
        <f>ROUND(G779/2,0)</f>
        <v>49578</v>
      </c>
      <c r="I779" s="9">
        <f>G779-H779</f>
        <v>49577</v>
      </c>
      <c r="J779" s="3" t="str">
        <f t="shared" si="59"/>
        <v>1210000</v>
      </c>
    </row>
    <row r="780" spans="2:10" s="3" customFormat="1">
      <c r="B780" s="3" t="s">
        <v>2182</v>
      </c>
      <c r="C780" s="8">
        <v>1</v>
      </c>
      <c r="D780" s="3" t="s">
        <v>2187</v>
      </c>
      <c r="E780" s="11" t="s">
        <v>6</v>
      </c>
      <c r="F780" s="11"/>
      <c r="G780" s="14">
        <v>9.4759999999999997E-2</v>
      </c>
      <c r="H780" s="11"/>
      <c r="I780" s="11"/>
      <c r="J780" s="3" t="str">
        <f t="shared" si="59"/>
        <v>1210000</v>
      </c>
    </row>
    <row r="781" spans="2:10" s="3" customFormat="1">
      <c r="B781" s="3" t="s">
        <v>2182</v>
      </c>
      <c r="C781" s="8">
        <v>1</v>
      </c>
      <c r="D781" s="3" t="s">
        <v>2187</v>
      </c>
      <c r="E781" s="11" t="s">
        <v>7</v>
      </c>
      <c r="F781" s="11"/>
      <c r="G781" s="15">
        <f>ROUND(G779*G780,0)</f>
        <v>9396</v>
      </c>
      <c r="H781" s="16">
        <f>ROUND(G781/2,0)</f>
        <v>4698</v>
      </c>
      <c r="I781" s="15">
        <f>G781-H781</f>
        <v>4698</v>
      </c>
      <c r="J781" s="3" t="str">
        <f t="shared" si="59"/>
        <v>1210000</v>
      </c>
    </row>
    <row r="782" spans="2:10" s="3" customFormat="1">
      <c r="B782" s="3" t="s">
        <v>2182</v>
      </c>
      <c r="C782" s="8">
        <v>1</v>
      </c>
      <c r="D782" s="3" t="s">
        <v>2187</v>
      </c>
      <c r="E782" s="11" t="s">
        <v>8</v>
      </c>
      <c r="F782" s="11"/>
      <c r="G782" s="12">
        <f>+G779-G781</f>
        <v>89759</v>
      </c>
      <c r="H782" s="13">
        <f>ROUND(G782/2,0)</f>
        <v>44880</v>
      </c>
      <c r="I782" s="12">
        <f>G782-H782</f>
        <v>44879</v>
      </c>
      <c r="J782" s="3" t="str">
        <f t="shared" si="59"/>
        <v>1210000</v>
      </c>
    </row>
    <row r="783" spans="2:10" s="3" customFormat="1">
      <c r="B783" s="3" t="s">
        <v>2182</v>
      </c>
      <c r="C783" s="8">
        <v>2</v>
      </c>
      <c r="D783" s="3" t="s">
        <v>2188</v>
      </c>
      <c r="E783" s="11" t="s">
        <v>107</v>
      </c>
      <c r="F783" s="11"/>
      <c r="G783" s="9"/>
      <c r="H783" s="11"/>
      <c r="I783" s="11"/>
      <c r="J783" s="3" t="str">
        <f t="shared" si="59"/>
        <v>1220001</v>
      </c>
    </row>
    <row r="784" spans="2:10" s="3" customFormat="1">
      <c r="B784" s="3" t="s">
        <v>2182</v>
      </c>
      <c r="C784" s="8">
        <v>2</v>
      </c>
      <c r="D784" s="3" t="s">
        <v>2188</v>
      </c>
      <c r="E784" s="11" t="s">
        <v>10</v>
      </c>
      <c r="F784" s="10">
        <v>7.0870000000000004E-3</v>
      </c>
      <c r="G784" s="12">
        <f>ROUND(G$3*F784,0)</f>
        <v>2039</v>
      </c>
      <c r="H784" s="13">
        <f>ROUND(G784/2,0)</f>
        <v>1020</v>
      </c>
      <c r="I784" s="12">
        <f>G784-H784</f>
        <v>1019</v>
      </c>
      <c r="J784" s="3" t="str">
        <f t="shared" si="59"/>
        <v>1220001</v>
      </c>
    </row>
    <row r="785" spans="2:10" s="3" customFormat="1">
      <c r="B785" s="3" t="s">
        <v>2182</v>
      </c>
      <c r="C785" s="8">
        <v>2</v>
      </c>
      <c r="D785" s="3" t="s">
        <v>2188</v>
      </c>
      <c r="E785" s="11" t="s">
        <v>11</v>
      </c>
      <c r="F785" s="10">
        <v>1.3730000000000001E-3</v>
      </c>
      <c r="G785" s="12">
        <f>ROUND(G$3*F785,0)</f>
        <v>395</v>
      </c>
      <c r="H785" s="13">
        <f>ROUND(G785/2,0)</f>
        <v>198</v>
      </c>
      <c r="I785" s="12">
        <f>G785-H785</f>
        <v>197</v>
      </c>
      <c r="J785" s="3" t="str">
        <f t="shared" si="59"/>
        <v>1220001</v>
      </c>
    </row>
    <row r="786" spans="2:10" s="3" customFormat="1">
      <c r="B786" s="3" t="s">
        <v>2182</v>
      </c>
      <c r="C786" s="8">
        <v>2</v>
      </c>
      <c r="D786" s="3" t="s">
        <v>2189</v>
      </c>
      <c r="E786" s="11" t="s">
        <v>267</v>
      </c>
      <c r="F786" s="11"/>
      <c r="G786" s="9"/>
      <c r="H786" s="11"/>
      <c r="I786" s="11"/>
      <c r="J786" s="3" t="str">
        <f t="shared" si="59"/>
        <v>1220002</v>
      </c>
    </row>
    <row r="787" spans="2:10" s="3" customFormat="1">
      <c r="B787" s="3" t="s">
        <v>2182</v>
      </c>
      <c r="C787" s="8">
        <v>2</v>
      </c>
      <c r="D787" s="3" t="s">
        <v>2189</v>
      </c>
      <c r="E787" s="11" t="s">
        <v>10</v>
      </c>
      <c r="F787" s="10">
        <v>8.9400000000000005E-4</v>
      </c>
      <c r="G787" s="12">
        <f>ROUND(G$3*F787,0)</f>
        <v>257</v>
      </c>
      <c r="H787" s="13">
        <f>ROUND(G787/2,0)</f>
        <v>129</v>
      </c>
      <c r="I787" s="12">
        <f>G787-H787</f>
        <v>128</v>
      </c>
      <c r="J787" s="3" t="str">
        <f t="shared" si="59"/>
        <v>1220002</v>
      </c>
    </row>
    <row r="788" spans="2:10" s="3" customFormat="1">
      <c r="B788" s="3" t="s">
        <v>2182</v>
      </c>
      <c r="C788" s="8">
        <v>2</v>
      </c>
      <c r="D788" s="3" t="s">
        <v>2189</v>
      </c>
      <c r="E788" s="11" t="s">
        <v>11</v>
      </c>
      <c r="F788" s="10">
        <v>5.13E-4</v>
      </c>
      <c r="G788" s="12">
        <f>ROUND(G$3*F788,0)</f>
        <v>148</v>
      </c>
      <c r="H788" s="13">
        <f>ROUND(G788/2,0)</f>
        <v>74</v>
      </c>
      <c r="I788" s="12">
        <f>G788-H788</f>
        <v>74</v>
      </c>
      <c r="J788" s="3" t="str">
        <f t="shared" si="59"/>
        <v>1220002</v>
      </c>
    </row>
    <row r="789" spans="2:10" s="3" customFormat="1">
      <c r="B789" s="3" t="s">
        <v>2182</v>
      </c>
      <c r="C789" s="8">
        <v>2</v>
      </c>
      <c r="D789" s="3" t="s">
        <v>2190</v>
      </c>
      <c r="E789" s="11" t="s">
        <v>49</v>
      </c>
      <c r="F789" s="11"/>
      <c r="G789" s="9"/>
      <c r="H789" s="11"/>
      <c r="I789" s="11"/>
      <c r="J789" s="3" t="str">
        <f t="shared" si="59"/>
        <v>1220003</v>
      </c>
    </row>
    <row r="790" spans="2:10" s="3" customFormat="1">
      <c r="B790" s="3" t="s">
        <v>2182</v>
      </c>
      <c r="C790" s="8">
        <v>2</v>
      </c>
      <c r="D790" s="3" t="s">
        <v>2190</v>
      </c>
      <c r="E790" s="11" t="s">
        <v>10</v>
      </c>
      <c r="F790" s="10">
        <v>4.6999999999999999E-4</v>
      </c>
      <c r="G790" s="12">
        <f>ROUND(G$3*F790,0)</f>
        <v>135</v>
      </c>
      <c r="H790" s="13">
        <f>ROUND(G790/2,0)</f>
        <v>68</v>
      </c>
      <c r="I790" s="12">
        <f>G790-H790</f>
        <v>67</v>
      </c>
      <c r="J790" s="3" t="str">
        <f t="shared" si="59"/>
        <v>1220003</v>
      </c>
    </row>
    <row r="791" spans="2:10" s="3" customFormat="1">
      <c r="B791" s="3" t="s">
        <v>2182</v>
      </c>
      <c r="C791" s="8">
        <v>2</v>
      </c>
      <c r="D791" s="3" t="s">
        <v>2190</v>
      </c>
      <c r="E791" s="11" t="s">
        <v>11</v>
      </c>
      <c r="F791" s="10">
        <v>3.8499999999999998E-4</v>
      </c>
      <c r="G791" s="12">
        <f>ROUND(G$3*F791,0)</f>
        <v>111</v>
      </c>
      <c r="H791" s="13">
        <f>ROUND(G791/2,0)</f>
        <v>56</v>
      </c>
      <c r="I791" s="12">
        <f>G791-H791</f>
        <v>55</v>
      </c>
      <c r="J791" s="3" t="str">
        <f t="shared" si="59"/>
        <v>1220003</v>
      </c>
    </row>
    <row r="792" spans="2:10" s="3" customFormat="1">
      <c r="B792" s="3" t="s">
        <v>2182</v>
      </c>
      <c r="C792" s="8">
        <v>2</v>
      </c>
      <c r="D792" s="3" t="s">
        <v>2191</v>
      </c>
      <c r="E792" s="11" t="s">
        <v>268</v>
      </c>
      <c r="F792" s="11"/>
      <c r="G792" s="9"/>
      <c r="H792" s="11"/>
      <c r="I792" s="11"/>
      <c r="J792" s="3" t="str">
        <f t="shared" si="59"/>
        <v>1220004</v>
      </c>
    </row>
    <row r="793" spans="2:10" s="3" customFormat="1" ht="16.899999999999999" customHeight="1">
      <c r="B793" s="3" t="s">
        <v>2182</v>
      </c>
      <c r="C793" s="8">
        <v>2</v>
      </c>
      <c r="D793" s="3" t="s">
        <v>2191</v>
      </c>
      <c r="E793" s="11" t="s">
        <v>10</v>
      </c>
      <c r="F793" s="10">
        <v>1.358E-3</v>
      </c>
      <c r="G793" s="12">
        <f>ROUND(G$3*F793,0)</f>
        <v>391</v>
      </c>
      <c r="H793" s="13">
        <f>ROUND(G793/2,0)</f>
        <v>196</v>
      </c>
      <c r="I793" s="12">
        <f>G793-H793</f>
        <v>195</v>
      </c>
      <c r="J793" s="3" t="str">
        <f t="shared" si="59"/>
        <v>1220004</v>
      </c>
    </row>
    <row r="794" spans="2:10" s="3" customFormat="1">
      <c r="B794" s="3" t="s">
        <v>2182</v>
      </c>
      <c r="C794" s="8">
        <v>2</v>
      </c>
      <c r="D794" s="3" t="s">
        <v>2191</v>
      </c>
      <c r="E794" s="11" t="s">
        <v>11</v>
      </c>
      <c r="F794" s="10">
        <v>6.1200000000000002E-4</v>
      </c>
      <c r="G794" s="12">
        <f>ROUND(G$3*F794,0)</f>
        <v>176</v>
      </c>
      <c r="H794" s="13">
        <f>ROUND(G794/2,0)</f>
        <v>88</v>
      </c>
      <c r="I794" s="12">
        <f>G794-H794</f>
        <v>88</v>
      </c>
      <c r="J794" s="3" t="str">
        <f t="shared" si="59"/>
        <v>1220004</v>
      </c>
    </row>
    <row r="795" spans="2:10" s="3" customFormat="1">
      <c r="B795" s="3" t="s">
        <v>2182</v>
      </c>
      <c r="C795" s="8">
        <v>2</v>
      </c>
      <c r="D795" s="3" t="s">
        <v>2192</v>
      </c>
      <c r="E795" s="11" t="s">
        <v>269</v>
      </c>
      <c r="F795" s="11"/>
      <c r="G795" s="9"/>
      <c r="H795" s="11"/>
      <c r="I795" s="11"/>
      <c r="J795" s="3" t="str">
        <f t="shared" si="59"/>
        <v>1220005</v>
      </c>
    </row>
    <row r="796" spans="2:10" s="3" customFormat="1">
      <c r="B796" s="3" t="s">
        <v>2182</v>
      </c>
      <c r="C796" s="8">
        <v>2</v>
      </c>
      <c r="D796" s="3" t="s">
        <v>2192</v>
      </c>
      <c r="E796" s="11" t="s">
        <v>10</v>
      </c>
      <c r="F796" s="10">
        <v>1.1969999999999999E-3</v>
      </c>
      <c r="G796" s="12">
        <f>ROUND(G$3*F796,0)</f>
        <v>344</v>
      </c>
      <c r="H796" s="13">
        <f>ROUND(G796/2,0)</f>
        <v>172</v>
      </c>
      <c r="I796" s="12">
        <f>G796-H796</f>
        <v>172</v>
      </c>
      <c r="J796" s="3" t="str">
        <f t="shared" si="59"/>
        <v>1220005</v>
      </c>
    </row>
    <row r="797" spans="2:10" s="3" customFormat="1">
      <c r="B797" s="3" t="s">
        <v>2182</v>
      </c>
      <c r="C797" s="8">
        <v>2</v>
      </c>
      <c r="D797" s="3" t="s">
        <v>2192</v>
      </c>
      <c r="E797" s="11" t="s">
        <v>11</v>
      </c>
      <c r="F797" s="10">
        <v>3.8299999999999999E-4</v>
      </c>
      <c r="G797" s="12">
        <f>ROUND(G$3*F797,0)</f>
        <v>110</v>
      </c>
      <c r="H797" s="13">
        <f>ROUND(G797/2,0)</f>
        <v>55</v>
      </c>
      <c r="I797" s="12">
        <f>G797-H797</f>
        <v>55</v>
      </c>
      <c r="J797" s="3" t="str">
        <f t="shared" si="59"/>
        <v>1220005</v>
      </c>
    </row>
    <row r="798" spans="2:10" s="3" customFormat="1">
      <c r="B798" s="3" t="s">
        <v>2182</v>
      </c>
      <c r="C798" s="8">
        <v>2</v>
      </c>
      <c r="D798" s="3" t="s">
        <v>2193</v>
      </c>
      <c r="E798" s="11" t="s">
        <v>52</v>
      </c>
      <c r="F798" s="11"/>
      <c r="G798" s="9"/>
      <c r="H798" s="11"/>
      <c r="I798" s="11"/>
      <c r="J798" s="3" t="str">
        <f t="shared" si="59"/>
        <v>1220006</v>
      </c>
    </row>
    <row r="799" spans="2:10" s="3" customFormat="1">
      <c r="B799" s="3" t="s">
        <v>2182</v>
      </c>
      <c r="C799" s="8">
        <v>2</v>
      </c>
      <c r="D799" s="3" t="s">
        <v>2193</v>
      </c>
      <c r="E799" s="11" t="s">
        <v>10</v>
      </c>
      <c r="F799" s="10">
        <v>5.7700000000000004E-4</v>
      </c>
      <c r="G799" s="12">
        <f>ROUND(G$3*F799,0)</f>
        <v>166</v>
      </c>
      <c r="H799" s="13">
        <f>ROUND(G799/2,0)</f>
        <v>83</v>
      </c>
      <c r="I799" s="12">
        <f>G799-H799</f>
        <v>83</v>
      </c>
      <c r="J799" s="3" t="str">
        <f t="shared" si="59"/>
        <v>1220006</v>
      </c>
    </row>
    <row r="800" spans="2:10" s="3" customFormat="1">
      <c r="B800" s="3" t="s">
        <v>2182</v>
      </c>
      <c r="C800" s="8">
        <v>2</v>
      </c>
      <c r="D800" s="3" t="s">
        <v>2193</v>
      </c>
      <c r="E800" s="11" t="s">
        <v>11</v>
      </c>
      <c r="F800" s="10">
        <v>3.6400000000000001E-4</v>
      </c>
      <c r="G800" s="12">
        <f>ROUND(G$3*F800,0)</f>
        <v>105</v>
      </c>
      <c r="H800" s="13">
        <f>ROUND(G800/2,0)</f>
        <v>53</v>
      </c>
      <c r="I800" s="12">
        <f>G800-H800</f>
        <v>52</v>
      </c>
      <c r="J800" s="3" t="str">
        <f t="shared" si="59"/>
        <v>1220006</v>
      </c>
    </row>
    <row r="801" spans="2:10" s="3" customFormat="1">
      <c r="B801" s="3" t="s">
        <v>2182</v>
      </c>
      <c r="C801" s="8">
        <v>2</v>
      </c>
      <c r="D801" s="3" t="s">
        <v>2194</v>
      </c>
      <c r="E801" s="11" t="s">
        <v>270</v>
      </c>
      <c r="F801" s="11"/>
      <c r="G801" s="9"/>
      <c r="H801" s="11"/>
      <c r="I801" s="11"/>
      <c r="J801" s="3" t="str">
        <f t="shared" si="59"/>
        <v>1220007</v>
      </c>
    </row>
    <row r="802" spans="2:10" s="3" customFormat="1">
      <c r="B802" s="3" t="s">
        <v>2182</v>
      </c>
      <c r="C802" s="8">
        <v>2</v>
      </c>
      <c r="D802" s="3" t="s">
        <v>2194</v>
      </c>
      <c r="E802" s="11" t="s">
        <v>10</v>
      </c>
      <c r="F802" s="10">
        <v>7.3800000000000005E-4</v>
      </c>
      <c r="G802" s="12">
        <f>ROUND(G$3*F802,0)</f>
        <v>212</v>
      </c>
      <c r="H802" s="13">
        <f>ROUND(G802/2,0)</f>
        <v>106</v>
      </c>
      <c r="I802" s="12">
        <f>G802-H802</f>
        <v>106</v>
      </c>
      <c r="J802" s="3" t="str">
        <f t="shared" si="59"/>
        <v>1220007</v>
      </c>
    </row>
    <row r="803" spans="2:10" s="3" customFormat="1">
      <c r="B803" s="3" t="s">
        <v>2182</v>
      </c>
      <c r="C803" s="8">
        <v>2</v>
      </c>
      <c r="D803" s="3" t="s">
        <v>2194</v>
      </c>
      <c r="E803" s="11" t="s">
        <v>11</v>
      </c>
      <c r="F803" s="10">
        <v>1.1440000000000001E-3</v>
      </c>
      <c r="G803" s="12">
        <f>ROUND(G$3*F803,0)</f>
        <v>329</v>
      </c>
      <c r="H803" s="13">
        <f>ROUND(G803/2,0)</f>
        <v>165</v>
      </c>
      <c r="I803" s="12">
        <f>G803-H803</f>
        <v>164</v>
      </c>
      <c r="J803" s="3" t="str">
        <f t="shared" si="59"/>
        <v>1220007</v>
      </c>
    </row>
    <row r="804" spans="2:10" s="3" customFormat="1">
      <c r="B804" s="3" t="s">
        <v>2182</v>
      </c>
      <c r="C804" s="8">
        <v>2</v>
      </c>
      <c r="D804" s="3" t="s">
        <v>2195</v>
      </c>
      <c r="E804" s="11" t="s">
        <v>224</v>
      </c>
      <c r="F804" s="11"/>
      <c r="G804" s="9"/>
      <c r="H804" s="11"/>
      <c r="I804" s="11"/>
      <c r="J804" s="3" t="str">
        <f t="shared" si="59"/>
        <v>1220008</v>
      </c>
    </row>
    <row r="805" spans="2:10" s="3" customFormat="1">
      <c r="B805" s="3" t="s">
        <v>2182</v>
      </c>
      <c r="C805" s="8">
        <v>2</v>
      </c>
      <c r="D805" s="3" t="s">
        <v>2195</v>
      </c>
      <c r="E805" s="11" t="s">
        <v>10</v>
      </c>
      <c r="F805" s="10">
        <v>4.8299999999999998E-4</v>
      </c>
      <c r="G805" s="12">
        <f>ROUND(G$3*F805,0)</f>
        <v>139</v>
      </c>
      <c r="H805" s="13">
        <f>ROUND(G805/2,0)</f>
        <v>70</v>
      </c>
      <c r="I805" s="12">
        <f>G805-H805</f>
        <v>69</v>
      </c>
      <c r="J805" s="3" t="str">
        <f t="shared" si="59"/>
        <v>1220008</v>
      </c>
    </row>
    <row r="806" spans="2:10" s="3" customFormat="1">
      <c r="B806" s="3" t="s">
        <v>2182</v>
      </c>
      <c r="C806" s="8">
        <v>2</v>
      </c>
      <c r="D806" s="3" t="s">
        <v>2195</v>
      </c>
      <c r="E806" s="11" t="s">
        <v>11</v>
      </c>
      <c r="F806" s="10">
        <v>2.5900000000000001E-4</v>
      </c>
      <c r="G806" s="12">
        <f>ROUND(G$3*F806,0)</f>
        <v>75</v>
      </c>
      <c r="H806" s="13">
        <f>ROUND(G806/2,0)</f>
        <v>38</v>
      </c>
      <c r="I806" s="12">
        <f>G806-H806</f>
        <v>37</v>
      </c>
      <c r="J806" s="3" t="str">
        <f t="shared" si="59"/>
        <v>1220008</v>
      </c>
    </row>
    <row r="807" spans="2:10" s="3" customFormat="1">
      <c r="B807" s="3" t="s">
        <v>2182</v>
      </c>
      <c r="C807" s="8">
        <v>2</v>
      </c>
      <c r="D807" s="3" t="s">
        <v>2196</v>
      </c>
      <c r="E807" s="11" t="s">
        <v>56</v>
      </c>
      <c r="F807" s="11"/>
      <c r="G807" s="9"/>
      <c r="H807" s="11"/>
      <c r="I807" s="11"/>
      <c r="J807" s="3" t="str">
        <f t="shared" si="59"/>
        <v>1220009</v>
      </c>
    </row>
    <row r="808" spans="2:10" s="3" customFormat="1">
      <c r="B808" s="3" t="s">
        <v>2182</v>
      </c>
      <c r="C808" s="8">
        <v>2</v>
      </c>
      <c r="D808" s="3" t="s">
        <v>2196</v>
      </c>
      <c r="E808" s="11" t="s">
        <v>10</v>
      </c>
      <c r="F808" s="10">
        <v>1.9989999999999999E-3</v>
      </c>
      <c r="G808" s="12">
        <f>ROUND(G$3*F808,0)</f>
        <v>575</v>
      </c>
      <c r="H808" s="13">
        <f>ROUND(G808/2,0)</f>
        <v>288</v>
      </c>
      <c r="I808" s="12">
        <f>G808-H808</f>
        <v>287</v>
      </c>
      <c r="J808" s="3" t="str">
        <f t="shared" si="59"/>
        <v>1220009</v>
      </c>
    </row>
    <row r="809" spans="2:10" s="3" customFormat="1">
      <c r="B809" s="3" t="s">
        <v>2182</v>
      </c>
      <c r="C809" s="8">
        <v>2</v>
      </c>
      <c r="D809" s="3" t="s">
        <v>2196</v>
      </c>
      <c r="E809" s="11" t="s">
        <v>11</v>
      </c>
      <c r="F809" s="10">
        <v>1.17E-3</v>
      </c>
      <c r="G809" s="12">
        <f>ROUND(G$3*F809,0)</f>
        <v>337</v>
      </c>
      <c r="H809" s="13">
        <f>ROUND(G809/2,0)</f>
        <v>169</v>
      </c>
      <c r="I809" s="12">
        <f>G809-H809</f>
        <v>168</v>
      </c>
      <c r="J809" s="3" t="str">
        <f t="shared" si="59"/>
        <v>1220009</v>
      </c>
    </row>
    <row r="810" spans="2:10" s="3" customFormat="1">
      <c r="B810" s="3" t="s">
        <v>2182</v>
      </c>
      <c r="C810" s="8">
        <v>2</v>
      </c>
      <c r="D810" s="3" t="s">
        <v>2197</v>
      </c>
      <c r="E810" s="11" t="s">
        <v>271</v>
      </c>
      <c r="F810" s="11"/>
      <c r="G810" s="9"/>
      <c r="H810" s="11"/>
      <c r="I810" s="11"/>
      <c r="J810" s="3" t="str">
        <f t="shared" si="59"/>
        <v>1220010</v>
      </c>
    </row>
    <row r="811" spans="2:10" s="3" customFormat="1">
      <c r="B811" s="3" t="s">
        <v>2182</v>
      </c>
      <c r="C811" s="8">
        <v>2</v>
      </c>
      <c r="D811" s="3" t="s">
        <v>2197</v>
      </c>
      <c r="E811" s="11" t="s">
        <v>10</v>
      </c>
      <c r="F811" s="10">
        <v>1.268E-3</v>
      </c>
      <c r="G811" s="12">
        <f>ROUND(G$3*F811,0)</f>
        <v>365</v>
      </c>
      <c r="H811" s="13">
        <f>ROUND(G811/2,0)</f>
        <v>183</v>
      </c>
      <c r="I811" s="12">
        <f>G811-H811</f>
        <v>182</v>
      </c>
      <c r="J811" s="3" t="str">
        <f t="shared" si="59"/>
        <v>1220010</v>
      </c>
    </row>
    <row r="812" spans="2:10" s="3" customFormat="1">
      <c r="B812" s="3" t="s">
        <v>2182</v>
      </c>
      <c r="C812" s="8">
        <v>2</v>
      </c>
      <c r="D812" s="3" t="s">
        <v>2197</v>
      </c>
      <c r="E812" s="11" t="s">
        <v>11</v>
      </c>
      <c r="F812" s="10">
        <v>6.0899999999999995E-4</v>
      </c>
      <c r="G812" s="12">
        <f>ROUND(G$3*F812,0)</f>
        <v>175</v>
      </c>
      <c r="H812" s="13">
        <f>ROUND(G812/2,0)</f>
        <v>88</v>
      </c>
      <c r="I812" s="12">
        <f>G812-H812</f>
        <v>87</v>
      </c>
      <c r="J812" s="3" t="str">
        <f t="shared" si="59"/>
        <v>1220010</v>
      </c>
    </row>
    <row r="813" spans="2:10" s="3" customFormat="1">
      <c r="B813" s="3" t="s">
        <v>2182</v>
      </c>
      <c r="C813" s="8">
        <v>2</v>
      </c>
      <c r="D813" s="3" t="s">
        <v>2198</v>
      </c>
      <c r="E813" s="11" t="s">
        <v>149</v>
      </c>
      <c r="F813" s="11"/>
      <c r="G813" s="9"/>
      <c r="H813" s="11"/>
      <c r="I813" s="11"/>
      <c r="J813" s="3" t="str">
        <f t="shared" si="59"/>
        <v>1220011</v>
      </c>
    </row>
    <row r="814" spans="2:10" s="3" customFormat="1">
      <c r="B814" s="3" t="s">
        <v>2182</v>
      </c>
      <c r="C814" s="8">
        <v>2</v>
      </c>
      <c r="D814" s="3" t="s">
        <v>2198</v>
      </c>
      <c r="E814" s="11" t="s">
        <v>10</v>
      </c>
      <c r="F814" s="10">
        <v>3.1399999999999999E-4</v>
      </c>
      <c r="G814" s="12">
        <f>ROUND(G$3*F814,0)</f>
        <v>90</v>
      </c>
      <c r="H814" s="13">
        <f>ROUND(G814/2,0)</f>
        <v>45</v>
      </c>
      <c r="I814" s="12">
        <f>G814-H814</f>
        <v>45</v>
      </c>
      <c r="J814" s="3" t="str">
        <f t="shared" si="59"/>
        <v>1220011</v>
      </c>
    </row>
    <row r="815" spans="2:10" s="3" customFormat="1">
      <c r="B815" s="3" t="s">
        <v>2182</v>
      </c>
      <c r="C815" s="8">
        <v>2</v>
      </c>
      <c r="D815" s="3" t="s">
        <v>2198</v>
      </c>
      <c r="E815" s="11" t="s">
        <v>11</v>
      </c>
      <c r="F815" s="10">
        <v>1.47E-4</v>
      </c>
      <c r="G815" s="12">
        <f>ROUND(G$3*F815,0)</f>
        <v>42</v>
      </c>
      <c r="H815" s="13">
        <f>ROUND(G815/2,0)</f>
        <v>21</v>
      </c>
      <c r="I815" s="12">
        <f>G815-H815</f>
        <v>21</v>
      </c>
      <c r="J815" s="3" t="str">
        <f t="shared" si="59"/>
        <v>1220011</v>
      </c>
    </row>
    <row r="816" spans="2:10" s="3" customFormat="1">
      <c r="B816" s="3" t="s">
        <v>2182</v>
      </c>
      <c r="C816" s="8">
        <v>2</v>
      </c>
      <c r="D816" s="3" t="s">
        <v>2199</v>
      </c>
      <c r="E816" s="11" t="s">
        <v>20</v>
      </c>
      <c r="F816" s="11"/>
      <c r="G816" s="9"/>
      <c r="H816" s="11"/>
      <c r="I816" s="11"/>
      <c r="J816" s="3" t="str">
        <f t="shared" si="59"/>
        <v>1220012</v>
      </c>
    </row>
    <row r="817" spans="2:10" s="3" customFormat="1">
      <c r="B817" s="3" t="s">
        <v>2182</v>
      </c>
      <c r="C817" s="8">
        <v>2</v>
      </c>
      <c r="D817" s="3" t="s">
        <v>2199</v>
      </c>
      <c r="E817" s="11" t="s">
        <v>10</v>
      </c>
      <c r="F817" s="10">
        <v>2.61E-4</v>
      </c>
      <c r="G817" s="12">
        <f>ROUND(G$3*F817,0)</f>
        <v>75</v>
      </c>
      <c r="H817" s="13">
        <f>ROUND(G817/2,0)</f>
        <v>38</v>
      </c>
      <c r="I817" s="12">
        <f>G817-H817</f>
        <v>37</v>
      </c>
      <c r="J817" s="3" t="str">
        <f t="shared" si="59"/>
        <v>1220012</v>
      </c>
    </row>
    <row r="818" spans="2:10" s="3" customFormat="1">
      <c r="B818" s="3" t="s">
        <v>2182</v>
      </c>
      <c r="C818" s="8">
        <v>2</v>
      </c>
      <c r="D818" s="3" t="s">
        <v>2199</v>
      </c>
      <c r="E818" s="11" t="s">
        <v>11</v>
      </c>
      <c r="F818" s="10">
        <v>1.07E-4</v>
      </c>
      <c r="G818" s="12">
        <f>ROUND(G$3*F818,0)</f>
        <v>31</v>
      </c>
      <c r="H818" s="13">
        <f>ROUND(G818/2,0)</f>
        <v>16</v>
      </c>
      <c r="I818" s="12">
        <f>G818-H818</f>
        <v>15</v>
      </c>
      <c r="J818" s="3" t="str">
        <f t="shared" si="59"/>
        <v>1220012</v>
      </c>
    </row>
    <row r="819" spans="2:10" s="3" customFormat="1">
      <c r="B819" s="3" t="s">
        <v>2182</v>
      </c>
      <c r="C819" s="8">
        <v>2</v>
      </c>
      <c r="D819" s="3" t="s">
        <v>2208</v>
      </c>
      <c r="E819" s="11" t="s">
        <v>272</v>
      </c>
      <c r="F819" s="11"/>
      <c r="G819" s="9"/>
      <c r="H819" s="11"/>
      <c r="I819" s="11"/>
      <c r="J819" s="3" t="str">
        <f t="shared" si="59"/>
        <v>1220013</v>
      </c>
    </row>
    <row r="820" spans="2:10" s="3" customFormat="1">
      <c r="B820" s="3" t="s">
        <v>2182</v>
      </c>
      <c r="C820" s="8">
        <v>2</v>
      </c>
      <c r="D820" s="3" t="s">
        <v>2208</v>
      </c>
      <c r="E820" s="11" t="s">
        <v>10</v>
      </c>
      <c r="F820" s="10">
        <v>2.8600000000000001E-4</v>
      </c>
      <c r="G820" s="12">
        <f>ROUND(G$3*F820,0)</f>
        <v>82</v>
      </c>
      <c r="H820" s="13">
        <f>ROUND(G820/2,0)</f>
        <v>41</v>
      </c>
      <c r="I820" s="12">
        <f>G820-H820</f>
        <v>41</v>
      </c>
      <c r="J820" s="3" t="str">
        <f t="shared" si="59"/>
        <v>1220013</v>
      </c>
    </row>
    <row r="821" spans="2:10" s="3" customFormat="1">
      <c r="B821" s="3" t="s">
        <v>2182</v>
      </c>
      <c r="C821" s="8">
        <v>2</v>
      </c>
      <c r="D821" s="3" t="s">
        <v>2208</v>
      </c>
      <c r="E821" s="11" t="s">
        <v>11</v>
      </c>
      <c r="F821" s="10">
        <v>1.4300000000000001E-4</v>
      </c>
      <c r="G821" s="12">
        <f>ROUND(G$3*F821,0)</f>
        <v>41</v>
      </c>
      <c r="H821" s="13">
        <f>ROUND(G821/2,0)</f>
        <v>21</v>
      </c>
      <c r="I821" s="12">
        <f>G821-H821</f>
        <v>20</v>
      </c>
      <c r="J821" s="3" t="str">
        <f t="shared" si="59"/>
        <v>1220013</v>
      </c>
    </row>
    <row r="822" spans="2:10" s="3" customFormat="1">
      <c r="B822" s="3" t="s">
        <v>2182</v>
      </c>
      <c r="C822" s="8">
        <v>2</v>
      </c>
      <c r="D822" s="3" t="s">
        <v>2209</v>
      </c>
      <c r="E822" s="11" t="s">
        <v>22</v>
      </c>
      <c r="F822" s="11"/>
      <c r="G822" s="9"/>
      <c r="H822" s="11"/>
      <c r="I822" s="11"/>
      <c r="J822" s="3" t="str">
        <f t="shared" si="59"/>
        <v>1220014</v>
      </c>
    </row>
    <row r="823" spans="2:10" s="3" customFormat="1">
      <c r="B823" s="3" t="s">
        <v>2182</v>
      </c>
      <c r="C823" s="8">
        <v>2</v>
      </c>
      <c r="D823" s="3" t="s">
        <v>2209</v>
      </c>
      <c r="E823" s="11" t="s">
        <v>10</v>
      </c>
      <c r="F823" s="10">
        <v>8.6399999999999997E-4</v>
      </c>
      <c r="G823" s="12">
        <f t="shared" ref="G823:G831" si="60">ROUND(G$3*F823,0)</f>
        <v>249</v>
      </c>
      <c r="H823" s="13">
        <f t="shared" ref="H823:H831" si="61">ROUND(G823/2,0)</f>
        <v>125</v>
      </c>
      <c r="I823" s="12">
        <f t="shared" ref="I823:I831" si="62">G823-H823</f>
        <v>124</v>
      </c>
      <c r="J823" s="3" t="str">
        <f t="shared" si="59"/>
        <v>1220014</v>
      </c>
    </row>
    <row r="824" spans="2:10" s="3" customFormat="1">
      <c r="B824" s="3" t="s">
        <v>2182</v>
      </c>
      <c r="C824" s="8">
        <v>2</v>
      </c>
      <c r="D824" s="3" t="s">
        <v>2209</v>
      </c>
      <c r="E824" s="11" t="s">
        <v>11</v>
      </c>
      <c r="F824" s="10">
        <v>4.0400000000000001E-4</v>
      </c>
      <c r="G824" s="12">
        <f t="shared" si="60"/>
        <v>116</v>
      </c>
      <c r="H824" s="13">
        <f t="shared" si="61"/>
        <v>58</v>
      </c>
      <c r="I824" s="12">
        <f t="shared" si="62"/>
        <v>58</v>
      </c>
      <c r="J824" s="3" t="str">
        <f t="shared" si="59"/>
        <v>1220014</v>
      </c>
    </row>
    <row r="825" spans="2:10" s="3" customFormat="1">
      <c r="B825" s="3" t="s">
        <v>2182</v>
      </c>
      <c r="C825" s="8">
        <v>3</v>
      </c>
      <c r="D825" s="3" t="s">
        <v>2313</v>
      </c>
      <c r="E825" s="11" t="s">
        <v>273</v>
      </c>
      <c r="F825" s="10">
        <v>6.0780000000000001E-3</v>
      </c>
      <c r="G825" s="12">
        <f t="shared" si="60"/>
        <v>1749</v>
      </c>
      <c r="H825" s="13">
        <f t="shared" si="61"/>
        <v>875</v>
      </c>
      <c r="I825" s="12">
        <f t="shared" si="62"/>
        <v>874</v>
      </c>
      <c r="J825" s="3" t="str">
        <f t="shared" si="59"/>
        <v>1230559</v>
      </c>
    </row>
    <row r="826" spans="2:10" s="3" customFormat="1">
      <c r="B826" s="3" t="s">
        <v>2182</v>
      </c>
      <c r="C826" s="8">
        <v>3</v>
      </c>
      <c r="D826" s="3" t="s">
        <v>2312</v>
      </c>
      <c r="E826" s="11" t="s">
        <v>274</v>
      </c>
      <c r="F826" s="10">
        <v>5.8868999999999998E-2</v>
      </c>
      <c r="G826" s="12">
        <f t="shared" si="60"/>
        <v>16938</v>
      </c>
      <c r="H826" s="13">
        <f t="shared" si="61"/>
        <v>8469</v>
      </c>
      <c r="I826" s="12">
        <f t="shared" si="62"/>
        <v>8469</v>
      </c>
      <c r="J826" s="3" t="str">
        <f t="shared" si="59"/>
        <v>1230309</v>
      </c>
    </row>
    <row r="827" spans="2:10" s="3" customFormat="1">
      <c r="B827" s="3" t="s">
        <v>2182</v>
      </c>
      <c r="C827" s="8">
        <v>3</v>
      </c>
      <c r="D827" s="3" t="s">
        <v>2314</v>
      </c>
      <c r="E827" s="11" t="s">
        <v>275</v>
      </c>
      <c r="F827" s="10">
        <v>3.8700000000000002E-3</v>
      </c>
      <c r="G827" s="12">
        <f t="shared" si="60"/>
        <v>1113</v>
      </c>
      <c r="H827" s="13">
        <f t="shared" si="61"/>
        <v>557</v>
      </c>
      <c r="I827" s="12">
        <f t="shared" si="62"/>
        <v>556</v>
      </c>
      <c r="J827" s="3" t="str">
        <f t="shared" si="59"/>
        <v>1230560</v>
      </c>
    </row>
    <row r="828" spans="2:10" s="3" customFormat="1">
      <c r="B828" s="3" t="s">
        <v>2182</v>
      </c>
      <c r="C828" s="8">
        <v>3</v>
      </c>
      <c r="D828" s="3" t="s">
        <v>2315</v>
      </c>
      <c r="E828" s="11" t="s">
        <v>276</v>
      </c>
      <c r="F828" s="10">
        <v>1.6080000000000001E-3</v>
      </c>
      <c r="G828" s="12">
        <f t="shared" si="60"/>
        <v>463</v>
      </c>
      <c r="H828" s="13">
        <f t="shared" si="61"/>
        <v>232</v>
      </c>
      <c r="I828" s="12">
        <f t="shared" si="62"/>
        <v>231</v>
      </c>
      <c r="J828" s="3" t="str">
        <f t="shared" si="59"/>
        <v>1230561</v>
      </c>
    </row>
    <row r="829" spans="2:10" s="3" customFormat="1">
      <c r="B829" s="3" t="s">
        <v>2182</v>
      </c>
      <c r="C829" s="8">
        <v>3</v>
      </c>
      <c r="D829" s="3" t="s">
        <v>2316</v>
      </c>
      <c r="E829" s="11" t="s">
        <v>277</v>
      </c>
      <c r="F829" s="10">
        <v>1.768E-3</v>
      </c>
      <c r="G829" s="12">
        <f t="shared" si="60"/>
        <v>509</v>
      </c>
      <c r="H829" s="13">
        <f t="shared" si="61"/>
        <v>255</v>
      </c>
      <c r="I829" s="12">
        <f t="shared" si="62"/>
        <v>254</v>
      </c>
      <c r="J829" s="3" t="str">
        <f t="shared" si="59"/>
        <v>1230562</v>
      </c>
    </row>
    <row r="830" spans="2:10" s="3" customFormat="1">
      <c r="B830" s="3" t="s">
        <v>2182</v>
      </c>
      <c r="C830" s="8">
        <v>3</v>
      </c>
      <c r="D830" s="3" t="s">
        <v>2317</v>
      </c>
      <c r="E830" s="11" t="s">
        <v>278</v>
      </c>
      <c r="F830" s="10">
        <v>2.3280000000000002E-3</v>
      </c>
      <c r="G830" s="12">
        <f t="shared" si="60"/>
        <v>670</v>
      </c>
      <c r="H830" s="13">
        <f t="shared" si="61"/>
        <v>335</v>
      </c>
      <c r="I830" s="12">
        <f t="shared" si="62"/>
        <v>335</v>
      </c>
      <c r="J830" s="3" t="str">
        <f t="shared" si="59"/>
        <v>1230563</v>
      </c>
    </row>
    <row r="831" spans="2:10" s="3" customFormat="1">
      <c r="B831" s="3" t="s">
        <v>2182</v>
      </c>
      <c r="C831" s="8">
        <v>4</v>
      </c>
      <c r="D831" s="3" t="s">
        <v>2318</v>
      </c>
      <c r="E831" s="11" t="s">
        <v>279</v>
      </c>
      <c r="F831" s="10">
        <v>9.8963999999999996E-2</v>
      </c>
      <c r="G831" s="9">
        <f t="shared" si="60"/>
        <v>28474</v>
      </c>
      <c r="H831" s="11">
        <f t="shared" si="61"/>
        <v>14237</v>
      </c>
      <c r="I831" s="9">
        <f t="shared" si="62"/>
        <v>14237</v>
      </c>
      <c r="J831" s="3" t="str">
        <f t="shared" si="59"/>
        <v>1241150</v>
      </c>
    </row>
    <row r="832" spans="2:10" s="3" customFormat="1">
      <c r="B832" s="3" t="s">
        <v>2182</v>
      </c>
      <c r="C832" s="8">
        <v>4</v>
      </c>
      <c r="D832" s="3" t="s">
        <v>2318</v>
      </c>
      <c r="E832" s="11" t="s">
        <v>28</v>
      </c>
      <c r="F832" s="11"/>
      <c r="G832" s="14">
        <v>0.52315999999999996</v>
      </c>
      <c r="H832" s="11"/>
      <c r="I832" s="11"/>
      <c r="J832" s="3" t="str">
        <f t="shared" si="59"/>
        <v>1241150</v>
      </c>
    </row>
    <row r="833" spans="2:10" s="3" customFormat="1">
      <c r="B833" s="3" t="s">
        <v>2182</v>
      </c>
      <c r="C833" s="8">
        <v>4</v>
      </c>
      <c r="D833" s="3" t="s">
        <v>2318</v>
      </c>
      <c r="E833" s="11" t="s">
        <v>29</v>
      </c>
      <c r="F833" s="11"/>
      <c r="G833" s="15">
        <f>ROUND(G831*G832,0)</f>
        <v>14896</v>
      </c>
      <c r="H833" s="16">
        <f>ROUND(G833/2,0)</f>
        <v>7448</v>
      </c>
      <c r="I833" s="15">
        <f>G833-H833</f>
        <v>7448</v>
      </c>
      <c r="J833" s="3" t="str">
        <f t="shared" si="59"/>
        <v>1241150</v>
      </c>
    </row>
    <row r="834" spans="2:10" s="3" customFormat="1">
      <c r="B834" s="3" t="s">
        <v>2182</v>
      </c>
      <c r="C834" s="8">
        <v>4</v>
      </c>
      <c r="D834" s="3" t="s">
        <v>2318</v>
      </c>
      <c r="E834" s="11" t="s">
        <v>30</v>
      </c>
      <c r="F834" s="11"/>
      <c r="G834" s="12">
        <f>+G831-G833</f>
        <v>13578</v>
      </c>
      <c r="H834" s="13">
        <f>ROUND(G834/2,0)</f>
        <v>6789</v>
      </c>
      <c r="I834" s="12">
        <f>G834-H834</f>
        <v>6789</v>
      </c>
      <c r="J834" s="3" t="str">
        <f t="shared" si="59"/>
        <v>1241150</v>
      </c>
    </row>
    <row r="835" spans="2:10" s="3" customFormat="1">
      <c r="B835" s="3" t="s">
        <v>2182</v>
      </c>
      <c r="C835" s="8">
        <v>4</v>
      </c>
      <c r="D835" s="3" t="s">
        <v>2319</v>
      </c>
      <c r="E835" s="11" t="s">
        <v>280</v>
      </c>
      <c r="F835" s="10">
        <v>0.183749</v>
      </c>
      <c r="G835" s="9">
        <f>ROUND(G$3*F835,0)</f>
        <v>52869</v>
      </c>
      <c r="H835" s="11">
        <f>ROUND(G835/2,0)</f>
        <v>26435</v>
      </c>
      <c r="I835" s="9">
        <f>G835-H835</f>
        <v>26434</v>
      </c>
      <c r="J835" s="3" t="str">
        <f t="shared" si="59"/>
        <v>1241160</v>
      </c>
    </row>
    <row r="836" spans="2:10" s="3" customFormat="1">
      <c r="B836" s="3" t="s">
        <v>2182</v>
      </c>
      <c r="C836" s="8">
        <v>4</v>
      </c>
      <c r="D836" s="3" t="s">
        <v>2319</v>
      </c>
      <c r="E836" s="11" t="s">
        <v>28</v>
      </c>
      <c r="F836" s="11"/>
      <c r="G836" s="14">
        <v>0.40146100000000001</v>
      </c>
      <c r="H836" s="11"/>
      <c r="I836" s="11"/>
      <c r="J836" s="3" t="str">
        <f t="shared" ref="J836:J899" si="63">B836&amp;C836&amp;D836</f>
        <v>1241160</v>
      </c>
    </row>
    <row r="837" spans="2:10" s="3" customFormat="1">
      <c r="B837" s="3" t="s">
        <v>2182</v>
      </c>
      <c r="C837" s="8">
        <v>4</v>
      </c>
      <c r="D837" s="3" t="s">
        <v>2319</v>
      </c>
      <c r="E837" s="11" t="s">
        <v>29</v>
      </c>
      <c r="F837" s="11"/>
      <c r="G837" s="15">
        <f>ROUND(G835*G836,0)</f>
        <v>21225</v>
      </c>
      <c r="H837" s="16">
        <f>ROUND(G837/2,0)</f>
        <v>10613</v>
      </c>
      <c r="I837" s="15">
        <f>G837-H837</f>
        <v>10612</v>
      </c>
      <c r="J837" s="3" t="str">
        <f t="shared" si="63"/>
        <v>1241160</v>
      </c>
    </row>
    <row r="838" spans="2:10" s="3" customFormat="1">
      <c r="B838" s="3" t="s">
        <v>2182</v>
      </c>
      <c r="C838" s="8">
        <v>4</v>
      </c>
      <c r="D838" s="3" t="s">
        <v>2319</v>
      </c>
      <c r="E838" s="11" t="s">
        <v>30</v>
      </c>
      <c r="F838" s="11"/>
      <c r="G838" s="12">
        <f>+G835-G837</f>
        <v>31644</v>
      </c>
      <c r="H838" s="13">
        <f>ROUND(G838/2,0)</f>
        <v>15822</v>
      </c>
      <c r="I838" s="12">
        <f>G838-H838</f>
        <v>15822</v>
      </c>
      <c r="J838" s="3" t="str">
        <f t="shared" si="63"/>
        <v>1241160</v>
      </c>
    </row>
    <row r="839" spans="2:10" s="3" customFormat="1">
      <c r="B839" s="3" t="s">
        <v>2182</v>
      </c>
      <c r="C839" s="8">
        <v>4</v>
      </c>
      <c r="D839" s="3" t="s">
        <v>2320</v>
      </c>
      <c r="E839" s="11" t="s">
        <v>281</v>
      </c>
      <c r="F839" s="10">
        <v>0.18451200000000001</v>
      </c>
      <c r="G839" s="9">
        <f>ROUND(G$3*F839,0)</f>
        <v>53088</v>
      </c>
      <c r="H839" s="11">
        <f>ROUND(G839/2,0)</f>
        <v>26544</v>
      </c>
      <c r="I839" s="9">
        <f>G839-H839</f>
        <v>26544</v>
      </c>
      <c r="J839" s="3" t="str">
        <f t="shared" si="63"/>
        <v>1241170</v>
      </c>
    </row>
    <row r="840" spans="2:10" s="3" customFormat="1">
      <c r="B840" s="3" t="s">
        <v>2182</v>
      </c>
      <c r="C840" s="8">
        <v>4</v>
      </c>
      <c r="D840" s="3" t="s">
        <v>2320</v>
      </c>
      <c r="E840" s="11" t="s">
        <v>28</v>
      </c>
      <c r="F840" s="11"/>
      <c r="G840" s="14">
        <v>0.40509600000000001</v>
      </c>
      <c r="H840" s="11"/>
      <c r="I840" s="11"/>
      <c r="J840" s="3" t="str">
        <f t="shared" si="63"/>
        <v>1241170</v>
      </c>
    </row>
    <row r="841" spans="2:10" s="3" customFormat="1">
      <c r="B841" s="3" t="s">
        <v>2182</v>
      </c>
      <c r="C841" s="8">
        <v>4</v>
      </c>
      <c r="D841" s="3" t="s">
        <v>2320</v>
      </c>
      <c r="E841" s="11" t="s">
        <v>29</v>
      </c>
      <c r="F841" s="11"/>
      <c r="G841" s="15">
        <f>ROUND(G839*G840,0)</f>
        <v>21506</v>
      </c>
      <c r="H841" s="16">
        <f>ROUND(G841/2,0)</f>
        <v>10753</v>
      </c>
      <c r="I841" s="15">
        <f>G841-H841</f>
        <v>10753</v>
      </c>
      <c r="J841" s="3" t="str">
        <f t="shared" si="63"/>
        <v>1241170</v>
      </c>
    </row>
    <row r="842" spans="2:10" s="3" customFormat="1">
      <c r="B842" s="3" t="s">
        <v>2182</v>
      </c>
      <c r="C842" s="8">
        <v>4</v>
      </c>
      <c r="D842" s="3" t="s">
        <v>2320</v>
      </c>
      <c r="E842" s="11" t="s">
        <v>30</v>
      </c>
      <c r="F842" s="11"/>
      <c r="G842" s="12">
        <f>+G839-G841</f>
        <v>31582</v>
      </c>
      <c r="H842" s="13">
        <f>ROUND(G842/2,0)</f>
        <v>15791</v>
      </c>
      <c r="I842" s="12">
        <f>G842-H842</f>
        <v>15791</v>
      </c>
      <c r="J842" s="3" t="str">
        <f t="shared" si="63"/>
        <v>1241170</v>
      </c>
    </row>
    <row r="843" spans="2:10" s="3" customFormat="1">
      <c r="B843" s="3" t="s">
        <v>2182</v>
      </c>
      <c r="C843" s="8">
        <v>4</v>
      </c>
      <c r="D843" s="116" t="s">
        <v>2277</v>
      </c>
      <c r="E843" s="11" t="s">
        <v>191</v>
      </c>
      <c r="F843" s="10">
        <v>5.1616000000000002E-2</v>
      </c>
      <c r="G843" s="9">
        <f>ROUND(G$3*F843,0)</f>
        <v>14851</v>
      </c>
      <c r="H843" s="11">
        <f>ROUND(G843/2,0)</f>
        <v>7426</v>
      </c>
      <c r="I843" s="9">
        <f>G843-H843</f>
        <v>7425</v>
      </c>
      <c r="J843" s="3" t="str">
        <f t="shared" si="63"/>
        <v>1241180</v>
      </c>
    </row>
    <row r="844" spans="2:10" s="3" customFormat="1">
      <c r="B844" s="3" t="s">
        <v>2182</v>
      </c>
      <c r="C844" s="8">
        <v>4</v>
      </c>
      <c r="D844" s="116" t="s">
        <v>2277</v>
      </c>
      <c r="E844" s="11" t="s">
        <v>28</v>
      </c>
      <c r="F844" s="11"/>
      <c r="G844" s="14">
        <v>0.43918299999999999</v>
      </c>
      <c r="H844" s="11"/>
      <c r="I844" s="11"/>
      <c r="J844" s="3" t="str">
        <f t="shared" si="63"/>
        <v>1241180</v>
      </c>
    </row>
    <row r="845" spans="2:10" s="3" customFormat="1">
      <c r="B845" s="3" t="s">
        <v>2182</v>
      </c>
      <c r="C845" s="8">
        <v>4</v>
      </c>
      <c r="D845" s="116" t="s">
        <v>2277</v>
      </c>
      <c r="E845" s="11" t="s">
        <v>29</v>
      </c>
      <c r="F845" s="11"/>
      <c r="G845" s="15">
        <f>ROUND(G843*G844,0)</f>
        <v>6522</v>
      </c>
      <c r="H845" s="16">
        <f t="shared" ref="H845:H852" si="64">ROUND(G845/2,0)</f>
        <v>3261</v>
      </c>
      <c r="I845" s="15">
        <f t="shared" ref="I845:I852" si="65">G845-H845</f>
        <v>3261</v>
      </c>
      <c r="J845" s="3" t="str">
        <f t="shared" si="63"/>
        <v>1241180</v>
      </c>
    </row>
    <row r="846" spans="2:10" s="3" customFormat="1">
      <c r="B846" s="3" t="s">
        <v>2182</v>
      </c>
      <c r="C846" s="8">
        <v>4</v>
      </c>
      <c r="D846" s="116" t="s">
        <v>2277</v>
      </c>
      <c r="E846" s="11" t="s">
        <v>30</v>
      </c>
      <c r="F846" s="11"/>
      <c r="G846" s="12">
        <f>+G843-G845</f>
        <v>8329</v>
      </c>
      <c r="H846" s="13">
        <f t="shared" si="64"/>
        <v>4165</v>
      </c>
      <c r="I846" s="12">
        <f t="shared" si="65"/>
        <v>4164</v>
      </c>
      <c r="J846" s="3" t="str">
        <f t="shared" si="63"/>
        <v>1241180</v>
      </c>
    </row>
    <row r="847" spans="2:10" s="3" customFormat="1">
      <c r="B847" s="3" t="s">
        <v>2182</v>
      </c>
      <c r="C847" s="8">
        <v>5</v>
      </c>
      <c r="D847" s="116" t="s">
        <v>3540</v>
      </c>
      <c r="E847" s="11" t="s">
        <v>282</v>
      </c>
      <c r="F847" s="10">
        <v>1.3486E-2</v>
      </c>
      <c r="G847" s="120">
        <f>ROUND(G$3*F847,0)</f>
        <v>3880</v>
      </c>
      <c r="H847" s="120">
        <f t="shared" si="64"/>
        <v>1940</v>
      </c>
      <c r="I847" s="120">
        <f t="shared" si="65"/>
        <v>1940</v>
      </c>
      <c r="J847" s="3" t="str">
        <f t="shared" si="63"/>
        <v>1250286</v>
      </c>
    </row>
    <row r="848" spans="2:10" s="3" customFormat="1">
      <c r="B848" s="3" t="s">
        <v>2182</v>
      </c>
      <c r="C848" s="8">
        <v>5</v>
      </c>
      <c r="D848" s="3" t="s">
        <v>2321</v>
      </c>
      <c r="E848" s="11" t="s">
        <v>283</v>
      </c>
      <c r="F848" s="10">
        <v>2.3649999999999999E-3</v>
      </c>
      <c r="G848" s="120">
        <f>ROUND(G$3*F848,0)</f>
        <v>680</v>
      </c>
      <c r="H848" s="120">
        <f t="shared" si="64"/>
        <v>340</v>
      </c>
      <c r="I848" s="120">
        <f t="shared" si="65"/>
        <v>340</v>
      </c>
      <c r="J848" s="3" t="str">
        <f t="shared" si="63"/>
        <v>1250027</v>
      </c>
    </row>
    <row r="849" spans="1:10" s="3" customFormat="1">
      <c r="B849" s="3" t="s">
        <v>2182</v>
      </c>
      <c r="C849" s="8">
        <v>5</v>
      </c>
      <c r="D849" s="3" t="s">
        <v>3537</v>
      </c>
      <c r="E849" s="11" t="s">
        <v>284</v>
      </c>
      <c r="F849" s="10">
        <v>1.6146000000000001E-2</v>
      </c>
      <c r="G849" s="120">
        <f>ROUND(G$3*F849,0)</f>
        <v>4646</v>
      </c>
      <c r="H849" s="120">
        <f t="shared" si="64"/>
        <v>2323</v>
      </c>
      <c r="I849" s="120">
        <f t="shared" si="65"/>
        <v>2323</v>
      </c>
      <c r="J849" s="3" t="str">
        <f t="shared" si="63"/>
        <v>1250028</v>
      </c>
    </row>
    <row r="850" spans="1:10" s="3" customFormat="1">
      <c r="B850" s="3" t="s">
        <v>2182</v>
      </c>
      <c r="C850" s="8">
        <v>5</v>
      </c>
      <c r="D850" s="3" t="s">
        <v>2322</v>
      </c>
      <c r="E850" s="11" t="s">
        <v>285</v>
      </c>
      <c r="F850" s="10">
        <v>2.3019999999999998E-3</v>
      </c>
      <c r="G850" s="120">
        <f>ROUND(G$3*F850,0)</f>
        <v>662</v>
      </c>
      <c r="H850" s="120">
        <f t="shared" si="64"/>
        <v>331</v>
      </c>
      <c r="I850" s="120">
        <f t="shared" si="65"/>
        <v>331</v>
      </c>
      <c r="J850" s="3" t="str">
        <f t="shared" si="63"/>
        <v>1250029</v>
      </c>
    </row>
    <row r="851" spans="1:10" s="3" customFormat="1">
      <c r="B851" s="3" t="s">
        <v>2182</v>
      </c>
      <c r="C851" s="8">
        <v>6</v>
      </c>
      <c r="D851" s="3" t="s">
        <v>2323</v>
      </c>
      <c r="E851" s="11" t="s">
        <v>286</v>
      </c>
      <c r="F851" s="10">
        <v>1.2600000000000389E-3</v>
      </c>
      <c r="G851" s="12">
        <f>+G777-SUM(G778:G779)-SUM(G784:G831)-G835-G839-G843-SUM(G847:G850)</f>
        <v>197704</v>
      </c>
      <c r="H851" s="13">
        <f t="shared" si="64"/>
        <v>98852</v>
      </c>
      <c r="I851" s="12">
        <f t="shared" si="65"/>
        <v>98852</v>
      </c>
      <c r="J851" s="3" t="str">
        <f t="shared" si="63"/>
        <v>1260326</v>
      </c>
    </row>
    <row r="852" spans="1:10" s="3" customFormat="1">
      <c r="A852" s="3" t="s">
        <v>6269</v>
      </c>
      <c r="B852" s="3" t="s">
        <v>2182</v>
      </c>
      <c r="C852" s="36">
        <v>6</v>
      </c>
      <c r="D852" s="3" t="s">
        <v>6267</v>
      </c>
      <c r="E852" s="37" t="s">
        <v>287</v>
      </c>
      <c r="F852" s="10">
        <v>0</v>
      </c>
      <c r="G852" s="120">
        <f>ROUND(G$3*F852,0)</f>
        <v>0</v>
      </c>
      <c r="H852" s="120">
        <f t="shared" si="64"/>
        <v>0</v>
      </c>
      <c r="I852" s="120">
        <f t="shared" si="65"/>
        <v>0</v>
      </c>
      <c r="J852" s="3" t="str">
        <f t="shared" si="63"/>
        <v>126XXXX</v>
      </c>
    </row>
    <row r="853" spans="1:10" s="3" customFormat="1">
      <c r="B853" s="3" t="s">
        <v>2182</v>
      </c>
      <c r="C853" s="8">
        <v>0</v>
      </c>
      <c r="D853" s="125" t="s">
        <v>2187</v>
      </c>
      <c r="E853" s="28" t="s">
        <v>288</v>
      </c>
      <c r="F853" s="10">
        <v>1</v>
      </c>
      <c r="G853" s="38">
        <f>+G778+SUM(G781:G830)+SUM(G833:G834)+SUM(G837:G838)+SUM(G841:G842)+SUM(G845:G852)</f>
        <v>485063</v>
      </c>
      <c r="H853" s="38">
        <f>+H778+SUM(H781:H830)+SUM(H833:H834)+SUM(H837:H838)+SUM(H841:H842)+SUM(H845:H852)</f>
        <v>242544</v>
      </c>
      <c r="I853" s="38">
        <f>+I778+SUM(I781:I830)+SUM(I833:I834)+SUM(I837:I838)+SUM(I841:I842)+SUM(I845:I852)</f>
        <v>242519</v>
      </c>
      <c r="J853" s="3" t="str">
        <f t="shared" si="63"/>
        <v>1200000</v>
      </c>
    </row>
    <row r="854" spans="1:10" s="3" customFormat="1">
      <c r="B854" s="3" t="s">
        <v>2182</v>
      </c>
      <c r="C854" s="8">
        <v>0</v>
      </c>
      <c r="D854" s="3" t="s">
        <v>2187</v>
      </c>
      <c r="E854" s="18" t="s">
        <v>38</v>
      </c>
      <c r="G854" s="19">
        <f>+G778</f>
        <v>302</v>
      </c>
      <c r="H854" s="19">
        <f>+H778</f>
        <v>151</v>
      </c>
      <c r="I854" s="19">
        <f>+I778</f>
        <v>151</v>
      </c>
      <c r="J854" s="3" t="str">
        <f t="shared" si="63"/>
        <v>1200000</v>
      </c>
    </row>
    <row r="855" spans="1:10" s="3" customFormat="1">
      <c r="B855" s="3" t="s">
        <v>2182</v>
      </c>
      <c r="C855" s="8">
        <v>0</v>
      </c>
      <c r="D855" s="3" t="s">
        <v>2187</v>
      </c>
      <c r="E855" s="2" t="s">
        <v>39</v>
      </c>
      <c r="G855" s="19">
        <f>+G781</f>
        <v>9396</v>
      </c>
      <c r="H855" s="19">
        <f>+H781</f>
        <v>4698</v>
      </c>
      <c r="I855" s="19">
        <f>+I781</f>
        <v>4698</v>
      </c>
      <c r="J855" s="3" t="str">
        <f t="shared" si="63"/>
        <v>1200000</v>
      </c>
    </row>
    <row r="856" spans="1:10" s="3" customFormat="1">
      <c r="B856" s="3" t="s">
        <v>2182</v>
      </c>
      <c r="C856" s="8">
        <v>0</v>
      </c>
      <c r="D856" s="3" t="s">
        <v>2187</v>
      </c>
      <c r="E856" s="2" t="s">
        <v>40</v>
      </c>
      <c r="G856" s="19">
        <f>+G833+G837+G841+G845</f>
        <v>64149</v>
      </c>
      <c r="H856" s="19">
        <f>+H833+H837+H841+H845</f>
        <v>32075</v>
      </c>
      <c r="I856" s="19">
        <f>+I833+I837+I841+I845</f>
        <v>32074</v>
      </c>
      <c r="J856" s="3" t="str">
        <f t="shared" si="63"/>
        <v>1200000</v>
      </c>
    </row>
    <row r="857" spans="1:10" s="3" customFormat="1">
      <c r="B857" s="3" t="s">
        <v>2182</v>
      </c>
      <c r="C857" s="8">
        <v>0</v>
      </c>
      <c r="D857" s="125" t="s">
        <v>2187</v>
      </c>
      <c r="E857" s="18" t="s">
        <v>41</v>
      </c>
      <c r="G857" s="19">
        <f>+G853-G854-G855-G856</f>
        <v>411216</v>
      </c>
      <c r="H857" s="19">
        <f>+H853-H854-H855-H856</f>
        <v>205620</v>
      </c>
      <c r="I857" s="19">
        <f>+I853-I854-I855-I856</f>
        <v>205596</v>
      </c>
      <c r="J857" s="3" t="str">
        <f t="shared" si="63"/>
        <v>1200000</v>
      </c>
    </row>
    <row r="858" spans="1:10" ht="15.75">
      <c r="B858" s="3" t="s">
        <v>2186</v>
      </c>
      <c r="D858" t="s">
        <v>2186</v>
      </c>
      <c r="E858">
        <v>0</v>
      </c>
      <c r="G858"/>
      <c r="H858"/>
      <c r="I858"/>
      <c r="J858" s="3" t="str">
        <f t="shared" si="63"/>
        <v/>
      </c>
    </row>
    <row r="859" spans="1:10" s="3" customFormat="1">
      <c r="C859" s="1"/>
      <c r="D859" s="3" t="s">
        <v>2186</v>
      </c>
      <c r="E859" s="2" t="s">
        <v>289</v>
      </c>
      <c r="J859" s="3" t="str">
        <f t="shared" si="63"/>
        <v/>
      </c>
    </row>
    <row r="860" spans="1:10" s="3" customFormat="1" ht="45">
      <c r="B860" s="3" t="s">
        <v>2186</v>
      </c>
      <c r="C860" s="1"/>
      <c r="D860" s="3" t="s">
        <v>2186</v>
      </c>
      <c r="E860" s="1">
        <v>0</v>
      </c>
      <c r="F860" s="6" t="s">
        <v>1</v>
      </c>
      <c r="G860" s="60">
        <f>'Allocation Worksheet'!H860</f>
        <v>0</v>
      </c>
      <c r="H860" s="60">
        <f>'Allocation Worksheet'!H861</f>
        <v>0</v>
      </c>
      <c r="I860" s="60">
        <f>'Allocation Worksheet'!H862</f>
        <v>0</v>
      </c>
      <c r="J860" s="3" t="str">
        <f t="shared" si="63"/>
        <v/>
      </c>
    </row>
    <row r="861" spans="1:10" s="3" customFormat="1">
      <c r="C861" s="7" t="s">
        <v>2087</v>
      </c>
      <c r="D861" s="3" t="s">
        <v>2186</v>
      </c>
      <c r="E861" s="7" t="s">
        <v>3</v>
      </c>
      <c r="F861" s="10"/>
      <c r="G861" s="9">
        <f>'Allocation Worksheet'!$D$16</f>
        <v>21687</v>
      </c>
      <c r="H861" s="11"/>
      <c r="I861" s="11"/>
      <c r="J861" s="3" t="str">
        <f t="shared" si="63"/>
        <v>UT</v>
      </c>
    </row>
    <row r="862" spans="1:10" s="3" customFormat="1">
      <c r="B862" s="3" t="s">
        <v>2100</v>
      </c>
      <c r="C862" s="8">
        <v>0</v>
      </c>
      <c r="D862" s="3" t="s">
        <v>2187</v>
      </c>
      <c r="E862" s="11" t="s">
        <v>4</v>
      </c>
      <c r="F862" s="10">
        <v>1.0089999999999999E-3</v>
      </c>
      <c r="G862" s="12">
        <f>ROUND(G$3*F862,0)</f>
        <v>290</v>
      </c>
      <c r="H862" s="13">
        <f>ROUND(G862/2,0)</f>
        <v>145</v>
      </c>
      <c r="I862" s="12">
        <f>G862-H862</f>
        <v>145</v>
      </c>
      <c r="J862" s="3" t="str">
        <f t="shared" si="63"/>
        <v>1300000</v>
      </c>
    </row>
    <row r="863" spans="1:10" s="3" customFormat="1">
      <c r="B863" s="3" t="s">
        <v>2100</v>
      </c>
      <c r="C863" s="8">
        <v>1</v>
      </c>
      <c r="D863" s="3" t="s">
        <v>2187</v>
      </c>
      <c r="E863" s="11" t="s">
        <v>290</v>
      </c>
      <c r="F863" s="10">
        <v>0.32181399999999999</v>
      </c>
      <c r="G863" s="9">
        <f>ROUND(G$3*F863,0)</f>
        <v>92593</v>
      </c>
      <c r="H863" s="11">
        <f>ROUND(G863/2,0)</f>
        <v>46297</v>
      </c>
      <c r="I863" s="9">
        <f>G863-H863</f>
        <v>46296</v>
      </c>
      <c r="J863" s="3" t="str">
        <f t="shared" si="63"/>
        <v>1310000</v>
      </c>
    </row>
    <row r="864" spans="1:10" s="3" customFormat="1">
      <c r="B864" s="3" t="s">
        <v>2100</v>
      </c>
      <c r="C864" s="8">
        <v>1</v>
      </c>
      <c r="D864" s="3" t="s">
        <v>2187</v>
      </c>
      <c r="E864" s="11" t="s">
        <v>6</v>
      </c>
      <c r="F864" s="11"/>
      <c r="G864" s="14">
        <v>0.34007199999999999</v>
      </c>
      <c r="H864" s="11"/>
      <c r="I864" s="11"/>
      <c r="J864" s="3" t="str">
        <f t="shared" si="63"/>
        <v>1310000</v>
      </c>
    </row>
    <row r="865" spans="1:10" s="3" customFormat="1">
      <c r="B865" s="3" t="s">
        <v>2100</v>
      </c>
      <c r="C865" s="8">
        <v>1</v>
      </c>
      <c r="D865" s="3" t="s">
        <v>2187</v>
      </c>
      <c r="E865" s="11" t="s">
        <v>7</v>
      </c>
      <c r="F865" s="11"/>
      <c r="G865" s="15">
        <f>ROUND(G863*G864,0)</f>
        <v>31488</v>
      </c>
      <c r="H865" s="16">
        <f>ROUND(G865/2,0)</f>
        <v>15744</v>
      </c>
      <c r="I865" s="15">
        <f>G865-H865</f>
        <v>15744</v>
      </c>
      <c r="J865" s="3" t="str">
        <f t="shared" si="63"/>
        <v>1310000</v>
      </c>
    </row>
    <row r="866" spans="1:10" s="3" customFormat="1">
      <c r="B866" s="3" t="s">
        <v>2100</v>
      </c>
      <c r="C866" s="8">
        <v>1</v>
      </c>
      <c r="D866" s="3" t="s">
        <v>2187</v>
      </c>
      <c r="E866" s="11" t="s">
        <v>8</v>
      </c>
      <c r="F866" s="11"/>
      <c r="G866" s="12">
        <f>+G863-G865</f>
        <v>61105</v>
      </c>
      <c r="H866" s="13">
        <f>ROUND(G866/2,0)</f>
        <v>30553</v>
      </c>
      <c r="I866" s="12">
        <f>G866-H866</f>
        <v>30552</v>
      </c>
      <c r="J866" s="3" t="str">
        <f t="shared" si="63"/>
        <v>1310000</v>
      </c>
    </row>
    <row r="867" spans="1:10" s="3" customFormat="1">
      <c r="B867" s="3" t="s">
        <v>2100</v>
      </c>
      <c r="C867" s="8">
        <v>2</v>
      </c>
      <c r="D867" s="3" t="s">
        <v>2188</v>
      </c>
      <c r="E867" s="11" t="s">
        <v>200</v>
      </c>
      <c r="F867" s="11"/>
      <c r="G867" s="9"/>
      <c r="H867" s="11"/>
      <c r="I867" s="11"/>
      <c r="J867" s="3" t="str">
        <f t="shared" si="63"/>
        <v>1320001</v>
      </c>
    </row>
    <row r="868" spans="1:10" s="3" customFormat="1">
      <c r="B868" s="3" t="s">
        <v>2100</v>
      </c>
      <c r="C868" s="8">
        <v>2</v>
      </c>
      <c r="D868" s="3" t="s">
        <v>2188</v>
      </c>
      <c r="E868" s="11" t="s">
        <v>10</v>
      </c>
      <c r="F868" s="10">
        <v>7.5699999999999997E-4</v>
      </c>
      <c r="G868" s="12">
        <f>ROUND(G$3*F868,0)</f>
        <v>218</v>
      </c>
      <c r="H868" s="13">
        <f>ROUND(G868/2,0)</f>
        <v>109</v>
      </c>
      <c r="I868" s="12">
        <f>G868-H868</f>
        <v>109</v>
      </c>
      <c r="J868" s="3" t="str">
        <f t="shared" si="63"/>
        <v>1320001</v>
      </c>
    </row>
    <row r="869" spans="1:10" s="3" customFormat="1">
      <c r="A869" s="3" t="s">
        <v>6269</v>
      </c>
      <c r="B869" s="3" t="s">
        <v>2100</v>
      </c>
      <c r="C869" s="8">
        <v>2</v>
      </c>
      <c r="D869" s="3" t="s">
        <v>2188</v>
      </c>
      <c r="E869" s="11" t="s">
        <v>11</v>
      </c>
      <c r="F869" s="10">
        <v>0</v>
      </c>
      <c r="G869" s="12">
        <f>ROUND(G$3*F869,0)</f>
        <v>0</v>
      </c>
      <c r="H869" s="13">
        <f>ROUND(G869/2,0)</f>
        <v>0</v>
      </c>
      <c r="I869" s="12">
        <f>G869-H869</f>
        <v>0</v>
      </c>
      <c r="J869" s="3" t="str">
        <f t="shared" si="63"/>
        <v>1320001</v>
      </c>
    </row>
    <row r="870" spans="1:10" s="3" customFormat="1">
      <c r="B870" s="3" t="s">
        <v>2100</v>
      </c>
      <c r="C870" s="8">
        <v>2</v>
      </c>
      <c r="D870" s="3" t="s">
        <v>2189</v>
      </c>
      <c r="E870" s="11" t="s">
        <v>291</v>
      </c>
      <c r="F870" s="11"/>
      <c r="G870" s="9"/>
      <c r="H870" s="11"/>
      <c r="I870" s="11"/>
      <c r="J870" s="3" t="str">
        <f t="shared" si="63"/>
        <v>1320002</v>
      </c>
    </row>
    <row r="871" spans="1:10" s="3" customFormat="1">
      <c r="B871" s="3" t="s">
        <v>2100</v>
      </c>
      <c r="C871" s="8">
        <v>2</v>
      </c>
      <c r="D871" s="3" t="s">
        <v>2189</v>
      </c>
      <c r="E871" s="11" t="s">
        <v>10</v>
      </c>
      <c r="F871" s="10">
        <v>2.52E-4</v>
      </c>
      <c r="G871" s="12">
        <f>ROUND(G$3*F871,0)</f>
        <v>73</v>
      </c>
      <c r="H871" s="13">
        <f>ROUND(G871/2,0)</f>
        <v>37</v>
      </c>
      <c r="I871" s="12">
        <f>G871-H871</f>
        <v>36</v>
      </c>
      <c r="J871" s="3" t="str">
        <f t="shared" si="63"/>
        <v>1320002</v>
      </c>
    </row>
    <row r="872" spans="1:10" s="3" customFormat="1">
      <c r="B872" s="3" t="s">
        <v>2100</v>
      </c>
      <c r="C872" s="8">
        <v>2</v>
      </c>
      <c r="D872" s="3" t="s">
        <v>2189</v>
      </c>
      <c r="E872" s="11" t="s">
        <v>11</v>
      </c>
      <c r="F872" s="10">
        <v>2.9399999999999999E-4</v>
      </c>
      <c r="G872" s="12">
        <f>ROUND(G$3*F872,0)</f>
        <v>85</v>
      </c>
      <c r="H872" s="13">
        <f>ROUND(G872/2,0)</f>
        <v>43</v>
      </c>
      <c r="I872" s="12">
        <f>G872-H872</f>
        <v>42</v>
      </c>
      <c r="J872" s="3" t="str">
        <f t="shared" si="63"/>
        <v>1320002</v>
      </c>
    </row>
    <row r="873" spans="1:10" s="3" customFormat="1">
      <c r="B873" s="3" t="s">
        <v>2100</v>
      </c>
      <c r="C873" s="8">
        <v>2</v>
      </c>
      <c r="D873" s="3" t="s">
        <v>2190</v>
      </c>
      <c r="E873" s="11" t="s">
        <v>268</v>
      </c>
      <c r="F873" s="11"/>
      <c r="G873" s="9"/>
      <c r="H873" s="11"/>
      <c r="I873" s="11"/>
      <c r="J873" s="3" t="str">
        <f t="shared" si="63"/>
        <v>1320003</v>
      </c>
    </row>
    <row r="874" spans="1:10" s="3" customFormat="1">
      <c r="A874" s="3" t="s">
        <v>6269</v>
      </c>
      <c r="B874" s="3" t="s">
        <v>2100</v>
      </c>
      <c r="C874" s="8">
        <v>2</v>
      </c>
      <c r="D874" s="3" t="s">
        <v>2190</v>
      </c>
      <c r="E874" s="11" t="s">
        <v>10</v>
      </c>
      <c r="F874" s="10">
        <v>0</v>
      </c>
      <c r="G874" s="12">
        <f>ROUND(G$3*F874,0)</f>
        <v>0</v>
      </c>
      <c r="H874" s="13">
        <f>ROUND(G874/2,0)</f>
        <v>0</v>
      </c>
      <c r="I874" s="12">
        <f>G874-H874</f>
        <v>0</v>
      </c>
      <c r="J874" s="3" t="str">
        <f t="shared" si="63"/>
        <v>1320003</v>
      </c>
    </row>
    <row r="875" spans="1:10" s="3" customFormat="1">
      <c r="A875" s="3" t="s">
        <v>6269</v>
      </c>
      <c r="B875" s="3" t="s">
        <v>2100</v>
      </c>
      <c r="C875" s="8">
        <v>2</v>
      </c>
      <c r="D875" s="3" t="s">
        <v>2190</v>
      </c>
      <c r="E875" s="11" t="s">
        <v>11</v>
      </c>
      <c r="F875" s="10">
        <v>0</v>
      </c>
      <c r="G875" s="12">
        <f>ROUND(G$3*F875,0)</f>
        <v>0</v>
      </c>
      <c r="H875" s="13">
        <f>ROUND(G875/2,0)</f>
        <v>0</v>
      </c>
      <c r="I875" s="12">
        <f>G875-H875</f>
        <v>0</v>
      </c>
      <c r="J875" s="3" t="str">
        <f t="shared" si="63"/>
        <v>1320003</v>
      </c>
    </row>
    <row r="876" spans="1:10" s="3" customFormat="1">
      <c r="B876" s="3" t="s">
        <v>2100</v>
      </c>
      <c r="C876" s="8">
        <v>2</v>
      </c>
      <c r="D876" s="3" t="s">
        <v>2191</v>
      </c>
      <c r="E876" s="11" t="s">
        <v>181</v>
      </c>
      <c r="F876" s="11"/>
      <c r="G876" s="9"/>
      <c r="H876" s="11"/>
      <c r="I876" s="11"/>
      <c r="J876" s="3" t="str">
        <f t="shared" si="63"/>
        <v>1320004</v>
      </c>
    </row>
    <row r="877" spans="1:10" s="3" customFormat="1" ht="14.45" customHeight="1">
      <c r="B877" s="3" t="s">
        <v>2100</v>
      </c>
      <c r="C877" s="8">
        <v>2</v>
      </c>
      <c r="D877" s="3" t="s">
        <v>2191</v>
      </c>
      <c r="E877" s="11" t="s">
        <v>10</v>
      </c>
      <c r="F877" s="10">
        <v>3.4889999999999999E-3</v>
      </c>
      <c r="G877" s="12">
        <f>ROUND(G$3*F877,0)</f>
        <v>1004</v>
      </c>
      <c r="H877" s="13">
        <f>ROUND(G877/2,0)</f>
        <v>502</v>
      </c>
      <c r="I877" s="12">
        <f>G877-H877</f>
        <v>502</v>
      </c>
      <c r="J877" s="3" t="str">
        <f t="shared" si="63"/>
        <v>1320004</v>
      </c>
    </row>
    <row r="878" spans="1:10" s="3" customFormat="1">
      <c r="A878" s="3" t="s">
        <v>6269</v>
      </c>
      <c r="B878" s="3" t="s">
        <v>2100</v>
      </c>
      <c r="C878" s="8">
        <v>2</v>
      </c>
      <c r="D878" s="3" t="s">
        <v>2191</v>
      </c>
      <c r="E878" s="11" t="s">
        <v>11</v>
      </c>
      <c r="F878" s="10">
        <v>0</v>
      </c>
      <c r="G878" s="12">
        <f>ROUND(G$3*F878,0)</f>
        <v>0</v>
      </c>
      <c r="H878" s="13">
        <f>ROUND(G878/2,0)</f>
        <v>0</v>
      </c>
      <c r="I878" s="12">
        <f>G878-H878</f>
        <v>0</v>
      </c>
      <c r="J878" s="3" t="str">
        <f t="shared" si="63"/>
        <v>1320004</v>
      </c>
    </row>
    <row r="879" spans="1:10" s="3" customFormat="1">
      <c r="B879" s="3" t="s">
        <v>2100</v>
      </c>
      <c r="C879" s="8">
        <v>2</v>
      </c>
      <c r="D879" s="3" t="s">
        <v>2192</v>
      </c>
      <c r="E879" s="11" t="s">
        <v>88</v>
      </c>
      <c r="F879" s="11"/>
      <c r="G879" s="9"/>
      <c r="H879" s="11"/>
      <c r="I879" s="11"/>
      <c r="J879" s="3" t="str">
        <f t="shared" si="63"/>
        <v>1320005</v>
      </c>
    </row>
    <row r="880" spans="1:10" s="3" customFormat="1">
      <c r="B880" s="3" t="s">
        <v>2100</v>
      </c>
      <c r="C880" s="8">
        <v>2</v>
      </c>
      <c r="D880" s="3" t="s">
        <v>2192</v>
      </c>
      <c r="E880" s="11" t="s">
        <v>10</v>
      </c>
      <c r="F880" s="10">
        <v>4.1999999999999998E-5</v>
      </c>
      <c r="G880" s="12">
        <f>ROUND(G$3*F880,0)</f>
        <v>12</v>
      </c>
      <c r="H880" s="13">
        <f>ROUND(G880/2,0)</f>
        <v>6</v>
      </c>
      <c r="I880" s="12">
        <f>G880-H880</f>
        <v>6</v>
      </c>
      <c r="J880" s="3" t="str">
        <f t="shared" si="63"/>
        <v>1320005</v>
      </c>
    </row>
    <row r="881" spans="1:10" s="3" customFormat="1">
      <c r="B881" s="3" t="s">
        <v>2100</v>
      </c>
      <c r="C881" s="8">
        <v>2</v>
      </c>
      <c r="D881" s="3" t="s">
        <v>2192</v>
      </c>
      <c r="E881" s="11" t="s">
        <v>11</v>
      </c>
      <c r="F881" s="10">
        <v>4.1999999999999998E-5</v>
      </c>
      <c r="G881" s="12">
        <f>ROUND(G$3*F881,0)</f>
        <v>12</v>
      </c>
      <c r="H881" s="13">
        <f>ROUND(G881/2,0)</f>
        <v>6</v>
      </c>
      <c r="I881" s="12">
        <f>G881-H881</f>
        <v>6</v>
      </c>
      <c r="J881" s="3" t="str">
        <f t="shared" si="63"/>
        <v>1320005</v>
      </c>
    </row>
    <row r="882" spans="1:10" s="3" customFormat="1">
      <c r="B882" s="3" t="s">
        <v>2100</v>
      </c>
      <c r="C882" s="8">
        <v>2</v>
      </c>
      <c r="D882" s="3" t="s">
        <v>2193</v>
      </c>
      <c r="E882" s="11" t="s">
        <v>292</v>
      </c>
      <c r="F882" s="11"/>
      <c r="G882" s="9"/>
      <c r="H882" s="11"/>
      <c r="I882" s="11"/>
      <c r="J882" s="3" t="str">
        <f t="shared" si="63"/>
        <v>1320006</v>
      </c>
    </row>
    <row r="883" spans="1:10" s="3" customFormat="1">
      <c r="B883" s="3" t="s">
        <v>2100</v>
      </c>
      <c r="C883" s="8">
        <v>2</v>
      </c>
      <c r="D883" s="3" t="s">
        <v>2193</v>
      </c>
      <c r="E883" s="11" t="s">
        <v>10</v>
      </c>
      <c r="F883" s="10">
        <v>1.6819999999999999E-3</v>
      </c>
      <c r="G883" s="12">
        <f>ROUND(G$3*F883,0)</f>
        <v>484</v>
      </c>
      <c r="H883" s="13">
        <f>ROUND(G883/2,0)</f>
        <v>242</v>
      </c>
      <c r="I883" s="12">
        <f>G883-H883</f>
        <v>242</v>
      </c>
      <c r="J883" s="3" t="str">
        <f t="shared" si="63"/>
        <v>1320006</v>
      </c>
    </row>
    <row r="884" spans="1:10" s="3" customFormat="1">
      <c r="A884" s="3" t="s">
        <v>6269</v>
      </c>
      <c r="B884" s="3" t="s">
        <v>2100</v>
      </c>
      <c r="C884" s="8">
        <v>2</v>
      </c>
      <c r="D884" s="3" t="s">
        <v>2193</v>
      </c>
      <c r="E884" s="11" t="s">
        <v>11</v>
      </c>
      <c r="F884" s="10">
        <v>0</v>
      </c>
      <c r="G884" s="12">
        <f>ROUND(G$3*F884,0)</f>
        <v>0</v>
      </c>
      <c r="H884" s="13">
        <f>ROUND(G884/2,0)</f>
        <v>0</v>
      </c>
      <c r="I884" s="12">
        <f>G884-H884</f>
        <v>0</v>
      </c>
      <c r="J884" s="3" t="str">
        <f t="shared" si="63"/>
        <v>1320006</v>
      </c>
    </row>
    <row r="885" spans="1:10" s="3" customFormat="1">
      <c r="B885" s="3" t="s">
        <v>2100</v>
      </c>
      <c r="C885" s="8">
        <v>2</v>
      </c>
      <c r="D885" s="3" t="s">
        <v>2194</v>
      </c>
      <c r="E885" s="11" t="s">
        <v>293</v>
      </c>
      <c r="F885" s="11"/>
      <c r="G885" s="9"/>
      <c r="H885" s="11"/>
      <c r="I885" s="11"/>
      <c r="J885" s="3" t="str">
        <f t="shared" si="63"/>
        <v>1320007</v>
      </c>
    </row>
    <row r="886" spans="1:10" s="3" customFormat="1">
      <c r="B886" s="3" t="s">
        <v>2100</v>
      </c>
      <c r="C886" s="8">
        <v>2</v>
      </c>
      <c r="D886" s="3" t="s">
        <v>2194</v>
      </c>
      <c r="E886" s="11" t="s">
        <v>10</v>
      </c>
      <c r="F886" s="10">
        <v>1.766E-3</v>
      </c>
      <c r="G886" s="12">
        <f>ROUND(G$3*F886,0)</f>
        <v>508</v>
      </c>
      <c r="H886" s="13">
        <f>ROUND(G886/2,0)</f>
        <v>254</v>
      </c>
      <c r="I886" s="12">
        <f>G886-H886</f>
        <v>254</v>
      </c>
      <c r="J886" s="3" t="str">
        <f t="shared" si="63"/>
        <v>1320007</v>
      </c>
    </row>
    <row r="887" spans="1:10" s="3" customFormat="1">
      <c r="A887" s="3" t="s">
        <v>6269</v>
      </c>
      <c r="B887" s="3" t="s">
        <v>2100</v>
      </c>
      <c r="C887" s="8">
        <v>2</v>
      </c>
      <c r="D887" s="3" t="s">
        <v>2194</v>
      </c>
      <c r="E887" s="11" t="s">
        <v>11</v>
      </c>
      <c r="F887" s="10">
        <v>0</v>
      </c>
      <c r="G887" s="12">
        <f>ROUND(G$3*F887,0)</f>
        <v>0</v>
      </c>
      <c r="H887" s="13">
        <f>ROUND(G887/2,0)</f>
        <v>0</v>
      </c>
      <c r="I887" s="12">
        <f>G887-H887</f>
        <v>0</v>
      </c>
      <c r="J887" s="3" t="str">
        <f t="shared" si="63"/>
        <v>1320007</v>
      </c>
    </row>
    <row r="888" spans="1:10" s="3" customFormat="1">
      <c r="B888" s="3" t="s">
        <v>2100</v>
      </c>
      <c r="C888" s="8">
        <v>2</v>
      </c>
      <c r="D888" s="3" t="s">
        <v>2195</v>
      </c>
      <c r="E888" s="11" t="s">
        <v>20</v>
      </c>
      <c r="F888" s="11"/>
      <c r="G888" s="9"/>
      <c r="H888" s="11"/>
      <c r="I888" s="11"/>
      <c r="J888" s="3" t="str">
        <f t="shared" si="63"/>
        <v>1320008</v>
      </c>
    </row>
    <row r="889" spans="1:10" s="3" customFormat="1">
      <c r="B889" s="3" t="s">
        <v>2100</v>
      </c>
      <c r="C889" s="8">
        <v>2</v>
      </c>
      <c r="D889" s="3" t="s">
        <v>2195</v>
      </c>
      <c r="E889" s="11" t="s">
        <v>10</v>
      </c>
      <c r="F889" s="10">
        <v>3.7800000000000003E-4</v>
      </c>
      <c r="G889" s="12">
        <f>ROUND(G$3*F889,0)</f>
        <v>109</v>
      </c>
      <c r="H889" s="13">
        <f>ROUND(G889/2,0)</f>
        <v>55</v>
      </c>
      <c r="I889" s="12">
        <f>G889-H889</f>
        <v>54</v>
      </c>
      <c r="J889" s="3" t="str">
        <f t="shared" si="63"/>
        <v>1320008</v>
      </c>
    </row>
    <row r="890" spans="1:10" s="3" customFormat="1">
      <c r="A890" s="3" t="s">
        <v>6269</v>
      </c>
      <c r="B890" s="3" t="s">
        <v>2100</v>
      </c>
      <c r="C890" s="8">
        <v>2</v>
      </c>
      <c r="D890" s="3" t="s">
        <v>2195</v>
      </c>
      <c r="E890" s="11" t="s">
        <v>11</v>
      </c>
      <c r="F890" s="10">
        <v>0</v>
      </c>
      <c r="G890" s="12">
        <f>ROUND(G$3*F890,0)</f>
        <v>0</v>
      </c>
      <c r="H890" s="13">
        <f>ROUND(G890/2,0)</f>
        <v>0</v>
      </c>
      <c r="I890" s="12">
        <f>G890-H890</f>
        <v>0</v>
      </c>
      <c r="J890" s="3" t="str">
        <f t="shared" si="63"/>
        <v>1320008</v>
      </c>
    </row>
    <row r="891" spans="1:10" s="3" customFormat="1">
      <c r="B891" s="3" t="s">
        <v>2100</v>
      </c>
      <c r="C891" s="8">
        <v>2</v>
      </c>
      <c r="D891" s="3" t="s">
        <v>2196</v>
      </c>
      <c r="E891" s="11" t="s">
        <v>294</v>
      </c>
      <c r="F891" s="11"/>
      <c r="G891" s="9"/>
      <c r="H891" s="11"/>
      <c r="I891" s="11"/>
      <c r="J891" s="3" t="str">
        <f t="shared" si="63"/>
        <v>1320009</v>
      </c>
    </row>
    <row r="892" spans="1:10" s="3" customFormat="1">
      <c r="B892" s="3" t="s">
        <v>2100</v>
      </c>
      <c r="C892" s="8">
        <v>2</v>
      </c>
      <c r="D892" s="3" t="s">
        <v>2196</v>
      </c>
      <c r="E892" s="11" t="s">
        <v>10</v>
      </c>
      <c r="F892" s="10">
        <v>2.3960000000000001E-3</v>
      </c>
      <c r="G892" s="12">
        <f t="shared" ref="G892:G899" si="66">ROUND(G$3*F892,0)</f>
        <v>689</v>
      </c>
      <c r="H892" s="13">
        <f t="shared" ref="H892:H899" si="67">ROUND(G892/2,0)</f>
        <v>345</v>
      </c>
      <c r="I892" s="12">
        <f t="shared" ref="I892:I899" si="68">G892-H892</f>
        <v>344</v>
      </c>
      <c r="J892" s="3" t="str">
        <f t="shared" si="63"/>
        <v>1320009</v>
      </c>
    </row>
    <row r="893" spans="1:10" s="3" customFormat="1">
      <c r="A893" s="3" t="s">
        <v>6269</v>
      </c>
      <c r="B893" s="3" t="s">
        <v>2100</v>
      </c>
      <c r="C893" s="8">
        <v>2</v>
      </c>
      <c r="D893" s="3" t="s">
        <v>2196</v>
      </c>
      <c r="E893" s="11" t="s">
        <v>11</v>
      </c>
      <c r="F893" s="10">
        <v>0</v>
      </c>
      <c r="G893" s="12">
        <f t="shared" si="66"/>
        <v>0</v>
      </c>
      <c r="H893" s="13">
        <f t="shared" si="67"/>
        <v>0</v>
      </c>
      <c r="I893" s="12">
        <f t="shared" si="68"/>
        <v>0</v>
      </c>
      <c r="J893" s="3" t="str">
        <f t="shared" si="63"/>
        <v>1320009</v>
      </c>
    </row>
    <row r="894" spans="1:10" s="3" customFormat="1">
      <c r="A894" s="3" t="s">
        <v>6269</v>
      </c>
      <c r="B894" s="3" t="s">
        <v>2100</v>
      </c>
      <c r="C894" s="8">
        <v>3</v>
      </c>
      <c r="D894" s="3" t="s">
        <v>2324</v>
      </c>
      <c r="E894" s="11" t="s">
        <v>295</v>
      </c>
      <c r="F894" s="10">
        <v>0</v>
      </c>
      <c r="G894" s="12">
        <f t="shared" si="66"/>
        <v>0</v>
      </c>
      <c r="H894" s="13">
        <f t="shared" si="67"/>
        <v>0</v>
      </c>
      <c r="I894" s="12">
        <f t="shared" si="68"/>
        <v>0</v>
      </c>
      <c r="J894" s="3" t="str">
        <f t="shared" si="63"/>
        <v>1330564</v>
      </c>
    </row>
    <row r="895" spans="1:10" s="3" customFormat="1">
      <c r="B895" s="3" t="s">
        <v>2100</v>
      </c>
      <c r="C895" s="8">
        <v>3</v>
      </c>
      <c r="D895" s="3" t="s">
        <v>2325</v>
      </c>
      <c r="E895" s="11" t="s">
        <v>296</v>
      </c>
      <c r="F895" s="10">
        <v>8.4919999999999995E-3</v>
      </c>
      <c r="G895" s="12">
        <f t="shared" si="66"/>
        <v>2443</v>
      </c>
      <c r="H895" s="13">
        <f t="shared" si="67"/>
        <v>1222</v>
      </c>
      <c r="I895" s="12">
        <f t="shared" si="68"/>
        <v>1221</v>
      </c>
      <c r="J895" s="3" t="str">
        <f t="shared" si="63"/>
        <v>1330565</v>
      </c>
    </row>
    <row r="896" spans="1:10" s="3" customFormat="1">
      <c r="A896" s="3" t="s">
        <v>6269</v>
      </c>
      <c r="B896" s="3" t="s">
        <v>2100</v>
      </c>
      <c r="C896" s="8">
        <v>3</v>
      </c>
      <c r="D896" s="3" t="s">
        <v>2326</v>
      </c>
      <c r="E896" s="11" t="s">
        <v>297</v>
      </c>
      <c r="F896" s="10">
        <v>0</v>
      </c>
      <c r="G896" s="12">
        <f t="shared" si="66"/>
        <v>0</v>
      </c>
      <c r="H896" s="13">
        <f t="shared" si="67"/>
        <v>0</v>
      </c>
      <c r="I896" s="12">
        <f t="shared" si="68"/>
        <v>0</v>
      </c>
      <c r="J896" s="3" t="str">
        <f t="shared" si="63"/>
        <v>1330566</v>
      </c>
    </row>
    <row r="897" spans="2:10" s="3" customFormat="1">
      <c r="B897" s="3" t="s">
        <v>2100</v>
      </c>
      <c r="C897" s="8">
        <v>3</v>
      </c>
      <c r="D897" s="3" t="s">
        <v>2327</v>
      </c>
      <c r="E897" s="11" t="s">
        <v>298</v>
      </c>
      <c r="F897" s="10">
        <v>3.447E-3</v>
      </c>
      <c r="G897" s="12">
        <f t="shared" si="66"/>
        <v>992</v>
      </c>
      <c r="H897" s="13">
        <f t="shared" si="67"/>
        <v>496</v>
      </c>
      <c r="I897" s="12">
        <f t="shared" si="68"/>
        <v>496</v>
      </c>
      <c r="J897" s="3" t="str">
        <f t="shared" si="63"/>
        <v>1330567</v>
      </c>
    </row>
    <row r="898" spans="2:10" s="3" customFormat="1">
      <c r="B898" s="3" t="s">
        <v>2100</v>
      </c>
      <c r="C898" s="8">
        <v>3</v>
      </c>
      <c r="D898" s="3" t="s">
        <v>2328</v>
      </c>
      <c r="E898" s="11" t="s">
        <v>299</v>
      </c>
      <c r="F898" s="10">
        <v>1.219E-3</v>
      </c>
      <c r="G898" s="12">
        <f t="shared" si="66"/>
        <v>351</v>
      </c>
      <c r="H898" s="13">
        <f t="shared" si="67"/>
        <v>176</v>
      </c>
      <c r="I898" s="12">
        <f t="shared" si="68"/>
        <v>175</v>
      </c>
      <c r="J898" s="3" t="str">
        <f t="shared" si="63"/>
        <v>1330568</v>
      </c>
    </row>
    <row r="899" spans="2:10" s="3" customFormat="1">
      <c r="B899" s="3" t="s">
        <v>2100</v>
      </c>
      <c r="C899" s="8">
        <v>4</v>
      </c>
      <c r="D899" s="116" t="s">
        <v>2329</v>
      </c>
      <c r="E899" s="11" t="s">
        <v>300</v>
      </c>
      <c r="F899" s="10">
        <v>0.57977000000000001</v>
      </c>
      <c r="G899" s="9">
        <f t="shared" si="66"/>
        <v>166813</v>
      </c>
      <c r="H899" s="11">
        <f t="shared" si="67"/>
        <v>83407</v>
      </c>
      <c r="I899" s="9">
        <f t="shared" si="68"/>
        <v>83406</v>
      </c>
      <c r="J899" s="3" t="str">
        <f t="shared" si="63"/>
        <v>1341300</v>
      </c>
    </row>
    <row r="900" spans="2:10" s="3" customFormat="1">
      <c r="B900" s="3" t="s">
        <v>2100</v>
      </c>
      <c r="C900" s="8">
        <v>4</v>
      </c>
      <c r="D900" s="116" t="s">
        <v>2329</v>
      </c>
      <c r="E900" s="11" t="s">
        <v>28</v>
      </c>
      <c r="F900" s="11"/>
      <c r="G900" s="14">
        <v>0.334123</v>
      </c>
      <c r="H900" s="11"/>
      <c r="I900" s="11"/>
      <c r="J900" s="3" t="str">
        <f t="shared" ref="J900:J963" si="69">B900&amp;C900&amp;D900</f>
        <v>1341300</v>
      </c>
    </row>
    <row r="901" spans="2:10" s="3" customFormat="1">
      <c r="B901" s="3" t="s">
        <v>2100</v>
      </c>
      <c r="C901" s="8">
        <v>4</v>
      </c>
      <c r="D901" s="116" t="s">
        <v>2329</v>
      </c>
      <c r="E901" s="11" t="s">
        <v>29</v>
      </c>
      <c r="F901" s="11"/>
      <c r="G901" s="15">
        <f>ROUND(G899*G900,0)</f>
        <v>55736</v>
      </c>
      <c r="H901" s="16">
        <f t="shared" ref="H901:H907" si="70">ROUND(G901/2,0)</f>
        <v>27868</v>
      </c>
      <c r="I901" s="15">
        <f t="shared" ref="I901:I907" si="71">G901-H901</f>
        <v>27868</v>
      </c>
      <c r="J901" s="3" t="str">
        <f t="shared" si="69"/>
        <v>1341300</v>
      </c>
    </row>
    <row r="902" spans="2:10" s="3" customFormat="1">
      <c r="B902" s="3" t="s">
        <v>2100</v>
      </c>
      <c r="C902" s="8">
        <v>4</v>
      </c>
      <c r="D902" s="116" t="s">
        <v>2329</v>
      </c>
      <c r="E902" s="11" t="s">
        <v>30</v>
      </c>
      <c r="F902" s="11"/>
      <c r="G902" s="12">
        <f>+G899-G901</f>
        <v>111077</v>
      </c>
      <c r="H902" s="13">
        <f t="shared" si="70"/>
        <v>55539</v>
      </c>
      <c r="I902" s="12">
        <f t="shared" si="71"/>
        <v>55538</v>
      </c>
      <c r="J902" s="3" t="str">
        <f t="shared" si="69"/>
        <v>1341300</v>
      </c>
    </row>
    <row r="903" spans="2:10" s="3" customFormat="1">
      <c r="B903" s="3" t="s">
        <v>2100</v>
      </c>
      <c r="C903" s="8">
        <v>5</v>
      </c>
      <c r="D903" s="3" t="s">
        <v>3565</v>
      </c>
      <c r="E903" s="11" t="s">
        <v>301</v>
      </c>
      <c r="F903" s="10">
        <v>1.257E-2</v>
      </c>
      <c r="G903" s="120">
        <f>ROUND(G$3*F903,0)</f>
        <v>3617</v>
      </c>
      <c r="H903" s="120">
        <f t="shared" si="70"/>
        <v>1809</v>
      </c>
      <c r="I903" s="120">
        <f t="shared" si="71"/>
        <v>1808</v>
      </c>
      <c r="J903" s="3" t="str">
        <f t="shared" si="69"/>
        <v>1350030</v>
      </c>
    </row>
    <row r="904" spans="2:10" s="3" customFormat="1">
      <c r="B904" s="3" t="s">
        <v>2100</v>
      </c>
      <c r="C904" s="8">
        <v>6</v>
      </c>
      <c r="D904" s="116" t="s">
        <v>3572</v>
      </c>
      <c r="E904" s="11" t="s">
        <v>302</v>
      </c>
      <c r="F904" s="10">
        <v>1.917E-2</v>
      </c>
      <c r="G904" s="120">
        <f>ROUND(G$3*F904,0)</f>
        <v>5516</v>
      </c>
      <c r="H904" s="120">
        <f t="shared" si="70"/>
        <v>2758</v>
      </c>
      <c r="I904" s="120">
        <f t="shared" si="71"/>
        <v>2758</v>
      </c>
      <c r="J904" s="3" t="str">
        <f t="shared" si="69"/>
        <v>1361045</v>
      </c>
    </row>
    <row r="905" spans="2:10" s="3" customFormat="1">
      <c r="B905" s="3" t="s">
        <v>2100</v>
      </c>
      <c r="C905" s="8">
        <v>6</v>
      </c>
      <c r="D905" s="3" t="s">
        <v>2331</v>
      </c>
      <c r="E905" s="11" t="s">
        <v>303</v>
      </c>
      <c r="F905" s="10">
        <v>1.7319999999999999E-2</v>
      </c>
      <c r="G905" s="12">
        <f>ROUND(G$3*F905,0)</f>
        <v>4983</v>
      </c>
      <c r="H905" s="13">
        <f t="shared" si="70"/>
        <v>2492</v>
      </c>
      <c r="I905" s="12">
        <f t="shared" si="71"/>
        <v>2491</v>
      </c>
      <c r="J905" s="3" t="str">
        <f t="shared" si="69"/>
        <v>1360966</v>
      </c>
    </row>
    <row r="906" spans="2:10" s="3" customFormat="1">
      <c r="B906" s="3" t="s">
        <v>2100</v>
      </c>
      <c r="C906" s="8">
        <v>6</v>
      </c>
      <c r="D906" s="3" t="s">
        <v>2330</v>
      </c>
      <c r="E906" s="11" t="s">
        <v>304</v>
      </c>
      <c r="F906" s="10">
        <v>1.1393E-2</v>
      </c>
      <c r="G906" s="120">
        <f>ROUND(G$3*F906,0)</f>
        <v>3278</v>
      </c>
      <c r="H906" s="120">
        <f t="shared" si="70"/>
        <v>1639</v>
      </c>
      <c r="I906" s="120">
        <f t="shared" si="71"/>
        <v>1639</v>
      </c>
      <c r="J906" s="3" t="str">
        <f t="shared" si="69"/>
        <v>1360965</v>
      </c>
    </row>
    <row r="907" spans="2:10" s="3" customFormat="1">
      <c r="B907" s="3" t="s">
        <v>2100</v>
      </c>
      <c r="C907" s="8">
        <v>6</v>
      </c>
      <c r="D907" s="3" t="s">
        <v>3459</v>
      </c>
      <c r="E907" s="11" t="s">
        <v>305</v>
      </c>
      <c r="F907" s="10">
        <v>1.2697999999999987E-2</v>
      </c>
      <c r="G907" s="120">
        <f>+G861-SUM(G862:G863)-SUM(G868:G899)-SUM(G903:G906)</f>
        <v>-262383</v>
      </c>
      <c r="H907" s="120">
        <f t="shared" si="70"/>
        <v>-131192</v>
      </c>
      <c r="I907" s="120">
        <f t="shared" si="71"/>
        <v>-131191</v>
      </c>
      <c r="J907" s="3" t="str">
        <f t="shared" si="69"/>
        <v>1360967</v>
      </c>
    </row>
    <row r="908" spans="2:10" s="3" customFormat="1">
      <c r="B908" s="3" t="s">
        <v>2100</v>
      </c>
      <c r="C908" s="8">
        <v>0</v>
      </c>
      <c r="D908" s="125" t="s">
        <v>2187</v>
      </c>
      <c r="E908" s="28" t="s">
        <v>288</v>
      </c>
      <c r="F908" s="10">
        <v>1</v>
      </c>
      <c r="G908" s="12">
        <f>+G862+SUM(G865:G898)+SUM(G901:G907)</f>
        <v>21687</v>
      </c>
      <c r="H908" s="12">
        <f>+H862+SUM(H865:H898)+SUM(H901:H907)</f>
        <v>10848</v>
      </c>
      <c r="I908" s="12">
        <f>+I862+SUM(I865:I898)+SUM(I901:I907)</f>
        <v>10839</v>
      </c>
      <c r="J908" s="3" t="str">
        <f t="shared" si="69"/>
        <v>1300000</v>
      </c>
    </row>
    <row r="909" spans="2:10" s="3" customFormat="1">
      <c r="B909" s="3" t="s">
        <v>2100</v>
      </c>
      <c r="C909" s="8">
        <v>0</v>
      </c>
      <c r="D909" s="3" t="s">
        <v>2187</v>
      </c>
      <c r="E909" s="18" t="s">
        <v>38</v>
      </c>
      <c r="G909" s="19">
        <f>+G862</f>
        <v>290</v>
      </c>
      <c r="H909" s="19">
        <f>+H862</f>
        <v>145</v>
      </c>
      <c r="I909" s="19">
        <f>+I862</f>
        <v>145</v>
      </c>
      <c r="J909" s="3" t="str">
        <f t="shared" si="69"/>
        <v>1300000</v>
      </c>
    </row>
    <row r="910" spans="2:10" s="3" customFormat="1">
      <c r="B910" s="3" t="s">
        <v>2100</v>
      </c>
      <c r="C910" s="8">
        <v>0</v>
      </c>
      <c r="D910" s="3" t="s">
        <v>2187</v>
      </c>
      <c r="E910" s="2" t="s">
        <v>39</v>
      </c>
      <c r="G910" s="19">
        <f>+G865</f>
        <v>31488</v>
      </c>
      <c r="H910" s="19">
        <f>+H865</f>
        <v>15744</v>
      </c>
      <c r="I910" s="19">
        <f>+I865</f>
        <v>15744</v>
      </c>
      <c r="J910" s="3" t="str">
        <f t="shared" si="69"/>
        <v>1300000</v>
      </c>
    </row>
    <row r="911" spans="2:10" s="3" customFormat="1">
      <c r="B911" s="3" t="s">
        <v>2100</v>
      </c>
      <c r="C911" s="8">
        <v>0</v>
      </c>
      <c r="D911" s="3" t="s">
        <v>2187</v>
      </c>
      <c r="E911" s="2" t="s">
        <v>40</v>
      </c>
      <c r="G911" s="19">
        <f>+G901</f>
        <v>55736</v>
      </c>
      <c r="H911" s="19">
        <f>+H901</f>
        <v>27868</v>
      </c>
      <c r="I911" s="19">
        <f>+I901</f>
        <v>27868</v>
      </c>
      <c r="J911" s="3" t="str">
        <f t="shared" si="69"/>
        <v>1300000</v>
      </c>
    </row>
    <row r="912" spans="2:10" s="3" customFormat="1">
      <c r="B912" s="3" t="s">
        <v>2100</v>
      </c>
      <c r="C912" s="8">
        <v>0</v>
      </c>
      <c r="D912" s="125" t="s">
        <v>2187</v>
      </c>
      <c r="E912" s="18" t="s">
        <v>41</v>
      </c>
      <c r="G912" s="19">
        <f>+G908-G909-G910-G911</f>
        <v>-65827</v>
      </c>
      <c r="H912" s="19">
        <f>+H908-H909-H910-H911</f>
        <v>-32909</v>
      </c>
      <c r="I912" s="19">
        <f>+I908-I909-I910-I911</f>
        <v>-32918</v>
      </c>
      <c r="J912" s="3" t="str">
        <f t="shared" si="69"/>
        <v>1300000</v>
      </c>
    </row>
    <row r="913" spans="2:10" ht="15.75">
      <c r="B913" s="3" t="s">
        <v>2186</v>
      </c>
      <c r="D913" t="s">
        <v>2186</v>
      </c>
      <c r="E913">
        <v>0</v>
      </c>
      <c r="G913"/>
      <c r="H913"/>
      <c r="I913"/>
      <c r="J913" s="3" t="str">
        <f t="shared" si="69"/>
        <v/>
      </c>
    </row>
    <row r="914" spans="2:10" s="3" customFormat="1">
      <c r="C914" s="1"/>
      <c r="D914" s="3" t="s">
        <v>2186</v>
      </c>
      <c r="E914" s="2" t="s">
        <v>306</v>
      </c>
      <c r="J914" s="3" t="str">
        <f t="shared" si="69"/>
        <v/>
      </c>
    </row>
    <row r="915" spans="2:10" s="3" customFormat="1" ht="45">
      <c r="B915" s="3" t="s">
        <v>2186</v>
      </c>
      <c r="C915" s="1"/>
      <c r="D915" s="3" t="s">
        <v>2186</v>
      </c>
      <c r="E915" s="1">
        <v>0</v>
      </c>
      <c r="F915" s="6" t="s">
        <v>1</v>
      </c>
      <c r="G915" s="60">
        <f>'Allocation Worksheet'!H915</f>
        <v>0</v>
      </c>
      <c r="H915" s="60">
        <f>'Allocation Worksheet'!H916</f>
        <v>0</v>
      </c>
      <c r="I915" s="60">
        <f>'Allocation Worksheet'!H917</f>
        <v>0</v>
      </c>
      <c r="J915" s="3" t="str">
        <f t="shared" si="69"/>
        <v/>
      </c>
    </row>
    <row r="916" spans="2:10" s="3" customFormat="1" ht="15.75">
      <c r="C916" s="7" t="s">
        <v>2087</v>
      </c>
      <c r="D916" s="3" t="s">
        <v>2186</v>
      </c>
      <c r="E916" s="7" t="s">
        <v>3</v>
      </c>
      <c r="F916" s="10"/>
      <c r="G916" s="33">
        <f>'Allocation Worksheet'!$D$17</f>
        <v>476173</v>
      </c>
      <c r="H916" s="11"/>
      <c r="I916" s="11"/>
      <c r="J916" s="3" t="str">
        <f t="shared" si="69"/>
        <v>UT</v>
      </c>
    </row>
    <row r="917" spans="2:10" s="3" customFormat="1">
      <c r="B917" s="3" t="s">
        <v>2101</v>
      </c>
      <c r="C917" s="8">
        <v>0</v>
      </c>
      <c r="D917" s="3" t="s">
        <v>2187</v>
      </c>
      <c r="E917" s="11" t="s">
        <v>4</v>
      </c>
      <c r="F917" s="10">
        <v>1.2359999999999999E-3</v>
      </c>
      <c r="G917" s="13">
        <f>ROUND(G$3*F917,0)</f>
        <v>356</v>
      </c>
      <c r="H917" s="13">
        <f>ROUND(G917/2,0)</f>
        <v>178</v>
      </c>
      <c r="I917" s="13">
        <f>G917-H917</f>
        <v>178</v>
      </c>
      <c r="J917" s="3" t="str">
        <f t="shared" si="69"/>
        <v>1400000</v>
      </c>
    </row>
    <row r="918" spans="2:10" s="3" customFormat="1">
      <c r="B918" s="3" t="s">
        <v>2101</v>
      </c>
      <c r="C918" s="8">
        <v>1</v>
      </c>
      <c r="D918" s="3" t="s">
        <v>2187</v>
      </c>
      <c r="E918" s="11" t="s">
        <v>307</v>
      </c>
      <c r="F918" s="10">
        <v>0.245833</v>
      </c>
      <c r="G918" s="11">
        <f>ROUND(G$3*F918,0)</f>
        <v>70732</v>
      </c>
      <c r="H918" s="11">
        <f>ROUND(G918/2,0)</f>
        <v>35366</v>
      </c>
      <c r="I918" s="11">
        <f>G918-H918</f>
        <v>35366</v>
      </c>
      <c r="J918" s="3" t="str">
        <f t="shared" si="69"/>
        <v>1410000</v>
      </c>
    </row>
    <row r="919" spans="2:10" s="3" customFormat="1">
      <c r="B919" s="3" t="s">
        <v>2101</v>
      </c>
      <c r="C919" s="8">
        <v>1</v>
      </c>
      <c r="D919" s="3" t="s">
        <v>2187</v>
      </c>
      <c r="E919" s="11" t="s">
        <v>6</v>
      </c>
      <c r="F919" s="11"/>
      <c r="G919" s="14">
        <v>0.11137900000000001</v>
      </c>
      <c r="H919" s="11"/>
      <c r="I919" s="11"/>
      <c r="J919" s="3" t="str">
        <f t="shared" si="69"/>
        <v>1410000</v>
      </c>
    </row>
    <row r="920" spans="2:10" s="3" customFormat="1">
      <c r="B920" s="3" t="s">
        <v>2101</v>
      </c>
      <c r="C920" s="8">
        <v>1</v>
      </c>
      <c r="D920" s="3" t="s">
        <v>2187</v>
      </c>
      <c r="E920" s="11" t="s">
        <v>7</v>
      </c>
      <c r="F920" s="11"/>
      <c r="G920" s="15">
        <f>ROUND(G918*G919,0)</f>
        <v>7878</v>
      </c>
      <c r="H920" s="16">
        <f>ROUND(G920/2,0)</f>
        <v>3939</v>
      </c>
      <c r="I920" s="16">
        <f>G920-H920</f>
        <v>3939</v>
      </c>
      <c r="J920" s="3" t="str">
        <f t="shared" si="69"/>
        <v>1410000</v>
      </c>
    </row>
    <row r="921" spans="2:10" s="3" customFormat="1">
      <c r="B921" s="3" t="s">
        <v>2101</v>
      </c>
      <c r="C921" s="8">
        <v>1</v>
      </c>
      <c r="D921" s="3" t="s">
        <v>2187</v>
      </c>
      <c r="E921" s="11" t="s">
        <v>8</v>
      </c>
      <c r="F921" s="11"/>
      <c r="G921" s="13">
        <f>+G918-G920</f>
        <v>62854</v>
      </c>
      <c r="H921" s="13">
        <f>ROUND(G921/2,0)</f>
        <v>31427</v>
      </c>
      <c r="I921" s="13">
        <f>G921-H921</f>
        <v>31427</v>
      </c>
      <c r="J921" s="3" t="str">
        <f t="shared" si="69"/>
        <v>1410000</v>
      </c>
    </row>
    <row r="922" spans="2:10" s="3" customFormat="1">
      <c r="B922" s="3" t="s">
        <v>2101</v>
      </c>
      <c r="C922" s="8">
        <v>2</v>
      </c>
      <c r="D922" s="3" t="s">
        <v>2188</v>
      </c>
      <c r="E922" s="11" t="s">
        <v>308</v>
      </c>
      <c r="F922" s="11"/>
      <c r="G922" s="11"/>
      <c r="H922" s="11"/>
      <c r="I922" s="11"/>
      <c r="J922" s="3" t="str">
        <f t="shared" si="69"/>
        <v>1420001</v>
      </c>
    </row>
    <row r="923" spans="2:10" s="3" customFormat="1">
      <c r="B923" s="3" t="s">
        <v>2101</v>
      </c>
      <c r="C923" s="8">
        <v>2</v>
      </c>
      <c r="D923" s="3" t="s">
        <v>2188</v>
      </c>
      <c r="E923" s="11" t="s">
        <v>10</v>
      </c>
      <c r="F923" s="10">
        <v>1.0430000000000001E-3</v>
      </c>
      <c r="G923" s="13">
        <f>ROUND(G$3*F923,0)</f>
        <v>300</v>
      </c>
      <c r="H923" s="13">
        <f>ROUND(G923/2,0)</f>
        <v>150</v>
      </c>
      <c r="I923" s="13">
        <f>G923-H923</f>
        <v>150</v>
      </c>
      <c r="J923" s="3" t="str">
        <f t="shared" si="69"/>
        <v>1420001</v>
      </c>
    </row>
    <row r="924" spans="2:10" s="3" customFormat="1">
      <c r="B924" s="3" t="s">
        <v>2101</v>
      </c>
      <c r="C924" s="8">
        <v>2</v>
      </c>
      <c r="D924" s="3" t="s">
        <v>2188</v>
      </c>
      <c r="E924" s="11" t="s">
        <v>11</v>
      </c>
      <c r="F924" s="10">
        <v>9.19E-4</v>
      </c>
      <c r="G924" s="13">
        <f>ROUND(G$3*F924,0)</f>
        <v>264</v>
      </c>
      <c r="H924" s="13">
        <f>ROUND(G924/2,0)</f>
        <v>132</v>
      </c>
      <c r="I924" s="13">
        <f>G924-H924</f>
        <v>132</v>
      </c>
      <c r="J924" s="3" t="str">
        <f t="shared" si="69"/>
        <v>1420001</v>
      </c>
    </row>
    <row r="925" spans="2:10" s="3" customFormat="1">
      <c r="B925" s="3" t="s">
        <v>2101</v>
      </c>
      <c r="C925" s="8">
        <v>2</v>
      </c>
      <c r="D925" s="3" t="s">
        <v>2189</v>
      </c>
      <c r="E925" s="11" t="s">
        <v>309</v>
      </c>
      <c r="F925" s="11"/>
      <c r="G925" s="11"/>
      <c r="H925" s="11"/>
      <c r="I925" s="11"/>
      <c r="J925" s="3" t="str">
        <f t="shared" si="69"/>
        <v>1420002</v>
      </c>
    </row>
    <row r="926" spans="2:10" s="3" customFormat="1">
      <c r="B926" s="3" t="s">
        <v>2101</v>
      </c>
      <c r="C926" s="8">
        <v>2</v>
      </c>
      <c r="D926" s="3" t="s">
        <v>2189</v>
      </c>
      <c r="E926" s="11" t="s">
        <v>10</v>
      </c>
      <c r="F926" s="10">
        <v>3.3500000000000001E-4</v>
      </c>
      <c r="G926" s="13">
        <f>ROUND(G$3*F926,0)</f>
        <v>96</v>
      </c>
      <c r="H926" s="13">
        <f>ROUND(G926/2,0)</f>
        <v>48</v>
      </c>
      <c r="I926" s="13">
        <f>G926-H926</f>
        <v>48</v>
      </c>
      <c r="J926" s="3" t="str">
        <f t="shared" si="69"/>
        <v>1420002</v>
      </c>
    </row>
    <row r="927" spans="2:10" s="3" customFormat="1">
      <c r="B927" s="3" t="s">
        <v>2101</v>
      </c>
      <c r="C927" s="8">
        <v>2</v>
      </c>
      <c r="D927" s="3" t="s">
        <v>2189</v>
      </c>
      <c r="E927" s="11" t="s">
        <v>11</v>
      </c>
      <c r="F927" s="10">
        <v>5.3999999999999998E-5</v>
      </c>
      <c r="G927" s="13">
        <f>ROUND(G$3*F927,0)</f>
        <v>16</v>
      </c>
      <c r="H927" s="13">
        <f>ROUND(G927/2,0)</f>
        <v>8</v>
      </c>
      <c r="I927" s="13">
        <f>G927-H927</f>
        <v>8</v>
      </c>
      <c r="J927" s="3" t="str">
        <f t="shared" si="69"/>
        <v>1420002</v>
      </c>
    </row>
    <row r="928" spans="2:10" s="3" customFormat="1">
      <c r="B928" s="3" t="s">
        <v>2101</v>
      </c>
      <c r="C928" s="8">
        <v>2</v>
      </c>
      <c r="D928" s="3" t="s">
        <v>2190</v>
      </c>
      <c r="E928" s="11" t="s">
        <v>310</v>
      </c>
      <c r="F928" s="11"/>
      <c r="G928" s="11"/>
      <c r="H928" s="11"/>
      <c r="I928" s="11"/>
      <c r="J928" s="3" t="str">
        <f t="shared" si="69"/>
        <v>1420003</v>
      </c>
    </row>
    <row r="929" spans="1:10" s="3" customFormat="1">
      <c r="B929" s="3" t="s">
        <v>2101</v>
      </c>
      <c r="C929" s="8">
        <v>2</v>
      </c>
      <c r="D929" s="3" t="s">
        <v>2190</v>
      </c>
      <c r="E929" s="11" t="s">
        <v>10</v>
      </c>
      <c r="F929" s="10">
        <v>5.2400000000000005E-4</v>
      </c>
      <c r="G929" s="13">
        <f>ROUND(G$3*F929,0)</f>
        <v>151</v>
      </c>
      <c r="H929" s="13">
        <f>ROUND(G929/2,0)</f>
        <v>76</v>
      </c>
      <c r="I929" s="13">
        <f>G929-H929</f>
        <v>75</v>
      </c>
      <c r="J929" s="3" t="str">
        <f t="shared" si="69"/>
        <v>1420003</v>
      </c>
    </row>
    <row r="930" spans="1:10" s="3" customFormat="1">
      <c r="B930" s="3" t="s">
        <v>2101</v>
      </c>
      <c r="C930" s="8">
        <v>2</v>
      </c>
      <c r="D930" s="3" t="s">
        <v>2190</v>
      </c>
      <c r="E930" s="11" t="s">
        <v>11</v>
      </c>
      <c r="F930" s="10">
        <v>3.39E-4</v>
      </c>
      <c r="G930" s="13">
        <f>ROUND(G$3*F930,0)</f>
        <v>98</v>
      </c>
      <c r="H930" s="13">
        <f>ROUND(G930/2,0)</f>
        <v>49</v>
      </c>
      <c r="I930" s="13">
        <f>G930-H930</f>
        <v>49</v>
      </c>
      <c r="J930" s="3" t="str">
        <f t="shared" si="69"/>
        <v>1420003</v>
      </c>
    </row>
    <row r="931" spans="1:10" s="3" customFormat="1">
      <c r="B931" s="3" t="s">
        <v>2101</v>
      </c>
      <c r="C931" s="8">
        <v>2</v>
      </c>
      <c r="D931" s="3" t="s">
        <v>2191</v>
      </c>
      <c r="E931" s="11" t="s">
        <v>86</v>
      </c>
      <c r="F931" s="11"/>
      <c r="G931" s="11"/>
      <c r="H931" s="11"/>
      <c r="I931" s="11"/>
      <c r="J931" s="3" t="str">
        <f t="shared" si="69"/>
        <v>1420004</v>
      </c>
    </row>
    <row r="932" spans="1:10" s="3" customFormat="1">
      <c r="B932" s="3" t="s">
        <v>2101</v>
      </c>
      <c r="C932" s="8">
        <v>2</v>
      </c>
      <c r="D932" s="3" t="s">
        <v>2191</v>
      </c>
      <c r="E932" s="11" t="s">
        <v>10</v>
      </c>
      <c r="F932" s="10">
        <v>1.36E-4</v>
      </c>
      <c r="G932" s="13">
        <f>ROUND(G$3*F932,0)</f>
        <v>39</v>
      </c>
      <c r="H932" s="13">
        <f>ROUND(G932/2,0)</f>
        <v>20</v>
      </c>
      <c r="I932" s="13">
        <f>G932-H932</f>
        <v>19</v>
      </c>
      <c r="J932" s="3" t="str">
        <f t="shared" si="69"/>
        <v>1420004</v>
      </c>
    </row>
    <row r="933" spans="1:10" s="3" customFormat="1">
      <c r="A933" s="3" t="s">
        <v>6269</v>
      </c>
      <c r="B933" s="3" t="s">
        <v>2101</v>
      </c>
      <c r="C933" s="8">
        <v>2</v>
      </c>
      <c r="D933" s="3" t="s">
        <v>2191</v>
      </c>
      <c r="E933" s="11" t="s">
        <v>11</v>
      </c>
      <c r="F933" s="10">
        <v>0</v>
      </c>
      <c r="G933" s="13">
        <f>ROUND(G$3*F933,0)</f>
        <v>0</v>
      </c>
      <c r="H933" s="13">
        <f>ROUND(G933/2,0)</f>
        <v>0</v>
      </c>
      <c r="I933" s="13">
        <f>G933-H933</f>
        <v>0</v>
      </c>
      <c r="J933" s="3" t="str">
        <f t="shared" si="69"/>
        <v>1420004</v>
      </c>
    </row>
    <row r="934" spans="1:10" s="3" customFormat="1">
      <c r="B934" s="3" t="s">
        <v>2101</v>
      </c>
      <c r="C934" s="8">
        <v>2</v>
      </c>
      <c r="D934" s="3" t="s">
        <v>2192</v>
      </c>
      <c r="E934" s="11" t="s">
        <v>52</v>
      </c>
      <c r="F934" s="11"/>
      <c r="G934" s="11"/>
      <c r="H934" s="11"/>
      <c r="I934" s="11"/>
      <c r="J934" s="3" t="str">
        <f t="shared" si="69"/>
        <v>1420005</v>
      </c>
    </row>
    <row r="935" spans="1:10" s="3" customFormat="1">
      <c r="B935" s="3" t="s">
        <v>2101</v>
      </c>
      <c r="C935" s="8">
        <v>2</v>
      </c>
      <c r="D935" s="3" t="s">
        <v>2192</v>
      </c>
      <c r="E935" s="11" t="s">
        <v>10</v>
      </c>
      <c r="F935" s="10">
        <v>2.8499999999999999E-4</v>
      </c>
      <c r="G935" s="13">
        <f>ROUND(G$3*F935,0)</f>
        <v>82</v>
      </c>
      <c r="H935" s="13">
        <f>ROUND(G935/2,0)</f>
        <v>41</v>
      </c>
      <c r="I935" s="13">
        <f>G935-H935</f>
        <v>41</v>
      </c>
      <c r="J935" s="3" t="str">
        <f t="shared" si="69"/>
        <v>1420005</v>
      </c>
    </row>
    <row r="936" spans="1:10" s="3" customFormat="1">
      <c r="B936" s="3" t="s">
        <v>2101</v>
      </c>
      <c r="C936" s="8">
        <v>2</v>
      </c>
      <c r="D936" s="3" t="s">
        <v>2192</v>
      </c>
      <c r="E936" s="11" t="s">
        <v>11</v>
      </c>
      <c r="F936" s="10">
        <v>2.3900000000000001E-4</v>
      </c>
      <c r="G936" s="13">
        <f>ROUND(G$3*F936,0)</f>
        <v>69</v>
      </c>
      <c r="H936" s="13">
        <f>ROUND(G936/2,0)</f>
        <v>35</v>
      </c>
      <c r="I936" s="13">
        <f>G936-H936</f>
        <v>34</v>
      </c>
      <c r="J936" s="3" t="str">
        <f t="shared" si="69"/>
        <v>1420005</v>
      </c>
    </row>
    <row r="937" spans="1:10" s="3" customFormat="1">
      <c r="B937" s="3" t="s">
        <v>2101</v>
      </c>
      <c r="C937" s="8">
        <v>2</v>
      </c>
      <c r="D937" s="3" t="s">
        <v>2193</v>
      </c>
      <c r="E937" s="11" t="s">
        <v>311</v>
      </c>
      <c r="F937" s="11"/>
      <c r="G937" s="11"/>
      <c r="H937" s="11"/>
      <c r="I937" s="11"/>
      <c r="J937" s="3" t="str">
        <f t="shared" si="69"/>
        <v>1420006</v>
      </c>
    </row>
    <row r="938" spans="1:10" s="3" customFormat="1">
      <c r="B938" s="3" t="s">
        <v>2101</v>
      </c>
      <c r="C938" s="8">
        <v>2</v>
      </c>
      <c r="D938" s="3" t="s">
        <v>2193</v>
      </c>
      <c r="E938" s="11" t="s">
        <v>10</v>
      </c>
      <c r="F938" s="10">
        <v>3.8699999999999997E-4</v>
      </c>
      <c r="G938" s="13">
        <f>ROUND(G$3*F938,0)</f>
        <v>111</v>
      </c>
      <c r="H938" s="13">
        <f>ROUND(G938/2,0)</f>
        <v>56</v>
      </c>
      <c r="I938" s="13">
        <f>G938-H938</f>
        <v>55</v>
      </c>
      <c r="J938" s="3" t="str">
        <f t="shared" si="69"/>
        <v>1420006</v>
      </c>
    </row>
    <row r="939" spans="1:10" s="3" customFormat="1">
      <c r="A939" s="3" t="s">
        <v>6269</v>
      </c>
      <c r="B939" s="3" t="s">
        <v>2101</v>
      </c>
      <c r="C939" s="8">
        <v>2</v>
      </c>
      <c r="D939" s="3" t="s">
        <v>2193</v>
      </c>
      <c r="E939" s="11" t="s">
        <v>11</v>
      </c>
      <c r="F939" s="10">
        <v>0</v>
      </c>
      <c r="G939" s="13">
        <f>ROUND(G$3*F939,0)</f>
        <v>0</v>
      </c>
      <c r="H939" s="13">
        <f>ROUND(G939/2,0)</f>
        <v>0</v>
      </c>
      <c r="I939" s="13">
        <f>G939-H939</f>
        <v>0</v>
      </c>
      <c r="J939" s="3" t="str">
        <f t="shared" si="69"/>
        <v>1420006</v>
      </c>
    </row>
    <row r="940" spans="1:10" s="3" customFormat="1">
      <c r="B940" s="3" t="s">
        <v>2101</v>
      </c>
      <c r="C940" s="8">
        <v>2</v>
      </c>
      <c r="D940" s="3" t="s">
        <v>2194</v>
      </c>
      <c r="E940" s="11" t="s">
        <v>312</v>
      </c>
      <c r="F940" s="11"/>
      <c r="G940" s="11"/>
      <c r="H940" s="11"/>
      <c r="I940" s="11"/>
      <c r="J940" s="3" t="str">
        <f t="shared" si="69"/>
        <v>1420007</v>
      </c>
    </row>
    <row r="941" spans="1:10" s="3" customFormat="1">
      <c r="B941" s="3" t="s">
        <v>2101</v>
      </c>
      <c r="C941" s="8">
        <v>2</v>
      </c>
      <c r="D941" s="3" t="s">
        <v>2194</v>
      </c>
      <c r="E941" s="11" t="s">
        <v>10</v>
      </c>
      <c r="F941" s="10">
        <v>1.3990000000000001E-3</v>
      </c>
      <c r="G941" s="13">
        <f>ROUND(G$3*F941,0)</f>
        <v>403</v>
      </c>
      <c r="H941" s="13">
        <f>ROUND(G941/2,0)</f>
        <v>202</v>
      </c>
      <c r="I941" s="13">
        <f>G941-H941</f>
        <v>201</v>
      </c>
      <c r="J941" s="3" t="str">
        <f t="shared" si="69"/>
        <v>1420007</v>
      </c>
    </row>
    <row r="942" spans="1:10" s="3" customFormat="1">
      <c r="B942" s="3" t="s">
        <v>2101</v>
      </c>
      <c r="C942" s="8">
        <v>2</v>
      </c>
      <c r="D942" s="3" t="s">
        <v>2194</v>
      </c>
      <c r="E942" s="11" t="s">
        <v>11</v>
      </c>
      <c r="F942" s="10">
        <v>1.9100000000000001E-4</v>
      </c>
      <c r="G942" s="13">
        <f>ROUND(G$3*F942,0)</f>
        <v>55</v>
      </c>
      <c r="H942" s="13">
        <f>ROUND(G942/2,0)</f>
        <v>28</v>
      </c>
      <c r="I942" s="13">
        <f>G942-H942</f>
        <v>27</v>
      </c>
      <c r="J942" s="3" t="str">
        <f t="shared" si="69"/>
        <v>1420007</v>
      </c>
    </row>
    <row r="943" spans="1:10" s="3" customFormat="1">
      <c r="B943" s="3" t="s">
        <v>2101</v>
      </c>
      <c r="C943" s="8">
        <v>2</v>
      </c>
      <c r="D943" s="3" t="s">
        <v>2195</v>
      </c>
      <c r="E943" s="11" t="s">
        <v>169</v>
      </c>
      <c r="F943" s="11"/>
      <c r="G943" s="11"/>
      <c r="H943" s="11"/>
      <c r="I943" s="11"/>
      <c r="J943" s="3" t="str">
        <f t="shared" si="69"/>
        <v>1420008</v>
      </c>
    </row>
    <row r="944" spans="1:10" s="3" customFormat="1">
      <c r="B944" s="3" t="s">
        <v>2101</v>
      </c>
      <c r="C944" s="8">
        <v>2</v>
      </c>
      <c r="D944" s="3" t="s">
        <v>2195</v>
      </c>
      <c r="E944" s="11" t="s">
        <v>10</v>
      </c>
      <c r="F944" s="10">
        <v>7.18E-4</v>
      </c>
      <c r="G944" s="13">
        <f>ROUND(G$3*F944,0)</f>
        <v>207</v>
      </c>
      <c r="H944" s="13">
        <f>ROUND(G944/2,0)</f>
        <v>104</v>
      </c>
      <c r="I944" s="13">
        <f>G944-H944</f>
        <v>103</v>
      </c>
      <c r="J944" s="3" t="str">
        <f t="shared" si="69"/>
        <v>1420008</v>
      </c>
    </row>
    <row r="945" spans="1:10" s="3" customFormat="1">
      <c r="B945" s="3" t="s">
        <v>2101</v>
      </c>
      <c r="C945" s="8">
        <v>2</v>
      </c>
      <c r="D945" s="3" t="s">
        <v>2195</v>
      </c>
      <c r="E945" s="11" t="s">
        <v>11</v>
      </c>
      <c r="F945" s="10">
        <v>1.8200000000000001E-4</v>
      </c>
      <c r="G945" s="13">
        <f>ROUND(G$3*F945,0)</f>
        <v>52</v>
      </c>
      <c r="H945" s="13">
        <f>ROUND(G945/2,0)</f>
        <v>26</v>
      </c>
      <c r="I945" s="13">
        <f>G945-H945</f>
        <v>26</v>
      </c>
      <c r="J945" s="3" t="str">
        <f t="shared" si="69"/>
        <v>1420008</v>
      </c>
    </row>
    <row r="946" spans="1:10" s="3" customFormat="1">
      <c r="B946" s="3" t="s">
        <v>2101</v>
      </c>
      <c r="C946" s="8">
        <v>2</v>
      </c>
      <c r="D946" s="3" t="s">
        <v>2196</v>
      </c>
      <c r="E946" s="11" t="s">
        <v>313</v>
      </c>
      <c r="F946" s="11"/>
      <c r="G946" s="11"/>
      <c r="H946" s="11"/>
      <c r="I946" s="11"/>
      <c r="J946" s="3" t="str">
        <f t="shared" si="69"/>
        <v>1420009</v>
      </c>
    </row>
    <row r="947" spans="1:10" s="3" customFormat="1">
      <c r="B947" s="3" t="s">
        <v>2101</v>
      </c>
      <c r="C947" s="8">
        <v>2</v>
      </c>
      <c r="D947" s="3" t="s">
        <v>2196</v>
      </c>
      <c r="E947" s="11" t="s">
        <v>10</v>
      </c>
      <c r="F947" s="10">
        <v>2.14E-4</v>
      </c>
      <c r="G947" s="13">
        <f>ROUND(G$3*F947,0)</f>
        <v>62</v>
      </c>
      <c r="H947" s="13">
        <f>ROUND(G947/2,0)</f>
        <v>31</v>
      </c>
      <c r="I947" s="13">
        <f>G947-H947</f>
        <v>31</v>
      </c>
      <c r="J947" s="3" t="str">
        <f t="shared" si="69"/>
        <v>1420009</v>
      </c>
    </row>
    <row r="948" spans="1:10" s="3" customFormat="1">
      <c r="A948" s="3" t="s">
        <v>6269</v>
      </c>
      <c r="B948" s="3" t="s">
        <v>2101</v>
      </c>
      <c r="C948" s="8">
        <v>2</v>
      </c>
      <c r="D948" s="3" t="s">
        <v>2196</v>
      </c>
      <c r="E948" s="11" t="s">
        <v>11</v>
      </c>
      <c r="F948" s="10">
        <v>0</v>
      </c>
      <c r="G948" s="13">
        <f>ROUND(G$3*F948,0)</f>
        <v>0</v>
      </c>
      <c r="H948" s="13">
        <f>ROUND(G948/2,0)</f>
        <v>0</v>
      </c>
      <c r="I948" s="13">
        <f>G948-H948</f>
        <v>0</v>
      </c>
      <c r="J948" s="3" t="str">
        <f t="shared" si="69"/>
        <v>1420009</v>
      </c>
    </row>
    <row r="949" spans="1:10" s="3" customFormat="1">
      <c r="B949" s="3" t="s">
        <v>2101</v>
      </c>
      <c r="C949" s="8">
        <v>2</v>
      </c>
      <c r="D949" s="3" t="s">
        <v>2197</v>
      </c>
      <c r="E949" s="11" t="s">
        <v>22</v>
      </c>
      <c r="F949" s="11"/>
      <c r="G949" s="11"/>
      <c r="H949" s="11"/>
      <c r="I949" s="11"/>
      <c r="J949" s="3" t="str">
        <f t="shared" si="69"/>
        <v>1420010</v>
      </c>
    </row>
    <row r="950" spans="1:10" s="3" customFormat="1">
      <c r="B950" s="3" t="s">
        <v>2101</v>
      </c>
      <c r="C950" s="8">
        <v>2</v>
      </c>
      <c r="D950" s="3" t="s">
        <v>2197</v>
      </c>
      <c r="E950" s="11" t="s">
        <v>10</v>
      </c>
      <c r="F950" s="10">
        <v>1.4161E-2</v>
      </c>
      <c r="G950" s="13">
        <f t="shared" ref="G950:G959" si="72">ROUND(G$3*F950,0)</f>
        <v>4074</v>
      </c>
      <c r="H950" s="13">
        <f t="shared" ref="H950:H959" si="73">ROUND(G950/2,0)</f>
        <v>2037</v>
      </c>
      <c r="I950" s="13">
        <f t="shared" ref="I950:I959" si="74">G950-H950</f>
        <v>2037</v>
      </c>
      <c r="J950" s="3" t="str">
        <f t="shared" si="69"/>
        <v>1420010</v>
      </c>
    </row>
    <row r="951" spans="1:10" s="3" customFormat="1">
      <c r="B951" s="3" t="s">
        <v>2101</v>
      </c>
      <c r="C951" s="8">
        <v>2</v>
      </c>
      <c r="D951" s="3" t="s">
        <v>2197</v>
      </c>
      <c r="E951" s="11" t="s">
        <v>11</v>
      </c>
      <c r="F951" s="10">
        <v>2.8499999999999999E-4</v>
      </c>
      <c r="G951" s="13">
        <f t="shared" si="72"/>
        <v>82</v>
      </c>
      <c r="H951" s="13">
        <f t="shared" si="73"/>
        <v>41</v>
      </c>
      <c r="I951" s="13">
        <f t="shared" si="74"/>
        <v>41</v>
      </c>
      <c r="J951" s="3" t="str">
        <f t="shared" si="69"/>
        <v>1420010</v>
      </c>
    </row>
    <row r="952" spans="1:10" s="3" customFormat="1">
      <c r="B952" s="3" t="s">
        <v>2101</v>
      </c>
      <c r="C952" s="8">
        <v>3</v>
      </c>
      <c r="D952" s="3" t="s">
        <v>2333</v>
      </c>
      <c r="E952" s="11" t="s">
        <v>314</v>
      </c>
      <c r="F952" s="10">
        <v>3.4E-5</v>
      </c>
      <c r="G952" s="13">
        <f t="shared" si="72"/>
        <v>10</v>
      </c>
      <c r="H952" s="13">
        <f t="shared" si="73"/>
        <v>5</v>
      </c>
      <c r="I952" s="13">
        <f t="shared" si="74"/>
        <v>5</v>
      </c>
      <c r="J952" s="3" t="str">
        <f t="shared" si="69"/>
        <v>1430569</v>
      </c>
    </row>
    <row r="953" spans="1:10" s="3" customFormat="1">
      <c r="B953" s="3" t="s">
        <v>2101</v>
      </c>
      <c r="C953" s="8">
        <v>3</v>
      </c>
      <c r="D953" s="3" t="s">
        <v>2334</v>
      </c>
      <c r="E953" s="11" t="s">
        <v>315</v>
      </c>
      <c r="F953" s="10">
        <v>1.9100000000000001E-4</v>
      </c>
      <c r="G953" s="13">
        <f t="shared" si="72"/>
        <v>55</v>
      </c>
      <c r="H953" s="13">
        <f t="shared" si="73"/>
        <v>28</v>
      </c>
      <c r="I953" s="13">
        <f t="shared" si="74"/>
        <v>27</v>
      </c>
      <c r="J953" s="3" t="str">
        <f t="shared" si="69"/>
        <v>1430570</v>
      </c>
    </row>
    <row r="954" spans="1:10" s="3" customFormat="1">
      <c r="B954" s="3" t="s">
        <v>2101</v>
      </c>
      <c r="C954" s="8">
        <v>3</v>
      </c>
      <c r="D954" s="3" t="s">
        <v>2335</v>
      </c>
      <c r="E954" s="11" t="s">
        <v>316</v>
      </c>
      <c r="F954" s="10">
        <v>1.2570000000000001E-3</v>
      </c>
      <c r="G954" s="13">
        <f t="shared" si="72"/>
        <v>362</v>
      </c>
      <c r="H954" s="13">
        <f t="shared" si="73"/>
        <v>181</v>
      </c>
      <c r="I954" s="13">
        <f t="shared" si="74"/>
        <v>181</v>
      </c>
      <c r="J954" s="3" t="str">
        <f t="shared" si="69"/>
        <v>1430571</v>
      </c>
    </row>
    <row r="955" spans="1:10" s="3" customFormat="1">
      <c r="B955" s="3" t="s">
        <v>2101</v>
      </c>
      <c r="C955" s="8">
        <v>3</v>
      </c>
      <c r="D955" s="3" t="s">
        <v>2336</v>
      </c>
      <c r="E955" s="11" t="s">
        <v>317</v>
      </c>
      <c r="F955" s="10">
        <v>5.8640000000000003E-3</v>
      </c>
      <c r="G955" s="13">
        <f t="shared" si="72"/>
        <v>1687</v>
      </c>
      <c r="H955" s="13">
        <f t="shared" si="73"/>
        <v>844</v>
      </c>
      <c r="I955" s="13">
        <f t="shared" si="74"/>
        <v>843</v>
      </c>
      <c r="J955" s="3" t="str">
        <f t="shared" si="69"/>
        <v>1430572</v>
      </c>
    </row>
    <row r="956" spans="1:10" s="3" customFormat="1">
      <c r="B956" s="3" t="s">
        <v>2101</v>
      </c>
      <c r="C956" s="8">
        <v>3</v>
      </c>
      <c r="D956" s="3" t="s">
        <v>2337</v>
      </c>
      <c r="E956" s="11" t="s">
        <v>318</v>
      </c>
      <c r="F956" s="10">
        <v>1.7110000000000001E-3</v>
      </c>
      <c r="G956" s="13">
        <f t="shared" si="72"/>
        <v>492</v>
      </c>
      <c r="H956" s="13">
        <f t="shared" si="73"/>
        <v>246</v>
      </c>
      <c r="I956" s="13">
        <f t="shared" si="74"/>
        <v>246</v>
      </c>
      <c r="J956" s="3" t="str">
        <f t="shared" si="69"/>
        <v>1430573</v>
      </c>
    </row>
    <row r="957" spans="1:10" s="3" customFormat="1">
      <c r="B957" s="3" t="s">
        <v>2101</v>
      </c>
      <c r="C957" s="8">
        <v>3</v>
      </c>
      <c r="D957" s="3" t="s">
        <v>2338</v>
      </c>
      <c r="E957" s="11" t="s">
        <v>319</v>
      </c>
      <c r="F957" s="10">
        <v>1.673E-3</v>
      </c>
      <c r="G957" s="13">
        <f t="shared" si="72"/>
        <v>481</v>
      </c>
      <c r="H957" s="13">
        <f t="shared" si="73"/>
        <v>241</v>
      </c>
      <c r="I957" s="13">
        <f t="shared" si="74"/>
        <v>240</v>
      </c>
      <c r="J957" s="3" t="str">
        <f t="shared" si="69"/>
        <v>1430574</v>
      </c>
    </row>
    <row r="958" spans="1:10" s="3" customFormat="1">
      <c r="B958" s="3" t="s">
        <v>2101</v>
      </c>
      <c r="C958" s="8">
        <v>3</v>
      </c>
      <c r="D958" s="3" t="s">
        <v>2332</v>
      </c>
      <c r="E958" s="11" t="s">
        <v>320</v>
      </c>
      <c r="F958" s="10">
        <v>0.100928</v>
      </c>
      <c r="G958" s="13">
        <f t="shared" si="72"/>
        <v>29039</v>
      </c>
      <c r="H958" s="13">
        <f t="shared" si="73"/>
        <v>14520</v>
      </c>
      <c r="I958" s="13">
        <f t="shared" si="74"/>
        <v>14519</v>
      </c>
      <c r="J958" s="3" t="str">
        <f t="shared" si="69"/>
        <v>1430319</v>
      </c>
    </row>
    <row r="959" spans="1:10" s="3" customFormat="1">
      <c r="B959" s="3" t="s">
        <v>2101</v>
      </c>
      <c r="C959" s="8">
        <v>4</v>
      </c>
      <c r="D959" s="3" t="s">
        <v>2339</v>
      </c>
      <c r="E959" s="11" t="s">
        <v>321</v>
      </c>
      <c r="F959" s="10">
        <v>9.9961999999999995E-2</v>
      </c>
      <c r="G959" s="11">
        <f t="shared" si="72"/>
        <v>28761</v>
      </c>
      <c r="H959" s="11">
        <f t="shared" si="73"/>
        <v>14381</v>
      </c>
      <c r="I959" s="11">
        <f t="shared" si="74"/>
        <v>14380</v>
      </c>
      <c r="J959" s="3" t="str">
        <f t="shared" si="69"/>
        <v>1441315</v>
      </c>
    </row>
    <row r="960" spans="1:10" s="3" customFormat="1">
      <c r="B960" s="3" t="s">
        <v>2101</v>
      </c>
      <c r="C960" s="8">
        <v>4</v>
      </c>
      <c r="D960" s="3" t="s">
        <v>2339</v>
      </c>
      <c r="E960" s="11" t="s">
        <v>28</v>
      </c>
      <c r="F960" s="11"/>
      <c r="G960" s="14">
        <v>0.476047</v>
      </c>
      <c r="H960" s="11"/>
      <c r="I960" s="11"/>
      <c r="J960" s="3" t="str">
        <f t="shared" si="69"/>
        <v>1441315</v>
      </c>
    </row>
    <row r="961" spans="2:10" s="3" customFormat="1">
      <c r="B961" s="3" t="s">
        <v>2101</v>
      </c>
      <c r="C961" s="8">
        <v>4</v>
      </c>
      <c r="D961" s="3" t="s">
        <v>2339</v>
      </c>
      <c r="E961" s="11" t="s">
        <v>29</v>
      </c>
      <c r="F961" s="11"/>
      <c r="G961" s="15">
        <f>ROUND(G959*G960,0)</f>
        <v>13692</v>
      </c>
      <c r="H961" s="16">
        <f>ROUND(G961/2,0)</f>
        <v>6846</v>
      </c>
      <c r="I961" s="16">
        <f>G961-H961</f>
        <v>6846</v>
      </c>
      <c r="J961" s="3" t="str">
        <f t="shared" si="69"/>
        <v>1441315</v>
      </c>
    </row>
    <row r="962" spans="2:10" s="3" customFormat="1">
      <c r="B962" s="3" t="s">
        <v>2101</v>
      </c>
      <c r="C962" s="8">
        <v>4</v>
      </c>
      <c r="D962" s="3" t="s">
        <v>2339</v>
      </c>
      <c r="E962" s="11" t="s">
        <v>30</v>
      </c>
      <c r="F962" s="11"/>
      <c r="G962" s="13">
        <f>+G959-G961</f>
        <v>15069</v>
      </c>
      <c r="H962" s="13">
        <f>ROUND(G962/2,0)</f>
        <v>7535</v>
      </c>
      <c r="I962" s="13">
        <f>G962-H962</f>
        <v>7534</v>
      </c>
      <c r="J962" s="3" t="str">
        <f t="shared" si="69"/>
        <v>1441315</v>
      </c>
    </row>
    <row r="963" spans="2:10" s="3" customFormat="1">
      <c r="B963" s="3" t="s">
        <v>2101</v>
      </c>
      <c r="C963" s="8">
        <v>4</v>
      </c>
      <c r="D963" s="3" t="s">
        <v>2340</v>
      </c>
      <c r="E963" s="11" t="s">
        <v>322</v>
      </c>
      <c r="F963" s="10">
        <v>0.11271</v>
      </c>
      <c r="G963" s="11">
        <f>ROUND(G$3*F963,0)</f>
        <v>32429</v>
      </c>
      <c r="H963" s="11">
        <f>ROUND(G963/2,0)</f>
        <v>16215</v>
      </c>
      <c r="I963" s="11">
        <f>G963-H963</f>
        <v>16214</v>
      </c>
      <c r="J963" s="3" t="str">
        <f t="shared" si="69"/>
        <v>1441375</v>
      </c>
    </row>
    <row r="964" spans="2:10" s="3" customFormat="1">
      <c r="B964" s="3" t="s">
        <v>2101</v>
      </c>
      <c r="C964" s="8">
        <v>4</v>
      </c>
      <c r="D964" s="3" t="s">
        <v>2340</v>
      </c>
      <c r="E964" s="11" t="s">
        <v>28</v>
      </c>
      <c r="F964" s="11"/>
      <c r="G964" s="14">
        <v>0.42667899999999997</v>
      </c>
      <c r="H964" s="11"/>
      <c r="I964" s="11"/>
      <c r="J964" s="3" t="str">
        <f t="shared" ref="J964:J1027" si="75">B964&amp;C964&amp;D964</f>
        <v>1441375</v>
      </c>
    </row>
    <row r="965" spans="2:10" s="3" customFormat="1">
      <c r="B965" s="3" t="s">
        <v>2101</v>
      </c>
      <c r="C965" s="8">
        <v>4</v>
      </c>
      <c r="D965" s="3" t="s">
        <v>2340</v>
      </c>
      <c r="E965" s="11" t="s">
        <v>29</v>
      </c>
      <c r="F965" s="11"/>
      <c r="G965" s="15">
        <f>ROUND(G963*G964,0)</f>
        <v>13837</v>
      </c>
      <c r="H965" s="16">
        <f>ROUND(G965/2,0)</f>
        <v>6919</v>
      </c>
      <c r="I965" s="16">
        <f>G965-H965</f>
        <v>6918</v>
      </c>
      <c r="J965" s="3" t="str">
        <f t="shared" si="75"/>
        <v>1441375</v>
      </c>
    </row>
    <row r="966" spans="2:10" s="3" customFormat="1">
      <c r="B966" s="3" t="s">
        <v>2101</v>
      </c>
      <c r="C966" s="8">
        <v>4</v>
      </c>
      <c r="D966" s="3" t="s">
        <v>2340</v>
      </c>
      <c r="E966" s="11" t="s">
        <v>30</v>
      </c>
      <c r="F966" s="11"/>
      <c r="G966" s="13">
        <f>+G963-G965</f>
        <v>18592</v>
      </c>
      <c r="H966" s="13">
        <f>ROUND(G966/2,0)</f>
        <v>9296</v>
      </c>
      <c r="I966" s="13">
        <f>G966-H966</f>
        <v>9296</v>
      </c>
      <c r="J966" s="3" t="str">
        <f t="shared" si="75"/>
        <v>1441375</v>
      </c>
    </row>
    <row r="967" spans="2:10" s="3" customFormat="1">
      <c r="B967" s="3" t="s">
        <v>2101</v>
      </c>
      <c r="C967" s="8">
        <v>4</v>
      </c>
      <c r="D967" s="3" t="s">
        <v>2341</v>
      </c>
      <c r="E967" s="11" t="s">
        <v>323</v>
      </c>
      <c r="F967" s="10">
        <v>0.38101200000000002</v>
      </c>
      <c r="G967" s="11">
        <f>ROUND(G$3*F967,0)</f>
        <v>109626</v>
      </c>
      <c r="H967" s="11">
        <f>ROUND(G967/2,0)</f>
        <v>54813</v>
      </c>
      <c r="I967" s="11">
        <f>G967-H967</f>
        <v>54813</v>
      </c>
      <c r="J967" s="3" t="str">
        <f t="shared" si="75"/>
        <v>1441405</v>
      </c>
    </row>
    <row r="968" spans="2:10" s="3" customFormat="1">
      <c r="B968" s="3" t="s">
        <v>2101</v>
      </c>
      <c r="C968" s="8">
        <v>4</v>
      </c>
      <c r="D968" s="3" t="s">
        <v>2341</v>
      </c>
      <c r="E968" s="11" t="s">
        <v>28</v>
      </c>
      <c r="F968" s="11"/>
      <c r="G968" s="14">
        <v>0.400592</v>
      </c>
      <c r="H968" s="11"/>
      <c r="I968" s="11"/>
      <c r="J968" s="3" t="str">
        <f t="shared" si="75"/>
        <v>1441405</v>
      </c>
    </row>
    <row r="969" spans="2:10" s="3" customFormat="1">
      <c r="B969" s="3" t="s">
        <v>2101</v>
      </c>
      <c r="C969" s="8">
        <v>4</v>
      </c>
      <c r="D969" s="3" t="s">
        <v>2341</v>
      </c>
      <c r="E969" s="11" t="s">
        <v>29</v>
      </c>
      <c r="F969" s="11"/>
      <c r="G969" s="15">
        <f>ROUND(G967*G968,0)</f>
        <v>43915</v>
      </c>
      <c r="H969" s="16">
        <f t="shared" ref="H969:H975" si="76">ROUND(G969/2,0)</f>
        <v>21958</v>
      </c>
      <c r="I969" s="16">
        <f t="shared" ref="I969:I975" si="77">G969-H969</f>
        <v>21957</v>
      </c>
      <c r="J969" s="3" t="str">
        <f t="shared" si="75"/>
        <v>1441405</v>
      </c>
    </row>
    <row r="970" spans="2:10" s="3" customFormat="1">
      <c r="B970" s="3" t="s">
        <v>2101</v>
      </c>
      <c r="C970" s="8">
        <v>4</v>
      </c>
      <c r="D970" s="3" t="s">
        <v>2341</v>
      </c>
      <c r="E970" s="11" t="s">
        <v>30</v>
      </c>
      <c r="F970" s="11"/>
      <c r="G970" s="13">
        <f>+G967-G969</f>
        <v>65711</v>
      </c>
      <c r="H970" s="13">
        <f t="shared" si="76"/>
        <v>32856</v>
      </c>
      <c r="I970" s="13">
        <f t="shared" si="77"/>
        <v>32855</v>
      </c>
      <c r="J970" s="3" t="str">
        <f t="shared" si="75"/>
        <v>1441405</v>
      </c>
    </row>
    <row r="971" spans="2:10" s="3" customFormat="1">
      <c r="B971" s="3" t="s">
        <v>2101</v>
      </c>
      <c r="C971" s="8">
        <v>5</v>
      </c>
      <c r="D971" s="3" t="s">
        <v>3596</v>
      </c>
      <c r="E971" s="11" t="s">
        <v>324</v>
      </c>
      <c r="F971" s="10">
        <v>3.4299999999999999E-4</v>
      </c>
      <c r="G971" s="120">
        <f>ROUND(G$3*F971,0)</f>
        <v>99</v>
      </c>
      <c r="H971" s="120">
        <f t="shared" si="76"/>
        <v>50</v>
      </c>
      <c r="I971" s="120">
        <f t="shared" si="77"/>
        <v>49</v>
      </c>
      <c r="J971" s="3" t="str">
        <f t="shared" si="75"/>
        <v>1450031</v>
      </c>
    </row>
    <row r="972" spans="2:10" s="3" customFormat="1">
      <c r="B972" s="3" t="s">
        <v>2101</v>
      </c>
      <c r="C972" s="8">
        <v>5</v>
      </c>
      <c r="D972" s="3" t="s">
        <v>3598</v>
      </c>
      <c r="E972" s="11" t="s">
        <v>325</v>
      </c>
      <c r="F972" s="10">
        <v>2.0639000000000001E-2</v>
      </c>
      <c r="G972" s="120">
        <f>ROUND(G$3*F972,0)</f>
        <v>5938</v>
      </c>
      <c r="H972" s="120">
        <f t="shared" si="76"/>
        <v>2969</v>
      </c>
      <c r="I972" s="120">
        <f t="shared" si="77"/>
        <v>2969</v>
      </c>
      <c r="J972" s="3" t="str">
        <f t="shared" si="75"/>
        <v>1450032</v>
      </c>
    </row>
    <row r="973" spans="2:10" s="3" customFormat="1">
      <c r="B973" s="3" t="s">
        <v>2101</v>
      </c>
      <c r="C973" s="8">
        <v>6</v>
      </c>
      <c r="D973" s="3" t="s">
        <v>3604</v>
      </c>
      <c r="E973" s="11" t="s">
        <v>326</v>
      </c>
      <c r="F973" s="10">
        <v>3.0869999999999999E-3</v>
      </c>
      <c r="G973" s="120">
        <f>ROUND(G$3*F973,0)</f>
        <v>888</v>
      </c>
      <c r="H973" s="120">
        <f t="shared" si="76"/>
        <v>444</v>
      </c>
      <c r="I973" s="120">
        <f t="shared" si="77"/>
        <v>444</v>
      </c>
      <c r="J973" s="3" t="str">
        <f t="shared" si="75"/>
        <v>1461022</v>
      </c>
    </row>
    <row r="974" spans="2:10" s="3" customFormat="1">
      <c r="B974" s="3" t="s">
        <v>2101</v>
      </c>
      <c r="C974" s="8">
        <v>6</v>
      </c>
      <c r="D974" s="116" t="s">
        <v>3601</v>
      </c>
      <c r="E974" s="11" t="s">
        <v>327</v>
      </c>
      <c r="F974" s="10">
        <v>1.634E-3</v>
      </c>
      <c r="G974" s="120">
        <f>ROUND(G$3*F974,0)</f>
        <v>470</v>
      </c>
      <c r="H974" s="120">
        <f t="shared" si="76"/>
        <v>235</v>
      </c>
      <c r="I974" s="120">
        <f t="shared" si="77"/>
        <v>235</v>
      </c>
      <c r="J974" s="3" t="str">
        <f t="shared" si="75"/>
        <v>1460989</v>
      </c>
    </row>
    <row r="975" spans="2:10" s="3" customFormat="1">
      <c r="B975" s="3" t="s">
        <v>2101</v>
      </c>
      <c r="C975" s="8">
        <v>6</v>
      </c>
      <c r="D975" s="3" t="s">
        <v>2342</v>
      </c>
      <c r="E975" s="11" t="s">
        <v>328</v>
      </c>
      <c r="F975" s="10">
        <v>4.75E-4</v>
      </c>
      <c r="G975" s="13">
        <f>+G916-SUM(G917:G918)-SUM(G923:G959)-G963-G967-SUM(G971:G974)</f>
        <v>188587</v>
      </c>
      <c r="H975" s="13">
        <f t="shared" si="76"/>
        <v>94294</v>
      </c>
      <c r="I975" s="13">
        <f t="shared" si="77"/>
        <v>94293</v>
      </c>
      <c r="J975" s="3" t="str">
        <f t="shared" si="75"/>
        <v>1460984</v>
      </c>
    </row>
    <row r="976" spans="2:10" s="3" customFormat="1">
      <c r="B976" s="3" t="s">
        <v>2101</v>
      </c>
      <c r="C976" s="8">
        <v>0</v>
      </c>
      <c r="D976" s="125" t="s">
        <v>2187</v>
      </c>
      <c r="E976" s="28" t="s">
        <v>288</v>
      </c>
      <c r="F976" s="10">
        <v>0.99999999999999989</v>
      </c>
      <c r="G976" s="12">
        <f>+G917+SUM(G920:G958)+SUM(G961:G962)+SUM(G965:G966)+SUM(G969:G975)</f>
        <v>476173</v>
      </c>
      <c r="H976" s="12">
        <f>+H917+SUM(H920:H958)+SUM(H961:H962)+SUM(H965:H966)+SUM(H969:H975)</f>
        <v>238095</v>
      </c>
      <c r="I976" s="12">
        <f>+I917+SUM(I920:I958)+SUM(I961:I962)+SUM(I965:I966)+SUM(I969:I975)</f>
        <v>238078</v>
      </c>
      <c r="J976" s="3" t="str">
        <f t="shared" si="75"/>
        <v>1400000</v>
      </c>
    </row>
    <row r="977" spans="2:18" s="3" customFormat="1">
      <c r="B977" s="3" t="s">
        <v>2101</v>
      </c>
      <c r="C977" s="8">
        <v>0</v>
      </c>
      <c r="D977" s="3" t="s">
        <v>2187</v>
      </c>
      <c r="E977" s="18" t="s">
        <v>38</v>
      </c>
      <c r="G977" s="19">
        <f>+G917</f>
        <v>356</v>
      </c>
      <c r="H977" s="19">
        <f>+H917</f>
        <v>178</v>
      </c>
      <c r="I977" s="19">
        <f>+I917</f>
        <v>178</v>
      </c>
      <c r="J977" s="3" t="str">
        <f t="shared" si="75"/>
        <v>1400000</v>
      </c>
    </row>
    <row r="978" spans="2:18" s="3" customFormat="1">
      <c r="B978" s="3" t="s">
        <v>2101</v>
      </c>
      <c r="C978" s="8">
        <v>0</v>
      </c>
      <c r="D978" s="3" t="s">
        <v>2187</v>
      </c>
      <c r="E978" s="2" t="s">
        <v>39</v>
      </c>
      <c r="G978" s="19">
        <f>+G920</f>
        <v>7878</v>
      </c>
      <c r="H978" s="19">
        <f>+H920</f>
        <v>3939</v>
      </c>
      <c r="I978" s="19">
        <f>+I920</f>
        <v>3939</v>
      </c>
      <c r="J978" s="3" t="str">
        <f t="shared" si="75"/>
        <v>1400000</v>
      </c>
    </row>
    <row r="979" spans="2:18" s="3" customFormat="1">
      <c r="B979" s="3" t="s">
        <v>2101</v>
      </c>
      <c r="C979" s="8">
        <v>0</v>
      </c>
      <c r="D979" s="3" t="s">
        <v>2187</v>
      </c>
      <c r="E979" s="2" t="s">
        <v>40</v>
      </c>
      <c r="G979" s="19">
        <f>+G961+G965+G969</f>
        <v>71444</v>
      </c>
      <c r="H979" s="19">
        <f>+H961+H965+H969</f>
        <v>35723</v>
      </c>
      <c r="I979" s="19">
        <f>+I961+I965+I969</f>
        <v>35721</v>
      </c>
      <c r="J979" s="3" t="str">
        <f t="shared" si="75"/>
        <v>1400000</v>
      </c>
    </row>
    <row r="980" spans="2:18" s="3" customFormat="1">
      <c r="B980" s="3" t="s">
        <v>2101</v>
      </c>
      <c r="C980" s="8">
        <v>0</v>
      </c>
      <c r="D980" s="125" t="s">
        <v>2187</v>
      </c>
      <c r="E980" s="18" t="s">
        <v>41</v>
      </c>
      <c r="G980" s="19">
        <f>+G976-G977-G978-G979</f>
        <v>396495</v>
      </c>
      <c r="H980" s="19">
        <f>+H976-H977-H978-H979</f>
        <v>198255</v>
      </c>
      <c r="I980" s="19">
        <f>+I976-I977-I978-I979</f>
        <v>198240</v>
      </c>
      <c r="J980" s="3" t="str">
        <f t="shared" si="75"/>
        <v>1400000</v>
      </c>
    </row>
    <row r="981" spans="2:18" ht="15.75">
      <c r="B981" s="3" t="s">
        <v>2186</v>
      </c>
      <c r="D981" t="s">
        <v>2186</v>
      </c>
      <c r="E981">
        <v>0</v>
      </c>
      <c r="G981"/>
      <c r="H981"/>
      <c r="I981"/>
      <c r="J981" s="3" t="str">
        <f t="shared" si="75"/>
        <v/>
      </c>
    </row>
    <row r="982" spans="2:18" s="3" customFormat="1">
      <c r="C982" s="1"/>
      <c r="D982" s="3" t="s">
        <v>2186</v>
      </c>
      <c r="E982" s="2" t="s">
        <v>329</v>
      </c>
      <c r="J982" s="3" t="str">
        <f t="shared" si="75"/>
        <v/>
      </c>
    </row>
    <row r="983" spans="2:18" s="3" customFormat="1" ht="45">
      <c r="B983" s="3" t="s">
        <v>2186</v>
      </c>
      <c r="C983" s="1"/>
      <c r="D983" s="3" t="s">
        <v>2186</v>
      </c>
      <c r="E983" s="1">
        <v>0</v>
      </c>
      <c r="F983" s="6" t="s">
        <v>1</v>
      </c>
      <c r="G983" s="60">
        <f>'Allocation Worksheet'!H983</f>
        <v>0</v>
      </c>
      <c r="H983" s="60">
        <f>'Allocation Worksheet'!H984</f>
        <v>0</v>
      </c>
      <c r="I983" s="60">
        <f>'Allocation Worksheet'!H985</f>
        <v>0</v>
      </c>
      <c r="J983" s="3" t="str">
        <f t="shared" si="75"/>
        <v/>
      </c>
    </row>
    <row r="984" spans="2:18" s="3" customFormat="1">
      <c r="C984" s="7" t="s">
        <v>2087</v>
      </c>
      <c r="D984" s="3" t="s">
        <v>2186</v>
      </c>
      <c r="E984" s="7" t="s">
        <v>3</v>
      </c>
      <c r="F984" s="10"/>
      <c r="G984" s="9">
        <f>'Allocation Worksheet'!$D$18</f>
        <v>195990</v>
      </c>
      <c r="H984" s="11"/>
      <c r="I984" s="11"/>
      <c r="J984" s="3" t="str">
        <f t="shared" si="75"/>
        <v>UT</v>
      </c>
    </row>
    <row r="985" spans="2:18" s="3" customFormat="1">
      <c r="B985" s="3" t="s">
        <v>2102</v>
      </c>
      <c r="C985" s="8">
        <v>0</v>
      </c>
      <c r="D985" s="3" t="s">
        <v>2187</v>
      </c>
      <c r="E985" s="11" t="s">
        <v>4</v>
      </c>
      <c r="F985" s="10">
        <v>1.1720000000000001E-3</v>
      </c>
      <c r="G985" s="12">
        <f>ROUND(G$3*F985,0)</f>
        <v>337</v>
      </c>
      <c r="H985" s="13">
        <f>ROUND(G985/2,0)</f>
        <v>169</v>
      </c>
      <c r="I985" s="12">
        <f>G985-H985</f>
        <v>168</v>
      </c>
      <c r="J985" s="3" t="str">
        <f t="shared" si="75"/>
        <v>1500000</v>
      </c>
    </row>
    <row r="986" spans="2:18" s="3" customFormat="1">
      <c r="B986" s="3" t="s">
        <v>2102</v>
      </c>
      <c r="C986" s="8">
        <v>1</v>
      </c>
      <c r="D986" s="3" t="s">
        <v>2187</v>
      </c>
      <c r="E986" s="11" t="s">
        <v>330</v>
      </c>
      <c r="F986" s="10">
        <v>0.20582600000000001</v>
      </c>
      <c r="G986" s="9">
        <f>ROUND(G$3*F986,0)</f>
        <v>59221</v>
      </c>
      <c r="H986" s="11">
        <f>ROUND(G986/2,0)</f>
        <v>29611</v>
      </c>
      <c r="I986" s="9">
        <f>G986-H986</f>
        <v>29610</v>
      </c>
      <c r="J986" s="3" t="str">
        <f t="shared" si="75"/>
        <v>1510000</v>
      </c>
      <c r="R986" s="100"/>
    </row>
    <row r="987" spans="2:18" s="3" customFormat="1">
      <c r="B987" s="3" t="s">
        <v>2102</v>
      </c>
      <c r="C987" s="8">
        <v>1</v>
      </c>
      <c r="D987" s="3" t="s">
        <v>2187</v>
      </c>
      <c r="E987" s="11" t="s">
        <v>6</v>
      </c>
      <c r="F987" s="11"/>
      <c r="G987" s="14">
        <v>0.23113700000000001</v>
      </c>
      <c r="H987" s="11"/>
      <c r="I987" s="11"/>
      <c r="J987" s="3" t="str">
        <f t="shared" si="75"/>
        <v>1510000</v>
      </c>
      <c r="R987" s="100"/>
    </row>
    <row r="988" spans="2:18" s="3" customFormat="1">
      <c r="B988" s="3" t="s">
        <v>2102</v>
      </c>
      <c r="C988" s="8">
        <v>1</v>
      </c>
      <c r="D988" s="3" t="s">
        <v>2187</v>
      </c>
      <c r="E988" s="11" t="s">
        <v>7</v>
      </c>
      <c r="F988" s="11"/>
      <c r="G988" s="15">
        <f>ROUND(G986*G987,0)</f>
        <v>13688</v>
      </c>
      <c r="H988" s="16">
        <f>ROUND(G988/2,0)</f>
        <v>6844</v>
      </c>
      <c r="I988" s="15">
        <f>G988-H988</f>
        <v>6844</v>
      </c>
      <c r="J988" s="3" t="str">
        <f t="shared" si="75"/>
        <v>1510000</v>
      </c>
      <c r="R988" s="100"/>
    </row>
    <row r="989" spans="2:18" s="3" customFormat="1">
      <c r="B989" s="3" t="s">
        <v>2102</v>
      </c>
      <c r="C989" s="8">
        <v>1</v>
      </c>
      <c r="D989" s="3" t="s">
        <v>2187</v>
      </c>
      <c r="E989" s="11" t="s">
        <v>8</v>
      </c>
      <c r="F989" s="11"/>
      <c r="G989" s="12">
        <f>+G986-G988</f>
        <v>45533</v>
      </c>
      <c r="H989" s="13">
        <f>ROUND(G989/2,0)</f>
        <v>22767</v>
      </c>
      <c r="I989" s="12">
        <f>G989-H989</f>
        <v>22766</v>
      </c>
      <c r="J989" s="3" t="str">
        <f t="shared" si="75"/>
        <v>1510000</v>
      </c>
    </row>
    <row r="990" spans="2:18" s="3" customFormat="1">
      <c r="B990" s="3" t="s">
        <v>2102</v>
      </c>
      <c r="C990" s="8">
        <v>2</v>
      </c>
      <c r="D990" s="3" t="s">
        <v>2188</v>
      </c>
      <c r="E990" s="11" t="s">
        <v>331</v>
      </c>
      <c r="F990" s="11"/>
      <c r="G990" s="9"/>
      <c r="H990" s="11"/>
      <c r="I990" s="11"/>
      <c r="J990" s="3" t="str">
        <f t="shared" si="75"/>
        <v>1520001</v>
      </c>
    </row>
    <row r="991" spans="2:18" s="3" customFormat="1">
      <c r="B991" s="3" t="s">
        <v>2102</v>
      </c>
      <c r="C991" s="8">
        <v>2</v>
      </c>
      <c r="D991" s="3" t="s">
        <v>2188</v>
      </c>
      <c r="E991" s="11" t="s">
        <v>10</v>
      </c>
      <c r="F991" s="10">
        <v>8.5599999999999999E-4</v>
      </c>
      <c r="G991" s="12">
        <f>ROUND(G$3*F991,0)</f>
        <v>246</v>
      </c>
      <c r="H991" s="13">
        <f>ROUND(G991/2,0)</f>
        <v>123</v>
      </c>
      <c r="I991" s="12">
        <f>G991-H991</f>
        <v>123</v>
      </c>
      <c r="J991" s="3" t="str">
        <f t="shared" si="75"/>
        <v>1520001</v>
      </c>
    </row>
    <row r="992" spans="2:18" s="3" customFormat="1">
      <c r="B992" s="3" t="s">
        <v>2102</v>
      </c>
      <c r="C992" s="8">
        <v>2</v>
      </c>
      <c r="D992" s="3" t="s">
        <v>2188</v>
      </c>
      <c r="E992" s="11" t="s">
        <v>11</v>
      </c>
      <c r="F992" s="10">
        <v>1.5799999999999999E-4</v>
      </c>
      <c r="G992" s="12">
        <f>ROUND(G$3*F992,0)</f>
        <v>45</v>
      </c>
      <c r="H992" s="13">
        <f>ROUND(G992/2,0)</f>
        <v>23</v>
      </c>
      <c r="I992" s="12">
        <f>G992-H992</f>
        <v>22</v>
      </c>
      <c r="J992" s="3" t="str">
        <f t="shared" si="75"/>
        <v>1520001</v>
      </c>
    </row>
    <row r="993" spans="2:10" s="3" customFormat="1">
      <c r="B993" s="3" t="s">
        <v>2102</v>
      </c>
      <c r="C993" s="8">
        <v>2</v>
      </c>
      <c r="D993" s="3" t="s">
        <v>2189</v>
      </c>
      <c r="E993" s="11" t="s">
        <v>107</v>
      </c>
      <c r="F993" s="11"/>
      <c r="G993" s="9"/>
      <c r="H993" s="11"/>
      <c r="I993" s="11"/>
      <c r="J993" s="3" t="str">
        <f t="shared" si="75"/>
        <v>1520002</v>
      </c>
    </row>
    <row r="994" spans="2:10" s="3" customFormat="1">
      <c r="B994" s="3" t="s">
        <v>2102</v>
      </c>
      <c r="C994" s="8">
        <v>2</v>
      </c>
      <c r="D994" s="3" t="s">
        <v>2189</v>
      </c>
      <c r="E994" s="11" t="s">
        <v>10</v>
      </c>
      <c r="F994" s="10">
        <v>1.0790000000000001E-3</v>
      </c>
      <c r="G994" s="12">
        <f>ROUND(G$3*F994,0)</f>
        <v>310</v>
      </c>
      <c r="H994" s="13">
        <f>ROUND(G994/2,0)</f>
        <v>155</v>
      </c>
      <c r="I994" s="12">
        <f>G994-H994</f>
        <v>155</v>
      </c>
      <c r="J994" s="3" t="str">
        <f t="shared" si="75"/>
        <v>1520002</v>
      </c>
    </row>
    <row r="995" spans="2:10" s="3" customFormat="1">
      <c r="B995" s="3" t="s">
        <v>2102</v>
      </c>
      <c r="C995" s="8">
        <v>2</v>
      </c>
      <c r="D995" s="3" t="s">
        <v>2189</v>
      </c>
      <c r="E995" s="11" t="s">
        <v>11</v>
      </c>
      <c r="F995" s="10">
        <v>2.23E-4</v>
      </c>
      <c r="G995" s="12">
        <f>ROUND(G$3*F995,0)</f>
        <v>64</v>
      </c>
      <c r="H995" s="13">
        <f>ROUND(G995/2,0)</f>
        <v>32</v>
      </c>
      <c r="I995" s="12">
        <f>G995-H995</f>
        <v>32</v>
      </c>
      <c r="J995" s="3" t="str">
        <f t="shared" si="75"/>
        <v>1520002</v>
      </c>
    </row>
    <row r="996" spans="2:10" s="3" customFormat="1">
      <c r="B996" s="3" t="s">
        <v>2102</v>
      </c>
      <c r="C996" s="8">
        <v>2</v>
      </c>
      <c r="D996" s="3" t="s">
        <v>2190</v>
      </c>
      <c r="E996" s="11" t="s">
        <v>81</v>
      </c>
      <c r="F996" s="11"/>
      <c r="G996" s="9"/>
      <c r="H996" s="11"/>
      <c r="I996" s="11"/>
      <c r="J996" s="3" t="str">
        <f t="shared" si="75"/>
        <v>1520003</v>
      </c>
    </row>
    <row r="997" spans="2:10" s="3" customFormat="1">
      <c r="B997" s="3" t="s">
        <v>2102</v>
      </c>
      <c r="C997" s="8">
        <v>2</v>
      </c>
      <c r="D997" s="3" t="s">
        <v>2190</v>
      </c>
      <c r="E997" s="11" t="s">
        <v>10</v>
      </c>
      <c r="F997" s="10">
        <v>3.3E-4</v>
      </c>
      <c r="G997" s="12">
        <f>ROUND(G$3*F997,0)</f>
        <v>95</v>
      </c>
      <c r="H997" s="11">
        <f>ROUND(G997/2,0)</f>
        <v>48</v>
      </c>
      <c r="I997" s="9">
        <f>G997-H997</f>
        <v>47</v>
      </c>
      <c r="J997" s="3" t="str">
        <f t="shared" si="75"/>
        <v>1520003</v>
      </c>
    </row>
    <row r="998" spans="2:10" s="3" customFormat="1">
      <c r="B998" s="3" t="s">
        <v>2102</v>
      </c>
      <c r="C998" s="8">
        <v>2</v>
      </c>
      <c r="D998" s="3" t="s">
        <v>2190</v>
      </c>
      <c r="E998" s="11" t="s">
        <v>11</v>
      </c>
      <c r="F998" s="10">
        <v>3.86E-4</v>
      </c>
      <c r="G998" s="12">
        <f>ROUND(G$3*F998,0)</f>
        <v>111</v>
      </c>
      <c r="H998" s="13">
        <f>ROUND(G998/2,0)</f>
        <v>56</v>
      </c>
      <c r="I998" s="12">
        <f>G998-H998</f>
        <v>55</v>
      </c>
      <c r="J998" s="3" t="str">
        <f t="shared" si="75"/>
        <v>1520003</v>
      </c>
    </row>
    <row r="999" spans="2:10" s="3" customFormat="1">
      <c r="B999" s="3" t="s">
        <v>2102</v>
      </c>
      <c r="C999" s="8">
        <v>2</v>
      </c>
      <c r="D999" s="3" t="s">
        <v>2191</v>
      </c>
      <c r="E999" s="11" t="s">
        <v>86</v>
      </c>
      <c r="F999" s="11"/>
      <c r="G999" s="9"/>
      <c r="H999" s="11"/>
      <c r="I999" s="11"/>
      <c r="J999" s="3" t="str">
        <f t="shared" si="75"/>
        <v>1520004</v>
      </c>
    </row>
    <row r="1000" spans="2:10" s="3" customFormat="1">
      <c r="B1000" s="3" t="s">
        <v>2102</v>
      </c>
      <c r="C1000" s="8">
        <v>2</v>
      </c>
      <c r="D1000" s="3" t="s">
        <v>2191</v>
      </c>
      <c r="E1000" s="11" t="s">
        <v>10</v>
      </c>
      <c r="F1000" s="10">
        <v>5.9500000000000004E-4</v>
      </c>
      <c r="G1000" s="12">
        <f>ROUND(G$3*F1000,0)</f>
        <v>171</v>
      </c>
      <c r="H1000" s="13">
        <f>ROUND(G1000/2,0)</f>
        <v>86</v>
      </c>
      <c r="I1000" s="12">
        <f>G1000-H1000</f>
        <v>85</v>
      </c>
      <c r="J1000" s="3" t="str">
        <f t="shared" si="75"/>
        <v>1520004</v>
      </c>
    </row>
    <row r="1001" spans="2:10" s="3" customFormat="1">
      <c r="B1001" s="3" t="s">
        <v>2102</v>
      </c>
      <c r="C1001" s="8">
        <v>2</v>
      </c>
      <c r="D1001" s="3" t="s">
        <v>2191</v>
      </c>
      <c r="E1001" s="11" t="s">
        <v>11</v>
      </c>
      <c r="F1001" s="10">
        <v>7.4399999999999998E-4</v>
      </c>
      <c r="G1001" s="12">
        <f>ROUND(G$3*F1001,0)</f>
        <v>214</v>
      </c>
      <c r="H1001" s="13">
        <f>ROUND(G1001/2,0)</f>
        <v>107</v>
      </c>
      <c r="I1001" s="12">
        <f>G1001-H1001</f>
        <v>107</v>
      </c>
      <c r="J1001" s="3" t="str">
        <f t="shared" si="75"/>
        <v>1520004</v>
      </c>
    </row>
    <row r="1002" spans="2:10" s="3" customFormat="1">
      <c r="B1002" s="3" t="s">
        <v>2102</v>
      </c>
      <c r="C1002" s="8">
        <v>2</v>
      </c>
      <c r="D1002" s="3" t="s">
        <v>2192</v>
      </c>
      <c r="E1002" s="11" t="s">
        <v>332</v>
      </c>
      <c r="F1002" s="11"/>
      <c r="G1002" s="9"/>
      <c r="H1002" s="11"/>
      <c r="I1002" s="11"/>
      <c r="J1002" s="3" t="str">
        <f t="shared" si="75"/>
        <v>1520005</v>
      </c>
    </row>
    <row r="1003" spans="2:10" s="3" customFormat="1">
      <c r="B1003" s="3" t="s">
        <v>2102</v>
      </c>
      <c r="C1003" s="8">
        <v>2</v>
      </c>
      <c r="D1003" s="3" t="s">
        <v>2192</v>
      </c>
      <c r="E1003" s="11" t="s">
        <v>10</v>
      </c>
      <c r="F1003" s="10">
        <v>5.0199999999999995E-4</v>
      </c>
      <c r="G1003" s="12">
        <f>ROUND(G$3*F1003,0)</f>
        <v>144</v>
      </c>
      <c r="H1003" s="13">
        <f>ROUND(G1003/2,0)</f>
        <v>72</v>
      </c>
      <c r="I1003" s="12">
        <f>G1003-H1003</f>
        <v>72</v>
      </c>
      <c r="J1003" s="3" t="str">
        <f t="shared" si="75"/>
        <v>1520005</v>
      </c>
    </row>
    <row r="1004" spans="2:10" s="3" customFormat="1">
      <c r="B1004" s="3" t="s">
        <v>2102</v>
      </c>
      <c r="C1004" s="8">
        <v>2</v>
      </c>
      <c r="D1004" s="3" t="s">
        <v>2192</v>
      </c>
      <c r="E1004" s="11" t="s">
        <v>11</v>
      </c>
      <c r="F1004" s="10">
        <v>2.3699999999999999E-4</v>
      </c>
      <c r="G1004" s="12">
        <f>ROUND(G$3*F1004,0)</f>
        <v>68</v>
      </c>
      <c r="H1004" s="13">
        <f>ROUND(G1004/2,0)</f>
        <v>34</v>
      </c>
      <c r="I1004" s="12">
        <f>G1004-H1004</f>
        <v>34</v>
      </c>
      <c r="J1004" s="3" t="str">
        <f t="shared" si="75"/>
        <v>1520005</v>
      </c>
    </row>
    <row r="1005" spans="2:10" s="3" customFormat="1" ht="15.75" customHeight="1">
      <c r="B1005" s="3" t="s">
        <v>2102</v>
      </c>
      <c r="C1005" s="8">
        <v>2</v>
      </c>
      <c r="D1005" s="3" t="s">
        <v>2193</v>
      </c>
      <c r="E1005" s="11" t="s">
        <v>49</v>
      </c>
      <c r="F1005" s="11"/>
      <c r="G1005" s="9"/>
      <c r="H1005" s="11"/>
      <c r="I1005" s="11"/>
      <c r="J1005" s="3" t="str">
        <f t="shared" si="75"/>
        <v>1520006</v>
      </c>
    </row>
    <row r="1006" spans="2:10" s="3" customFormat="1" ht="15.75" customHeight="1">
      <c r="B1006" s="3" t="s">
        <v>2102</v>
      </c>
      <c r="C1006" s="8">
        <v>2</v>
      </c>
      <c r="D1006" s="3" t="s">
        <v>2193</v>
      </c>
      <c r="E1006" s="11" t="s">
        <v>10</v>
      </c>
      <c r="F1006" s="10">
        <v>8.2299999999999995E-4</v>
      </c>
      <c r="G1006" s="12">
        <f>ROUND(G$3*F1006,0)</f>
        <v>237</v>
      </c>
      <c r="H1006" s="13">
        <f>ROUND(G1006/2,0)</f>
        <v>119</v>
      </c>
      <c r="I1006" s="12">
        <f>G1006-H1006</f>
        <v>118</v>
      </c>
      <c r="J1006" s="3" t="str">
        <f t="shared" si="75"/>
        <v>1520006</v>
      </c>
    </row>
    <row r="1007" spans="2:10" s="3" customFormat="1" ht="15.75" customHeight="1">
      <c r="B1007" s="3" t="s">
        <v>2102</v>
      </c>
      <c r="C1007" s="8">
        <v>2</v>
      </c>
      <c r="D1007" s="3" t="s">
        <v>2193</v>
      </c>
      <c r="E1007" s="11" t="s">
        <v>11</v>
      </c>
      <c r="F1007" s="10">
        <v>5.1599999999999997E-4</v>
      </c>
      <c r="G1007" s="12">
        <f>ROUND(G$3*F1007,0)</f>
        <v>148</v>
      </c>
      <c r="H1007" s="13">
        <f>ROUND(G1007/2,0)</f>
        <v>74</v>
      </c>
      <c r="I1007" s="12">
        <f>G1007-H1007</f>
        <v>74</v>
      </c>
      <c r="J1007" s="3" t="str">
        <f t="shared" si="75"/>
        <v>1520006</v>
      </c>
    </row>
    <row r="1008" spans="2:10" s="3" customFormat="1">
      <c r="B1008" s="3" t="s">
        <v>2102</v>
      </c>
      <c r="C1008" s="8">
        <v>2</v>
      </c>
      <c r="D1008" s="3" t="s">
        <v>2194</v>
      </c>
      <c r="E1008" s="11" t="s">
        <v>333</v>
      </c>
      <c r="F1008" s="11"/>
      <c r="G1008" s="9"/>
      <c r="H1008" s="11"/>
      <c r="I1008" s="11"/>
      <c r="J1008" s="3" t="str">
        <f t="shared" si="75"/>
        <v>1520007</v>
      </c>
    </row>
    <row r="1009" spans="2:10" s="3" customFormat="1">
      <c r="B1009" s="3" t="s">
        <v>2102</v>
      </c>
      <c r="C1009" s="8">
        <v>2</v>
      </c>
      <c r="D1009" s="3" t="s">
        <v>2194</v>
      </c>
      <c r="E1009" s="11" t="s">
        <v>10</v>
      </c>
      <c r="F1009" s="10">
        <v>2.5999999999999998E-4</v>
      </c>
      <c r="G1009" s="12">
        <f>ROUND(G$3*F1009,0)</f>
        <v>75</v>
      </c>
      <c r="H1009" s="13">
        <f>ROUND(G1009/2,0)</f>
        <v>38</v>
      </c>
      <c r="I1009" s="12">
        <f>G1009-H1009</f>
        <v>37</v>
      </c>
      <c r="J1009" s="3" t="str">
        <f t="shared" si="75"/>
        <v>1520007</v>
      </c>
    </row>
    <row r="1010" spans="2:10" s="3" customFormat="1">
      <c r="B1010" s="3" t="s">
        <v>2102</v>
      </c>
      <c r="C1010" s="8">
        <v>2</v>
      </c>
      <c r="D1010" s="3" t="s">
        <v>2194</v>
      </c>
      <c r="E1010" s="11" t="s">
        <v>11</v>
      </c>
      <c r="F1010" s="10">
        <v>2.2800000000000001E-4</v>
      </c>
      <c r="G1010" s="12">
        <f>ROUND(G$3*F1010,0)</f>
        <v>66</v>
      </c>
      <c r="H1010" s="13">
        <f>ROUND(G1010/2,0)</f>
        <v>33</v>
      </c>
      <c r="I1010" s="12">
        <f>G1010-H1010</f>
        <v>33</v>
      </c>
      <c r="J1010" s="3" t="str">
        <f t="shared" si="75"/>
        <v>1520007</v>
      </c>
    </row>
    <row r="1011" spans="2:10" s="3" customFormat="1">
      <c r="B1011" s="3" t="s">
        <v>2102</v>
      </c>
      <c r="C1011" s="8">
        <v>2</v>
      </c>
      <c r="D1011" s="3" t="s">
        <v>2195</v>
      </c>
      <c r="E1011" s="11" t="s">
        <v>334</v>
      </c>
      <c r="F1011" s="11"/>
      <c r="G1011" s="9"/>
      <c r="H1011" s="11"/>
      <c r="I1011" s="11"/>
      <c r="J1011" s="3" t="str">
        <f t="shared" si="75"/>
        <v>1520008</v>
      </c>
    </row>
    <row r="1012" spans="2:10" s="3" customFormat="1">
      <c r="B1012" s="3" t="s">
        <v>2102</v>
      </c>
      <c r="C1012" s="8">
        <v>2</v>
      </c>
      <c r="D1012" s="3" t="s">
        <v>2195</v>
      </c>
      <c r="E1012" s="11" t="s">
        <v>10</v>
      </c>
      <c r="F1012" s="10">
        <v>1.6739999999999999E-3</v>
      </c>
      <c r="G1012" s="12">
        <f>ROUND(G$3*F1012,0)</f>
        <v>482</v>
      </c>
      <c r="H1012" s="13">
        <f>ROUND(G1012/2,0)</f>
        <v>241</v>
      </c>
      <c r="I1012" s="12">
        <f>G1012-H1012</f>
        <v>241</v>
      </c>
      <c r="J1012" s="3" t="str">
        <f t="shared" si="75"/>
        <v>1520008</v>
      </c>
    </row>
    <row r="1013" spans="2:10" s="3" customFormat="1">
      <c r="B1013" s="3" t="s">
        <v>2102</v>
      </c>
      <c r="C1013" s="8">
        <v>2</v>
      </c>
      <c r="D1013" s="3" t="s">
        <v>2195</v>
      </c>
      <c r="E1013" s="11" t="s">
        <v>11</v>
      </c>
      <c r="F1013" s="10">
        <v>1.26E-4</v>
      </c>
      <c r="G1013" s="12">
        <f>ROUND(G$3*F1013,0)</f>
        <v>36</v>
      </c>
      <c r="H1013" s="13">
        <f>ROUND(G1013/2,0)</f>
        <v>18</v>
      </c>
      <c r="I1013" s="12">
        <f>G1013-H1013</f>
        <v>18</v>
      </c>
      <c r="J1013" s="3" t="str">
        <f t="shared" si="75"/>
        <v>1520008</v>
      </c>
    </row>
    <row r="1014" spans="2:10" s="3" customFormat="1">
      <c r="B1014" s="3" t="s">
        <v>2102</v>
      </c>
      <c r="C1014" s="8">
        <v>2</v>
      </c>
      <c r="D1014" s="3" t="s">
        <v>2196</v>
      </c>
      <c r="E1014" s="11" t="s">
        <v>335</v>
      </c>
      <c r="F1014" s="11"/>
      <c r="G1014" s="9"/>
      <c r="H1014" s="11"/>
      <c r="I1014" s="11"/>
      <c r="J1014" s="3" t="str">
        <f t="shared" si="75"/>
        <v>1520009</v>
      </c>
    </row>
    <row r="1015" spans="2:10" s="3" customFormat="1">
      <c r="B1015" s="3" t="s">
        <v>2102</v>
      </c>
      <c r="C1015" s="8">
        <v>2</v>
      </c>
      <c r="D1015" s="3" t="s">
        <v>2196</v>
      </c>
      <c r="E1015" s="11" t="s">
        <v>10</v>
      </c>
      <c r="F1015" s="10">
        <v>3.1599999999999998E-4</v>
      </c>
      <c r="G1015" s="12">
        <f>ROUND(G$3*F1015,0)</f>
        <v>91</v>
      </c>
      <c r="H1015" s="13">
        <f>ROUND(G1015/2,0)</f>
        <v>46</v>
      </c>
      <c r="I1015" s="12">
        <f>G1015-H1015</f>
        <v>45</v>
      </c>
      <c r="J1015" s="3" t="str">
        <f t="shared" si="75"/>
        <v>1520009</v>
      </c>
    </row>
    <row r="1016" spans="2:10" s="3" customFormat="1">
      <c r="B1016" s="3" t="s">
        <v>2102</v>
      </c>
      <c r="C1016" s="8">
        <v>2</v>
      </c>
      <c r="D1016" s="3" t="s">
        <v>2196</v>
      </c>
      <c r="E1016" s="11" t="s">
        <v>11</v>
      </c>
      <c r="F1016" s="10">
        <v>2.7399999999999999E-4</v>
      </c>
      <c r="G1016" s="12">
        <f>ROUND(G$3*F1016,0)</f>
        <v>79</v>
      </c>
      <c r="H1016" s="13">
        <f>ROUND(G1016/2,0)</f>
        <v>40</v>
      </c>
      <c r="I1016" s="12">
        <f>G1016-H1016</f>
        <v>39</v>
      </c>
      <c r="J1016" s="3" t="str">
        <f t="shared" si="75"/>
        <v>1520009</v>
      </c>
    </row>
    <row r="1017" spans="2:10" s="3" customFormat="1">
      <c r="B1017" s="3" t="s">
        <v>2102</v>
      </c>
      <c r="C1017" s="8">
        <v>2</v>
      </c>
      <c r="D1017" s="3" t="s">
        <v>2197</v>
      </c>
      <c r="E1017" s="11" t="s">
        <v>336</v>
      </c>
      <c r="F1017" s="11"/>
      <c r="G1017" s="9"/>
      <c r="H1017" s="11"/>
      <c r="I1017" s="11"/>
      <c r="J1017" s="3" t="str">
        <f t="shared" si="75"/>
        <v>1520010</v>
      </c>
    </row>
    <row r="1018" spans="2:10" s="3" customFormat="1">
      <c r="B1018" s="3" t="s">
        <v>2102</v>
      </c>
      <c r="C1018" s="8">
        <v>2</v>
      </c>
      <c r="D1018" s="3" t="s">
        <v>2197</v>
      </c>
      <c r="E1018" s="11" t="s">
        <v>10</v>
      </c>
      <c r="F1018" s="10">
        <v>9.5299999999999996E-4</v>
      </c>
      <c r="G1018" s="12">
        <f>ROUND(G$3*F1018,0)</f>
        <v>274</v>
      </c>
      <c r="H1018" s="13">
        <f>ROUND(G1018/2,0)</f>
        <v>137</v>
      </c>
      <c r="I1018" s="12">
        <f>G1018-H1018</f>
        <v>137</v>
      </c>
      <c r="J1018" s="3" t="str">
        <f t="shared" si="75"/>
        <v>1520010</v>
      </c>
    </row>
    <row r="1019" spans="2:10" s="3" customFormat="1">
      <c r="B1019" s="3" t="s">
        <v>2102</v>
      </c>
      <c r="C1019" s="8">
        <v>2</v>
      </c>
      <c r="D1019" s="3" t="s">
        <v>2197</v>
      </c>
      <c r="E1019" s="11" t="s">
        <v>11</v>
      </c>
      <c r="F1019" s="10">
        <v>6.2799999999999998E-4</v>
      </c>
      <c r="G1019" s="12">
        <f>ROUND(G$3*F1019,0)</f>
        <v>181</v>
      </c>
      <c r="H1019" s="13">
        <f>ROUND(G1019/2,0)</f>
        <v>91</v>
      </c>
      <c r="I1019" s="12">
        <f>G1019-H1019</f>
        <v>90</v>
      </c>
      <c r="J1019" s="3" t="str">
        <f t="shared" si="75"/>
        <v>1520010</v>
      </c>
    </row>
    <row r="1020" spans="2:10" s="3" customFormat="1">
      <c r="B1020" s="3" t="s">
        <v>2102</v>
      </c>
      <c r="C1020" s="8">
        <v>2</v>
      </c>
      <c r="D1020" s="3" t="s">
        <v>2198</v>
      </c>
      <c r="E1020" s="11" t="s">
        <v>337</v>
      </c>
      <c r="F1020" s="11"/>
      <c r="G1020" s="9"/>
      <c r="H1020" s="11"/>
      <c r="I1020" s="11"/>
      <c r="J1020" s="3" t="str">
        <f t="shared" si="75"/>
        <v>1520011</v>
      </c>
    </row>
    <row r="1021" spans="2:10" s="3" customFormat="1">
      <c r="B1021" s="3" t="s">
        <v>2102</v>
      </c>
      <c r="C1021" s="8">
        <v>2</v>
      </c>
      <c r="D1021" s="3" t="s">
        <v>2198</v>
      </c>
      <c r="E1021" s="11" t="s">
        <v>10</v>
      </c>
      <c r="F1021" s="10">
        <v>6.7900000000000002E-4</v>
      </c>
      <c r="G1021" s="12">
        <f>ROUND(G$3*F1021,0)</f>
        <v>195</v>
      </c>
      <c r="H1021" s="13">
        <f>ROUND(G1021/2,0)</f>
        <v>98</v>
      </c>
      <c r="I1021" s="12">
        <f>G1021-H1021</f>
        <v>97</v>
      </c>
      <c r="J1021" s="3" t="str">
        <f t="shared" si="75"/>
        <v>1520011</v>
      </c>
    </row>
    <row r="1022" spans="2:10" s="3" customFormat="1">
      <c r="B1022" s="3" t="s">
        <v>2102</v>
      </c>
      <c r="C1022" s="8">
        <v>2</v>
      </c>
      <c r="D1022" s="3" t="s">
        <v>2198</v>
      </c>
      <c r="E1022" s="11" t="s">
        <v>11</v>
      </c>
      <c r="F1022" s="10">
        <v>6.4599999999999998E-4</v>
      </c>
      <c r="G1022" s="12">
        <f>ROUND(G$3*F1022,0)</f>
        <v>186</v>
      </c>
      <c r="H1022" s="13">
        <f>ROUND(G1022/2,0)</f>
        <v>93</v>
      </c>
      <c r="I1022" s="12">
        <f>G1022-H1022</f>
        <v>93</v>
      </c>
      <c r="J1022" s="3" t="str">
        <f t="shared" si="75"/>
        <v>1520011</v>
      </c>
    </row>
    <row r="1023" spans="2:10" s="3" customFormat="1">
      <c r="B1023" s="3" t="s">
        <v>2102</v>
      </c>
      <c r="C1023" s="8">
        <v>2</v>
      </c>
      <c r="D1023" s="3" t="s">
        <v>2199</v>
      </c>
      <c r="E1023" s="11" t="s">
        <v>338</v>
      </c>
      <c r="F1023" s="11"/>
      <c r="G1023" s="9"/>
      <c r="H1023" s="11"/>
      <c r="I1023" s="11"/>
      <c r="J1023" s="3" t="str">
        <f t="shared" si="75"/>
        <v>1520012</v>
      </c>
    </row>
    <row r="1024" spans="2:10" s="3" customFormat="1">
      <c r="B1024" s="3" t="s">
        <v>2102</v>
      </c>
      <c r="C1024" s="8">
        <v>2</v>
      </c>
      <c r="D1024" s="3" t="s">
        <v>2199</v>
      </c>
      <c r="E1024" s="11" t="s">
        <v>10</v>
      </c>
      <c r="F1024" s="10">
        <v>3.7199999999999999E-4</v>
      </c>
      <c r="G1024" s="12">
        <f>ROUND(G$3*F1024,0)</f>
        <v>107</v>
      </c>
      <c r="H1024" s="13">
        <f>ROUND(G1024/2,0)</f>
        <v>54</v>
      </c>
      <c r="I1024" s="12">
        <f>G1024-H1024</f>
        <v>53</v>
      </c>
      <c r="J1024" s="3" t="str">
        <f t="shared" si="75"/>
        <v>1520012</v>
      </c>
    </row>
    <row r="1025" spans="2:10" s="3" customFormat="1">
      <c r="B1025" s="3" t="s">
        <v>2102</v>
      </c>
      <c r="C1025" s="8">
        <v>2</v>
      </c>
      <c r="D1025" s="3" t="s">
        <v>2199</v>
      </c>
      <c r="E1025" s="11" t="s">
        <v>11</v>
      </c>
      <c r="F1025" s="10">
        <v>2.1900000000000001E-4</v>
      </c>
      <c r="G1025" s="12">
        <f>ROUND(G$3*F1025,0)</f>
        <v>63</v>
      </c>
      <c r="H1025" s="13">
        <f>ROUND(G1025/2,0)</f>
        <v>32</v>
      </c>
      <c r="I1025" s="12">
        <f>G1025-H1025</f>
        <v>31</v>
      </c>
      <c r="J1025" s="3" t="str">
        <f t="shared" si="75"/>
        <v>1520012</v>
      </c>
    </row>
    <row r="1026" spans="2:10" s="3" customFormat="1">
      <c r="B1026" s="3" t="s">
        <v>2102</v>
      </c>
      <c r="C1026" s="8">
        <v>2</v>
      </c>
      <c r="D1026" s="3" t="s">
        <v>2208</v>
      </c>
      <c r="E1026" s="11" t="s">
        <v>22</v>
      </c>
      <c r="F1026" s="11"/>
      <c r="G1026" s="9"/>
      <c r="H1026" s="11"/>
      <c r="I1026" s="11"/>
      <c r="J1026" s="3" t="str">
        <f t="shared" si="75"/>
        <v>1520013</v>
      </c>
    </row>
    <row r="1027" spans="2:10" s="3" customFormat="1">
      <c r="B1027" s="3" t="s">
        <v>2102</v>
      </c>
      <c r="C1027" s="8">
        <v>2</v>
      </c>
      <c r="D1027" s="3" t="s">
        <v>2208</v>
      </c>
      <c r="E1027" s="11" t="s">
        <v>10</v>
      </c>
      <c r="F1027" s="10">
        <v>5.6700000000000001E-4</v>
      </c>
      <c r="G1027" s="12">
        <f>ROUND(G$3*F1027,0)</f>
        <v>163</v>
      </c>
      <c r="H1027" s="13">
        <f>ROUND(G1027/2,0)</f>
        <v>82</v>
      </c>
      <c r="I1027" s="12">
        <f>G1027-H1027</f>
        <v>81</v>
      </c>
      <c r="J1027" s="3" t="str">
        <f t="shared" si="75"/>
        <v>1520013</v>
      </c>
    </row>
    <row r="1028" spans="2:10" s="3" customFormat="1">
      <c r="B1028" s="3" t="s">
        <v>2102</v>
      </c>
      <c r="C1028" s="8">
        <v>2</v>
      </c>
      <c r="D1028" s="3" t="s">
        <v>2208</v>
      </c>
      <c r="E1028" s="11" t="s">
        <v>11</v>
      </c>
      <c r="F1028" s="10">
        <v>2.9300000000000002E-4</v>
      </c>
      <c r="G1028" s="12">
        <f>ROUND(G$3*F1028,0)</f>
        <v>84</v>
      </c>
      <c r="H1028" s="13">
        <f>ROUND(G1028/2,0)</f>
        <v>42</v>
      </c>
      <c r="I1028" s="12">
        <f>G1028-H1028</f>
        <v>42</v>
      </c>
      <c r="J1028" s="3" t="str">
        <f t="shared" ref="J1028:J1091" si="78">B1028&amp;C1028&amp;D1028</f>
        <v>1520013</v>
      </c>
    </row>
    <row r="1029" spans="2:10" s="3" customFormat="1">
      <c r="B1029" s="3" t="s">
        <v>2102</v>
      </c>
      <c r="C1029" s="8">
        <v>2</v>
      </c>
      <c r="D1029" s="3" t="s">
        <v>2209</v>
      </c>
      <c r="E1029" s="11" t="s">
        <v>115</v>
      </c>
      <c r="F1029" s="11"/>
      <c r="G1029" s="9"/>
      <c r="H1029" s="11"/>
      <c r="I1029" s="11"/>
      <c r="J1029" s="3" t="str">
        <f t="shared" si="78"/>
        <v>1520014</v>
      </c>
    </row>
    <row r="1030" spans="2:10" s="3" customFormat="1">
      <c r="B1030" s="3" t="s">
        <v>2102</v>
      </c>
      <c r="C1030" s="8">
        <v>2</v>
      </c>
      <c r="D1030" s="3" t="s">
        <v>2209</v>
      </c>
      <c r="E1030" s="11" t="s">
        <v>10</v>
      </c>
      <c r="F1030" s="10">
        <v>4.1999999999999998E-5</v>
      </c>
      <c r="G1030" s="12">
        <f t="shared" ref="G1030:G1039" si="79">ROUND(G$3*F1030,0)</f>
        <v>12</v>
      </c>
      <c r="H1030" s="13">
        <f t="shared" ref="H1030:H1039" si="80">ROUND(G1030/2,0)</f>
        <v>6</v>
      </c>
      <c r="I1030" s="12">
        <f t="shared" ref="I1030:I1039" si="81">G1030-H1030</f>
        <v>6</v>
      </c>
      <c r="J1030" s="3" t="str">
        <f t="shared" si="78"/>
        <v>1520014</v>
      </c>
    </row>
    <row r="1031" spans="2:10" s="3" customFormat="1">
      <c r="B1031" s="3" t="s">
        <v>2102</v>
      </c>
      <c r="C1031" s="8">
        <v>2</v>
      </c>
      <c r="D1031" s="3" t="s">
        <v>2209</v>
      </c>
      <c r="E1031" s="11" t="s">
        <v>11</v>
      </c>
      <c r="F1031" s="10">
        <v>3.3000000000000003E-5</v>
      </c>
      <c r="G1031" s="12">
        <f t="shared" si="79"/>
        <v>9</v>
      </c>
      <c r="H1031" s="13">
        <f t="shared" si="80"/>
        <v>5</v>
      </c>
      <c r="I1031" s="12">
        <f t="shared" si="81"/>
        <v>4</v>
      </c>
      <c r="J1031" s="3" t="str">
        <f t="shared" si="78"/>
        <v>1520014</v>
      </c>
    </row>
    <row r="1032" spans="2:10" s="3" customFormat="1">
      <c r="B1032" s="3" t="s">
        <v>2102</v>
      </c>
      <c r="C1032" s="8">
        <v>3</v>
      </c>
      <c r="D1032" s="3" t="s">
        <v>2344</v>
      </c>
      <c r="E1032" s="11" t="s">
        <v>339</v>
      </c>
      <c r="F1032" s="10">
        <v>4.5586000000000002E-2</v>
      </c>
      <c r="G1032" s="12">
        <f t="shared" si="79"/>
        <v>13116</v>
      </c>
      <c r="H1032" s="13">
        <f t="shared" si="80"/>
        <v>6558</v>
      </c>
      <c r="I1032" s="12">
        <f t="shared" si="81"/>
        <v>6558</v>
      </c>
      <c r="J1032" s="3" t="str">
        <f t="shared" si="78"/>
        <v>1530442</v>
      </c>
    </row>
    <row r="1033" spans="2:10" s="3" customFormat="1">
      <c r="B1033" s="3" t="s">
        <v>2102</v>
      </c>
      <c r="C1033" s="8">
        <v>3</v>
      </c>
      <c r="D1033" s="3" t="s">
        <v>2345</v>
      </c>
      <c r="E1033" s="11" t="s">
        <v>340</v>
      </c>
      <c r="F1033" s="10">
        <v>2.088E-3</v>
      </c>
      <c r="G1033" s="12">
        <f t="shared" si="79"/>
        <v>601</v>
      </c>
      <c r="H1033" s="13">
        <f t="shared" si="80"/>
        <v>301</v>
      </c>
      <c r="I1033" s="12">
        <f t="shared" si="81"/>
        <v>300</v>
      </c>
      <c r="J1033" s="3" t="str">
        <f t="shared" si="78"/>
        <v>1530575</v>
      </c>
    </row>
    <row r="1034" spans="2:10" s="3" customFormat="1">
      <c r="B1034" s="3" t="s">
        <v>2102</v>
      </c>
      <c r="C1034" s="8">
        <v>3</v>
      </c>
      <c r="D1034" s="3" t="s">
        <v>2346</v>
      </c>
      <c r="E1034" s="11" t="s">
        <v>341</v>
      </c>
      <c r="F1034" s="10">
        <v>3.7651999999999998E-2</v>
      </c>
      <c r="G1034" s="12">
        <f t="shared" si="79"/>
        <v>10833</v>
      </c>
      <c r="H1034" s="13">
        <f t="shared" si="80"/>
        <v>5417</v>
      </c>
      <c r="I1034" s="12">
        <f t="shared" si="81"/>
        <v>5416</v>
      </c>
      <c r="J1034" s="3" t="str">
        <f t="shared" si="78"/>
        <v>1530576</v>
      </c>
    </row>
    <row r="1035" spans="2:10" s="3" customFormat="1">
      <c r="B1035" s="3" t="s">
        <v>2102</v>
      </c>
      <c r="C1035" s="8">
        <v>3</v>
      </c>
      <c r="D1035" s="3" t="s">
        <v>2343</v>
      </c>
      <c r="E1035" s="11" t="s">
        <v>342</v>
      </c>
      <c r="F1035" s="10">
        <v>1.4578000000000001E-2</v>
      </c>
      <c r="G1035" s="12">
        <f t="shared" si="79"/>
        <v>4194</v>
      </c>
      <c r="H1035" s="13">
        <f t="shared" si="80"/>
        <v>2097</v>
      </c>
      <c r="I1035" s="12">
        <f t="shared" si="81"/>
        <v>2097</v>
      </c>
      <c r="J1035" s="3" t="str">
        <f t="shared" si="78"/>
        <v>1530439</v>
      </c>
    </row>
    <row r="1036" spans="2:10" s="3" customFormat="1">
      <c r="B1036" s="3" t="s">
        <v>2102</v>
      </c>
      <c r="C1036" s="8">
        <v>3</v>
      </c>
      <c r="D1036" s="3" t="s">
        <v>2347</v>
      </c>
      <c r="E1036" s="11" t="s">
        <v>343</v>
      </c>
      <c r="F1036" s="10">
        <v>1.7699999999999999E-4</v>
      </c>
      <c r="G1036" s="12">
        <f t="shared" si="79"/>
        <v>51</v>
      </c>
      <c r="H1036" s="13">
        <f t="shared" si="80"/>
        <v>26</v>
      </c>
      <c r="I1036" s="12">
        <f t="shared" si="81"/>
        <v>25</v>
      </c>
      <c r="J1036" s="3" t="str">
        <f t="shared" si="78"/>
        <v>1530577</v>
      </c>
    </row>
    <row r="1037" spans="2:10" s="3" customFormat="1">
      <c r="B1037" s="3" t="s">
        <v>2102</v>
      </c>
      <c r="C1037" s="8">
        <v>3</v>
      </c>
      <c r="D1037" s="3" t="s">
        <v>2348</v>
      </c>
      <c r="E1037" s="11" t="s">
        <v>344</v>
      </c>
      <c r="F1037" s="10">
        <v>1.95E-4</v>
      </c>
      <c r="G1037" s="12">
        <f t="shared" si="79"/>
        <v>56</v>
      </c>
      <c r="H1037" s="13">
        <f t="shared" si="80"/>
        <v>28</v>
      </c>
      <c r="I1037" s="12">
        <f t="shared" si="81"/>
        <v>28</v>
      </c>
      <c r="J1037" s="3" t="str">
        <f t="shared" si="78"/>
        <v>1530578</v>
      </c>
    </row>
    <row r="1038" spans="2:10" s="3" customFormat="1">
      <c r="B1038" s="3" t="s">
        <v>2102</v>
      </c>
      <c r="C1038" s="8">
        <v>3</v>
      </c>
      <c r="D1038" s="3" t="s">
        <v>2349</v>
      </c>
      <c r="E1038" s="11" t="s">
        <v>345</v>
      </c>
      <c r="F1038" s="10">
        <v>7.1050000000000002E-3</v>
      </c>
      <c r="G1038" s="12">
        <f t="shared" si="79"/>
        <v>2044</v>
      </c>
      <c r="H1038" s="13">
        <f t="shared" si="80"/>
        <v>1022</v>
      </c>
      <c r="I1038" s="12">
        <f t="shared" si="81"/>
        <v>1022</v>
      </c>
      <c r="J1038" s="3" t="str">
        <f t="shared" si="78"/>
        <v>1530579</v>
      </c>
    </row>
    <row r="1039" spans="2:10" s="3" customFormat="1">
      <c r="B1039" s="3" t="s">
        <v>2102</v>
      </c>
      <c r="C1039" s="8">
        <v>4</v>
      </c>
      <c r="D1039" s="116" t="s">
        <v>2352</v>
      </c>
      <c r="E1039" s="11" t="s">
        <v>346</v>
      </c>
      <c r="F1039" s="10">
        <v>0.16728999999999999</v>
      </c>
      <c r="G1039" s="9">
        <f t="shared" si="79"/>
        <v>48133</v>
      </c>
      <c r="H1039" s="11">
        <f t="shared" si="80"/>
        <v>24067</v>
      </c>
      <c r="I1039" s="9">
        <f t="shared" si="81"/>
        <v>24066</v>
      </c>
      <c r="J1039" s="3" t="str">
        <f t="shared" si="78"/>
        <v>1541620</v>
      </c>
    </row>
    <row r="1040" spans="2:10" s="3" customFormat="1">
      <c r="B1040" s="3" t="s">
        <v>2102</v>
      </c>
      <c r="C1040" s="8">
        <v>4</v>
      </c>
      <c r="D1040" s="116" t="s">
        <v>2352</v>
      </c>
      <c r="E1040" s="11" t="s">
        <v>28</v>
      </c>
      <c r="F1040" s="11"/>
      <c r="G1040" s="14">
        <v>0.68069100000000005</v>
      </c>
      <c r="H1040" s="11"/>
      <c r="I1040" s="11"/>
      <c r="J1040" s="3" t="str">
        <f t="shared" si="78"/>
        <v>1541620</v>
      </c>
    </row>
    <row r="1041" spans="2:10" s="3" customFormat="1">
      <c r="B1041" s="3" t="s">
        <v>2102</v>
      </c>
      <c r="C1041" s="8">
        <v>4</v>
      </c>
      <c r="D1041" s="116" t="s">
        <v>2352</v>
      </c>
      <c r="E1041" s="11" t="s">
        <v>29</v>
      </c>
      <c r="F1041" s="11"/>
      <c r="G1041" s="15">
        <f>ROUND(G1039*G1040,0)</f>
        <v>32764</v>
      </c>
      <c r="H1041" s="16">
        <f>ROUND(G1041/2,0)</f>
        <v>16382</v>
      </c>
      <c r="I1041" s="15">
        <f>G1041-H1041</f>
        <v>16382</v>
      </c>
      <c r="J1041" s="3" t="str">
        <f t="shared" si="78"/>
        <v>1541620</v>
      </c>
    </row>
    <row r="1042" spans="2:10" s="3" customFormat="1">
      <c r="B1042" s="3" t="s">
        <v>2102</v>
      </c>
      <c r="C1042" s="8">
        <v>4</v>
      </c>
      <c r="D1042" s="116" t="s">
        <v>2352</v>
      </c>
      <c r="E1042" s="11" t="s">
        <v>30</v>
      </c>
      <c r="F1042" s="11"/>
      <c r="G1042" s="12">
        <f>+G1039-G1041</f>
        <v>15369</v>
      </c>
      <c r="H1042" s="13">
        <f>ROUND(G1042/2,0)</f>
        <v>7685</v>
      </c>
      <c r="I1042" s="12">
        <f>G1042-H1042</f>
        <v>7684</v>
      </c>
      <c r="J1042" s="3" t="str">
        <f t="shared" si="78"/>
        <v>1541620</v>
      </c>
    </row>
    <row r="1043" spans="2:10" s="3" customFormat="1">
      <c r="B1043" s="3" t="s">
        <v>2102</v>
      </c>
      <c r="C1043" s="8">
        <v>4</v>
      </c>
      <c r="D1043" s="116" t="s">
        <v>2351</v>
      </c>
      <c r="E1043" s="11" t="s">
        <v>347</v>
      </c>
      <c r="F1043" s="10">
        <v>0.25068099999999999</v>
      </c>
      <c r="G1043" s="9">
        <f>ROUND(G$3*F1043,0)</f>
        <v>72127</v>
      </c>
      <c r="H1043" s="11">
        <f>ROUND(G1043/2,0)</f>
        <v>36064</v>
      </c>
      <c r="I1043" s="9">
        <f>G1043-H1043</f>
        <v>36063</v>
      </c>
      <c r="J1043" s="3" t="str">
        <f t="shared" si="78"/>
        <v>1541600</v>
      </c>
    </row>
    <row r="1044" spans="2:10" s="3" customFormat="1">
      <c r="B1044" s="3" t="s">
        <v>2102</v>
      </c>
      <c r="C1044" s="8">
        <v>4</v>
      </c>
      <c r="D1044" s="116" t="s">
        <v>2351</v>
      </c>
      <c r="E1044" s="11" t="s">
        <v>28</v>
      </c>
      <c r="F1044" s="11"/>
      <c r="G1044" s="14">
        <v>0.412856</v>
      </c>
      <c r="H1044" s="11"/>
      <c r="I1044" s="11"/>
      <c r="J1044" s="3" t="str">
        <f t="shared" si="78"/>
        <v>1541600</v>
      </c>
    </row>
    <row r="1045" spans="2:10" s="3" customFormat="1">
      <c r="B1045" s="3" t="s">
        <v>2102</v>
      </c>
      <c r="C1045" s="8">
        <v>4</v>
      </c>
      <c r="D1045" s="116" t="s">
        <v>2351</v>
      </c>
      <c r="E1045" s="11" t="s">
        <v>29</v>
      </c>
      <c r="F1045" s="11"/>
      <c r="G1045" s="15">
        <f>ROUND(G1043*G1044,0)</f>
        <v>29778</v>
      </c>
      <c r="H1045" s="16">
        <f>ROUND(G1045/2,0)</f>
        <v>14889</v>
      </c>
      <c r="I1045" s="15">
        <f>G1045-H1045</f>
        <v>14889</v>
      </c>
      <c r="J1045" s="3" t="str">
        <f t="shared" si="78"/>
        <v>1541600</v>
      </c>
    </row>
    <row r="1046" spans="2:10" s="3" customFormat="1">
      <c r="B1046" s="3" t="s">
        <v>2102</v>
      </c>
      <c r="C1046" s="8">
        <v>4</v>
      </c>
      <c r="D1046" s="116" t="s">
        <v>2351</v>
      </c>
      <c r="E1046" s="11" t="s">
        <v>30</v>
      </c>
      <c r="F1046" s="11"/>
      <c r="G1046" s="12">
        <f>+G1043-G1045</f>
        <v>42349</v>
      </c>
      <c r="H1046" s="13">
        <f>ROUND(G1046/2,0)</f>
        <v>21175</v>
      </c>
      <c r="I1046" s="12">
        <f>G1046-H1046</f>
        <v>21174</v>
      </c>
      <c r="J1046" s="3" t="str">
        <f t="shared" si="78"/>
        <v>1541600</v>
      </c>
    </row>
    <row r="1047" spans="2:10" s="3" customFormat="1">
      <c r="B1047" s="3" t="s">
        <v>2102</v>
      </c>
      <c r="C1047" s="8">
        <v>4</v>
      </c>
      <c r="D1047" s="116" t="s">
        <v>2350</v>
      </c>
      <c r="E1047" s="11" t="s">
        <v>348</v>
      </c>
      <c r="F1047" s="10">
        <v>0.20757</v>
      </c>
      <c r="G1047" s="9">
        <f>ROUND(G$3*F1047,0)</f>
        <v>59723</v>
      </c>
      <c r="H1047" s="11">
        <f>ROUND(G1047/2,0)</f>
        <v>29862</v>
      </c>
      <c r="I1047" s="9">
        <f>G1047-H1047</f>
        <v>29861</v>
      </c>
      <c r="J1047" s="3" t="str">
        <f t="shared" si="78"/>
        <v>1541560</v>
      </c>
    </row>
    <row r="1048" spans="2:10" s="3" customFormat="1">
      <c r="B1048" s="3" t="s">
        <v>2102</v>
      </c>
      <c r="C1048" s="8">
        <v>4</v>
      </c>
      <c r="D1048" s="116" t="s">
        <v>2350</v>
      </c>
      <c r="E1048" s="11" t="s">
        <v>28</v>
      </c>
      <c r="F1048" s="11"/>
      <c r="G1048" s="14">
        <v>0.37912400000000002</v>
      </c>
      <c r="H1048" s="11"/>
      <c r="I1048" s="11"/>
      <c r="J1048" s="3" t="str">
        <f t="shared" si="78"/>
        <v>1541560</v>
      </c>
    </row>
    <row r="1049" spans="2:10" s="3" customFormat="1">
      <c r="B1049" s="3" t="s">
        <v>2102</v>
      </c>
      <c r="C1049" s="8">
        <v>4</v>
      </c>
      <c r="D1049" s="116" t="s">
        <v>2350</v>
      </c>
      <c r="E1049" s="11" t="s">
        <v>29</v>
      </c>
      <c r="F1049" s="11"/>
      <c r="G1049" s="15">
        <f>ROUND(G1047*G1048,0)</f>
        <v>22642</v>
      </c>
      <c r="H1049" s="16">
        <f>ROUND(G1049/2,0)</f>
        <v>11321</v>
      </c>
      <c r="I1049" s="15">
        <f>G1049-H1049</f>
        <v>11321</v>
      </c>
      <c r="J1049" s="3" t="str">
        <f t="shared" si="78"/>
        <v>1541560</v>
      </c>
    </row>
    <row r="1050" spans="2:10" s="3" customFormat="1">
      <c r="B1050" s="3" t="s">
        <v>2102</v>
      </c>
      <c r="C1050" s="8">
        <v>4</v>
      </c>
      <c r="D1050" s="116" t="s">
        <v>2350</v>
      </c>
      <c r="E1050" s="11" t="s">
        <v>30</v>
      </c>
      <c r="F1050" s="11"/>
      <c r="G1050" s="12">
        <f>+G1047-G1049</f>
        <v>37081</v>
      </c>
      <c r="H1050" s="13">
        <f>ROUND(G1050/2,0)</f>
        <v>18541</v>
      </c>
      <c r="I1050" s="12">
        <f>G1050-H1050</f>
        <v>18540</v>
      </c>
      <c r="J1050" s="3" t="str">
        <f t="shared" si="78"/>
        <v>1541560</v>
      </c>
    </row>
    <row r="1051" spans="2:10" s="3" customFormat="1">
      <c r="B1051" s="3" t="s">
        <v>2102</v>
      </c>
      <c r="C1051" s="8">
        <v>5</v>
      </c>
      <c r="D1051" s="3" t="s">
        <v>2353</v>
      </c>
      <c r="E1051" s="11" t="s">
        <v>349</v>
      </c>
      <c r="F1051" s="10">
        <v>1.9805E-2</v>
      </c>
      <c r="G1051" s="120">
        <f>ROUND(G$3*F1051,0)</f>
        <v>5698</v>
      </c>
      <c r="H1051" s="120">
        <f>ROUND(G1051/2,0)</f>
        <v>2849</v>
      </c>
      <c r="I1051" s="120">
        <f>G1051-H1051</f>
        <v>2849</v>
      </c>
      <c r="J1051" s="3" t="str">
        <f t="shared" si="78"/>
        <v>1550033</v>
      </c>
    </row>
    <row r="1052" spans="2:10" s="3" customFormat="1">
      <c r="B1052" s="3" t="s">
        <v>2102</v>
      </c>
      <c r="C1052" s="8">
        <v>5</v>
      </c>
      <c r="D1052" s="123" t="s">
        <v>3638</v>
      </c>
      <c r="E1052" s="11" t="s">
        <v>350</v>
      </c>
      <c r="F1052" s="10">
        <v>2.3064999999999999E-2</v>
      </c>
      <c r="G1052" s="12">
        <f>ROUND(G$3*F1052,0)</f>
        <v>6636</v>
      </c>
      <c r="H1052" s="13">
        <f>ROUND(G1052/2,0)</f>
        <v>3318</v>
      </c>
      <c r="I1052" s="12">
        <f>G1052-H1052</f>
        <v>3318</v>
      </c>
      <c r="J1052" s="3" t="str">
        <f t="shared" si="78"/>
        <v>1550034</v>
      </c>
    </row>
    <row r="1053" spans="2:10" s="3" customFormat="1">
      <c r="B1053" s="3" t="s">
        <v>2102</v>
      </c>
      <c r="C1053" s="8">
        <v>6</v>
      </c>
      <c r="D1053" s="3" t="s">
        <v>3640</v>
      </c>
      <c r="E1053" s="11" t="s">
        <v>351</v>
      </c>
      <c r="F1053" s="10">
        <v>3.4510000000000929E-3</v>
      </c>
      <c r="G1053" s="120">
        <f>+G984-SUM(G985:G986)-SUM(G991:G1039)-G1043-G1047-SUM(G1051:G1052)</f>
        <v>-90736</v>
      </c>
      <c r="H1053" s="120">
        <f>ROUND(G1053/2,0)</f>
        <v>-45368</v>
      </c>
      <c r="I1053" s="120">
        <f>G1053-H1053</f>
        <v>-45368</v>
      </c>
      <c r="J1053" s="3" t="str">
        <f t="shared" si="78"/>
        <v>1561036</v>
      </c>
    </row>
    <row r="1054" spans="2:10" s="3" customFormat="1">
      <c r="B1054" s="3" t="s">
        <v>2102</v>
      </c>
      <c r="C1054" s="8">
        <v>0</v>
      </c>
      <c r="D1054" s="125" t="s">
        <v>2187</v>
      </c>
      <c r="E1054" s="28" t="s">
        <v>288</v>
      </c>
      <c r="F1054" s="10">
        <v>1</v>
      </c>
      <c r="G1054" s="12">
        <f>+G985+(SUM(G988:G1038)+SUM(G1041:G1042)+SUM(G1045:G1046)+SUM(G1049:G1053))</f>
        <v>195990</v>
      </c>
      <c r="H1054" s="12">
        <f>+H985+(SUM(H988:H1038)+SUM(H1041:H1042)+SUM(H1045:H1046)+SUM(H1049:H1053))</f>
        <v>98006</v>
      </c>
      <c r="I1054" s="12">
        <f>+I985+(SUM(I988:I1038)+SUM(I1041:I1042)+SUM(I1045:I1046)+SUM(I1049:I1053))</f>
        <v>97984</v>
      </c>
      <c r="J1054" s="3" t="str">
        <f t="shared" si="78"/>
        <v>1500000</v>
      </c>
    </row>
    <row r="1055" spans="2:10" s="3" customFormat="1">
      <c r="B1055" s="3" t="s">
        <v>2102</v>
      </c>
      <c r="C1055" s="8">
        <v>0</v>
      </c>
      <c r="D1055" s="3" t="s">
        <v>2187</v>
      </c>
      <c r="E1055" s="18" t="s">
        <v>38</v>
      </c>
      <c r="G1055" s="19">
        <f>+G985</f>
        <v>337</v>
      </c>
      <c r="H1055" s="19">
        <f>+H985</f>
        <v>169</v>
      </c>
      <c r="I1055" s="19">
        <f>+I985</f>
        <v>168</v>
      </c>
      <c r="J1055" s="3" t="str">
        <f t="shared" si="78"/>
        <v>1500000</v>
      </c>
    </row>
    <row r="1056" spans="2:10" s="3" customFormat="1">
      <c r="B1056" s="3" t="s">
        <v>2102</v>
      </c>
      <c r="C1056" s="8">
        <v>0</v>
      </c>
      <c r="D1056" s="3" t="s">
        <v>2187</v>
      </c>
      <c r="E1056" s="2" t="s">
        <v>39</v>
      </c>
      <c r="G1056" s="19">
        <f>+G988</f>
        <v>13688</v>
      </c>
      <c r="H1056" s="19">
        <f>+H988</f>
        <v>6844</v>
      </c>
      <c r="I1056" s="19">
        <f>+I988</f>
        <v>6844</v>
      </c>
      <c r="J1056" s="3" t="str">
        <f t="shared" si="78"/>
        <v>1500000</v>
      </c>
    </row>
    <row r="1057" spans="2:10" s="3" customFormat="1">
      <c r="B1057" s="3" t="s">
        <v>2102</v>
      </c>
      <c r="C1057" s="8">
        <v>0</v>
      </c>
      <c r="D1057" s="3" t="s">
        <v>2187</v>
      </c>
      <c r="E1057" s="2" t="s">
        <v>40</v>
      </c>
      <c r="G1057" s="19">
        <f>+G1041+G1045+G1049</f>
        <v>85184</v>
      </c>
      <c r="H1057" s="19">
        <f>+H1041+H1045+H1049</f>
        <v>42592</v>
      </c>
      <c r="I1057" s="19">
        <f>+I1041+I1045+I1049</f>
        <v>42592</v>
      </c>
      <c r="J1057" s="3" t="str">
        <f t="shared" si="78"/>
        <v>1500000</v>
      </c>
    </row>
    <row r="1058" spans="2:10" s="3" customFormat="1">
      <c r="B1058" s="3" t="s">
        <v>2102</v>
      </c>
      <c r="C1058" s="8">
        <v>0</v>
      </c>
      <c r="D1058" s="125" t="s">
        <v>2187</v>
      </c>
      <c r="E1058" s="18" t="s">
        <v>41</v>
      </c>
      <c r="G1058" s="19">
        <f>+G1054-G1055-G1056-G1057</f>
        <v>96781</v>
      </c>
      <c r="H1058" s="19">
        <f>+H1054-H1055-H1056-H1057</f>
        <v>48401</v>
      </c>
      <c r="I1058" s="19">
        <f>+I1054-I1055-I1056-I1057</f>
        <v>48380</v>
      </c>
      <c r="J1058" s="3" t="str">
        <f t="shared" si="78"/>
        <v>1500000</v>
      </c>
    </row>
    <row r="1059" spans="2:10" ht="15.75">
      <c r="B1059" s="3" t="s">
        <v>2186</v>
      </c>
      <c r="D1059" t="s">
        <v>2186</v>
      </c>
      <c r="E1059">
        <v>0</v>
      </c>
      <c r="G1059"/>
      <c r="H1059"/>
      <c r="I1059"/>
      <c r="J1059" s="3" t="str">
        <f t="shared" si="78"/>
        <v/>
      </c>
    </row>
    <row r="1060" spans="2:10" s="3" customFormat="1">
      <c r="C1060" s="1"/>
      <c r="D1060" s="3" t="s">
        <v>2186</v>
      </c>
      <c r="E1060" s="2" t="s">
        <v>352</v>
      </c>
      <c r="J1060" s="3" t="str">
        <f t="shared" si="78"/>
        <v/>
      </c>
    </row>
    <row r="1061" spans="2:10" s="3" customFormat="1" ht="45">
      <c r="B1061" s="3" t="s">
        <v>2186</v>
      </c>
      <c r="C1061" s="1"/>
      <c r="D1061" s="3" t="s">
        <v>2186</v>
      </c>
      <c r="E1061" s="1">
        <v>0</v>
      </c>
      <c r="F1061" s="6" t="s">
        <v>1</v>
      </c>
      <c r="G1061" s="60">
        <f>'Allocation Worksheet'!H1061</f>
        <v>0</v>
      </c>
      <c r="H1061" s="60">
        <f>'Allocation Worksheet'!H1062</f>
        <v>0</v>
      </c>
      <c r="I1061" s="60">
        <f>'Allocation Worksheet'!H1063</f>
        <v>0</v>
      </c>
      <c r="J1061" s="3" t="str">
        <f t="shared" si="78"/>
        <v/>
      </c>
    </row>
    <row r="1062" spans="2:10" s="3" customFormat="1">
      <c r="C1062" s="7" t="s">
        <v>2087</v>
      </c>
      <c r="D1062" s="3" t="s">
        <v>2186</v>
      </c>
      <c r="E1062" s="7" t="s">
        <v>3</v>
      </c>
      <c r="F1062" s="10"/>
      <c r="G1062" s="9">
        <f>'Allocation Worksheet'!$D$19</f>
        <v>325842</v>
      </c>
      <c r="H1062" s="11"/>
      <c r="I1062" s="11"/>
      <c r="J1062" s="3" t="str">
        <f t="shared" si="78"/>
        <v>UT</v>
      </c>
    </row>
    <row r="1063" spans="2:10" s="3" customFormat="1">
      <c r="B1063" s="3" t="s">
        <v>2103</v>
      </c>
      <c r="C1063" s="8">
        <v>0</v>
      </c>
      <c r="D1063" s="3" t="s">
        <v>2187</v>
      </c>
      <c r="E1063" s="11" t="s">
        <v>4</v>
      </c>
      <c r="F1063" s="10">
        <v>1.5269999999999999E-3</v>
      </c>
      <c r="G1063" s="12">
        <f>ROUND(G$3*F1063,0)</f>
        <v>439</v>
      </c>
      <c r="H1063" s="13">
        <f>ROUND(G1063/2,0)</f>
        <v>220</v>
      </c>
      <c r="I1063" s="12">
        <f>G1063-H1063</f>
        <v>219</v>
      </c>
      <c r="J1063" s="3" t="str">
        <f t="shared" si="78"/>
        <v>1600000</v>
      </c>
    </row>
    <row r="1064" spans="2:10" s="3" customFormat="1">
      <c r="B1064" s="3" t="s">
        <v>2103</v>
      </c>
      <c r="C1064" s="8">
        <v>1</v>
      </c>
      <c r="D1064" s="3" t="s">
        <v>2187</v>
      </c>
      <c r="E1064" s="11" t="s">
        <v>353</v>
      </c>
      <c r="F1064" s="10">
        <v>0.20996200000000001</v>
      </c>
      <c r="G1064" s="9">
        <f>ROUND(G$3*F1064,0)</f>
        <v>60411</v>
      </c>
      <c r="H1064" s="11">
        <f>ROUND(G1064/2,0)</f>
        <v>30206</v>
      </c>
      <c r="I1064" s="9">
        <f>G1064-H1064</f>
        <v>30205</v>
      </c>
      <c r="J1064" s="3" t="str">
        <f t="shared" si="78"/>
        <v>1610000</v>
      </c>
    </row>
    <row r="1065" spans="2:10" s="3" customFormat="1">
      <c r="B1065" s="3" t="s">
        <v>2103</v>
      </c>
      <c r="C1065" s="8">
        <v>1</v>
      </c>
      <c r="D1065" s="3" t="s">
        <v>2187</v>
      </c>
      <c r="E1065" s="11" t="s">
        <v>6</v>
      </c>
      <c r="F1065" s="11"/>
      <c r="G1065" s="14">
        <v>0.20225299999999999</v>
      </c>
      <c r="H1065" s="11"/>
      <c r="I1065" s="11"/>
      <c r="J1065" s="3" t="str">
        <f t="shared" si="78"/>
        <v>1610000</v>
      </c>
    </row>
    <row r="1066" spans="2:10" s="3" customFormat="1">
      <c r="B1066" s="3" t="s">
        <v>2103</v>
      </c>
      <c r="C1066" s="8">
        <v>1</v>
      </c>
      <c r="D1066" s="3" t="s">
        <v>2187</v>
      </c>
      <c r="E1066" s="11" t="s">
        <v>7</v>
      </c>
      <c r="F1066" s="11"/>
      <c r="G1066" s="15">
        <f>ROUND(G1064*G1065,0)</f>
        <v>12218</v>
      </c>
      <c r="H1066" s="16">
        <f>ROUND(G1066/2,0)</f>
        <v>6109</v>
      </c>
      <c r="I1066" s="15">
        <f>G1066-H1066</f>
        <v>6109</v>
      </c>
      <c r="J1066" s="3" t="str">
        <f t="shared" si="78"/>
        <v>1610000</v>
      </c>
    </row>
    <row r="1067" spans="2:10" s="3" customFormat="1">
      <c r="B1067" s="3" t="s">
        <v>2103</v>
      </c>
      <c r="C1067" s="8">
        <v>1</v>
      </c>
      <c r="D1067" s="3" t="s">
        <v>2187</v>
      </c>
      <c r="E1067" s="11" t="s">
        <v>8</v>
      </c>
      <c r="F1067" s="11"/>
      <c r="G1067" s="12">
        <f>+G1064-G1066</f>
        <v>48193</v>
      </c>
      <c r="H1067" s="13">
        <f>ROUND(G1067/2,0)</f>
        <v>24097</v>
      </c>
      <c r="I1067" s="12">
        <f>G1067-H1067</f>
        <v>24096</v>
      </c>
      <c r="J1067" s="3" t="str">
        <f t="shared" si="78"/>
        <v>1610000</v>
      </c>
    </row>
    <row r="1068" spans="2:10" s="3" customFormat="1">
      <c r="B1068" s="3" t="s">
        <v>2103</v>
      </c>
      <c r="C1068" s="8">
        <v>2</v>
      </c>
      <c r="D1068" s="3" t="s">
        <v>2188</v>
      </c>
      <c r="E1068" s="11" t="s">
        <v>46</v>
      </c>
      <c r="F1068" s="11"/>
      <c r="G1068" s="9"/>
      <c r="H1068" s="11"/>
      <c r="I1068" s="11"/>
      <c r="J1068" s="3" t="str">
        <f t="shared" si="78"/>
        <v>1620001</v>
      </c>
    </row>
    <row r="1069" spans="2:10" s="3" customFormat="1">
      <c r="B1069" s="3" t="s">
        <v>2103</v>
      </c>
      <c r="C1069" s="8">
        <v>2</v>
      </c>
      <c r="D1069" s="3" t="s">
        <v>2188</v>
      </c>
      <c r="E1069" s="11" t="s">
        <v>10</v>
      </c>
      <c r="F1069" s="10">
        <v>4.08E-4</v>
      </c>
      <c r="G1069" s="12">
        <f>ROUND(G$3*F1069,0)</f>
        <v>117</v>
      </c>
      <c r="H1069" s="13">
        <f>ROUND(G1069/2,0)</f>
        <v>59</v>
      </c>
      <c r="I1069" s="12">
        <f>G1069-H1069</f>
        <v>58</v>
      </c>
      <c r="J1069" s="3" t="str">
        <f t="shared" si="78"/>
        <v>1620001</v>
      </c>
    </row>
    <row r="1070" spans="2:10" s="3" customFormat="1">
      <c r="B1070" s="3" t="s">
        <v>2103</v>
      </c>
      <c r="C1070" s="8">
        <v>2</v>
      </c>
      <c r="D1070" s="3" t="s">
        <v>2188</v>
      </c>
      <c r="E1070" s="11" t="s">
        <v>11</v>
      </c>
      <c r="F1070" s="10">
        <v>3.0800000000000001E-4</v>
      </c>
      <c r="G1070" s="12">
        <f>ROUND(G$3*F1070,0)</f>
        <v>89</v>
      </c>
      <c r="H1070" s="13">
        <f>ROUND(G1070/2,0)</f>
        <v>45</v>
      </c>
      <c r="I1070" s="12">
        <f>G1070-H1070</f>
        <v>44</v>
      </c>
      <c r="J1070" s="3" t="str">
        <f t="shared" si="78"/>
        <v>1620001</v>
      </c>
    </row>
    <row r="1071" spans="2:10" s="3" customFormat="1">
      <c r="B1071" s="3" t="s">
        <v>2103</v>
      </c>
      <c r="C1071" s="8">
        <v>2</v>
      </c>
      <c r="D1071" s="3" t="s">
        <v>2189</v>
      </c>
      <c r="E1071" s="11" t="s">
        <v>81</v>
      </c>
      <c r="F1071" s="11"/>
      <c r="G1071" s="9"/>
      <c r="H1071" s="11"/>
      <c r="I1071" s="11"/>
      <c r="J1071" s="3" t="str">
        <f t="shared" si="78"/>
        <v>1620002</v>
      </c>
    </row>
    <row r="1072" spans="2:10" s="3" customFormat="1">
      <c r="B1072" s="3" t="s">
        <v>2103</v>
      </c>
      <c r="C1072" s="8">
        <v>2</v>
      </c>
      <c r="D1072" s="3" t="s">
        <v>2189</v>
      </c>
      <c r="E1072" s="11" t="s">
        <v>10</v>
      </c>
      <c r="F1072" s="10">
        <v>3.4459999999999998E-3</v>
      </c>
      <c r="G1072" s="12">
        <f>ROUND(G$3*F1072,0)</f>
        <v>991</v>
      </c>
      <c r="H1072" s="13">
        <f>ROUND(G1072/2,0)</f>
        <v>496</v>
      </c>
      <c r="I1072" s="12">
        <f>G1072-H1072</f>
        <v>495</v>
      </c>
      <c r="J1072" s="3" t="str">
        <f t="shared" si="78"/>
        <v>1620002</v>
      </c>
    </row>
    <row r="1073" spans="2:10" s="3" customFormat="1">
      <c r="B1073" s="3" t="s">
        <v>2103</v>
      </c>
      <c r="C1073" s="8">
        <v>2</v>
      </c>
      <c r="D1073" s="3" t="s">
        <v>2189</v>
      </c>
      <c r="E1073" s="11" t="s">
        <v>11</v>
      </c>
      <c r="F1073" s="10">
        <v>2.735E-3</v>
      </c>
      <c r="G1073" s="12">
        <f>ROUND(G$3*F1073,0)</f>
        <v>787</v>
      </c>
      <c r="H1073" s="13">
        <f>ROUND(G1073/2,0)</f>
        <v>394</v>
      </c>
      <c r="I1073" s="12">
        <f>G1073-H1073</f>
        <v>393</v>
      </c>
      <c r="J1073" s="3" t="str">
        <f t="shared" si="78"/>
        <v>1620002</v>
      </c>
    </row>
    <row r="1074" spans="2:10" s="3" customFormat="1">
      <c r="B1074" s="3" t="s">
        <v>2103</v>
      </c>
      <c r="C1074" s="8">
        <v>2</v>
      </c>
      <c r="D1074" s="3" t="s">
        <v>2190</v>
      </c>
      <c r="E1074" s="11" t="s">
        <v>147</v>
      </c>
      <c r="F1074" s="11"/>
      <c r="G1074" s="9"/>
      <c r="H1074" s="11"/>
      <c r="I1074" s="11"/>
      <c r="J1074" s="3" t="str">
        <f t="shared" si="78"/>
        <v>1620003</v>
      </c>
    </row>
    <row r="1075" spans="2:10" s="3" customFormat="1">
      <c r="B1075" s="3" t="s">
        <v>2103</v>
      </c>
      <c r="C1075" s="8">
        <v>2</v>
      </c>
      <c r="D1075" s="3" t="s">
        <v>2190</v>
      </c>
      <c r="E1075" s="11" t="s">
        <v>10</v>
      </c>
      <c r="F1075" s="10">
        <v>3.2400000000000001E-4</v>
      </c>
      <c r="G1075" s="12">
        <f>ROUND(G$3*F1075,0)</f>
        <v>93</v>
      </c>
      <c r="H1075" s="13">
        <f>ROUND(G1075/2,0)</f>
        <v>47</v>
      </c>
      <c r="I1075" s="12">
        <f>G1075-H1075</f>
        <v>46</v>
      </c>
      <c r="J1075" s="3" t="str">
        <f t="shared" si="78"/>
        <v>1620003</v>
      </c>
    </row>
    <row r="1076" spans="2:10" s="3" customFormat="1">
      <c r="B1076" s="3" t="s">
        <v>2103</v>
      </c>
      <c r="C1076" s="8">
        <v>2</v>
      </c>
      <c r="D1076" s="3" t="s">
        <v>2190</v>
      </c>
      <c r="E1076" s="11" t="s">
        <v>11</v>
      </c>
      <c r="F1076" s="10">
        <v>6.7000000000000002E-5</v>
      </c>
      <c r="G1076" s="12">
        <f>ROUND(G$3*F1076,0)</f>
        <v>19</v>
      </c>
      <c r="H1076" s="13">
        <f>ROUND(G1076/2,0)</f>
        <v>10</v>
      </c>
      <c r="I1076" s="12">
        <f>G1076-H1076</f>
        <v>9</v>
      </c>
      <c r="J1076" s="3" t="str">
        <f t="shared" si="78"/>
        <v>1620003</v>
      </c>
    </row>
    <row r="1077" spans="2:10" s="3" customFormat="1">
      <c r="B1077" s="3" t="s">
        <v>2103</v>
      </c>
      <c r="C1077" s="8">
        <v>2</v>
      </c>
      <c r="D1077" s="3" t="s">
        <v>2191</v>
      </c>
      <c r="E1077" s="11" t="s">
        <v>354</v>
      </c>
      <c r="F1077" s="11"/>
      <c r="G1077" s="9"/>
      <c r="H1077" s="11"/>
      <c r="I1077" s="11"/>
      <c r="J1077" s="3" t="str">
        <f t="shared" si="78"/>
        <v>1620004</v>
      </c>
    </row>
    <row r="1078" spans="2:10" s="3" customFormat="1">
      <c r="B1078" s="3" t="s">
        <v>2103</v>
      </c>
      <c r="C1078" s="8">
        <v>2</v>
      </c>
      <c r="D1078" s="3" t="s">
        <v>2191</v>
      </c>
      <c r="E1078" s="11" t="s">
        <v>10</v>
      </c>
      <c r="F1078" s="10">
        <v>7.27E-4</v>
      </c>
      <c r="G1078" s="12">
        <f>ROUND(G$3*F1078,0)</f>
        <v>209</v>
      </c>
      <c r="H1078" s="13">
        <f>ROUND(G1078/2,0)</f>
        <v>105</v>
      </c>
      <c r="I1078" s="12">
        <f>G1078-H1078</f>
        <v>104</v>
      </c>
      <c r="J1078" s="3" t="str">
        <f t="shared" si="78"/>
        <v>1620004</v>
      </c>
    </row>
    <row r="1079" spans="2:10" s="3" customFormat="1">
      <c r="B1079" s="3" t="s">
        <v>2103</v>
      </c>
      <c r="C1079" s="8">
        <v>2</v>
      </c>
      <c r="D1079" s="3" t="s">
        <v>2191</v>
      </c>
      <c r="E1079" s="11" t="s">
        <v>11</v>
      </c>
      <c r="F1079" s="10">
        <v>1.4300000000000001E-4</v>
      </c>
      <c r="G1079" s="12">
        <f>ROUND(G$3*F1079,0)</f>
        <v>41</v>
      </c>
      <c r="H1079" s="13">
        <f>ROUND(G1079/2,0)</f>
        <v>21</v>
      </c>
      <c r="I1079" s="12">
        <f>G1079-H1079</f>
        <v>20</v>
      </c>
      <c r="J1079" s="3" t="str">
        <f t="shared" si="78"/>
        <v>1620004</v>
      </c>
    </row>
    <row r="1080" spans="2:10" s="3" customFormat="1">
      <c r="B1080" s="3" t="s">
        <v>2103</v>
      </c>
      <c r="C1080" s="8">
        <v>2</v>
      </c>
      <c r="D1080" s="3" t="s">
        <v>2192</v>
      </c>
      <c r="E1080" s="11" t="s">
        <v>49</v>
      </c>
      <c r="F1080" s="11"/>
      <c r="G1080" s="9"/>
      <c r="H1080" s="11"/>
      <c r="I1080" s="11"/>
      <c r="J1080" s="3" t="str">
        <f t="shared" si="78"/>
        <v>1620005</v>
      </c>
    </row>
    <row r="1081" spans="2:10" s="3" customFormat="1">
      <c r="B1081" s="3" t="s">
        <v>2103</v>
      </c>
      <c r="C1081" s="8">
        <v>2</v>
      </c>
      <c r="D1081" s="3" t="s">
        <v>2192</v>
      </c>
      <c r="E1081" s="11" t="s">
        <v>10</v>
      </c>
      <c r="F1081" s="10">
        <v>1.854E-3</v>
      </c>
      <c r="G1081" s="12">
        <f>ROUND(G$3*F1081,0)</f>
        <v>533</v>
      </c>
      <c r="H1081" s="13">
        <f>ROUND(G1081/2,0)</f>
        <v>267</v>
      </c>
      <c r="I1081" s="12">
        <f>G1081-H1081</f>
        <v>266</v>
      </c>
      <c r="J1081" s="3" t="str">
        <f t="shared" si="78"/>
        <v>1620005</v>
      </c>
    </row>
    <row r="1082" spans="2:10" s="3" customFormat="1">
      <c r="B1082" s="3" t="s">
        <v>2103</v>
      </c>
      <c r="C1082" s="8">
        <v>2</v>
      </c>
      <c r="D1082" s="3" t="s">
        <v>2192</v>
      </c>
      <c r="E1082" s="11" t="s">
        <v>11</v>
      </c>
      <c r="F1082" s="10">
        <v>3.97E-4</v>
      </c>
      <c r="G1082" s="12">
        <f>ROUND(G$3*F1082,0)</f>
        <v>114</v>
      </c>
      <c r="H1082" s="13">
        <f>ROUND(G1082/2,0)</f>
        <v>57</v>
      </c>
      <c r="I1082" s="12">
        <f>G1082-H1082</f>
        <v>57</v>
      </c>
      <c r="J1082" s="3" t="str">
        <f t="shared" si="78"/>
        <v>1620005</v>
      </c>
    </row>
    <row r="1083" spans="2:10" s="3" customFormat="1">
      <c r="B1083" s="3" t="s">
        <v>2103</v>
      </c>
      <c r="C1083" s="8">
        <v>2</v>
      </c>
      <c r="D1083" s="3" t="s">
        <v>2193</v>
      </c>
      <c r="E1083" s="11" t="s">
        <v>53</v>
      </c>
      <c r="F1083" s="11"/>
      <c r="G1083" s="9"/>
      <c r="H1083" s="11"/>
      <c r="I1083" s="11"/>
      <c r="J1083" s="3" t="str">
        <f t="shared" si="78"/>
        <v>1620006</v>
      </c>
    </row>
    <row r="1084" spans="2:10" s="3" customFormat="1">
      <c r="B1084" s="3" t="s">
        <v>2103</v>
      </c>
      <c r="C1084" s="8">
        <v>2</v>
      </c>
      <c r="D1084" s="3" t="s">
        <v>2193</v>
      </c>
      <c r="E1084" s="11" t="s">
        <v>10</v>
      </c>
      <c r="F1084" s="10">
        <v>1.3979999999999999E-3</v>
      </c>
      <c r="G1084" s="12">
        <f>ROUND(G$3*F1084,0)</f>
        <v>402</v>
      </c>
      <c r="H1084" s="13">
        <f>ROUND(G1084/2,0)</f>
        <v>201</v>
      </c>
      <c r="I1084" s="12">
        <f>G1084-H1084</f>
        <v>201</v>
      </c>
      <c r="J1084" s="3" t="str">
        <f t="shared" si="78"/>
        <v>1620006</v>
      </c>
    </row>
    <row r="1085" spans="2:10" s="3" customFormat="1">
      <c r="B1085" s="3" t="s">
        <v>2103</v>
      </c>
      <c r="C1085" s="8">
        <v>2</v>
      </c>
      <c r="D1085" s="3" t="s">
        <v>2193</v>
      </c>
      <c r="E1085" s="11" t="s">
        <v>11</v>
      </c>
      <c r="F1085" s="10">
        <v>7.8899999999999999E-4</v>
      </c>
      <c r="G1085" s="12">
        <f>ROUND(G$3*F1085,0)</f>
        <v>227</v>
      </c>
      <c r="H1085" s="13">
        <f>ROUND(G1085/2,0)</f>
        <v>114</v>
      </c>
      <c r="I1085" s="12">
        <f>G1085-H1085</f>
        <v>113</v>
      </c>
      <c r="J1085" s="3" t="str">
        <f t="shared" si="78"/>
        <v>1620006</v>
      </c>
    </row>
    <row r="1086" spans="2:10" s="3" customFormat="1">
      <c r="B1086" s="3" t="s">
        <v>2103</v>
      </c>
      <c r="C1086" s="8">
        <v>2</v>
      </c>
      <c r="D1086" s="3" t="s">
        <v>2194</v>
      </c>
      <c r="E1086" s="11" t="s">
        <v>355</v>
      </c>
      <c r="F1086" s="11"/>
      <c r="G1086" s="9"/>
      <c r="H1086" s="11"/>
      <c r="I1086" s="11"/>
      <c r="J1086" s="3" t="str">
        <f t="shared" si="78"/>
        <v>1620007</v>
      </c>
    </row>
    <row r="1087" spans="2:10" s="3" customFormat="1">
      <c r="B1087" s="3" t="s">
        <v>2103</v>
      </c>
      <c r="C1087" s="8">
        <v>2</v>
      </c>
      <c r="D1087" s="3" t="s">
        <v>2194</v>
      </c>
      <c r="E1087" s="11" t="s">
        <v>10</v>
      </c>
      <c r="F1087" s="10">
        <v>1.6590000000000001E-3</v>
      </c>
      <c r="G1087" s="12">
        <f>ROUND(G$3*F1087,0)</f>
        <v>477</v>
      </c>
      <c r="H1087" s="13">
        <f>ROUND(G1087/2,0)</f>
        <v>239</v>
      </c>
      <c r="I1087" s="12">
        <f>G1087-H1087</f>
        <v>238</v>
      </c>
      <c r="J1087" s="3" t="str">
        <f t="shared" si="78"/>
        <v>1620007</v>
      </c>
    </row>
    <row r="1088" spans="2:10" s="3" customFormat="1">
      <c r="B1088" s="3" t="s">
        <v>2103</v>
      </c>
      <c r="C1088" s="8">
        <v>2</v>
      </c>
      <c r="D1088" s="3" t="s">
        <v>2194</v>
      </c>
      <c r="E1088" s="11" t="s">
        <v>11</v>
      </c>
      <c r="F1088" s="10">
        <v>7.7499999999999997E-4</v>
      </c>
      <c r="G1088" s="12">
        <f>ROUND(G$3*F1088,0)</f>
        <v>223</v>
      </c>
      <c r="H1088" s="13">
        <f>ROUND(G1088/2,0)</f>
        <v>112</v>
      </c>
      <c r="I1088" s="12">
        <f>G1088-H1088</f>
        <v>111</v>
      </c>
      <c r="J1088" s="3" t="str">
        <f t="shared" si="78"/>
        <v>1620007</v>
      </c>
    </row>
    <row r="1089" spans="1:10" s="3" customFormat="1">
      <c r="B1089" s="3" t="s">
        <v>2103</v>
      </c>
      <c r="C1089" s="8">
        <v>2</v>
      </c>
      <c r="D1089" s="3" t="s">
        <v>2195</v>
      </c>
      <c r="E1089" s="11" t="s">
        <v>90</v>
      </c>
      <c r="F1089" s="11"/>
      <c r="G1089" s="9"/>
      <c r="H1089" s="11"/>
      <c r="I1089" s="11"/>
      <c r="J1089" s="3" t="str">
        <f t="shared" si="78"/>
        <v>1620008</v>
      </c>
    </row>
    <row r="1090" spans="1:10" s="3" customFormat="1">
      <c r="B1090" s="3" t="s">
        <v>2103</v>
      </c>
      <c r="C1090" s="8">
        <v>2</v>
      </c>
      <c r="D1090" s="3" t="s">
        <v>2195</v>
      </c>
      <c r="E1090" s="11" t="s">
        <v>10</v>
      </c>
      <c r="F1090" s="10">
        <v>4.5669999999999999E-3</v>
      </c>
      <c r="G1090" s="12">
        <f>ROUND(G$3*F1090,0)</f>
        <v>1314</v>
      </c>
      <c r="H1090" s="13">
        <f>ROUND(G1090/2,0)</f>
        <v>657</v>
      </c>
      <c r="I1090" s="12">
        <f>G1090-H1090</f>
        <v>657</v>
      </c>
      <c r="J1090" s="3" t="str">
        <f t="shared" si="78"/>
        <v>1620008</v>
      </c>
    </row>
    <row r="1091" spans="1:10" s="3" customFormat="1">
      <c r="B1091" s="3" t="s">
        <v>2103</v>
      </c>
      <c r="C1091" s="8">
        <v>2</v>
      </c>
      <c r="D1091" s="3" t="s">
        <v>2195</v>
      </c>
      <c r="E1091" s="11" t="s">
        <v>11</v>
      </c>
      <c r="F1091" s="10">
        <v>6.9899999999999997E-4</v>
      </c>
      <c r="G1091" s="12">
        <f>ROUND(G$3*F1091,0)</f>
        <v>201</v>
      </c>
      <c r="H1091" s="13">
        <f>ROUND(G1091/2,0)</f>
        <v>101</v>
      </c>
      <c r="I1091" s="12">
        <f>G1091-H1091</f>
        <v>100</v>
      </c>
      <c r="J1091" s="3" t="str">
        <f t="shared" si="78"/>
        <v>1620008</v>
      </c>
    </row>
    <row r="1092" spans="1:10" s="3" customFormat="1">
      <c r="B1092" s="3" t="s">
        <v>2103</v>
      </c>
      <c r="C1092" s="8">
        <v>2</v>
      </c>
      <c r="D1092" s="3" t="s">
        <v>2196</v>
      </c>
      <c r="E1092" s="11" t="s">
        <v>22</v>
      </c>
      <c r="F1092" s="11"/>
      <c r="G1092" s="9"/>
      <c r="H1092" s="11"/>
      <c r="I1092" s="11"/>
      <c r="J1092" s="3" t="str">
        <f t="shared" ref="J1092:J1155" si="82">B1092&amp;C1092&amp;D1092</f>
        <v>1620009</v>
      </c>
    </row>
    <row r="1093" spans="1:10" s="3" customFormat="1">
      <c r="B1093" s="3" t="s">
        <v>2103</v>
      </c>
      <c r="C1093" s="8">
        <v>2</v>
      </c>
      <c r="D1093" s="3" t="s">
        <v>2196</v>
      </c>
      <c r="E1093" s="11" t="s">
        <v>10</v>
      </c>
      <c r="F1093" s="10">
        <v>5.3200000000000001E-3</v>
      </c>
      <c r="G1093" s="12">
        <f t="shared" ref="G1093:G1101" si="83">ROUND(G$3*F1093,0)</f>
        <v>1531</v>
      </c>
      <c r="H1093" s="13">
        <f t="shared" ref="H1093:H1101" si="84">ROUND(G1093/2,0)</f>
        <v>766</v>
      </c>
      <c r="I1093" s="12">
        <f t="shared" ref="I1093:I1101" si="85">G1093-H1093</f>
        <v>765</v>
      </c>
      <c r="J1093" s="3" t="str">
        <f t="shared" si="82"/>
        <v>1620009</v>
      </c>
    </row>
    <row r="1094" spans="1:10" s="3" customFormat="1">
      <c r="B1094" s="3" t="s">
        <v>2103</v>
      </c>
      <c r="C1094" s="8">
        <v>2</v>
      </c>
      <c r="D1094" s="3" t="s">
        <v>2196</v>
      </c>
      <c r="E1094" s="11" t="s">
        <v>11</v>
      </c>
      <c r="F1094" s="10">
        <v>2.8609999999999998E-3</v>
      </c>
      <c r="G1094" s="12">
        <f t="shared" si="83"/>
        <v>823</v>
      </c>
      <c r="H1094" s="13">
        <f t="shared" si="84"/>
        <v>412</v>
      </c>
      <c r="I1094" s="12">
        <f t="shared" si="85"/>
        <v>411</v>
      </c>
      <c r="J1094" s="3" t="str">
        <f t="shared" si="82"/>
        <v>1620009</v>
      </c>
    </row>
    <row r="1095" spans="1:10" s="3" customFormat="1">
      <c r="B1095" s="3" t="s">
        <v>2103</v>
      </c>
      <c r="C1095" s="8">
        <v>3</v>
      </c>
      <c r="D1095" s="3" t="s">
        <v>2354</v>
      </c>
      <c r="E1095" s="11" t="s">
        <v>356</v>
      </c>
      <c r="F1095" s="10">
        <v>6.3630999999999993E-2</v>
      </c>
      <c r="G1095" s="12">
        <f t="shared" si="83"/>
        <v>18308</v>
      </c>
      <c r="H1095" s="13">
        <f t="shared" si="84"/>
        <v>9154</v>
      </c>
      <c r="I1095" s="12">
        <f t="shared" si="85"/>
        <v>9154</v>
      </c>
      <c r="J1095" s="3" t="str">
        <f t="shared" si="82"/>
        <v>1630406</v>
      </c>
    </row>
    <row r="1096" spans="1:10" s="3" customFormat="1">
      <c r="A1096" s="3" t="s">
        <v>6269</v>
      </c>
      <c r="B1096" s="3" t="s">
        <v>2103</v>
      </c>
      <c r="C1096" s="8">
        <v>3</v>
      </c>
      <c r="D1096" s="3" t="s">
        <v>6267</v>
      </c>
      <c r="E1096" s="11" t="s">
        <v>357</v>
      </c>
      <c r="F1096" s="10">
        <v>0</v>
      </c>
      <c r="G1096" s="12">
        <f t="shared" si="83"/>
        <v>0</v>
      </c>
      <c r="H1096" s="13">
        <f t="shared" si="84"/>
        <v>0</v>
      </c>
      <c r="I1096" s="12">
        <f t="shared" si="85"/>
        <v>0</v>
      </c>
      <c r="J1096" s="3" t="str">
        <f t="shared" si="82"/>
        <v>163XXXX</v>
      </c>
    </row>
    <row r="1097" spans="1:10" s="3" customFormat="1">
      <c r="B1097" s="3" t="s">
        <v>2103</v>
      </c>
      <c r="C1097" s="8">
        <v>3</v>
      </c>
      <c r="D1097" s="3" t="s">
        <v>2355</v>
      </c>
      <c r="E1097" s="11" t="s">
        <v>358</v>
      </c>
      <c r="F1097" s="10">
        <v>4.8000000000000001E-5</v>
      </c>
      <c r="G1097" s="12">
        <f t="shared" si="83"/>
        <v>14</v>
      </c>
      <c r="H1097" s="13">
        <f t="shared" si="84"/>
        <v>7</v>
      </c>
      <c r="I1097" s="12">
        <f t="shared" si="85"/>
        <v>7</v>
      </c>
      <c r="J1097" s="3" t="str">
        <f t="shared" si="82"/>
        <v>1630581</v>
      </c>
    </row>
    <row r="1098" spans="1:10" s="3" customFormat="1">
      <c r="B1098" s="3" t="s">
        <v>2103</v>
      </c>
      <c r="C1098" s="8">
        <v>3</v>
      </c>
      <c r="D1098" s="3" t="s">
        <v>2356</v>
      </c>
      <c r="E1098" s="11" t="s">
        <v>359</v>
      </c>
      <c r="F1098" s="10">
        <v>6.4640000000000001E-3</v>
      </c>
      <c r="G1098" s="12">
        <f t="shared" si="83"/>
        <v>1860</v>
      </c>
      <c r="H1098" s="13">
        <f t="shared" si="84"/>
        <v>930</v>
      </c>
      <c r="I1098" s="12">
        <f t="shared" si="85"/>
        <v>930</v>
      </c>
      <c r="J1098" s="3" t="str">
        <f t="shared" si="82"/>
        <v>1630582</v>
      </c>
    </row>
    <row r="1099" spans="1:10" s="3" customFormat="1">
      <c r="B1099" s="3" t="s">
        <v>2103</v>
      </c>
      <c r="C1099" s="8">
        <v>3</v>
      </c>
      <c r="D1099" s="3" t="s">
        <v>2357</v>
      </c>
      <c r="E1099" s="11" t="s">
        <v>360</v>
      </c>
      <c r="F1099" s="10">
        <v>1.4E-5</v>
      </c>
      <c r="G1099" s="12">
        <f t="shared" si="83"/>
        <v>4</v>
      </c>
      <c r="H1099" s="13">
        <f t="shared" si="84"/>
        <v>2</v>
      </c>
      <c r="I1099" s="12">
        <f t="shared" si="85"/>
        <v>2</v>
      </c>
      <c r="J1099" s="3" t="str">
        <f t="shared" si="82"/>
        <v>1630583</v>
      </c>
    </row>
    <row r="1100" spans="1:10" s="3" customFormat="1">
      <c r="B1100" s="3" t="s">
        <v>2103</v>
      </c>
      <c r="C1100" s="8">
        <v>3</v>
      </c>
      <c r="D1100" s="3" t="s">
        <v>2358</v>
      </c>
      <c r="E1100" s="11" t="s">
        <v>361</v>
      </c>
      <c r="F1100" s="10">
        <v>6.6169999999999996E-3</v>
      </c>
      <c r="G1100" s="12">
        <f t="shared" si="83"/>
        <v>1904</v>
      </c>
      <c r="H1100" s="13">
        <f t="shared" si="84"/>
        <v>952</v>
      </c>
      <c r="I1100" s="12">
        <f t="shared" si="85"/>
        <v>952</v>
      </c>
      <c r="J1100" s="3" t="str">
        <f t="shared" si="82"/>
        <v>1630584</v>
      </c>
    </row>
    <row r="1101" spans="1:10" s="3" customFormat="1">
      <c r="B1101" s="3" t="s">
        <v>2103</v>
      </c>
      <c r="C1101" s="8">
        <v>4</v>
      </c>
      <c r="D1101" s="116" t="s">
        <v>2359</v>
      </c>
      <c r="E1101" s="11" t="s">
        <v>362</v>
      </c>
      <c r="F1101" s="10">
        <v>0.37912000000000001</v>
      </c>
      <c r="G1101" s="9">
        <f t="shared" si="83"/>
        <v>109082</v>
      </c>
      <c r="H1101" s="11">
        <f t="shared" si="84"/>
        <v>54541</v>
      </c>
      <c r="I1101" s="9">
        <f t="shared" si="85"/>
        <v>54541</v>
      </c>
      <c r="J1101" s="3" t="str">
        <f t="shared" si="82"/>
        <v>1641655</v>
      </c>
    </row>
    <row r="1102" spans="1:10" s="3" customFormat="1">
      <c r="B1102" s="3" t="s">
        <v>2103</v>
      </c>
      <c r="C1102" s="8">
        <v>4</v>
      </c>
      <c r="D1102" s="116" t="s">
        <v>2359</v>
      </c>
      <c r="E1102" s="11" t="s">
        <v>28</v>
      </c>
      <c r="F1102" s="11"/>
      <c r="G1102" s="14">
        <v>0.52469100000000002</v>
      </c>
      <c r="H1102" s="11"/>
      <c r="I1102" s="11"/>
      <c r="J1102" s="3" t="str">
        <f t="shared" si="82"/>
        <v>1641655</v>
      </c>
    </row>
    <row r="1103" spans="1:10" s="3" customFormat="1">
      <c r="B1103" s="3" t="s">
        <v>2103</v>
      </c>
      <c r="C1103" s="8">
        <v>4</v>
      </c>
      <c r="D1103" s="116" t="s">
        <v>2359</v>
      </c>
      <c r="E1103" s="11" t="s">
        <v>29</v>
      </c>
      <c r="F1103" s="11"/>
      <c r="G1103" s="15">
        <f>ROUND(G1101*G1102,0)</f>
        <v>57234</v>
      </c>
      <c r="H1103" s="16">
        <f>ROUND(G1103/2,0)</f>
        <v>28617</v>
      </c>
      <c r="I1103" s="15">
        <f>G1103-H1103</f>
        <v>28617</v>
      </c>
      <c r="J1103" s="3" t="str">
        <f t="shared" si="82"/>
        <v>1641655</v>
      </c>
    </row>
    <row r="1104" spans="1:10" s="3" customFormat="1">
      <c r="B1104" s="3" t="s">
        <v>2103</v>
      </c>
      <c r="C1104" s="8">
        <v>4</v>
      </c>
      <c r="D1104" s="116" t="s">
        <v>2359</v>
      </c>
      <c r="E1104" s="11" t="s">
        <v>30</v>
      </c>
      <c r="F1104" s="11"/>
      <c r="G1104" s="12">
        <f>+G1101-G1103</f>
        <v>51848</v>
      </c>
      <c r="H1104" s="13">
        <f>ROUND(G1104/2,0)</f>
        <v>25924</v>
      </c>
      <c r="I1104" s="12">
        <f>G1104-H1104</f>
        <v>25924</v>
      </c>
      <c r="J1104" s="3" t="str">
        <f t="shared" si="82"/>
        <v>1641655</v>
      </c>
    </row>
    <row r="1105" spans="2:10" s="3" customFormat="1">
      <c r="B1105" s="3" t="s">
        <v>2103</v>
      </c>
      <c r="C1105" s="8">
        <v>5</v>
      </c>
      <c r="D1105" s="3" t="s">
        <v>3663</v>
      </c>
      <c r="E1105" s="11" t="s">
        <v>363</v>
      </c>
      <c r="F1105" s="10">
        <v>9.8670000000000008E-3</v>
      </c>
      <c r="G1105" s="120">
        <f>ROUND(G$3*F1105,0)</f>
        <v>2839</v>
      </c>
      <c r="H1105" s="120">
        <f>ROUND(G1105/2,0)</f>
        <v>1420</v>
      </c>
      <c r="I1105" s="120">
        <f>G1105-H1105</f>
        <v>1419</v>
      </c>
      <c r="J1105" s="3" t="str">
        <f t="shared" si="82"/>
        <v>1650283</v>
      </c>
    </row>
    <row r="1106" spans="2:10" s="3" customFormat="1">
      <c r="B1106" s="3" t="s">
        <v>2103</v>
      </c>
      <c r="C1106" s="8">
        <v>4</v>
      </c>
      <c r="D1106" s="3" t="s">
        <v>2360</v>
      </c>
      <c r="E1106" s="11" t="s">
        <v>364</v>
      </c>
      <c r="F1106" s="10">
        <v>0.27818799999999999</v>
      </c>
      <c r="G1106" s="9">
        <f>ROUND(G$3*F1106,0)</f>
        <v>80041</v>
      </c>
      <c r="H1106" s="11">
        <f>ROUND(G1106/2,0)</f>
        <v>40021</v>
      </c>
      <c r="I1106" s="9">
        <f>G1106-H1106</f>
        <v>40020</v>
      </c>
      <c r="J1106" s="3" t="str">
        <f t="shared" si="82"/>
        <v>1641730</v>
      </c>
    </row>
    <row r="1107" spans="2:10" s="3" customFormat="1">
      <c r="B1107" s="3" t="s">
        <v>2103</v>
      </c>
      <c r="C1107" s="8">
        <v>4</v>
      </c>
      <c r="D1107" s="3" t="s">
        <v>2360</v>
      </c>
      <c r="E1107" s="11" t="s">
        <v>28</v>
      </c>
      <c r="F1107" s="11"/>
      <c r="G1107" s="14">
        <v>0.43104700000000001</v>
      </c>
      <c r="H1107" s="11"/>
      <c r="I1107" s="11"/>
      <c r="J1107" s="3" t="str">
        <f t="shared" si="82"/>
        <v>1641730</v>
      </c>
    </row>
    <row r="1108" spans="2:10" s="3" customFormat="1">
      <c r="B1108" s="3" t="s">
        <v>2103</v>
      </c>
      <c r="C1108" s="8">
        <v>4</v>
      </c>
      <c r="D1108" s="3" t="s">
        <v>2360</v>
      </c>
      <c r="E1108" s="11" t="s">
        <v>29</v>
      </c>
      <c r="F1108" s="11"/>
      <c r="G1108" s="15">
        <f>ROUND(G1106*G1107,0)</f>
        <v>34501</v>
      </c>
      <c r="H1108" s="16">
        <f>ROUND(G1108/2,0)</f>
        <v>17251</v>
      </c>
      <c r="I1108" s="15">
        <f>G1108-H1108</f>
        <v>17250</v>
      </c>
      <c r="J1108" s="3" t="str">
        <f t="shared" si="82"/>
        <v>1641730</v>
      </c>
    </row>
    <row r="1109" spans="2:10" s="3" customFormat="1">
      <c r="B1109" s="3" t="s">
        <v>2103</v>
      </c>
      <c r="C1109" s="8">
        <v>4</v>
      </c>
      <c r="D1109" s="3" t="s">
        <v>2360</v>
      </c>
      <c r="E1109" s="11" t="s">
        <v>30</v>
      </c>
      <c r="F1109" s="11"/>
      <c r="G1109" s="12">
        <f>+G1106-G1108</f>
        <v>45540</v>
      </c>
      <c r="H1109" s="13">
        <f>ROUND(G1109/2,0)</f>
        <v>22770</v>
      </c>
      <c r="I1109" s="12">
        <f>G1109-H1109</f>
        <v>22770</v>
      </c>
      <c r="J1109" s="3" t="str">
        <f t="shared" si="82"/>
        <v>1641730</v>
      </c>
    </row>
    <row r="1110" spans="2:10" s="3" customFormat="1">
      <c r="B1110" s="3" t="s">
        <v>2103</v>
      </c>
      <c r="C1110" s="8">
        <v>5</v>
      </c>
      <c r="D1110" s="3" t="s">
        <v>2206</v>
      </c>
      <c r="E1110" s="11" t="s">
        <v>365</v>
      </c>
      <c r="F1110" s="10">
        <v>1.0343E-2</v>
      </c>
      <c r="G1110" s="120">
        <f>ROUND(G$3*F1110,0)</f>
        <v>2976</v>
      </c>
      <c r="H1110" s="120">
        <f>ROUND(G1110/2,0)</f>
        <v>1488</v>
      </c>
      <c r="I1110" s="120">
        <f>G1110-H1110</f>
        <v>1488</v>
      </c>
      <c r="J1110" s="3" t="str">
        <f t="shared" si="82"/>
        <v>1650035</v>
      </c>
    </row>
    <row r="1111" spans="2:10" s="3" customFormat="1">
      <c r="B1111" s="3" t="s">
        <v>2103</v>
      </c>
      <c r="C1111" s="8">
        <v>6</v>
      </c>
      <c r="D1111" s="3" t="s">
        <v>3665</v>
      </c>
      <c r="E1111" s="11" t="s">
        <v>366</v>
      </c>
      <c r="F1111" s="10">
        <v>5.7419999999999997E-3</v>
      </c>
      <c r="G1111" s="120">
        <f>+G1062-SUM(G1063:G1064)-SUM(G1069:G1101)-SUM(G1105:G1106)-G1110</f>
        <v>39773</v>
      </c>
      <c r="H1111" s="120">
        <f>ROUND(G1111/2,0)</f>
        <v>19887</v>
      </c>
      <c r="I1111" s="120">
        <f>G1111-H1111</f>
        <v>19886</v>
      </c>
      <c r="J1111" s="3" t="str">
        <f t="shared" si="82"/>
        <v>1661003</v>
      </c>
    </row>
    <row r="1112" spans="2:10" s="3" customFormat="1">
      <c r="B1112" s="3" t="s">
        <v>2103</v>
      </c>
      <c r="C1112" s="8">
        <v>0</v>
      </c>
      <c r="D1112" s="125" t="s">
        <v>2187</v>
      </c>
      <c r="E1112" s="28" t="s">
        <v>288</v>
      </c>
      <c r="F1112" s="10">
        <v>1</v>
      </c>
      <c r="G1112" s="12">
        <f>+G1063+SUM(G1066:G1100)+SUM(G1103:G1105)+SUM(G1108:G1111)</f>
        <v>325842</v>
      </c>
      <c r="H1112" s="12">
        <f>+H1063+SUM(H1066:H1100)+SUM(H1103:H1105)+SUM(H1108:H1111)</f>
        <v>162931</v>
      </c>
      <c r="I1112" s="12">
        <f>+I1063+SUM(I1066:I1100)+SUM(I1103:I1105)+SUM(I1108:I1111)</f>
        <v>162911</v>
      </c>
      <c r="J1112" s="3" t="str">
        <f t="shared" si="82"/>
        <v>1600000</v>
      </c>
    </row>
    <row r="1113" spans="2:10" s="3" customFormat="1">
      <c r="B1113" s="3" t="s">
        <v>2103</v>
      </c>
      <c r="C1113" s="8">
        <v>0</v>
      </c>
      <c r="D1113" s="3" t="s">
        <v>2187</v>
      </c>
      <c r="E1113" s="18" t="s">
        <v>38</v>
      </c>
      <c r="F1113" s="19">
        <v>1.5269999999999999E-3</v>
      </c>
      <c r="G1113" s="19">
        <f>+G1063</f>
        <v>439</v>
      </c>
      <c r="H1113" s="19">
        <f>+H1063</f>
        <v>220</v>
      </c>
      <c r="I1113" s="19">
        <f>+I1063</f>
        <v>219</v>
      </c>
      <c r="J1113" s="3" t="str">
        <f t="shared" si="82"/>
        <v>1600000</v>
      </c>
    </row>
    <row r="1114" spans="2:10" s="3" customFormat="1">
      <c r="B1114" s="3" t="s">
        <v>2103</v>
      </c>
      <c r="C1114" s="8">
        <v>0</v>
      </c>
      <c r="D1114" s="3" t="s">
        <v>2187</v>
      </c>
      <c r="E1114" s="2" t="s">
        <v>39</v>
      </c>
      <c r="F1114" s="19">
        <v>0</v>
      </c>
      <c r="G1114" s="19">
        <f>+G1066</f>
        <v>12218</v>
      </c>
      <c r="H1114" s="19">
        <f>+H1066</f>
        <v>6109</v>
      </c>
      <c r="I1114" s="19">
        <f>+I1066</f>
        <v>6109</v>
      </c>
      <c r="J1114" s="3" t="str">
        <f t="shared" si="82"/>
        <v>1600000</v>
      </c>
    </row>
    <row r="1115" spans="2:10" s="3" customFormat="1">
      <c r="B1115" s="3" t="s">
        <v>2103</v>
      </c>
      <c r="C1115" s="8">
        <v>0</v>
      </c>
      <c r="D1115" s="3" t="s">
        <v>2187</v>
      </c>
      <c r="E1115" s="2" t="s">
        <v>40</v>
      </c>
      <c r="F1115" s="19">
        <v>0</v>
      </c>
      <c r="G1115" s="19">
        <f>+G1103+G1108</f>
        <v>91735</v>
      </c>
      <c r="H1115" s="19">
        <f>+H1103+H1108</f>
        <v>45868</v>
      </c>
      <c r="I1115" s="19">
        <f>+I1103+I1108</f>
        <v>45867</v>
      </c>
      <c r="J1115" s="3" t="str">
        <f t="shared" si="82"/>
        <v>1600000</v>
      </c>
    </row>
    <row r="1116" spans="2:10" s="3" customFormat="1">
      <c r="B1116" s="3" t="s">
        <v>2103</v>
      </c>
      <c r="C1116" s="8">
        <v>0</v>
      </c>
      <c r="D1116" s="125" t="s">
        <v>2187</v>
      </c>
      <c r="E1116" s="18" t="s">
        <v>41</v>
      </c>
      <c r="F1116" s="19">
        <v>0.99847300000000005</v>
      </c>
      <c r="G1116" s="19">
        <f>+G1112-G1113-G1114-G1115</f>
        <v>221450</v>
      </c>
      <c r="H1116" s="19">
        <f>+H1112-H1113-H1114-H1115</f>
        <v>110734</v>
      </c>
      <c r="I1116" s="19">
        <f>+I1112-I1113-I1114-I1115</f>
        <v>110716</v>
      </c>
      <c r="J1116" s="3" t="str">
        <f t="shared" si="82"/>
        <v>1600000</v>
      </c>
    </row>
    <row r="1117" spans="2:10" ht="15.75">
      <c r="B1117" s="3" t="s">
        <v>2186</v>
      </c>
      <c r="D1117" t="s">
        <v>2186</v>
      </c>
      <c r="E1117">
        <v>0</v>
      </c>
      <c r="G1117"/>
      <c r="H1117"/>
      <c r="I1117"/>
      <c r="J1117" s="3" t="str">
        <f t="shared" si="82"/>
        <v/>
      </c>
    </row>
    <row r="1118" spans="2:10" s="3" customFormat="1">
      <c r="C1118" s="1"/>
      <c r="D1118" s="3" t="s">
        <v>2186</v>
      </c>
      <c r="E1118" s="2" t="s">
        <v>367</v>
      </c>
      <c r="J1118" s="3" t="str">
        <f t="shared" si="82"/>
        <v/>
      </c>
    </row>
    <row r="1119" spans="2:10" s="3" customFormat="1" ht="45">
      <c r="B1119" s="3" t="s">
        <v>2186</v>
      </c>
      <c r="C1119" s="1"/>
      <c r="D1119" s="3" t="s">
        <v>2186</v>
      </c>
      <c r="E1119" s="1">
        <v>0</v>
      </c>
      <c r="F1119" s="6" t="s">
        <v>1</v>
      </c>
      <c r="G1119" s="60">
        <f>'Allocation Worksheet'!H1119</f>
        <v>0</v>
      </c>
      <c r="H1119" s="60">
        <f>'Allocation Worksheet'!H1120</f>
        <v>0</v>
      </c>
      <c r="I1119" s="60">
        <f>'Allocation Worksheet'!H1121</f>
        <v>0</v>
      </c>
      <c r="J1119" s="3" t="str">
        <f t="shared" si="82"/>
        <v/>
      </c>
    </row>
    <row r="1120" spans="2:10" s="3" customFormat="1">
      <c r="C1120" s="7" t="s">
        <v>2087</v>
      </c>
      <c r="D1120" s="3" t="s">
        <v>2186</v>
      </c>
      <c r="E1120" s="7" t="s">
        <v>3</v>
      </c>
      <c r="F1120" s="10"/>
      <c r="G1120" s="9">
        <f>'Allocation Worksheet'!$D$20</f>
        <v>289644</v>
      </c>
      <c r="H1120" s="11"/>
      <c r="I1120" s="11"/>
      <c r="J1120" s="3" t="str">
        <f t="shared" si="82"/>
        <v>UT</v>
      </c>
    </row>
    <row r="1121" spans="2:10" s="3" customFormat="1">
      <c r="B1121" s="3" t="s">
        <v>2104</v>
      </c>
      <c r="C1121" s="8">
        <v>0</v>
      </c>
      <c r="D1121" s="3" t="s">
        <v>2187</v>
      </c>
      <c r="E1121" s="11" t="s">
        <v>4</v>
      </c>
      <c r="F1121" s="10">
        <v>1.268E-3</v>
      </c>
      <c r="G1121" s="12">
        <f>ROUND(G$3*F1121,0)</f>
        <v>365</v>
      </c>
      <c r="H1121" s="13">
        <f>ROUND(G1121/2,0)</f>
        <v>183</v>
      </c>
      <c r="I1121" s="12">
        <f>G1121-H1121</f>
        <v>182</v>
      </c>
      <c r="J1121" s="3" t="str">
        <f t="shared" si="82"/>
        <v>1700000</v>
      </c>
    </row>
    <row r="1122" spans="2:10" s="3" customFormat="1">
      <c r="B1122" s="3" t="s">
        <v>2104</v>
      </c>
      <c r="C1122" s="8">
        <v>1</v>
      </c>
      <c r="D1122" s="3" t="s">
        <v>2187</v>
      </c>
      <c r="E1122" s="11" t="s">
        <v>368</v>
      </c>
      <c r="F1122" s="10">
        <v>0.17787</v>
      </c>
      <c r="G1122" s="9">
        <f>ROUND(G$3*F1122,0)</f>
        <v>51177</v>
      </c>
      <c r="H1122" s="11">
        <f>ROUND(G1122/2,0)</f>
        <v>25589</v>
      </c>
      <c r="I1122" s="9">
        <f>G1122-H1122</f>
        <v>25588</v>
      </c>
      <c r="J1122" s="3" t="str">
        <f t="shared" si="82"/>
        <v>1710000</v>
      </c>
    </row>
    <row r="1123" spans="2:10" s="3" customFormat="1">
      <c r="B1123" s="3" t="s">
        <v>2104</v>
      </c>
      <c r="C1123" s="8">
        <v>1</v>
      </c>
      <c r="D1123" s="3" t="s">
        <v>2187</v>
      </c>
      <c r="E1123" s="11" t="s">
        <v>6</v>
      </c>
      <c r="F1123" s="11"/>
      <c r="G1123" s="14">
        <v>0.24379400000000001</v>
      </c>
      <c r="H1123" s="11"/>
      <c r="I1123" s="11"/>
      <c r="J1123" s="3" t="str">
        <f t="shared" si="82"/>
        <v>1710000</v>
      </c>
    </row>
    <row r="1124" spans="2:10" s="3" customFormat="1">
      <c r="B1124" s="3" t="s">
        <v>2104</v>
      </c>
      <c r="C1124" s="8">
        <v>1</v>
      </c>
      <c r="D1124" s="3" t="s">
        <v>2187</v>
      </c>
      <c r="E1124" s="11" t="s">
        <v>7</v>
      </c>
      <c r="F1124" s="11"/>
      <c r="G1124" s="15">
        <f>ROUND(G1122*G1123,0)</f>
        <v>12477</v>
      </c>
      <c r="H1124" s="16">
        <f>ROUND(G1124/2,0)</f>
        <v>6239</v>
      </c>
      <c r="I1124" s="15">
        <f>G1124-H1124</f>
        <v>6238</v>
      </c>
      <c r="J1124" s="3" t="str">
        <f t="shared" si="82"/>
        <v>1710000</v>
      </c>
    </row>
    <row r="1125" spans="2:10" s="3" customFormat="1">
      <c r="B1125" s="3" t="s">
        <v>2104</v>
      </c>
      <c r="C1125" s="8">
        <v>1</v>
      </c>
      <c r="D1125" s="3" t="s">
        <v>2187</v>
      </c>
      <c r="E1125" s="11" t="s">
        <v>8</v>
      </c>
      <c r="F1125" s="11"/>
      <c r="G1125" s="12">
        <f>+G1122-G1124</f>
        <v>38700</v>
      </c>
      <c r="H1125" s="13">
        <f>ROUND(G1125/2,0)</f>
        <v>19350</v>
      </c>
      <c r="I1125" s="12">
        <f>G1125-H1125</f>
        <v>19350</v>
      </c>
      <c r="J1125" s="3" t="str">
        <f t="shared" si="82"/>
        <v>1710000</v>
      </c>
    </row>
    <row r="1126" spans="2:10" s="3" customFormat="1">
      <c r="B1126" s="3" t="s">
        <v>2104</v>
      </c>
      <c r="C1126" s="8">
        <v>2</v>
      </c>
      <c r="D1126" s="3" t="s">
        <v>2188</v>
      </c>
      <c r="E1126" s="11" t="s">
        <v>369</v>
      </c>
      <c r="F1126" s="11"/>
      <c r="G1126" s="9"/>
      <c r="H1126" s="11"/>
      <c r="I1126" s="11"/>
      <c r="J1126" s="3" t="str">
        <f t="shared" si="82"/>
        <v>1720001</v>
      </c>
    </row>
    <row r="1127" spans="2:10" s="3" customFormat="1">
      <c r="B1127" s="3" t="s">
        <v>2104</v>
      </c>
      <c r="C1127" s="8">
        <v>2</v>
      </c>
      <c r="D1127" s="3" t="s">
        <v>2188</v>
      </c>
      <c r="E1127" s="11" t="s">
        <v>10</v>
      </c>
      <c r="F1127" s="10">
        <v>7.6800000000000002E-4</v>
      </c>
      <c r="G1127" s="12">
        <f>ROUND(G$3*F1127,0)</f>
        <v>221</v>
      </c>
      <c r="H1127" s="13">
        <f>ROUND(G1127/2,0)</f>
        <v>111</v>
      </c>
      <c r="I1127" s="12">
        <f>G1127-H1127</f>
        <v>110</v>
      </c>
      <c r="J1127" s="3" t="str">
        <f t="shared" si="82"/>
        <v>1720001</v>
      </c>
    </row>
    <row r="1128" spans="2:10" s="3" customFormat="1">
      <c r="B1128" s="3" t="s">
        <v>2104</v>
      </c>
      <c r="C1128" s="8">
        <v>2</v>
      </c>
      <c r="D1128" s="3" t="s">
        <v>2188</v>
      </c>
      <c r="E1128" s="11" t="s">
        <v>11</v>
      </c>
      <c r="F1128" s="10">
        <v>5.6300000000000002E-4</v>
      </c>
      <c r="G1128" s="12">
        <f>ROUND(G$3*F1128,0)</f>
        <v>162</v>
      </c>
      <c r="H1128" s="13">
        <f>ROUND(G1128/2,0)</f>
        <v>81</v>
      </c>
      <c r="I1128" s="12">
        <f>G1128-H1128</f>
        <v>81</v>
      </c>
      <c r="J1128" s="3" t="str">
        <f t="shared" si="82"/>
        <v>1720001</v>
      </c>
    </row>
    <row r="1129" spans="2:10" s="3" customFormat="1">
      <c r="B1129" s="3" t="s">
        <v>2104</v>
      </c>
      <c r="C1129" s="8">
        <v>2</v>
      </c>
      <c r="D1129" s="3" t="s">
        <v>2189</v>
      </c>
      <c r="E1129" s="11" t="s">
        <v>370</v>
      </c>
      <c r="F1129" s="11"/>
      <c r="G1129" s="9"/>
      <c r="H1129" s="11"/>
      <c r="I1129" s="11"/>
      <c r="J1129" s="3" t="str">
        <f t="shared" si="82"/>
        <v>1720002</v>
      </c>
    </row>
    <row r="1130" spans="2:10" s="3" customFormat="1">
      <c r="B1130" s="3" t="s">
        <v>2104</v>
      </c>
      <c r="C1130" s="8">
        <v>2</v>
      </c>
      <c r="D1130" s="3" t="s">
        <v>2189</v>
      </c>
      <c r="E1130" s="11" t="s">
        <v>10</v>
      </c>
      <c r="F1130" s="10">
        <v>7.8700000000000005E-4</v>
      </c>
      <c r="G1130" s="12">
        <f>ROUND(G$3*F1130,0)</f>
        <v>226</v>
      </c>
      <c r="H1130" s="13">
        <f>ROUND(G1130/2,0)</f>
        <v>113</v>
      </c>
      <c r="I1130" s="12">
        <f>G1130-H1130</f>
        <v>113</v>
      </c>
      <c r="J1130" s="3" t="str">
        <f t="shared" si="82"/>
        <v>1720002</v>
      </c>
    </row>
    <row r="1131" spans="2:10" s="3" customFormat="1">
      <c r="B1131" s="3" t="s">
        <v>2104</v>
      </c>
      <c r="C1131" s="8">
        <v>2</v>
      </c>
      <c r="D1131" s="3" t="s">
        <v>2189</v>
      </c>
      <c r="E1131" s="11" t="s">
        <v>11</v>
      </c>
      <c r="F1131" s="10">
        <v>5.6300000000000002E-4</v>
      </c>
      <c r="G1131" s="12">
        <f>ROUND(G$3*F1131,0)</f>
        <v>162</v>
      </c>
      <c r="H1131" s="13">
        <f>ROUND(G1131/2,0)</f>
        <v>81</v>
      </c>
      <c r="I1131" s="12">
        <f>G1131-H1131</f>
        <v>81</v>
      </c>
      <c r="J1131" s="3" t="str">
        <f t="shared" si="82"/>
        <v>1720002</v>
      </c>
    </row>
    <row r="1132" spans="2:10" s="3" customFormat="1">
      <c r="B1132" s="3" t="s">
        <v>2104</v>
      </c>
      <c r="C1132" s="8">
        <v>2</v>
      </c>
      <c r="D1132" s="3" t="s">
        <v>2190</v>
      </c>
      <c r="E1132" s="11" t="s">
        <v>371</v>
      </c>
      <c r="F1132" s="11"/>
      <c r="G1132" s="9"/>
      <c r="H1132" s="11"/>
      <c r="I1132" s="11"/>
      <c r="J1132" s="3" t="str">
        <f t="shared" si="82"/>
        <v>1720003</v>
      </c>
    </row>
    <row r="1133" spans="2:10" s="3" customFormat="1">
      <c r="B1133" s="3" t="s">
        <v>2104</v>
      </c>
      <c r="C1133" s="8">
        <v>2</v>
      </c>
      <c r="D1133" s="3" t="s">
        <v>2190</v>
      </c>
      <c r="E1133" s="11" t="s">
        <v>10</v>
      </c>
      <c r="F1133" s="10">
        <v>6.2E-4</v>
      </c>
      <c r="G1133" s="12">
        <f>ROUND(G$3*F1133,0)</f>
        <v>178</v>
      </c>
      <c r="H1133" s="13">
        <f>ROUND(G1133/2,0)</f>
        <v>89</v>
      </c>
      <c r="I1133" s="12">
        <f>G1133-H1133</f>
        <v>89</v>
      </c>
      <c r="J1133" s="3" t="str">
        <f t="shared" si="82"/>
        <v>1720003</v>
      </c>
    </row>
    <row r="1134" spans="2:10" s="3" customFormat="1">
      <c r="B1134" s="3" t="s">
        <v>2104</v>
      </c>
      <c r="C1134" s="8">
        <v>2</v>
      </c>
      <c r="D1134" s="3" t="s">
        <v>2190</v>
      </c>
      <c r="E1134" s="11" t="s">
        <v>11</v>
      </c>
      <c r="F1134" s="10">
        <v>3.21E-4</v>
      </c>
      <c r="G1134" s="12">
        <f>ROUND(G$3*F1134,0)</f>
        <v>92</v>
      </c>
      <c r="H1134" s="13">
        <f>ROUND(G1134/2,0)</f>
        <v>46</v>
      </c>
      <c r="I1134" s="12">
        <f>G1134-H1134</f>
        <v>46</v>
      </c>
      <c r="J1134" s="3" t="str">
        <f t="shared" si="82"/>
        <v>1720003</v>
      </c>
    </row>
    <row r="1135" spans="2:10" s="3" customFormat="1">
      <c r="B1135" s="3" t="s">
        <v>2104</v>
      </c>
      <c r="C1135" s="8">
        <v>2</v>
      </c>
      <c r="D1135" s="3" t="s">
        <v>2191</v>
      </c>
      <c r="E1135" s="11" t="s">
        <v>372</v>
      </c>
      <c r="F1135" s="11"/>
      <c r="G1135" s="9"/>
      <c r="H1135" s="11"/>
      <c r="I1135" s="11"/>
      <c r="J1135" s="3" t="str">
        <f t="shared" si="82"/>
        <v>1720004</v>
      </c>
    </row>
    <row r="1136" spans="2:10" s="3" customFormat="1">
      <c r="B1136" s="3" t="s">
        <v>2104</v>
      </c>
      <c r="C1136" s="8">
        <v>2</v>
      </c>
      <c r="D1136" s="3" t="s">
        <v>2191</v>
      </c>
      <c r="E1136" s="11" t="s">
        <v>10</v>
      </c>
      <c r="F1136" s="10">
        <v>5.6300000000000002E-4</v>
      </c>
      <c r="G1136" s="12">
        <f>ROUND(G$3*F1136,0)</f>
        <v>162</v>
      </c>
      <c r="H1136" s="13">
        <f>ROUND(G1136/2,0)</f>
        <v>81</v>
      </c>
      <c r="I1136" s="12">
        <f>G1136-H1136</f>
        <v>81</v>
      </c>
      <c r="J1136" s="3" t="str">
        <f t="shared" si="82"/>
        <v>1720004</v>
      </c>
    </row>
    <row r="1137" spans="1:10" s="3" customFormat="1">
      <c r="B1137" s="3" t="s">
        <v>2104</v>
      </c>
      <c r="C1137" s="8">
        <v>2</v>
      </c>
      <c r="D1137" s="3" t="s">
        <v>2191</v>
      </c>
      <c r="E1137" s="11" t="s">
        <v>11</v>
      </c>
      <c r="F1137" s="10">
        <v>5.6999999999999998E-4</v>
      </c>
      <c r="G1137" s="12">
        <f>ROUND(G$3*F1137,0)</f>
        <v>164</v>
      </c>
      <c r="H1137" s="13">
        <f>ROUND(G1137/2,0)</f>
        <v>82</v>
      </c>
      <c r="I1137" s="12">
        <f>G1137-H1137</f>
        <v>82</v>
      </c>
      <c r="J1137" s="3" t="str">
        <f t="shared" si="82"/>
        <v>1720004</v>
      </c>
    </row>
    <row r="1138" spans="1:10" s="3" customFormat="1">
      <c r="B1138" s="3" t="s">
        <v>2104</v>
      </c>
      <c r="C1138" s="8">
        <v>2</v>
      </c>
      <c r="D1138" s="3" t="s">
        <v>2192</v>
      </c>
      <c r="E1138" s="11" t="s">
        <v>109</v>
      </c>
      <c r="F1138" s="11"/>
      <c r="G1138" s="9"/>
      <c r="H1138" s="11"/>
      <c r="I1138" s="11"/>
      <c r="J1138" s="3" t="str">
        <f t="shared" si="82"/>
        <v>1720005</v>
      </c>
    </row>
    <row r="1139" spans="1:10" s="3" customFormat="1">
      <c r="B1139" s="3" t="s">
        <v>2104</v>
      </c>
      <c r="C1139" s="8">
        <v>2</v>
      </c>
      <c r="D1139" s="3" t="s">
        <v>2192</v>
      </c>
      <c r="E1139" s="11" t="s">
        <v>10</v>
      </c>
      <c r="F1139" s="10">
        <v>2.2750000000000001E-3</v>
      </c>
      <c r="G1139" s="12">
        <f>ROUND(G$3*F1139,0)</f>
        <v>655</v>
      </c>
      <c r="H1139" s="13">
        <f>ROUND(G1139/2,0)</f>
        <v>328</v>
      </c>
      <c r="I1139" s="12">
        <f>G1139-H1139</f>
        <v>327</v>
      </c>
      <c r="J1139" s="3" t="str">
        <f t="shared" si="82"/>
        <v>1720005</v>
      </c>
    </row>
    <row r="1140" spans="1:10" s="3" customFormat="1">
      <c r="B1140" s="3" t="s">
        <v>2104</v>
      </c>
      <c r="C1140" s="8">
        <v>2</v>
      </c>
      <c r="D1140" s="3" t="s">
        <v>2192</v>
      </c>
      <c r="E1140" s="11" t="s">
        <v>11</v>
      </c>
      <c r="F1140" s="10">
        <v>8.2799999999999996E-4</v>
      </c>
      <c r="G1140" s="12">
        <f>ROUND(G$3*F1140,0)</f>
        <v>238</v>
      </c>
      <c r="H1140" s="13">
        <f>ROUND(G1140/2,0)</f>
        <v>119</v>
      </c>
      <c r="I1140" s="12">
        <f>G1140-H1140</f>
        <v>119</v>
      </c>
      <c r="J1140" s="3" t="str">
        <f t="shared" si="82"/>
        <v>1720005</v>
      </c>
    </row>
    <row r="1141" spans="1:10" s="3" customFormat="1">
      <c r="B1141" s="3" t="s">
        <v>2104</v>
      </c>
      <c r="C1141" s="8">
        <v>2</v>
      </c>
      <c r="D1141" s="3" t="s">
        <v>2193</v>
      </c>
      <c r="E1141" s="11" t="s">
        <v>49</v>
      </c>
      <c r="F1141" s="11"/>
      <c r="G1141" s="9"/>
      <c r="H1141" s="11"/>
      <c r="I1141" s="11"/>
      <c r="J1141" s="3" t="str">
        <f t="shared" si="82"/>
        <v>1720006</v>
      </c>
    </row>
    <row r="1142" spans="1:10" s="3" customFormat="1">
      <c r="B1142" s="3" t="s">
        <v>2104</v>
      </c>
      <c r="C1142" s="8">
        <v>2</v>
      </c>
      <c r="D1142" s="3" t="s">
        <v>2193</v>
      </c>
      <c r="E1142" s="11" t="s">
        <v>10</v>
      </c>
      <c r="F1142" s="10">
        <v>2.5799999999999998E-3</v>
      </c>
      <c r="G1142" s="12">
        <f>ROUND(G$3*F1142,0)</f>
        <v>742</v>
      </c>
      <c r="H1142" s="13">
        <f>ROUND(G1142/2,0)</f>
        <v>371</v>
      </c>
      <c r="I1142" s="12">
        <f>G1142-H1142</f>
        <v>371</v>
      </c>
      <c r="J1142" s="3" t="str">
        <f t="shared" si="82"/>
        <v>1720006</v>
      </c>
    </row>
    <row r="1143" spans="1:10" s="3" customFormat="1">
      <c r="B1143" s="3" t="s">
        <v>2104</v>
      </c>
      <c r="C1143" s="8">
        <v>2</v>
      </c>
      <c r="D1143" s="3" t="s">
        <v>2193</v>
      </c>
      <c r="E1143" s="11" t="s">
        <v>11</v>
      </c>
      <c r="F1143" s="10">
        <v>2.0200000000000001E-3</v>
      </c>
      <c r="G1143" s="12">
        <f>ROUND(G$3*F1143,0)</f>
        <v>581</v>
      </c>
      <c r="H1143" s="13">
        <f>ROUND(G1143/2,0)</f>
        <v>291</v>
      </c>
      <c r="I1143" s="12">
        <f>G1143-H1143</f>
        <v>290</v>
      </c>
      <c r="J1143" s="3" t="str">
        <f t="shared" si="82"/>
        <v>1720006</v>
      </c>
    </row>
    <row r="1144" spans="1:10" s="3" customFormat="1">
      <c r="B1144" s="3" t="s">
        <v>2104</v>
      </c>
      <c r="C1144" s="8">
        <v>2</v>
      </c>
      <c r="D1144" s="3" t="s">
        <v>2194</v>
      </c>
      <c r="E1144" s="11" t="s">
        <v>373</v>
      </c>
      <c r="F1144" s="11"/>
      <c r="G1144" s="9"/>
      <c r="H1144" s="11"/>
      <c r="I1144" s="11"/>
      <c r="J1144" s="3" t="str">
        <f t="shared" si="82"/>
        <v>1720007</v>
      </c>
    </row>
    <row r="1145" spans="1:10" s="3" customFormat="1">
      <c r="B1145" s="3" t="s">
        <v>2104</v>
      </c>
      <c r="C1145" s="8">
        <v>2</v>
      </c>
      <c r="D1145" s="3" t="s">
        <v>2194</v>
      </c>
      <c r="E1145" s="11" t="s">
        <v>10</v>
      </c>
      <c r="F1145" s="10">
        <v>4.5600000000000003E-4</v>
      </c>
      <c r="G1145" s="12">
        <f>ROUND(G$3*F1145,0)</f>
        <v>131</v>
      </c>
      <c r="H1145" s="13">
        <f>ROUND(G1145/2,0)</f>
        <v>66</v>
      </c>
      <c r="I1145" s="12">
        <f>G1145-H1145</f>
        <v>65</v>
      </c>
      <c r="J1145" s="3" t="str">
        <f t="shared" si="82"/>
        <v>1720007</v>
      </c>
    </row>
    <row r="1146" spans="1:10" s="3" customFormat="1">
      <c r="B1146" s="3" t="s">
        <v>2104</v>
      </c>
      <c r="C1146" s="8">
        <v>2</v>
      </c>
      <c r="D1146" s="3" t="s">
        <v>2194</v>
      </c>
      <c r="E1146" s="11" t="s">
        <v>11</v>
      </c>
      <c r="F1146" s="10">
        <v>6.3E-5</v>
      </c>
      <c r="G1146" s="12">
        <f>ROUND(G$3*F1146,0)</f>
        <v>18</v>
      </c>
      <c r="H1146" s="13">
        <f>ROUND(G1146/2,0)</f>
        <v>9</v>
      </c>
      <c r="I1146" s="12">
        <f>G1146-H1146</f>
        <v>9</v>
      </c>
      <c r="J1146" s="3" t="str">
        <f t="shared" si="82"/>
        <v>1720007</v>
      </c>
    </row>
    <row r="1147" spans="1:10" s="3" customFormat="1">
      <c r="B1147" s="3" t="s">
        <v>2104</v>
      </c>
      <c r="C1147" s="8">
        <v>2</v>
      </c>
      <c r="D1147" s="3" t="s">
        <v>2195</v>
      </c>
      <c r="E1147" s="11" t="s">
        <v>374</v>
      </c>
      <c r="F1147" s="11"/>
      <c r="G1147" s="9"/>
      <c r="H1147" s="11"/>
      <c r="I1147" s="11"/>
      <c r="J1147" s="3" t="str">
        <f t="shared" si="82"/>
        <v>1720008</v>
      </c>
    </row>
    <row r="1148" spans="1:10" s="3" customFormat="1">
      <c r="A1148" s="3" t="s">
        <v>6269</v>
      </c>
      <c r="B1148" s="3" t="s">
        <v>2104</v>
      </c>
      <c r="C1148" s="8">
        <v>2</v>
      </c>
      <c r="D1148" s="3" t="s">
        <v>2195</v>
      </c>
      <c r="E1148" s="11" t="s">
        <v>10</v>
      </c>
      <c r="F1148" s="10">
        <v>0</v>
      </c>
      <c r="G1148" s="12">
        <f>ROUND(G$3*F1148,0)</f>
        <v>0</v>
      </c>
      <c r="H1148" s="13">
        <f>ROUND(G1148/2,0)</f>
        <v>0</v>
      </c>
      <c r="I1148" s="12">
        <f>G1148-H1148</f>
        <v>0</v>
      </c>
      <c r="J1148" s="3" t="str">
        <f t="shared" si="82"/>
        <v>1720008</v>
      </c>
    </row>
    <row r="1149" spans="1:10" s="3" customFormat="1">
      <c r="A1149" s="3" t="s">
        <v>6269</v>
      </c>
      <c r="B1149" s="3" t="s">
        <v>2104</v>
      </c>
      <c r="C1149" s="8">
        <v>2</v>
      </c>
      <c r="D1149" s="3" t="s">
        <v>2195</v>
      </c>
      <c r="E1149" s="11" t="s">
        <v>11</v>
      </c>
      <c r="F1149" s="10">
        <v>0</v>
      </c>
      <c r="G1149" s="12">
        <f>ROUND(G$3*F1149,0)</f>
        <v>0</v>
      </c>
      <c r="H1149" s="13">
        <f>ROUND(G1149/2,0)</f>
        <v>0</v>
      </c>
      <c r="I1149" s="12">
        <f>G1149-H1149</f>
        <v>0</v>
      </c>
      <c r="J1149" s="3" t="str">
        <f t="shared" si="82"/>
        <v>1720008</v>
      </c>
    </row>
    <row r="1150" spans="1:10" s="3" customFormat="1">
      <c r="B1150" s="3" t="s">
        <v>2104</v>
      </c>
      <c r="C1150" s="8">
        <v>2</v>
      </c>
      <c r="D1150" s="3" t="s">
        <v>2196</v>
      </c>
      <c r="E1150" s="11" t="s">
        <v>114</v>
      </c>
      <c r="F1150" s="11"/>
      <c r="G1150" s="9"/>
      <c r="H1150" s="11"/>
      <c r="I1150" s="11"/>
      <c r="J1150" s="3" t="str">
        <f t="shared" si="82"/>
        <v>1720009</v>
      </c>
    </row>
    <row r="1151" spans="1:10" s="3" customFormat="1">
      <c r="B1151" s="3" t="s">
        <v>2104</v>
      </c>
      <c r="C1151" s="8">
        <v>2</v>
      </c>
      <c r="D1151" s="3" t="s">
        <v>2196</v>
      </c>
      <c r="E1151" s="11" t="s">
        <v>10</v>
      </c>
      <c r="F1151" s="10">
        <v>4.66E-4</v>
      </c>
      <c r="G1151" s="12">
        <f>ROUND(G$3*F1151,0)</f>
        <v>134</v>
      </c>
      <c r="H1151" s="13">
        <f>ROUND(G1151/2,0)</f>
        <v>67</v>
      </c>
      <c r="I1151" s="12">
        <f>G1151-H1151</f>
        <v>67</v>
      </c>
      <c r="J1151" s="3" t="str">
        <f t="shared" si="82"/>
        <v>1720009</v>
      </c>
    </row>
    <row r="1152" spans="1:10" s="3" customFormat="1">
      <c r="B1152" s="3" t="s">
        <v>2104</v>
      </c>
      <c r="C1152" s="8">
        <v>2</v>
      </c>
      <c r="D1152" s="3" t="s">
        <v>2196</v>
      </c>
      <c r="E1152" s="11" t="s">
        <v>11</v>
      </c>
      <c r="F1152" s="10">
        <v>2.05E-4</v>
      </c>
      <c r="G1152" s="12">
        <f>ROUND(G$3*F1152,0)</f>
        <v>59</v>
      </c>
      <c r="H1152" s="13">
        <f>ROUND(G1152/2,0)</f>
        <v>30</v>
      </c>
      <c r="I1152" s="12">
        <f>G1152-H1152</f>
        <v>29</v>
      </c>
      <c r="J1152" s="3" t="str">
        <f t="shared" si="82"/>
        <v>1720009</v>
      </c>
    </row>
    <row r="1153" spans="2:10" s="3" customFormat="1">
      <c r="B1153" s="3" t="s">
        <v>2104</v>
      </c>
      <c r="C1153" s="8">
        <v>2</v>
      </c>
      <c r="D1153" s="3" t="s">
        <v>2197</v>
      </c>
      <c r="E1153" s="11" t="s">
        <v>375</v>
      </c>
      <c r="F1153" s="11"/>
      <c r="G1153" s="9"/>
      <c r="H1153" s="11"/>
      <c r="I1153" s="11"/>
      <c r="J1153" s="3" t="str">
        <f t="shared" si="82"/>
        <v>1720010</v>
      </c>
    </row>
    <row r="1154" spans="2:10" s="3" customFormat="1">
      <c r="B1154" s="3" t="s">
        <v>2104</v>
      </c>
      <c r="C1154" s="8">
        <v>2</v>
      </c>
      <c r="D1154" s="3" t="s">
        <v>2197</v>
      </c>
      <c r="E1154" s="11" t="s">
        <v>10</v>
      </c>
      <c r="F1154" s="10">
        <v>5.6999999999999998E-4</v>
      </c>
      <c r="G1154" s="12">
        <f>ROUND(G$3*F1154,0)</f>
        <v>164</v>
      </c>
      <c r="H1154" s="13">
        <f>ROUND(G1154/2,0)</f>
        <v>82</v>
      </c>
      <c r="I1154" s="12">
        <f>G1154-H1154</f>
        <v>82</v>
      </c>
      <c r="J1154" s="3" t="str">
        <f t="shared" si="82"/>
        <v>1720010</v>
      </c>
    </row>
    <row r="1155" spans="2:10" s="3" customFormat="1">
      <c r="B1155" s="3" t="s">
        <v>2104</v>
      </c>
      <c r="C1155" s="8">
        <v>2</v>
      </c>
      <c r="D1155" s="3" t="s">
        <v>2197</v>
      </c>
      <c r="E1155" s="11" t="s">
        <v>11</v>
      </c>
      <c r="F1155" s="10">
        <v>1.7899999999999999E-4</v>
      </c>
      <c r="G1155" s="12">
        <f>ROUND(G$3*F1155,0)</f>
        <v>52</v>
      </c>
      <c r="H1155" s="13">
        <f>ROUND(G1155/2,0)</f>
        <v>26</v>
      </c>
      <c r="I1155" s="12">
        <f>G1155-H1155</f>
        <v>26</v>
      </c>
      <c r="J1155" s="3" t="str">
        <f t="shared" si="82"/>
        <v>1720010</v>
      </c>
    </row>
    <row r="1156" spans="2:10" s="3" customFormat="1">
      <c r="B1156" s="3" t="s">
        <v>2104</v>
      </c>
      <c r="C1156" s="8">
        <v>2</v>
      </c>
      <c r="D1156" s="3" t="s">
        <v>2198</v>
      </c>
      <c r="E1156" s="11" t="s">
        <v>376</v>
      </c>
      <c r="F1156" s="11"/>
      <c r="G1156" s="9"/>
      <c r="H1156" s="11"/>
      <c r="I1156" s="11"/>
      <c r="J1156" s="3" t="str">
        <f t="shared" ref="J1156:J1219" si="86">B1156&amp;C1156&amp;D1156</f>
        <v>1720011</v>
      </c>
    </row>
    <row r="1157" spans="2:10" s="3" customFormat="1">
      <c r="B1157" s="3" t="s">
        <v>2104</v>
      </c>
      <c r="C1157" s="8">
        <v>2</v>
      </c>
      <c r="D1157" s="3" t="s">
        <v>2198</v>
      </c>
      <c r="E1157" s="11" t="s">
        <v>10</v>
      </c>
      <c r="F1157" s="10">
        <v>1.2080000000000001E-3</v>
      </c>
      <c r="G1157" s="12">
        <f>ROUND(G$3*F1157,0)</f>
        <v>348</v>
      </c>
      <c r="H1157" s="13">
        <f>ROUND(G1157/2,0)</f>
        <v>174</v>
      </c>
      <c r="I1157" s="12">
        <f>G1157-H1157</f>
        <v>174</v>
      </c>
      <c r="J1157" s="3" t="str">
        <f t="shared" si="86"/>
        <v>1720011</v>
      </c>
    </row>
    <row r="1158" spans="2:10" s="3" customFormat="1">
      <c r="B1158" s="3" t="s">
        <v>2104</v>
      </c>
      <c r="C1158" s="8">
        <v>2</v>
      </c>
      <c r="D1158" s="3" t="s">
        <v>2198</v>
      </c>
      <c r="E1158" s="11" t="s">
        <v>11</v>
      </c>
      <c r="F1158" s="10">
        <v>9.4700000000000003E-4</v>
      </c>
      <c r="G1158" s="12">
        <f>ROUND(G$3*F1158,0)</f>
        <v>272</v>
      </c>
      <c r="H1158" s="13">
        <f>ROUND(G1158/2,0)</f>
        <v>136</v>
      </c>
      <c r="I1158" s="12">
        <f>G1158-H1158</f>
        <v>136</v>
      </c>
      <c r="J1158" s="3" t="str">
        <f t="shared" si="86"/>
        <v>1720011</v>
      </c>
    </row>
    <row r="1159" spans="2:10" s="3" customFormat="1">
      <c r="B1159" s="3" t="s">
        <v>2104</v>
      </c>
      <c r="C1159" s="8">
        <v>2</v>
      </c>
      <c r="D1159" s="3" t="s">
        <v>2199</v>
      </c>
      <c r="E1159" s="11" t="s">
        <v>377</v>
      </c>
      <c r="F1159" s="11"/>
      <c r="G1159" s="9"/>
      <c r="H1159" s="11"/>
      <c r="I1159" s="11"/>
      <c r="J1159" s="3" t="str">
        <f t="shared" si="86"/>
        <v>1720012</v>
      </c>
    </row>
    <row r="1160" spans="2:10" s="3" customFormat="1">
      <c r="B1160" s="3" t="s">
        <v>2104</v>
      </c>
      <c r="C1160" s="8">
        <v>2</v>
      </c>
      <c r="D1160" s="3" t="s">
        <v>2199</v>
      </c>
      <c r="E1160" s="11" t="s">
        <v>10</v>
      </c>
      <c r="F1160" s="10">
        <v>1.067E-3</v>
      </c>
      <c r="G1160" s="12">
        <f>ROUND(G$3*F1160,0)</f>
        <v>307</v>
      </c>
      <c r="H1160" s="13">
        <f>ROUND(G1160/2,0)</f>
        <v>154</v>
      </c>
      <c r="I1160" s="12">
        <f>G1160-H1160</f>
        <v>153</v>
      </c>
      <c r="J1160" s="3" t="str">
        <f t="shared" si="86"/>
        <v>1720012</v>
      </c>
    </row>
    <row r="1161" spans="2:10" s="3" customFormat="1">
      <c r="B1161" s="3" t="s">
        <v>2104</v>
      </c>
      <c r="C1161" s="8">
        <v>2</v>
      </c>
      <c r="D1161" s="3" t="s">
        <v>2199</v>
      </c>
      <c r="E1161" s="11" t="s">
        <v>11</v>
      </c>
      <c r="F1161" s="10">
        <v>4.3399999999999998E-4</v>
      </c>
      <c r="G1161" s="12">
        <f>ROUND(G$3*F1161,0)</f>
        <v>125</v>
      </c>
      <c r="H1161" s="13">
        <f>ROUND(G1161/2,0)</f>
        <v>63</v>
      </c>
      <c r="I1161" s="12">
        <f>G1161-H1161</f>
        <v>62</v>
      </c>
      <c r="J1161" s="3" t="str">
        <f t="shared" si="86"/>
        <v>1720012</v>
      </c>
    </row>
    <row r="1162" spans="2:10" s="3" customFormat="1">
      <c r="B1162" s="3" t="s">
        <v>2104</v>
      </c>
      <c r="C1162" s="8">
        <v>2</v>
      </c>
      <c r="D1162" s="3" t="s">
        <v>2208</v>
      </c>
      <c r="E1162" s="11" t="s">
        <v>378</v>
      </c>
      <c r="F1162" s="11"/>
      <c r="G1162" s="9"/>
      <c r="H1162" s="11"/>
      <c r="I1162" s="11"/>
      <c r="J1162" s="3" t="str">
        <f t="shared" si="86"/>
        <v>1720013</v>
      </c>
    </row>
    <row r="1163" spans="2:10" s="3" customFormat="1">
      <c r="B1163" s="3" t="s">
        <v>2104</v>
      </c>
      <c r="C1163" s="8">
        <v>2</v>
      </c>
      <c r="D1163" s="3" t="s">
        <v>2208</v>
      </c>
      <c r="E1163" s="11" t="s">
        <v>10</v>
      </c>
      <c r="F1163" s="10">
        <v>3.9300000000000001E-4</v>
      </c>
      <c r="G1163" s="12">
        <f>ROUND(G$3*F1163,0)</f>
        <v>113</v>
      </c>
      <c r="H1163" s="13">
        <f>ROUND(G1163/2,0)</f>
        <v>57</v>
      </c>
      <c r="I1163" s="12">
        <f>G1163-H1163</f>
        <v>56</v>
      </c>
      <c r="J1163" s="3" t="str">
        <f t="shared" si="86"/>
        <v>1720013</v>
      </c>
    </row>
    <row r="1164" spans="2:10" s="3" customFormat="1">
      <c r="B1164" s="3" t="s">
        <v>2104</v>
      </c>
      <c r="C1164" s="8">
        <v>2</v>
      </c>
      <c r="D1164" s="3" t="s">
        <v>2208</v>
      </c>
      <c r="E1164" s="11" t="s">
        <v>11</v>
      </c>
      <c r="F1164" s="10">
        <v>1.54E-4</v>
      </c>
      <c r="G1164" s="12">
        <f>ROUND(G$3*F1164,0)</f>
        <v>44</v>
      </c>
      <c r="H1164" s="13">
        <f>ROUND(G1164/2,0)</f>
        <v>22</v>
      </c>
      <c r="I1164" s="12">
        <f>G1164-H1164</f>
        <v>22</v>
      </c>
      <c r="J1164" s="3" t="str">
        <f t="shared" si="86"/>
        <v>1720013</v>
      </c>
    </row>
    <row r="1165" spans="2:10" s="3" customFormat="1">
      <c r="B1165" s="3" t="s">
        <v>2104</v>
      </c>
      <c r="C1165" s="8">
        <v>2</v>
      </c>
      <c r="D1165" s="3" t="s">
        <v>2209</v>
      </c>
      <c r="E1165" s="11" t="s">
        <v>20</v>
      </c>
      <c r="F1165" s="11"/>
      <c r="G1165" s="9"/>
      <c r="H1165" s="11"/>
      <c r="I1165" s="11"/>
      <c r="J1165" s="3" t="str">
        <f t="shared" si="86"/>
        <v>1720014</v>
      </c>
    </row>
    <row r="1166" spans="2:10" s="3" customFormat="1">
      <c r="B1166" s="3" t="s">
        <v>2104</v>
      </c>
      <c r="C1166" s="8">
        <v>2</v>
      </c>
      <c r="D1166" s="3" t="s">
        <v>2209</v>
      </c>
      <c r="E1166" s="11" t="s">
        <v>10</v>
      </c>
      <c r="F1166" s="10">
        <v>7.0200000000000004E-4</v>
      </c>
      <c r="G1166" s="12">
        <f>ROUND(G$3*F1166,0)</f>
        <v>202</v>
      </c>
      <c r="H1166" s="13">
        <f>ROUND(G1166/2,0)</f>
        <v>101</v>
      </c>
      <c r="I1166" s="12">
        <f>G1166-H1166</f>
        <v>101</v>
      </c>
      <c r="J1166" s="3" t="str">
        <f t="shared" si="86"/>
        <v>1720014</v>
      </c>
    </row>
    <row r="1167" spans="2:10" s="3" customFormat="1">
      <c r="B1167" s="3" t="s">
        <v>2104</v>
      </c>
      <c r="C1167" s="8">
        <v>2</v>
      </c>
      <c r="D1167" s="3" t="s">
        <v>2209</v>
      </c>
      <c r="E1167" s="11" t="s">
        <v>11</v>
      </c>
      <c r="F1167" s="10">
        <v>9.0000000000000002E-6</v>
      </c>
      <c r="G1167" s="12">
        <f>ROUND(G$3*F1167,0)</f>
        <v>3</v>
      </c>
      <c r="H1167" s="13">
        <f>ROUND(G1167/2,0)</f>
        <v>2</v>
      </c>
      <c r="I1167" s="12">
        <f>G1167-H1167</f>
        <v>1</v>
      </c>
      <c r="J1167" s="3" t="str">
        <f t="shared" si="86"/>
        <v>1720014</v>
      </c>
    </row>
    <row r="1168" spans="2:10" s="3" customFormat="1">
      <c r="B1168" s="3" t="s">
        <v>2104</v>
      </c>
      <c r="C1168" s="8">
        <v>2</v>
      </c>
      <c r="D1168" s="3" t="s">
        <v>2204</v>
      </c>
      <c r="E1168" s="11" t="s">
        <v>379</v>
      </c>
      <c r="F1168" s="11"/>
      <c r="G1168" s="9"/>
      <c r="H1168" s="11"/>
      <c r="I1168" s="11"/>
      <c r="J1168" s="3" t="str">
        <f t="shared" si="86"/>
        <v>1720015</v>
      </c>
    </row>
    <row r="1169" spans="1:10" s="3" customFormat="1">
      <c r="B1169" s="3" t="s">
        <v>2104</v>
      </c>
      <c r="C1169" s="8">
        <v>2</v>
      </c>
      <c r="D1169" s="3" t="s">
        <v>2204</v>
      </c>
      <c r="E1169" s="11" t="s">
        <v>10</v>
      </c>
      <c r="F1169" s="10">
        <v>2.0579999999999999E-3</v>
      </c>
      <c r="G1169" s="12">
        <f t="shared" ref="G1169:G1180" si="87">ROUND(G$3*F1169,0)</f>
        <v>592</v>
      </c>
      <c r="H1169" s="13">
        <f t="shared" ref="H1169:H1180" si="88">ROUND(G1169/2,0)</f>
        <v>296</v>
      </c>
      <c r="I1169" s="12">
        <f t="shared" ref="I1169:I1180" si="89">G1169-H1169</f>
        <v>296</v>
      </c>
      <c r="J1169" s="3" t="str">
        <f t="shared" si="86"/>
        <v>1720015</v>
      </c>
    </row>
    <row r="1170" spans="1:10" s="3" customFormat="1">
      <c r="B1170" s="3" t="s">
        <v>2104</v>
      </c>
      <c r="C1170" s="8">
        <v>2</v>
      </c>
      <c r="D1170" s="3" t="s">
        <v>2204</v>
      </c>
      <c r="E1170" s="11" t="s">
        <v>11</v>
      </c>
      <c r="F1170" s="10">
        <v>2.7700000000000001E-4</v>
      </c>
      <c r="G1170" s="12">
        <f t="shared" si="87"/>
        <v>80</v>
      </c>
      <c r="H1170" s="13">
        <f t="shared" si="88"/>
        <v>40</v>
      </c>
      <c r="I1170" s="12">
        <f t="shared" si="89"/>
        <v>40</v>
      </c>
      <c r="J1170" s="3" t="str">
        <f t="shared" si="86"/>
        <v>1720015</v>
      </c>
    </row>
    <row r="1171" spans="1:10" s="3" customFormat="1">
      <c r="A1171" s="3" t="s">
        <v>6269</v>
      </c>
      <c r="B1171" s="3" t="s">
        <v>2104</v>
      </c>
      <c r="C1171" s="8">
        <v>3</v>
      </c>
      <c r="D1171" s="3" t="s">
        <v>2364</v>
      </c>
      <c r="E1171" s="11" t="s">
        <v>380</v>
      </c>
      <c r="F1171" s="10">
        <v>0</v>
      </c>
      <c r="G1171" s="12">
        <f t="shared" si="87"/>
        <v>0</v>
      </c>
      <c r="H1171" s="13">
        <f t="shared" si="88"/>
        <v>0</v>
      </c>
      <c r="I1171" s="12">
        <f t="shared" si="89"/>
        <v>0</v>
      </c>
      <c r="J1171" s="3" t="str">
        <f t="shared" si="86"/>
        <v>1730585</v>
      </c>
    </row>
    <row r="1172" spans="1:10" s="3" customFormat="1">
      <c r="A1172" s="3" t="s">
        <v>6269</v>
      </c>
      <c r="B1172" s="3" t="s">
        <v>2104</v>
      </c>
      <c r="C1172" s="8">
        <v>3</v>
      </c>
      <c r="D1172" s="3" t="s">
        <v>2365</v>
      </c>
      <c r="E1172" s="11" t="s">
        <v>381</v>
      </c>
      <c r="F1172" s="10">
        <v>0</v>
      </c>
      <c r="G1172" s="12">
        <f t="shared" si="87"/>
        <v>0</v>
      </c>
      <c r="H1172" s="13">
        <f t="shared" si="88"/>
        <v>0</v>
      </c>
      <c r="I1172" s="12">
        <f t="shared" si="89"/>
        <v>0</v>
      </c>
      <c r="J1172" s="3" t="str">
        <f t="shared" si="86"/>
        <v>1730586</v>
      </c>
    </row>
    <row r="1173" spans="1:10" s="3" customFormat="1">
      <c r="B1173" s="3" t="s">
        <v>2104</v>
      </c>
      <c r="C1173" s="8">
        <v>3</v>
      </c>
      <c r="D1173" s="3" t="s">
        <v>2361</v>
      </c>
      <c r="E1173" s="11" t="s">
        <v>382</v>
      </c>
      <c r="F1173" s="10">
        <v>2.0254000000000001E-2</v>
      </c>
      <c r="G1173" s="12">
        <f t="shared" si="87"/>
        <v>5828</v>
      </c>
      <c r="H1173" s="13">
        <f t="shared" si="88"/>
        <v>2914</v>
      </c>
      <c r="I1173" s="12">
        <f t="shared" si="89"/>
        <v>2914</v>
      </c>
      <c r="J1173" s="3" t="str">
        <f t="shared" si="86"/>
        <v>1730416</v>
      </c>
    </row>
    <row r="1174" spans="1:10" s="3" customFormat="1">
      <c r="B1174" s="3" t="s">
        <v>2104</v>
      </c>
      <c r="C1174" s="8">
        <v>3</v>
      </c>
      <c r="D1174" s="3" t="s">
        <v>2363</v>
      </c>
      <c r="E1174" s="11" t="s">
        <v>383</v>
      </c>
      <c r="F1174" s="10">
        <v>1.8127000000000001E-2</v>
      </c>
      <c r="G1174" s="12">
        <f t="shared" si="87"/>
        <v>5216</v>
      </c>
      <c r="H1174" s="13">
        <f t="shared" si="88"/>
        <v>2608</v>
      </c>
      <c r="I1174" s="12">
        <f t="shared" si="89"/>
        <v>2608</v>
      </c>
      <c r="J1174" s="3" t="str">
        <f t="shared" si="86"/>
        <v>1730460</v>
      </c>
    </row>
    <row r="1175" spans="1:10" s="3" customFormat="1">
      <c r="B1175" s="3" t="s">
        <v>2104</v>
      </c>
      <c r="C1175" s="8">
        <v>3</v>
      </c>
      <c r="D1175" s="3" t="s">
        <v>2366</v>
      </c>
      <c r="E1175" s="11" t="s">
        <v>384</v>
      </c>
      <c r="F1175" s="10">
        <v>1.6800000000000001E-3</v>
      </c>
      <c r="G1175" s="12">
        <f t="shared" si="87"/>
        <v>483</v>
      </c>
      <c r="H1175" s="13">
        <f t="shared" si="88"/>
        <v>242</v>
      </c>
      <c r="I1175" s="12">
        <f t="shared" si="89"/>
        <v>241</v>
      </c>
      <c r="J1175" s="3" t="str">
        <f t="shared" si="86"/>
        <v>1730587</v>
      </c>
    </row>
    <row r="1176" spans="1:10" s="3" customFormat="1">
      <c r="B1176" s="3" t="s">
        <v>2104</v>
      </c>
      <c r="C1176" s="8">
        <v>3</v>
      </c>
      <c r="D1176" s="3" t="s">
        <v>2362</v>
      </c>
      <c r="E1176" s="11" t="s">
        <v>385</v>
      </c>
      <c r="F1176" s="10">
        <v>6.4147999999999997E-2</v>
      </c>
      <c r="G1176" s="12">
        <f t="shared" si="87"/>
        <v>18457</v>
      </c>
      <c r="H1176" s="13">
        <f t="shared" si="88"/>
        <v>9229</v>
      </c>
      <c r="I1176" s="12">
        <f t="shared" si="89"/>
        <v>9228</v>
      </c>
      <c r="J1176" s="3" t="str">
        <f t="shared" si="86"/>
        <v>1730436</v>
      </c>
    </row>
    <row r="1177" spans="1:10" s="3" customFormat="1">
      <c r="A1177" s="3" t="s">
        <v>6269</v>
      </c>
      <c r="B1177" s="3" t="s">
        <v>2104</v>
      </c>
      <c r="C1177" s="8">
        <v>3</v>
      </c>
      <c r="D1177" s="3" t="s">
        <v>2369</v>
      </c>
      <c r="E1177" s="11" t="s">
        <v>386</v>
      </c>
      <c r="F1177" s="10">
        <v>0</v>
      </c>
      <c r="G1177" s="12">
        <f t="shared" si="87"/>
        <v>0</v>
      </c>
      <c r="H1177" s="13">
        <f t="shared" si="88"/>
        <v>0</v>
      </c>
      <c r="I1177" s="12">
        <f t="shared" si="89"/>
        <v>0</v>
      </c>
      <c r="J1177" s="3" t="str">
        <f t="shared" si="86"/>
        <v>1730879</v>
      </c>
    </row>
    <row r="1178" spans="1:10" s="3" customFormat="1">
      <c r="B1178" s="3" t="s">
        <v>2104</v>
      </c>
      <c r="C1178" s="8">
        <v>3</v>
      </c>
      <c r="D1178" s="3" t="s">
        <v>2367</v>
      </c>
      <c r="E1178" s="11" t="s">
        <v>387</v>
      </c>
      <c r="F1178" s="10">
        <v>4.2499999999999998E-4</v>
      </c>
      <c r="G1178" s="12">
        <f t="shared" si="87"/>
        <v>122</v>
      </c>
      <c r="H1178" s="13">
        <f t="shared" si="88"/>
        <v>61</v>
      </c>
      <c r="I1178" s="12">
        <f t="shared" si="89"/>
        <v>61</v>
      </c>
      <c r="J1178" s="3" t="str">
        <f t="shared" si="86"/>
        <v>1730589</v>
      </c>
    </row>
    <row r="1179" spans="1:10" s="3" customFormat="1">
      <c r="B1179" s="3" t="s">
        <v>2104</v>
      </c>
      <c r="C1179" s="8">
        <v>3</v>
      </c>
      <c r="D1179" s="3" t="s">
        <v>2368</v>
      </c>
      <c r="E1179" s="11" t="s">
        <v>388</v>
      </c>
      <c r="F1179" s="10">
        <v>2.9919999999999999E-2</v>
      </c>
      <c r="G1179" s="12">
        <f t="shared" si="87"/>
        <v>8609</v>
      </c>
      <c r="H1179" s="13">
        <f t="shared" si="88"/>
        <v>4305</v>
      </c>
      <c r="I1179" s="12">
        <f t="shared" si="89"/>
        <v>4304</v>
      </c>
      <c r="J1179" s="3" t="str">
        <f t="shared" si="86"/>
        <v>1730590</v>
      </c>
    </row>
    <row r="1180" spans="1:10" s="3" customFormat="1">
      <c r="B1180" s="3" t="s">
        <v>2104</v>
      </c>
      <c r="C1180" s="8">
        <v>4</v>
      </c>
      <c r="D1180" s="3" t="s">
        <v>2371</v>
      </c>
      <c r="E1180" s="11" t="s">
        <v>389</v>
      </c>
      <c r="F1180" s="10">
        <v>0.26269700000000001</v>
      </c>
      <c r="G1180" s="9">
        <f t="shared" si="87"/>
        <v>75584</v>
      </c>
      <c r="H1180" s="11">
        <f t="shared" si="88"/>
        <v>37792</v>
      </c>
      <c r="I1180" s="9">
        <f t="shared" si="89"/>
        <v>37792</v>
      </c>
      <c r="J1180" s="3" t="str">
        <f t="shared" si="86"/>
        <v>1741835</v>
      </c>
    </row>
    <row r="1181" spans="1:10" s="3" customFormat="1">
      <c r="B1181" s="3" t="s">
        <v>2104</v>
      </c>
      <c r="C1181" s="8">
        <v>4</v>
      </c>
      <c r="D1181" s="3" t="s">
        <v>2371</v>
      </c>
      <c r="E1181" s="11" t="s">
        <v>28</v>
      </c>
      <c r="F1181" s="11"/>
      <c r="G1181" s="14">
        <v>0.43253399999999997</v>
      </c>
      <c r="H1181" s="11"/>
      <c r="I1181" s="11"/>
      <c r="J1181" s="3" t="str">
        <f t="shared" si="86"/>
        <v>1741835</v>
      </c>
    </row>
    <row r="1182" spans="1:10" s="3" customFormat="1">
      <c r="B1182" s="3" t="s">
        <v>2104</v>
      </c>
      <c r="C1182" s="8">
        <v>4</v>
      </c>
      <c r="D1182" s="3" t="s">
        <v>2371</v>
      </c>
      <c r="E1182" s="11" t="s">
        <v>29</v>
      </c>
      <c r="F1182" s="11"/>
      <c r="G1182" s="15">
        <f>ROUND(G1180*G1181,0)</f>
        <v>32693</v>
      </c>
      <c r="H1182" s="16">
        <f>ROUND(G1182/2,0)</f>
        <v>16347</v>
      </c>
      <c r="I1182" s="15">
        <f>G1182-H1182</f>
        <v>16346</v>
      </c>
      <c r="J1182" s="3" t="str">
        <f t="shared" si="86"/>
        <v>1741835</v>
      </c>
    </row>
    <row r="1183" spans="1:10" s="3" customFormat="1">
      <c r="B1183" s="3" t="s">
        <v>2104</v>
      </c>
      <c r="C1183" s="8">
        <v>4</v>
      </c>
      <c r="D1183" s="3" t="s">
        <v>2371</v>
      </c>
      <c r="E1183" s="11" t="s">
        <v>30</v>
      </c>
      <c r="F1183" s="11"/>
      <c r="G1183" s="12">
        <f>+G1180-G1182</f>
        <v>42891</v>
      </c>
      <c r="H1183" s="13">
        <f>ROUND(G1183/2,0)</f>
        <v>21446</v>
      </c>
      <c r="I1183" s="12">
        <f>G1183-H1183</f>
        <v>21445</v>
      </c>
      <c r="J1183" s="3" t="str">
        <f t="shared" si="86"/>
        <v>1741835</v>
      </c>
    </row>
    <row r="1184" spans="1:10" s="3" customFormat="1">
      <c r="B1184" s="3" t="s">
        <v>2104</v>
      </c>
      <c r="C1184" s="8">
        <v>4</v>
      </c>
      <c r="D1184" s="116" t="s">
        <v>2370</v>
      </c>
      <c r="E1184" s="11" t="s">
        <v>390</v>
      </c>
      <c r="F1184" s="10">
        <v>0.19134300000000001</v>
      </c>
      <c r="G1184" s="9">
        <f>ROUND(G$3*F1184,0)</f>
        <v>55054</v>
      </c>
      <c r="H1184" s="11">
        <f>ROUND(G1184/2,0)</f>
        <v>27527</v>
      </c>
      <c r="I1184" s="9">
        <f>G1184-H1184</f>
        <v>27527</v>
      </c>
      <c r="J1184" s="3" t="str">
        <f t="shared" si="86"/>
        <v>1741805</v>
      </c>
    </row>
    <row r="1185" spans="2:10" s="3" customFormat="1">
      <c r="B1185" s="3" t="s">
        <v>2104</v>
      </c>
      <c r="C1185" s="8">
        <v>4</v>
      </c>
      <c r="D1185" s="116" t="s">
        <v>2370</v>
      </c>
      <c r="E1185" s="11" t="s">
        <v>28</v>
      </c>
      <c r="F1185" s="11"/>
      <c r="G1185" s="14">
        <v>0.419437</v>
      </c>
      <c r="H1185" s="11"/>
      <c r="I1185" s="11"/>
      <c r="J1185" s="3" t="str">
        <f t="shared" si="86"/>
        <v>1741805</v>
      </c>
    </row>
    <row r="1186" spans="2:10" s="3" customFormat="1">
      <c r="B1186" s="3" t="s">
        <v>2104</v>
      </c>
      <c r="C1186" s="8">
        <v>4</v>
      </c>
      <c r="D1186" s="116" t="s">
        <v>2370</v>
      </c>
      <c r="E1186" s="11" t="s">
        <v>29</v>
      </c>
      <c r="F1186" s="11"/>
      <c r="G1186" s="15">
        <f>ROUND(G1184*G1185,0)</f>
        <v>23092</v>
      </c>
      <c r="H1186" s="16">
        <f>ROUND(G1186/2,0)</f>
        <v>11546</v>
      </c>
      <c r="I1186" s="15">
        <f>G1186-H1186</f>
        <v>11546</v>
      </c>
      <c r="J1186" s="3" t="str">
        <f t="shared" si="86"/>
        <v>1741805</v>
      </c>
    </row>
    <row r="1187" spans="2:10" s="3" customFormat="1">
      <c r="B1187" s="3" t="s">
        <v>2104</v>
      </c>
      <c r="C1187" s="8">
        <v>4</v>
      </c>
      <c r="D1187" s="116" t="s">
        <v>2370</v>
      </c>
      <c r="E1187" s="11" t="s">
        <v>30</v>
      </c>
      <c r="F1187" s="11"/>
      <c r="G1187" s="12">
        <f>+G1184-G1186</f>
        <v>31962</v>
      </c>
      <c r="H1187" s="13">
        <f>ROUND(G1187/2,0)</f>
        <v>15981</v>
      </c>
      <c r="I1187" s="12">
        <f>G1187-H1187</f>
        <v>15981</v>
      </c>
      <c r="J1187" s="3" t="str">
        <f t="shared" si="86"/>
        <v>1741805</v>
      </c>
    </row>
    <row r="1188" spans="2:10" s="3" customFormat="1">
      <c r="B1188" s="3" t="s">
        <v>2104</v>
      </c>
      <c r="C1188" s="8" t="s">
        <v>3160</v>
      </c>
      <c r="D1188" s="3" t="s">
        <v>3697</v>
      </c>
      <c r="E1188" s="11" t="s">
        <v>391</v>
      </c>
      <c r="F1188" s="10">
        <v>0.16623099999999999</v>
      </c>
      <c r="G1188" s="9">
        <f>ROUND(G$3*F1188,0)</f>
        <v>47828</v>
      </c>
      <c r="H1188" s="11">
        <f>ROUND(G1188/2,0)</f>
        <v>23914</v>
      </c>
      <c r="I1188" s="9">
        <f>G1188-H1188</f>
        <v>23914</v>
      </c>
      <c r="J1188" s="3" t="str">
        <f t="shared" si="86"/>
        <v>1741820</v>
      </c>
    </row>
    <row r="1189" spans="2:10" s="3" customFormat="1">
      <c r="B1189" s="3" t="s">
        <v>2104</v>
      </c>
      <c r="C1189" s="8" t="s">
        <v>3160</v>
      </c>
      <c r="D1189" s="3" t="s">
        <v>3697</v>
      </c>
      <c r="E1189" s="11" t="s">
        <v>28</v>
      </c>
      <c r="F1189" s="11"/>
      <c r="G1189" s="14">
        <v>0.46364</v>
      </c>
      <c r="H1189" s="11"/>
      <c r="I1189" s="11"/>
      <c r="J1189" s="3" t="str">
        <f t="shared" si="86"/>
        <v>1741820</v>
      </c>
    </row>
    <row r="1190" spans="2:10" s="3" customFormat="1">
      <c r="B1190" s="3" t="s">
        <v>2104</v>
      </c>
      <c r="C1190" s="8" t="s">
        <v>3160</v>
      </c>
      <c r="D1190" s="3" t="s">
        <v>3697</v>
      </c>
      <c r="E1190" s="11" t="s">
        <v>29</v>
      </c>
      <c r="F1190" s="11"/>
      <c r="G1190" s="15">
        <f>ROUND(G1188*G1189,0)</f>
        <v>22175</v>
      </c>
      <c r="H1190" s="16">
        <f>ROUND(G1190/2,0)</f>
        <v>11088</v>
      </c>
      <c r="I1190" s="15">
        <f>G1190-H1190</f>
        <v>11087</v>
      </c>
      <c r="J1190" s="3" t="str">
        <f t="shared" si="86"/>
        <v>1741820</v>
      </c>
    </row>
    <row r="1191" spans="2:10" s="3" customFormat="1">
      <c r="B1191" s="3" t="s">
        <v>2104</v>
      </c>
      <c r="C1191" s="8" t="s">
        <v>3160</v>
      </c>
      <c r="D1191" s="3" t="s">
        <v>3697</v>
      </c>
      <c r="E1191" s="11" t="s">
        <v>30</v>
      </c>
      <c r="F1191" s="11"/>
      <c r="G1191" s="12">
        <f>+G1188-G1190</f>
        <v>25653</v>
      </c>
      <c r="H1191" s="13">
        <f>ROUND(G1191/2,0)</f>
        <v>12827</v>
      </c>
      <c r="I1191" s="12">
        <f>G1191-H1191</f>
        <v>12826</v>
      </c>
      <c r="J1191" s="3" t="str">
        <f t="shared" si="86"/>
        <v>1741820</v>
      </c>
    </row>
    <row r="1192" spans="2:10" s="3" customFormat="1">
      <c r="B1192" s="3" t="s">
        <v>2104</v>
      </c>
      <c r="C1192" s="8">
        <v>4</v>
      </c>
      <c r="D1192" s="3" t="s">
        <v>2372</v>
      </c>
      <c r="E1192" s="11" t="s">
        <v>392</v>
      </c>
      <c r="F1192" s="10">
        <v>1.1334E-2</v>
      </c>
      <c r="G1192" s="9">
        <f>ROUND(G$3*F1192,0)</f>
        <v>3261</v>
      </c>
      <c r="H1192" s="11">
        <f>ROUND(G1192/2,0)</f>
        <v>1631</v>
      </c>
      <c r="I1192" s="9">
        <f>G1192-H1192</f>
        <v>1630</v>
      </c>
      <c r="J1192" s="3" t="str">
        <f t="shared" si="86"/>
        <v>1747610</v>
      </c>
    </row>
    <row r="1193" spans="2:10" s="3" customFormat="1">
      <c r="B1193" s="3" t="s">
        <v>2104</v>
      </c>
      <c r="C1193" s="8">
        <v>4</v>
      </c>
      <c r="D1193" s="3" t="s">
        <v>2372</v>
      </c>
      <c r="E1193" s="11" t="s">
        <v>28</v>
      </c>
      <c r="F1193" s="11"/>
      <c r="G1193" s="14">
        <v>0.59018099999999996</v>
      </c>
      <c r="H1193" s="11"/>
      <c r="I1193" s="11"/>
      <c r="J1193" s="3" t="str">
        <f t="shared" si="86"/>
        <v>1747610</v>
      </c>
    </row>
    <row r="1194" spans="2:10" s="3" customFormat="1">
      <c r="B1194" s="3" t="s">
        <v>2104</v>
      </c>
      <c r="C1194" s="8">
        <v>4</v>
      </c>
      <c r="D1194" s="3" t="s">
        <v>2372</v>
      </c>
      <c r="E1194" s="11" t="s">
        <v>29</v>
      </c>
      <c r="F1194" s="11"/>
      <c r="G1194" s="15">
        <f>ROUND(G1192*G1193,0)</f>
        <v>1925</v>
      </c>
      <c r="H1194" s="16">
        <f t="shared" ref="H1194:H1200" si="90">ROUND(G1194/2,0)</f>
        <v>963</v>
      </c>
      <c r="I1194" s="15">
        <f t="shared" ref="I1194:I1200" si="91">G1194-H1194</f>
        <v>962</v>
      </c>
      <c r="J1194" s="3" t="str">
        <f t="shared" si="86"/>
        <v>1747610</v>
      </c>
    </row>
    <row r="1195" spans="2:10" s="3" customFormat="1">
      <c r="B1195" s="3" t="s">
        <v>2104</v>
      </c>
      <c r="C1195" s="8">
        <v>4</v>
      </c>
      <c r="D1195" s="3" t="s">
        <v>2372</v>
      </c>
      <c r="E1195" s="11" t="s">
        <v>30</v>
      </c>
      <c r="F1195" s="11"/>
      <c r="G1195" s="12">
        <f>+G1192-G1194</f>
        <v>1336</v>
      </c>
      <c r="H1195" s="13">
        <f t="shared" si="90"/>
        <v>668</v>
      </c>
      <c r="I1195" s="12">
        <f t="shared" si="91"/>
        <v>668</v>
      </c>
      <c r="J1195" s="3" t="str">
        <f t="shared" si="86"/>
        <v>1747610</v>
      </c>
    </row>
    <row r="1196" spans="2:10" s="3" customFormat="1">
      <c r="B1196" s="3" t="s">
        <v>2104</v>
      </c>
      <c r="C1196" s="8">
        <v>5</v>
      </c>
      <c r="D1196" s="3" t="s">
        <v>3702</v>
      </c>
      <c r="E1196" s="11" t="s">
        <v>393</v>
      </c>
      <c r="F1196" s="10">
        <v>3.3010000000000001E-3</v>
      </c>
      <c r="G1196" s="120">
        <f>ROUND(G$3*F1196,0)</f>
        <v>950</v>
      </c>
      <c r="H1196" s="120">
        <f t="shared" si="90"/>
        <v>475</v>
      </c>
      <c r="I1196" s="120">
        <f t="shared" si="91"/>
        <v>475</v>
      </c>
      <c r="J1196" s="3" t="str">
        <f t="shared" si="86"/>
        <v>1750036</v>
      </c>
    </row>
    <row r="1197" spans="2:10" s="3" customFormat="1">
      <c r="B1197" s="3" t="s">
        <v>2104</v>
      </c>
      <c r="C1197" s="8">
        <v>5</v>
      </c>
      <c r="D1197" s="3" t="s">
        <v>3704</v>
      </c>
      <c r="E1197" s="11" t="s">
        <v>394</v>
      </c>
      <c r="F1197" s="10">
        <v>2.9229999999999998E-3</v>
      </c>
      <c r="G1197" s="120">
        <f>ROUND(G$3*F1197,0)</f>
        <v>841</v>
      </c>
      <c r="H1197" s="120">
        <f t="shared" si="90"/>
        <v>421</v>
      </c>
      <c r="I1197" s="120">
        <f t="shared" si="91"/>
        <v>420</v>
      </c>
      <c r="J1197" s="3" t="str">
        <f t="shared" si="86"/>
        <v>1750037</v>
      </c>
    </row>
    <row r="1198" spans="2:10" s="3" customFormat="1">
      <c r="B1198" s="3" t="s">
        <v>2104</v>
      </c>
      <c r="C1198" s="8">
        <v>5</v>
      </c>
      <c r="D1198" s="3" t="s">
        <v>2373</v>
      </c>
      <c r="E1198" s="11" t="s">
        <v>395</v>
      </c>
      <c r="F1198" s="10">
        <v>1.3082999999999999E-2</v>
      </c>
      <c r="G1198" s="120">
        <f>ROUND(G$3*F1198,0)</f>
        <v>3764</v>
      </c>
      <c r="H1198" s="120">
        <f t="shared" si="90"/>
        <v>1882</v>
      </c>
      <c r="I1198" s="120">
        <f t="shared" si="91"/>
        <v>1882</v>
      </c>
      <c r="J1198" s="3" t="str">
        <f t="shared" si="86"/>
        <v>1750038</v>
      </c>
    </row>
    <row r="1199" spans="2:10" s="3" customFormat="1">
      <c r="B1199" s="3" t="s">
        <v>2104</v>
      </c>
      <c r="C1199" s="8">
        <v>5</v>
      </c>
      <c r="D1199" s="3" t="s">
        <v>2374</v>
      </c>
      <c r="E1199" s="11" t="s">
        <v>396</v>
      </c>
      <c r="F1199" s="10">
        <v>8.7980000000000003E-3</v>
      </c>
      <c r="G1199" s="120">
        <f>ROUND(G$3*F1199,0)</f>
        <v>2531</v>
      </c>
      <c r="H1199" s="120">
        <f t="shared" si="90"/>
        <v>1266</v>
      </c>
      <c r="I1199" s="120">
        <f t="shared" si="91"/>
        <v>1265</v>
      </c>
      <c r="J1199" s="3" t="str">
        <f t="shared" si="86"/>
        <v>1750039</v>
      </c>
    </row>
    <row r="1200" spans="2:10" s="3" customFormat="1">
      <c r="B1200" s="3" t="s">
        <v>2104</v>
      </c>
      <c r="C1200" s="8">
        <v>6</v>
      </c>
      <c r="D1200" s="3" t="s">
        <v>3708</v>
      </c>
      <c r="E1200" s="11" t="s">
        <v>397</v>
      </c>
      <c r="F1200" s="10">
        <v>4.9519999999999564E-3</v>
      </c>
      <c r="G1200" s="120">
        <f>+G1120-SUM(G1121:G1122)-SUM(G1127:G1180)-G1184-G1188-G1192-SUM(G1196:G1199)</f>
        <v>3347</v>
      </c>
      <c r="H1200" s="120">
        <f t="shared" si="90"/>
        <v>1674</v>
      </c>
      <c r="I1200" s="120">
        <f t="shared" si="91"/>
        <v>1673</v>
      </c>
      <c r="J1200" s="3" t="str">
        <f t="shared" si="86"/>
        <v>1760994</v>
      </c>
    </row>
    <row r="1201" spans="2:10" s="3" customFormat="1">
      <c r="B1201" s="3" t="s">
        <v>2104</v>
      </c>
      <c r="C1201" s="8">
        <v>0</v>
      </c>
      <c r="D1201" s="125" t="s">
        <v>2187</v>
      </c>
      <c r="E1201" s="28" t="s">
        <v>288</v>
      </c>
      <c r="F1201" s="10">
        <v>1</v>
      </c>
      <c r="G1201" s="12">
        <f>+G1121+SUM(G1124:G1179)+SUM(G1182:G1183)+SUM(G1186:G1187)+SUM(G1190:G1191)+SUM(G1194:G1200)</f>
        <v>289644</v>
      </c>
      <c r="H1201" s="12">
        <f>+H1121+SUM(H1124:H1179)+SUM(H1182:H1183)+SUM(H1186:H1187)+SUM(H1190:H1191)+SUM(H1194:H1200)</f>
        <v>144833</v>
      </c>
      <c r="I1201" s="12">
        <f>+I1121+SUM(I1124:I1179)+SUM(I1182:I1183)+SUM(I1186:I1187)+SUM(I1190:I1191)+SUM(I1194:I1200)</f>
        <v>144811</v>
      </c>
      <c r="J1201" s="3" t="str">
        <f t="shared" si="86"/>
        <v>1700000</v>
      </c>
    </row>
    <row r="1202" spans="2:10" s="3" customFormat="1">
      <c r="B1202" s="3" t="s">
        <v>2104</v>
      </c>
      <c r="C1202" s="8">
        <v>0</v>
      </c>
      <c r="D1202" s="3" t="s">
        <v>2187</v>
      </c>
      <c r="E1202" s="18" t="s">
        <v>38</v>
      </c>
      <c r="G1202" s="19">
        <f>+G1121</f>
        <v>365</v>
      </c>
      <c r="H1202" s="19">
        <f>+H1121</f>
        <v>183</v>
      </c>
      <c r="I1202" s="19">
        <f>+I1121</f>
        <v>182</v>
      </c>
      <c r="J1202" s="3" t="str">
        <f t="shared" si="86"/>
        <v>1700000</v>
      </c>
    </row>
    <row r="1203" spans="2:10" s="3" customFormat="1">
      <c r="B1203" s="3" t="s">
        <v>2104</v>
      </c>
      <c r="C1203" s="8">
        <v>0</v>
      </c>
      <c r="D1203" s="3" t="s">
        <v>2187</v>
      </c>
      <c r="E1203" s="2" t="s">
        <v>39</v>
      </c>
      <c r="G1203" s="19">
        <f>+G1124</f>
        <v>12477</v>
      </c>
      <c r="H1203" s="19">
        <f>+H1124</f>
        <v>6239</v>
      </c>
      <c r="I1203" s="19">
        <f>+I1124</f>
        <v>6238</v>
      </c>
      <c r="J1203" s="3" t="str">
        <f t="shared" si="86"/>
        <v>1700000</v>
      </c>
    </row>
    <row r="1204" spans="2:10" s="3" customFormat="1">
      <c r="B1204" s="3" t="s">
        <v>2104</v>
      </c>
      <c r="C1204" s="8">
        <v>0</v>
      </c>
      <c r="D1204" s="3" t="s">
        <v>2187</v>
      </c>
      <c r="E1204" s="2" t="s">
        <v>40</v>
      </c>
      <c r="G1204" s="19">
        <f>+G1182+G1186+G1190+G1194</f>
        <v>79885</v>
      </c>
      <c r="H1204" s="19">
        <f>+H1182+H1186+H1190+H1194</f>
        <v>39944</v>
      </c>
      <c r="I1204" s="19">
        <f>+I1182+I1186+I1190+I1194</f>
        <v>39941</v>
      </c>
      <c r="J1204" s="3" t="str">
        <f t="shared" si="86"/>
        <v>1700000</v>
      </c>
    </row>
    <row r="1205" spans="2:10" s="3" customFormat="1">
      <c r="B1205" s="3" t="s">
        <v>2104</v>
      </c>
      <c r="C1205" s="8">
        <v>0</v>
      </c>
      <c r="D1205" s="125" t="s">
        <v>2187</v>
      </c>
      <c r="E1205" s="18" t="s">
        <v>41</v>
      </c>
      <c r="G1205" s="19">
        <f>+G1201-G1202-G1203-G1204</f>
        <v>196917</v>
      </c>
      <c r="H1205" s="19">
        <f>+H1201-H1202-H1203-H1204</f>
        <v>98467</v>
      </c>
      <c r="I1205" s="19">
        <f>+I1201-I1202-I1203-I1204</f>
        <v>98450</v>
      </c>
      <c r="J1205" s="3" t="str">
        <f t="shared" si="86"/>
        <v>1700000</v>
      </c>
    </row>
    <row r="1206" spans="2:10" ht="15.75">
      <c r="B1206" s="3" t="s">
        <v>2186</v>
      </c>
      <c r="D1206" t="s">
        <v>2186</v>
      </c>
      <c r="E1206">
        <v>0</v>
      </c>
      <c r="G1206"/>
      <c r="H1206"/>
      <c r="I1206"/>
      <c r="J1206" s="3" t="str">
        <f t="shared" si="86"/>
        <v/>
      </c>
    </row>
    <row r="1207" spans="2:10" s="3" customFormat="1">
      <c r="C1207" s="1"/>
      <c r="D1207" s="3" t="s">
        <v>2186</v>
      </c>
      <c r="E1207" s="2" t="s">
        <v>398</v>
      </c>
      <c r="J1207" s="3" t="str">
        <f t="shared" si="86"/>
        <v/>
      </c>
    </row>
    <row r="1208" spans="2:10" s="3" customFormat="1" ht="45">
      <c r="B1208" s="3" t="s">
        <v>2186</v>
      </c>
      <c r="C1208" s="1"/>
      <c r="D1208" s="3" t="s">
        <v>2186</v>
      </c>
      <c r="E1208" s="1">
        <v>0</v>
      </c>
      <c r="F1208" s="6" t="s">
        <v>1</v>
      </c>
      <c r="G1208" s="60">
        <f>'Allocation Worksheet'!H1208</f>
        <v>0</v>
      </c>
      <c r="H1208" s="60">
        <f>'Allocation Worksheet'!H1209</f>
        <v>0</v>
      </c>
      <c r="I1208" s="60">
        <f>'Allocation Worksheet'!H1210</f>
        <v>0</v>
      </c>
      <c r="J1208" s="3" t="str">
        <f t="shared" si="86"/>
        <v/>
      </c>
    </row>
    <row r="1209" spans="2:10" s="3" customFormat="1">
      <c r="C1209" s="7" t="s">
        <v>2087</v>
      </c>
      <c r="D1209" s="3" t="s">
        <v>2186</v>
      </c>
      <c r="E1209" s="7" t="s">
        <v>3</v>
      </c>
      <c r="F1209" s="10"/>
      <c r="G1209" s="9">
        <f>'Allocation Worksheet'!$D$21</f>
        <v>1065146</v>
      </c>
      <c r="H1209" s="11"/>
      <c r="I1209" s="11"/>
      <c r="J1209" s="3" t="str">
        <f t="shared" si="86"/>
        <v>UT</v>
      </c>
    </row>
    <row r="1210" spans="2:10" s="3" customFormat="1">
      <c r="B1210" s="3" t="s">
        <v>2105</v>
      </c>
      <c r="C1210" s="8">
        <v>0</v>
      </c>
      <c r="D1210" s="3" t="s">
        <v>2187</v>
      </c>
      <c r="E1210" s="11" t="s">
        <v>4</v>
      </c>
      <c r="F1210" s="10">
        <v>8.3799999999999999E-4</v>
      </c>
      <c r="G1210" s="12">
        <f>ROUND(G$3*F1210,0)</f>
        <v>241</v>
      </c>
      <c r="H1210" s="13">
        <f>ROUND(G1210/2,0)</f>
        <v>121</v>
      </c>
      <c r="I1210" s="12">
        <f>G1210-H1210</f>
        <v>120</v>
      </c>
      <c r="J1210" s="3" t="str">
        <f t="shared" si="86"/>
        <v>1800000</v>
      </c>
    </row>
    <row r="1211" spans="2:10" s="3" customFormat="1">
      <c r="B1211" s="3" t="s">
        <v>2105</v>
      </c>
      <c r="C1211" s="8">
        <v>1</v>
      </c>
      <c r="D1211" s="3" t="s">
        <v>2187</v>
      </c>
      <c r="E1211" s="11" t="s">
        <v>399</v>
      </c>
      <c r="F1211" s="10">
        <v>0.23000300000000001</v>
      </c>
      <c r="G1211" s="9">
        <f>ROUND(G$3*F1211,0)</f>
        <v>66177</v>
      </c>
      <c r="H1211" s="11">
        <f>ROUND(G1211/2,0)</f>
        <v>33089</v>
      </c>
      <c r="I1211" s="9">
        <f>G1211-H1211</f>
        <v>33088</v>
      </c>
      <c r="J1211" s="3" t="str">
        <f t="shared" si="86"/>
        <v>1810000</v>
      </c>
    </row>
    <row r="1212" spans="2:10" s="3" customFormat="1">
      <c r="B1212" s="3" t="s">
        <v>2105</v>
      </c>
      <c r="C1212" s="8">
        <v>1</v>
      </c>
      <c r="D1212" s="3" t="s">
        <v>2187</v>
      </c>
      <c r="E1212" s="11" t="s">
        <v>6</v>
      </c>
      <c r="F1212" s="11"/>
      <c r="G1212" s="14">
        <v>0.378996</v>
      </c>
      <c r="H1212" s="11"/>
      <c r="I1212" s="11"/>
      <c r="J1212" s="3" t="str">
        <f t="shared" si="86"/>
        <v>1810000</v>
      </c>
    </row>
    <row r="1213" spans="2:10" s="3" customFormat="1">
      <c r="B1213" s="3" t="s">
        <v>2105</v>
      </c>
      <c r="C1213" s="8">
        <v>1</v>
      </c>
      <c r="D1213" s="3" t="s">
        <v>2187</v>
      </c>
      <c r="E1213" s="11" t="s">
        <v>7</v>
      </c>
      <c r="F1213" s="11"/>
      <c r="G1213" s="15">
        <f>ROUND(G1211*G1212,0)</f>
        <v>25081</v>
      </c>
      <c r="H1213" s="16">
        <f>ROUND(G1213/2,0)</f>
        <v>12541</v>
      </c>
      <c r="I1213" s="15">
        <f>G1213-H1213</f>
        <v>12540</v>
      </c>
      <c r="J1213" s="3" t="str">
        <f t="shared" si="86"/>
        <v>1810000</v>
      </c>
    </row>
    <row r="1214" spans="2:10" s="3" customFormat="1">
      <c r="B1214" s="3" t="s">
        <v>2105</v>
      </c>
      <c r="C1214" s="8">
        <v>1</v>
      </c>
      <c r="D1214" s="3" t="s">
        <v>2187</v>
      </c>
      <c r="E1214" s="11" t="s">
        <v>8</v>
      </c>
      <c r="F1214" s="11"/>
      <c r="G1214" s="12">
        <f>+G1211-G1213</f>
        <v>41096</v>
      </c>
      <c r="H1214" s="13">
        <f>ROUND(G1214/2,0)</f>
        <v>20548</v>
      </c>
      <c r="I1214" s="12">
        <f>G1214-H1214</f>
        <v>20548</v>
      </c>
      <c r="J1214" s="3" t="str">
        <f t="shared" si="86"/>
        <v>1810000</v>
      </c>
    </row>
    <row r="1215" spans="2:10" s="3" customFormat="1">
      <c r="B1215" s="3" t="s">
        <v>2105</v>
      </c>
      <c r="C1215" s="8">
        <v>2</v>
      </c>
      <c r="D1215" s="3" t="s">
        <v>2188</v>
      </c>
      <c r="E1215" s="11" t="s">
        <v>107</v>
      </c>
      <c r="F1215" s="11"/>
      <c r="G1215" s="9"/>
      <c r="H1215" s="11"/>
      <c r="I1215" s="11"/>
      <c r="J1215" s="3" t="str">
        <f t="shared" si="86"/>
        <v>1820001</v>
      </c>
    </row>
    <row r="1216" spans="2:10" s="3" customFormat="1">
      <c r="B1216" s="3" t="s">
        <v>2105</v>
      </c>
      <c r="C1216" s="8">
        <v>2</v>
      </c>
      <c r="D1216" s="3" t="s">
        <v>2188</v>
      </c>
      <c r="E1216" s="11" t="s">
        <v>10</v>
      </c>
      <c r="F1216" s="10">
        <v>6.8380000000000003E-3</v>
      </c>
      <c r="G1216" s="12">
        <f>ROUND(G$3*F1216,0)</f>
        <v>1967</v>
      </c>
      <c r="H1216" s="13">
        <f>ROUND(G1216/2,0)</f>
        <v>984</v>
      </c>
      <c r="I1216" s="12">
        <f>G1216-H1216</f>
        <v>983</v>
      </c>
      <c r="J1216" s="3" t="str">
        <f t="shared" si="86"/>
        <v>1820001</v>
      </c>
    </row>
    <row r="1217" spans="2:10" s="3" customFormat="1">
      <c r="B1217" s="3" t="s">
        <v>2105</v>
      </c>
      <c r="C1217" s="8">
        <v>2</v>
      </c>
      <c r="D1217" s="3" t="s">
        <v>2188</v>
      </c>
      <c r="E1217" s="11" t="s">
        <v>11</v>
      </c>
      <c r="F1217" s="10">
        <v>8.2600000000000002E-4</v>
      </c>
      <c r="G1217" s="12">
        <f>ROUND(G$3*F1217,0)</f>
        <v>238</v>
      </c>
      <c r="H1217" s="13">
        <f>ROUND(G1217/2,0)</f>
        <v>119</v>
      </c>
      <c r="I1217" s="12">
        <f>G1217-H1217</f>
        <v>119</v>
      </c>
      <c r="J1217" s="3" t="str">
        <f t="shared" si="86"/>
        <v>1820001</v>
      </c>
    </row>
    <row r="1218" spans="2:10" s="3" customFormat="1">
      <c r="B1218" s="3" t="s">
        <v>2105</v>
      </c>
      <c r="C1218" s="8">
        <v>2</v>
      </c>
      <c r="D1218" s="3" t="s">
        <v>2189</v>
      </c>
      <c r="E1218" s="11" t="s">
        <v>400</v>
      </c>
      <c r="F1218" s="11"/>
      <c r="G1218" s="9"/>
      <c r="H1218" s="11"/>
      <c r="I1218" s="11"/>
      <c r="J1218" s="3" t="str">
        <f t="shared" si="86"/>
        <v>1820002</v>
      </c>
    </row>
    <row r="1219" spans="2:10" s="3" customFormat="1">
      <c r="B1219" s="3" t="s">
        <v>2105</v>
      </c>
      <c r="C1219" s="8">
        <v>2</v>
      </c>
      <c r="D1219" s="3" t="s">
        <v>2189</v>
      </c>
      <c r="E1219" s="11" t="s">
        <v>10</v>
      </c>
      <c r="F1219" s="10">
        <v>3.9399999999999998E-4</v>
      </c>
      <c r="G1219" s="12">
        <f>ROUND(G$3*F1219,0)</f>
        <v>113</v>
      </c>
      <c r="H1219" s="13">
        <f>ROUND(G1219/2,0)</f>
        <v>57</v>
      </c>
      <c r="I1219" s="12">
        <f>G1219-H1219</f>
        <v>56</v>
      </c>
      <c r="J1219" s="3" t="str">
        <f t="shared" si="86"/>
        <v>1820002</v>
      </c>
    </row>
    <row r="1220" spans="2:10" s="3" customFormat="1">
      <c r="B1220" s="3" t="s">
        <v>2105</v>
      </c>
      <c r="C1220" s="8">
        <v>2</v>
      </c>
      <c r="D1220" s="3" t="s">
        <v>2189</v>
      </c>
      <c r="E1220" s="11" t="s">
        <v>11</v>
      </c>
      <c r="F1220" s="10">
        <v>2.0000000000000001E-4</v>
      </c>
      <c r="G1220" s="12">
        <f>ROUND(G$3*F1220,0)</f>
        <v>58</v>
      </c>
      <c r="H1220" s="13">
        <f>ROUND(G1220/2,0)</f>
        <v>29</v>
      </c>
      <c r="I1220" s="12">
        <f>G1220-H1220</f>
        <v>29</v>
      </c>
      <c r="J1220" s="3" t="str">
        <f t="shared" ref="J1220:J1283" si="92">B1220&amp;C1220&amp;D1220</f>
        <v>1820002</v>
      </c>
    </row>
    <row r="1221" spans="2:10" s="3" customFormat="1">
      <c r="B1221" s="3" t="s">
        <v>2105</v>
      </c>
      <c r="C1221" s="8">
        <v>2</v>
      </c>
      <c r="D1221" s="3" t="s">
        <v>2190</v>
      </c>
      <c r="E1221" s="11" t="s">
        <v>401</v>
      </c>
      <c r="F1221" s="11"/>
      <c r="G1221" s="9"/>
      <c r="H1221" s="11"/>
      <c r="I1221" s="11"/>
      <c r="J1221" s="3" t="str">
        <f t="shared" si="92"/>
        <v>1820003</v>
      </c>
    </row>
    <row r="1222" spans="2:10" s="3" customFormat="1">
      <c r="B1222" s="3" t="s">
        <v>2105</v>
      </c>
      <c r="C1222" s="8">
        <v>2</v>
      </c>
      <c r="D1222" s="3" t="s">
        <v>2190</v>
      </c>
      <c r="E1222" s="11" t="s">
        <v>10</v>
      </c>
      <c r="F1222" s="10">
        <v>1.37E-4</v>
      </c>
      <c r="G1222" s="12">
        <f>ROUND(G$3*F1222,0)</f>
        <v>39</v>
      </c>
      <c r="H1222" s="13">
        <f>ROUND(G1222/2,0)</f>
        <v>20</v>
      </c>
      <c r="I1222" s="12">
        <f>G1222-H1222</f>
        <v>19</v>
      </c>
      <c r="J1222" s="3" t="str">
        <f t="shared" si="92"/>
        <v>1820003</v>
      </c>
    </row>
    <row r="1223" spans="2:10" s="3" customFormat="1">
      <c r="B1223" s="3" t="s">
        <v>2105</v>
      </c>
      <c r="C1223" s="8">
        <v>2</v>
      </c>
      <c r="D1223" s="3" t="s">
        <v>2190</v>
      </c>
      <c r="E1223" s="11" t="s">
        <v>11</v>
      </c>
      <c r="F1223" s="10">
        <v>4.73E-4</v>
      </c>
      <c r="G1223" s="12">
        <f>ROUND(G$3*F1223,0)</f>
        <v>136</v>
      </c>
      <c r="H1223" s="13">
        <f>ROUND(G1223/2,0)</f>
        <v>68</v>
      </c>
      <c r="I1223" s="12">
        <f>G1223-H1223</f>
        <v>68</v>
      </c>
      <c r="J1223" s="3" t="str">
        <f t="shared" si="92"/>
        <v>1820003</v>
      </c>
    </row>
    <row r="1224" spans="2:10" s="3" customFormat="1">
      <c r="B1224" s="3" t="s">
        <v>2105</v>
      </c>
      <c r="C1224" s="8">
        <v>2</v>
      </c>
      <c r="D1224" s="3" t="s">
        <v>2191</v>
      </c>
      <c r="E1224" s="11" t="s">
        <v>86</v>
      </c>
      <c r="F1224" s="11"/>
      <c r="G1224" s="9"/>
      <c r="H1224" s="11"/>
      <c r="I1224" s="11"/>
      <c r="J1224" s="3" t="str">
        <f t="shared" si="92"/>
        <v>1820004</v>
      </c>
    </row>
    <row r="1225" spans="2:10" s="3" customFormat="1">
      <c r="B1225" s="3" t="s">
        <v>2105</v>
      </c>
      <c r="C1225" s="8">
        <v>2</v>
      </c>
      <c r="D1225" s="3" t="s">
        <v>2191</v>
      </c>
      <c r="E1225" s="11" t="s">
        <v>10</v>
      </c>
      <c r="F1225" s="10">
        <v>2.1900000000000001E-4</v>
      </c>
      <c r="G1225" s="12">
        <f>ROUND(G$3*F1225,0)</f>
        <v>63</v>
      </c>
      <c r="H1225" s="13">
        <f>ROUND(G1225/2,0)</f>
        <v>32</v>
      </c>
      <c r="I1225" s="12">
        <f>G1225-H1225</f>
        <v>31</v>
      </c>
      <c r="J1225" s="3" t="str">
        <f t="shared" si="92"/>
        <v>1820004</v>
      </c>
    </row>
    <row r="1226" spans="2:10" s="3" customFormat="1">
      <c r="B1226" s="3" t="s">
        <v>2105</v>
      </c>
      <c r="C1226" s="8">
        <v>2</v>
      </c>
      <c r="D1226" s="3" t="s">
        <v>2191</v>
      </c>
      <c r="E1226" s="11" t="s">
        <v>11</v>
      </c>
      <c r="F1226" s="10">
        <v>7.4999999999999993E-5</v>
      </c>
      <c r="G1226" s="12">
        <f>ROUND(G$3*F1226,0)</f>
        <v>22</v>
      </c>
      <c r="H1226" s="13">
        <f>ROUND(G1226/2,0)</f>
        <v>11</v>
      </c>
      <c r="I1226" s="12">
        <f>G1226-H1226</f>
        <v>11</v>
      </c>
      <c r="J1226" s="3" t="str">
        <f t="shared" si="92"/>
        <v>1820004</v>
      </c>
    </row>
    <row r="1227" spans="2:10" s="3" customFormat="1">
      <c r="B1227" s="3" t="s">
        <v>2105</v>
      </c>
      <c r="C1227" s="8">
        <v>2</v>
      </c>
      <c r="D1227" s="3" t="s">
        <v>2192</v>
      </c>
      <c r="E1227" s="11" t="s">
        <v>181</v>
      </c>
      <c r="F1227" s="11"/>
      <c r="G1227" s="9"/>
      <c r="H1227" s="11"/>
      <c r="I1227" s="11"/>
      <c r="J1227" s="3" t="str">
        <f t="shared" si="92"/>
        <v>1820005</v>
      </c>
    </row>
    <row r="1228" spans="2:10" s="3" customFormat="1">
      <c r="B1228" s="3" t="s">
        <v>2105</v>
      </c>
      <c r="C1228" s="8">
        <v>2</v>
      </c>
      <c r="D1228" s="3" t="s">
        <v>2192</v>
      </c>
      <c r="E1228" s="11" t="s">
        <v>10</v>
      </c>
      <c r="F1228" s="10">
        <v>1.47E-4</v>
      </c>
      <c r="G1228" s="12">
        <f>ROUND(G$3*F1228,0)</f>
        <v>42</v>
      </c>
      <c r="H1228" s="13">
        <f>ROUND(G1228/2,0)</f>
        <v>21</v>
      </c>
      <c r="I1228" s="12">
        <f>G1228-H1228</f>
        <v>21</v>
      </c>
      <c r="J1228" s="3" t="str">
        <f t="shared" si="92"/>
        <v>1820005</v>
      </c>
    </row>
    <row r="1229" spans="2:10" s="3" customFormat="1">
      <c r="B1229" s="3" t="s">
        <v>2105</v>
      </c>
      <c r="C1229" s="8">
        <v>2</v>
      </c>
      <c r="D1229" s="3" t="s">
        <v>2192</v>
      </c>
      <c r="E1229" s="11" t="s">
        <v>11</v>
      </c>
      <c r="F1229" s="10">
        <v>1.25E-4</v>
      </c>
      <c r="G1229" s="12">
        <f>ROUND(G$3*F1229,0)</f>
        <v>36</v>
      </c>
      <c r="H1229" s="13">
        <f>ROUND(G1229/2,0)</f>
        <v>18</v>
      </c>
      <c r="I1229" s="12">
        <f>G1229-H1229</f>
        <v>18</v>
      </c>
      <c r="J1229" s="3" t="str">
        <f t="shared" si="92"/>
        <v>1820005</v>
      </c>
    </row>
    <row r="1230" spans="2:10" s="3" customFormat="1">
      <c r="B1230" s="3" t="s">
        <v>2105</v>
      </c>
      <c r="C1230" s="8">
        <v>2</v>
      </c>
      <c r="D1230" s="3" t="s">
        <v>2193</v>
      </c>
      <c r="E1230" s="11" t="s">
        <v>16</v>
      </c>
      <c r="F1230" s="11"/>
      <c r="G1230" s="9"/>
      <c r="H1230" s="11"/>
      <c r="I1230" s="11"/>
      <c r="J1230" s="3" t="str">
        <f t="shared" si="92"/>
        <v>1820006</v>
      </c>
    </row>
    <row r="1231" spans="2:10" s="3" customFormat="1">
      <c r="B1231" s="3" t="s">
        <v>2105</v>
      </c>
      <c r="C1231" s="8">
        <v>2</v>
      </c>
      <c r="D1231" s="3" t="s">
        <v>2193</v>
      </c>
      <c r="E1231" s="11" t="s">
        <v>10</v>
      </c>
      <c r="F1231" s="10">
        <v>7.5500000000000003E-4</v>
      </c>
      <c r="G1231" s="12">
        <f>ROUND(G$3*F1231,0)</f>
        <v>217</v>
      </c>
      <c r="H1231" s="13">
        <f>ROUND(G1231/2,0)</f>
        <v>109</v>
      </c>
      <c r="I1231" s="12">
        <f>G1231-H1231</f>
        <v>108</v>
      </c>
      <c r="J1231" s="3" t="str">
        <f t="shared" si="92"/>
        <v>1820006</v>
      </c>
    </row>
    <row r="1232" spans="2:10" s="3" customFormat="1">
      <c r="B1232" s="3" t="s">
        <v>2105</v>
      </c>
      <c r="C1232" s="8">
        <v>2</v>
      </c>
      <c r="D1232" s="3" t="s">
        <v>2193</v>
      </c>
      <c r="E1232" s="11" t="s">
        <v>11</v>
      </c>
      <c r="F1232" s="10">
        <v>3.57E-4</v>
      </c>
      <c r="G1232" s="12">
        <f>ROUND(G$3*F1232,0)</f>
        <v>103</v>
      </c>
      <c r="H1232" s="13">
        <f>ROUND(G1232/2,0)</f>
        <v>52</v>
      </c>
      <c r="I1232" s="12">
        <f>G1232-H1232</f>
        <v>51</v>
      </c>
      <c r="J1232" s="3" t="str">
        <f t="shared" si="92"/>
        <v>1820006</v>
      </c>
    </row>
    <row r="1233" spans="2:11" s="128" customFormat="1">
      <c r="B1233" s="128" t="s">
        <v>2105</v>
      </c>
      <c r="C1233" s="129">
        <v>2</v>
      </c>
      <c r="D1233" s="130" t="s">
        <v>2194</v>
      </c>
      <c r="E1233" s="131" t="s">
        <v>402</v>
      </c>
      <c r="F1233" s="131"/>
      <c r="G1233" s="132"/>
      <c r="H1233" s="131"/>
      <c r="I1233" s="131"/>
      <c r="J1233" s="128" t="str">
        <f t="shared" si="92"/>
        <v>1820007</v>
      </c>
      <c r="K1233" s="128" t="s">
        <v>6372</v>
      </c>
    </row>
    <row r="1234" spans="2:11" s="128" customFormat="1">
      <c r="B1234" s="128" t="s">
        <v>2105</v>
      </c>
      <c r="C1234" s="129">
        <v>2</v>
      </c>
      <c r="D1234" s="130" t="s">
        <v>2194</v>
      </c>
      <c r="E1234" s="131" t="s">
        <v>10</v>
      </c>
      <c r="F1234" s="133">
        <v>3.5799999999999997E-4</v>
      </c>
      <c r="G1234" s="134">
        <f>ROUND(G$3*F1234,0)</f>
        <v>103</v>
      </c>
      <c r="H1234" s="135">
        <f>ROUND(G1234/2,0)</f>
        <v>52</v>
      </c>
      <c r="I1234" s="134">
        <f>G1234-H1234</f>
        <v>51</v>
      </c>
      <c r="J1234" s="128" t="str">
        <f t="shared" si="92"/>
        <v>1820007</v>
      </c>
      <c r="K1234" s="128" t="s">
        <v>6372</v>
      </c>
    </row>
    <row r="1235" spans="2:11" s="128" customFormat="1">
      <c r="B1235" s="128" t="s">
        <v>2105</v>
      </c>
      <c r="C1235" s="129">
        <v>2</v>
      </c>
      <c r="D1235" s="130" t="s">
        <v>2194</v>
      </c>
      <c r="E1235" s="131" t="s">
        <v>11</v>
      </c>
      <c r="F1235" s="133">
        <v>1.95E-4</v>
      </c>
      <c r="G1235" s="134">
        <f>ROUND(G$3*F1235,0)</f>
        <v>56</v>
      </c>
      <c r="H1235" s="135">
        <f>ROUND(G1235/2,0)</f>
        <v>28</v>
      </c>
      <c r="I1235" s="134">
        <f>G1235-H1235</f>
        <v>28</v>
      </c>
      <c r="J1235" s="128" t="str">
        <f t="shared" si="92"/>
        <v>1820007</v>
      </c>
      <c r="K1235" s="128" t="s">
        <v>6372</v>
      </c>
    </row>
    <row r="1236" spans="2:11" s="3" customFormat="1">
      <c r="B1236" s="3" t="s">
        <v>2105</v>
      </c>
      <c r="C1236" s="8">
        <v>2</v>
      </c>
      <c r="D1236" s="3" t="s">
        <v>2195</v>
      </c>
      <c r="E1236" s="11" t="s">
        <v>403</v>
      </c>
      <c r="F1236" s="11"/>
      <c r="G1236" s="9"/>
      <c r="H1236" s="11"/>
      <c r="I1236" s="11"/>
      <c r="J1236" s="3" t="str">
        <f t="shared" si="92"/>
        <v>1820008</v>
      </c>
    </row>
    <row r="1237" spans="2:11" s="3" customFormat="1">
      <c r="B1237" s="3" t="s">
        <v>2105</v>
      </c>
      <c r="C1237" s="8">
        <v>2</v>
      </c>
      <c r="D1237" s="3" t="s">
        <v>2195</v>
      </c>
      <c r="E1237" s="11" t="s">
        <v>10</v>
      </c>
      <c r="F1237" s="10">
        <v>1.7699999999999999E-4</v>
      </c>
      <c r="G1237" s="12">
        <f>ROUND(G$3*F1237,0)</f>
        <v>51</v>
      </c>
      <c r="H1237" s="13">
        <f>ROUND(G1237/2,0)</f>
        <v>26</v>
      </c>
      <c r="I1237" s="12">
        <f>G1237-H1237</f>
        <v>25</v>
      </c>
      <c r="J1237" s="3" t="str">
        <f t="shared" si="92"/>
        <v>1820008</v>
      </c>
    </row>
    <row r="1238" spans="2:11" s="3" customFormat="1">
      <c r="B1238" s="3" t="s">
        <v>2105</v>
      </c>
      <c r="C1238" s="8">
        <v>2</v>
      </c>
      <c r="D1238" s="3" t="s">
        <v>2195</v>
      </c>
      <c r="E1238" s="11" t="s">
        <v>11</v>
      </c>
      <c r="F1238" s="10">
        <v>3.8999999999999999E-5</v>
      </c>
      <c r="G1238" s="12">
        <f>ROUND(G$3*F1238,0)</f>
        <v>11</v>
      </c>
      <c r="H1238" s="13">
        <f>ROUND(G1238/2,0)</f>
        <v>6</v>
      </c>
      <c r="I1238" s="12">
        <f>G1238-H1238</f>
        <v>5</v>
      </c>
      <c r="J1238" s="3" t="str">
        <f t="shared" si="92"/>
        <v>1820008</v>
      </c>
    </row>
    <row r="1239" spans="2:11" s="3" customFormat="1">
      <c r="B1239" s="3" t="s">
        <v>2105</v>
      </c>
      <c r="C1239" s="8">
        <v>2</v>
      </c>
      <c r="D1239" s="3" t="s">
        <v>2196</v>
      </c>
      <c r="E1239" s="11" t="s">
        <v>56</v>
      </c>
      <c r="F1239" s="11"/>
      <c r="G1239" s="9"/>
      <c r="H1239" s="11"/>
      <c r="I1239" s="11"/>
      <c r="J1239" s="3" t="str">
        <f t="shared" si="92"/>
        <v>1820009</v>
      </c>
    </row>
    <row r="1240" spans="2:11" s="3" customFormat="1">
      <c r="B1240" s="3" t="s">
        <v>2105</v>
      </c>
      <c r="C1240" s="8">
        <v>2</v>
      </c>
      <c r="D1240" s="3" t="s">
        <v>2196</v>
      </c>
      <c r="E1240" s="11" t="s">
        <v>10</v>
      </c>
      <c r="F1240" s="10">
        <v>2.4000000000000001E-5</v>
      </c>
      <c r="G1240" s="12">
        <f>ROUND(G$3*F1240,0)</f>
        <v>7</v>
      </c>
      <c r="H1240" s="13">
        <f>ROUND(G1240/2,0)</f>
        <v>4</v>
      </c>
      <c r="I1240" s="12">
        <f>G1240-H1240</f>
        <v>3</v>
      </c>
      <c r="J1240" s="3" t="str">
        <f t="shared" si="92"/>
        <v>1820009</v>
      </c>
    </row>
    <row r="1241" spans="2:11" s="3" customFormat="1">
      <c r="B1241" s="3" t="s">
        <v>2105</v>
      </c>
      <c r="C1241" s="8">
        <v>2</v>
      </c>
      <c r="D1241" s="3" t="s">
        <v>2196</v>
      </c>
      <c r="E1241" s="11" t="s">
        <v>11</v>
      </c>
      <c r="F1241" s="10">
        <v>1.5E-5</v>
      </c>
      <c r="G1241" s="12">
        <f>ROUND(G$3*F1241,0)</f>
        <v>4</v>
      </c>
      <c r="H1241" s="13">
        <f>ROUND(G1241/2,0)</f>
        <v>2</v>
      </c>
      <c r="I1241" s="12">
        <f>G1241-H1241</f>
        <v>2</v>
      </c>
      <c r="J1241" s="3" t="str">
        <f t="shared" si="92"/>
        <v>1820009</v>
      </c>
    </row>
    <row r="1242" spans="2:11" s="3" customFormat="1">
      <c r="B1242" s="3" t="s">
        <v>2105</v>
      </c>
      <c r="C1242" s="8">
        <v>2</v>
      </c>
      <c r="D1242" s="3" t="s">
        <v>2197</v>
      </c>
      <c r="E1242" s="11" t="s">
        <v>404</v>
      </c>
      <c r="F1242" s="11"/>
      <c r="G1242" s="9"/>
      <c r="H1242" s="11"/>
      <c r="I1242" s="11"/>
      <c r="J1242" s="3" t="str">
        <f t="shared" si="92"/>
        <v>1820010</v>
      </c>
    </row>
    <row r="1243" spans="2:11" s="3" customFormat="1">
      <c r="B1243" s="3" t="s">
        <v>2105</v>
      </c>
      <c r="C1243" s="8">
        <v>2</v>
      </c>
      <c r="D1243" s="3" t="s">
        <v>2197</v>
      </c>
      <c r="E1243" s="11" t="s">
        <v>10</v>
      </c>
      <c r="F1243" s="10">
        <v>2.5500000000000002E-3</v>
      </c>
      <c r="G1243" s="12">
        <f>ROUND(G$3*F1243,0)</f>
        <v>734</v>
      </c>
      <c r="H1243" s="13">
        <f>ROUND(G1243/2,0)</f>
        <v>367</v>
      </c>
      <c r="I1243" s="12">
        <f>G1243-H1243</f>
        <v>367</v>
      </c>
      <c r="J1243" s="3" t="str">
        <f t="shared" si="92"/>
        <v>1820010</v>
      </c>
    </row>
    <row r="1244" spans="2:11" s="3" customFormat="1">
      <c r="B1244" s="3" t="s">
        <v>2105</v>
      </c>
      <c r="C1244" s="8">
        <v>2</v>
      </c>
      <c r="D1244" s="3" t="s">
        <v>2197</v>
      </c>
      <c r="E1244" s="11" t="s">
        <v>11</v>
      </c>
      <c r="F1244" s="10">
        <v>1.5479999999999999E-3</v>
      </c>
      <c r="G1244" s="12">
        <f>ROUND(G$3*F1244,0)</f>
        <v>445</v>
      </c>
      <c r="H1244" s="13">
        <f>ROUND(G1244/2,0)</f>
        <v>223</v>
      </c>
      <c r="I1244" s="12">
        <f>G1244-H1244</f>
        <v>222</v>
      </c>
      <c r="J1244" s="3" t="str">
        <f t="shared" si="92"/>
        <v>1820010</v>
      </c>
    </row>
    <row r="1245" spans="2:11" s="3" customFormat="1">
      <c r="B1245" s="3" t="s">
        <v>2105</v>
      </c>
      <c r="C1245" s="8">
        <v>2</v>
      </c>
      <c r="D1245" s="3" t="s">
        <v>2198</v>
      </c>
      <c r="E1245" s="11" t="s">
        <v>20</v>
      </c>
      <c r="F1245" s="11"/>
      <c r="G1245" s="9"/>
      <c r="H1245" s="11"/>
      <c r="I1245" s="11"/>
      <c r="J1245" s="3" t="str">
        <f t="shared" si="92"/>
        <v>1820011</v>
      </c>
    </row>
    <row r="1246" spans="2:11" s="3" customFormat="1">
      <c r="B1246" s="3" t="s">
        <v>2105</v>
      </c>
      <c r="C1246" s="8">
        <v>2</v>
      </c>
      <c r="D1246" s="3" t="s">
        <v>2198</v>
      </c>
      <c r="E1246" s="11" t="s">
        <v>10</v>
      </c>
      <c r="F1246" s="10">
        <v>1.8900000000000001E-4</v>
      </c>
      <c r="G1246" s="12">
        <f>ROUND(G$3*F1246,0)</f>
        <v>54</v>
      </c>
      <c r="H1246" s="13">
        <f>ROUND(G1246/2,0)</f>
        <v>27</v>
      </c>
      <c r="I1246" s="12">
        <f>G1246-H1246</f>
        <v>27</v>
      </c>
      <c r="J1246" s="3" t="str">
        <f t="shared" si="92"/>
        <v>1820011</v>
      </c>
    </row>
    <row r="1247" spans="2:11" s="3" customFormat="1">
      <c r="B1247" s="3" t="s">
        <v>2105</v>
      </c>
      <c r="C1247" s="8">
        <v>2</v>
      </c>
      <c r="D1247" s="3" t="s">
        <v>2198</v>
      </c>
      <c r="E1247" s="11" t="s">
        <v>11</v>
      </c>
      <c r="F1247" s="10">
        <v>8.6000000000000003E-5</v>
      </c>
      <c r="G1247" s="12">
        <f>ROUND(G$3*F1247,0)</f>
        <v>25</v>
      </c>
      <c r="H1247" s="13">
        <f>ROUND(G1247/2,0)</f>
        <v>13</v>
      </c>
      <c r="I1247" s="12">
        <f>G1247-H1247</f>
        <v>12</v>
      </c>
      <c r="J1247" s="3" t="str">
        <f t="shared" si="92"/>
        <v>1820011</v>
      </c>
    </row>
    <row r="1248" spans="2:11" s="3" customFormat="1">
      <c r="B1248" s="3" t="s">
        <v>2105</v>
      </c>
      <c r="C1248" s="8">
        <v>2</v>
      </c>
      <c r="D1248" s="3" t="s">
        <v>2199</v>
      </c>
      <c r="E1248" s="11" t="s">
        <v>22</v>
      </c>
      <c r="F1248" s="11"/>
      <c r="G1248" s="9"/>
      <c r="H1248" s="11"/>
      <c r="I1248" s="11"/>
      <c r="J1248" s="3" t="str">
        <f t="shared" si="92"/>
        <v>1820012</v>
      </c>
    </row>
    <row r="1249" spans="1:10" s="3" customFormat="1">
      <c r="B1249" s="3" t="s">
        <v>2105</v>
      </c>
      <c r="C1249" s="8">
        <v>2</v>
      </c>
      <c r="D1249" s="3" t="s">
        <v>2199</v>
      </c>
      <c r="E1249" s="11" t="s">
        <v>10</v>
      </c>
      <c r="F1249" s="10">
        <v>2.5300000000000002E-4</v>
      </c>
      <c r="G1249" s="12">
        <f t="shared" ref="G1249:G1259" si="93">ROUND(G$3*F1249,0)</f>
        <v>73</v>
      </c>
      <c r="H1249" s="13">
        <f t="shared" ref="H1249:H1259" si="94">ROUND(G1249/2,0)</f>
        <v>37</v>
      </c>
      <c r="I1249" s="12">
        <f t="shared" ref="I1249:I1259" si="95">G1249-H1249</f>
        <v>36</v>
      </c>
      <c r="J1249" s="3" t="str">
        <f t="shared" si="92"/>
        <v>1820012</v>
      </c>
    </row>
    <row r="1250" spans="1:10" s="3" customFormat="1">
      <c r="B1250" s="3" t="s">
        <v>2105</v>
      </c>
      <c r="C1250" s="8">
        <v>2</v>
      </c>
      <c r="D1250" s="3" t="s">
        <v>2199</v>
      </c>
      <c r="E1250" s="11" t="s">
        <v>11</v>
      </c>
      <c r="F1250" s="10">
        <v>1.3899999999999999E-4</v>
      </c>
      <c r="G1250" s="12">
        <f t="shared" si="93"/>
        <v>40</v>
      </c>
      <c r="H1250" s="13">
        <f t="shared" si="94"/>
        <v>20</v>
      </c>
      <c r="I1250" s="12">
        <f t="shared" si="95"/>
        <v>20</v>
      </c>
      <c r="J1250" s="3" t="str">
        <f t="shared" si="92"/>
        <v>1820012</v>
      </c>
    </row>
    <row r="1251" spans="1:10" s="3" customFormat="1">
      <c r="B1251" s="3" t="s">
        <v>2105</v>
      </c>
      <c r="C1251" s="8">
        <v>3</v>
      </c>
      <c r="D1251" s="3" t="s">
        <v>2376</v>
      </c>
      <c r="E1251" s="11" t="s">
        <v>405</v>
      </c>
      <c r="F1251" s="10">
        <v>4.86E-4</v>
      </c>
      <c r="G1251" s="12">
        <f t="shared" si="93"/>
        <v>140</v>
      </c>
      <c r="H1251" s="13">
        <f t="shared" si="94"/>
        <v>70</v>
      </c>
      <c r="I1251" s="12">
        <f t="shared" si="95"/>
        <v>70</v>
      </c>
      <c r="J1251" s="3" t="str">
        <f t="shared" si="92"/>
        <v>1830591</v>
      </c>
    </row>
    <row r="1252" spans="1:10" s="3" customFormat="1">
      <c r="A1252" s="3" t="s">
        <v>6269</v>
      </c>
      <c r="B1252" s="3" t="s">
        <v>2105</v>
      </c>
      <c r="C1252" s="8">
        <v>3</v>
      </c>
      <c r="D1252" s="3" t="s">
        <v>2381</v>
      </c>
      <c r="E1252" s="11" t="s">
        <v>406</v>
      </c>
      <c r="F1252" s="10">
        <v>0</v>
      </c>
      <c r="G1252" s="12">
        <f t="shared" si="93"/>
        <v>0</v>
      </c>
      <c r="H1252" s="13">
        <f t="shared" si="94"/>
        <v>0</v>
      </c>
      <c r="I1252" s="12">
        <f t="shared" si="95"/>
        <v>0</v>
      </c>
      <c r="J1252" s="3" t="str">
        <f t="shared" si="92"/>
        <v>1830746</v>
      </c>
    </row>
    <row r="1253" spans="1:10" s="3" customFormat="1">
      <c r="B1253" s="3" t="s">
        <v>2105</v>
      </c>
      <c r="C1253" s="8">
        <v>3</v>
      </c>
      <c r="D1253" s="3" t="s">
        <v>2382</v>
      </c>
      <c r="E1253" s="11" t="s">
        <v>407</v>
      </c>
      <c r="F1253" s="10">
        <v>7.0254999999999998E-2</v>
      </c>
      <c r="G1253" s="12">
        <f t="shared" si="93"/>
        <v>20214</v>
      </c>
      <c r="H1253" s="13">
        <f t="shared" si="94"/>
        <v>10107</v>
      </c>
      <c r="I1253" s="12">
        <f t="shared" si="95"/>
        <v>10107</v>
      </c>
      <c r="J1253" s="3" t="str">
        <f t="shared" si="92"/>
        <v>1830963</v>
      </c>
    </row>
    <row r="1254" spans="1:10" s="3" customFormat="1">
      <c r="B1254" s="3" t="s">
        <v>2105</v>
      </c>
      <c r="C1254" s="8">
        <v>3</v>
      </c>
      <c r="D1254" s="3" t="s">
        <v>2377</v>
      </c>
      <c r="E1254" s="11" t="s">
        <v>408</v>
      </c>
      <c r="F1254" s="10">
        <v>2.2000000000000001E-3</v>
      </c>
      <c r="G1254" s="12">
        <f t="shared" si="93"/>
        <v>633</v>
      </c>
      <c r="H1254" s="13">
        <f t="shared" si="94"/>
        <v>317</v>
      </c>
      <c r="I1254" s="12">
        <f t="shared" si="95"/>
        <v>316</v>
      </c>
      <c r="J1254" s="3" t="str">
        <f t="shared" si="92"/>
        <v>1830592</v>
      </c>
    </row>
    <row r="1255" spans="1:10" s="3" customFormat="1">
      <c r="B1255" s="3" t="s">
        <v>2105</v>
      </c>
      <c r="C1255" s="8">
        <v>3</v>
      </c>
      <c r="D1255" s="3" t="s">
        <v>2378</v>
      </c>
      <c r="E1255" s="11" t="s">
        <v>409</v>
      </c>
      <c r="F1255" s="10">
        <v>1.64E-4</v>
      </c>
      <c r="G1255" s="12">
        <f t="shared" si="93"/>
        <v>47</v>
      </c>
      <c r="H1255" s="13">
        <f t="shared" si="94"/>
        <v>24</v>
      </c>
      <c r="I1255" s="12">
        <f t="shared" si="95"/>
        <v>23</v>
      </c>
      <c r="J1255" s="3" t="str">
        <f t="shared" si="92"/>
        <v>1830593</v>
      </c>
    </row>
    <row r="1256" spans="1:10" s="3" customFormat="1">
      <c r="B1256" s="3" t="s">
        <v>2105</v>
      </c>
      <c r="C1256" s="8">
        <v>3</v>
      </c>
      <c r="D1256" s="3" t="s">
        <v>2375</v>
      </c>
      <c r="E1256" s="11" t="s">
        <v>410</v>
      </c>
      <c r="F1256" s="10">
        <v>0.104111</v>
      </c>
      <c r="G1256" s="12">
        <f t="shared" si="93"/>
        <v>29955</v>
      </c>
      <c r="H1256" s="13">
        <f t="shared" si="94"/>
        <v>14978</v>
      </c>
      <c r="I1256" s="12">
        <f t="shared" si="95"/>
        <v>14977</v>
      </c>
      <c r="J1256" s="3" t="str">
        <f t="shared" si="92"/>
        <v>1830107</v>
      </c>
    </row>
    <row r="1257" spans="1:10" s="3" customFormat="1">
      <c r="B1257" s="3" t="s">
        <v>2105</v>
      </c>
      <c r="C1257" s="8">
        <v>3</v>
      </c>
      <c r="D1257" s="3" t="s">
        <v>2379</v>
      </c>
      <c r="E1257" s="11" t="s">
        <v>411</v>
      </c>
      <c r="F1257" s="10">
        <v>5.8E-5</v>
      </c>
      <c r="G1257" s="12">
        <f t="shared" si="93"/>
        <v>17</v>
      </c>
      <c r="H1257" s="13">
        <f t="shared" si="94"/>
        <v>9</v>
      </c>
      <c r="I1257" s="12">
        <f t="shared" si="95"/>
        <v>8</v>
      </c>
      <c r="J1257" s="3" t="str">
        <f t="shared" si="92"/>
        <v>1830594</v>
      </c>
    </row>
    <row r="1258" spans="1:10" s="3" customFormat="1">
      <c r="B1258" s="3" t="s">
        <v>2105</v>
      </c>
      <c r="C1258" s="8">
        <v>3</v>
      </c>
      <c r="D1258" s="3" t="s">
        <v>2380</v>
      </c>
      <c r="E1258" s="11" t="s">
        <v>412</v>
      </c>
      <c r="F1258" s="10">
        <v>9.7599999999999998E-4</v>
      </c>
      <c r="G1258" s="12">
        <f t="shared" si="93"/>
        <v>281</v>
      </c>
      <c r="H1258" s="13">
        <f t="shared" si="94"/>
        <v>141</v>
      </c>
      <c r="I1258" s="12">
        <f t="shared" si="95"/>
        <v>140</v>
      </c>
      <c r="J1258" s="3" t="str">
        <f t="shared" si="92"/>
        <v>1830595</v>
      </c>
    </row>
    <row r="1259" spans="1:10" s="3" customFormat="1">
      <c r="B1259" s="3" t="s">
        <v>2105</v>
      </c>
      <c r="C1259" s="8">
        <v>4</v>
      </c>
      <c r="D1259" s="3" t="s">
        <v>2385</v>
      </c>
      <c r="E1259" s="11" t="s">
        <v>413</v>
      </c>
      <c r="F1259" s="10">
        <v>1.9642E-2</v>
      </c>
      <c r="G1259" s="9">
        <f t="shared" si="93"/>
        <v>5651</v>
      </c>
      <c r="H1259" s="11">
        <f t="shared" si="94"/>
        <v>2826</v>
      </c>
      <c r="I1259" s="9">
        <f t="shared" si="95"/>
        <v>2825</v>
      </c>
      <c r="J1259" s="3" t="str">
        <f t="shared" si="92"/>
        <v>1841900</v>
      </c>
    </row>
    <row r="1260" spans="1:10" s="3" customFormat="1">
      <c r="B1260" s="3" t="s">
        <v>2105</v>
      </c>
      <c r="C1260" s="8">
        <v>4</v>
      </c>
      <c r="D1260" s="3" t="s">
        <v>2385</v>
      </c>
      <c r="E1260" s="11" t="s">
        <v>28</v>
      </c>
      <c r="F1260" s="11"/>
      <c r="G1260" s="14">
        <v>0.39561000000000002</v>
      </c>
      <c r="H1260" s="11"/>
      <c r="I1260" s="11"/>
      <c r="J1260" s="3" t="str">
        <f t="shared" si="92"/>
        <v>1841900</v>
      </c>
    </row>
    <row r="1261" spans="1:10" s="3" customFormat="1">
      <c r="B1261" s="3" t="s">
        <v>2105</v>
      </c>
      <c r="C1261" s="8">
        <v>4</v>
      </c>
      <c r="D1261" s="3" t="s">
        <v>2385</v>
      </c>
      <c r="E1261" s="11" t="s">
        <v>29</v>
      </c>
      <c r="F1261" s="11"/>
      <c r="G1261" s="15">
        <f>ROUND(G1259*G1260,0)</f>
        <v>2236</v>
      </c>
      <c r="H1261" s="16">
        <f>ROUND(G1261/2,0)</f>
        <v>1118</v>
      </c>
      <c r="I1261" s="15">
        <f>G1261-H1261</f>
        <v>1118</v>
      </c>
      <c r="J1261" s="3" t="str">
        <f t="shared" si="92"/>
        <v>1841900</v>
      </c>
    </row>
    <row r="1262" spans="1:10" s="3" customFormat="1">
      <c r="B1262" s="3" t="s">
        <v>2105</v>
      </c>
      <c r="C1262" s="8">
        <v>4</v>
      </c>
      <c r="D1262" s="3" t="s">
        <v>2385</v>
      </c>
      <c r="E1262" s="11" t="s">
        <v>30</v>
      </c>
      <c r="F1262" s="11"/>
      <c r="G1262" s="12">
        <f>+G1259-G1261</f>
        <v>3415</v>
      </c>
      <c r="H1262" s="13">
        <f>ROUND(G1262/2,0)</f>
        <v>1708</v>
      </c>
      <c r="I1262" s="12">
        <f>G1262-H1262</f>
        <v>1707</v>
      </c>
      <c r="J1262" s="3" t="str">
        <f t="shared" si="92"/>
        <v>1841900</v>
      </c>
    </row>
    <row r="1263" spans="1:10" s="3" customFormat="1">
      <c r="B1263" s="3" t="s">
        <v>2105</v>
      </c>
      <c r="C1263" s="8">
        <v>4</v>
      </c>
      <c r="D1263" s="3" t="s">
        <v>2386</v>
      </c>
      <c r="E1263" s="11" t="s">
        <v>414</v>
      </c>
      <c r="F1263" s="10">
        <v>0.225244</v>
      </c>
      <c r="G1263" s="9">
        <f>ROUND(G$3*F1263,0)</f>
        <v>64808</v>
      </c>
      <c r="H1263" s="11">
        <f>ROUND(G1263/2,0)</f>
        <v>32404</v>
      </c>
      <c r="I1263" s="9">
        <f>G1263-H1263</f>
        <v>32404</v>
      </c>
      <c r="J1263" s="3" t="str">
        <f t="shared" si="92"/>
        <v>1841940</v>
      </c>
    </row>
    <row r="1264" spans="1:10" s="3" customFormat="1">
      <c r="B1264" s="3" t="s">
        <v>2105</v>
      </c>
      <c r="C1264" s="8">
        <v>4</v>
      </c>
      <c r="D1264" s="3" t="s">
        <v>2386</v>
      </c>
      <c r="E1264" s="11" t="s">
        <v>28</v>
      </c>
      <c r="F1264" s="11"/>
      <c r="G1264" s="14">
        <v>0.44757799999999998</v>
      </c>
      <c r="H1264" s="11"/>
      <c r="I1264" s="11"/>
      <c r="J1264" s="3" t="str">
        <f t="shared" si="92"/>
        <v>1841940</v>
      </c>
    </row>
    <row r="1265" spans="2:10" s="3" customFormat="1">
      <c r="B1265" s="3" t="s">
        <v>2105</v>
      </c>
      <c r="C1265" s="8">
        <v>4</v>
      </c>
      <c r="D1265" s="3" t="s">
        <v>2386</v>
      </c>
      <c r="E1265" s="11" t="s">
        <v>29</v>
      </c>
      <c r="F1265" s="11"/>
      <c r="G1265" s="15">
        <f>ROUND(G1263*G1264,0)</f>
        <v>29007</v>
      </c>
      <c r="H1265" s="16">
        <f>ROUND(G1265/2,0)</f>
        <v>14504</v>
      </c>
      <c r="I1265" s="15">
        <f>G1265-H1265</f>
        <v>14503</v>
      </c>
      <c r="J1265" s="3" t="str">
        <f t="shared" si="92"/>
        <v>1841940</v>
      </c>
    </row>
    <row r="1266" spans="2:10" s="3" customFormat="1">
      <c r="B1266" s="3" t="s">
        <v>2105</v>
      </c>
      <c r="C1266" s="8">
        <v>4</v>
      </c>
      <c r="D1266" s="3" t="s">
        <v>2386</v>
      </c>
      <c r="E1266" s="11" t="s">
        <v>30</v>
      </c>
      <c r="F1266" s="11"/>
      <c r="G1266" s="12">
        <f>+G1263-G1265</f>
        <v>35801</v>
      </c>
      <c r="H1266" s="13">
        <f>ROUND(G1266/2,0)</f>
        <v>17901</v>
      </c>
      <c r="I1266" s="12">
        <f>G1266-H1266</f>
        <v>17900</v>
      </c>
      <c r="J1266" s="3" t="str">
        <f t="shared" si="92"/>
        <v>1841940</v>
      </c>
    </row>
    <row r="1267" spans="2:10" s="3" customFormat="1">
      <c r="B1267" s="3" t="s">
        <v>2105</v>
      </c>
      <c r="C1267" s="8">
        <v>4</v>
      </c>
      <c r="D1267" s="3" t="s">
        <v>2383</v>
      </c>
      <c r="E1267" s="11" t="s">
        <v>415</v>
      </c>
      <c r="F1267" s="10">
        <v>5.1880000000000003E-2</v>
      </c>
      <c r="G1267" s="9">
        <f>ROUND(G$3*F1267,0)</f>
        <v>14927</v>
      </c>
      <c r="H1267" s="11">
        <f>ROUND(G1267/2,0)</f>
        <v>7464</v>
      </c>
      <c r="I1267" s="9">
        <f>G1267-H1267</f>
        <v>7463</v>
      </c>
      <c r="J1267" s="3" t="str">
        <f t="shared" si="92"/>
        <v>1841875</v>
      </c>
    </row>
    <row r="1268" spans="2:10" s="3" customFormat="1">
      <c r="B1268" s="3" t="s">
        <v>2105</v>
      </c>
      <c r="C1268" s="8">
        <v>4</v>
      </c>
      <c r="D1268" s="3" t="s">
        <v>2383</v>
      </c>
      <c r="E1268" s="11" t="s">
        <v>28</v>
      </c>
      <c r="F1268" s="11"/>
      <c r="G1268" s="14">
        <v>0.41563600000000001</v>
      </c>
      <c r="H1268" s="11"/>
      <c r="I1268" s="11"/>
      <c r="J1268" s="3" t="str">
        <f t="shared" si="92"/>
        <v>1841875</v>
      </c>
    </row>
    <row r="1269" spans="2:10" s="3" customFormat="1">
      <c r="B1269" s="3" t="s">
        <v>2105</v>
      </c>
      <c r="C1269" s="8">
        <v>4</v>
      </c>
      <c r="D1269" s="3" t="s">
        <v>2383</v>
      </c>
      <c r="E1269" s="11" t="s">
        <v>29</v>
      </c>
      <c r="F1269" s="11"/>
      <c r="G1269" s="15">
        <f>ROUND(G1267*G1268,0)</f>
        <v>6204</v>
      </c>
      <c r="H1269" s="16">
        <f>ROUND(G1269/2,0)</f>
        <v>3102</v>
      </c>
      <c r="I1269" s="15">
        <f>G1269-H1269</f>
        <v>3102</v>
      </c>
      <c r="J1269" s="3" t="str">
        <f t="shared" si="92"/>
        <v>1841875</v>
      </c>
    </row>
    <row r="1270" spans="2:10" s="3" customFormat="1">
      <c r="B1270" s="3" t="s">
        <v>2105</v>
      </c>
      <c r="C1270" s="8">
        <v>4</v>
      </c>
      <c r="D1270" s="3" t="s">
        <v>2383</v>
      </c>
      <c r="E1270" s="11" t="s">
        <v>30</v>
      </c>
      <c r="F1270" s="11"/>
      <c r="G1270" s="12">
        <f>+G1267-G1269</f>
        <v>8723</v>
      </c>
      <c r="H1270" s="13">
        <f>ROUND(G1270/2,0)</f>
        <v>4362</v>
      </c>
      <c r="I1270" s="12">
        <f>G1270-H1270</f>
        <v>4361</v>
      </c>
      <c r="J1270" s="3" t="str">
        <f t="shared" si="92"/>
        <v>1841875</v>
      </c>
    </row>
    <row r="1271" spans="2:10" s="128" customFormat="1" ht="15.75">
      <c r="B1271" s="128" t="s">
        <v>2105</v>
      </c>
      <c r="C1271" s="129">
        <v>4</v>
      </c>
      <c r="D1271" t="s">
        <v>3734</v>
      </c>
      <c r="E1271" s="131" t="s">
        <v>416</v>
      </c>
      <c r="F1271" s="133">
        <v>1.9325999999999999E-2</v>
      </c>
      <c r="G1271" s="132">
        <f>ROUND(G$3*F1271,0)</f>
        <v>5561</v>
      </c>
      <c r="H1271" s="131">
        <f>ROUND(G1271/2,0)</f>
        <v>2781</v>
      </c>
      <c r="I1271" s="132">
        <f>G1271-H1271</f>
        <v>2780</v>
      </c>
      <c r="J1271" s="128" t="str">
        <f t="shared" si="92"/>
        <v>1841885</v>
      </c>
    </row>
    <row r="1272" spans="2:10" s="3" customFormat="1" ht="15.75">
      <c r="B1272" s="3" t="s">
        <v>2105</v>
      </c>
      <c r="C1272" s="8">
        <v>4</v>
      </c>
      <c r="D1272" t="s">
        <v>3734</v>
      </c>
      <c r="E1272" s="11" t="s">
        <v>28</v>
      </c>
      <c r="F1272" s="11"/>
      <c r="G1272" s="14">
        <v>0.49643300000000001</v>
      </c>
      <c r="H1272" s="11"/>
      <c r="I1272" s="11"/>
      <c r="J1272" s="3" t="str">
        <f t="shared" si="92"/>
        <v>1841885</v>
      </c>
    </row>
    <row r="1273" spans="2:10" s="3" customFormat="1" ht="15.75">
      <c r="B1273" s="3" t="s">
        <v>2105</v>
      </c>
      <c r="C1273" s="8">
        <v>4</v>
      </c>
      <c r="D1273" t="s">
        <v>3734</v>
      </c>
      <c r="E1273" s="11" t="s">
        <v>29</v>
      </c>
      <c r="F1273" s="11"/>
      <c r="G1273" s="15">
        <f>ROUND(G1271*G1272,0)</f>
        <v>2761</v>
      </c>
      <c r="H1273" s="16">
        <f>ROUND(G1273/2,0)</f>
        <v>1381</v>
      </c>
      <c r="I1273" s="15">
        <f>G1273-H1273</f>
        <v>1380</v>
      </c>
      <c r="J1273" s="3" t="str">
        <f t="shared" si="92"/>
        <v>1841885</v>
      </c>
    </row>
    <row r="1274" spans="2:10" s="3" customFormat="1" ht="15.75">
      <c r="B1274" s="3" t="s">
        <v>2105</v>
      </c>
      <c r="C1274" s="8">
        <v>4</v>
      </c>
      <c r="D1274" t="s">
        <v>3734</v>
      </c>
      <c r="E1274" s="11" t="s">
        <v>30</v>
      </c>
      <c r="F1274" s="11"/>
      <c r="G1274" s="12">
        <f>+G1271-G1273</f>
        <v>2800</v>
      </c>
      <c r="H1274" s="13">
        <f>ROUND(G1274/2,0)</f>
        <v>1400</v>
      </c>
      <c r="I1274" s="12">
        <f>G1274-H1274</f>
        <v>1400</v>
      </c>
      <c r="J1274" s="3" t="str">
        <f t="shared" si="92"/>
        <v>1841885</v>
      </c>
    </row>
    <row r="1275" spans="2:10" s="3" customFormat="1">
      <c r="B1275" s="3" t="s">
        <v>2105</v>
      </c>
      <c r="C1275" s="8">
        <v>4</v>
      </c>
      <c r="D1275" s="116" t="s">
        <v>2384</v>
      </c>
      <c r="E1275" s="11" t="s">
        <v>417</v>
      </c>
      <c r="F1275" s="10">
        <v>7.7600000000000004E-3</v>
      </c>
      <c r="G1275" s="9">
        <f>ROUND(G$3*F1275,0)</f>
        <v>2233</v>
      </c>
      <c r="H1275" s="11">
        <f>ROUND(G1275/2,0)</f>
        <v>1117</v>
      </c>
      <c r="I1275" s="9">
        <f>G1275-H1275</f>
        <v>1116</v>
      </c>
      <c r="J1275" s="3" t="str">
        <f t="shared" si="92"/>
        <v>1841895</v>
      </c>
    </row>
    <row r="1276" spans="2:10" s="3" customFormat="1">
      <c r="B1276" s="3" t="s">
        <v>2105</v>
      </c>
      <c r="C1276" s="8">
        <v>4</v>
      </c>
      <c r="D1276" s="116" t="s">
        <v>2384</v>
      </c>
      <c r="E1276" s="11" t="s">
        <v>28</v>
      </c>
      <c r="F1276" s="11"/>
      <c r="G1276" s="14">
        <v>0.41642699999999999</v>
      </c>
      <c r="H1276" s="11"/>
      <c r="I1276" s="11"/>
      <c r="J1276" s="3" t="str">
        <f t="shared" si="92"/>
        <v>1841895</v>
      </c>
    </row>
    <row r="1277" spans="2:10" s="3" customFormat="1">
      <c r="B1277" s="3" t="s">
        <v>2105</v>
      </c>
      <c r="C1277" s="8">
        <v>4</v>
      </c>
      <c r="D1277" s="116" t="s">
        <v>2384</v>
      </c>
      <c r="E1277" s="11" t="s">
        <v>29</v>
      </c>
      <c r="F1277" s="11"/>
      <c r="G1277" s="15">
        <f>ROUND(G1275*G1276,0)</f>
        <v>930</v>
      </c>
      <c r="H1277" s="16">
        <f>ROUND(G1277/2,0)</f>
        <v>465</v>
      </c>
      <c r="I1277" s="15">
        <f>G1277-H1277</f>
        <v>465</v>
      </c>
      <c r="J1277" s="3" t="str">
        <f t="shared" si="92"/>
        <v>1841895</v>
      </c>
    </row>
    <row r="1278" spans="2:10" s="3" customFormat="1">
      <c r="B1278" s="3" t="s">
        <v>2105</v>
      </c>
      <c r="C1278" s="8">
        <v>4</v>
      </c>
      <c r="D1278" s="116" t="s">
        <v>2384</v>
      </c>
      <c r="E1278" s="11" t="s">
        <v>30</v>
      </c>
      <c r="F1278" s="11"/>
      <c r="G1278" s="12">
        <f>+G1275-G1277</f>
        <v>1303</v>
      </c>
      <c r="H1278" s="13">
        <f>ROUND(G1278/2,0)</f>
        <v>652</v>
      </c>
      <c r="I1278" s="12">
        <f>G1278-H1278</f>
        <v>651</v>
      </c>
      <c r="J1278" s="3" t="str">
        <f t="shared" si="92"/>
        <v>1841895</v>
      </c>
    </row>
    <row r="1279" spans="2:10" s="128" customFormat="1" ht="15.75">
      <c r="B1279" s="128" t="s">
        <v>2105</v>
      </c>
      <c r="C1279" s="129">
        <v>4</v>
      </c>
      <c r="D1279" t="s">
        <v>3740</v>
      </c>
      <c r="E1279" s="131" t="s">
        <v>418</v>
      </c>
      <c r="F1279" s="133">
        <v>1.3414000000000001E-2</v>
      </c>
      <c r="G1279" s="132">
        <f>ROUND(G$3*F1279,0)</f>
        <v>3860</v>
      </c>
      <c r="H1279" s="131">
        <f>ROUND(G1279/2,0)</f>
        <v>1930</v>
      </c>
      <c r="I1279" s="132">
        <f>G1279-H1279</f>
        <v>1930</v>
      </c>
      <c r="J1279" s="128" t="str">
        <f t="shared" si="92"/>
        <v>1841910</v>
      </c>
    </row>
    <row r="1280" spans="2:10" s="3" customFormat="1" ht="15.75">
      <c r="B1280" s="3" t="s">
        <v>2105</v>
      </c>
      <c r="C1280" s="8">
        <v>4</v>
      </c>
      <c r="D1280" t="s">
        <v>3740</v>
      </c>
      <c r="E1280" s="11" t="s">
        <v>28</v>
      </c>
      <c r="F1280" s="11"/>
      <c r="G1280" s="14">
        <v>0.46119399999999999</v>
      </c>
      <c r="H1280" s="11"/>
      <c r="I1280" s="11"/>
      <c r="J1280" s="3" t="str">
        <f t="shared" si="92"/>
        <v>1841910</v>
      </c>
    </row>
    <row r="1281" spans="2:10" s="3" customFormat="1" ht="15.75">
      <c r="B1281" s="3" t="s">
        <v>2105</v>
      </c>
      <c r="C1281" s="8">
        <v>4</v>
      </c>
      <c r="D1281" t="s">
        <v>3740</v>
      </c>
      <c r="E1281" s="11" t="s">
        <v>29</v>
      </c>
      <c r="F1281" s="11"/>
      <c r="G1281" s="15">
        <f>ROUND(G1279*G1280,0)</f>
        <v>1780</v>
      </c>
      <c r="H1281" s="16">
        <f>ROUND(G1281/2,0)</f>
        <v>890</v>
      </c>
      <c r="I1281" s="15">
        <f>G1281-H1281</f>
        <v>890</v>
      </c>
      <c r="J1281" s="3" t="str">
        <f t="shared" si="92"/>
        <v>1841910</v>
      </c>
    </row>
    <row r="1282" spans="2:10" s="3" customFormat="1" ht="15.75">
      <c r="B1282" s="3" t="s">
        <v>2105</v>
      </c>
      <c r="C1282" s="8">
        <v>4</v>
      </c>
      <c r="D1282" t="s">
        <v>3740</v>
      </c>
      <c r="E1282" s="11" t="s">
        <v>30</v>
      </c>
      <c r="F1282" s="11"/>
      <c r="G1282" s="12">
        <f>+G1279-G1281</f>
        <v>2080</v>
      </c>
      <c r="H1282" s="13">
        <f>ROUND(G1282/2,0)</f>
        <v>1040</v>
      </c>
      <c r="I1282" s="12">
        <f>G1282-H1282</f>
        <v>1040</v>
      </c>
      <c r="J1282" s="3" t="str">
        <f t="shared" si="92"/>
        <v>1841910</v>
      </c>
    </row>
    <row r="1283" spans="2:10" s="3" customFormat="1">
      <c r="B1283" s="3" t="s">
        <v>2105</v>
      </c>
      <c r="C1283" s="8">
        <v>4</v>
      </c>
      <c r="D1283" s="3" t="s">
        <v>2387</v>
      </c>
      <c r="E1283" s="11" t="s">
        <v>419</v>
      </c>
      <c r="F1283" s="10">
        <v>0.170291</v>
      </c>
      <c r="G1283" s="9">
        <f>ROUND(G$3*F1283,0)</f>
        <v>48997</v>
      </c>
      <c r="H1283" s="11">
        <f>ROUND(G1283/2,0)</f>
        <v>24499</v>
      </c>
      <c r="I1283" s="9">
        <f>G1283-H1283</f>
        <v>24498</v>
      </c>
      <c r="J1283" s="3" t="str">
        <f t="shared" si="92"/>
        <v>1841970</v>
      </c>
    </row>
    <row r="1284" spans="2:10" s="3" customFormat="1">
      <c r="B1284" s="3" t="s">
        <v>2105</v>
      </c>
      <c r="C1284" s="8">
        <v>4</v>
      </c>
      <c r="D1284" s="3" t="s">
        <v>2387</v>
      </c>
      <c r="E1284" s="11" t="s">
        <v>28</v>
      </c>
      <c r="F1284" s="11"/>
      <c r="G1284" s="14">
        <v>0.48746899999999999</v>
      </c>
      <c r="H1284" s="11"/>
      <c r="I1284" s="11"/>
      <c r="J1284" s="3" t="str">
        <f t="shared" ref="J1284:J1347" si="96">B1284&amp;C1284&amp;D1284</f>
        <v>1841970</v>
      </c>
    </row>
    <row r="1285" spans="2:10" s="3" customFormat="1">
      <c r="B1285" s="3" t="s">
        <v>2105</v>
      </c>
      <c r="C1285" s="8">
        <v>4</v>
      </c>
      <c r="D1285" s="3" t="s">
        <v>2387</v>
      </c>
      <c r="E1285" s="11" t="s">
        <v>29</v>
      </c>
      <c r="F1285" s="11"/>
      <c r="G1285" s="15">
        <f>ROUND(G1283*G1284,0)</f>
        <v>23885</v>
      </c>
      <c r="H1285" s="16">
        <f t="shared" ref="H1285:H1291" si="97">ROUND(G1285/2,0)</f>
        <v>11943</v>
      </c>
      <c r="I1285" s="15">
        <f t="shared" ref="I1285:I1291" si="98">G1285-H1285</f>
        <v>11942</v>
      </c>
      <c r="J1285" s="3" t="str">
        <f t="shared" si="96"/>
        <v>1841970</v>
      </c>
    </row>
    <row r="1286" spans="2:10" s="3" customFormat="1">
      <c r="B1286" s="3" t="s">
        <v>2105</v>
      </c>
      <c r="C1286" s="8">
        <v>4</v>
      </c>
      <c r="D1286" s="3" t="s">
        <v>2387</v>
      </c>
      <c r="E1286" s="11" t="s">
        <v>30</v>
      </c>
      <c r="F1286" s="11"/>
      <c r="G1286" s="12">
        <f>+G1283-G1285</f>
        <v>25112</v>
      </c>
      <c r="H1286" s="13">
        <f t="shared" si="97"/>
        <v>12556</v>
      </c>
      <c r="I1286" s="12">
        <f t="shared" si="98"/>
        <v>12556</v>
      </c>
      <c r="J1286" s="3" t="str">
        <f t="shared" si="96"/>
        <v>1841970</v>
      </c>
    </row>
    <row r="1287" spans="2:10" s="3" customFormat="1">
      <c r="B1287" s="3" t="s">
        <v>2105</v>
      </c>
      <c r="C1287" s="8">
        <v>5</v>
      </c>
      <c r="D1287" s="3" t="s">
        <v>2388</v>
      </c>
      <c r="E1287" s="11" t="s">
        <v>420</v>
      </c>
      <c r="F1287" s="10">
        <v>1.9574000000000001E-2</v>
      </c>
      <c r="G1287" s="120">
        <f>ROUND(G$3*F1287,0)</f>
        <v>5632</v>
      </c>
      <c r="H1287" s="120">
        <f t="shared" si="97"/>
        <v>2816</v>
      </c>
      <c r="I1287" s="120">
        <f t="shared" si="98"/>
        <v>2816</v>
      </c>
      <c r="J1287" s="3" t="str">
        <f t="shared" si="96"/>
        <v>1850040</v>
      </c>
    </row>
    <row r="1288" spans="2:10" s="3" customFormat="1">
      <c r="B1288" s="3" t="s">
        <v>2105</v>
      </c>
      <c r="C1288" s="8">
        <v>6</v>
      </c>
      <c r="D1288" s="3" t="s">
        <v>2390</v>
      </c>
      <c r="E1288" s="11" t="s">
        <v>421</v>
      </c>
      <c r="F1288" s="10">
        <v>2.467E-3</v>
      </c>
      <c r="G1288" s="12">
        <f>ROUND(G$3*F1288,0)</f>
        <v>710</v>
      </c>
      <c r="H1288" s="13">
        <f t="shared" si="97"/>
        <v>355</v>
      </c>
      <c r="I1288" s="12">
        <f t="shared" si="98"/>
        <v>355</v>
      </c>
      <c r="J1288" s="3" t="str">
        <f t="shared" si="96"/>
        <v>1860956</v>
      </c>
    </row>
    <row r="1289" spans="2:10" s="3" customFormat="1">
      <c r="B1289" s="3" t="s">
        <v>2105</v>
      </c>
      <c r="C1289" s="8">
        <v>6</v>
      </c>
      <c r="D1289" s="3" t="s">
        <v>3752</v>
      </c>
      <c r="E1289" s="11" t="s">
        <v>422</v>
      </c>
      <c r="F1289" s="10">
        <v>2.0219999999999999E-3</v>
      </c>
      <c r="G1289" s="120">
        <f>ROUND(G$3*F1289,0)</f>
        <v>582</v>
      </c>
      <c r="H1289" s="120">
        <f t="shared" si="97"/>
        <v>291</v>
      </c>
      <c r="I1289" s="120">
        <f t="shared" si="98"/>
        <v>291</v>
      </c>
      <c r="J1289" s="3" t="str">
        <f t="shared" si="96"/>
        <v>1861034</v>
      </c>
    </row>
    <row r="1290" spans="2:10" s="3" customFormat="1">
      <c r="B1290" s="3" t="s">
        <v>2105</v>
      </c>
      <c r="C1290" s="8">
        <v>6</v>
      </c>
      <c r="D1290" s="3" t="s">
        <v>2296</v>
      </c>
      <c r="E1290" s="11" t="s">
        <v>423</v>
      </c>
      <c r="F1290" s="10">
        <v>1.1150999999999999E-2</v>
      </c>
      <c r="G1290" s="120">
        <f>ROUND(G$3*F1290,0)</f>
        <v>3208</v>
      </c>
      <c r="H1290" s="120">
        <f t="shared" si="97"/>
        <v>1604</v>
      </c>
      <c r="I1290" s="120">
        <f t="shared" si="98"/>
        <v>1604</v>
      </c>
      <c r="J1290" s="3" t="str">
        <f t="shared" si="96"/>
        <v>1860935</v>
      </c>
    </row>
    <row r="1291" spans="2:10" s="3" customFormat="1">
      <c r="B1291" s="3" t="s">
        <v>2105</v>
      </c>
      <c r="C1291" s="8">
        <v>6</v>
      </c>
      <c r="D1291" s="3" t="s">
        <v>2389</v>
      </c>
      <c r="E1291" s="11" t="s">
        <v>424</v>
      </c>
      <c r="F1291" s="10">
        <v>3.201900000000002E-2</v>
      </c>
      <c r="G1291" s="12">
        <f>+G1209-SUM(G1210:G1211)-SUM(G1216:G1259)-G1263-G1267-G1271-G1275-G1279-G1283-SUM(G1287:G1290)</f>
        <v>786635</v>
      </c>
      <c r="H1291" s="13">
        <f t="shared" si="97"/>
        <v>393318</v>
      </c>
      <c r="I1291" s="12">
        <f t="shared" si="98"/>
        <v>393317</v>
      </c>
      <c r="J1291" s="3" t="str">
        <f t="shared" si="96"/>
        <v>1860806</v>
      </c>
    </row>
    <row r="1292" spans="2:10" s="3" customFormat="1">
      <c r="B1292" s="3" t="s">
        <v>2105</v>
      </c>
      <c r="C1292" s="8">
        <v>0</v>
      </c>
      <c r="D1292" s="125" t="s">
        <v>2187</v>
      </c>
      <c r="E1292" s="28" t="s">
        <v>425</v>
      </c>
      <c r="F1292" s="10">
        <v>1</v>
      </c>
      <c r="G1292" s="12">
        <f>+G1210+SUM(G1213:G1258)+SUM(G1261:G1262)+SUM(G1265:G1266)+SUM(G1269:G1270)+SUM(G1273:G1274)+SUM(G1277:G1278)+SUM(G1281:G1282)+SUM(G1285:G1291)</f>
        <v>1065146</v>
      </c>
      <c r="H1292" s="12">
        <f>+H1210+SUM(H1213:H1258)+SUM(H1261:H1262)+SUM(H1265:H1266)+SUM(H1269:H1270)+SUM(H1273:H1274)+SUM(H1277:H1278)+SUM(H1281:H1282)+SUM(H1285:H1291)</f>
        <v>532587</v>
      </c>
      <c r="I1292" s="12">
        <f>+I1210+SUM(I1213:I1258)+SUM(I1261:I1262)+SUM(I1265:I1266)+SUM(I1269:I1270)+SUM(I1273:I1274)+SUM(I1277:I1278)+SUM(I1281:I1282)+SUM(I1285:I1291)</f>
        <v>532559</v>
      </c>
      <c r="J1292" s="3" t="str">
        <f t="shared" si="96"/>
        <v>1800000</v>
      </c>
    </row>
    <row r="1293" spans="2:10" s="3" customFormat="1">
      <c r="B1293" s="3" t="s">
        <v>2105</v>
      </c>
      <c r="C1293" s="8">
        <v>0</v>
      </c>
      <c r="D1293" s="3" t="s">
        <v>2187</v>
      </c>
      <c r="E1293" s="18" t="s">
        <v>38</v>
      </c>
      <c r="G1293" s="19">
        <f>+G1210</f>
        <v>241</v>
      </c>
      <c r="H1293" s="19">
        <f>+H1210</f>
        <v>121</v>
      </c>
      <c r="I1293" s="19">
        <f>+I1210</f>
        <v>120</v>
      </c>
      <c r="J1293" s="3" t="str">
        <f t="shared" si="96"/>
        <v>1800000</v>
      </c>
    </row>
    <row r="1294" spans="2:10" s="3" customFormat="1">
      <c r="B1294" s="3" t="s">
        <v>2105</v>
      </c>
      <c r="C1294" s="8">
        <v>0</v>
      </c>
      <c r="D1294" s="3" t="s">
        <v>2187</v>
      </c>
      <c r="E1294" s="2" t="s">
        <v>39</v>
      </c>
      <c r="G1294" s="19">
        <f>+G1213</f>
        <v>25081</v>
      </c>
      <c r="H1294" s="19">
        <f>+H1213</f>
        <v>12541</v>
      </c>
      <c r="I1294" s="19">
        <f>+I1213</f>
        <v>12540</v>
      </c>
      <c r="J1294" s="3" t="str">
        <f t="shared" si="96"/>
        <v>1800000</v>
      </c>
    </row>
    <row r="1295" spans="2:10" s="3" customFormat="1">
      <c r="B1295" s="3" t="s">
        <v>2105</v>
      </c>
      <c r="C1295" s="8">
        <v>0</v>
      </c>
      <c r="D1295" s="3" t="s">
        <v>2187</v>
      </c>
      <c r="E1295" s="2" t="s">
        <v>40</v>
      </c>
      <c r="G1295" s="19">
        <f>+G1261+G1265+G1269+G1273+G1277+G1281+G1285</f>
        <v>66803</v>
      </c>
      <c r="H1295" s="19">
        <f>+H1261+H1265+H1269+H1273+H1277+H1281+H1285</f>
        <v>33403</v>
      </c>
      <c r="I1295" s="19">
        <f>+I1261+I1265+I1269+I1273+I1277+I1281+I1285</f>
        <v>33400</v>
      </c>
      <c r="J1295" s="3" t="str">
        <f t="shared" si="96"/>
        <v>1800000</v>
      </c>
    </row>
    <row r="1296" spans="2:10" s="3" customFormat="1">
      <c r="B1296" s="3" t="s">
        <v>2105</v>
      </c>
      <c r="C1296" s="8">
        <v>0</v>
      </c>
      <c r="D1296" s="125" t="s">
        <v>2187</v>
      </c>
      <c r="E1296" s="18" t="s">
        <v>41</v>
      </c>
      <c r="G1296" s="19">
        <f>+G1292-G1293-G1294-G1295</f>
        <v>973021</v>
      </c>
      <c r="H1296" s="19">
        <f>+H1292-H1293-H1294-H1295</f>
        <v>486522</v>
      </c>
      <c r="I1296" s="19">
        <f>+I1292-I1293-I1294-I1295</f>
        <v>486499</v>
      </c>
      <c r="J1296" s="3" t="str">
        <f t="shared" si="96"/>
        <v>1800000</v>
      </c>
    </row>
    <row r="1297" spans="2:10" ht="15.75">
      <c r="B1297" s="3" t="s">
        <v>2186</v>
      </c>
      <c r="D1297" t="s">
        <v>2186</v>
      </c>
      <c r="E1297">
        <v>0</v>
      </c>
      <c r="G1297"/>
      <c r="H1297"/>
      <c r="I1297"/>
      <c r="J1297" s="3" t="str">
        <f t="shared" si="96"/>
        <v/>
      </c>
    </row>
    <row r="1298" spans="2:10" s="3" customFormat="1">
      <c r="C1298" s="1"/>
      <c r="D1298" s="3" t="s">
        <v>2186</v>
      </c>
      <c r="E1298" s="2" t="s">
        <v>426</v>
      </c>
      <c r="J1298" s="3" t="str">
        <f t="shared" si="96"/>
        <v/>
      </c>
    </row>
    <row r="1299" spans="2:10" s="3" customFormat="1" ht="45">
      <c r="B1299" s="3" t="s">
        <v>2186</v>
      </c>
      <c r="C1299" s="1"/>
      <c r="D1299" s="3" t="s">
        <v>2186</v>
      </c>
      <c r="E1299" s="1">
        <v>0</v>
      </c>
      <c r="F1299" s="6" t="s">
        <v>1</v>
      </c>
      <c r="G1299" s="60">
        <f>'Allocation Worksheet'!H1299</f>
        <v>0</v>
      </c>
      <c r="H1299" s="60">
        <f>'Allocation Worksheet'!H1300</f>
        <v>0</v>
      </c>
      <c r="I1299" s="60">
        <f>'Allocation Worksheet'!H1301</f>
        <v>0</v>
      </c>
      <c r="J1299" s="3" t="str">
        <f t="shared" si="96"/>
        <v/>
      </c>
    </row>
    <row r="1300" spans="2:10" s="3" customFormat="1" ht="15.75" customHeight="1">
      <c r="C1300" s="7" t="s">
        <v>2087</v>
      </c>
      <c r="D1300" s="3" t="s">
        <v>2186</v>
      </c>
      <c r="E1300" s="7" t="s">
        <v>3</v>
      </c>
      <c r="F1300" s="10"/>
      <c r="G1300" s="9">
        <f>'Allocation Worksheet'!$D$22</f>
        <v>640955</v>
      </c>
      <c r="H1300" s="11"/>
      <c r="I1300" s="11"/>
      <c r="J1300" s="3" t="str">
        <f t="shared" si="96"/>
        <v>UT</v>
      </c>
    </row>
    <row r="1301" spans="2:10" s="3" customFormat="1">
      <c r="B1301" s="3" t="s">
        <v>2106</v>
      </c>
      <c r="C1301" s="8">
        <v>0</v>
      </c>
      <c r="D1301" s="3" t="s">
        <v>2187</v>
      </c>
      <c r="E1301" s="11" t="s">
        <v>4</v>
      </c>
      <c r="F1301" s="10">
        <v>1.3240000000000001E-3</v>
      </c>
      <c r="G1301" s="12">
        <f>ROUND(G$3*F1301,0)</f>
        <v>381</v>
      </c>
      <c r="H1301" s="13">
        <f>ROUND(G1301/2,0)</f>
        <v>191</v>
      </c>
      <c r="I1301" s="12">
        <f>G1301-H1301</f>
        <v>190</v>
      </c>
      <c r="J1301" s="3" t="str">
        <f t="shared" si="96"/>
        <v>1900000</v>
      </c>
    </row>
    <row r="1302" spans="2:10" s="3" customFormat="1">
      <c r="B1302" s="3" t="s">
        <v>2106</v>
      </c>
      <c r="C1302" s="8">
        <v>1</v>
      </c>
      <c r="D1302" s="3" t="s">
        <v>2187</v>
      </c>
      <c r="E1302" s="11" t="s">
        <v>427</v>
      </c>
      <c r="F1302" s="10">
        <v>0.123831</v>
      </c>
      <c r="G1302" s="9">
        <f>ROUND(G$3*F1302,0)</f>
        <v>35629</v>
      </c>
      <c r="H1302" s="11">
        <f>ROUND(G1302/2,0)</f>
        <v>17815</v>
      </c>
      <c r="I1302" s="9">
        <f>G1302-H1302</f>
        <v>17814</v>
      </c>
      <c r="J1302" s="3" t="str">
        <f t="shared" si="96"/>
        <v>1910000</v>
      </c>
    </row>
    <row r="1303" spans="2:10" s="3" customFormat="1">
      <c r="B1303" s="3" t="s">
        <v>2106</v>
      </c>
      <c r="C1303" s="8">
        <v>1</v>
      </c>
      <c r="D1303" s="3" t="s">
        <v>2187</v>
      </c>
      <c r="E1303" s="11" t="s">
        <v>6</v>
      </c>
      <c r="F1303" s="11"/>
      <c r="G1303" s="14">
        <v>0.18373200000000001</v>
      </c>
      <c r="H1303" s="11"/>
      <c r="I1303" s="11"/>
      <c r="J1303" s="3" t="str">
        <f t="shared" si="96"/>
        <v>1910000</v>
      </c>
    </row>
    <row r="1304" spans="2:10" s="3" customFormat="1">
      <c r="B1304" s="3" t="s">
        <v>2106</v>
      </c>
      <c r="C1304" s="8">
        <v>1</v>
      </c>
      <c r="D1304" s="3" t="s">
        <v>2187</v>
      </c>
      <c r="E1304" s="11" t="s">
        <v>7</v>
      </c>
      <c r="F1304" s="11"/>
      <c r="G1304" s="15">
        <f>ROUND(G1302*G1303,0)</f>
        <v>6546</v>
      </c>
      <c r="H1304" s="16">
        <f>ROUND(G1304/2,0)</f>
        <v>3273</v>
      </c>
      <c r="I1304" s="15">
        <f>G1304-H1304</f>
        <v>3273</v>
      </c>
      <c r="J1304" s="3" t="str">
        <f t="shared" si="96"/>
        <v>1910000</v>
      </c>
    </row>
    <row r="1305" spans="2:10" s="3" customFormat="1">
      <c r="B1305" s="3" t="s">
        <v>2106</v>
      </c>
      <c r="C1305" s="8">
        <v>1</v>
      </c>
      <c r="D1305" s="3" t="s">
        <v>2187</v>
      </c>
      <c r="E1305" s="11" t="s">
        <v>8</v>
      </c>
      <c r="F1305" s="11"/>
      <c r="G1305" s="12">
        <f>+G1302-G1304</f>
        <v>29083</v>
      </c>
      <c r="H1305" s="13">
        <f>ROUND(G1305/2,0)</f>
        <v>14542</v>
      </c>
      <c r="I1305" s="12">
        <f>G1305-H1305</f>
        <v>14541</v>
      </c>
      <c r="J1305" s="3" t="str">
        <f t="shared" si="96"/>
        <v>1910000</v>
      </c>
    </row>
    <row r="1306" spans="2:10" s="3" customFormat="1">
      <c r="B1306" s="3" t="s">
        <v>2106</v>
      </c>
      <c r="C1306" s="8">
        <v>2</v>
      </c>
      <c r="D1306" s="3" t="s">
        <v>2188</v>
      </c>
      <c r="E1306" s="11" t="s">
        <v>428</v>
      </c>
      <c r="F1306" s="11"/>
      <c r="G1306" s="9"/>
      <c r="H1306" s="11"/>
      <c r="I1306" s="11"/>
      <c r="J1306" s="3" t="str">
        <f t="shared" si="96"/>
        <v>1920001</v>
      </c>
    </row>
    <row r="1307" spans="2:10" s="3" customFormat="1">
      <c r="B1307" s="3" t="s">
        <v>2106</v>
      </c>
      <c r="C1307" s="8">
        <v>2</v>
      </c>
      <c r="D1307" s="3" t="s">
        <v>2188</v>
      </c>
      <c r="E1307" s="11" t="s">
        <v>10</v>
      </c>
      <c r="F1307" s="10">
        <v>8.7699999999999996E-4</v>
      </c>
      <c r="G1307" s="12">
        <f>ROUND(G$3*F1307,0)</f>
        <v>252</v>
      </c>
      <c r="H1307" s="13">
        <f>ROUND(G1307/2,0)</f>
        <v>126</v>
      </c>
      <c r="I1307" s="12">
        <f>G1307-H1307</f>
        <v>126</v>
      </c>
      <c r="J1307" s="3" t="str">
        <f t="shared" si="96"/>
        <v>1920001</v>
      </c>
    </row>
    <row r="1308" spans="2:10" s="3" customFormat="1">
      <c r="B1308" s="3" t="s">
        <v>2106</v>
      </c>
      <c r="C1308" s="8">
        <v>2</v>
      </c>
      <c r="D1308" s="3" t="s">
        <v>2188</v>
      </c>
      <c r="E1308" s="11" t="s">
        <v>11</v>
      </c>
      <c r="F1308" s="10">
        <v>9.3999999999999994E-5</v>
      </c>
      <c r="G1308" s="12">
        <f>ROUND(G$3*F1308,0)</f>
        <v>27</v>
      </c>
      <c r="H1308" s="13">
        <f>ROUND(G1308/2,0)</f>
        <v>14</v>
      </c>
      <c r="I1308" s="12">
        <f>G1308-H1308</f>
        <v>13</v>
      </c>
      <c r="J1308" s="3" t="str">
        <f t="shared" si="96"/>
        <v>1920001</v>
      </c>
    </row>
    <row r="1309" spans="2:10" s="3" customFormat="1">
      <c r="B1309" s="3" t="s">
        <v>2106</v>
      </c>
      <c r="C1309" s="8">
        <v>2</v>
      </c>
      <c r="D1309" s="3" t="s">
        <v>2189</v>
      </c>
      <c r="E1309" s="11" t="s">
        <v>200</v>
      </c>
      <c r="F1309" s="11"/>
      <c r="G1309" s="9"/>
      <c r="H1309" s="11"/>
      <c r="I1309" s="11"/>
      <c r="J1309" s="3" t="str">
        <f t="shared" si="96"/>
        <v>1920002</v>
      </c>
    </row>
    <row r="1310" spans="2:10" s="3" customFormat="1">
      <c r="B1310" s="3" t="s">
        <v>2106</v>
      </c>
      <c r="C1310" s="8">
        <v>2</v>
      </c>
      <c r="D1310" s="3" t="s">
        <v>2189</v>
      </c>
      <c r="E1310" s="11" t="s">
        <v>10</v>
      </c>
      <c r="F1310" s="10">
        <v>3.4699999999999998E-4</v>
      </c>
      <c r="G1310" s="12">
        <f>ROUND(G$3*F1310,0)</f>
        <v>100</v>
      </c>
      <c r="H1310" s="13">
        <f>ROUND(G1310/2,0)</f>
        <v>50</v>
      </c>
      <c r="I1310" s="12">
        <f>G1310-H1310</f>
        <v>50</v>
      </c>
      <c r="J1310" s="3" t="str">
        <f t="shared" si="96"/>
        <v>1920002</v>
      </c>
    </row>
    <row r="1311" spans="2:10" s="3" customFormat="1">
      <c r="B1311" s="3" t="s">
        <v>2106</v>
      </c>
      <c r="C1311" s="8">
        <v>2</v>
      </c>
      <c r="D1311" s="3" t="s">
        <v>2189</v>
      </c>
      <c r="E1311" s="11" t="s">
        <v>11</v>
      </c>
      <c r="F1311" s="10">
        <v>2.6200000000000003E-4</v>
      </c>
      <c r="G1311" s="12">
        <f>ROUND(G$3*F1311,0)</f>
        <v>75</v>
      </c>
      <c r="H1311" s="13">
        <f>ROUND(G1311/2,0)</f>
        <v>38</v>
      </c>
      <c r="I1311" s="12">
        <f>G1311-H1311</f>
        <v>37</v>
      </c>
      <c r="J1311" s="3" t="str">
        <f t="shared" si="96"/>
        <v>1920002</v>
      </c>
    </row>
    <row r="1312" spans="2:10" s="3" customFormat="1">
      <c r="B1312" s="3" t="s">
        <v>2106</v>
      </c>
      <c r="C1312" s="8">
        <v>2</v>
      </c>
      <c r="D1312" s="3" t="s">
        <v>2190</v>
      </c>
      <c r="E1312" s="11" t="s">
        <v>249</v>
      </c>
      <c r="F1312" s="11"/>
      <c r="G1312" s="9"/>
      <c r="H1312" s="11"/>
      <c r="I1312" s="11"/>
      <c r="J1312" s="3" t="str">
        <f t="shared" si="96"/>
        <v>1920003</v>
      </c>
    </row>
    <row r="1313" spans="1:10" s="3" customFormat="1">
      <c r="B1313" s="3" t="s">
        <v>2106</v>
      </c>
      <c r="C1313" s="8">
        <v>2</v>
      </c>
      <c r="D1313" s="3" t="s">
        <v>2190</v>
      </c>
      <c r="E1313" s="11" t="s">
        <v>10</v>
      </c>
      <c r="F1313" s="10">
        <v>1.3760000000000001E-3</v>
      </c>
      <c r="G1313" s="12">
        <f>ROUND(G$3*F1313,0)</f>
        <v>396</v>
      </c>
      <c r="H1313" s="13">
        <f>ROUND(G1313/2,0)</f>
        <v>198</v>
      </c>
      <c r="I1313" s="12">
        <f>G1313-H1313</f>
        <v>198</v>
      </c>
      <c r="J1313" s="3" t="str">
        <f t="shared" si="96"/>
        <v>1920003</v>
      </c>
    </row>
    <row r="1314" spans="1:10" s="3" customFormat="1">
      <c r="B1314" s="3" t="s">
        <v>2106</v>
      </c>
      <c r="C1314" s="8">
        <v>2</v>
      </c>
      <c r="D1314" s="3" t="s">
        <v>2190</v>
      </c>
      <c r="E1314" s="11" t="s">
        <v>11</v>
      </c>
      <c r="F1314" s="10">
        <v>1.3100000000000001E-4</v>
      </c>
      <c r="G1314" s="12">
        <f>ROUND(G$3*F1314,0)</f>
        <v>38</v>
      </c>
      <c r="H1314" s="13">
        <f>ROUND(G1314/2,0)</f>
        <v>19</v>
      </c>
      <c r="I1314" s="12">
        <f>G1314-H1314</f>
        <v>19</v>
      </c>
      <c r="J1314" s="3" t="str">
        <f t="shared" si="96"/>
        <v>1920003</v>
      </c>
    </row>
    <row r="1315" spans="1:10" s="3" customFormat="1">
      <c r="B1315" s="3" t="s">
        <v>2106</v>
      </c>
      <c r="C1315" s="8">
        <v>2</v>
      </c>
      <c r="D1315" s="3" t="s">
        <v>2191</v>
      </c>
      <c r="E1315" s="11" t="s">
        <v>429</v>
      </c>
      <c r="F1315" s="11"/>
      <c r="G1315" s="9"/>
      <c r="H1315" s="11"/>
      <c r="I1315" s="11"/>
      <c r="J1315" s="3" t="str">
        <f t="shared" si="96"/>
        <v>1920004</v>
      </c>
    </row>
    <row r="1316" spans="1:10" s="3" customFormat="1">
      <c r="B1316" s="3" t="s">
        <v>2106</v>
      </c>
      <c r="C1316" s="8">
        <v>2</v>
      </c>
      <c r="D1316" s="3" t="s">
        <v>2191</v>
      </c>
      <c r="E1316" s="11" t="s">
        <v>10</v>
      </c>
      <c r="F1316" s="10">
        <v>2.5599999999999999E-4</v>
      </c>
      <c r="G1316" s="12">
        <f>ROUND(G$3*F1316,0)</f>
        <v>74</v>
      </c>
      <c r="H1316" s="13">
        <f>ROUND(G1316/2,0)</f>
        <v>37</v>
      </c>
      <c r="I1316" s="12">
        <f>G1316-H1316</f>
        <v>37</v>
      </c>
      <c r="J1316" s="3" t="str">
        <f t="shared" si="96"/>
        <v>1920004</v>
      </c>
    </row>
    <row r="1317" spans="1:10" s="3" customFormat="1">
      <c r="A1317" s="3" t="s">
        <v>6269</v>
      </c>
      <c r="B1317" s="3" t="s">
        <v>2106</v>
      </c>
      <c r="C1317" s="8">
        <v>2</v>
      </c>
      <c r="D1317" s="3" t="s">
        <v>2191</v>
      </c>
      <c r="E1317" s="11" t="s">
        <v>11</v>
      </c>
      <c r="F1317" s="10">
        <v>0</v>
      </c>
      <c r="G1317" s="12">
        <f>ROUND(G$3*F1317,0)</f>
        <v>0</v>
      </c>
      <c r="H1317" s="13">
        <f>ROUND(G1317/2,0)</f>
        <v>0</v>
      </c>
      <c r="I1317" s="12">
        <f>G1317-H1317</f>
        <v>0</v>
      </c>
      <c r="J1317" s="3" t="str">
        <f t="shared" si="96"/>
        <v>1920004</v>
      </c>
    </row>
    <row r="1318" spans="1:10" s="3" customFormat="1">
      <c r="B1318" s="3" t="s">
        <v>2106</v>
      </c>
      <c r="C1318" s="8">
        <v>2</v>
      </c>
      <c r="D1318" s="3" t="s">
        <v>2192</v>
      </c>
      <c r="E1318" s="11" t="s">
        <v>430</v>
      </c>
      <c r="F1318" s="11"/>
      <c r="G1318" s="9"/>
      <c r="H1318" s="11"/>
      <c r="I1318" s="11"/>
      <c r="J1318" s="3" t="str">
        <f t="shared" si="96"/>
        <v>1920005</v>
      </c>
    </row>
    <row r="1319" spans="1:10" s="3" customFormat="1">
      <c r="B1319" s="3" t="s">
        <v>2106</v>
      </c>
      <c r="C1319" s="8">
        <v>2</v>
      </c>
      <c r="D1319" s="3" t="s">
        <v>2192</v>
      </c>
      <c r="E1319" s="11" t="s">
        <v>10</v>
      </c>
      <c r="F1319" s="10">
        <v>7.1400000000000001E-4</v>
      </c>
      <c r="G1319" s="12">
        <f>ROUND(G$3*F1319,0)</f>
        <v>205</v>
      </c>
      <c r="H1319" s="13">
        <f>ROUND(G1319/2,0)</f>
        <v>103</v>
      </c>
      <c r="I1319" s="12">
        <f>G1319-H1319</f>
        <v>102</v>
      </c>
      <c r="J1319" s="3" t="str">
        <f t="shared" si="96"/>
        <v>1920005</v>
      </c>
    </row>
    <row r="1320" spans="1:10" s="3" customFormat="1">
      <c r="B1320" s="3" t="s">
        <v>2106</v>
      </c>
      <c r="C1320" s="8">
        <v>2</v>
      </c>
      <c r="D1320" s="3" t="s">
        <v>2192</v>
      </c>
      <c r="E1320" s="11" t="s">
        <v>11</v>
      </c>
      <c r="F1320" s="10">
        <v>2.0599999999999999E-4</v>
      </c>
      <c r="G1320" s="12">
        <f>ROUND(G$3*F1320,0)</f>
        <v>59</v>
      </c>
      <c r="H1320" s="13">
        <f>ROUND(G1320/2,0)</f>
        <v>30</v>
      </c>
      <c r="I1320" s="12">
        <f>G1320-H1320</f>
        <v>29</v>
      </c>
      <c r="J1320" s="3" t="str">
        <f t="shared" si="96"/>
        <v>1920005</v>
      </c>
    </row>
    <row r="1321" spans="1:10" s="3" customFormat="1">
      <c r="B1321" s="3" t="s">
        <v>2106</v>
      </c>
      <c r="C1321" s="8">
        <v>2</v>
      </c>
      <c r="D1321" s="3" t="s">
        <v>2193</v>
      </c>
      <c r="E1321" s="11" t="s">
        <v>431</v>
      </c>
      <c r="F1321" s="11"/>
      <c r="G1321" s="9"/>
      <c r="H1321" s="11"/>
      <c r="I1321" s="11"/>
      <c r="J1321" s="3" t="str">
        <f t="shared" si="96"/>
        <v>1920006</v>
      </c>
    </row>
    <row r="1322" spans="1:10" s="3" customFormat="1">
      <c r="B1322" s="3" t="s">
        <v>2106</v>
      </c>
      <c r="C1322" s="8">
        <v>2</v>
      </c>
      <c r="D1322" s="3" t="s">
        <v>2193</v>
      </c>
      <c r="E1322" s="11" t="s">
        <v>10</v>
      </c>
      <c r="F1322" s="10">
        <v>1.8799999999999999E-4</v>
      </c>
      <c r="G1322" s="12">
        <f>ROUND(G$3*F1322,0)</f>
        <v>54</v>
      </c>
      <c r="H1322" s="13">
        <f>ROUND(G1322/2,0)</f>
        <v>27</v>
      </c>
      <c r="I1322" s="12">
        <f>G1322-H1322</f>
        <v>27</v>
      </c>
      <c r="J1322" s="3" t="str">
        <f t="shared" si="96"/>
        <v>1920006</v>
      </c>
    </row>
    <row r="1323" spans="1:10" s="3" customFormat="1">
      <c r="B1323" s="3" t="s">
        <v>2106</v>
      </c>
      <c r="C1323" s="8">
        <v>2</v>
      </c>
      <c r="D1323" s="3" t="s">
        <v>2193</v>
      </c>
      <c r="E1323" s="11" t="s">
        <v>11</v>
      </c>
      <c r="F1323" s="10">
        <v>2.2000000000000001E-4</v>
      </c>
      <c r="G1323" s="12">
        <f>ROUND(G$3*F1323,0)</f>
        <v>63</v>
      </c>
      <c r="H1323" s="13">
        <f>ROUND(G1323/2,0)</f>
        <v>32</v>
      </c>
      <c r="I1323" s="12">
        <f>G1323-H1323</f>
        <v>31</v>
      </c>
      <c r="J1323" s="3" t="str">
        <f t="shared" si="96"/>
        <v>1920006</v>
      </c>
    </row>
    <row r="1324" spans="1:10" s="3" customFormat="1">
      <c r="B1324" s="3" t="s">
        <v>2106</v>
      </c>
      <c r="C1324" s="8">
        <v>2</v>
      </c>
      <c r="D1324" s="3" t="s">
        <v>2194</v>
      </c>
      <c r="E1324" s="11" t="s">
        <v>432</v>
      </c>
      <c r="F1324" s="11"/>
      <c r="G1324" s="9"/>
      <c r="H1324" s="11"/>
      <c r="I1324" s="11"/>
      <c r="J1324" s="3" t="str">
        <f t="shared" si="96"/>
        <v>1920007</v>
      </c>
    </row>
    <row r="1325" spans="1:10" s="3" customFormat="1">
      <c r="B1325" s="3" t="s">
        <v>2106</v>
      </c>
      <c r="C1325" s="8">
        <v>2</v>
      </c>
      <c r="D1325" s="3" t="s">
        <v>2194</v>
      </c>
      <c r="E1325" s="11" t="s">
        <v>10</v>
      </c>
      <c r="F1325" s="10">
        <v>4.55E-4</v>
      </c>
      <c r="G1325" s="12">
        <f>ROUND(G$3*F1325,0)</f>
        <v>131</v>
      </c>
      <c r="H1325" s="13">
        <f>ROUND(G1325/2,0)</f>
        <v>66</v>
      </c>
      <c r="I1325" s="12">
        <f>G1325-H1325</f>
        <v>65</v>
      </c>
      <c r="J1325" s="3" t="str">
        <f t="shared" si="96"/>
        <v>1920007</v>
      </c>
    </row>
    <row r="1326" spans="1:10" s="3" customFormat="1">
      <c r="B1326" s="3" t="s">
        <v>2106</v>
      </c>
      <c r="C1326" s="8">
        <v>2</v>
      </c>
      <c r="D1326" s="3" t="s">
        <v>2194</v>
      </c>
      <c r="E1326" s="11" t="s">
        <v>11</v>
      </c>
      <c r="F1326" s="10">
        <v>2.5700000000000001E-4</v>
      </c>
      <c r="G1326" s="12">
        <f>ROUND(G$3*F1326,0)</f>
        <v>74</v>
      </c>
      <c r="H1326" s="13">
        <f>ROUND(G1326/2,0)</f>
        <v>37</v>
      </c>
      <c r="I1326" s="12">
        <f>G1326-H1326</f>
        <v>37</v>
      </c>
      <c r="J1326" s="3" t="str">
        <f t="shared" si="96"/>
        <v>1920007</v>
      </c>
    </row>
    <row r="1327" spans="1:10" s="3" customFormat="1">
      <c r="B1327" s="3" t="s">
        <v>2106</v>
      </c>
      <c r="C1327" s="8">
        <v>2</v>
      </c>
      <c r="D1327" s="3" t="s">
        <v>2195</v>
      </c>
      <c r="E1327" s="11" t="s">
        <v>49</v>
      </c>
      <c r="F1327" s="11"/>
      <c r="G1327" s="9"/>
      <c r="H1327" s="11"/>
      <c r="I1327" s="11"/>
      <c r="J1327" s="3" t="str">
        <f t="shared" si="96"/>
        <v>1920008</v>
      </c>
    </row>
    <row r="1328" spans="1:10" s="3" customFormat="1">
      <c r="B1328" s="3" t="s">
        <v>2106</v>
      </c>
      <c r="C1328" s="8">
        <v>2</v>
      </c>
      <c r="D1328" s="3" t="s">
        <v>2195</v>
      </c>
      <c r="E1328" s="11" t="s">
        <v>10</v>
      </c>
      <c r="F1328" s="10">
        <v>1.194E-3</v>
      </c>
      <c r="G1328" s="12">
        <f>ROUND(G$3*F1328,0)</f>
        <v>344</v>
      </c>
      <c r="H1328" s="13">
        <f>ROUND(G1328/2,0)</f>
        <v>172</v>
      </c>
      <c r="I1328" s="12">
        <f>G1328-H1328</f>
        <v>172</v>
      </c>
      <c r="J1328" s="3" t="str">
        <f t="shared" si="96"/>
        <v>1920008</v>
      </c>
    </row>
    <row r="1329" spans="2:10" s="3" customFormat="1">
      <c r="B1329" s="3" t="s">
        <v>2106</v>
      </c>
      <c r="C1329" s="8">
        <v>2</v>
      </c>
      <c r="D1329" s="3" t="s">
        <v>2195</v>
      </c>
      <c r="E1329" s="11" t="s">
        <v>11</v>
      </c>
      <c r="F1329" s="10">
        <v>8.25E-4</v>
      </c>
      <c r="G1329" s="12">
        <f>ROUND(G$3*F1329,0)</f>
        <v>237</v>
      </c>
      <c r="H1329" s="13">
        <f>ROUND(G1329/2,0)</f>
        <v>119</v>
      </c>
      <c r="I1329" s="12">
        <f>G1329-H1329</f>
        <v>118</v>
      </c>
      <c r="J1329" s="3" t="str">
        <f t="shared" si="96"/>
        <v>1920008</v>
      </c>
    </row>
    <row r="1330" spans="2:10" s="3" customFormat="1">
      <c r="B1330" s="3" t="s">
        <v>2106</v>
      </c>
      <c r="C1330" s="8">
        <v>2</v>
      </c>
      <c r="D1330" s="3" t="s">
        <v>2196</v>
      </c>
      <c r="E1330" s="11" t="s">
        <v>14</v>
      </c>
      <c r="F1330" s="11"/>
      <c r="G1330" s="9"/>
      <c r="H1330" s="11"/>
      <c r="I1330" s="11"/>
      <c r="J1330" s="3" t="str">
        <f t="shared" si="96"/>
        <v>1920009</v>
      </c>
    </row>
    <row r="1331" spans="2:10" s="3" customFormat="1">
      <c r="B1331" s="3" t="s">
        <v>2106</v>
      </c>
      <c r="C1331" s="8">
        <v>2</v>
      </c>
      <c r="D1331" s="3" t="s">
        <v>2196</v>
      </c>
      <c r="E1331" s="11" t="s">
        <v>10</v>
      </c>
      <c r="F1331" s="10">
        <v>1.3799999999999999E-4</v>
      </c>
      <c r="G1331" s="12">
        <f>ROUND(G$3*F1331,0)</f>
        <v>40</v>
      </c>
      <c r="H1331" s="13">
        <f>ROUND(G1331/2,0)</f>
        <v>20</v>
      </c>
      <c r="I1331" s="12">
        <f>G1331-H1331</f>
        <v>20</v>
      </c>
      <c r="J1331" s="3" t="str">
        <f t="shared" si="96"/>
        <v>1920009</v>
      </c>
    </row>
    <row r="1332" spans="2:10" s="3" customFormat="1">
      <c r="B1332" s="3" t="s">
        <v>2106</v>
      </c>
      <c r="C1332" s="8">
        <v>2</v>
      </c>
      <c r="D1332" s="3" t="s">
        <v>2196</v>
      </c>
      <c r="E1332" s="11" t="s">
        <v>11</v>
      </c>
      <c r="F1332" s="10">
        <v>7.7000000000000001E-5</v>
      </c>
      <c r="G1332" s="12">
        <f>ROUND(G$3*F1332,0)</f>
        <v>22</v>
      </c>
      <c r="H1332" s="13">
        <f>ROUND(G1332/2,0)</f>
        <v>11</v>
      </c>
      <c r="I1332" s="12">
        <f>G1332-H1332</f>
        <v>11</v>
      </c>
      <c r="J1332" s="3" t="str">
        <f t="shared" si="96"/>
        <v>1920009</v>
      </c>
    </row>
    <row r="1333" spans="2:10" s="3" customFormat="1">
      <c r="B1333" s="3" t="s">
        <v>2106</v>
      </c>
      <c r="C1333" s="8">
        <v>2</v>
      </c>
      <c r="D1333" s="3" t="s">
        <v>2197</v>
      </c>
      <c r="E1333" s="11" t="s">
        <v>52</v>
      </c>
      <c r="F1333" s="11"/>
      <c r="G1333" s="9"/>
      <c r="H1333" s="11"/>
      <c r="I1333" s="11"/>
      <c r="J1333" s="3" t="str">
        <f t="shared" si="96"/>
        <v>1920010</v>
      </c>
    </row>
    <row r="1334" spans="2:10" s="3" customFormat="1">
      <c r="B1334" s="3" t="s">
        <v>2106</v>
      </c>
      <c r="C1334" s="8">
        <v>2</v>
      </c>
      <c r="D1334" s="3" t="s">
        <v>2197</v>
      </c>
      <c r="E1334" s="11" t="s">
        <v>10</v>
      </c>
      <c r="F1334" s="10">
        <v>8.3299999999999997E-4</v>
      </c>
      <c r="G1334" s="12">
        <f>ROUND(G$3*F1334,0)</f>
        <v>240</v>
      </c>
      <c r="H1334" s="13">
        <f>ROUND(G1334/2,0)</f>
        <v>120</v>
      </c>
      <c r="I1334" s="12">
        <f>G1334-H1334</f>
        <v>120</v>
      </c>
      <c r="J1334" s="3" t="str">
        <f t="shared" si="96"/>
        <v>1920010</v>
      </c>
    </row>
    <row r="1335" spans="2:10" s="3" customFormat="1">
      <c r="B1335" s="3" t="s">
        <v>2106</v>
      </c>
      <c r="C1335" s="8">
        <v>2</v>
      </c>
      <c r="D1335" s="3" t="s">
        <v>2197</v>
      </c>
      <c r="E1335" s="11" t="s">
        <v>11</v>
      </c>
      <c r="F1335" s="10">
        <v>5.7700000000000004E-4</v>
      </c>
      <c r="G1335" s="12">
        <f>ROUND(G$3*F1335,0)</f>
        <v>166</v>
      </c>
      <c r="H1335" s="13">
        <f>ROUND(G1335/2,0)</f>
        <v>83</v>
      </c>
      <c r="I1335" s="12">
        <f>G1335-H1335</f>
        <v>83</v>
      </c>
      <c r="J1335" s="3" t="str">
        <f t="shared" si="96"/>
        <v>1920010</v>
      </c>
    </row>
    <row r="1336" spans="2:10" s="3" customFormat="1">
      <c r="B1336" s="3" t="s">
        <v>2106</v>
      </c>
      <c r="C1336" s="8">
        <v>2</v>
      </c>
      <c r="D1336" s="3" t="s">
        <v>2198</v>
      </c>
      <c r="E1336" s="11" t="s">
        <v>53</v>
      </c>
      <c r="F1336" s="11"/>
      <c r="G1336" s="9"/>
      <c r="H1336" s="11"/>
      <c r="I1336" s="11"/>
      <c r="J1336" s="3" t="str">
        <f t="shared" si="96"/>
        <v>1920011</v>
      </c>
    </row>
    <row r="1337" spans="2:10" s="3" customFormat="1">
      <c r="B1337" s="3" t="s">
        <v>2106</v>
      </c>
      <c r="C1337" s="8">
        <v>2</v>
      </c>
      <c r="D1337" s="3" t="s">
        <v>2198</v>
      </c>
      <c r="E1337" s="11" t="s">
        <v>10</v>
      </c>
      <c r="F1337" s="10">
        <v>2.2599999999999999E-4</v>
      </c>
      <c r="G1337" s="12">
        <f>ROUND(G$3*F1337,0)</f>
        <v>65</v>
      </c>
      <c r="H1337" s="13">
        <f>ROUND(G1337/2,0)</f>
        <v>33</v>
      </c>
      <c r="I1337" s="12">
        <f>G1337-H1337</f>
        <v>32</v>
      </c>
      <c r="J1337" s="3" t="str">
        <f t="shared" si="96"/>
        <v>1920011</v>
      </c>
    </row>
    <row r="1338" spans="2:10" s="3" customFormat="1">
      <c r="B1338" s="3" t="s">
        <v>2106</v>
      </c>
      <c r="C1338" s="8">
        <v>2</v>
      </c>
      <c r="D1338" s="3" t="s">
        <v>2198</v>
      </c>
      <c r="E1338" s="11" t="s">
        <v>11</v>
      </c>
      <c r="F1338" s="10">
        <v>1.46E-4</v>
      </c>
      <c r="G1338" s="12">
        <f>ROUND(G$3*F1338,0)</f>
        <v>42</v>
      </c>
      <c r="H1338" s="13">
        <f>ROUND(G1338/2,0)</f>
        <v>21</v>
      </c>
      <c r="I1338" s="12">
        <f>G1338-H1338</f>
        <v>21</v>
      </c>
      <c r="J1338" s="3" t="str">
        <f t="shared" si="96"/>
        <v>1920011</v>
      </c>
    </row>
    <row r="1339" spans="2:10" s="3" customFormat="1">
      <c r="B1339" s="3" t="s">
        <v>2106</v>
      </c>
      <c r="C1339" s="8">
        <v>2</v>
      </c>
      <c r="D1339" s="3" t="s">
        <v>2199</v>
      </c>
      <c r="E1339" s="11" t="s">
        <v>292</v>
      </c>
      <c r="F1339" s="11"/>
      <c r="G1339" s="9"/>
      <c r="H1339" s="11"/>
      <c r="I1339" s="11"/>
      <c r="J1339" s="3" t="str">
        <f t="shared" si="96"/>
        <v>1920012</v>
      </c>
    </row>
    <row r="1340" spans="2:10" s="3" customFormat="1">
      <c r="B1340" s="3" t="s">
        <v>2106</v>
      </c>
      <c r="C1340" s="8">
        <v>2</v>
      </c>
      <c r="D1340" s="3" t="s">
        <v>2199</v>
      </c>
      <c r="E1340" s="11" t="s">
        <v>10</v>
      </c>
      <c r="F1340" s="10">
        <v>1.0510000000000001E-3</v>
      </c>
      <c r="G1340" s="12">
        <f t="shared" ref="G1340:G1347" si="99">ROUND(G$3*F1340,0)</f>
        <v>302</v>
      </c>
      <c r="H1340" s="13">
        <f t="shared" ref="H1340:H1347" si="100">ROUND(G1340/2,0)</f>
        <v>151</v>
      </c>
      <c r="I1340" s="12">
        <f t="shared" ref="I1340:I1347" si="101">G1340-H1340</f>
        <v>151</v>
      </c>
      <c r="J1340" s="3" t="str">
        <f t="shared" si="96"/>
        <v>1920012</v>
      </c>
    </row>
    <row r="1341" spans="2:10" s="3" customFormat="1">
      <c r="B1341" s="3" t="s">
        <v>2106</v>
      </c>
      <c r="C1341" s="8">
        <v>2</v>
      </c>
      <c r="D1341" s="3" t="s">
        <v>2199</v>
      </c>
      <c r="E1341" s="11" t="s">
        <v>11</v>
      </c>
      <c r="F1341" s="10">
        <v>8.5000000000000006E-5</v>
      </c>
      <c r="G1341" s="12">
        <f t="shared" si="99"/>
        <v>24</v>
      </c>
      <c r="H1341" s="13">
        <f t="shared" si="100"/>
        <v>12</v>
      </c>
      <c r="I1341" s="12">
        <f t="shared" si="101"/>
        <v>12</v>
      </c>
      <c r="J1341" s="3" t="str">
        <f t="shared" si="96"/>
        <v>1920012</v>
      </c>
    </row>
    <row r="1342" spans="2:10" s="3" customFormat="1">
      <c r="B1342" s="3" t="s">
        <v>2106</v>
      </c>
      <c r="C1342" s="8">
        <v>3</v>
      </c>
      <c r="D1342" s="3" t="s">
        <v>2393</v>
      </c>
      <c r="E1342" s="11" t="s">
        <v>433</v>
      </c>
      <c r="F1342" s="10">
        <v>5.6999999999999998E-4</v>
      </c>
      <c r="G1342" s="12">
        <f t="shared" si="99"/>
        <v>164</v>
      </c>
      <c r="H1342" s="13">
        <f t="shared" si="100"/>
        <v>82</v>
      </c>
      <c r="I1342" s="12">
        <f t="shared" si="101"/>
        <v>82</v>
      </c>
      <c r="J1342" s="3" t="str">
        <f t="shared" si="96"/>
        <v>1930596</v>
      </c>
    </row>
    <row r="1343" spans="2:10" s="3" customFormat="1">
      <c r="B1343" s="3" t="s">
        <v>2106</v>
      </c>
      <c r="C1343" s="8">
        <v>3</v>
      </c>
      <c r="D1343" s="3" t="s">
        <v>2394</v>
      </c>
      <c r="E1343" s="11" t="s">
        <v>434</v>
      </c>
      <c r="F1343" s="10">
        <v>6.3699999999999998E-3</v>
      </c>
      <c r="G1343" s="12">
        <f t="shared" si="99"/>
        <v>1833</v>
      </c>
      <c r="H1343" s="13">
        <f t="shared" si="100"/>
        <v>917</v>
      </c>
      <c r="I1343" s="12">
        <f t="shared" si="101"/>
        <v>916</v>
      </c>
      <c r="J1343" s="3" t="str">
        <f t="shared" si="96"/>
        <v>1930597</v>
      </c>
    </row>
    <row r="1344" spans="2:10" s="3" customFormat="1">
      <c r="B1344" s="3" t="s">
        <v>2106</v>
      </c>
      <c r="C1344" s="8">
        <v>3</v>
      </c>
      <c r="D1344" s="3" t="s">
        <v>2395</v>
      </c>
      <c r="E1344" s="11" t="s">
        <v>435</v>
      </c>
      <c r="F1344" s="10">
        <v>5.1440000000000001E-3</v>
      </c>
      <c r="G1344" s="12">
        <f t="shared" si="99"/>
        <v>1480</v>
      </c>
      <c r="H1344" s="13">
        <f t="shared" si="100"/>
        <v>740</v>
      </c>
      <c r="I1344" s="12">
        <f t="shared" si="101"/>
        <v>740</v>
      </c>
      <c r="J1344" s="3" t="str">
        <f t="shared" si="96"/>
        <v>1930598</v>
      </c>
    </row>
    <row r="1345" spans="2:10" s="3" customFormat="1">
      <c r="B1345" s="3" t="s">
        <v>2106</v>
      </c>
      <c r="C1345" s="8">
        <v>3</v>
      </c>
      <c r="D1345" s="3" t="s">
        <v>2392</v>
      </c>
      <c r="E1345" s="11" t="s">
        <v>436</v>
      </c>
      <c r="F1345" s="10">
        <v>5.4966000000000001E-2</v>
      </c>
      <c r="G1345" s="12">
        <f t="shared" si="99"/>
        <v>15815</v>
      </c>
      <c r="H1345" s="13">
        <f t="shared" si="100"/>
        <v>7908</v>
      </c>
      <c r="I1345" s="12">
        <f t="shared" si="101"/>
        <v>7907</v>
      </c>
      <c r="J1345" s="3" t="str">
        <f t="shared" si="96"/>
        <v>1930434</v>
      </c>
    </row>
    <row r="1346" spans="2:10" s="3" customFormat="1">
      <c r="B1346" s="3" t="s">
        <v>2106</v>
      </c>
      <c r="C1346" s="8">
        <v>3</v>
      </c>
      <c r="D1346" s="3" t="s">
        <v>2391</v>
      </c>
      <c r="E1346" s="11" t="s">
        <v>437</v>
      </c>
      <c r="F1346" s="10">
        <v>6.9264999999999993E-2</v>
      </c>
      <c r="G1346" s="12">
        <f t="shared" si="99"/>
        <v>19929</v>
      </c>
      <c r="H1346" s="13">
        <f t="shared" si="100"/>
        <v>9965</v>
      </c>
      <c r="I1346" s="12">
        <f t="shared" si="101"/>
        <v>9964</v>
      </c>
      <c r="J1346" s="3" t="str">
        <f t="shared" si="96"/>
        <v>1930405</v>
      </c>
    </row>
    <row r="1347" spans="2:10" s="3" customFormat="1">
      <c r="B1347" s="3" t="s">
        <v>2106</v>
      </c>
      <c r="C1347" s="8">
        <v>4</v>
      </c>
      <c r="D1347" s="116" t="s">
        <v>2399</v>
      </c>
      <c r="E1347" s="11" t="s">
        <v>438</v>
      </c>
      <c r="F1347" s="10">
        <v>0.26164399999999999</v>
      </c>
      <c r="G1347" s="9">
        <f t="shared" si="99"/>
        <v>75281</v>
      </c>
      <c r="H1347" s="11">
        <f t="shared" si="100"/>
        <v>37641</v>
      </c>
      <c r="I1347" s="9">
        <f t="shared" si="101"/>
        <v>37640</v>
      </c>
      <c r="J1347" s="3" t="str">
        <f t="shared" si="96"/>
        <v>1942120</v>
      </c>
    </row>
    <row r="1348" spans="2:10" s="3" customFormat="1">
      <c r="B1348" s="3" t="s">
        <v>2106</v>
      </c>
      <c r="C1348" s="8">
        <v>4</v>
      </c>
      <c r="D1348" s="116" t="s">
        <v>2399</v>
      </c>
      <c r="E1348" s="11" t="s">
        <v>28</v>
      </c>
      <c r="F1348" s="11"/>
      <c r="G1348" s="14">
        <v>0.42733900000000002</v>
      </c>
      <c r="H1348" s="11"/>
      <c r="I1348" s="11"/>
      <c r="J1348" s="3" t="str">
        <f t="shared" ref="J1348:J1411" si="102">B1348&amp;C1348&amp;D1348</f>
        <v>1942120</v>
      </c>
    </row>
    <row r="1349" spans="2:10" s="3" customFormat="1">
      <c r="B1349" s="3" t="s">
        <v>2106</v>
      </c>
      <c r="C1349" s="8">
        <v>4</v>
      </c>
      <c r="D1349" s="116" t="s">
        <v>2399</v>
      </c>
      <c r="E1349" s="11" t="s">
        <v>29</v>
      </c>
      <c r="F1349" s="11"/>
      <c r="G1349" s="15">
        <f>ROUND(G1347*G1348,0)</f>
        <v>32171</v>
      </c>
      <c r="H1349" s="16">
        <f>ROUND(G1349/2,0)</f>
        <v>16086</v>
      </c>
      <c r="I1349" s="15">
        <f>G1349-H1349</f>
        <v>16085</v>
      </c>
      <c r="J1349" s="3" t="str">
        <f t="shared" si="102"/>
        <v>1942120</v>
      </c>
    </row>
    <row r="1350" spans="2:10" s="3" customFormat="1">
      <c r="B1350" s="3" t="s">
        <v>2106</v>
      </c>
      <c r="C1350" s="8">
        <v>4</v>
      </c>
      <c r="D1350" s="116" t="s">
        <v>2399</v>
      </c>
      <c r="E1350" s="11" t="s">
        <v>30</v>
      </c>
      <c r="F1350" s="11"/>
      <c r="G1350" s="12">
        <f>+G1347-G1349</f>
        <v>43110</v>
      </c>
      <c r="H1350" s="13">
        <f>ROUND(G1350/2,0)</f>
        <v>21555</v>
      </c>
      <c r="I1350" s="12">
        <f>G1350-H1350</f>
        <v>21555</v>
      </c>
      <c r="J1350" s="3" t="str">
        <f t="shared" si="102"/>
        <v>1942120</v>
      </c>
    </row>
    <row r="1351" spans="2:10" s="3" customFormat="1">
      <c r="B1351" s="3" t="s">
        <v>2106</v>
      </c>
      <c r="C1351" s="8">
        <v>4</v>
      </c>
      <c r="D1351" s="116" t="s">
        <v>2396</v>
      </c>
      <c r="E1351" s="11" t="s">
        <v>439</v>
      </c>
      <c r="F1351" s="10">
        <v>9.3826999999999994E-2</v>
      </c>
      <c r="G1351" s="9">
        <f>ROUND(G$3*F1351,0)</f>
        <v>26996</v>
      </c>
      <c r="H1351" s="11">
        <f>ROUND(G1351/2,0)</f>
        <v>13498</v>
      </c>
      <c r="I1351" s="9">
        <f>G1351-H1351</f>
        <v>13498</v>
      </c>
      <c r="J1351" s="3" t="str">
        <f t="shared" si="102"/>
        <v>1942040</v>
      </c>
    </row>
    <row r="1352" spans="2:10" s="3" customFormat="1">
      <c r="B1352" s="3" t="s">
        <v>2106</v>
      </c>
      <c r="C1352" s="8">
        <v>4</v>
      </c>
      <c r="D1352" s="116" t="s">
        <v>2396</v>
      </c>
      <c r="E1352" s="11" t="s">
        <v>28</v>
      </c>
      <c r="F1352" s="11"/>
      <c r="G1352" s="14">
        <v>0.45052399999999998</v>
      </c>
      <c r="H1352" s="11"/>
      <c r="I1352" s="11"/>
      <c r="J1352" s="3" t="str">
        <f t="shared" si="102"/>
        <v>1942040</v>
      </c>
    </row>
    <row r="1353" spans="2:10" s="3" customFormat="1">
      <c r="B1353" s="3" t="s">
        <v>2106</v>
      </c>
      <c r="C1353" s="8">
        <v>4</v>
      </c>
      <c r="D1353" s="116" t="s">
        <v>2396</v>
      </c>
      <c r="E1353" s="11" t="s">
        <v>29</v>
      </c>
      <c r="F1353" s="11"/>
      <c r="G1353" s="15">
        <f>ROUND(G1351*G1352,0)</f>
        <v>12162</v>
      </c>
      <c r="H1353" s="16">
        <f>ROUND(G1353/2,0)</f>
        <v>6081</v>
      </c>
      <c r="I1353" s="15">
        <f>G1353-H1353</f>
        <v>6081</v>
      </c>
      <c r="J1353" s="3" t="str">
        <f t="shared" si="102"/>
        <v>1942040</v>
      </c>
    </row>
    <row r="1354" spans="2:10" s="3" customFormat="1">
      <c r="B1354" s="3" t="s">
        <v>2106</v>
      </c>
      <c r="C1354" s="8">
        <v>4</v>
      </c>
      <c r="D1354" s="116" t="s">
        <v>2396</v>
      </c>
      <c r="E1354" s="11" t="s">
        <v>30</v>
      </c>
      <c r="F1354" s="11"/>
      <c r="G1354" s="12">
        <f>+G1351-G1353</f>
        <v>14834</v>
      </c>
      <c r="H1354" s="13">
        <f>ROUND(G1354/2,0)</f>
        <v>7417</v>
      </c>
      <c r="I1354" s="12">
        <f>G1354-H1354</f>
        <v>7417</v>
      </c>
      <c r="J1354" s="3" t="str">
        <f t="shared" si="102"/>
        <v>1942040</v>
      </c>
    </row>
    <row r="1355" spans="2:10" s="3" customFormat="1">
      <c r="B1355" s="3" t="s">
        <v>2106</v>
      </c>
      <c r="C1355" s="8">
        <v>4</v>
      </c>
      <c r="D1355" s="116" t="s">
        <v>2397</v>
      </c>
      <c r="E1355" s="11" t="s">
        <v>440</v>
      </c>
      <c r="F1355" s="10">
        <v>0.122852</v>
      </c>
      <c r="G1355" s="9">
        <f>ROUND(G$3*F1355,0)</f>
        <v>35347</v>
      </c>
      <c r="H1355" s="11">
        <f>ROUND(G1355/2,0)</f>
        <v>17674</v>
      </c>
      <c r="I1355" s="9">
        <f>G1355-H1355</f>
        <v>17673</v>
      </c>
      <c r="J1355" s="3" t="str">
        <f t="shared" si="102"/>
        <v>1942100</v>
      </c>
    </row>
    <row r="1356" spans="2:10" s="3" customFormat="1">
      <c r="B1356" s="3" t="s">
        <v>2106</v>
      </c>
      <c r="C1356" s="8">
        <v>4</v>
      </c>
      <c r="D1356" s="116" t="s">
        <v>2397</v>
      </c>
      <c r="E1356" s="11" t="s">
        <v>28</v>
      </c>
      <c r="F1356" s="11"/>
      <c r="G1356" s="14">
        <v>0.41065099999999999</v>
      </c>
      <c r="H1356" s="11"/>
      <c r="I1356" s="11"/>
      <c r="J1356" s="3" t="str">
        <f t="shared" si="102"/>
        <v>1942100</v>
      </c>
    </row>
    <row r="1357" spans="2:10" s="3" customFormat="1">
      <c r="B1357" s="3" t="s">
        <v>2106</v>
      </c>
      <c r="C1357" s="8">
        <v>4</v>
      </c>
      <c r="D1357" s="116" t="s">
        <v>2397</v>
      </c>
      <c r="E1357" s="11" t="s">
        <v>29</v>
      </c>
      <c r="F1357" s="11"/>
      <c r="G1357" s="15">
        <f>ROUND(G1355*G1356,0)</f>
        <v>14515</v>
      </c>
      <c r="H1357" s="16">
        <f>ROUND(G1357/2,0)</f>
        <v>7258</v>
      </c>
      <c r="I1357" s="15">
        <f>G1357-H1357</f>
        <v>7257</v>
      </c>
      <c r="J1357" s="3" t="str">
        <f t="shared" si="102"/>
        <v>1942100</v>
      </c>
    </row>
    <row r="1358" spans="2:10" s="3" customFormat="1">
      <c r="B1358" s="3" t="s">
        <v>2106</v>
      </c>
      <c r="C1358" s="8">
        <v>4</v>
      </c>
      <c r="D1358" s="116" t="s">
        <v>2397</v>
      </c>
      <c r="E1358" s="11" t="s">
        <v>30</v>
      </c>
      <c r="F1358" s="11"/>
      <c r="G1358" s="12">
        <f>+G1355-G1357</f>
        <v>20832</v>
      </c>
      <c r="H1358" s="13">
        <f>ROUND(G1358/2,0)</f>
        <v>10416</v>
      </c>
      <c r="I1358" s="12">
        <f>G1358-H1358</f>
        <v>10416</v>
      </c>
      <c r="J1358" s="3" t="str">
        <f t="shared" si="102"/>
        <v>1942100</v>
      </c>
    </row>
    <row r="1359" spans="2:10" s="3" customFormat="1">
      <c r="B1359" s="3" t="s">
        <v>2106</v>
      </c>
      <c r="C1359" s="8">
        <v>4</v>
      </c>
      <c r="D1359" s="116" t="s">
        <v>2398</v>
      </c>
      <c r="E1359" s="11" t="s">
        <v>441</v>
      </c>
      <c r="F1359" s="10">
        <v>0.22958200000000001</v>
      </c>
      <c r="G1359" s="9">
        <f>ROUND(G$3*F1359,0)</f>
        <v>66056</v>
      </c>
      <c r="H1359" s="11">
        <f>ROUND(G1359/2,0)</f>
        <v>33028</v>
      </c>
      <c r="I1359" s="9">
        <f>G1359-H1359</f>
        <v>33028</v>
      </c>
      <c r="J1359" s="3" t="str">
        <f t="shared" si="102"/>
        <v>1942110</v>
      </c>
    </row>
    <row r="1360" spans="2:10" s="3" customFormat="1">
      <c r="B1360" s="3" t="s">
        <v>2106</v>
      </c>
      <c r="C1360" s="8">
        <v>4</v>
      </c>
      <c r="D1360" s="116" t="s">
        <v>2398</v>
      </c>
      <c r="E1360" s="11" t="s">
        <v>28</v>
      </c>
      <c r="F1360" s="11"/>
      <c r="G1360" s="14">
        <v>0.389594</v>
      </c>
      <c r="H1360" s="11"/>
      <c r="I1360" s="11"/>
      <c r="J1360" s="3" t="str">
        <f t="shared" si="102"/>
        <v>1942110</v>
      </c>
    </row>
    <row r="1361" spans="1:10" s="3" customFormat="1">
      <c r="B1361" s="3" t="s">
        <v>2106</v>
      </c>
      <c r="C1361" s="8">
        <v>4</v>
      </c>
      <c r="D1361" s="116" t="s">
        <v>2398</v>
      </c>
      <c r="E1361" s="11" t="s">
        <v>29</v>
      </c>
      <c r="F1361" s="11"/>
      <c r="G1361" s="15">
        <f>ROUND(G1359*G1360,0)</f>
        <v>25735</v>
      </c>
      <c r="H1361" s="16">
        <f t="shared" ref="H1361:H1368" si="103">ROUND(G1361/2,0)</f>
        <v>12868</v>
      </c>
      <c r="I1361" s="15">
        <f t="shared" ref="I1361:I1368" si="104">G1361-H1361</f>
        <v>12867</v>
      </c>
      <c r="J1361" s="3" t="str">
        <f t="shared" si="102"/>
        <v>1942110</v>
      </c>
    </row>
    <row r="1362" spans="1:10" s="3" customFormat="1">
      <c r="B1362" s="3" t="s">
        <v>2106</v>
      </c>
      <c r="C1362" s="8">
        <v>4</v>
      </c>
      <c r="D1362" s="116" t="s">
        <v>2398</v>
      </c>
      <c r="E1362" s="11" t="s">
        <v>30</v>
      </c>
      <c r="F1362" s="11"/>
      <c r="G1362" s="12">
        <f>+G1359-G1361</f>
        <v>40321</v>
      </c>
      <c r="H1362" s="13">
        <f t="shared" si="103"/>
        <v>20161</v>
      </c>
      <c r="I1362" s="12">
        <f t="shared" si="104"/>
        <v>20160</v>
      </c>
      <c r="J1362" s="3" t="str">
        <f t="shared" si="102"/>
        <v>1942110</v>
      </c>
    </row>
    <row r="1363" spans="1:10" s="3" customFormat="1">
      <c r="B1363" s="3" t="s">
        <v>2106</v>
      </c>
      <c r="C1363" s="8">
        <v>5</v>
      </c>
      <c r="D1363" s="3" t="s">
        <v>3782</v>
      </c>
      <c r="E1363" s="11" t="s">
        <v>442</v>
      </c>
      <c r="F1363" s="10">
        <v>4.9909999999999998E-3</v>
      </c>
      <c r="G1363" s="120">
        <f>ROUND(G$3*F1363,0)</f>
        <v>1436</v>
      </c>
      <c r="H1363" s="120">
        <f t="shared" si="103"/>
        <v>718</v>
      </c>
      <c r="I1363" s="120">
        <f t="shared" si="104"/>
        <v>718</v>
      </c>
      <c r="J1363" s="3" t="str">
        <f t="shared" si="102"/>
        <v>1950043</v>
      </c>
    </row>
    <row r="1364" spans="1:10" s="3" customFormat="1">
      <c r="B1364" s="3" t="s">
        <v>2106</v>
      </c>
      <c r="C1364" s="8">
        <v>5</v>
      </c>
      <c r="D1364" s="3" t="s">
        <v>3746</v>
      </c>
      <c r="E1364" s="11" t="s">
        <v>443</v>
      </c>
      <c r="F1364" s="10">
        <v>5.4840000000000002E-3</v>
      </c>
      <c r="G1364" s="120">
        <f>ROUND(G$3*F1364,0)</f>
        <v>1578</v>
      </c>
      <c r="H1364" s="120">
        <f t="shared" si="103"/>
        <v>789</v>
      </c>
      <c r="I1364" s="120">
        <f t="shared" si="104"/>
        <v>789</v>
      </c>
      <c r="J1364" s="3" t="str">
        <f t="shared" si="102"/>
        <v>1950041</v>
      </c>
    </row>
    <row r="1365" spans="1:10" s="3" customFormat="1">
      <c r="B1365" s="3" t="s">
        <v>2106</v>
      </c>
      <c r="C1365" s="8">
        <v>5</v>
      </c>
      <c r="D1365" s="3" t="s">
        <v>2400</v>
      </c>
      <c r="E1365" s="11" t="s">
        <v>444</v>
      </c>
      <c r="F1365" s="10">
        <v>4.5459999999999997E-3</v>
      </c>
      <c r="G1365" s="120">
        <f>ROUND(G$3*F1365,0)</f>
        <v>1308</v>
      </c>
      <c r="H1365" s="120">
        <f t="shared" si="103"/>
        <v>654</v>
      </c>
      <c r="I1365" s="120">
        <f t="shared" si="104"/>
        <v>654</v>
      </c>
      <c r="J1365" s="3" t="str">
        <f t="shared" si="102"/>
        <v>1950042</v>
      </c>
    </row>
    <row r="1366" spans="1:10" s="3" customFormat="1">
      <c r="B1366" s="3" t="s">
        <v>2106</v>
      </c>
      <c r="C1366" s="8">
        <v>6</v>
      </c>
      <c r="D1366" s="3" t="s">
        <v>2401</v>
      </c>
      <c r="E1366" s="11" t="s">
        <v>445</v>
      </c>
      <c r="F1366" s="10">
        <v>3.7239999999999999E-3</v>
      </c>
      <c r="G1366" s="12">
        <f>ROUND(G$3*F1366,0)</f>
        <v>1071</v>
      </c>
      <c r="H1366" s="13">
        <f t="shared" si="103"/>
        <v>536</v>
      </c>
      <c r="I1366" s="12">
        <f t="shared" si="104"/>
        <v>535</v>
      </c>
      <c r="J1366" s="3" t="str">
        <f t="shared" si="102"/>
        <v>1960922</v>
      </c>
    </row>
    <row r="1367" spans="1:10" s="3" customFormat="1">
      <c r="A1367" s="3" t="s">
        <v>6269</v>
      </c>
      <c r="B1367" s="3" t="s">
        <v>2106</v>
      </c>
      <c r="C1367" s="8">
        <v>6</v>
      </c>
      <c r="D1367" s="3" t="s">
        <v>6267</v>
      </c>
      <c r="E1367" s="11" t="s">
        <v>446</v>
      </c>
      <c r="F1367" s="10">
        <v>0</v>
      </c>
      <c r="G1367" s="120">
        <f>ROUND(G$3*F1367,0)</f>
        <v>0</v>
      </c>
      <c r="H1367" s="120">
        <f t="shared" si="103"/>
        <v>0</v>
      </c>
      <c r="I1367" s="120">
        <f t="shared" si="104"/>
        <v>0</v>
      </c>
      <c r="J1367" s="3" t="str">
        <f t="shared" si="102"/>
        <v>196XXXX</v>
      </c>
    </row>
    <row r="1368" spans="1:10" s="3" customFormat="1">
      <c r="B1368" s="3" t="s">
        <v>2106</v>
      </c>
      <c r="C1368" s="8" t="s">
        <v>3170</v>
      </c>
      <c r="D1368" s="3" t="s">
        <v>2402</v>
      </c>
      <c r="E1368" s="11" t="s">
        <v>447</v>
      </c>
      <c r="F1368" s="10">
        <v>1.3450000000001516E-3</v>
      </c>
      <c r="G1368" s="12">
        <f>+G1300-SUM(G1301:G1302)-SUM(G1307:G1347)-G1351-G1355-G1359-SUM(G1363:G1367)</f>
        <v>353621</v>
      </c>
      <c r="H1368" s="13">
        <f t="shared" si="103"/>
        <v>176811</v>
      </c>
      <c r="I1368" s="12">
        <f t="shared" si="104"/>
        <v>176810</v>
      </c>
      <c r="J1368" s="3" t="str">
        <f t="shared" si="102"/>
        <v>1961030</v>
      </c>
    </row>
    <row r="1369" spans="1:10" s="3" customFormat="1">
      <c r="B1369" s="3" t="s">
        <v>2106</v>
      </c>
      <c r="C1369" s="8">
        <v>0</v>
      </c>
      <c r="D1369" s="125" t="s">
        <v>2187</v>
      </c>
      <c r="E1369" s="28" t="s">
        <v>288</v>
      </c>
      <c r="F1369" s="10">
        <v>1</v>
      </c>
      <c r="G1369" s="12">
        <f>+G1301+SUM(G1304:G1346)+SUM(G1349:G1350)+SUM(G1353:G1354)+SUM(G1357:G1358)+SUM(G1361:G1368)</f>
        <v>640955</v>
      </c>
      <c r="H1369" s="12">
        <f>+H1301+SUM(H1304:H1346)+SUM(H1349:H1350)+SUM(H1353:H1354)+SUM(H1357:H1358)+SUM(H1361:H1368)</f>
        <v>320487</v>
      </c>
      <c r="I1369" s="12">
        <f>+I1301+SUM(I1304:I1346)+SUM(I1349:I1350)+SUM(I1353:I1354)+SUM(I1357:I1358)+SUM(I1361:I1368)</f>
        <v>320468</v>
      </c>
      <c r="J1369" s="3" t="str">
        <f t="shared" si="102"/>
        <v>1900000</v>
      </c>
    </row>
    <row r="1370" spans="1:10" s="3" customFormat="1">
      <c r="B1370" s="3" t="s">
        <v>2106</v>
      </c>
      <c r="C1370" s="8">
        <v>0</v>
      </c>
      <c r="D1370" s="3" t="s">
        <v>2187</v>
      </c>
      <c r="E1370" s="18" t="s">
        <v>38</v>
      </c>
      <c r="G1370" s="19">
        <f>+G1301</f>
        <v>381</v>
      </c>
      <c r="H1370" s="19">
        <f>+H1301</f>
        <v>191</v>
      </c>
      <c r="I1370" s="19">
        <f>+I1301</f>
        <v>190</v>
      </c>
      <c r="J1370" s="3" t="str">
        <f t="shared" si="102"/>
        <v>1900000</v>
      </c>
    </row>
    <row r="1371" spans="1:10" s="3" customFormat="1">
      <c r="B1371" s="3" t="s">
        <v>2106</v>
      </c>
      <c r="C1371" s="8">
        <v>0</v>
      </c>
      <c r="D1371" s="3" t="s">
        <v>2187</v>
      </c>
      <c r="E1371" s="2" t="s">
        <v>39</v>
      </c>
      <c r="G1371" s="19">
        <f>+G1304</f>
        <v>6546</v>
      </c>
      <c r="H1371" s="19">
        <f>+H1304</f>
        <v>3273</v>
      </c>
      <c r="I1371" s="19">
        <f>+I1304</f>
        <v>3273</v>
      </c>
      <c r="J1371" s="3" t="str">
        <f t="shared" si="102"/>
        <v>1900000</v>
      </c>
    </row>
    <row r="1372" spans="1:10" s="3" customFormat="1">
      <c r="B1372" s="3" t="s">
        <v>2106</v>
      </c>
      <c r="C1372" s="8">
        <v>0</v>
      </c>
      <c r="D1372" s="3" t="s">
        <v>2187</v>
      </c>
      <c r="E1372" s="2" t="s">
        <v>40</v>
      </c>
      <c r="G1372" s="19">
        <f>+G1349+G1353+G1357+G1361</f>
        <v>84583</v>
      </c>
      <c r="H1372" s="19">
        <f>+H1349+H1353+H1357+H1361</f>
        <v>42293</v>
      </c>
      <c r="I1372" s="19">
        <f>+I1349+I1353+I1357+I1361</f>
        <v>42290</v>
      </c>
      <c r="J1372" s="3" t="str">
        <f t="shared" si="102"/>
        <v>1900000</v>
      </c>
    </row>
    <row r="1373" spans="1:10" s="3" customFormat="1">
      <c r="B1373" s="3" t="s">
        <v>2106</v>
      </c>
      <c r="C1373" s="8">
        <v>0</v>
      </c>
      <c r="D1373" s="125" t="s">
        <v>2187</v>
      </c>
      <c r="E1373" s="18" t="s">
        <v>41</v>
      </c>
      <c r="G1373" s="19">
        <f>+G1369-G1370-G1371-G1372</f>
        <v>549445</v>
      </c>
      <c r="H1373" s="19">
        <f>+H1369-H1370-H1371-H1372</f>
        <v>274730</v>
      </c>
      <c r="I1373" s="19">
        <f>+I1369-I1370-I1371-I1372</f>
        <v>274715</v>
      </c>
      <c r="J1373" s="3" t="str">
        <f t="shared" si="102"/>
        <v>1900000</v>
      </c>
    </row>
    <row r="1374" spans="1:10" ht="15.75">
      <c r="B1374" s="3" t="s">
        <v>2186</v>
      </c>
      <c r="D1374" t="s">
        <v>2186</v>
      </c>
      <c r="E1374">
        <v>0</v>
      </c>
      <c r="G1374"/>
      <c r="H1374"/>
      <c r="I1374"/>
      <c r="J1374" s="3" t="str">
        <f t="shared" si="102"/>
        <v/>
      </c>
    </row>
    <row r="1375" spans="1:10" s="3" customFormat="1">
      <c r="C1375" s="1"/>
      <c r="D1375" s="3" t="s">
        <v>2186</v>
      </c>
      <c r="E1375" s="41" t="s">
        <v>2179</v>
      </c>
      <c r="J1375" s="3" t="str">
        <f t="shared" si="102"/>
        <v/>
      </c>
    </row>
    <row r="1376" spans="1:10" s="3" customFormat="1" ht="45">
      <c r="B1376" s="3" t="s">
        <v>2186</v>
      </c>
      <c r="C1376" s="1"/>
      <c r="D1376" s="3" t="s">
        <v>2186</v>
      </c>
      <c r="E1376" s="1">
        <v>0</v>
      </c>
      <c r="F1376" s="6" t="s">
        <v>1</v>
      </c>
      <c r="G1376" s="60">
        <f>'Allocation Worksheet'!H1376</f>
        <v>0</v>
      </c>
      <c r="H1376" s="60">
        <f>'Allocation Worksheet'!H1377</f>
        <v>0</v>
      </c>
      <c r="I1376" s="60">
        <f>'Allocation Worksheet'!H1378</f>
        <v>0</v>
      </c>
      <c r="J1376" s="3" t="str">
        <f t="shared" si="102"/>
        <v/>
      </c>
    </row>
    <row r="1377" spans="2:10" s="3" customFormat="1">
      <c r="C1377" s="7" t="s">
        <v>2087</v>
      </c>
      <c r="D1377" s="3" t="s">
        <v>2186</v>
      </c>
      <c r="E1377" s="7" t="s">
        <v>3</v>
      </c>
      <c r="F1377" s="10"/>
      <c r="G1377" s="9">
        <f>'Allocation Worksheet'!$D$23</f>
        <v>1968593</v>
      </c>
      <c r="H1377" s="11"/>
      <c r="I1377" s="11"/>
      <c r="J1377" s="3" t="str">
        <f t="shared" si="102"/>
        <v>UT</v>
      </c>
    </row>
    <row r="1378" spans="2:10" s="3" customFormat="1">
      <c r="B1378" s="3" t="s">
        <v>2183</v>
      </c>
      <c r="C1378" s="8">
        <v>0</v>
      </c>
      <c r="D1378" s="3" t="s">
        <v>2187</v>
      </c>
      <c r="E1378" s="9" t="s">
        <v>4</v>
      </c>
      <c r="F1378" s="10">
        <v>1.1360000000000001E-3</v>
      </c>
      <c r="G1378" s="12">
        <f>ROUND(G$3*F1378,0)</f>
        <v>327</v>
      </c>
      <c r="H1378" s="13">
        <f>ROUND(G1378/2,0)</f>
        <v>164</v>
      </c>
      <c r="I1378" s="12">
        <f>G1378-H1378</f>
        <v>163</v>
      </c>
      <c r="J1378" s="3" t="str">
        <f t="shared" si="102"/>
        <v>2000000</v>
      </c>
    </row>
    <row r="1379" spans="2:10" s="3" customFormat="1">
      <c r="B1379" s="3" t="s">
        <v>2183</v>
      </c>
      <c r="C1379" s="23">
        <v>1</v>
      </c>
      <c r="D1379" s="3" t="s">
        <v>2187</v>
      </c>
      <c r="E1379" s="9" t="s">
        <v>448</v>
      </c>
      <c r="F1379" s="10">
        <v>0.17275499999999999</v>
      </c>
      <c r="G1379" s="9">
        <f>ROUND(G$3*F1379,0)</f>
        <v>49706</v>
      </c>
      <c r="H1379" s="11">
        <f>ROUND(G1379/2,0)</f>
        <v>24853</v>
      </c>
      <c r="I1379" s="9">
        <f>G1379-H1379</f>
        <v>24853</v>
      </c>
      <c r="J1379" s="3" t="str">
        <f t="shared" si="102"/>
        <v>2010000</v>
      </c>
    </row>
    <row r="1380" spans="2:10" s="3" customFormat="1">
      <c r="B1380" s="3" t="s">
        <v>2183</v>
      </c>
      <c r="C1380" s="23">
        <v>1</v>
      </c>
      <c r="D1380" s="3" t="s">
        <v>2187</v>
      </c>
      <c r="E1380" s="11" t="s">
        <v>6</v>
      </c>
      <c r="F1380" s="11"/>
      <c r="G1380" s="14">
        <v>0.28568199999999999</v>
      </c>
      <c r="H1380" s="11"/>
      <c r="I1380" s="11"/>
      <c r="J1380" s="3" t="str">
        <f t="shared" si="102"/>
        <v>2010000</v>
      </c>
    </row>
    <row r="1381" spans="2:10" s="3" customFormat="1">
      <c r="B1381" s="3" t="s">
        <v>2183</v>
      </c>
      <c r="C1381" s="23">
        <v>1</v>
      </c>
      <c r="D1381" s="3" t="s">
        <v>2187</v>
      </c>
      <c r="E1381" s="11" t="s">
        <v>7</v>
      </c>
      <c r="F1381" s="11"/>
      <c r="G1381" s="15">
        <f>ROUND(G1379*G1380,0)</f>
        <v>14200</v>
      </c>
      <c r="H1381" s="16">
        <f>ROUND(G1381/2,0)</f>
        <v>7100</v>
      </c>
      <c r="I1381" s="15">
        <f>G1381-H1381</f>
        <v>7100</v>
      </c>
      <c r="J1381" s="3" t="str">
        <f t="shared" si="102"/>
        <v>2010000</v>
      </c>
    </row>
    <row r="1382" spans="2:10" s="3" customFormat="1">
      <c r="B1382" s="3" t="s">
        <v>2183</v>
      </c>
      <c r="C1382" s="23">
        <v>1</v>
      </c>
      <c r="D1382" s="3" t="s">
        <v>2187</v>
      </c>
      <c r="E1382" s="11" t="s">
        <v>8</v>
      </c>
      <c r="F1382" s="11"/>
      <c r="G1382" s="12">
        <f>+G1379-G1381</f>
        <v>35506</v>
      </c>
      <c r="H1382" s="13">
        <f>ROUND(G1382/2,0)</f>
        <v>17753</v>
      </c>
      <c r="I1382" s="12">
        <f>G1382-H1382</f>
        <v>17753</v>
      </c>
      <c r="J1382" s="3" t="str">
        <f t="shared" si="102"/>
        <v>2010000</v>
      </c>
    </row>
    <row r="1383" spans="2:10" s="3" customFormat="1">
      <c r="B1383" s="3" t="s">
        <v>2183</v>
      </c>
      <c r="C1383" s="23">
        <v>2</v>
      </c>
      <c r="D1383" s="3" t="s">
        <v>2188</v>
      </c>
      <c r="E1383" s="9" t="s">
        <v>449</v>
      </c>
      <c r="F1383" s="11"/>
      <c r="G1383" s="9"/>
      <c r="H1383" s="11"/>
      <c r="I1383" s="11"/>
      <c r="J1383" s="3" t="str">
        <f t="shared" si="102"/>
        <v>2020001</v>
      </c>
    </row>
    <row r="1384" spans="2:10" s="3" customFormat="1">
      <c r="B1384" s="3" t="s">
        <v>2183</v>
      </c>
      <c r="C1384" s="23">
        <v>2</v>
      </c>
      <c r="D1384" s="3" t="s">
        <v>2188</v>
      </c>
      <c r="E1384" s="9" t="s">
        <v>10</v>
      </c>
      <c r="F1384" s="10">
        <v>2.4459999999999998E-3</v>
      </c>
      <c r="G1384" s="12">
        <f>ROUND(G$3*F1384,0)</f>
        <v>704</v>
      </c>
      <c r="H1384" s="13">
        <f>ROUND(G1384/2,0)</f>
        <v>352</v>
      </c>
      <c r="I1384" s="12">
        <f>G1384-H1384</f>
        <v>352</v>
      </c>
      <c r="J1384" s="3" t="str">
        <f t="shared" si="102"/>
        <v>2020001</v>
      </c>
    </row>
    <row r="1385" spans="2:10" s="3" customFormat="1">
      <c r="B1385" s="3" t="s">
        <v>2183</v>
      </c>
      <c r="C1385" s="23">
        <v>2</v>
      </c>
      <c r="D1385" s="3" t="s">
        <v>2188</v>
      </c>
      <c r="E1385" s="9" t="s">
        <v>11</v>
      </c>
      <c r="F1385" s="10">
        <v>4.0499999999999998E-4</v>
      </c>
      <c r="G1385" s="12">
        <f>ROUND(G$3*F1385,0)</f>
        <v>117</v>
      </c>
      <c r="H1385" s="13">
        <f>ROUND(G1385/2,0)</f>
        <v>59</v>
      </c>
      <c r="I1385" s="12">
        <f>G1385-H1385</f>
        <v>58</v>
      </c>
      <c r="J1385" s="3" t="str">
        <f t="shared" si="102"/>
        <v>2020001</v>
      </c>
    </row>
    <row r="1386" spans="2:10" s="3" customFormat="1">
      <c r="B1386" s="3" t="s">
        <v>2183</v>
      </c>
      <c r="C1386" s="23">
        <v>2</v>
      </c>
      <c r="D1386" s="3" t="s">
        <v>2189</v>
      </c>
      <c r="E1386" s="9" t="s">
        <v>450</v>
      </c>
      <c r="F1386" s="11"/>
      <c r="G1386" s="9"/>
      <c r="H1386" s="11"/>
      <c r="I1386" s="11"/>
      <c r="J1386" s="3" t="str">
        <f t="shared" si="102"/>
        <v>2020002</v>
      </c>
    </row>
    <row r="1387" spans="2:10" s="3" customFormat="1">
      <c r="B1387" s="3" t="s">
        <v>2183</v>
      </c>
      <c r="C1387" s="23">
        <v>2</v>
      </c>
      <c r="D1387" s="3" t="s">
        <v>2189</v>
      </c>
      <c r="E1387" s="9" t="s">
        <v>10</v>
      </c>
      <c r="F1387" s="10">
        <v>9.7999999999999997E-5</v>
      </c>
      <c r="G1387" s="12">
        <f>ROUND(G$3*F1387,0)</f>
        <v>28</v>
      </c>
      <c r="H1387" s="13">
        <f>ROUND(G1387/2,0)</f>
        <v>14</v>
      </c>
      <c r="I1387" s="12">
        <f>G1387-H1387</f>
        <v>14</v>
      </c>
      <c r="J1387" s="3" t="str">
        <f t="shared" si="102"/>
        <v>2020002</v>
      </c>
    </row>
    <row r="1388" spans="2:10" s="3" customFormat="1">
      <c r="B1388" s="3" t="s">
        <v>2183</v>
      </c>
      <c r="C1388" s="23">
        <v>2</v>
      </c>
      <c r="D1388" s="3" t="s">
        <v>2189</v>
      </c>
      <c r="E1388" s="9" t="s">
        <v>11</v>
      </c>
      <c r="F1388" s="10">
        <v>2.52E-4</v>
      </c>
      <c r="G1388" s="12">
        <f>ROUND(G$3*F1388,0)</f>
        <v>73</v>
      </c>
      <c r="H1388" s="13">
        <f>ROUND(G1388/2,0)</f>
        <v>37</v>
      </c>
      <c r="I1388" s="12">
        <f>G1388-H1388</f>
        <v>36</v>
      </c>
      <c r="J1388" s="3" t="str">
        <f t="shared" si="102"/>
        <v>2020002</v>
      </c>
    </row>
    <row r="1389" spans="2:10" s="3" customFormat="1">
      <c r="B1389" s="3" t="s">
        <v>2183</v>
      </c>
      <c r="C1389" s="23">
        <v>2</v>
      </c>
      <c r="D1389" s="3" t="s">
        <v>2190</v>
      </c>
      <c r="E1389" s="9" t="s">
        <v>451</v>
      </c>
      <c r="F1389" s="11"/>
      <c r="G1389" s="9"/>
      <c r="H1389" s="11"/>
      <c r="I1389" s="11"/>
      <c r="J1389" s="3" t="str">
        <f t="shared" si="102"/>
        <v>2020003</v>
      </c>
    </row>
    <row r="1390" spans="2:10" s="3" customFormat="1">
      <c r="B1390" s="3" t="s">
        <v>2183</v>
      </c>
      <c r="C1390" s="23">
        <v>2</v>
      </c>
      <c r="D1390" s="3" t="s">
        <v>2190</v>
      </c>
      <c r="E1390" s="9" t="s">
        <v>10</v>
      </c>
      <c r="F1390" s="10">
        <v>1.2310000000000001E-3</v>
      </c>
      <c r="G1390" s="12">
        <f>ROUND(G$3*F1390,0)</f>
        <v>354</v>
      </c>
      <c r="H1390" s="13">
        <f>ROUND(G1390/2,0)</f>
        <v>177</v>
      </c>
      <c r="I1390" s="12">
        <f>G1390-H1390</f>
        <v>177</v>
      </c>
      <c r="J1390" s="3" t="str">
        <f t="shared" si="102"/>
        <v>2020003</v>
      </c>
    </row>
    <row r="1391" spans="2:10" s="3" customFormat="1">
      <c r="B1391" s="3" t="s">
        <v>2183</v>
      </c>
      <c r="C1391" s="23">
        <v>2</v>
      </c>
      <c r="D1391" s="3" t="s">
        <v>2190</v>
      </c>
      <c r="E1391" s="9" t="s">
        <v>11</v>
      </c>
      <c r="F1391" s="10">
        <v>1.5799999999999999E-4</v>
      </c>
      <c r="G1391" s="12">
        <f>ROUND(G$3*F1391,0)</f>
        <v>45</v>
      </c>
      <c r="H1391" s="13">
        <f>ROUND(G1391/2,0)</f>
        <v>23</v>
      </c>
      <c r="I1391" s="12">
        <f>G1391-H1391</f>
        <v>22</v>
      </c>
      <c r="J1391" s="3" t="str">
        <f t="shared" si="102"/>
        <v>2020003</v>
      </c>
    </row>
    <row r="1392" spans="2:10" s="3" customFormat="1">
      <c r="B1392" s="3" t="s">
        <v>2183</v>
      </c>
      <c r="C1392" s="23">
        <v>2</v>
      </c>
      <c r="D1392" s="3" t="s">
        <v>2191</v>
      </c>
      <c r="E1392" s="9" t="s">
        <v>147</v>
      </c>
      <c r="F1392" s="11"/>
      <c r="G1392" s="9"/>
      <c r="H1392" s="11"/>
      <c r="I1392" s="11"/>
      <c r="J1392" s="3" t="str">
        <f t="shared" si="102"/>
        <v>2020004</v>
      </c>
    </row>
    <row r="1393" spans="2:10" s="3" customFormat="1">
      <c r="B1393" s="3" t="s">
        <v>2183</v>
      </c>
      <c r="C1393" s="23">
        <v>2</v>
      </c>
      <c r="D1393" s="3" t="s">
        <v>2191</v>
      </c>
      <c r="E1393" s="9" t="s">
        <v>10</v>
      </c>
      <c r="F1393" s="10">
        <v>9.5500000000000001E-4</v>
      </c>
      <c r="G1393" s="12">
        <f>ROUND(G$3*F1393,0)</f>
        <v>275</v>
      </c>
      <c r="H1393" s="13">
        <f>ROUND(G1393/2,0)</f>
        <v>138</v>
      </c>
      <c r="I1393" s="12">
        <f>G1393-H1393</f>
        <v>137</v>
      </c>
      <c r="J1393" s="3" t="str">
        <f t="shared" si="102"/>
        <v>2020004</v>
      </c>
    </row>
    <row r="1394" spans="2:10" s="3" customFormat="1">
      <c r="B1394" s="3" t="s">
        <v>2183</v>
      </c>
      <c r="C1394" s="23">
        <v>2</v>
      </c>
      <c r="D1394" s="3" t="s">
        <v>2191</v>
      </c>
      <c r="E1394" s="9" t="s">
        <v>11</v>
      </c>
      <c r="F1394" s="10">
        <v>5.9999999999999995E-4</v>
      </c>
      <c r="G1394" s="12">
        <f>ROUND(G$3*F1394,0)</f>
        <v>173</v>
      </c>
      <c r="H1394" s="13">
        <f>ROUND(G1394/2,0)</f>
        <v>87</v>
      </c>
      <c r="I1394" s="12">
        <f>G1394-H1394</f>
        <v>86</v>
      </c>
      <c r="J1394" s="3" t="str">
        <f t="shared" si="102"/>
        <v>2020004</v>
      </c>
    </row>
    <row r="1395" spans="2:10" s="3" customFormat="1">
      <c r="B1395" s="3" t="s">
        <v>2183</v>
      </c>
      <c r="C1395" s="23">
        <v>2</v>
      </c>
      <c r="D1395" s="3" t="s">
        <v>2192</v>
      </c>
      <c r="E1395" s="9" t="s">
        <v>370</v>
      </c>
      <c r="F1395" s="11"/>
      <c r="G1395" s="9"/>
      <c r="H1395" s="11"/>
      <c r="I1395" s="11"/>
      <c r="J1395" s="3" t="str">
        <f t="shared" si="102"/>
        <v>2020005</v>
      </c>
    </row>
    <row r="1396" spans="2:10" s="3" customFormat="1">
      <c r="B1396" s="3" t="s">
        <v>2183</v>
      </c>
      <c r="C1396" s="23">
        <v>2</v>
      </c>
      <c r="D1396" s="3" t="s">
        <v>2192</v>
      </c>
      <c r="E1396" s="9" t="s">
        <v>10</v>
      </c>
      <c r="F1396" s="10">
        <v>3.127E-3</v>
      </c>
      <c r="G1396" s="12">
        <f>ROUND(G$3*F1396,0)</f>
        <v>900</v>
      </c>
      <c r="H1396" s="13">
        <f>ROUND(G1396/2,0)</f>
        <v>450</v>
      </c>
      <c r="I1396" s="12">
        <f>G1396-H1396</f>
        <v>450</v>
      </c>
      <c r="J1396" s="3" t="str">
        <f t="shared" si="102"/>
        <v>2020005</v>
      </c>
    </row>
    <row r="1397" spans="2:10" s="3" customFormat="1">
      <c r="B1397" s="3" t="s">
        <v>2183</v>
      </c>
      <c r="C1397" s="23">
        <v>2</v>
      </c>
      <c r="D1397" s="3" t="s">
        <v>2192</v>
      </c>
      <c r="E1397" s="9" t="s">
        <v>11</v>
      </c>
      <c r="F1397" s="10">
        <v>2.02E-4</v>
      </c>
      <c r="G1397" s="12">
        <f>ROUND(G$3*F1397,0)</f>
        <v>58</v>
      </c>
      <c r="H1397" s="13">
        <f>ROUND(G1397/2,0)</f>
        <v>29</v>
      </c>
      <c r="I1397" s="12">
        <f>G1397-H1397</f>
        <v>29</v>
      </c>
      <c r="J1397" s="3" t="str">
        <f t="shared" si="102"/>
        <v>2020005</v>
      </c>
    </row>
    <row r="1398" spans="2:10" s="3" customFormat="1">
      <c r="B1398" s="3" t="s">
        <v>2183</v>
      </c>
      <c r="C1398" s="23">
        <v>2</v>
      </c>
      <c r="D1398" s="3" t="s">
        <v>2193</v>
      </c>
      <c r="E1398" s="9" t="s">
        <v>452</v>
      </c>
      <c r="F1398" s="11"/>
      <c r="G1398" s="9"/>
      <c r="H1398" s="11"/>
      <c r="I1398" s="11"/>
      <c r="J1398" s="3" t="str">
        <f t="shared" si="102"/>
        <v>2020006</v>
      </c>
    </row>
    <row r="1399" spans="2:10" s="3" customFormat="1">
      <c r="B1399" s="3" t="s">
        <v>2183</v>
      </c>
      <c r="C1399" s="23">
        <v>2</v>
      </c>
      <c r="D1399" s="3" t="s">
        <v>2193</v>
      </c>
      <c r="E1399" s="9" t="s">
        <v>10</v>
      </c>
      <c r="F1399" s="10">
        <v>2.905E-3</v>
      </c>
      <c r="G1399" s="12">
        <f>ROUND(G$3*F1399,0)</f>
        <v>836</v>
      </c>
      <c r="H1399" s="13">
        <f>ROUND(G1399/2,0)</f>
        <v>418</v>
      </c>
      <c r="I1399" s="12">
        <f>G1399-H1399</f>
        <v>418</v>
      </c>
      <c r="J1399" s="3" t="str">
        <f t="shared" si="102"/>
        <v>2020006</v>
      </c>
    </row>
    <row r="1400" spans="2:10" s="3" customFormat="1">
      <c r="B1400" s="3" t="s">
        <v>2183</v>
      </c>
      <c r="C1400" s="23">
        <v>2</v>
      </c>
      <c r="D1400" s="3" t="s">
        <v>2193</v>
      </c>
      <c r="E1400" s="9" t="s">
        <v>11</v>
      </c>
      <c r="F1400" s="10">
        <v>7.3499999999999998E-4</v>
      </c>
      <c r="G1400" s="12">
        <f>ROUND(G$3*F1400,0)</f>
        <v>211</v>
      </c>
      <c r="H1400" s="13">
        <f>ROUND(G1400/2,0)</f>
        <v>106</v>
      </c>
      <c r="I1400" s="12">
        <f>G1400-H1400</f>
        <v>105</v>
      </c>
      <c r="J1400" s="3" t="str">
        <f t="shared" si="102"/>
        <v>2020006</v>
      </c>
    </row>
    <row r="1401" spans="2:10" s="3" customFormat="1">
      <c r="B1401" s="3" t="s">
        <v>2183</v>
      </c>
      <c r="C1401" s="23">
        <v>2</v>
      </c>
      <c r="D1401" s="3" t="s">
        <v>2194</v>
      </c>
      <c r="E1401" s="9" t="s">
        <v>86</v>
      </c>
      <c r="F1401" s="11"/>
      <c r="G1401" s="9"/>
      <c r="H1401" s="11"/>
      <c r="I1401" s="11"/>
      <c r="J1401" s="3" t="str">
        <f t="shared" si="102"/>
        <v>2020007</v>
      </c>
    </row>
    <row r="1402" spans="2:10" s="3" customFormat="1">
      <c r="B1402" s="3" t="s">
        <v>2183</v>
      </c>
      <c r="C1402" s="23">
        <v>2</v>
      </c>
      <c r="D1402" s="3" t="s">
        <v>2194</v>
      </c>
      <c r="E1402" s="9" t="s">
        <v>10</v>
      </c>
      <c r="F1402" s="10">
        <v>9.2500000000000004E-4</v>
      </c>
      <c r="G1402" s="12">
        <f>ROUND(G$3*F1402,0)</f>
        <v>266</v>
      </c>
      <c r="H1402" s="13">
        <f>ROUND(G1402/2,0)</f>
        <v>133</v>
      </c>
      <c r="I1402" s="12">
        <f>G1402-H1402</f>
        <v>133</v>
      </c>
      <c r="J1402" s="3" t="str">
        <f t="shared" si="102"/>
        <v>2020007</v>
      </c>
    </row>
    <row r="1403" spans="2:10" s="3" customFormat="1">
      <c r="B1403" s="3" t="s">
        <v>2183</v>
      </c>
      <c r="C1403" s="23">
        <v>2</v>
      </c>
      <c r="D1403" s="3" t="s">
        <v>2194</v>
      </c>
      <c r="E1403" s="9" t="s">
        <v>11</v>
      </c>
      <c r="F1403" s="10">
        <v>2.0599999999999999E-4</v>
      </c>
      <c r="G1403" s="12">
        <f>ROUND(G$3*F1403,0)</f>
        <v>59</v>
      </c>
      <c r="H1403" s="13">
        <f>ROUND(G1403/2,0)</f>
        <v>30</v>
      </c>
      <c r="I1403" s="12">
        <f>G1403-H1403</f>
        <v>29</v>
      </c>
      <c r="J1403" s="3" t="str">
        <f t="shared" si="102"/>
        <v>2020007</v>
      </c>
    </row>
    <row r="1404" spans="2:10" s="3" customFormat="1">
      <c r="B1404" s="3" t="s">
        <v>2183</v>
      </c>
      <c r="C1404" s="23">
        <v>2</v>
      </c>
      <c r="D1404" s="3" t="s">
        <v>2195</v>
      </c>
      <c r="E1404" s="9" t="s">
        <v>49</v>
      </c>
      <c r="F1404" s="11"/>
      <c r="G1404" s="9"/>
      <c r="H1404" s="11"/>
      <c r="I1404" s="11"/>
      <c r="J1404" s="3" t="str">
        <f t="shared" si="102"/>
        <v>2020008</v>
      </c>
    </row>
    <row r="1405" spans="2:10" s="3" customFormat="1">
      <c r="B1405" s="3" t="s">
        <v>2183</v>
      </c>
      <c r="C1405" s="23">
        <v>2</v>
      </c>
      <c r="D1405" s="3" t="s">
        <v>2195</v>
      </c>
      <c r="E1405" s="9" t="s">
        <v>10</v>
      </c>
      <c r="F1405" s="10">
        <v>1.8860000000000001E-3</v>
      </c>
      <c r="G1405" s="12">
        <f>ROUND(G$3*F1405,0)</f>
        <v>543</v>
      </c>
      <c r="H1405" s="13">
        <f>ROUND(G1405/2,0)</f>
        <v>272</v>
      </c>
      <c r="I1405" s="12">
        <f>G1405-H1405</f>
        <v>271</v>
      </c>
      <c r="J1405" s="3" t="str">
        <f t="shared" si="102"/>
        <v>2020008</v>
      </c>
    </row>
    <row r="1406" spans="2:10" s="3" customFormat="1">
      <c r="B1406" s="3" t="s">
        <v>2183</v>
      </c>
      <c r="C1406" s="23">
        <v>2</v>
      </c>
      <c r="D1406" s="3" t="s">
        <v>2195</v>
      </c>
      <c r="E1406" s="9" t="s">
        <v>11</v>
      </c>
      <c r="F1406" s="10">
        <v>1.2290000000000001E-3</v>
      </c>
      <c r="G1406" s="12">
        <f>ROUND(G$3*F1406,0)</f>
        <v>354</v>
      </c>
      <c r="H1406" s="13">
        <f>ROUND(G1406/2,0)</f>
        <v>177</v>
      </c>
      <c r="I1406" s="12">
        <f>G1406-H1406</f>
        <v>177</v>
      </c>
      <c r="J1406" s="3" t="str">
        <f t="shared" si="102"/>
        <v>2020008</v>
      </c>
    </row>
    <row r="1407" spans="2:10" s="3" customFormat="1">
      <c r="B1407" s="3" t="s">
        <v>2183</v>
      </c>
      <c r="C1407" s="23">
        <v>2</v>
      </c>
      <c r="D1407" s="3" t="s">
        <v>2196</v>
      </c>
      <c r="E1407" s="9" t="s">
        <v>14</v>
      </c>
      <c r="F1407" s="11"/>
      <c r="G1407" s="9"/>
      <c r="H1407" s="11"/>
      <c r="I1407" s="11"/>
      <c r="J1407" s="3" t="str">
        <f t="shared" si="102"/>
        <v>2020009</v>
      </c>
    </row>
    <row r="1408" spans="2:10" s="3" customFormat="1">
      <c r="B1408" s="3" t="s">
        <v>2183</v>
      </c>
      <c r="C1408" s="23">
        <v>2</v>
      </c>
      <c r="D1408" s="3" t="s">
        <v>2196</v>
      </c>
      <c r="E1408" s="9" t="s">
        <v>10</v>
      </c>
      <c r="F1408" s="10">
        <v>1.915E-3</v>
      </c>
      <c r="G1408" s="12">
        <f>ROUND(G$3*F1408,0)</f>
        <v>551</v>
      </c>
      <c r="H1408" s="13">
        <f>ROUND(G1408/2,0)</f>
        <v>276</v>
      </c>
      <c r="I1408" s="12">
        <f>G1408-H1408</f>
        <v>275</v>
      </c>
      <c r="J1408" s="3" t="str">
        <f t="shared" si="102"/>
        <v>2020009</v>
      </c>
    </row>
    <row r="1409" spans="2:10" s="3" customFormat="1">
      <c r="B1409" s="3" t="s">
        <v>2183</v>
      </c>
      <c r="C1409" s="23">
        <v>2</v>
      </c>
      <c r="D1409" s="3" t="s">
        <v>2196</v>
      </c>
      <c r="E1409" s="9" t="s">
        <v>11</v>
      </c>
      <c r="F1409" s="10">
        <v>1.0039999999999999E-3</v>
      </c>
      <c r="G1409" s="12">
        <f>ROUND(G$3*F1409,0)</f>
        <v>289</v>
      </c>
      <c r="H1409" s="13">
        <f>ROUND(G1409/2,0)</f>
        <v>145</v>
      </c>
      <c r="I1409" s="12">
        <f>G1409-H1409</f>
        <v>144</v>
      </c>
      <c r="J1409" s="3" t="str">
        <f t="shared" si="102"/>
        <v>2020009</v>
      </c>
    </row>
    <row r="1410" spans="2:10" s="3" customFormat="1">
      <c r="B1410" s="3" t="s">
        <v>2183</v>
      </c>
      <c r="C1410" s="23">
        <v>2</v>
      </c>
      <c r="D1410" s="3" t="s">
        <v>2197</v>
      </c>
      <c r="E1410" s="9" t="s">
        <v>453</v>
      </c>
      <c r="F1410" s="11"/>
      <c r="G1410" s="9"/>
      <c r="H1410" s="11"/>
      <c r="I1410" s="11"/>
      <c r="J1410" s="3" t="str">
        <f t="shared" si="102"/>
        <v>2020010</v>
      </c>
    </row>
    <row r="1411" spans="2:10" s="3" customFormat="1">
      <c r="B1411" s="3" t="s">
        <v>2183</v>
      </c>
      <c r="C1411" s="23">
        <v>2</v>
      </c>
      <c r="D1411" s="3" t="s">
        <v>2197</v>
      </c>
      <c r="E1411" s="9" t="s">
        <v>10</v>
      </c>
      <c r="F1411" s="10">
        <v>1.2E-5</v>
      </c>
      <c r="G1411" s="12">
        <f>ROUND(G$3*F1411,0)</f>
        <v>3</v>
      </c>
      <c r="H1411" s="13">
        <f>ROUND(G1411/2,0)</f>
        <v>2</v>
      </c>
      <c r="I1411" s="12">
        <f>G1411-H1411</f>
        <v>1</v>
      </c>
      <c r="J1411" s="3" t="str">
        <f t="shared" si="102"/>
        <v>2020010</v>
      </c>
    </row>
    <row r="1412" spans="2:10" s="3" customFormat="1">
      <c r="B1412" s="3" t="s">
        <v>2183</v>
      </c>
      <c r="C1412" s="23">
        <v>2</v>
      </c>
      <c r="D1412" s="3" t="s">
        <v>2197</v>
      </c>
      <c r="E1412" s="9" t="s">
        <v>11</v>
      </c>
      <c r="F1412" s="10">
        <v>9.9999999999999995E-7</v>
      </c>
      <c r="G1412" s="12">
        <f>ROUND(G$3*F1412,0)</f>
        <v>0</v>
      </c>
      <c r="H1412" s="13">
        <f>ROUND(G1412/2,0)</f>
        <v>0</v>
      </c>
      <c r="I1412" s="12">
        <f>G1412-H1412</f>
        <v>0</v>
      </c>
      <c r="J1412" s="3" t="str">
        <f t="shared" ref="J1412:J1475" si="105">B1412&amp;C1412&amp;D1412</f>
        <v>2020010</v>
      </c>
    </row>
    <row r="1413" spans="2:10" s="3" customFormat="1">
      <c r="B1413" s="3" t="s">
        <v>2183</v>
      </c>
      <c r="C1413" s="23">
        <v>2</v>
      </c>
      <c r="D1413" s="3" t="s">
        <v>2198</v>
      </c>
      <c r="E1413" s="9" t="s">
        <v>454</v>
      </c>
      <c r="F1413" s="11"/>
      <c r="G1413" s="9"/>
      <c r="H1413" s="11"/>
      <c r="I1413" s="11"/>
      <c r="J1413" s="3" t="str">
        <f t="shared" si="105"/>
        <v>2020011</v>
      </c>
    </row>
    <row r="1414" spans="2:10" s="3" customFormat="1">
      <c r="B1414" s="3" t="s">
        <v>2183</v>
      </c>
      <c r="C1414" s="23">
        <v>2</v>
      </c>
      <c r="D1414" s="3" t="s">
        <v>2198</v>
      </c>
      <c r="E1414" s="9" t="s">
        <v>10</v>
      </c>
      <c r="F1414" s="10">
        <v>1.348E-3</v>
      </c>
      <c r="G1414" s="12">
        <f>ROUND(G$3*F1414,0)</f>
        <v>388</v>
      </c>
      <c r="H1414" s="13">
        <f>ROUND(G1414/2,0)</f>
        <v>194</v>
      </c>
      <c r="I1414" s="12">
        <f>G1414-H1414</f>
        <v>194</v>
      </c>
      <c r="J1414" s="3" t="str">
        <f t="shared" si="105"/>
        <v>2020011</v>
      </c>
    </row>
    <row r="1415" spans="2:10" s="3" customFormat="1">
      <c r="B1415" s="3" t="s">
        <v>2183</v>
      </c>
      <c r="C1415" s="23">
        <v>2</v>
      </c>
      <c r="D1415" s="3" t="s">
        <v>2198</v>
      </c>
      <c r="E1415" s="9" t="s">
        <v>11</v>
      </c>
      <c r="F1415" s="10">
        <v>7.7999999999999999E-4</v>
      </c>
      <c r="G1415" s="12">
        <f>ROUND(G$3*F1415,0)</f>
        <v>224</v>
      </c>
      <c r="H1415" s="13">
        <f>ROUND(G1415/2,0)</f>
        <v>112</v>
      </c>
      <c r="I1415" s="12">
        <f>G1415-H1415</f>
        <v>112</v>
      </c>
      <c r="J1415" s="3" t="str">
        <f t="shared" si="105"/>
        <v>2020011</v>
      </c>
    </row>
    <row r="1416" spans="2:10" s="3" customFormat="1">
      <c r="B1416" s="3" t="s">
        <v>2183</v>
      </c>
      <c r="C1416" s="23">
        <v>2</v>
      </c>
      <c r="D1416" s="3" t="s">
        <v>2199</v>
      </c>
      <c r="E1416" s="9" t="s">
        <v>455</v>
      </c>
      <c r="F1416" s="11"/>
      <c r="G1416" s="9"/>
      <c r="H1416" s="11"/>
      <c r="I1416" s="11"/>
      <c r="J1416" s="3" t="str">
        <f t="shared" si="105"/>
        <v>2020012</v>
      </c>
    </row>
    <row r="1417" spans="2:10" s="3" customFormat="1">
      <c r="B1417" s="3" t="s">
        <v>2183</v>
      </c>
      <c r="C1417" s="23">
        <v>2</v>
      </c>
      <c r="D1417" s="3" t="s">
        <v>2199</v>
      </c>
      <c r="E1417" s="9" t="s">
        <v>10</v>
      </c>
      <c r="F1417" s="10">
        <v>1.34E-4</v>
      </c>
      <c r="G1417" s="12">
        <f>ROUND(G$3*F1417,0)</f>
        <v>39</v>
      </c>
      <c r="H1417" s="13">
        <f>ROUND(G1417/2,0)</f>
        <v>20</v>
      </c>
      <c r="I1417" s="12">
        <f>G1417-H1417</f>
        <v>19</v>
      </c>
      <c r="J1417" s="3" t="str">
        <f t="shared" si="105"/>
        <v>2020012</v>
      </c>
    </row>
    <row r="1418" spans="2:10" s="3" customFormat="1">
      <c r="B1418" s="3" t="s">
        <v>2183</v>
      </c>
      <c r="C1418" s="23">
        <v>2</v>
      </c>
      <c r="D1418" s="3" t="s">
        <v>2199</v>
      </c>
      <c r="E1418" s="9" t="s">
        <v>11</v>
      </c>
      <c r="F1418" s="10">
        <v>1.2E-5</v>
      </c>
      <c r="G1418" s="12">
        <f>ROUND(G$3*F1418,0)</f>
        <v>3</v>
      </c>
      <c r="H1418" s="13">
        <f>ROUND(G1418/2,0)</f>
        <v>2</v>
      </c>
      <c r="I1418" s="12">
        <f>G1418-H1418</f>
        <v>1</v>
      </c>
      <c r="J1418" s="3" t="str">
        <f t="shared" si="105"/>
        <v>2020012</v>
      </c>
    </row>
    <row r="1419" spans="2:10" s="3" customFormat="1">
      <c r="B1419" s="3" t="s">
        <v>2183</v>
      </c>
      <c r="C1419" s="23">
        <v>2</v>
      </c>
      <c r="D1419" s="3" t="s">
        <v>2208</v>
      </c>
      <c r="E1419" s="9" t="s">
        <v>456</v>
      </c>
      <c r="F1419" s="11"/>
      <c r="G1419" s="9"/>
      <c r="H1419" s="11"/>
      <c r="I1419" s="11"/>
      <c r="J1419" s="3" t="str">
        <f t="shared" si="105"/>
        <v>2020013</v>
      </c>
    </row>
    <row r="1420" spans="2:10" s="3" customFormat="1">
      <c r="B1420" s="3" t="s">
        <v>2183</v>
      </c>
      <c r="C1420" s="23">
        <v>2</v>
      </c>
      <c r="D1420" s="3" t="s">
        <v>2208</v>
      </c>
      <c r="E1420" s="9" t="s">
        <v>10</v>
      </c>
      <c r="F1420" s="10">
        <v>2.408E-3</v>
      </c>
      <c r="G1420" s="12">
        <f>ROUND(G$3*F1420,0)</f>
        <v>693</v>
      </c>
      <c r="H1420" s="13">
        <f>ROUND(G1420/2,0)</f>
        <v>347</v>
      </c>
      <c r="I1420" s="12">
        <f>G1420-H1420</f>
        <v>346</v>
      </c>
      <c r="J1420" s="3" t="str">
        <f t="shared" si="105"/>
        <v>2020013</v>
      </c>
    </row>
    <row r="1421" spans="2:10" s="3" customFormat="1">
      <c r="B1421" s="3" t="s">
        <v>2183</v>
      </c>
      <c r="C1421" s="23">
        <v>2</v>
      </c>
      <c r="D1421" s="3" t="s">
        <v>2208</v>
      </c>
      <c r="E1421" s="9" t="s">
        <v>11</v>
      </c>
      <c r="F1421" s="10">
        <v>2.7900000000000001E-4</v>
      </c>
      <c r="G1421" s="12">
        <f>ROUND(G$3*F1421,0)</f>
        <v>80</v>
      </c>
      <c r="H1421" s="13">
        <f>ROUND(G1421/2,0)</f>
        <v>40</v>
      </c>
      <c r="I1421" s="12">
        <f>G1421-H1421</f>
        <v>40</v>
      </c>
      <c r="J1421" s="3" t="str">
        <f t="shared" si="105"/>
        <v>2020013</v>
      </c>
    </row>
    <row r="1422" spans="2:10" s="3" customFormat="1">
      <c r="B1422" s="3" t="s">
        <v>2183</v>
      </c>
      <c r="C1422" s="23">
        <v>2</v>
      </c>
      <c r="D1422" s="3" t="s">
        <v>2209</v>
      </c>
      <c r="E1422" s="9" t="s">
        <v>20</v>
      </c>
      <c r="F1422" s="11"/>
      <c r="G1422" s="9"/>
      <c r="H1422" s="11"/>
      <c r="I1422" s="11"/>
      <c r="J1422" s="3" t="str">
        <f t="shared" si="105"/>
        <v>2020014</v>
      </c>
    </row>
    <row r="1423" spans="2:10" s="3" customFormat="1">
      <c r="B1423" s="3" t="s">
        <v>2183</v>
      </c>
      <c r="C1423" s="23">
        <v>2</v>
      </c>
      <c r="D1423" s="3" t="s">
        <v>2209</v>
      </c>
      <c r="E1423" s="9" t="s">
        <v>10</v>
      </c>
      <c r="F1423" s="10">
        <v>4.1199999999999999E-4</v>
      </c>
      <c r="G1423" s="12">
        <f>ROUND(G$3*F1423,0)</f>
        <v>119</v>
      </c>
      <c r="H1423" s="13">
        <f>ROUND(G1423/2,0)</f>
        <v>60</v>
      </c>
      <c r="I1423" s="12">
        <f>G1423-H1423</f>
        <v>59</v>
      </c>
      <c r="J1423" s="3" t="str">
        <f t="shared" si="105"/>
        <v>2020014</v>
      </c>
    </row>
    <row r="1424" spans="2:10" s="3" customFormat="1">
      <c r="B1424" s="3" t="s">
        <v>2183</v>
      </c>
      <c r="C1424" s="23">
        <v>2</v>
      </c>
      <c r="D1424" s="3" t="s">
        <v>2209</v>
      </c>
      <c r="E1424" s="9" t="s">
        <v>11</v>
      </c>
      <c r="F1424" s="10">
        <v>1.56E-4</v>
      </c>
      <c r="G1424" s="12">
        <f>ROUND(G$3*F1424,0)</f>
        <v>45</v>
      </c>
      <c r="H1424" s="13">
        <f>ROUND(G1424/2,0)</f>
        <v>23</v>
      </c>
      <c r="I1424" s="12">
        <f>G1424-H1424</f>
        <v>22</v>
      </c>
      <c r="J1424" s="3" t="str">
        <f t="shared" si="105"/>
        <v>2020014</v>
      </c>
    </row>
    <row r="1425" spans="1:10" s="3" customFormat="1">
      <c r="B1425" s="3" t="s">
        <v>2183</v>
      </c>
      <c r="C1425" s="23">
        <v>2</v>
      </c>
      <c r="D1425" s="3" t="s">
        <v>2204</v>
      </c>
      <c r="E1425" s="9" t="s">
        <v>22</v>
      </c>
      <c r="F1425" s="11"/>
      <c r="G1425" s="9"/>
      <c r="H1425" s="11"/>
      <c r="I1425" s="11"/>
      <c r="J1425" s="3" t="str">
        <f t="shared" si="105"/>
        <v>2020015</v>
      </c>
    </row>
    <row r="1426" spans="1:10" s="3" customFormat="1">
      <c r="B1426" s="3" t="s">
        <v>2183</v>
      </c>
      <c r="C1426" s="23">
        <v>2</v>
      </c>
      <c r="D1426" s="3" t="s">
        <v>2204</v>
      </c>
      <c r="E1426" s="9" t="s">
        <v>10</v>
      </c>
      <c r="F1426" s="10">
        <v>2.4899999999999998E-4</v>
      </c>
      <c r="G1426" s="12">
        <f>ROUND(G$3*F1426,0)</f>
        <v>72</v>
      </c>
      <c r="H1426" s="13">
        <f>ROUND(G1426/2,0)</f>
        <v>36</v>
      </c>
      <c r="I1426" s="12">
        <f>G1426-H1426</f>
        <v>36</v>
      </c>
      <c r="J1426" s="3" t="str">
        <f t="shared" si="105"/>
        <v>2020015</v>
      </c>
    </row>
    <row r="1427" spans="1:10" s="3" customFormat="1">
      <c r="B1427" s="3" t="s">
        <v>2183</v>
      </c>
      <c r="C1427" s="23">
        <v>2</v>
      </c>
      <c r="D1427" s="3" t="s">
        <v>2204</v>
      </c>
      <c r="E1427" s="9" t="s">
        <v>11</v>
      </c>
      <c r="F1427" s="10">
        <v>2.43E-4</v>
      </c>
      <c r="G1427" s="12">
        <f>ROUND(G$3*F1427,0)</f>
        <v>70</v>
      </c>
      <c r="H1427" s="13">
        <f>ROUND(G1427/2,0)</f>
        <v>35</v>
      </c>
      <c r="I1427" s="12">
        <f>G1427-H1427</f>
        <v>35</v>
      </c>
      <c r="J1427" s="3" t="str">
        <f t="shared" si="105"/>
        <v>2020015</v>
      </c>
    </row>
    <row r="1428" spans="1:10" s="3" customFormat="1">
      <c r="B1428" s="3" t="s">
        <v>2183</v>
      </c>
      <c r="C1428" s="23">
        <v>2</v>
      </c>
      <c r="D1428" s="3" t="s">
        <v>2210</v>
      </c>
      <c r="E1428" s="9" t="s">
        <v>115</v>
      </c>
      <c r="F1428" s="11"/>
      <c r="G1428" s="9"/>
      <c r="H1428" s="11"/>
      <c r="I1428" s="11"/>
      <c r="J1428" s="3" t="str">
        <f t="shared" si="105"/>
        <v>2020016</v>
      </c>
    </row>
    <row r="1429" spans="1:10" s="3" customFormat="1">
      <c r="B1429" s="3" t="s">
        <v>2183</v>
      </c>
      <c r="C1429" s="23">
        <v>2</v>
      </c>
      <c r="D1429" s="3" t="s">
        <v>2210</v>
      </c>
      <c r="E1429" s="9" t="s">
        <v>10</v>
      </c>
      <c r="F1429" s="10">
        <v>3.57E-4</v>
      </c>
      <c r="G1429" s="12">
        <f t="shared" ref="G1429:G1438" si="106">ROUND(G$3*F1429,0)</f>
        <v>103</v>
      </c>
      <c r="H1429" s="13">
        <f t="shared" ref="H1429:H1438" si="107">ROUND(G1429/2,0)</f>
        <v>52</v>
      </c>
      <c r="I1429" s="12">
        <f t="shared" ref="I1429:I1438" si="108">G1429-H1429</f>
        <v>51</v>
      </c>
      <c r="J1429" s="3" t="str">
        <f t="shared" si="105"/>
        <v>2020016</v>
      </c>
    </row>
    <row r="1430" spans="1:10" s="3" customFormat="1">
      <c r="B1430" s="3" t="s">
        <v>2183</v>
      </c>
      <c r="C1430" s="23">
        <v>2</v>
      </c>
      <c r="D1430" s="3" t="s">
        <v>2210</v>
      </c>
      <c r="E1430" s="9" t="s">
        <v>11</v>
      </c>
      <c r="F1430" s="10">
        <v>1.73E-4</v>
      </c>
      <c r="G1430" s="12">
        <f t="shared" si="106"/>
        <v>50</v>
      </c>
      <c r="H1430" s="13">
        <f t="shared" si="107"/>
        <v>25</v>
      </c>
      <c r="I1430" s="12">
        <f t="shared" si="108"/>
        <v>25</v>
      </c>
      <c r="J1430" s="3" t="str">
        <f t="shared" si="105"/>
        <v>2020016</v>
      </c>
    </row>
    <row r="1431" spans="1:10" s="3" customFormat="1">
      <c r="B1431" s="3" t="s">
        <v>2183</v>
      </c>
      <c r="C1431" s="23">
        <v>3</v>
      </c>
      <c r="D1431" s="3" t="s">
        <v>2406</v>
      </c>
      <c r="E1431" s="9" t="s">
        <v>457</v>
      </c>
      <c r="F1431" s="10">
        <v>3.8440000000000002E-3</v>
      </c>
      <c r="G1431" s="12">
        <f t="shared" si="106"/>
        <v>1106</v>
      </c>
      <c r="H1431" s="13">
        <f t="shared" si="107"/>
        <v>553</v>
      </c>
      <c r="I1431" s="12">
        <f t="shared" si="108"/>
        <v>553</v>
      </c>
      <c r="J1431" s="3" t="str">
        <f t="shared" si="105"/>
        <v>2030599</v>
      </c>
    </row>
    <row r="1432" spans="1:10" s="3" customFormat="1">
      <c r="B1432" s="3" t="s">
        <v>2183</v>
      </c>
      <c r="C1432" s="23">
        <v>3</v>
      </c>
      <c r="D1432" s="3" t="s">
        <v>2403</v>
      </c>
      <c r="E1432" s="9" t="s">
        <v>458</v>
      </c>
      <c r="F1432" s="10">
        <v>0.129026</v>
      </c>
      <c r="G1432" s="12">
        <f t="shared" si="106"/>
        <v>37124</v>
      </c>
      <c r="H1432" s="13">
        <f t="shared" si="107"/>
        <v>18562</v>
      </c>
      <c r="I1432" s="12">
        <f t="shared" si="108"/>
        <v>18562</v>
      </c>
      <c r="J1432" s="3" t="str">
        <f t="shared" si="105"/>
        <v>2030112</v>
      </c>
    </row>
    <row r="1433" spans="1:10" s="3" customFormat="1">
      <c r="B1433" s="3" t="s">
        <v>2183</v>
      </c>
      <c r="C1433" s="23">
        <v>3</v>
      </c>
      <c r="D1433" s="3" t="s">
        <v>2404</v>
      </c>
      <c r="E1433" s="9" t="s">
        <v>459</v>
      </c>
      <c r="F1433" s="10">
        <v>3.9271E-2</v>
      </c>
      <c r="G1433" s="12">
        <f t="shared" si="106"/>
        <v>11299</v>
      </c>
      <c r="H1433" s="13">
        <f t="shared" si="107"/>
        <v>5650</v>
      </c>
      <c r="I1433" s="12">
        <f t="shared" si="108"/>
        <v>5649</v>
      </c>
      <c r="J1433" s="3" t="str">
        <f t="shared" si="105"/>
        <v>2030305</v>
      </c>
    </row>
    <row r="1434" spans="1:10" s="3" customFormat="1">
      <c r="B1434" s="3" t="s">
        <v>2183</v>
      </c>
      <c r="C1434" s="23">
        <v>3</v>
      </c>
      <c r="D1434" s="3" t="s">
        <v>2407</v>
      </c>
      <c r="E1434" s="9" t="s">
        <v>460</v>
      </c>
      <c r="F1434" s="10">
        <v>5.1980000000000004E-3</v>
      </c>
      <c r="G1434" s="12">
        <f t="shared" si="106"/>
        <v>1496</v>
      </c>
      <c r="H1434" s="13">
        <f t="shared" si="107"/>
        <v>748</v>
      </c>
      <c r="I1434" s="12">
        <f t="shared" si="108"/>
        <v>748</v>
      </c>
      <c r="J1434" s="3" t="str">
        <f t="shared" si="105"/>
        <v>2030600</v>
      </c>
    </row>
    <row r="1435" spans="1:10" s="3" customFormat="1">
      <c r="A1435" s="3" t="s">
        <v>6269</v>
      </c>
      <c r="B1435" s="3" t="s">
        <v>2183</v>
      </c>
      <c r="C1435" s="23">
        <v>3</v>
      </c>
      <c r="D1435" s="3" t="s">
        <v>2408</v>
      </c>
      <c r="E1435" s="9" t="s">
        <v>461</v>
      </c>
      <c r="F1435" s="10">
        <v>0</v>
      </c>
      <c r="G1435" s="12">
        <f t="shared" si="106"/>
        <v>0</v>
      </c>
      <c r="H1435" s="13">
        <f t="shared" si="107"/>
        <v>0</v>
      </c>
      <c r="I1435" s="12">
        <f t="shared" si="108"/>
        <v>0</v>
      </c>
      <c r="J1435" s="3" t="str">
        <f t="shared" si="105"/>
        <v>2030601</v>
      </c>
    </row>
    <row r="1436" spans="1:10" s="3" customFormat="1">
      <c r="B1436" s="3" t="s">
        <v>2183</v>
      </c>
      <c r="C1436" s="23">
        <v>3</v>
      </c>
      <c r="D1436" s="3" t="s">
        <v>2405</v>
      </c>
      <c r="E1436" s="9" t="s">
        <v>462</v>
      </c>
      <c r="F1436" s="10">
        <v>4.104E-3</v>
      </c>
      <c r="G1436" s="12">
        <f t="shared" si="106"/>
        <v>1181</v>
      </c>
      <c r="H1436" s="13">
        <f t="shared" si="107"/>
        <v>591</v>
      </c>
      <c r="I1436" s="12">
        <f t="shared" si="108"/>
        <v>590</v>
      </c>
      <c r="J1436" s="3" t="str">
        <f t="shared" si="105"/>
        <v>2030444</v>
      </c>
    </row>
    <row r="1437" spans="1:10" s="3" customFormat="1">
      <c r="B1437" s="3" t="s">
        <v>2183</v>
      </c>
      <c r="C1437" s="23">
        <v>3</v>
      </c>
      <c r="D1437" s="3" t="s">
        <v>2409</v>
      </c>
      <c r="E1437" s="9" t="s">
        <v>463</v>
      </c>
      <c r="F1437" s="10">
        <v>2.483E-3</v>
      </c>
      <c r="G1437" s="12">
        <f t="shared" si="106"/>
        <v>714</v>
      </c>
      <c r="H1437" s="13">
        <f t="shared" si="107"/>
        <v>357</v>
      </c>
      <c r="I1437" s="12">
        <f t="shared" si="108"/>
        <v>357</v>
      </c>
      <c r="J1437" s="3" t="str">
        <f t="shared" si="105"/>
        <v>2030602</v>
      </c>
    </row>
    <row r="1438" spans="1:10" s="3" customFormat="1">
      <c r="B1438" s="3" t="s">
        <v>2183</v>
      </c>
      <c r="C1438" s="23">
        <v>4</v>
      </c>
      <c r="D1438" s="3" t="s">
        <v>2411</v>
      </c>
      <c r="E1438" s="9" t="s">
        <v>464</v>
      </c>
      <c r="F1438" s="10">
        <v>4.9917000000000003E-2</v>
      </c>
      <c r="G1438" s="9">
        <f t="shared" si="106"/>
        <v>14362</v>
      </c>
      <c r="H1438" s="11">
        <f t="shared" si="107"/>
        <v>7181</v>
      </c>
      <c r="I1438" s="9">
        <f t="shared" si="108"/>
        <v>7181</v>
      </c>
      <c r="J1438" s="3" t="str">
        <f t="shared" si="105"/>
        <v>2042260</v>
      </c>
    </row>
    <row r="1439" spans="1:10" s="3" customFormat="1">
      <c r="B1439" s="3" t="s">
        <v>2183</v>
      </c>
      <c r="C1439" s="23">
        <v>4</v>
      </c>
      <c r="D1439" s="3" t="s">
        <v>2411</v>
      </c>
      <c r="E1439" s="11" t="s">
        <v>28</v>
      </c>
      <c r="F1439" s="11"/>
      <c r="G1439" s="14">
        <v>0.35947699999999999</v>
      </c>
      <c r="H1439" s="11"/>
      <c r="I1439" s="11"/>
      <c r="J1439" s="3" t="str">
        <f t="shared" si="105"/>
        <v>2042260</v>
      </c>
    </row>
    <row r="1440" spans="1:10" s="3" customFormat="1">
      <c r="B1440" s="3" t="s">
        <v>2183</v>
      </c>
      <c r="C1440" s="23">
        <v>4</v>
      </c>
      <c r="D1440" s="3" t="s">
        <v>2411</v>
      </c>
      <c r="E1440" s="11" t="s">
        <v>29</v>
      </c>
      <c r="F1440" s="11"/>
      <c r="G1440" s="15">
        <f>ROUND(G1438*G1439,0)</f>
        <v>5163</v>
      </c>
      <c r="H1440" s="16">
        <f>ROUND(G1440/2,0)</f>
        <v>2582</v>
      </c>
      <c r="I1440" s="15">
        <f>G1440-H1440</f>
        <v>2581</v>
      </c>
      <c r="J1440" s="3" t="str">
        <f t="shared" si="105"/>
        <v>2042260</v>
      </c>
    </row>
    <row r="1441" spans="2:10" s="3" customFormat="1">
      <c r="B1441" s="3" t="s">
        <v>2183</v>
      </c>
      <c r="C1441" s="23">
        <v>4</v>
      </c>
      <c r="D1441" s="3" t="s">
        <v>2411</v>
      </c>
      <c r="E1441" s="11" t="s">
        <v>30</v>
      </c>
      <c r="F1441" s="11"/>
      <c r="G1441" s="12">
        <f>+G1438-G1440</f>
        <v>9199</v>
      </c>
      <c r="H1441" s="13">
        <f>ROUND(G1441/2,0)</f>
        <v>4600</v>
      </c>
      <c r="I1441" s="12">
        <f>G1441-H1441</f>
        <v>4599</v>
      </c>
      <c r="J1441" s="3" t="str">
        <f t="shared" si="105"/>
        <v>2042260</v>
      </c>
    </row>
    <row r="1442" spans="2:10" s="3" customFormat="1">
      <c r="B1442" s="3" t="s">
        <v>2183</v>
      </c>
      <c r="C1442" s="23">
        <v>4</v>
      </c>
      <c r="D1442" s="3" t="s">
        <v>2412</v>
      </c>
      <c r="E1442" s="9" t="s">
        <v>465</v>
      </c>
      <c r="F1442" s="10">
        <v>6.0722999999999999E-2</v>
      </c>
      <c r="G1442" s="9">
        <f>ROUND(G$3*F1442,0)</f>
        <v>17471</v>
      </c>
      <c r="H1442" s="11">
        <f>ROUND(G1442/2,0)</f>
        <v>8736</v>
      </c>
      <c r="I1442" s="9">
        <f>G1442-H1442</f>
        <v>8735</v>
      </c>
      <c r="J1442" s="3" t="str">
        <f t="shared" si="105"/>
        <v>2042270</v>
      </c>
    </row>
    <row r="1443" spans="2:10" s="3" customFormat="1">
      <c r="B1443" s="3" t="s">
        <v>2183</v>
      </c>
      <c r="C1443" s="23">
        <v>4</v>
      </c>
      <c r="D1443" s="3" t="s">
        <v>2412</v>
      </c>
      <c r="E1443" s="11" t="s">
        <v>28</v>
      </c>
      <c r="F1443" s="11"/>
      <c r="G1443" s="14">
        <v>0.36151899999999998</v>
      </c>
      <c r="H1443" s="11"/>
      <c r="I1443" s="11"/>
      <c r="J1443" s="3" t="str">
        <f t="shared" si="105"/>
        <v>2042270</v>
      </c>
    </row>
    <row r="1444" spans="2:10" s="3" customFormat="1">
      <c r="B1444" s="3" t="s">
        <v>2183</v>
      </c>
      <c r="C1444" s="23">
        <v>4</v>
      </c>
      <c r="D1444" s="3" t="s">
        <v>2412</v>
      </c>
      <c r="E1444" s="11" t="s">
        <v>29</v>
      </c>
      <c r="F1444" s="11"/>
      <c r="G1444" s="15">
        <f>ROUND(G1442*G1443,0)</f>
        <v>6316</v>
      </c>
      <c r="H1444" s="16">
        <f>ROUND(G1444/2,0)</f>
        <v>3158</v>
      </c>
      <c r="I1444" s="15">
        <f>G1444-H1444</f>
        <v>3158</v>
      </c>
      <c r="J1444" s="3" t="str">
        <f t="shared" si="105"/>
        <v>2042270</v>
      </c>
    </row>
    <row r="1445" spans="2:10" s="3" customFormat="1">
      <c r="B1445" s="3" t="s">
        <v>2183</v>
      </c>
      <c r="C1445" s="23">
        <v>4</v>
      </c>
      <c r="D1445" s="3" t="s">
        <v>2412</v>
      </c>
      <c r="E1445" s="11" t="s">
        <v>30</v>
      </c>
      <c r="F1445" s="11"/>
      <c r="G1445" s="12">
        <f>+G1442-G1444</f>
        <v>11155</v>
      </c>
      <c r="H1445" s="13">
        <f>ROUND(G1445/2,0)</f>
        <v>5578</v>
      </c>
      <c r="I1445" s="12">
        <f>G1445-H1445</f>
        <v>5577</v>
      </c>
      <c r="J1445" s="3" t="str">
        <f t="shared" si="105"/>
        <v>2042270</v>
      </c>
    </row>
    <row r="1446" spans="2:10" s="3" customFormat="1">
      <c r="B1446" s="3" t="s">
        <v>2183</v>
      </c>
      <c r="C1446" s="23">
        <v>4</v>
      </c>
      <c r="D1446" s="3" t="s">
        <v>2415</v>
      </c>
      <c r="E1446" s="9" t="s">
        <v>466</v>
      </c>
      <c r="F1446" s="10">
        <v>0.188446</v>
      </c>
      <c r="G1446" s="9">
        <f>ROUND(G$3*F1446,0)</f>
        <v>54220</v>
      </c>
      <c r="H1446" s="11">
        <f>ROUND(G1446/2,0)</f>
        <v>27110</v>
      </c>
      <c r="I1446" s="9">
        <f>G1446-H1446</f>
        <v>27110</v>
      </c>
      <c r="J1446" s="3" t="str">
        <f t="shared" si="105"/>
        <v>2042305</v>
      </c>
    </row>
    <row r="1447" spans="2:10" s="3" customFormat="1">
      <c r="B1447" s="3" t="s">
        <v>2183</v>
      </c>
      <c r="C1447" s="23">
        <v>4</v>
      </c>
      <c r="D1447" s="3" t="s">
        <v>2415</v>
      </c>
      <c r="E1447" s="11" t="s">
        <v>28</v>
      </c>
      <c r="F1447" s="11"/>
      <c r="G1447" s="14">
        <v>0.394895</v>
      </c>
      <c r="H1447" s="11"/>
      <c r="I1447" s="11"/>
      <c r="J1447" s="3" t="str">
        <f t="shared" si="105"/>
        <v>2042305</v>
      </c>
    </row>
    <row r="1448" spans="2:10" s="3" customFormat="1">
      <c r="B1448" s="3" t="s">
        <v>2183</v>
      </c>
      <c r="C1448" s="23">
        <v>4</v>
      </c>
      <c r="D1448" s="3" t="s">
        <v>2415</v>
      </c>
      <c r="E1448" s="11" t="s">
        <v>29</v>
      </c>
      <c r="F1448" s="11"/>
      <c r="G1448" s="15">
        <f>ROUND(G1446*G1447,0)</f>
        <v>21411</v>
      </c>
      <c r="H1448" s="16">
        <f>ROUND(G1448/2,0)</f>
        <v>10706</v>
      </c>
      <c r="I1448" s="15">
        <f>G1448-H1448</f>
        <v>10705</v>
      </c>
      <c r="J1448" s="3" t="str">
        <f t="shared" si="105"/>
        <v>2042305</v>
      </c>
    </row>
    <row r="1449" spans="2:10" s="3" customFormat="1">
      <c r="B1449" s="3" t="s">
        <v>2183</v>
      </c>
      <c r="C1449" s="23">
        <v>4</v>
      </c>
      <c r="D1449" s="3" t="s">
        <v>2415</v>
      </c>
      <c r="E1449" s="11" t="s">
        <v>30</v>
      </c>
      <c r="F1449" s="11"/>
      <c r="G1449" s="12">
        <f>+G1446-G1448</f>
        <v>32809</v>
      </c>
      <c r="H1449" s="13">
        <f>ROUND(G1449/2,0)</f>
        <v>16405</v>
      </c>
      <c r="I1449" s="12">
        <f>G1449-H1449</f>
        <v>16404</v>
      </c>
      <c r="J1449" s="3" t="str">
        <f t="shared" si="105"/>
        <v>2042305</v>
      </c>
    </row>
    <row r="1450" spans="2:10" s="3" customFormat="1">
      <c r="B1450" s="3" t="s">
        <v>2183</v>
      </c>
      <c r="C1450" s="23">
        <v>4</v>
      </c>
      <c r="D1450" s="3" t="s">
        <v>2410</v>
      </c>
      <c r="E1450" s="9" t="s">
        <v>467</v>
      </c>
      <c r="F1450" s="10">
        <v>5.1456000000000002E-2</v>
      </c>
      <c r="G1450" s="9">
        <f>ROUND(G$3*F1450,0)</f>
        <v>14805</v>
      </c>
      <c r="H1450" s="11">
        <f>ROUND(G1450/2,0)</f>
        <v>7403</v>
      </c>
      <c r="I1450" s="9">
        <f>G1450-H1450</f>
        <v>7402</v>
      </c>
      <c r="J1450" s="3" t="str">
        <f t="shared" si="105"/>
        <v>2042155</v>
      </c>
    </row>
    <row r="1451" spans="2:10" s="3" customFormat="1">
      <c r="B1451" s="3" t="s">
        <v>2183</v>
      </c>
      <c r="C1451" s="23">
        <v>4</v>
      </c>
      <c r="D1451" s="3" t="s">
        <v>2410</v>
      </c>
      <c r="E1451" s="11" t="s">
        <v>28</v>
      </c>
      <c r="F1451" s="11"/>
      <c r="G1451" s="14">
        <v>0.38996199999999998</v>
      </c>
      <c r="H1451" s="11"/>
      <c r="I1451" s="11"/>
      <c r="J1451" s="3" t="str">
        <f t="shared" si="105"/>
        <v>2042155</v>
      </c>
    </row>
    <row r="1452" spans="2:10" s="3" customFormat="1">
      <c r="B1452" s="3" t="s">
        <v>2183</v>
      </c>
      <c r="C1452" s="23">
        <v>4</v>
      </c>
      <c r="D1452" s="3" t="s">
        <v>2410</v>
      </c>
      <c r="E1452" s="11" t="s">
        <v>29</v>
      </c>
      <c r="F1452" s="11"/>
      <c r="G1452" s="15">
        <f>ROUND(G1450*G1451,0)</f>
        <v>5773</v>
      </c>
      <c r="H1452" s="16">
        <f>ROUND(G1452/2,0)</f>
        <v>2887</v>
      </c>
      <c r="I1452" s="15">
        <f>G1452-H1452</f>
        <v>2886</v>
      </c>
      <c r="J1452" s="3" t="str">
        <f t="shared" si="105"/>
        <v>2042155</v>
      </c>
    </row>
    <row r="1453" spans="2:10" s="3" customFormat="1">
      <c r="B1453" s="3" t="s">
        <v>2183</v>
      </c>
      <c r="C1453" s="23">
        <v>4</v>
      </c>
      <c r="D1453" s="3" t="s">
        <v>2410</v>
      </c>
      <c r="E1453" s="11" t="s">
        <v>30</v>
      </c>
      <c r="F1453" s="11"/>
      <c r="G1453" s="12">
        <f>+G1450-G1452</f>
        <v>9032</v>
      </c>
      <c r="H1453" s="13">
        <f>ROUND(G1453/2,0)</f>
        <v>4516</v>
      </c>
      <c r="I1453" s="12">
        <f>G1453-H1453</f>
        <v>4516</v>
      </c>
      <c r="J1453" s="3" t="str">
        <f t="shared" si="105"/>
        <v>2042155</v>
      </c>
    </row>
    <row r="1454" spans="2:10" s="3" customFormat="1">
      <c r="B1454" s="3" t="s">
        <v>2183</v>
      </c>
      <c r="C1454" s="23">
        <v>4</v>
      </c>
      <c r="D1454" s="3" t="s">
        <v>2416</v>
      </c>
      <c r="E1454" s="9" t="s">
        <v>468</v>
      </c>
      <c r="F1454" s="10">
        <v>0.12719800000000001</v>
      </c>
      <c r="G1454" s="9">
        <f>ROUND(G$3*F1454,0)</f>
        <v>36598</v>
      </c>
      <c r="H1454" s="11">
        <f>ROUND(G1454/2,0)</f>
        <v>18299</v>
      </c>
      <c r="I1454" s="9">
        <f>G1454-H1454</f>
        <v>18299</v>
      </c>
      <c r="J1454" s="3" t="str">
        <f t="shared" si="105"/>
        <v>2042315</v>
      </c>
    </row>
    <row r="1455" spans="2:10" s="3" customFormat="1">
      <c r="B1455" s="3" t="s">
        <v>2183</v>
      </c>
      <c r="C1455" s="23">
        <v>4</v>
      </c>
      <c r="D1455" s="3" t="s">
        <v>2416</v>
      </c>
      <c r="E1455" s="11" t="s">
        <v>28</v>
      </c>
      <c r="F1455" s="11"/>
      <c r="G1455" s="14">
        <v>0.35937000000000002</v>
      </c>
      <c r="H1455" s="11"/>
      <c r="I1455" s="11"/>
      <c r="J1455" s="3" t="str">
        <f t="shared" si="105"/>
        <v>2042315</v>
      </c>
    </row>
    <row r="1456" spans="2:10" s="3" customFormat="1">
      <c r="B1456" s="3" t="s">
        <v>2183</v>
      </c>
      <c r="C1456" s="23">
        <v>4</v>
      </c>
      <c r="D1456" s="3" t="s">
        <v>2416</v>
      </c>
      <c r="E1456" s="11" t="s">
        <v>29</v>
      </c>
      <c r="F1456" s="11"/>
      <c r="G1456" s="15">
        <f>ROUND(G1454*G1455,0)</f>
        <v>13152</v>
      </c>
      <c r="H1456" s="16">
        <f>ROUND(G1456/2,0)</f>
        <v>6576</v>
      </c>
      <c r="I1456" s="15">
        <f>G1456-H1456</f>
        <v>6576</v>
      </c>
      <c r="J1456" s="3" t="str">
        <f t="shared" si="105"/>
        <v>2042315</v>
      </c>
    </row>
    <row r="1457" spans="1:10" s="3" customFormat="1">
      <c r="B1457" s="3" t="s">
        <v>2183</v>
      </c>
      <c r="C1457" s="23">
        <v>4</v>
      </c>
      <c r="D1457" s="3" t="s">
        <v>2416</v>
      </c>
      <c r="E1457" s="11" t="s">
        <v>30</v>
      </c>
      <c r="F1457" s="11"/>
      <c r="G1457" s="12">
        <f>+G1454-G1456</f>
        <v>23446</v>
      </c>
      <c r="H1457" s="13">
        <f>ROUND(G1457/2,0)</f>
        <v>11723</v>
      </c>
      <c r="I1457" s="12">
        <f>G1457-H1457</f>
        <v>11723</v>
      </c>
      <c r="J1457" s="3" t="str">
        <f t="shared" si="105"/>
        <v>2042315</v>
      </c>
    </row>
    <row r="1458" spans="1:10" s="3" customFormat="1">
      <c r="B1458" s="3" t="s">
        <v>2183</v>
      </c>
      <c r="C1458" s="23">
        <v>4</v>
      </c>
      <c r="D1458" s="3" t="s">
        <v>2413</v>
      </c>
      <c r="E1458" s="9" t="s">
        <v>469</v>
      </c>
      <c r="F1458" s="10">
        <v>7.0122000000000004E-2</v>
      </c>
      <c r="G1458" s="9">
        <f>ROUND(G$3*F1458,0)</f>
        <v>20176</v>
      </c>
      <c r="H1458" s="11">
        <f>ROUND(G1458/2,0)</f>
        <v>10088</v>
      </c>
      <c r="I1458" s="9">
        <f>G1458-H1458</f>
        <v>10088</v>
      </c>
      <c r="J1458" s="3" t="str">
        <f t="shared" si="105"/>
        <v>2042275</v>
      </c>
    </row>
    <row r="1459" spans="1:10" s="3" customFormat="1">
      <c r="B1459" s="3" t="s">
        <v>2183</v>
      </c>
      <c r="C1459" s="23">
        <v>4</v>
      </c>
      <c r="D1459" s="3" t="s">
        <v>2413</v>
      </c>
      <c r="E1459" s="11" t="s">
        <v>28</v>
      </c>
      <c r="F1459" s="11"/>
      <c r="G1459" s="14">
        <v>0.41023300000000001</v>
      </c>
      <c r="H1459" s="11"/>
      <c r="I1459" s="11"/>
      <c r="J1459" s="3" t="str">
        <f t="shared" si="105"/>
        <v>2042275</v>
      </c>
    </row>
    <row r="1460" spans="1:10" s="3" customFormat="1">
      <c r="B1460" s="3" t="s">
        <v>2183</v>
      </c>
      <c r="C1460" s="23">
        <v>4</v>
      </c>
      <c r="D1460" s="3" t="s">
        <v>2413</v>
      </c>
      <c r="E1460" s="11" t="s">
        <v>29</v>
      </c>
      <c r="F1460" s="11"/>
      <c r="G1460" s="15">
        <f>ROUND(G1458*G1459,0)</f>
        <v>8277</v>
      </c>
      <c r="H1460" s="16">
        <f>ROUND(G1460/2,0)</f>
        <v>4139</v>
      </c>
      <c r="I1460" s="15">
        <f>G1460-H1460</f>
        <v>4138</v>
      </c>
      <c r="J1460" s="3" t="str">
        <f t="shared" si="105"/>
        <v>2042275</v>
      </c>
    </row>
    <row r="1461" spans="1:10" s="3" customFormat="1">
      <c r="B1461" s="3" t="s">
        <v>2183</v>
      </c>
      <c r="C1461" s="23">
        <v>4</v>
      </c>
      <c r="D1461" s="3" t="s">
        <v>2413</v>
      </c>
      <c r="E1461" s="11" t="s">
        <v>30</v>
      </c>
      <c r="F1461" s="11"/>
      <c r="G1461" s="12">
        <f>+G1458-G1460</f>
        <v>11899</v>
      </c>
      <c r="H1461" s="13">
        <f>ROUND(G1461/2,0)</f>
        <v>5950</v>
      </c>
      <c r="I1461" s="12">
        <f>G1461-H1461</f>
        <v>5949</v>
      </c>
      <c r="J1461" s="3" t="str">
        <f t="shared" si="105"/>
        <v>2042275</v>
      </c>
    </row>
    <row r="1462" spans="1:10" s="3" customFormat="1">
      <c r="B1462" s="3" t="s">
        <v>2183</v>
      </c>
      <c r="C1462" s="23">
        <v>4</v>
      </c>
      <c r="D1462" s="3" t="s">
        <v>2414</v>
      </c>
      <c r="E1462" s="9" t="s">
        <v>470</v>
      </c>
      <c r="F1462" s="10">
        <v>4.0780999999999998E-2</v>
      </c>
      <c r="G1462" s="9">
        <f>ROUND(G$3*F1462,0)</f>
        <v>11734</v>
      </c>
      <c r="H1462" s="11">
        <f>ROUND(G1462/2,0)</f>
        <v>5867</v>
      </c>
      <c r="I1462" s="9">
        <f>G1462-H1462</f>
        <v>5867</v>
      </c>
      <c r="J1462" s="3" t="str">
        <f t="shared" si="105"/>
        <v>2042285</v>
      </c>
    </row>
    <row r="1463" spans="1:10" s="3" customFormat="1">
      <c r="B1463" s="3" t="s">
        <v>2183</v>
      </c>
      <c r="C1463" s="23">
        <v>4</v>
      </c>
      <c r="D1463" s="3" t="s">
        <v>2414</v>
      </c>
      <c r="E1463" s="11" t="s">
        <v>28</v>
      </c>
      <c r="F1463" s="11"/>
      <c r="G1463" s="14">
        <v>0.384266</v>
      </c>
      <c r="H1463" s="11"/>
      <c r="I1463" s="11"/>
      <c r="J1463" s="3" t="str">
        <f t="shared" si="105"/>
        <v>2042285</v>
      </c>
    </row>
    <row r="1464" spans="1:10" s="3" customFormat="1">
      <c r="B1464" s="3" t="s">
        <v>2183</v>
      </c>
      <c r="C1464" s="23">
        <v>4</v>
      </c>
      <c r="D1464" s="3" t="s">
        <v>2414</v>
      </c>
      <c r="E1464" s="11" t="s">
        <v>29</v>
      </c>
      <c r="F1464" s="11"/>
      <c r="G1464" s="15">
        <f>ROUND(G1462*G1463,0)</f>
        <v>4509</v>
      </c>
      <c r="H1464" s="16">
        <f t="shared" ref="H1464:H1472" si="109">ROUND(G1464/2,0)</f>
        <v>2255</v>
      </c>
      <c r="I1464" s="15">
        <f t="shared" ref="I1464:I1472" si="110">G1464-H1464</f>
        <v>2254</v>
      </c>
      <c r="J1464" s="3" t="str">
        <f t="shared" si="105"/>
        <v>2042285</v>
      </c>
    </row>
    <row r="1465" spans="1:10" s="3" customFormat="1">
      <c r="B1465" s="3" t="s">
        <v>2183</v>
      </c>
      <c r="C1465" s="23">
        <v>4</v>
      </c>
      <c r="D1465" s="3" t="s">
        <v>2414</v>
      </c>
      <c r="E1465" s="11" t="s">
        <v>30</v>
      </c>
      <c r="F1465" s="11"/>
      <c r="G1465" s="12">
        <f>+G1462-G1464</f>
        <v>7225</v>
      </c>
      <c r="H1465" s="13">
        <f t="shared" si="109"/>
        <v>3613</v>
      </c>
      <c r="I1465" s="12">
        <f t="shared" si="110"/>
        <v>3612</v>
      </c>
      <c r="J1465" s="3" t="str">
        <f t="shared" si="105"/>
        <v>2042285</v>
      </c>
    </row>
    <row r="1466" spans="1:10" s="3" customFormat="1">
      <c r="B1466" s="3" t="s">
        <v>2183</v>
      </c>
      <c r="C1466" s="23">
        <v>5</v>
      </c>
      <c r="D1466" s="3" t="s">
        <v>2417</v>
      </c>
      <c r="E1466" s="9" t="s">
        <v>471</v>
      </c>
      <c r="F1466" s="10">
        <v>7.3700000000000002E-4</v>
      </c>
      <c r="G1466" s="120">
        <f>ROUND(G$3*F1466,0)</f>
        <v>212</v>
      </c>
      <c r="H1466" s="120">
        <f t="shared" si="109"/>
        <v>106</v>
      </c>
      <c r="I1466" s="120">
        <f t="shared" si="110"/>
        <v>106</v>
      </c>
      <c r="J1466" s="3" t="str">
        <f t="shared" si="105"/>
        <v>2050044</v>
      </c>
    </row>
    <row r="1467" spans="1:10" s="3" customFormat="1">
      <c r="B1467" s="3" t="s">
        <v>2183</v>
      </c>
      <c r="C1467" s="23">
        <v>5</v>
      </c>
      <c r="D1467" s="3" t="s">
        <v>2418</v>
      </c>
      <c r="E1467" s="9" t="s">
        <v>472</v>
      </c>
      <c r="F1467" s="10">
        <v>1.2592000000000001E-2</v>
      </c>
      <c r="G1467" s="120">
        <f>ROUND(G$3*F1467,0)</f>
        <v>3623</v>
      </c>
      <c r="H1467" s="120">
        <f t="shared" si="109"/>
        <v>1812</v>
      </c>
      <c r="I1467" s="120">
        <f t="shared" si="110"/>
        <v>1811</v>
      </c>
      <c r="J1467" s="3" t="str">
        <f t="shared" si="105"/>
        <v>2050045</v>
      </c>
    </row>
    <row r="1468" spans="1:10" s="3" customFormat="1">
      <c r="B1468" s="3" t="s">
        <v>2183</v>
      </c>
      <c r="C1468" s="23">
        <v>5</v>
      </c>
      <c r="D1468" s="3" t="s">
        <v>2419</v>
      </c>
      <c r="E1468" s="9" t="s">
        <v>473</v>
      </c>
      <c r="F1468" s="10">
        <v>8.1449999999999995E-3</v>
      </c>
      <c r="G1468" s="120">
        <f>ROUND(G$3*F1468,0)</f>
        <v>2344</v>
      </c>
      <c r="H1468" s="120">
        <f t="shared" si="109"/>
        <v>1172</v>
      </c>
      <c r="I1468" s="120">
        <f t="shared" si="110"/>
        <v>1172</v>
      </c>
      <c r="J1468" s="3" t="str">
        <f t="shared" si="105"/>
        <v>2050046</v>
      </c>
    </row>
    <row r="1469" spans="1:10" s="3" customFormat="1">
      <c r="B1469" s="3" t="s">
        <v>2183</v>
      </c>
      <c r="C1469" s="23">
        <v>5</v>
      </c>
      <c r="D1469" s="3" t="s">
        <v>2421</v>
      </c>
      <c r="E1469" s="9" t="s">
        <v>474</v>
      </c>
      <c r="F1469" s="10">
        <v>2.4499999999999999E-3</v>
      </c>
      <c r="G1469" s="120">
        <f>ROUND(G$3*F1469,0)</f>
        <v>705</v>
      </c>
      <c r="H1469" s="120">
        <f t="shared" si="109"/>
        <v>353</v>
      </c>
      <c r="I1469" s="120">
        <f t="shared" si="110"/>
        <v>352</v>
      </c>
      <c r="J1469" s="3" t="str">
        <f t="shared" si="105"/>
        <v>2050259</v>
      </c>
    </row>
    <row r="1470" spans="1:10" s="3" customFormat="1">
      <c r="B1470" s="3" t="s">
        <v>2183</v>
      </c>
      <c r="C1470" s="23">
        <v>5</v>
      </c>
      <c r="D1470" s="3" t="s">
        <v>2420</v>
      </c>
      <c r="E1470" s="9" t="s">
        <v>475</v>
      </c>
      <c r="F1470" s="10">
        <v>1.0430000000000001E-3</v>
      </c>
      <c r="G1470" s="120">
        <f>ROUND(G$3*F1470,0)</f>
        <v>300</v>
      </c>
      <c r="H1470" s="120">
        <f t="shared" si="109"/>
        <v>150</v>
      </c>
      <c r="I1470" s="120">
        <f t="shared" si="110"/>
        <v>150</v>
      </c>
      <c r="J1470" s="3" t="str">
        <f t="shared" si="105"/>
        <v>2050047</v>
      </c>
    </row>
    <row r="1471" spans="1:10" s="3" customFormat="1">
      <c r="B1471" s="3" t="s">
        <v>2183</v>
      </c>
      <c r="C1471" s="23">
        <v>5</v>
      </c>
      <c r="D1471" s="116" t="s">
        <v>3828</v>
      </c>
      <c r="E1471" s="9" t="s">
        <v>476</v>
      </c>
      <c r="F1471" s="10">
        <v>1.7300000000001203E-3</v>
      </c>
      <c r="G1471" s="120">
        <f>+G1377-SUM(G1378:G1379)-SUM(G1384:G1438)-G1442-G1446-G1450-G1454-G1458-G1462-SUM(G1466:G1470)</f>
        <v>1681365</v>
      </c>
      <c r="H1471" s="120">
        <f t="shared" si="109"/>
        <v>840683</v>
      </c>
      <c r="I1471" s="120">
        <f t="shared" si="110"/>
        <v>840682</v>
      </c>
      <c r="J1471" s="3" t="str">
        <f t="shared" si="105"/>
        <v>2050048</v>
      </c>
    </row>
    <row r="1472" spans="1:10" s="3" customFormat="1">
      <c r="A1472" s="3" t="s">
        <v>6269</v>
      </c>
      <c r="B1472" s="3" t="s">
        <v>2183</v>
      </c>
      <c r="C1472" s="23">
        <v>6</v>
      </c>
      <c r="D1472" s="3" t="s">
        <v>6267</v>
      </c>
      <c r="E1472" s="9" t="s">
        <v>477</v>
      </c>
      <c r="F1472" s="10">
        <v>0</v>
      </c>
      <c r="G1472" s="120">
        <f>ROUND(G$3*F1472,0)</f>
        <v>0</v>
      </c>
      <c r="H1472" s="120">
        <f t="shared" si="109"/>
        <v>0</v>
      </c>
      <c r="I1472" s="120">
        <f t="shared" si="110"/>
        <v>0</v>
      </c>
      <c r="J1472" s="3" t="str">
        <f t="shared" si="105"/>
        <v>206XXXX</v>
      </c>
    </row>
    <row r="1473" spans="2:10" s="3" customFormat="1">
      <c r="B1473" s="3" t="s">
        <v>2183</v>
      </c>
      <c r="C1473" s="8">
        <v>0</v>
      </c>
      <c r="D1473" s="125" t="s">
        <v>2187</v>
      </c>
      <c r="E1473" s="28" t="s">
        <v>288</v>
      </c>
      <c r="F1473" s="10">
        <v>1</v>
      </c>
      <c r="G1473" s="12">
        <f>+G1378+SUM(G1381:G1437)+SUM(G1440:G1441)+SUM(G1444:G1445)+SUM(G1448:G1449)+SUM(G1452:G1453)+SUM(G1456:G1457)+SUM(G1460:G1461)+SUM(G1464:G1472)</f>
        <v>1968593</v>
      </c>
      <c r="H1473" s="12">
        <f>+H1378+SUM(H1381:H1437)+SUM(H1440:H1441)+SUM(H1444:H1445)+SUM(H1448:H1449)+SUM(H1452:H1453)+SUM(H1456:H1457)+SUM(H1460:H1461)+SUM(H1464:H1472)</f>
        <v>984313</v>
      </c>
      <c r="I1473" s="12">
        <f>+I1378+SUM(I1381:I1437)+SUM(I1440:I1441)+SUM(I1444:I1445)+SUM(I1448:I1449)+SUM(I1452:I1453)+SUM(I1456:I1457)+SUM(I1460:I1461)+SUM(I1464:I1472)</f>
        <v>984280</v>
      </c>
      <c r="J1473" s="3" t="str">
        <f t="shared" si="105"/>
        <v>2000000</v>
      </c>
    </row>
    <row r="1474" spans="2:10" s="3" customFormat="1">
      <c r="B1474" s="3" t="s">
        <v>2183</v>
      </c>
      <c r="C1474" s="8">
        <v>0</v>
      </c>
      <c r="D1474" s="3" t="s">
        <v>2187</v>
      </c>
      <c r="E1474" s="18" t="s">
        <v>38</v>
      </c>
      <c r="G1474" s="19">
        <f>+G1378</f>
        <v>327</v>
      </c>
      <c r="H1474" s="19">
        <f>+H1378</f>
        <v>164</v>
      </c>
      <c r="I1474" s="19">
        <f>+I1378</f>
        <v>163</v>
      </c>
      <c r="J1474" s="3" t="str">
        <f t="shared" si="105"/>
        <v>2000000</v>
      </c>
    </row>
    <row r="1475" spans="2:10" s="3" customFormat="1">
      <c r="B1475" s="3" t="s">
        <v>2183</v>
      </c>
      <c r="C1475" s="8">
        <v>0</v>
      </c>
      <c r="D1475" s="3" t="s">
        <v>2187</v>
      </c>
      <c r="E1475" s="2" t="s">
        <v>39</v>
      </c>
      <c r="G1475" s="19">
        <f>+G1381</f>
        <v>14200</v>
      </c>
      <c r="H1475" s="19">
        <f>+H1381</f>
        <v>7100</v>
      </c>
      <c r="I1475" s="19">
        <f>+I1381</f>
        <v>7100</v>
      </c>
      <c r="J1475" s="3" t="str">
        <f t="shared" si="105"/>
        <v>2000000</v>
      </c>
    </row>
    <row r="1476" spans="2:10" s="3" customFormat="1">
      <c r="B1476" s="3" t="s">
        <v>2183</v>
      </c>
      <c r="C1476" s="8">
        <v>0</v>
      </c>
      <c r="D1476" s="3" t="s">
        <v>2187</v>
      </c>
      <c r="E1476" s="2" t="s">
        <v>40</v>
      </c>
      <c r="G1476" s="19">
        <f>+G1440+G1444+G1448+G1452+G1456+G1460+G1464</f>
        <v>64601</v>
      </c>
      <c r="H1476" s="19">
        <f>+H1440+H1444+H1448+H1452+H1456+H1460+H1464</f>
        <v>32303</v>
      </c>
      <c r="I1476" s="19">
        <f>+I1440+I1444+I1448+I1452+I1456+I1460+I1464</f>
        <v>32298</v>
      </c>
      <c r="J1476" s="3" t="str">
        <f t="shared" ref="J1476:J1539" si="111">B1476&amp;C1476&amp;D1476</f>
        <v>2000000</v>
      </c>
    </row>
    <row r="1477" spans="2:10" s="3" customFormat="1">
      <c r="B1477" s="3" t="s">
        <v>2183</v>
      </c>
      <c r="C1477" s="8">
        <v>0</v>
      </c>
      <c r="D1477" s="125" t="s">
        <v>2187</v>
      </c>
      <c r="E1477" s="18" t="s">
        <v>41</v>
      </c>
      <c r="G1477" s="19">
        <f>+G1473-G1474-G1475-G1476</f>
        <v>1889465</v>
      </c>
      <c r="H1477" s="19">
        <f>+H1473-H1474-H1475-H1476</f>
        <v>944746</v>
      </c>
      <c r="I1477" s="19">
        <f>+I1473-I1474-I1475-I1476</f>
        <v>944719</v>
      </c>
      <c r="J1477" s="3" t="str">
        <f t="shared" si="111"/>
        <v>2000000</v>
      </c>
    </row>
    <row r="1478" spans="2:10" ht="15.75">
      <c r="B1478" s="3" t="s">
        <v>2186</v>
      </c>
      <c r="D1478" t="s">
        <v>2186</v>
      </c>
      <c r="E1478">
        <v>0</v>
      </c>
      <c r="G1478"/>
      <c r="H1478"/>
      <c r="I1478"/>
      <c r="J1478" s="3" t="str">
        <f t="shared" si="111"/>
        <v/>
      </c>
    </row>
    <row r="1479" spans="2:10" s="3" customFormat="1">
      <c r="C1479" s="1"/>
      <c r="D1479" s="3" t="s">
        <v>2186</v>
      </c>
      <c r="E1479" s="2" t="s">
        <v>478</v>
      </c>
      <c r="J1479" s="3" t="str">
        <f t="shared" si="111"/>
        <v/>
      </c>
    </row>
    <row r="1480" spans="2:10" s="3" customFormat="1" ht="45">
      <c r="B1480" s="3" t="s">
        <v>2186</v>
      </c>
      <c r="C1480" s="1"/>
      <c r="D1480" s="3" t="s">
        <v>2186</v>
      </c>
      <c r="E1480" s="1">
        <v>0</v>
      </c>
      <c r="F1480" s="6" t="s">
        <v>1</v>
      </c>
      <c r="G1480" s="60">
        <f>'Allocation Worksheet'!H1480</f>
        <v>0</v>
      </c>
      <c r="H1480" s="60">
        <f>'Allocation Worksheet'!H1481</f>
        <v>0</v>
      </c>
      <c r="I1480" s="60">
        <f>'Allocation Worksheet'!H1482</f>
        <v>0</v>
      </c>
      <c r="J1480" s="3" t="str">
        <f t="shared" si="111"/>
        <v/>
      </c>
    </row>
    <row r="1481" spans="2:10" s="3" customFormat="1" ht="18" customHeight="1">
      <c r="C1481" s="7" t="s">
        <v>2087</v>
      </c>
      <c r="D1481" s="3" t="s">
        <v>2186</v>
      </c>
      <c r="E1481" s="7" t="s">
        <v>3</v>
      </c>
      <c r="F1481" s="10"/>
      <c r="G1481" s="9">
        <f>'Allocation Worksheet'!$D$24</f>
        <v>116534</v>
      </c>
      <c r="H1481" s="11"/>
      <c r="I1481" s="11"/>
      <c r="J1481" s="3" t="str">
        <f t="shared" si="111"/>
        <v>UT</v>
      </c>
    </row>
    <row r="1482" spans="2:10" s="3" customFormat="1">
      <c r="B1482" s="3" t="s">
        <v>2107</v>
      </c>
      <c r="C1482" s="8">
        <v>0</v>
      </c>
      <c r="D1482" s="3" t="s">
        <v>2187</v>
      </c>
      <c r="E1482" s="11" t="s">
        <v>4</v>
      </c>
      <c r="F1482" s="10">
        <v>1.103E-3</v>
      </c>
      <c r="G1482" s="12">
        <f>ROUND(G$3*F1482,0)</f>
        <v>317</v>
      </c>
      <c r="H1482" s="13">
        <f>ROUND(G1482/2,0)</f>
        <v>159</v>
      </c>
      <c r="I1482" s="12">
        <f>G1482-H1482</f>
        <v>158</v>
      </c>
      <c r="J1482" s="3" t="str">
        <f t="shared" si="111"/>
        <v>2100000</v>
      </c>
    </row>
    <row r="1483" spans="2:10" s="3" customFormat="1">
      <c r="B1483" s="3" t="s">
        <v>2107</v>
      </c>
      <c r="C1483" s="8">
        <v>1</v>
      </c>
      <c r="D1483" s="3" t="s">
        <v>2187</v>
      </c>
      <c r="E1483" s="11" t="s">
        <v>479</v>
      </c>
      <c r="F1483" s="10">
        <v>0.28837800000000002</v>
      </c>
      <c r="G1483" s="9">
        <f>ROUND(G$3*F1483,0)</f>
        <v>82973</v>
      </c>
      <c r="H1483" s="11">
        <f>ROUND(G1483/2,0)</f>
        <v>41487</v>
      </c>
      <c r="I1483" s="9">
        <f>G1483-H1483</f>
        <v>41486</v>
      </c>
      <c r="J1483" s="3" t="str">
        <f t="shared" si="111"/>
        <v>2110000</v>
      </c>
    </row>
    <row r="1484" spans="2:10" s="3" customFormat="1">
      <c r="B1484" s="3" t="s">
        <v>2107</v>
      </c>
      <c r="C1484" s="8">
        <v>1</v>
      </c>
      <c r="D1484" s="3" t="s">
        <v>2187</v>
      </c>
      <c r="E1484" s="11" t="s">
        <v>6</v>
      </c>
      <c r="F1484" s="11"/>
      <c r="G1484" s="14">
        <v>0.29178700000000002</v>
      </c>
      <c r="H1484" s="11"/>
      <c r="I1484" s="11"/>
      <c r="J1484" s="3" t="str">
        <f t="shared" si="111"/>
        <v>2110000</v>
      </c>
    </row>
    <row r="1485" spans="2:10" s="3" customFormat="1">
      <c r="B1485" s="3" t="s">
        <v>2107</v>
      </c>
      <c r="C1485" s="8">
        <v>1</v>
      </c>
      <c r="D1485" s="3" t="s">
        <v>2187</v>
      </c>
      <c r="E1485" s="11" t="s">
        <v>7</v>
      </c>
      <c r="F1485" s="11"/>
      <c r="G1485" s="15">
        <f>ROUND(G1483*G1484,0)</f>
        <v>24210</v>
      </c>
      <c r="H1485" s="16">
        <f>ROUND(G1485/2,0)</f>
        <v>12105</v>
      </c>
      <c r="I1485" s="15">
        <f>G1485-H1485</f>
        <v>12105</v>
      </c>
      <c r="J1485" s="3" t="str">
        <f t="shared" si="111"/>
        <v>2110000</v>
      </c>
    </row>
    <row r="1486" spans="2:10" s="3" customFormat="1">
      <c r="B1486" s="3" t="s">
        <v>2107</v>
      </c>
      <c r="C1486" s="8">
        <v>1</v>
      </c>
      <c r="D1486" s="3" t="s">
        <v>2187</v>
      </c>
      <c r="E1486" s="11" t="s">
        <v>8</v>
      </c>
      <c r="F1486" s="11"/>
      <c r="G1486" s="12">
        <f>+G1483-G1485</f>
        <v>58763</v>
      </c>
      <c r="H1486" s="13">
        <f>ROUND(G1486/2,0)</f>
        <v>29382</v>
      </c>
      <c r="I1486" s="12">
        <f>G1486-H1486</f>
        <v>29381</v>
      </c>
      <c r="J1486" s="3" t="str">
        <f t="shared" si="111"/>
        <v>2110000</v>
      </c>
    </row>
    <row r="1487" spans="2:10" s="3" customFormat="1">
      <c r="B1487" s="3" t="s">
        <v>2107</v>
      </c>
      <c r="C1487" s="8">
        <v>2</v>
      </c>
      <c r="D1487" s="3" t="s">
        <v>2188</v>
      </c>
      <c r="E1487" s="11" t="s">
        <v>429</v>
      </c>
      <c r="F1487" s="11"/>
      <c r="G1487" s="9"/>
      <c r="H1487" s="11"/>
      <c r="I1487" s="11"/>
      <c r="J1487" s="3" t="str">
        <f t="shared" si="111"/>
        <v>2120001</v>
      </c>
    </row>
    <row r="1488" spans="2:10" s="3" customFormat="1">
      <c r="B1488" s="3" t="s">
        <v>2107</v>
      </c>
      <c r="C1488" s="8">
        <v>2</v>
      </c>
      <c r="D1488" s="3" t="s">
        <v>2188</v>
      </c>
      <c r="E1488" s="11" t="s">
        <v>10</v>
      </c>
      <c r="F1488" s="10">
        <v>1.2199999999999999E-3</v>
      </c>
      <c r="G1488" s="12">
        <f>ROUND(G$3*F1488,0)</f>
        <v>351</v>
      </c>
      <c r="H1488" s="13">
        <f>ROUND(G1488/2,0)</f>
        <v>176</v>
      </c>
      <c r="I1488" s="12">
        <f>G1488-H1488</f>
        <v>175</v>
      </c>
      <c r="J1488" s="3" t="str">
        <f t="shared" si="111"/>
        <v>2120001</v>
      </c>
    </row>
    <row r="1489" spans="2:10" s="3" customFormat="1">
      <c r="B1489" s="3" t="s">
        <v>2107</v>
      </c>
      <c r="C1489" s="8">
        <v>2</v>
      </c>
      <c r="D1489" s="3" t="s">
        <v>2188</v>
      </c>
      <c r="E1489" s="11" t="s">
        <v>11</v>
      </c>
      <c r="F1489" s="10">
        <v>3.1300000000000002E-4</v>
      </c>
      <c r="G1489" s="12">
        <f>ROUND(G$3*F1489,0)</f>
        <v>90</v>
      </c>
      <c r="H1489" s="13">
        <f>ROUND(G1489/2,0)</f>
        <v>45</v>
      </c>
      <c r="I1489" s="12">
        <f>G1489-H1489</f>
        <v>45</v>
      </c>
      <c r="J1489" s="3" t="str">
        <f t="shared" si="111"/>
        <v>2120001</v>
      </c>
    </row>
    <row r="1490" spans="2:10" s="3" customFormat="1">
      <c r="B1490" s="3" t="s">
        <v>2107</v>
      </c>
      <c r="C1490" s="8">
        <v>2</v>
      </c>
      <c r="D1490" s="3" t="s">
        <v>2189</v>
      </c>
      <c r="E1490" s="11" t="s">
        <v>480</v>
      </c>
      <c r="F1490" s="11"/>
      <c r="G1490" s="9"/>
      <c r="H1490" s="11"/>
      <c r="I1490" s="11"/>
      <c r="J1490" s="3" t="str">
        <f t="shared" si="111"/>
        <v>2120002</v>
      </c>
    </row>
    <row r="1491" spans="2:10" s="3" customFormat="1">
      <c r="B1491" s="3" t="s">
        <v>2107</v>
      </c>
      <c r="C1491" s="8">
        <v>2</v>
      </c>
      <c r="D1491" s="3" t="s">
        <v>2189</v>
      </c>
      <c r="E1491" s="11" t="s">
        <v>10</v>
      </c>
      <c r="F1491" s="10">
        <v>3.7460000000000002E-3</v>
      </c>
      <c r="G1491" s="12">
        <f>ROUND(G$3*F1491,0)</f>
        <v>1078</v>
      </c>
      <c r="H1491" s="13">
        <f>ROUND(G1491/2,0)</f>
        <v>539</v>
      </c>
      <c r="I1491" s="12">
        <f>G1491-H1491</f>
        <v>539</v>
      </c>
      <c r="J1491" s="3" t="str">
        <f t="shared" si="111"/>
        <v>2120002</v>
      </c>
    </row>
    <row r="1492" spans="2:10" s="3" customFormat="1">
      <c r="B1492" s="3" t="s">
        <v>2107</v>
      </c>
      <c r="C1492" s="8">
        <v>2</v>
      </c>
      <c r="D1492" s="3" t="s">
        <v>2189</v>
      </c>
      <c r="E1492" s="11" t="s">
        <v>11</v>
      </c>
      <c r="F1492" s="10">
        <v>3.5199999999999999E-4</v>
      </c>
      <c r="G1492" s="12">
        <f>ROUND(G$3*F1492,0)</f>
        <v>101</v>
      </c>
      <c r="H1492" s="13">
        <f>ROUND(G1492/2,0)</f>
        <v>51</v>
      </c>
      <c r="I1492" s="12">
        <f>G1492-H1492</f>
        <v>50</v>
      </c>
      <c r="J1492" s="3" t="str">
        <f t="shared" si="111"/>
        <v>2120002</v>
      </c>
    </row>
    <row r="1493" spans="2:10" s="3" customFormat="1">
      <c r="B1493" s="3" t="s">
        <v>2107</v>
      </c>
      <c r="C1493" s="8">
        <v>2</v>
      </c>
      <c r="D1493" s="3" t="s">
        <v>2190</v>
      </c>
      <c r="E1493" s="11" t="s">
        <v>481</v>
      </c>
      <c r="F1493" s="11"/>
      <c r="G1493" s="9"/>
      <c r="H1493" s="11"/>
      <c r="I1493" s="11"/>
      <c r="J1493" s="3" t="str">
        <f t="shared" si="111"/>
        <v>2120003</v>
      </c>
    </row>
    <row r="1494" spans="2:10" s="3" customFormat="1">
      <c r="B1494" s="3" t="s">
        <v>2107</v>
      </c>
      <c r="C1494" s="8">
        <v>2</v>
      </c>
      <c r="D1494" s="3" t="s">
        <v>2190</v>
      </c>
      <c r="E1494" s="11" t="s">
        <v>10</v>
      </c>
      <c r="F1494" s="10">
        <v>1.9599999999999999E-4</v>
      </c>
      <c r="G1494" s="12">
        <f>ROUND(G$3*F1494,0)</f>
        <v>56</v>
      </c>
      <c r="H1494" s="13">
        <f>ROUND(G1494/2,0)</f>
        <v>28</v>
      </c>
      <c r="I1494" s="12">
        <f>G1494-H1494</f>
        <v>28</v>
      </c>
      <c r="J1494" s="3" t="str">
        <f t="shared" si="111"/>
        <v>2120003</v>
      </c>
    </row>
    <row r="1495" spans="2:10" s="3" customFormat="1">
      <c r="B1495" s="3" t="s">
        <v>2107</v>
      </c>
      <c r="C1495" s="8">
        <v>2</v>
      </c>
      <c r="D1495" s="3" t="s">
        <v>2190</v>
      </c>
      <c r="E1495" s="11" t="s">
        <v>11</v>
      </c>
      <c r="F1495" s="10">
        <v>3.8999999999999999E-5</v>
      </c>
      <c r="G1495" s="12">
        <f>ROUND(G$3*F1495,0)</f>
        <v>11</v>
      </c>
      <c r="H1495" s="13">
        <f>ROUND(G1495/2,0)</f>
        <v>6</v>
      </c>
      <c r="I1495" s="12">
        <f>G1495-H1495</f>
        <v>5</v>
      </c>
      <c r="J1495" s="3" t="str">
        <f t="shared" si="111"/>
        <v>2120003</v>
      </c>
    </row>
    <row r="1496" spans="2:10" s="3" customFormat="1">
      <c r="B1496" s="3" t="s">
        <v>2107</v>
      </c>
      <c r="C1496" s="8">
        <v>2</v>
      </c>
      <c r="D1496" s="3" t="s">
        <v>2191</v>
      </c>
      <c r="E1496" s="11" t="s">
        <v>86</v>
      </c>
      <c r="F1496" s="11"/>
      <c r="G1496" s="9"/>
      <c r="H1496" s="11"/>
      <c r="I1496" s="11"/>
      <c r="J1496" s="3" t="str">
        <f t="shared" si="111"/>
        <v>2120004</v>
      </c>
    </row>
    <row r="1497" spans="2:10" s="3" customFormat="1">
      <c r="B1497" s="3" t="s">
        <v>2107</v>
      </c>
      <c r="C1497" s="8">
        <v>2</v>
      </c>
      <c r="D1497" s="3" t="s">
        <v>2191</v>
      </c>
      <c r="E1497" s="11" t="s">
        <v>10</v>
      </c>
      <c r="F1497" s="10">
        <v>1.5020000000000001E-3</v>
      </c>
      <c r="G1497" s="12">
        <f>ROUND(G$3*F1497,0)</f>
        <v>432</v>
      </c>
      <c r="H1497" s="13">
        <f>ROUND(G1497/2,0)</f>
        <v>216</v>
      </c>
      <c r="I1497" s="12">
        <f>G1497-H1497</f>
        <v>216</v>
      </c>
      <c r="J1497" s="3" t="str">
        <f t="shared" si="111"/>
        <v>2120004</v>
      </c>
    </row>
    <row r="1498" spans="2:10" s="3" customFormat="1">
      <c r="B1498" s="3" t="s">
        <v>2107</v>
      </c>
      <c r="C1498" s="8">
        <v>2</v>
      </c>
      <c r="D1498" s="3" t="s">
        <v>2191</v>
      </c>
      <c r="E1498" s="11" t="s">
        <v>11</v>
      </c>
      <c r="F1498" s="10">
        <v>1.56E-4</v>
      </c>
      <c r="G1498" s="12">
        <f>ROUND(G$3*F1498,0)</f>
        <v>45</v>
      </c>
      <c r="H1498" s="13">
        <f>ROUND(G1498/2,0)</f>
        <v>23</v>
      </c>
      <c r="I1498" s="12">
        <f>G1498-H1498</f>
        <v>22</v>
      </c>
      <c r="J1498" s="3" t="str">
        <f t="shared" si="111"/>
        <v>2120004</v>
      </c>
    </row>
    <row r="1499" spans="2:10" s="3" customFormat="1">
      <c r="B1499" s="3" t="s">
        <v>2107</v>
      </c>
      <c r="C1499" s="8">
        <v>2</v>
      </c>
      <c r="D1499" s="3" t="s">
        <v>2192</v>
      </c>
      <c r="E1499" s="11" t="s">
        <v>49</v>
      </c>
      <c r="F1499" s="11"/>
      <c r="G1499" s="9"/>
      <c r="H1499" s="11"/>
      <c r="I1499" s="11"/>
      <c r="J1499" s="3" t="str">
        <f t="shared" si="111"/>
        <v>2120005</v>
      </c>
    </row>
    <row r="1500" spans="2:10" s="3" customFormat="1">
      <c r="B1500" s="3" t="s">
        <v>2107</v>
      </c>
      <c r="C1500" s="8">
        <v>2</v>
      </c>
      <c r="D1500" s="3" t="s">
        <v>2192</v>
      </c>
      <c r="E1500" s="11" t="s">
        <v>10</v>
      </c>
      <c r="F1500" s="10">
        <v>1.4E-3</v>
      </c>
      <c r="G1500" s="12">
        <f>ROUND(G$3*F1500,0)</f>
        <v>403</v>
      </c>
      <c r="H1500" s="13">
        <f>ROUND(G1500/2,0)</f>
        <v>202</v>
      </c>
      <c r="I1500" s="12">
        <f>G1500-H1500</f>
        <v>201</v>
      </c>
      <c r="J1500" s="3" t="str">
        <f t="shared" si="111"/>
        <v>2120005</v>
      </c>
    </row>
    <row r="1501" spans="2:10" s="3" customFormat="1">
      <c r="B1501" s="3" t="s">
        <v>2107</v>
      </c>
      <c r="C1501" s="8">
        <v>2</v>
      </c>
      <c r="D1501" s="3" t="s">
        <v>2192</v>
      </c>
      <c r="E1501" s="11" t="s">
        <v>11</v>
      </c>
      <c r="F1501" s="10">
        <v>4.3800000000000002E-4</v>
      </c>
      <c r="G1501" s="12">
        <f>ROUND(G$3*F1501,0)</f>
        <v>126</v>
      </c>
      <c r="H1501" s="13">
        <f>ROUND(G1501/2,0)</f>
        <v>63</v>
      </c>
      <c r="I1501" s="12">
        <f>G1501-H1501</f>
        <v>63</v>
      </c>
      <c r="J1501" s="3" t="str">
        <f t="shared" si="111"/>
        <v>2120005</v>
      </c>
    </row>
    <row r="1502" spans="2:10" s="3" customFormat="1">
      <c r="B1502" s="3" t="s">
        <v>2107</v>
      </c>
      <c r="C1502" s="8">
        <v>2</v>
      </c>
      <c r="D1502" s="3" t="s">
        <v>2193</v>
      </c>
      <c r="E1502" s="11" t="s">
        <v>291</v>
      </c>
      <c r="F1502" s="11"/>
      <c r="G1502" s="9"/>
      <c r="H1502" s="11"/>
      <c r="I1502" s="11"/>
      <c r="J1502" s="3" t="str">
        <f t="shared" si="111"/>
        <v>2120006</v>
      </c>
    </row>
    <row r="1503" spans="2:10" s="3" customFormat="1">
      <c r="B1503" s="3" t="s">
        <v>2107</v>
      </c>
      <c r="C1503" s="8">
        <v>2</v>
      </c>
      <c r="D1503" s="3" t="s">
        <v>2193</v>
      </c>
      <c r="E1503" s="11" t="s">
        <v>10</v>
      </c>
      <c r="F1503" s="10">
        <v>5.6300000000000002E-4</v>
      </c>
      <c r="G1503" s="12">
        <f>ROUND(G$3*F1503,0)</f>
        <v>162</v>
      </c>
      <c r="H1503" s="13">
        <f>ROUND(G1503/2,0)</f>
        <v>81</v>
      </c>
      <c r="I1503" s="12">
        <f>G1503-H1503</f>
        <v>81</v>
      </c>
      <c r="J1503" s="3" t="str">
        <f t="shared" si="111"/>
        <v>2120006</v>
      </c>
    </row>
    <row r="1504" spans="2:10" s="3" customFormat="1">
      <c r="B1504" s="3" t="s">
        <v>2107</v>
      </c>
      <c r="C1504" s="8">
        <v>2</v>
      </c>
      <c r="D1504" s="3" t="s">
        <v>2193</v>
      </c>
      <c r="E1504" s="11" t="s">
        <v>11</v>
      </c>
      <c r="F1504" s="10">
        <v>1.56E-4</v>
      </c>
      <c r="G1504" s="12">
        <f>ROUND(G$3*F1504,0)</f>
        <v>45</v>
      </c>
      <c r="H1504" s="13">
        <f>ROUND(G1504/2,0)</f>
        <v>23</v>
      </c>
      <c r="I1504" s="12">
        <f>G1504-H1504</f>
        <v>22</v>
      </c>
      <c r="J1504" s="3" t="str">
        <f t="shared" si="111"/>
        <v>2120006</v>
      </c>
    </row>
    <row r="1505" spans="2:10" s="3" customFormat="1">
      <c r="B1505" s="3" t="s">
        <v>2107</v>
      </c>
      <c r="C1505" s="8">
        <v>2</v>
      </c>
      <c r="D1505" s="3" t="s">
        <v>2194</v>
      </c>
      <c r="E1505" s="11" t="s">
        <v>482</v>
      </c>
      <c r="F1505" s="11"/>
      <c r="G1505" s="9"/>
      <c r="H1505" s="11"/>
      <c r="I1505" s="11"/>
      <c r="J1505" s="3" t="str">
        <f t="shared" si="111"/>
        <v>2120007</v>
      </c>
    </row>
    <row r="1506" spans="2:10" s="3" customFormat="1">
      <c r="B1506" s="3" t="s">
        <v>2107</v>
      </c>
      <c r="C1506" s="8">
        <v>2</v>
      </c>
      <c r="D1506" s="3" t="s">
        <v>2194</v>
      </c>
      <c r="E1506" s="11" t="s">
        <v>10</v>
      </c>
      <c r="F1506" s="10">
        <v>1.2830000000000001E-3</v>
      </c>
      <c r="G1506" s="12">
        <f>ROUND(G$3*F1506,0)</f>
        <v>369</v>
      </c>
      <c r="H1506" s="13">
        <f>ROUND(G1506/2,0)</f>
        <v>185</v>
      </c>
      <c r="I1506" s="12">
        <f>G1506-H1506</f>
        <v>184</v>
      </c>
      <c r="J1506" s="3" t="str">
        <f t="shared" si="111"/>
        <v>2120007</v>
      </c>
    </row>
    <row r="1507" spans="2:10" s="3" customFormat="1">
      <c r="B1507" s="3" t="s">
        <v>2107</v>
      </c>
      <c r="C1507" s="8">
        <v>2</v>
      </c>
      <c r="D1507" s="3" t="s">
        <v>2194</v>
      </c>
      <c r="E1507" s="11" t="s">
        <v>11</v>
      </c>
      <c r="F1507" s="10">
        <v>1.64E-4</v>
      </c>
      <c r="G1507" s="12">
        <f>ROUND(G$3*F1507,0)</f>
        <v>47</v>
      </c>
      <c r="H1507" s="13">
        <f>ROUND(G1507/2,0)</f>
        <v>24</v>
      </c>
      <c r="I1507" s="12">
        <f>G1507-H1507</f>
        <v>23</v>
      </c>
      <c r="J1507" s="3" t="str">
        <f t="shared" si="111"/>
        <v>2120007</v>
      </c>
    </row>
    <row r="1508" spans="2:10" s="3" customFormat="1">
      <c r="B1508" s="3" t="s">
        <v>2107</v>
      </c>
      <c r="C1508" s="8">
        <v>2</v>
      </c>
      <c r="D1508" s="3" t="s">
        <v>2195</v>
      </c>
      <c r="E1508" s="11" t="s">
        <v>252</v>
      </c>
      <c r="F1508" s="11"/>
      <c r="G1508" s="9"/>
      <c r="H1508" s="11"/>
      <c r="I1508" s="11"/>
      <c r="J1508" s="3" t="str">
        <f t="shared" si="111"/>
        <v>2120008</v>
      </c>
    </row>
    <row r="1509" spans="2:10" s="3" customFormat="1">
      <c r="B1509" s="3" t="s">
        <v>2107</v>
      </c>
      <c r="C1509" s="8">
        <v>2</v>
      </c>
      <c r="D1509" s="3" t="s">
        <v>2195</v>
      </c>
      <c r="E1509" s="11" t="s">
        <v>10</v>
      </c>
      <c r="F1509" s="10">
        <v>1.2589999999999999E-3</v>
      </c>
      <c r="G1509" s="12">
        <f>ROUND(G$3*F1509,0)</f>
        <v>362</v>
      </c>
      <c r="H1509" s="13">
        <f>ROUND(G1509/2,0)</f>
        <v>181</v>
      </c>
      <c r="I1509" s="12">
        <f>G1509-H1509</f>
        <v>181</v>
      </c>
      <c r="J1509" s="3" t="str">
        <f t="shared" si="111"/>
        <v>2120008</v>
      </c>
    </row>
    <row r="1510" spans="2:10" s="3" customFormat="1">
      <c r="B1510" s="3" t="s">
        <v>2107</v>
      </c>
      <c r="C1510" s="8">
        <v>2</v>
      </c>
      <c r="D1510" s="3" t="s">
        <v>2195</v>
      </c>
      <c r="E1510" s="11" t="s">
        <v>11</v>
      </c>
      <c r="F1510" s="10">
        <v>7.9799999999999999E-4</v>
      </c>
      <c r="G1510" s="12">
        <f>ROUND(G$3*F1510,0)</f>
        <v>230</v>
      </c>
      <c r="H1510" s="13">
        <f>ROUND(G1510/2,0)</f>
        <v>115</v>
      </c>
      <c r="I1510" s="12">
        <f>G1510-H1510</f>
        <v>115</v>
      </c>
      <c r="J1510" s="3" t="str">
        <f t="shared" si="111"/>
        <v>2120008</v>
      </c>
    </row>
    <row r="1511" spans="2:10" s="3" customFormat="1">
      <c r="B1511" s="3" t="s">
        <v>2107</v>
      </c>
      <c r="C1511" s="8">
        <v>2</v>
      </c>
      <c r="D1511" s="3" t="s">
        <v>2196</v>
      </c>
      <c r="E1511" s="11" t="s">
        <v>483</v>
      </c>
      <c r="F1511" s="11"/>
      <c r="G1511" s="9"/>
      <c r="H1511" s="11"/>
      <c r="I1511" s="11"/>
      <c r="J1511" s="3" t="str">
        <f t="shared" si="111"/>
        <v>2120009</v>
      </c>
    </row>
    <row r="1512" spans="2:10" s="3" customFormat="1">
      <c r="B1512" s="3" t="s">
        <v>2107</v>
      </c>
      <c r="C1512" s="8">
        <v>2</v>
      </c>
      <c r="D1512" s="3" t="s">
        <v>2196</v>
      </c>
      <c r="E1512" s="11" t="s">
        <v>10</v>
      </c>
      <c r="F1512" s="10">
        <v>8.4500000000000005E-4</v>
      </c>
      <c r="G1512" s="12">
        <f>ROUND(G$3*F1512,0)</f>
        <v>243</v>
      </c>
      <c r="H1512" s="13">
        <f>ROUND(G1512/2,0)</f>
        <v>122</v>
      </c>
      <c r="I1512" s="12">
        <f>G1512-H1512</f>
        <v>121</v>
      </c>
      <c r="J1512" s="3" t="str">
        <f t="shared" si="111"/>
        <v>2120009</v>
      </c>
    </row>
    <row r="1513" spans="2:10" s="3" customFormat="1">
      <c r="B1513" s="3" t="s">
        <v>2107</v>
      </c>
      <c r="C1513" s="8">
        <v>2</v>
      </c>
      <c r="D1513" s="3" t="s">
        <v>2196</v>
      </c>
      <c r="E1513" s="11" t="s">
        <v>11</v>
      </c>
      <c r="F1513" s="10">
        <v>2.5000000000000001E-4</v>
      </c>
      <c r="G1513" s="12">
        <f>ROUND(G$3*F1513,0)</f>
        <v>72</v>
      </c>
      <c r="H1513" s="13">
        <f>ROUND(G1513/2,0)</f>
        <v>36</v>
      </c>
      <c r="I1513" s="12">
        <f>G1513-H1513</f>
        <v>36</v>
      </c>
      <c r="J1513" s="3" t="str">
        <f t="shared" si="111"/>
        <v>2120009</v>
      </c>
    </row>
    <row r="1514" spans="2:10" s="3" customFormat="1">
      <c r="B1514" s="3" t="s">
        <v>2107</v>
      </c>
      <c r="C1514" s="8">
        <v>3</v>
      </c>
      <c r="D1514" s="3" t="s">
        <v>2207</v>
      </c>
      <c r="E1514" s="11" t="s">
        <v>484</v>
      </c>
      <c r="F1514" s="10">
        <v>0.16173799999999999</v>
      </c>
      <c r="G1514" s="12">
        <f>ROUND(G$3*F1514,0)</f>
        <v>46536</v>
      </c>
      <c r="H1514" s="13">
        <f>ROUND(G1514/2,0)</f>
        <v>23268</v>
      </c>
      <c r="I1514" s="12">
        <f>G1514-H1514</f>
        <v>23268</v>
      </c>
      <c r="J1514" s="3" t="str">
        <f t="shared" si="111"/>
        <v>2130304</v>
      </c>
    </row>
    <row r="1515" spans="2:10" s="3" customFormat="1">
      <c r="B1515" s="3" t="s">
        <v>2107</v>
      </c>
      <c r="C1515" s="8">
        <v>3</v>
      </c>
      <c r="D1515" s="3" t="s">
        <v>2422</v>
      </c>
      <c r="E1515" s="11" t="s">
        <v>485</v>
      </c>
      <c r="F1515" s="10">
        <v>1.3060000000000001E-3</v>
      </c>
      <c r="G1515" s="12">
        <f>ROUND(G$3*F1515,0)</f>
        <v>376</v>
      </c>
      <c r="H1515" s="13">
        <f>ROUND(G1515/2,0)</f>
        <v>188</v>
      </c>
      <c r="I1515" s="12">
        <f>G1515-H1515</f>
        <v>188</v>
      </c>
      <c r="J1515" s="3" t="str">
        <f t="shared" si="111"/>
        <v>2130860</v>
      </c>
    </row>
    <row r="1516" spans="2:10" s="3" customFormat="1">
      <c r="B1516" s="3" t="s">
        <v>2107</v>
      </c>
      <c r="C1516" s="8">
        <v>4</v>
      </c>
      <c r="D1516" s="3" t="s">
        <v>2423</v>
      </c>
      <c r="E1516" s="11" t="s">
        <v>486</v>
      </c>
      <c r="F1516" s="10">
        <v>0.50625299999999995</v>
      </c>
      <c r="G1516" s="9">
        <f>ROUND(G$3*F1516,0)</f>
        <v>145661</v>
      </c>
      <c r="H1516" s="11">
        <f>ROUND(G1516/2,0)</f>
        <v>72831</v>
      </c>
      <c r="I1516" s="9">
        <f>G1516-H1516</f>
        <v>72830</v>
      </c>
      <c r="J1516" s="3" t="str">
        <f t="shared" si="111"/>
        <v>2142395</v>
      </c>
    </row>
    <row r="1517" spans="2:10" s="3" customFormat="1">
      <c r="B1517" s="3" t="s">
        <v>2107</v>
      </c>
      <c r="C1517" s="8">
        <v>4</v>
      </c>
      <c r="D1517" s="3" t="s">
        <v>2423</v>
      </c>
      <c r="E1517" s="11" t="s">
        <v>28</v>
      </c>
      <c r="F1517" s="11"/>
      <c r="G1517" s="14">
        <v>0.51203299999999996</v>
      </c>
      <c r="H1517" s="11"/>
      <c r="I1517" s="11"/>
      <c r="J1517" s="3" t="str">
        <f t="shared" si="111"/>
        <v>2142395</v>
      </c>
    </row>
    <row r="1518" spans="2:10" s="3" customFormat="1">
      <c r="B1518" s="3" t="s">
        <v>2107</v>
      </c>
      <c r="C1518" s="8">
        <v>4</v>
      </c>
      <c r="D1518" s="3" t="s">
        <v>2423</v>
      </c>
      <c r="E1518" s="11" t="s">
        <v>29</v>
      </c>
      <c r="F1518" s="11"/>
      <c r="G1518" s="15">
        <f>ROUND(G1516*G1517,0)</f>
        <v>74583</v>
      </c>
      <c r="H1518" s="16">
        <f>ROUND(G1518/2,0)</f>
        <v>37292</v>
      </c>
      <c r="I1518" s="15">
        <f>G1518-H1518</f>
        <v>37291</v>
      </c>
      <c r="J1518" s="3" t="str">
        <f t="shared" si="111"/>
        <v>2142395</v>
      </c>
    </row>
    <row r="1519" spans="2:10" s="3" customFormat="1">
      <c r="B1519" s="3" t="s">
        <v>2107</v>
      </c>
      <c r="C1519" s="8">
        <v>4</v>
      </c>
      <c r="D1519" s="3" t="s">
        <v>2423</v>
      </c>
      <c r="E1519" s="11" t="s">
        <v>30</v>
      </c>
      <c r="F1519" s="11"/>
      <c r="G1519" s="12">
        <f>+G1516-G1518</f>
        <v>71078</v>
      </c>
      <c r="H1519" s="13">
        <f>ROUND(G1519/2,0)</f>
        <v>35539</v>
      </c>
      <c r="I1519" s="12">
        <f>G1519-H1519</f>
        <v>35539</v>
      </c>
      <c r="J1519" s="3" t="str">
        <f t="shared" si="111"/>
        <v>2142395</v>
      </c>
    </row>
    <row r="1520" spans="2:10" s="3" customFormat="1">
      <c r="B1520" s="3" t="s">
        <v>2107</v>
      </c>
      <c r="C1520" s="8">
        <v>5</v>
      </c>
      <c r="D1520" s="3" t="s">
        <v>3667</v>
      </c>
      <c r="E1520" s="11" t="s">
        <v>487</v>
      </c>
      <c r="F1520" s="10">
        <v>2.6542000000000066E-2</v>
      </c>
      <c r="G1520" s="120">
        <f>+G1481-SUM(G1482:G1483)-SUM(G1488:G1516)</f>
        <v>-163552</v>
      </c>
      <c r="H1520" s="120">
        <f>ROUND(G1520/2,0)</f>
        <v>-81776</v>
      </c>
      <c r="I1520" s="120">
        <f>G1520-H1520</f>
        <v>-81776</v>
      </c>
      <c r="J1520" s="3" t="str">
        <f t="shared" si="111"/>
        <v>2150049</v>
      </c>
    </row>
    <row r="1521" spans="1:10" s="3" customFormat="1">
      <c r="A1521" s="3" t="s">
        <v>6269</v>
      </c>
      <c r="B1521" s="3" t="s">
        <v>2107</v>
      </c>
      <c r="C1521" s="8">
        <v>6</v>
      </c>
      <c r="D1521" s="3" t="s">
        <v>6267</v>
      </c>
      <c r="E1521" s="11" t="s">
        <v>488</v>
      </c>
      <c r="F1521" s="10">
        <v>0</v>
      </c>
      <c r="G1521" s="120">
        <f>ROUND(G$3*F1521,0)</f>
        <v>0</v>
      </c>
      <c r="H1521" s="120">
        <f>ROUND(G1521/2,0)</f>
        <v>0</v>
      </c>
      <c r="I1521" s="120">
        <f>G1521-H1521</f>
        <v>0</v>
      </c>
      <c r="J1521" s="3" t="str">
        <f t="shared" si="111"/>
        <v>216XXXX</v>
      </c>
    </row>
    <row r="1522" spans="1:10" s="3" customFormat="1">
      <c r="B1522" s="3" t="s">
        <v>2107</v>
      </c>
      <c r="C1522" s="8">
        <v>0</v>
      </c>
      <c r="D1522" s="125" t="s">
        <v>2187</v>
      </c>
      <c r="E1522" s="28" t="s">
        <v>288</v>
      </c>
      <c r="F1522" s="10">
        <v>1</v>
      </c>
      <c r="G1522" s="12">
        <f>+G1482+SUM(G1485:G1515)+SUM(G1518:G1521)</f>
        <v>116534</v>
      </c>
      <c r="H1522" s="12">
        <f>+H1482+SUM(H1485:H1515)+SUM(H1518:H1521)</f>
        <v>58273</v>
      </c>
      <c r="I1522" s="12">
        <f>+I1482+SUM(I1485:I1515)+SUM(I1518:I1521)</f>
        <v>58261</v>
      </c>
      <c r="J1522" s="3" t="str">
        <f t="shared" si="111"/>
        <v>2100000</v>
      </c>
    </row>
    <row r="1523" spans="1:10" s="3" customFormat="1">
      <c r="B1523" s="3" t="s">
        <v>2107</v>
      </c>
      <c r="C1523" s="8">
        <v>0</v>
      </c>
      <c r="D1523" s="3" t="s">
        <v>2187</v>
      </c>
      <c r="E1523" s="18" t="s">
        <v>38</v>
      </c>
      <c r="G1523" s="19">
        <f>+G1482</f>
        <v>317</v>
      </c>
      <c r="H1523" s="19">
        <f>+H1482</f>
        <v>159</v>
      </c>
      <c r="I1523" s="19">
        <f>+I1482</f>
        <v>158</v>
      </c>
      <c r="J1523" s="3" t="str">
        <f t="shared" si="111"/>
        <v>2100000</v>
      </c>
    </row>
    <row r="1524" spans="1:10" s="3" customFormat="1">
      <c r="B1524" s="3" t="s">
        <v>2107</v>
      </c>
      <c r="C1524" s="8">
        <v>0</v>
      </c>
      <c r="D1524" s="3" t="s">
        <v>2187</v>
      </c>
      <c r="E1524" s="2" t="s">
        <v>39</v>
      </c>
      <c r="G1524" s="19">
        <f>+G1485</f>
        <v>24210</v>
      </c>
      <c r="H1524" s="19">
        <f>+H1485</f>
        <v>12105</v>
      </c>
      <c r="I1524" s="19">
        <f>+I1485</f>
        <v>12105</v>
      </c>
      <c r="J1524" s="3" t="str">
        <f t="shared" si="111"/>
        <v>2100000</v>
      </c>
    </row>
    <row r="1525" spans="1:10" s="3" customFormat="1">
      <c r="B1525" s="3" t="s">
        <v>2107</v>
      </c>
      <c r="C1525" s="8">
        <v>0</v>
      </c>
      <c r="D1525" s="3" t="s">
        <v>2187</v>
      </c>
      <c r="E1525" s="2" t="s">
        <v>40</v>
      </c>
      <c r="G1525" s="19">
        <f>+G1518</f>
        <v>74583</v>
      </c>
      <c r="H1525" s="19">
        <f>+H1518</f>
        <v>37292</v>
      </c>
      <c r="I1525" s="19">
        <f>+I1518</f>
        <v>37291</v>
      </c>
      <c r="J1525" s="3" t="str">
        <f t="shared" si="111"/>
        <v>2100000</v>
      </c>
    </row>
    <row r="1526" spans="1:10" s="3" customFormat="1">
      <c r="B1526" s="3" t="s">
        <v>2107</v>
      </c>
      <c r="C1526" s="8">
        <v>0</v>
      </c>
      <c r="D1526" s="125" t="s">
        <v>2187</v>
      </c>
      <c r="E1526" s="18" t="s">
        <v>41</v>
      </c>
      <c r="G1526" s="19">
        <f>+G1522-G1523-G1524-G1525</f>
        <v>17424</v>
      </c>
      <c r="H1526" s="19">
        <f>+H1522-H1523-H1524-H1525</f>
        <v>8717</v>
      </c>
      <c r="I1526" s="19">
        <f>+I1522-I1523-I1524-I1525</f>
        <v>8707</v>
      </c>
      <c r="J1526" s="3" t="str">
        <f t="shared" si="111"/>
        <v>2100000</v>
      </c>
    </row>
    <row r="1527" spans="1:10" ht="15.75">
      <c r="B1527" s="3" t="s">
        <v>2186</v>
      </c>
      <c r="D1527" t="s">
        <v>2186</v>
      </c>
      <c r="E1527">
        <v>0</v>
      </c>
      <c r="G1527"/>
      <c r="H1527"/>
      <c r="I1527"/>
      <c r="J1527" s="3" t="str">
        <f t="shared" si="111"/>
        <v/>
      </c>
    </row>
    <row r="1528" spans="1:10" s="3" customFormat="1">
      <c r="C1528" s="1"/>
      <c r="D1528" s="3" t="s">
        <v>2186</v>
      </c>
      <c r="E1528" s="2" t="s">
        <v>489</v>
      </c>
      <c r="J1528" s="3" t="str">
        <f t="shared" si="111"/>
        <v/>
      </c>
    </row>
    <row r="1529" spans="1:10" s="3" customFormat="1" ht="45">
      <c r="B1529" s="3" t="s">
        <v>2186</v>
      </c>
      <c r="C1529" s="1"/>
      <c r="D1529" s="3" t="s">
        <v>2186</v>
      </c>
      <c r="E1529" s="1">
        <v>0</v>
      </c>
      <c r="F1529" s="6" t="s">
        <v>1</v>
      </c>
      <c r="G1529" s="60">
        <f>'Allocation Worksheet'!H1529</f>
        <v>0</v>
      </c>
      <c r="H1529" s="60">
        <f>'Allocation Worksheet'!H1530</f>
        <v>0</v>
      </c>
      <c r="I1529" s="60">
        <f>'Allocation Worksheet'!H1531</f>
        <v>0</v>
      </c>
      <c r="J1529" s="3" t="str">
        <f t="shared" si="111"/>
        <v/>
      </c>
    </row>
    <row r="1530" spans="1:10" s="3" customFormat="1">
      <c r="C1530" s="7" t="s">
        <v>2087</v>
      </c>
      <c r="D1530" s="3" t="s">
        <v>2186</v>
      </c>
      <c r="E1530" s="7" t="s">
        <v>3</v>
      </c>
      <c r="F1530" s="10"/>
      <c r="G1530" s="9">
        <f>'Allocation Worksheet'!$D$25</f>
        <v>390393</v>
      </c>
      <c r="H1530" s="11"/>
      <c r="I1530" s="11"/>
      <c r="J1530" s="3" t="str">
        <f t="shared" si="111"/>
        <v>UT</v>
      </c>
    </row>
    <row r="1531" spans="1:10" s="3" customFormat="1">
      <c r="B1531" s="3" t="s">
        <v>2108</v>
      </c>
      <c r="C1531" s="8">
        <v>0</v>
      </c>
      <c r="D1531" s="3" t="s">
        <v>2187</v>
      </c>
      <c r="E1531" s="24" t="s">
        <v>4</v>
      </c>
      <c r="F1531" s="10">
        <v>9.9200000000000004E-4</v>
      </c>
      <c r="G1531" s="12">
        <f>ROUND(G$3*F1531,0)</f>
        <v>285</v>
      </c>
      <c r="H1531" s="13">
        <f>ROUND(G1531/2,0)</f>
        <v>143</v>
      </c>
      <c r="I1531" s="12">
        <f>G1531-H1531</f>
        <v>142</v>
      </c>
      <c r="J1531" s="3" t="str">
        <f t="shared" si="111"/>
        <v>2200000</v>
      </c>
    </row>
    <row r="1532" spans="1:10" s="3" customFormat="1">
      <c r="B1532" s="3" t="s">
        <v>2108</v>
      </c>
      <c r="C1532" s="42">
        <v>1</v>
      </c>
      <c r="D1532" s="3" t="s">
        <v>2187</v>
      </c>
      <c r="E1532" s="24" t="s">
        <v>490</v>
      </c>
      <c r="F1532" s="10">
        <v>0.149034</v>
      </c>
      <c r="G1532" s="9">
        <f>ROUND(G$3*F1532,0)</f>
        <v>42881</v>
      </c>
      <c r="H1532" s="11">
        <f>ROUND(G1532/2,0)</f>
        <v>21441</v>
      </c>
      <c r="I1532" s="9">
        <f>G1532-H1532</f>
        <v>21440</v>
      </c>
      <c r="J1532" s="3" t="str">
        <f t="shared" si="111"/>
        <v>2210000</v>
      </c>
    </row>
    <row r="1533" spans="1:10" s="3" customFormat="1">
      <c r="B1533" s="3" t="s">
        <v>2108</v>
      </c>
      <c r="C1533" s="42">
        <v>1</v>
      </c>
      <c r="D1533" s="3" t="s">
        <v>2187</v>
      </c>
      <c r="E1533" s="11" t="s">
        <v>6</v>
      </c>
      <c r="F1533" s="11"/>
      <c r="G1533" s="14">
        <v>0.35183399999999998</v>
      </c>
      <c r="H1533" s="11"/>
      <c r="I1533" s="11"/>
      <c r="J1533" s="3" t="str">
        <f t="shared" si="111"/>
        <v>2210000</v>
      </c>
    </row>
    <row r="1534" spans="1:10" s="3" customFormat="1">
      <c r="B1534" s="3" t="s">
        <v>2108</v>
      </c>
      <c r="C1534" s="42">
        <v>1</v>
      </c>
      <c r="D1534" s="3" t="s">
        <v>2187</v>
      </c>
      <c r="E1534" s="11" t="s">
        <v>7</v>
      </c>
      <c r="F1534" s="11"/>
      <c r="G1534" s="15">
        <f>ROUND(G1532*G1533,0)</f>
        <v>15087</v>
      </c>
      <c r="H1534" s="16">
        <f>ROUND(G1534/2,0)</f>
        <v>7544</v>
      </c>
      <c r="I1534" s="15">
        <f>G1534-H1534</f>
        <v>7543</v>
      </c>
      <c r="J1534" s="3" t="str">
        <f t="shared" si="111"/>
        <v>2210000</v>
      </c>
    </row>
    <row r="1535" spans="1:10" s="3" customFormat="1">
      <c r="B1535" s="3" t="s">
        <v>2108</v>
      </c>
      <c r="C1535" s="42">
        <v>1</v>
      </c>
      <c r="D1535" s="3" t="s">
        <v>2187</v>
      </c>
      <c r="E1535" s="11" t="s">
        <v>8</v>
      </c>
      <c r="F1535" s="11"/>
      <c r="G1535" s="12">
        <f>+G1532-G1534</f>
        <v>27794</v>
      </c>
      <c r="H1535" s="13">
        <f>ROUND(G1535/2,0)</f>
        <v>13897</v>
      </c>
      <c r="I1535" s="12">
        <f>G1535-H1535</f>
        <v>13897</v>
      </c>
      <c r="J1535" s="3" t="str">
        <f t="shared" si="111"/>
        <v>2210000</v>
      </c>
    </row>
    <row r="1536" spans="1:10" s="3" customFormat="1">
      <c r="B1536" s="3" t="s">
        <v>2108</v>
      </c>
      <c r="C1536" s="42">
        <v>2</v>
      </c>
      <c r="D1536" s="3" t="s">
        <v>2188</v>
      </c>
      <c r="E1536" s="24" t="s">
        <v>372</v>
      </c>
      <c r="F1536" s="11"/>
      <c r="G1536" s="9"/>
      <c r="H1536" s="11"/>
      <c r="I1536" s="11"/>
      <c r="J1536" s="3" t="str">
        <f t="shared" si="111"/>
        <v>2220001</v>
      </c>
    </row>
    <row r="1537" spans="2:10" s="3" customFormat="1">
      <c r="B1537" s="3" t="s">
        <v>2108</v>
      </c>
      <c r="C1537" s="42">
        <v>2</v>
      </c>
      <c r="D1537" s="3" t="s">
        <v>2188</v>
      </c>
      <c r="E1537" s="24" t="s">
        <v>10</v>
      </c>
      <c r="F1537" s="10">
        <v>6.9999999999999999E-6</v>
      </c>
      <c r="G1537" s="12">
        <f>ROUND(G$3*F1537,0)</f>
        <v>2</v>
      </c>
      <c r="H1537" s="13">
        <f>ROUND(G1537/2,0)</f>
        <v>1</v>
      </c>
      <c r="I1537" s="12">
        <f>G1537-H1537</f>
        <v>1</v>
      </c>
      <c r="J1537" s="3" t="str">
        <f t="shared" si="111"/>
        <v>2220001</v>
      </c>
    </row>
    <row r="1538" spans="2:10" s="3" customFormat="1">
      <c r="B1538" s="3" t="s">
        <v>2108</v>
      </c>
      <c r="C1538" s="42">
        <v>2</v>
      </c>
      <c r="D1538" s="3" t="s">
        <v>2188</v>
      </c>
      <c r="E1538" s="24" t="s">
        <v>11</v>
      </c>
      <c r="F1538" s="10">
        <v>5.0000000000000004E-6</v>
      </c>
      <c r="G1538" s="12">
        <f>ROUND(G$3*F1538,0)</f>
        <v>1</v>
      </c>
      <c r="H1538" s="13">
        <f>ROUND(G1538/2,0)</f>
        <v>1</v>
      </c>
      <c r="I1538" s="12">
        <f>G1538-H1538</f>
        <v>0</v>
      </c>
      <c r="J1538" s="3" t="str">
        <f t="shared" si="111"/>
        <v>2220001</v>
      </c>
    </row>
    <row r="1539" spans="2:10" s="3" customFormat="1">
      <c r="B1539" s="3" t="s">
        <v>2108</v>
      </c>
      <c r="C1539" s="42">
        <v>2</v>
      </c>
      <c r="D1539" s="3" t="s">
        <v>2189</v>
      </c>
      <c r="E1539" s="24" t="s">
        <v>491</v>
      </c>
      <c r="F1539" s="11"/>
      <c r="G1539" s="9"/>
      <c r="H1539" s="11"/>
      <c r="I1539" s="11"/>
      <c r="J1539" s="3" t="str">
        <f t="shared" si="111"/>
        <v>2220002</v>
      </c>
    </row>
    <row r="1540" spans="2:10" s="3" customFormat="1">
      <c r="B1540" s="3" t="s">
        <v>2108</v>
      </c>
      <c r="C1540" s="42">
        <v>2</v>
      </c>
      <c r="D1540" s="3" t="s">
        <v>2189</v>
      </c>
      <c r="E1540" s="24" t="s">
        <v>10</v>
      </c>
      <c r="F1540" s="10">
        <v>1.1400000000000001E-4</v>
      </c>
      <c r="G1540" s="12">
        <f>ROUND(G$3*F1540,0)</f>
        <v>33</v>
      </c>
      <c r="H1540" s="13">
        <f>ROUND(G1540/2,0)</f>
        <v>17</v>
      </c>
      <c r="I1540" s="12">
        <f>G1540-H1540</f>
        <v>16</v>
      </c>
      <c r="J1540" s="3" t="str">
        <f t="shared" ref="J1540:J1603" si="112">B1540&amp;C1540&amp;D1540</f>
        <v>2220002</v>
      </c>
    </row>
    <row r="1541" spans="2:10" s="3" customFormat="1">
      <c r="B1541" s="3" t="s">
        <v>2108</v>
      </c>
      <c r="C1541" s="42">
        <v>2</v>
      </c>
      <c r="D1541" s="3" t="s">
        <v>2189</v>
      </c>
      <c r="E1541" s="24" t="s">
        <v>11</v>
      </c>
      <c r="F1541" s="10">
        <v>1.3999999999999999E-4</v>
      </c>
      <c r="G1541" s="12">
        <f>ROUND(G$3*F1541,0)</f>
        <v>40</v>
      </c>
      <c r="H1541" s="13">
        <f>ROUND(G1541/2,0)</f>
        <v>20</v>
      </c>
      <c r="I1541" s="12">
        <f>G1541-H1541</f>
        <v>20</v>
      </c>
      <c r="J1541" s="3" t="str">
        <f t="shared" si="112"/>
        <v>2220002</v>
      </c>
    </row>
    <row r="1542" spans="2:10" s="3" customFormat="1">
      <c r="B1542" s="3" t="s">
        <v>2108</v>
      </c>
      <c r="C1542" s="42">
        <v>2</v>
      </c>
      <c r="D1542" s="3" t="s">
        <v>2190</v>
      </c>
      <c r="E1542" s="24" t="s">
        <v>492</v>
      </c>
      <c r="F1542" s="11"/>
      <c r="G1542" s="9"/>
      <c r="H1542" s="11"/>
      <c r="I1542" s="11"/>
      <c r="J1542" s="3" t="str">
        <f t="shared" si="112"/>
        <v>2220003</v>
      </c>
    </row>
    <row r="1543" spans="2:10" s="3" customFormat="1">
      <c r="B1543" s="3" t="s">
        <v>2108</v>
      </c>
      <c r="C1543" s="42">
        <v>2</v>
      </c>
      <c r="D1543" s="3" t="s">
        <v>2190</v>
      </c>
      <c r="E1543" s="24" t="s">
        <v>10</v>
      </c>
      <c r="F1543" s="10">
        <v>4.7600000000000002E-4</v>
      </c>
      <c r="G1543" s="12">
        <f>ROUND(G$3*F1543,0)</f>
        <v>137</v>
      </c>
      <c r="H1543" s="13">
        <f>ROUND(G1543/2,0)</f>
        <v>69</v>
      </c>
      <c r="I1543" s="12">
        <f>G1543-H1543</f>
        <v>68</v>
      </c>
      <c r="J1543" s="3" t="str">
        <f t="shared" si="112"/>
        <v>2220003</v>
      </c>
    </row>
    <row r="1544" spans="2:10" s="3" customFormat="1">
      <c r="B1544" s="3" t="s">
        <v>2108</v>
      </c>
      <c r="C1544" s="42">
        <v>2</v>
      </c>
      <c r="D1544" s="3" t="s">
        <v>2190</v>
      </c>
      <c r="E1544" s="24" t="s">
        <v>11</v>
      </c>
      <c r="F1544" s="10">
        <v>1.3190000000000001E-3</v>
      </c>
      <c r="G1544" s="12">
        <f>ROUND(G$3*F1544,0)</f>
        <v>380</v>
      </c>
      <c r="H1544" s="13">
        <f>ROUND(G1544/2,0)</f>
        <v>190</v>
      </c>
      <c r="I1544" s="12">
        <f>G1544-H1544</f>
        <v>190</v>
      </c>
      <c r="J1544" s="3" t="str">
        <f t="shared" si="112"/>
        <v>2220003</v>
      </c>
    </row>
    <row r="1545" spans="2:10" s="3" customFormat="1">
      <c r="B1545" s="3" t="s">
        <v>2108</v>
      </c>
      <c r="C1545" s="42">
        <v>2</v>
      </c>
      <c r="D1545" s="3" t="s">
        <v>2191</v>
      </c>
      <c r="E1545" s="24" t="s">
        <v>50</v>
      </c>
      <c r="F1545" s="11"/>
      <c r="G1545" s="9"/>
      <c r="H1545" s="11"/>
      <c r="I1545" s="11"/>
      <c r="J1545" s="3" t="str">
        <f t="shared" si="112"/>
        <v>2220004</v>
      </c>
    </row>
    <row r="1546" spans="2:10" s="3" customFormat="1">
      <c r="B1546" s="3" t="s">
        <v>2108</v>
      </c>
      <c r="C1546" s="42">
        <v>2</v>
      </c>
      <c r="D1546" s="3" t="s">
        <v>2191</v>
      </c>
      <c r="E1546" s="24" t="s">
        <v>10</v>
      </c>
      <c r="F1546" s="10">
        <v>1.3209999999999999E-3</v>
      </c>
      <c r="G1546" s="12">
        <f>ROUND(G$3*F1546,0)</f>
        <v>380</v>
      </c>
      <c r="H1546" s="13">
        <f>ROUND(G1546/2,0)</f>
        <v>190</v>
      </c>
      <c r="I1546" s="12">
        <f>G1546-H1546</f>
        <v>190</v>
      </c>
      <c r="J1546" s="3" t="str">
        <f t="shared" si="112"/>
        <v>2220004</v>
      </c>
    </row>
    <row r="1547" spans="2:10" s="3" customFormat="1">
      <c r="B1547" s="3" t="s">
        <v>2108</v>
      </c>
      <c r="C1547" s="42">
        <v>2</v>
      </c>
      <c r="D1547" s="3" t="s">
        <v>2191</v>
      </c>
      <c r="E1547" s="24" t="s">
        <v>11</v>
      </c>
      <c r="F1547" s="10">
        <v>1.127E-3</v>
      </c>
      <c r="G1547" s="12">
        <f>ROUND(G$3*F1547,0)</f>
        <v>324</v>
      </c>
      <c r="H1547" s="13">
        <f>ROUND(G1547/2,0)</f>
        <v>162</v>
      </c>
      <c r="I1547" s="12">
        <f>G1547-H1547</f>
        <v>162</v>
      </c>
      <c r="J1547" s="3" t="str">
        <f t="shared" si="112"/>
        <v>2220004</v>
      </c>
    </row>
    <row r="1548" spans="2:10" s="3" customFormat="1">
      <c r="B1548" s="3" t="s">
        <v>2108</v>
      </c>
      <c r="C1548" s="42">
        <v>2</v>
      </c>
      <c r="D1548" s="3" t="s">
        <v>2192</v>
      </c>
      <c r="E1548" s="24" t="s">
        <v>493</v>
      </c>
      <c r="F1548" s="11"/>
      <c r="G1548" s="9"/>
      <c r="H1548" s="11"/>
      <c r="I1548" s="11"/>
      <c r="J1548" s="3" t="str">
        <f t="shared" si="112"/>
        <v>2220005</v>
      </c>
    </row>
    <row r="1549" spans="2:10" s="3" customFormat="1">
      <c r="B1549" s="3" t="s">
        <v>2108</v>
      </c>
      <c r="C1549" s="42">
        <v>2</v>
      </c>
      <c r="D1549" s="3" t="s">
        <v>2192</v>
      </c>
      <c r="E1549" s="24" t="s">
        <v>10</v>
      </c>
      <c r="F1549" s="10">
        <v>4.0590000000000001E-3</v>
      </c>
      <c r="G1549" s="12">
        <f t="shared" ref="G1549:G1554" si="113">ROUND(G$3*F1549,0)</f>
        <v>1168</v>
      </c>
      <c r="H1549" s="13">
        <f t="shared" ref="H1549:H1554" si="114">ROUND(G1549/2,0)</f>
        <v>584</v>
      </c>
      <c r="I1549" s="12">
        <f t="shared" ref="I1549:I1554" si="115">G1549-H1549</f>
        <v>584</v>
      </c>
      <c r="J1549" s="3" t="str">
        <f t="shared" si="112"/>
        <v>2220005</v>
      </c>
    </row>
    <row r="1550" spans="2:10" s="3" customFormat="1">
      <c r="B1550" s="3" t="s">
        <v>2108</v>
      </c>
      <c r="C1550" s="42">
        <v>2</v>
      </c>
      <c r="D1550" s="3" t="s">
        <v>2192</v>
      </c>
      <c r="E1550" s="24" t="s">
        <v>11</v>
      </c>
      <c r="F1550" s="10">
        <v>7.6999999999999996E-4</v>
      </c>
      <c r="G1550" s="12">
        <f t="shared" si="113"/>
        <v>222</v>
      </c>
      <c r="H1550" s="13">
        <f t="shared" si="114"/>
        <v>111</v>
      </c>
      <c r="I1550" s="12">
        <f t="shared" si="115"/>
        <v>111</v>
      </c>
      <c r="J1550" s="3" t="str">
        <f t="shared" si="112"/>
        <v>2220005</v>
      </c>
    </row>
    <row r="1551" spans="2:10" s="3" customFormat="1">
      <c r="B1551" s="3" t="s">
        <v>2108</v>
      </c>
      <c r="C1551" s="42">
        <v>3</v>
      </c>
      <c r="D1551" s="3" t="s">
        <v>2425</v>
      </c>
      <c r="E1551" s="24" t="s">
        <v>494</v>
      </c>
      <c r="F1551" s="10">
        <v>8.7500000000000002E-4</v>
      </c>
      <c r="G1551" s="12">
        <f t="shared" si="113"/>
        <v>252</v>
      </c>
      <c r="H1551" s="13">
        <f t="shared" si="114"/>
        <v>126</v>
      </c>
      <c r="I1551" s="12">
        <f t="shared" si="115"/>
        <v>126</v>
      </c>
      <c r="J1551" s="3" t="str">
        <f t="shared" si="112"/>
        <v>2230603</v>
      </c>
    </row>
    <row r="1552" spans="2:10" s="3" customFormat="1">
      <c r="B1552" s="3" t="s">
        <v>2108</v>
      </c>
      <c r="C1552" s="42">
        <v>3</v>
      </c>
      <c r="D1552" s="3" t="s">
        <v>2426</v>
      </c>
      <c r="E1552" s="24" t="s">
        <v>495</v>
      </c>
      <c r="F1552" s="10">
        <v>4.5100000000000001E-4</v>
      </c>
      <c r="G1552" s="12">
        <f t="shared" si="113"/>
        <v>130</v>
      </c>
      <c r="H1552" s="13">
        <f t="shared" si="114"/>
        <v>65</v>
      </c>
      <c r="I1552" s="12">
        <f t="shared" si="115"/>
        <v>65</v>
      </c>
      <c r="J1552" s="3" t="str">
        <f t="shared" si="112"/>
        <v>2230604</v>
      </c>
    </row>
    <row r="1553" spans="1:10" s="3" customFormat="1">
      <c r="B1553" s="3" t="s">
        <v>2108</v>
      </c>
      <c r="C1553" s="42">
        <v>3</v>
      </c>
      <c r="D1553" s="3" t="s">
        <v>2424</v>
      </c>
      <c r="E1553" s="24" t="s">
        <v>496</v>
      </c>
      <c r="F1553" s="10">
        <v>0.23466699999999999</v>
      </c>
      <c r="G1553" s="12">
        <f t="shared" si="113"/>
        <v>67519</v>
      </c>
      <c r="H1553" s="13">
        <f t="shared" si="114"/>
        <v>33760</v>
      </c>
      <c r="I1553" s="12">
        <f t="shared" si="115"/>
        <v>33759</v>
      </c>
      <c r="J1553" s="3" t="str">
        <f t="shared" si="112"/>
        <v>2230116</v>
      </c>
    </row>
    <row r="1554" spans="1:10" s="3" customFormat="1">
      <c r="B1554" s="3" t="s">
        <v>2108</v>
      </c>
      <c r="C1554" s="42">
        <v>4</v>
      </c>
      <c r="D1554" s="116" t="s">
        <v>2427</v>
      </c>
      <c r="E1554" s="24" t="s">
        <v>497</v>
      </c>
      <c r="F1554" s="10">
        <v>0.570295</v>
      </c>
      <c r="G1554" s="9">
        <f t="shared" si="113"/>
        <v>164087</v>
      </c>
      <c r="H1554" s="11">
        <f t="shared" si="114"/>
        <v>82044</v>
      </c>
      <c r="I1554" s="9">
        <f t="shared" si="115"/>
        <v>82043</v>
      </c>
      <c r="J1554" s="3" t="str">
        <f t="shared" si="112"/>
        <v>2242400</v>
      </c>
    </row>
    <row r="1555" spans="1:10" s="3" customFormat="1">
      <c r="B1555" s="3" t="s">
        <v>2108</v>
      </c>
      <c r="C1555" s="42">
        <v>4</v>
      </c>
      <c r="D1555" s="116" t="s">
        <v>2427</v>
      </c>
      <c r="E1555" s="11" t="s">
        <v>28</v>
      </c>
      <c r="F1555" s="11"/>
      <c r="G1555" s="14">
        <v>0.40936099999999997</v>
      </c>
      <c r="H1555" s="11"/>
      <c r="I1555" s="11"/>
      <c r="J1555" s="3" t="str">
        <f t="shared" si="112"/>
        <v>2242400</v>
      </c>
    </row>
    <row r="1556" spans="1:10" s="3" customFormat="1">
      <c r="B1556" s="3" t="s">
        <v>2108</v>
      </c>
      <c r="C1556" s="42">
        <v>4</v>
      </c>
      <c r="D1556" s="116" t="s">
        <v>2427</v>
      </c>
      <c r="E1556" s="11" t="s">
        <v>29</v>
      </c>
      <c r="F1556" s="11"/>
      <c r="G1556" s="15">
        <f>ROUND(G1554*G1555,0)</f>
        <v>67171</v>
      </c>
      <c r="H1556" s="16">
        <f>ROUND(G1556/2,0)</f>
        <v>33586</v>
      </c>
      <c r="I1556" s="15">
        <f>G1556-H1556</f>
        <v>33585</v>
      </c>
      <c r="J1556" s="3" t="str">
        <f t="shared" si="112"/>
        <v>2242400</v>
      </c>
    </row>
    <row r="1557" spans="1:10" s="3" customFormat="1">
      <c r="B1557" s="3" t="s">
        <v>2108</v>
      </c>
      <c r="C1557" s="42">
        <v>4</v>
      </c>
      <c r="D1557" s="116" t="s">
        <v>2427</v>
      </c>
      <c r="E1557" s="11" t="s">
        <v>30</v>
      </c>
      <c r="F1557" s="11"/>
      <c r="G1557" s="12">
        <f>+G1554-G1556</f>
        <v>96916</v>
      </c>
      <c r="H1557" s="13">
        <f>ROUND(G1557/2,0)</f>
        <v>48458</v>
      </c>
      <c r="I1557" s="12">
        <f>G1557-H1557</f>
        <v>48458</v>
      </c>
      <c r="J1557" s="3" t="str">
        <f t="shared" si="112"/>
        <v>2242400</v>
      </c>
    </row>
    <row r="1558" spans="1:10" s="3" customFormat="1">
      <c r="B1558" s="3" t="s">
        <v>2108</v>
      </c>
      <c r="C1558" s="42">
        <v>5</v>
      </c>
      <c r="D1558" s="3" t="s">
        <v>3862</v>
      </c>
      <c r="E1558" s="24" t="s">
        <v>498</v>
      </c>
      <c r="F1558" s="10">
        <v>2.8225E-2</v>
      </c>
      <c r="G1558" s="120">
        <f>ROUND(G$3*F1558,0)</f>
        <v>8121</v>
      </c>
      <c r="H1558" s="120">
        <f>ROUND(G1558/2,0)</f>
        <v>4061</v>
      </c>
      <c r="I1558" s="120">
        <f>G1558-H1558</f>
        <v>4060</v>
      </c>
      <c r="J1558" s="3" t="str">
        <f t="shared" si="112"/>
        <v>2250050</v>
      </c>
    </row>
    <row r="1559" spans="1:10" s="3" customFormat="1">
      <c r="A1559" s="3" t="s">
        <v>6269</v>
      </c>
      <c r="B1559" s="3" t="s">
        <v>2108</v>
      </c>
      <c r="C1559" s="42">
        <v>6</v>
      </c>
      <c r="D1559" s="3" t="s">
        <v>2429</v>
      </c>
      <c r="E1559" s="24" t="s">
        <v>499</v>
      </c>
      <c r="F1559" s="10">
        <v>0</v>
      </c>
      <c r="G1559" s="12">
        <f>ROUND(G$3*F1559,0)</f>
        <v>0</v>
      </c>
      <c r="H1559" s="13">
        <f>ROUND(G1559/2,0)</f>
        <v>0</v>
      </c>
      <c r="I1559" s="12">
        <f>G1559-H1559</f>
        <v>0</v>
      </c>
      <c r="J1559" s="3" t="str">
        <f t="shared" si="112"/>
        <v>2261016</v>
      </c>
    </row>
    <row r="1560" spans="1:10" s="3" customFormat="1">
      <c r="B1560" s="3" t="s">
        <v>2108</v>
      </c>
      <c r="C1560" s="42">
        <v>6</v>
      </c>
      <c r="D1560" s="3" t="s">
        <v>2428</v>
      </c>
      <c r="E1560" s="24" t="s">
        <v>500</v>
      </c>
      <c r="F1560" s="10">
        <v>6.1230000000001006E-3</v>
      </c>
      <c r="G1560" s="12">
        <f>+G1530-SUM(G1531:G1532)-SUM(G1537:G1554)-SUM(G1558:G1559)</f>
        <v>104431</v>
      </c>
      <c r="H1560" s="13">
        <f>ROUND(G1560/2,0)</f>
        <v>52216</v>
      </c>
      <c r="I1560" s="12">
        <f>G1560-H1560</f>
        <v>52215</v>
      </c>
      <c r="J1560" s="3" t="str">
        <f t="shared" si="112"/>
        <v>2260807</v>
      </c>
    </row>
    <row r="1561" spans="1:10" s="3" customFormat="1">
      <c r="B1561" s="3" t="s">
        <v>2108</v>
      </c>
      <c r="C1561" s="8">
        <v>0</v>
      </c>
      <c r="D1561" s="125" t="s">
        <v>2187</v>
      </c>
      <c r="E1561" s="28" t="s">
        <v>288</v>
      </c>
      <c r="F1561" s="10">
        <v>1</v>
      </c>
      <c r="G1561" s="12">
        <f>+G1531+SUM(G1534:G1553)+SUM(G1556:G1560)</f>
        <v>390393</v>
      </c>
      <c r="H1561" s="12">
        <f>+H1531+SUM(H1534:H1553)+SUM(H1556:H1560)</f>
        <v>195201</v>
      </c>
      <c r="I1561" s="12">
        <f>+I1531+SUM(I1534:I1553)+SUM(I1556:I1560)</f>
        <v>195192</v>
      </c>
      <c r="J1561" s="3" t="str">
        <f t="shared" si="112"/>
        <v>2200000</v>
      </c>
    </row>
    <row r="1562" spans="1:10" s="3" customFormat="1">
      <c r="B1562" s="3" t="s">
        <v>2108</v>
      </c>
      <c r="C1562" s="8">
        <v>0</v>
      </c>
      <c r="D1562" s="3" t="s">
        <v>2187</v>
      </c>
      <c r="E1562" s="18" t="s">
        <v>38</v>
      </c>
      <c r="G1562" s="19">
        <f>+G1531</f>
        <v>285</v>
      </c>
      <c r="H1562" s="19">
        <f>+H1531</f>
        <v>143</v>
      </c>
      <c r="I1562" s="19">
        <f>+I1531</f>
        <v>142</v>
      </c>
      <c r="J1562" s="3" t="str">
        <f t="shared" si="112"/>
        <v>2200000</v>
      </c>
    </row>
    <row r="1563" spans="1:10" s="3" customFormat="1">
      <c r="B1563" s="3" t="s">
        <v>2108</v>
      </c>
      <c r="C1563" s="8">
        <v>0</v>
      </c>
      <c r="D1563" s="3" t="s">
        <v>2187</v>
      </c>
      <c r="E1563" s="2" t="s">
        <v>39</v>
      </c>
      <c r="G1563" s="19">
        <f>+G1534</f>
        <v>15087</v>
      </c>
      <c r="H1563" s="19">
        <f>+H1534</f>
        <v>7544</v>
      </c>
      <c r="I1563" s="19">
        <f>+I1534</f>
        <v>7543</v>
      </c>
      <c r="J1563" s="3" t="str">
        <f t="shared" si="112"/>
        <v>2200000</v>
      </c>
    </row>
    <row r="1564" spans="1:10" s="3" customFormat="1">
      <c r="B1564" s="3" t="s">
        <v>2108</v>
      </c>
      <c r="C1564" s="8">
        <v>0</v>
      </c>
      <c r="D1564" s="3" t="s">
        <v>2187</v>
      </c>
      <c r="E1564" s="2" t="s">
        <v>40</v>
      </c>
      <c r="G1564" s="19">
        <f>+G1556</f>
        <v>67171</v>
      </c>
      <c r="H1564" s="19">
        <f>+H1556</f>
        <v>33586</v>
      </c>
      <c r="I1564" s="19">
        <f>+I1556</f>
        <v>33585</v>
      </c>
      <c r="J1564" s="3" t="str">
        <f t="shared" si="112"/>
        <v>2200000</v>
      </c>
    </row>
    <row r="1565" spans="1:10" s="3" customFormat="1">
      <c r="B1565" s="3" t="s">
        <v>2108</v>
      </c>
      <c r="C1565" s="8">
        <v>0</v>
      </c>
      <c r="D1565" s="125" t="s">
        <v>2187</v>
      </c>
      <c r="E1565" s="18" t="s">
        <v>41</v>
      </c>
      <c r="G1565" s="19">
        <f>+G1561-G1562-G1563-G1564</f>
        <v>307850</v>
      </c>
      <c r="H1565" s="19">
        <f>+H1561-H1562-H1563-H1564</f>
        <v>153928</v>
      </c>
      <c r="I1565" s="19">
        <f>+I1561-I1562-I1563-I1564</f>
        <v>153922</v>
      </c>
      <c r="J1565" s="3" t="str">
        <f t="shared" si="112"/>
        <v>2200000</v>
      </c>
    </row>
    <row r="1566" spans="1:10" ht="15.75">
      <c r="B1566" s="3" t="s">
        <v>2186</v>
      </c>
      <c r="D1566" t="s">
        <v>2186</v>
      </c>
      <c r="E1566">
        <v>0</v>
      </c>
      <c r="G1566"/>
      <c r="H1566"/>
      <c r="I1566"/>
      <c r="J1566" s="3" t="str">
        <f t="shared" si="112"/>
        <v/>
      </c>
    </row>
    <row r="1567" spans="1:10" s="3" customFormat="1">
      <c r="C1567" s="1"/>
      <c r="D1567" s="3" t="s">
        <v>2186</v>
      </c>
      <c r="E1567" s="2" t="s">
        <v>501</v>
      </c>
      <c r="J1567" s="3" t="str">
        <f t="shared" si="112"/>
        <v/>
      </c>
    </row>
    <row r="1568" spans="1:10" s="3" customFormat="1" ht="45">
      <c r="B1568" s="3" t="s">
        <v>2186</v>
      </c>
      <c r="C1568" s="1"/>
      <c r="D1568" s="3" t="s">
        <v>2186</v>
      </c>
      <c r="E1568" s="1">
        <v>0</v>
      </c>
      <c r="F1568" s="6" t="s">
        <v>1</v>
      </c>
      <c r="G1568" s="60">
        <f>'Allocation Worksheet'!H1568</f>
        <v>0</v>
      </c>
      <c r="H1568" s="60">
        <f>'Allocation Worksheet'!H1569</f>
        <v>0</v>
      </c>
      <c r="I1568" s="60">
        <f>'Allocation Worksheet'!H1570</f>
        <v>0</v>
      </c>
      <c r="J1568" s="3" t="str">
        <f t="shared" si="112"/>
        <v/>
      </c>
    </row>
    <row r="1569" spans="2:10" s="3" customFormat="1">
      <c r="C1569" s="7" t="s">
        <v>2087</v>
      </c>
      <c r="D1569" s="3" t="s">
        <v>2186</v>
      </c>
      <c r="E1569" s="7" t="s">
        <v>3</v>
      </c>
      <c r="F1569" s="10"/>
      <c r="G1569" s="9">
        <f>'Allocation Worksheet'!$D$26</f>
        <v>99816</v>
      </c>
      <c r="H1569" s="13"/>
      <c r="I1569" s="12"/>
      <c r="J1569" s="3" t="str">
        <f t="shared" si="112"/>
        <v>UT</v>
      </c>
    </row>
    <row r="1570" spans="2:10" s="3" customFormat="1">
      <c r="B1570" s="3" t="s">
        <v>2109</v>
      </c>
      <c r="C1570" s="8">
        <v>0</v>
      </c>
      <c r="D1570" s="3" t="s">
        <v>2187</v>
      </c>
      <c r="E1570" s="11" t="s">
        <v>4</v>
      </c>
      <c r="F1570" s="10">
        <v>1.6069999999999999E-3</v>
      </c>
      <c r="G1570" s="12">
        <f>ROUND(G$3*F1570,0)</f>
        <v>462</v>
      </c>
      <c r="H1570" s="13">
        <f>ROUND(G1570/2,0)</f>
        <v>231</v>
      </c>
      <c r="I1570" s="12">
        <f>G1570-H1570</f>
        <v>231</v>
      </c>
      <c r="J1570" s="3" t="str">
        <f t="shared" si="112"/>
        <v>2300000</v>
      </c>
    </row>
    <row r="1571" spans="2:10" s="3" customFormat="1">
      <c r="B1571" s="3" t="s">
        <v>2109</v>
      </c>
      <c r="C1571" s="8">
        <v>1</v>
      </c>
      <c r="D1571" s="3" t="s">
        <v>2187</v>
      </c>
      <c r="E1571" s="11" t="s">
        <v>502</v>
      </c>
      <c r="F1571" s="10">
        <v>0.220917</v>
      </c>
      <c r="G1571" s="9">
        <f>ROUND(G$3*F1571,0)</f>
        <v>63563</v>
      </c>
      <c r="H1571" s="11">
        <f>ROUND(G1571/2,0)</f>
        <v>31782</v>
      </c>
      <c r="I1571" s="9">
        <f>G1571-H1571</f>
        <v>31781</v>
      </c>
      <c r="J1571" s="3" t="str">
        <f t="shared" si="112"/>
        <v>2310000</v>
      </c>
    </row>
    <row r="1572" spans="2:10" s="3" customFormat="1">
      <c r="B1572" s="3" t="s">
        <v>2109</v>
      </c>
      <c r="C1572" s="8">
        <v>1</v>
      </c>
      <c r="D1572" s="3" t="s">
        <v>2187</v>
      </c>
      <c r="E1572" s="11" t="s">
        <v>6</v>
      </c>
      <c r="F1572" s="11"/>
      <c r="G1572" s="14">
        <v>0.233317</v>
      </c>
      <c r="H1572" s="11"/>
      <c r="I1572" s="11"/>
      <c r="J1572" s="3" t="str">
        <f t="shared" si="112"/>
        <v>2310000</v>
      </c>
    </row>
    <row r="1573" spans="2:10" s="3" customFormat="1">
      <c r="B1573" s="3" t="s">
        <v>2109</v>
      </c>
      <c r="C1573" s="8">
        <v>1</v>
      </c>
      <c r="D1573" s="3" t="s">
        <v>2187</v>
      </c>
      <c r="E1573" s="11" t="s">
        <v>7</v>
      </c>
      <c r="F1573" s="11"/>
      <c r="G1573" s="15">
        <f>ROUND(G1571*G1572,0)</f>
        <v>14830</v>
      </c>
      <c r="H1573" s="16">
        <f>ROUND(G1573/2,0)</f>
        <v>7415</v>
      </c>
      <c r="I1573" s="15">
        <f>G1573-H1573</f>
        <v>7415</v>
      </c>
      <c r="J1573" s="3" t="str">
        <f t="shared" si="112"/>
        <v>2310000</v>
      </c>
    </row>
    <row r="1574" spans="2:10" s="3" customFormat="1">
      <c r="B1574" s="3" t="s">
        <v>2109</v>
      </c>
      <c r="C1574" s="8">
        <v>1</v>
      </c>
      <c r="D1574" s="3" t="s">
        <v>2187</v>
      </c>
      <c r="E1574" s="11" t="s">
        <v>8</v>
      </c>
      <c r="F1574" s="11"/>
      <c r="G1574" s="12">
        <f>+G1571-G1573</f>
        <v>48733</v>
      </c>
      <c r="H1574" s="13">
        <f>ROUND(G1574/2,0)</f>
        <v>24367</v>
      </c>
      <c r="I1574" s="12">
        <f>G1574-H1574</f>
        <v>24366</v>
      </c>
      <c r="J1574" s="3" t="str">
        <f t="shared" si="112"/>
        <v>2310000</v>
      </c>
    </row>
    <row r="1575" spans="2:10" s="3" customFormat="1">
      <c r="B1575" s="3" t="s">
        <v>2109</v>
      </c>
      <c r="C1575" s="8">
        <v>2</v>
      </c>
      <c r="D1575" s="3" t="s">
        <v>2188</v>
      </c>
      <c r="E1575" s="11" t="s">
        <v>503</v>
      </c>
      <c r="F1575" s="11"/>
      <c r="G1575" s="9"/>
      <c r="H1575" s="11"/>
      <c r="I1575" s="11"/>
      <c r="J1575" s="3" t="str">
        <f t="shared" si="112"/>
        <v>2320001</v>
      </c>
    </row>
    <row r="1576" spans="2:10" s="3" customFormat="1">
      <c r="B1576" s="3" t="s">
        <v>2109</v>
      </c>
      <c r="C1576" s="8">
        <v>2</v>
      </c>
      <c r="D1576" s="3" t="s">
        <v>2188</v>
      </c>
      <c r="E1576" s="11" t="s">
        <v>10</v>
      </c>
      <c r="F1576" s="10">
        <v>9.1299999999999997E-4</v>
      </c>
      <c r="G1576" s="12">
        <f>ROUND(G$3*F1576,0)</f>
        <v>263</v>
      </c>
      <c r="H1576" s="13">
        <f>ROUND(G1576/2,0)</f>
        <v>132</v>
      </c>
      <c r="I1576" s="12">
        <f>G1576-H1576</f>
        <v>131</v>
      </c>
      <c r="J1576" s="3" t="str">
        <f t="shared" si="112"/>
        <v>2320001</v>
      </c>
    </row>
    <row r="1577" spans="2:10" s="3" customFormat="1">
      <c r="B1577" s="3" t="s">
        <v>2109</v>
      </c>
      <c r="C1577" s="8">
        <v>2</v>
      </c>
      <c r="D1577" s="3" t="s">
        <v>2188</v>
      </c>
      <c r="E1577" s="11" t="s">
        <v>11</v>
      </c>
      <c r="F1577" s="10">
        <v>9.77E-4</v>
      </c>
      <c r="G1577" s="12">
        <f>ROUND(G$3*F1577,0)</f>
        <v>281</v>
      </c>
      <c r="H1577" s="13">
        <f>ROUND(G1577/2,0)</f>
        <v>141</v>
      </c>
      <c r="I1577" s="12">
        <f>G1577-H1577</f>
        <v>140</v>
      </c>
      <c r="J1577" s="3" t="str">
        <f t="shared" si="112"/>
        <v>2320001</v>
      </c>
    </row>
    <row r="1578" spans="2:10" s="3" customFormat="1">
      <c r="B1578" s="3" t="s">
        <v>2109</v>
      </c>
      <c r="C1578" s="8">
        <v>2</v>
      </c>
      <c r="D1578" s="3" t="s">
        <v>2189</v>
      </c>
      <c r="E1578" s="11" t="s">
        <v>504</v>
      </c>
      <c r="F1578" s="11"/>
      <c r="G1578" s="9"/>
      <c r="H1578" s="11"/>
      <c r="I1578" s="11"/>
      <c r="J1578" s="3" t="str">
        <f t="shared" si="112"/>
        <v>2320002</v>
      </c>
    </row>
    <row r="1579" spans="2:10" s="3" customFormat="1">
      <c r="B1579" s="3" t="s">
        <v>2109</v>
      </c>
      <c r="C1579" s="8">
        <v>2</v>
      </c>
      <c r="D1579" s="3" t="s">
        <v>2189</v>
      </c>
      <c r="E1579" s="11" t="s">
        <v>10</v>
      </c>
      <c r="F1579" s="10">
        <v>8.2200000000000003E-4</v>
      </c>
      <c r="G1579" s="12">
        <f>ROUND(G$3*F1579,0)</f>
        <v>237</v>
      </c>
      <c r="H1579" s="13">
        <f>ROUND(G1579/2,0)</f>
        <v>119</v>
      </c>
      <c r="I1579" s="12">
        <f>G1579-H1579</f>
        <v>118</v>
      </c>
      <c r="J1579" s="3" t="str">
        <f t="shared" si="112"/>
        <v>2320002</v>
      </c>
    </row>
    <row r="1580" spans="2:10" s="3" customFormat="1">
      <c r="B1580" s="3" t="s">
        <v>2109</v>
      </c>
      <c r="C1580" s="8">
        <v>2</v>
      </c>
      <c r="D1580" s="3" t="s">
        <v>2189</v>
      </c>
      <c r="E1580" s="11" t="s">
        <v>11</v>
      </c>
      <c r="F1580" s="10">
        <v>3.4699999999999998E-4</v>
      </c>
      <c r="G1580" s="12">
        <f>ROUND(G$3*F1580,0)</f>
        <v>100</v>
      </c>
      <c r="H1580" s="13">
        <f>ROUND(G1580/2,0)</f>
        <v>50</v>
      </c>
      <c r="I1580" s="12">
        <f>G1580-H1580</f>
        <v>50</v>
      </c>
      <c r="J1580" s="3" t="str">
        <f t="shared" si="112"/>
        <v>2320002</v>
      </c>
    </row>
    <row r="1581" spans="2:10" s="3" customFormat="1">
      <c r="B1581" s="3" t="s">
        <v>2109</v>
      </c>
      <c r="C1581" s="8">
        <v>2</v>
      </c>
      <c r="D1581" s="3" t="s">
        <v>2190</v>
      </c>
      <c r="E1581" s="11" t="s">
        <v>505</v>
      </c>
      <c r="F1581" s="11"/>
      <c r="G1581" s="9"/>
      <c r="H1581" s="11"/>
      <c r="I1581" s="11"/>
      <c r="J1581" s="3" t="str">
        <f t="shared" si="112"/>
        <v>2320003</v>
      </c>
    </row>
    <row r="1582" spans="2:10" s="3" customFormat="1">
      <c r="B1582" s="3" t="s">
        <v>2109</v>
      </c>
      <c r="C1582" s="8">
        <v>2</v>
      </c>
      <c r="D1582" s="3" t="s">
        <v>2190</v>
      </c>
      <c r="E1582" s="11" t="s">
        <v>10</v>
      </c>
      <c r="F1582" s="10">
        <v>4.2900000000000002E-4</v>
      </c>
      <c r="G1582" s="12">
        <f>ROUND(G$3*F1582,0)</f>
        <v>123</v>
      </c>
      <c r="H1582" s="13">
        <f>ROUND(G1582/2,0)</f>
        <v>62</v>
      </c>
      <c r="I1582" s="12">
        <f>G1582-H1582</f>
        <v>61</v>
      </c>
      <c r="J1582" s="3" t="str">
        <f t="shared" si="112"/>
        <v>2320003</v>
      </c>
    </row>
    <row r="1583" spans="2:10" s="3" customFormat="1">
      <c r="B1583" s="3" t="s">
        <v>2109</v>
      </c>
      <c r="C1583" s="8">
        <v>2</v>
      </c>
      <c r="D1583" s="3" t="s">
        <v>2190</v>
      </c>
      <c r="E1583" s="11" t="s">
        <v>11</v>
      </c>
      <c r="F1583" s="10">
        <v>3.8400000000000001E-4</v>
      </c>
      <c r="G1583" s="12">
        <f>ROUND(G$3*F1583,0)</f>
        <v>110</v>
      </c>
      <c r="H1583" s="13">
        <f>ROUND(G1583/2,0)</f>
        <v>55</v>
      </c>
      <c r="I1583" s="12">
        <f>G1583-H1583</f>
        <v>55</v>
      </c>
      <c r="J1583" s="3" t="str">
        <f t="shared" si="112"/>
        <v>2320003</v>
      </c>
    </row>
    <row r="1584" spans="2:10" s="3" customFormat="1">
      <c r="B1584" s="3" t="s">
        <v>2109</v>
      </c>
      <c r="C1584" s="8">
        <v>2</v>
      </c>
      <c r="D1584" s="3" t="s">
        <v>2191</v>
      </c>
      <c r="E1584" s="11" t="s">
        <v>49</v>
      </c>
      <c r="F1584" s="11"/>
      <c r="G1584" s="9"/>
      <c r="H1584" s="11"/>
      <c r="I1584" s="11"/>
      <c r="J1584" s="3" t="str">
        <f t="shared" si="112"/>
        <v>2320004</v>
      </c>
    </row>
    <row r="1585" spans="2:10" s="3" customFormat="1">
      <c r="B1585" s="3" t="s">
        <v>2109</v>
      </c>
      <c r="C1585" s="8">
        <v>2</v>
      </c>
      <c r="D1585" s="3" t="s">
        <v>2191</v>
      </c>
      <c r="E1585" s="11" t="s">
        <v>10</v>
      </c>
      <c r="F1585" s="10">
        <v>9.1299999999999997E-4</v>
      </c>
      <c r="G1585" s="12">
        <f>ROUND(G$3*F1585,0)</f>
        <v>263</v>
      </c>
      <c r="H1585" s="13">
        <f>ROUND(G1585/2,0)</f>
        <v>132</v>
      </c>
      <c r="I1585" s="12">
        <f>G1585-H1585</f>
        <v>131</v>
      </c>
      <c r="J1585" s="3" t="str">
        <f t="shared" si="112"/>
        <v>2320004</v>
      </c>
    </row>
    <row r="1586" spans="2:10" s="3" customFormat="1">
      <c r="B1586" s="3" t="s">
        <v>2109</v>
      </c>
      <c r="C1586" s="8">
        <v>2</v>
      </c>
      <c r="D1586" s="3" t="s">
        <v>2191</v>
      </c>
      <c r="E1586" s="11" t="s">
        <v>11</v>
      </c>
      <c r="F1586" s="10">
        <v>7.2999999999999996E-4</v>
      </c>
      <c r="G1586" s="12">
        <f>ROUND(G$3*F1586,0)</f>
        <v>210</v>
      </c>
      <c r="H1586" s="13">
        <f>ROUND(G1586/2,0)</f>
        <v>105</v>
      </c>
      <c r="I1586" s="12">
        <f>G1586-H1586</f>
        <v>105</v>
      </c>
      <c r="J1586" s="3" t="str">
        <f t="shared" si="112"/>
        <v>2320004</v>
      </c>
    </row>
    <row r="1587" spans="2:10" s="3" customFormat="1">
      <c r="B1587" s="3" t="s">
        <v>2109</v>
      </c>
      <c r="C1587" s="8">
        <v>2</v>
      </c>
      <c r="D1587" s="3" t="s">
        <v>2192</v>
      </c>
      <c r="E1587" s="11" t="s">
        <v>335</v>
      </c>
      <c r="F1587" s="11"/>
      <c r="G1587" s="9"/>
      <c r="H1587" s="11"/>
      <c r="I1587" s="11"/>
      <c r="J1587" s="3" t="str">
        <f t="shared" si="112"/>
        <v>2320005</v>
      </c>
    </row>
    <row r="1588" spans="2:10" s="3" customFormat="1">
      <c r="B1588" s="3" t="s">
        <v>2109</v>
      </c>
      <c r="C1588" s="8">
        <v>2</v>
      </c>
      <c r="D1588" s="3" t="s">
        <v>2192</v>
      </c>
      <c r="E1588" s="11" t="s">
        <v>10</v>
      </c>
      <c r="F1588" s="10">
        <v>6.3000000000000003E-4</v>
      </c>
      <c r="G1588" s="12">
        <f>ROUND(G$3*F1588,0)</f>
        <v>181</v>
      </c>
      <c r="H1588" s="13">
        <f>ROUND(G1588/2,0)</f>
        <v>91</v>
      </c>
      <c r="I1588" s="12">
        <f>G1588-H1588</f>
        <v>90</v>
      </c>
      <c r="J1588" s="3" t="str">
        <f t="shared" si="112"/>
        <v>2320005</v>
      </c>
    </row>
    <row r="1589" spans="2:10" s="3" customFormat="1">
      <c r="B1589" s="3" t="s">
        <v>2109</v>
      </c>
      <c r="C1589" s="8">
        <v>2</v>
      </c>
      <c r="D1589" s="3" t="s">
        <v>2192</v>
      </c>
      <c r="E1589" s="11" t="s">
        <v>11</v>
      </c>
      <c r="F1589" s="10">
        <v>4.6E-5</v>
      </c>
      <c r="G1589" s="12">
        <f>ROUND(G$3*F1589,0)</f>
        <v>13</v>
      </c>
      <c r="H1589" s="13">
        <f>ROUND(G1589/2,0)</f>
        <v>7</v>
      </c>
      <c r="I1589" s="12">
        <f>G1589-H1589</f>
        <v>6</v>
      </c>
      <c r="J1589" s="3" t="str">
        <f t="shared" si="112"/>
        <v>2320005</v>
      </c>
    </row>
    <row r="1590" spans="2:10" s="3" customFormat="1">
      <c r="B1590" s="3" t="s">
        <v>2109</v>
      </c>
      <c r="C1590" s="8">
        <v>2</v>
      </c>
      <c r="D1590" s="3" t="s">
        <v>2193</v>
      </c>
      <c r="E1590" s="11" t="s">
        <v>506</v>
      </c>
      <c r="F1590" s="11"/>
      <c r="G1590" s="9"/>
      <c r="H1590" s="11"/>
      <c r="I1590" s="11"/>
      <c r="J1590" s="3" t="str">
        <f t="shared" si="112"/>
        <v>2320006</v>
      </c>
    </row>
    <row r="1591" spans="2:10" s="3" customFormat="1">
      <c r="B1591" s="3" t="s">
        <v>2109</v>
      </c>
      <c r="C1591" s="8">
        <v>2</v>
      </c>
      <c r="D1591" s="3" t="s">
        <v>2193</v>
      </c>
      <c r="E1591" s="11" t="s">
        <v>10</v>
      </c>
      <c r="F1591" s="10">
        <v>1.5709999999999999E-3</v>
      </c>
      <c r="G1591" s="12">
        <f>ROUND(G$3*F1591,0)</f>
        <v>452</v>
      </c>
      <c r="H1591" s="13">
        <f>ROUND(G1591/2,0)</f>
        <v>226</v>
      </c>
      <c r="I1591" s="12">
        <f>G1591-H1591</f>
        <v>226</v>
      </c>
      <c r="J1591" s="3" t="str">
        <f t="shared" si="112"/>
        <v>2320006</v>
      </c>
    </row>
    <row r="1592" spans="2:10" s="3" customFormat="1">
      <c r="B1592" s="3" t="s">
        <v>2109</v>
      </c>
      <c r="C1592" s="8">
        <v>2</v>
      </c>
      <c r="D1592" s="3" t="s">
        <v>2193</v>
      </c>
      <c r="E1592" s="11" t="s">
        <v>11</v>
      </c>
      <c r="F1592" s="10">
        <v>2.6480000000000002E-3</v>
      </c>
      <c r="G1592" s="12">
        <f>ROUND(G$3*F1592,0)</f>
        <v>762</v>
      </c>
      <c r="H1592" s="13">
        <f>ROUND(G1592/2,0)</f>
        <v>381</v>
      </c>
      <c r="I1592" s="12">
        <f>G1592-H1592</f>
        <v>381</v>
      </c>
      <c r="J1592" s="3" t="str">
        <f t="shared" si="112"/>
        <v>2320006</v>
      </c>
    </row>
    <row r="1593" spans="2:10" s="3" customFormat="1">
      <c r="B1593" s="3" t="s">
        <v>2109</v>
      </c>
      <c r="C1593" s="8">
        <v>2</v>
      </c>
      <c r="D1593" s="3" t="s">
        <v>2194</v>
      </c>
      <c r="E1593" s="11" t="s">
        <v>114</v>
      </c>
      <c r="F1593" s="11"/>
      <c r="G1593" s="9"/>
      <c r="H1593" s="11"/>
      <c r="I1593" s="11"/>
      <c r="J1593" s="3" t="str">
        <f t="shared" si="112"/>
        <v>2320007</v>
      </c>
    </row>
    <row r="1594" spans="2:10" s="3" customFormat="1">
      <c r="B1594" s="3" t="s">
        <v>2109</v>
      </c>
      <c r="C1594" s="8">
        <v>2</v>
      </c>
      <c r="D1594" s="3" t="s">
        <v>2194</v>
      </c>
      <c r="E1594" s="11" t="s">
        <v>10</v>
      </c>
      <c r="F1594" s="10">
        <v>1.3879999999999999E-3</v>
      </c>
      <c r="G1594" s="12">
        <f>ROUND(G$3*F1594,0)</f>
        <v>399</v>
      </c>
      <c r="H1594" s="13">
        <f>ROUND(G1594/2,0)</f>
        <v>200</v>
      </c>
      <c r="I1594" s="12">
        <f>G1594-H1594</f>
        <v>199</v>
      </c>
      <c r="J1594" s="3" t="str">
        <f t="shared" si="112"/>
        <v>2320007</v>
      </c>
    </row>
    <row r="1595" spans="2:10" s="3" customFormat="1">
      <c r="B1595" s="3" t="s">
        <v>2109</v>
      </c>
      <c r="C1595" s="8">
        <v>2</v>
      </c>
      <c r="D1595" s="3" t="s">
        <v>2194</v>
      </c>
      <c r="E1595" s="11" t="s">
        <v>11</v>
      </c>
      <c r="F1595" s="10">
        <v>1.1869999999999999E-3</v>
      </c>
      <c r="G1595" s="12">
        <f>ROUND(G$3*F1595,0)</f>
        <v>342</v>
      </c>
      <c r="H1595" s="13">
        <f>ROUND(G1595/2,0)</f>
        <v>171</v>
      </c>
      <c r="I1595" s="12">
        <f>G1595-H1595</f>
        <v>171</v>
      </c>
      <c r="J1595" s="3" t="str">
        <f t="shared" si="112"/>
        <v>2320007</v>
      </c>
    </row>
    <row r="1596" spans="2:10" s="3" customFormat="1">
      <c r="B1596" s="3" t="s">
        <v>2109</v>
      </c>
      <c r="C1596" s="8">
        <v>2</v>
      </c>
      <c r="D1596" s="3" t="s">
        <v>2195</v>
      </c>
      <c r="E1596" s="11" t="s">
        <v>507</v>
      </c>
      <c r="F1596" s="11"/>
      <c r="G1596" s="9"/>
      <c r="H1596" s="11"/>
      <c r="I1596" s="11"/>
      <c r="J1596" s="3" t="str">
        <f t="shared" si="112"/>
        <v>2320008</v>
      </c>
    </row>
    <row r="1597" spans="2:10" s="3" customFormat="1">
      <c r="B1597" s="3" t="s">
        <v>2109</v>
      </c>
      <c r="C1597" s="8">
        <v>2</v>
      </c>
      <c r="D1597" s="3" t="s">
        <v>2195</v>
      </c>
      <c r="E1597" s="11" t="s">
        <v>10</v>
      </c>
      <c r="F1597" s="10">
        <v>8.2200000000000003E-4</v>
      </c>
      <c r="G1597" s="12">
        <f>ROUND(G$3*F1597,0)</f>
        <v>237</v>
      </c>
      <c r="H1597" s="13">
        <f>ROUND(G1597/2,0)</f>
        <v>119</v>
      </c>
      <c r="I1597" s="12">
        <f>G1597-H1597</f>
        <v>118</v>
      </c>
      <c r="J1597" s="3" t="str">
        <f t="shared" si="112"/>
        <v>2320008</v>
      </c>
    </row>
    <row r="1598" spans="2:10" s="3" customFormat="1">
      <c r="B1598" s="3" t="s">
        <v>2109</v>
      </c>
      <c r="C1598" s="8">
        <v>2</v>
      </c>
      <c r="D1598" s="3" t="s">
        <v>2195</v>
      </c>
      <c r="E1598" s="11" t="s">
        <v>11</v>
      </c>
      <c r="F1598" s="10">
        <v>3.2899999999999997E-4</v>
      </c>
      <c r="G1598" s="12">
        <f>ROUND(G$3*F1598,0)</f>
        <v>95</v>
      </c>
      <c r="H1598" s="13">
        <f>ROUND(G1598/2,0)</f>
        <v>48</v>
      </c>
      <c r="I1598" s="12">
        <f>G1598-H1598</f>
        <v>47</v>
      </c>
      <c r="J1598" s="3" t="str">
        <f t="shared" si="112"/>
        <v>2320008</v>
      </c>
    </row>
    <row r="1599" spans="2:10" s="3" customFormat="1">
      <c r="B1599" s="3" t="s">
        <v>2109</v>
      </c>
      <c r="C1599" s="8">
        <v>2</v>
      </c>
      <c r="D1599" s="3" t="s">
        <v>2196</v>
      </c>
      <c r="E1599" s="11" t="s">
        <v>378</v>
      </c>
      <c r="F1599" s="11"/>
      <c r="G1599" s="9"/>
      <c r="H1599" s="11"/>
      <c r="I1599" s="11"/>
      <c r="J1599" s="3" t="str">
        <f t="shared" si="112"/>
        <v>2320009</v>
      </c>
    </row>
    <row r="1600" spans="2:10" s="3" customFormat="1">
      <c r="B1600" s="3" t="s">
        <v>2109</v>
      </c>
      <c r="C1600" s="8">
        <v>2</v>
      </c>
      <c r="D1600" s="3" t="s">
        <v>2196</v>
      </c>
      <c r="E1600" s="11" t="s">
        <v>10</v>
      </c>
      <c r="F1600" s="10">
        <v>8.4189999999999994E-3</v>
      </c>
      <c r="G1600" s="12">
        <f>ROUND(G$3*F1600,0)</f>
        <v>2422</v>
      </c>
      <c r="H1600" s="13">
        <f>ROUND(G1600/2,0)</f>
        <v>1211</v>
      </c>
      <c r="I1600" s="12">
        <f>G1600-H1600</f>
        <v>1211</v>
      </c>
      <c r="J1600" s="3" t="str">
        <f t="shared" si="112"/>
        <v>2320009</v>
      </c>
    </row>
    <row r="1601" spans="2:10" s="3" customFormat="1">
      <c r="B1601" s="3" t="s">
        <v>2109</v>
      </c>
      <c r="C1601" s="8">
        <v>2</v>
      </c>
      <c r="D1601" s="3" t="s">
        <v>2196</v>
      </c>
      <c r="E1601" s="11" t="s">
        <v>11</v>
      </c>
      <c r="F1601" s="10">
        <v>3.4420000000000002E-3</v>
      </c>
      <c r="G1601" s="12">
        <f>ROUND(G$3*F1601,0)</f>
        <v>990</v>
      </c>
      <c r="H1601" s="13">
        <f>ROUND(G1601/2,0)</f>
        <v>495</v>
      </c>
      <c r="I1601" s="12">
        <f>G1601-H1601</f>
        <v>495</v>
      </c>
      <c r="J1601" s="3" t="str">
        <f t="shared" si="112"/>
        <v>2320009</v>
      </c>
    </row>
    <row r="1602" spans="2:10" s="3" customFormat="1">
      <c r="B1602" s="3" t="s">
        <v>2109</v>
      </c>
      <c r="C1602" s="8">
        <v>2</v>
      </c>
      <c r="D1602" s="3" t="s">
        <v>2197</v>
      </c>
      <c r="E1602" s="11" t="s">
        <v>169</v>
      </c>
      <c r="F1602" s="11"/>
      <c r="G1602" s="9"/>
      <c r="H1602" s="11"/>
      <c r="I1602" s="11"/>
      <c r="J1602" s="3" t="str">
        <f t="shared" si="112"/>
        <v>2320010</v>
      </c>
    </row>
    <row r="1603" spans="2:10" s="3" customFormat="1">
      <c r="B1603" s="3" t="s">
        <v>2109</v>
      </c>
      <c r="C1603" s="8">
        <v>2</v>
      </c>
      <c r="D1603" s="3" t="s">
        <v>2197</v>
      </c>
      <c r="E1603" s="11" t="s">
        <v>10</v>
      </c>
      <c r="F1603" s="10">
        <v>4.0090000000000004E-3</v>
      </c>
      <c r="G1603" s="12">
        <f>ROUND(G$3*F1603,0)</f>
        <v>1153</v>
      </c>
      <c r="H1603" s="13">
        <f>ROUND(G1603/2,0)</f>
        <v>577</v>
      </c>
      <c r="I1603" s="12">
        <f>G1603-H1603</f>
        <v>576</v>
      </c>
      <c r="J1603" s="3" t="str">
        <f t="shared" si="112"/>
        <v>2320010</v>
      </c>
    </row>
    <row r="1604" spans="2:10" s="3" customFormat="1">
      <c r="B1604" s="3" t="s">
        <v>2109</v>
      </c>
      <c r="C1604" s="8">
        <v>2</v>
      </c>
      <c r="D1604" s="3" t="s">
        <v>2197</v>
      </c>
      <c r="E1604" s="11" t="s">
        <v>11</v>
      </c>
      <c r="F1604" s="10">
        <v>1.361E-3</v>
      </c>
      <c r="G1604" s="12">
        <f>ROUND(G$3*F1604,0)</f>
        <v>392</v>
      </c>
      <c r="H1604" s="13">
        <f>ROUND(G1604/2,0)</f>
        <v>196</v>
      </c>
      <c r="I1604" s="12">
        <f>G1604-H1604</f>
        <v>196</v>
      </c>
      <c r="J1604" s="3" t="str">
        <f t="shared" ref="J1604:J1667" si="116">B1604&amp;C1604&amp;D1604</f>
        <v>2320010</v>
      </c>
    </row>
    <row r="1605" spans="2:10" s="3" customFormat="1">
      <c r="B1605" s="3" t="s">
        <v>2109</v>
      </c>
      <c r="C1605" s="8">
        <v>2</v>
      </c>
      <c r="D1605" s="3" t="s">
        <v>2198</v>
      </c>
      <c r="E1605" s="11" t="s">
        <v>21</v>
      </c>
      <c r="F1605" s="11"/>
      <c r="G1605" s="9"/>
      <c r="H1605" s="11"/>
      <c r="I1605" s="11"/>
      <c r="J1605" s="3" t="str">
        <f t="shared" si="116"/>
        <v>2320011</v>
      </c>
    </row>
    <row r="1606" spans="2:10" s="3" customFormat="1">
      <c r="B1606" s="3" t="s">
        <v>2109</v>
      </c>
      <c r="C1606" s="8">
        <v>2</v>
      </c>
      <c r="D1606" s="3" t="s">
        <v>2198</v>
      </c>
      <c r="E1606" s="11" t="s">
        <v>10</v>
      </c>
      <c r="F1606" s="10">
        <v>9.3099999999999997E-4</v>
      </c>
      <c r="G1606" s="12">
        <f t="shared" ref="G1606:G1616" si="117">ROUND(G$3*F1606,0)</f>
        <v>268</v>
      </c>
      <c r="H1606" s="13">
        <f t="shared" ref="H1606:H1616" si="118">ROUND(G1606/2,0)</f>
        <v>134</v>
      </c>
      <c r="I1606" s="12">
        <f t="shared" ref="I1606:I1616" si="119">G1606-H1606</f>
        <v>134</v>
      </c>
      <c r="J1606" s="3" t="str">
        <f t="shared" si="116"/>
        <v>2320011</v>
      </c>
    </row>
    <row r="1607" spans="2:10" s="3" customFormat="1">
      <c r="B1607" s="3" t="s">
        <v>2109</v>
      </c>
      <c r="C1607" s="8">
        <v>2</v>
      </c>
      <c r="D1607" s="3" t="s">
        <v>2198</v>
      </c>
      <c r="E1607" s="11" t="s">
        <v>11</v>
      </c>
      <c r="F1607" s="10">
        <v>4.66E-4</v>
      </c>
      <c r="G1607" s="12">
        <f t="shared" si="117"/>
        <v>134</v>
      </c>
      <c r="H1607" s="13">
        <f t="shared" si="118"/>
        <v>67</v>
      </c>
      <c r="I1607" s="12">
        <f t="shared" si="119"/>
        <v>67</v>
      </c>
      <c r="J1607" s="3" t="str">
        <f t="shared" si="116"/>
        <v>2320011</v>
      </c>
    </row>
    <row r="1608" spans="2:10" s="3" customFormat="1">
      <c r="B1608" s="3" t="s">
        <v>2109</v>
      </c>
      <c r="C1608" s="8">
        <v>3</v>
      </c>
      <c r="D1608" s="3" t="s">
        <v>2430</v>
      </c>
      <c r="E1608" s="11" t="s">
        <v>508</v>
      </c>
      <c r="F1608" s="10">
        <v>6.2550000000000001E-3</v>
      </c>
      <c r="G1608" s="12">
        <f t="shared" si="117"/>
        <v>1800</v>
      </c>
      <c r="H1608" s="13">
        <f t="shared" si="118"/>
        <v>900</v>
      </c>
      <c r="I1608" s="12">
        <f t="shared" si="119"/>
        <v>900</v>
      </c>
      <c r="J1608" s="3" t="str">
        <f t="shared" si="116"/>
        <v>2330443</v>
      </c>
    </row>
    <row r="1609" spans="2:10" s="3" customFormat="1">
      <c r="B1609" s="3" t="s">
        <v>2109</v>
      </c>
      <c r="C1609" s="8">
        <v>3</v>
      </c>
      <c r="D1609" s="3" t="s">
        <v>2431</v>
      </c>
      <c r="E1609" s="11" t="s">
        <v>509</v>
      </c>
      <c r="F1609" s="10">
        <v>1.2729000000000001E-2</v>
      </c>
      <c r="G1609" s="12">
        <f t="shared" si="117"/>
        <v>3662</v>
      </c>
      <c r="H1609" s="13">
        <f t="shared" si="118"/>
        <v>1831</v>
      </c>
      <c r="I1609" s="12">
        <f t="shared" si="119"/>
        <v>1831</v>
      </c>
      <c r="J1609" s="3" t="str">
        <f t="shared" si="116"/>
        <v>2330456</v>
      </c>
    </row>
    <row r="1610" spans="2:10" s="3" customFormat="1">
      <c r="B1610" s="3" t="s">
        <v>2109</v>
      </c>
      <c r="C1610" s="8">
        <v>3</v>
      </c>
      <c r="D1610" s="3" t="s">
        <v>2432</v>
      </c>
      <c r="E1610" s="11" t="s">
        <v>510</v>
      </c>
      <c r="F1610" s="10">
        <v>1.3879999999999999E-3</v>
      </c>
      <c r="G1610" s="12">
        <f t="shared" si="117"/>
        <v>399</v>
      </c>
      <c r="H1610" s="13">
        <f t="shared" si="118"/>
        <v>200</v>
      </c>
      <c r="I1610" s="12">
        <f t="shared" si="119"/>
        <v>199</v>
      </c>
      <c r="J1610" s="3" t="str">
        <f t="shared" si="116"/>
        <v>2330605</v>
      </c>
    </row>
    <row r="1611" spans="2:10" s="3" customFormat="1">
      <c r="B1611" s="3" t="s">
        <v>2109</v>
      </c>
      <c r="C1611" s="8">
        <v>3</v>
      </c>
      <c r="D1611" s="3" t="s">
        <v>2433</v>
      </c>
      <c r="E1611" s="11" t="s">
        <v>511</v>
      </c>
      <c r="F1611" s="10">
        <v>2.0100000000000001E-4</v>
      </c>
      <c r="G1611" s="12">
        <f t="shared" si="117"/>
        <v>58</v>
      </c>
      <c r="H1611" s="13">
        <f t="shared" si="118"/>
        <v>29</v>
      </c>
      <c r="I1611" s="12">
        <f t="shared" si="119"/>
        <v>29</v>
      </c>
      <c r="J1611" s="3" t="str">
        <f t="shared" si="116"/>
        <v>2330606</v>
      </c>
    </row>
    <row r="1612" spans="2:10" s="3" customFormat="1">
      <c r="B1612" s="3" t="s">
        <v>2109</v>
      </c>
      <c r="C1612" s="8">
        <v>3</v>
      </c>
      <c r="D1612" s="3" t="s">
        <v>2434</v>
      </c>
      <c r="E1612" s="11" t="s">
        <v>512</v>
      </c>
      <c r="F1612" s="10">
        <v>6.7599999999999995E-4</v>
      </c>
      <c r="G1612" s="12">
        <f t="shared" si="117"/>
        <v>195</v>
      </c>
      <c r="H1612" s="13">
        <f t="shared" si="118"/>
        <v>98</v>
      </c>
      <c r="I1612" s="12">
        <f t="shared" si="119"/>
        <v>97</v>
      </c>
      <c r="J1612" s="3" t="str">
        <f t="shared" si="116"/>
        <v>2330607</v>
      </c>
    </row>
    <row r="1613" spans="2:10" s="3" customFormat="1">
      <c r="B1613" s="3" t="s">
        <v>2109</v>
      </c>
      <c r="C1613" s="8">
        <v>3</v>
      </c>
      <c r="D1613" s="3" t="s">
        <v>2435</v>
      </c>
      <c r="E1613" s="11" t="s">
        <v>513</v>
      </c>
      <c r="F1613" s="10">
        <v>9.0000000000000002E-6</v>
      </c>
      <c r="G1613" s="12">
        <f t="shared" si="117"/>
        <v>3</v>
      </c>
      <c r="H1613" s="13">
        <f t="shared" si="118"/>
        <v>2</v>
      </c>
      <c r="I1613" s="12">
        <f t="shared" si="119"/>
        <v>1</v>
      </c>
      <c r="J1613" s="3" t="str">
        <f t="shared" si="116"/>
        <v>2330608</v>
      </c>
    </row>
    <row r="1614" spans="2:10" s="3" customFormat="1">
      <c r="B1614" s="3" t="s">
        <v>2109</v>
      </c>
      <c r="C1614" s="8">
        <v>3</v>
      </c>
      <c r="D1614" s="3" t="s">
        <v>2436</v>
      </c>
      <c r="E1614" s="11" t="s">
        <v>514</v>
      </c>
      <c r="F1614" s="10">
        <v>3.1870000000000002E-3</v>
      </c>
      <c r="G1614" s="12">
        <f t="shared" si="117"/>
        <v>917</v>
      </c>
      <c r="H1614" s="13">
        <f t="shared" si="118"/>
        <v>459</v>
      </c>
      <c r="I1614" s="12">
        <f t="shared" si="119"/>
        <v>458</v>
      </c>
      <c r="J1614" s="3" t="str">
        <f t="shared" si="116"/>
        <v>2330609</v>
      </c>
    </row>
    <row r="1615" spans="2:10" s="3" customFormat="1">
      <c r="B1615" s="3" t="s">
        <v>2109</v>
      </c>
      <c r="C1615" s="8">
        <v>3</v>
      </c>
      <c r="D1615" s="3" t="s">
        <v>2437</v>
      </c>
      <c r="E1615" s="11" t="s">
        <v>515</v>
      </c>
      <c r="F1615" s="10">
        <v>1.55E-4</v>
      </c>
      <c r="G1615" s="12">
        <f t="shared" si="117"/>
        <v>45</v>
      </c>
      <c r="H1615" s="13">
        <f t="shared" si="118"/>
        <v>23</v>
      </c>
      <c r="I1615" s="12">
        <f t="shared" si="119"/>
        <v>22</v>
      </c>
      <c r="J1615" s="3" t="str">
        <f t="shared" si="116"/>
        <v>2330610</v>
      </c>
    </row>
    <row r="1616" spans="2:10" s="3" customFormat="1">
      <c r="B1616" s="3" t="s">
        <v>2109</v>
      </c>
      <c r="C1616" s="8">
        <v>4</v>
      </c>
      <c r="D1616" s="3" t="s">
        <v>2438</v>
      </c>
      <c r="E1616" s="11" t="s">
        <v>516</v>
      </c>
      <c r="F1616" s="10">
        <v>0.11621099999999999</v>
      </c>
      <c r="G1616" s="9">
        <f t="shared" si="117"/>
        <v>33437</v>
      </c>
      <c r="H1616" s="11">
        <f t="shared" si="118"/>
        <v>16719</v>
      </c>
      <c r="I1616" s="9">
        <f t="shared" si="119"/>
        <v>16718</v>
      </c>
      <c r="J1616" s="3" t="str">
        <f t="shared" si="116"/>
        <v>2342435</v>
      </c>
    </row>
    <row r="1617" spans="2:10" s="3" customFormat="1">
      <c r="B1617" s="3" t="s">
        <v>2109</v>
      </c>
      <c r="C1617" s="8">
        <v>4</v>
      </c>
      <c r="D1617" s="3" t="s">
        <v>2438</v>
      </c>
      <c r="E1617" s="11" t="s">
        <v>28</v>
      </c>
      <c r="F1617" s="11"/>
      <c r="G1617" s="14">
        <v>0.41362100000000002</v>
      </c>
      <c r="H1617" s="11"/>
      <c r="I1617" s="11"/>
      <c r="J1617" s="3" t="str">
        <f t="shared" si="116"/>
        <v>2342435</v>
      </c>
    </row>
    <row r="1618" spans="2:10" s="3" customFormat="1">
      <c r="B1618" s="3" t="s">
        <v>2109</v>
      </c>
      <c r="C1618" s="8">
        <v>4</v>
      </c>
      <c r="D1618" s="3" t="s">
        <v>2438</v>
      </c>
      <c r="E1618" s="11" t="s">
        <v>29</v>
      </c>
      <c r="F1618" s="11"/>
      <c r="G1618" s="15">
        <f>ROUND(G1616*G1617,0)</f>
        <v>13830</v>
      </c>
      <c r="H1618" s="16">
        <f>ROUND(G1618/2,0)</f>
        <v>6915</v>
      </c>
      <c r="I1618" s="15">
        <f>G1618-H1618</f>
        <v>6915</v>
      </c>
      <c r="J1618" s="3" t="str">
        <f t="shared" si="116"/>
        <v>2342435</v>
      </c>
    </row>
    <row r="1619" spans="2:10" s="3" customFormat="1">
      <c r="B1619" s="3" t="s">
        <v>2109</v>
      </c>
      <c r="C1619" s="8">
        <v>4</v>
      </c>
      <c r="D1619" s="3" t="s">
        <v>2438</v>
      </c>
      <c r="E1619" s="11" t="s">
        <v>30</v>
      </c>
      <c r="F1619" s="11"/>
      <c r="G1619" s="12">
        <f>+G1616-G1618</f>
        <v>19607</v>
      </c>
      <c r="H1619" s="13">
        <f>ROUND(G1619/2,0)</f>
        <v>9804</v>
      </c>
      <c r="I1619" s="12">
        <f>G1619-H1619</f>
        <v>9803</v>
      </c>
      <c r="J1619" s="3" t="str">
        <f t="shared" si="116"/>
        <v>2342435</v>
      </c>
    </row>
    <row r="1620" spans="2:10" s="3" customFormat="1">
      <c r="B1620" s="3" t="s">
        <v>2109</v>
      </c>
      <c r="C1620" s="8">
        <v>4</v>
      </c>
      <c r="D1620" s="3" t="s">
        <v>2439</v>
      </c>
      <c r="E1620" s="11" t="s">
        <v>517</v>
      </c>
      <c r="F1620" s="10">
        <v>0.28880699999999998</v>
      </c>
      <c r="G1620" s="9">
        <f>ROUND(G$3*F1620,0)</f>
        <v>83096</v>
      </c>
      <c r="H1620" s="11">
        <f>ROUND(G1620/2,0)</f>
        <v>41548</v>
      </c>
      <c r="I1620" s="9">
        <f>G1620-H1620</f>
        <v>41548</v>
      </c>
      <c r="J1620" s="3" t="str">
        <f t="shared" si="116"/>
        <v>2342440</v>
      </c>
    </row>
    <row r="1621" spans="2:10" s="3" customFormat="1">
      <c r="B1621" s="3" t="s">
        <v>2109</v>
      </c>
      <c r="C1621" s="8">
        <v>4</v>
      </c>
      <c r="D1621" s="3" t="s">
        <v>2439</v>
      </c>
      <c r="E1621" s="11" t="s">
        <v>28</v>
      </c>
      <c r="F1621" s="11"/>
      <c r="G1621" s="14">
        <v>0.45889000000000002</v>
      </c>
      <c r="H1621" s="11"/>
      <c r="I1621" s="11"/>
      <c r="J1621" s="3" t="str">
        <f t="shared" si="116"/>
        <v>2342440</v>
      </c>
    </row>
    <row r="1622" spans="2:10" s="3" customFormat="1">
      <c r="B1622" s="3" t="s">
        <v>2109</v>
      </c>
      <c r="C1622" s="8">
        <v>4</v>
      </c>
      <c r="D1622" s="3" t="s">
        <v>2439</v>
      </c>
      <c r="E1622" s="11" t="s">
        <v>29</v>
      </c>
      <c r="F1622" s="11"/>
      <c r="G1622" s="15">
        <f>ROUND(G1620*G1621,0)</f>
        <v>38132</v>
      </c>
      <c r="H1622" s="16">
        <f>ROUND(G1622/2,0)</f>
        <v>19066</v>
      </c>
      <c r="I1622" s="15">
        <f>G1622-H1622</f>
        <v>19066</v>
      </c>
      <c r="J1622" s="3" t="str">
        <f t="shared" si="116"/>
        <v>2342440</v>
      </c>
    </row>
    <row r="1623" spans="2:10" s="3" customFormat="1">
      <c r="B1623" s="3" t="s">
        <v>2109</v>
      </c>
      <c r="C1623" s="8">
        <v>4</v>
      </c>
      <c r="D1623" s="3" t="s">
        <v>2439</v>
      </c>
      <c r="E1623" s="11" t="s">
        <v>30</v>
      </c>
      <c r="F1623" s="11"/>
      <c r="G1623" s="12">
        <f>+G1620-G1622</f>
        <v>44964</v>
      </c>
      <c r="H1623" s="13">
        <f>ROUND(G1623/2,0)</f>
        <v>22482</v>
      </c>
      <c r="I1623" s="12">
        <f>G1623-H1623</f>
        <v>22482</v>
      </c>
      <c r="J1623" s="3" t="str">
        <f t="shared" si="116"/>
        <v>2342440</v>
      </c>
    </row>
    <row r="1624" spans="2:10" s="3" customFormat="1">
      <c r="B1624" s="3" t="s">
        <v>2109</v>
      </c>
      <c r="C1624" s="8">
        <v>4</v>
      </c>
      <c r="D1624" s="3" t="s">
        <v>2440</v>
      </c>
      <c r="E1624" s="11" t="s">
        <v>518</v>
      </c>
      <c r="F1624" s="10">
        <v>0.279503</v>
      </c>
      <c r="G1624" s="9">
        <f>ROUND(G$3*F1624,0)</f>
        <v>80419</v>
      </c>
      <c r="H1624" s="11">
        <f>ROUND(G1624/2,0)</f>
        <v>40210</v>
      </c>
      <c r="I1624" s="9">
        <f>G1624-H1624</f>
        <v>40209</v>
      </c>
      <c r="J1624" s="3" t="str">
        <f t="shared" si="116"/>
        <v>2342455</v>
      </c>
    </row>
    <row r="1625" spans="2:10" s="3" customFormat="1">
      <c r="B1625" s="3" t="s">
        <v>2109</v>
      </c>
      <c r="C1625" s="8">
        <v>4</v>
      </c>
      <c r="D1625" s="3" t="s">
        <v>2440</v>
      </c>
      <c r="E1625" s="11" t="s">
        <v>28</v>
      </c>
      <c r="F1625" s="11"/>
      <c r="G1625" s="14">
        <v>0.49110100000000001</v>
      </c>
      <c r="H1625" s="11"/>
      <c r="I1625" s="11"/>
      <c r="J1625" s="3" t="str">
        <f t="shared" si="116"/>
        <v>2342455</v>
      </c>
    </row>
    <row r="1626" spans="2:10" s="3" customFormat="1">
      <c r="B1626" s="3" t="s">
        <v>2109</v>
      </c>
      <c r="C1626" s="8">
        <v>4</v>
      </c>
      <c r="D1626" s="3" t="s">
        <v>2440</v>
      </c>
      <c r="E1626" s="11" t="s">
        <v>29</v>
      </c>
      <c r="F1626" s="11"/>
      <c r="G1626" s="15">
        <f>ROUND(G1624*G1625,0)</f>
        <v>39494</v>
      </c>
      <c r="H1626" s="16">
        <f t="shared" ref="H1626:H1631" si="120">ROUND(G1626/2,0)</f>
        <v>19747</v>
      </c>
      <c r="I1626" s="15">
        <f t="shared" ref="I1626:I1631" si="121">G1626-H1626</f>
        <v>19747</v>
      </c>
      <c r="J1626" s="3" t="str">
        <f t="shared" si="116"/>
        <v>2342455</v>
      </c>
    </row>
    <row r="1627" spans="2:10" s="3" customFormat="1">
      <c r="B1627" s="3" t="s">
        <v>2109</v>
      </c>
      <c r="C1627" s="8">
        <v>4</v>
      </c>
      <c r="D1627" s="3" t="s">
        <v>2440</v>
      </c>
      <c r="E1627" s="11" t="s">
        <v>30</v>
      </c>
      <c r="F1627" s="11"/>
      <c r="G1627" s="12">
        <f>+G1624-G1626</f>
        <v>40925</v>
      </c>
      <c r="H1627" s="13">
        <f t="shared" si="120"/>
        <v>20463</v>
      </c>
      <c r="I1627" s="12">
        <f t="shared" si="121"/>
        <v>20462</v>
      </c>
      <c r="J1627" s="3" t="str">
        <f t="shared" si="116"/>
        <v>2342455</v>
      </c>
    </row>
    <row r="1628" spans="2:10" s="3" customFormat="1">
      <c r="B1628" s="3" t="s">
        <v>2109</v>
      </c>
      <c r="C1628" s="8">
        <v>5</v>
      </c>
      <c r="D1628" s="3" t="s">
        <v>2442</v>
      </c>
      <c r="E1628" s="11" t="s">
        <v>519</v>
      </c>
      <c r="F1628" s="10">
        <v>4.9579999999999997E-3</v>
      </c>
      <c r="G1628" s="120">
        <f>ROUND(G$3*F1628,0)</f>
        <v>1427</v>
      </c>
      <c r="H1628" s="120">
        <f t="shared" si="120"/>
        <v>714</v>
      </c>
      <c r="I1628" s="120">
        <f t="shared" si="121"/>
        <v>713</v>
      </c>
      <c r="J1628" s="3" t="str">
        <f t="shared" si="116"/>
        <v>2350300</v>
      </c>
    </row>
    <row r="1629" spans="2:10" s="3" customFormat="1">
      <c r="B1629" s="3" t="s">
        <v>2109</v>
      </c>
      <c r="C1629" s="8">
        <v>5</v>
      </c>
      <c r="D1629" s="3" t="s">
        <v>2441</v>
      </c>
      <c r="E1629" s="11" t="s">
        <v>520</v>
      </c>
      <c r="F1629" s="10">
        <v>1.1743E-2</v>
      </c>
      <c r="G1629" s="120">
        <f>ROUND(G$3*F1629,0)</f>
        <v>3379</v>
      </c>
      <c r="H1629" s="120">
        <f t="shared" si="120"/>
        <v>1690</v>
      </c>
      <c r="I1629" s="120">
        <f t="shared" si="121"/>
        <v>1689</v>
      </c>
      <c r="J1629" s="3" t="str">
        <f t="shared" si="116"/>
        <v>2350052</v>
      </c>
    </row>
    <row r="1630" spans="2:10" s="3" customFormat="1">
      <c r="B1630" s="3" t="s">
        <v>2109</v>
      </c>
      <c r="C1630" s="8">
        <v>5</v>
      </c>
      <c r="D1630" s="3" t="s">
        <v>3899</v>
      </c>
      <c r="E1630" s="11" t="s">
        <v>521</v>
      </c>
      <c r="F1630" s="10">
        <v>3.0409999999999999E-3</v>
      </c>
      <c r="G1630" s="120">
        <f>ROUND(G$3*F1630,0)</f>
        <v>875</v>
      </c>
      <c r="H1630" s="120">
        <f t="shared" si="120"/>
        <v>438</v>
      </c>
      <c r="I1630" s="120">
        <f t="shared" si="121"/>
        <v>437</v>
      </c>
      <c r="J1630" s="3" t="str">
        <f t="shared" si="116"/>
        <v>2350271</v>
      </c>
    </row>
    <row r="1631" spans="2:10" s="3" customFormat="1">
      <c r="B1631" s="3" t="s">
        <v>2109</v>
      </c>
      <c r="C1631" s="8">
        <v>6</v>
      </c>
      <c r="D1631" s="116" t="s">
        <v>3902</v>
      </c>
      <c r="E1631" s="11" t="s">
        <v>522</v>
      </c>
      <c r="F1631" s="10">
        <v>1.5849000000000002E-2</v>
      </c>
      <c r="G1631" s="120">
        <f>+G1569-SUM(G1570:G1571)-SUM(G1576:G1616)-G1620-G1624-SUM(G1628:G1630)</f>
        <v>-183348</v>
      </c>
      <c r="H1631" s="120">
        <f t="shared" si="120"/>
        <v>-91674</v>
      </c>
      <c r="I1631" s="120">
        <f t="shared" si="121"/>
        <v>-91674</v>
      </c>
      <c r="J1631" s="3" t="str">
        <f t="shared" si="116"/>
        <v>2361050</v>
      </c>
    </row>
    <row r="1632" spans="2:10" s="3" customFormat="1">
      <c r="B1632" s="3" t="s">
        <v>2109</v>
      </c>
      <c r="C1632" s="8">
        <v>0</v>
      </c>
      <c r="D1632" s="125" t="s">
        <v>2187</v>
      </c>
      <c r="E1632" s="28" t="s">
        <v>288</v>
      </c>
      <c r="F1632" s="10">
        <v>1</v>
      </c>
      <c r="G1632" s="12">
        <f>+G1570+SUM(G1573:G1615)+SUM(G1618:G1619)+SUM(G1622:G1623)+SUM(G1626:G1631)</f>
        <v>99816</v>
      </c>
      <c r="H1632" s="12">
        <f>+H1570+SUM(H1573:H1615)+SUM(H1618:H1619)+SUM(H1622:H1623)+SUM(H1626:H1631)</f>
        <v>49919</v>
      </c>
      <c r="I1632" s="12">
        <f>+I1570+SUM(I1573:I1615)+SUM(I1618:I1619)+SUM(I1622:I1623)+SUM(I1626:I1631)</f>
        <v>49897</v>
      </c>
      <c r="J1632" s="3" t="str">
        <f t="shared" si="116"/>
        <v>2300000</v>
      </c>
    </row>
    <row r="1633" spans="2:10" s="3" customFormat="1">
      <c r="B1633" s="3" t="s">
        <v>2109</v>
      </c>
      <c r="C1633" s="8">
        <v>0</v>
      </c>
      <c r="D1633" s="3" t="s">
        <v>2187</v>
      </c>
      <c r="E1633" s="18" t="s">
        <v>38</v>
      </c>
      <c r="G1633" s="19">
        <f>+G1570</f>
        <v>462</v>
      </c>
      <c r="H1633" s="19">
        <f>+H1570</f>
        <v>231</v>
      </c>
      <c r="I1633" s="19">
        <f>+I1570</f>
        <v>231</v>
      </c>
      <c r="J1633" s="3" t="str">
        <f t="shared" si="116"/>
        <v>2300000</v>
      </c>
    </row>
    <row r="1634" spans="2:10" s="3" customFormat="1">
      <c r="B1634" s="3" t="s">
        <v>2109</v>
      </c>
      <c r="C1634" s="8">
        <v>0</v>
      </c>
      <c r="D1634" s="3" t="s">
        <v>2187</v>
      </c>
      <c r="E1634" s="2" t="s">
        <v>39</v>
      </c>
      <c r="G1634" s="19">
        <f>+G1573</f>
        <v>14830</v>
      </c>
      <c r="H1634" s="19">
        <f>+H1573</f>
        <v>7415</v>
      </c>
      <c r="I1634" s="19">
        <f>+I1573</f>
        <v>7415</v>
      </c>
      <c r="J1634" s="3" t="str">
        <f t="shared" si="116"/>
        <v>2300000</v>
      </c>
    </row>
    <row r="1635" spans="2:10" s="3" customFormat="1">
      <c r="B1635" s="3" t="s">
        <v>2109</v>
      </c>
      <c r="C1635" s="8">
        <v>0</v>
      </c>
      <c r="D1635" s="3" t="s">
        <v>2187</v>
      </c>
      <c r="E1635" s="2" t="s">
        <v>40</v>
      </c>
      <c r="G1635" s="19">
        <f>+G1618+G1622+G1626</f>
        <v>91456</v>
      </c>
      <c r="H1635" s="19">
        <f>+H1618+H1622+H1626</f>
        <v>45728</v>
      </c>
      <c r="I1635" s="19">
        <f>+I1618+I1622+I1626</f>
        <v>45728</v>
      </c>
      <c r="J1635" s="3" t="str">
        <f t="shared" si="116"/>
        <v>2300000</v>
      </c>
    </row>
    <row r="1636" spans="2:10" s="3" customFormat="1">
      <c r="B1636" s="3" t="s">
        <v>2109</v>
      </c>
      <c r="C1636" s="8">
        <v>0</v>
      </c>
      <c r="D1636" s="125" t="s">
        <v>2187</v>
      </c>
      <c r="E1636" s="18" t="s">
        <v>41</v>
      </c>
      <c r="G1636" s="19">
        <f>+G1632-G1633-G1634-G1635</f>
        <v>-6932</v>
      </c>
      <c r="H1636" s="19">
        <f>+H1632-H1633-H1634-H1635</f>
        <v>-3455</v>
      </c>
      <c r="I1636" s="19">
        <f>+I1632-I1633-I1634-I1635</f>
        <v>-3477</v>
      </c>
      <c r="J1636" s="3" t="str">
        <f t="shared" si="116"/>
        <v>2300000</v>
      </c>
    </row>
    <row r="1637" spans="2:10" ht="15.75">
      <c r="B1637" s="3" t="s">
        <v>2186</v>
      </c>
      <c r="D1637" t="s">
        <v>2186</v>
      </c>
      <c r="E1637">
        <v>0</v>
      </c>
      <c r="G1637"/>
      <c r="H1637"/>
      <c r="I1637"/>
      <c r="J1637" s="3" t="str">
        <f t="shared" si="116"/>
        <v/>
      </c>
    </row>
    <row r="1638" spans="2:10" s="3" customFormat="1">
      <c r="C1638" s="1"/>
      <c r="D1638" s="3" t="s">
        <v>2186</v>
      </c>
      <c r="E1638" s="2" t="s">
        <v>523</v>
      </c>
      <c r="J1638" s="3" t="str">
        <f t="shared" si="116"/>
        <v/>
      </c>
    </row>
    <row r="1639" spans="2:10" s="3" customFormat="1" ht="45">
      <c r="B1639" s="3" t="s">
        <v>2186</v>
      </c>
      <c r="C1639" s="1"/>
      <c r="D1639" s="3" t="s">
        <v>2186</v>
      </c>
      <c r="E1639" s="1">
        <v>0</v>
      </c>
      <c r="F1639" s="6" t="s">
        <v>1</v>
      </c>
      <c r="G1639" s="60">
        <f>'Allocation Worksheet'!H1639</f>
        <v>0</v>
      </c>
      <c r="H1639" s="60">
        <f>'Allocation Worksheet'!H1640</f>
        <v>0</v>
      </c>
      <c r="I1639" s="60">
        <f>'Allocation Worksheet'!H1641</f>
        <v>0</v>
      </c>
      <c r="J1639" s="3" t="str">
        <f t="shared" si="116"/>
        <v/>
      </c>
    </row>
    <row r="1640" spans="2:10" s="3" customFormat="1">
      <c r="C1640" s="7" t="s">
        <v>2087</v>
      </c>
      <c r="D1640" s="3" t="s">
        <v>2186</v>
      </c>
      <c r="E1640" s="7" t="s">
        <v>3</v>
      </c>
      <c r="F1640" s="10"/>
      <c r="G1640" s="9">
        <f>'Allocation Worksheet'!$D$27</f>
        <v>152983</v>
      </c>
      <c r="H1640" s="11"/>
      <c r="I1640" s="11"/>
      <c r="J1640" s="3" t="str">
        <f t="shared" si="116"/>
        <v>UT</v>
      </c>
    </row>
    <row r="1641" spans="2:10" s="3" customFormat="1">
      <c r="B1641" s="3" t="s">
        <v>2110</v>
      </c>
      <c r="C1641" s="8">
        <v>0</v>
      </c>
      <c r="D1641" s="3" t="s">
        <v>2187</v>
      </c>
      <c r="E1641" s="11" t="s">
        <v>4</v>
      </c>
      <c r="F1641" s="10">
        <v>1.4829999999999999E-3</v>
      </c>
      <c r="G1641" s="12">
        <f>ROUND(G$3*F1641,0)</f>
        <v>427</v>
      </c>
      <c r="H1641" s="13">
        <f>ROUND(G1641/2,0)</f>
        <v>214</v>
      </c>
      <c r="I1641" s="12">
        <f>G1641-H1641</f>
        <v>213</v>
      </c>
      <c r="J1641" s="3" t="str">
        <f t="shared" si="116"/>
        <v>2400000</v>
      </c>
    </row>
    <row r="1642" spans="2:10" s="3" customFormat="1">
      <c r="B1642" s="3" t="s">
        <v>2110</v>
      </c>
      <c r="C1642" s="8">
        <v>1</v>
      </c>
      <c r="D1642" s="3" t="s">
        <v>2187</v>
      </c>
      <c r="E1642" s="11" t="s">
        <v>524</v>
      </c>
      <c r="F1642" s="10">
        <v>0.17039699999999999</v>
      </c>
      <c r="G1642" s="9">
        <f>ROUND(G$3*F1642,0)</f>
        <v>49027</v>
      </c>
      <c r="H1642" s="11">
        <f>ROUND(G1642/2,0)</f>
        <v>24514</v>
      </c>
      <c r="I1642" s="9">
        <f>G1642-H1642</f>
        <v>24513</v>
      </c>
      <c r="J1642" s="3" t="str">
        <f t="shared" si="116"/>
        <v>2410000</v>
      </c>
    </row>
    <row r="1643" spans="2:10" s="3" customFormat="1">
      <c r="B1643" s="3" t="s">
        <v>2110</v>
      </c>
      <c r="C1643" s="8">
        <v>1</v>
      </c>
      <c r="D1643" s="3" t="s">
        <v>2187</v>
      </c>
      <c r="E1643" s="11" t="s">
        <v>6</v>
      </c>
      <c r="F1643" s="11"/>
      <c r="G1643" s="14">
        <v>0.227018</v>
      </c>
      <c r="H1643" s="11"/>
      <c r="I1643" s="11"/>
      <c r="J1643" s="3" t="str">
        <f t="shared" si="116"/>
        <v>2410000</v>
      </c>
    </row>
    <row r="1644" spans="2:10" s="3" customFormat="1">
      <c r="B1644" s="3" t="s">
        <v>2110</v>
      </c>
      <c r="C1644" s="8">
        <v>1</v>
      </c>
      <c r="D1644" s="3" t="s">
        <v>2187</v>
      </c>
      <c r="E1644" s="11" t="s">
        <v>7</v>
      </c>
      <c r="F1644" s="11"/>
      <c r="G1644" s="15">
        <f>ROUND(G1642*G1643,0)</f>
        <v>11130</v>
      </c>
      <c r="H1644" s="16">
        <f>ROUND(G1644/2,0)</f>
        <v>5565</v>
      </c>
      <c r="I1644" s="15">
        <f>G1644-H1644</f>
        <v>5565</v>
      </c>
      <c r="J1644" s="3" t="str">
        <f t="shared" si="116"/>
        <v>2410000</v>
      </c>
    </row>
    <row r="1645" spans="2:10" s="3" customFormat="1">
      <c r="B1645" s="3" t="s">
        <v>2110</v>
      </c>
      <c r="C1645" s="8">
        <v>1</v>
      </c>
      <c r="D1645" s="3" t="s">
        <v>2187</v>
      </c>
      <c r="E1645" s="11" t="s">
        <v>8</v>
      </c>
      <c r="F1645" s="11"/>
      <c r="G1645" s="12">
        <f>+G1642-G1644</f>
        <v>37897</v>
      </c>
      <c r="H1645" s="13">
        <f>ROUND(G1645/2,0)</f>
        <v>18949</v>
      </c>
      <c r="I1645" s="12">
        <f>G1645-H1645</f>
        <v>18948</v>
      </c>
      <c r="J1645" s="3" t="str">
        <f t="shared" si="116"/>
        <v>2410000</v>
      </c>
    </row>
    <row r="1646" spans="2:10" s="3" customFormat="1">
      <c r="B1646" s="3" t="s">
        <v>2110</v>
      </c>
      <c r="C1646" s="8">
        <v>2</v>
      </c>
      <c r="D1646" s="3" t="s">
        <v>2188</v>
      </c>
      <c r="E1646" s="11" t="s">
        <v>525</v>
      </c>
      <c r="F1646" s="11"/>
      <c r="G1646" s="9"/>
      <c r="H1646" s="11"/>
      <c r="I1646" s="11"/>
      <c r="J1646" s="3" t="str">
        <f t="shared" si="116"/>
        <v>2420001</v>
      </c>
    </row>
    <row r="1647" spans="2:10" s="3" customFormat="1">
      <c r="B1647" s="3" t="s">
        <v>2110</v>
      </c>
      <c r="C1647" s="8">
        <v>2</v>
      </c>
      <c r="D1647" s="3" t="s">
        <v>2188</v>
      </c>
      <c r="E1647" s="11" t="s">
        <v>10</v>
      </c>
      <c r="F1647" s="10">
        <v>4.1100000000000002E-4</v>
      </c>
      <c r="G1647" s="12">
        <f>ROUND(G$3*F1647,0)</f>
        <v>118</v>
      </c>
      <c r="H1647" s="13">
        <f>ROUND(G1647/2,0)</f>
        <v>59</v>
      </c>
      <c r="I1647" s="12">
        <f>G1647-H1647</f>
        <v>59</v>
      </c>
      <c r="J1647" s="3" t="str">
        <f t="shared" si="116"/>
        <v>2420001</v>
      </c>
    </row>
    <row r="1648" spans="2:10" s="3" customFormat="1">
      <c r="B1648" s="3" t="s">
        <v>2110</v>
      </c>
      <c r="C1648" s="8">
        <v>2</v>
      </c>
      <c r="D1648" s="3" t="s">
        <v>2188</v>
      </c>
      <c r="E1648" s="11" t="s">
        <v>11</v>
      </c>
      <c r="F1648" s="10">
        <v>2.03E-4</v>
      </c>
      <c r="G1648" s="12">
        <f>ROUND(G$3*F1648,0)</f>
        <v>58</v>
      </c>
      <c r="H1648" s="13">
        <f>ROUND(G1648/2,0)</f>
        <v>29</v>
      </c>
      <c r="I1648" s="12">
        <f>G1648-H1648</f>
        <v>29</v>
      </c>
      <c r="J1648" s="3" t="str">
        <f t="shared" si="116"/>
        <v>2420001</v>
      </c>
    </row>
    <row r="1649" spans="2:10" s="3" customFormat="1">
      <c r="B1649" s="3" t="s">
        <v>2110</v>
      </c>
      <c r="C1649" s="8">
        <v>2</v>
      </c>
      <c r="D1649" s="3" t="s">
        <v>2189</v>
      </c>
      <c r="E1649" s="11" t="s">
        <v>526</v>
      </c>
      <c r="F1649" s="11"/>
      <c r="G1649" s="9"/>
      <c r="H1649" s="11"/>
      <c r="I1649" s="11"/>
      <c r="J1649" s="3" t="str">
        <f t="shared" si="116"/>
        <v>2420002</v>
      </c>
    </row>
    <row r="1650" spans="2:10" s="3" customFormat="1">
      <c r="B1650" s="3" t="s">
        <v>2110</v>
      </c>
      <c r="C1650" s="8">
        <v>2</v>
      </c>
      <c r="D1650" s="3" t="s">
        <v>2189</v>
      </c>
      <c r="E1650" s="11" t="s">
        <v>10</v>
      </c>
      <c r="F1650" s="10">
        <v>6.9099999999999999E-4</v>
      </c>
      <c r="G1650" s="12">
        <f>ROUND(G$3*F1650,0)</f>
        <v>199</v>
      </c>
      <c r="H1650" s="13">
        <f>ROUND(G1650/2,0)</f>
        <v>100</v>
      </c>
      <c r="I1650" s="12">
        <f>G1650-H1650</f>
        <v>99</v>
      </c>
      <c r="J1650" s="3" t="str">
        <f t="shared" si="116"/>
        <v>2420002</v>
      </c>
    </row>
    <row r="1651" spans="2:10" s="3" customFormat="1">
      <c r="B1651" s="3" t="s">
        <v>2110</v>
      </c>
      <c r="C1651" s="8">
        <v>2</v>
      </c>
      <c r="D1651" s="3" t="s">
        <v>2189</v>
      </c>
      <c r="E1651" s="11" t="s">
        <v>11</v>
      </c>
      <c r="F1651" s="10">
        <v>1.6100000000000001E-4</v>
      </c>
      <c r="G1651" s="12">
        <f>ROUND(G$3*F1651,0)</f>
        <v>46</v>
      </c>
      <c r="H1651" s="13">
        <f>ROUND(G1651/2,0)</f>
        <v>23</v>
      </c>
      <c r="I1651" s="12">
        <f>G1651-H1651</f>
        <v>23</v>
      </c>
      <c r="J1651" s="3" t="str">
        <f t="shared" si="116"/>
        <v>2420002</v>
      </c>
    </row>
    <row r="1652" spans="2:10" s="3" customFormat="1">
      <c r="B1652" s="3" t="s">
        <v>2110</v>
      </c>
      <c r="C1652" s="8">
        <v>2</v>
      </c>
      <c r="D1652" s="3" t="s">
        <v>2190</v>
      </c>
      <c r="E1652" s="11" t="s">
        <v>527</v>
      </c>
      <c r="F1652" s="11"/>
      <c r="G1652" s="9"/>
      <c r="H1652" s="11"/>
      <c r="I1652" s="11"/>
      <c r="J1652" s="3" t="str">
        <f t="shared" si="116"/>
        <v>2420003</v>
      </c>
    </row>
    <row r="1653" spans="2:10" s="3" customFormat="1">
      <c r="B1653" s="3" t="s">
        <v>2110</v>
      </c>
      <c r="C1653" s="8">
        <v>2</v>
      </c>
      <c r="D1653" s="3" t="s">
        <v>2190</v>
      </c>
      <c r="E1653" s="11" t="s">
        <v>10</v>
      </c>
      <c r="F1653" s="10">
        <v>1.209E-3</v>
      </c>
      <c r="G1653" s="12">
        <f>ROUND(G$3*F1653,0)</f>
        <v>348</v>
      </c>
      <c r="H1653" s="13">
        <f>ROUND(G1653/2,0)</f>
        <v>174</v>
      </c>
      <c r="I1653" s="12">
        <f>G1653-H1653</f>
        <v>174</v>
      </c>
      <c r="J1653" s="3" t="str">
        <f t="shared" si="116"/>
        <v>2420003</v>
      </c>
    </row>
    <row r="1654" spans="2:10" s="3" customFormat="1">
      <c r="B1654" s="3" t="s">
        <v>2110</v>
      </c>
      <c r="C1654" s="8">
        <v>2</v>
      </c>
      <c r="D1654" s="3" t="s">
        <v>2190</v>
      </c>
      <c r="E1654" s="11" t="s">
        <v>11</v>
      </c>
      <c r="F1654" s="10">
        <v>3.9300000000000001E-4</v>
      </c>
      <c r="G1654" s="12">
        <f>ROUND(G$3*F1654,0)</f>
        <v>113</v>
      </c>
      <c r="H1654" s="13">
        <f>ROUND(G1654/2,0)</f>
        <v>57</v>
      </c>
      <c r="I1654" s="12">
        <f>G1654-H1654</f>
        <v>56</v>
      </c>
      <c r="J1654" s="3" t="str">
        <f t="shared" si="116"/>
        <v>2420003</v>
      </c>
    </row>
    <row r="1655" spans="2:10" s="3" customFormat="1">
      <c r="B1655" s="3" t="s">
        <v>2110</v>
      </c>
      <c r="C1655" s="8">
        <v>2</v>
      </c>
      <c r="D1655" s="3" t="s">
        <v>2191</v>
      </c>
      <c r="E1655" s="11" t="s">
        <v>369</v>
      </c>
      <c r="F1655" s="11"/>
      <c r="G1655" s="9"/>
      <c r="H1655" s="11"/>
      <c r="I1655" s="11"/>
      <c r="J1655" s="3" t="str">
        <f t="shared" si="116"/>
        <v>2420004</v>
      </c>
    </row>
    <row r="1656" spans="2:10" s="3" customFormat="1">
      <c r="B1656" s="3" t="s">
        <v>2110</v>
      </c>
      <c r="C1656" s="8">
        <v>2</v>
      </c>
      <c r="D1656" s="3" t="s">
        <v>2191</v>
      </c>
      <c r="E1656" s="11" t="s">
        <v>10</v>
      </c>
      <c r="F1656" s="10">
        <v>6.3699999999999998E-4</v>
      </c>
      <c r="G1656" s="12">
        <f>ROUND(G$3*F1656,0)</f>
        <v>183</v>
      </c>
      <c r="H1656" s="13">
        <f>ROUND(G1656/2,0)</f>
        <v>92</v>
      </c>
      <c r="I1656" s="12">
        <f>G1656-H1656</f>
        <v>91</v>
      </c>
      <c r="J1656" s="3" t="str">
        <f t="shared" si="116"/>
        <v>2420004</v>
      </c>
    </row>
    <row r="1657" spans="2:10" s="3" customFormat="1">
      <c r="B1657" s="3" t="s">
        <v>2110</v>
      </c>
      <c r="C1657" s="8">
        <v>2</v>
      </c>
      <c r="D1657" s="3" t="s">
        <v>2191</v>
      </c>
      <c r="E1657" s="11" t="s">
        <v>11</v>
      </c>
      <c r="F1657" s="10">
        <v>1.9100000000000001E-4</v>
      </c>
      <c r="G1657" s="12">
        <f>ROUND(G$3*F1657,0)</f>
        <v>55</v>
      </c>
      <c r="H1657" s="13">
        <f>ROUND(G1657/2,0)</f>
        <v>28</v>
      </c>
      <c r="I1657" s="12">
        <f>G1657-H1657</f>
        <v>27</v>
      </c>
      <c r="J1657" s="3" t="str">
        <f t="shared" si="116"/>
        <v>2420004</v>
      </c>
    </row>
    <row r="1658" spans="2:10" s="3" customFormat="1">
      <c r="B1658" s="3" t="s">
        <v>2110</v>
      </c>
      <c r="C1658" s="8">
        <v>2</v>
      </c>
      <c r="D1658" s="3" t="s">
        <v>2192</v>
      </c>
      <c r="E1658" s="11" t="s">
        <v>371</v>
      </c>
      <c r="F1658" s="11"/>
      <c r="G1658" s="9"/>
      <c r="H1658" s="11"/>
      <c r="I1658" s="11"/>
      <c r="J1658" s="3" t="str">
        <f t="shared" si="116"/>
        <v>2420005</v>
      </c>
    </row>
    <row r="1659" spans="2:10" s="3" customFormat="1">
      <c r="B1659" s="3" t="s">
        <v>2110</v>
      </c>
      <c r="C1659" s="8">
        <v>2</v>
      </c>
      <c r="D1659" s="3" t="s">
        <v>2192</v>
      </c>
      <c r="E1659" s="11" t="s">
        <v>10</v>
      </c>
      <c r="F1659" s="10">
        <v>1.1900000000000001E-4</v>
      </c>
      <c r="G1659" s="12">
        <f>ROUND(G$3*F1659,0)</f>
        <v>34</v>
      </c>
      <c r="H1659" s="13">
        <f>ROUND(G1659/2,0)</f>
        <v>17</v>
      </c>
      <c r="I1659" s="12">
        <f>G1659-H1659</f>
        <v>17</v>
      </c>
      <c r="J1659" s="3" t="str">
        <f t="shared" si="116"/>
        <v>2420005</v>
      </c>
    </row>
    <row r="1660" spans="2:10" s="3" customFormat="1">
      <c r="B1660" s="3" t="s">
        <v>2110</v>
      </c>
      <c r="C1660" s="8">
        <v>2</v>
      </c>
      <c r="D1660" s="3" t="s">
        <v>2192</v>
      </c>
      <c r="E1660" s="11" t="s">
        <v>11</v>
      </c>
      <c r="F1660" s="10">
        <v>2.4000000000000001E-5</v>
      </c>
      <c r="G1660" s="12">
        <f>ROUND(G$3*F1660,0)</f>
        <v>7</v>
      </c>
      <c r="H1660" s="13">
        <f>ROUND(G1660/2,0)</f>
        <v>4</v>
      </c>
      <c r="I1660" s="12">
        <f>G1660-H1660</f>
        <v>3</v>
      </c>
      <c r="J1660" s="3" t="str">
        <f t="shared" si="116"/>
        <v>2420005</v>
      </c>
    </row>
    <row r="1661" spans="2:10" s="3" customFormat="1">
      <c r="B1661" s="3" t="s">
        <v>2110</v>
      </c>
      <c r="C1661" s="8">
        <v>2</v>
      </c>
      <c r="D1661" s="3" t="s">
        <v>2193</v>
      </c>
      <c r="E1661" s="11" t="s">
        <v>528</v>
      </c>
      <c r="F1661" s="11"/>
      <c r="G1661" s="9"/>
      <c r="H1661" s="11"/>
      <c r="I1661" s="11"/>
      <c r="J1661" s="3" t="str">
        <f t="shared" si="116"/>
        <v>2420006</v>
      </c>
    </row>
    <row r="1662" spans="2:10" s="3" customFormat="1">
      <c r="B1662" s="3" t="s">
        <v>2110</v>
      </c>
      <c r="C1662" s="8">
        <v>2</v>
      </c>
      <c r="D1662" s="3" t="s">
        <v>2193</v>
      </c>
      <c r="E1662" s="11" t="s">
        <v>10</v>
      </c>
      <c r="F1662" s="10">
        <v>1.73E-4</v>
      </c>
      <c r="G1662" s="12">
        <f>ROUND(G$3*F1662,0)</f>
        <v>50</v>
      </c>
      <c r="H1662" s="13">
        <f>ROUND(G1662/2,0)</f>
        <v>25</v>
      </c>
      <c r="I1662" s="12">
        <f>G1662-H1662</f>
        <v>25</v>
      </c>
      <c r="J1662" s="3" t="str">
        <f t="shared" si="116"/>
        <v>2420006</v>
      </c>
    </row>
    <row r="1663" spans="2:10" s="3" customFormat="1">
      <c r="B1663" s="3" t="s">
        <v>2110</v>
      </c>
      <c r="C1663" s="8">
        <v>2</v>
      </c>
      <c r="D1663" s="3" t="s">
        <v>2193</v>
      </c>
      <c r="E1663" s="11" t="s">
        <v>11</v>
      </c>
      <c r="F1663" s="10">
        <v>1.13E-4</v>
      </c>
      <c r="G1663" s="12">
        <f>ROUND(G$3*F1663,0)</f>
        <v>33</v>
      </c>
      <c r="H1663" s="13">
        <f>ROUND(G1663/2,0)</f>
        <v>17</v>
      </c>
      <c r="I1663" s="12">
        <f>G1663-H1663</f>
        <v>16</v>
      </c>
      <c r="J1663" s="3" t="str">
        <f t="shared" si="116"/>
        <v>2420006</v>
      </c>
    </row>
    <row r="1664" spans="2:10" s="3" customFormat="1">
      <c r="B1664" s="3" t="s">
        <v>2110</v>
      </c>
      <c r="C1664" s="8">
        <v>2</v>
      </c>
      <c r="D1664" s="3" t="s">
        <v>2194</v>
      </c>
      <c r="E1664" s="11" t="s">
        <v>529</v>
      </c>
      <c r="F1664" s="11"/>
      <c r="G1664" s="9"/>
      <c r="H1664" s="11"/>
      <c r="I1664" s="11"/>
      <c r="J1664" s="3" t="str">
        <f t="shared" si="116"/>
        <v>2420007</v>
      </c>
    </row>
    <row r="1665" spans="2:10" s="3" customFormat="1">
      <c r="B1665" s="3" t="s">
        <v>2110</v>
      </c>
      <c r="C1665" s="8">
        <v>2</v>
      </c>
      <c r="D1665" s="3" t="s">
        <v>2194</v>
      </c>
      <c r="E1665" s="11" t="s">
        <v>10</v>
      </c>
      <c r="F1665" s="10">
        <v>2.0730000000000002E-3</v>
      </c>
      <c r="G1665" s="12">
        <f>ROUND(G$3*F1665,0)</f>
        <v>596</v>
      </c>
      <c r="H1665" s="13">
        <f>ROUND(G1665/2,0)</f>
        <v>298</v>
      </c>
      <c r="I1665" s="12">
        <f>G1665-H1665</f>
        <v>298</v>
      </c>
      <c r="J1665" s="3" t="str">
        <f t="shared" si="116"/>
        <v>2420007</v>
      </c>
    </row>
    <row r="1666" spans="2:10" s="3" customFormat="1">
      <c r="B1666" s="3" t="s">
        <v>2110</v>
      </c>
      <c r="C1666" s="8">
        <v>2</v>
      </c>
      <c r="D1666" s="3" t="s">
        <v>2194</v>
      </c>
      <c r="E1666" s="11" t="s">
        <v>11</v>
      </c>
      <c r="F1666" s="10">
        <v>1.078E-3</v>
      </c>
      <c r="G1666" s="12">
        <f>ROUND(G$3*F1666,0)</f>
        <v>310</v>
      </c>
      <c r="H1666" s="13">
        <f>ROUND(G1666/2,0)</f>
        <v>155</v>
      </c>
      <c r="I1666" s="12">
        <f>G1666-H1666</f>
        <v>155</v>
      </c>
      <c r="J1666" s="3" t="str">
        <f t="shared" si="116"/>
        <v>2420007</v>
      </c>
    </row>
    <row r="1667" spans="2:10" s="3" customFormat="1">
      <c r="B1667" s="3" t="s">
        <v>2110</v>
      </c>
      <c r="C1667" s="8">
        <v>2</v>
      </c>
      <c r="D1667" s="3" t="s">
        <v>2195</v>
      </c>
      <c r="E1667" s="11" t="s">
        <v>530</v>
      </c>
      <c r="F1667" s="11"/>
      <c r="G1667" s="9"/>
      <c r="H1667" s="11"/>
      <c r="I1667" s="11"/>
      <c r="J1667" s="3" t="str">
        <f t="shared" si="116"/>
        <v>2420008</v>
      </c>
    </row>
    <row r="1668" spans="2:10" s="3" customFormat="1">
      <c r="B1668" s="3" t="s">
        <v>2110</v>
      </c>
      <c r="C1668" s="8">
        <v>2</v>
      </c>
      <c r="D1668" s="3" t="s">
        <v>2195</v>
      </c>
      <c r="E1668" s="11" t="s">
        <v>10</v>
      </c>
      <c r="F1668" s="10">
        <v>1.0009999999999999E-3</v>
      </c>
      <c r="G1668" s="12">
        <f>ROUND(G$3*F1668,0)</f>
        <v>288</v>
      </c>
      <c r="H1668" s="13">
        <f>ROUND(G1668/2,0)</f>
        <v>144</v>
      </c>
      <c r="I1668" s="12">
        <f>G1668-H1668</f>
        <v>144</v>
      </c>
      <c r="J1668" s="3" t="str">
        <f t="shared" ref="J1668:J1731" si="122">B1668&amp;C1668&amp;D1668</f>
        <v>2420008</v>
      </c>
    </row>
    <row r="1669" spans="2:10" s="3" customFormat="1">
      <c r="B1669" s="3" t="s">
        <v>2110</v>
      </c>
      <c r="C1669" s="8">
        <v>2</v>
      </c>
      <c r="D1669" s="3" t="s">
        <v>2195</v>
      </c>
      <c r="E1669" s="11" t="s">
        <v>11</v>
      </c>
      <c r="F1669" s="10">
        <v>2.7999999999999998E-4</v>
      </c>
      <c r="G1669" s="12">
        <f>ROUND(G$3*F1669,0)</f>
        <v>81</v>
      </c>
      <c r="H1669" s="13">
        <f>ROUND(G1669/2,0)</f>
        <v>41</v>
      </c>
      <c r="I1669" s="12">
        <f>G1669-H1669</f>
        <v>40</v>
      </c>
      <c r="J1669" s="3" t="str">
        <f t="shared" si="122"/>
        <v>2420008</v>
      </c>
    </row>
    <row r="1670" spans="2:10" s="3" customFormat="1">
      <c r="B1670" s="3" t="s">
        <v>2110</v>
      </c>
      <c r="C1670" s="8">
        <v>2</v>
      </c>
      <c r="D1670" s="3" t="s">
        <v>2196</v>
      </c>
      <c r="E1670" s="11" t="s">
        <v>252</v>
      </c>
      <c r="F1670" s="11"/>
      <c r="G1670" s="12"/>
      <c r="H1670" s="13"/>
      <c r="I1670" s="12"/>
      <c r="J1670" s="3" t="str">
        <f t="shared" si="122"/>
        <v>2420009</v>
      </c>
    </row>
    <row r="1671" spans="2:10" s="3" customFormat="1">
      <c r="B1671" s="3" t="s">
        <v>2110</v>
      </c>
      <c r="C1671" s="8">
        <v>2</v>
      </c>
      <c r="D1671" s="3" t="s">
        <v>2196</v>
      </c>
      <c r="E1671" s="11" t="s">
        <v>10</v>
      </c>
      <c r="F1671" s="10">
        <v>5.7799999999999995E-4</v>
      </c>
      <c r="G1671" s="12">
        <f>ROUND(G$3*F1671,0)</f>
        <v>166</v>
      </c>
      <c r="H1671" s="13">
        <f>ROUND(G1671/2,0)</f>
        <v>83</v>
      </c>
      <c r="I1671" s="12">
        <f>G1671-H1671</f>
        <v>83</v>
      </c>
      <c r="J1671" s="3" t="str">
        <f t="shared" si="122"/>
        <v>2420009</v>
      </c>
    </row>
    <row r="1672" spans="2:10" s="3" customFormat="1">
      <c r="B1672" s="3" t="s">
        <v>2110</v>
      </c>
      <c r="C1672" s="8">
        <v>2</v>
      </c>
      <c r="D1672" s="3" t="s">
        <v>2196</v>
      </c>
      <c r="E1672" s="11" t="s">
        <v>11</v>
      </c>
      <c r="F1672" s="10">
        <v>1.4300000000000001E-4</v>
      </c>
      <c r="G1672" s="12">
        <f>ROUND(G$3*F1672,0)</f>
        <v>41</v>
      </c>
      <c r="H1672" s="13">
        <f>ROUND(G1672/2,0)</f>
        <v>21</v>
      </c>
      <c r="I1672" s="12">
        <f>G1672-H1672</f>
        <v>20</v>
      </c>
      <c r="J1672" s="3" t="str">
        <f t="shared" si="122"/>
        <v>2420009</v>
      </c>
    </row>
    <row r="1673" spans="2:10" s="3" customFormat="1">
      <c r="B1673" s="3" t="s">
        <v>2110</v>
      </c>
      <c r="C1673" s="8">
        <v>2</v>
      </c>
      <c r="D1673" s="3" t="s">
        <v>2197</v>
      </c>
      <c r="E1673" s="11" t="s">
        <v>531</v>
      </c>
      <c r="F1673" s="11"/>
      <c r="G1673" s="9"/>
      <c r="H1673" s="11"/>
      <c r="I1673" s="11"/>
      <c r="J1673" s="3" t="str">
        <f t="shared" si="122"/>
        <v>2420010</v>
      </c>
    </row>
    <row r="1674" spans="2:10" s="3" customFormat="1">
      <c r="B1674" s="3" t="s">
        <v>2110</v>
      </c>
      <c r="C1674" s="8">
        <v>2</v>
      </c>
      <c r="D1674" s="3" t="s">
        <v>2197</v>
      </c>
      <c r="E1674" s="11" t="s">
        <v>10</v>
      </c>
      <c r="F1674" s="10">
        <v>9.9500000000000001E-4</v>
      </c>
      <c r="G1674" s="12">
        <f>ROUND(G$3*F1674,0)</f>
        <v>286</v>
      </c>
      <c r="H1674" s="13">
        <f>ROUND(G1674/2,0)</f>
        <v>143</v>
      </c>
      <c r="I1674" s="12">
        <f>G1674-H1674</f>
        <v>143</v>
      </c>
      <c r="J1674" s="3" t="str">
        <f t="shared" si="122"/>
        <v>2420010</v>
      </c>
    </row>
    <row r="1675" spans="2:10" s="3" customFormat="1">
      <c r="B1675" s="3" t="s">
        <v>2110</v>
      </c>
      <c r="C1675" s="8">
        <v>2</v>
      </c>
      <c r="D1675" s="3" t="s">
        <v>2197</v>
      </c>
      <c r="E1675" s="11" t="s">
        <v>11</v>
      </c>
      <c r="F1675" s="10">
        <v>1.07E-4</v>
      </c>
      <c r="G1675" s="12">
        <f>ROUND(G$3*F1675,0)</f>
        <v>31</v>
      </c>
      <c r="H1675" s="13">
        <f>ROUND(G1675/2,0)</f>
        <v>16</v>
      </c>
      <c r="I1675" s="12">
        <f>G1675-H1675</f>
        <v>15</v>
      </c>
      <c r="J1675" s="3" t="str">
        <f t="shared" si="122"/>
        <v>2420010</v>
      </c>
    </row>
    <row r="1676" spans="2:10" s="3" customFormat="1">
      <c r="B1676" s="3" t="s">
        <v>2110</v>
      </c>
      <c r="C1676" s="8">
        <v>2</v>
      </c>
      <c r="D1676" s="3" t="s">
        <v>2198</v>
      </c>
      <c r="E1676" s="11" t="s">
        <v>532</v>
      </c>
      <c r="F1676" s="11"/>
      <c r="G1676" s="9"/>
      <c r="H1676" s="11"/>
      <c r="I1676" s="11"/>
      <c r="J1676" s="3" t="str">
        <f t="shared" si="122"/>
        <v>2420011</v>
      </c>
    </row>
    <row r="1677" spans="2:10" s="3" customFormat="1">
      <c r="B1677" s="3" t="s">
        <v>2110</v>
      </c>
      <c r="C1677" s="8">
        <v>2</v>
      </c>
      <c r="D1677" s="3" t="s">
        <v>2198</v>
      </c>
      <c r="E1677" s="11" t="s">
        <v>10</v>
      </c>
      <c r="F1677" s="10">
        <v>3.6900000000000002E-4</v>
      </c>
      <c r="G1677" s="12">
        <f>ROUND(G$3*F1677,0)</f>
        <v>106</v>
      </c>
      <c r="H1677" s="13">
        <f>ROUND(G1677/2,0)</f>
        <v>53</v>
      </c>
      <c r="I1677" s="12">
        <f>G1677-H1677</f>
        <v>53</v>
      </c>
      <c r="J1677" s="3" t="str">
        <f t="shared" si="122"/>
        <v>2420011</v>
      </c>
    </row>
    <row r="1678" spans="2:10" s="3" customFormat="1">
      <c r="B1678" s="3" t="s">
        <v>2110</v>
      </c>
      <c r="C1678" s="8">
        <v>2</v>
      </c>
      <c r="D1678" s="3" t="s">
        <v>2198</v>
      </c>
      <c r="E1678" s="11" t="s">
        <v>11</v>
      </c>
      <c r="F1678" s="10">
        <v>1.55E-4</v>
      </c>
      <c r="G1678" s="12">
        <f>ROUND(G$3*F1678,0)</f>
        <v>45</v>
      </c>
      <c r="H1678" s="13">
        <f>ROUND(G1678/2,0)</f>
        <v>23</v>
      </c>
      <c r="I1678" s="12">
        <f>G1678-H1678</f>
        <v>22</v>
      </c>
      <c r="J1678" s="3" t="str">
        <f t="shared" si="122"/>
        <v>2420011</v>
      </c>
    </row>
    <row r="1679" spans="2:10" s="3" customFormat="1">
      <c r="B1679" s="3" t="s">
        <v>2110</v>
      </c>
      <c r="C1679" s="8">
        <v>2</v>
      </c>
      <c r="D1679" s="3" t="s">
        <v>2199</v>
      </c>
      <c r="E1679" s="11" t="s">
        <v>59</v>
      </c>
      <c r="F1679" s="11"/>
      <c r="G1679" s="9"/>
      <c r="H1679" s="11"/>
      <c r="I1679" s="11"/>
      <c r="J1679" s="3" t="str">
        <f t="shared" si="122"/>
        <v>2420012</v>
      </c>
    </row>
    <row r="1680" spans="2:10" s="3" customFormat="1">
      <c r="B1680" s="3" t="s">
        <v>2110</v>
      </c>
      <c r="C1680" s="8">
        <v>2</v>
      </c>
      <c r="D1680" s="3" t="s">
        <v>2199</v>
      </c>
      <c r="E1680" s="11" t="s">
        <v>10</v>
      </c>
      <c r="F1680" s="10">
        <v>5.7200000000000003E-4</v>
      </c>
      <c r="G1680" s="12">
        <f>ROUND(G$3*F1680,0)</f>
        <v>165</v>
      </c>
      <c r="H1680" s="13">
        <f>ROUND(G1680/2,0)</f>
        <v>83</v>
      </c>
      <c r="I1680" s="12">
        <f>G1680-H1680</f>
        <v>82</v>
      </c>
      <c r="J1680" s="3" t="str">
        <f t="shared" si="122"/>
        <v>2420012</v>
      </c>
    </row>
    <row r="1681" spans="2:10" s="3" customFormat="1">
      <c r="B1681" s="3" t="s">
        <v>2110</v>
      </c>
      <c r="C1681" s="8">
        <v>2</v>
      </c>
      <c r="D1681" s="3" t="s">
        <v>2199</v>
      </c>
      <c r="E1681" s="11" t="s">
        <v>11</v>
      </c>
      <c r="F1681" s="10">
        <v>4.5300000000000001E-4</v>
      </c>
      <c r="G1681" s="12">
        <f>ROUND(G$3*F1681,0)</f>
        <v>130</v>
      </c>
      <c r="H1681" s="13">
        <f>ROUND(G1681/2,0)</f>
        <v>65</v>
      </c>
      <c r="I1681" s="12">
        <f>G1681-H1681</f>
        <v>65</v>
      </c>
      <c r="J1681" s="3" t="str">
        <f t="shared" si="122"/>
        <v>2420012</v>
      </c>
    </row>
    <row r="1682" spans="2:10" s="3" customFormat="1">
      <c r="B1682" s="3" t="s">
        <v>2110</v>
      </c>
      <c r="C1682" s="8">
        <v>2</v>
      </c>
      <c r="D1682" s="3" t="s">
        <v>2208</v>
      </c>
      <c r="E1682" s="11" t="s">
        <v>533</v>
      </c>
      <c r="F1682" s="11"/>
      <c r="G1682" s="9"/>
      <c r="H1682" s="11"/>
      <c r="I1682" s="11"/>
      <c r="J1682" s="3" t="str">
        <f t="shared" si="122"/>
        <v>2420013</v>
      </c>
    </row>
    <row r="1683" spans="2:10" s="3" customFormat="1">
      <c r="B1683" s="3" t="s">
        <v>2110</v>
      </c>
      <c r="C1683" s="8">
        <v>2</v>
      </c>
      <c r="D1683" s="3" t="s">
        <v>2208</v>
      </c>
      <c r="E1683" s="11" t="s">
        <v>10</v>
      </c>
      <c r="F1683" s="10">
        <v>8.4599999999999996E-4</v>
      </c>
      <c r="G1683" s="12">
        <f t="shared" ref="G1683:G1691" si="123">ROUND(G$3*F1683,0)</f>
        <v>243</v>
      </c>
      <c r="H1683" s="13">
        <f t="shared" ref="H1683:H1691" si="124">ROUND(G1683/2,0)</f>
        <v>122</v>
      </c>
      <c r="I1683" s="12">
        <f t="shared" ref="I1683:I1691" si="125">G1683-H1683</f>
        <v>121</v>
      </c>
      <c r="J1683" s="3" t="str">
        <f t="shared" si="122"/>
        <v>2420013</v>
      </c>
    </row>
    <row r="1684" spans="2:10" s="3" customFormat="1">
      <c r="B1684" s="3" t="s">
        <v>2110</v>
      </c>
      <c r="C1684" s="8">
        <v>2</v>
      </c>
      <c r="D1684" s="3" t="s">
        <v>2208</v>
      </c>
      <c r="E1684" s="11" t="s">
        <v>11</v>
      </c>
      <c r="F1684" s="10">
        <v>5.7799999999999995E-4</v>
      </c>
      <c r="G1684" s="12">
        <f t="shared" si="123"/>
        <v>166</v>
      </c>
      <c r="H1684" s="13">
        <f t="shared" si="124"/>
        <v>83</v>
      </c>
      <c r="I1684" s="12">
        <f t="shared" si="125"/>
        <v>83</v>
      </c>
      <c r="J1684" s="3" t="str">
        <f t="shared" si="122"/>
        <v>2420013</v>
      </c>
    </row>
    <row r="1685" spans="2:10" s="3" customFormat="1">
      <c r="B1685" s="3" t="s">
        <v>2110</v>
      </c>
      <c r="C1685" s="8">
        <v>3</v>
      </c>
      <c r="D1685" s="3" t="s">
        <v>2443</v>
      </c>
      <c r="E1685" s="11" t="s">
        <v>534</v>
      </c>
      <c r="F1685" s="10">
        <v>3.0980000000000001E-3</v>
      </c>
      <c r="G1685" s="12">
        <f t="shared" si="123"/>
        <v>891</v>
      </c>
      <c r="H1685" s="13">
        <f t="shared" si="124"/>
        <v>446</v>
      </c>
      <c r="I1685" s="12">
        <f t="shared" si="125"/>
        <v>445</v>
      </c>
      <c r="J1685" s="3" t="str">
        <f t="shared" si="122"/>
        <v>2430447</v>
      </c>
    </row>
    <row r="1686" spans="2:10" s="3" customFormat="1">
      <c r="B1686" s="3" t="s">
        <v>2110</v>
      </c>
      <c r="C1686" s="8">
        <v>3</v>
      </c>
      <c r="D1686" s="3" t="s">
        <v>2448</v>
      </c>
      <c r="E1686" s="11" t="s">
        <v>535</v>
      </c>
      <c r="F1686" s="10">
        <v>6.5589999999999997E-3</v>
      </c>
      <c r="G1686" s="12">
        <f t="shared" si="123"/>
        <v>1887</v>
      </c>
      <c r="H1686" s="13">
        <f t="shared" si="124"/>
        <v>944</v>
      </c>
      <c r="I1686" s="12">
        <f t="shared" si="125"/>
        <v>943</v>
      </c>
      <c r="J1686" s="3" t="str">
        <f t="shared" si="122"/>
        <v>2430952</v>
      </c>
    </row>
    <row r="1687" spans="2:10" s="3" customFormat="1">
      <c r="B1687" s="3" t="s">
        <v>2110</v>
      </c>
      <c r="C1687" s="8">
        <v>3</v>
      </c>
      <c r="D1687" s="3" t="s">
        <v>2444</v>
      </c>
      <c r="E1687" s="11" t="s">
        <v>536</v>
      </c>
      <c r="F1687" s="10">
        <v>6.0000000000000002E-6</v>
      </c>
      <c r="G1687" s="12">
        <f t="shared" si="123"/>
        <v>2</v>
      </c>
      <c r="H1687" s="13">
        <f t="shared" si="124"/>
        <v>1</v>
      </c>
      <c r="I1687" s="12">
        <f t="shared" si="125"/>
        <v>1</v>
      </c>
      <c r="J1687" s="3" t="str">
        <f t="shared" si="122"/>
        <v>2430611</v>
      </c>
    </row>
    <row r="1688" spans="2:10" s="3" customFormat="1">
      <c r="B1688" s="3" t="s">
        <v>2110</v>
      </c>
      <c r="C1688" s="8">
        <v>3</v>
      </c>
      <c r="D1688" s="3" t="s">
        <v>2445</v>
      </c>
      <c r="E1688" s="11" t="s">
        <v>537</v>
      </c>
      <c r="F1688" s="10">
        <v>8.6399999999999997E-4</v>
      </c>
      <c r="G1688" s="12">
        <f t="shared" si="123"/>
        <v>249</v>
      </c>
      <c r="H1688" s="13">
        <f t="shared" si="124"/>
        <v>125</v>
      </c>
      <c r="I1688" s="12">
        <f t="shared" si="125"/>
        <v>124</v>
      </c>
      <c r="J1688" s="3" t="str">
        <f t="shared" si="122"/>
        <v>2430612</v>
      </c>
    </row>
    <row r="1689" spans="2:10" s="3" customFormat="1">
      <c r="B1689" s="3" t="s">
        <v>2110</v>
      </c>
      <c r="C1689" s="8">
        <v>3</v>
      </c>
      <c r="D1689" s="3" t="s">
        <v>2446</v>
      </c>
      <c r="E1689" s="11" t="s">
        <v>538</v>
      </c>
      <c r="F1689" s="10">
        <v>1.2E-5</v>
      </c>
      <c r="G1689" s="12">
        <f t="shared" si="123"/>
        <v>3</v>
      </c>
      <c r="H1689" s="13">
        <f t="shared" si="124"/>
        <v>2</v>
      </c>
      <c r="I1689" s="12">
        <f t="shared" si="125"/>
        <v>1</v>
      </c>
      <c r="J1689" s="3" t="str">
        <f t="shared" si="122"/>
        <v>2430613</v>
      </c>
    </row>
    <row r="1690" spans="2:10" s="3" customFormat="1">
      <c r="B1690" s="3" t="s">
        <v>2110</v>
      </c>
      <c r="C1690" s="8">
        <v>3</v>
      </c>
      <c r="D1690" s="3" t="s">
        <v>2447</v>
      </c>
      <c r="E1690" s="11" t="s">
        <v>539</v>
      </c>
      <c r="F1690" s="10">
        <v>2.1800000000000001E-3</v>
      </c>
      <c r="G1690" s="12">
        <f t="shared" si="123"/>
        <v>627</v>
      </c>
      <c r="H1690" s="13">
        <f t="shared" si="124"/>
        <v>314</v>
      </c>
      <c r="I1690" s="12">
        <f t="shared" si="125"/>
        <v>313</v>
      </c>
      <c r="J1690" s="3" t="str">
        <f t="shared" si="122"/>
        <v>2430614</v>
      </c>
    </row>
    <row r="1691" spans="2:10" s="3" customFormat="1">
      <c r="B1691" s="3" t="s">
        <v>2110</v>
      </c>
      <c r="C1691" s="8">
        <v>4</v>
      </c>
      <c r="D1691" s="3" t="s">
        <v>2450</v>
      </c>
      <c r="E1691" s="11" t="s">
        <v>540</v>
      </c>
      <c r="F1691" s="10">
        <v>0.19261300000000001</v>
      </c>
      <c r="G1691" s="9">
        <f t="shared" si="123"/>
        <v>55419</v>
      </c>
      <c r="H1691" s="11">
        <f t="shared" si="124"/>
        <v>27710</v>
      </c>
      <c r="I1691" s="9">
        <f t="shared" si="125"/>
        <v>27709</v>
      </c>
      <c r="J1691" s="3" t="str">
        <f t="shared" si="122"/>
        <v>2446895</v>
      </c>
    </row>
    <row r="1692" spans="2:10" s="3" customFormat="1">
      <c r="B1692" s="3" t="s">
        <v>2110</v>
      </c>
      <c r="C1692" s="8">
        <v>4</v>
      </c>
      <c r="D1692" s="3" t="s">
        <v>2450</v>
      </c>
      <c r="E1692" s="11" t="s">
        <v>28</v>
      </c>
      <c r="F1692" s="11"/>
      <c r="G1692" s="14">
        <v>0.52623500000000001</v>
      </c>
      <c r="H1692" s="11"/>
      <c r="I1692" s="11"/>
      <c r="J1692" s="3" t="str">
        <f t="shared" si="122"/>
        <v>2446895</v>
      </c>
    </row>
    <row r="1693" spans="2:10" s="3" customFormat="1">
      <c r="B1693" s="3" t="s">
        <v>2110</v>
      </c>
      <c r="C1693" s="8">
        <v>4</v>
      </c>
      <c r="D1693" s="3" t="s">
        <v>2450</v>
      </c>
      <c r="E1693" s="11" t="s">
        <v>29</v>
      </c>
      <c r="F1693" s="11"/>
      <c r="G1693" s="15">
        <f>ROUND(G1691*G1692,0)</f>
        <v>29163</v>
      </c>
      <c r="H1693" s="16">
        <f>ROUND(G1693/2,0)</f>
        <v>14582</v>
      </c>
      <c r="I1693" s="15">
        <f>G1693-H1693</f>
        <v>14581</v>
      </c>
      <c r="J1693" s="3" t="str">
        <f t="shared" si="122"/>
        <v>2446895</v>
      </c>
    </row>
    <row r="1694" spans="2:10" s="3" customFormat="1">
      <c r="B1694" s="3" t="s">
        <v>2110</v>
      </c>
      <c r="C1694" s="8">
        <v>4</v>
      </c>
      <c r="D1694" s="3" t="s">
        <v>2450</v>
      </c>
      <c r="E1694" s="11" t="s">
        <v>30</v>
      </c>
      <c r="F1694" s="11"/>
      <c r="G1694" s="12">
        <f>+G1691-G1693</f>
        <v>26256</v>
      </c>
      <c r="H1694" s="13">
        <f>ROUND(G1694/2,0)</f>
        <v>13128</v>
      </c>
      <c r="I1694" s="12">
        <f>G1694-H1694</f>
        <v>13128</v>
      </c>
      <c r="J1694" s="3" t="str">
        <f t="shared" si="122"/>
        <v>2446895</v>
      </c>
    </row>
    <row r="1695" spans="2:10" s="3" customFormat="1">
      <c r="B1695" s="3" t="s">
        <v>2110</v>
      </c>
      <c r="C1695" s="8">
        <v>4</v>
      </c>
      <c r="D1695" s="116" t="s">
        <v>2449</v>
      </c>
      <c r="E1695" s="11" t="s">
        <v>541</v>
      </c>
      <c r="F1695" s="10">
        <v>0.55850599999999995</v>
      </c>
      <c r="G1695" s="9">
        <f>ROUND(G$3*F1695,0)</f>
        <v>160695</v>
      </c>
      <c r="H1695" s="11">
        <f>ROUND(G1695/2,0)</f>
        <v>80348</v>
      </c>
      <c r="I1695" s="9">
        <f>G1695-H1695</f>
        <v>80347</v>
      </c>
      <c r="J1695" s="3" t="str">
        <f t="shared" si="122"/>
        <v>2442475</v>
      </c>
    </row>
    <row r="1696" spans="2:10" s="3" customFormat="1">
      <c r="B1696" s="3" t="s">
        <v>2110</v>
      </c>
      <c r="C1696" s="8">
        <v>4</v>
      </c>
      <c r="D1696" s="116" t="s">
        <v>2449</v>
      </c>
      <c r="E1696" s="11" t="s">
        <v>28</v>
      </c>
      <c r="F1696" s="11"/>
      <c r="G1696" s="14">
        <v>0.42430200000000001</v>
      </c>
      <c r="H1696" s="11"/>
      <c r="I1696" s="11"/>
      <c r="J1696" s="3" t="str">
        <f t="shared" si="122"/>
        <v>2442475</v>
      </c>
    </row>
    <row r="1697" spans="2:10" s="3" customFormat="1">
      <c r="B1697" s="3" t="s">
        <v>2110</v>
      </c>
      <c r="C1697" s="8">
        <v>4</v>
      </c>
      <c r="D1697" s="116" t="s">
        <v>2449</v>
      </c>
      <c r="E1697" s="11" t="s">
        <v>29</v>
      </c>
      <c r="F1697" s="11"/>
      <c r="G1697" s="15">
        <f>ROUND(G1695*G1696,0)</f>
        <v>68183</v>
      </c>
      <c r="H1697" s="16">
        <f>ROUND(G1697/2,0)</f>
        <v>34092</v>
      </c>
      <c r="I1697" s="15">
        <f>G1697-H1697</f>
        <v>34091</v>
      </c>
      <c r="J1697" s="3" t="str">
        <f t="shared" si="122"/>
        <v>2442475</v>
      </c>
    </row>
    <row r="1698" spans="2:10" s="3" customFormat="1">
      <c r="B1698" s="3" t="s">
        <v>2110</v>
      </c>
      <c r="C1698" s="8">
        <v>4</v>
      </c>
      <c r="D1698" s="116" t="s">
        <v>2449</v>
      </c>
      <c r="E1698" s="11" t="s">
        <v>30</v>
      </c>
      <c r="F1698" s="11"/>
      <c r="G1698" s="12">
        <f>+G1695-G1697</f>
        <v>92512</v>
      </c>
      <c r="H1698" s="13">
        <f>ROUND(G1698/2,0)</f>
        <v>46256</v>
      </c>
      <c r="I1698" s="12">
        <f>G1698-H1698</f>
        <v>46256</v>
      </c>
      <c r="J1698" s="3" t="str">
        <f t="shared" si="122"/>
        <v>2442475</v>
      </c>
    </row>
    <row r="1699" spans="2:10" s="3" customFormat="1">
      <c r="B1699" s="3" t="s">
        <v>2110</v>
      </c>
      <c r="C1699" s="8">
        <v>4</v>
      </c>
      <c r="D1699" s="3" t="s">
        <v>2451</v>
      </c>
      <c r="E1699" s="11" t="s">
        <v>542</v>
      </c>
      <c r="F1699" s="10">
        <v>2.6016999999999998E-2</v>
      </c>
      <c r="G1699" s="9">
        <f>ROUND(G$3*F1699,0)</f>
        <v>7486</v>
      </c>
      <c r="H1699" s="11">
        <f>ROUND(G1699/2,0)</f>
        <v>3743</v>
      </c>
      <c r="I1699" s="9">
        <f>G1699-H1699</f>
        <v>3743</v>
      </c>
      <c r="J1699" s="3" t="str">
        <f t="shared" si="122"/>
        <v>2447950</v>
      </c>
    </row>
    <row r="1700" spans="2:10" s="3" customFormat="1">
      <c r="B1700" s="3" t="s">
        <v>2110</v>
      </c>
      <c r="C1700" s="8">
        <v>4</v>
      </c>
      <c r="D1700" s="3" t="s">
        <v>2451</v>
      </c>
      <c r="E1700" s="11" t="s">
        <v>28</v>
      </c>
      <c r="F1700" s="11"/>
      <c r="G1700" s="14">
        <v>0.39339400000000002</v>
      </c>
      <c r="H1700" s="11"/>
      <c r="I1700" s="11"/>
      <c r="J1700" s="3" t="str">
        <f t="shared" si="122"/>
        <v>2447950</v>
      </c>
    </row>
    <row r="1701" spans="2:10" s="3" customFormat="1">
      <c r="B1701" s="3" t="s">
        <v>2110</v>
      </c>
      <c r="C1701" s="8">
        <v>4</v>
      </c>
      <c r="D1701" s="3" t="s">
        <v>2451</v>
      </c>
      <c r="E1701" s="11" t="s">
        <v>29</v>
      </c>
      <c r="F1701" s="11"/>
      <c r="G1701" s="15">
        <f>ROUND(G1699*G1700,0)</f>
        <v>2945</v>
      </c>
      <c r="H1701" s="16">
        <f t="shared" ref="H1701:H1706" si="126">ROUND(G1701/2,0)</f>
        <v>1473</v>
      </c>
      <c r="I1701" s="15">
        <f t="shared" ref="I1701:I1706" si="127">G1701-H1701</f>
        <v>1472</v>
      </c>
      <c r="J1701" s="3" t="str">
        <f t="shared" si="122"/>
        <v>2447950</v>
      </c>
    </row>
    <row r="1702" spans="2:10" s="3" customFormat="1">
      <c r="B1702" s="3" t="s">
        <v>2110</v>
      </c>
      <c r="C1702" s="8">
        <v>4</v>
      </c>
      <c r="D1702" s="3" t="s">
        <v>2451</v>
      </c>
      <c r="E1702" s="11" t="s">
        <v>30</v>
      </c>
      <c r="F1702" s="11"/>
      <c r="G1702" s="12">
        <f>+G1699-G1701</f>
        <v>4541</v>
      </c>
      <c r="H1702" s="13">
        <f t="shared" si="126"/>
        <v>2271</v>
      </c>
      <c r="I1702" s="12">
        <f t="shared" si="127"/>
        <v>2270</v>
      </c>
      <c r="J1702" s="3" t="str">
        <f t="shared" si="122"/>
        <v>2447950</v>
      </c>
    </row>
    <row r="1703" spans="2:10" s="3" customFormat="1">
      <c r="B1703" s="3" t="s">
        <v>2110</v>
      </c>
      <c r="C1703" s="8">
        <v>5</v>
      </c>
      <c r="D1703" s="3" t="s">
        <v>2452</v>
      </c>
      <c r="E1703" s="11" t="s">
        <v>543</v>
      </c>
      <c r="F1703" s="10">
        <v>4.6649999999999999E-3</v>
      </c>
      <c r="G1703" s="120">
        <f>ROUND(G$3*F1703,0)</f>
        <v>1342</v>
      </c>
      <c r="H1703" s="120">
        <f t="shared" si="126"/>
        <v>671</v>
      </c>
      <c r="I1703" s="120">
        <f t="shared" si="127"/>
        <v>671</v>
      </c>
      <c r="J1703" s="3" t="str">
        <f t="shared" si="122"/>
        <v>2450199</v>
      </c>
    </row>
    <row r="1704" spans="2:10" s="128" customFormat="1">
      <c r="B1704" s="128" t="s">
        <v>2110</v>
      </c>
      <c r="C1704" s="129">
        <v>5</v>
      </c>
      <c r="D1704" s="128" t="e">
        <v>#N/A</v>
      </c>
      <c r="E1704" s="131" t="s">
        <v>544</v>
      </c>
      <c r="F1704" s="133">
        <v>1.1592999999999999E-2</v>
      </c>
      <c r="G1704" s="137">
        <f>ROUND(G$3*F1704,0)</f>
        <v>3336</v>
      </c>
      <c r="H1704" s="137">
        <f t="shared" si="126"/>
        <v>1668</v>
      </c>
      <c r="I1704" s="137">
        <f t="shared" si="127"/>
        <v>1668</v>
      </c>
      <c r="J1704" s="128" t="e">
        <f t="shared" si="122"/>
        <v>#N/A</v>
      </c>
    </row>
    <row r="1705" spans="2:10" s="3" customFormat="1">
      <c r="B1705" s="3" t="s">
        <v>2110</v>
      </c>
      <c r="C1705" s="8">
        <v>6</v>
      </c>
      <c r="D1705" s="116" t="s">
        <v>3936</v>
      </c>
      <c r="E1705" s="11" t="s">
        <v>545</v>
      </c>
      <c r="F1705" s="10">
        <v>5.7489999999999998E-3</v>
      </c>
      <c r="G1705" s="120">
        <f>ROUND(G$3*F1705,0)</f>
        <v>1654</v>
      </c>
      <c r="H1705" s="120">
        <f t="shared" si="126"/>
        <v>827</v>
      </c>
      <c r="I1705" s="120">
        <f t="shared" si="127"/>
        <v>827</v>
      </c>
      <c r="J1705" s="3" t="str">
        <f t="shared" si="122"/>
        <v>2461006</v>
      </c>
    </row>
    <row r="1706" spans="2:10" s="128" customFormat="1">
      <c r="B1706" s="128" t="s">
        <v>2110</v>
      </c>
      <c r="C1706" s="129">
        <v>6</v>
      </c>
      <c r="D1706" s="128" t="e">
        <v>#N/A</v>
      </c>
      <c r="E1706" s="131" t="s">
        <v>546</v>
      </c>
      <c r="F1706" s="133">
        <v>2.7049999999999999E-3</v>
      </c>
      <c r="G1706" s="137">
        <f>+G1640-SUM(G1641:G1642)-SUM(G1647:G1691)-G1695-G1699-SUM(G1703:G1705)</f>
        <v>-133960</v>
      </c>
      <c r="H1706" s="137">
        <f t="shared" si="126"/>
        <v>-66980</v>
      </c>
      <c r="I1706" s="137">
        <f t="shared" si="127"/>
        <v>-66980</v>
      </c>
      <c r="J1706" s="128" t="e">
        <f t="shared" si="122"/>
        <v>#N/A</v>
      </c>
    </row>
    <row r="1707" spans="2:10" s="3" customFormat="1">
      <c r="B1707" s="3" t="s">
        <v>2110</v>
      </c>
      <c r="C1707" s="8">
        <v>0</v>
      </c>
      <c r="D1707" s="125" t="s">
        <v>2187</v>
      </c>
      <c r="E1707" s="28" t="s">
        <v>288</v>
      </c>
      <c r="F1707" s="10">
        <v>0.99999999999999989</v>
      </c>
      <c r="G1707" s="12">
        <f>+G1641+SUM(G1644:G1690)+SUM(G1693:G1694)+SUM(G1697:G1698)+SUM(G1701:G1706)</f>
        <v>152983</v>
      </c>
      <c r="H1707" s="12">
        <f>+H1641+SUM(H1644:H1690)+SUM(H1693:H1694)+SUM(H1697:H1698)+SUM(H1701:H1706)</f>
        <v>76503</v>
      </c>
      <c r="I1707" s="12">
        <f>+I1641+SUM(I1644:I1690)+SUM(I1693:I1694)+SUM(I1697:I1698)+SUM(I1701:I1706)</f>
        <v>76480</v>
      </c>
      <c r="J1707" s="3" t="str">
        <f t="shared" si="122"/>
        <v>2400000</v>
      </c>
    </row>
    <row r="1708" spans="2:10" s="3" customFormat="1">
      <c r="B1708" s="3" t="s">
        <v>2110</v>
      </c>
      <c r="C1708" s="8">
        <v>0</v>
      </c>
      <c r="D1708" s="3" t="s">
        <v>2187</v>
      </c>
      <c r="E1708" s="18" t="s">
        <v>38</v>
      </c>
      <c r="G1708" s="19">
        <f>+G1641</f>
        <v>427</v>
      </c>
      <c r="H1708" s="19">
        <f>+H1641</f>
        <v>214</v>
      </c>
      <c r="I1708" s="19">
        <f>+I1641</f>
        <v>213</v>
      </c>
      <c r="J1708" s="3" t="str">
        <f t="shared" si="122"/>
        <v>2400000</v>
      </c>
    </row>
    <row r="1709" spans="2:10" s="3" customFormat="1">
      <c r="B1709" s="3" t="s">
        <v>2110</v>
      </c>
      <c r="C1709" s="8">
        <v>0</v>
      </c>
      <c r="D1709" s="3" t="s">
        <v>2187</v>
      </c>
      <c r="E1709" s="2" t="s">
        <v>39</v>
      </c>
      <c r="G1709" s="19">
        <f>+G1644</f>
        <v>11130</v>
      </c>
      <c r="H1709" s="19">
        <f>+H1644</f>
        <v>5565</v>
      </c>
      <c r="I1709" s="19">
        <f>+I1644</f>
        <v>5565</v>
      </c>
      <c r="J1709" s="3" t="str">
        <f t="shared" si="122"/>
        <v>2400000</v>
      </c>
    </row>
    <row r="1710" spans="2:10" s="3" customFormat="1">
      <c r="B1710" s="3" t="s">
        <v>2110</v>
      </c>
      <c r="C1710" s="8">
        <v>0</v>
      </c>
      <c r="D1710" s="3" t="s">
        <v>2187</v>
      </c>
      <c r="E1710" s="2" t="s">
        <v>40</v>
      </c>
      <c r="G1710" s="19">
        <f>+G1693+G1697+G1701</f>
        <v>100291</v>
      </c>
      <c r="H1710" s="19">
        <f>+H1693+H1697+H1701</f>
        <v>50147</v>
      </c>
      <c r="I1710" s="19">
        <f>+I1693+I1697+I1701</f>
        <v>50144</v>
      </c>
      <c r="J1710" s="3" t="str">
        <f t="shared" si="122"/>
        <v>2400000</v>
      </c>
    </row>
    <row r="1711" spans="2:10" s="3" customFormat="1">
      <c r="B1711" s="3" t="s">
        <v>2110</v>
      </c>
      <c r="C1711" s="8">
        <v>0</v>
      </c>
      <c r="D1711" s="125" t="s">
        <v>2187</v>
      </c>
      <c r="E1711" s="18" t="s">
        <v>41</v>
      </c>
      <c r="G1711" s="19">
        <f>+G1707-G1708-G1709-G1710</f>
        <v>41135</v>
      </c>
      <c r="H1711" s="19">
        <f>+H1707-H1708-H1709-H1710</f>
        <v>20577</v>
      </c>
      <c r="I1711" s="19">
        <f>+I1707-I1708-I1709-I1710</f>
        <v>20558</v>
      </c>
      <c r="J1711" s="3" t="str">
        <f t="shared" si="122"/>
        <v>2400000</v>
      </c>
    </row>
    <row r="1712" spans="2:10" ht="15.75">
      <c r="B1712" s="3" t="s">
        <v>2186</v>
      </c>
      <c r="D1712" t="s">
        <v>2186</v>
      </c>
      <c r="E1712">
        <v>0</v>
      </c>
      <c r="G1712"/>
      <c r="H1712"/>
      <c r="I1712"/>
      <c r="J1712" s="3" t="str">
        <f t="shared" si="122"/>
        <v/>
      </c>
    </row>
    <row r="1713" spans="2:10" s="3" customFormat="1">
      <c r="C1713" s="1"/>
      <c r="D1713" s="3" t="s">
        <v>2186</v>
      </c>
      <c r="E1713" s="2" t="s">
        <v>547</v>
      </c>
      <c r="J1713" s="3" t="str">
        <f t="shared" si="122"/>
        <v/>
      </c>
    </row>
    <row r="1714" spans="2:10" s="3" customFormat="1" ht="45">
      <c r="B1714" s="3" t="s">
        <v>2186</v>
      </c>
      <c r="C1714" s="1"/>
      <c r="D1714" s="3" t="s">
        <v>2186</v>
      </c>
      <c r="E1714" s="1">
        <v>0</v>
      </c>
      <c r="F1714" s="6" t="s">
        <v>1</v>
      </c>
      <c r="G1714" s="60">
        <f>'Allocation Worksheet'!H1714</f>
        <v>0</v>
      </c>
      <c r="H1714" s="60">
        <f>'Allocation Worksheet'!H1715</f>
        <v>0</v>
      </c>
      <c r="I1714" s="60">
        <f>'Allocation Worksheet'!H1716</f>
        <v>0</v>
      </c>
      <c r="J1714" s="3" t="str">
        <f t="shared" si="122"/>
        <v/>
      </c>
    </row>
    <row r="1715" spans="2:10" s="3" customFormat="1">
      <c r="C1715" s="7" t="s">
        <v>2087</v>
      </c>
      <c r="D1715" s="3" t="s">
        <v>2186</v>
      </c>
      <c r="E1715" s="7" t="s">
        <v>3</v>
      </c>
      <c r="F1715" s="10"/>
      <c r="G1715" s="9">
        <f>'Allocation Worksheet'!$D$28</f>
        <v>235697</v>
      </c>
      <c r="H1715" s="11"/>
      <c r="I1715" s="11"/>
      <c r="J1715" s="3" t="str">
        <f t="shared" si="122"/>
        <v>UT</v>
      </c>
    </row>
    <row r="1716" spans="2:10" s="3" customFormat="1">
      <c r="B1716" s="3" t="s">
        <v>2111</v>
      </c>
      <c r="C1716" s="8">
        <v>0</v>
      </c>
      <c r="D1716" s="3" t="s">
        <v>2187</v>
      </c>
      <c r="E1716" s="11" t="s">
        <v>4</v>
      </c>
      <c r="F1716" s="10">
        <v>1.284E-3</v>
      </c>
      <c r="G1716" s="12">
        <f>ROUND(G$3*F1716,0)</f>
        <v>369</v>
      </c>
      <c r="H1716" s="13">
        <f>ROUND(G1716/2,0)</f>
        <v>185</v>
      </c>
      <c r="I1716" s="12">
        <f>G1716-H1716</f>
        <v>184</v>
      </c>
      <c r="J1716" s="3" t="str">
        <f t="shared" si="122"/>
        <v>2500000</v>
      </c>
    </row>
    <row r="1717" spans="2:10" s="3" customFormat="1">
      <c r="B1717" s="3" t="s">
        <v>2111</v>
      </c>
      <c r="C1717" s="8">
        <v>1</v>
      </c>
      <c r="D1717" s="3" t="s">
        <v>2187</v>
      </c>
      <c r="E1717" s="11" t="s">
        <v>548</v>
      </c>
      <c r="F1717" s="10">
        <v>0.21143600000000001</v>
      </c>
      <c r="G1717" s="9">
        <f>ROUND(G$3*F1717,0)</f>
        <v>60835</v>
      </c>
      <c r="H1717" s="11">
        <f>ROUND(G1717/2,0)</f>
        <v>30418</v>
      </c>
      <c r="I1717" s="9">
        <f>G1717-H1717</f>
        <v>30417</v>
      </c>
      <c r="J1717" s="3" t="str">
        <f t="shared" si="122"/>
        <v>2510000</v>
      </c>
    </row>
    <row r="1718" spans="2:10" s="3" customFormat="1">
      <c r="B1718" s="3" t="s">
        <v>2111</v>
      </c>
      <c r="C1718" s="8">
        <v>1</v>
      </c>
      <c r="D1718" s="3" t="s">
        <v>2187</v>
      </c>
      <c r="E1718" s="11" t="s">
        <v>6</v>
      </c>
      <c r="F1718" s="11"/>
      <c r="G1718" s="14">
        <v>0.309666</v>
      </c>
      <c r="H1718" s="11"/>
      <c r="I1718" s="11"/>
      <c r="J1718" s="3" t="str">
        <f t="shared" si="122"/>
        <v>2510000</v>
      </c>
    </row>
    <row r="1719" spans="2:10" s="3" customFormat="1">
      <c r="B1719" s="3" t="s">
        <v>2111</v>
      </c>
      <c r="C1719" s="8">
        <v>1</v>
      </c>
      <c r="D1719" s="3" t="s">
        <v>2187</v>
      </c>
      <c r="E1719" s="11" t="s">
        <v>7</v>
      </c>
      <c r="F1719" s="11"/>
      <c r="G1719" s="15">
        <f>ROUND(G1717*G1718,0)</f>
        <v>18839</v>
      </c>
      <c r="H1719" s="16">
        <f>ROUND(G1719/2,0)</f>
        <v>9420</v>
      </c>
      <c r="I1719" s="15">
        <f>G1719-H1719</f>
        <v>9419</v>
      </c>
      <c r="J1719" s="3" t="str">
        <f t="shared" si="122"/>
        <v>2510000</v>
      </c>
    </row>
    <row r="1720" spans="2:10" s="3" customFormat="1">
      <c r="B1720" s="3" t="s">
        <v>2111</v>
      </c>
      <c r="C1720" s="8">
        <v>1</v>
      </c>
      <c r="D1720" s="3" t="s">
        <v>2187</v>
      </c>
      <c r="E1720" s="11" t="s">
        <v>8</v>
      </c>
      <c r="F1720" s="11"/>
      <c r="G1720" s="12">
        <f>+G1717-G1719</f>
        <v>41996</v>
      </c>
      <c r="H1720" s="13">
        <f>ROUND(G1720/2,0)</f>
        <v>20998</v>
      </c>
      <c r="I1720" s="12">
        <f>G1720-H1720</f>
        <v>20998</v>
      </c>
      <c r="J1720" s="3" t="str">
        <f t="shared" si="122"/>
        <v>2510000</v>
      </c>
    </row>
    <row r="1721" spans="2:10" s="3" customFormat="1">
      <c r="B1721" s="3" t="s">
        <v>2111</v>
      </c>
      <c r="C1721" s="8">
        <v>2</v>
      </c>
      <c r="D1721" s="3" t="s">
        <v>2188</v>
      </c>
      <c r="E1721" s="11" t="s">
        <v>549</v>
      </c>
      <c r="F1721" s="11"/>
      <c r="G1721" s="9"/>
      <c r="H1721" s="11"/>
      <c r="I1721" s="11"/>
      <c r="J1721" s="3" t="str">
        <f t="shared" si="122"/>
        <v>2520001</v>
      </c>
    </row>
    <row r="1722" spans="2:10" s="3" customFormat="1">
      <c r="B1722" s="3" t="s">
        <v>2111</v>
      </c>
      <c r="C1722" s="8">
        <v>2</v>
      </c>
      <c r="D1722" s="3" t="s">
        <v>2188</v>
      </c>
      <c r="E1722" s="11" t="s">
        <v>10</v>
      </c>
      <c r="F1722" s="10">
        <v>1.083E-3</v>
      </c>
      <c r="G1722" s="12">
        <f>ROUND(G$3*F1722,0)</f>
        <v>312</v>
      </c>
      <c r="H1722" s="13">
        <f>ROUND(G1722/2,0)</f>
        <v>156</v>
      </c>
      <c r="I1722" s="12">
        <f>G1722-H1722</f>
        <v>156</v>
      </c>
      <c r="J1722" s="3" t="str">
        <f t="shared" si="122"/>
        <v>2520001</v>
      </c>
    </row>
    <row r="1723" spans="2:10" s="3" customFormat="1">
      <c r="B1723" s="3" t="s">
        <v>2111</v>
      </c>
      <c r="C1723" s="8">
        <v>2</v>
      </c>
      <c r="D1723" s="3" t="s">
        <v>2188</v>
      </c>
      <c r="E1723" s="11" t="s">
        <v>11</v>
      </c>
      <c r="F1723" s="10">
        <v>8.1999999999999998E-4</v>
      </c>
      <c r="G1723" s="12">
        <f>ROUND(G$3*F1723,0)</f>
        <v>236</v>
      </c>
      <c r="H1723" s="13">
        <f>ROUND(G1723/2,0)</f>
        <v>118</v>
      </c>
      <c r="I1723" s="12">
        <f>G1723-H1723</f>
        <v>118</v>
      </c>
      <c r="J1723" s="3" t="str">
        <f t="shared" si="122"/>
        <v>2520001</v>
      </c>
    </row>
    <row r="1724" spans="2:10" s="3" customFormat="1">
      <c r="B1724" s="3" t="s">
        <v>2111</v>
      </c>
      <c r="C1724" s="8">
        <v>2</v>
      </c>
      <c r="D1724" s="3" t="s">
        <v>2189</v>
      </c>
      <c r="E1724" s="11" t="s">
        <v>550</v>
      </c>
      <c r="F1724" s="11"/>
      <c r="G1724" s="9"/>
      <c r="H1724" s="11"/>
      <c r="I1724" s="11"/>
      <c r="J1724" s="3" t="str">
        <f t="shared" si="122"/>
        <v>2520002</v>
      </c>
    </row>
    <row r="1725" spans="2:10" s="3" customFormat="1">
      <c r="B1725" s="3" t="s">
        <v>2111</v>
      </c>
      <c r="C1725" s="8">
        <v>2</v>
      </c>
      <c r="D1725" s="3" t="s">
        <v>2189</v>
      </c>
      <c r="E1725" s="11" t="s">
        <v>10</v>
      </c>
      <c r="F1725" s="10">
        <v>1.902E-3</v>
      </c>
      <c r="G1725" s="12">
        <f>ROUND(G$3*F1725,0)</f>
        <v>547</v>
      </c>
      <c r="H1725" s="13">
        <f>ROUND(G1725/2,0)</f>
        <v>274</v>
      </c>
      <c r="I1725" s="12">
        <f>G1725-H1725</f>
        <v>273</v>
      </c>
      <c r="J1725" s="3" t="str">
        <f t="shared" si="122"/>
        <v>2520002</v>
      </c>
    </row>
    <row r="1726" spans="2:10" s="3" customFormat="1">
      <c r="B1726" s="3" t="s">
        <v>2111</v>
      </c>
      <c r="C1726" s="8">
        <v>2</v>
      </c>
      <c r="D1726" s="3" t="s">
        <v>2189</v>
      </c>
      <c r="E1726" s="11" t="s">
        <v>11</v>
      </c>
      <c r="F1726" s="10">
        <v>2.0960000000000002E-3</v>
      </c>
      <c r="G1726" s="12">
        <f>ROUND(G$3*F1726,0)</f>
        <v>603</v>
      </c>
      <c r="H1726" s="13">
        <f>ROUND(G1726/2,0)</f>
        <v>302</v>
      </c>
      <c r="I1726" s="12">
        <f>G1726-H1726</f>
        <v>301</v>
      </c>
      <c r="J1726" s="3" t="str">
        <f t="shared" si="122"/>
        <v>2520002</v>
      </c>
    </row>
    <row r="1727" spans="2:10" s="3" customFormat="1">
      <c r="B1727" s="3" t="s">
        <v>2111</v>
      </c>
      <c r="C1727" s="8">
        <v>2</v>
      </c>
      <c r="D1727" s="3" t="s">
        <v>2190</v>
      </c>
      <c r="E1727" s="11" t="s">
        <v>181</v>
      </c>
      <c r="F1727" s="11"/>
      <c r="G1727" s="9"/>
      <c r="H1727" s="11"/>
      <c r="I1727" s="11"/>
      <c r="J1727" s="3" t="str">
        <f t="shared" si="122"/>
        <v>2520003</v>
      </c>
    </row>
    <row r="1728" spans="2:10" s="3" customFormat="1">
      <c r="B1728" s="3" t="s">
        <v>2111</v>
      </c>
      <c r="C1728" s="8">
        <v>2</v>
      </c>
      <c r="D1728" s="3" t="s">
        <v>2190</v>
      </c>
      <c r="E1728" s="11" t="s">
        <v>10</v>
      </c>
      <c r="F1728" s="10">
        <v>6.9999999999999999E-4</v>
      </c>
      <c r="G1728" s="12">
        <f>ROUND(G$3*F1728,0)</f>
        <v>201</v>
      </c>
      <c r="H1728" s="13">
        <f>ROUND(G1728/2,0)</f>
        <v>101</v>
      </c>
      <c r="I1728" s="12">
        <f>G1728-H1728</f>
        <v>100</v>
      </c>
      <c r="J1728" s="3" t="str">
        <f t="shared" si="122"/>
        <v>2520003</v>
      </c>
    </row>
    <row r="1729" spans="2:10" s="3" customFormat="1">
      <c r="B1729" s="3" t="s">
        <v>2111</v>
      </c>
      <c r="C1729" s="8">
        <v>2</v>
      </c>
      <c r="D1729" s="3" t="s">
        <v>2190</v>
      </c>
      <c r="E1729" s="11" t="s">
        <v>11</v>
      </c>
      <c r="F1729" s="10">
        <v>7.9299999999999998E-4</v>
      </c>
      <c r="G1729" s="12">
        <f>ROUND(G$3*F1729,0)</f>
        <v>228</v>
      </c>
      <c r="H1729" s="13">
        <f>ROUND(G1729/2,0)</f>
        <v>114</v>
      </c>
      <c r="I1729" s="12">
        <f>G1729-H1729</f>
        <v>114</v>
      </c>
      <c r="J1729" s="3" t="str">
        <f t="shared" si="122"/>
        <v>2520003</v>
      </c>
    </row>
    <row r="1730" spans="2:10" s="3" customFormat="1">
      <c r="B1730" s="3" t="s">
        <v>2111</v>
      </c>
      <c r="C1730" s="8">
        <v>2</v>
      </c>
      <c r="D1730" s="3" t="s">
        <v>2191</v>
      </c>
      <c r="E1730" s="11" t="s">
        <v>551</v>
      </c>
      <c r="F1730" s="11"/>
      <c r="G1730" s="9"/>
      <c r="H1730" s="11"/>
      <c r="I1730" s="11"/>
      <c r="J1730" s="3" t="str">
        <f t="shared" si="122"/>
        <v>2520004</v>
      </c>
    </row>
    <row r="1731" spans="2:10" s="3" customFormat="1">
      <c r="B1731" s="3" t="s">
        <v>2111</v>
      </c>
      <c r="C1731" s="8">
        <v>2</v>
      </c>
      <c r="D1731" s="3" t="s">
        <v>2191</v>
      </c>
      <c r="E1731" s="11" t="s">
        <v>10</v>
      </c>
      <c r="F1731" s="10">
        <v>1.137E-3</v>
      </c>
      <c r="G1731" s="12">
        <f>ROUND(G$3*F1731,0)</f>
        <v>327</v>
      </c>
      <c r="H1731" s="13">
        <f>ROUND(G1731/2,0)</f>
        <v>164</v>
      </c>
      <c r="I1731" s="12">
        <f>G1731-H1731</f>
        <v>163</v>
      </c>
      <c r="J1731" s="3" t="str">
        <f t="shared" si="122"/>
        <v>2520004</v>
      </c>
    </row>
    <row r="1732" spans="2:10" s="3" customFormat="1">
      <c r="B1732" s="3" t="s">
        <v>2111</v>
      </c>
      <c r="C1732" s="8">
        <v>2</v>
      </c>
      <c r="D1732" s="3" t="s">
        <v>2191</v>
      </c>
      <c r="E1732" s="11" t="s">
        <v>11</v>
      </c>
      <c r="F1732" s="10">
        <v>7.8899999999999999E-4</v>
      </c>
      <c r="G1732" s="12">
        <f>ROUND(G$3*F1732,0)</f>
        <v>227</v>
      </c>
      <c r="H1732" s="13">
        <f>ROUND(G1732/2,0)</f>
        <v>114</v>
      </c>
      <c r="I1732" s="12">
        <f>G1732-H1732</f>
        <v>113</v>
      </c>
      <c r="J1732" s="3" t="str">
        <f t="shared" ref="J1732:J1795" si="128">B1732&amp;C1732&amp;D1732</f>
        <v>2520004</v>
      </c>
    </row>
    <row r="1733" spans="2:10" s="3" customFormat="1">
      <c r="B1733" s="3" t="s">
        <v>2111</v>
      </c>
      <c r="C1733" s="8">
        <v>2</v>
      </c>
      <c r="D1733" s="3" t="s">
        <v>2192</v>
      </c>
      <c r="E1733" s="11" t="s">
        <v>114</v>
      </c>
      <c r="F1733" s="11"/>
      <c r="G1733" s="9"/>
      <c r="H1733" s="11"/>
      <c r="I1733" s="11"/>
      <c r="J1733" s="3" t="str">
        <f t="shared" si="128"/>
        <v>2520005</v>
      </c>
    </row>
    <row r="1734" spans="2:10" s="3" customFormat="1">
      <c r="B1734" s="3" t="s">
        <v>2111</v>
      </c>
      <c r="C1734" s="8">
        <v>2</v>
      </c>
      <c r="D1734" s="3" t="s">
        <v>2192</v>
      </c>
      <c r="E1734" s="11" t="s">
        <v>10</v>
      </c>
      <c r="F1734" s="10">
        <v>9.5100000000000002E-4</v>
      </c>
      <c r="G1734" s="12">
        <f>ROUND(G$3*F1734,0)</f>
        <v>274</v>
      </c>
      <c r="H1734" s="13">
        <f>ROUND(G1734/2,0)</f>
        <v>137</v>
      </c>
      <c r="I1734" s="12">
        <f>G1734-H1734</f>
        <v>137</v>
      </c>
      <c r="J1734" s="3" t="str">
        <f t="shared" si="128"/>
        <v>2520005</v>
      </c>
    </row>
    <row r="1735" spans="2:10" s="3" customFormat="1">
      <c r="B1735" s="3" t="s">
        <v>2111</v>
      </c>
      <c r="C1735" s="8">
        <v>2</v>
      </c>
      <c r="D1735" s="3" t="s">
        <v>2192</v>
      </c>
      <c r="E1735" s="11" t="s">
        <v>11</v>
      </c>
      <c r="F1735" s="10">
        <v>5.9900000000000003E-4</v>
      </c>
      <c r="G1735" s="12">
        <f>ROUND(G$3*F1735,0)</f>
        <v>172</v>
      </c>
      <c r="H1735" s="13">
        <f>ROUND(G1735/2,0)</f>
        <v>86</v>
      </c>
      <c r="I1735" s="12">
        <f>G1735-H1735</f>
        <v>86</v>
      </c>
      <c r="J1735" s="3" t="str">
        <f t="shared" si="128"/>
        <v>2520005</v>
      </c>
    </row>
    <row r="1736" spans="2:10" s="3" customFormat="1">
      <c r="B1736" s="3" t="s">
        <v>2111</v>
      </c>
      <c r="C1736" s="8">
        <v>2</v>
      </c>
      <c r="D1736" s="3" t="s">
        <v>2193</v>
      </c>
      <c r="E1736" s="11" t="s">
        <v>552</v>
      </c>
      <c r="F1736" s="11"/>
      <c r="G1736" s="9"/>
      <c r="H1736" s="11"/>
      <c r="I1736" s="11"/>
      <c r="J1736" s="3" t="str">
        <f t="shared" si="128"/>
        <v>2520006</v>
      </c>
    </row>
    <row r="1737" spans="2:10" s="3" customFormat="1">
      <c r="B1737" s="3" t="s">
        <v>2111</v>
      </c>
      <c r="C1737" s="8">
        <v>2</v>
      </c>
      <c r="D1737" s="3" t="s">
        <v>2193</v>
      </c>
      <c r="E1737" s="11" t="s">
        <v>10</v>
      </c>
      <c r="F1737" s="10">
        <v>1.0555999999999999E-2</v>
      </c>
      <c r="G1737" s="12">
        <f>ROUND(G$3*F1737,0)</f>
        <v>3037</v>
      </c>
      <c r="H1737" s="13">
        <f>ROUND(G1737/2,0)</f>
        <v>1519</v>
      </c>
      <c r="I1737" s="12">
        <f>G1737-H1737</f>
        <v>1518</v>
      </c>
      <c r="J1737" s="3" t="str">
        <f t="shared" si="128"/>
        <v>2520006</v>
      </c>
    </row>
    <row r="1738" spans="2:10" s="3" customFormat="1">
      <c r="B1738" s="3" t="s">
        <v>2111</v>
      </c>
      <c r="C1738" s="8">
        <v>2</v>
      </c>
      <c r="D1738" s="3" t="s">
        <v>2193</v>
      </c>
      <c r="E1738" s="11" t="s">
        <v>11</v>
      </c>
      <c r="F1738" s="10">
        <v>5.6100000000000004E-3</v>
      </c>
      <c r="G1738" s="12">
        <f>ROUND(G$3*F1738,0)</f>
        <v>1614</v>
      </c>
      <c r="H1738" s="13">
        <f>ROUND(G1738/2,0)</f>
        <v>807</v>
      </c>
      <c r="I1738" s="12">
        <f>G1738-H1738</f>
        <v>807</v>
      </c>
      <c r="J1738" s="3" t="str">
        <f t="shared" si="128"/>
        <v>2520006</v>
      </c>
    </row>
    <row r="1739" spans="2:10" s="3" customFormat="1">
      <c r="B1739" s="3" t="s">
        <v>2111</v>
      </c>
      <c r="C1739" s="8">
        <v>2</v>
      </c>
      <c r="D1739" s="3" t="s">
        <v>2194</v>
      </c>
      <c r="E1739" s="11" t="s">
        <v>20</v>
      </c>
      <c r="F1739" s="11"/>
      <c r="G1739" s="9"/>
      <c r="H1739" s="11"/>
      <c r="I1739" s="11"/>
      <c r="J1739" s="3" t="str">
        <f t="shared" si="128"/>
        <v>2520007</v>
      </c>
    </row>
    <row r="1740" spans="2:10" s="3" customFormat="1">
      <c r="B1740" s="3" t="s">
        <v>2111</v>
      </c>
      <c r="C1740" s="8">
        <v>2</v>
      </c>
      <c r="D1740" s="3" t="s">
        <v>2194</v>
      </c>
      <c r="E1740" s="11" t="s">
        <v>10</v>
      </c>
      <c r="F1740" s="10">
        <v>1.245E-3</v>
      </c>
      <c r="G1740" s="12">
        <f>ROUND(G$3*F1740,0)</f>
        <v>358</v>
      </c>
      <c r="H1740" s="13">
        <f>ROUND(G1740/2,0)</f>
        <v>179</v>
      </c>
      <c r="I1740" s="12">
        <f>G1740-H1740</f>
        <v>179</v>
      </c>
      <c r="J1740" s="3" t="str">
        <f t="shared" si="128"/>
        <v>2520007</v>
      </c>
    </row>
    <row r="1741" spans="2:10" s="3" customFormat="1">
      <c r="B1741" s="3" t="s">
        <v>2111</v>
      </c>
      <c r="C1741" s="8">
        <v>2</v>
      </c>
      <c r="D1741" s="3" t="s">
        <v>2194</v>
      </c>
      <c r="E1741" s="11" t="s">
        <v>11</v>
      </c>
      <c r="F1741" s="10">
        <v>6.5700000000000003E-4</v>
      </c>
      <c r="G1741" s="12">
        <f>ROUND(G$3*F1741,0)</f>
        <v>189</v>
      </c>
      <c r="H1741" s="13">
        <f>ROUND(G1741/2,0)</f>
        <v>95</v>
      </c>
      <c r="I1741" s="12">
        <f>G1741-H1741</f>
        <v>94</v>
      </c>
      <c r="J1741" s="3" t="str">
        <f t="shared" si="128"/>
        <v>2520007</v>
      </c>
    </row>
    <row r="1742" spans="2:10" s="3" customFormat="1">
      <c r="B1742" s="3" t="s">
        <v>2111</v>
      </c>
      <c r="C1742" s="8">
        <v>2</v>
      </c>
      <c r="D1742" s="3" t="s">
        <v>2195</v>
      </c>
      <c r="E1742" s="11" t="s">
        <v>61</v>
      </c>
      <c r="F1742" s="11"/>
      <c r="G1742" s="9"/>
      <c r="H1742" s="11"/>
      <c r="I1742" s="11"/>
      <c r="J1742" s="3" t="str">
        <f t="shared" si="128"/>
        <v>2520008</v>
      </c>
    </row>
    <row r="1743" spans="2:10" s="3" customFormat="1">
      <c r="B1743" s="3" t="s">
        <v>2111</v>
      </c>
      <c r="C1743" s="8">
        <v>2</v>
      </c>
      <c r="D1743" s="3" t="s">
        <v>2195</v>
      </c>
      <c r="E1743" s="11" t="s">
        <v>10</v>
      </c>
      <c r="F1743" s="10">
        <v>5.7600000000000001E-4</v>
      </c>
      <c r="G1743" s="12">
        <f t="shared" ref="G1743:G1749" si="129">ROUND(G$3*F1743,0)</f>
        <v>166</v>
      </c>
      <c r="H1743" s="13">
        <f t="shared" ref="H1743:H1749" si="130">ROUND(G1743/2,0)</f>
        <v>83</v>
      </c>
      <c r="I1743" s="12">
        <f t="shared" ref="I1743:I1749" si="131">G1743-H1743</f>
        <v>83</v>
      </c>
      <c r="J1743" s="3" t="str">
        <f t="shared" si="128"/>
        <v>2520008</v>
      </c>
    </row>
    <row r="1744" spans="2:10" s="3" customFormat="1">
      <c r="B1744" s="3" t="s">
        <v>2111</v>
      </c>
      <c r="C1744" s="8">
        <v>2</v>
      </c>
      <c r="D1744" s="3" t="s">
        <v>2195</v>
      </c>
      <c r="E1744" s="11" t="s">
        <v>11</v>
      </c>
      <c r="F1744" s="10">
        <v>4.2900000000000002E-4</v>
      </c>
      <c r="G1744" s="12">
        <f t="shared" si="129"/>
        <v>123</v>
      </c>
      <c r="H1744" s="13">
        <f t="shared" si="130"/>
        <v>62</v>
      </c>
      <c r="I1744" s="12">
        <f t="shared" si="131"/>
        <v>61</v>
      </c>
      <c r="J1744" s="3" t="str">
        <f t="shared" si="128"/>
        <v>2520008</v>
      </c>
    </row>
    <row r="1745" spans="2:10" s="3" customFormat="1">
      <c r="B1745" s="3" t="s">
        <v>2111</v>
      </c>
      <c r="C1745" s="8">
        <v>3</v>
      </c>
      <c r="D1745" s="3" t="s">
        <v>2264</v>
      </c>
      <c r="E1745" s="11" t="s">
        <v>553</v>
      </c>
      <c r="F1745" s="10">
        <v>3.1700000000000001E-4</v>
      </c>
      <c r="G1745" s="12">
        <f t="shared" si="129"/>
        <v>91</v>
      </c>
      <c r="H1745" s="13">
        <f t="shared" si="130"/>
        <v>46</v>
      </c>
      <c r="I1745" s="12">
        <f t="shared" si="131"/>
        <v>45</v>
      </c>
      <c r="J1745" s="3" t="str">
        <f t="shared" si="128"/>
        <v>2530615</v>
      </c>
    </row>
    <row r="1746" spans="2:10" s="3" customFormat="1">
      <c r="B1746" s="3" t="s">
        <v>2111</v>
      </c>
      <c r="C1746" s="8">
        <v>3</v>
      </c>
      <c r="D1746" s="3" t="s">
        <v>2454</v>
      </c>
      <c r="E1746" s="11" t="s">
        <v>554</v>
      </c>
      <c r="F1746" s="10">
        <v>9.0899999999999998E-4</v>
      </c>
      <c r="G1746" s="12">
        <f t="shared" si="129"/>
        <v>262</v>
      </c>
      <c r="H1746" s="13">
        <f t="shared" si="130"/>
        <v>131</v>
      </c>
      <c r="I1746" s="12">
        <f t="shared" si="131"/>
        <v>131</v>
      </c>
      <c r="J1746" s="3" t="str">
        <f t="shared" si="128"/>
        <v>2530616</v>
      </c>
    </row>
    <row r="1747" spans="2:10" s="3" customFormat="1">
      <c r="B1747" s="3" t="s">
        <v>2111</v>
      </c>
      <c r="C1747" s="8">
        <v>3</v>
      </c>
      <c r="D1747" s="3" t="s">
        <v>2455</v>
      </c>
      <c r="E1747" s="11" t="s">
        <v>555</v>
      </c>
      <c r="F1747" s="10">
        <v>2.3159999999999999E-3</v>
      </c>
      <c r="G1747" s="12">
        <f t="shared" si="129"/>
        <v>666</v>
      </c>
      <c r="H1747" s="13">
        <f t="shared" si="130"/>
        <v>333</v>
      </c>
      <c r="I1747" s="12">
        <f t="shared" si="131"/>
        <v>333</v>
      </c>
      <c r="J1747" s="3" t="str">
        <f t="shared" si="128"/>
        <v>2530617</v>
      </c>
    </row>
    <row r="1748" spans="2:10" s="3" customFormat="1">
      <c r="B1748" s="3" t="s">
        <v>2111</v>
      </c>
      <c r="C1748" s="8">
        <v>3</v>
      </c>
      <c r="D1748" s="3" t="s">
        <v>2453</v>
      </c>
      <c r="E1748" s="11" t="s">
        <v>556</v>
      </c>
      <c r="F1748" s="10">
        <v>5.1677000000000001E-2</v>
      </c>
      <c r="G1748" s="12">
        <f t="shared" si="129"/>
        <v>14869</v>
      </c>
      <c r="H1748" s="13">
        <f t="shared" si="130"/>
        <v>7435</v>
      </c>
      <c r="I1748" s="12">
        <f t="shared" si="131"/>
        <v>7434</v>
      </c>
      <c r="J1748" s="3" t="str">
        <f t="shared" si="128"/>
        <v>2530440</v>
      </c>
    </row>
    <row r="1749" spans="2:10" s="3" customFormat="1">
      <c r="B1749" s="3" t="s">
        <v>2111</v>
      </c>
      <c r="C1749" s="8">
        <v>4</v>
      </c>
      <c r="D1749" s="3" t="s">
        <v>2287</v>
      </c>
      <c r="E1749" s="11" t="s">
        <v>210</v>
      </c>
      <c r="F1749" s="10">
        <v>5.6375000000000001E-2</v>
      </c>
      <c r="G1749" s="9">
        <f t="shared" si="129"/>
        <v>16220</v>
      </c>
      <c r="H1749" s="11">
        <f t="shared" si="130"/>
        <v>8110</v>
      </c>
      <c r="I1749" s="9">
        <f t="shared" si="131"/>
        <v>8110</v>
      </c>
      <c r="J1749" s="3" t="str">
        <f t="shared" si="128"/>
        <v>2542650</v>
      </c>
    </row>
    <row r="1750" spans="2:10" s="3" customFormat="1">
      <c r="B1750" s="3" t="s">
        <v>2111</v>
      </c>
      <c r="C1750" s="8">
        <v>4</v>
      </c>
      <c r="D1750" s="3" t="s">
        <v>2287</v>
      </c>
      <c r="E1750" s="11" t="s">
        <v>28</v>
      </c>
      <c r="F1750" s="11"/>
      <c r="G1750" s="14">
        <v>0.544678</v>
      </c>
      <c r="H1750" s="11"/>
      <c r="I1750" s="11"/>
      <c r="J1750" s="3" t="str">
        <f t="shared" si="128"/>
        <v>2542650</v>
      </c>
    </row>
    <row r="1751" spans="2:10" s="3" customFormat="1">
      <c r="B1751" s="3" t="s">
        <v>2111</v>
      </c>
      <c r="C1751" s="8">
        <v>4</v>
      </c>
      <c r="D1751" s="3" t="s">
        <v>2287</v>
      </c>
      <c r="E1751" s="11" t="s">
        <v>29</v>
      </c>
      <c r="F1751" s="11"/>
      <c r="G1751" s="15">
        <f>ROUND(G1749*G1750,0)</f>
        <v>8835</v>
      </c>
      <c r="H1751" s="16">
        <f>ROUND(G1751/2,0)</f>
        <v>4418</v>
      </c>
      <c r="I1751" s="15">
        <f>G1751-H1751</f>
        <v>4417</v>
      </c>
      <c r="J1751" s="3" t="str">
        <f t="shared" si="128"/>
        <v>2542650</v>
      </c>
    </row>
    <row r="1752" spans="2:10" s="3" customFormat="1">
      <c r="B1752" s="3" t="s">
        <v>2111</v>
      </c>
      <c r="C1752" s="8">
        <v>4</v>
      </c>
      <c r="D1752" s="3" t="s">
        <v>2287</v>
      </c>
      <c r="E1752" s="11" t="s">
        <v>30</v>
      </c>
      <c r="F1752" s="11"/>
      <c r="G1752" s="12">
        <f>+G1749-G1751</f>
        <v>7385</v>
      </c>
      <c r="H1752" s="13">
        <f>ROUND(G1752/2,0)</f>
        <v>3693</v>
      </c>
      <c r="I1752" s="12">
        <f>G1752-H1752</f>
        <v>3692</v>
      </c>
      <c r="J1752" s="3" t="str">
        <f t="shared" si="128"/>
        <v>2542650</v>
      </c>
    </row>
    <row r="1753" spans="2:10" s="3" customFormat="1">
      <c r="B1753" s="3" t="s">
        <v>2111</v>
      </c>
      <c r="C1753" s="8">
        <v>4</v>
      </c>
      <c r="D1753" s="3" t="s">
        <v>2458</v>
      </c>
      <c r="E1753" s="11" t="s">
        <v>557</v>
      </c>
      <c r="F1753" s="10">
        <v>2.3725E-2</v>
      </c>
      <c r="G1753" s="9">
        <f>ROUND(G$3*F1753,0)</f>
        <v>6826</v>
      </c>
      <c r="H1753" s="11">
        <f>ROUND(G1753/2,0)</f>
        <v>3413</v>
      </c>
      <c r="I1753" s="9">
        <f>G1753-H1753</f>
        <v>3413</v>
      </c>
      <c r="J1753" s="3" t="str">
        <f t="shared" si="128"/>
        <v>2545455</v>
      </c>
    </row>
    <row r="1754" spans="2:10" s="3" customFormat="1">
      <c r="B1754" s="3" t="s">
        <v>2111</v>
      </c>
      <c r="C1754" s="8">
        <v>4</v>
      </c>
      <c r="D1754" s="3" t="s">
        <v>2458</v>
      </c>
      <c r="E1754" s="11" t="s">
        <v>28</v>
      </c>
      <c r="F1754" s="11"/>
      <c r="G1754" s="14">
        <v>0.48516999999999999</v>
      </c>
      <c r="H1754" s="11"/>
      <c r="I1754" s="11"/>
      <c r="J1754" s="3" t="str">
        <f t="shared" si="128"/>
        <v>2545455</v>
      </c>
    </row>
    <row r="1755" spans="2:10" s="3" customFormat="1">
      <c r="B1755" s="3" t="s">
        <v>2111</v>
      </c>
      <c r="C1755" s="8">
        <v>4</v>
      </c>
      <c r="D1755" s="3" t="s">
        <v>2458</v>
      </c>
      <c r="E1755" s="11" t="s">
        <v>29</v>
      </c>
      <c r="F1755" s="11"/>
      <c r="G1755" s="15">
        <f>ROUND(G1753*G1754,0)</f>
        <v>3312</v>
      </c>
      <c r="H1755" s="16">
        <f>ROUND(G1755/2,0)</f>
        <v>1656</v>
      </c>
      <c r="I1755" s="15">
        <f>G1755-H1755</f>
        <v>1656</v>
      </c>
      <c r="J1755" s="3" t="str">
        <f t="shared" si="128"/>
        <v>2545455</v>
      </c>
    </row>
    <row r="1756" spans="2:10" s="3" customFormat="1">
      <c r="B1756" s="3" t="s">
        <v>2111</v>
      </c>
      <c r="C1756" s="8">
        <v>4</v>
      </c>
      <c r="D1756" s="3" t="s">
        <v>2458</v>
      </c>
      <c r="E1756" s="11" t="s">
        <v>30</v>
      </c>
      <c r="F1756" s="11"/>
      <c r="G1756" s="12">
        <f>+G1753-G1755</f>
        <v>3514</v>
      </c>
      <c r="H1756" s="13">
        <f>ROUND(G1756/2,0)</f>
        <v>1757</v>
      </c>
      <c r="I1756" s="12">
        <f>G1756-H1756</f>
        <v>1757</v>
      </c>
      <c r="J1756" s="3" t="str">
        <f t="shared" si="128"/>
        <v>2545455</v>
      </c>
    </row>
    <row r="1757" spans="2:10" s="3" customFormat="1">
      <c r="B1757" s="3" t="s">
        <v>2111</v>
      </c>
      <c r="C1757" s="8">
        <v>4</v>
      </c>
      <c r="D1757" s="3" t="s">
        <v>2456</v>
      </c>
      <c r="E1757" s="11" t="s">
        <v>558</v>
      </c>
      <c r="F1757" s="10">
        <v>0.45790700000000001</v>
      </c>
      <c r="G1757" s="9">
        <f>ROUND(G$3*F1757,0)</f>
        <v>131750</v>
      </c>
      <c r="H1757" s="11">
        <f>ROUND(G1757/2,0)</f>
        <v>65875</v>
      </c>
      <c r="I1757" s="9">
        <f>G1757-H1757</f>
        <v>65875</v>
      </c>
      <c r="J1757" s="3" t="str">
        <f t="shared" si="128"/>
        <v>2542645</v>
      </c>
    </row>
    <row r="1758" spans="2:10" s="3" customFormat="1">
      <c r="B1758" s="3" t="s">
        <v>2111</v>
      </c>
      <c r="C1758" s="8">
        <v>4</v>
      </c>
      <c r="D1758" s="3" t="s">
        <v>2456</v>
      </c>
      <c r="E1758" s="11" t="s">
        <v>28</v>
      </c>
      <c r="F1758" s="11"/>
      <c r="G1758" s="14">
        <v>0.48539900000000002</v>
      </c>
      <c r="H1758" s="11"/>
      <c r="I1758" s="11"/>
      <c r="J1758" s="3" t="str">
        <f t="shared" si="128"/>
        <v>2542645</v>
      </c>
    </row>
    <row r="1759" spans="2:10" s="3" customFormat="1">
      <c r="B1759" s="3" t="s">
        <v>2111</v>
      </c>
      <c r="C1759" s="8">
        <v>4</v>
      </c>
      <c r="D1759" s="3" t="s">
        <v>2456</v>
      </c>
      <c r="E1759" s="11" t="s">
        <v>29</v>
      </c>
      <c r="F1759" s="11"/>
      <c r="G1759" s="15">
        <f>ROUND(G1757*G1758,0)</f>
        <v>63951</v>
      </c>
      <c r="H1759" s="16">
        <f>ROUND(G1759/2,0)</f>
        <v>31976</v>
      </c>
      <c r="I1759" s="15">
        <f>G1759-H1759</f>
        <v>31975</v>
      </c>
      <c r="J1759" s="3" t="str">
        <f t="shared" si="128"/>
        <v>2542645</v>
      </c>
    </row>
    <row r="1760" spans="2:10" s="3" customFormat="1">
      <c r="B1760" s="3" t="s">
        <v>2111</v>
      </c>
      <c r="C1760" s="8">
        <v>4</v>
      </c>
      <c r="D1760" s="3" t="s">
        <v>2456</v>
      </c>
      <c r="E1760" s="11" t="s">
        <v>30</v>
      </c>
      <c r="F1760" s="11"/>
      <c r="G1760" s="12">
        <f>+G1757-G1759</f>
        <v>67799</v>
      </c>
      <c r="H1760" s="13">
        <f>ROUND(G1760/2,0)</f>
        <v>33900</v>
      </c>
      <c r="I1760" s="12">
        <f>G1760-H1760</f>
        <v>33899</v>
      </c>
      <c r="J1760" s="3" t="str">
        <f t="shared" si="128"/>
        <v>2542645</v>
      </c>
    </row>
    <row r="1761" spans="1:10" s="3" customFormat="1">
      <c r="B1761" s="3" t="s">
        <v>2111</v>
      </c>
      <c r="C1761" s="8">
        <v>4</v>
      </c>
      <c r="D1761" s="3" t="s">
        <v>2457</v>
      </c>
      <c r="E1761" s="11" t="s">
        <v>559</v>
      </c>
      <c r="F1761" s="10">
        <v>7.0931999999999995E-2</v>
      </c>
      <c r="G1761" s="9">
        <f>ROUND(G$3*F1761,0)</f>
        <v>20409</v>
      </c>
      <c r="H1761" s="11">
        <f>ROUND(G1761/2,0)</f>
        <v>10205</v>
      </c>
      <c r="I1761" s="9">
        <f>G1761-H1761</f>
        <v>10204</v>
      </c>
      <c r="J1761" s="3" t="str">
        <f t="shared" si="128"/>
        <v>2544445</v>
      </c>
    </row>
    <row r="1762" spans="1:10" s="3" customFormat="1">
      <c r="B1762" s="3" t="s">
        <v>2111</v>
      </c>
      <c r="C1762" s="8">
        <v>4</v>
      </c>
      <c r="D1762" s="3" t="s">
        <v>2457</v>
      </c>
      <c r="E1762" s="11" t="s">
        <v>28</v>
      </c>
      <c r="F1762" s="11"/>
      <c r="G1762" s="14">
        <v>0.37658999999999998</v>
      </c>
      <c r="H1762" s="11"/>
      <c r="I1762" s="11"/>
      <c r="J1762" s="3" t="str">
        <f t="shared" si="128"/>
        <v>2544445</v>
      </c>
    </row>
    <row r="1763" spans="1:10" s="3" customFormat="1">
      <c r="B1763" s="3" t="s">
        <v>2111</v>
      </c>
      <c r="C1763" s="8">
        <v>4</v>
      </c>
      <c r="D1763" s="3" t="s">
        <v>2457</v>
      </c>
      <c r="E1763" s="11" t="s">
        <v>29</v>
      </c>
      <c r="F1763" s="11"/>
      <c r="G1763" s="15">
        <f>ROUND(G1761*G1762,0)</f>
        <v>7686</v>
      </c>
      <c r="H1763" s="16">
        <f>ROUND(G1763/2,0)</f>
        <v>3843</v>
      </c>
      <c r="I1763" s="15">
        <f>G1763-H1763</f>
        <v>3843</v>
      </c>
      <c r="J1763" s="3" t="str">
        <f t="shared" si="128"/>
        <v>2544445</v>
      </c>
    </row>
    <row r="1764" spans="1:10" s="3" customFormat="1">
      <c r="B1764" s="3" t="s">
        <v>2111</v>
      </c>
      <c r="C1764" s="8">
        <v>4</v>
      </c>
      <c r="D1764" s="3" t="s">
        <v>2457</v>
      </c>
      <c r="E1764" s="11" t="s">
        <v>30</v>
      </c>
      <c r="F1764" s="11"/>
      <c r="G1764" s="12">
        <f>+G1761-G1763</f>
        <v>12723</v>
      </c>
      <c r="H1764" s="13">
        <f>ROUND(G1764/2,0)</f>
        <v>6362</v>
      </c>
      <c r="I1764" s="12">
        <f>G1764-H1764</f>
        <v>6361</v>
      </c>
      <c r="J1764" s="3" t="str">
        <f t="shared" si="128"/>
        <v>2544445</v>
      </c>
    </row>
    <row r="1765" spans="1:10" s="128" customFormat="1" ht="15.75">
      <c r="B1765" s="128" t="s">
        <v>2111</v>
      </c>
      <c r="C1765" s="129">
        <v>4</v>
      </c>
      <c r="D1765" t="s">
        <v>2459</v>
      </c>
      <c r="E1765" s="131" t="s">
        <v>560</v>
      </c>
      <c r="F1765" s="133">
        <v>4.7451E-2</v>
      </c>
      <c r="G1765" s="132">
        <f>ROUND(G$3*F1765,0)</f>
        <v>13653</v>
      </c>
      <c r="H1765" s="131">
        <f>ROUND(G1765/2,0)</f>
        <v>6827</v>
      </c>
      <c r="I1765" s="132">
        <f>G1765-H1765</f>
        <v>6826</v>
      </c>
      <c r="J1765" s="128" t="str">
        <f t="shared" si="128"/>
        <v>2546620</v>
      </c>
    </row>
    <row r="1766" spans="1:10" s="3" customFormat="1" ht="15.75">
      <c r="B1766" s="3" t="s">
        <v>2111</v>
      </c>
      <c r="C1766" s="8">
        <v>4</v>
      </c>
      <c r="D1766" t="s">
        <v>2459</v>
      </c>
      <c r="E1766" s="11" t="s">
        <v>28</v>
      </c>
      <c r="F1766" s="11"/>
      <c r="G1766" s="14">
        <v>0.50499400000000005</v>
      </c>
      <c r="H1766" s="11"/>
      <c r="I1766" s="11"/>
      <c r="J1766" s="3" t="str">
        <f t="shared" si="128"/>
        <v>2546620</v>
      </c>
    </row>
    <row r="1767" spans="1:10" s="3" customFormat="1" ht="15.75">
      <c r="B1767" s="3" t="s">
        <v>2111</v>
      </c>
      <c r="C1767" s="8">
        <v>4</v>
      </c>
      <c r="D1767" t="s">
        <v>2459</v>
      </c>
      <c r="E1767" s="11" t="s">
        <v>29</v>
      </c>
      <c r="F1767" s="11"/>
      <c r="G1767" s="15">
        <f>ROUND(G1765*G1766,0)</f>
        <v>6895</v>
      </c>
      <c r="H1767" s="16">
        <f t="shared" ref="H1767:H1772" si="132">ROUND(G1767/2,0)</f>
        <v>3448</v>
      </c>
      <c r="I1767" s="15">
        <f t="shared" ref="I1767:I1772" si="133">G1767-H1767</f>
        <v>3447</v>
      </c>
      <c r="J1767" s="3" t="str">
        <f t="shared" si="128"/>
        <v>2546620</v>
      </c>
    </row>
    <row r="1768" spans="1:10" s="3" customFormat="1" ht="15.75">
      <c r="B1768" s="3" t="s">
        <v>2111</v>
      </c>
      <c r="C1768" s="8">
        <v>4</v>
      </c>
      <c r="D1768" t="s">
        <v>2459</v>
      </c>
      <c r="E1768" s="11" t="s">
        <v>30</v>
      </c>
      <c r="F1768" s="11"/>
      <c r="G1768" s="12">
        <f>+G1765-G1767</f>
        <v>6758</v>
      </c>
      <c r="H1768" s="13">
        <f t="shared" si="132"/>
        <v>3379</v>
      </c>
      <c r="I1768" s="12">
        <f t="shared" si="133"/>
        <v>3379</v>
      </c>
      <c r="J1768" s="3" t="str">
        <f t="shared" si="128"/>
        <v>2546620</v>
      </c>
    </row>
    <row r="1769" spans="1:10" s="3" customFormat="1">
      <c r="B1769" s="3" t="s">
        <v>2111</v>
      </c>
      <c r="C1769" s="8">
        <v>5</v>
      </c>
      <c r="D1769" s="3" t="s">
        <v>3352</v>
      </c>
      <c r="E1769" s="11" t="s">
        <v>561</v>
      </c>
      <c r="F1769" s="10">
        <v>3.6849999999999999E-3</v>
      </c>
      <c r="G1769" s="120">
        <f>ROUND(G$3*F1769,0)</f>
        <v>1060</v>
      </c>
      <c r="H1769" s="120">
        <f t="shared" si="132"/>
        <v>530</v>
      </c>
      <c r="I1769" s="120">
        <f t="shared" si="133"/>
        <v>530</v>
      </c>
      <c r="J1769" s="3" t="str">
        <f t="shared" si="128"/>
        <v>2550055</v>
      </c>
    </row>
    <row r="1770" spans="1:10" s="3" customFormat="1">
      <c r="B1770" s="3" t="s">
        <v>2111</v>
      </c>
      <c r="C1770" s="8">
        <v>5</v>
      </c>
      <c r="D1770" s="3" t="s">
        <v>3960</v>
      </c>
      <c r="E1770" s="11" t="s">
        <v>562</v>
      </c>
      <c r="F1770" s="10">
        <v>4.1071000000000003E-2</v>
      </c>
      <c r="G1770" s="120">
        <f>ROUND(G$3*F1770,0)</f>
        <v>11817</v>
      </c>
      <c r="H1770" s="120">
        <f t="shared" si="132"/>
        <v>5909</v>
      </c>
      <c r="I1770" s="120">
        <f t="shared" si="133"/>
        <v>5908</v>
      </c>
      <c r="J1770" s="3" t="str">
        <f t="shared" si="128"/>
        <v>2550057</v>
      </c>
    </row>
    <row r="1771" spans="1:10" s="3" customFormat="1">
      <c r="B1771" s="3" t="s">
        <v>2111</v>
      </c>
      <c r="C1771" s="8">
        <v>5</v>
      </c>
      <c r="D1771" s="3" t="s">
        <v>2301</v>
      </c>
      <c r="E1771" s="11" t="s">
        <v>563</v>
      </c>
      <c r="F1771" s="10">
        <v>9.7199999999997289E-4</v>
      </c>
      <c r="G1771" s="120">
        <f>+G1715-SUM(G1716:G1717)-SUM(G1722:G1749)-G1753-G1757-G1761-G1765-SUM(G1769:G1770)</f>
        <v>-51744</v>
      </c>
      <c r="H1771" s="120">
        <f t="shared" si="132"/>
        <v>-25872</v>
      </c>
      <c r="I1771" s="120">
        <f t="shared" si="133"/>
        <v>-25872</v>
      </c>
      <c r="J1771" s="3" t="str">
        <f t="shared" si="128"/>
        <v>2550056</v>
      </c>
    </row>
    <row r="1772" spans="1:10" s="3" customFormat="1">
      <c r="A1772" s="3" t="s">
        <v>6269</v>
      </c>
      <c r="B1772" s="3" t="s">
        <v>2111</v>
      </c>
      <c r="C1772" s="8">
        <v>6</v>
      </c>
      <c r="D1772" s="3" t="s">
        <v>6267</v>
      </c>
      <c r="E1772" s="11" t="s">
        <v>564</v>
      </c>
      <c r="F1772" s="10">
        <v>0</v>
      </c>
      <c r="G1772" s="120">
        <f>ROUND(G$3*F1772,0)</f>
        <v>0</v>
      </c>
      <c r="H1772" s="120">
        <f t="shared" si="132"/>
        <v>0</v>
      </c>
      <c r="I1772" s="120">
        <f t="shared" si="133"/>
        <v>0</v>
      </c>
      <c r="J1772" s="3" t="str">
        <f t="shared" si="128"/>
        <v>256XXXX</v>
      </c>
    </row>
    <row r="1773" spans="1:10" s="3" customFormat="1">
      <c r="B1773" s="3" t="s">
        <v>2111</v>
      </c>
      <c r="C1773" s="8">
        <v>0</v>
      </c>
      <c r="D1773" s="125" t="s">
        <v>2187</v>
      </c>
      <c r="E1773" s="28" t="s">
        <v>288</v>
      </c>
      <c r="F1773" s="10">
        <v>1</v>
      </c>
      <c r="G1773" s="12">
        <f>+G1716+SUM(G1719:G1748)+SUM(G1751:G1752)+SUM(G1755:G1756)+SUM(G1759:G1760)+SUM(G1763:G1764)+SUM(G1767:G1772)</f>
        <v>235697</v>
      </c>
      <c r="H1773" s="12">
        <f>+H1716+SUM(H1719:H1748)+SUM(H1751:H1752)+SUM(H1755:H1756)+SUM(H1759:H1760)+SUM(H1763:H1764)+SUM(H1767:H1772)</f>
        <v>117858</v>
      </c>
      <c r="I1773" s="12">
        <f>+I1716+SUM(I1719:I1748)+SUM(I1751:I1752)+SUM(I1755:I1756)+SUM(I1759:I1760)+SUM(I1763:I1764)+SUM(I1767:I1772)</f>
        <v>117839</v>
      </c>
      <c r="J1773" s="3" t="str">
        <f t="shared" si="128"/>
        <v>2500000</v>
      </c>
    </row>
    <row r="1774" spans="1:10" s="3" customFormat="1">
      <c r="B1774" s="3" t="s">
        <v>2111</v>
      </c>
      <c r="C1774" s="8">
        <v>0</v>
      </c>
      <c r="D1774" s="3" t="s">
        <v>2187</v>
      </c>
      <c r="E1774" s="18" t="s">
        <v>38</v>
      </c>
      <c r="G1774" s="19">
        <f>+G1716</f>
        <v>369</v>
      </c>
      <c r="H1774" s="19">
        <f>+H1716</f>
        <v>185</v>
      </c>
      <c r="I1774" s="19">
        <f>+I1716</f>
        <v>184</v>
      </c>
      <c r="J1774" s="3" t="str">
        <f t="shared" si="128"/>
        <v>2500000</v>
      </c>
    </row>
    <row r="1775" spans="1:10" s="3" customFormat="1">
      <c r="B1775" s="3" t="s">
        <v>2111</v>
      </c>
      <c r="C1775" s="8">
        <v>0</v>
      </c>
      <c r="D1775" s="3" t="s">
        <v>2187</v>
      </c>
      <c r="E1775" s="2" t="s">
        <v>39</v>
      </c>
      <c r="G1775" s="19">
        <f>+G1719</f>
        <v>18839</v>
      </c>
      <c r="H1775" s="19">
        <f>+H1719</f>
        <v>9420</v>
      </c>
      <c r="I1775" s="19">
        <f>+I1719</f>
        <v>9419</v>
      </c>
      <c r="J1775" s="3" t="str">
        <f t="shared" si="128"/>
        <v>2500000</v>
      </c>
    </row>
    <row r="1776" spans="1:10" s="3" customFormat="1">
      <c r="B1776" s="3" t="s">
        <v>2111</v>
      </c>
      <c r="C1776" s="8">
        <v>0</v>
      </c>
      <c r="D1776" s="3" t="s">
        <v>2187</v>
      </c>
      <c r="E1776" s="2" t="s">
        <v>40</v>
      </c>
      <c r="G1776" s="19">
        <f>+G1751+G1755+G1759+G1763+G1767</f>
        <v>90679</v>
      </c>
      <c r="H1776" s="19">
        <f>+H1751+H1755+H1759+H1763+H1767</f>
        <v>45341</v>
      </c>
      <c r="I1776" s="19">
        <f>+I1751+I1755+I1759+I1763+I1767</f>
        <v>45338</v>
      </c>
      <c r="J1776" s="3" t="str">
        <f t="shared" si="128"/>
        <v>2500000</v>
      </c>
    </row>
    <row r="1777" spans="2:10" s="3" customFormat="1">
      <c r="B1777" s="3" t="s">
        <v>2111</v>
      </c>
      <c r="C1777" s="8">
        <v>0</v>
      </c>
      <c r="D1777" s="125" t="s">
        <v>2187</v>
      </c>
      <c r="E1777" s="18" t="s">
        <v>41</v>
      </c>
      <c r="G1777" s="19">
        <f>+G1773-G1774-G1775-G1776</f>
        <v>125810</v>
      </c>
      <c r="H1777" s="19">
        <f>+H1773-H1774-H1775-H1776</f>
        <v>62912</v>
      </c>
      <c r="I1777" s="19">
        <f>+I1773-I1774-I1775-I1776</f>
        <v>62898</v>
      </c>
      <c r="J1777" s="3" t="str">
        <f t="shared" si="128"/>
        <v>2500000</v>
      </c>
    </row>
    <row r="1778" spans="2:10" ht="15.75">
      <c r="B1778" s="3" t="s">
        <v>2186</v>
      </c>
      <c r="D1778" t="s">
        <v>2186</v>
      </c>
      <c r="E1778">
        <v>0</v>
      </c>
      <c r="G1778"/>
      <c r="H1778"/>
      <c r="I1778"/>
      <c r="J1778" s="3" t="str">
        <f t="shared" si="128"/>
        <v/>
      </c>
    </row>
    <row r="1779" spans="2:10" s="3" customFormat="1">
      <c r="C1779" s="1"/>
      <c r="D1779" s="3" t="s">
        <v>2186</v>
      </c>
      <c r="E1779" s="2" t="s">
        <v>565</v>
      </c>
      <c r="J1779" s="3" t="str">
        <f t="shared" si="128"/>
        <v/>
      </c>
    </row>
    <row r="1780" spans="2:10" s="3" customFormat="1" ht="45">
      <c r="B1780" s="3" t="s">
        <v>2186</v>
      </c>
      <c r="C1780" s="1"/>
      <c r="D1780" s="3" t="s">
        <v>2186</v>
      </c>
      <c r="E1780" s="1">
        <v>0</v>
      </c>
      <c r="F1780" s="6" t="s">
        <v>1</v>
      </c>
      <c r="G1780" s="60">
        <f>'Allocation Worksheet'!H1780</f>
        <v>0</v>
      </c>
      <c r="H1780" s="60">
        <f>'Allocation Worksheet'!H1781</f>
        <v>0</v>
      </c>
      <c r="I1780" s="60">
        <f>'Allocation Worksheet'!H1782</f>
        <v>0</v>
      </c>
      <c r="J1780" s="3" t="str">
        <f t="shared" si="128"/>
        <v/>
      </c>
    </row>
    <row r="1781" spans="2:10" s="3" customFormat="1" ht="20.25" customHeight="1">
      <c r="C1781" s="7" t="s">
        <v>2087</v>
      </c>
      <c r="D1781" s="3" t="s">
        <v>2186</v>
      </c>
      <c r="E1781" s="7" t="s">
        <v>3</v>
      </c>
      <c r="F1781" s="10"/>
      <c r="G1781" s="9">
        <f>'Allocation Worksheet'!$D$29</f>
        <v>609989</v>
      </c>
      <c r="H1781" s="11"/>
      <c r="I1781" s="11"/>
      <c r="J1781" s="3" t="str">
        <f t="shared" si="128"/>
        <v>UT</v>
      </c>
    </row>
    <row r="1782" spans="2:10" s="3" customFormat="1">
      <c r="B1782" s="3" t="s">
        <v>2112</v>
      </c>
      <c r="C1782" s="8">
        <v>0</v>
      </c>
      <c r="D1782" s="3" t="s">
        <v>2187</v>
      </c>
      <c r="E1782" s="11" t="s">
        <v>4</v>
      </c>
      <c r="F1782" s="10">
        <v>1.0679999999999999E-3</v>
      </c>
      <c r="G1782" s="12">
        <f>ROUND(G$3*F1782,0)</f>
        <v>307</v>
      </c>
      <c r="H1782" s="13">
        <f>ROUND(G1782/2,0)</f>
        <v>154</v>
      </c>
      <c r="I1782" s="12">
        <f>G1782-H1782</f>
        <v>153</v>
      </c>
      <c r="J1782" s="3" t="str">
        <f t="shared" si="128"/>
        <v>2600000</v>
      </c>
    </row>
    <row r="1783" spans="2:10" s="3" customFormat="1">
      <c r="B1783" s="3" t="s">
        <v>2112</v>
      </c>
      <c r="C1783" s="8">
        <v>1</v>
      </c>
      <c r="D1783" s="3" t="s">
        <v>2187</v>
      </c>
      <c r="E1783" s="11" t="s">
        <v>566</v>
      </c>
      <c r="F1783" s="10">
        <v>0.23131099999999999</v>
      </c>
      <c r="G1783" s="9">
        <f>ROUND(G$3*F1783,0)</f>
        <v>66553</v>
      </c>
      <c r="H1783" s="11">
        <f>ROUND(G1783/2,0)</f>
        <v>33277</v>
      </c>
      <c r="I1783" s="9">
        <f>G1783-H1783</f>
        <v>33276</v>
      </c>
      <c r="J1783" s="3" t="str">
        <f t="shared" si="128"/>
        <v>2610000</v>
      </c>
    </row>
    <row r="1784" spans="2:10" s="3" customFormat="1">
      <c r="B1784" s="3" t="s">
        <v>2112</v>
      </c>
      <c r="C1784" s="8">
        <v>1</v>
      </c>
      <c r="D1784" s="3" t="s">
        <v>2187</v>
      </c>
      <c r="E1784" s="11" t="s">
        <v>6</v>
      </c>
      <c r="F1784" s="11"/>
      <c r="G1784" s="14">
        <v>0.14757899999999999</v>
      </c>
      <c r="H1784" s="11"/>
      <c r="I1784" s="11"/>
      <c r="J1784" s="3" t="str">
        <f t="shared" si="128"/>
        <v>2610000</v>
      </c>
    </row>
    <row r="1785" spans="2:10" s="3" customFormat="1">
      <c r="B1785" s="3" t="s">
        <v>2112</v>
      </c>
      <c r="C1785" s="8">
        <v>1</v>
      </c>
      <c r="D1785" s="3" t="s">
        <v>2187</v>
      </c>
      <c r="E1785" s="11" t="s">
        <v>7</v>
      </c>
      <c r="F1785" s="11"/>
      <c r="G1785" s="15">
        <f>ROUND(G1783*G1784,0)</f>
        <v>9822</v>
      </c>
      <c r="H1785" s="16">
        <f>ROUND(G1785/2,0)</f>
        <v>4911</v>
      </c>
      <c r="I1785" s="15">
        <f>G1785-H1785</f>
        <v>4911</v>
      </c>
      <c r="J1785" s="3" t="str">
        <f t="shared" si="128"/>
        <v>2610000</v>
      </c>
    </row>
    <row r="1786" spans="2:10" s="3" customFormat="1">
      <c r="B1786" s="3" t="s">
        <v>2112</v>
      </c>
      <c r="C1786" s="8">
        <v>1</v>
      </c>
      <c r="D1786" s="3" t="s">
        <v>2187</v>
      </c>
      <c r="E1786" s="11" t="s">
        <v>8</v>
      </c>
      <c r="F1786" s="11"/>
      <c r="G1786" s="12">
        <f>+G1783-G1785</f>
        <v>56731</v>
      </c>
      <c r="H1786" s="13">
        <f>ROUND(G1786/2,0)</f>
        <v>28366</v>
      </c>
      <c r="I1786" s="12">
        <f>G1786-H1786</f>
        <v>28365</v>
      </c>
      <c r="J1786" s="3" t="str">
        <f t="shared" si="128"/>
        <v>2610000</v>
      </c>
    </row>
    <row r="1787" spans="2:10" s="3" customFormat="1">
      <c r="B1787" s="3" t="s">
        <v>2112</v>
      </c>
      <c r="C1787" s="8">
        <v>2</v>
      </c>
      <c r="D1787" s="3" t="s">
        <v>2188</v>
      </c>
      <c r="E1787" s="11" t="s">
        <v>567</v>
      </c>
      <c r="F1787" s="11"/>
      <c r="G1787" s="9"/>
      <c r="H1787" s="11"/>
      <c r="I1787" s="11"/>
      <c r="J1787" s="3" t="str">
        <f t="shared" si="128"/>
        <v>2620001</v>
      </c>
    </row>
    <row r="1788" spans="2:10" s="3" customFormat="1">
      <c r="B1788" s="3" t="s">
        <v>2112</v>
      </c>
      <c r="C1788" s="8">
        <v>2</v>
      </c>
      <c r="D1788" s="3" t="s">
        <v>2188</v>
      </c>
      <c r="E1788" s="11" t="s">
        <v>10</v>
      </c>
      <c r="F1788" s="10">
        <v>2.3930000000000002E-3</v>
      </c>
      <c r="G1788" s="12">
        <f>ROUND(G$3*F1788,0)</f>
        <v>689</v>
      </c>
      <c r="H1788" s="13">
        <f>ROUND(G1788/2,0)</f>
        <v>345</v>
      </c>
      <c r="I1788" s="12">
        <f>G1788-H1788</f>
        <v>344</v>
      </c>
      <c r="J1788" s="3" t="str">
        <f t="shared" si="128"/>
        <v>2620001</v>
      </c>
    </row>
    <row r="1789" spans="2:10" s="3" customFormat="1">
      <c r="B1789" s="3" t="s">
        <v>2112</v>
      </c>
      <c r="C1789" s="8">
        <v>2</v>
      </c>
      <c r="D1789" s="3" t="s">
        <v>2188</v>
      </c>
      <c r="E1789" s="11" t="s">
        <v>11</v>
      </c>
      <c r="F1789" s="10">
        <v>1.513E-3</v>
      </c>
      <c r="G1789" s="12">
        <f>ROUND(G$3*F1789,0)</f>
        <v>435</v>
      </c>
      <c r="H1789" s="13">
        <f>ROUND(G1789/2,0)</f>
        <v>218</v>
      </c>
      <c r="I1789" s="12">
        <f>G1789-H1789</f>
        <v>217</v>
      </c>
      <c r="J1789" s="3" t="str">
        <f t="shared" si="128"/>
        <v>2620001</v>
      </c>
    </row>
    <row r="1790" spans="2:10" s="3" customFormat="1">
      <c r="B1790" s="3" t="s">
        <v>2112</v>
      </c>
      <c r="C1790" s="8">
        <v>2</v>
      </c>
      <c r="D1790" s="3" t="s">
        <v>2189</v>
      </c>
      <c r="E1790" s="11" t="s">
        <v>107</v>
      </c>
      <c r="F1790" s="11"/>
      <c r="G1790" s="9"/>
      <c r="H1790" s="11"/>
      <c r="I1790" s="11"/>
      <c r="J1790" s="3" t="str">
        <f t="shared" si="128"/>
        <v>2620002</v>
      </c>
    </row>
    <row r="1791" spans="2:10" s="3" customFormat="1">
      <c r="B1791" s="3" t="s">
        <v>2112</v>
      </c>
      <c r="C1791" s="8">
        <v>2</v>
      </c>
      <c r="D1791" s="3" t="s">
        <v>2189</v>
      </c>
      <c r="E1791" s="11" t="s">
        <v>10</v>
      </c>
      <c r="F1791" s="10">
        <v>1.077E-3</v>
      </c>
      <c r="G1791" s="12">
        <f>ROUND(G$3*F1791,0)</f>
        <v>310</v>
      </c>
      <c r="H1791" s="13">
        <f>ROUND(G1791/2,0)</f>
        <v>155</v>
      </c>
      <c r="I1791" s="12">
        <f>G1791-H1791</f>
        <v>155</v>
      </c>
      <c r="J1791" s="3" t="str">
        <f t="shared" si="128"/>
        <v>2620002</v>
      </c>
    </row>
    <row r="1792" spans="2:10" s="3" customFormat="1">
      <c r="B1792" s="3" t="s">
        <v>2112</v>
      </c>
      <c r="C1792" s="8">
        <v>2</v>
      </c>
      <c r="D1792" s="3" t="s">
        <v>2189</v>
      </c>
      <c r="E1792" s="11" t="s">
        <v>11</v>
      </c>
      <c r="F1792" s="10">
        <v>6.9899999999999997E-4</v>
      </c>
      <c r="G1792" s="12">
        <f>ROUND(G$3*F1792,0)</f>
        <v>201</v>
      </c>
      <c r="H1792" s="13">
        <f>ROUND(G1792/2,0)</f>
        <v>101</v>
      </c>
      <c r="I1792" s="12">
        <f>G1792-H1792</f>
        <v>100</v>
      </c>
      <c r="J1792" s="3" t="str">
        <f t="shared" si="128"/>
        <v>2620002</v>
      </c>
    </row>
    <row r="1793" spans="1:10" s="3" customFormat="1">
      <c r="B1793" s="3" t="s">
        <v>2112</v>
      </c>
      <c r="C1793" s="8">
        <v>2</v>
      </c>
      <c r="D1793" s="3" t="s">
        <v>2190</v>
      </c>
      <c r="E1793" s="11" t="s">
        <v>429</v>
      </c>
      <c r="F1793" s="11"/>
      <c r="G1793" s="9"/>
      <c r="H1793" s="11"/>
      <c r="I1793" s="11"/>
      <c r="J1793" s="3" t="str">
        <f t="shared" si="128"/>
        <v>2620003</v>
      </c>
    </row>
    <row r="1794" spans="1:10" s="3" customFormat="1">
      <c r="B1794" s="3" t="s">
        <v>2112</v>
      </c>
      <c r="C1794" s="8">
        <v>2</v>
      </c>
      <c r="D1794" s="3" t="s">
        <v>2190</v>
      </c>
      <c r="E1794" s="11" t="s">
        <v>10</v>
      </c>
      <c r="F1794" s="10">
        <v>1.5219999999999999E-3</v>
      </c>
      <c r="G1794" s="12">
        <f>ROUND(G$3*F1794,0)</f>
        <v>438</v>
      </c>
      <c r="H1794" s="13">
        <f>ROUND(G1794/2,0)</f>
        <v>219</v>
      </c>
      <c r="I1794" s="12">
        <f>G1794-H1794</f>
        <v>219</v>
      </c>
      <c r="J1794" s="3" t="str">
        <f t="shared" si="128"/>
        <v>2620003</v>
      </c>
    </row>
    <row r="1795" spans="1:10" s="3" customFormat="1">
      <c r="B1795" s="3" t="s">
        <v>2112</v>
      </c>
      <c r="C1795" s="8">
        <v>2</v>
      </c>
      <c r="D1795" s="3" t="s">
        <v>2190</v>
      </c>
      <c r="E1795" s="11" t="s">
        <v>11</v>
      </c>
      <c r="F1795" s="10">
        <v>8.0400000000000003E-4</v>
      </c>
      <c r="G1795" s="12">
        <f>ROUND(G$3*F1795,0)</f>
        <v>231</v>
      </c>
      <c r="H1795" s="13">
        <f>ROUND(G1795/2,0)</f>
        <v>116</v>
      </c>
      <c r="I1795" s="12">
        <f>G1795-H1795</f>
        <v>115</v>
      </c>
      <c r="J1795" s="3" t="str">
        <f t="shared" si="128"/>
        <v>2620003</v>
      </c>
    </row>
    <row r="1796" spans="1:10" s="3" customFormat="1">
      <c r="B1796" s="3" t="s">
        <v>2112</v>
      </c>
      <c r="C1796" s="8">
        <v>2</v>
      </c>
      <c r="D1796" s="3" t="s">
        <v>2191</v>
      </c>
      <c r="E1796" s="11" t="s">
        <v>268</v>
      </c>
      <c r="F1796" s="11"/>
      <c r="G1796" s="9"/>
      <c r="H1796" s="11"/>
      <c r="I1796" s="11"/>
      <c r="J1796" s="3" t="str">
        <f t="shared" ref="J1796:J1859" si="134">B1796&amp;C1796&amp;D1796</f>
        <v>2620004</v>
      </c>
    </row>
    <row r="1797" spans="1:10" s="3" customFormat="1">
      <c r="B1797" s="3" t="s">
        <v>2112</v>
      </c>
      <c r="C1797" s="8">
        <v>2</v>
      </c>
      <c r="D1797" s="3" t="s">
        <v>2191</v>
      </c>
      <c r="E1797" s="11" t="s">
        <v>10</v>
      </c>
      <c r="F1797" s="10">
        <v>8.7000000000000001E-4</v>
      </c>
      <c r="G1797" s="12">
        <f>ROUND(G$3*F1797,0)</f>
        <v>250</v>
      </c>
      <c r="H1797" s="13">
        <f>ROUND(G1797/2,0)</f>
        <v>125</v>
      </c>
      <c r="I1797" s="12">
        <f>G1797-H1797</f>
        <v>125</v>
      </c>
      <c r="J1797" s="3" t="str">
        <f t="shared" si="134"/>
        <v>2620004</v>
      </c>
    </row>
    <row r="1798" spans="1:10" s="3" customFormat="1">
      <c r="B1798" s="3" t="s">
        <v>2112</v>
      </c>
      <c r="C1798" s="8">
        <v>2</v>
      </c>
      <c r="D1798" s="3" t="s">
        <v>2191</v>
      </c>
      <c r="E1798" s="11" t="s">
        <v>11</v>
      </c>
      <c r="F1798" s="10">
        <v>7.2900000000000005E-4</v>
      </c>
      <c r="G1798" s="12">
        <f>ROUND(G$3*F1798,0)</f>
        <v>210</v>
      </c>
      <c r="H1798" s="13">
        <f>ROUND(G1798/2,0)</f>
        <v>105</v>
      </c>
      <c r="I1798" s="12">
        <f>G1798-H1798</f>
        <v>105</v>
      </c>
      <c r="J1798" s="3" t="str">
        <f t="shared" si="134"/>
        <v>2620004</v>
      </c>
    </row>
    <row r="1799" spans="1:10" s="3" customFormat="1">
      <c r="B1799" s="3" t="s">
        <v>2112</v>
      </c>
      <c r="C1799" s="8">
        <v>2</v>
      </c>
      <c r="D1799" s="3" t="s">
        <v>2192</v>
      </c>
      <c r="E1799" s="11" t="s">
        <v>568</v>
      </c>
      <c r="F1799" s="11"/>
      <c r="G1799" s="9"/>
      <c r="H1799" s="11"/>
      <c r="I1799" s="11"/>
      <c r="J1799" s="3" t="str">
        <f t="shared" si="134"/>
        <v>2620005</v>
      </c>
    </row>
    <row r="1800" spans="1:10" s="3" customFormat="1">
      <c r="B1800" s="3" t="s">
        <v>2112</v>
      </c>
      <c r="C1800" s="8">
        <v>2</v>
      </c>
      <c r="D1800" s="3" t="s">
        <v>2192</v>
      </c>
      <c r="E1800" s="11" t="s">
        <v>10</v>
      </c>
      <c r="F1800" s="10">
        <v>5.1999999999999995E-4</v>
      </c>
      <c r="G1800" s="12">
        <f>ROUND(G$3*F1800,0)</f>
        <v>150</v>
      </c>
      <c r="H1800" s="13">
        <f>ROUND(G1800/2,0)</f>
        <v>75</v>
      </c>
      <c r="I1800" s="12">
        <f>G1800-H1800</f>
        <v>75</v>
      </c>
      <c r="J1800" s="3" t="str">
        <f t="shared" si="134"/>
        <v>2620005</v>
      </c>
    </row>
    <row r="1801" spans="1:10" s="3" customFormat="1">
      <c r="A1801" s="3" t="s">
        <v>6269</v>
      </c>
      <c r="B1801" s="3" t="s">
        <v>2112</v>
      </c>
      <c r="C1801" s="8">
        <v>2</v>
      </c>
      <c r="D1801" s="3" t="s">
        <v>2192</v>
      </c>
      <c r="E1801" s="11" t="s">
        <v>11</v>
      </c>
      <c r="F1801" s="10">
        <v>0</v>
      </c>
      <c r="G1801" s="12">
        <f>ROUND(G$3*F1801,0)</f>
        <v>0</v>
      </c>
      <c r="H1801" s="13">
        <f>ROUND(G1801/2,0)</f>
        <v>0</v>
      </c>
      <c r="I1801" s="12">
        <f>G1801-H1801</f>
        <v>0</v>
      </c>
      <c r="J1801" s="3" t="str">
        <f t="shared" si="134"/>
        <v>2620005</v>
      </c>
    </row>
    <row r="1802" spans="1:10" s="3" customFormat="1">
      <c r="B1802" s="3" t="s">
        <v>2112</v>
      </c>
      <c r="C1802" s="8">
        <v>2</v>
      </c>
      <c r="D1802" s="3" t="s">
        <v>2193</v>
      </c>
      <c r="E1802" s="11" t="s">
        <v>292</v>
      </c>
      <c r="F1802" s="11"/>
      <c r="G1802" s="9"/>
      <c r="H1802" s="11"/>
      <c r="I1802" s="11"/>
      <c r="J1802" s="3" t="str">
        <f t="shared" si="134"/>
        <v>2620006</v>
      </c>
    </row>
    <row r="1803" spans="1:10" s="3" customFormat="1">
      <c r="B1803" s="3" t="s">
        <v>2112</v>
      </c>
      <c r="C1803" s="8">
        <v>2</v>
      </c>
      <c r="D1803" s="3" t="s">
        <v>2193</v>
      </c>
      <c r="E1803" s="11" t="s">
        <v>10</v>
      </c>
      <c r="F1803" s="10">
        <v>1.6969999999999999E-2</v>
      </c>
      <c r="G1803" s="12">
        <f>ROUND(G$3*F1803,0)</f>
        <v>4883</v>
      </c>
      <c r="H1803" s="13">
        <f>ROUND(G1803/2,0)</f>
        <v>2442</v>
      </c>
      <c r="I1803" s="12">
        <f>G1803-H1803</f>
        <v>2441</v>
      </c>
      <c r="J1803" s="3" t="str">
        <f t="shared" si="134"/>
        <v>2620006</v>
      </c>
    </row>
    <row r="1804" spans="1:10" s="3" customFormat="1">
      <c r="B1804" s="3" t="s">
        <v>2112</v>
      </c>
      <c r="C1804" s="8">
        <v>2</v>
      </c>
      <c r="D1804" s="3" t="s">
        <v>2193</v>
      </c>
      <c r="E1804" s="11" t="s">
        <v>11</v>
      </c>
      <c r="F1804" s="10">
        <v>9.7920000000000004E-3</v>
      </c>
      <c r="G1804" s="12">
        <f>ROUND(G$3*F1804,0)</f>
        <v>2817</v>
      </c>
      <c r="H1804" s="13">
        <f>ROUND(G1804/2,0)</f>
        <v>1409</v>
      </c>
      <c r="I1804" s="12">
        <f>G1804-H1804</f>
        <v>1408</v>
      </c>
      <c r="J1804" s="3" t="str">
        <f t="shared" si="134"/>
        <v>2620006</v>
      </c>
    </row>
    <row r="1805" spans="1:10" s="3" customFormat="1">
      <c r="B1805" s="3" t="s">
        <v>2112</v>
      </c>
      <c r="C1805" s="8">
        <v>2</v>
      </c>
      <c r="D1805" s="3" t="s">
        <v>2194</v>
      </c>
      <c r="E1805" s="11" t="s">
        <v>20</v>
      </c>
      <c r="F1805" s="11"/>
      <c r="G1805" s="9"/>
      <c r="H1805" s="11"/>
      <c r="I1805" s="11"/>
      <c r="J1805" s="3" t="str">
        <f t="shared" si="134"/>
        <v>2620007</v>
      </c>
    </row>
    <row r="1806" spans="1:10" s="3" customFormat="1">
      <c r="B1806" s="3" t="s">
        <v>2112</v>
      </c>
      <c r="C1806" s="8">
        <v>2</v>
      </c>
      <c r="D1806" s="3" t="s">
        <v>2194</v>
      </c>
      <c r="E1806" s="11" t="s">
        <v>10</v>
      </c>
      <c r="F1806" s="10">
        <v>2.9129999999999998E-3</v>
      </c>
      <c r="G1806" s="12">
        <f>ROUND(G$3*F1806,0)</f>
        <v>838</v>
      </c>
      <c r="H1806" s="13">
        <f>ROUND(G1806/2,0)</f>
        <v>419</v>
      </c>
      <c r="I1806" s="12">
        <f>G1806-H1806</f>
        <v>419</v>
      </c>
      <c r="J1806" s="3" t="str">
        <f t="shared" si="134"/>
        <v>2620007</v>
      </c>
    </row>
    <row r="1807" spans="1:10" s="3" customFormat="1">
      <c r="B1807" s="3" t="s">
        <v>2112</v>
      </c>
      <c r="C1807" s="8">
        <v>2</v>
      </c>
      <c r="D1807" s="3" t="s">
        <v>2194</v>
      </c>
      <c r="E1807" s="11" t="s">
        <v>11</v>
      </c>
      <c r="F1807" s="10">
        <v>2.1129999999999999E-3</v>
      </c>
      <c r="G1807" s="12">
        <f>ROUND(G$3*F1807,0)</f>
        <v>608</v>
      </c>
      <c r="H1807" s="13">
        <f>ROUND(G1807/2,0)</f>
        <v>304</v>
      </c>
      <c r="I1807" s="12">
        <f>G1807-H1807</f>
        <v>304</v>
      </c>
      <c r="J1807" s="3" t="str">
        <f t="shared" si="134"/>
        <v>2620007</v>
      </c>
    </row>
    <row r="1808" spans="1:10" s="3" customFormat="1">
      <c r="B1808" s="3" t="s">
        <v>2112</v>
      </c>
      <c r="C1808" s="8">
        <v>2</v>
      </c>
      <c r="D1808" s="3" t="s">
        <v>2195</v>
      </c>
      <c r="E1808" s="11" t="s">
        <v>21</v>
      </c>
      <c r="F1808" s="11"/>
      <c r="G1808" s="9"/>
      <c r="H1808" s="11"/>
      <c r="I1808" s="11"/>
      <c r="J1808" s="3" t="str">
        <f t="shared" si="134"/>
        <v>2620008</v>
      </c>
    </row>
    <row r="1809" spans="1:10" s="3" customFormat="1">
      <c r="B1809" s="3" t="s">
        <v>2112</v>
      </c>
      <c r="C1809" s="8">
        <v>2</v>
      </c>
      <c r="D1809" s="3" t="s">
        <v>2195</v>
      </c>
      <c r="E1809" s="11" t="s">
        <v>10</v>
      </c>
      <c r="F1809" s="10">
        <v>6.3199999999999997E-4</v>
      </c>
      <c r="G1809" s="12">
        <f>ROUND(G$3*F1809,0)</f>
        <v>182</v>
      </c>
      <c r="H1809" s="13">
        <f>ROUND(G1809/2,0)</f>
        <v>91</v>
      </c>
      <c r="I1809" s="12">
        <f>G1809-H1809</f>
        <v>91</v>
      </c>
      <c r="J1809" s="3" t="str">
        <f t="shared" si="134"/>
        <v>2620008</v>
      </c>
    </row>
    <row r="1810" spans="1:10" s="3" customFormat="1">
      <c r="A1810" s="3" t="s">
        <v>6269</v>
      </c>
      <c r="B1810" s="3" t="s">
        <v>2112</v>
      </c>
      <c r="C1810" s="8">
        <v>2</v>
      </c>
      <c r="D1810" s="3" t="s">
        <v>2195</v>
      </c>
      <c r="E1810" s="11" t="s">
        <v>11</v>
      </c>
      <c r="F1810" s="10">
        <v>0</v>
      </c>
      <c r="G1810" s="12">
        <f>ROUND(G$3*F1810,0)</f>
        <v>0</v>
      </c>
      <c r="H1810" s="13">
        <f>ROUND(G1810/2,0)</f>
        <v>0</v>
      </c>
      <c r="I1810" s="12">
        <f>G1810-H1810</f>
        <v>0</v>
      </c>
      <c r="J1810" s="3" t="str">
        <f t="shared" si="134"/>
        <v>2620008</v>
      </c>
    </row>
    <row r="1811" spans="1:10" s="3" customFormat="1">
      <c r="B1811" s="3" t="s">
        <v>2112</v>
      </c>
      <c r="C1811" s="8">
        <v>2</v>
      </c>
      <c r="D1811" s="3" t="s">
        <v>2196</v>
      </c>
      <c r="E1811" s="11" t="s">
        <v>22</v>
      </c>
      <c r="F1811" s="11"/>
      <c r="G1811" s="9"/>
      <c r="H1811" s="11"/>
      <c r="I1811" s="11"/>
      <c r="J1811" s="3" t="str">
        <f t="shared" si="134"/>
        <v>2620009</v>
      </c>
    </row>
    <row r="1812" spans="1:10" s="3" customFormat="1">
      <c r="B1812" s="3" t="s">
        <v>2112</v>
      </c>
      <c r="C1812" s="8">
        <v>2</v>
      </c>
      <c r="D1812" s="3" t="s">
        <v>2196</v>
      </c>
      <c r="E1812" s="11" t="s">
        <v>10</v>
      </c>
      <c r="F1812" s="10">
        <v>5.0600000000000005E-4</v>
      </c>
      <c r="G1812" s="12">
        <f>ROUND(G$3*F1812,0)</f>
        <v>146</v>
      </c>
      <c r="H1812" s="13">
        <f>ROUND(G1812/2,0)</f>
        <v>73</v>
      </c>
      <c r="I1812" s="12">
        <f>G1812-H1812</f>
        <v>73</v>
      </c>
      <c r="J1812" s="3" t="str">
        <f t="shared" si="134"/>
        <v>2620009</v>
      </c>
    </row>
    <row r="1813" spans="1:10" s="3" customFormat="1">
      <c r="B1813" s="3" t="s">
        <v>2112</v>
      </c>
      <c r="C1813" s="8">
        <v>2</v>
      </c>
      <c r="D1813" s="3" t="s">
        <v>2196</v>
      </c>
      <c r="E1813" s="11" t="s">
        <v>11</v>
      </c>
      <c r="F1813" s="10">
        <v>6.6000000000000005E-5</v>
      </c>
      <c r="G1813" s="12">
        <f>ROUND(G$3*F1813,0)</f>
        <v>19</v>
      </c>
      <c r="H1813" s="13">
        <f>ROUND(G1813/2,0)</f>
        <v>10</v>
      </c>
      <c r="I1813" s="12">
        <f>G1813-H1813</f>
        <v>9</v>
      </c>
      <c r="J1813" s="3" t="str">
        <f t="shared" si="134"/>
        <v>2620009</v>
      </c>
    </row>
    <row r="1814" spans="1:10" s="3" customFormat="1">
      <c r="B1814" s="3" t="s">
        <v>2112</v>
      </c>
      <c r="C1814" s="8">
        <v>2</v>
      </c>
      <c r="D1814" s="3" t="s">
        <v>2197</v>
      </c>
      <c r="E1814" s="11" t="s">
        <v>569</v>
      </c>
      <c r="F1814" s="11"/>
      <c r="G1814" s="9"/>
      <c r="H1814" s="11"/>
      <c r="I1814" s="11"/>
      <c r="J1814" s="3" t="str">
        <f t="shared" si="134"/>
        <v>2620010</v>
      </c>
    </row>
    <row r="1815" spans="1:10" s="3" customFormat="1">
      <c r="B1815" s="3" t="s">
        <v>2112</v>
      </c>
      <c r="C1815" s="8">
        <v>2</v>
      </c>
      <c r="D1815" s="3" t="s">
        <v>2197</v>
      </c>
      <c r="E1815" s="11" t="s">
        <v>10</v>
      </c>
      <c r="F1815" s="10">
        <v>6.1300000000000005E-4</v>
      </c>
      <c r="G1815" s="12">
        <f t="shared" ref="G1815:G1827" si="135">ROUND(G$3*F1815,0)</f>
        <v>176</v>
      </c>
      <c r="H1815" s="13">
        <f t="shared" ref="H1815:H1827" si="136">ROUND(G1815/2,0)</f>
        <v>88</v>
      </c>
      <c r="I1815" s="12">
        <f t="shared" ref="I1815:I1827" si="137">G1815-H1815</f>
        <v>88</v>
      </c>
      <c r="J1815" s="3" t="str">
        <f t="shared" si="134"/>
        <v>2620010</v>
      </c>
    </row>
    <row r="1816" spans="1:10" s="3" customFormat="1">
      <c r="B1816" s="3" t="s">
        <v>2112</v>
      </c>
      <c r="C1816" s="8">
        <v>2</v>
      </c>
      <c r="D1816" s="3" t="s">
        <v>2197</v>
      </c>
      <c r="E1816" s="11" t="s">
        <v>11</v>
      </c>
      <c r="F1816" s="10">
        <v>4.6500000000000003E-4</v>
      </c>
      <c r="G1816" s="12">
        <f t="shared" si="135"/>
        <v>134</v>
      </c>
      <c r="H1816" s="13">
        <f t="shared" si="136"/>
        <v>67</v>
      </c>
      <c r="I1816" s="12">
        <f t="shared" si="137"/>
        <v>67</v>
      </c>
      <c r="J1816" s="3" t="str">
        <f t="shared" si="134"/>
        <v>2620010</v>
      </c>
    </row>
    <row r="1817" spans="1:10" s="3" customFormat="1">
      <c r="B1817" s="3" t="s">
        <v>2112</v>
      </c>
      <c r="C1817" s="8">
        <v>3</v>
      </c>
      <c r="D1817" s="3" t="s">
        <v>2462</v>
      </c>
      <c r="E1817" s="11" t="s">
        <v>570</v>
      </c>
      <c r="F1817" s="10">
        <v>3.6949999999999999E-3</v>
      </c>
      <c r="G1817" s="12">
        <f t="shared" si="135"/>
        <v>1063</v>
      </c>
      <c r="H1817" s="13">
        <f t="shared" si="136"/>
        <v>532</v>
      </c>
      <c r="I1817" s="12">
        <f t="shared" si="137"/>
        <v>531</v>
      </c>
      <c r="J1817" s="3" t="str">
        <f t="shared" si="134"/>
        <v>2630618</v>
      </c>
    </row>
    <row r="1818" spans="1:10" s="3" customFormat="1">
      <c r="B1818" s="3" t="s">
        <v>2112</v>
      </c>
      <c r="C1818" s="8">
        <v>3</v>
      </c>
      <c r="D1818" s="3" t="s">
        <v>2463</v>
      </c>
      <c r="E1818" s="11" t="s">
        <v>571</v>
      </c>
      <c r="F1818" s="10">
        <v>3.1399999999999999E-4</v>
      </c>
      <c r="G1818" s="12">
        <f t="shared" si="135"/>
        <v>90</v>
      </c>
      <c r="H1818" s="13">
        <f t="shared" si="136"/>
        <v>45</v>
      </c>
      <c r="I1818" s="12">
        <f t="shared" si="137"/>
        <v>45</v>
      </c>
      <c r="J1818" s="3" t="str">
        <f t="shared" si="134"/>
        <v>2630619</v>
      </c>
    </row>
    <row r="1819" spans="1:10" s="3" customFormat="1">
      <c r="B1819" s="3" t="s">
        <v>2112</v>
      </c>
      <c r="C1819" s="8">
        <v>3</v>
      </c>
      <c r="D1819" s="3" t="s">
        <v>2464</v>
      </c>
      <c r="E1819" s="11" t="s">
        <v>572</v>
      </c>
      <c r="F1819" s="10">
        <v>1.3940000000000001E-3</v>
      </c>
      <c r="G1819" s="12">
        <f t="shared" si="135"/>
        <v>401</v>
      </c>
      <c r="H1819" s="13">
        <f t="shared" si="136"/>
        <v>201</v>
      </c>
      <c r="I1819" s="12">
        <f t="shared" si="137"/>
        <v>200</v>
      </c>
      <c r="J1819" s="3" t="str">
        <f t="shared" si="134"/>
        <v>2630620</v>
      </c>
    </row>
    <row r="1820" spans="1:10" s="3" customFormat="1">
      <c r="B1820" s="3" t="s">
        <v>2112</v>
      </c>
      <c r="C1820" s="8">
        <v>3</v>
      </c>
      <c r="D1820" s="3" t="s">
        <v>2465</v>
      </c>
      <c r="E1820" s="11" t="s">
        <v>573</v>
      </c>
      <c r="F1820" s="10">
        <v>4.0000000000000003E-5</v>
      </c>
      <c r="G1820" s="12">
        <f t="shared" si="135"/>
        <v>12</v>
      </c>
      <c r="H1820" s="13">
        <f t="shared" si="136"/>
        <v>6</v>
      </c>
      <c r="I1820" s="12">
        <f t="shared" si="137"/>
        <v>6</v>
      </c>
      <c r="J1820" s="3" t="str">
        <f t="shared" si="134"/>
        <v>2630621</v>
      </c>
    </row>
    <row r="1821" spans="1:10" s="3" customFormat="1">
      <c r="B1821" s="3" t="s">
        <v>2112</v>
      </c>
      <c r="C1821" s="8">
        <v>3</v>
      </c>
      <c r="D1821" s="3" t="s">
        <v>2466</v>
      </c>
      <c r="E1821" s="11" t="s">
        <v>574</v>
      </c>
      <c r="F1821" s="10">
        <v>9.9500000000000001E-4</v>
      </c>
      <c r="G1821" s="12">
        <f t="shared" si="135"/>
        <v>286</v>
      </c>
      <c r="H1821" s="13">
        <f t="shared" si="136"/>
        <v>143</v>
      </c>
      <c r="I1821" s="12">
        <f t="shared" si="137"/>
        <v>143</v>
      </c>
      <c r="J1821" s="3" t="str">
        <f t="shared" si="134"/>
        <v>2630622</v>
      </c>
    </row>
    <row r="1822" spans="1:10" s="3" customFormat="1">
      <c r="B1822" s="3" t="s">
        <v>2112</v>
      </c>
      <c r="C1822" s="8">
        <v>3</v>
      </c>
      <c r="D1822" s="3" t="s">
        <v>2461</v>
      </c>
      <c r="E1822" s="11" t="s">
        <v>575</v>
      </c>
      <c r="F1822" s="10">
        <v>7.9319999999999998E-3</v>
      </c>
      <c r="G1822" s="12">
        <f t="shared" si="135"/>
        <v>2282</v>
      </c>
      <c r="H1822" s="13">
        <f t="shared" si="136"/>
        <v>1141</v>
      </c>
      <c r="I1822" s="12">
        <f t="shared" si="137"/>
        <v>1141</v>
      </c>
      <c r="J1822" s="3" t="str">
        <f t="shared" si="134"/>
        <v>2630451</v>
      </c>
    </row>
    <row r="1823" spans="1:10" s="3" customFormat="1">
      <c r="B1823" s="3" t="s">
        <v>2112</v>
      </c>
      <c r="C1823" s="8">
        <v>3</v>
      </c>
      <c r="D1823" s="3" t="s">
        <v>2467</v>
      </c>
      <c r="E1823" s="11" t="s">
        <v>576</v>
      </c>
      <c r="F1823" s="10">
        <v>3.2699999999999999E-3</v>
      </c>
      <c r="G1823" s="12">
        <f t="shared" si="135"/>
        <v>941</v>
      </c>
      <c r="H1823" s="13">
        <f t="shared" si="136"/>
        <v>471</v>
      </c>
      <c r="I1823" s="12">
        <f t="shared" si="137"/>
        <v>470</v>
      </c>
      <c r="J1823" s="3" t="str">
        <f t="shared" si="134"/>
        <v>2630623</v>
      </c>
    </row>
    <row r="1824" spans="1:10" s="3" customFormat="1">
      <c r="B1824" s="3" t="s">
        <v>2112</v>
      </c>
      <c r="C1824" s="8">
        <v>3</v>
      </c>
      <c r="D1824" s="3" t="s">
        <v>2468</v>
      </c>
      <c r="E1824" s="11" t="s">
        <v>577</v>
      </c>
      <c r="F1824" s="10">
        <v>6.9999999999999994E-5</v>
      </c>
      <c r="G1824" s="12">
        <f t="shared" si="135"/>
        <v>20</v>
      </c>
      <c r="H1824" s="13">
        <f t="shared" si="136"/>
        <v>10</v>
      </c>
      <c r="I1824" s="12">
        <f t="shared" si="137"/>
        <v>10</v>
      </c>
      <c r="J1824" s="3" t="str">
        <f t="shared" si="134"/>
        <v>2630624</v>
      </c>
    </row>
    <row r="1825" spans="1:10" s="3" customFormat="1">
      <c r="B1825" s="3" t="s">
        <v>2112</v>
      </c>
      <c r="C1825" s="8">
        <v>3</v>
      </c>
      <c r="D1825" s="3" t="s">
        <v>2460</v>
      </c>
      <c r="E1825" s="11" t="s">
        <v>578</v>
      </c>
      <c r="F1825" s="10">
        <v>3.3415E-2</v>
      </c>
      <c r="G1825" s="12">
        <f t="shared" si="135"/>
        <v>9614</v>
      </c>
      <c r="H1825" s="13">
        <f t="shared" si="136"/>
        <v>4807</v>
      </c>
      <c r="I1825" s="12">
        <f t="shared" si="137"/>
        <v>4807</v>
      </c>
      <c r="J1825" s="3" t="str">
        <f t="shared" si="134"/>
        <v>2630415</v>
      </c>
    </row>
    <row r="1826" spans="1:10" s="3" customFormat="1">
      <c r="A1826" s="3" t="s">
        <v>6269</v>
      </c>
      <c r="B1826" s="3" t="s">
        <v>2112</v>
      </c>
      <c r="C1826" s="8">
        <v>3</v>
      </c>
      <c r="D1826" s="3" t="s">
        <v>2469</v>
      </c>
      <c r="E1826" s="11" t="s">
        <v>579</v>
      </c>
      <c r="F1826" s="10">
        <v>0</v>
      </c>
      <c r="G1826" s="12">
        <f t="shared" si="135"/>
        <v>0</v>
      </c>
      <c r="H1826" s="13">
        <f t="shared" si="136"/>
        <v>0</v>
      </c>
      <c r="I1826" s="12">
        <f t="shared" si="137"/>
        <v>0</v>
      </c>
      <c r="J1826" s="3" t="str">
        <f t="shared" si="134"/>
        <v>2630625</v>
      </c>
    </row>
    <row r="1827" spans="1:10" s="3" customFormat="1">
      <c r="B1827" s="3" t="s">
        <v>2112</v>
      </c>
      <c r="C1827" s="8">
        <v>4</v>
      </c>
      <c r="D1827" s="3" t="s">
        <v>2470</v>
      </c>
      <c r="E1827" s="11" t="s">
        <v>580</v>
      </c>
      <c r="F1827" s="10">
        <v>0.249777</v>
      </c>
      <c r="G1827" s="9">
        <f t="shared" si="135"/>
        <v>71867</v>
      </c>
      <c r="H1827" s="11">
        <f t="shared" si="136"/>
        <v>35934</v>
      </c>
      <c r="I1827" s="9">
        <f t="shared" si="137"/>
        <v>35933</v>
      </c>
      <c r="J1827" s="3" t="str">
        <f t="shared" si="134"/>
        <v>2642725</v>
      </c>
    </row>
    <row r="1828" spans="1:10" s="3" customFormat="1">
      <c r="B1828" s="3" t="s">
        <v>2112</v>
      </c>
      <c r="C1828" s="8">
        <v>4</v>
      </c>
      <c r="D1828" s="3" t="s">
        <v>2470</v>
      </c>
      <c r="E1828" s="11" t="s">
        <v>28</v>
      </c>
      <c r="F1828" s="11"/>
      <c r="G1828" s="14">
        <v>0.49513499999999999</v>
      </c>
      <c r="H1828" s="11"/>
      <c r="I1828" s="11"/>
      <c r="J1828" s="3" t="str">
        <f t="shared" si="134"/>
        <v>2642725</v>
      </c>
    </row>
    <row r="1829" spans="1:10" s="3" customFormat="1">
      <c r="B1829" s="3" t="s">
        <v>2112</v>
      </c>
      <c r="C1829" s="8">
        <v>4</v>
      </c>
      <c r="D1829" s="3" t="s">
        <v>2470</v>
      </c>
      <c r="E1829" s="11" t="s">
        <v>29</v>
      </c>
      <c r="F1829" s="11"/>
      <c r="G1829" s="15">
        <f>ROUND(G1827*G1828,0)</f>
        <v>35584</v>
      </c>
      <c r="H1829" s="16">
        <f>ROUND(G1829/2,0)</f>
        <v>17792</v>
      </c>
      <c r="I1829" s="15">
        <f>G1829-H1829</f>
        <v>17792</v>
      </c>
      <c r="J1829" s="3" t="str">
        <f t="shared" si="134"/>
        <v>2642725</v>
      </c>
    </row>
    <row r="1830" spans="1:10" s="3" customFormat="1">
      <c r="B1830" s="3" t="s">
        <v>2112</v>
      </c>
      <c r="C1830" s="8">
        <v>4</v>
      </c>
      <c r="D1830" s="3" t="s">
        <v>2470</v>
      </c>
      <c r="E1830" s="11" t="s">
        <v>30</v>
      </c>
      <c r="F1830" s="11"/>
      <c r="G1830" s="12">
        <f>+G1827-G1829</f>
        <v>36283</v>
      </c>
      <c r="H1830" s="13">
        <f>ROUND(G1830/2,0)</f>
        <v>18142</v>
      </c>
      <c r="I1830" s="12">
        <f>G1830-H1830</f>
        <v>18141</v>
      </c>
      <c r="J1830" s="3" t="str">
        <f t="shared" si="134"/>
        <v>2642725</v>
      </c>
    </row>
    <row r="1831" spans="1:10" s="3" customFormat="1">
      <c r="B1831" s="3" t="s">
        <v>2112</v>
      </c>
      <c r="C1831" s="8">
        <v>4</v>
      </c>
      <c r="D1831" s="3" t="s">
        <v>2471</v>
      </c>
      <c r="E1831" s="11" t="s">
        <v>581</v>
      </c>
      <c r="F1831" s="10">
        <v>0.208508</v>
      </c>
      <c r="G1831" s="9">
        <f>ROUND(G$3*F1831,0)</f>
        <v>59993</v>
      </c>
      <c r="H1831" s="11">
        <f>ROUND(G1831/2,0)</f>
        <v>29997</v>
      </c>
      <c r="I1831" s="9">
        <f>G1831-H1831</f>
        <v>29996</v>
      </c>
      <c r="J1831" s="3" t="str">
        <f t="shared" si="134"/>
        <v>2642735</v>
      </c>
    </row>
    <row r="1832" spans="1:10" s="3" customFormat="1">
      <c r="B1832" s="3" t="s">
        <v>2112</v>
      </c>
      <c r="C1832" s="8">
        <v>4</v>
      </c>
      <c r="D1832" s="3" t="s">
        <v>2471</v>
      </c>
      <c r="E1832" s="11" t="s">
        <v>28</v>
      </c>
      <c r="F1832" s="11"/>
      <c r="G1832" s="14">
        <v>0.45051099999999999</v>
      </c>
      <c r="H1832" s="11"/>
      <c r="I1832" s="11"/>
      <c r="J1832" s="3" t="str">
        <f t="shared" si="134"/>
        <v>2642735</v>
      </c>
    </row>
    <row r="1833" spans="1:10" s="3" customFormat="1">
      <c r="B1833" s="3" t="s">
        <v>2112</v>
      </c>
      <c r="C1833" s="8">
        <v>4</v>
      </c>
      <c r="D1833" s="3" t="s">
        <v>2471</v>
      </c>
      <c r="E1833" s="11" t="s">
        <v>29</v>
      </c>
      <c r="F1833" s="11"/>
      <c r="G1833" s="15">
        <f>ROUND(G1831*G1832,0)</f>
        <v>27028</v>
      </c>
      <c r="H1833" s="16">
        <f>ROUND(G1833/2,0)</f>
        <v>13514</v>
      </c>
      <c r="I1833" s="15">
        <f>G1833-H1833</f>
        <v>13514</v>
      </c>
      <c r="J1833" s="3" t="str">
        <f t="shared" si="134"/>
        <v>2642735</v>
      </c>
    </row>
    <row r="1834" spans="1:10" s="3" customFormat="1">
      <c r="B1834" s="3" t="s">
        <v>2112</v>
      </c>
      <c r="C1834" s="8">
        <v>4</v>
      </c>
      <c r="D1834" s="3" t="s">
        <v>2471</v>
      </c>
      <c r="E1834" s="11" t="s">
        <v>30</v>
      </c>
      <c r="F1834" s="11"/>
      <c r="G1834" s="12">
        <f>+G1831-G1833</f>
        <v>32965</v>
      </c>
      <c r="H1834" s="13">
        <f>ROUND(G1834/2,0)</f>
        <v>16483</v>
      </c>
      <c r="I1834" s="12">
        <f>G1834-H1834</f>
        <v>16482</v>
      </c>
      <c r="J1834" s="3" t="str">
        <f t="shared" si="134"/>
        <v>2642735</v>
      </c>
    </row>
    <row r="1835" spans="1:10" s="3" customFormat="1">
      <c r="B1835" s="3" t="s">
        <v>2112</v>
      </c>
      <c r="C1835" s="8">
        <v>4</v>
      </c>
      <c r="D1835" s="3" t="s">
        <v>2472</v>
      </c>
      <c r="E1835" s="11" t="s">
        <v>582</v>
      </c>
      <c r="F1835" s="10">
        <v>0.15966900000000001</v>
      </c>
      <c r="G1835" s="9">
        <f>ROUND(G$3*F1835,0)</f>
        <v>45940</v>
      </c>
      <c r="H1835" s="11">
        <f>ROUND(G1835/2,0)</f>
        <v>22970</v>
      </c>
      <c r="I1835" s="9">
        <f>G1835-H1835</f>
        <v>22970</v>
      </c>
      <c r="J1835" s="3" t="str">
        <f t="shared" si="134"/>
        <v>2642765</v>
      </c>
    </row>
    <row r="1836" spans="1:10" s="3" customFormat="1">
      <c r="B1836" s="3" t="s">
        <v>2112</v>
      </c>
      <c r="C1836" s="8">
        <v>4</v>
      </c>
      <c r="D1836" s="3" t="s">
        <v>2472</v>
      </c>
      <c r="E1836" s="11" t="s">
        <v>28</v>
      </c>
      <c r="F1836" s="11"/>
      <c r="G1836" s="14">
        <v>0.48452499999999998</v>
      </c>
      <c r="H1836" s="11"/>
      <c r="I1836" s="11"/>
      <c r="J1836" s="3" t="str">
        <f t="shared" si="134"/>
        <v>2642765</v>
      </c>
    </row>
    <row r="1837" spans="1:10" s="3" customFormat="1">
      <c r="B1837" s="3" t="s">
        <v>2112</v>
      </c>
      <c r="C1837" s="8">
        <v>4</v>
      </c>
      <c r="D1837" s="3" t="s">
        <v>2472</v>
      </c>
      <c r="E1837" s="11" t="s">
        <v>29</v>
      </c>
      <c r="F1837" s="11"/>
      <c r="G1837" s="15">
        <f>ROUND(G1835*G1836,0)</f>
        <v>22259</v>
      </c>
      <c r="H1837" s="16">
        <f t="shared" ref="H1837:H1844" si="138">ROUND(G1837/2,0)</f>
        <v>11130</v>
      </c>
      <c r="I1837" s="15">
        <f t="shared" ref="I1837:I1844" si="139">G1837-H1837</f>
        <v>11129</v>
      </c>
      <c r="J1837" s="3" t="str">
        <f t="shared" si="134"/>
        <v>2642765</v>
      </c>
    </row>
    <row r="1838" spans="1:10" s="3" customFormat="1">
      <c r="B1838" s="3" t="s">
        <v>2112</v>
      </c>
      <c r="C1838" s="8">
        <v>4</v>
      </c>
      <c r="D1838" s="3" t="s">
        <v>2472</v>
      </c>
      <c r="E1838" s="11" t="s">
        <v>30</v>
      </c>
      <c r="F1838" s="11"/>
      <c r="G1838" s="12">
        <f>+G1835-G1837</f>
        <v>23681</v>
      </c>
      <c r="H1838" s="13">
        <f t="shared" si="138"/>
        <v>11841</v>
      </c>
      <c r="I1838" s="12">
        <f t="shared" si="139"/>
        <v>11840</v>
      </c>
      <c r="J1838" s="3" t="str">
        <f t="shared" si="134"/>
        <v>2642765</v>
      </c>
    </row>
    <row r="1839" spans="1:10" s="3" customFormat="1">
      <c r="B1839" s="3" t="s">
        <v>2112</v>
      </c>
      <c r="C1839" s="8">
        <v>5</v>
      </c>
      <c r="D1839" s="3" t="s">
        <v>4002</v>
      </c>
      <c r="E1839" s="11" t="s">
        <v>583</v>
      </c>
      <c r="F1839" s="10">
        <v>7.6189999999999999E-3</v>
      </c>
      <c r="G1839" s="120">
        <f>ROUND(G$3*F1839,0)</f>
        <v>2192</v>
      </c>
      <c r="H1839" s="120">
        <f t="shared" si="138"/>
        <v>1096</v>
      </c>
      <c r="I1839" s="120">
        <f t="shared" si="139"/>
        <v>1096</v>
      </c>
      <c r="J1839" s="3" t="str">
        <f t="shared" si="134"/>
        <v>2650273</v>
      </c>
    </row>
    <row r="1840" spans="1:10" s="3" customFormat="1">
      <c r="B1840" s="3" t="s">
        <v>2112</v>
      </c>
      <c r="C1840" s="8">
        <v>5</v>
      </c>
      <c r="D1840" s="116" t="s">
        <v>3998</v>
      </c>
      <c r="E1840" s="11" t="s">
        <v>584</v>
      </c>
      <c r="F1840" s="10">
        <v>5.1110000000000001E-3</v>
      </c>
      <c r="G1840" s="120">
        <f>ROUND(G$3*F1840,0)</f>
        <v>1471</v>
      </c>
      <c r="H1840" s="120">
        <f t="shared" si="138"/>
        <v>736</v>
      </c>
      <c r="I1840" s="120">
        <f t="shared" si="139"/>
        <v>735</v>
      </c>
      <c r="J1840" s="3" t="str">
        <f t="shared" si="134"/>
        <v>2650059</v>
      </c>
    </row>
    <row r="1841" spans="2:10" s="3" customFormat="1">
      <c r="B1841" s="3" t="s">
        <v>2112</v>
      </c>
      <c r="C1841" s="8">
        <v>5</v>
      </c>
      <c r="D1841" s="3" t="s">
        <v>3834</v>
      </c>
      <c r="E1841" s="11" t="s">
        <v>585</v>
      </c>
      <c r="F1841" s="10">
        <v>1.743E-3</v>
      </c>
      <c r="G1841" s="120">
        <f>ROUND(G$3*F1841,0)</f>
        <v>502</v>
      </c>
      <c r="H1841" s="120">
        <f t="shared" si="138"/>
        <v>251</v>
      </c>
      <c r="I1841" s="120">
        <f t="shared" si="139"/>
        <v>251</v>
      </c>
      <c r="J1841" s="3" t="str">
        <f t="shared" si="134"/>
        <v>2650060</v>
      </c>
    </row>
    <row r="1842" spans="2:10" s="3" customFormat="1">
      <c r="B1842" s="3" t="s">
        <v>2112</v>
      </c>
      <c r="C1842" s="8">
        <v>5</v>
      </c>
      <c r="D1842" s="3" t="s">
        <v>4004</v>
      </c>
      <c r="E1842" s="11" t="s">
        <v>586</v>
      </c>
      <c r="F1842" s="10">
        <v>1.1068E-2</v>
      </c>
      <c r="G1842" s="120">
        <f>ROUND(G$3*F1842,0)</f>
        <v>3185</v>
      </c>
      <c r="H1842" s="120">
        <f t="shared" si="138"/>
        <v>1593</v>
      </c>
      <c r="I1842" s="120">
        <f t="shared" si="139"/>
        <v>1592</v>
      </c>
      <c r="J1842" s="3" t="str">
        <f t="shared" si="134"/>
        <v>2650274</v>
      </c>
    </row>
    <row r="1843" spans="2:10" s="3" customFormat="1">
      <c r="B1843" s="3" t="s">
        <v>2112</v>
      </c>
      <c r="C1843" s="8">
        <v>6</v>
      </c>
      <c r="D1843" s="3" t="s">
        <v>2474</v>
      </c>
      <c r="E1843" s="11" t="s">
        <v>587</v>
      </c>
      <c r="F1843" s="10">
        <v>2.6519999999999998E-2</v>
      </c>
      <c r="G1843" s="120">
        <f>ROUND(G$3*F1843,0)</f>
        <v>7630</v>
      </c>
      <c r="H1843" s="120">
        <f t="shared" si="138"/>
        <v>3815</v>
      </c>
      <c r="I1843" s="120">
        <f t="shared" si="139"/>
        <v>3815</v>
      </c>
      <c r="J1843" s="3" t="str">
        <f t="shared" si="134"/>
        <v>2661018</v>
      </c>
    </row>
    <row r="1844" spans="2:10" s="3" customFormat="1">
      <c r="B1844" s="3" t="s">
        <v>2112</v>
      </c>
      <c r="C1844" s="8">
        <v>6</v>
      </c>
      <c r="D1844" s="3" t="s">
        <v>2473</v>
      </c>
      <c r="E1844" s="11" t="s">
        <v>588</v>
      </c>
      <c r="F1844" s="10">
        <v>2.284E-3</v>
      </c>
      <c r="G1844" s="120">
        <f>+G1781-SUM(G1782:G1783)-SUM(G1788:G1827)-G1831-G1835-SUM(G1839:G1843)</f>
        <v>322923</v>
      </c>
      <c r="H1844" s="120">
        <f t="shared" si="138"/>
        <v>161462</v>
      </c>
      <c r="I1844" s="120">
        <f t="shared" si="139"/>
        <v>161461</v>
      </c>
      <c r="J1844" s="3" t="str">
        <f t="shared" si="134"/>
        <v>2660932</v>
      </c>
    </row>
    <row r="1845" spans="2:10" s="3" customFormat="1">
      <c r="B1845" s="3" t="s">
        <v>2112</v>
      </c>
      <c r="C1845" s="8">
        <v>0</v>
      </c>
      <c r="D1845" s="125" t="s">
        <v>2187</v>
      </c>
      <c r="E1845" s="28" t="s">
        <v>288</v>
      </c>
      <c r="F1845" s="10">
        <v>1.0000000000000002</v>
      </c>
      <c r="G1845" s="12">
        <f>+G1782+SUM(G1785:G1826)+SUM(G1829:G1830)+SUM(G1833:G1834)+SUM(G1837:G1844)</f>
        <v>609989</v>
      </c>
      <c r="H1845" s="12">
        <f>+H1782+SUM(H1785:H1826)+SUM(H1829:H1830)+SUM(H1833:H1834)+SUM(H1837:H1844)</f>
        <v>305004</v>
      </c>
      <c r="I1845" s="12">
        <f>+I1782+SUM(I1785:I1826)+SUM(I1829:I1830)+SUM(I1833:I1834)+SUM(I1837:I1844)</f>
        <v>304985</v>
      </c>
      <c r="J1845" s="3" t="str">
        <f t="shared" si="134"/>
        <v>2600000</v>
      </c>
    </row>
    <row r="1846" spans="2:10" s="3" customFormat="1">
      <c r="B1846" s="3" t="s">
        <v>2112</v>
      </c>
      <c r="C1846" s="8">
        <v>0</v>
      </c>
      <c r="D1846" s="3" t="s">
        <v>2187</v>
      </c>
      <c r="E1846" s="18" t="s">
        <v>38</v>
      </c>
      <c r="G1846" s="19">
        <f>+G1782</f>
        <v>307</v>
      </c>
      <c r="H1846" s="19">
        <f>+H1782</f>
        <v>154</v>
      </c>
      <c r="I1846" s="19">
        <f>+I1782</f>
        <v>153</v>
      </c>
      <c r="J1846" s="3" t="str">
        <f t="shared" si="134"/>
        <v>2600000</v>
      </c>
    </row>
    <row r="1847" spans="2:10" s="3" customFormat="1">
      <c r="B1847" s="3" t="s">
        <v>2112</v>
      </c>
      <c r="C1847" s="8">
        <v>0</v>
      </c>
      <c r="D1847" s="3" t="s">
        <v>2187</v>
      </c>
      <c r="E1847" s="2" t="s">
        <v>39</v>
      </c>
      <c r="G1847" s="19">
        <f>+G1785</f>
        <v>9822</v>
      </c>
      <c r="H1847" s="19">
        <f>+H1785</f>
        <v>4911</v>
      </c>
      <c r="I1847" s="19">
        <f>+I1785</f>
        <v>4911</v>
      </c>
      <c r="J1847" s="3" t="str">
        <f t="shared" si="134"/>
        <v>2600000</v>
      </c>
    </row>
    <row r="1848" spans="2:10" s="3" customFormat="1">
      <c r="B1848" s="3" t="s">
        <v>2112</v>
      </c>
      <c r="C1848" s="8">
        <v>0</v>
      </c>
      <c r="D1848" s="3" t="s">
        <v>2187</v>
      </c>
      <c r="E1848" s="2" t="s">
        <v>40</v>
      </c>
      <c r="G1848" s="19">
        <f>+G1829+G1833+G1837</f>
        <v>84871</v>
      </c>
      <c r="H1848" s="19">
        <f>+H1829+H1833+H1837</f>
        <v>42436</v>
      </c>
      <c r="I1848" s="19">
        <f>+I1829+I1833+I1837</f>
        <v>42435</v>
      </c>
      <c r="J1848" s="3" t="str">
        <f t="shared" si="134"/>
        <v>2600000</v>
      </c>
    </row>
    <row r="1849" spans="2:10" s="3" customFormat="1">
      <c r="B1849" s="3" t="s">
        <v>2112</v>
      </c>
      <c r="C1849" s="8">
        <v>0</v>
      </c>
      <c r="D1849" s="125" t="s">
        <v>2187</v>
      </c>
      <c r="E1849" s="18" t="s">
        <v>41</v>
      </c>
      <c r="G1849" s="19">
        <f>+G1845-G1846-G1847-G1848</f>
        <v>514989</v>
      </c>
      <c r="H1849" s="19">
        <f>+H1845-H1846-H1847-H1848</f>
        <v>257503</v>
      </c>
      <c r="I1849" s="19">
        <f>+I1845-I1846-I1847-I1848</f>
        <v>257486</v>
      </c>
      <c r="J1849" s="3" t="str">
        <f t="shared" si="134"/>
        <v>2600000</v>
      </c>
    </row>
    <row r="1850" spans="2:10" ht="15.75">
      <c r="B1850" s="3" t="s">
        <v>2186</v>
      </c>
      <c r="D1850" t="s">
        <v>2186</v>
      </c>
      <c r="E1850">
        <v>0</v>
      </c>
      <c r="G1850"/>
      <c r="H1850"/>
      <c r="I1850"/>
      <c r="J1850" s="3" t="str">
        <f t="shared" si="134"/>
        <v/>
      </c>
    </row>
    <row r="1851" spans="2:10" s="3" customFormat="1">
      <c r="C1851" s="1"/>
      <c r="D1851" s="3" t="s">
        <v>2186</v>
      </c>
      <c r="E1851" s="2" t="s">
        <v>589</v>
      </c>
      <c r="J1851" s="3" t="str">
        <f t="shared" si="134"/>
        <v/>
      </c>
    </row>
    <row r="1852" spans="2:10" s="3" customFormat="1" ht="45">
      <c r="C1852" s="1"/>
      <c r="D1852" s="3" t="s">
        <v>2186</v>
      </c>
      <c r="E1852" s="1" t="s">
        <v>590</v>
      </c>
      <c r="F1852" s="6" t="s">
        <v>1</v>
      </c>
      <c r="G1852" s="60">
        <f>'Allocation Worksheet'!H1852</f>
        <v>0</v>
      </c>
      <c r="H1852" s="60">
        <f>'Allocation Worksheet'!H1853</f>
        <v>0</v>
      </c>
      <c r="I1852" s="60">
        <f>'Allocation Worksheet'!H1854</f>
        <v>0</v>
      </c>
      <c r="J1852" s="3" t="str">
        <f t="shared" si="134"/>
        <v/>
      </c>
    </row>
    <row r="1853" spans="2:10" s="3" customFormat="1" ht="18" customHeight="1">
      <c r="C1853" s="7" t="s">
        <v>2087</v>
      </c>
      <c r="D1853" s="3" t="s">
        <v>2186</v>
      </c>
      <c r="E1853" s="7" t="s">
        <v>3</v>
      </c>
      <c r="F1853" s="10"/>
      <c r="G1853" s="9">
        <f>'Allocation Worksheet'!$D$30</f>
        <v>461505</v>
      </c>
      <c r="H1853" s="11"/>
      <c r="I1853" s="11"/>
      <c r="J1853" s="3" t="str">
        <f t="shared" si="134"/>
        <v>UT</v>
      </c>
    </row>
    <row r="1854" spans="2:10" s="3" customFormat="1">
      <c r="B1854" s="3" t="s">
        <v>2113</v>
      </c>
      <c r="C1854" s="8">
        <v>0</v>
      </c>
      <c r="D1854" s="3" t="s">
        <v>2187</v>
      </c>
      <c r="E1854" s="11" t="s">
        <v>4</v>
      </c>
      <c r="F1854" s="10">
        <v>1.041E-3</v>
      </c>
      <c r="G1854" s="12">
        <f>ROUND(G$3*F1854,0)</f>
        <v>300</v>
      </c>
      <c r="H1854" s="13">
        <f>ROUND(G1854/2,0)</f>
        <v>150</v>
      </c>
      <c r="I1854" s="12">
        <f>G1854-H1854</f>
        <v>150</v>
      </c>
      <c r="J1854" s="3" t="str">
        <f t="shared" si="134"/>
        <v>2700000</v>
      </c>
    </row>
    <row r="1855" spans="2:10" s="3" customFormat="1">
      <c r="B1855" s="3" t="s">
        <v>2113</v>
      </c>
      <c r="C1855" s="8">
        <v>1</v>
      </c>
      <c r="D1855" s="3" t="s">
        <v>2187</v>
      </c>
      <c r="E1855" s="11" t="s">
        <v>591</v>
      </c>
      <c r="F1855" s="10">
        <v>0.25596099999999999</v>
      </c>
      <c r="G1855" s="9">
        <f>ROUND(G$3*F1855,0)</f>
        <v>73646</v>
      </c>
      <c r="H1855" s="11">
        <f>ROUND(G1855/2,0)</f>
        <v>36823</v>
      </c>
      <c r="I1855" s="9">
        <f>G1855-H1855</f>
        <v>36823</v>
      </c>
      <c r="J1855" s="3" t="str">
        <f t="shared" si="134"/>
        <v>2710000</v>
      </c>
    </row>
    <row r="1856" spans="2:10" s="3" customFormat="1">
      <c r="B1856" s="3" t="s">
        <v>2113</v>
      </c>
      <c r="C1856" s="8">
        <v>1</v>
      </c>
      <c r="D1856" s="3" t="s">
        <v>2187</v>
      </c>
      <c r="E1856" s="11" t="s">
        <v>6</v>
      </c>
      <c r="F1856" s="11"/>
      <c r="G1856" s="14">
        <v>0.30824200000000002</v>
      </c>
      <c r="H1856" s="11"/>
      <c r="I1856" s="11"/>
      <c r="J1856" s="3" t="str">
        <f t="shared" si="134"/>
        <v>2710000</v>
      </c>
    </row>
    <row r="1857" spans="2:10" s="3" customFormat="1">
      <c r="B1857" s="3" t="s">
        <v>2113</v>
      </c>
      <c r="C1857" s="8">
        <v>1</v>
      </c>
      <c r="D1857" s="3" t="s">
        <v>2187</v>
      </c>
      <c r="E1857" s="11" t="s">
        <v>7</v>
      </c>
      <c r="F1857" s="11"/>
      <c r="G1857" s="15">
        <f>ROUND(G1855*G1856,0)</f>
        <v>22701</v>
      </c>
      <c r="H1857" s="16">
        <f>ROUND(G1857/2,0)</f>
        <v>11351</v>
      </c>
      <c r="I1857" s="15">
        <f>G1857-H1857</f>
        <v>11350</v>
      </c>
      <c r="J1857" s="3" t="str">
        <f t="shared" si="134"/>
        <v>2710000</v>
      </c>
    </row>
    <row r="1858" spans="2:10" s="3" customFormat="1">
      <c r="B1858" s="3" t="s">
        <v>2113</v>
      </c>
      <c r="C1858" s="8">
        <v>1</v>
      </c>
      <c r="D1858" s="3" t="s">
        <v>2187</v>
      </c>
      <c r="E1858" s="11" t="s">
        <v>8</v>
      </c>
      <c r="F1858" s="11"/>
      <c r="G1858" s="12">
        <f>+G1855-G1857</f>
        <v>50945</v>
      </c>
      <c r="H1858" s="13">
        <f>ROUND(G1858/2,0)</f>
        <v>25473</v>
      </c>
      <c r="I1858" s="12">
        <f>G1858-H1858</f>
        <v>25472</v>
      </c>
      <c r="J1858" s="3" t="str">
        <f t="shared" si="134"/>
        <v>2710000</v>
      </c>
    </row>
    <row r="1859" spans="2:10" s="3" customFormat="1">
      <c r="B1859" s="3" t="s">
        <v>2113</v>
      </c>
      <c r="C1859" s="8">
        <v>2</v>
      </c>
      <c r="D1859" s="3" t="s">
        <v>2188</v>
      </c>
      <c r="E1859" s="11" t="s">
        <v>107</v>
      </c>
      <c r="F1859" s="11"/>
      <c r="G1859" s="9"/>
      <c r="H1859" s="11"/>
      <c r="I1859" s="11"/>
      <c r="J1859" s="3" t="str">
        <f t="shared" si="134"/>
        <v>2720001</v>
      </c>
    </row>
    <row r="1860" spans="2:10" s="3" customFormat="1">
      <c r="B1860" s="3" t="s">
        <v>2113</v>
      </c>
      <c r="C1860" s="8">
        <v>2</v>
      </c>
      <c r="D1860" s="3" t="s">
        <v>2188</v>
      </c>
      <c r="E1860" s="11" t="s">
        <v>10</v>
      </c>
      <c r="F1860" s="10">
        <v>4.8500000000000001E-3</v>
      </c>
      <c r="G1860" s="12">
        <f>ROUND(G$3*F1860,0)</f>
        <v>1395</v>
      </c>
      <c r="H1860" s="13">
        <f>ROUND(G1860/2,0)</f>
        <v>698</v>
      </c>
      <c r="I1860" s="12">
        <f>G1860-H1860</f>
        <v>697</v>
      </c>
      <c r="J1860" s="3" t="str">
        <f t="shared" ref="J1860:J1923" si="140">B1860&amp;C1860&amp;D1860</f>
        <v>2720001</v>
      </c>
    </row>
    <row r="1861" spans="2:10" s="3" customFormat="1">
      <c r="B1861" s="3" t="s">
        <v>2113</v>
      </c>
      <c r="C1861" s="8">
        <v>2</v>
      </c>
      <c r="D1861" s="3" t="s">
        <v>2188</v>
      </c>
      <c r="E1861" s="11" t="s">
        <v>11</v>
      </c>
      <c r="F1861" s="10">
        <v>5.9199999999999997E-4</v>
      </c>
      <c r="G1861" s="12">
        <f>ROUND(G$3*F1861,0)</f>
        <v>170</v>
      </c>
      <c r="H1861" s="13">
        <f>ROUND(G1861/2,0)</f>
        <v>85</v>
      </c>
      <c r="I1861" s="12">
        <f>G1861-H1861</f>
        <v>85</v>
      </c>
      <c r="J1861" s="3" t="str">
        <f t="shared" si="140"/>
        <v>2720001</v>
      </c>
    </row>
    <row r="1862" spans="2:10" s="3" customFormat="1">
      <c r="B1862" s="3" t="s">
        <v>2113</v>
      </c>
      <c r="C1862" s="8">
        <v>2</v>
      </c>
      <c r="D1862" s="3" t="s">
        <v>2189</v>
      </c>
      <c r="E1862" s="11" t="s">
        <v>592</v>
      </c>
      <c r="F1862" s="11"/>
      <c r="G1862" s="9"/>
      <c r="H1862" s="11"/>
      <c r="I1862" s="11"/>
      <c r="J1862" s="3" t="str">
        <f t="shared" si="140"/>
        <v>2720002</v>
      </c>
    </row>
    <row r="1863" spans="2:10" s="3" customFormat="1">
      <c r="B1863" s="3" t="s">
        <v>2113</v>
      </c>
      <c r="C1863" s="8">
        <v>2</v>
      </c>
      <c r="D1863" s="3" t="s">
        <v>2189</v>
      </c>
      <c r="E1863" s="11" t="s">
        <v>10</v>
      </c>
      <c r="F1863" s="10">
        <v>2.6069999999999999E-3</v>
      </c>
      <c r="G1863" s="12">
        <f>ROUND(G$3*F1863,0)</f>
        <v>750</v>
      </c>
      <c r="H1863" s="13">
        <f>ROUND(G1863/2,0)</f>
        <v>375</v>
      </c>
      <c r="I1863" s="12">
        <f>G1863-H1863</f>
        <v>375</v>
      </c>
      <c r="J1863" s="3" t="str">
        <f t="shared" si="140"/>
        <v>2720002</v>
      </c>
    </row>
    <row r="1864" spans="2:10" s="3" customFormat="1">
      <c r="B1864" s="3" t="s">
        <v>2113</v>
      </c>
      <c r="C1864" s="8">
        <v>2</v>
      </c>
      <c r="D1864" s="3" t="s">
        <v>2189</v>
      </c>
      <c r="E1864" s="11" t="s">
        <v>11</v>
      </c>
      <c r="F1864" s="10">
        <v>1.317E-3</v>
      </c>
      <c r="G1864" s="12">
        <f>ROUND(G$3*F1864,0)</f>
        <v>379</v>
      </c>
      <c r="H1864" s="13">
        <f>ROUND(G1864/2,0)</f>
        <v>190</v>
      </c>
      <c r="I1864" s="12">
        <f>G1864-H1864</f>
        <v>189</v>
      </c>
      <c r="J1864" s="3" t="str">
        <f t="shared" si="140"/>
        <v>2720002</v>
      </c>
    </row>
    <row r="1865" spans="2:10" s="3" customFormat="1">
      <c r="B1865" s="3" t="s">
        <v>2113</v>
      </c>
      <c r="C1865" s="8">
        <v>2</v>
      </c>
      <c r="D1865" s="3" t="s">
        <v>2190</v>
      </c>
      <c r="E1865" s="11" t="s">
        <v>372</v>
      </c>
      <c r="F1865" s="11"/>
      <c r="G1865" s="9"/>
      <c r="H1865" s="11"/>
      <c r="I1865" s="11"/>
      <c r="J1865" s="3" t="str">
        <f t="shared" si="140"/>
        <v>2720003</v>
      </c>
    </row>
    <row r="1866" spans="2:10" s="3" customFormat="1">
      <c r="B1866" s="3" t="s">
        <v>2113</v>
      </c>
      <c r="C1866" s="8">
        <v>2</v>
      </c>
      <c r="D1866" s="3" t="s">
        <v>2190</v>
      </c>
      <c r="E1866" s="11" t="s">
        <v>10</v>
      </c>
      <c r="F1866" s="10">
        <v>1.4419999999999999E-3</v>
      </c>
      <c r="G1866" s="12">
        <f>ROUND(G$3*F1866,0)</f>
        <v>415</v>
      </c>
      <c r="H1866" s="13">
        <f>ROUND(G1866/2,0)</f>
        <v>208</v>
      </c>
      <c r="I1866" s="12">
        <f>G1866-H1866</f>
        <v>207</v>
      </c>
      <c r="J1866" s="3" t="str">
        <f t="shared" si="140"/>
        <v>2720003</v>
      </c>
    </row>
    <row r="1867" spans="2:10" s="3" customFormat="1">
      <c r="B1867" s="3" t="s">
        <v>2113</v>
      </c>
      <c r="C1867" s="8">
        <v>2</v>
      </c>
      <c r="D1867" s="3" t="s">
        <v>2190</v>
      </c>
      <c r="E1867" s="11" t="s">
        <v>11</v>
      </c>
      <c r="F1867" s="10">
        <v>1.4799999999999999E-4</v>
      </c>
      <c r="G1867" s="12">
        <f>ROUND(G$3*F1867,0)</f>
        <v>43</v>
      </c>
      <c r="H1867" s="13">
        <f>ROUND(G1867/2,0)</f>
        <v>22</v>
      </c>
      <c r="I1867" s="12">
        <f>G1867-H1867</f>
        <v>21</v>
      </c>
      <c r="J1867" s="3" t="str">
        <f t="shared" si="140"/>
        <v>2720003</v>
      </c>
    </row>
    <row r="1868" spans="2:10" s="3" customFormat="1">
      <c r="B1868" s="3" t="s">
        <v>2113</v>
      </c>
      <c r="C1868" s="8">
        <v>2</v>
      </c>
      <c r="D1868" s="3" t="s">
        <v>2191</v>
      </c>
      <c r="E1868" s="11" t="s">
        <v>593</v>
      </c>
      <c r="F1868" s="11"/>
      <c r="G1868" s="9"/>
      <c r="H1868" s="11"/>
      <c r="I1868" s="11"/>
      <c r="J1868" s="3" t="str">
        <f t="shared" si="140"/>
        <v>2720004</v>
      </c>
    </row>
    <row r="1869" spans="2:10" s="3" customFormat="1">
      <c r="B1869" s="3" t="s">
        <v>2113</v>
      </c>
      <c r="C1869" s="8">
        <v>2</v>
      </c>
      <c r="D1869" s="3" t="s">
        <v>2191</v>
      </c>
      <c r="E1869" s="11" t="s">
        <v>10</v>
      </c>
      <c r="F1869" s="10">
        <v>4.8200000000000001E-4</v>
      </c>
      <c r="G1869" s="12">
        <f>ROUND(G$3*F1869,0)</f>
        <v>139</v>
      </c>
      <c r="H1869" s="13">
        <f>ROUND(G1869/2,0)</f>
        <v>70</v>
      </c>
      <c r="I1869" s="12">
        <f>G1869-H1869</f>
        <v>69</v>
      </c>
      <c r="J1869" s="3" t="str">
        <f t="shared" si="140"/>
        <v>2720004</v>
      </c>
    </row>
    <row r="1870" spans="2:10" s="3" customFormat="1">
      <c r="B1870" s="3" t="s">
        <v>2113</v>
      </c>
      <c r="C1870" s="8">
        <v>2</v>
      </c>
      <c r="D1870" s="3" t="s">
        <v>2191</v>
      </c>
      <c r="E1870" s="11" t="s">
        <v>11</v>
      </c>
      <c r="F1870" s="10">
        <v>4.6000000000000001E-4</v>
      </c>
      <c r="G1870" s="12">
        <f>ROUND(G$3*F1870,0)</f>
        <v>132</v>
      </c>
      <c r="H1870" s="13">
        <f>ROUND(G1870/2,0)</f>
        <v>66</v>
      </c>
      <c r="I1870" s="12">
        <f>G1870-H1870</f>
        <v>66</v>
      </c>
      <c r="J1870" s="3" t="str">
        <f t="shared" si="140"/>
        <v>2720004</v>
      </c>
    </row>
    <row r="1871" spans="2:10" s="3" customFormat="1">
      <c r="B1871" s="3" t="s">
        <v>2113</v>
      </c>
      <c r="C1871" s="8">
        <v>2</v>
      </c>
      <c r="D1871" s="3" t="s">
        <v>2192</v>
      </c>
      <c r="E1871" s="11" t="s">
        <v>14</v>
      </c>
      <c r="F1871" s="11"/>
      <c r="G1871" s="9"/>
      <c r="H1871" s="11"/>
      <c r="I1871" s="11"/>
      <c r="J1871" s="3" t="str">
        <f t="shared" si="140"/>
        <v>2720005</v>
      </c>
    </row>
    <row r="1872" spans="2:10" s="3" customFormat="1">
      <c r="B1872" s="3" t="s">
        <v>2113</v>
      </c>
      <c r="C1872" s="8">
        <v>2</v>
      </c>
      <c r="D1872" s="3" t="s">
        <v>2192</v>
      </c>
      <c r="E1872" s="11" t="s">
        <v>10</v>
      </c>
      <c r="F1872" s="10">
        <v>2.7399999999999999E-4</v>
      </c>
      <c r="G1872" s="12">
        <f>ROUND(G$3*F1872,0)</f>
        <v>79</v>
      </c>
      <c r="H1872" s="13">
        <f>ROUND(G1872/2,0)</f>
        <v>40</v>
      </c>
      <c r="I1872" s="12">
        <f>G1872-H1872</f>
        <v>39</v>
      </c>
      <c r="J1872" s="3" t="str">
        <f t="shared" si="140"/>
        <v>2720005</v>
      </c>
    </row>
    <row r="1873" spans="2:10" s="3" customFormat="1">
      <c r="B1873" s="3" t="s">
        <v>2113</v>
      </c>
      <c r="C1873" s="8">
        <v>2</v>
      </c>
      <c r="D1873" s="3" t="s">
        <v>2192</v>
      </c>
      <c r="E1873" s="11" t="s">
        <v>11</v>
      </c>
      <c r="F1873" s="10">
        <v>1.2999999999999999E-4</v>
      </c>
      <c r="G1873" s="12">
        <f>ROUND(G$3*F1873,0)</f>
        <v>37</v>
      </c>
      <c r="H1873" s="13">
        <f>ROUND(G1873/2,0)</f>
        <v>19</v>
      </c>
      <c r="I1873" s="12">
        <f>G1873-H1873</f>
        <v>18</v>
      </c>
      <c r="J1873" s="3" t="str">
        <f t="shared" si="140"/>
        <v>2720005</v>
      </c>
    </row>
    <row r="1874" spans="2:10" s="3" customFormat="1">
      <c r="B1874" s="3" t="s">
        <v>2113</v>
      </c>
      <c r="C1874" s="8">
        <v>2</v>
      </c>
      <c r="D1874" s="3" t="s">
        <v>2193</v>
      </c>
      <c r="E1874" s="11" t="s">
        <v>181</v>
      </c>
      <c r="F1874" s="11"/>
      <c r="G1874" s="9"/>
      <c r="H1874" s="11"/>
      <c r="I1874" s="11"/>
      <c r="J1874" s="3" t="str">
        <f t="shared" si="140"/>
        <v>2720006</v>
      </c>
    </row>
    <row r="1875" spans="2:10" s="3" customFormat="1">
      <c r="B1875" s="3" t="s">
        <v>2113</v>
      </c>
      <c r="C1875" s="8">
        <v>2</v>
      </c>
      <c r="D1875" s="3" t="s">
        <v>2193</v>
      </c>
      <c r="E1875" s="11" t="s">
        <v>10</v>
      </c>
      <c r="F1875" s="10">
        <v>3.8900000000000002E-4</v>
      </c>
      <c r="G1875" s="12">
        <f>ROUND(G$3*F1875,0)</f>
        <v>112</v>
      </c>
      <c r="H1875" s="13">
        <f>ROUND(G1875/2,0)</f>
        <v>56</v>
      </c>
      <c r="I1875" s="12">
        <f>G1875-H1875</f>
        <v>56</v>
      </c>
      <c r="J1875" s="3" t="str">
        <f t="shared" si="140"/>
        <v>2720006</v>
      </c>
    </row>
    <row r="1876" spans="2:10" s="3" customFormat="1">
      <c r="B1876" s="3" t="s">
        <v>2113</v>
      </c>
      <c r="C1876" s="8">
        <v>2</v>
      </c>
      <c r="D1876" s="3" t="s">
        <v>2193</v>
      </c>
      <c r="E1876" s="11" t="s">
        <v>11</v>
      </c>
      <c r="F1876" s="10">
        <v>3.0200000000000002E-4</v>
      </c>
      <c r="G1876" s="12">
        <f>ROUND(G$3*F1876,0)</f>
        <v>87</v>
      </c>
      <c r="H1876" s="13">
        <f>ROUND(G1876/2,0)</f>
        <v>44</v>
      </c>
      <c r="I1876" s="12">
        <f>G1876-H1876</f>
        <v>43</v>
      </c>
      <c r="J1876" s="3" t="str">
        <f t="shared" si="140"/>
        <v>2720006</v>
      </c>
    </row>
    <row r="1877" spans="2:10" s="3" customFormat="1">
      <c r="B1877" s="3" t="s">
        <v>2113</v>
      </c>
      <c r="C1877" s="8">
        <v>2</v>
      </c>
      <c r="D1877" s="3" t="s">
        <v>2194</v>
      </c>
      <c r="E1877" s="11" t="s">
        <v>594</v>
      </c>
      <c r="F1877" s="11"/>
      <c r="G1877" s="9"/>
      <c r="H1877" s="11"/>
      <c r="I1877" s="11"/>
      <c r="J1877" s="3" t="str">
        <f t="shared" si="140"/>
        <v>2720007</v>
      </c>
    </row>
    <row r="1878" spans="2:10" s="3" customFormat="1">
      <c r="B1878" s="3" t="s">
        <v>2113</v>
      </c>
      <c r="C1878" s="8">
        <v>2</v>
      </c>
      <c r="D1878" s="3" t="s">
        <v>2194</v>
      </c>
      <c r="E1878" s="11" t="s">
        <v>10</v>
      </c>
      <c r="F1878" s="10">
        <v>2.8709999999999999E-3</v>
      </c>
      <c r="G1878" s="12">
        <f>ROUND(G$3*F1878,0)</f>
        <v>826</v>
      </c>
      <c r="H1878" s="13">
        <f>ROUND(G1878/2,0)</f>
        <v>413</v>
      </c>
      <c r="I1878" s="12">
        <f>G1878-H1878</f>
        <v>413</v>
      </c>
      <c r="J1878" s="3" t="str">
        <f t="shared" si="140"/>
        <v>2720007</v>
      </c>
    </row>
    <row r="1879" spans="2:10" s="3" customFormat="1">
      <c r="B1879" s="3" t="s">
        <v>2113</v>
      </c>
      <c r="C1879" s="8">
        <v>2</v>
      </c>
      <c r="D1879" s="3" t="s">
        <v>2194</v>
      </c>
      <c r="E1879" s="11" t="s">
        <v>11</v>
      </c>
      <c r="F1879" s="10">
        <v>7.5600000000000005E-4</v>
      </c>
      <c r="G1879" s="12">
        <f>ROUND(G$3*F1879,0)</f>
        <v>218</v>
      </c>
      <c r="H1879" s="13">
        <f>ROUND(G1879/2,0)</f>
        <v>109</v>
      </c>
      <c r="I1879" s="12">
        <f>G1879-H1879</f>
        <v>109</v>
      </c>
      <c r="J1879" s="3" t="str">
        <f t="shared" si="140"/>
        <v>2720007</v>
      </c>
    </row>
    <row r="1880" spans="2:10" s="3" customFormat="1">
      <c r="B1880" s="3" t="s">
        <v>2113</v>
      </c>
      <c r="C1880" s="8">
        <v>2</v>
      </c>
      <c r="D1880" s="3" t="s">
        <v>2195</v>
      </c>
      <c r="E1880" s="11" t="s">
        <v>16</v>
      </c>
      <c r="F1880" s="11"/>
      <c r="G1880" s="9"/>
      <c r="H1880" s="11"/>
      <c r="I1880" s="11"/>
      <c r="J1880" s="3" t="str">
        <f t="shared" si="140"/>
        <v>2720008</v>
      </c>
    </row>
    <row r="1881" spans="2:10" s="3" customFormat="1">
      <c r="B1881" s="3" t="s">
        <v>2113</v>
      </c>
      <c r="C1881" s="8">
        <v>2</v>
      </c>
      <c r="D1881" s="3" t="s">
        <v>2195</v>
      </c>
      <c r="E1881" s="11" t="s">
        <v>10</v>
      </c>
      <c r="F1881" s="10">
        <v>5.8999999999999998E-5</v>
      </c>
      <c r="G1881" s="12">
        <f>ROUND(G$3*F1881,0)</f>
        <v>17</v>
      </c>
      <c r="H1881" s="13">
        <f>ROUND(G1881/2,0)</f>
        <v>9</v>
      </c>
      <c r="I1881" s="12">
        <f>G1881-H1881</f>
        <v>8</v>
      </c>
      <c r="J1881" s="3" t="str">
        <f t="shared" si="140"/>
        <v>2720008</v>
      </c>
    </row>
    <row r="1882" spans="2:10" s="3" customFormat="1">
      <c r="B1882" s="3" t="s">
        <v>2113</v>
      </c>
      <c r="C1882" s="8">
        <v>2</v>
      </c>
      <c r="D1882" s="3" t="s">
        <v>2195</v>
      </c>
      <c r="E1882" s="11" t="s">
        <v>11</v>
      </c>
      <c r="F1882" s="10">
        <v>4.6999999999999997E-5</v>
      </c>
      <c r="G1882" s="12">
        <f>ROUND(G$3*F1882,0)</f>
        <v>14</v>
      </c>
      <c r="H1882" s="13">
        <f>ROUND(G1882/2,0)</f>
        <v>7</v>
      </c>
      <c r="I1882" s="12">
        <f>G1882-H1882</f>
        <v>7</v>
      </c>
      <c r="J1882" s="3" t="str">
        <f t="shared" si="140"/>
        <v>2720008</v>
      </c>
    </row>
    <row r="1883" spans="2:10" s="3" customFormat="1">
      <c r="B1883" s="3" t="s">
        <v>2113</v>
      </c>
      <c r="C1883" s="8">
        <v>2</v>
      </c>
      <c r="D1883" s="3" t="s">
        <v>2196</v>
      </c>
      <c r="E1883" s="11" t="s">
        <v>57</v>
      </c>
      <c r="F1883" s="11"/>
      <c r="G1883" s="9"/>
      <c r="H1883" s="11"/>
      <c r="I1883" s="11"/>
      <c r="J1883" s="3" t="str">
        <f t="shared" si="140"/>
        <v>2720009</v>
      </c>
    </row>
    <row r="1884" spans="2:10" s="3" customFormat="1">
      <c r="B1884" s="3" t="s">
        <v>2113</v>
      </c>
      <c r="C1884" s="8">
        <v>2</v>
      </c>
      <c r="D1884" s="3" t="s">
        <v>2196</v>
      </c>
      <c r="E1884" s="11" t="s">
        <v>10</v>
      </c>
      <c r="F1884" s="10">
        <v>1.4999999999999999E-4</v>
      </c>
      <c r="G1884" s="12">
        <f>ROUND(G$3*F1884,0)</f>
        <v>43</v>
      </c>
      <c r="H1884" s="13">
        <f>ROUND(G1884/2,0)</f>
        <v>22</v>
      </c>
      <c r="I1884" s="12">
        <f>G1884-H1884</f>
        <v>21</v>
      </c>
      <c r="J1884" s="3" t="str">
        <f t="shared" si="140"/>
        <v>2720009</v>
      </c>
    </row>
    <row r="1885" spans="2:10" s="3" customFormat="1">
      <c r="B1885" s="3" t="s">
        <v>2113</v>
      </c>
      <c r="C1885" s="8">
        <v>2</v>
      </c>
      <c r="D1885" s="3" t="s">
        <v>2196</v>
      </c>
      <c r="E1885" s="11" t="s">
        <v>11</v>
      </c>
      <c r="F1885" s="10">
        <v>4.5000000000000003E-5</v>
      </c>
      <c r="G1885" s="12">
        <f>ROUND(G$3*F1885,0)</f>
        <v>13</v>
      </c>
      <c r="H1885" s="13">
        <f>ROUND(G1885/2,0)</f>
        <v>7</v>
      </c>
      <c r="I1885" s="12">
        <f>G1885-H1885</f>
        <v>6</v>
      </c>
      <c r="J1885" s="3" t="str">
        <f t="shared" si="140"/>
        <v>2720009</v>
      </c>
    </row>
    <row r="1886" spans="2:10" s="3" customFormat="1">
      <c r="B1886" s="3" t="s">
        <v>2113</v>
      </c>
      <c r="C1886" s="8">
        <v>2</v>
      </c>
      <c r="D1886" s="3" t="s">
        <v>2197</v>
      </c>
      <c r="E1886" s="11" t="s">
        <v>114</v>
      </c>
      <c r="F1886" s="11"/>
      <c r="G1886" s="9"/>
      <c r="H1886" s="11"/>
      <c r="I1886" s="11"/>
      <c r="J1886" s="3" t="str">
        <f t="shared" si="140"/>
        <v>2720010</v>
      </c>
    </row>
    <row r="1887" spans="2:10" s="3" customFormat="1">
      <c r="B1887" s="3" t="s">
        <v>2113</v>
      </c>
      <c r="C1887" s="8">
        <v>2</v>
      </c>
      <c r="D1887" s="3" t="s">
        <v>2197</v>
      </c>
      <c r="E1887" s="11" t="s">
        <v>10</v>
      </c>
      <c r="F1887" s="10">
        <v>1.66E-4</v>
      </c>
      <c r="G1887" s="12">
        <f>ROUND(G$3*F1887,0)</f>
        <v>48</v>
      </c>
      <c r="H1887" s="13">
        <f>ROUND(G1887/2,0)</f>
        <v>24</v>
      </c>
      <c r="I1887" s="12">
        <f>G1887-H1887</f>
        <v>24</v>
      </c>
      <c r="J1887" s="3" t="str">
        <f t="shared" si="140"/>
        <v>2720010</v>
      </c>
    </row>
    <row r="1888" spans="2:10" s="3" customFormat="1">
      <c r="B1888" s="3" t="s">
        <v>2113</v>
      </c>
      <c r="C1888" s="8">
        <v>2</v>
      </c>
      <c r="D1888" s="3" t="s">
        <v>2197</v>
      </c>
      <c r="E1888" s="11" t="s">
        <v>11</v>
      </c>
      <c r="F1888" s="10">
        <v>9.7E-5</v>
      </c>
      <c r="G1888" s="12">
        <f>ROUND(G$3*F1888,0)</f>
        <v>28</v>
      </c>
      <c r="H1888" s="13">
        <f>ROUND(G1888/2,0)</f>
        <v>14</v>
      </c>
      <c r="I1888" s="12">
        <f>G1888-H1888</f>
        <v>14</v>
      </c>
      <c r="J1888" s="3" t="str">
        <f t="shared" si="140"/>
        <v>2720010</v>
      </c>
    </row>
    <row r="1889" spans="2:10" s="3" customFormat="1">
      <c r="B1889" s="3" t="s">
        <v>2113</v>
      </c>
      <c r="C1889" s="8">
        <v>2</v>
      </c>
      <c r="D1889" s="3" t="s">
        <v>2198</v>
      </c>
      <c r="E1889" s="11" t="s">
        <v>595</v>
      </c>
      <c r="F1889" s="11"/>
      <c r="G1889" s="9"/>
      <c r="H1889" s="11"/>
      <c r="I1889" s="11"/>
      <c r="J1889" s="3" t="str">
        <f t="shared" si="140"/>
        <v>2720011</v>
      </c>
    </row>
    <row r="1890" spans="2:10" s="3" customFormat="1">
      <c r="B1890" s="3" t="s">
        <v>2113</v>
      </c>
      <c r="C1890" s="8">
        <v>2</v>
      </c>
      <c r="D1890" s="3" t="s">
        <v>2198</v>
      </c>
      <c r="E1890" s="11" t="s">
        <v>10</v>
      </c>
      <c r="F1890" s="10">
        <v>5.1900000000000004E-4</v>
      </c>
      <c r="G1890" s="12">
        <f>ROUND(G$3*F1890,0)</f>
        <v>149</v>
      </c>
      <c r="H1890" s="13">
        <f>ROUND(G1890/2,0)</f>
        <v>75</v>
      </c>
      <c r="I1890" s="12">
        <f>G1890-H1890</f>
        <v>74</v>
      </c>
      <c r="J1890" s="3" t="str">
        <f t="shared" si="140"/>
        <v>2720011</v>
      </c>
    </row>
    <row r="1891" spans="2:10" s="3" customFormat="1">
      <c r="B1891" s="3" t="s">
        <v>2113</v>
      </c>
      <c r="C1891" s="8">
        <v>2</v>
      </c>
      <c r="D1891" s="3" t="s">
        <v>2198</v>
      </c>
      <c r="E1891" s="11" t="s">
        <v>11</v>
      </c>
      <c r="F1891" s="10">
        <v>8.7000000000000001E-5</v>
      </c>
      <c r="G1891" s="12">
        <f>ROUND(G$3*F1891,0)</f>
        <v>25</v>
      </c>
      <c r="H1891" s="13">
        <f>ROUND(G1891/2,0)</f>
        <v>13</v>
      </c>
      <c r="I1891" s="12">
        <f>G1891-H1891</f>
        <v>12</v>
      </c>
      <c r="J1891" s="3" t="str">
        <f t="shared" si="140"/>
        <v>2720011</v>
      </c>
    </row>
    <row r="1892" spans="2:10" s="3" customFormat="1">
      <c r="B1892" s="3" t="s">
        <v>2113</v>
      </c>
      <c r="C1892" s="8">
        <v>2</v>
      </c>
      <c r="D1892" s="3" t="s">
        <v>2199</v>
      </c>
      <c r="E1892" s="11" t="s">
        <v>169</v>
      </c>
      <c r="F1892" s="11"/>
      <c r="G1892" s="9"/>
      <c r="H1892" s="11"/>
      <c r="I1892" s="11"/>
      <c r="J1892" s="3" t="str">
        <f t="shared" si="140"/>
        <v>2720012</v>
      </c>
    </row>
    <row r="1893" spans="2:10" s="3" customFormat="1">
      <c r="B1893" s="3" t="s">
        <v>2113</v>
      </c>
      <c r="C1893" s="8">
        <v>2</v>
      </c>
      <c r="D1893" s="3" t="s">
        <v>2199</v>
      </c>
      <c r="E1893" s="11" t="s">
        <v>10</v>
      </c>
      <c r="F1893" s="10">
        <v>5.3300000000000005E-4</v>
      </c>
      <c r="G1893" s="12">
        <f>ROUND(G$3*F1893,0)</f>
        <v>153</v>
      </c>
      <c r="H1893" s="13">
        <f>ROUND(G1893/2,0)</f>
        <v>77</v>
      </c>
      <c r="I1893" s="12">
        <f>G1893-H1893</f>
        <v>76</v>
      </c>
      <c r="J1893" s="3" t="str">
        <f t="shared" si="140"/>
        <v>2720012</v>
      </c>
    </row>
    <row r="1894" spans="2:10" s="3" customFormat="1">
      <c r="B1894" s="3" t="s">
        <v>2113</v>
      </c>
      <c r="C1894" s="8">
        <v>2</v>
      </c>
      <c r="D1894" s="3" t="s">
        <v>2199</v>
      </c>
      <c r="E1894" s="11" t="s">
        <v>11</v>
      </c>
      <c r="F1894" s="10">
        <v>2.5700000000000001E-4</v>
      </c>
      <c r="G1894" s="12">
        <f>ROUND(G$3*F1894,0)</f>
        <v>74</v>
      </c>
      <c r="H1894" s="13">
        <f>ROUND(G1894/2,0)</f>
        <v>37</v>
      </c>
      <c r="I1894" s="12">
        <f>G1894-H1894</f>
        <v>37</v>
      </c>
      <c r="J1894" s="3" t="str">
        <f t="shared" si="140"/>
        <v>2720012</v>
      </c>
    </row>
    <row r="1895" spans="2:10" s="3" customFormat="1">
      <c r="B1895" s="3" t="s">
        <v>2113</v>
      </c>
      <c r="C1895" s="8">
        <v>2</v>
      </c>
      <c r="D1895" s="3" t="s">
        <v>2208</v>
      </c>
      <c r="E1895" s="11" t="s">
        <v>22</v>
      </c>
      <c r="F1895" s="11"/>
      <c r="G1895" s="9"/>
      <c r="H1895" s="11"/>
      <c r="I1895" s="11"/>
      <c r="J1895" s="3" t="str">
        <f t="shared" si="140"/>
        <v>2720013</v>
      </c>
    </row>
    <row r="1896" spans="2:10" s="3" customFormat="1">
      <c r="B1896" s="3" t="s">
        <v>2113</v>
      </c>
      <c r="C1896" s="8">
        <v>2</v>
      </c>
      <c r="D1896" s="3" t="s">
        <v>2208</v>
      </c>
      <c r="E1896" s="11" t="s">
        <v>10</v>
      </c>
      <c r="F1896" s="10">
        <v>1.4200000000000001E-4</v>
      </c>
      <c r="G1896" s="12">
        <f t="shared" ref="G1896:G1909" si="141">ROUND(G$3*F1896,0)</f>
        <v>41</v>
      </c>
      <c r="H1896" s="13">
        <f t="shared" ref="H1896:H1909" si="142">ROUND(G1896/2,0)</f>
        <v>21</v>
      </c>
      <c r="I1896" s="12">
        <f t="shared" ref="I1896:I1909" si="143">G1896-H1896</f>
        <v>20</v>
      </c>
      <c r="J1896" s="3" t="str">
        <f t="shared" si="140"/>
        <v>2720013</v>
      </c>
    </row>
    <row r="1897" spans="2:10" s="3" customFormat="1">
      <c r="B1897" s="3" t="s">
        <v>2113</v>
      </c>
      <c r="C1897" s="8">
        <v>2</v>
      </c>
      <c r="D1897" s="3" t="s">
        <v>2208</v>
      </c>
      <c r="E1897" s="11" t="s">
        <v>11</v>
      </c>
      <c r="F1897" s="10">
        <v>1.01E-4</v>
      </c>
      <c r="G1897" s="12">
        <f t="shared" si="141"/>
        <v>29</v>
      </c>
      <c r="H1897" s="13">
        <f t="shared" si="142"/>
        <v>15</v>
      </c>
      <c r="I1897" s="12">
        <f t="shared" si="143"/>
        <v>14</v>
      </c>
      <c r="J1897" s="3" t="str">
        <f t="shared" si="140"/>
        <v>2720013</v>
      </c>
    </row>
    <row r="1898" spans="2:10" s="3" customFormat="1">
      <c r="B1898" s="3" t="s">
        <v>2113</v>
      </c>
      <c r="C1898" s="8">
        <v>3</v>
      </c>
      <c r="D1898" s="3" t="s">
        <v>2484</v>
      </c>
      <c r="E1898" s="11" t="s">
        <v>596</v>
      </c>
      <c r="F1898" s="10">
        <v>1.5999999999999999E-5</v>
      </c>
      <c r="G1898" s="12">
        <f t="shared" si="141"/>
        <v>5</v>
      </c>
      <c r="H1898" s="13">
        <f t="shared" si="142"/>
        <v>3</v>
      </c>
      <c r="I1898" s="12">
        <f t="shared" si="143"/>
        <v>2</v>
      </c>
      <c r="J1898" s="3" t="str">
        <f t="shared" si="140"/>
        <v>2730784</v>
      </c>
    </row>
    <row r="1899" spans="2:10" s="3" customFormat="1">
      <c r="B1899" s="3" t="s">
        <v>2113</v>
      </c>
      <c r="C1899" s="8">
        <v>3</v>
      </c>
      <c r="D1899" s="3" t="s">
        <v>2477</v>
      </c>
      <c r="E1899" s="11" t="s">
        <v>597</v>
      </c>
      <c r="F1899" s="10">
        <v>3.3470000000000001E-3</v>
      </c>
      <c r="G1899" s="12">
        <f t="shared" si="141"/>
        <v>963</v>
      </c>
      <c r="H1899" s="13">
        <f t="shared" si="142"/>
        <v>482</v>
      </c>
      <c r="I1899" s="12">
        <f t="shared" si="143"/>
        <v>481</v>
      </c>
      <c r="J1899" s="3" t="str">
        <f t="shared" si="140"/>
        <v>2730626</v>
      </c>
    </row>
    <row r="1900" spans="2:10" s="3" customFormat="1">
      <c r="B1900" s="3" t="s">
        <v>2113</v>
      </c>
      <c r="C1900" s="8">
        <v>3</v>
      </c>
      <c r="D1900" s="3" t="s">
        <v>2478</v>
      </c>
      <c r="E1900" s="11" t="s">
        <v>598</v>
      </c>
      <c r="F1900" s="10">
        <v>5.7000000000000003E-5</v>
      </c>
      <c r="G1900" s="12">
        <f t="shared" si="141"/>
        <v>16</v>
      </c>
      <c r="H1900" s="13">
        <f t="shared" si="142"/>
        <v>8</v>
      </c>
      <c r="I1900" s="12">
        <f t="shared" si="143"/>
        <v>8</v>
      </c>
      <c r="J1900" s="3" t="str">
        <f t="shared" si="140"/>
        <v>2730627</v>
      </c>
    </row>
    <row r="1901" spans="2:10" s="3" customFormat="1">
      <c r="B1901" s="3" t="s">
        <v>2113</v>
      </c>
      <c r="C1901" s="8">
        <v>3</v>
      </c>
      <c r="D1901" s="3" t="s">
        <v>2476</v>
      </c>
      <c r="E1901" s="11" t="s">
        <v>599</v>
      </c>
      <c r="F1901" s="10">
        <v>2.0767999999999998E-2</v>
      </c>
      <c r="G1901" s="12">
        <f t="shared" si="141"/>
        <v>5975</v>
      </c>
      <c r="H1901" s="13">
        <f t="shared" si="142"/>
        <v>2988</v>
      </c>
      <c r="I1901" s="12">
        <f t="shared" si="143"/>
        <v>2987</v>
      </c>
      <c r="J1901" s="3" t="str">
        <f t="shared" si="140"/>
        <v>2730422</v>
      </c>
    </row>
    <row r="1902" spans="2:10" s="3" customFormat="1">
      <c r="B1902" s="3" t="s">
        <v>2113</v>
      </c>
      <c r="C1902" s="8">
        <v>3</v>
      </c>
      <c r="D1902" s="3" t="s">
        <v>2479</v>
      </c>
      <c r="E1902" s="11" t="s">
        <v>600</v>
      </c>
      <c r="F1902" s="10">
        <v>5.5669999999999999E-3</v>
      </c>
      <c r="G1902" s="12">
        <f t="shared" si="141"/>
        <v>1602</v>
      </c>
      <c r="H1902" s="13">
        <f t="shared" si="142"/>
        <v>801</v>
      </c>
      <c r="I1902" s="12">
        <f t="shared" si="143"/>
        <v>801</v>
      </c>
      <c r="J1902" s="3" t="str">
        <f t="shared" si="140"/>
        <v>2730628</v>
      </c>
    </row>
    <row r="1903" spans="2:10" s="3" customFormat="1">
      <c r="B1903" s="3" t="s">
        <v>2113</v>
      </c>
      <c r="C1903" s="8">
        <v>3</v>
      </c>
      <c r="D1903" s="3" t="s">
        <v>2475</v>
      </c>
      <c r="E1903" s="11" t="s">
        <v>601</v>
      </c>
      <c r="F1903" s="10">
        <v>0.118852</v>
      </c>
      <c r="G1903" s="12">
        <f t="shared" si="141"/>
        <v>34196</v>
      </c>
      <c r="H1903" s="13">
        <f t="shared" si="142"/>
        <v>17098</v>
      </c>
      <c r="I1903" s="12">
        <f t="shared" si="143"/>
        <v>17098</v>
      </c>
      <c r="J1903" s="3" t="str">
        <f t="shared" si="140"/>
        <v>2730114</v>
      </c>
    </row>
    <row r="1904" spans="2:10" s="3" customFormat="1">
      <c r="B1904" s="3" t="s">
        <v>2113</v>
      </c>
      <c r="C1904" s="8">
        <v>3</v>
      </c>
      <c r="D1904" s="3" t="s">
        <v>2480</v>
      </c>
      <c r="E1904" s="11" t="s">
        <v>602</v>
      </c>
      <c r="F1904" s="10">
        <v>9.6400000000000001E-4</v>
      </c>
      <c r="G1904" s="12">
        <f t="shared" si="141"/>
        <v>277</v>
      </c>
      <c r="H1904" s="13">
        <f t="shared" si="142"/>
        <v>139</v>
      </c>
      <c r="I1904" s="12">
        <f t="shared" si="143"/>
        <v>138</v>
      </c>
      <c r="J1904" s="3" t="str">
        <f t="shared" si="140"/>
        <v>2730629</v>
      </c>
    </row>
    <row r="1905" spans="2:10" s="3" customFormat="1">
      <c r="B1905" s="3" t="s">
        <v>2113</v>
      </c>
      <c r="C1905" s="8">
        <v>3</v>
      </c>
      <c r="D1905" s="3" t="s">
        <v>2265</v>
      </c>
      <c r="E1905" s="11" t="s">
        <v>603</v>
      </c>
      <c r="F1905" s="10">
        <v>1.0269999999999999E-3</v>
      </c>
      <c r="G1905" s="12">
        <f t="shared" si="141"/>
        <v>295</v>
      </c>
      <c r="H1905" s="13">
        <f t="shared" si="142"/>
        <v>148</v>
      </c>
      <c r="I1905" s="12">
        <f t="shared" si="143"/>
        <v>147</v>
      </c>
      <c r="J1905" s="3" t="str">
        <f t="shared" si="140"/>
        <v>2730630</v>
      </c>
    </row>
    <row r="1906" spans="2:10" s="3" customFormat="1">
      <c r="B1906" s="3" t="s">
        <v>2113</v>
      </c>
      <c r="C1906" s="8">
        <v>3</v>
      </c>
      <c r="D1906" s="3" t="s">
        <v>2481</v>
      </c>
      <c r="E1906" s="11" t="s">
        <v>604</v>
      </c>
      <c r="F1906" s="10">
        <v>2.8800000000000001E-4</v>
      </c>
      <c r="G1906" s="12">
        <f t="shared" si="141"/>
        <v>83</v>
      </c>
      <c r="H1906" s="13">
        <f t="shared" si="142"/>
        <v>42</v>
      </c>
      <c r="I1906" s="12">
        <f t="shared" si="143"/>
        <v>41</v>
      </c>
      <c r="J1906" s="3" t="str">
        <f t="shared" si="140"/>
        <v>2730631</v>
      </c>
    </row>
    <row r="1907" spans="2:10" s="3" customFormat="1">
      <c r="B1907" s="3" t="s">
        <v>2113</v>
      </c>
      <c r="C1907" s="8">
        <v>3</v>
      </c>
      <c r="D1907" s="3" t="s">
        <v>2482</v>
      </c>
      <c r="E1907" s="11" t="s">
        <v>605</v>
      </c>
      <c r="F1907" s="10">
        <v>1.126E-3</v>
      </c>
      <c r="G1907" s="12">
        <f t="shared" si="141"/>
        <v>324</v>
      </c>
      <c r="H1907" s="13">
        <f t="shared" si="142"/>
        <v>162</v>
      </c>
      <c r="I1907" s="12">
        <f t="shared" si="143"/>
        <v>162</v>
      </c>
      <c r="J1907" s="3" t="str">
        <f t="shared" si="140"/>
        <v>2730632</v>
      </c>
    </row>
    <row r="1908" spans="2:10" s="3" customFormat="1">
      <c r="B1908" s="3" t="s">
        <v>2113</v>
      </c>
      <c r="C1908" s="8">
        <v>3</v>
      </c>
      <c r="D1908" s="3" t="s">
        <v>2483</v>
      </c>
      <c r="E1908" s="11" t="s">
        <v>606</v>
      </c>
      <c r="F1908" s="10">
        <v>5.1180000000000002E-3</v>
      </c>
      <c r="G1908" s="12">
        <f t="shared" si="141"/>
        <v>1473</v>
      </c>
      <c r="H1908" s="13">
        <f t="shared" si="142"/>
        <v>737</v>
      </c>
      <c r="I1908" s="12">
        <f t="shared" si="143"/>
        <v>736</v>
      </c>
      <c r="J1908" s="3" t="str">
        <f t="shared" si="140"/>
        <v>2730633</v>
      </c>
    </row>
    <row r="1909" spans="2:10" s="3" customFormat="1">
      <c r="B1909" s="3" t="s">
        <v>2113</v>
      </c>
      <c r="C1909" s="8">
        <v>4</v>
      </c>
      <c r="D1909" s="3" t="s">
        <v>2485</v>
      </c>
      <c r="E1909" s="11" t="s">
        <v>607</v>
      </c>
      <c r="F1909" s="10">
        <v>4.7364000000000003E-2</v>
      </c>
      <c r="G1909" s="9">
        <f t="shared" si="141"/>
        <v>13628</v>
      </c>
      <c r="H1909" s="11">
        <f t="shared" si="142"/>
        <v>6814</v>
      </c>
      <c r="I1909" s="9">
        <f t="shared" si="143"/>
        <v>6814</v>
      </c>
      <c r="J1909" s="3" t="str">
        <f t="shared" si="140"/>
        <v>2742815</v>
      </c>
    </row>
    <row r="1910" spans="2:10" s="3" customFormat="1">
      <c r="B1910" s="3" t="s">
        <v>2113</v>
      </c>
      <c r="C1910" s="8">
        <v>4</v>
      </c>
      <c r="D1910" s="3" t="s">
        <v>2485</v>
      </c>
      <c r="E1910" s="11" t="s">
        <v>28</v>
      </c>
      <c r="F1910" s="11"/>
      <c r="G1910" s="14">
        <v>0.45738400000000001</v>
      </c>
      <c r="H1910" s="11"/>
      <c r="I1910" s="11"/>
      <c r="J1910" s="3" t="str">
        <f t="shared" si="140"/>
        <v>2742815</v>
      </c>
    </row>
    <row r="1911" spans="2:10" s="3" customFormat="1">
      <c r="B1911" s="3" t="s">
        <v>2113</v>
      </c>
      <c r="C1911" s="8">
        <v>4</v>
      </c>
      <c r="D1911" s="3" t="s">
        <v>2485</v>
      </c>
      <c r="E1911" s="11" t="s">
        <v>29</v>
      </c>
      <c r="F1911" s="11"/>
      <c r="G1911" s="15">
        <f>ROUND(G1909*G1910,0)</f>
        <v>6233</v>
      </c>
      <c r="H1911" s="16">
        <f>ROUND(G1911/2,0)</f>
        <v>3117</v>
      </c>
      <c r="I1911" s="15">
        <f>G1911-H1911</f>
        <v>3116</v>
      </c>
      <c r="J1911" s="3" t="str">
        <f t="shared" si="140"/>
        <v>2742815</v>
      </c>
    </row>
    <row r="1912" spans="2:10" s="3" customFormat="1">
      <c r="B1912" s="3" t="s">
        <v>2113</v>
      </c>
      <c r="C1912" s="8">
        <v>4</v>
      </c>
      <c r="D1912" s="3" t="s">
        <v>2485</v>
      </c>
      <c r="E1912" s="11" t="s">
        <v>30</v>
      </c>
      <c r="F1912" s="11"/>
      <c r="G1912" s="12">
        <f>+G1909-G1911</f>
        <v>7395</v>
      </c>
      <c r="H1912" s="13">
        <f>ROUND(G1912/2,0)</f>
        <v>3698</v>
      </c>
      <c r="I1912" s="12">
        <f>G1912-H1912</f>
        <v>3697</v>
      </c>
      <c r="J1912" s="3" t="str">
        <f t="shared" si="140"/>
        <v>2742815</v>
      </c>
    </row>
    <row r="1913" spans="2:10" s="3" customFormat="1">
      <c r="B1913" s="3" t="s">
        <v>2113</v>
      </c>
      <c r="C1913" s="8">
        <v>4</v>
      </c>
      <c r="D1913" s="3" t="s">
        <v>2486</v>
      </c>
      <c r="E1913" s="11" t="s">
        <v>608</v>
      </c>
      <c r="F1913" s="10">
        <v>9.0134000000000006E-2</v>
      </c>
      <c r="G1913" s="9">
        <f>ROUND(G$3*F1913,0)</f>
        <v>25934</v>
      </c>
      <c r="H1913" s="11">
        <f>ROUND(G1913/2,0)</f>
        <v>12967</v>
      </c>
      <c r="I1913" s="9">
        <f>G1913-H1913</f>
        <v>12967</v>
      </c>
      <c r="J1913" s="3" t="str">
        <f t="shared" si="140"/>
        <v>2742825</v>
      </c>
    </row>
    <row r="1914" spans="2:10" s="3" customFormat="1">
      <c r="B1914" s="3" t="s">
        <v>2113</v>
      </c>
      <c r="C1914" s="8">
        <v>4</v>
      </c>
      <c r="D1914" s="3" t="s">
        <v>2486</v>
      </c>
      <c r="E1914" s="11" t="s">
        <v>28</v>
      </c>
      <c r="F1914" s="11"/>
      <c r="G1914" s="14">
        <v>0.45816000000000001</v>
      </c>
      <c r="H1914" s="11"/>
      <c r="I1914" s="11"/>
      <c r="J1914" s="3" t="str">
        <f t="shared" si="140"/>
        <v>2742825</v>
      </c>
    </row>
    <row r="1915" spans="2:10" s="3" customFormat="1">
      <c r="B1915" s="3" t="s">
        <v>2113</v>
      </c>
      <c r="C1915" s="8">
        <v>4</v>
      </c>
      <c r="D1915" s="3" t="s">
        <v>2486</v>
      </c>
      <c r="E1915" s="11" t="s">
        <v>29</v>
      </c>
      <c r="F1915" s="11"/>
      <c r="G1915" s="15">
        <f>ROUND(G1913*G1914,0)</f>
        <v>11882</v>
      </c>
      <c r="H1915" s="16">
        <f>ROUND(G1915/2,0)</f>
        <v>5941</v>
      </c>
      <c r="I1915" s="15">
        <f>G1915-H1915</f>
        <v>5941</v>
      </c>
      <c r="J1915" s="3" t="str">
        <f t="shared" si="140"/>
        <v>2742825</v>
      </c>
    </row>
    <row r="1916" spans="2:10" s="3" customFormat="1">
      <c r="B1916" s="3" t="s">
        <v>2113</v>
      </c>
      <c r="C1916" s="8">
        <v>4</v>
      </c>
      <c r="D1916" s="3" t="s">
        <v>2486</v>
      </c>
      <c r="E1916" s="11" t="s">
        <v>30</v>
      </c>
      <c r="F1916" s="11"/>
      <c r="G1916" s="12">
        <f>+G1913-G1915</f>
        <v>14052</v>
      </c>
      <c r="H1916" s="13">
        <f>ROUND(G1916/2,0)</f>
        <v>7026</v>
      </c>
      <c r="I1916" s="12">
        <f>G1916-H1916</f>
        <v>7026</v>
      </c>
      <c r="J1916" s="3" t="str">
        <f t="shared" si="140"/>
        <v>2742825</v>
      </c>
    </row>
    <row r="1917" spans="2:10" s="3" customFormat="1">
      <c r="B1917" s="3" t="s">
        <v>2113</v>
      </c>
      <c r="C1917" s="8">
        <v>4</v>
      </c>
      <c r="D1917" s="3" t="s">
        <v>2487</v>
      </c>
      <c r="E1917" s="11" t="s">
        <v>609</v>
      </c>
      <c r="F1917" s="10">
        <v>0.23348099999999999</v>
      </c>
      <c r="G1917" s="9">
        <f>ROUND(G$3*F1917,0)</f>
        <v>67178</v>
      </c>
      <c r="H1917" s="11">
        <f>ROUND(G1917/2,0)</f>
        <v>33589</v>
      </c>
      <c r="I1917" s="9">
        <f>G1917-H1917</f>
        <v>33589</v>
      </c>
      <c r="J1917" s="3" t="str">
        <f t="shared" si="140"/>
        <v>2742865</v>
      </c>
    </row>
    <row r="1918" spans="2:10" s="3" customFormat="1">
      <c r="B1918" s="3" t="s">
        <v>2113</v>
      </c>
      <c r="C1918" s="8">
        <v>4</v>
      </c>
      <c r="D1918" s="3" t="s">
        <v>2487</v>
      </c>
      <c r="E1918" s="11" t="s">
        <v>28</v>
      </c>
      <c r="F1918" s="11"/>
      <c r="G1918" s="14">
        <v>0.63361900000000004</v>
      </c>
      <c r="H1918" s="11"/>
      <c r="I1918" s="11"/>
      <c r="J1918" s="3" t="str">
        <f t="shared" si="140"/>
        <v>2742865</v>
      </c>
    </row>
    <row r="1919" spans="2:10" s="3" customFormat="1">
      <c r="B1919" s="3" t="s">
        <v>2113</v>
      </c>
      <c r="C1919" s="8">
        <v>4</v>
      </c>
      <c r="D1919" s="3" t="s">
        <v>2487</v>
      </c>
      <c r="E1919" s="11" t="s">
        <v>29</v>
      </c>
      <c r="F1919" s="11"/>
      <c r="G1919" s="15">
        <f>ROUND(G1917*G1918,0)</f>
        <v>42565</v>
      </c>
      <c r="H1919" s="16">
        <f>ROUND(G1919/2,0)</f>
        <v>21283</v>
      </c>
      <c r="I1919" s="15">
        <f>G1919-H1919</f>
        <v>21282</v>
      </c>
      <c r="J1919" s="3" t="str">
        <f t="shared" si="140"/>
        <v>2742865</v>
      </c>
    </row>
    <row r="1920" spans="2:10" s="3" customFormat="1">
      <c r="B1920" s="3" t="s">
        <v>2113</v>
      </c>
      <c r="C1920" s="8">
        <v>4</v>
      </c>
      <c r="D1920" s="3" t="s">
        <v>2487</v>
      </c>
      <c r="E1920" s="11" t="s">
        <v>30</v>
      </c>
      <c r="F1920" s="11"/>
      <c r="G1920" s="12">
        <f>+G1917-G1919</f>
        <v>24613</v>
      </c>
      <c r="H1920" s="13">
        <f>ROUND(G1920/2,0)</f>
        <v>12307</v>
      </c>
      <c r="I1920" s="12">
        <f>G1920-H1920</f>
        <v>12306</v>
      </c>
      <c r="J1920" s="3" t="str">
        <f t="shared" si="140"/>
        <v>2742865</v>
      </c>
    </row>
    <row r="1921" spans="2:10" s="3" customFormat="1">
      <c r="B1921" s="3" t="s">
        <v>2113</v>
      </c>
      <c r="C1921" s="123" t="s">
        <v>3160</v>
      </c>
      <c r="D1921" s="123" t="s">
        <v>4038</v>
      </c>
      <c r="E1921" s="11" t="s">
        <v>610</v>
      </c>
      <c r="F1921" s="10">
        <v>0.100768</v>
      </c>
      <c r="G1921" s="9">
        <f>ROUND(G$3*F1921,0)</f>
        <v>28993</v>
      </c>
      <c r="H1921" s="11">
        <f>ROUND(G1921/2,0)</f>
        <v>14497</v>
      </c>
      <c r="I1921" s="9">
        <f>G1921-H1921</f>
        <v>14496</v>
      </c>
      <c r="J1921" s="3" t="str">
        <f t="shared" si="140"/>
        <v>2742855</v>
      </c>
    </row>
    <row r="1922" spans="2:10" s="3" customFormat="1">
      <c r="B1922" s="3" t="s">
        <v>2113</v>
      </c>
      <c r="C1922" s="123" t="s">
        <v>3160</v>
      </c>
      <c r="D1922" s="123" t="s">
        <v>4038</v>
      </c>
      <c r="E1922" s="11" t="s">
        <v>28</v>
      </c>
      <c r="F1922" s="11"/>
      <c r="G1922" s="14">
        <v>0.416881</v>
      </c>
      <c r="H1922" s="11"/>
      <c r="I1922" s="11"/>
      <c r="J1922" s="3" t="str">
        <f t="shared" si="140"/>
        <v>2742855</v>
      </c>
    </row>
    <row r="1923" spans="2:10" s="3" customFormat="1">
      <c r="B1923" s="3" t="s">
        <v>2113</v>
      </c>
      <c r="C1923" s="123" t="s">
        <v>3160</v>
      </c>
      <c r="D1923" s="123" t="s">
        <v>4038</v>
      </c>
      <c r="E1923" s="11" t="s">
        <v>29</v>
      </c>
      <c r="F1923" s="11"/>
      <c r="G1923" s="15">
        <f>ROUND(G1921*G1922,0)</f>
        <v>12087</v>
      </c>
      <c r="H1923" s="16">
        <f>ROUND(G1923/2,0)</f>
        <v>6044</v>
      </c>
      <c r="I1923" s="15">
        <f>G1923-H1923</f>
        <v>6043</v>
      </c>
      <c r="J1923" s="3" t="str">
        <f t="shared" si="140"/>
        <v>2742855</v>
      </c>
    </row>
    <row r="1924" spans="2:10" s="3" customFormat="1">
      <c r="B1924" s="3" t="s">
        <v>2113</v>
      </c>
      <c r="C1924" s="123" t="s">
        <v>3160</v>
      </c>
      <c r="D1924" s="123" t="s">
        <v>4038</v>
      </c>
      <c r="E1924" s="11" t="s">
        <v>30</v>
      </c>
      <c r="F1924" s="11"/>
      <c r="G1924" s="12">
        <f>+G1921-G1923</f>
        <v>16906</v>
      </c>
      <c r="H1924" s="13">
        <f>ROUND(G1924/2,0)</f>
        <v>8453</v>
      </c>
      <c r="I1924" s="12">
        <f>G1924-H1924</f>
        <v>8453</v>
      </c>
      <c r="J1924" s="3" t="str">
        <f t="shared" ref="J1924:J1987" si="144">B1924&amp;C1924&amp;D1924</f>
        <v>2742855</v>
      </c>
    </row>
    <row r="1925" spans="2:10" s="3" customFormat="1">
      <c r="B1925" s="3" t="s">
        <v>2113</v>
      </c>
      <c r="C1925" s="8">
        <v>4</v>
      </c>
      <c r="D1925" s="3" t="s">
        <v>2488</v>
      </c>
      <c r="E1925" s="11" t="s">
        <v>611</v>
      </c>
      <c r="F1925" s="10">
        <v>5.9463000000000002E-2</v>
      </c>
      <c r="G1925" s="9">
        <f>ROUND(G$3*F1925,0)</f>
        <v>17109</v>
      </c>
      <c r="H1925" s="11">
        <f>ROUND(G1925/2,0)</f>
        <v>8555</v>
      </c>
      <c r="I1925" s="9">
        <f>G1925-H1925</f>
        <v>8554</v>
      </c>
      <c r="J1925" s="3" t="str">
        <f t="shared" si="144"/>
        <v>2745625</v>
      </c>
    </row>
    <row r="1926" spans="2:10" s="3" customFormat="1">
      <c r="B1926" s="3" t="s">
        <v>2113</v>
      </c>
      <c r="C1926" s="8">
        <v>4</v>
      </c>
      <c r="D1926" s="3" t="s">
        <v>2488</v>
      </c>
      <c r="E1926" s="11" t="s">
        <v>28</v>
      </c>
      <c r="F1926" s="11"/>
      <c r="G1926" s="14">
        <v>0.415018</v>
      </c>
      <c r="H1926" s="11"/>
      <c r="I1926" s="11"/>
      <c r="J1926" s="3" t="str">
        <f t="shared" si="144"/>
        <v>2745625</v>
      </c>
    </row>
    <row r="1927" spans="2:10" s="3" customFormat="1">
      <c r="B1927" s="3" t="s">
        <v>2113</v>
      </c>
      <c r="C1927" s="8">
        <v>4</v>
      </c>
      <c r="D1927" s="3" t="s">
        <v>2488</v>
      </c>
      <c r="E1927" s="11" t="s">
        <v>29</v>
      </c>
      <c r="F1927" s="11"/>
      <c r="G1927" s="15">
        <f>ROUND(G1925*G1926,0)</f>
        <v>7101</v>
      </c>
      <c r="H1927" s="16">
        <f t="shared" ref="H1927:H1938" si="145">ROUND(G1927/2,0)</f>
        <v>3551</v>
      </c>
      <c r="I1927" s="15">
        <f t="shared" ref="I1927:I1938" si="146">G1927-H1927</f>
        <v>3550</v>
      </c>
      <c r="J1927" s="3" t="str">
        <f t="shared" si="144"/>
        <v>2745625</v>
      </c>
    </row>
    <row r="1928" spans="2:10" s="3" customFormat="1">
      <c r="B1928" s="3" t="s">
        <v>2113</v>
      </c>
      <c r="C1928" s="8">
        <v>4</v>
      </c>
      <c r="D1928" s="3" t="s">
        <v>2488</v>
      </c>
      <c r="E1928" s="11" t="s">
        <v>30</v>
      </c>
      <c r="F1928" s="11"/>
      <c r="G1928" s="12">
        <f>+G1925-G1927</f>
        <v>10008</v>
      </c>
      <c r="H1928" s="13">
        <f t="shared" si="145"/>
        <v>5004</v>
      </c>
      <c r="I1928" s="12">
        <f t="shared" si="146"/>
        <v>5004</v>
      </c>
      <c r="J1928" s="3" t="str">
        <f t="shared" si="144"/>
        <v>2745625</v>
      </c>
    </row>
    <row r="1929" spans="2:10" s="3" customFormat="1">
      <c r="B1929" s="3" t="s">
        <v>2113</v>
      </c>
      <c r="C1929" s="8">
        <v>5</v>
      </c>
      <c r="D1929" s="3" t="s">
        <v>4050</v>
      </c>
      <c r="E1929" s="11" t="s">
        <v>612</v>
      </c>
      <c r="F1929" s="10">
        <v>1.22E-4</v>
      </c>
      <c r="G1929" s="120">
        <f t="shared" ref="G1929:G1937" si="147">ROUND(G$3*F1929,0)</f>
        <v>35</v>
      </c>
      <c r="H1929" s="120">
        <f t="shared" si="145"/>
        <v>18</v>
      </c>
      <c r="I1929" s="120">
        <f t="shared" si="146"/>
        <v>17</v>
      </c>
      <c r="J1929" s="3" t="str">
        <f t="shared" si="144"/>
        <v>2750069</v>
      </c>
    </row>
    <row r="1930" spans="2:10" s="3" customFormat="1">
      <c r="B1930" s="3" t="s">
        <v>2113</v>
      </c>
      <c r="C1930" s="8">
        <v>5</v>
      </c>
      <c r="D1930" s="116" t="s">
        <v>2495</v>
      </c>
      <c r="E1930" s="11" t="s">
        <v>613</v>
      </c>
      <c r="F1930" s="10">
        <v>1.9999999999999999E-6</v>
      </c>
      <c r="G1930" s="120">
        <f t="shared" si="147"/>
        <v>1</v>
      </c>
      <c r="H1930" s="120">
        <f t="shared" si="145"/>
        <v>1</v>
      </c>
      <c r="I1930" s="120">
        <f t="shared" si="146"/>
        <v>0</v>
      </c>
      <c r="J1930" s="3" t="str">
        <f t="shared" si="144"/>
        <v>2750152</v>
      </c>
    </row>
    <row r="1931" spans="2:10" s="3" customFormat="1">
      <c r="B1931" s="3" t="s">
        <v>2113</v>
      </c>
      <c r="C1931" s="8">
        <v>5</v>
      </c>
      <c r="D1931" s="3" t="s">
        <v>2489</v>
      </c>
      <c r="E1931" s="11" t="s">
        <v>614</v>
      </c>
      <c r="F1931" s="10">
        <v>1.977E-3</v>
      </c>
      <c r="G1931" s="120">
        <f t="shared" si="147"/>
        <v>569</v>
      </c>
      <c r="H1931" s="120">
        <f t="shared" si="145"/>
        <v>285</v>
      </c>
      <c r="I1931" s="120">
        <f t="shared" si="146"/>
        <v>284</v>
      </c>
      <c r="J1931" s="3" t="str">
        <f t="shared" si="144"/>
        <v>2750063</v>
      </c>
    </row>
    <row r="1932" spans="2:10" s="3" customFormat="1">
      <c r="B1932" s="3" t="s">
        <v>2113</v>
      </c>
      <c r="C1932" s="8">
        <v>5</v>
      </c>
      <c r="D1932" s="3" t="s">
        <v>4044</v>
      </c>
      <c r="E1932" s="11" t="s">
        <v>615</v>
      </c>
      <c r="F1932" s="10">
        <v>1.1566E-2</v>
      </c>
      <c r="G1932" s="120">
        <f t="shared" si="147"/>
        <v>3328</v>
      </c>
      <c r="H1932" s="120">
        <f t="shared" si="145"/>
        <v>1664</v>
      </c>
      <c r="I1932" s="120">
        <f t="shared" si="146"/>
        <v>1664</v>
      </c>
      <c r="J1932" s="3" t="str">
        <f t="shared" si="144"/>
        <v>2750064</v>
      </c>
    </row>
    <row r="1933" spans="2:10" s="3" customFormat="1">
      <c r="B1933" s="3" t="s">
        <v>2113</v>
      </c>
      <c r="C1933" s="8">
        <v>5</v>
      </c>
      <c r="D1933" s="3" t="s">
        <v>2490</v>
      </c>
      <c r="E1933" s="11" t="s">
        <v>616</v>
      </c>
      <c r="F1933" s="10">
        <v>8.6899999999999998E-4</v>
      </c>
      <c r="G1933" s="120">
        <f t="shared" si="147"/>
        <v>250</v>
      </c>
      <c r="H1933" s="120">
        <f t="shared" si="145"/>
        <v>125</v>
      </c>
      <c r="I1933" s="120">
        <f t="shared" si="146"/>
        <v>125</v>
      </c>
      <c r="J1933" s="3" t="str">
        <f t="shared" si="144"/>
        <v>2750065</v>
      </c>
    </row>
    <row r="1934" spans="2:10" s="3" customFormat="1">
      <c r="B1934" s="3" t="s">
        <v>2113</v>
      </c>
      <c r="C1934" s="8">
        <v>5</v>
      </c>
      <c r="D1934" s="3" t="s">
        <v>2491</v>
      </c>
      <c r="E1934" s="11" t="s">
        <v>617</v>
      </c>
      <c r="F1934" s="10">
        <v>1.6636999999999999E-2</v>
      </c>
      <c r="G1934" s="120">
        <f t="shared" si="147"/>
        <v>4787</v>
      </c>
      <c r="H1934" s="120">
        <f t="shared" si="145"/>
        <v>2394</v>
      </c>
      <c r="I1934" s="120">
        <f t="shared" si="146"/>
        <v>2393</v>
      </c>
      <c r="J1934" s="3" t="str">
        <f t="shared" si="144"/>
        <v>2750066</v>
      </c>
    </row>
    <row r="1935" spans="2:10" s="3" customFormat="1">
      <c r="B1935" s="3" t="s">
        <v>2113</v>
      </c>
      <c r="C1935" s="8">
        <v>5</v>
      </c>
      <c r="D1935" s="3" t="s">
        <v>2492</v>
      </c>
      <c r="E1935" s="11" t="s">
        <v>618</v>
      </c>
      <c r="F1935" s="10">
        <v>6.3E-5</v>
      </c>
      <c r="G1935" s="120">
        <f t="shared" si="147"/>
        <v>18</v>
      </c>
      <c r="H1935" s="120">
        <f t="shared" si="145"/>
        <v>9</v>
      </c>
      <c r="I1935" s="120">
        <f t="shared" si="146"/>
        <v>9</v>
      </c>
      <c r="J1935" s="3" t="str">
        <f t="shared" si="144"/>
        <v>2750067</v>
      </c>
    </row>
    <row r="1936" spans="2:10" s="3" customFormat="1">
      <c r="B1936" s="3" t="s">
        <v>2113</v>
      </c>
      <c r="C1936" s="8">
        <v>5</v>
      </c>
      <c r="D1936" s="3" t="s">
        <v>2493</v>
      </c>
      <c r="E1936" s="11" t="s">
        <v>619</v>
      </c>
      <c r="F1936" s="10">
        <v>6.6699999999999995E-4</v>
      </c>
      <c r="G1936" s="120">
        <f t="shared" si="147"/>
        <v>192</v>
      </c>
      <c r="H1936" s="120">
        <f t="shared" si="145"/>
        <v>96</v>
      </c>
      <c r="I1936" s="120">
        <f t="shared" si="146"/>
        <v>96</v>
      </c>
      <c r="J1936" s="3" t="str">
        <f t="shared" si="144"/>
        <v>2750068</v>
      </c>
    </row>
    <row r="1937" spans="2:10" s="3" customFormat="1">
      <c r="B1937" s="3" t="s">
        <v>2113</v>
      </c>
      <c r="C1937" s="8">
        <v>5</v>
      </c>
      <c r="D1937" s="3" t="s">
        <v>2494</v>
      </c>
      <c r="E1937" s="11" t="s">
        <v>620</v>
      </c>
      <c r="F1937" s="10">
        <v>1.4319999999999999E-3</v>
      </c>
      <c r="G1937" s="120">
        <f t="shared" si="147"/>
        <v>412</v>
      </c>
      <c r="H1937" s="120">
        <f t="shared" si="145"/>
        <v>206</v>
      </c>
      <c r="I1937" s="120">
        <f t="shared" si="146"/>
        <v>206</v>
      </c>
      <c r="J1937" s="3" t="str">
        <f t="shared" si="144"/>
        <v>2750070</v>
      </c>
    </row>
    <row r="1938" spans="2:10" s="3" customFormat="1">
      <c r="B1938" s="3" t="s">
        <v>2113</v>
      </c>
      <c r="C1938" s="8">
        <v>6</v>
      </c>
      <c r="D1938" s="3" t="s">
        <v>3752</v>
      </c>
      <c r="E1938" s="11" t="s">
        <v>422</v>
      </c>
      <c r="F1938" s="10">
        <v>2.4999999999999467E-3</v>
      </c>
      <c r="G1938" s="120">
        <f>+G1853-SUM(G1854:G1855)-SUM(G1860:G1909)-G1913-G1917-G1921-G1925-SUM(G1929:G1937)</f>
        <v>174500</v>
      </c>
      <c r="H1938" s="120">
        <f t="shared" si="145"/>
        <v>87250</v>
      </c>
      <c r="I1938" s="120">
        <f t="shared" si="146"/>
        <v>87250</v>
      </c>
      <c r="J1938" s="3" t="str">
        <f t="shared" si="144"/>
        <v>2761034</v>
      </c>
    </row>
    <row r="1939" spans="2:10" s="3" customFormat="1">
      <c r="B1939" s="3" t="s">
        <v>2113</v>
      </c>
      <c r="C1939" s="8">
        <v>0</v>
      </c>
      <c r="D1939" s="125" t="s">
        <v>2187</v>
      </c>
      <c r="E1939" s="28" t="s">
        <v>288</v>
      </c>
      <c r="F1939" s="10">
        <v>1</v>
      </c>
      <c r="G1939" s="12">
        <f>+G1854+SUM(G1857:G1908)+SUM(G1911:G1912)+SUM(G1915:G1916)+SUM(G1919:G1920)+SUM(G1923:G1924)+SUM(G1927:G1938)</f>
        <v>461505</v>
      </c>
      <c r="H1939" s="12">
        <f>+H1854+SUM(H1857:H1908)+SUM(H1911:H1912)+SUM(H1915:H1916)+SUM(H1919:H1920)+SUM(H1923:H1924)+SUM(H1927:H1938)</f>
        <v>230770</v>
      </c>
      <c r="I1939" s="12">
        <f>+I1854+SUM(I1857:I1908)+SUM(I1911:I1912)+SUM(I1915:I1916)+SUM(I1919:I1920)+SUM(I1923:I1924)+SUM(I1927:I1938)</f>
        <v>230735</v>
      </c>
      <c r="J1939" s="3" t="str">
        <f t="shared" si="144"/>
        <v>2700000</v>
      </c>
    </row>
    <row r="1940" spans="2:10" s="3" customFormat="1">
      <c r="B1940" s="3" t="s">
        <v>2113</v>
      </c>
      <c r="C1940" s="8">
        <v>0</v>
      </c>
      <c r="D1940" s="3" t="s">
        <v>2187</v>
      </c>
      <c r="E1940" s="18" t="s">
        <v>38</v>
      </c>
      <c r="G1940" s="19">
        <f>+G1854</f>
        <v>300</v>
      </c>
      <c r="H1940" s="19">
        <f>+H1854</f>
        <v>150</v>
      </c>
      <c r="I1940" s="19">
        <f>+I1854</f>
        <v>150</v>
      </c>
      <c r="J1940" s="3" t="str">
        <f t="shared" si="144"/>
        <v>2700000</v>
      </c>
    </row>
    <row r="1941" spans="2:10" s="3" customFormat="1">
      <c r="B1941" s="3" t="s">
        <v>2113</v>
      </c>
      <c r="C1941" s="8">
        <v>0</v>
      </c>
      <c r="D1941" s="3" t="s">
        <v>2187</v>
      </c>
      <c r="E1941" s="2" t="s">
        <v>39</v>
      </c>
      <c r="G1941" s="19">
        <f>+G1857</f>
        <v>22701</v>
      </c>
      <c r="H1941" s="19">
        <f>+H1857</f>
        <v>11351</v>
      </c>
      <c r="I1941" s="19">
        <f>+I1857</f>
        <v>11350</v>
      </c>
      <c r="J1941" s="3" t="str">
        <f t="shared" si="144"/>
        <v>2700000</v>
      </c>
    </row>
    <row r="1942" spans="2:10" s="3" customFormat="1">
      <c r="B1942" s="3" t="s">
        <v>2113</v>
      </c>
      <c r="C1942" s="8">
        <v>0</v>
      </c>
      <c r="D1942" s="3" t="s">
        <v>2187</v>
      </c>
      <c r="E1942" s="2" t="s">
        <v>40</v>
      </c>
      <c r="G1942" s="19">
        <f>+G1911+G1915+G1919+G1923+G1927</f>
        <v>79868</v>
      </c>
      <c r="H1942" s="19">
        <f>+H1911+H1915+H1919+H1923+H1927</f>
        <v>39936</v>
      </c>
      <c r="I1942" s="19">
        <f>+I1911+I1915+I1919+I1923+I1927</f>
        <v>39932</v>
      </c>
      <c r="J1942" s="3" t="str">
        <f t="shared" si="144"/>
        <v>2700000</v>
      </c>
    </row>
    <row r="1943" spans="2:10" s="3" customFormat="1">
      <c r="B1943" s="3" t="s">
        <v>2113</v>
      </c>
      <c r="C1943" s="8">
        <v>0</v>
      </c>
      <c r="D1943" s="125" t="s">
        <v>2187</v>
      </c>
      <c r="E1943" s="18" t="s">
        <v>41</v>
      </c>
      <c r="G1943" s="19">
        <f>+G1939-G1940-G1941-G1942</f>
        <v>358636</v>
      </c>
      <c r="H1943" s="19">
        <f>+H1939-H1940-H1941-H1942</f>
        <v>179333</v>
      </c>
      <c r="I1943" s="19">
        <f>+I1939-I1940-I1941-I1942</f>
        <v>179303</v>
      </c>
      <c r="J1943" s="3" t="str">
        <f t="shared" si="144"/>
        <v>2700000</v>
      </c>
    </row>
    <row r="1944" spans="2:10" ht="15.75">
      <c r="B1944" s="3" t="s">
        <v>2186</v>
      </c>
      <c r="D1944" t="s">
        <v>2186</v>
      </c>
      <c r="E1944">
        <v>0</v>
      </c>
      <c r="G1944"/>
      <c r="H1944"/>
      <c r="I1944"/>
      <c r="J1944" s="3" t="str">
        <f t="shared" si="144"/>
        <v/>
      </c>
    </row>
    <row r="1945" spans="2:10" s="3" customFormat="1">
      <c r="C1945" s="1"/>
      <c r="D1945" s="3" t="s">
        <v>2186</v>
      </c>
      <c r="E1945" s="2" t="s">
        <v>621</v>
      </c>
      <c r="J1945" s="3" t="str">
        <f t="shared" si="144"/>
        <v/>
      </c>
    </row>
    <row r="1946" spans="2:10" s="3" customFormat="1" ht="45">
      <c r="B1946" s="3" t="s">
        <v>2186</v>
      </c>
      <c r="C1946" s="1"/>
      <c r="D1946" s="3" t="s">
        <v>2186</v>
      </c>
      <c r="E1946" s="1">
        <v>0</v>
      </c>
      <c r="F1946" s="6" t="s">
        <v>1</v>
      </c>
      <c r="G1946" s="60">
        <f>'Allocation Worksheet'!H1946</f>
        <v>0</v>
      </c>
      <c r="H1946" s="60">
        <f>'Allocation Worksheet'!H1947</f>
        <v>0</v>
      </c>
      <c r="I1946" s="60">
        <f>'Allocation Worksheet'!H1948</f>
        <v>0</v>
      </c>
      <c r="J1946" s="3" t="str">
        <f t="shared" si="144"/>
        <v/>
      </c>
    </row>
    <row r="1947" spans="2:10" s="3" customFormat="1">
      <c r="C1947" s="7" t="s">
        <v>2087</v>
      </c>
      <c r="D1947" s="3" t="s">
        <v>2186</v>
      </c>
      <c r="E1947" s="7" t="s">
        <v>3</v>
      </c>
      <c r="F1947" s="10"/>
      <c r="G1947" s="9">
        <f>'Allocation Worksheet'!$D$31</f>
        <v>251555</v>
      </c>
      <c r="H1947" s="11"/>
      <c r="I1947" s="11"/>
      <c r="J1947" s="3" t="str">
        <f t="shared" si="144"/>
        <v>UT</v>
      </c>
    </row>
    <row r="1948" spans="2:10" s="3" customFormat="1">
      <c r="B1948" s="3" t="s">
        <v>2114</v>
      </c>
      <c r="C1948" s="8">
        <v>0</v>
      </c>
      <c r="D1948" s="3" t="s">
        <v>2187</v>
      </c>
      <c r="E1948" s="11" t="s">
        <v>4</v>
      </c>
      <c r="F1948" s="10">
        <v>1.1119999999999999E-3</v>
      </c>
      <c r="G1948" s="12">
        <f>ROUND(G$3*F1948,0)</f>
        <v>320</v>
      </c>
      <c r="H1948" s="13">
        <f>ROUND(G1948/2,0)</f>
        <v>160</v>
      </c>
      <c r="I1948" s="12">
        <f>G1948-H1948</f>
        <v>160</v>
      </c>
      <c r="J1948" s="3" t="str">
        <f t="shared" si="144"/>
        <v>2800000</v>
      </c>
    </row>
    <row r="1949" spans="2:10" s="3" customFormat="1">
      <c r="B1949" s="3" t="s">
        <v>2114</v>
      </c>
      <c r="C1949" s="8">
        <v>1</v>
      </c>
      <c r="D1949" s="3" t="s">
        <v>2187</v>
      </c>
      <c r="E1949" s="11" t="s">
        <v>622</v>
      </c>
      <c r="F1949" s="10">
        <v>0.24518200000000001</v>
      </c>
      <c r="G1949" s="9">
        <f>ROUND(G$3*F1949,0)</f>
        <v>70545</v>
      </c>
      <c r="H1949" s="11">
        <f>ROUND(G1949/2,0)</f>
        <v>35273</v>
      </c>
      <c r="I1949" s="9">
        <f>G1949-H1949</f>
        <v>35272</v>
      </c>
      <c r="J1949" s="3" t="str">
        <f t="shared" si="144"/>
        <v>2810000</v>
      </c>
    </row>
    <row r="1950" spans="2:10" s="3" customFormat="1">
      <c r="B1950" s="3" t="s">
        <v>2114</v>
      </c>
      <c r="C1950" s="8">
        <v>1</v>
      </c>
      <c r="D1950" s="3" t="s">
        <v>2187</v>
      </c>
      <c r="E1950" s="11" t="s">
        <v>6</v>
      </c>
      <c r="F1950" s="11"/>
      <c r="G1950" s="14">
        <v>0.25052600000000003</v>
      </c>
      <c r="H1950" s="11"/>
      <c r="I1950" s="11"/>
      <c r="J1950" s="3" t="str">
        <f t="shared" si="144"/>
        <v>2810000</v>
      </c>
    </row>
    <row r="1951" spans="2:10" s="3" customFormat="1">
      <c r="B1951" s="3" t="s">
        <v>2114</v>
      </c>
      <c r="C1951" s="8">
        <v>1</v>
      </c>
      <c r="D1951" s="3" t="s">
        <v>2187</v>
      </c>
      <c r="E1951" s="11" t="s">
        <v>7</v>
      </c>
      <c r="F1951" s="11"/>
      <c r="G1951" s="15">
        <f>ROUND(G1949*G1950,0)</f>
        <v>17673</v>
      </c>
      <c r="H1951" s="16">
        <f>ROUND(G1951/2,0)</f>
        <v>8837</v>
      </c>
      <c r="I1951" s="15">
        <f>G1951-H1951</f>
        <v>8836</v>
      </c>
      <c r="J1951" s="3" t="str">
        <f t="shared" si="144"/>
        <v>2810000</v>
      </c>
    </row>
    <row r="1952" spans="2:10" s="3" customFormat="1">
      <c r="B1952" s="3" t="s">
        <v>2114</v>
      </c>
      <c r="C1952" s="8">
        <v>1</v>
      </c>
      <c r="D1952" s="3" t="s">
        <v>2187</v>
      </c>
      <c r="E1952" s="11" t="s">
        <v>8</v>
      </c>
      <c r="F1952" s="11"/>
      <c r="G1952" s="12">
        <f>+G1949-G1951</f>
        <v>52872</v>
      </c>
      <c r="H1952" s="13">
        <f>ROUND(G1952/2,0)</f>
        <v>26436</v>
      </c>
      <c r="I1952" s="12">
        <f>G1952-H1952</f>
        <v>26436</v>
      </c>
      <c r="J1952" s="3" t="str">
        <f t="shared" si="144"/>
        <v>2810000</v>
      </c>
    </row>
    <row r="1953" spans="2:10" s="3" customFormat="1">
      <c r="B1953" s="3" t="s">
        <v>2114</v>
      </c>
      <c r="C1953" s="8">
        <v>2</v>
      </c>
      <c r="D1953" s="3" t="s">
        <v>2188</v>
      </c>
      <c r="E1953" s="11" t="s">
        <v>623</v>
      </c>
      <c r="F1953" s="11"/>
      <c r="G1953" s="9"/>
      <c r="H1953" s="11"/>
      <c r="I1953" s="11"/>
      <c r="J1953" s="3" t="str">
        <f t="shared" si="144"/>
        <v>2820001</v>
      </c>
    </row>
    <row r="1954" spans="2:10" s="3" customFormat="1">
      <c r="B1954" s="3" t="s">
        <v>2114</v>
      </c>
      <c r="C1954" s="8">
        <v>2</v>
      </c>
      <c r="D1954" s="3" t="s">
        <v>2188</v>
      </c>
      <c r="E1954" s="11" t="s">
        <v>10</v>
      </c>
      <c r="F1954" s="10">
        <v>1.967E-3</v>
      </c>
      <c r="G1954" s="12">
        <f>ROUND(G$3*F1954,0)</f>
        <v>566</v>
      </c>
      <c r="H1954" s="13">
        <f>ROUND(G1954/2,0)</f>
        <v>283</v>
      </c>
      <c r="I1954" s="12">
        <f>G1954-H1954</f>
        <v>283</v>
      </c>
      <c r="J1954" s="3" t="str">
        <f t="shared" si="144"/>
        <v>2820001</v>
      </c>
    </row>
    <row r="1955" spans="2:10" s="3" customFormat="1">
      <c r="B1955" s="3" t="s">
        <v>2114</v>
      </c>
      <c r="C1955" s="8">
        <v>2</v>
      </c>
      <c r="D1955" s="3" t="s">
        <v>2188</v>
      </c>
      <c r="E1955" s="11" t="s">
        <v>11</v>
      </c>
      <c r="F1955" s="10">
        <v>1.6410000000000001E-3</v>
      </c>
      <c r="G1955" s="12">
        <f>ROUND(G$3*F1955,0)</f>
        <v>472</v>
      </c>
      <c r="H1955" s="13">
        <f>ROUND(G1955/2,0)</f>
        <v>236</v>
      </c>
      <c r="I1955" s="12">
        <f>G1955-H1955</f>
        <v>236</v>
      </c>
      <c r="J1955" s="3" t="str">
        <f t="shared" si="144"/>
        <v>2820001</v>
      </c>
    </row>
    <row r="1956" spans="2:10" s="3" customFormat="1">
      <c r="B1956" s="3" t="s">
        <v>2114</v>
      </c>
      <c r="C1956" s="8">
        <v>2</v>
      </c>
      <c r="D1956" s="3" t="s">
        <v>2189</v>
      </c>
      <c r="E1956" s="11" t="s">
        <v>249</v>
      </c>
      <c r="F1956" s="11"/>
      <c r="G1956" s="9"/>
      <c r="H1956" s="11"/>
      <c r="I1956" s="11"/>
      <c r="J1956" s="3" t="str">
        <f t="shared" si="144"/>
        <v>2820002</v>
      </c>
    </row>
    <row r="1957" spans="2:10" s="3" customFormat="1">
      <c r="B1957" s="3" t="s">
        <v>2114</v>
      </c>
      <c r="C1957" s="8">
        <v>2</v>
      </c>
      <c r="D1957" s="3" t="s">
        <v>2189</v>
      </c>
      <c r="E1957" s="11" t="s">
        <v>10</v>
      </c>
      <c r="F1957" s="10">
        <v>2.8299999999999999E-4</v>
      </c>
      <c r="G1957" s="12">
        <f>ROUND(G$3*F1957,0)</f>
        <v>81</v>
      </c>
      <c r="H1957" s="13">
        <f>ROUND(G1957/2,0)</f>
        <v>41</v>
      </c>
      <c r="I1957" s="12">
        <f>G1957-H1957</f>
        <v>40</v>
      </c>
      <c r="J1957" s="3" t="str">
        <f t="shared" si="144"/>
        <v>2820002</v>
      </c>
    </row>
    <row r="1958" spans="2:10" s="3" customFormat="1">
      <c r="B1958" s="3" t="s">
        <v>2114</v>
      </c>
      <c r="C1958" s="8">
        <v>2</v>
      </c>
      <c r="D1958" s="3" t="s">
        <v>2189</v>
      </c>
      <c r="E1958" s="11" t="s">
        <v>11</v>
      </c>
      <c r="F1958" s="10">
        <v>1.0900000000000001E-4</v>
      </c>
      <c r="G1958" s="12">
        <f>ROUND(G$3*F1958,0)</f>
        <v>31</v>
      </c>
      <c r="H1958" s="13">
        <f>ROUND(G1958/2,0)</f>
        <v>16</v>
      </c>
      <c r="I1958" s="12">
        <f>G1958-H1958</f>
        <v>15</v>
      </c>
      <c r="J1958" s="3" t="str">
        <f t="shared" si="144"/>
        <v>2820002</v>
      </c>
    </row>
    <row r="1959" spans="2:10" s="3" customFormat="1">
      <c r="B1959" s="3" t="s">
        <v>2114</v>
      </c>
      <c r="C1959" s="8">
        <v>2</v>
      </c>
      <c r="D1959" s="3" t="s">
        <v>2190</v>
      </c>
      <c r="E1959" s="11" t="s">
        <v>107</v>
      </c>
      <c r="F1959" s="11"/>
      <c r="G1959" s="12"/>
      <c r="H1959" s="11"/>
      <c r="I1959" s="11"/>
      <c r="J1959" s="3" t="str">
        <f t="shared" si="144"/>
        <v>2820003</v>
      </c>
    </row>
    <row r="1960" spans="2:10" s="3" customFormat="1">
      <c r="B1960" s="3" t="s">
        <v>2114</v>
      </c>
      <c r="C1960" s="8">
        <v>2</v>
      </c>
      <c r="D1960" s="3" t="s">
        <v>2190</v>
      </c>
      <c r="E1960" s="11" t="s">
        <v>10</v>
      </c>
      <c r="F1960" s="10">
        <v>7.7200000000000001E-4</v>
      </c>
      <c r="G1960" s="12">
        <f>ROUND(G$3*F1960,0)</f>
        <v>222</v>
      </c>
      <c r="H1960" s="13">
        <f>ROUND(G1960/2,0)</f>
        <v>111</v>
      </c>
      <c r="I1960" s="12">
        <f>G1960-H1960</f>
        <v>111</v>
      </c>
      <c r="J1960" s="3" t="str">
        <f t="shared" si="144"/>
        <v>2820003</v>
      </c>
    </row>
    <row r="1961" spans="2:10" s="3" customFormat="1">
      <c r="B1961" s="3" t="s">
        <v>2114</v>
      </c>
      <c r="C1961" s="8">
        <v>2</v>
      </c>
      <c r="D1961" s="3" t="s">
        <v>2190</v>
      </c>
      <c r="E1961" s="11" t="s">
        <v>11</v>
      </c>
      <c r="F1961" s="10">
        <v>6.6699999999999995E-4</v>
      </c>
      <c r="G1961" s="12">
        <f>ROUND(G$3*F1961,0)</f>
        <v>192</v>
      </c>
      <c r="H1961" s="13">
        <f>ROUND(G1961/2,0)</f>
        <v>96</v>
      </c>
      <c r="I1961" s="12">
        <f>G1961-H1961</f>
        <v>96</v>
      </c>
      <c r="J1961" s="3" t="str">
        <f t="shared" si="144"/>
        <v>2820003</v>
      </c>
    </row>
    <row r="1962" spans="2:10" s="3" customFormat="1">
      <c r="B1962" s="3" t="s">
        <v>2114</v>
      </c>
      <c r="C1962" s="8">
        <v>2</v>
      </c>
      <c r="D1962" s="3" t="s">
        <v>2191</v>
      </c>
      <c r="E1962" s="11" t="s">
        <v>624</v>
      </c>
      <c r="F1962" s="11"/>
      <c r="G1962" s="9"/>
      <c r="H1962" s="11"/>
      <c r="I1962" s="11"/>
      <c r="J1962" s="3" t="str">
        <f t="shared" si="144"/>
        <v>2820004</v>
      </c>
    </row>
    <row r="1963" spans="2:10" s="3" customFormat="1">
      <c r="B1963" s="3" t="s">
        <v>2114</v>
      </c>
      <c r="C1963" s="8">
        <v>2</v>
      </c>
      <c r="D1963" s="3" t="s">
        <v>2191</v>
      </c>
      <c r="E1963" s="11" t="s">
        <v>10</v>
      </c>
      <c r="F1963" s="10">
        <v>1.815E-3</v>
      </c>
      <c r="G1963" s="12">
        <f>ROUND(G$3*F1963,0)</f>
        <v>522</v>
      </c>
      <c r="H1963" s="13">
        <f>ROUND(G1963/2,0)</f>
        <v>261</v>
      </c>
      <c r="I1963" s="12">
        <f>G1963-H1963</f>
        <v>261</v>
      </c>
      <c r="J1963" s="3" t="str">
        <f t="shared" si="144"/>
        <v>2820004</v>
      </c>
    </row>
    <row r="1964" spans="2:10" s="3" customFormat="1">
      <c r="B1964" s="3" t="s">
        <v>2114</v>
      </c>
      <c r="C1964" s="8">
        <v>2</v>
      </c>
      <c r="D1964" s="3" t="s">
        <v>2191</v>
      </c>
      <c r="E1964" s="11" t="s">
        <v>11</v>
      </c>
      <c r="F1964" s="10">
        <v>7.1699999999999997E-4</v>
      </c>
      <c r="G1964" s="12">
        <f>ROUND(G$3*F1964,0)</f>
        <v>206</v>
      </c>
      <c r="H1964" s="13">
        <f>ROUND(G1964/2,0)</f>
        <v>103</v>
      </c>
      <c r="I1964" s="12">
        <f>G1964-H1964</f>
        <v>103</v>
      </c>
      <c r="J1964" s="3" t="str">
        <f t="shared" si="144"/>
        <v>2820004</v>
      </c>
    </row>
    <row r="1965" spans="2:10" s="3" customFormat="1">
      <c r="B1965" s="3" t="s">
        <v>2114</v>
      </c>
      <c r="C1965" s="8">
        <v>2</v>
      </c>
      <c r="D1965" s="3" t="s">
        <v>2192</v>
      </c>
      <c r="E1965" s="11" t="s">
        <v>109</v>
      </c>
      <c r="F1965" s="11"/>
      <c r="G1965" s="9"/>
      <c r="H1965" s="11"/>
      <c r="I1965" s="11"/>
      <c r="J1965" s="3" t="str">
        <f t="shared" si="144"/>
        <v>2820005</v>
      </c>
    </row>
    <row r="1966" spans="2:10" s="3" customFormat="1">
      <c r="B1966" s="3" t="s">
        <v>2114</v>
      </c>
      <c r="C1966" s="8">
        <v>2</v>
      </c>
      <c r="D1966" s="3" t="s">
        <v>2192</v>
      </c>
      <c r="E1966" s="11" t="s">
        <v>10</v>
      </c>
      <c r="F1966" s="10">
        <v>5.5099999999999995E-4</v>
      </c>
      <c r="G1966" s="12">
        <f>ROUND(G$3*F1966,0)</f>
        <v>159</v>
      </c>
      <c r="H1966" s="13">
        <f>ROUND(G1966/2,0)</f>
        <v>80</v>
      </c>
      <c r="I1966" s="12">
        <f>G1966-H1966</f>
        <v>79</v>
      </c>
      <c r="J1966" s="3" t="str">
        <f t="shared" si="144"/>
        <v>2820005</v>
      </c>
    </row>
    <row r="1967" spans="2:10" s="3" customFormat="1">
      <c r="B1967" s="3" t="s">
        <v>2114</v>
      </c>
      <c r="C1967" s="8">
        <v>2</v>
      </c>
      <c r="D1967" s="3" t="s">
        <v>2192</v>
      </c>
      <c r="E1967" s="11" t="s">
        <v>11</v>
      </c>
      <c r="F1967" s="10">
        <v>2.5000000000000001E-4</v>
      </c>
      <c r="G1967" s="12">
        <f>ROUND(G$3*F1967,0)</f>
        <v>72</v>
      </c>
      <c r="H1967" s="13">
        <f>ROUND(G1967/2,0)</f>
        <v>36</v>
      </c>
      <c r="I1967" s="12">
        <f>G1967-H1967</f>
        <v>36</v>
      </c>
      <c r="J1967" s="3" t="str">
        <f t="shared" si="144"/>
        <v>2820005</v>
      </c>
    </row>
    <row r="1968" spans="2:10" s="3" customFormat="1">
      <c r="B1968" s="3" t="s">
        <v>2114</v>
      </c>
      <c r="C1968" s="8">
        <v>2</v>
      </c>
      <c r="D1968" s="3" t="s">
        <v>2193</v>
      </c>
      <c r="E1968" s="11" t="s">
        <v>528</v>
      </c>
      <c r="F1968" s="11"/>
      <c r="G1968" s="9"/>
      <c r="H1968" s="11"/>
      <c r="I1968" s="11"/>
      <c r="J1968" s="3" t="str">
        <f t="shared" si="144"/>
        <v>2820006</v>
      </c>
    </row>
    <row r="1969" spans="2:10" s="3" customFormat="1">
      <c r="B1969" s="3" t="s">
        <v>2114</v>
      </c>
      <c r="C1969" s="8">
        <v>2</v>
      </c>
      <c r="D1969" s="3" t="s">
        <v>2193</v>
      </c>
      <c r="E1969" s="11" t="s">
        <v>10</v>
      </c>
      <c r="F1969" s="10">
        <v>2.065E-3</v>
      </c>
      <c r="G1969" s="12">
        <f>ROUND(G$3*F1969,0)</f>
        <v>594</v>
      </c>
      <c r="H1969" s="13">
        <f>ROUND(G1969/2,0)</f>
        <v>297</v>
      </c>
      <c r="I1969" s="12">
        <f>G1969-H1969</f>
        <v>297</v>
      </c>
      <c r="J1969" s="3" t="str">
        <f t="shared" si="144"/>
        <v>2820006</v>
      </c>
    </row>
    <row r="1970" spans="2:10" s="3" customFormat="1">
      <c r="B1970" s="3" t="s">
        <v>2114</v>
      </c>
      <c r="C1970" s="8">
        <v>2</v>
      </c>
      <c r="D1970" s="3" t="s">
        <v>2193</v>
      </c>
      <c r="E1970" s="11" t="s">
        <v>11</v>
      </c>
      <c r="F1970" s="10">
        <v>1.699E-3</v>
      </c>
      <c r="G1970" s="12">
        <f>ROUND(G$3*F1970,0)</f>
        <v>489</v>
      </c>
      <c r="H1970" s="13">
        <f>ROUND(G1970/2,0)</f>
        <v>245</v>
      </c>
      <c r="I1970" s="12">
        <f>G1970-H1970</f>
        <v>244</v>
      </c>
      <c r="J1970" s="3" t="str">
        <f t="shared" si="144"/>
        <v>2820006</v>
      </c>
    </row>
    <row r="1971" spans="2:10" s="3" customFormat="1">
      <c r="B1971" s="3" t="s">
        <v>2114</v>
      </c>
      <c r="C1971" s="8">
        <v>2</v>
      </c>
      <c r="D1971" s="3" t="s">
        <v>2194</v>
      </c>
      <c r="E1971" s="11" t="s">
        <v>49</v>
      </c>
      <c r="F1971" s="11"/>
      <c r="G1971" s="9"/>
      <c r="H1971" s="11"/>
      <c r="I1971" s="11"/>
      <c r="J1971" s="3" t="str">
        <f t="shared" si="144"/>
        <v>2820007</v>
      </c>
    </row>
    <row r="1972" spans="2:10" s="3" customFormat="1">
      <c r="B1972" s="3" t="s">
        <v>2114</v>
      </c>
      <c r="C1972" s="8">
        <v>2</v>
      </c>
      <c r="D1972" s="3" t="s">
        <v>2194</v>
      </c>
      <c r="E1972" s="11" t="s">
        <v>10</v>
      </c>
      <c r="F1972" s="10">
        <v>1.9599999999999999E-4</v>
      </c>
      <c r="G1972" s="12">
        <f>ROUND(G$3*F1972,0)</f>
        <v>56</v>
      </c>
      <c r="H1972" s="13">
        <f>ROUND(G1972/2,0)</f>
        <v>28</v>
      </c>
      <c r="I1972" s="12">
        <f>G1972-H1972</f>
        <v>28</v>
      </c>
      <c r="J1972" s="3" t="str">
        <f t="shared" si="144"/>
        <v>2820007</v>
      </c>
    </row>
    <row r="1973" spans="2:10" s="3" customFormat="1">
      <c r="B1973" s="3" t="s">
        <v>2114</v>
      </c>
      <c r="C1973" s="8">
        <v>2</v>
      </c>
      <c r="D1973" s="3" t="s">
        <v>2194</v>
      </c>
      <c r="E1973" s="11" t="s">
        <v>11</v>
      </c>
      <c r="F1973" s="10">
        <v>8.7000000000000001E-5</v>
      </c>
      <c r="G1973" s="12">
        <f>ROUND(G$3*F1973,0)</f>
        <v>25</v>
      </c>
      <c r="H1973" s="13">
        <f>ROUND(G1973/2,0)</f>
        <v>13</v>
      </c>
      <c r="I1973" s="12">
        <f>G1973-H1973</f>
        <v>12</v>
      </c>
      <c r="J1973" s="3" t="str">
        <f t="shared" si="144"/>
        <v>2820007</v>
      </c>
    </row>
    <row r="1974" spans="2:10" s="3" customFormat="1">
      <c r="B1974" s="3" t="s">
        <v>2114</v>
      </c>
      <c r="C1974" s="8">
        <v>2</v>
      </c>
      <c r="D1974" s="3" t="s">
        <v>2195</v>
      </c>
      <c r="E1974" s="11" t="s">
        <v>14</v>
      </c>
      <c r="F1974" s="11"/>
      <c r="G1974" s="9"/>
      <c r="H1974" s="11"/>
      <c r="I1974" s="11"/>
      <c r="J1974" s="3" t="str">
        <f t="shared" si="144"/>
        <v>2820008</v>
      </c>
    </row>
    <row r="1975" spans="2:10" s="3" customFormat="1">
      <c r="B1975" s="3" t="s">
        <v>2114</v>
      </c>
      <c r="C1975" s="8">
        <v>2</v>
      </c>
      <c r="D1975" s="3" t="s">
        <v>2195</v>
      </c>
      <c r="E1975" s="11" t="s">
        <v>10</v>
      </c>
      <c r="F1975" s="10">
        <v>4.9600000000000002E-4</v>
      </c>
      <c r="G1975" s="12">
        <f>ROUND(G$3*F1975,0)</f>
        <v>143</v>
      </c>
      <c r="H1975" s="13">
        <f>ROUND(G1975/2,0)</f>
        <v>72</v>
      </c>
      <c r="I1975" s="12">
        <f>G1975-H1975</f>
        <v>71</v>
      </c>
      <c r="J1975" s="3" t="str">
        <f t="shared" si="144"/>
        <v>2820008</v>
      </c>
    </row>
    <row r="1976" spans="2:10" s="3" customFormat="1">
      <c r="B1976" s="3" t="s">
        <v>2114</v>
      </c>
      <c r="C1976" s="8">
        <v>2</v>
      </c>
      <c r="D1976" s="3" t="s">
        <v>2195</v>
      </c>
      <c r="E1976" s="11" t="s">
        <v>11</v>
      </c>
      <c r="F1976" s="10">
        <v>1.45E-4</v>
      </c>
      <c r="G1976" s="12">
        <f>ROUND(G$3*F1976,0)</f>
        <v>42</v>
      </c>
      <c r="H1976" s="13">
        <f>ROUND(G1976/2,0)</f>
        <v>21</v>
      </c>
      <c r="I1976" s="12">
        <f>G1976-H1976</f>
        <v>21</v>
      </c>
      <c r="J1976" s="3" t="str">
        <f t="shared" si="144"/>
        <v>2820008</v>
      </c>
    </row>
    <row r="1977" spans="2:10" s="3" customFormat="1">
      <c r="B1977" s="3" t="s">
        <v>2114</v>
      </c>
      <c r="C1977" s="8">
        <v>2</v>
      </c>
      <c r="D1977" s="3" t="s">
        <v>2196</v>
      </c>
      <c r="E1977" s="11" t="s">
        <v>114</v>
      </c>
      <c r="F1977" s="11"/>
      <c r="G1977" s="9"/>
      <c r="H1977" s="11"/>
      <c r="I1977" s="11"/>
      <c r="J1977" s="3" t="str">
        <f t="shared" si="144"/>
        <v>2820009</v>
      </c>
    </row>
    <row r="1978" spans="2:10" s="3" customFormat="1">
      <c r="B1978" s="3" t="s">
        <v>2114</v>
      </c>
      <c r="C1978" s="8">
        <v>2</v>
      </c>
      <c r="D1978" s="3" t="s">
        <v>2196</v>
      </c>
      <c r="E1978" s="11" t="s">
        <v>10</v>
      </c>
      <c r="F1978" s="10">
        <v>2.5509999999999999E-3</v>
      </c>
      <c r="G1978" s="12">
        <f>ROUND(G$3*F1978,0)</f>
        <v>734</v>
      </c>
      <c r="H1978" s="13">
        <f>ROUND(G1978/2,0)</f>
        <v>367</v>
      </c>
      <c r="I1978" s="12">
        <f>G1978-H1978</f>
        <v>367</v>
      </c>
      <c r="J1978" s="3" t="str">
        <f t="shared" si="144"/>
        <v>2820009</v>
      </c>
    </row>
    <row r="1979" spans="2:10" s="3" customFormat="1">
      <c r="B1979" s="3" t="s">
        <v>2114</v>
      </c>
      <c r="C1979" s="8">
        <v>2</v>
      </c>
      <c r="D1979" s="3" t="s">
        <v>2196</v>
      </c>
      <c r="E1979" s="11" t="s">
        <v>11</v>
      </c>
      <c r="F1979" s="10">
        <v>1.261E-3</v>
      </c>
      <c r="G1979" s="12">
        <f>ROUND(G$3*F1979,0)</f>
        <v>363</v>
      </c>
      <c r="H1979" s="13">
        <f>ROUND(G1979/2,0)</f>
        <v>182</v>
      </c>
      <c r="I1979" s="12">
        <f>G1979-H1979</f>
        <v>181</v>
      </c>
      <c r="J1979" s="3" t="str">
        <f t="shared" si="144"/>
        <v>2820009</v>
      </c>
    </row>
    <row r="1980" spans="2:10" s="3" customFormat="1">
      <c r="B1980" s="3" t="s">
        <v>2114</v>
      </c>
      <c r="C1980" s="8">
        <v>2</v>
      </c>
      <c r="D1980" s="3" t="s">
        <v>2197</v>
      </c>
      <c r="E1980" s="11" t="s">
        <v>625</v>
      </c>
      <c r="F1980" s="11"/>
      <c r="G1980" s="9"/>
      <c r="H1980" s="11"/>
      <c r="I1980" s="11"/>
      <c r="J1980" s="3" t="str">
        <f t="shared" si="144"/>
        <v>2820010</v>
      </c>
    </row>
    <row r="1981" spans="2:10" s="3" customFormat="1">
      <c r="B1981" s="3" t="s">
        <v>2114</v>
      </c>
      <c r="C1981" s="8">
        <v>2</v>
      </c>
      <c r="D1981" s="3" t="s">
        <v>2197</v>
      </c>
      <c r="E1981" s="11" t="s">
        <v>10</v>
      </c>
      <c r="F1981" s="10">
        <v>7.7200000000000001E-4</v>
      </c>
      <c r="G1981" s="12">
        <f>ROUND(G$3*F1981,0)</f>
        <v>222</v>
      </c>
      <c r="H1981" s="13">
        <f>ROUND(G1981/2,0)</f>
        <v>111</v>
      </c>
      <c r="I1981" s="12">
        <f>G1981-H1981</f>
        <v>111</v>
      </c>
      <c r="J1981" s="3" t="str">
        <f t="shared" si="144"/>
        <v>2820010</v>
      </c>
    </row>
    <row r="1982" spans="2:10" s="3" customFormat="1">
      <c r="B1982" s="3" t="s">
        <v>2114</v>
      </c>
      <c r="C1982" s="8">
        <v>2</v>
      </c>
      <c r="D1982" s="3" t="s">
        <v>2197</v>
      </c>
      <c r="E1982" s="11" t="s">
        <v>11</v>
      </c>
      <c r="F1982" s="10">
        <v>4.0900000000000002E-4</v>
      </c>
      <c r="G1982" s="12">
        <f>ROUND(G$3*F1982,0)</f>
        <v>118</v>
      </c>
      <c r="H1982" s="13">
        <f>ROUND(G1982/2,0)</f>
        <v>59</v>
      </c>
      <c r="I1982" s="12">
        <f>G1982-H1982</f>
        <v>59</v>
      </c>
      <c r="J1982" s="3" t="str">
        <f t="shared" si="144"/>
        <v>2820010</v>
      </c>
    </row>
    <row r="1983" spans="2:10" s="3" customFormat="1">
      <c r="B1983" s="3" t="s">
        <v>2114</v>
      </c>
      <c r="C1983" s="8">
        <v>2</v>
      </c>
      <c r="D1983" s="3" t="s">
        <v>2198</v>
      </c>
      <c r="E1983" s="11" t="s">
        <v>377</v>
      </c>
      <c r="F1983" s="11"/>
      <c r="G1983" s="9"/>
      <c r="H1983" s="11"/>
      <c r="I1983" s="11"/>
      <c r="J1983" s="3" t="str">
        <f t="shared" si="144"/>
        <v>2820011</v>
      </c>
    </row>
    <row r="1984" spans="2:10" s="3" customFormat="1">
      <c r="B1984" s="3" t="s">
        <v>2114</v>
      </c>
      <c r="C1984" s="8">
        <v>2</v>
      </c>
      <c r="D1984" s="3" t="s">
        <v>2198</v>
      </c>
      <c r="E1984" s="11" t="s">
        <v>10</v>
      </c>
      <c r="F1984" s="10">
        <v>3.3300000000000002E-4</v>
      </c>
      <c r="G1984" s="12">
        <f>ROUND(G$3*F1984,0)</f>
        <v>96</v>
      </c>
      <c r="H1984" s="13">
        <f>ROUND(G1984/2,0)</f>
        <v>48</v>
      </c>
      <c r="I1984" s="12">
        <f>G1984-H1984</f>
        <v>48</v>
      </c>
      <c r="J1984" s="3" t="str">
        <f t="shared" si="144"/>
        <v>2820011</v>
      </c>
    </row>
    <row r="1985" spans="2:10" s="3" customFormat="1">
      <c r="B1985" s="3" t="s">
        <v>2114</v>
      </c>
      <c r="C1985" s="8">
        <v>2</v>
      </c>
      <c r="D1985" s="3" t="s">
        <v>2198</v>
      </c>
      <c r="E1985" s="11" t="s">
        <v>11</v>
      </c>
      <c r="F1985" s="10">
        <v>1.6699999999999999E-4</v>
      </c>
      <c r="G1985" s="12">
        <f>ROUND(G$3*F1985,0)</f>
        <v>48</v>
      </c>
      <c r="H1985" s="13">
        <f>ROUND(G1985/2,0)</f>
        <v>24</v>
      </c>
      <c r="I1985" s="12">
        <f>G1985-H1985</f>
        <v>24</v>
      </c>
      <c r="J1985" s="3" t="str">
        <f t="shared" si="144"/>
        <v>2820011</v>
      </c>
    </row>
    <row r="1986" spans="2:10" s="3" customFormat="1">
      <c r="B1986" s="3" t="s">
        <v>2114</v>
      </c>
      <c r="C1986" s="8">
        <v>2</v>
      </c>
      <c r="D1986" s="3" t="s">
        <v>2199</v>
      </c>
      <c r="E1986" s="11" t="s">
        <v>626</v>
      </c>
      <c r="F1986" s="11"/>
      <c r="G1986" s="9"/>
      <c r="H1986" s="11"/>
      <c r="I1986" s="11"/>
      <c r="J1986" s="3" t="str">
        <f t="shared" si="144"/>
        <v>2820012</v>
      </c>
    </row>
    <row r="1987" spans="2:10" s="3" customFormat="1">
      <c r="B1987" s="3" t="s">
        <v>2114</v>
      </c>
      <c r="C1987" s="8">
        <v>2</v>
      </c>
      <c r="D1987" s="3" t="s">
        <v>2199</v>
      </c>
      <c r="E1987" s="11" t="s">
        <v>10</v>
      </c>
      <c r="F1987" s="10">
        <v>7.025E-3</v>
      </c>
      <c r="G1987" s="12">
        <f>ROUND(G$3*F1987,0)</f>
        <v>2021</v>
      </c>
      <c r="H1987" s="13">
        <f>ROUND(G1987/2,0)</f>
        <v>1011</v>
      </c>
      <c r="I1987" s="12">
        <f>G1987-H1987</f>
        <v>1010</v>
      </c>
      <c r="J1987" s="3" t="str">
        <f t="shared" si="144"/>
        <v>2820012</v>
      </c>
    </row>
    <row r="1988" spans="2:10" s="3" customFormat="1">
      <c r="B1988" s="3" t="s">
        <v>2114</v>
      </c>
      <c r="C1988" s="8">
        <v>2</v>
      </c>
      <c r="D1988" s="3" t="s">
        <v>2199</v>
      </c>
      <c r="E1988" s="11" t="s">
        <v>11</v>
      </c>
      <c r="F1988" s="10">
        <v>2.163E-3</v>
      </c>
      <c r="G1988" s="12">
        <f>ROUND(G$3*F1988,0)</f>
        <v>622</v>
      </c>
      <c r="H1988" s="13">
        <f>ROUND(G1988/2,0)</f>
        <v>311</v>
      </c>
      <c r="I1988" s="12">
        <f>G1988-H1988</f>
        <v>311</v>
      </c>
      <c r="J1988" s="3" t="str">
        <f t="shared" ref="J1988:J2051" si="148">B1988&amp;C1988&amp;D1988</f>
        <v>2820012</v>
      </c>
    </row>
    <row r="1989" spans="2:10" s="3" customFormat="1">
      <c r="B1989" s="3" t="s">
        <v>2114</v>
      </c>
      <c r="C1989" s="8">
        <v>2</v>
      </c>
      <c r="D1989" s="3" t="s">
        <v>2208</v>
      </c>
      <c r="E1989" s="11" t="s">
        <v>627</v>
      </c>
      <c r="F1989" s="11"/>
      <c r="G1989" s="9"/>
      <c r="H1989" s="11"/>
      <c r="I1989" s="11"/>
      <c r="J1989" s="3" t="str">
        <f t="shared" si="148"/>
        <v>2820013</v>
      </c>
    </row>
    <row r="1990" spans="2:10" s="3" customFormat="1">
      <c r="B1990" s="3" t="s">
        <v>2114</v>
      </c>
      <c r="C1990" s="8">
        <v>2</v>
      </c>
      <c r="D1990" s="3" t="s">
        <v>2208</v>
      </c>
      <c r="E1990" s="11" t="s">
        <v>10</v>
      </c>
      <c r="F1990" s="10">
        <v>5.1099999999999995E-4</v>
      </c>
      <c r="G1990" s="12">
        <f>ROUND(G$3*F1990,0)</f>
        <v>147</v>
      </c>
      <c r="H1990" s="13">
        <f>ROUND(G1990/2,0)</f>
        <v>74</v>
      </c>
      <c r="I1990" s="12">
        <f>G1990-H1990</f>
        <v>73</v>
      </c>
      <c r="J1990" s="3" t="str">
        <f t="shared" si="148"/>
        <v>2820013</v>
      </c>
    </row>
    <row r="1991" spans="2:10" s="3" customFormat="1">
      <c r="B1991" s="3" t="s">
        <v>2114</v>
      </c>
      <c r="C1991" s="8">
        <v>2</v>
      </c>
      <c r="D1991" s="3" t="s">
        <v>2208</v>
      </c>
      <c r="E1991" s="11" t="s">
        <v>11</v>
      </c>
      <c r="F1991" s="10">
        <v>3.19E-4</v>
      </c>
      <c r="G1991" s="12">
        <f>ROUND(G$3*F1991,0)</f>
        <v>92</v>
      </c>
      <c r="H1991" s="13">
        <f>ROUND(G1991/2,0)</f>
        <v>46</v>
      </c>
      <c r="I1991" s="12">
        <f>G1991-H1991</f>
        <v>46</v>
      </c>
      <c r="J1991" s="3" t="str">
        <f t="shared" si="148"/>
        <v>2820013</v>
      </c>
    </row>
    <row r="1992" spans="2:10" s="3" customFormat="1">
      <c r="B1992" s="3" t="s">
        <v>2114</v>
      </c>
      <c r="C1992" s="8">
        <v>2</v>
      </c>
      <c r="D1992" s="3" t="s">
        <v>2209</v>
      </c>
      <c r="E1992" s="11" t="s">
        <v>22</v>
      </c>
      <c r="F1992" s="11"/>
      <c r="G1992" s="9"/>
      <c r="H1992" s="11"/>
      <c r="I1992" s="11"/>
      <c r="J1992" s="3" t="str">
        <f t="shared" si="148"/>
        <v>2820014</v>
      </c>
    </row>
    <row r="1993" spans="2:10" s="3" customFormat="1">
      <c r="B1993" s="3" t="s">
        <v>2114</v>
      </c>
      <c r="C1993" s="8">
        <v>2</v>
      </c>
      <c r="D1993" s="3" t="s">
        <v>2209</v>
      </c>
      <c r="E1993" s="11" t="s">
        <v>10</v>
      </c>
      <c r="F1993" s="10">
        <v>1.5070000000000001E-3</v>
      </c>
      <c r="G1993" s="12">
        <f>ROUND(G$3*F1993,0)</f>
        <v>434</v>
      </c>
      <c r="H1993" s="13">
        <f>ROUND(G1993/2,0)</f>
        <v>217</v>
      </c>
      <c r="I1993" s="12">
        <f>G1993-H1993</f>
        <v>217</v>
      </c>
      <c r="J1993" s="3" t="str">
        <f t="shared" si="148"/>
        <v>2820014</v>
      </c>
    </row>
    <row r="1994" spans="2:10" s="3" customFormat="1">
      <c r="B1994" s="3" t="s">
        <v>2114</v>
      </c>
      <c r="C1994" s="8">
        <v>2</v>
      </c>
      <c r="D1994" s="3" t="s">
        <v>2209</v>
      </c>
      <c r="E1994" s="11" t="s">
        <v>11</v>
      </c>
      <c r="F1994" s="10">
        <v>2.6800000000000001E-4</v>
      </c>
      <c r="G1994" s="12">
        <f>ROUND(G$3*F1994,0)</f>
        <v>77</v>
      </c>
      <c r="H1994" s="13">
        <f>ROUND(G1994/2,0)</f>
        <v>39</v>
      </c>
      <c r="I1994" s="12">
        <f>G1994-H1994</f>
        <v>38</v>
      </c>
      <c r="J1994" s="3" t="str">
        <f t="shared" si="148"/>
        <v>2820014</v>
      </c>
    </row>
    <row r="1995" spans="2:10" s="3" customFormat="1">
      <c r="B1995" s="3" t="s">
        <v>2114</v>
      </c>
      <c r="C1995" s="8">
        <v>2</v>
      </c>
      <c r="D1995" s="3" t="s">
        <v>2204</v>
      </c>
      <c r="E1995" s="11" t="s">
        <v>628</v>
      </c>
      <c r="F1995" s="11"/>
      <c r="G1995" s="9"/>
      <c r="H1995" s="11"/>
      <c r="I1995" s="11"/>
      <c r="J1995" s="3" t="str">
        <f t="shared" si="148"/>
        <v>2820015</v>
      </c>
    </row>
    <row r="1996" spans="2:10" s="3" customFormat="1">
      <c r="B1996" s="3" t="s">
        <v>2114</v>
      </c>
      <c r="C1996" s="8">
        <v>2</v>
      </c>
      <c r="D1996" s="3" t="s">
        <v>2204</v>
      </c>
      <c r="E1996" s="11" t="s">
        <v>10</v>
      </c>
      <c r="F1996" s="10">
        <v>5.4599999999999996E-3</v>
      </c>
      <c r="G1996" s="12">
        <f t="shared" ref="G1996:G2005" si="149">ROUND(G$3*F1996,0)</f>
        <v>1571</v>
      </c>
      <c r="H1996" s="13">
        <f t="shared" ref="H1996:H2005" si="150">ROUND(G1996/2,0)</f>
        <v>786</v>
      </c>
      <c r="I1996" s="12">
        <f t="shared" ref="I1996:I2005" si="151">G1996-H1996</f>
        <v>785</v>
      </c>
      <c r="J1996" s="3" t="str">
        <f t="shared" si="148"/>
        <v>2820015</v>
      </c>
    </row>
    <row r="1997" spans="2:10" s="3" customFormat="1">
      <c r="B1997" s="3" t="s">
        <v>2114</v>
      </c>
      <c r="C1997" s="8">
        <v>2</v>
      </c>
      <c r="D1997" s="3" t="s">
        <v>2204</v>
      </c>
      <c r="E1997" s="11" t="s">
        <v>11</v>
      </c>
      <c r="F1997" s="10">
        <v>2.1879999999999998E-3</v>
      </c>
      <c r="G1997" s="12">
        <f t="shared" si="149"/>
        <v>630</v>
      </c>
      <c r="H1997" s="13">
        <f t="shared" si="150"/>
        <v>315</v>
      </c>
      <c r="I1997" s="12">
        <f t="shared" si="151"/>
        <v>315</v>
      </c>
      <c r="J1997" s="3" t="str">
        <f t="shared" si="148"/>
        <v>2820015</v>
      </c>
    </row>
    <row r="1998" spans="2:10" s="3" customFormat="1">
      <c r="B1998" s="3" t="s">
        <v>2114</v>
      </c>
      <c r="C1998" s="8">
        <v>3</v>
      </c>
      <c r="D1998" s="3" t="s">
        <v>2498</v>
      </c>
      <c r="E1998" s="11" t="s">
        <v>629</v>
      </c>
      <c r="F1998" s="10">
        <v>4.5030000000000001E-3</v>
      </c>
      <c r="G1998" s="12">
        <f t="shared" si="149"/>
        <v>1296</v>
      </c>
      <c r="H1998" s="13">
        <f t="shared" si="150"/>
        <v>648</v>
      </c>
      <c r="I1998" s="12">
        <f t="shared" si="151"/>
        <v>648</v>
      </c>
      <c r="J1998" s="3" t="str">
        <f t="shared" si="148"/>
        <v>2830634</v>
      </c>
    </row>
    <row r="1999" spans="2:10" s="3" customFormat="1">
      <c r="B1999" s="3" t="s">
        <v>2114</v>
      </c>
      <c r="C1999" s="8">
        <v>3</v>
      </c>
      <c r="D1999" s="3" t="s">
        <v>2497</v>
      </c>
      <c r="E1999" s="11" t="s">
        <v>630</v>
      </c>
      <c r="F1999" s="10">
        <v>5.1190000000000003E-3</v>
      </c>
      <c r="G1999" s="12">
        <f t="shared" si="149"/>
        <v>1473</v>
      </c>
      <c r="H1999" s="13">
        <f t="shared" si="150"/>
        <v>737</v>
      </c>
      <c r="I1999" s="12">
        <f t="shared" si="151"/>
        <v>736</v>
      </c>
      <c r="J1999" s="3" t="str">
        <f t="shared" si="148"/>
        <v>2830461</v>
      </c>
    </row>
    <row r="2000" spans="2:10" s="3" customFormat="1">
      <c r="B2000" s="3" t="s">
        <v>2114</v>
      </c>
      <c r="C2000" s="8">
        <v>3</v>
      </c>
      <c r="D2000" s="3" t="s">
        <v>2496</v>
      </c>
      <c r="E2000" s="11" t="s">
        <v>631</v>
      </c>
      <c r="F2000" s="10">
        <v>2.8975999999999998E-2</v>
      </c>
      <c r="G2000" s="12">
        <f t="shared" si="149"/>
        <v>8337</v>
      </c>
      <c r="H2000" s="13">
        <f t="shared" si="150"/>
        <v>4169</v>
      </c>
      <c r="I2000" s="12">
        <f t="shared" si="151"/>
        <v>4168</v>
      </c>
      <c r="J2000" s="3" t="str">
        <f t="shared" si="148"/>
        <v>2830426</v>
      </c>
    </row>
    <row r="2001" spans="2:10" s="3" customFormat="1">
      <c r="B2001" s="3" t="s">
        <v>2114</v>
      </c>
      <c r="C2001" s="8">
        <v>3</v>
      </c>
      <c r="D2001" s="3" t="s">
        <v>2499</v>
      </c>
      <c r="E2001" s="11" t="s">
        <v>632</v>
      </c>
      <c r="F2001" s="10">
        <v>1.699E-3</v>
      </c>
      <c r="G2001" s="12">
        <f t="shared" si="149"/>
        <v>489</v>
      </c>
      <c r="H2001" s="13">
        <f t="shared" si="150"/>
        <v>245</v>
      </c>
      <c r="I2001" s="12">
        <f t="shared" si="151"/>
        <v>244</v>
      </c>
      <c r="J2001" s="3" t="str">
        <f t="shared" si="148"/>
        <v>2830635</v>
      </c>
    </row>
    <row r="2002" spans="2:10" s="3" customFormat="1">
      <c r="B2002" s="3" t="s">
        <v>2114</v>
      </c>
      <c r="C2002" s="8">
        <v>3</v>
      </c>
      <c r="D2002" s="3" t="s">
        <v>2500</v>
      </c>
      <c r="E2002" s="11" t="s">
        <v>633</v>
      </c>
      <c r="F2002" s="10">
        <v>8.9499999999999996E-4</v>
      </c>
      <c r="G2002" s="12">
        <f t="shared" si="149"/>
        <v>258</v>
      </c>
      <c r="H2002" s="13">
        <f t="shared" si="150"/>
        <v>129</v>
      </c>
      <c r="I2002" s="12">
        <f t="shared" si="151"/>
        <v>129</v>
      </c>
      <c r="J2002" s="3" t="str">
        <f t="shared" si="148"/>
        <v>2830636</v>
      </c>
    </row>
    <row r="2003" spans="2:10" s="3" customFormat="1">
      <c r="B2003" s="3" t="s">
        <v>2114</v>
      </c>
      <c r="C2003" s="8">
        <v>3</v>
      </c>
      <c r="D2003" s="3" t="s">
        <v>2501</v>
      </c>
      <c r="E2003" s="11" t="s">
        <v>634</v>
      </c>
      <c r="F2003" s="10">
        <v>6.9999999999999999E-6</v>
      </c>
      <c r="G2003" s="12">
        <f t="shared" si="149"/>
        <v>2</v>
      </c>
      <c r="H2003" s="13">
        <f t="shared" si="150"/>
        <v>1</v>
      </c>
      <c r="I2003" s="12">
        <f t="shared" si="151"/>
        <v>1</v>
      </c>
      <c r="J2003" s="3" t="str">
        <f t="shared" si="148"/>
        <v>2830637</v>
      </c>
    </row>
    <row r="2004" spans="2:10" s="3" customFormat="1">
      <c r="B2004" s="3" t="s">
        <v>2114</v>
      </c>
      <c r="C2004" s="8">
        <v>3</v>
      </c>
      <c r="D2004" s="3" t="s">
        <v>2502</v>
      </c>
      <c r="E2004" s="11" t="s">
        <v>635</v>
      </c>
      <c r="F2004" s="10">
        <v>2.8579999999999999E-3</v>
      </c>
      <c r="G2004" s="12">
        <f t="shared" si="149"/>
        <v>822</v>
      </c>
      <c r="H2004" s="13">
        <f t="shared" si="150"/>
        <v>411</v>
      </c>
      <c r="I2004" s="12">
        <f t="shared" si="151"/>
        <v>411</v>
      </c>
      <c r="J2004" s="3" t="str">
        <f t="shared" si="148"/>
        <v>2830638</v>
      </c>
    </row>
    <row r="2005" spans="2:10" s="3" customFormat="1">
      <c r="B2005" s="3" t="s">
        <v>2114</v>
      </c>
      <c r="C2005" s="8">
        <v>4</v>
      </c>
      <c r="D2005" s="3" t="s">
        <v>2503</v>
      </c>
      <c r="E2005" s="11" t="s">
        <v>636</v>
      </c>
      <c r="F2005" s="10">
        <v>0.161467</v>
      </c>
      <c r="G2005" s="9">
        <f t="shared" si="149"/>
        <v>46458</v>
      </c>
      <c r="H2005" s="11">
        <f t="shared" si="150"/>
        <v>23229</v>
      </c>
      <c r="I2005" s="9">
        <f t="shared" si="151"/>
        <v>23229</v>
      </c>
      <c r="J2005" s="3" t="str">
        <f t="shared" si="148"/>
        <v>2842920</v>
      </c>
    </row>
    <row r="2006" spans="2:10" s="3" customFormat="1">
      <c r="B2006" s="3" t="s">
        <v>2114</v>
      </c>
      <c r="C2006" s="8">
        <v>4</v>
      </c>
      <c r="D2006" s="3" t="s">
        <v>2503</v>
      </c>
      <c r="E2006" s="11" t="s">
        <v>28</v>
      </c>
      <c r="F2006" s="11"/>
      <c r="G2006" s="14">
        <v>0.38264199999999998</v>
      </c>
      <c r="H2006" s="11"/>
      <c r="I2006" s="11"/>
      <c r="J2006" s="3" t="str">
        <f t="shared" si="148"/>
        <v>2842920</v>
      </c>
    </row>
    <row r="2007" spans="2:10" s="3" customFormat="1">
      <c r="B2007" s="3" t="s">
        <v>2114</v>
      </c>
      <c r="C2007" s="8">
        <v>4</v>
      </c>
      <c r="D2007" s="3" t="s">
        <v>2503</v>
      </c>
      <c r="E2007" s="11" t="s">
        <v>29</v>
      </c>
      <c r="F2007" s="11"/>
      <c r="G2007" s="15">
        <f>ROUND(G2005*G2006,0)</f>
        <v>17777</v>
      </c>
      <c r="H2007" s="16">
        <f>ROUND(G2007/2,0)</f>
        <v>8889</v>
      </c>
      <c r="I2007" s="15">
        <f>G2007-H2007</f>
        <v>8888</v>
      </c>
      <c r="J2007" s="3" t="str">
        <f t="shared" si="148"/>
        <v>2842920</v>
      </c>
    </row>
    <row r="2008" spans="2:10" s="3" customFormat="1">
      <c r="B2008" s="3" t="s">
        <v>2114</v>
      </c>
      <c r="C2008" s="8">
        <v>4</v>
      </c>
      <c r="D2008" s="3" t="s">
        <v>2503</v>
      </c>
      <c r="E2008" s="11" t="s">
        <v>30</v>
      </c>
      <c r="F2008" s="11"/>
      <c r="G2008" s="12">
        <f>+G2005-G2007</f>
        <v>28681</v>
      </c>
      <c r="H2008" s="13">
        <f>ROUND(G2008/2,0)</f>
        <v>14341</v>
      </c>
      <c r="I2008" s="12">
        <f>G2008-H2008</f>
        <v>14340</v>
      </c>
      <c r="J2008" s="3" t="str">
        <f t="shared" si="148"/>
        <v>2842920</v>
      </c>
    </row>
    <row r="2009" spans="2:10" s="3" customFormat="1">
      <c r="B2009" s="3" t="s">
        <v>2114</v>
      </c>
      <c r="C2009" s="8">
        <v>4</v>
      </c>
      <c r="D2009" s="3" t="s">
        <v>2504</v>
      </c>
      <c r="E2009" s="11" t="s">
        <v>637</v>
      </c>
      <c r="F2009" s="10">
        <v>7.9298999999999994E-2</v>
      </c>
      <c r="G2009" s="9">
        <f>ROUND(G$3*F2009,0)</f>
        <v>22816</v>
      </c>
      <c r="H2009" s="11">
        <f>ROUND(G2009/2,0)</f>
        <v>11408</v>
      </c>
      <c r="I2009" s="9">
        <f>G2009-H2009</f>
        <v>11408</v>
      </c>
      <c r="J2009" s="3" t="str">
        <f t="shared" si="148"/>
        <v>2842940</v>
      </c>
    </row>
    <row r="2010" spans="2:10" s="3" customFormat="1">
      <c r="B2010" s="3" t="s">
        <v>2114</v>
      </c>
      <c r="C2010" s="8">
        <v>4</v>
      </c>
      <c r="D2010" s="3" t="s">
        <v>2504</v>
      </c>
      <c r="E2010" s="11" t="s">
        <v>28</v>
      </c>
      <c r="F2010" s="11"/>
      <c r="G2010" s="14">
        <v>0.31083100000000002</v>
      </c>
      <c r="H2010" s="11"/>
      <c r="I2010" s="11"/>
      <c r="J2010" s="3" t="str">
        <f t="shared" si="148"/>
        <v>2842940</v>
      </c>
    </row>
    <row r="2011" spans="2:10" s="3" customFormat="1">
      <c r="B2011" s="3" t="s">
        <v>2114</v>
      </c>
      <c r="C2011" s="8">
        <v>4</v>
      </c>
      <c r="D2011" s="3" t="s">
        <v>2504</v>
      </c>
      <c r="E2011" s="11" t="s">
        <v>29</v>
      </c>
      <c r="F2011" s="11"/>
      <c r="G2011" s="15">
        <f>ROUND(G2009*G2010,0)</f>
        <v>7092</v>
      </c>
      <c r="H2011" s="16">
        <f>ROUND(G2011/2,0)</f>
        <v>3546</v>
      </c>
      <c r="I2011" s="15">
        <f>G2011-H2011</f>
        <v>3546</v>
      </c>
      <c r="J2011" s="3" t="str">
        <f t="shared" si="148"/>
        <v>2842940</v>
      </c>
    </row>
    <row r="2012" spans="2:10" s="3" customFormat="1">
      <c r="B2012" s="3" t="s">
        <v>2114</v>
      </c>
      <c r="C2012" s="8">
        <v>4</v>
      </c>
      <c r="D2012" s="3" t="s">
        <v>2504</v>
      </c>
      <c r="E2012" s="11" t="s">
        <v>30</v>
      </c>
      <c r="F2012" s="11"/>
      <c r="G2012" s="12">
        <f>+G2009-G2011</f>
        <v>15724</v>
      </c>
      <c r="H2012" s="13">
        <f>ROUND(G2012/2,0)</f>
        <v>7862</v>
      </c>
      <c r="I2012" s="12">
        <f>G2012-H2012</f>
        <v>7862</v>
      </c>
      <c r="J2012" s="3" t="str">
        <f t="shared" si="148"/>
        <v>2842940</v>
      </c>
    </row>
    <row r="2013" spans="2:10" s="3" customFormat="1">
      <c r="B2013" s="3" t="s">
        <v>2114</v>
      </c>
      <c r="C2013" s="8">
        <v>4</v>
      </c>
      <c r="D2013" s="3" t="s">
        <v>2505</v>
      </c>
      <c r="E2013" s="11" t="s">
        <v>638</v>
      </c>
      <c r="F2013" s="10">
        <v>0.158884</v>
      </c>
      <c r="G2013" s="9">
        <f>ROUND(G$3*F2013,0)</f>
        <v>45715</v>
      </c>
      <c r="H2013" s="11">
        <f>ROUND(G2013/2,0)</f>
        <v>22858</v>
      </c>
      <c r="I2013" s="9">
        <f>G2013-H2013</f>
        <v>22857</v>
      </c>
      <c r="J2013" s="3" t="str">
        <f t="shared" si="148"/>
        <v>2842950</v>
      </c>
    </row>
    <row r="2014" spans="2:10" s="3" customFormat="1">
      <c r="B2014" s="3" t="s">
        <v>2114</v>
      </c>
      <c r="C2014" s="8">
        <v>4</v>
      </c>
      <c r="D2014" s="3" t="s">
        <v>2505</v>
      </c>
      <c r="E2014" s="11" t="s">
        <v>28</v>
      </c>
      <c r="F2014" s="11"/>
      <c r="G2014" s="14">
        <v>0.37047000000000002</v>
      </c>
      <c r="H2014" s="11"/>
      <c r="I2014" s="11"/>
      <c r="J2014" s="3" t="str">
        <f t="shared" si="148"/>
        <v>2842950</v>
      </c>
    </row>
    <row r="2015" spans="2:10" s="3" customFormat="1">
      <c r="B2015" s="3" t="s">
        <v>2114</v>
      </c>
      <c r="C2015" s="8">
        <v>4</v>
      </c>
      <c r="D2015" s="3" t="s">
        <v>2505</v>
      </c>
      <c r="E2015" s="11" t="s">
        <v>29</v>
      </c>
      <c r="F2015" s="11"/>
      <c r="G2015" s="15">
        <f>ROUND(G2013*G2014,0)</f>
        <v>16936</v>
      </c>
      <c r="H2015" s="16">
        <f>ROUND(G2015/2,0)</f>
        <v>8468</v>
      </c>
      <c r="I2015" s="15">
        <f>G2015-H2015</f>
        <v>8468</v>
      </c>
      <c r="J2015" s="3" t="str">
        <f t="shared" si="148"/>
        <v>2842950</v>
      </c>
    </row>
    <row r="2016" spans="2:10" s="3" customFormat="1">
      <c r="B2016" s="3" t="s">
        <v>2114</v>
      </c>
      <c r="C2016" s="8">
        <v>4</v>
      </c>
      <c r="D2016" s="3" t="s">
        <v>2505</v>
      </c>
      <c r="E2016" s="11" t="s">
        <v>30</v>
      </c>
      <c r="F2016" s="11"/>
      <c r="G2016" s="12">
        <f>+G2013-G2015</f>
        <v>28779</v>
      </c>
      <c r="H2016" s="13">
        <f>ROUND(G2016/2,0)</f>
        <v>14390</v>
      </c>
      <c r="I2016" s="12">
        <f>G2016-H2016</f>
        <v>14389</v>
      </c>
      <c r="J2016" s="3" t="str">
        <f t="shared" si="148"/>
        <v>2842950</v>
      </c>
    </row>
    <row r="2017" spans="1:10" s="3" customFormat="1">
      <c r="B2017" s="3" t="s">
        <v>2114</v>
      </c>
      <c r="C2017" s="8">
        <v>4</v>
      </c>
      <c r="D2017" s="3" t="s">
        <v>2310</v>
      </c>
      <c r="E2017" s="11" t="s">
        <v>262</v>
      </c>
      <c r="F2017" s="10">
        <v>5.3384000000000001E-2</v>
      </c>
      <c r="G2017" s="9">
        <f>ROUND(G$3*F2017,0)</f>
        <v>15360</v>
      </c>
      <c r="H2017" s="11">
        <f>ROUND(G2017/2,0)</f>
        <v>7680</v>
      </c>
      <c r="I2017" s="9">
        <f>G2017-H2017</f>
        <v>7680</v>
      </c>
      <c r="J2017" s="3" t="str">
        <f t="shared" si="148"/>
        <v>2842960</v>
      </c>
    </row>
    <row r="2018" spans="1:10" s="3" customFormat="1">
      <c r="B2018" s="3" t="s">
        <v>2114</v>
      </c>
      <c r="C2018" s="8">
        <v>4</v>
      </c>
      <c r="D2018" s="3" t="s">
        <v>2310</v>
      </c>
      <c r="E2018" s="11" t="s">
        <v>28</v>
      </c>
      <c r="F2018" s="11"/>
      <c r="G2018" s="14">
        <v>0.38742599999999999</v>
      </c>
      <c r="H2018" s="11"/>
      <c r="I2018" s="11"/>
      <c r="J2018" s="3" t="str">
        <f t="shared" si="148"/>
        <v>2842960</v>
      </c>
    </row>
    <row r="2019" spans="1:10" s="3" customFormat="1">
      <c r="B2019" s="3" t="s">
        <v>2114</v>
      </c>
      <c r="C2019" s="8">
        <v>4</v>
      </c>
      <c r="D2019" s="3" t="s">
        <v>2310</v>
      </c>
      <c r="E2019" s="11" t="s">
        <v>29</v>
      </c>
      <c r="F2019" s="11"/>
      <c r="G2019" s="15">
        <f>ROUND(G2017*G2018,0)</f>
        <v>5951</v>
      </c>
      <c r="H2019" s="16">
        <f>ROUND(G2019/2,0)</f>
        <v>2976</v>
      </c>
      <c r="I2019" s="15">
        <f>G2019-H2019</f>
        <v>2975</v>
      </c>
      <c r="J2019" s="3" t="str">
        <f t="shared" si="148"/>
        <v>2842960</v>
      </c>
    </row>
    <row r="2020" spans="1:10" s="3" customFormat="1">
      <c r="B2020" s="3" t="s">
        <v>2114</v>
      </c>
      <c r="C2020" s="8">
        <v>4</v>
      </c>
      <c r="D2020" s="3" t="s">
        <v>2310</v>
      </c>
      <c r="E2020" s="11" t="s">
        <v>30</v>
      </c>
      <c r="F2020" s="11"/>
      <c r="G2020" s="12">
        <f>+G2017-G2019</f>
        <v>9409</v>
      </c>
      <c r="H2020" s="13">
        <f>ROUND(G2020/2,0)</f>
        <v>4705</v>
      </c>
      <c r="I2020" s="12">
        <f>G2020-H2020</f>
        <v>4704</v>
      </c>
      <c r="J2020" s="3" t="str">
        <f t="shared" si="148"/>
        <v>2842960</v>
      </c>
    </row>
    <row r="2021" spans="1:10" s="3" customFormat="1">
      <c r="B2021" s="3" t="s">
        <v>2114</v>
      </c>
      <c r="C2021" s="8">
        <v>4</v>
      </c>
      <c r="D2021" s="116" t="s">
        <v>2506</v>
      </c>
      <c r="E2021" s="11" t="s">
        <v>639</v>
      </c>
      <c r="F2021" s="10">
        <v>0.19684199999999999</v>
      </c>
      <c r="G2021" s="9">
        <f>ROUND(G$3*F2021,0)</f>
        <v>56636</v>
      </c>
      <c r="H2021" s="11">
        <f>ROUND(G2021/2,0)</f>
        <v>28318</v>
      </c>
      <c r="I2021" s="9">
        <f>G2021-H2021</f>
        <v>28318</v>
      </c>
      <c r="J2021" s="3" t="str">
        <f t="shared" si="148"/>
        <v>2842980</v>
      </c>
    </row>
    <row r="2022" spans="1:10" s="3" customFormat="1">
      <c r="B2022" s="3" t="s">
        <v>2114</v>
      </c>
      <c r="C2022" s="8">
        <v>4</v>
      </c>
      <c r="D2022" s="116" t="s">
        <v>2506</v>
      </c>
      <c r="E2022" s="11" t="s">
        <v>28</v>
      </c>
      <c r="F2022" s="11"/>
      <c r="G2022" s="14">
        <v>0.50756800000000002</v>
      </c>
      <c r="H2022" s="11"/>
      <c r="I2022" s="11"/>
      <c r="J2022" s="3" t="str">
        <f t="shared" si="148"/>
        <v>2842980</v>
      </c>
    </row>
    <row r="2023" spans="1:10" s="3" customFormat="1">
      <c r="B2023" s="3" t="s">
        <v>2114</v>
      </c>
      <c r="C2023" s="8">
        <v>4</v>
      </c>
      <c r="D2023" s="116" t="s">
        <v>2506</v>
      </c>
      <c r="E2023" s="11" t="s">
        <v>29</v>
      </c>
      <c r="F2023" s="11"/>
      <c r="G2023" s="15">
        <f>ROUND(G2021*G2022,0)</f>
        <v>28747</v>
      </c>
      <c r="H2023" s="16">
        <f t="shared" ref="H2023:H2029" si="152">ROUND(G2023/2,0)</f>
        <v>14374</v>
      </c>
      <c r="I2023" s="15">
        <f t="shared" ref="I2023:I2029" si="153">G2023-H2023</f>
        <v>14373</v>
      </c>
      <c r="J2023" s="3" t="str">
        <f t="shared" si="148"/>
        <v>2842980</v>
      </c>
    </row>
    <row r="2024" spans="1:10" s="3" customFormat="1">
      <c r="B2024" s="3" t="s">
        <v>2114</v>
      </c>
      <c r="C2024" s="8">
        <v>4</v>
      </c>
      <c r="D2024" s="116" t="s">
        <v>2506</v>
      </c>
      <c r="E2024" s="11" t="s">
        <v>30</v>
      </c>
      <c r="F2024" s="11"/>
      <c r="G2024" s="12">
        <f>+G2021-G2023</f>
        <v>27889</v>
      </c>
      <c r="H2024" s="13">
        <f t="shared" si="152"/>
        <v>13945</v>
      </c>
      <c r="I2024" s="12">
        <f t="shared" si="153"/>
        <v>13944</v>
      </c>
      <c r="J2024" s="3" t="str">
        <f t="shared" si="148"/>
        <v>2842980</v>
      </c>
    </row>
    <row r="2025" spans="1:10" s="3" customFormat="1">
      <c r="B2025" s="3" t="s">
        <v>2114</v>
      </c>
      <c r="C2025" s="8">
        <v>5</v>
      </c>
      <c r="D2025" s="116" t="s">
        <v>4088</v>
      </c>
      <c r="E2025" s="11" t="s">
        <v>640</v>
      </c>
      <c r="F2025" s="10">
        <v>1.4369E-2</v>
      </c>
      <c r="G2025" s="120">
        <f>ROUND(G$3*F2025,0)</f>
        <v>4134</v>
      </c>
      <c r="H2025" s="120">
        <f t="shared" si="152"/>
        <v>2067</v>
      </c>
      <c r="I2025" s="120">
        <f t="shared" si="153"/>
        <v>2067</v>
      </c>
      <c r="J2025" s="3" t="str">
        <f t="shared" si="148"/>
        <v>2850291</v>
      </c>
    </row>
    <row r="2026" spans="1:10" s="3" customFormat="1">
      <c r="B2026" s="3" t="s">
        <v>2114</v>
      </c>
      <c r="C2026" s="8">
        <v>5</v>
      </c>
      <c r="D2026" s="3" t="s">
        <v>2507</v>
      </c>
      <c r="E2026" s="11" t="s">
        <v>641</v>
      </c>
      <c r="F2026" s="10">
        <v>5.1099999999999995E-4</v>
      </c>
      <c r="G2026" s="120">
        <f>ROUND(G$3*F2026,0)</f>
        <v>147</v>
      </c>
      <c r="H2026" s="120">
        <f t="shared" si="152"/>
        <v>74</v>
      </c>
      <c r="I2026" s="120">
        <f t="shared" si="153"/>
        <v>73</v>
      </c>
      <c r="J2026" s="3" t="str">
        <f t="shared" si="148"/>
        <v>2850072</v>
      </c>
    </row>
    <row r="2027" spans="1:10" s="3" customFormat="1">
      <c r="B2027" s="3" t="s">
        <v>2114</v>
      </c>
      <c r="C2027" s="8">
        <v>5</v>
      </c>
      <c r="D2027" s="3" t="s">
        <v>2508</v>
      </c>
      <c r="E2027" s="11" t="s">
        <v>642</v>
      </c>
      <c r="F2027" s="10">
        <v>5.7970000000000001E-3</v>
      </c>
      <c r="G2027" s="120">
        <f>ROUND(G$3*F2027,0)</f>
        <v>1668</v>
      </c>
      <c r="H2027" s="120">
        <f t="shared" si="152"/>
        <v>834</v>
      </c>
      <c r="I2027" s="120">
        <f t="shared" si="153"/>
        <v>834</v>
      </c>
      <c r="J2027" s="3" t="str">
        <f t="shared" si="148"/>
        <v>2850073</v>
      </c>
    </row>
    <row r="2028" spans="1:10" s="3" customFormat="1">
      <c r="B2028" s="3" t="s">
        <v>2114</v>
      </c>
      <c r="C2028" s="8">
        <v>5</v>
      </c>
      <c r="D2028" s="3" t="s">
        <v>4086</v>
      </c>
      <c r="E2028" s="11" t="s">
        <v>643</v>
      </c>
      <c r="F2028" s="10">
        <v>7.0199999999998042E-4</v>
      </c>
      <c r="G2028" s="120">
        <f>+G1947-SUM(G1948:G1949)-SUM(G1954:G2005)-G2009-G2013-G2017-G2021-SUM(G2025:G2027)</f>
        <v>-35968</v>
      </c>
      <c r="H2028" s="120">
        <f t="shared" si="152"/>
        <v>-17984</v>
      </c>
      <c r="I2028" s="120">
        <f t="shared" si="153"/>
        <v>-17984</v>
      </c>
      <c r="J2028" s="3" t="str">
        <f t="shared" si="148"/>
        <v>2850074</v>
      </c>
    </row>
    <row r="2029" spans="1:10" s="3" customFormat="1">
      <c r="A2029" s="3" t="s">
        <v>6269</v>
      </c>
      <c r="B2029" s="3" t="s">
        <v>2114</v>
      </c>
      <c r="C2029" s="8">
        <v>6</v>
      </c>
      <c r="D2029" s="3" t="s">
        <v>2474</v>
      </c>
      <c r="E2029" s="11" t="s">
        <v>644</v>
      </c>
      <c r="F2029" s="10">
        <v>0</v>
      </c>
      <c r="G2029" s="12">
        <f>ROUND(G$3*F2029,0)</f>
        <v>0</v>
      </c>
      <c r="H2029" s="13">
        <f t="shared" si="152"/>
        <v>0</v>
      </c>
      <c r="I2029" s="12">
        <f t="shared" si="153"/>
        <v>0</v>
      </c>
      <c r="J2029" s="3" t="str">
        <f t="shared" si="148"/>
        <v>2861018</v>
      </c>
    </row>
    <row r="2030" spans="1:10" s="3" customFormat="1">
      <c r="B2030" s="3" t="s">
        <v>2114</v>
      </c>
      <c r="C2030" s="8">
        <v>0</v>
      </c>
      <c r="D2030" s="125" t="s">
        <v>2187</v>
      </c>
      <c r="E2030" s="28" t="s">
        <v>288</v>
      </c>
      <c r="F2030" s="10">
        <v>1</v>
      </c>
      <c r="G2030" s="12">
        <f>+G1948+SUM(G1951:G2004)+SUM(G2007:G2008)+SUM(G2011:G2012)+SUM(G2015:G2016)+SUM(G2019:G2020)+SUM(G2023:G2029)</f>
        <v>251555</v>
      </c>
      <c r="H2030" s="12">
        <f>+H1948+SUM(H1951:H2004)+SUM(H2007:H2008)+SUM(H2011:H2012)+SUM(H2015:H2016)+SUM(H2019:H2020)+SUM(H2023:H2029)</f>
        <v>125789</v>
      </c>
      <c r="I2030" s="12">
        <f>+I1948+SUM(I1951:I2004)+SUM(I2007:I2008)+SUM(I2011:I2012)+SUM(I2015:I2016)+SUM(I2019:I2020)+SUM(I2023:I2029)</f>
        <v>125766</v>
      </c>
      <c r="J2030" s="3" t="str">
        <f t="shared" si="148"/>
        <v>2800000</v>
      </c>
    </row>
    <row r="2031" spans="1:10" s="3" customFormat="1">
      <c r="B2031" s="3" t="s">
        <v>2114</v>
      </c>
      <c r="C2031" s="8">
        <v>0</v>
      </c>
      <c r="D2031" s="3" t="s">
        <v>2187</v>
      </c>
      <c r="E2031" s="18" t="s">
        <v>38</v>
      </c>
      <c r="G2031" s="19">
        <f>+G1948</f>
        <v>320</v>
      </c>
      <c r="H2031" s="19">
        <f>+H1948</f>
        <v>160</v>
      </c>
      <c r="I2031" s="19">
        <f>+I1948</f>
        <v>160</v>
      </c>
      <c r="J2031" s="3" t="str">
        <f t="shared" si="148"/>
        <v>2800000</v>
      </c>
    </row>
    <row r="2032" spans="1:10" s="3" customFormat="1">
      <c r="B2032" s="3" t="s">
        <v>2114</v>
      </c>
      <c r="C2032" s="8">
        <v>0</v>
      </c>
      <c r="D2032" s="3" t="s">
        <v>2187</v>
      </c>
      <c r="E2032" s="2" t="s">
        <v>39</v>
      </c>
      <c r="G2032" s="19">
        <f>+G1951</f>
        <v>17673</v>
      </c>
      <c r="H2032" s="19">
        <f>+H1951</f>
        <v>8837</v>
      </c>
      <c r="I2032" s="19">
        <f>+I1951</f>
        <v>8836</v>
      </c>
      <c r="J2032" s="3" t="str">
        <f t="shared" si="148"/>
        <v>2800000</v>
      </c>
    </row>
    <row r="2033" spans="2:10" s="3" customFormat="1">
      <c r="B2033" s="3" t="s">
        <v>2114</v>
      </c>
      <c r="C2033" s="8">
        <v>0</v>
      </c>
      <c r="D2033" s="3" t="s">
        <v>2187</v>
      </c>
      <c r="E2033" s="2" t="s">
        <v>40</v>
      </c>
      <c r="G2033" s="19">
        <f>+G2007+G2011+G2015+G2019+G2023</f>
        <v>76503</v>
      </c>
      <c r="H2033" s="19">
        <f>+H2007+H2011+H2015+H2019+H2023</f>
        <v>38253</v>
      </c>
      <c r="I2033" s="19">
        <f>+I2007+I2011+I2015+I2019+I2023</f>
        <v>38250</v>
      </c>
      <c r="J2033" s="3" t="str">
        <f t="shared" si="148"/>
        <v>2800000</v>
      </c>
    </row>
    <row r="2034" spans="2:10" s="3" customFormat="1">
      <c r="B2034" s="3" t="s">
        <v>2114</v>
      </c>
      <c r="C2034" s="8">
        <v>0</v>
      </c>
      <c r="D2034" s="125" t="s">
        <v>2187</v>
      </c>
      <c r="E2034" s="18" t="s">
        <v>41</v>
      </c>
      <c r="G2034" s="19">
        <f>+G2030-G2031-G2032-G2033</f>
        <v>157059</v>
      </c>
      <c r="H2034" s="19">
        <f>+H2030-H2031-H2032-H2033</f>
        <v>78539</v>
      </c>
      <c r="I2034" s="19">
        <f>+I2030-I2031-I2032-I2033</f>
        <v>78520</v>
      </c>
      <c r="J2034" s="3" t="str">
        <f t="shared" si="148"/>
        <v>2800000</v>
      </c>
    </row>
    <row r="2035" spans="2:10" ht="15.75">
      <c r="B2035" s="3" t="s">
        <v>2186</v>
      </c>
      <c r="D2035" t="s">
        <v>2186</v>
      </c>
      <c r="E2035">
        <v>0</v>
      </c>
      <c r="G2035"/>
      <c r="H2035"/>
      <c r="I2035"/>
      <c r="J2035" s="3" t="str">
        <f t="shared" si="148"/>
        <v/>
      </c>
    </row>
    <row r="2036" spans="2:10" s="3" customFormat="1">
      <c r="C2036" s="1"/>
      <c r="D2036" s="3" t="s">
        <v>2186</v>
      </c>
      <c r="E2036" s="2" t="s">
        <v>645</v>
      </c>
      <c r="J2036" s="3" t="str">
        <f t="shared" si="148"/>
        <v/>
      </c>
    </row>
    <row r="2037" spans="2:10" s="3" customFormat="1" ht="45">
      <c r="B2037" s="3" t="s">
        <v>2186</v>
      </c>
      <c r="C2037" s="1"/>
      <c r="D2037" s="3" t="s">
        <v>2186</v>
      </c>
      <c r="E2037" s="1">
        <v>0</v>
      </c>
      <c r="F2037" s="6" t="s">
        <v>1</v>
      </c>
      <c r="G2037" s="60">
        <f>'Allocation Worksheet'!H2037</f>
        <v>0</v>
      </c>
      <c r="H2037" s="60">
        <f>'Allocation Worksheet'!H2038</f>
        <v>0</v>
      </c>
      <c r="I2037" s="60">
        <f>'Allocation Worksheet'!H2039</f>
        <v>0</v>
      </c>
      <c r="J2037" s="3" t="str">
        <f t="shared" si="148"/>
        <v/>
      </c>
    </row>
    <row r="2038" spans="2:10" s="3" customFormat="1">
      <c r="C2038" s="7" t="s">
        <v>2087</v>
      </c>
      <c r="D2038" s="3" t="s">
        <v>2186</v>
      </c>
      <c r="E2038" s="7" t="s">
        <v>3</v>
      </c>
      <c r="F2038" s="10"/>
      <c r="G2038" s="9">
        <f>'Allocation Worksheet'!$D$32</f>
        <v>1343409</v>
      </c>
      <c r="H2038" s="11"/>
      <c r="I2038" s="11"/>
      <c r="J2038" s="3" t="str">
        <f t="shared" si="148"/>
        <v>UT</v>
      </c>
    </row>
    <row r="2039" spans="2:10" s="3" customFormat="1">
      <c r="B2039" s="3" t="s">
        <v>2115</v>
      </c>
      <c r="C2039" s="8">
        <v>0</v>
      </c>
      <c r="D2039" s="3" t="s">
        <v>2187</v>
      </c>
      <c r="E2039" s="11" t="s">
        <v>4</v>
      </c>
      <c r="F2039" s="10">
        <v>1.1310000000000001E-3</v>
      </c>
      <c r="G2039" s="12">
        <f>ROUND(G$3*F2039,0)</f>
        <v>325</v>
      </c>
      <c r="H2039" s="13">
        <f>ROUND(G2039/2,0)</f>
        <v>163</v>
      </c>
      <c r="I2039" s="12">
        <f>G2039-H2039</f>
        <v>162</v>
      </c>
      <c r="J2039" s="3" t="str">
        <f t="shared" si="148"/>
        <v>2900000</v>
      </c>
    </row>
    <row r="2040" spans="2:10" s="3" customFormat="1">
      <c r="B2040" s="3" t="s">
        <v>2115</v>
      </c>
      <c r="C2040" s="8">
        <v>1</v>
      </c>
      <c r="D2040" s="3" t="s">
        <v>2187</v>
      </c>
      <c r="E2040" s="11" t="s">
        <v>646</v>
      </c>
      <c r="F2040" s="10">
        <v>0.115262</v>
      </c>
      <c r="G2040" s="9">
        <f>ROUND(G$3*F2040,0)</f>
        <v>33164</v>
      </c>
      <c r="H2040" s="11">
        <f>ROUND(G2040/2,0)</f>
        <v>16582</v>
      </c>
      <c r="I2040" s="9">
        <f>G2040-H2040</f>
        <v>16582</v>
      </c>
      <c r="J2040" s="3" t="str">
        <f t="shared" si="148"/>
        <v>2910000</v>
      </c>
    </row>
    <row r="2041" spans="2:10" s="3" customFormat="1">
      <c r="B2041" s="3" t="s">
        <v>2115</v>
      </c>
      <c r="C2041" s="8">
        <v>1</v>
      </c>
      <c r="D2041" s="3" t="s">
        <v>2187</v>
      </c>
      <c r="E2041" s="11" t="s">
        <v>6</v>
      </c>
      <c r="F2041" s="11"/>
      <c r="G2041" s="14">
        <v>5.8915000000000002E-2</v>
      </c>
      <c r="H2041" s="11"/>
      <c r="I2041" s="11"/>
      <c r="J2041" s="3" t="str">
        <f t="shared" si="148"/>
        <v>2910000</v>
      </c>
    </row>
    <row r="2042" spans="2:10" s="3" customFormat="1">
      <c r="B2042" s="3" t="s">
        <v>2115</v>
      </c>
      <c r="C2042" s="8">
        <v>1</v>
      </c>
      <c r="D2042" s="3" t="s">
        <v>2187</v>
      </c>
      <c r="E2042" s="11" t="s">
        <v>7</v>
      </c>
      <c r="F2042" s="11"/>
      <c r="G2042" s="15">
        <f>ROUND(G2040*G2041,0)</f>
        <v>1954</v>
      </c>
      <c r="H2042" s="16">
        <f>ROUND(G2042/2,0)</f>
        <v>977</v>
      </c>
      <c r="I2042" s="15">
        <f>G2042-H2042</f>
        <v>977</v>
      </c>
      <c r="J2042" s="3" t="str">
        <f t="shared" si="148"/>
        <v>2910000</v>
      </c>
    </row>
    <row r="2043" spans="2:10" s="3" customFormat="1">
      <c r="B2043" s="3" t="s">
        <v>2115</v>
      </c>
      <c r="C2043" s="8">
        <v>1</v>
      </c>
      <c r="D2043" s="3" t="s">
        <v>2187</v>
      </c>
      <c r="E2043" s="11" t="s">
        <v>8</v>
      </c>
      <c r="F2043" s="11"/>
      <c r="G2043" s="12">
        <f>+G2040-G2042</f>
        <v>31210</v>
      </c>
      <c r="H2043" s="13">
        <f>ROUND(G2043/2,0)</f>
        <v>15605</v>
      </c>
      <c r="I2043" s="12">
        <f>G2043-H2043</f>
        <v>15605</v>
      </c>
      <c r="J2043" s="3" t="str">
        <f t="shared" si="148"/>
        <v>2910000</v>
      </c>
    </row>
    <row r="2044" spans="2:10" s="3" customFormat="1">
      <c r="B2044" s="3" t="s">
        <v>2115</v>
      </c>
      <c r="C2044" s="8">
        <v>2</v>
      </c>
      <c r="D2044" s="3" t="s">
        <v>6267</v>
      </c>
      <c r="E2044" s="11" t="s">
        <v>46</v>
      </c>
      <c r="F2044" s="11"/>
      <c r="G2044" s="9"/>
      <c r="H2044" s="11"/>
      <c r="I2044" s="11"/>
      <c r="J2044" s="3" t="str">
        <f t="shared" si="148"/>
        <v>292XXXX</v>
      </c>
    </row>
    <row r="2045" spans="2:10" s="3" customFormat="1">
      <c r="B2045" s="3" t="s">
        <v>2115</v>
      </c>
      <c r="C2045" s="8">
        <v>2</v>
      </c>
      <c r="D2045" s="3" t="s">
        <v>6267</v>
      </c>
      <c r="E2045" s="11" t="s">
        <v>10</v>
      </c>
      <c r="F2045" s="10">
        <v>7.5600000000000005E-4</v>
      </c>
      <c r="G2045" s="12">
        <f>ROUND(G$3*F2045,0)</f>
        <v>218</v>
      </c>
      <c r="H2045" s="13">
        <f>ROUND(G2045/2,0)</f>
        <v>109</v>
      </c>
      <c r="I2045" s="12">
        <f>G2045-H2045</f>
        <v>109</v>
      </c>
      <c r="J2045" s="3" t="str">
        <f t="shared" si="148"/>
        <v>292XXXX</v>
      </c>
    </row>
    <row r="2046" spans="2:10" s="3" customFormat="1">
      <c r="B2046" s="3" t="s">
        <v>2115</v>
      </c>
      <c r="C2046" s="8">
        <v>2</v>
      </c>
      <c r="D2046" s="3" t="s">
        <v>6267</v>
      </c>
      <c r="E2046" s="11" t="s">
        <v>11</v>
      </c>
      <c r="F2046" s="10">
        <v>5.8999999999999998E-5</v>
      </c>
      <c r="G2046" s="12">
        <f>ROUND(G$3*F2046,0)</f>
        <v>17</v>
      </c>
      <c r="H2046" s="13">
        <f>ROUND(G2046/2,0)</f>
        <v>9</v>
      </c>
      <c r="I2046" s="12">
        <f>G2046-H2046</f>
        <v>8</v>
      </c>
      <c r="J2046" s="3" t="str">
        <f t="shared" si="148"/>
        <v>292XXXX</v>
      </c>
    </row>
    <row r="2047" spans="2:10" s="3" customFormat="1">
      <c r="B2047" s="3" t="s">
        <v>2115</v>
      </c>
      <c r="C2047" s="8">
        <v>2</v>
      </c>
      <c r="D2047" s="3" t="s">
        <v>2189</v>
      </c>
      <c r="E2047" s="11" t="s">
        <v>81</v>
      </c>
      <c r="F2047" s="11"/>
      <c r="G2047" s="9"/>
      <c r="H2047" s="11"/>
      <c r="I2047" s="11"/>
      <c r="J2047" s="3" t="str">
        <f t="shared" si="148"/>
        <v>2920002</v>
      </c>
    </row>
    <row r="2048" spans="2:10" s="3" customFormat="1">
      <c r="B2048" s="3" t="s">
        <v>2115</v>
      </c>
      <c r="C2048" s="8">
        <v>2</v>
      </c>
      <c r="D2048" s="3" t="s">
        <v>2189</v>
      </c>
      <c r="E2048" s="11" t="s">
        <v>10</v>
      </c>
      <c r="F2048" s="10">
        <v>5.2050000000000004E-3</v>
      </c>
      <c r="G2048" s="12">
        <f>ROUND(G$3*F2048,0)</f>
        <v>1498</v>
      </c>
      <c r="H2048" s="13">
        <f>ROUND(G2048/2,0)</f>
        <v>749</v>
      </c>
      <c r="I2048" s="12">
        <f>G2048-H2048</f>
        <v>749</v>
      </c>
      <c r="J2048" s="3" t="str">
        <f t="shared" si="148"/>
        <v>2920002</v>
      </c>
    </row>
    <row r="2049" spans="2:10" s="3" customFormat="1">
      <c r="B2049" s="3" t="s">
        <v>2115</v>
      </c>
      <c r="C2049" s="8">
        <v>2</v>
      </c>
      <c r="D2049" s="3" t="s">
        <v>2189</v>
      </c>
      <c r="E2049" s="11" t="s">
        <v>11</v>
      </c>
      <c r="F2049" s="10">
        <v>8.3600000000000005E-4</v>
      </c>
      <c r="G2049" s="12">
        <f>ROUND(G$3*F2049,0)</f>
        <v>241</v>
      </c>
      <c r="H2049" s="13">
        <f>ROUND(G2049/2,0)</f>
        <v>121</v>
      </c>
      <c r="I2049" s="12">
        <f>G2049-H2049</f>
        <v>120</v>
      </c>
      <c r="J2049" s="3" t="str">
        <f t="shared" si="148"/>
        <v>2920002</v>
      </c>
    </row>
    <row r="2050" spans="2:10" s="3" customFormat="1">
      <c r="B2050" s="3" t="s">
        <v>2115</v>
      </c>
      <c r="C2050" s="8">
        <v>2</v>
      </c>
      <c r="D2050" s="3" t="s">
        <v>2190</v>
      </c>
      <c r="E2050" s="11" t="s">
        <v>400</v>
      </c>
      <c r="F2050" s="11"/>
      <c r="G2050" s="9"/>
      <c r="H2050" s="11"/>
      <c r="I2050" s="11"/>
      <c r="J2050" s="3" t="str">
        <f t="shared" si="148"/>
        <v>2920003</v>
      </c>
    </row>
    <row r="2051" spans="2:10" s="3" customFormat="1">
      <c r="B2051" s="3" t="s">
        <v>2115</v>
      </c>
      <c r="C2051" s="8">
        <v>2</v>
      </c>
      <c r="D2051" s="3" t="s">
        <v>2190</v>
      </c>
      <c r="E2051" s="11" t="s">
        <v>10</v>
      </c>
      <c r="F2051" s="10">
        <v>2.333E-3</v>
      </c>
      <c r="G2051" s="12">
        <f>ROUND(G$3*F2051,0)</f>
        <v>671</v>
      </c>
      <c r="H2051" s="13">
        <f>ROUND(G2051/2,0)</f>
        <v>336</v>
      </c>
      <c r="I2051" s="12">
        <f>G2051-H2051</f>
        <v>335</v>
      </c>
      <c r="J2051" s="3" t="str">
        <f t="shared" si="148"/>
        <v>2920003</v>
      </c>
    </row>
    <row r="2052" spans="2:10" s="3" customFormat="1">
      <c r="B2052" s="3" t="s">
        <v>2115</v>
      </c>
      <c r="C2052" s="8">
        <v>2</v>
      </c>
      <c r="D2052" s="3" t="s">
        <v>2190</v>
      </c>
      <c r="E2052" s="11" t="s">
        <v>11</v>
      </c>
      <c r="F2052" s="10">
        <v>1.4200000000000001E-4</v>
      </c>
      <c r="G2052" s="12">
        <f>ROUND(G$3*F2052,0)</f>
        <v>41</v>
      </c>
      <c r="H2052" s="13">
        <f>ROUND(G2052/2,0)</f>
        <v>21</v>
      </c>
      <c r="I2052" s="12">
        <f>G2052-H2052</f>
        <v>20</v>
      </c>
      <c r="J2052" s="3" t="str">
        <f t="shared" ref="J2052:J2115" si="154">B2052&amp;C2052&amp;D2052</f>
        <v>2920003</v>
      </c>
    </row>
    <row r="2053" spans="2:10" s="3" customFormat="1">
      <c r="B2053" s="3" t="s">
        <v>2115</v>
      </c>
      <c r="C2053" s="8">
        <v>2</v>
      </c>
      <c r="D2053" s="3" t="s">
        <v>2191</v>
      </c>
      <c r="E2053" s="11" t="s">
        <v>647</v>
      </c>
      <c r="F2053" s="11"/>
      <c r="G2053" s="9"/>
      <c r="H2053" s="11"/>
      <c r="I2053" s="11"/>
      <c r="J2053" s="3" t="str">
        <f t="shared" si="154"/>
        <v>2920004</v>
      </c>
    </row>
    <row r="2054" spans="2:10" s="3" customFormat="1">
      <c r="B2054" s="3" t="s">
        <v>2115</v>
      </c>
      <c r="C2054" s="8">
        <v>2</v>
      </c>
      <c r="D2054" s="3" t="s">
        <v>2191</v>
      </c>
      <c r="E2054" s="11" t="s">
        <v>10</v>
      </c>
      <c r="F2054" s="10">
        <v>7.2099999999999996E-4</v>
      </c>
      <c r="G2054" s="12">
        <f>ROUND(G$3*F2054,0)</f>
        <v>207</v>
      </c>
      <c r="H2054" s="13">
        <f>ROUND(G2054/2,0)</f>
        <v>104</v>
      </c>
      <c r="I2054" s="12">
        <f>G2054-H2054</f>
        <v>103</v>
      </c>
      <c r="J2054" s="3" t="str">
        <f t="shared" si="154"/>
        <v>2920004</v>
      </c>
    </row>
    <row r="2055" spans="2:10" s="3" customFormat="1">
      <c r="B2055" s="3" t="s">
        <v>2115</v>
      </c>
      <c r="C2055" s="8">
        <v>2</v>
      </c>
      <c r="D2055" s="3" t="s">
        <v>2191</v>
      </c>
      <c r="E2055" s="11" t="s">
        <v>11</v>
      </c>
      <c r="F2055" s="10">
        <v>5.22E-4</v>
      </c>
      <c r="G2055" s="12">
        <f>ROUND(G$3*F2055,0)</f>
        <v>150</v>
      </c>
      <c r="H2055" s="13">
        <f>ROUND(G2055/2,0)</f>
        <v>75</v>
      </c>
      <c r="I2055" s="12">
        <f>G2055-H2055</f>
        <v>75</v>
      </c>
      <c r="J2055" s="3" t="str">
        <f t="shared" si="154"/>
        <v>2920004</v>
      </c>
    </row>
    <row r="2056" spans="2:10" s="3" customFormat="1">
      <c r="B2056" s="3" t="s">
        <v>2115</v>
      </c>
      <c r="C2056" s="8">
        <v>2</v>
      </c>
      <c r="D2056" s="3" t="s">
        <v>2192</v>
      </c>
      <c r="E2056" s="11" t="s">
        <v>49</v>
      </c>
      <c r="F2056" s="11"/>
      <c r="G2056" s="9"/>
      <c r="H2056" s="11"/>
      <c r="I2056" s="11"/>
      <c r="J2056" s="3" t="str">
        <f t="shared" si="154"/>
        <v>2920005</v>
      </c>
    </row>
    <row r="2057" spans="2:10" s="3" customFormat="1">
      <c r="B2057" s="3" t="s">
        <v>2115</v>
      </c>
      <c r="C2057" s="8">
        <v>2</v>
      </c>
      <c r="D2057" s="3" t="s">
        <v>2192</v>
      </c>
      <c r="E2057" s="11" t="s">
        <v>10</v>
      </c>
      <c r="F2057" s="10">
        <v>5.1400000000000003E-4</v>
      </c>
      <c r="G2057" s="12">
        <f>ROUND(G$3*F2057,0)</f>
        <v>148</v>
      </c>
      <c r="H2057" s="13">
        <f>ROUND(G2057/2,0)</f>
        <v>74</v>
      </c>
      <c r="I2057" s="12">
        <f>G2057-H2057</f>
        <v>74</v>
      </c>
      <c r="J2057" s="3" t="str">
        <f t="shared" si="154"/>
        <v>2920005</v>
      </c>
    </row>
    <row r="2058" spans="2:10" s="3" customFormat="1">
      <c r="B2058" s="3" t="s">
        <v>2115</v>
      </c>
      <c r="C2058" s="8">
        <v>2</v>
      </c>
      <c r="D2058" s="3" t="s">
        <v>2192</v>
      </c>
      <c r="E2058" s="11" t="s">
        <v>11</v>
      </c>
      <c r="F2058" s="10">
        <v>2.4699999999999999E-4</v>
      </c>
      <c r="G2058" s="12">
        <f>ROUND(G$3*F2058,0)</f>
        <v>71</v>
      </c>
      <c r="H2058" s="13">
        <f>ROUND(G2058/2,0)</f>
        <v>36</v>
      </c>
      <c r="I2058" s="12">
        <f>G2058-H2058</f>
        <v>35</v>
      </c>
      <c r="J2058" s="3" t="str">
        <f t="shared" si="154"/>
        <v>2920005</v>
      </c>
    </row>
    <row r="2059" spans="2:10" s="3" customFormat="1">
      <c r="B2059" s="3" t="s">
        <v>2115</v>
      </c>
      <c r="C2059" s="8">
        <v>2</v>
      </c>
      <c r="D2059" s="3" t="s">
        <v>2193</v>
      </c>
      <c r="E2059" s="11" t="s">
        <v>648</v>
      </c>
      <c r="F2059" s="11"/>
      <c r="G2059" s="9"/>
      <c r="H2059" s="11"/>
      <c r="I2059" s="11"/>
      <c r="J2059" s="3" t="str">
        <f t="shared" si="154"/>
        <v>2920006</v>
      </c>
    </row>
    <row r="2060" spans="2:10" s="3" customFormat="1">
      <c r="B2060" s="3" t="s">
        <v>2115</v>
      </c>
      <c r="C2060" s="8">
        <v>2</v>
      </c>
      <c r="D2060" s="3" t="s">
        <v>2193</v>
      </c>
      <c r="E2060" s="11" t="s">
        <v>10</v>
      </c>
      <c r="F2060" s="10">
        <v>6.9249999999999997E-3</v>
      </c>
      <c r="G2060" s="12">
        <f>ROUND(G$3*F2060,0)</f>
        <v>1992</v>
      </c>
      <c r="H2060" s="13">
        <f>ROUND(G2060/2,0)</f>
        <v>996</v>
      </c>
      <c r="I2060" s="12">
        <f>G2060-H2060</f>
        <v>996</v>
      </c>
      <c r="J2060" s="3" t="str">
        <f t="shared" si="154"/>
        <v>2920006</v>
      </c>
    </row>
    <row r="2061" spans="2:10" s="3" customFormat="1">
      <c r="B2061" s="3" t="s">
        <v>2115</v>
      </c>
      <c r="C2061" s="8">
        <v>2</v>
      </c>
      <c r="D2061" s="3" t="s">
        <v>2193</v>
      </c>
      <c r="E2061" s="11" t="s">
        <v>11</v>
      </c>
      <c r="F2061" s="10">
        <v>1.5889999999999999E-3</v>
      </c>
      <c r="G2061" s="12">
        <f>ROUND(G$3*F2061,0)</f>
        <v>457</v>
      </c>
      <c r="H2061" s="13">
        <f>ROUND(G2061/2,0)</f>
        <v>229</v>
      </c>
      <c r="I2061" s="12">
        <f>G2061-H2061</f>
        <v>228</v>
      </c>
      <c r="J2061" s="3" t="str">
        <f t="shared" si="154"/>
        <v>2920006</v>
      </c>
    </row>
    <row r="2062" spans="2:10" s="3" customFormat="1">
      <c r="B2062" s="3" t="s">
        <v>2115</v>
      </c>
      <c r="C2062" s="8">
        <v>2</v>
      </c>
      <c r="D2062" s="3" t="s">
        <v>2194</v>
      </c>
      <c r="E2062" s="11" t="s">
        <v>22</v>
      </c>
      <c r="F2062" s="11"/>
      <c r="G2062" s="9"/>
      <c r="H2062" s="11"/>
      <c r="I2062" s="11"/>
      <c r="J2062" s="3" t="str">
        <f t="shared" si="154"/>
        <v>2920007</v>
      </c>
    </row>
    <row r="2063" spans="2:10" s="3" customFormat="1">
      <c r="B2063" s="3" t="s">
        <v>2115</v>
      </c>
      <c r="C2063" s="8">
        <v>2</v>
      </c>
      <c r="D2063" s="3" t="s">
        <v>2194</v>
      </c>
      <c r="E2063" s="11" t="s">
        <v>10</v>
      </c>
      <c r="F2063" s="10">
        <v>6.3769999999999999E-3</v>
      </c>
      <c r="G2063" s="12">
        <f>ROUND(G$3*F2063,0)</f>
        <v>1835</v>
      </c>
      <c r="H2063" s="13">
        <f>ROUND(G2063/2,0)</f>
        <v>918</v>
      </c>
      <c r="I2063" s="12">
        <f>G2063-H2063</f>
        <v>917</v>
      </c>
      <c r="J2063" s="3" t="str">
        <f t="shared" si="154"/>
        <v>2920007</v>
      </c>
    </row>
    <row r="2064" spans="2:10" s="3" customFormat="1">
      <c r="B2064" s="3" t="s">
        <v>2115</v>
      </c>
      <c r="C2064" s="8">
        <v>2</v>
      </c>
      <c r="D2064" s="3" t="s">
        <v>2194</v>
      </c>
      <c r="E2064" s="11" t="s">
        <v>11</v>
      </c>
      <c r="F2064" s="10">
        <v>1.286E-3</v>
      </c>
      <c r="G2064" s="12">
        <f>ROUND(G$3*F2064,0)</f>
        <v>370</v>
      </c>
      <c r="H2064" s="13">
        <f>ROUND(G2064/2,0)</f>
        <v>185</v>
      </c>
      <c r="I2064" s="12">
        <f>G2064-H2064</f>
        <v>185</v>
      </c>
      <c r="J2064" s="3" t="str">
        <f t="shared" si="154"/>
        <v>2920007</v>
      </c>
    </row>
    <row r="2065" spans="2:10" s="3" customFormat="1">
      <c r="B2065" s="3" t="s">
        <v>2115</v>
      </c>
      <c r="C2065" s="8">
        <v>2</v>
      </c>
      <c r="D2065" s="3" t="s">
        <v>2195</v>
      </c>
      <c r="E2065" s="11" t="s">
        <v>61</v>
      </c>
      <c r="F2065" s="11"/>
      <c r="G2065" s="9"/>
      <c r="H2065" s="11"/>
      <c r="I2065" s="11"/>
      <c r="J2065" s="3" t="str">
        <f t="shared" si="154"/>
        <v>2920008</v>
      </c>
    </row>
    <row r="2066" spans="2:10" s="3" customFormat="1">
      <c r="B2066" s="3" t="s">
        <v>2115</v>
      </c>
      <c r="C2066" s="8">
        <v>2</v>
      </c>
      <c r="D2066" s="3" t="s">
        <v>2195</v>
      </c>
      <c r="E2066" s="11" t="s">
        <v>10</v>
      </c>
      <c r="F2066" s="10">
        <v>1.6699999999999999E-4</v>
      </c>
      <c r="G2066" s="12">
        <f>ROUND(G$3*F2066,0)</f>
        <v>48</v>
      </c>
      <c r="H2066" s="13">
        <f>ROUND(G2066/2,0)</f>
        <v>24</v>
      </c>
      <c r="I2066" s="12">
        <f>G2066-H2066</f>
        <v>24</v>
      </c>
      <c r="J2066" s="3" t="str">
        <f t="shared" si="154"/>
        <v>2920008</v>
      </c>
    </row>
    <row r="2067" spans="2:10" s="3" customFormat="1">
      <c r="B2067" s="3" t="s">
        <v>2115</v>
      </c>
      <c r="C2067" s="8">
        <v>2</v>
      </c>
      <c r="D2067" s="3" t="s">
        <v>2195</v>
      </c>
      <c r="E2067" s="11" t="s">
        <v>11</v>
      </c>
      <c r="F2067" s="10">
        <v>5.9500000000000004E-4</v>
      </c>
      <c r="G2067" s="12">
        <f>ROUND(G$3*F2067,0)</f>
        <v>171</v>
      </c>
      <c r="H2067" s="13">
        <f>ROUND(G2067/2,0)</f>
        <v>86</v>
      </c>
      <c r="I2067" s="12">
        <f>G2067-H2067</f>
        <v>85</v>
      </c>
      <c r="J2067" s="3" t="str">
        <f t="shared" si="154"/>
        <v>2920008</v>
      </c>
    </row>
    <row r="2068" spans="2:10" s="3" customFormat="1">
      <c r="B2068" s="3" t="s">
        <v>2115</v>
      </c>
      <c r="C2068" s="8">
        <v>2</v>
      </c>
      <c r="D2068" s="3" t="s">
        <v>2196</v>
      </c>
      <c r="E2068" s="11" t="s">
        <v>569</v>
      </c>
      <c r="F2068" s="11"/>
      <c r="G2068" s="9"/>
      <c r="H2068" s="11"/>
      <c r="I2068" s="11"/>
      <c r="J2068" s="3" t="str">
        <f t="shared" si="154"/>
        <v>2920009</v>
      </c>
    </row>
    <row r="2069" spans="2:10" s="3" customFormat="1">
      <c r="B2069" s="3" t="s">
        <v>2115</v>
      </c>
      <c r="C2069" s="8">
        <v>2</v>
      </c>
      <c r="D2069" s="3" t="s">
        <v>2196</v>
      </c>
      <c r="E2069" s="11" t="s">
        <v>10</v>
      </c>
      <c r="F2069" s="10">
        <v>8.9700000000000001E-4</v>
      </c>
      <c r="G2069" s="12">
        <f t="shared" ref="G2069:G2079" si="155">ROUND(G$3*F2069,0)</f>
        <v>258</v>
      </c>
      <c r="H2069" s="13">
        <f t="shared" ref="H2069:H2079" si="156">ROUND(G2069/2,0)</f>
        <v>129</v>
      </c>
      <c r="I2069" s="12">
        <f t="shared" ref="I2069:I2079" si="157">G2069-H2069</f>
        <v>129</v>
      </c>
      <c r="J2069" s="3" t="str">
        <f t="shared" si="154"/>
        <v>2920009</v>
      </c>
    </row>
    <row r="2070" spans="2:10" s="3" customFormat="1">
      <c r="B2070" s="3" t="s">
        <v>2115</v>
      </c>
      <c r="C2070" s="8">
        <v>2</v>
      </c>
      <c r="D2070" s="3" t="s">
        <v>2196</v>
      </c>
      <c r="E2070" s="11" t="s">
        <v>11</v>
      </c>
      <c r="F2070" s="10">
        <v>6.0400000000000004E-4</v>
      </c>
      <c r="G2070" s="12">
        <f t="shared" si="155"/>
        <v>174</v>
      </c>
      <c r="H2070" s="13">
        <f t="shared" si="156"/>
        <v>87</v>
      </c>
      <c r="I2070" s="12">
        <f t="shared" si="157"/>
        <v>87</v>
      </c>
      <c r="J2070" s="3" t="str">
        <f t="shared" si="154"/>
        <v>2920009</v>
      </c>
    </row>
    <row r="2071" spans="2:10" s="3" customFormat="1">
      <c r="B2071" s="3" t="s">
        <v>2115</v>
      </c>
      <c r="C2071" s="8">
        <v>3</v>
      </c>
      <c r="D2071" s="3" t="s">
        <v>2511</v>
      </c>
      <c r="E2071" s="11" t="s">
        <v>649</v>
      </c>
      <c r="F2071" s="10">
        <v>8.4800000000000001E-4</v>
      </c>
      <c r="G2071" s="12">
        <f t="shared" si="155"/>
        <v>244</v>
      </c>
      <c r="H2071" s="13">
        <f t="shared" si="156"/>
        <v>122</v>
      </c>
      <c r="I2071" s="12">
        <f t="shared" si="157"/>
        <v>122</v>
      </c>
      <c r="J2071" s="3" t="str">
        <f t="shared" si="154"/>
        <v>2930639</v>
      </c>
    </row>
    <row r="2072" spans="2:10" s="3" customFormat="1">
      <c r="B2072" s="3" t="s">
        <v>2115</v>
      </c>
      <c r="C2072" s="8">
        <v>3</v>
      </c>
      <c r="D2072" s="3" t="s">
        <v>2512</v>
      </c>
      <c r="E2072" s="11" t="s">
        <v>650</v>
      </c>
      <c r="F2072" s="10">
        <v>2.5599999999999999E-4</v>
      </c>
      <c r="G2072" s="12">
        <f t="shared" si="155"/>
        <v>74</v>
      </c>
      <c r="H2072" s="13">
        <f t="shared" si="156"/>
        <v>37</v>
      </c>
      <c r="I2072" s="12">
        <f t="shared" si="157"/>
        <v>37</v>
      </c>
      <c r="J2072" s="3" t="str">
        <f t="shared" si="154"/>
        <v>2930640</v>
      </c>
    </row>
    <row r="2073" spans="2:10" s="3" customFormat="1">
      <c r="B2073" s="3" t="s">
        <v>2115</v>
      </c>
      <c r="C2073" s="8">
        <v>3</v>
      </c>
      <c r="D2073" s="3" t="s">
        <v>2509</v>
      </c>
      <c r="E2073" s="11" t="s">
        <v>651</v>
      </c>
      <c r="F2073" s="10">
        <v>1.9168000000000001E-2</v>
      </c>
      <c r="G2073" s="12">
        <f t="shared" si="155"/>
        <v>5515</v>
      </c>
      <c r="H2073" s="13">
        <f t="shared" si="156"/>
        <v>2758</v>
      </c>
      <c r="I2073" s="12">
        <f t="shared" si="157"/>
        <v>2757</v>
      </c>
      <c r="J2073" s="3" t="str">
        <f t="shared" si="154"/>
        <v>2930323</v>
      </c>
    </row>
    <row r="2074" spans="2:10" s="3" customFormat="1">
      <c r="B2074" s="3" t="s">
        <v>2115</v>
      </c>
      <c r="C2074" s="8">
        <v>3</v>
      </c>
      <c r="D2074" s="3" t="s">
        <v>2513</v>
      </c>
      <c r="E2074" s="11" t="s">
        <v>652</v>
      </c>
      <c r="F2074" s="10">
        <v>9.6699999999999998E-4</v>
      </c>
      <c r="G2074" s="12">
        <f t="shared" si="155"/>
        <v>278</v>
      </c>
      <c r="H2074" s="13">
        <f t="shared" si="156"/>
        <v>139</v>
      </c>
      <c r="I2074" s="12">
        <f t="shared" si="157"/>
        <v>139</v>
      </c>
      <c r="J2074" s="3" t="str">
        <f t="shared" si="154"/>
        <v>2930641</v>
      </c>
    </row>
    <row r="2075" spans="2:10" s="3" customFormat="1">
      <c r="B2075" s="3" t="s">
        <v>2115</v>
      </c>
      <c r="C2075" s="8">
        <v>3</v>
      </c>
      <c r="D2075" s="3" t="s">
        <v>2514</v>
      </c>
      <c r="E2075" s="11" t="s">
        <v>653</v>
      </c>
      <c r="F2075" s="10">
        <v>3.7935999999999998E-2</v>
      </c>
      <c r="G2075" s="12">
        <f t="shared" si="155"/>
        <v>10915</v>
      </c>
      <c r="H2075" s="13">
        <f t="shared" si="156"/>
        <v>5458</v>
      </c>
      <c r="I2075" s="12">
        <f t="shared" si="157"/>
        <v>5457</v>
      </c>
      <c r="J2075" s="3" t="str">
        <f t="shared" si="154"/>
        <v>2930642</v>
      </c>
    </row>
    <row r="2076" spans="2:10" s="3" customFormat="1">
      <c r="B2076" s="3" t="s">
        <v>2115</v>
      </c>
      <c r="C2076" s="8">
        <v>3</v>
      </c>
      <c r="D2076" s="3" t="s">
        <v>2510</v>
      </c>
      <c r="E2076" s="11" t="s">
        <v>654</v>
      </c>
      <c r="F2076" s="10">
        <v>2.5748E-2</v>
      </c>
      <c r="G2076" s="12">
        <f t="shared" si="155"/>
        <v>7408</v>
      </c>
      <c r="H2076" s="13">
        <f t="shared" si="156"/>
        <v>3704</v>
      </c>
      <c r="I2076" s="12">
        <f t="shared" si="157"/>
        <v>3704</v>
      </c>
      <c r="J2076" s="3" t="str">
        <f t="shared" si="154"/>
        <v>2930413</v>
      </c>
    </row>
    <row r="2077" spans="2:10" s="3" customFormat="1">
      <c r="B2077" s="3" t="s">
        <v>2115</v>
      </c>
      <c r="C2077" s="8">
        <v>3</v>
      </c>
      <c r="D2077" s="3" t="s">
        <v>2515</v>
      </c>
      <c r="E2077" s="11" t="s">
        <v>655</v>
      </c>
      <c r="F2077" s="10">
        <v>9.8299999999999993E-4</v>
      </c>
      <c r="G2077" s="12">
        <f t="shared" si="155"/>
        <v>283</v>
      </c>
      <c r="H2077" s="13">
        <f t="shared" si="156"/>
        <v>142</v>
      </c>
      <c r="I2077" s="12">
        <f t="shared" si="157"/>
        <v>141</v>
      </c>
      <c r="J2077" s="3" t="str">
        <f t="shared" si="154"/>
        <v>2930643</v>
      </c>
    </row>
    <row r="2078" spans="2:10" s="3" customFormat="1">
      <c r="B2078" s="3" t="s">
        <v>2115</v>
      </c>
      <c r="C2078" s="8">
        <v>3</v>
      </c>
      <c r="D2078" s="3" t="s">
        <v>2516</v>
      </c>
      <c r="E2078" s="11" t="s">
        <v>656</v>
      </c>
      <c r="F2078" s="10">
        <v>1.7416999999999998E-2</v>
      </c>
      <c r="G2078" s="12">
        <f t="shared" si="155"/>
        <v>5011</v>
      </c>
      <c r="H2078" s="13">
        <f t="shared" si="156"/>
        <v>2506</v>
      </c>
      <c r="I2078" s="12">
        <f t="shared" si="157"/>
        <v>2505</v>
      </c>
      <c r="J2078" s="3" t="str">
        <f t="shared" si="154"/>
        <v>2930644</v>
      </c>
    </row>
    <row r="2079" spans="2:10" s="3" customFormat="1">
      <c r="B2079" s="3" t="s">
        <v>2115</v>
      </c>
      <c r="C2079" s="8">
        <v>4</v>
      </c>
      <c r="D2079" s="3" t="s">
        <v>2520</v>
      </c>
      <c r="E2079" s="11" t="s">
        <v>657</v>
      </c>
      <c r="F2079" s="10">
        <v>0.102633</v>
      </c>
      <c r="G2079" s="9">
        <f t="shared" si="155"/>
        <v>29530</v>
      </c>
      <c r="H2079" s="11">
        <f t="shared" si="156"/>
        <v>14765</v>
      </c>
      <c r="I2079" s="9">
        <f t="shared" si="157"/>
        <v>14765</v>
      </c>
      <c r="J2079" s="3" t="str">
        <f t="shared" si="154"/>
        <v>2943060</v>
      </c>
    </row>
    <row r="2080" spans="2:10" s="3" customFormat="1">
      <c r="B2080" s="3" t="s">
        <v>2115</v>
      </c>
      <c r="C2080" s="8">
        <v>4</v>
      </c>
      <c r="D2080" s="3" t="s">
        <v>2520</v>
      </c>
      <c r="E2080" s="11" t="s">
        <v>28</v>
      </c>
      <c r="F2080" s="11"/>
      <c r="G2080" s="14">
        <v>0.54041399999999995</v>
      </c>
      <c r="H2080" s="11"/>
      <c r="I2080" s="11"/>
      <c r="J2080" s="3" t="str">
        <f t="shared" si="154"/>
        <v>2943060</v>
      </c>
    </row>
    <row r="2081" spans="2:10" s="3" customFormat="1">
      <c r="B2081" s="3" t="s">
        <v>2115</v>
      </c>
      <c r="C2081" s="8">
        <v>4</v>
      </c>
      <c r="D2081" s="3" t="s">
        <v>2520</v>
      </c>
      <c r="E2081" s="11" t="s">
        <v>29</v>
      </c>
      <c r="F2081" s="11"/>
      <c r="G2081" s="15">
        <f>ROUND(G2079*G2080,0)</f>
        <v>15958</v>
      </c>
      <c r="H2081" s="16">
        <f>ROUND(G2081/2,0)</f>
        <v>7979</v>
      </c>
      <c r="I2081" s="15">
        <f>G2081-H2081</f>
        <v>7979</v>
      </c>
      <c r="J2081" s="3" t="str">
        <f t="shared" si="154"/>
        <v>2943060</v>
      </c>
    </row>
    <row r="2082" spans="2:10" s="3" customFormat="1">
      <c r="B2082" s="3" t="s">
        <v>2115</v>
      </c>
      <c r="C2082" s="8">
        <v>4</v>
      </c>
      <c r="D2082" s="3" t="s">
        <v>2520</v>
      </c>
      <c r="E2082" s="11" t="s">
        <v>30</v>
      </c>
      <c r="F2082" s="11"/>
      <c r="G2082" s="12">
        <f>+G2079-G2081</f>
        <v>13572</v>
      </c>
      <c r="H2082" s="13">
        <f>ROUND(G2082/2,0)</f>
        <v>6786</v>
      </c>
      <c r="I2082" s="12">
        <f>G2082-H2082</f>
        <v>6786</v>
      </c>
      <c r="J2082" s="3" t="str">
        <f t="shared" si="154"/>
        <v>2943060</v>
      </c>
    </row>
    <row r="2083" spans="2:10" s="3" customFormat="1">
      <c r="B2083" s="3" t="s">
        <v>2115</v>
      </c>
      <c r="C2083" s="8">
        <v>4</v>
      </c>
      <c r="D2083" s="3" t="s">
        <v>2518</v>
      </c>
      <c r="E2083" s="11" t="s">
        <v>658</v>
      </c>
      <c r="F2083" s="10">
        <v>5.3034999999999999E-2</v>
      </c>
      <c r="G2083" s="9">
        <f>ROUND(G$3*F2083,0)</f>
        <v>15259</v>
      </c>
      <c r="H2083" s="11">
        <f>ROUND(G2083/2,0)</f>
        <v>7630</v>
      </c>
      <c r="I2083" s="9">
        <f>G2083-H2083</f>
        <v>7629</v>
      </c>
      <c r="J2083" s="3" t="str">
        <f t="shared" si="154"/>
        <v>2943025</v>
      </c>
    </row>
    <row r="2084" spans="2:10" s="3" customFormat="1">
      <c r="B2084" s="3" t="s">
        <v>2115</v>
      </c>
      <c r="C2084" s="8">
        <v>4</v>
      </c>
      <c r="D2084" s="3" t="s">
        <v>2518</v>
      </c>
      <c r="E2084" s="11" t="s">
        <v>28</v>
      </c>
      <c r="F2084" s="11"/>
      <c r="G2084" s="14">
        <v>0.41812100000000002</v>
      </c>
      <c r="H2084" s="11"/>
      <c r="I2084" s="11"/>
      <c r="J2084" s="3" t="str">
        <f t="shared" si="154"/>
        <v>2943025</v>
      </c>
    </row>
    <row r="2085" spans="2:10" s="3" customFormat="1">
      <c r="B2085" s="3" t="s">
        <v>2115</v>
      </c>
      <c r="C2085" s="8">
        <v>4</v>
      </c>
      <c r="D2085" s="3" t="s">
        <v>2518</v>
      </c>
      <c r="E2085" s="11" t="s">
        <v>29</v>
      </c>
      <c r="F2085" s="11"/>
      <c r="G2085" s="15">
        <f>ROUND(G2083*G2084,0)</f>
        <v>6380</v>
      </c>
      <c r="H2085" s="16">
        <f>ROUND(G2085/2,0)</f>
        <v>3190</v>
      </c>
      <c r="I2085" s="15">
        <f>G2085-H2085</f>
        <v>3190</v>
      </c>
      <c r="J2085" s="3" t="str">
        <f t="shared" si="154"/>
        <v>2943025</v>
      </c>
    </row>
    <row r="2086" spans="2:10" s="3" customFormat="1">
      <c r="B2086" s="3" t="s">
        <v>2115</v>
      </c>
      <c r="C2086" s="8">
        <v>4</v>
      </c>
      <c r="D2086" s="3" t="s">
        <v>2518</v>
      </c>
      <c r="E2086" s="11" t="s">
        <v>30</v>
      </c>
      <c r="F2086" s="11"/>
      <c r="G2086" s="12">
        <f>+G2083-G2085</f>
        <v>8879</v>
      </c>
      <c r="H2086" s="13">
        <f>ROUND(G2086/2,0)</f>
        <v>4440</v>
      </c>
      <c r="I2086" s="12">
        <f>G2086-H2086</f>
        <v>4439</v>
      </c>
      <c r="J2086" s="3" t="str">
        <f t="shared" si="154"/>
        <v>2943025</v>
      </c>
    </row>
    <row r="2087" spans="2:10" s="3" customFormat="1">
      <c r="B2087" s="3" t="s">
        <v>2115</v>
      </c>
      <c r="C2087" s="8">
        <v>4</v>
      </c>
      <c r="D2087" s="3" t="s">
        <v>2517</v>
      </c>
      <c r="E2087" s="11" t="s">
        <v>659</v>
      </c>
      <c r="F2087" s="10">
        <v>0.23035700000000001</v>
      </c>
      <c r="G2087" s="9">
        <f>ROUND(G$3*F2087,0)</f>
        <v>66279</v>
      </c>
      <c r="H2087" s="11">
        <f>ROUND(G2087/2,0)</f>
        <v>33140</v>
      </c>
      <c r="I2087" s="9">
        <f>G2087-H2087</f>
        <v>33139</v>
      </c>
      <c r="J2087" s="3" t="str">
        <f t="shared" si="154"/>
        <v>2943005</v>
      </c>
    </row>
    <row r="2088" spans="2:10" s="3" customFormat="1">
      <c r="B2088" s="3" t="s">
        <v>2115</v>
      </c>
      <c r="C2088" s="8">
        <v>4</v>
      </c>
      <c r="D2088" s="3" t="s">
        <v>2517</v>
      </c>
      <c r="E2088" s="11" t="s">
        <v>28</v>
      </c>
      <c r="F2088" s="11"/>
      <c r="G2088" s="14">
        <v>0.465028</v>
      </c>
      <c r="H2088" s="11"/>
      <c r="I2088" s="11"/>
      <c r="J2088" s="3" t="str">
        <f t="shared" si="154"/>
        <v>2943005</v>
      </c>
    </row>
    <row r="2089" spans="2:10" s="3" customFormat="1">
      <c r="B2089" s="3" t="s">
        <v>2115</v>
      </c>
      <c r="C2089" s="8">
        <v>4</v>
      </c>
      <c r="D2089" s="3" t="s">
        <v>2517</v>
      </c>
      <c r="E2089" s="11" t="s">
        <v>29</v>
      </c>
      <c r="F2089" s="11"/>
      <c r="G2089" s="15">
        <f>ROUND(G2087*G2088,0)</f>
        <v>30822</v>
      </c>
      <c r="H2089" s="16">
        <f>ROUND(G2089/2,0)</f>
        <v>15411</v>
      </c>
      <c r="I2089" s="15">
        <f>G2089-H2089</f>
        <v>15411</v>
      </c>
      <c r="J2089" s="3" t="str">
        <f t="shared" si="154"/>
        <v>2943005</v>
      </c>
    </row>
    <row r="2090" spans="2:10" s="3" customFormat="1">
      <c r="B2090" s="3" t="s">
        <v>2115</v>
      </c>
      <c r="C2090" s="8">
        <v>4</v>
      </c>
      <c r="D2090" s="3" t="s">
        <v>2517</v>
      </c>
      <c r="E2090" s="11" t="s">
        <v>30</v>
      </c>
      <c r="F2090" s="11"/>
      <c r="G2090" s="12">
        <f>+G2087-G2089</f>
        <v>35457</v>
      </c>
      <c r="H2090" s="13">
        <f>ROUND(G2090/2,0)</f>
        <v>17729</v>
      </c>
      <c r="I2090" s="12">
        <f>G2090-H2090</f>
        <v>17728</v>
      </c>
      <c r="J2090" s="3" t="str">
        <f t="shared" si="154"/>
        <v>2943005</v>
      </c>
    </row>
    <row r="2091" spans="2:10" s="128" customFormat="1">
      <c r="B2091" s="128" t="s">
        <v>2115</v>
      </c>
      <c r="C2091" s="129">
        <v>4</v>
      </c>
      <c r="D2091" s="128" t="s">
        <v>3327</v>
      </c>
      <c r="E2091" s="131" t="s">
        <v>160</v>
      </c>
      <c r="F2091" s="133">
        <v>1.6403000000000001E-2</v>
      </c>
      <c r="G2091" s="132">
        <f>ROUND(G$3*F2091,0)</f>
        <v>4720</v>
      </c>
      <c r="H2091" s="131">
        <f>ROUND(G2091/2,0)</f>
        <v>2360</v>
      </c>
      <c r="I2091" s="132">
        <f>G2091-H2091</f>
        <v>2360</v>
      </c>
      <c r="J2091" s="128" t="str">
        <f t="shared" si="154"/>
        <v>2943055</v>
      </c>
    </row>
    <row r="2092" spans="2:10" s="3" customFormat="1">
      <c r="B2092" s="3" t="s">
        <v>2115</v>
      </c>
      <c r="C2092" s="8">
        <v>4</v>
      </c>
      <c r="D2092" s="3" t="s">
        <v>3327</v>
      </c>
      <c r="E2092" s="11" t="s">
        <v>28</v>
      </c>
      <c r="F2092" s="11"/>
      <c r="G2092" s="14">
        <v>0.49457099999999998</v>
      </c>
      <c r="H2092" s="11"/>
      <c r="I2092" s="11"/>
      <c r="J2092" s="3" t="str">
        <f t="shared" si="154"/>
        <v>2943055</v>
      </c>
    </row>
    <row r="2093" spans="2:10" s="3" customFormat="1">
      <c r="B2093" s="3" t="s">
        <v>2115</v>
      </c>
      <c r="C2093" s="8">
        <v>4</v>
      </c>
      <c r="D2093" s="3" t="s">
        <v>3327</v>
      </c>
      <c r="E2093" s="11" t="s">
        <v>29</v>
      </c>
      <c r="F2093" s="11"/>
      <c r="G2093" s="15">
        <f>ROUND(G2091*G2092,0)</f>
        <v>2334</v>
      </c>
      <c r="H2093" s="16">
        <f>ROUND(G2093/2,0)</f>
        <v>1167</v>
      </c>
      <c r="I2093" s="15">
        <f>G2093-H2093</f>
        <v>1167</v>
      </c>
      <c r="J2093" s="3" t="str">
        <f t="shared" si="154"/>
        <v>2943055</v>
      </c>
    </row>
    <row r="2094" spans="2:10" s="3" customFormat="1">
      <c r="B2094" s="3" t="s">
        <v>2115</v>
      </c>
      <c r="C2094" s="8">
        <v>4</v>
      </c>
      <c r="D2094" s="3" t="s">
        <v>3327</v>
      </c>
      <c r="E2094" s="11" t="s">
        <v>30</v>
      </c>
      <c r="F2094" s="11"/>
      <c r="G2094" s="12">
        <f>+G2091-G2093</f>
        <v>2386</v>
      </c>
      <c r="H2094" s="13">
        <f>ROUND(G2094/2,0)</f>
        <v>1193</v>
      </c>
      <c r="I2094" s="12">
        <f>G2094-H2094</f>
        <v>1193</v>
      </c>
      <c r="J2094" s="3" t="str">
        <f t="shared" si="154"/>
        <v>2943055</v>
      </c>
    </row>
    <row r="2095" spans="2:10" s="3" customFormat="1">
      <c r="B2095" s="3" t="s">
        <v>2115</v>
      </c>
      <c r="C2095" s="8">
        <v>4</v>
      </c>
      <c r="D2095" s="3" t="s">
        <v>2521</v>
      </c>
      <c r="E2095" s="11" t="s">
        <v>660</v>
      </c>
      <c r="F2095" s="10">
        <v>0.12553</v>
      </c>
      <c r="G2095" s="9">
        <f>ROUND(G$3*F2095,0)</f>
        <v>36118</v>
      </c>
      <c r="H2095" s="11">
        <f>ROUND(G2095/2,0)</f>
        <v>18059</v>
      </c>
      <c r="I2095" s="9">
        <f>G2095-H2095</f>
        <v>18059</v>
      </c>
      <c r="J2095" s="3" t="str">
        <f t="shared" si="154"/>
        <v>2943070</v>
      </c>
    </row>
    <row r="2096" spans="2:10" s="3" customFormat="1">
      <c r="B2096" s="3" t="s">
        <v>2115</v>
      </c>
      <c r="C2096" s="8">
        <v>4</v>
      </c>
      <c r="D2096" s="3" t="s">
        <v>2521</v>
      </c>
      <c r="E2096" s="11" t="s">
        <v>28</v>
      </c>
      <c r="F2096" s="11"/>
      <c r="G2096" s="14">
        <v>0.45163199999999998</v>
      </c>
      <c r="H2096" s="11"/>
      <c r="I2096" s="11"/>
      <c r="J2096" s="3" t="str">
        <f t="shared" si="154"/>
        <v>2943070</v>
      </c>
    </row>
    <row r="2097" spans="1:10" s="3" customFormat="1">
      <c r="B2097" s="3" t="s">
        <v>2115</v>
      </c>
      <c r="C2097" s="8">
        <v>4</v>
      </c>
      <c r="D2097" s="3" t="s">
        <v>2521</v>
      </c>
      <c r="E2097" s="11" t="s">
        <v>29</v>
      </c>
      <c r="F2097" s="11"/>
      <c r="G2097" s="15">
        <f>ROUND(G2095*G2096,0)</f>
        <v>16312</v>
      </c>
      <c r="H2097" s="16">
        <f>ROUND(G2097/2,0)</f>
        <v>8156</v>
      </c>
      <c r="I2097" s="15">
        <f>G2097-H2097</f>
        <v>8156</v>
      </c>
      <c r="J2097" s="3" t="str">
        <f t="shared" si="154"/>
        <v>2943070</v>
      </c>
    </row>
    <row r="2098" spans="1:10" s="3" customFormat="1">
      <c r="B2098" s="3" t="s">
        <v>2115</v>
      </c>
      <c r="C2098" s="8">
        <v>4</v>
      </c>
      <c r="D2098" s="3" t="s">
        <v>2521</v>
      </c>
      <c r="E2098" s="11" t="s">
        <v>30</v>
      </c>
      <c r="F2098" s="11"/>
      <c r="G2098" s="12">
        <f>+G2095-G2097</f>
        <v>19806</v>
      </c>
      <c r="H2098" s="13">
        <f>ROUND(G2098/2,0)</f>
        <v>9903</v>
      </c>
      <c r="I2098" s="12">
        <f>G2098-H2098</f>
        <v>9903</v>
      </c>
      <c r="J2098" s="3" t="str">
        <f t="shared" si="154"/>
        <v>2943070</v>
      </c>
    </row>
    <row r="2099" spans="1:10" s="3" customFormat="1">
      <c r="B2099" s="3" t="s">
        <v>2115</v>
      </c>
      <c r="C2099" s="8">
        <v>4</v>
      </c>
      <c r="D2099" s="3" t="s">
        <v>2519</v>
      </c>
      <c r="E2099" s="11" t="s">
        <v>661</v>
      </c>
      <c r="F2099" s="10">
        <v>0.19853000000000001</v>
      </c>
      <c r="G2099" s="9">
        <f>ROUND(G$3*F2099,0)</f>
        <v>57122</v>
      </c>
      <c r="H2099" s="11">
        <f>ROUND(G2099/2,0)</f>
        <v>28561</v>
      </c>
      <c r="I2099" s="9">
        <f>G2099-H2099</f>
        <v>28561</v>
      </c>
      <c r="J2099" s="3" t="str">
        <f t="shared" si="154"/>
        <v>2943030</v>
      </c>
    </row>
    <row r="2100" spans="1:10" s="3" customFormat="1">
      <c r="B2100" s="3" t="s">
        <v>2115</v>
      </c>
      <c r="C2100" s="8">
        <v>4</v>
      </c>
      <c r="D2100" s="3" t="s">
        <v>2519</v>
      </c>
      <c r="E2100" s="11" t="s">
        <v>28</v>
      </c>
      <c r="F2100" s="11"/>
      <c r="G2100" s="14">
        <v>0.38191700000000001</v>
      </c>
      <c r="H2100" s="11"/>
      <c r="I2100" s="11"/>
      <c r="J2100" s="3" t="str">
        <f t="shared" si="154"/>
        <v>2943030</v>
      </c>
    </row>
    <row r="2101" spans="1:10" s="3" customFormat="1">
      <c r="B2101" s="3" t="s">
        <v>2115</v>
      </c>
      <c r="C2101" s="8">
        <v>4</v>
      </c>
      <c r="D2101" s="3" t="s">
        <v>2519</v>
      </c>
      <c r="E2101" s="11" t="s">
        <v>29</v>
      </c>
      <c r="F2101" s="11"/>
      <c r="G2101" s="15">
        <f>ROUND(G2099*G2100,0)</f>
        <v>21816</v>
      </c>
      <c r="H2101" s="16">
        <f t="shared" ref="H2101:H2107" si="158">ROUND(G2101/2,0)</f>
        <v>10908</v>
      </c>
      <c r="I2101" s="15">
        <f t="shared" ref="I2101:I2107" si="159">G2101-H2101</f>
        <v>10908</v>
      </c>
      <c r="J2101" s="3" t="str">
        <f t="shared" si="154"/>
        <v>2943030</v>
      </c>
    </row>
    <row r="2102" spans="1:10" s="3" customFormat="1">
      <c r="B2102" s="3" t="s">
        <v>2115</v>
      </c>
      <c r="C2102" s="8">
        <v>4</v>
      </c>
      <c r="D2102" s="3" t="s">
        <v>2519</v>
      </c>
      <c r="E2102" s="11" t="s">
        <v>30</v>
      </c>
      <c r="F2102" s="11"/>
      <c r="G2102" s="12">
        <f>+G2099-G2101</f>
        <v>35306</v>
      </c>
      <c r="H2102" s="13">
        <f t="shared" si="158"/>
        <v>17653</v>
      </c>
      <c r="I2102" s="12">
        <f t="shared" si="159"/>
        <v>17653</v>
      </c>
      <c r="J2102" s="3" t="str">
        <f t="shared" si="154"/>
        <v>2943030</v>
      </c>
    </row>
    <row r="2103" spans="1:10" s="128" customFormat="1">
      <c r="A2103" s="136"/>
      <c r="B2103" s="128" t="s">
        <v>2115</v>
      </c>
      <c r="C2103" s="129">
        <v>5</v>
      </c>
      <c r="D2103" s="128" t="s">
        <v>6267</v>
      </c>
      <c r="E2103" s="131" t="s">
        <v>662</v>
      </c>
      <c r="F2103" s="133">
        <v>1.1249999999999999E-3</v>
      </c>
      <c r="G2103" s="137">
        <f>ROUND(G$3*F2103,0)</f>
        <v>324</v>
      </c>
      <c r="H2103" s="137">
        <f t="shared" si="158"/>
        <v>162</v>
      </c>
      <c r="I2103" s="137">
        <f t="shared" si="159"/>
        <v>162</v>
      </c>
      <c r="J2103" s="128" t="str">
        <f t="shared" si="154"/>
        <v>295XXXX</v>
      </c>
    </row>
    <row r="2104" spans="1:10" s="3" customFormat="1">
      <c r="B2104" s="3" t="s">
        <v>2115</v>
      </c>
      <c r="C2104" s="8">
        <v>5</v>
      </c>
      <c r="D2104" s="3" t="s">
        <v>4125</v>
      </c>
      <c r="E2104" s="11" t="s">
        <v>663</v>
      </c>
      <c r="F2104" s="10">
        <v>4.5710000000000004E-3</v>
      </c>
      <c r="G2104" s="120">
        <f>ROUND(G$3*F2104,0)</f>
        <v>1315</v>
      </c>
      <c r="H2104" s="120">
        <f t="shared" si="158"/>
        <v>658</v>
      </c>
      <c r="I2104" s="120">
        <f t="shared" si="159"/>
        <v>657</v>
      </c>
      <c r="J2104" s="3" t="str">
        <f t="shared" si="154"/>
        <v>2950076</v>
      </c>
    </row>
    <row r="2105" spans="1:10" s="128" customFormat="1">
      <c r="A2105" s="136"/>
      <c r="B2105" s="128" t="s">
        <v>2115</v>
      </c>
      <c r="C2105" s="129">
        <v>5</v>
      </c>
      <c r="D2105" s="128" t="s">
        <v>6267</v>
      </c>
      <c r="E2105" s="131" t="s">
        <v>664</v>
      </c>
      <c r="F2105" s="133">
        <v>1.1701E-2</v>
      </c>
      <c r="G2105" s="137">
        <f>ROUND(G$3*F2105,0)</f>
        <v>3367</v>
      </c>
      <c r="H2105" s="137">
        <f t="shared" si="158"/>
        <v>1684</v>
      </c>
      <c r="I2105" s="137">
        <f t="shared" si="159"/>
        <v>1683</v>
      </c>
      <c r="J2105" s="128" t="str">
        <f t="shared" si="154"/>
        <v>295XXXX</v>
      </c>
    </row>
    <row r="2106" spans="1:10" s="3" customFormat="1">
      <c r="B2106" s="3" t="s">
        <v>2115</v>
      </c>
      <c r="C2106" s="8" t="s">
        <v>3166</v>
      </c>
      <c r="D2106" s="3" t="s">
        <v>4130</v>
      </c>
      <c r="E2106" s="11" t="s">
        <v>665</v>
      </c>
      <c r="F2106" s="10">
        <v>4.6500000000000003E-4</v>
      </c>
      <c r="G2106" s="12">
        <f>ROUND(G$3*F2106,0)</f>
        <v>134</v>
      </c>
      <c r="H2106" s="13">
        <f t="shared" si="158"/>
        <v>67</v>
      </c>
      <c r="I2106" s="12">
        <f t="shared" si="159"/>
        <v>67</v>
      </c>
      <c r="J2106" s="3" t="str">
        <f t="shared" si="154"/>
        <v>2950078</v>
      </c>
    </row>
    <row r="2107" spans="1:10" s="3" customFormat="1">
      <c r="B2107" s="3" t="s">
        <v>2115</v>
      </c>
      <c r="C2107" s="8">
        <v>5</v>
      </c>
      <c r="D2107" s="3" t="s">
        <v>2522</v>
      </c>
      <c r="E2107" s="11" t="s">
        <v>666</v>
      </c>
      <c r="F2107" s="10">
        <v>6.1590000000000256E-3</v>
      </c>
      <c r="G2107" s="120">
        <f>+G2038-SUM(G2039:G2040)-SUM(G2045:G2079)-G2083-G2087-G2091-G2095-G2099-SUM(G2103:G2106)</f>
        <v>1057457</v>
      </c>
      <c r="H2107" s="120">
        <f t="shared" si="158"/>
        <v>528729</v>
      </c>
      <c r="I2107" s="120">
        <f t="shared" si="159"/>
        <v>528728</v>
      </c>
      <c r="J2107" s="3" t="str">
        <f t="shared" si="154"/>
        <v>2950079</v>
      </c>
    </row>
    <row r="2108" spans="1:10" s="3" customFormat="1">
      <c r="B2108" s="3" t="s">
        <v>2115</v>
      </c>
      <c r="C2108" s="8">
        <v>0</v>
      </c>
      <c r="D2108" s="125" t="s">
        <v>2187</v>
      </c>
      <c r="E2108" s="28" t="s">
        <v>288</v>
      </c>
      <c r="F2108" s="10">
        <v>1</v>
      </c>
      <c r="G2108" s="12">
        <f>+G2039+SUM(G2042:G2078)+SUM(G2081:G2082)+SUM(G2085:G2086)+SUM(G2089:G2090)+SUM(G2093:G2094)+SUM(G2097:G2098)+SUM(G2101:G2107)</f>
        <v>1343409</v>
      </c>
      <c r="H2108" s="12">
        <f>+H2039+SUM(H2042:H2078)+SUM(H2081:H2082)+SUM(H2085:H2086)+SUM(H2089:H2090)+SUM(H2093:H2094)+SUM(H2097:H2098)+SUM(H2101:H2107)</f>
        <v>671714</v>
      </c>
      <c r="I2108" s="12">
        <f>+I2039+SUM(I2042:I2078)+SUM(I2081:I2082)+SUM(I2085:I2086)+SUM(I2089:I2090)+SUM(I2093:I2094)+SUM(I2097:I2098)+SUM(I2101:I2107)</f>
        <v>671695</v>
      </c>
      <c r="J2108" s="3" t="str">
        <f t="shared" si="154"/>
        <v>2900000</v>
      </c>
    </row>
    <row r="2109" spans="1:10" s="3" customFormat="1">
      <c r="B2109" s="3" t="s">
        <v>2115</v>
      </c>
      <c r="C2109" s="8">
        <v>0</v>
      </c>
      <c r="D2109" s="3" t="s">
        <v>2187</v>
      </c>
      <c r="E2109" s="18" t="s">
        <v>38</v>
      </c>
      <c r="G2109" s="19">
        <f>+G2039</f>
        <v>325</v>
      </c>
      <c r="H2109" s="19">
        <f>+H2039</f>
        <v>163</v>
      </c>
      <c r="I2109" s="19">
        <f>+I2039</f>
        <v>162</v>
      </c>
      <c r="J2109" s="3" t="str">
        <f t="shared" si="154"/>
        <v>2900000</v>
      </c>
    </row>
    <row r="2110" spans="1:10" s="3" customFormat="1">
      <c r="B2110" s="3" t="s">
        <v>2115</v>
      </c>
      <c r="C2110" s="8">
        <v>0</v>
      </c>
      <c r="D2110" s="3" t="s">
        <v>2187</v>
      </c>
      <c r="E2110" s="2" t="s">
        <v>39</v>
      </c>
      <c r="G2110" s="19">
        <f>+G2042</f>
        <v>1954</v>
      </c>
      <c r="H2110" s="19">
        <f>+H2042</f>
        <v>977</v>
      </c>
      <c r="I2110" s="19">
        <f>+I2042</f>
        <v>977</v>
      </c>
      <c r="J2110" s="3" t="str">
        <f t="shared" si="154"/>
        <v>2900000</v>
      </c>
    </row>
    <row r="2111" spans="1:10" s="3" customFormat="1">
      <c r="B2111" s="3" t="s">
        <v>2115</v>
      </c>
      <c r="C2111" s="8">
        <v>0</v>
      </c>
      <c r="D2111" s="3" t="s">
        <v>2187</v>
      </c>
      <c r="E2111" s="2" t="s">
        <v>40</v>
      </c>
      <c r="G2111" s="19">
        <f>+G2081+G2085+G2089+G2093+G2097+G2101</f>
        <v>93622</v>
      </c>
      <c r="H2111" s="19">
        <f>+H2081+H2085+H2089+H2093+H2097+H2101</f>
        <v>46811</v>
      </c>
      <c r="I2111" s="19">
        <f>+I2081+I2085+I2089+I2093+I2097+I2101</f>
        <v>46811</v>
      </c>
      <c r="J2111" s="3" t="str">
        <f t="shared" si="154"/>
        <v>2900000</v>
      </c>
    </row>
    <row r="2112" spans="1:10" s="3" customFormat="1">
      <c r="B2112" s="3" t="s">
        <v>2115</v>
      </c>
      <c r="C2112" s="8">
        <v>0</v>
      </c>
      <c r="D2112" s="125" t="s">
        <v>2187</v>
      </c>
      <c r="E2112" s="18" t="s">
        <v>41</v>
      </c>
      <c r="G2112" s="19">
        <f>+G2108-G2109-G2110-G2111</f>
        <v>1247508</v>
      </c>
      <c r="H2112" s="19">
        <f>+H2108-H2109-H2110-H2111</f>
        <v>623763</v>
      </c>
      <c r="I2112" s="19">
        <f>+I2108-I2109-I2110-I2111</f>
        <v>623745</v>
      </c>
      <c r="J2112" s="3" t="str">
        <f t="shared" si="154"/>
        <v>2900000</v>
      </c>
    </row>
    <row r="2113" spans="2:10" ht="15.75">
      <c r="B2113" s="3" t="s">
        <v>2186</v>
      </c>
      <c r="D2113" t="s">
        <v>2186</v>
      </c>
      <c r="E2113">
        <v>0</v>
      </c>
      <c r="G2113"/>
      <c r="H2113"/>
      <c r="I2113"/>
      <c r="J2113" s="3" t="str">
        <f t="shared" si="154"/>
        <v/>
      </c>
    </row>
    <row r="2114" spans="2:10" s="3" customFormat="1">
      <c r="C2114" s="1"/>
      <c r="D2114" s="3" t="s">
        <v>2186</v>
      </c>
      <c r="E2114" s="2" t="s">
        <v>667</v>
      </c>
      <c r="J2114" s="3" t="str">
        <f t="shared" si="154"/>
        <v/>
      </c>
    </row>
    <row r="2115" spans="2:10" s="3" customFormat="1" ht="45">
      <c r="B2115" s="3" t="s">
        <v>2186</v>
      </c>
      <c r="C2115" s="1"/>
      <c r="D2115" s="3" t="s">
        <v>2186</v>
      </c>
      <c r="E2115" s="1">
        <v>0</v>
      </c>
      <c r="F2115" s="6" t="s">
        <v>1</v>
      </c>
      <c r="G2115" s="60">
        <f>'Allocation Worksheet'!H2115</f>
        <v>0</v>
      </c>
      <c r="H2115" s="60">
        <f>'Allocation Worksheet'!H2116</f>
        <v>0</v>
      </c>
      <c r="I2115" s="60">
        <f>'Allocation Worksheet'!H2117</f>
        <v>0</v>
      </c>
      <c r="J2115" s="3" t="str">
        <f t="shared" si="154"/>
        <v/>
      </c>
    </row>
    <row r="2116" spans="2:10" s="3" customFormat="1">
      <c r="C2116" s="7" t="s">
        <v>2087</v>
      </c>
      <c r="D2116" s="3" t="s">
        <v>2186</v>
      </c>
      <c r="E2116" s="7" t="s">
        <v>3</v>
      </c>
      <c r="F2116" s="10"/>
      <c r="G2116" s="9">
        <f>'Allocation Worksheet'!$D$33</f>
        <v>679825</v>
      </c>
      <c r="H2116" s="11"/>
      <c r="I2116" s="11"/>
      <c r="J2116" s="3" t="str">
        <f t="shared" ref="J2116:J2179" si="160">B2116&amp;C2116&amp;D2116</f>
        <v>UT</v>
      </c>
    </row>
    <row r="2117" spans="2:10" s="3" customFormat="1">
      <c r="B2117" s="3" t="s">
        <v>2116</v>
      </c>
      <c r="C2117" s="8">
        <v>0</v>
      </c>
      <c r="D2117" s="3" t="s">
        <v>2187</v>
      </c>
      <c r="E2117" s="11" t="s">
        <v>4</v>
      </c>
      <c r="F2117" s="10">
        <v>1.299E-3</v>
      </c>
      <c r="G2117" s="12">
        <f>ROUND(G$3*F2117,0)</f>
        <v>374</v>
      </c>
      <c r="H2117" s="13">
        <f>ROUND(G2117/2,0)</f>
        <v>187</v>
      </c>
      <c r="I2117" s="12">
        <f>G2117-H2117</f>
        <v>187</v>
      </c>
      <c r="J2117" s="3" t="str">
        <f t="shared" si="160"/>
        <v>3000000</v>
      </c>
    </row>
    <row r="2118" spans="2:10" s="3" customFormat="1">
      <c r="B2118" s="3" t="s">
        <v>2116</v>
      </c>
      <c r="C2118" s="8">
        <v>1</v>
      </c>
      <c r="D2118" s="3" t="s">
        <v>2187</v>
      </c>
      <c r="E2118" s="11" t="s">
        <v>668</v>
      </c>
      <c r="F2118" s="10">
        <v>0.162909</v>
      </c>
      <c r="G2118" s="9">
        <f>ROUND(G$3*F2118,0)</f>
        <v>46873</v>
      </c>
      <c r="H2118" s="11">
        <f>ROUND(G2118/2,0)</f>
        <v>23437</v>
      </c>
      <c r="I2118" s="9">
        <f>G2118-H2118</f>
        <v>23436</v>
      </c>
      <c r="J2118" s="3" t="str">
        <f t="shared" si="160"/>
        <v>3010000</v>
      </c>
    </row>
    <row r="2119" spans="2:10" s="3" customFormat="1">
      <c r="B2119" s="3" t="s">
        <v>2116</v>
      </c>
      <c r="C2119" s="8">
        <v>1</v>
      </c>
      <c r="D2119" s="3" t="s">
        <v>2187</v>
      </c>
      <c r="E2119" s="11" t="s">
        <v>6</v>
      </c>
      <c r="F2119" s="11"/>
      <c r="G2119" s="14">
        <v>0.131215</v>
      </c>
      <c r="H2119" s="11"/>
      <c r="I2119" s="11"/>
      <c r="J2119" s="3" t="str">
        <f t="shared" si="160"/>
        <v>3010000</v>
      </c>
    </row>
    <row r="2120" spans="2:10" s="3" customFormat="1">
      <c r="B2120" s="3" t="s">
        <v>2116</v>
      </c>
      <c r="C2120" s="8">
        <v>1</v>
      </c>
      <c r="D2120" s="3" t="s">
        <v>2187</v>
      </c>
      <c r="E2120" s="11" t="s">
        <v>7</v>
      </c>
      <c r="F2120" s="11"/>
      <c r="G2120" s="15">
        <f>ROUND(G2118*G2119,0)</f>
        <v>6150</v>
      </c>
      <c r="H2120" s="16">
        <f>ROUND(G2120/2,0)</f>
        <v>3075</v>
      </c>
      <c r="I2120" s="15">
        <f>G2120-H2120</f>
        <v>3075</v>
      </c>
      <c r="J2120" s="3" t="str">
        <f t="shared" si="160"/>
        <v>3010000</v>
      </c>
    </row>
    <row r="2121" spans="2:10" s="3" customFormat="1">
      <c r="B2121" s="3" t="s">
        <v>2116</v>
      </c>
      <c r="C2121" s="8">
        <v>1</v>
      </c>
      <c r="D2121" s="3" t="s">
        <v>2187</v>
      </c>
      <c r="E2121" s="11" t="s">
        <v>8</v>
      </c>
      <c r="F2121" s="11"/>
      <c r="G2121" s="12">
        <f>+G2118-G2120</f>
        <v>40723</v>
      </c>
      <c r="H2121" s="13">
        <f>ROUND(G2121/2,0)</f>
        <v>20362</v>
      </c>
      <c r="I2121" s="12">
        <f>G2121-H2121</f>
        <v>20361</v>
      </c>
      <c r="J2121" s="3" t="str">
        <f t="shared" si="160"/>
        <v>3010000</v>
      </c>
    </row>
    <row r="2122" spans="2:10" s="3" customFormat="1">
      <c r="B2122" s="3" t="s">
        <v>2116</v>
      </c>
      <c r="C2122" s="8">
        <v>2</v>
      </c>
      <c r="D2122" s="3" t="s">
        <v>2188</v>
      </c>
      <c r="E2122" s="11" t="s">
        <v>669</v>
      </c>
      <c r="F2122" s="11"/>
      <c r="G2122" s="9"/>
      <c r="H2122" s="11"/>
      <c r="I2122" s="11"/>
      <c r="J2122" s="3" t="str">
        <f t="shared" si="160"/>
        <v>3020001</v>
      </c>
    </row>
    <row r="2123" spans="2:10" s="3" customFormat="1">
      <c r="B2123" s="3" t="s">
        <v>2116</v>
      </c>
      <c r="C2123" s="8">
        <v>2</v>
      </c>
      <c r="D2123" s="3" t="s">
        <v>2188</v>
      </c>
      <c r="E2123" s="11" t="s">
        <v>10</v>
      </c>
      <c r="F2123" s="10">
        <v>2.9100000000000003E-4</v>
      </c>
      <c r="G2123" s="12">
        <f>ROUND(G$3*F2123,0)</f>
        <v>84</v>
      </c>
      <c r="H2123" s="13">
        <f>ROUND(G2123/2,0)</f>
        <v>42</v>
      </c>
      <c r="I2123" s="12">
        <f>G2123-H2123</f>
        <v>42</v>
      </c>
      <c r="J2123" s="3" t="str">
        <f t="shared" si="160"/>
        <v>3020001</v>
      </c>
    </row>
    <row r="2124" spans="2:10" s="3" customFormat="1">
      <c r="B2124" s="3" t="s">
        <v>2116</v>
      </c>
      <c r="C2124" s="8">
        <v>2</v>
      </c>
      <c r="D2124" s="3" t="s">
        <v>2188</v>
      </c>
      <c r="E2124" s="11" t="s">
        <v>11</v>
      </c>
      <c r="F2124" s="10">
        <v>1.7699999999999999E-4</v>
      </c>
      <c r="G2124" s="12">
        <f>ROUND(G$3*F2124,0)</f>
        <v>51</v>
      </c>
      <c r="H2124" s="13">
        <f>ROUND(G2124/2,0)</f>
        <v>26</v>
      </c>
      <c r="I2124" s="12">
        <f>G2124-H2124</f>
        <v>25</v>
      </c>
      <c r="J2124" s="3" t="str">
        <f t="shared" si="160"/>
        <v>3020001</v>
      </c>
    </row>
    <row r="2125" spans="2:10" s="3" customFormat="1">
      <c r="B2125" s="3" t="s">
        <v>2116</v>
      </c>
      <c r="C2125" s="8">
        <v>2</v>
      </c>
      <c r="D2125" s="3" t="s">
        <v>2189</v>
      </c>
      <c r="E2125" s="11" t="s">
        <v>670</v>
      </c>
      <c r="F2125" s="11"/>
      <c r="G2125" s="9"/>
      <c r="H2125" s="11"/>
      <c r="I2125" s="11"/>
      <c r="J2125" s="3" t="str">
        <f t="shared" si="160"/>
        <v>3020002</v>
      </c>
    </row>
    <row r="2126" spans="2:10" s="3" customFormat="1">
      <c r="B2126" s="3" t="s">
        <v>2116</v>
      </c>
      <c r="C2126" s="8">
        <v>2</v>
      </c>
      <c r="D2126" s="3" t="s">
        <v>2189</v>
      </c>
      <c r="E2126" s="11" t="s">
        <v>10</v>
      </c>
      <c r="F2126" s="10">
        <v>7.5900000000000002E-4</v>
      </c>
      <c r="G2126" s="12">
        <f>ROUND(G$3*F2126,0)</f>
        <v>218</v>
      </c>
      <c r="H2126" s="13">
        <f>ROUND(G2126/2,0)</f>
        <v>109</v>
      </c>
      <c r="I2126" s="12">
        <f>G2126-H2126</f>
        <v>109</v>
      </c>
      <c r="J2126" s="3" t="str">
        <f t="shared" si="160"/>
        <v>3020002</v>
      </c>
    </row>
    <row r="2127" spans="2:10" s="3" customFormat="1">
      <c r="B2127" s="3" t="s">
        <v>2116</v>
      </c>
      <c r="C2127" s="8">
        <v>2</v>
      </c>
      <c r="D2127" s="3" t="s">
        <v>2189</v>
      </c>
      <c r="E2127" s="11" t="s">
        <v>11</v>
      </c>
      <c r="F2127" s="10">
        <v>5.5900000000000004E-4</v>
      </c>
      <c r="G2127" s="12">
        <f>ROUND(G$3*F2127,0)</f>
        <v>161</v>
      </c>
      <c r="H2127" s="13">
        <f>ROUND(G2127/2,0)</f>
        <v>81</v>
      </c>
      <c r="I2127" s="12">
        <f>G2127-H2127</f>
        <v>80</v>
      </c>
      <c r="J2127" s="3" t="str">
        <f t="shared" si="160"/>
        <v>3020002</v>
      </c>
    </row>
    <row r="2128" spans="2:10" s="3" customFormat="1">
      <c r="B2128" s="3" t="s">
        <v>2116</v>
      </c>
      <c r="C2128" s="8">
        <v>2</v>
      </c>
      <c r="D2128" s="3" t="s">
        <v>2190</v>
      </c>
      <c r="E2128" s="11" t="s">
        <v>671</v>
      </c>
      <c r="F2128" s="11"/>
      <c r="G2128" s="9"/>
      <c r="H2128" s="11"/>
      <c r="I2128" s="11"/>
      <c r="J2128" s="3" t="str">
        <f t="shared" si="160"/>
        <v>3020003</v>
      </c>
    </row>
    <row r="2129" spans="2:10" s="3" customFormat="1">
      <c r="B2129" s="3" t="s">
        <v>2116</v>
      </c>
      <c r="C2129" s="8">
        <v>2</v>
      </c>
      <c r="D2129" s="3" t="s">
        <v>2190</v>
      </c>
      <c r="E2129" s="11" t="s">
        <v>10</v>
      </c>
      <c r="F2129" s="10">
        <v>4.1599999999999997E-4</v>
      </c>
      <c r="G2129" s="12">
        <f>ROUND(G$3*F2129,0)</f>
        <v>120</v>
      </c>
      <c r="H2129" s="13">
        <f>ROUND(G2129/2,0)</f>
        <v>60</v>
      </c>
      <c r="I2129" s="12">
        <f>G2129-H2129</f>
        <v>60</v>
      </c>
      <c r="J2129" s="3" t="str">
        <f t="shared" si="160"/>
        <v>3020003</v>
      </c>
    </row>
    <row r="2130" spans="2:10" s="3" customFormat="1">
      <c r="B2130" s="3" t="s">
        <v>2116</v>
      </c>
      <c r="C2130" s="8">
        <v>2</v>
      </c>
      <c r="D2130" s="3" t="s">
        <v>2190</v>
      </c>
      <c r="E2130" s="11" t="s">
        <v>11</v>
      </c>
      <c r="F2130" s="10">
        <v>3.9399999999999998E-4</v>
      </c>
      <c r="G2130" s="12">
        <f>ROUND(G$3*F2130,0)</f>
        <v>113</v>
      </c>
      <c r="H2130" s="13">
        <f>ROUND(G2130/2,0)</f>
        <v>57</v>
      </c>
      <c r="I2130" s="12">
        <f>G2130-H2130</f>
        <v>56</v>
      </c>
      <c r="J2130" s="3" t="str">
        <f t="shared" si="160"/>
        <v>3020003</v>
      </c>
    </row>
    <row r="2131" spans="2:10" s="3" customFormat="1">
      <c r="B2131" s="3" t="s">
        <v>2116</v>
      </c>
      <c r="C2131" s="8">
        <v>2</v>
      </c>
      <c r="D2131" s="3" t="s">
        <v>2191</v>
      </c>
      <c r="E2131" s="11" t="s">
        <v>672</v>
      </c>
      <c r="F2131" s="11"/>
      <c r="G2131" s="9"/>
      <c r="H2131" s="11"/>
      <c r="I2131" s="11"/>
      <c r="J2131" s="3" t="str">
        <f t="shared" si="160"/>
        <v>3020004</v>
      </c>
    </row>
    <row r="2132" spans="2:10" s="3" customFormat="1">
      <c r="B2132" s="3" t="s">
        <v>2116</v>
      </c>
      <c r="C2132" s="8">
        <v>2</v>
      </c>
      <c r="D2132" s="3" t="s">
        <v>2191</v>
      </c>
      <c r="E2132" s="11" t="s">
        <v>10</v>
      </c>
      <c r="F2132" s="10">
        <v>4.7670000000000004E-3</v>
      </c>
      <c r="G2132" s="12">
        <f>ROUND(G$3*F2132,0)</f>
        <v>1372</v>
      </c>
      <c r="H2132" s="13">
        <f>ROUND(G2132/2,0)</f>
        <v>686</v>
      </c>
      <c r="I2132" s="12">
        <f>G2132-H2132</f>
        <v>686</v>
      </c>
      <c r="J2132" s="3" t="str">
        <f t="shared" si="160"/>
        <v>3020004</v>
      </c>
    </row>
    <row r="2133" spans="2:10" s="3" customFormat="1">
      <c r="B2133" s="3" t="s">
        <v>2116</v>
      </c>
      <c r="C2133" s="8">
        <v>2</v>
      </c>
      <c r="D2133" s="3" t="s">
        <v>2191</v>
      </c>
      <c r="E2133" s="11" t="s">
        <v>11</v>
      </c>
      <c r="F2133" s="10">
        <v>5.6179999999999997E-3</v>
      </c>
      <c r="G2133" s="12">
        <f>ROUND(G$3*F2133,0)</f>
        <v>1616</v>
      </c>
      <c r="H2133" s="13">
        <f>ROUND(G2133/2,0)</f>
        <v>808</v>
      </c>
      <c r="I2133" s="12">
        <f>G2133-H2133</f>
        <v>808</v>
      </c>
      <c r="J2133" s="3" t="str">
        <f t="shared" si="160"/>
        <v>3020004</v>
      </c>
    </row>
    <row r="2134" spans="2:10" s="3" customFormat="1">
      <c r="B2134" s="3" t="s">
        <v>2116</v>
      </c>
      <c r="C2134" s="8">
        <v>2</v>
      </c>
      <c r="D2134" s="3" t="s">
        <v>2192</v>
      </c>
      <c r="E2134" s="11" t="s">
        <v>107</v>
      </c>
      <c r="F2134" s="11"/>
      <c r="G2134" s="9"/>
      <c r="H2134" s="11"/>
      <c r="I2134" s="11"/>
      <c r="J2134" s="3" t="str">
        <f t="shared" si="160"/>
        <v>3020005</v>
      </c>
    </row>
    <row r="2135" spans="2:10" s="3" customFormat="1">
      <c r="B2135" s="3" t="s">
        <v>2116</v>
      </c>
      <c r="C2135" s="8">
        <v>2</v>
      </c>
      <c r="D2135" s="3" t="s">
        <v>2192</v>
      </c>
      <c r="E2135" s="11" t="s">
        <v>10</v>
      </c>
      <c r="F2135" s="10">
        <v>2.202E-3</v>
      </c>
      <c r="G2135" s="12">
        <f>ROUND(G$3*F2135,0)</f>
        <v>634</v>
      </c>
      <c r="H2135" s="13">
        <f>ROUND(G2135/2,0)</f>
        <v>317</v>
      </c>
      <c r="I2135" s="12">
        <f>G2135-H2135</f>
        <v>317</v>
      </c>
      <c r="J2135" s="3" t="str">
        <f t="shared" si="160"/>
        <v>3020005</v>
      </c>
    </row>
    <row r="2136" spans="2:10" s="3" customFormat="1">
      <c r="B2136" s="3" t="s">
        <v>2116</v>
      </c>
      <c r="C2136" s="8">
        <v>2</v>
      </c>
      <c r="D2136" s="3" t="s">
        <v>2192</v>
      </c>
      <c r="E2136" s="11" t="s">
        <v>11</v>
      </c>
      <c r="F2136" s="10">
        <v>9.2900000000000003E-4</v>
      </c>
      <c r="G2136" s="12">
        <f>ROUND(G$3*F2136,0)</f>
        <v>267</v>
      </c>
      <c r="H2136" s="13">
        <f>ROUND(G2136/2,0)</f>
        <v>134</v>
      </c>
      <c r="I2136" s="12">
        <f>G2136-H2136</f>
        <v>133</v>
      </c>
      <c r="J2136" s="3" t="str">
        <f t="shared" si="160"/>
        <v>3020005</v>
      </c>
    </row>
    <row r="2137" spans="2:10" s="3" customFormat="1">
      <c r="B2137" s="3" t="s">
        <v>2116</v>
      </c>
      <c r="C2137" s="8">
        <v>2</v>
      </c>
      <c r="D2137" s="3" t="s">
        <v>2193</v>
      </c>
      <c r="E2137" s="11" t="s">
        <v>593</v>
      </c>
      <c r="F2137" s="11"/>
      <c r="G2137" s="9"/>
      <c r="H2137" s="11"/>
      <c r="I2137" s="11"/>
      <c r="J2137" s="3" t="str">
        <f t="shared" si="160"/>
        <v>3020006</v>
      </c>
    </row>
    <row r="2138" spans="2:10" s="3" customFormat="1">
      <c r="B2138" s="3" t="s">
        <v>2116</v>
      </c>
      <c r="C2138" s="8">
        <v>2</v>
      </c>
      <c r="D2138" s="3" t="s">
        <v>2193</v>
      </c>
      <c r="E2138" s="11" t="s">
        <v>10</v>
      </c>
      <c r="F2138" s="10">
        <v>3.5860000000000002E-3</v>
      </c>
      <c r="G2138" s="12">
        <f>ROUND(G$3*F2138,0)</f>
        <v>1032</v>
      </c>
      <c r="H2138" s="13">
        <f>ROUND(G2138/2,0)</f>
        <v>516</v>
      </c>
      <c r="I2138" s="12">
        <f>G2138-H2138</f>
        <v>516</v>
      </c>
      <c r="J2138" s="3" t="str">
        <f t="shared" si="160"/>
        <v>3020006</v>
      </c>
    </row>
    <row r="2139" spans="2:10" s="3" customFormat="1">
      <c r="B2139" s="3" t="s">
        <v>2116</v>
      </c>
      <c r="C2139" s="8">
        <v>2</v>
      </c>
      <c r="D2139" s="3" t="s">
        <v>2193</v>
      </c>
      <c r="E2139" s="11" t="s">
        <v>11</v>
      </c>
      <c r="F2139" s="10">
        <v>1.0150000000000001E-3</v>
      </c>
      <c r="G2139" s="12">
        <f>ROUND(G$3*F2139,0)</f>
        <v>292</v>
      </c>
      <c r="H2139" s="13">
        <f>ROUND(G2139/2,0)</f>
        <v>146</v>
      </c>
      <c r="I2139" s="12">
        <f>G2139-H2139</f>
        <v>146</v>
      </c>
      <c r="J2139" s="3" t="str">
        <f t="shared" si="160"/>
        <v>3020006</v>
      </c>
    </row>
    <row r="2140" spans="2:10" s="3" customFormat="1">
      <c r="B2140" s="3" t="s">
        <v>2116</v>
      </c>
      <c r="C2140" s="8">
        <v>2</v>
      </c>
      <c r="D2140" s="3" t="s">
        <v>2194</v>
      </c>
      <c r="E2140" s="11" t="s">
        <v>49</v>
      </c>
      <c r="F2140" s="11"/>
      <c r="G2140" s="9"/>
      <c r="H2140" s="11"/>
      <c r="I2140" s="11"/>
      <c r="J2140" s="3" t="str">
        <f t="shared" si="160"/>
        <v>3020007</v>
      </c>
    </row>
    <row r="2141" spans="2:10" s="3" customFormat="1">
      <c r="B2141" s="3" t="s">
        <v>2116</v>
      </c>
      <c r="C2141" s="8">
        <v>2</v>
      </c>
      <c r="D2141" s="3" t="s">
        <v>2194</v>
      </c>
      <c r="E2141" s="11" t="s">
        <v>10</v>
      </c>
      <c r="F2141" s="10">
        <v>7.4100000000000001E-4</v>
      </c>
      <c r="G2141" s="12">
        <f>ROUND(G$3*F2141,0)</f>
        <v>213</v>
      </c>
      <c r="H2141" s="13">
        <f>ROUND(G2141/2,0)</f>
        <v>107</v>
      </c>
      <c r="I2141" s="12">
        <f>G2141-H2141</f>
        <v>106</v>
      </c>
      <c r="J2141" s="3" t="str">
        <f t="shared" si="160"/>
        <v>3020007</v>
      </c>
    </row>
    <row r="2142" spans="2:10" s="3" customFormat="1">
      <c r="B2142" s="3" t="s">
        <v>2116</v>
      </c>
      <c r="C2142" s="8">
        <v>2</v>
      </c>
      <c r="D2142" s="3" t="s">
        <v>2194</v>
      </c>
      <c r="E2142" s="11" t="s">
        <v>11</v>
      </c>
      <c r="F2142" s="10">
        <v>4.8099999999999998E-4</v>
      </c>
      <c r="G2142" s="12">
        <f>ROUND(G$3*F2142,0)</f>
        <v>138</v>
      </c>
      <c r="H2142" s="13">
        <f>ROUND(G2142/2,0)</f>
        <v>69</v>
      </c>
      <c r="I2142" s="12">
        <f>G2142-H2142</f>
        <v>69</v>
      </c>
      <c r="J2142" s="3" t="str">
        <f t="shared" si="160"/>
        <v>3020007</v>
      </c>
    </row>
    <row r="2143" spans="2:10" s="3" customFormat="1">
      <c r="B2143" s="3" t="s">
        <v>2116</v>
      </c>
      <c r="C2143" s="8">
        <v>2</v>
      </c>
      <c r="D2143" s="3" t="s">
        <v>2195</v>
      </c>
      <c r="E2143" s="11" t="s">
        <v>149</v>
      </c>
      <c r="F2143" s="11"/>
      <c r="G2143" s="9"/>
      <c r="H2143" s="11"/>
      <c r="I2143" s="11"/>
      <c r="J2143" s="3" t="str">
        <f t="shared" si="160"/>
        <v>3020008</v>
      </c>
    </row>
    <row r="2144" spans="2:10" s="3" customFormat="1">
      <c r="B2144" s="3" t="s">
        <v>2116</v>
      </c>
      <c r="C2144" s="8">
        <v>2</v>
      </c>
      <c r="D2144" s="3" t="s">
        <v>2195</v>
      </c>
      <c r="E2144" s="11" t="s">
        <v>10</v>
      </c>
      <c r="F2144" s="10">
        <v>1.952E-3</v>
      </c>
      <c r="G2144" s="12">
        <f>ROUND(G$3*F2144,0)</f>
        <v>562</v>
      </c>
      <c r="H2144" s="13">
        <f>ROUND(G2144/2,0)</f>
        <v>281</v>
      </c>
      <c r="I2144" s="12">
        <f>G2144-H2144</f>
        <v>281</v>
      </c>
      <c r="J2144" s="3" t="str">
        <f t="shared" si="160"/>
        <v>3020008</v>
      </c>
    </row>
    <row r="2145" spans="2:10" s="3" customFormat="1">
      <c r="B2145" s="3" t="s">
        <v>2116</v>
      </c>
      <c r="C2145" s="8">
        <v>2</v>
      </c>
      <c r="D2145" s="3" t="s">
        <v>2195</v>
      </c>
      <c r="E2145" s="11" t="s">
        <v>11</v>
      </c>
      <c r="F2145" s="10">
        <v>5.189E-3</v>
      </c>
      <c r="G2145" s="12">
        <f>ROUND(G$3*F2145,0)</f>
        <v>1493</v>
      </c>
      <c r="H2145" s="13">
        <f>ROUND(G2145/2,0)</f>
        <v>747</v>
      </c>
      <c r="I2145" s="12">
        <f>G2145-H2145</f>
        <v>746</v>
      </c>
      <c r="J2145" s="3" t="str">
        <f t="shared" si="160"/>
        <v>3020008</v>
      </c>
    </row>
    <row r="2146" spans="2:10" s="3" customFormat="1">
      <c r="B2146" s="3" t="s">
        <v>2116</v>
      </c>
      <c r="C2146" s="8">
        <v>2</v>
      </c>
      <c r="D2146" s="3" t="s">
        <v>2196</v>
      </c>
      <c r="E2146" s="11" t="s">
        <v>673</v>
      </c>
      <c r="F2146" s="11"/>
      <c r="G2146" s="9"/>
      <c r="H2146" s="11"/>
      <c r="I2146" s="11"/>
      <c r="J2146" s="3" t="str">
        <f t="shared" si="160"/>
        <v>3020009</v>
      </c>
    </row>
    <row r="2147" spans="2:10" s="3" customFormat="1">
      <c r="B2147" s="3" t="s">
        <v>2116</v>
      </c>
      <c r="C2147" s="8">
        <v>2</v>
      </c>
      <c r="D2147" s="3" t="s">
        <v>2196</v>
      </c>
      <c r="E2147" s="11" t="s">
        <v>10</v>
      </c>
      <c r="F2147" s="10">
        <v>4.2859999999999999E-3</v>
      </c>
      <c r="G2147" s="12">
        <f t="shared" ref="G2147:G2157" si="161">ROUND(G$3*F2147,0)</f>
        <v>1233</v>
      </c>
      <c r="H2147" s="13">
        <f t="shared" ref="H2147:H2157" si="162">ROUND(G2147/2,0)</f>
        <v>617</v>
      </c>
      <c r="I2147" s="12">
        <f t="shared" ref="I2147:I2157" si="163">G2147-H2147</f>
        <v>616</v>
      </c>
      <c r="J2147" s="3" t="str">
        <f t="shared" si="160"/>
        <v>3020009</v>
      </c>
    </row>
    <row r="2148" spans="2:10" s="3" customFormat="1">
      <c r="B2148" s="3" t="s">
        <v>2116</v>
      </c>
      <c r="C2148" s="8">
        <v>2</v>
      </c>
      <c r="D2148" s="3" t="s">
        <v>2196</v>
      </c>
      <c r="E2148" s="11" t="s">
        <v>11</v>
      </c>
      <c r="F2148" s="10">
        <v>7.8700000000000005E-4</v>
      </c>
      <c r="G2148" s="12">
        <f t="shared" si="161"/>
        <v>226</v>
      </c>
      <c r="H2148" s="13">
        <f t="shared" si="162"/>
        <v>113</v>
      </c>
      <c r="I2148" s="12">
        <f t="shared" si="163"/>
        <v>113</v>
      </c>
      <c r="J2148" s="3" t="str">
        <f t="shared" si="160"/>
        <v>3020009</v>
      </c>
    </row>
    <row r="2149" spans="2:10" s="3" customFormat="1">
      <c r="B2149" s="3" t="s">
        <v>2116</v>
      </c>
      <c r="C2149" s="8">
        <v>3</v>
      </c>
      <c r="D2149" s="3" t="s">
        <v>2529</v>
      </c>
      <c r="E2149" s="11" t="s">
        <v>674</v>
      </c>
      <c r="F2149" s="10">
        <v>4.2999999999999999E-4</v>
      </c>
      <c r="G2149" s="12">
        <f t="shared" si="161"/>
        <v>124</v>
      </c>
      <c r="H2149" s="13">
        <f t="shared" si="162"/>
        <v>62</v>
      </c>
      <c r="I2149" s="12">
        <f t="shared" si="163"/>
        <v>62</v>
      </c>
      <c r="J2149" s="3" t="str">
        <f t="shared" si="160"/>
        <v>3030762</v>
      </c>
    </row>
    <row r="2150" spans="2:10" s="3" customFormat="1">
      <c r="B2150" s="3" t="s">
        <v>2116</v>
      </c>
      <c r="C2150" s="8">
        <v>3</v>
      </c>
      <c r="D2150" s="3" t="s">
        <v>2524</v>
      </c>
      <c r="E2150" s="11" t="s">
        <v>675</v>
      </c>
      <c r="F2150" s="10">
        <v>7.528E-3</v>
      </c>
      <c r="G2150" s="12">
        <f t="shared" si="161"/>
        <v>2166</v>
      </c>
      <c r="H2150" s="13">
        <f t="shared" si="162"/>
        <v>1083</v>
      </c>
      <c r="I2150" s="12">
        <f t="shared" si="163"/>
        <v>1083</v>
      </c>
      <c r="J2150" s="3" t="str">
        <f t="shared" si="160"/>
        <v>3030645</v>
      </c>
    </row>
    <row r="2151" spans="2:10" s="3" customFormat="1">
      <c r="B2151" s="3" t="s">
        <v>2116</v>
      </c>
      <c r="C2151" s="8">
        <v>3</v>
      </c>
      <c r="D2151" s="3" t="s">
        <v>2523</v>
      </c>
      <c r="E2151" s="11" t="s">
        <v>676</v>
      </c>
      <c r="F2151" s="10">
        <v>6.4195000000000002E-2</v>
      </c>
      <c r="G2151" s="12">
        <f t="shared" si="161"/>
        <v>18470</v>
      </c>
      <c r="H2151" s="13">
        <f t="shared" si="162"/>
        <v>9235</v>
      </c>
      <c r="I2151" s="12">
        <f t="shared" si="163"/>
        <v>9235</v>
      </c>
      <c r="J2151" s="3" t="str">
        <f t="shared" si="160"/>
        <v>3030400</v>
      </c>
    </row>
    <row r="2152" spans="2:10" s="3" customFormat="1">
      <c r="B2152" s="3" t="s">
        <v>2116</v>
      </c>
      <c r="C2152" s="8">
        <v>3</v>
      </c>
      <c r="D2152" s="3" t="s">
        <v>2331</v>
      </c>
      <c r="E2152" s="11" t="s">
        <v>677</v>
      </c>
      <c r="F2152" s="10">
        <v>2.9299999999999999E-3</v>
      </c>
      <c r="G2152" s="12">
        <f t="shared" si="161"/>
        <v>843</v>
      </c>
      <c r="H2152" s="13">
        <f t="shared" si="162"/>
        <v>422</v>
      </c>
      <c r="I2152" s="12">
        <f t="shared" si="163"/>
        <v>421</v>
      </c>
      <c r="J2152" s="3" t="str">
        <f t="shared" si="160"/>
        <v>3030966</v>
      </c>
    </row>
    <row r="2153" spans="2:10" s="3" customFormat="1">
      <c r="B2153" s="3" t="s">
        <v>2116</v>
      </c>
      <c r="C2153" s="8">
        <v>3</v>
      </c>
      <c r="D2153" s="3" t="s">
        <v>2525</v>
      </c>
      <c r="E2153" s="11" t="s">
        <v>678</v>
      </c>
      <c r="F2153" s="10">
        <v>1.2669999999999999E-3</v>
      </c>
      <c r="G2153" s="12">
        <f t="shared" si="161"/>
        <v>365</v>
      </c>
      <c r="H2153" s="13">
        <f t="shared" si="162"/>
        <v>183</v>
      </c>
      <c r="I2153" s="12">
        <f t="shared" si="163"/>
        <v>182</v>
      </c>
      <c r="J2153" s="3" t="str">
        <f t="shared" si="160"/>
        <v>3030646</v>
      </c>
    </row>
    <row r="2154" spans="2:10" s="3" customFormat="1">
      <c r="B2154" s="3" t="s">
        <v>2116</v>
      </c>
      <c r="C2154" s="8">
        <v>3</v>
      </c>
      <c r="D2154" s="3" t="s">
        <v>2526</v>
      </c>
      <c r="E2154" s="11" t="s">
        <v>679</v>
      </c>
      <c r="F2154" s="10">
        <v>7.6660000000000001E-3</v>
      </c>
      <c r="G2154" s="12">
        <f t="shared" si="161"/>
        <v>2206</v>
      </c>
      <c r="H2154" s="13">
        <f t="shared" si="162"/>
        <v>1103</v>
      </c>
      <c r="I2154" s="12">
        <f t="shared" si="163"/>
        <v>1103</v>
      </c>
      <c r="J2154" s="3" t="str">
        <f t="shared" si="160"/>
        <v>3030647</v>
      </c>
    </row>
    <row r="2155" spans="2:10" s="3" customFormat="1">
      <c r="B2155" s="3" t="s">
        <v>2116</v>
      </c>
      <c r="C2155" s="8">
        <v>3</v>
      </c>
      <c r="D2155" s="3" t="s">
        <v>2527</v>
      </c>
      <c r="E2155" s="11" t="s">
        <v>680</v>
      </c>
      <c r="F2155" s="10">
        <v>1.1E-5</v>
      </c>
      <c r="G2155" s="12">
        <f t="shared" si="161"/>
        <v>3</v>
      </c>
      <c r="H2155" s="13">
        <f t="shared" si="162"/>
        <v>2</v>
      </c>
      <c r="I2155" s="12">
        <f t="shared" si="163"/>
        <v>1</v>
      </c>
      <c r="J2155" s="3" t="str">
        <f t="shared" si="160"/>
        <v>3030648</v>
      </c>
    </row>
    <row r="2156" spans="2:10" s="3" customFormat="1">
      <c r="B2156" s="3" t="s">
        <v>2116</v>
      </c>
      <c r="C2156" s="8">
        <v>3</v>
      </c>
      <c r="D2156" s="3" t="s">
        <v>2528</v>
      </c>
      <c r="E2156" s="11" t="s">
        <v>681</v>
      </c>
      <c r="F2156" s="10">
        <v>1.06E-4</v>
      </c>
      <c r="G2156" s="12">
        <f t="shared" si="161"/>
        <v>30</v>
      </c>
      <c r="H2156" s="13">
        <f t="shared" si="162"/>
        <v>15</v>
      </c>
      <c r="I2156" s="12">
        <f t="shared" si="163"/>
        <v>15</v>
      </c>
      <c r="J2156" s="3" t="str">
        <f t="shared" si="160"/>
        <v>3030649</v>
      </c>
    </row>
    <row r="2157" spans="2:10" s="3" customFormat="1">
      <c r="B2157" s="3" t="s">
        <v>2116</v>
      </c>
      <c r="C2157" s="8">
        <v>4</v>
      </c>
      <c r="D2157" s="3" t="s">
        <v>2533</v>
      </c>
      <c r="E2157" s="11" t="s">
        <v>682</v>
      </c>
      <c r="F2157" s="10">
        <v>9.1796000000000003E-2</v>
      </c>
      <c r="G2157" s="9">
        <f t="shared" si="161"/>
        <v>26412</v>
      </c>
      <c r="H2157" s="11">
        <f t="shared" si="162"/>
        <v>13206</v>
      </c>
      <c r="I2157" s="9">
        <f t="shared" si="163"/>
        <v>13206</v>
      </c>
      <c r="J2157" s="3" t="str">
        <f t="shared" si="160"/>
        <v>3043145</v>
      </c>
    </row>
    <row r="2158" spans="2:10" s="3" customFormat="1">
      <c r="B2158" s="3" t="s">
        <v>2116</v>
      </c>
      <c r="C2158" s="8">
        <v>4</v>
      </c>
      <c r="D2158" s="3" t="s">
        <v>2533</v>
      </c>
      <c r="E2158" s="11" t="s">
        <v>28</v>
      </c>
      <c r="F2158" s="11"/>
      <c r="G2158" s="14">
        <v>0.43088500000000002</v>
      </c>
      <c r="H2158" s="11"/>
      <c r="I2158" s="11"/>
      <c r="J2158" s="3" t="str">
        <f t="shared" si="160"/>
        <v>3043145</v>
      </c>
    </row>
    <row r="2159" spans="2:10" s="3" customFormat="1">
      <c r="B2159" s="3" t="s">
        <v>2116</v>
      </c>
      <c r="C2159" s="8">
        <v>4</v>
      </c>
      <c r="D2159" s="3" t="s">
        <v>2533</v>
      </c>
      <c r="E2159" s="11" t="s">
        <v>29</v>
      </c>
      <c r="F2159" s="11"/>
      <c r="G2159" s="15">
        <f>ROUND(G2157*G2158,0)</f>
        <v>11381</v>
      </c>
      <c r="H2159" s="16">
        <f>ROUND(G2159/2,0)</f>
        <v>5691</v>
      </c>
      <c r="I2159" s="15">
        <f>G2159-H2159</f>
        <v>5690</v>
      </c>
      <c r="J2159" s="3" t="str">
        <f t="shared" si="160"/>
        <v>3043145</v>
      </c>
    </row>
    <row r="2160" spans="2:10" s="3" customFormat="1">
      <c r="B2160" s="3" t="s">
        <v>2116</v>
      </c>
      <c r="C2160" s="8">
        <v>4</v>
      </c>
      <c r="D2160" s="3" t="s">
        <v>2533</v>
      </c>
      <c r="E2160" s="11" t="s">
        <v>30</v>
      </c>
      <c r="F2160" s="11"/>
      <c r="G2160" s="12">
        <f>+G2157-G2159</f>
        <v>15031</v>
      </c>
      <c r="H2160" s="13">
        <f>ROUND(G2160/2,0)</f>
        <v>7516</v>
      </c>
      <c r="I2160" s="12">
        <f>G2160-H2160</f>
        <v>7515</v>
      </c>
      <c r="J2160" s="3" t="str">
        <f t="shared" si="160"/>
        <v>3043145</v>
      </c>
    </row>
    <row r="2161" spans="1:10" s="3" customFormat="1">
      <c r="B2161" s="3" t="s">
        <v>2116</v>
      </c>
      <c r="C2161" s="8">
        <v>4</v>
      </c>
      <c r="D2161" s="3" t="s">
        <v>2531</v>
      </c>
      <c r="E2161" s="11" t="s">
        <v>683</v>
      </c>
      <c r="F2161" s="10">
        <v>0.33536500000000002</v>
      </c>
      <c r="G2161" s="9">
        <f>ROUND(G$3*F2161,0)</f>
        <v>96492</v>
      </c>
      <c r="H2161" s="11">
        <f>ROUND(G2161/2,0)</f>
        <v>48246</v>
      </c>
      <c r="I2161" s="9">
        <f>G2161-H2161</f>
        <v>48246</v>
      </c>
      <c r="J2161" s="3" t="str">
        <f t="shared" si="160"/>
        <v>3043125</v>
      </c>
    </row>
    <row r="2162" spans="1:10" s="3" customFormat="1">
      <c r="B2162" s="3" t="s">
        <v>2116</v>
      </c>
      <c r="C2162" s="8">
        <v>4</v>
      </c>
      <c r="D2162" s="3" t="s">
        <v>2531</v>
      </c>
      <c r="E2162" s="11" t="s">
        <v>28</v>
      </c>
      <c r="F2162" s="11"/>
      <c r="G2162" s="14">
        <v>0.41516700000000001</v>
      </c>
      <c r="H2162" s="11"/>
      <c r="I2162" s="11"/>
      <c r="J2162" s="3" t="str">
        <f t="shared" si="160"/>
        <v>3043125</v>
      </c>
    </row>
    <row r="2163" spans="1:10" s="3" customFormat="1">
      <c r="B2163" s="3" t="s">
        <v>2116</v>
      </c>
      <c r="C2163" s="8">
        <v>4</v>
      </c>
      <c r="D2163" s="3" t="s">
        <v>2531</v>
      </c>
      <c r="E2163" s="11" t="s">
        <v>29</v>
      </c>
      <c r="F2163" s="11"/>
      <c r="G2163" s="15">
        <f>ROUND(G2161*G2162,0)</f>
        <v>40060</v>
      </c>
      <c r="H2163" s="16">
        <f>ROUND(G2163/2,0)</f>
        <v>20030</v>
      </c>
      <c r="I2163" s="15">
        <f>G2163-H2163</f>
        <v>20030</v>
      </c>
      <c r="J2163" s="3" t="str">
        <f t="shared" si="160"/>
        <v>3043125</v>
      </c>
    </row>
    <row r="2164" spans="1:10" s="3" customFormat="1">
      <c r="B2164" s="3" t="s">
        <v>2116</v>
      </c>
      <c r="C2164" s="8">
        <v>4</v>
      </c>
      <c r="D2164" s="3" t="s">
        <v>2531</v>
      </c>
      <c r="E2164" s="11" t="s">
        <v>30</v>
      </c>
      <c r="F2164" s="11"/>
      <c r="G2164" s="12">
        <f>+G2161-G2163</f>
        <v>56432</v>
      </c>
      <c r="H2164" s="13">
        <f>ROUND(G2164/2,0)</f>
        <v>28216</v>
      </c>
      <c r="I2164" s="12">
        <f>G2164-H2164</f>
        <v>28216</v>
      </c>
      <c r="J2164" s="3" t="str">
        <f t="shared" si="160"/>
        <v>3043125</v>
      </c>
    </row>
    <row r="2165" spans="1:10" s="3" customFormat="1">
      <c r="B2165" s="3" t="s">
        <v>2116</v>
      </c>
      <c r="C2165" s="8">
        <v>4</v>
      </c>
      <c r="D2165" s="3" t="s">
        <v>2532</v>
      </c>
      <c r="E2165" s="11" t="s">
        <v>684</v>
      </c>
      <c r="F2165" s="10">
        <v>0.17296700000000001</v>
      </c>
      <c r="G2165" s="9">
        <f>ROUND(G$3*F2165,0)</f>
        <v>49767</v>
      </c>
      <c r="H2165" s="11">
        <f>ROUND(G2165/2,0)</f>
        <v>24884</v>
      </c>
      <c r="I2165" s="9">
        <f>G2165-H2165</f>
        <v>24883</v>
      </c>
      <c r="J2165" s="3" t="str">
        <f t="shared" si="160"/>
        <v>3043135</v>
      </c>
    </row>
    <row r="2166" spans="1:10" s="3" customFormat="1">
      <c r="B2166" s="3" t="s">
        <v>2116</v>
      </c>
      <c r="C2166" s="8">
        <v>4</v>
      </c>
      <c r="D2166" s="3" t="s">
        <v>2532</v>
      </c>
      <c r="E2166" s="11" t="s">
        <v>28</v>
      </c>
      <c r="F2166" s="11"/>
      <c r="G2166" s="14">
        <v>0.41213100000000003</v>
      </c>
      <c r="H2166" s="11"/>
      <c r="I2166" s="11"/>
      <c r="J2166" s="3" t="str">
        <f t="shared" si="160"/>
        <v>3043135</v>
      </c>
    </row>
    <row r="2167" spans="1:10" s="3" customFormat="1">
      <c r="B2167" s="3" t="s">
        <v>2116</v>
      </c>
      <c r="C2167" s="8">
        <v>4</v>
      </c>
      <c r="D2167" s="3" t="s">
        <v>2532</v>
      </c>
      <c r="E2167" s="11" t="s">
        <v>29</v>
      </c>
      <c r="F2167" s="11"/>
      <c r="G2167" s="15">
        <f>ROUND(G2165*G2166,0)</f>
        <v>20511</v>
      </c>
      <c r="H2167" s="16">
        <f>ROUND(G2167/2,0)</f>
        <v>10256</v>
      </c>
      <c r="I2167" s="15">
        <f>G2167-H2167</f>
        <v>10255</v>
      </c>
      <c r="J2167" s="3" t="str">
        <f t="shared" si="160"/>
        <v>3043135</v>
      </c>
    </row>
    <row r="2168" spans="1:10" s="3" customFormat="1">
      <c r="B2168" s="3" t="s">
        <v>2116</v>
      </c>
      <c r="C2168" s="8">
        <v>4</v>
      </c>
      <c r="D2168" s="3" t="s">
        <v>2532</v>
      </c>
      <c r="E2168" s="11" t="s">
        <v>30</v>
      </c>
      <c r="F2168" s="11"/>
      <c r="G2168" s="12">
        <f>+G2165-G2167</f>
        <v>29256</v>
      </c>
      <c r="H2168" s="13">
        <f>ROUND(G2168/2,0)</f>
        <v>14628</v>
      </c>
      <c r="I2168" s="12">
        <f>G2168-H2168</f>
        <v>14628</v>
      </c>
      <c r="J2168" s="3" t="str">
        <f t="shared" si="160"/>
        <v>3043135</v>
      </c>
    </row>
    <row r="2169" spans="1:10" s="3" customFormat="1">
      <c r="B2169" s="3" t="s">
        <v>2116</v>
      </c>
      <c r="C2169" s="8">
        <v>4</v>
      </c>
      <c r="D2169" s="116" t="s">
        <v>2530</v>
      </c>
      <c r="E2169" s="11" t="s">
        <v>685</v>
      </c>
      <c r="F2169" s="10">
        <v>0.11738199999999988</v>
      </c>
      <c r="G2169" s="9">
        <f>+G2116:G2116-SUM(G2117:G2118)-SUM(G2123:G2157)-G2161-G2165</f>
        <v>425875</v>
      </c>
      <c r="H2169" s="11">
        <f>ROUND(G2169/2,0)</f>
        <v>212938</v>
      </c>
      <c r="I2169" s="9">
        <f>G2169-H2169</f>
        <v>212937</v>
      </c>
      <c r="J2169" s="3" t="str">
        <f t="shared" si="160"/>
        <v>3043115</v>
      </c>
    </row>
    <row r="2170" spans="1:10" s="3" customFormat="1">
      <c r="B2170" s="3" t="s">
        <v>2116</v>
      </c>
      <c r="C2170" s="8">
        <v>4</v>
      </c>
      <c r="D2170" s="116" t="s">
        <v>2530</v>
      </c>
      <c r="E2170" s="11" t="s">
        <v>28</v>
      </c>
      <c r="F2170" s="11"/>
      <c r="G2170" s="14">
        <v>0.39052900000000002</v>
      </c>
      <c r="H2170" s="11"/>
      <c r="I2170" s="11"/>
      <c r="J2170" s="3" t="str">
        <f t="shared" si="160"/>
        <v>3043115</v>
      </c>
    </row>
    <row r="2171" spans="1:10" s="3" customFormat="1">
      <c r="B2171" s="3" t="s">
        <v>2116</v>
      </c>
      <c r="C2171" s="8">
        <v>4</v>
      </c>
      <c r="D2171" s="116" t="s">
        <v>2530</v>
      </c>
      <c r="E2171" s="11" t="s">
        <v>29</v>
      </c>
      <c r="F2171" s="11"/>
      <c r="G2171" s="15">
        <f>ROUND(G2169*G2170,0)</f>
        <v>166317</v>
      </c>
      <c r="H2171" s="16">
        <f>ROUND(G2171/2,0)</f>
        <v>83159</v>
      </c>
      <c r="I2171" s="15">
        <f>G2171-H2171</f>
        <v>83158</v>
      </c>
      <c r="J2171" s="3" t="str">
        <f t="shared" si="160"/>
        <v>3043115</v>
      </c>
    </row>
    <row r="2172" spans="1:10" s="3" customFormat="1">
      <c r="B2172" s="3" t="s">
        <v>2116</v>
      </c>
      <c r="C2172" s="8">
        <v>4</v>
      </c>
      <c r="D2172" s="116" t="s">
        <v>2530</v>
      </c>
      <c r="E2172" s="11" t="s">
        <v>30</v>
      </c>
      <c r="F2172" s="11"/>
      <c r="G2172" s="12">
        <f>+G2169-G2171</f>
        <v>259558</v>
      </c>
      <c r="H2172" s="13">
        <f>ROUND(G2172/2,0)</f>
        <v>129779</v>
      </c>
      <c r="I2172" s="12">
        <f>G2172-H2172</f>
        <v>129779</v>
      </c>
      <c r="J2172" s="3" t="str">
        <f t="shared" si="160"/>
        <v>3043115</v>
      </c>
    </row>
    <row r="2173" spans="1:10" s="3" customFormat="1">
      <c r="A2173" s="3" t="s">
        <v>6269</v>
      </c>
      <c r="B2173" s="3" t="s">
        <v>2116</v>
      </c>
      <c r="C2173" s="8">
        <v>5</v>
      </c>
      <c r="D2173" s="3" t="s">
        <v>2534</v>
      </c>
      <c r="E2173" s="11" t="s">
        <v>686</v>
      </c>
      <c r="F2173" s="10">
        <v>0</v>
      </c>
      <c r="G2173" s="120">
        <f>ROUND(G$3*F2173,0)</f>
        <v>0</v>
      </c>
      <c r="H2173" s="120">
        <f>ROUND(G2173/2,0)</f>
        <v>0</v>
      </c>
      <c r="I2173" s="120">
        <f>G2173-H2173</f>
        <v>0</v>
      </c>
      <c r="J2173" s="3" t="str">
        <f t="shared" si="160"/>
        <v>3050080</v>
      </c>
    </row>
    <row r="2174" spans="1:10" s="3" customFormat="1">
      <c r="A2174" s="3" t="s">
        <v>6269</v>
      </c>
      <c r="B2174" s="3" t="s">
        <v>2116</v>
      </c>
      <c r="C2174" s="8">
        <v>5</v>
      </c>
      <c r="D2174" s="3" t="s">
        <v>4163</v>
      </c>
      <c r="E2174" s="11" t="s">
        <v>687</v>
      </c>
      <c r="F2174" s="10">
        <v>0</v>
      </c>
      <c r="G2174" s="120">
        <f>ROUND(G$3*F2174,0)</f>
        <v>0</v>
      </c>
      <c r="H2174" s="120">
        <f>ROUND(G2174/2,0)</f>
        <v>0</v>
      </c>
      <c r="I2174" s="120">
        <f>G2174-H2174</f>
        <v>0</v>
      </c>
      <c r="J2174" s="3" t="str">
        <f t="shared" si="160"/>
        <v>3050081</v>
      </c>
    </row>
    <row r="2175" spans="1:10" s="3" customFormat="1">
      <c r="A2175" s="3" t="s">
        <v>6269</v>
      </c>
      <c r="B2175" s="3" t="s">
        <v>2116</v>
      </c>
      <c r="C2175" s="8">
        <v>6</v>
      </c>
      <c r="D2175" s="3" t="s">
        <v>6267</v>
      </c>
      <c r="E2175" s="11" t="s">
        <v>488</v>
      </c>
      <c r="F2175" s="10">
        <v>0</v>
      </c>
      <c r="G2175" s="120">
        <f>ROUND(G$3*F2175,0)</f>
        <v>0</v>
      </c>
      <c r="H2175" s="120">
        <f>ROUND(G2175/2,0)</f>
        <v>0</v>
      </c>
      <c r="I2175" s="120">
        <f>G2175-H2175</f>
        <v>0</v>
      </c>
      <c r="J2175" s="3" t="str">
        <f t="shared" si="160"/>
        <v>306XXXX</v>
      </c>
    </row>
    <row r="2176" spans="1:10" s="3" customFormat="1">
      <c r="B2176" s="3" t="s">
        <v>2116</v>
      </c>
      <c r="C2176" s="8">
        <v>0</v>
      </c>
      <c r="D2176" s="125" t="s">
        <v>2187</v>
      </c>
      <c r="E2176" s="28" t="s">
        <v>288</v>
      </c>
      <c r="F2176" s="10">
        <v>1</v>
      </c>
      <c r="G2176" s="12">
        <f>+G2117+SUM(G2120:G2156)+SUM(G2159:G2160)+SUM(G2163:G2164)+SUM(G2167:G2168)+SUM(G2171:G2175)</f>
        <v>679825</v>
      </c>
      <c r="H2176" s="12">
        <f>+H2117+SUM(H2120:H2156)+SUM(H2159:H2160)+SUM(H2163:H2164)+SUM(H2167:H2168)+SUM(H2171:H2175)</f>
        <v>339920</v>
      </c>
      <c r="I2176" s="12">
        <f>+I2117+SUM(I2120:I2156)+SUM(I2159:I2160)+SUM(I2163:I2164)+SUM(I2167:I2168)+SUM(I2171:I2175)</f>
        <v>339905</v>
      </c>
      <c r="J2176" s="3" t="str">
        <f t="shared" si="160"/>
        <v>3000000</v>
      </c>
    </row>
    <row r="2177" spans="2:10" s="3" customFormat="1">
      <c r="B2177" s="3" t="s">
        <v>2116</v>
      </c>
      <c r="C2177" s="8">
        <v>0</v>
      </c>
      <c r="D2177" s="3" t="s">
        <v>2187</v>
      </c>
      <c r="E2177" s="18" t="s">
        <v>38</v>
      </c>
      <c r="G2177" s="19">
        <f>+G2117</f>
        <v>374</v>
      </c>
      <c r="H2177" s="19">
        <f>+H2117</f>
        <v>187</v>
      </c>
      <c r="I2177" s="19">
        <f>+I2117</f>
        <v>187</v>
      </c>
      <c r="J2177" s="3" t="str">
        <f t="shared" si="160"/>
        <v>3000000</v>
      </c>
    </row>
    <row r="2178" spans="2:10" s="3" customFormat="1">
      <c r="B2178" s="3" t="s">
        <v>2116</v>
      </c>
      <c r="C2178" s="8">
        <v>0</v>
      </c>
      <c r="D2178" s="3" t="s">
        <v>2187</v>
      </c>
      <c r="E2178" s="2" t="s">
        <v>39</v>
      </c>
      <c r="G2178" s="19">
        <f>+G2120</f>
        <v>6150</v>
      </c>
      <c r="H2178" s="19">
        <f>+H2120</f>
        <v>3075</v>
      </c>
      <c r="I2178" s="19">
        <f>+I2120</f>
        <v>3075</v>
      </c>
      <c r="J2178" s="3" t="str">
        <f t="shared" si="160"/>
        <v>3000000</v>
      </c>
    </row>
    <row r="2179" spans="2:10" s="3" customFormat="1">
      <c r="B2179" s="3" t="s">
        <v>2116</v>
      </c>
      <c r="C2179" s="8">
        <v>0</v>
      </c>
      <c r="D2179" s="3" t="s">
        <v>2187</v>
      </c>
      <c r="E2179" s="2" t="s">
        <v>40</v>
      </c>
      <c r="G2179" s="19">
        <f>+G2159+G2163+G2167+G2171</f>
        <v>238269</v>
      </c>
      <c r="H2179" s="19">
        <f>+H2159+H2163+H2167+H2171</f>
        <v>119136</v>
      </c>
      <c r="I2179" s="19">
        <f>+I2159+I2163+I2167+I2171</f>
        <v>119133</v>
      </c>
      <c r="J2179" s="3" t="str">
        <f t="shared" si="160"/>
        <v>3000000</v>
      </c>
    </row>
    <row r="2180" spans="2:10" s="3" customFormat="1">
      <c r="B2180" s="3" t="s">
        <v>2116</v>
      </c>
      <c r="C2180" s="8">
        <v>0</v>
      </c>
      <c r="D2180" s="125" t="s">
        <v>2187</v>
      </c>
      <c r="E2180" s="18" t="s">
        <v>41</v>
      </c>
      <c r="G2180" s="19">
        <f>+G2176-G2177-G2178-G2179</f>
        <v>435032</v>
      </c>
      <c r="H2180" s="19">
        <f>+H2176-H2177-H2178-H2179</f>
        <v>217522</v>
      </c>
      <c r="I2180" s="19">
        <f>+I2176-I2177-I2178-I2179</f>
        <v>217510</v>
      </c>
      <c r="J2180" s="3" t="str">
        <f t="shared" ref="J2180:J2243" si="164">B2180&amp;C2180&amp;D2180</f>
        <v>3000000</v>
      </c>
    </row>
    <row r="2181" spans="2:10" ht="15.75">
      <c r="B2181" s="3" t="s">
        <v>2186</v>
      </c>
      <c r="D2181" t="s">
        <v>2186</v>
      </c>
      <c r="E2181">
        <v>0</v>
      </c>
      <c r="G2181"/>
      <c r="H2181"/>
      <c r="I2181"/>
      <c r="J2181" s="3" t="str">
        <f t="shared" si="164"/>
        <v/>
      </c>
    </row>
    <row r="2182" spans="2:10" s="3" customFormat="1">
      <c r="C2182" s="1"/>
      <c r="D2182" s="3" t="s">
        <v>2186</v>
      </c>
      <c r="E2182" s="2" t="s">
        <v>688</v>
      </c>
      <c r="J2182" s="3" t="str">
        <f t="shared" si="164"/>
        <v/>
      </c>
    </row>
    <row r="2183" spans="2:10" s="3" customFormat="1" ht="45">
      <c r="B2183" s="3" t="s">
        <v>2186</v>
      </c>
      <c r="C2183" s="1"/>
      <c r="D2183" s="3" t="s">
        <v>2186</v>
      </c>
      <c r="E2183" s="1">
        <v>0</v>
      </c>
      <c r="F2183" s="6" t="s">
        <v>1</v>
      </c>
      <c r="G2183" s="60">
        <f>'Allocation Worksheet'!H2183</f>
        <v>0</v>
      </c>
      <c r="H2183" s="60">
        <f>'Allocation Worksheet'!H2184</f>
        <v>0</v>
      </c>
      <c r="I2183" s="60">
        <f>'Allocation Worksheet'!H2185</f>
        <v>0</v>
      </c>
      <c r="J2183" s="3" t="str">
        <f t="shared" si="164"/>
        <v/>
      </c>
    </row>
    <row r="2184" spans="2:10" s="3" customFormat="1">
      <c r="C2184" s="7" t="s">
        <v>2087</v>
      </c>
      <c r="D2184" s="3" t="s">
        <v>2186</v>
      </c>
      <c r="E2184" s="7" t="s">
        <v>3</v>
      </c>
      <c r="F2184" s="10"/>
      <c r="G2184" s="9">
        <f>'Allocation Worksheet'!$D$34</f>
        <v>248005</v>
      </c>
      <c r="H2184" s="11"/>
      <c r="I2184" s="11"/>
      <c r="J2184" s="3" t="str">
        <f t="shared" si="164"/>
        <v>UT</v>
      </c>
    </row>
    <row r="2185" spans="2:10" s="3" customFormat="1">
      <c r="B2185" s="3" t="s">
        <v>2117</v>
      </c>
      <c r="C2185" s="8">
        <v>0</v>
      </c>
      <c r="D2185" s="3" t="s">
        <v>2187</v>
      </c>
      <c r="E2185" s="11" t="s">
        <v>4</v>
      </c>
      <c r="F2185" s="10">
        <v>1.3630000000000001E-3</v>
      </c>
      <c r="G2185" s="12">
        <f>ROUND(G$3*F2185,0)</f>
        <v>392</v>
      </c>
      <c r="H2185" s="13">
        <f>ROUND(G2185/2,0)</f>
        <v>196</v>
      </c>
      <c r="I2185" s="12">
        <f>G2185-H2185</f>
        <v>196</v>
      </c>
      <c r="J2185" s="3" t="str">
        <f t="shared" si="164"/>
        <v>3100000</v>
      </c>
    </row>
    <row r="2186" spans="2:10" s="3" customFormat="1">
      <c r="B2186" s="3" t="s">
        <v>2117</v>
      </c>
      <c r="C2186" s="8">
        <v>1</v>
      </c>
      <c r="D2186" s="3" t="s">
        <v>2187</v>
      </c>
      <c r="E2186" s="11" t="s">
        <v>689</v>
      </c>
      <c r="F2186" s="10">
        <v>0.229241</v>
      </c>
      <c r="G2186" s="9">
        <f>ROUND(G$3*F2186,0)</f>
        <v>65958</v>
      </c>
      <c r="H2186" s="11">
        <f>ROUND(G2186/2,0)</f>
        <v>32979</v>
      </c>
      <c r="I2186" s="9">
        <f>G2186-H2186</f>
        <v>32979</v>
      </c>
      <c r="J2186" s="3" t="str">
        <f t="shared" si="164"/>
        <v>3110000</v>
      </c>
    </row>
    <row r="2187" spans="2:10" s="3" customFormat="1">
      <c r="B2187" s="3" t="s">
        <v>2117</v>
      </c>
      <c r="C2187" s="8">
        <v>1</v>
      </c>
      <c r="D2187" s="3" t="s">
        <v>2187</v>
      </c>
      <c r="E2187" s="11" t="s">
        <v>6</v>
      </c>
      <c r="F2187" s="11"/>
      <c r="G2187" s="14">
        <v>0.31115300000000001</v>
      </c>
      <c r="H2187" s="11"/>
      <c r="I2187" s="11"/>
      <c r="J2187" s="3" t="str">
        <f t="shared" si="164"/>
        <v>3110000</v>
      </c>
    </row>
    <row r="2188" spans="2:10" s="3" customFormat="1">
      <c r="B2188" s="3" t="s">
        <v>2117</v>
      </c>
      <c r="C2188" s="8">
        <v>1</v>
      </c>
      <c r="D2188" s="3" t="s">
        <v>2187</v>
      </c>
      <c r="E2188" s="11" t="s">
        <v>7</v>
      </c>
      <c r="F2188" s="11"/>
      <c r="G2188" s="15">
        <f>ROUND(G2186*G2187,0)</f>
        <v>20523</v>
      </c>
      <c r="H2188" s="16">
        <f>ROUND(G2188/2,0)</f>
        <v>10262</v>
      </c>
      <c r="I2188" s="15">
        <f>G2188-H2188</f>
        <v>10261</v>
      </c>
      <c r="J2188" s="3" t="str">
        <f t="shared" si="164"/>
        <v>3110000</v>
      </c>
    </row>
    <row r="2189" spans="2:10" s="3" customFormat="1">
      <c r="B2189" s="3" t="s">
        <v>2117</v>
      </c>
      <c r="C2189" s="8">
        <v>1</v>
      </c>
      <c r="D2189" s="3" t="s">
        <v>2187</v>
      </c>
      <c r="E2189" s="11" t="s">
        <v>8</v>
      </c>
      <c r="F2189" s="11"/>
      <c r="G2189" s="12">
        <f>+G2186-G2188</f>
        <v>45435</v>
      </c>
      <c r="H2189" s="13">
        <f>ROUND(G2189/2,0)</f>
        <v>22718</v>
      </c>
      <c r="I2189" s="12">
        <f>G2189-H2189</f>
        <v>22717</v>
      </c>
      <c r="J2189" s="3" t="str">
        <f t="shared" si="164"/>
        <v>3110000</v>
      </c>
    </row>
    <row r="2190" spans="2:10" s="3" customFormat="1">
      <c r="B2190" s="3" t="s">
        <v>2117</v>
      </c>
      <c r="C2190" s="8">
        <v>2</v>
      </c>
      <c r="D2190" s="3" t="s">
        <v>2188</v>
      </c>
      <c r="E2190" s="11" t="s">
        <v>669</v>
      </c>
      <c r="F2190" s="11"/>
      <c r="G2190" s="9"/>
      <c r="H2190" s="11"/>
      <c r="I2190" s="11"/>
      <c r="J2190" s="3" t="str">
        <f t="shared" si="164"/>
        <v>3120001</v>
      </c>
    </row>
    <row r="2191" spans="2:10" s="3" customFormat="1">
      <c r="B2191" s="3" t="s">
        <v>2117</v>
      </c>
      <c r="C2191" s="8">
        <v>2</v>
      </c>
      <c r="D2191" s="3" t="s">
        <v>2188</v>
      </c>
      <c r="E2191" s="11" t="s">
        <v>10</v>
      </c>
      <c r="F2191" s="10">
        <v>1.286E-3</v>
      </c>
      <c r="G2191" s="12">
        <f>ROUND(G$3*F2191,0)</f>
        <v>370</v>
      </c>
      <c r="H2191" s="13">
        <f>ROUND(G2191/2,0)</f>
        <v>185</v>
      </c>
      <c r="I2191" s="12">
        <f>G2191-H2191</f>
        <v>185</v>
      </c>
      <c r="J2191" s="3" t="str">
        <f t="shared" si="164"/>
        <v>3120001</v>
      </c>
    </row>
    <row r="2192" spans="2:10" s="3" customFormat="1">
      <c r="B2192" s="3" t="s">
        <v>2117</v>
      </c>
      <c r="C2192" s="8">
        <v>2</v>
      </c>
      <c r="D2192" s="3" t="s">
        <v>2188</v>
      </c>
      <c r="E2192" s="11" t="s">
        <v>11</v>
      </c>
      <c r="F2192" s="10">
        <v>4.6999999999999999E-4</v>
      </c>
      <c r="G2192" s="12">
        <f>ROUND(G$3*F2192,0)</f>
        <v>135</v>
      </c>
      <c r="H2192" s="13">
        <f>ROUND(G2192/2,0)</f>
        <v>68</v>
      </c>
      <c r="I2192" s="12">
        <f>G2192-H2192</f>
        <v>67</v>
      </c>
      <c r="J2192" s="3" t="str">
        <f t="shared" si="164"/>
        <v>3120001</v>
      </c>
    </row>
    <row r="2193" spans="1:10" s="3" customFormat="1">
      <c r="B2193" s="3" t="s">
        <v>2117</v>
      </c>
      <c r="C2193" s="8">
        <v>2</v>
      </c>
      <c r="D2193" s="3" t="s">
        <v>2189</v>
      </c>
      <c r="E2193" s="11" t="s">
        <v>200</v>
      </c>
      <c r="F2193" s="11"/>
      <c r="G2193" s="9"/>
      <c r="H2193" s="11"/>
      <c r="I2193" s="11"/>
      <c r="J2193" s="3" t="str">
        <f t="shared" si="164"/>
        <v>3120002</v>
      </c>
    </row>
    <row r="2194" spans="1:10" s="3" customFormat="1">
      <c r="B2194" s="3" t="s">
        <v>2117</v>
      </c>
      <c r="C2194" s="8">
        <v>2</v>
      </c>
      <c r="D2194" s="3" t="s">
        <v>2189</v>
      </c>
      <c r="E2194" s="11" t="s">
        <v>10</v>
      </c>
      <c r="F2194" s="10">
        <v>1.3999999999999999E-4</v>
      </c>
      <c r="G2194" s="12">
        <f>ROUND(G$3*F2194,0)</f>
        <v>40</v>
      </c>
      <c r="H2194" s="13">
        <f>ROUND(G2194/2,0)</f>
        <v>20</v>
      </c>
      <c r="I2194" s="12">
        <f>G2194-H2194</f>
        <v>20</v>
      </c>
      <c r="J2194" s="3" t="str">
        <f t="shared" si="164"/>
        <v>3120002</v>
      </c>
    </row>
    <row r="2195" spans="1:10" s="3" customFormat="1">
      <c r="A2195" s="3" t="s">
        <v>6269</v>
      </c>
      <c r="B2195" s="3" t="s">
        <v>2117</v>
      </c>
      <c r="C2195" s="8">
        <v>2</v>
      </c>
      <c r="D2195" s="3" t="s">
        <v>2189</v>
      </c>
      <c r="E2195" s="11" t="s">
        <v>11</v>
      </c>
      <c r="F2195" s="10">
        <v>0</v>
      </c>
      <c r="G2195" s="12">
        <f>ROUND(G$3*F2195,0)</f>
        <v>0</v>
      </c>
      <c r="H2195" s="13">
        <f>ROUND(G2195/2,0)</f>
        <v>0</v>
      </c>
      <c r="I2195" s="12">
        <f>G2195-H2195</f>
        <v>0</v>
      </c>
      <c r="J2195" s="3" t="str">
        <f t="shared" si="164"/>
        <v>3120002</v>
      </c>
    </row>
    <row r="2196" spans="1:10" s="3" customFormat="1">
      <c r="B2196" s="3" t="s">
        <v>2117</v>
      </c>
      <c r="C2196" s="8">
        <v>2</v>
      </c>
      <c r="D2196" s="3" t="s">
        <v>2190</v>
      </c>
      <c r="E2196" s="11" t="s">
        <v>372</v>
      </c>
      <c r="F2196" s="11"/>
      <c r="G2196" s="9"/>
      <c r="H2196" s="11"/>
      <c r="I2196" s="11"/>
      <c r="J2196" s="3" t="str">
        <f t="shared" si="164"/>
        <v>3120003</v>
      </c>
    </row>
    <row r="2197" spans="1:10" s="3" customFormat="1">
      <c r="B2197" s="3" t="s">
        <v>2117</v>
      </c>
      <c r="C2197" s="8">
        <v>2</v>
      </c>
      <c r="D2197" s="3" t="s">
        <v>2190</v>
      </c>
      <c r="E2197" s="11" t="s">
        <v>10</v>
      </c>
      <c r="F2197" s="10">
        <v>4.5899999999999999E-4</v>
      </c>
      <c r="G2197" s="12">
        <f>ROUND(G$3*F2197,0)</f>
        <v>132</v>
      </c>
      <c r="H2197" s="13">
        <f>ROUND(G2197/2,0)</f>
        <v>66</v>
      </c>
      <c r="I2197" s="12">
        <f>G2197-H2197</f>
        <v>66</v>
      </c>
      <c r="J2197" s="3" t="str">
        <f t="shared" si="164"/>
        <v>3120003</v>
      </c>
    </row>
    <row r="2198" spans="1:10" s="3" customFormat="1">
      <c r="B2198" s="3" t="s">
        <v>2117</v>
      </c>
      <c r="C2198" s="8">
        <v>2</v>
      </c>
      <c r="D2198" s="3" t="s">
        <v>2190</v>
      </c>
      <c r="E2198" s="11" t="s">
        <v>11</v>
      </c>
      <c r="F2198" s="10">
        <v>9.59E-4</v>
      </c>
      <c r="G2198" s="12">
        <f>ROUND(G$3*F2198,0)</f>
        <v>276</v>
      </c>
      <c r="H2198" s="13">
        <f>ROUND(G2198/2,0)</f>
        <v>138</v>
      </c>
      <c r="I2198" s="12">
        <f>G2198-H2198</f>
        <v>138</v>
      </c>
      <c r="J2198" s="3" t="str">
        <f t="shared" si="164"/>
        <v>3120003</v>
      </c>
    </row>
    <row r="2199" spans="1:10" s="3" customFormat="1">
      <c r="B2199" s="3" t="s">
        <v>2117</v>
      </c>
      <c r="C2199" s="8">
        <v>2</v>
      </c>
      <c r="D2199" s="3" t="s">
        <v>2191</v>
      </c>
      <c r="E2199" s="11" t="s">
        <v>86</v>
      </c>
      <c r="F2199" s="11"/>
      <c r="G2199" s="9"/>
      <c r="H2199" s="11"/>
      <c r="I2199" s="11"/>
      <c r="J2199" s="3" t="str">
        <f t="shared" si="164"/>
        <v>3120004</v>
      </c>
    </row>
    <row r="2200" spans="1:10" s="3" customFormat="1">
      <c r="B2200" s="3" t="s">
        <v>2117</v>
      </c>
      <c r="C2200" s="8">
        <v>2</v>
      </c>
      <c r="D2200" s="3" t="s">
        <v>2191</v>
      </c>
      <c r="E2200" s="11" t="s">
        <v>10</v>
      </c>
      <c r="F2200" s="10">
        <v>2.8770000000000002E-3</v>
      </c>
      <c r="G2200" s="12">
        <f>ROUND(G$3*F2200,0)</f>
        <v>828</v>
      </c>
      <c r="H2200" s="13">
        <f>ROUND(G2200/2,0)</f>
        <v>414</v>
      </c>
      <c r="I2200" s="12">
        <f>G2200-H2200</f>
        <v>414</v>
      </c>
      <c r="J2200" s="3" t="str">
        <f t="shared" si="164"/>
        <v>3120004</v>
      </c>
    </row>
    <row r="2201" spans="1:10" s="3" customFormat="1">
      <c r="B2201" s="3" t="s">
        <v>2117</v>
      </c>
      <c r="C2201" s="8">
        <v>2</v>
      </c>
      <c r="D2201" s="3" t="s">
        <v>2191</v>
      </c>
      <c r="E2201" s="11" t="s">
        <v>11</v>
      </c>
      <c r="F2201" s="10">
        <v>2.0950000000000001E-3</v>
      </c>
      <c r="G2201" s="12">
        <f>ROUND(G$3*F2201,0)</f>
        <v>603</v>
      </c>
      <c r="H2201" s="13">
        <f>ROUND(G2201/2,0)</f>
        <v>302</v>
      </c>
      <c r="I2201" s="12">
        <f>G2201-H2201</f>
        <v>301</v>
      </c>
      <c r="J2201" s="3" t="str">
        <f t="shared" si="164"/>
        <v>3120004</v>
      </c>
    </row>
    <row r="2202" spans="1:10" s="3" customFormat="1">
      <c r="B2202" s="3" t="s">
        <v>2117</v>
      </c>
      <c r="C2202" s="8">
        <v>2</v>
      </c>
      <c r="D2202" s="3" t="s">
        <v>2192</v>
      </c>
      <c r="E2202" s="11" t="s">
        <v>690</v>
      </c>
      <c r="F2202" s="11"/>
      <c r="G2202" s="9"/>
      <c r="H2202" s="11"/>
      <c r="I2202" s="11"/>
      <c r="J2202" s="3" t="str">
        <f t="shared" si="164"/>
        <v>3120005</v>
      </c>
    </row>
    <row r="2203" spans="1:10" s="3" customFormat="1">
      <c r="B2203" s="3" t="s">
        <v>2117</v>
      </c>
      <c r="C2203" s="8">
        <v>2</v>
      </c>
      <c r="D2203" s="3" t="s">
        <v>2192</v>
      </c>
      <c r="E2203" s="11" t="s">
        <v>10</v>
      </c>
      <c r="F2203" s="10">
        <v>7.4600000000000003E-4</v>
      </c>
      <c r="G2203" s="12">
        <f>ROUND(G$3*F2203,0)</f>
        <v>215</v>
      </c>
      <c r="H2203" s="13">
        <f>ROUND(G2203/2,0)</f>
        <v>108</v>
      </c>
      <c r="I2203" s="12">
        <f>G2203-H2203</f>
        <v>107</v>
      </c>
      <c r="J2203" s="3" t="str">
        <f t="shared" si="164"/>
        <v>3120005</v>
      </c>
    </row>
    <row r="2204" spans="1:10" s="3" customFormat="1">
      <c r="A2204" s="3" t="s">
        <v>6269</v>
      </c>
      <c r="B2204" s="3" t="s">
        <v>2117</v>
      </c>
      <c r="C2204" s="8">
        <v>2</v>
      </c>
      <c r="D2204" s="3" t="s">
        <v>2192</v>
      </c>
      <c r="E2204" s="11" t="s">
        <v>11</v>
      </c>
      <c r="F2204" s="10">
        <v>0</v>
      </c>
      <c r="G2204" s="12">
        <f>ROUND(G$3*F2204,0)</f>
        <v>0</v>
      </c>
      <c r="H2204" s="13">
        <f>ROUND(G2204/2,0)</f>
        <v>0</v>
      </c>
      <c r="I2204" s="12">
        <f>G2204-H2204</f>
        <v>0</v>
      </c>
      <c r="J2204" s="3" t="str">
        <f t="shared" si="164"/>
        <v>3120005</v>
      </c>
    </row>
    <row r="2205" spans="1:10" s="3" customFormat="1">
      <c r="B2205" s="3" t="s">
        <v>2117</v>
      </c>
      <c r="C2205" s="8">
        <v>2</v>
      </c>
      <c r="D2205" s="3" t="s">
        <v>2193</v>
      </c>
      <c r="E2205" s="11" t="s">
        <v>49</v>
      </c>
      <c r="F2205" s="11"/>
      <c r="G2205" s="9"/>
      <c r="H2205" s="11"/>
      <c r="I2205" s="11"/>
      <c r="J2205" s="3" t="str">
        <f t="shared" si="164"/>
        <v>3120006</v>
      </c>
    </row>
    <row r="2206" spans="1:10" s="3" customFormat="1">
      <c r="B2206" s="3" t="s">
        <v>2117</v>
      </c>
      <c r="C2206" s="8">
        <v>2</v>
      </c>
      <c r="D2206" s="3" t="s">
        <v>2193</v>
      </c>
      <c r="E2206" s="11" t="s">
        <v>10</v>
      </c>
      <c r="F2206" s="10">
        <v>1.7049999999999999E-3</v>
      </c>
      <c r="G2206" s="12">
        <f>ROUND(G$3*F2206,0)</f>
        <v>491</v>
      </c>
      <c r="H2206" s="13">
        <f>ROUND(G2206/2,0)</f>
        <v>246</v>
      </c>
      <c r="I2206" s="12">
        <f>G2206-H2206</f>
        <v>245</v>
      </c>
      <c r="J2206" s="3" t="str">
        <f t="shared" si="164"/>
        <v>3120006</v>
      </c>
    </row>
    <row r="2207" spans="1:10" s="3" customFormat="1">
      <c r="B2207" s="3" t="s">
        <v>2117</v>
      </c>
      <c r="C2207" s="8">
        <v>2</v>
      </c>
      <c r="D2207" s="3" t="s">
        <v>2193</v>
      </c>
      <c r="E2207" s="11" t="s">
        <v>11</v>
      </c>
      <c r="F2207" s="10">
        <v>1.0219999999999999E-3</v>
      </c>
      <c r="G2207" s="12">
        <f>ROUND(G$3*F2207,0)</f>
        <v>294</v>
      </c>
      <c r="H2207" s="13">
        <f>ROUND(G2207/2,0)</f>
        <v>147</v>
      </c>
      <c r="I2207" s="12">
        <f>G2207-H2207</f>
        <v>147</v>
      </c>
      <c r="J2207" s="3" t="str">
        <f t="shared" si="164"/>
        <v>3120006</v>
      </c>
    </row>
    <row r="2208" spans="1:10" s="3" customFormat="1">
      <c r="B2208" s="3" t="s">
        <v>2117</v>
      </c>
      <c r="C2208" s="8">
        <v>2</v>
      </c>
      <c r="D2208" s="3" t="s">
        <v>2194</v>
      </c>
      <c r="E2208" s="11" t="s">
        <v>691</v>
      </c>
      <c r="F2208" s="11"/>
      <c r="G2208" s="9"/>
      <c r="H2208" s="11"/>
      <c r="I2208" s="11"/>
      <c r="J2208" s="3" t="str">
        <f t="shared" si="164"/>
        <v>3120007</v>
      </c>
    </row>
    <row r="2209" spans="1:10" s="3" customFormat="1">
      <c r="B2209" s="3" t="s">
        <v>2117</v>
      </c>
      <c r="C2209" s="8">
        <v>2</v>
      </c>
      <c r="D2209" s="3" t="s">
        <v>2194</v>
      </c>
      <c r="E2209" s="11" t="s">
        <v>10</v>
      </c>
      <c r="F2209" s="10">
        <v>8.9999999999999998E-4</v>
      </c>
      <c r="G2209" s="12">
        <f>ROUND(G$3*F2209,0)</f>
        <v>259</v>
      </c>
      <c r="H2209" s="13">
        <f>ROUND(G2209/2,0)</f>
        <v>130</v>
      </c>
      <c r="I2209" s="12">
        <f>G2209-H2209</f>
        <v>129</v>
      </c>
      <c r="J2209" s="3" t="str">
        <f t="shared" si="164"/>
        <v>3120007</v>
      </c>
    </row>
    <row r="2210" spans="1:10" s="3" customFormat="1">
      <c r="A2210" s="3" t="s">
        <v>6269</v>
      </c>
      <c r="B2210" s="3" t="s">
        <v>2117</v>
      </c>
      <c r="C2210" s="8">
        <v>2</v>
      </c>
      <c r="D2210" s="3" t="s">
        <v>2194</v>
      </c>
      <c r="E2210" s="11" t="s">
        <v>11</v>
      </c>
      <c r="F2210" s="10">
        <v>0</v>
      </c>
      <c r="G2210" s="12">
        <f>ROUND(G$3*F2210,0)</f>
        <v>0</v>
      </c>
      <c r="H2210" s="13">
        <f>ROUND(G2210/2,0)</f>
        <v>0</v>
      </c>
      <c r="I2210" s="12">
        <f>G2210-H2210</f>
        <v>0</v>
      </c>
      <c r="J2210" s="3" t="str">
        <f t="shared" si="164"/>
        <v>3120007</v>
      </c>
    </row>
    <row r="2211" spans="1:10" s="3" customFormat="1">
      <c r="B2211" s="3" t="s">
        <v>2117</v>
      </c>
      <c r="C2211" s="8">
        <v>2</v>
      </c>
      <c r="D2211" s="3" t="s">
        <v>2195</v>
      </c>
      <c r="E2211" s="11" t="s">
        <v>252</v>
      </c>
      <c r="F2211" s="11"/>
      <c r="G2211" s="9"/>
      <c r="H2211" s="11"/>
      <c r="I2211" s="11"/>
      <c r="J2211" s="3" t="str">
        <f t="shared" si="164"/>
        <v>3120008</v>
      </c>
    </row>
    <row r="2212" spans="1:10" s="3" customFormat="1">
      <c r="B2212" s="3" t="s">
        <v>2117</v>
      </c>
      <c r="C2212" s="8">
        <v>2</v>
      </c>
      <c r="D2212" s="3" t="s">
        <v>2195</v>
      </c>
      <c r="E2212" s="11" t="s">
        <v>10</v>
      </c>
      <c r="F2212" s="10">
        <v>3.9300000000000001E-4</v>
      </c>
      <c r="G2212" s="12">
        <f>ROUND(G$3*F2212,0)</f>
        <v>113</v>
      </c>
      <c r="H2212" s="13">
        <f>ROUND(G2212/2,0)</f>
        <v>57</v>
      </c>
      <c r="I2212" s="12">
        <f>G2212-H2212</f>
        <v>56</v>
      </c>
      <c r="J2212" s="3" t="str">
        <f t="shared" si="164"/>
        <v>3120008</v>
      </c>
    </row>
    <row r="2213" spans="1:10" s="3" customFormat="1">
      <c r="B2213" s="3" t="s">
        <v>2117</v>
      </c>
      <c r="C2213" s="8">
        <v>2</v>
      </c>
      <c r="D2213" s="3" t="s">
        <v>2195</v>
      </c>
      <c r="E2213" s="11" t="s">
        <v>11</v>
      </c>
      <c r="F2213" s="10">
        <v>3.0899999999999998E-4</v>
      </c>
      <c r="G2213" s="12">
        <f>ROUND(G$3*F2213,0)</f>
        <v>89</v>
      </c>
      <c r="H2213" s="13">
        <f>ROUND(G2213/2,0)</f>
        <v>45</v>
      </c>
      <c r="I2213" s="12">
        <f>G2213-H2213</f>
        <v>44</v>
      </c>
      <c r="J2213" s="3" t="str">
        <f t="shared" si="164"/>
        <v>3120008</v>
      </c>
    </row>
    <row r="2214" spans="1:10" s="3" customFormat="1">
      <c r="B2214" s="3" t="s">
        <v>2117</v>
      </c>
      <c r="C2214" s="8">
        <v>2</v>
      </c>
      <c r="D2214" s="3" t="s">
        <v>2196</v>
      </c>
      <c r="E2214" s="11" t="s">
        <v>376</v>
      </c>
      <c r="F2214" s="11"/>
      <c r="G2214" s="9"/>
      <c r="H2214" s="11"/>
      <c r="I2214" s="11"/>
      <c r="J2214" s="3" t="str">
        <f t="shared" si="164"/>
        <v>3120009</v>
      </c>
    </row>
    <row r="2215" spans="1:10" s="3" customFormat="1">
      <c r="B2215" s="3" t="s">
        <v>2117</v>
      </c>
      <c r="C2215" s="8">
        <v>2</v>
      </c>
      <c r="D2215" s="3" t="s">
        <v>2196</v>
      </c>
      <c r="E2215" s="11" t="s">
        <v>10</v>
      </c>
      <c r="F2215" s="10">
        <v>1.477E-3</v>
      </c>
      <c r="G2215" s="12">
        <f>ROUND(G$3*F2215,0)</f>
        <v>425</v>
      </c>
      <c r="H2215" s="13">
        <f>ROUND(G2215/2,0)</f>
        <v>213</v>
      </c>
      <c r="I2215" s="12">
        <f>G2215-H2215</f>
        <v>212</v>
      </c>
      <c r="J2215" s="3" t="str">
        <f t="shared" si="164"/>
        <v>3120009</v>
      </c>
    </row>
    <row r="2216" spans="1:10" s="3" customFormat="1">
      <c r="B2216" s="3" t="s">
        <v>2117</v>
      </c>
      <c r="C2216" s="8">
        <v>2</v>
      </c>
      <c r="D2216" s="3" t="s">
        <v>2196</v>
      </c>
      <c r="E2216" s="11" t="s">
        <v>11</v>
      </c>
      <c r="F2216" s="10">
        <v>1.2819999999999999E-3</v>
      </c>
      <c r="G2216" s="12">
        <f>ROUND(G$3*F2216,0)</f>
        <v>369</v>
      </c>
      <c r="H2216" s="13">
        <f>ROUND(G2216/2,0)</f>
        <v>185</v>
      </c>
      <c r="I2216" s="12">
        <f>G2216-H2216</f>
        <v>184</v>
      </c>
      <c r="J2216" s="3" t="str">
        <f t="shared" si="164"/>
        <v>3120009</v>
      </c>
    </row>
    <row r="2217" spans="1:10" s="3" customFormat="1">
      <c r="B2217" s="3" t="s">
        <v>2117</v>
      </c>
      <c r="C2217" s="8">
        <v>2</v>
      </c>
      <c r="D2217" s="3" t="s">
        <v>2197</v>
      </c>
      <c r="E2217" s="11" t="s">
        <v>627</v>
      </c>
      <c r="F2217" s="11"/>
      <c r="G2217" s="9"/>
      <c r="H2217" s="11"/>
      <c r="I2217" s="11"/>
      <c r="J2217" s="3" t="str">
        <f t="shared" si="164"/>
        <v>3120010</v>
      </c>
    </row>
    <row r="2218" spans="1:10" s="3" customFormat="1">
      <c r="B2218" s="3" t="s">
        <v>2117</v>
      </c>
      <c r="C2218" s="8">
        <v>2</v>
      </c>
      <c r="D2218" s="3" t="s">
        <v>2197</v>
      </c>
      <c r="E2218" s="11" t="s">
        <v>10</v>
      </c>
      <c r="F2218" s="10">
        <v>2.2000000000000001E-4</v>
      </c>
      <c r="G2218" s="12">
        <f>ROUND(G$3*F2218,0)</f>
        <v>63</v>
      </c>
      <c r="H2218" s="13">
        <f>ROUND(G2218/2,0)</f>
        <v>32</v>
      </c>
      <c r="I2218" s="12">
        <f>G2218-H2218</f>
        <v>31</v>
      </c>
      <c r="J2218" s="3" t="str">
        <f t="shared" si="164"/>
        <v>3120010</v>
      </c>
    </row>
    <row r="2219" spans="1:10" s="3" customFormat="1">
      <c r="B2219" s="3" t="s">
        <v>2117</v>
      </c>
      <c r="C2219" s="8">
        <v>2</v>
      </c>
      <c r="D2219" s="3" t="s">
        <v>2197</v>
      </c>
      <c r="E2219" s="11" t="s">
        <v>11</v>
      </c>
      <c r="F2219" s="10">
        <v>9.2E-5</v>
      </c>
      <c r="G2219" s="12">
        <f>ROUND(G$3*F2219,0)</f>
        <v>26</v>
      </c>
      <c r="H2219" s="13">
        <f>ROUND(G2219/2,0)</f>
        <v>13</v>
      </c>
      <c r="I2219" s="12">
        <f>G2219-H2219</f>
        <v>13</v>
      </c>
      <c r="J2219" s="3" t="str">
        <f t="shared" si="164"/>
        <v>3120010</v>
      </c>
    </row>
    <row r="2220" spans="1:10" s="3" customFormat="1">
      <c r="B2220" s="3" t="s">
        <v>2117</v>
      </c>
      <c r="C2220" s="8">
        <v>2</v>
      </c>
      <c r="D2220" s="3" t="s">
        <v>2198</v>
      </c>
      <c r="E2220" s="11" t="s">
        <v>22</v>
      </c>
      <c r="F2220" s="11"/>
      <c r="G2220" s="9"/>
      <c r="H2220" s="11"/>
      <c r="I2220" s="11"/>
      <c r="J2220" s="3" t="str">
        <f t="shared" si="164"/>
        <v>3120011</v>
      </c>
    </row>
    <row r="2221" spans="1:10" s="3" customFormat="1">
      <c r="B2221" s="3" t="s">
        <v>2117</v>
      </c>
      <c r="C2221" s="8">
        <v>2</v>
      </c>
      <c r="D2221" s="3" t="s">
        <v>2198</v>
      </c>
      <c r="E2221" s="11" t="s">
        <v>10</v>
      </c>
      <c r="F2221" s="10">
        <v>2.1699999999999999E-4</v>
      </c>
      <c r="G2221" s="12">
        <f>ROUND(G$3*F2221,0)</f>
        <v>62</v>
      </c>
      <c r="H2221" s="13">
        <f>ROUND(G2221/2,0)</f>
        <v>31</v>
      </c>
      <c r="I2221" s="12">
        <f>G2221-H2221</f>
        <v>31</v>
      </c>
      <c r="J2221" s="3" t="str">
        <f t="shared" si="164"/>
        <v>3120011</v>
      </c>
    </row>
    <row r="2222" spans="1:10" s="3" customFormat="1">
      <c r="A2222" s="3" t="s">
        <v>6269</v>
      </c>
      <c r="B2222" s="3" t="s">
        <v>2117</v>
      </c>
      <c r="C2222" s="8">
        <v>2</v>
      </c>
      <c r="D2222" s="3" t="s">
        <v>2198</v>
      </c>
      <c r="E2222" s="11" t="s">
        <v>11</v>
      </c>
      <c r="F2222" s="10">
        <v>0</v>
      </c>
      <c r="G2222" s="12">
        <f>ROUND(G$3*F2222,0)</f>
        <v>0</v>
      </c>
      <c r="H2222" s="13">
        <f>ROUND(G2222/2,0)</f>
        <v>0</v>
      </c>
      <c r="I2222" s="12">
        <f>G2222-H2222</f>
        <v>0</v>
      </c>
      <c r="J2222" s="3" t="str">
        <f t="shared" si="164"/>
        <v>3120011</v>
      </c>
    </row>
    <row r="2223" spans="1:10" s="3" customFormat="1">
      <c r="B2223" s="3" t="s">
        <v>2117</v>
      </c>
      <c r="C2223" s="8">
        <v>2</v>
      </c>
      <c r="D2223" s="3" t="s">
        <v>2199</v>
      </c>
      <c r="E2223" s="11" t="s">
        <v>692</v>
      </c>
      <c r="F2223" s="11"/>
      <c r="G2223" s="9"/>
      <c r="H2223" s="11"/>
      <c r="I2223" s="11"/>
      <c r="J2223" s="3" t="str">
        <f t="shared" si="164"/>
        <v>3120012</v>
      </c>
    </row>
    <row r="2224" spans="1:10" s="3" customFormat="1">
      <c r="B2224" s="3" t="s">
        <v>2117</v>
      </c>
      <c r="C2224" s="8">
        <v>2</v>
      </c>
      <c r="D2224" s="3" t="s">
        <v>2199</v>
      </c>
      <c r="E2224" s="11" t="s">
        <v>10</v>
      </c>
      <c r="F2224" s="10">
        <v>3.4900000000000003E-4</v>
      </c>
      <c r="G2224" s="12">
        <f t="shared" ref="G2224:G2236" si="165">ROUND(G$3*F2224,0)</f>
        <v>100</v>
      </c>
      <c r="H2224" s="13">
        <f t="shared" ref="H2224:H2236" si="166">ROUND(G2224/2,0)</f>
        <v>50</v>
      </c>
      <c r="I2224" s="12">
        <f t="shared" ref="I2224:I2236" si="167">G2224-H2224</f>
        <v>50</v>
      </c>
      <c r="J2224" s="3" t="str">
        <f t="shared" si="164"/>
        <v>3120012</v>
      </c>
    </row>
    <row r="2225" spans="1:10" s="3" customFormat="1">
      <c r="A2225" s="3" t="s">
        <v>6269</v>
      </c>
      <c r="B2225" s="3" t="s">
        <v>2117</v>
      </c>
      <c r="C2225" s="8">
        <v>2</v>
      </c>
      <c r="D2225" s="3" t="s">
        <v>2199</v>
      </c>
      <c r="E2225" s="11" t="s">
        <v>11</v>
      </c>
      <c r="F2225" s="10">
        <v>0</v>
      </c>
      <c r="G2225" s="12">
        <f t="shared" si="165"/>
        <v>0</v>
      </c>
      <c r="H2225" s="13">
        <f t="shared" si="166"/>
        <v>0</v>
      </c>
      <c r="I2225" s="12">
        <f t="shared" si="167"/>
        <v>0</v>
      </c>
      <c r="J2225" s="3" t="str">
        <f t="shared" si="164"/>
        <v>3120012</v>
      </c>
    </row>
    <row r="2226" spans="1:10" s="3" customFormat="1">
      <c r="B2226" s="3" t="s">
        <v>2117</v>
      </c>
      <c r="C2226" s="8">
        <v>3</v>
      </c>
      <c r="D2226" s="3" t="s">
        <v>2535</v>
      </c>
      <c r="E2226" s="11" t="s">
        <v>693</v>
      </c>
      <c r="F2226" s="10">
        <v>1.1564E-2</v>
      </c>
      <c r="G2226" s="12">
        <f t="shared" si="165"/>
        <v>3327</v>
      </c>
      <c r="H2226" s="13">
        <f t="shared" si="166"/>
        <v>1664</v>
      </c>
      <c r="I2226" s="12">
        <f t="shared" si="167"/>
        <v>1663</v>
      </c>
      <c r="J2226" s="3" t="str">
        <f t="shared" si="164"/>
        <v>3130650</v>
      </c>
    </row>
    <row r="2227" spans="1:10" s="3" customFormat="1">
      <c r="B2227" s="3" t="s">
        <v>2117</v>
      </c>
      <c r="C2227" s="8">
        <v>3</v>
      </c>
      <c r="D2227" s="3" t="s">
        <v>2536</v>
      </c>
      <c r="E2227" s="11" t="s">
        <v>694</v>
      </c>
      <c r="F2227" s="10">
        <v>1.73E-4</v>
      </c>
      <c r="G2227" s="12">
        <f t="shared" si="165"/>
        <v>50</v>
      </c>
      <c r="H2227" s="13">
        <f t="shared" si="166"/>
        <v>25</v>
      </c>
      <c r="I2227" s="12">
        <f t="shared" si="167"/>
        <v>25</v>
      </c>
      <c r="J2227" s="3" t="str">
        <f t="shared" si="164"/>
        <v>3130651</v>
      </c>
    </row>
    <row r="2228" spans="1:10" s="3" customFormat="1">
      <c r="B2228" s="3" t="s">
        <v>2117</v>
      </c>
      <c r="C2228" s="8">
        <v>3</v>
      </c>
      <c r="D2228" s="3" t="s">
        <v>2537</v>
      </c>
      <c r="E2228" s="11" t="s">
        <v>695</v>
      </c>
      <c r="F2228" s="10">
        <v>6.6000000000000005E-5</v>
      </c>
      <c r="G2228" s="12">
        <f t="shared" si="165"/>
        <v>19</v>
      </c>
      <c r="H2228" s="13">
        <f t="shared" si="166"/>
        <v>10</v>
      </c>
      <c r="I2228" s="12">
        <f t="shared" si="167"/>
        <v>9</v>
      </c>
      <c r="J2228" s="3" t="str">
        <f t="shared" si="164"/>
        <v>3130652</v>
      </c>
    </row>
    <row r="2229" spans="1:10" s="3" customFormat="1">
      <c r="A2229" s="3" t="s">
        <v>6269</v>
      </c>
      <c r="B2229" s="3" t="s">
        <v>2117</v>
      </c>
      <c r="C2229" s="8">
        <v>3</v>
      </c>
      <c r="D2229" s="3" t="s">
        <v>2538</v>
      </c>
      <c r="E2229" s="11" t="s">
        <v>696</v>
      </c>
      <c r="F2229" s="10">
        <v>0</v>
      </c>
      <c r="G2229" s="12">
        <f t="shared" si="165"/>
        <v>0</v>
      </c>
      <c r="H2229" s="13">
        <f t="shared" si="166"/>
        <v>0</v>
      </c>
      <c r="I2229" s="12">
        <f t="shared" si="167"/>
        <v>0</v>
      </c>
      <c r="J2229" s="3" t="str">
        <f t="shared" si="164"/>
        <v>3130653</v>
      </c>
    </row>
    <row r="2230" spans="1:10" s="3" customFormat="1">
      <c r="B2230" s="3" t="s">
        <v>2117</v>
      </c>
      <c r="C2230" s="8">
        <v>3</v>
      </c>
      <c r="D2230" s="3" t="s">
        <v>2539</v>
      </c>
      <c r="E2230" s="11" t="s">
        <v>697</v>
      </c>
      <c r="F2230" s="10">
        <v>1.1E-4</v>
      </c>
      <c r="G2230" s="12">
        <f t="shared" si="165"/>
        <v>32</v>
      </c>
      <c r="H2230" s="13">
        <f t="shared" si="166"/>
        <v>16</v>
      </c>
      <c r="I2230" s="12">
        <f t="shared" si="167"/>
        <v>16</v>
      </c>
      <c r="J2230" s="3" t="str">
        <f t="shared" si="164"/>
        <v>3130654</v>
      </c>
    </row>
    <row r="2231" spans="1:10" s="3" customFormat="1">
      <c r="B2231" s="3" t="s">
        <v>2117</v>
      </c>
      <c r="C2231" s="8">
        <v>3</v>
      </c>
      <c r="D2231" s="3" t="s">
        <v>2540</v>
      </c>
      <c r="E2231" s="11" t="s">
        <v>698</v>
      </c>
      <c r="F2231" s="10">
        <v>1.183E-3</v>
      </c>
      <c r="G2231" s="12">
        <f t="shared" si="165"/>
        <v>340</v>
      </c>
      <c r="H2231" s="13">
        <f t="shared" si="166"/>
        <v>170</v>
      </c>
      <c r="I2231" s="12">
        <f t="shared" si="167"/>
        <v>170</v>
      </c>
      <c r="J2231" s="3" t="str">
        <f t="shared" si="164"/>
        <v>3130655</v>
      </c>
    </row>
    <row r="2232" spans="1:10" s="3" customFormat="1">
      <c r="A2232" s="3" t="s">
        <v>6269</v>
      </c>
      <c r="B2232" s="3" t="s">
        <v>2117</v>
      </c>
      <c r="C2232" s="8">
        <v>3</v>
      </c>
      <c r="D2232" s="3" t="s">
        <v>2328</v>
      </c>
      <c r="E2232" s="11" t="s">
        <v>299</v>
      </c>
      <c r="F2232" s="10">
        <v>0</v>
      </c>
      <c r="G2232" s="12">
        <f t="shared" si="165"/>
        <v>0</v>
      </c>
      <c r="H2232" s="13">
        <f t="shared" si="166"/>
        <v>0</v>
      </c>
      <c r="I2232" s="12">
        <f t="shared" si="167"/>
        <v>0</v>
      </c>
      <c r="J2232" s="3" t="str">
        <f t="shared" si="164"/>
        <v>3130568</v>
      </c>
    </row>
    <row r="2233" spans="1:10" s="3" customFormat="1">
      <c r="A2233" s="3" t="s">
        <v>6269</v>
      </c>
      <c r="B2233" s="3" t="s">
        <v>2117</v>
      </c>
      <c r="C2233" s="8">
        <v>3</v>
      </c>
      <c r="D2233" s="3" t="s">
        <v>2541</v>
      </c>
      <c r="E2233" s="11" t="s">
        <v>699</v>
      </c>
      <c r="F2233" s="10">
        <v>0</v>
      </c>
      <c r="G2233" s="12">
        <f t="shared" si="165"/>
        <v>0</v>
      </c>
      <c r="H2233" s="13">
        <f t="shared" si="166"/>
        <v>0</v>
      </c>
      <c r="I2233" s="12">
        <f t="shared" si="167"/>
        <v>0</v>
      </c>
      <c r="J2233" s="3" t="str">
        <f t="shared" si="164"/>
        <v>3130656</v>
      </c>
    </row>
    <row r="2234" spans="1:10" s="3" customFormat="1">
      <c r="A2234" s="3" t="s">
        <v>6269</v>
      </c>
      <c r="B2234" s="3" t="s">
        <v>2117</v>
      </c>
      <c r="C2234" s="8">
        <v>3</v>
      </c>
      <c r="D2234" s="3" t="s">
        <v>2542</v>
      </c>
      <c r="E2234" s="11" t="s">
        <v>700</v>
      </c>
      <c r="F2234" s="10">
        <v>0</v>
      </c>
      <c r="G2234" s="12">
        <f t="shared" si="165"/>
        <v>0</v>
      </c>
      <c r="H2234" s="13">
        <f t="shared" si="166"/>
        <v>0</v>
      </c>
      <c r="I2234" s="12">
        <f t="shared" si="167"/>
        <v>0</v>
      </c>
      <c r="J2234" s="3" t="str">
        <f t="shared" si="164"/>
        <v>3130657</v>
      </c>
    </row>
    <row r="2235" spans="1:10" s="3" customFormat="1">
      <c r="B2235" s="3" t="s">
        <v>2117</v>
      </c>
      <c r="C2235" s="8">
        <v>3</v>
      </c>
      <c r="D2235" s="3" t="s">
        <v>2543</v>
      </c>
      <c r="E2235" s="11" t="s">
        <v>701</v>
      </c>
      <c r="F2235" s="10">
        <v>1.2750000000000001E-3</v>
      </c>
      <c r="G2235" s="12">
        <f t="shared" si="165"/>
        <v>367</v>
      </c>
      <c r="H2235" s="13">
        <f t="shared" si="166"/>
        <v>184</v>
      </c>
      <c r="I2235" s="12">
        <f t="shared" si="167"/>
        <v>183</v>
      </c>
      <c r="J2235" s="3" t="str">
        <f t="shared" si="164"/>
        <v>3130658</v>
      </c>
    </row>
    <row r="2236" spans="1:10" s="3" customFormat="1">
      <c r="A2236" s="3" t="s">
        <v>6269</v>
      </c>
      <c r="B2236" s="3" t="s">
        <v>2117</v>
      </c>
      <c r="C2236" s="8">
        <v>4</v>
      </c>
      <c r="D2236" s="116" t="s">
        <v>2329</v>
      </c>
      <c r="E2236" s="11" t="s">
        <v>300</v>
      </c>
      <c r="F2236" s="10">
        <v>0</v>
      </c>
      <c r="G2236" s="9">
        <f t="shared" si="165"/>
        <v>0</v>
      </c>
      <c r="H2236" s="11">
        <f t="shared" si="166"/>
        <v>0</v>
      </c>
      <c r="I2236" s="9">
        <f t="shared" si="167"/>
        <v>0</v>
      </c>
      <c r="J2236" s="3" t="str">
        <f t="shared" si="164"/>
        <v>3141300</v>
      </c>
    </row>
    <row r="2237" spans="1:10" s="3" customFormat="1">
      <c r="B2237" s="3" t="s">
        <v>2117</v>
      </c>
      <c r="C2237" s="8">
        <v>4</v>
      </c>
      <c r="D2237" s="116" t="s">
        <v>2329</v>
      </c>
      <c r="E2237" s="11" t="s">
        <v>28</v>
      </c>
      <c r="F2237" s="11"/>
      <c r="G2237" s="14">
        <v>0.333924</v>
      </c>
      <c r="H2237" s="11"/>
      <c r="I2237" s="11"/>
      <c r="J2237" s="3" t="str">
        <f t="shared" si="164"/>
        <v>3141300</v>
      </c>
    </row>
    <row r="2238" spans="1:10" s="3" customFormat="1">
      <c r="B2238" s="3" t="s">
        <v>2117</v>
      </c>
      <c r="C2238" s="8">
        <v>4</v>
      </c>
      <c r="D2238" s="116" t="s">
        <v>2329</v>
      </c>
      <c r="E2238" s="11" t="s">
        <v>29</v>
      </c>
      <c r="F2238" s="11"/>
      <c r="G2238" s="15">
        <f>ROUND(G2236*G2237,0)</f>
        <v>0</v>
      </c>
      <c r="H2238" s="16">
        <f>ROUND(G2238/2,0)</f>
        <v>0</v>
      </c>
      <c r="I2238" s="15">
        <f>G2238-H2238</f>
        <v>0</v>
      </c>
      <c r="J2238" s="3" t="str">
        <f t="shared" si="164"/>
        <v>3141300</v>
      </c>
    </row>
    <row r="2239" spans="1:10" s="3" customFormat="1">
      <c r="B2239" s="3" t="s">
        <v>2117</v>
      </c>
      <c r="C2239" s="8">
        <v>4</v>
      </c>
      <c r="D2239" s="116" t="s">
        <v>2329</v>
      </c>
      <c r="E2239" s="11" t="s">
        <v>30</v>
      </c>
      <c r="F2239" s="11"/>
      <c r="G2239" s="12">
        <f>+G2236-G2238</f>
        <v>0</v>
      </c>
      <c r="H2239" s="13">
        <f>ROUND(G2239/2,0)</f>
        <v>0</v>
      </c>
      <c r="I2239" s="12">
        <f>G2239-H2239</f>
        <v>0</v>
      </c>
      <c r="J2239" s="3" t="str">
        <f t="shared" si="164"/>
        <v>3141300</v>
      </c>
    </row>
    <row r="2240" spans="1:10" s="3" customFormat="1">
      <c r="B2240" s="3" t="s">
        <v>2117</v>
      </c>
      <c r="C2240" s="8">
        <v>4</v>
      </c>
      <c r="D2240" s="3" t="s">
        <v>2544</v>
      </c>
      <c r="E2240" s="11" t="s">
        <v>702</v>
      </c>
      <c r="F2240" s="10">
        <v>4.7995999999999997E-2</v>
      </c>
      <c r="G2240" s="9">
        <f>ROUND(G$3*F2240,0)</f>
        <v>13810</v>
      </c>
      <c r="H2240" s="11">
        <f>ROUND(G2240/2,0)</f>
        <v>6905</v>
      </c>
      <c r="I2240" s="9">
        <f>G2240-H2240</f>
        <v>6905</v>
      </c>
      <c r="J2240" s="3" t="str">
        <f t="shared" si="164"/>
        <v>3143160</v>
      </c>
    </row>
    <row r="2241" spans="2:10" s="3" customFormat="1">
      <c r="B2241" s="3" t="s">
        <v>2117</v>
      </c>
      <c r="C2241" s="8">
        <v>4</v>
      </c>
      <c r="D2241" s="3" t="s">
        <v>2544</v>
      </c>
      <c r="E2241" s="11" t="s">
        <v>28</v>
      </c>
      <c r="F2241" s="11"/>
      <c r="G2241" s="14">
        <v>0.469115</v>
      </c>
      <c r="H2241" s="11"/>
      <c r="I2241" s="11"/>
      <c r="J2241" s="3" t="str">
        <f t="shared" si="164"/>
        <v>3143160</v>
      </c>
    </row>
    <row r="2242" spans="2:10" s="3" customFormat="1">
      <c r="B2242" s="3" t="s">
        <v>2117</v>
      </c>
      <c r="C2242" s="8">
        <v>4</v>
      </c>
      <c r="D2242" s="3" t="s">
        <v>2544</v>
      </c>
      <c r="E2242" s="11" t="s">
        <v>29</v>
      </c>
      <c r="F2242" s="11"/>
      <c r="G2242" s="15">
        <f>ROUND(G2240*G2241,0)</f>
        <v>6478</v>
      </c>
      <c r="H2242" s="16">
        <f>ROUND(G2242/2,0)</f>
        <v>3239</v>
      </c>
      <c r="I2242" s="15">
        <f>G2242-H2242</f>
        <v>3239</v>
      </c>
      <c r="J2242" s="3" t="str">
        <f t="shared" si="164"/>
        <v>3143160</v>
      </c>
    </row>
    <row r="2243" spans="2:10" s="3" customFormat="1">
      <c r="B2243" s="3" t="s">
        <v>2117</v>
      </c>
      <c r="C2243" s="8">
        <v>4</v>
      </c>
      <c r="D2243" s="3" t="s">
        <v>2544</v>
      </c>
      <c r="E2243" s="11" t="s">
        <v>30</v>
      </c>
      <c r="F2243" s="11"/>
      <c r="G2243" s="12">
        <f>+G2240-G2242</f>
        <v>7332</v>
      </c>
      <c r="H2243" s="13">
        <f>ROUND(G2243/2,0)</f>
        <v>3666</v>
      </c>
      <c r="I2243" s="12">
        <f>G2243-H2243</f>
        <v>3666</v>
      </c>
      <c r="J2243" s="3" t="str">
        <f t="shared" si="164"/>
        <v>3143160</v>
      </c>
    </row>
    <row r="2244" spans="2:10" s="3" customFormat="1">
      <c r="B2244" s="3" t="s">
        <v>2117</v>
      </c>
      <c r="C2244" s="8">
        <v>4</v>
      </c>
      <c r="D2244" s="116" t="s">
        <v>2545</v>
      </c>
      <c r="E2244" s="11" t="s">
        <v>703</v>
      </c>
      <c r="F2244" s="10">
        <v>0.297682</v>
      </c>
      <c r="G2244" s="9">
        <f>ROUND(G$3*F2244,0)</f>
        <v>85650</v>
      </c>
      <c r="H2244" s="11">
        <f>ROUND(G2244/2,0)</f>
        <v>42825</v>
      </c>
      <c r="I2244" s="9">
        <f>G2244-H2244</f>
        <v>42825</v>
      </c>
      <c r="J2244" s="3" t="str">
        <f t="shared" ref="J2244:J2307" si="168">B2244&amp;C2244&amp;D2244</f>
        <v>3143180</v>
      </c>
    </row>
    <row r="2245" spans="2:10" s="3" customFormat="1">
      <c r="B2245" s="3" t="s">
        <v>2117</v>
      </c>
      <c r="C2245" s="8">
        <v>4</v>
      </c>
      <c r="D2245" s="116" t="s">
        <v>2545</v>
      </c>
      <c r="E2245" s="11" t="s">
        <v>28</v>
      </c>
      <c r="F2245" s="11"/>
      <c r="G2245" s="14">
        <v>0.42880600000000002</v>
      </c>
      <c r="H2245" s="11"/>
      <c r="I2245" s="11"/>
      <c r="J2245" s="3" t="str">
        <f t="shared" si="168"/>
        <v>3143180</v>
      </c>
    </row>
    <row r="2246" spans="2:10" s="3" customFormat="1">
      <c r="B2246" s="3" t="s">
        <v>2117</v>
      </c>
      <c r="C2246" s="8">
        <v>4</v>
      </c>
      <c r="D2246" s="116" t="s">
        <v>2545</v>
      </c>
      <c r="E2246" s="11" t="s">
        <v>29</v>
      </c>
      <c r="F2246" s="11"/>
      <c r="G2246" s="15">
        <f>ROUND(G2244*G2245,0)</f>
        <v>36727</v>
      </c>
      <c r="H2246" s="16">
        <f>ROUND(G2246/2,0)</f>
        <v>18364</v>
      </c>
      <c r="I2246" s="15">
        <f>G2246-H2246</f>
        <v>18363</v>
      </c>
      <c r="J2246" s="3" t="str">
        <f t="shared" si="168"/>
        <v>3143180</v>
      </c>
    </row>
    <row r="2247" spans="2:10" s="3" customFormat="1">
      <c r="B2247" s="3" t="s">
        <v>2117</v>
      </c>
      <c r="C2247" s="8">
        <v>4</v>
      </c>
      <c r="D2247" s="116" t="s">
        <v>2545</v>
      </c>
      <c r="E2247" s="11" t="s">
        <v>30</v>
      </c>
      <c r="F2247" s="11"/>
      <c r="G2247" s="12">
        <f>+G2244-G2246</f>
        <v>48923</v>
      </c>
      <c r="H2247" s="13">
        <f>ROUND(G2247/2,0)</f>
        <v>24462</v>
      </c>
      <c r="I2247" s="12">
        <f>G2247-H2247</f>
        <v>24461</v>
      </c>
      <c r="J2247" s="3" t="str">
        <f t="shared" si="168"/>
        <v>3143180</v>
      </c>
    </row>
    <row r="2248" spans="2:10" s="3" customFormat="1">
      <c r="B2248" s="3" t="s">
        <v>2117</v>
      </c>
      <c r="C2248" s="8">
        <v>4</v>
      </c>
      <c r="D2248" s="3" t="s">
        <v>2546</v>
      </c>
      <c r="E2248" s="11" t="s">
        <v>704</v>
      </c>
      <c r="F2248" s="10">
        <v>0.36927300000000002</v>
      </c>
      <c r="G2248" s="9">
        <f>ROUND(G$3*F2248,0)</f>
        <v>106248</v>
      </c>
      <c r="H2248" s="11">
        <f>ROUND(G2248/2,0)</f>
        <v>53124</v>
      </c>
      <c r="I2248" s="9">
        <f>G2248-H2248</f>
        <v>53124</v>
      </c>
      <c r="J2248" s="3" t="str">
        <f t="shared" si="168"/>
        <v>3143190</v>
      </c>
    </row>
    <row r="2249" spans="2:10" s="3" customFormat="1">
      <c r="B2249" s="3" t="s">
        <v>2117</v>
      </c>
      <c r="C2249" s="8">
        <v>4</v>
      </c>
      <c r="D2249" s="3" t="s">
        <v>2546</v>
      </c>
      <c r="E2249" s="11" t="s">
        <v>28</v>
      </c>
      <c r="F2249" s="11"/>
      <c r="G2249" s="14">
        <v>0.45537899999999998</v>
      </c>
      <c r="H2249" s="11"/>
      <c r="I2249" s="11"/>
      <c r="J2249" s="3" t="str">
        <f t="shared" si="168"/>
        <v>3143190</v>
      </c>
    </row>
    <row r="2250" spans="2:10" s="3" customFormat="1">
      <c r="B2250" s="3" t="s">
        <v>2117</v>
      </c>
      <c r="C2250" s="8">
        <v>4</v>
      </c>
      <c r="D2250" s="3" t="s">
        <v>2546</v>
      </c>
      <c r="E2250" s="11" t="s">
        <v>29</v>
      </c>
      <c r="F2250" s="11"/>
      <c r="G2250" s="15">
        <f>ROUND(G2248*G2249,0)</f>
        <v>48383</v>
      </c>
      <c r="H2250" s="16">
        <f t="shared" ref="H2250:H2257" si="169">ROUND(G2250/2,0)</f>
        <v>24192</v>
      </c>
      <c r="I2250" s="15">
        <f t="shared" ref="I2250:I2257" si="170">G2250-H2250</f>
        <v>24191</v>
      </c>
      <c r="J2250" s="3" t="str">
        <f t="shared" si="168"/>
        <v>3143190</v>
      </c>
    </row>
    <row r="2251" spans="2:10" s="3" customFormat="1">
      <c r="B2251" s="3" t="s">
        <v>2117</v>
      </c>
      <c r="C2251" s="8">
        <v>4</v>
      </c>
      <c r="D2251" s="3" t="s">
        <v>2546</v>
      </c>
      <c r="E2251" s="11" t="s">
        <v>30</v>
      </c>
      <c r="F2251" s="11"/>
      <c r="G2251" s="12">
        <f>+G2248-G2250</f>
        <v>57865</v>
      </c>
      <c r="H2251" s="13">
        <f t="shared" si="169"/>
        <v>28933</v>
      </c>
      <c r="I2251" s="12">
        <f t="shared" si="170"/>
        <v>28932</v>
      </c>
      <c r="J2251" s="3" t="str">
        <f t="shared" si="168"/>
        <v>3143190</v>
      </c>
    </row>
    <row r="2252" spans="2:10" s="128" customFormat="1">
      <c r="B2252" s="128" t="s">
        <v>2117</v>
      </c>
      <c r="C2252" s="129">
        <v>5</v>
      </c>
      <c r="D2252" s="128" t="s">
        <v>6267</v>
      </c>
      <c r="E2252" s="131" t="s">
        <v>705</v>
      </c>
      <c r="F2252" s="133">
        <v>5.3800000000000002E-3</v>
      </c>
      <c r="G2252" s="134">
        <f>ROUND(G$3*F2252,0)</f>
        <v>1548</v>
      </c>
      <c r="H2252" s="135">
        <f t="shared" si="169"/>
        <v>774</v>
      </c>
      <c r="I2252" s="134">
        <f t="shared" si="170"/>
        <v>774</v>
      </c>
      <c r="J2252" s="128" t="str">
        <f t="shared" si="168"/>
        <v>315XXXX</v>
      </c>
    </row>
    <row r="2253" spans="2:10" s="3" customFormat="1">
      <c r="B2253" s="3" t="s">
        <v>2117</v>
      </c>
      <c r="C2253" s="8">
        <v>6</v>
      </c>
      <c r="D2253" s="3" t="s">
        <v>4210</v>
      </c>
      <c r="E2253" s="11" t="s">
        <v>706</v>
      </c>
      <c r="F2253" s="10">
        <v>6.8300000000000001E-4</v>
      </c>
      <c r="G2253" s="120">
        <f>ROUND(G$3*F2253,0)</f>
        <v>197</v>
      </c>
      <c r="H2253" s="120">
        <f t="shared" si="169"/>
        <v>99</v>
      </c>
      <c r="I2253" s="120">
        <f t="shared" si="170"/>
        <v>98</v>
      </c>
      <c r="J2253" s="3" t="str">
        <f t="shared" si="168"/>
        <v>3160983</v>
      </c>
    </row>
    <row r="2254" spans="2:10" s="3" customFormat="1">
      <c r="B2254" s="3" t="s">
        <v>2117</v>
      </c>
      <c r="C2254" s="8">
        <v>6</v>
      </c>
      <c r="D2254" s="3" t="s">
        <v>4212</v>
      </c>
      <c r="E2254" s="11" t="s">
        <v>707</v>
      </c>
      <c r="F2254" s="10">
        <v>9.0799999999999995E-3</v>
      </c>
      <c r="G2254" s="120">
        <f>ROUND(G$3*F2254,0)</f>
        <v>2613</v>
      </c>
      <c r="H2254" s="120">
        <f t="shared" si="169"/>
        <v>1307</v>
      </c>
      <c r="I2254" s="120">
        <f t="shared" si="170"/>
        <v>1306</v>
      </c>
      <c r="J2254" s="3" t="str">
        <f t="shared" si="168"/>
        <v>3161031</v>
      </c>
    </row>
    <row r="2255" spans="2:10" s="3" customFormat="1">
      <c r="B2255" s="3" t="s">
        <v>2117</v>
      </c>
      <c r="C2255" s="8">
        <v>6</v>
      </c>
      <c r="D2255" s="116" t="s">
        <v>4207</v>
      </c>
      <c r="E2255" s="11" t="s">
        <v>708</v>
      </c>
      <c r="F2255" s="10">
        <v>2.9399999999999999E-3</v>
      </c>
      <c r="G2255" s="120">
        <f>ROUND(G$3*F2255,0)</f>
        <v>846</v>
      </c>
      <c r="H2255" s="120">
        <f t="shared" si="169"/>
        <v>423</v>
      </c>
      <c r="I2255" s="120">
        <f t="shared" si="170"/>
        <v>423</v>
      </c>
      <c r="J2255" s="3" t="str">
        <f t="shared" si="168"/>
        <v>3160980</v>
      </c>
    </row>
    <row r="2256" spans="2:10" s="3" customFormat="1">
      <c r="B2256" s="3" t="s">
        <v>2117</v>
      </c>
      <c r="C2256" s="8">
        <v>6</v>
      </c>
      <c r="D2256" s="3" t="s">
        <v>2547</v>
      </c>
      <c r="E2256" s="11" t="s">
        <v>709</v>
      </c>
      <c r="F2256" s="10">
        <v>3.9690000000000003E-3</v>
      </c>
      <c r="G2256" s="12">
        <f>ROUND(G$3*F2256,0)</f>
        <v>1142</v>
      </c>
      <c r="H2256" s="13">
        <f t="shared" si="169"/>
        <v>571</v>
      </c>
      <c r="I2256" s="12">
        <f t="shared" si="170"/>
        <v>571</v>
      </c>
      <c r="J2256" s="3" t="str">
        <f t="shared" si="168"/>
        <v>3160973</v>
      </c>
    </row>
    <row r="2257" spans="2:10" s="3" customFormat="1">
      <c r="B2257" s="3" t="s">
        <v>2117</v>
      </c>
      <c r="C2257" s="8">
        <v>6</v>
      </c>
      <c r="D2257" s="3" t="s">
        <v>4214</v>
      </c>
      <c r="E2257" s="11" t="s">
        <v>710</v>
      </c>
      <c r="F2257" s="10">
        <v>1.0240000000000249E-3</v>
      </c>
      <c r="G2257" s="120">
        <f>+G2184-SUM(G2185:G2186)-SUM(G2191:G2236)-G2240-G2244-G2248-SUM(G2252:G2256)</f>
        <v>-39424</v>
      </c>
      <c r="H2257" s="120">
        <f t="shared" si="169"/>
        <v>-19712</v>
      </c>
      <c r="I2257" s="120">
        <f t="shared" si="170"/>
        <v>-19712</v>
      </c>
      <c r="J2257" s="3" t="str">
        <f t="shared" si="168"/>
        <v>3161087</v>
      </c>
    </row>
    <row r="2258" spans="2:10" s="3" customFormat="1">
      <c r="B2258" s="3" t="s">
        <v>2117</v>
      </c>
      <c r="C2258" s="8">
        <v>0</v>
      </c>
      <c r="D2258" s="125" t="s">
        <v>2187</v>
      </c>
      <c r="E2258" s="28" t="s">
        <v>288</v>
      </c>
      <c r="F2258" s="10">
        <v>1</v>
      </c>
      <c r="G2258" s="12">
        <f>+G2185+SUM(G2188:G2235)+SUM(G2238:G2239)+SUM(G2242:G2243)+SUM(G2246:G2247)+SUM(G2250:G2257)</f>
        <v>248005</v>
      </c>
      <c r="H2258" s="12">
        <f>+H2185+SUM(H2188:H2235)+SUM(H2238:H2239)+SUM(H2242:H2243)+SUM(H2246:H2247)+SUM(H2250:H2257)</f>
        <v>124013</v>
      </c>
      <c r="I2258" s="12">
        <f>+I2185+SUM(I2188:I2235)+SUM(I2238:I2239)+SUM(I2242:I2243)+SUM(I2246:I2247)+SUM(I2250:I2257)</f>
        <v>123992</v>
      </c>
      <c r="J2258" s="3" t="str">
        <f t="shared" si="168"/>
        <v>3100000</v>
      </c>
    </row>
    <row r="2259" spans="2:10" s="3" customFormat="1">
      <c r="B2259" s="3" t="s">
        <v>2117</v>
      </c>
      <c r="C2259" s="8">
        <v>0</v>
      </c>
      <c r="D2259" s="3" t="s">
        <v>2187</v>
      </c>
      <c r="E2259" s="18" t="s">
        <v>38</v>
      </c>
      <c r="G2259" s="19">
        <f>+G2185</f>
        <v>392</v>
      </c>
      <c r="H2259" s="19">
        <f>+H2185</f>
        <v>196</v>
      </c>
      <c r="I2259" s="19">
        <f>+I2185</f>
        <v>196</v>
      </c>
      <c r="J2259" s="3" t="str">
        <f t="shared" si="168"/>
        <v>3100000</v>
      </c>
    </row>
    <row r="2260" spans="2:10" s="3" customFormat="1">
      <c r="B2260" s="3" t="s">
        <v>2117</v>
      </c>
      <c r="C2260" s="8">
        <v>0</v>
      </c>
      <c r="D2260" s="3" t="s">
        <v>2187</v>
      </c>
      <c r="E2260" s="2" t="s">
        <v>39</v>
      </c>
      <c r="G2260" s="19">
        <f>+G2188</f>
        <v>20523</v>
      </c>
      <c r="H2260" s="19">
        <f>+H2188</f>
        <v>10262</v>
      </c>
      <c r="I2260" s="19">
        <f>+I2188</f>
        <v>10261</v>
      </c>
      <c r="J2260" s="3" t="str">
        <f t="shared" si="168"/>
        <v>3100000</v>
      </c>
    </row>
    <row r="2261" spans="2:10" s="3" customFormat="1">
      <c r="B2261" s="3" t="s">
        <v>2117</v>
      </c>
      <c r="C2261" s="8">
        <v>0</v>
      </c>
      <c r="D2261" s="3" t="s">
        <v>2187</v>
      </c>
      <c r="E2261" s="2" t="s">
        <v>40</v>
      </c>
      <c r="G2261" s="19">
        <f>+G2238+G2242+G2246+G2250</f>
        <v>91588</v>
      </c>
      <c r="H2261" s="19">
        <f>+H2238+H2242+H2246+H2250</f>
        <v>45795</v>
      </c>
      <c r="I2261" s="19">
        <f>+I2238+I2242+I2246+I2250</f>
        <v>45793</v>
      </c>
      <c r="J2261" s="3" t="str">
        <f t="shared" si="168"/>
        <v>3100000</v>
      </c>
    </row>
    <row r="2262" spans="2:10" s="3" customFormat="1">
      <c r="B2262" s="3" t="s">
        <v>2117</v>
      </c>
      <c r="C2262" s="8">
        <v>0</v>
      </c>
      <c r="D2262" s="125" t="s">
        <v>2187</v>
      </c>
      <c r="E2262" s="18" t="s">
        <v>41</v>
      </c>
      <c r="G2262" s="19">
        <f>+G2258-G2259-G2260-G2261</f>
        <v>135502</v>
      </c>
      <c r="H2262" s="19">
        <f>+H2258-H2259-H2260-H2261</f>
        <v>67760</v>
      </c>
      <c r="I2262" s="19">
        <f>+I2258-I2259-I2260-I2261</f>
        <v>67742</v>
      </c>
      <c r="J2262" s="3" t="str">
        <f t="shared" si="168"/>
        <v>3100000</v>
      </c>
    </row>
    <row r="2263" spans="2:10" ht="15.75">
      <c r="B2263" s="3" t="s">
        <v>2186</v>
      </c>
      <c r="D2263" t="s">
        <v>2186</v>
      </c>
      <c r="E2263">
        <v>0</v>
      </c>
      <c r="G2263"/>
      <c r="H2263"/>
      <c r="I2263"/>
      <c r="J2263" s="3" t="str">
        <f t="shared" si="168"/>
        <v/>
      </c>
    </row>
    <row r="2264" spans="2:10" s="3" customFormat="1">
      <c r="C2264" s="1"/>
      <c r="D2264" s="3" t="s">
        <v>2186</v>
      </c>
      <c r="E2264" s="2" t="s">
        <v>711</v>
      </c>
      <c r="J2264" s="3" t="str">
        <f t="shared" si="168"/>
        <v/>
      </c>
    </row>
    <row r="2265" spans="2:10" s="3" customFormat="1" ht="45">
      <c r="B2265" s="3" t="s">
        <v>2186</v>
      </c>
      <c r="C2265" s="1"/>
      <c r="D2265" s="3" t="s">
        <v>2186</v>
      </c>
      <c r="E2265" s="1">
        <v>0</v>
      </c>
      <c r="F2265" s="6" t="s">
        <v>1</v>
      </c>
      <c r="G2265" s="60">
        <f>'Allocation Worksheet'!H2265</f>
        <v>0</v>
      </c>
      <c r="H2265" s="60">
        <f>'Allocation Worksheet'!H2266</f>
        <v>0</v>
      </c>
      <c r="I2265" s="60">
        <f>'Allocation Worksheet'!H2267</f>
        <v>0</v>
      </c>
      <c r="J2265" s="3" t="str">
        <f t="shared" si="168"/>
        <v/>
      </c>
    </row>
    <row r="2266" spans="2:10" s="3" customFormat="1">
      <c r="C2266" s="7" t="s">
        <v>2087</v>
      </c>
      <c r="D2266" s="3" t="s">
        <v>2186</v>
      </c>
      <c r="E2266" s="7" t="s">
        <v>3</v>
      </c>
      <c r="F2266" s="10"/>
      <c r="G2266" s="9">
        <f>'Allocation Worksheet'!$D$35</f>
        <v>1190131</v>
      </c>
      <c r="H2266" s="11"/>
      <c r="I2266" s="11"/>
      <c r="J2266" s="3" t="str">
        <f t="shared" si="168"/>
        <v>UT</v>
      </c>
    </row>
    <row r="2267" spans="2:10" s="3" customFormat="1">
      <c r="B2267" s="3" t="s">
        <v>2118</v>
      </c>
      <c r="C2267" s="8">
        <v>0</v>
      </c>
      <c r="D2267" s="3" t="s">
        <v>2187</v>
      </c>
      <c r="E2267" s="11" t="s">
        <v>4</v>
      </c>
      <c r="F2267" s="10">
        <v>1.1529999999999999E-3</v>
      </c>
      <c r="G2267" s="12">
        <f>ROUND(G$3*F2267,0)</f>
        <v>332</v>
      </c>
      <c r="H2267" s="13">
        <f>ROUND(G2267/2,0)</f>
        <v>166</v>
      </c>
      <c r="I2267" s="12">
        <f>G2267-H2267</f>
        <v>166</v>
      </c>
      <c r="J2267" s="3" t="str">
        <f t="shared" si="168"/>
        <v>3200000</v>
      </c>
    </row>
    <row r="2268" spans="2:10" s="3" customFormat="1">
      <c r="B2268" s="3" t="s">
        <v>2118</v>
      </c>
      <c r="C2268" s="8">
        <v>1</v>
      </c>
      <c r="D2268" s="3" t="s">
        <v>2187</v>
      </c>
      <c r="E2268" s="11" t="s">
        <v>712</v>
      </c>
      <c r="F2268" s="10">
        <v>0.114068</v>
      </c>
      <c r="G2268" s="9">
        <f>ROUND(G$3*F2268,0)</f>
        <v>32820</v>
      </c>
      <c r="H2268" s="11">
        <f>ROUND(G2268/2,0)</f>
        <v>16410</v>
      </c>
      <c r="I2268" s="9">
        <f>G2268-H2268</f>
        <v>16410</v>
      </c>
      <c r="J2268" s="3" t="str">
        <f t="shared" si="168"/>
        <v>3210000</v>
      </c>
    </row>
    <row r="2269" spans="2:10" s="3" customFormat="1">
      <c r="B2269" s="3" t="s">
        <v>2118</v>
      </c>
      <c r="C2269" s="8">
        <v>1</v>
      </c>
      <c r="D2269" s="3" t="s">
        <v>2187</v>
      </c>
      <c r="E2269" s="11" t="s">
        <v>6</v>
      </c>
      <c r="F2269" s="11"/>
      <c r="G2269" s="14">
        <v>7.0902999999999994E-2</v>
      </c>
      <c r="H2269" s="11"/>
      <c r="I2269" s="11"/>
      <c r="J2269" s="3" t="str">
        <f t="shared" si="168"/>
        <v>3210000</v>
      </c>
    </row>
    <row r="2270" spans="2:10" s="3" customFormat="1">
      <c r="B2270" s="3" t="s">
        <v>2118</v>
      </c>
      <c r="C2270" s="8">
        <v>1</v>
      </c>
      <c r="D2270" s="3" t="s">
        <v>2187</v>
      </c>
      <c r="E2270" s="11" t="s">
        <v>7</v>
      </c>
      <c r="F2270" s="11"/>
      <c r="G2270" s="15">
        <f>ROUND(G2268*G2269,0)</f>
        <v>2327</v>
      </c>
      <c r="H2270" s="16">
        <f>ROUND(G2270/2,0)</f>
        <v>1164</v>
      </c>
      <c r="I2270" s="15">
        <f>G2270-H2270</f>
        <v>1163</v>
      </c>
      <c r="J2270" s="3" t="str">
        <f t="shared" si="168"/>
        <v>3210000</v>
      </c>
    </row>
    <row r="2271" spans="2:10" s="3" customFormat="1">
      <c r="B2271" s="3" t="s">
        <v>2118</v>
      </c>
      <c r="C2271" s="8">
        <v>1</v>
      </c>
      <c r="D2271" s="3" t="s">
        <v>2187</v>
      </c>
      <c r="E2271" s="11" t="s">
        <v>8</v>
      </c>
      <c r="F2271" s="11"/>
      <c r="G2271" s="12">
        <f>+G2268-G2270</f>
        <v>30493</v>
      </c>
      <c r="H2271" s="13">
        <f>ROUND(G2271/2,0)</f>
        <v>15247</v>
      </c>
      <c r="I2271" s="12">
        <f>G2271-H2271</f>
        <v>15246</v>
      </c>
      <c r="J2271" s="3" t="str">
        <f t="shared" si="168"/>
        <v>3210000</v>
      </c>
    </row>
    <row r="2272" spans="2:10" s="3" customFormat="1">
      <c r="B2272" s="3" t="s">
        <v>2118</v>
      </c>
      <c r="C2272" s="8">
        <v>2</v>
      </c>
      <c r="D2272" s="3" t="s">
        <v>2188</v>
      </c>
      <c r="E2272" s="11" t="s">
        <v>671</v>
      </c>
      <c r="F2272" s="11"/>
      <c r="G2272" s="9"/>
      <c r="H2272" s="11"/>
      <c r="I2272" s="11"/>
      <c r="J2272" s="3" t="str">
        <f t="shared" si="168"/>
        <v>3220001</v>
      </c>
    </row>
    <row r="2273" spans="1:10" s="3" customFormat="1">
      <c r="B2273" s="3" t="s">
        <v>2118</v>
      </c>
      <c r="C2273" s="8">
        <v>2</v>
      </c>
      <c r="D2273" s="3" t="s">
        <v>2188</v>
      </c>
      <c r="E2273" s="11" t="s">
        <v>10</v>
      </c>
      <c r="F2273" s="10">
        <v>2.7599999999999999E-4</v>
      </c>
      <c r="G2273" s="12">
        <f>ROUND(G$3*F2273,0)</f>
        <v>79</v>
      </c>
      <c r="H2273" s="13">
        <f>ROUND(G2273/2,0)</f>
        <v>40</v>
      </c>
      <c r="I2273" s="12">
        <f>G2273-H2273</f>
        <v>39</v>
      </c>
      <c r="J2273" s="3" t="str">
        <f t="shared" si="168"/>
        <v>3220001</v>
      </c>
    </row>
    <row r="2274" spans="1:10" s="3" customFormat="1">
      <c r="A2274" s="3" t="s">
        <v>6269</v>
      </c>
      <c r="B2274" s="3" t="s">
        <v>2118</v>
      </c>
      <c r="C2274" s="8">
        <v>2</v>
      </c>
      <c r="D2274" s="3" t="s">
        <v>2188</v>
      </c>
      <c r="E2274" s="11" t="s">
        <v>11</v>
      </c>
      <c r="F2274" s="10">
        <v>0</v>
      </c>
      <c r="G2274" s="12">
        <f>ROUND(G$3*F2274,0)</f>
        <v>0</v>
      </c>
      <c r="H2274" s="13">
        <f>ROUND(G2274/2,0)</f>
        <v>0</v>
      </c>
      <c r="I2274" s="12">
        <f>G2274-H2274</f>
        <v>0</v>
      </c>
      <c r="J2274" s="3" t="str">
        <f t="shared" si="168"/>
        <v>3220001</v>
      </c>
    </row>
    <row r="2275" spans="1:10" s="3" customFormat="1">
      <c r="B2275" s="3" t="s">
        <v>2118</v>
      </c>
      <c r="C2275" s="8">
        <v>2</v>
      </c>
      <c r="D2275" s="3" t="s">
        <v>2189</v>
      </c>
      <c r="E2275" s="11" t="s">
        <v>107</v>
      </c>
      <c r="F2275" s="11"/>
      <c r="G2275" s="9"/>
      <c r="H2275" s="11"/>
      <c r="I2275" s="11"/>
      <c r="J2275" s="3" t="str">
        <f t="shared" si="168"/>
        <v>3220002</v>
      </c>
    </row>
    <row r="2276" spans="1:10" s="3" customFormat="1">
      <c r="B2276" s="3" t="s">
        <v>2118</v>
      </c>
      <c r="C2276" s="8">
        <v>2</v>
      </c>
      <c r="D2276" s="3" t="s">
        <v>2189</v>
      </c>
      <c r="E2276" s="11" t="s">
        <v>10</v>
      </c>
      <c r="F2276" s="10">
        <v>2.8939999999999999E-3</v>
      </c>
      <c r="G2276" s="12">
        <f>ROUND(G$3*F2276,0)</f>
        <v>833</v>
      </c>
      <c r="H2276" s="13">
        <f>ROUND(G2276/2,0)</f>
        <v>417</v>
      </c>
      <c r="I2276" s="12">
        <f>G2276-H2276</f>
        <v>416</v>
      </c>
      <c r="J2276" s="3" t="str">
        <f t="shared" si="168"/>
        <v>3220002</v>
      </c>
    </row>
    <row r="2277" spans="1:10" s="3" customFormat="1">
      <c r="B2277" s="3" t="s">
        <v>2118</v>
      </c>
      <c r="C2277" s="8">
        <v>2</v>
      </c>
      <c r="D2277" s="3" t="s">
        <v>2189</v>
      </c>
      <c r="E2277" s="11" t="s">
        <v>11</v>
      </c>
      <c r="F2277" s="10">
        <v>1.629E-3</v>
      </c>
      <c r="G2277" s="12">
        <f>ROUND(G$3*F2277,0)</f>
        <v>469</v>
      </c>
      <c r="H2277" s="13">
        <f>ROUND(G2277/2,0)</f>
        <v>235</v>
      </c>
      <c r="I2277" s="12">
        <f>G2277-H2277</f>
        <v>234</v>
      </c>
      <c r="J2277" s="3" t="str">
        <f t="shared" si="168"/>
        <v>3220002</v>
      </c>
    </row>
    <row r="2278" spans="1:10" s="3" customFormat="1">
      <c r="B2278" s="3" t="s">
        <v>2118</v>
      </c>
      <c r="C2278" s="8">
        <v>2</v>
      </c>
      <c r="D2278" s="3" t="s">
        <v>2190</v>
      </c>
      <c r="E2278" s="11" t="s">
        <v>81</v>
      </c>
      <c r="F2278" s="11"/>
      <c r="G2278" s="9"/>
      <c r="H2278" s="11"/>
      <c r="I2278" s="11"/>
      <c r="J2278" s="3" t="str">
        <f t="shared" si="168"/>
        <v>3220003</v>
      </c>
    </row>
    <row r="2279" spans="1:10" s="3" customFormat="1">
      <c r="B2279" s="3" t="s">
        <v>2118</v>
      </c>
      <c r="C2279" s="8">
        <v>2</v>
      </c>
      <c r="D2279" s="3" t="s">
        <v>2190</v>
      </c>
      <c r="E2279" s="11" t="s">
        <v>10</v>
      </c>
      <c r="F2279" s="10">
        <v>2.3000000000000001E-4</v>
      </c>
      <c r="G2279" s="12">
        <f>ROUND(G$3*F2279,0)</f>
        <v>66</v>
      </c>
      <c r="H2279" s="13">
        <f>ROUND(G2279/2,0)</f>
        <v>33</v>
      </c>
      <c r="I2279" s="12">
        <f>G2279-H2279</f>
        <v>33</v>
      </c>
      <c r="J2279" s="3" t="str">
        <f t="shared" si="168"/>
        <v>3220003</v>
      </c>
    </row>
    <row r="2280" spans="1:10" s="3" customFormat="1">
      <c r="B2280" s="3" t="s">
        <v>2118</v>
      </c>
      <c r="C2280" s="8">
        <v>2</v>
      </c>
      <c r="D2280" s="3" t="s">
        <v>2190</v>
      </c>
      <c r="E2280" s="11" t="s">
        <v>11</v>
      </c>
      <c r="F2280" s="10">
        <v>2.7599999999999999E-4</v>
      </c>
      <c r="G2280" s="12">
        <f>ROUND(G$3*F2280,0)</f>
        <v>79</v>
      </c>
      <c r="H2280" s="13">
        <f>ROUND(G2280/2,0)</f>
        <v>40</v>
      </c>
      <c r="I2280" s="12">
        <f>G2280-H2280</f>
        <v>39</v>
      </c>
      <c r="J2280" s="3" t="str">
        <f t="shared" si="168"/>
        <v>3220003</v>
      </c>
    </row>
    <row r="2281" spans="1:10" s="3" customFormat="1">
      <c r="B2281" s="3" t="s">
        <v>2118</v>
      </c>
      <c r="C2281" s="8">
        <v>2</v>
      </c>
      <c r="D2281" s="3" t="s">
        <v>2191</v>
      </c>
      <c r="E2281" s="11" t="s">
        <v>48</v>
      </c>
      <c r="F2281" s="11"/>
      <c r="G2281" s="9"/>
      <c r="H2281" s="11"/>
      <c r="I2281" s="11"/>
      <c r="J2281" s="3" t="str">
        <f t="shared" si="168"/>
        <v>3220004</v>
      </c>
    </row>
    <row r="2282" spans="1:10" s="3" customFormat="1">
      <c r="B2282" s="3" t="s">
        <v>2118</v>
      </c>
      <c r="C2282" s="8">
        <v>2</v>
      </c>
      <c r="D2282" s="3" t="s">
        <v>2191</v>
      </c>
      <c r="E2282" s="11" t="s">
        <v>10</v>
      </c>
      <c r="F2282" s="10">
        <v>2.0119999999999999E-3</v>
      </c>
      <c r="G2282" s="12">
        <f>ROUND(G$3*F2282,0)</f>
        <v>579</v>
      </c>
      <c r="H2282" s="13">
        <f>ROUND(G2282/2,0)</f>
        <v>290</v>
      </c>
      <c r="I2282" s="12">
        <f>G2282-H2282</f>
        <v>289</v>
      </c>
      <c r="J2282" s="3" t="str">
        <f t="shared" si="168"/>
        <v>3220004</v>
      </c>
    </row>
    <row r="2283" spans="1:10" s="3" customFormat="1">
      <c r="B2283" s="3" t="s">
        <v>2118</v>
      </c>
      <c r="C2283" s="8">
        <v>2</v>
      </c>
      <c r="D2283" s="3" t="s">
        <v>2191</v>
      </c>
      <c r="E2283" s="11" t="s">
        <v>11</v>
      </c>
      <c r="F2283" s="10">
        <v>2.8170000000000001E-3</v>
      </c>
      <c r="G2283" s="12">
        <f>ROUND(G$3*F2283,0)</f>
        <v>811</v>
      </c>
      <c r="H2283" s="13">
        <f>ROUND(G2283/2,0)</f>
        <v>406</v>
      </c>
      <c r="I2283" s="12">
        <f>G2283-H2283</f>
        <v>405</v>
      </c>
      <c r="J2283" s="3" t="str">
        <f t="shared" si="168"/>
        <v>3220004</v>
      </c>
    </row>
    <row r="2284" spans="1:10" s="3" customFormat="1">
      <c r="B2284" s="3" t="s">
        <v>2118</v>
      </c>
      <c r="C2284" s="8">
        <v>2</v>
      </c>
      <c r="D2284" s="3" t="s">
        <v>2192</v>
      </c>
      <c r="E2284" s="11" t="s">
        <v>372</v>
      </c>
      <c r="F2284" s="11"/>
      <c r="G2284" s="9"/>
      <c r="H2284" s="11"/>
      <c r="I2284" s="11"/>
      <c r="J2284" s="3" t="str">
        <f t="shared" si="168"/>
        <v>3220005</v>
      </c>
    </row>
    <row r="2285" spans="1:10" s="3" customFormat="1">
      <c r="B2285" s="3" t="s">
        <v>2118</v>
      </c>
      <c r="C2285" s="8">
        <v>2</v>
      </c>
      <c r="D2285" s="3" t="s">
        <v>2192</v>
      </c>
      <c r="E2285" s="11" t="s">
        <v>10</v>
      </c>
      <c r="F2285" s="10">
        <v>1.5899999999999999E-4</v>
      </c>
      <c r="G2285" s="12">
        <f>ROUND(G$3*F2285,0)</f>
        <v>46</v>
      </c>
      <c r="H2285" s="13">
        <f>ROUND(G2285/2,0)</f>
        <v>23</v>
      </c>
      <c r="I2285" s="12">
        <f>G2285-H2285</f>
        <v>23</v>
      </c>
      <c r="J2285" s="3" t="str">
        <f t="shared" si="168"/>
        <v>3220005</v>
      </c>
    </row>
    <row r="2286" spans="1:10" s="3" customFormat="1">
      <c r="B2286" s="3" t="s">
        <v>2118</v>
      </c>
      <c r="C2286" s="8">
        <v>2</v>
      </c>
      <c r="D2286" s="3" t="s">
        <v>2192</v>
      </c>
      <c r="E2286" s="11" t="s">
        <v>11</v>
      </c>
      <c r="F2286" s="10">
        <v>1.56E-4</v>
      </c>
      <c r="G2286" s="12">
        <f>ROUND(G$3*F2286,0)</f>
        <v>45</v>
      </c>
      <c r="H2286" s="13">
        <f>ROUND(G2286/2,0)</f>
        <v>23</v>
      </c>
      <c r="I2286" s="12">
        <f>G2286-H2286</f>
        <v>22</v>
      </c>
      <c r="J2286" s="3" t="str">
        <f t="shared" si="168"/>
        <v>3220005</v>
      </c>
    </row>
    <row r="2287" spans="1:10" s="3" customFormat="1">
      <c r="B2287" s="3" t="s">
        <v>2118</v>
      </c>
      <c r="C2287" s="8">
        <v>2</v>
      </c>
      <c r="D2287" s="3" t="s">
        <v>2193</v>
      </c>
      <c r="E2287" s="11" t="s">
        <v>713</v>
      </c>
      <c r="F2287" s="11"/>
      <c r="G2287" s="9"/>
      <c r="H2287" s="11"/>
      <c r="I2287" s="11"/>
      <c r="J2287" s="3" t="str">
        <f t="shared" si="168"/>
        <v>3220006</v>
      </c>
    </row>
    <row r="2288" spans="1:10" s="3" customFormat="1">
      <c r="B2288" s="3" t="s">
        <v>2118</v>
      </c>
      <c r="C2288" s="8">
        <v>2</v>
      </c>
      <c r="D2288" s="3" t="s">
        <v>2193</v>
      </c>
      <c r="E2288" s="11" t="s">
        <v>10</v>
      </c>
      <c r="F2288" s="10">
        <v>8.319E-3</v>
      </c>
      <c r="G2288" s="12">
        <f>ROUND(G$3*F2288,0)</f>
        <v>2394</v>
      </c>
      <c r="H2288" s="13">
        <f>ROUND(G2288/2,0)</f>
        <v>1197</v>
      </c>
      <c r="I2288" s="12">
        <f>G2288-H2288</f>
        <v>1197</v>
      </c>
      <c r="J2288" s="3" t="str">
        <f t="shared" si="168"/>
        <v>3220006</v>
      </c>
    </row>
    <row r="2289" spans="1:10" s="3" customFormat="1">
      <c r="B2289" s="3" t="s">
        <v>2118</v>
      </c>
      <c r="C2289" s="8">
        <v>2</v>
      </c>
      <c r="D2289" s="3" t="s">
        <v>2193</v>
      </c>
      <c r="E2289" s="11" t="s">
        <v>11</v>
      </c>
      <c r="F2289" s="10">
        <v>1.348E-3</v>
      </c>
      <c r="G2289" s="12">
        <f>ROUND(G$3*F2289,0)</f>
        <v>388</v>
      </c>
      <c r="H2289" s="13">
        <f>ROUND(G2289/2,0)</f>
        <v>194</v>
      </c>
      <c r="I2289" s="12">
        <f>G2289-H2289</f>
        <v>194</v>
      </c>
      <c r="J2289" s="3" t="str">
        <f t="shared" si="168"/>
        <v>3220006</v>
      </c>
    </row>
    <row r="2290" spans="1:10" s="3" customFormat="1">
      <c r="B2290" s="3" t="s">
        <v>2118</v>
      </c>
      <c r="C2290" s="8">
        <v>2</v>
      </c>
      <c r="D2290" s="3" t="s">
        <v>2194</v>
      </c>
      <c r="E2290" s="11" t="s">
        <v>181</v>
      </c>
      <c r="F2290" s="11"/>
      <c r="G2290" s="9"/>
      <c r="H2290" s="11"/>
      <c r="I2290" s="11"/>
      <c r="J2290" s="3" t="str">
        <f t="shared" si="168"/>
        <v>3220007</v>
      </c>
    </row>
    <row r="2291" spans="1:10" s="3" customFormat="1">
      <c r="B2291" s="3" t="s">
        <v>2118</v>
      </c>
      <c r="C2291" s="8">
        <v>2</v>
      </c>
      <c r="D2291" s="3" t="s">
        <v>2194</v>
      </c>
      <c r="E2291" s="11" t="s">
        <v>10</v>
      </c>
      <c r="F2291" s="10">
        <v>2.3930000000000002E-3</v>
      </c>
      <c r="G2291" s="12">
        <f>ROUND(G$3*F2291,0)</f>
        <v>689</v>
      </c>
      <c r="H2291" s="13">
        <f>ROUND(G2291/2,0)</f>
        <v>345</v>
      </c>
      <c r="I2291" s="12">
        <f>G2291-H2291</f>
        <v>344</v>
      </c>
      <c r="J2291" s="3" t="str">
        <f t="shared" si="168"/>
        <v>3220007</v>
      </c>
    </row>
    <row r="2292" spans="1:10" s="3" customFormat="1">
      <c r="B2292" s="3" t="s">
        <v>2118</v>
      </c>
      <c r="C2292" s="8">
        <v>2</v>
      </c>
      <c r="D2292" s="3" t="s">
        <v>2194</v>
      </c>
      <c r="E2292" s="11" t="s">
        <v>11</v>
      </c>
      <c r="F2292" s="10">
        <v>3.1050000000000001E-3</v>
      </c>
      <c r="G2292" s="12">
        <f>ROUND(G$3*F2292,0)</f>
        <v>893</v>
      </c>
      <c r="H2292" s="13">
        <f>ROUND(G2292/2,0)</f>
        <v>447</v>
      </c>
      <c r="I2292" s="12">
        <f>G2292-H2292</f>
        <v>446</v>
      </c>
      <c r="J2292" s="3" t="str">
        <f t="shared" si="168"/>
        <v>3220007</v>
      </c>
    </row>
    <row r="2293" spans="1:10" s="3" customFormat="1">
      <c r="B2293" s="3" t="s">
        <v>2118</v>
      </c>
      <c r="C2293" s="8">
        <v>2</v>
      </c>
      <c r="D2293" s="3" t="s">
        <v>2195</v>
      </c>
      <c r="E2293" s="11" t="s">
        <v>714</v>
      </c>
      <c r="F2293" s="11"/>
      <c r="G2293" s="9"/>
      <c r="H2293" s="11"/>
      <c r="I2293" s="11"/>
      <c r="J2293" s="3" t="str">
        <f t="shared" si="168"/>
        <v>3220008</v>
      </c>
    </row>
    <row r="2294" spans="1:10" s="3" customFormat="1">
      <c r="B2294" s="3" t="s">
        <v>2118</v>
      </c>
      <c r="C2294" s="8">
        <v>2</v>
      </c>
      <c r="D2294" s="3" t="s">
        <v>2195</v>
      </c>
      <c r="E2294" s="11" t="s">
        <v>10</v>
      </c>
      <c r="F2294" s="10">
        <v>8.25E-4</v>
      </c>
      <c r="G2294" s="12">
        <f>ROUND(G$3*F2294,0)</f>
        <v>237</v>
      </c>
      <c r="H2294" s="13">
        <f>ROUND(G2294/2,0)</f>
        <v>119</v>
      </c>
      <c r="I2294" s="12">
        <f>G2294-H2294</f>
        <v>118</v>
      </c>
      <c r="J2294" s="3" t="str">
        <f t="shared" si="168"/>
        <v>3220008</v>
      </c>
    </row>
    <row r="2295" spans="1:10" s="3" customFormat="1">
      <c r="A2295" s="3" t="s">
        <v>6269</v>
      </c>
      <c r="B2295" s="3" t="s">
        <v>2118</v>
      </c>
      <c r="C2295" s="8">
        <v>2</v>
      </c>
      <c r="D2295" s="3" t="s">
        <v>2195</v>
      </c>
      <c r="E2295" s="11" t="s">
        <v>11</v>
      </c>
      <c r="F2295" s="10">
        <v>0</v>
      </c>
      <c r="G2295" s="12">
        <f>ROUND(G$3*F2295,0)</f>
        <v>0</v>
      </c>
      <c r="H2295" s="13">
        <f>ROUND(G2295/2,0)</f>
        <v>0</v>
      </c>
      <c r="I2295" s="12">
        <f>G2295-H2295</f>
        <v>0</v>
      </c>
      <c r="J2295" s="3" t="str">
        <f t="shared" si="168"/>
        <v>3220008</v>
      </c>
    </row>
    <row r="2296" spans="1:10" s="3" customFormat="1">
      <c r="B2296" s="3" t="s">
        <v>2118</v>
      </c>
      <c r="C2296" s="8">
        <v>2</v>
      </c>
      <c r="D2296" s="3" t="s">
        <v>2196</v>
      </c>
      <c r="E2296" s="11" t="s">
        <v>53</v>
      </c>
      <c r="F2296" s="11"/>
      <c r="G2296" s="9"/>
      <c r="H2296" s="11"/>
      <c r="I2296" s="11"/>
      <c r="J2296" s="3" t="str">
        <f t="shared" si="168"/>
        <v>3220009</v>
      </c>
    </row>
    <row r="2297" spans="1:10" s="3" customFormat="1">
      <c r="B2297" s="3" t="s">
        <v>2118</v>
      </c>
      <c r="C2297" s="8">
        <v>2</v>
      </c>
      <c r="D2297" s="3" t="s">
        <v>2196</v>
      </c>
      <c r="E2297" s="11" t="s">
        <v>10</v>
      </c>
      <c r="F2297" s="10">
        <v>2.2100000000000001E-4</v>
      </c>
      <c r="G2297" s="12">
        <f>ROUND(G$3*F2297,0)</f>
        <v>64</v>
      </c>
      <c r="H2297" s="13">
        <f>ROUND(G2297/2,0)</f>
        <v>32</v>
      </c>
      <c r="I2297" s="12">
        <f>G2297-H2297</f>
        <v>32</v>
      </c>
      <c r="J2297" s="3" t="str">
        <f t="shared" si="168"/>
        <v>3220009</v>
      </c>
    </row>
    <row r="2298" spans="1:10" s="3" customFormat="1">
      <c r="B2298" s="3" t="s">
        <v>2118</v>
      </c>
      <c r="C2298" s="8">
        <v>2</v>
      </c>
      <c r="D2298" s="3" t="s">
        <v>2196</v>
      </c>
      <c r="E2298" s="11" t="s">
        <v>11</v>
      </c>
      <c r="F2298" s="10">
        <v>1.5899999999999999E-4</v>
      </c>
      <c r="G2298" s="12">
        <f>ROUND(G$3*F2298,0)</f>
        <v>46</v>
      </c>
      <c r="H2298" s="13">
        <f>ROUND(G2298/2,0)</f>
        <v>23</v>
      </c>
      <c r="I2298" s="12">
        <f>G2298-H2298</f>
        <v>23</v>
      </c>
      <c r="J2298" s="3" t="str">
        <f t="shared" si="168"/>
        <v>3220009</v>
      </c>
    </row>
    <row r="2299" spans="1:10" s="3" customFormat="1">
      <c r="B2299" s="3" t="s">
        <v>2118</v>
      </c>
      <c r="C2299" s="8">
        <v>2</v>
      </c>
      <c r="D2299" s="3" t="s">
        <v>2197</v>
      </c>
      <c r="E2299" s="11" t="s">
        <v>715</v>
      </c>
      <c r="F2299" s="11"/>
      <c r="G2299" s="9"/>
      <c r="H2299" s="11"/>
      <c r="I2299" s="11"/>
      <c r="J2299" s="3" t="str">
        <f t="shared" si="168"/>
        <v>3220010</v>
      </c>
    </row>
    <row r="2300" spans="1:10" s="3" customFormat="1">
      <c r="B2300" s="3" t="s">
        <v>2118</v>
      </c>
      <c r="C2300" s="8">
        <v>2</v>
      </c>
      <c r="D2300" s="3" t="s">
        <v>2197</v>
      </c>
      <c r="E2300" s="11" t="s">
        <v>10</v>
      </c>
      <c r="F2300" s="10">
        <v>3.19E-4</v>
      </c>
      <c r="G2300" s="12">
        <f>ROUND(G$3*F2300,0)</f>
        <v>92</v>
      </c>
      <c r="H2300" s="13">
        <f>ROUND(G2300/2,0)</f>
        <v>46</v>
      </c>
      <c r="I2300" s="12">
        <f>G2300-H2300</f>
        <v>46</v>
      </c>
      <c r="J2300" s="3" t="str">
        <f t="shared" si="168"/>
        <v>3220010</v>
      </c>
    </row>
    <row r="2301" spans="1:10" s="3" customFormat="1">
      <c r="B2301" s="3" t="s">
        <v>2118</v>
      </c>
      <c r="C2301" s="8">
        <v>2</v>
      </c>
      <c r="D2301" s="3" t="s">
        <v>2197</v>
      </c>
      <c r="E2301" s="11" t="s">
        <v>11</v>
      </c>
      <c r="F2301" s="10">
        <v>1.524E-3</v>
      </c>
      <c r="G2301" s="12">
        <f>ROUND(G$3*F2301,0)</f>
        <v>438</v>
      </c>
      <c r="H2301" s="13">
        <f>ROUND(G2301/2,0)</f>
        <v>219</v>
      </c>
      <c r="I2301" s="12">
        <f>G2301-H2301</f>
        <v>219</v>
      </c>
      <c r="J2301" s="3" t="str">
        <f t="shared" si="168"/>
        <v>3220010</v>
      </c>
    </row>
    <row r="2302" spans="1:10" s="3" customFormat="1">
      <c r="B2302" s="3" t="s">
        <v>2118</v>
      </c>
      <c r="C2302" s="8">
        <v>2</v>
      </c>
      <c r="D2302" s="3" t="s">
        <v>2198</v>
      </c>
      <c r="E2302" s="11" t="s">
        <v>20</v>
      </c>
      <c r="F2302" s="11"/>
      <c r="G2302" s="9"/>
      <c r="H2302" s="11"/>
      <c r="I2302" s="11"/>
      <c r="J2302" s="3" t="str">
        <f t="shared" si="168"/>
        <v>3220011</v>
      </c>
    </row>
    <row r="2303" spans="1:10" s="3" customFormat="1">
      <c r="B2303" s="3" t="s">
        <v>2118</v>
      </c>
      <c r="C2303" s="8">
        <v>2</v>
      </c>
      <c r="D2303" s="3" t="s">
        <v>2198</v>
      </c>
      <c r="E2303" s="11" t="s">
        <v>10</v>
      </c>
      <c r="F2303" s="10">
        <v>3.3599999999999998E-4</v>
      </c>
      <c r="G2303" s="12">
        <f>ROUND(G$3*F2303,0)</f>
        <v>97</v>
      </c>
      <c r="H2303" s="13">
        <f>ROUND(G2303/2,0)</f>
        <v>49</v>
      </c>
      <c r="I2303" s="12">
        <f>G2303-H2303</f>
        <v>48</v>
      </c>
      <c r="J2303" s="3" t="str">
        <f t="shared" si="168"/>
        <v>3220011</v>
      </c>
    </row>
    <row r="2304" spans="1:10" s="3" customFormat="1">
      <c r="B2304" s="3" t="s">
        <v>2118</v>
      </c>
      <c r="C2304" s="8">
        <v>2</v>
      </c>
      <c r="D2304" s="3" t="s">
        <v>2198</v>
      </c>
      <c r="E2304" s="11" t="s">
        <v>11</v>
      </c>
      <c r="F2304" s="10">
        <v>1.63E-4</v>
      </c>
      <c r="G2304" s="12">
        <f>ROUND(G$3*F2304,0)</f>
        <v>47</v>
      </c>
      <c r="H2304" s="13">
        <f>ROUND(G2304/2,0)</f>
        <v>24</v>
      </c>
      <c r="I2304" s="12">
        <f>G2304-H2304</f>
        <v>23</v>
      </c>
      <c r="J2304" s="3" t="str">
        <f t="shared" si="168"/>
        <v>3220011</v>
      </c>
    </row>
    <row r="2305" spans="2:10" s="3" customFormat="1">
      <c r="B2305" s="3" t="s">
        <v>2118</v>
      </c>
      <c r="C2305" s="8">
        <v>2</v>
      </c>
      <c r="D2305" s="3" t="s">
        <v>2199</v>
      </c>
      <c r="E2305" s="11" t="s">
        <v>22</v>
      </c>
      <c r="F2305" s="11"/>
      <c r="G2305" s="9"/>
      <c r="H2305" s="11"/>
      <c r="I2305" s="11"/>
      <c r="J2305" s="3" t="str">
        <f t="shared" si="168"/>
        <v>3220012</v>
      </c>
    </row>
    <row r="2306" spans="2:10" s="3" customFormat="1">
      <c r="B2306" s="3" t="s">
        <v>2118</v>
      </c>
      <c r="C2306" s="8">
        <v>2</v>
      </c>
      <c r="D2306" s="3" t="s">
        <v>2199</v>
      </c>
      <c r="E2306" s="11" t="s">
        <v>10</v>
      </c>
      <c r="F2306" s="10">
        <v>6.6660000000000001E-3</v>
      </c>
      <c r="G2306" s="12">
        <f t="shared" ref="G2306:G2320" si="171">ROUND(G$3*F2306,0)</f>
        <v>1918</v>
      </c>
      <c r="H2306" s="13">
        <f t="shared" ref="H2306:H2320" si="172">ROUND(G2306/2,0)</f>
        <v>959</v>
      </c>
      <c r="I2306" s="12">
        <f t="shared" ref="I2306:I2320" si="173">G2306-H2306</f>
        <v>959</v>
      </c>
      <c r="J2306" s="3" t="str">
        <f t="shared" si="168"/>
        <v>3220012</v>
      </c>
    </row>
    <row r="2307" spans="2:10" s="3" customFormat="1">
      <c r="B2307" s="3" t="s">
        <v>2118</v>
      </c>
      <c r="C2307" s="8">
        <v>2</v>
      </c>
      <c r="D2307" s="3" t="s">
        <v>2199</v>
      </c>
      <c r="E2307" s="11" t="s">
        <v>11</v>
      </c>
      <c r="F2307" s="10">
        <v>7.0000000000000001E-3</v>
      </c>
      <c r="G2307" s="12">
        <f t="shared" si="171"/>
        <v>2014</v>
      </c>
      <c r="H2307" s="13">
        <f t="shared" si="172"/>
        <v>1007</v>
      </c>
      <c r="I2307" s="12">
        <f t="shared" si="173"/>
        <v>1007</v>
      </c>
      <c r="J2307" s="3" t="str">
        <f t="shared" si="168"/>
        <v>3220012</v>
      </c>
    </row>
    <row r="2308" spans="2:10" s="3" customFormat="1">
      <c r="B2308" s="3" t="s">
        <v>2118</v>
      </c>
      <c r="C2308" s="8">
        <v>3</v>
      </c>
      <c r="D2308" s="3" t="s">
        <v>2550</v>
      </c>
      <c r="E2308" s="11" t="s">
        <v>716</v>
      </c>
      <c r="F2308" s="10">
        <v>8.9700000000000001E-4</v>
      </c>
      <c r="G2308" s="12">
        <f t="shared" si="171"/>
        <v>258</v>
      </c>
      <c r="H2308" s="13">
        <f t="shared" si="172"/>
        <v>129</v>
      </c>
      <c r="I2308" s="12">
        <f t="shared" si="173"/>
        <v>129</v>
      </c>
      <c r="J2308" s="3" t="str">
        <f t="shared" ref="J2308:J2371" si="174">B2308&amp;C2308&amp;D2308</f>
        <v>3230659</v>
      </c>
    </row>
    <row r="2309" spans="2:10" s="3" customFormat="1">
      <c r="B2309" s="3" t="s">
        <v>2118</v>
      </c>
      <c r="C2309" s="8">
        <v>3</v>
      </c>
      <c r="D2309" s="3" t="s">
        <v>2228</v>
      </c>
      <c r="E2309" s="11" t="s">
        <v>717</v>
      </c>
      <c r="F2309" s="10">
        <v>2.5820000000000001E-3</v>
      </c>
      <c r="G2309" s="12">
        <f t="shared" si="171"/>
        <v>743</v>
      </c>
      <c r="H2309" s="13">
        <f t="shared" si="172"/>
        <v>372</v>
      </c>
      <c r="I2309" s="12">
        <f t="shared" si="173"/>
        <v>371</v>
      </c>
      <c r="J2309" s="3" t="str">
        <f t="shared" si="174"/>
        <v>3230969</v>
      </c>
    </row>
    <row r="2310" spans="2:10" s="3" customFormat="1">
      <c r="B2310" s="3" t="s">
        <v>2118</v>
      </c>
      <c r="C2310" s="8">
        <v>3</v>
      </c>
      <c r="D2310" s="3" t="s">
        <v>2548</v>
      </c>
      <c r="E2310" s="11" t="s">
        <v>718</v>
      </c>
      <c r="F2310" s="10">
        <v>1.2689000000000001E-2</v>
      </c>
      <c r="G2310" s="12">
        <f t="shared" si="171"/>
        <v>3651</v>
      </c>
      <c r="H2310" s="13">
        <f t="shared" si="172"/>
        <v>1826</v>
      </c>
      <c r="I2310" s="12">
        <f t="shared" si="173"/>
        <v>1825</v>
      </c>
      <c r="J2310" s="3" t="str">
        <f t="shared" si="174"/>
        <v>3230502</v>
      </c>
    </row>
    <row r="2311" spans="2:10" s="3" customFormat="1">
      <c r="B2311" s="3" t="s">
        <v>2118</v>
      </c>
      <c r="C2311" s="8">
        <v>3</v>
      </c>
      <c r="D2311" s="3" t="s">
        <v>2551</v>
      </c>
      <c r="E2311" s="11" t="s">
        <v>719</v>
      </c>
      <c r="F2311" s="10">
        <v>9.1799999999999998E-4</v>
      </c>
      <c r="G2311" s="12">
        <f t="shared" si="171"/>
        <v>264</v>
      </c>
      <c r="H2311" s="13">
        <f t="shared" si="172"/>
        <v>132</v>
      </c>
      <c r="I2311" s="12">
        <f t="shared" si="173"/>
        <v>132</v>
      </c>
      <c r="J2311" s="3" t="str">
        <f t="shared" si="174"/>
        <v>3230660</v>
      </c>
    </row>
    <row r="2312" spans="2:10" s="3" customFormat="1">
      <c r="B2312" s="3" t="s">
        <v>2118</v>
      </c>
      <c r="C2312" s="8">
        <v>3</v>
      </c>
      <c r="D2312" s="3" t="s">
        <v>2552</v>
      </c>
      <c r="E2312" s="11" t="s">
        <v>720</v>
      </c>
      <c r="F2312" s="10">
        <v>5.6849999999999999E-3</v>
      </c>
      <c r="G2312" s="12">
        <f t="shared" si="171"/>
        <v>1636</v>
      </c>
      <c r="H2312" s="13">
        <f t="shared" si="172"/>
        <v>818</v>
      </c>
      <c r="I2312" s="12">
        <f t="shared" si="173"/>
        <v>818</v>
      </c>
      <c r="J2312" s="3" t="str">
        <f t="shared" si="174"/>
        <v>3230661</v>
      </c>
    </row>
    <row r="2313" spans="2:10" s="3" customFormat="1">
      <c r="B2313" s="3" t="s">
        <v>2118</v>
      </c>
      <c r="C2313" s="8">
        <v>3</v>
      </c>
      <c r="D2313" s="3" t="s">
        <v>2553</v>
      </c>
      <c r="E2313" s="11" t="s">
        <v>721</v>
      </c>
      <c r="F2313" s="10">
        <v>4.9329999999999999E-3</v>
      </c>
      <c r="G2313" s="12">
        <f t="shared" si="171"/>
        <v>1419</v>
      </c>
      <c r="H2313" s="13">
        <f t="shared" si="172"/>
        <v>710</v>
      </c>
      <c r="I2313" s="12">
        <f t="shared" si="173"/>
        <v>709</v>
      </c>
      <c r="J2313" s="3" t="str">
        <f t="shared" si="174"/>
        <v>3230662</v>
      </c>
    </row>
    <row r="2314" spans="2:10" s="3" customFormat="1">
      <c r="B2314" s="3" t="s">
        <v>2118</v>
      </c>
      <c r="C2314" s="8">
        <v>3</v>
      </c>
      <c r="D2314" s="3" t="s">
        <v>2259</v>
      </c>
      <c r="E2314" s="11" t="s">
        <v>152</v>
      </c>
      <c r="F2314" s="10">
        <v>8.5000000000000006E-5</v>
      </c>
      <c r="G2314" s="12">
        <f t="shared" si="171"/>
        <v>24</v>
      </c>
      <c r="H2314" s="13">
        <f t="shared" si="172"/>
        <v>12</v>
      </c>
      <c r="I2314" s="12">
        <f t="shared" si="173"/>
        <v>12</v>
      </c>
      <c r="J2314" s="3" t="str">
        <f t="shared" si="174"/>
        <v>3230537</v>
      </c>
    </row>
    <row r="2315" spans="2:10" s="3" customFormat="1">
      <c r="B2315" s="3" t="s">
        <v>2118</v>
      </c>
      <c r="C2315" s="8">
        <v>3</v>
      </c>
      <c r="D2315" s="3" t="s">
        <v>2554</v>
      </c>
      <c r="E2315" s="11" t="s">
        <v>722</v>
      </c>
      <c r="F2315" s="10">
        <v>6.3999999999999997E-5</v>
      </c>
      <c r="G2315" s="12">
        <f t="shared" si="171"/>
        <v>18</v>
      </c>
      <c r="H2315" s="13">
        <f t="shared" si="172"/>
        <v>9</v>
      </c>
      <c r="I2315" s="12">
        <f t="shared" si="173"/>
        <v>9</v>
      </c>
      <c r="J2315" s="3" t="str">
        <f t="shared" si="174"/>
        <v>3230663</v>
      </c>
    </row>
    <row r="2316" spans="2:10" s="3" customFormat="1">
      <c r="B2316" s="3" t="s">
        <v>2118</v>
      </c>
      <c r="C2316" s="8">
        <v>3</v>
      </c>
      <c r="D2316" s="3" t="s">
        <v>2555</v>
      </c>
      <c r="E2316" s="11" t="s">
        <v>723</v>
      </c>
      <c r="F2316" s="10">
        <v>6.0759999999999998E-3</v>
      </c>
      <c r="G2316" s="12">
        <f t="shared" si="171"/>
        <v>1748</v>
      </c>
      <c r="H2316" s="13">
        <f t="shared" si="172"/>
        <v>874</v>
      </c>
      <c r="I2316" s="12">
        <f t="shared" si="173"/>
        <v>874</v>
      </c>
      <c r="J2316" s="3" t="str">
        <f t="shared" si="174"/>
        <v>3230664</v>
      </c>
    </row>
    <row r="2317" spans="2:10" s="3" customFormat="1">
      <c r="B2317" s="3" t="s">
        <v>2118</v>
      </c>
      <c r="C2317" s="8">
        <v>3</v>
      </c>
      <c r="D2317" s="3" t="s">
        <v>2266</v>
      </c>
      <c r="E2317" s="11" t="s">
        <v>724</v>
      </c>
      <c r="F2317" s="10">
        <v>7.5699999999999997E-4</v>
      </c>
      <c r="G2317" s="12">
        <f t="shared" si="171"/>
        <v>218</v>
      </c>
      <c r="H2317" s="13">
        <f t="shared" si="172"/>
        <v>109</v>
      </c>
      <c r="I2317" s="12">
        <f t="shared" si="173"/>
        <v>109</v>
      </c>
      <c r="J2317" s="3" t="str">
        <f t="shared" si="174"/>
        <v>3230665</v>
      </c>
    </row>
    <row r="2318" spans="2:10" s="3" customFormat="1">
      <c r="B2318" s="3" t="s">
        <v>2118</v>
      </c>
      <c r="C2318" s="8">
        <v>3</v>
      </c>
      <c r="D2318" s="3" t="s">
        <v>2549</v>
      </c>
      <c r="E2318" s="11" t="s">
        <v>725</v>
      </c>
      <c r="F2318" s="10">
        <v>5.5286000000000002E-2</v>
      </c>
      <c r="G2318" s="12">
        <f t="shared" si="171"/>
        <v>15907</v>
      </c>
      <c r="H2318" s="13">
        <f t="shared" si="172"/>
        <v>7954</v>
      </c>
      <c r="I2318" s="12">
        <f t="shared" si="173"/>
        <v>7953</v>
      </c>
      <c r="J2318" s="3" t="str">
        <f t="shared" si="174"/>
        <v>3230503</v>
      </c>
    </row>
    <row r="2319" spans="2:10" s="3" customFormat="1">
      <c r="B2319" s="3" t="s">
        <v>2118</v>
      </c>
      <c r="C2319" s="8">
        <v>3</v>
      </c>
      <c r="D2319" s="3" t="s">
        <v>2556</v>
      </c>
      <c r="E2319" s="11" t="s">
        <v>726</v>
      </c>
      <c r="F2319" s="10">
        <v>5.7000000000000003E-5</v>
      </c>
      <c r="G2319" s="12">
        <f t="shared" si="171"/>
        <v>16</v>
      </c>
      <c r="H2319" s="13">
        <f t="shared" si="172"/>
        <v>8</v>
      </c>
      <c r="I2319" s="12">
        <f t="shared" si="173"/>
        <v>8</v>
      </c>
      <c r="J2319" s="3" t="str">
        <f t="shared" si="174"/>
        <v>3230666</v>
      </c>
    </row>
    <row r="2320" spans="2:10" s="3" customFormat="1">
      <c r="B2320" s="3" t="s">
        <v>2118</v>
      </c>
      <c r="C2320" s="8">
        <v>4</v>
      </c>
      <c r="D2320" s="3" t="s">
        <v>2559</v>
      </c>
      <c r="E2320" s="11" t="s">
        <v>727</v>
      </c>
      <c r="F2320" s="10">
        <v>0.14166500000000001</v>
      </c>
      <c r="G2320" s="9">
        <f t="shared" si="171"/>
        <v>40760</v>
      </c>
      <c r="H2320" s="11">
        <f t="shared" si="172"/>
        <v>20380</v>
      </c>
      <c r="I2320" s="9">
        <f t="shared" si="173"/>
        <v>20380</v>
      </c>
      <c r="J2320" s="3" t="str">
        <f t="shared" si="174"/>
        <v>3243315</v>
      </c>
    </row>
    <row r="2321" spans="2:10" s="3" customFormat="1">
      <c r="B2321" s="3" t="s">
        <v>2118</v>
      </c>
      <c r="C2321" s="8">
        <v>4</v>
      </c>
      <c r="D2321" s="3" t="s">
        <v>2559</v>
      </c>
      <c r="E2321" s="11" t="s">
        <v>28</v>
      </c>
      <c r="F2321" s="11"/>
      <c r="G2321" s="14">
        <v>0.38342399999999999</v>
      </c>
      <c r="H2321" s="11"/>
      <c r="I2321" s="11"/>
      <c r="J2321" s="3" t="str">
        <f t="shared" si="174"/>
        <v>3243315</v>
      </c>
    </row>
    <row r="2322" spans="2:10" s="3" customFormat="1">
      <c r="B2322" s="3" t="s">
        <v>2118</v>
      </c>
      <c r="C2322" s="8">
        <v>4</v>
      </c>
      <c r="D2322" s="3" t="s">
        <v>2559</v>
      </c>
      <c r="E2322" s="11" t="s">
        <v>29</v>
      </c>
      <c r="F2322" s="11"/>
      <c r="G2322" s="15">
        <f>ROUND(G2320*G2321,0)</f>
        <v>15628</v>
      </c>
      <c r="H2322" s="16">
        <f>ROUND(G2322/2,0)</f>
        <v>7814</v>
      </c>
      <c r="I2322" s="15">
        <f>G2322-H2322</f>
        <v>7814</v>
      </c>
      <c r="J2322" s="3" t="str">
        <f t="shared" si="174"/>
        <v>3243315</v>
      </c>
    </row>
    <row r="2323" spans="2:10" s="3" customFormat="1">
      <c r="B2323" s="3" t="s">
        <v>2118</v>
      </c>
      <c r="C2323" s="8">
        <v>4</v>
      </c>
      <c r="D2323" s="3" t="s">
        <v>2559</v>
      </c>
      <c r="E2323" s="11" t="s">
        <v>30</v>
      </c>
      <c r="F2323" s="11"/>
      <c r="G2323" s="12">
        <f>+G2320-G2322</f>
        <v>25132</v>
      </c>
      <c r="H2323" s="13">
        <f>ROUND(G2323/2,0)</f>
        <v>12566</v>
      </c>
      <c r="I2323" s="12">
        <f>G2323-H2323</f>
        <v>12566</v>
      </c>
      <c r="J2323" s="3" t="str">
        <f t="shared" si="174"/>
        <v>3243315</v>
      </c>
    </row>
    <row r="2324" spans="2:10" s="3" customFormat="1">
      <c r="B2324" s="3" t="s">
        <v>2118</v>
      </c>
      <c r="C2324" s="8">
        <v>4</v>
      </c>
      <c r="D2324" s="3" t="s">
        <v>2558</v>
      </c>
      <c r="E2324" s="11" t="s">
        <v>728</v>
      </c>
      <c r="F2324" s="10">
        <v>8.8581999999999994E-2</v>
      </c>
      <c r="G2324" s="9">
        <f>ROUND(G$3*F2324,0)</f>
        <v>25487</v>
      </c>
      <c r="H2324" s="11">
        <f>ROUND(G2324/2,0)</f>
        <v>12744</v>
      </c>
      <c r="I2324" s="9">
        <f>G2324-H2324</f>
        <v>12743</v>
      </c>
      <c r="J2324" s="3" t="str">
        <f t="shared" si="174"/>
        <v>3243305</v>
      </c>
    </row>
    <row r="2325" spans="2:10" s="3" customFormat="1">
      <c r="B2325" s="3" t="s">
        <v>2118</v>
      </c>
      <c r="C2325" s="8">
        <v>4</v>
      </c>
      <c r="D2325" s="3" t="s">
        <v>2558</v>
      </c>
      <c r="E2325" s="11" t="s">
        <v>28</v>
      </c>
      <c r="F2325" s="11"/>
      <c r="G2325" s="14">
        <v>0.36301299999999997</v>
      </c>
      <c r="H2325" s="11"/>
      <c r="I2325" s="11"/>
      <c r="J2325" s="3" t="str">
        <f t="shared" si="174"/>
        <v>3243305</v>
      </c>
    </row>
    <row r="2326" spans="2:10" s="3" customFormat="1">
      <c r="B2326" s="3" t="s">
        <v>2118</v>
      </c>
      <c r="C2326" s="8">
        <v>4</v>
      </c>
      <c r="D2326" s="3" t="s">
        <v>2558</v>
      </c>
      <c r="E2326" s="11" t="s">
        <v>29</v>
      </c>
      <c r="F2326" s="11"/>
      <c r="G2326" s="15">
        <f>ROUND(G2324*G2325,0)</f>
        <v>9252</v>
      </c>
      <c r="H2326" s="16">
        <f>ROUND(G2326/2,0)</f>
        <v>4626</v>
      </c>
      <c r="I2326" s="15">
        <f>G2326-H2326</f>
        <v>4626</v>
      </c>
      <c r="J2326" s="3" t="str">
        <f t="shared" si="174"/>
        <v>3243305</v>
      </c>
    </row>
    <row r="2327" spans="2:10" s="3" customFormat="1">
      <c r="B2327" s="3" t="s">
        <v>2118</v>
      </c>
      <c r="C2327" s="8">
        <v>4</v>
      </c>
      <c r="D2327" s="3" t="s">
        <v>2558</v>
      </c>
      <c r="E2327" s="11" t="s">
        <v>30</v>
      </c>
      <c r="F2327" s="11"/>
      <c r="G2327" s="12">
        <f>+G2324-G2326</f>
        <v>16235</v>
      </c>
      <c r="H2327" s="13">
        <f>ROUND(G2327/2,0)</f>
        <v>8118</v>
      </c>
      <c r="I2327" s="12">
        <f>G2327-H2327</f>
        <v>8117</v>
      </c>
      <c r="J2327" s="3" t="str">
        <f t="shared" si="174"/>
        <v>3243305</v>
      </c>
    </row>
    <row r="2328" spans="2:10" s="3" customFormat="1">
      <c r="B2328" s="3" t="s">
        <v>2118</v>
      </c>
      <c r="C2328" s="8">
        <v>4</v>
      </c>
      <c r="D2328" s="3" t="s">
        <v>2560</v>
      </c>
      <c r="E2328" s="11" t="s">
        <v>729</v>
      </c>
      <c r="F2328" s="10">
        <v>8.3224999999999993E-2</v>
      </c>
      <c r="G2328" s="9">
        <f>ROUND(G$3*F2328,0)</f>
        <v>23946</v>
      </c>
      <c r="H2328" s="11">
        <f>ROUND(G2328/2,0)</f>
        <v>11973</v>
      </c>
      <c r="I2328" s="9">
        <f>G2328-H2328</f>
        <v>11973</v>
      </c>
      <c r="J2328" s="3" t="str">
        <f t="shared" si="174"/>
        <v>3243325</v>
      </c>
    </row>
    <row r="2329" spans="2:10" s="3" customFormat="1">
      <c r="B2329" s="3" t="s">
        <v>2118</v>
      </c>
      <c r="C2329" s="8">
        <v>4</v>
      </c>
      <c r="D2329" s="3" t="s">
        <v>2560</v>
      </c>
      <c r="E2329" s="11" t="s">
        <v>28</v>
      </c>
      <c r="F2329" s="11"/>
      <c r="G2329" s="14">
        <v>0.36555799999999999</v>
      </c>
      <c r="H2329" s="11"/>
      <c r="I2329" s="11"/>
      <c r="J2329" s="3" t="str">
        <f t="shared" si="174"/>
        <v>3243325</v>
      </c>
    </row>
    <row r="2330" spans="2:10" s="3" customFormat="1">
      <c r="B2330" s="3" t="s">
        <v>2118</v>
      </c>
      <c r="C2330" s="8">
        <v>4</v>
      </c>
      <c r="D2330" s="3" t="s">
        <v>2560</v>
      </c>
      <c r="E2330" s="11" t="s">
        <v>29</v>
      </c>
      <c r="F2330" s="11"/>
      <c r="G2330" s="15">
        <f>ROUND(G2328*G2329,0)</f>
        <v>8754</v>
      </c>
      <c r="H2330" s="16">
        <f>ROUND(G2330/2,0)</f>
        <v>4377</v>
      </c>
      <c r="I2330" s="15">
        <f>G2330-H2330</f>
        <v>4377</v>
      </c>
      <c r="J2330" s="3" t="str">
        <f t="shared" si="174"/>
        <v>3243325</v>
      </c>
    </row>
    <row r="2331" spans="2:10" s="3" customFormat="1">
      <c r="B2331" s="3" t="s">
        <v>2118</v>
      </c>
      <c r="C2331" s="8">
        <v>4</v>
      </c>
      <c r="D2331" s="3" t="s">
        <v>2560</v>
      </c>
      <c r="E2331" s="11" t="s">
        <v>30</v>
      </c>
      <c r="F2331" s="11"/>
      <c r="G2331" s="12">
        <f>+G2328-G2330</f>
        <v>15192</v>
      </c>
      <c r="H2331" s="13">
        <f>ROUND(G2331/2,0)</f>
        <v>7596</v>
      </c>
      <c r="I2331" s="12">
        <f>G2331-H2331</f>
        <v>7596</v>
      </c>
      <c r="J2331" s="3" t="str">
        <f t="shared" si="174"/>
        <v>3243325</v>
      </c>
    </row>
    <row r="2332" spans="2:10" s="3" customFormat="1">
      <c r="B2332" s="3" t="s">
        <v>2118</v>
      </c>
      <c r="C2332" s="8">
        <v>4</v>
      </c>
      <c r="D2332" s="3" t="s">
        <v>2562</v>
      </c>
      <c r="E2332" s="11" t="s">
        <v>730</v>
      </c>
      <c r="F2332" s="10">
        <v>0.14116400000000001</v>
      </c>
      <c r="G2332" s="9">
        <f>ROUND(G$3*F2332,0)</f>
        <v>40616</v>
      </c>
      <c r="H2332" s="11">
        <f>ROUND(G2332/2,0)</f>
        <v>20308</v>
      </c>
      <c r="I2332" s="9">
        <f>G2332-H2332</f>
        <v>20308</v>
      </c>
      <c r="J2332" s="3" t="str">
        <f t="shared" si="174"/>
        <v>3243335</v>
      </c>
    </row>
    <row r="2333" spans="2:10" s="3" customFormat="1">
      <c r="B2333" s="3" t="s">
        <v>2118</v>
      </c>
      <c r="C2333" s="8">
        <v>4</v>
      </c>
      <c r="D2333" s="3" t="s">
        <v>2562</v>
      </c>
      <c r="E2333" s="11" t="s">
        <v>28</v>
      </c>
      <c r="F2333" s="11"/>
      <c r="G2333" s="14">
        <v>0.400366</v>
      </c>
      <c r="H2333" s="11"/>
      <c r="I2333" s="11"/>
      <c r="J2333" s="3" t="str">
        <f t="shared" si="174"/>
        <v>3243335</v>
      </c>
    </row>
    <row r="2334" spans="2:10" s="3" customFormat="1">
      <c r="B2334" s="3" t="s">
        <v>2118</v>
      </c>
      <c r="C2334" s="8">
        <v>4</v>
      </c>
      <c r="D2334" s="3" t="s">
        <v>2562</v>
      </c>
      <c r="E2334" s="11" t="s">
        <v>29</v>
      </c>
      <c r="F2334" s="11"/>
      <c r="G2334" s="15">
        <f>ROUND(G2332*G2333,0)</f>
        <v>16261</v>
      </c>
      <c r="H2334" s="16">
        <f>ROUND(G2334/2,0)</f>
        <v>8131</v>
      </c>
      <c r="I2334" s="15">
        <f>G2334-H2334</f>
        <v>8130</v>
      </c>
      <c r="J2334" s="3" t="str">
        <f t="shared" si="174"/>
        <v>3243335</v>
      </c>
    </row>
    <row r="2335" spans="2:10" s="3" customFormat="1">
      <c r="B2335" s="3" t="s">
        <v>2118</v>
      </c>
      <c r="C2335" s="8">
        <v>4</v>
      </c>
      <c r="D2335" s="3" t="s">
        <v>2562</v>
      </c>
      <c r="E2335" s="11" t="s">
        <v>30</v>
      </c>
      <c r="F2335" s="11"/>
      <c r="G2335" s="12">
        <f>+G2332-G2334</f>
        <v>24355</v>
      </c>
      <c r="H2335" s="13">
        <f>ROUND(G2335/2,0)</f>
        <v>12178</v>
      </c>
      <c r="I2335" s="12">
        <f>G2335-H2335</f>
        <v>12177</v>
      </c>
      <c r="J2335" s="3" t="str">
        <f t="shared" si="174"/>
        <v>3243335</v>
      </c>
    </row>
    <row r="2336" spans="2:10" s="3" customFormat="1">
      <c r="B2336" s="3" t="s">
        <v>2118</v>
      </c>
      <c r="C2336" s="8">
        <v>4</v>
      </c>
      <c r="D2336" s="3" t="s">
        <v>2557</v>
      </c>
      <c r="E2336" s="11" t="s">
        <v>731</v>
      </c>
      <c r="F2336" s="10">
        <v>6.7951999999999999E-2</v>
      </c>
      <c r="G2336" s="9">
        <f>ROUND(G$3*F2336,0)</f>
        <v>19551</v>
      </c>
      <c r="H2336" s="11">
        <f>ROUND(G2336/2,0)</f>
        <v>9776</v>
      </c>
      <c r="I2336" s="9">
        <f>G2336-H2336</f>
        <v>9775</v>
      </c>
      <c r="J2336" s="3" t="str">
        <f t="shared" si="174"/>
        <v>3243295</v>
      </c>
    </row>
    <row r="2337" spans="1:10" s="3" customFormat="1">
      <c r="B2337" s="3" t="s">
        <v>2118</v>
      </c>
      <c r="C2337" s="8">
        <v>4</v>
      </c>
      <c r="D2337" s="3" t="s">
        <v>2557</v>
      </c>
      <c r="E2337" s="11" t="s">
        <v>28</v>
      </c>
      <c r="F2337" s="11"/>
      <c r="G2337" s="14">
        <v>0.43082700000000002</v>
      </c>
      <c r="H2337" s="11"/>
      <c r="I2337" s="11"/>
      <c r="J2337" s="3" t="str">
        <f t="shared" si="174"/>
        <v>3243295</v>
      </c>
    </row>
    <row r="2338" spans="1:10" s="3" customFormat="1">
      <c r="B2338" s="3" t="s">
        <v>2118</v>
      </c>
      <c r="C2338" s="8">
        <v>4</v>
      </c>
      <c r="D2338" s="3" t="s">
        <v>2557</v>
      </c>
      <c r="E2338" s="11" t="s">
        <v>29</v>
      </c>
      <c r="F2338" s="11"/>
      <c r="G2338" s="15">
        <f>ROUND(G2336*G2337,0)</f>
        <v>8423</v>
      </c>
      <c r="H2338" s="16">
        <f>ROUND(G2338/2,0)</f>
        <v>4212</v>
      </c>
      <c r="I2338" s="15">
        <f>G2338-H2338</f>
        <v>4211</v>
      </c>
      <c r="J2338" s="3" t="str">
        <f t="shared" si="174"/>
        <v>3243295</v>
      </c>
    </row>
    <row r="2339" spans="1:10" s="3" customFormat="1">
      <c r="B2339" s="3" t="s">
        <v>2118</v>
      </c>
      <c r="C2339" s="8">
        <v>4</v>
      </c>
      <c r="D2339" s="3" t="s">
        <v>2557</v>
      </c>
      <c r="E2339" s="11" t="s">
        <v>30</v>
      </c>
      <c r="F2339" s="11"/>
      <c r="G2339" s="12">
        <f>+G2336-G2338</f>
        <v>11128</v>
      </c>
      <c r="H2339" s="13">
        <f>ROUND(G2339/2,0)</f>
        <v>5564</v>
      </c>
      <c r="I2339" s="12">
        <f>G2339-H2339</f>
        <v>5564</v>
      </c>
      <c r="J2339" s="3" t="str">
        <f t="shared" si="174"/>
        <v>3243295</v>
      </c>
    </row>
    <row r="2340" spans="1:10" s="3" customFormat="1">
      <c r="B2340" s="3" t="s">
        <v>2118</v>
      </c>
      <c r="C2340" s="8">
        <v>4</v>
      </c>
      <c r="D2340" s="3" t="s">
        <v>2561</v>
      </c>
      <c r="E2340" s="11" t="s">
        <v>732</v>
      </c>
      <c r="F2340" s="10">
        <v>0.19527700000000001</v>
      </c>
      <c r="G2340" s="9">
        <f>ROUND(G$3*F2340,0)</f>
        <v>56186</v>
      </c>
      <c r="H2340" s="11">
        <f>ROUND(G2340/2,0)</f>
        <v>28093</v>
      </c>
      <c r="I2340" s="9">
        <f>G2340-H2340</f>
        <v>28093</v>
      </c>
      <c r="J2340" s="3" t="str">
        <f t="shared" si="174"/>
        <v>3243330</v>
      </c>
    </row>
    <row r="2341" spans="1:10" s="3" customFormat="1">
      <c r="B2341" s="3" t="s">
        <v>2118</v>
      </c>
      <c r="C2341" s="8">
        <v>4</v>
      </c>
      <c r="D2341" s="3" t="s">
        <v>2561</v>
      </c>
      <c r="E2341" s="11" t="s">
        <v>28</v>
      </c>
      <c r="F2341" s="11"/>
      <c r="G2341" s="14">
        <v>0.36244199999999999</v>
      </c>
      <c r="H2341" s="11"/>
      <c r="I2341" s="11"/>
      <c r="J2341" s="3" t="str">
        <f t="shared" si="174"/>
        <v>3243330</v>
      </c>
    </row>
    <row r="2342" spans="1:10" s="3" customFormat="1">
      <c r="B2342" s="3" t="s">
        <v>2118</v>
      </c>
      <c r="C2342" s="8">
        <v>4</v>
      </c>
      <c r="D2342" s="3" t="s">
        <v>2561</v>
      </c>
      <c r="E2342" s="11" t="s">
        <v>29</v>
      </c>
      <c r="F2342" s="11"/>
      <c r="G2342" s="15">
        <f>ROUND(G2340*G2341,0)</f>
        <v>20364</v>
      </c>
      <c r="H2342" s="16">
        <f t="shared" ref="H2342:H2350" si="175">ROUND(G2342/2,0)</f>
        <v>10182</v>
      </c>
      <c r="I2342" s="15">
        <f t="shared" ref="I2342:I2350" si="176">G2342-H2342</f>
        <v>10182</v>
      </c>
      <c r="J2342" s="3" t="str">
        <f t="shared" si="174"/>
        <v>3243330</v>
      </c>
    </row>
    <row r="2343" spans="1:10" s="3" customFormat="1">
      <c r="B2343" s="3" t="s">
        <v>2118</v>
      </c>
      <c r="C2343" s="8">
        <v>4</v>
      </c>
      <c r="D2343" s="3" t="s">
        <v>2561</v>
      </c>
      <c r="E2343" s="11" t="s">
        <v>30</v>
      </c>
      <c r="F2343" s="11"/>
      <c r="G2343" s="12">
        <f>+G2340-G2342</f>
        <v>35822</v>
      </c>
      <c r="H2343" s="13">
        <f t="shared" si="175"/>
        <v>17911</v>
      </c>
      <c r="I2343" s="12">
        <f t="shared" si="176"/>
        <v>17911</v>
      </c>
      <c r="J2343" s="3" t="str">
        <f t="shared" si="174"/>
        <v>3243330</v>
      </c>
    </row>
    <row r="2344" spans="1:10" s="3" customFormat="1">
      <c r="B2344" s="3" t="s">
        <v>2118</v>
      </c>
      <c r="C2344" s="8">
        <v>5</v>
      </c>
      <c r="D2344" s="3" t="s">
        <v>2563</v>
      </c>
      <c r="E2344" s="11" t="s">
        <v>733</v>
      </c>
      <c r="F2344" s="10">
        <v>3.114E-3</v>
      </c>
      <c r="G2344" s="120">
        <f>ROUND(G$3*F2344,0)</f>
        <v>896</v>
      </c>
      <c r="H2344" s="120">
        <f t="shared" si="175"/>
        <v>448</v>
      </c>
      <c r="I2344" s="120">
        <f t="shared" si="176"/>
        <v>448</v>
      </c>
      <c r="J2344" s="3" t="str">
        <f t="shared" si="174"/>
        <v>3250084</v>
      </c>
    </row>
    <row r="2345" spans="1:10" s="3" customFormat="1">
      <c r="B2345" s="3" t="s">
        <v>2118</v>
      </c>
      <c r="C2345" s="8">
        <v>5</v>
      </c>
      <c r="D2345" s="3" t="s">
        <v>2564</v>
      </c>
      <c r="E2345" s="11" t="s">
        <v>734</v>
      </c>
      <c r="F2345" s="10">
        <v>2.9320000000000001E-3</v>
      </c>
      <c r="G2345" s="120">
        <f>ROUND(G$3*F2345,0)</f>
        <v>844</v>
      </c>
      <c r="H2345" s="120">
        <f t="shared" si="175"/>
        <v>422</v>
      </c>
      <c r="I2345" s="120">
        <f t="shared" si="176"/>
        <v>422</v>
      </c>
      <c r="J2345" s="3" t="str">
        <f t="shared" si="174"/>
        <v>3250085</v>
      </c>
    </row>
    <row r="2346" spans="1:10" s="3" customFormat="1">
      <c r="B2346" s="3" t="s">
        <v>2118</v>
      </c>
      <c r="C2346" s="8">
        <v>5</v>
      </c>
      <c r="D2346" s="3" t="s">
        <v>2565</v>
      </c>
      <c r="E2346" s="11" t="s">
        <v>735</v>
      </c>
      <c r="F2346" s="10">
        <v>1.377E-3</v>
      </c>
      <c r="G2346" s="120">
        <f>ROUND(G$3*F2346,0)</f>
        <v>396</v>
      </c>
      <c r="H2346" s="120">
        <f t="shared" si="175"/>
        <v>198</v>
      </c>
      <c r="I2346" s="120">
        <f t="shared" si="176"/>
        <v>198</v>
      </c>
      <c r="J2346" s="3" t="str">
        <f t="shared" si="174"/>
        <v>3250086</v>
      </c>
    </row>
    <row r="2347" spans="1:10" s="3" customFormat="1">
      <c r="B2347" s="3" t="s">
        <v>2118</v>
      </c>
      <c r="C2347" s="8">
        <v>5</v>
      </c>
      <c r="D2347" s="3" t="s">
        <v>2566</v>
      </c>
      <c r="E2347" s="11" t="s">
        <v>736</v>
      </c>
      <c r="F2347" s="10">
        <v>4.352E-3</v>
      </c>
      <c r="G2347" s="120">
        <f>ROUND(G$3*F2347,0)</f>
        <v>1252</v>
      </c>
      <c r="H2347" s="120">
        <f t="shared" si="175"/>
        <v>626</v>
      </c>
      <c r="I2347" s="120">
        <f t="shared" si="176"/>
        <v>626</v>
      </c>
      <c r="J2347" s="3" t="str">
        <f t="shared" si="174"/>
        <v>3250087</v>
      </c>
    </row>
    <row r="2348" spans="1:10" s="3" customFormat="1">
      <c r="B2348" s="3" t="s">
        <v>2118</v>
      </c>
      <c r="C2348" s="8">
        <v>5</v>
      </c>
      <c r="D2348" s="3" t="s">
        <v>2567</v>
      </c>
      <c r="E2348" s="11" t="s">
        <v>737</v>
      </c>
      <c r="F2348" s="10">
        <v>1.8408000000000001E-2</v>
      </c>
      <c r="G2348" s="120">
        <f>ROUND(G$3*F2348,0)</f>
        <v>5296</v>
      </c>
      <c r="H2348" s="120">
        <f t="shared" si="175"/>
        <v>2648</v>
      </c>
      <c r="I2348" s="120">
        <f t="shared" si="176"/>
        <v>2648</v>
      </c>
      <c r="J2348" s="3" t="str">
        <f t="shared" si="174"/>
        <v>3250088</v>
      </c>
    </row>
    <row r="2349" spans="1:10" s="3" customFormat="1">
      <c r="B2349" s="3" t="s">
        <v>2118</v>
      </c>
      <c r="C2349" s="8">
        <v>5</v>
      </c>
      <c r="D2349" s="3" t="s">
        <v>4248</v>
      </c>
      <c r="E2349" s="11" t="s">
        <v>738</v>
      </c>
      <c r="F2349" s="10">
        <v>3.8749999999998508E-3</v>
      </c>
      <c r="G2349" s="120">
        <f>+G2266-SUM(G2267:G2268)-SUM(G2273:G2320)-G2324-G2328-G2332-G2336-G2340-SUM(G2344:G2348)</f>
        <v>903523</v>
      </c>
      <c r="H2349" s="120">
        <f t="shared" si="175"/>
        <v>451762</v>
      </c>
      <c r="I2349" s="120">
        <f t="shared" si="176"/>
        <v>451761</v>
      </c>
      <c r="J2349" s="3" t="str">
        <f t="shared" si="174"/>
        <v>3250083</v>
      </c>
    </row>
    <row r="2350" spans="1:10" s="3" customFormat="1">
      <c r="A2350" s="3" t="s">
        <v>6269</v>
      </c>
      <c r="B2350" s="3" t="s">
        <v>2118</v>
      </c>
      <c r="C2350" s="8">
        <v>6</v>
      </c>
      <c r="D2350" s="3" t="s">
        <v>6267</v>
      </c>
      <c r="E2350" s="11" t="s">
        <v>739</v>
      </c>
      <c r="F2350" s="10">
        <v>0</v>
      </c>
      <c r="G2350" s="120">
        <f>ROUND(G$3*F2350,0)</f>
        <v>0</v>
      </c>
      <c r="H2350" s="120">
        <f t="shared" si="175"/>
        <v>0</v>
      </c>
      <c r="I2350" s="120">
        <f t="shared" si="176"/>
        <v>0</v>
      </c>
      <c r="J2350" s="3" t="str">
        <f t="shared" si="174"/>
        <v>326XXXX</v>
      </c>
    </row>
    <row r="2351" spans="1:10" s="3" customFormat="1">
      <c r="B2351" s="3" t="s">
        <v>2118</v>
      </c>
      <c r="C2351" s="8">
        <v>0</v>
      </c>
      <c r="D2351" s="125" t="s">
        <v>2187</v>
      </c>
      <c r="E2351" s="28" t="s">
        <v>288</v>
      </c>
      <c r="F2351" s="10">
        <v>1</v>
      </c>
      <c r="G2351" s="12">
        <f>+G2267+SUM(G2270:G2319)+SUM(G2322:G2323)+SUM(G2326:G2327)+SUM(G2330:G2331)+SUM(G2334:G2335)+SUM(G2338:G2339)+SUM(G2342:G2350)</f>
        <v>1190131</v>
      </c>
      <c r="H2351" s="12">
        <f>+H2267+SUM(H2270:H2319)+SUM(H2322:H2323)+SUM(H2326:H2327)+SUM(H2330:H2331)+SUM(H2334:H2335)+SUM(H2338:H2339)+SUM(H2342:H2350)</f>
        <v>595077</v>
      </c>
      <c r="I2351" s="12">
        <f>+I2267+SUM(I2270:I2319)+SUM(I2322:I2323)+SUM(I2326:I2327)+SUM(I2330:I2331)+SUM(I2334:I2335)+SUM(I2338:I2339)+SUM(I2342:I2350)</f>
        <v>595054</v>
      </c>
      <c r="J2351" s="3" t="str">
        <f t="shared" si="174"/>
        <v>3200000</v>
      </c>
    </row>
    <row r="2352" spans="1:10" s="3" customFormat="1">
      <c r="B2352" s="3" t="s">
        <v>2118</v>
      </c>
      <c r="C2352" s="8">
        <v>0</v>
      </c>
      <c r="D2352" s="3" t="s">
        <v>2187</v>
      </c>
      <c r="E2352" s="18" t="s">
        <v>38</v>
      </c>
      <c r="G2352" s="19">
        <f>+G2267</f>
        <v>332</v>
      </c>
      <c r="H2352" s="19">
        <f>+H2267</f>
        <v>166</v>
      </c>
      <c r="I2352" s="19">
        <f>+I2267</f>
        <v>166</v>
      </c>
      <c r="J2352" s="3" t="str">
        <f t="shared" si="174"/>
        <v>3200000</v>
      </c>
    </row>
    <row r="2353" spans="2:10" s="3" customFormat="1">
      <c r="B2353" s="3" t="s">
        <v>2118</v>
      </c>
      <c r="C2353" s="8">
        <v>0</v>
      </c>
      <c r="D2353" s="3" t="s">
        <v>2187</v>
      </c>
      <c r="E2353" s="2" t="s">
        <v>39</v>
      </c>
      <c r="G2353" s="19">
        <f>+G2270</f>
        <v>2327</v>
      </c>
      <c r="H2353" s="19">
        <f>+H2270</f>
        <v>1164</v>
      </c>
      <c r="I2353" s="19">
        <f>+I2270</f>
        <v>1163</v>
      </c>
      <c r="J2353" s="3" t="str">
        <f t="shared" si="174"/>
        <v>3200000</v>
      </c>
    </row>
    <row r="2354" spans="2:10" s="3" customFormat="1">
      <c r="B2354" s="3" t="s">
        <v>2118</v>
      </c>
      <c r="C2354" s="8">
        <v>0</v>
      </c>
      <c r="D2354" s="3" t="s">
        <v>2187</v>
      </c>
      <c r="E2354" s="2" t="s">
        <v>40</v>
      </c>
      <c r="G2354" s="19">
        <f>+G2322+G2326+G2330+G2334+G2338+G2342</f>
        <v>78682</v>
      </c>
      <c r="H2354" s="19">
        <f>+H2322+H2326+H2330+H2334+H2338+H2342</f>
        <v>39342</v>
      </c>
      <c r="I2354" s="19">
        <f>+I2322+I2326+I2330+I2334+I2338+I2342</f>
        <v>39340</v>
      </c>
      <c r="J2354" s="3" t="str">
        <f t="shared" si="174"/>
        <v>3200000</v>
      </c>
    </row>
    <row r="2355" spans="2:10" s="3" customFormat="1">
      <c r="B2355" s="3" t="s">
        <v>2118</v>
      </c>
      <c r="C2355" s="8">
        <v>0</v>
      </c>
      <c r="D2355" s="125" t="s">
        <v>2187</v>
      </c>
      <c r="E2355" s="18" t="s">
        <v>41</v>
      </c>
      <c r="G2355" s="19">
        <f>+G2351-G2352-G2353-G2354</f>
        <v>1108790</v>
      </c>
      <c r="H2355" s="19">
        <f>+H2351-H2352-H2353-H2354</f>
        <v>554405</v>
      </c>
      <c r="I2355" s="19">
        <f>+I2351-I2352-I2353-I2354</f>
        <v>554385</v>
      </c>
      <c r="J2355" s="3" t="str">
        <f t="shared" si="174"/>
        <v>3200000</v>
      </c>
    </row>
    <row r="2356" spans="2:10" ht="15.75">
      <c r="B2356" s="3" t="s">
        <v>2186</v>
      </c>
      <c r="D2356" t="s">
        <v>2186</v>
      </c>
      <c r="E2356">
        <v>0</v>
      </c>
      <c r="G2356"/>
      <c r="H2356"/>
      <c r="I2356"/>
      <c r="J2356" s="3" t="str">
        <f t="shared" si="174"/>
        <v/>
      </c>
    </row>
    <row r="2357" spans="2:10" s="3" customFormat="1">
      <c r="C2357" s="1"/>
      <c r="D2357" s="3" t="s">
        <v>2186</v>
      </c>
      <c r="E2357" s="2" t="s">
        <v>740</v>
      </c>
      <c r="J2357" s="3" t="str">
        <f t="shared" si="174"/>
        <v/>
      </c>
    </row>
    <row r="2358" spans="2:10" s="3" customFormat="1" ht="45">
      <c r="B2358" s="3" t="s">
        <v>2186</v>
      </c>
      <c r="C2358" s="1"/>
      <c r="D2358" s="3" t="s">
        <v>2186</v>
      </c>
      <c r="E2358" s="1">
        <v>0</v>
      </c>
      <c r="F2358" s="6" t="s">
        <v>1</v>
      </c>
      <c r="G2358" s="60">
        <f>'Allocation Worksheet'!H2358</f>
        <v>0</v>
      </c>
      <c r="H2358" s="60">
        <f>'Allocation Worksheet'!H2359</f>
        <v>0</v>
      </c>
      <c r="I2358" s="60">
        <f>'Allocation Worksheet'!H2360</f>
        <v>0</v>
      </c>
      <c r="J2358" s="3" t="str">
        <f t="shared" si="174"/>
        <v/>
      </c>
    </row>
    <row r="2359" spans="2:10" s="3" customFormat="1">
      <c r="C2359" s="7" t="s">
        <v>2087</v>
      </c>
      <c r="D2359" s="3" t="s">
        <v>2186</v>
      </c>
      <c r="E2359" s="7" t="s">
        <v>3</v>
      </c>
      <c r="F2359" s="10"/>
      <c r="G2359" s="9">
        <f>'Allocation Worksheet'!$D$36</f>
        <v>301751</v>
      </c>
      <c r="H2359" s="11"/>
      <c r="I2359" s="11"/>
      <c r="J2359" s="3" t="str">
        <f t="shared" si="174"/>
        <v>UT</v>
      </c>
    </row>
    <row r="2360" spans="2:10" s="3" customFormat="1">
      <c r="B2360" s="3" t="s">
        <v>2119</v>
      </c>
      <c r="C2360" s="8">
        <v>0</v>
      </c>
      <c r="D2360" s="3" t="s">
        <v>2187</v>
      </c>
      <c r="E2360" s="11" t="s">
        <v>4</v>
      </c>
      <c r="F2360" s="10">
        <v>1.0660000000000001E-3</v>
      </c>
      <c r="G2360" s="12">
        <f>ROUND(G$3*F2360,0)</f>
        <v>307</v>
      </c>
      <c r="H2360" s="13">
        <f>ROUND(G2360/2,0)</f>
        <v>154</v>
      </c>
      <c r="I2360" s="12">
        <f>G2360-H2360</f>
        <v>153</v>
      </c>
      <c r="J2360" s="3" t="str">
        <f t="shared" si="174"/>
        <v>3300000</v>
      </c>
    </row>
    <row r="2361" spans="2:10" s="3" customFormat="1">
      <c r="B2361" s="3" t="s">
        <v>2119</v>
      </c>
      <c r="C2361" s="8">
        <v>1</v>
      </c>
      <c r="D2361" s="3" t="s">
        <v>2187</v>
      </c>
      <c r="E2361" s="11" t="s">
        <v>741</v>
      </c>
      <c r="F2361" s="10">
        <v>0.205958</v>
      </c>
      <c r="G2361" s="9">
        <f>ROUND(G$3*F2361,0)</f>
        <v>59259</v>
      </c>
      <c r="H2361" s="11">
        <f>ROUND(G2361/2,0)</f>
        <v>29630</v>
      </c>
      <c r="I2361" s="9">
        <f>G2361-H2361</f>
        <v>29629</v>
      </c>
      <c r="J2361" s="3" t="str">
        <f t="shared" si="174"/>
        <v>3310000</v>
      </c>
    </row>
    <row r="2362" spans="2:10" s="3" customFormat="1">
      <c r="B2362" s="3" t="s">
        <v>2119</v>
      </c>
      <c r="C2362" s="8">
        <v>1</v>
      </c>
      <c r="D2362" s="3" t="s">
        <v>2187</v>
      </c>
      <c r="E2362" s="11" t="s">
        <v>6</v>
      </c>
      <c r="F2362" s="11"/>
      <c r="G2362" s="14">
        <v>0.23879700000000001</v>
      </c>
      <c r="H2362" s="11"/>
      <c r="I2362" s="11"/>
      <c r="J2362" s="3" t="str">
        <f t="shared" si="174"/>
        <v>3310000</v>
      </c>
    </row>
    <row r="2363" spans="2:10" s="3" customFormat="1">
      <c r="B2363" s="3" t="s">
        <v>2119</v>
      </c>
      <c r="C2363" s="8">
        <v>1</v>
      </c>
      <c r="D2363" s="3" t="s">
        <v>2187</v>
      </c>
      <c r="E2363" s="11" t="s">
        <v>7</v>
      </c>
      <c r="F2363" s="11"/>
      <c r="G2363" s="15">
        <f>ROUND(G2361*G2362,0)</f>
        <v>14151</v>
      </c>
      <c r="H2363" s="16">
        <f>ROUND(G2363/2,0)</f>
        <v>7076</v>
      </c>
      <c r="I2363" s="15">
        <f>G2363-H2363</f>
        <v>7075</v>
      </c>
      <c r="J2363" s="3" t="str">
        <f t="shared" si="174"/>
        <v>3310000</v>
      </c>
    </row>
    <row r="2364" spans="2:10" s="3" customFormat="1">
      <c r="B2364" s="3" t="s">
        <v>2119</v>
      </c>
      <c r="C2364" s="8">
        <v>1</v>
      </c>
      <c r="D2364" s="3" t="s">
        <v>2187</v>
      </c>
      <c r="E2364" s="11" t="s">
        <v>8</v>
      </c>
      <c r="F2364" s="11"/>
      <c r="G2364" s="12">
        <f>+G2361-G2363</f>
        <v>45108</v>
      </c>
      <c r="H2364" s="13">
        <f>ROUND(G2364/2,0)</f>
        <v>22554</v>
      </c>
      <c r="I2364" s="12">
        <f>G2364-H2364</f>
        <v>22554</v>
      </c>
      <c r="J2364" s="3" t="str">
        <f t="shared" si="174"/>
        <v>3310000</v>
      </c>
    </row>
    <row r="2365" spans="2:10" s="3" customFormat="1">
      <c r="B2365" s="3" t="s">
        <v>2119</v>
      </c>
      <c r="C2365" s="8">
        <v>2</v>
      </c>
      <c r="D2365" s="3" t="s">
        <v>2188</v>
      </c>
      <c r="E2365" s="11" t="s">
        <v>669</v>
      </c>
      <c r="F2365" s="11"/>
      <c r="G2365" s="9"/>
      <c r="H2365" s="11"/>
      <c r="I2365" s="11"/>
      <c r="J2365" s="3" t="str">
        <f t="shared" si="174"/>
        <v>3320001</v>
      </c>
    </row>
    <row r="2366" spans="2:10" s="3" customFormat="1">
      <c r="B2366" s="3" t="s">
        <v>2119</v>
      </c>
      <c r="C2366" s="8">
        <v>2</v>
      </c>
      <c r="D2366" s="3" t="s">
        <v>2188</v>
      </c>
      <c r="E2366" s="11" t="s">
        <v>10</v>
      </c>
      <c r="F2366" s="10">
        <v>5.6800000000000004E-4</v>
      </c>
      <c r="G2366" s="12">
        <f>ROUND(G$3*F2366,0)</f>
        <v>163</v>
      </c>
      <c r="H2366" s="13">
        <f>ROUND(G2366/2,0)</f>
        <v>82</v>
      </c>
      <c r="I2366" s="12">
        <f>G2366-H2366</f>
        <v>81</v>
      </c>
      <c r="J2366" s="3" t="str">
        <f t="shared" si="174"/>
        <v>3320001</v>
      </c>
    </row>
    <row r="2367" spans="2:10" s="3" customFormat="1">
      <c r="B2367" s="3" t="s">
        <v>2119</v>
      </c>
      <c r="C2367" s="8">
        <v>2</v>
      </c>
      <c r="D2367" s="3" t="s">
        <v>2188</v>
      </c>
      <c r="E2367" s="11" t="s">
        <v>11</v>
      </c>
      <c r="F2367" s="10">
        <v>3.3799999999999998E-4</v>
      </c>
      <c r="G2367" s="12">
        <f>ROUND(G$3*F2367,0)</f>
        <v>97</v>
      </c>
      <c r="H2367" s="13">
        <f>ROUND(G2367/2,0)</f>
        <v>49</v>
      </c>
      <c r="I2367" s="12">
        <f>G2367-H2367</f>
        <v>48</v>
      </c>
      <c r="J2367" s="3" t="str">
        <f t="shared" si="174"/>
        <v>3320001</v>
      </c>
    </row>
    <row r="2368" spans="2:10" s="3" customFormat="1">
      <c r="B2368" s="3" t="s">
        <v>2119</v>
      </c>
      <c r="C2368" s="8">
        <v>2</v>
      </c>
      <c r="D2368" s="3" t="s">
        <v>2189</v>
      </c>
      <c r="E2368" s="11" t="s">
        <v>742</v>
      </c>
      <c r="F2368" s="11"/>
      <c r="G2368" s="9"/>
      <c r="H2368" s="11"/>
      <c r="I2368" s="11"/>
      <c r="J2368" s="3" t="str">
        <f t="shared" si="174"/>
        <v>3320002</v>
      </c>
    </row>
    <row r="2369" spans="2:10" s="3" customFormat="1">
      <c r="B2369" s="3" t="s">
        <v>2119</v>
      </c>
      <c r="C2369" s="8">
        <v>2</v>
      </c>
      <c r="D2369" s="3" t="s">
        <v>2189</v>
      </c>
      <c r="E2369" s="11" t="s">
        <v>10</v>
      </c>
      <c r="F2369" s="10">
        <v>1.021E-3</v>
      </c>
      <c r="G2369" s="12">
        <f>ROUND(G$3*F2369,0)</f>
        <v>294</v>
      </c>
      <c r="H2369" s="13">
        <f>ROUND(G2369/2,0)</f>
        <v>147</v>
      </c>
      <c r="I2369" s="12">
        <f>G2369-H2369</f>
        <v>147</v>
      </c>
      <c r="J2369" s="3" t="str">
        <f t="shared" si="174"/>
        <v>3320002</v>
      </c>
    </row>
    <row r="2370" spans="2:10" s="3" customFormat="1">
      <c r="B2370" s="3" t="s">
        <v>2119</v>
      </c>
      <c r="C2370" s="8">
        <v>2</v>
      </c>
      <c r="D2370" s="3" t="s">
        <v>2189</v>
      </c>
      <c r="E2370" s="11" t="s">
        <v>11</v>
      </c>
      <c r="F2370" s="10">
        <v>4.5899999999999999E-4</v>
      </c>
      <c r="G2370" s="12">
        <f>ROUND(G$3*F2370,0)</f>
        <v>132</v>
      </c>
      <c r="H2370" s="13">
        <f>ROUND(G2370/2,0)</f>
        <v>66</v>
      </c>
      <c r="I2370" s="12">
        <f>G2370-H2370</f>
        <v>66</v>
      </c>
      <c r="J2370" s="3" t="str">
        <f t="shared" si="174"/>
        <v>3320002</v>
      </c>
    </row>
    <row r="2371" spans="2:10" s="3" customFormat="1">
      <c r="B2371" s="3" t="s">
        <v>2119</v>
      </c>
      <c r="C2371" s="8">
        <v>2</v>
      </c>
      <c r="D2371" s="3" t="s">
        <v>2190</v>
      </c>
      <c r="E2371" s="11" t="s">
        <v>647</v>
      </c>
      <c r="F2371" s="11"/>
      <c r="G2371" s="9"/>
      <c r="H2371" s="11"/>
      <c r="I2371" s="11"/>
      <c r="J2371" s="3" t="str">
        <f t="shared" si="174"/>
        <v>3320003</v>
      </c>
    </row>
    <row r="2372" spans="2:10" s="3" customFormat="1">
      <c r="B2372" s="3" t="s">
        <v>2119</v>
      </c>
      <c r="C2372" s="8">
        <v>2</v>
      </c>
      <c r="D2372" s="3" t="s">
        <v>2190</v>
      </c>
      <c r="E2372" s="11" t="s">
        <v>10</v>
      </c>
      <c r="F2372" s="10">
        <v>1.1839999999999999E-3</v>
      </c>
      <c r="G2372" s="12">
        <f>ROUND(G$3*F2372,0)</f>
        <v>341</v>
      </c>
      <c r="H2372" s="13">
        <f>ROUND(G2372/2,0)</f>
        <v>171</v>
      </c>
      <c r="I2372" s="12">
        <f>G2372-H2372</f>
        <v>170</v>
      </c>
      <c r="J2372" s="3" t="str">
        <f t="shared" ref="J2372:J2435" si="177">B2372&amp;C2372&amp;D2372</f>
        <v>3320003</v>
      </c>
    </row>
    <row r="2373" spans="2:10" s="3" customFormat="1">
      <c r="B2373" s="3" t="s">
        <v>2119</v>
      </c>
      <c r="C2373" s="8">
        <v>2</v>
      </c>
      <c r="D2373" s="3" t="s">
        <v>2190</v>
      </c>
      <c r="E2373" s="11" t="s">
        <v>11</v>
      </c>
      <c r="F2373" s="10">
        <v>5.1599999999999997E-4</v>
      </c>
      <c r="G2373" s="12">
        <f>ROUND(G$3*F2373,0)</f>
        <v>148</v>
      </c>
      <c r="H2373" s="13">
        <f>ROUND(G2373/2,0)</f>
        <v>74</v>
      </c>
      <c r="I2373" s="12">
        <f>G2373-H2373</f>
        <v>74</v>
      </c>
      <c r="J2373" s="3" t="str">
        <f t="shared" si="177"/>
        <v>3320003</v>
      </c>
    </row>
    <row r="2374" spans="2:10" s="3" customFormat="1">
      <c r="B2374" s="3" t="s">
        <v>2119</v>
      </c>
      <c r="C2374" s="8">
        <v>2</v>
      </c>
      <c r="D2374" s="3" t="s">
        <v>2191</v>
      </c>
      <c r="E2374" s="11" t="s">
        <v>372</v>
      </c>
      <c r="F2374" s="11"/>
      <c r="G2374" s="9"/>
      <c r="H2374" s="11"/>
      <c r="I2374" s="11"/>
      <c r="J2374" s="3" t="str">
        <f t="shared" si="177"/>
        <v>3320004</v>
      </c>
    </row>
    <row r="2375" spans="2:10" s="3" customFormat="1">
      <c r="B2375" s="3" t="s">
        <v>2119</v>
      </c>
      <c r="C2375" s="8">
        <v>2</v>
      </c>
      <c r="D2375" s="3" t="s">
        <v>2191</v>
      </c>
      <c r="E2375" s="11" t="s">
        <v>10</v>
      </c>
      <c r="F2375" s="10">
        <v>3.3500000000000001E-4</v>
      </c>
      <c r="G2375" s="12">
        <f>ROUND(G$3*F2375,0)</f>
        <v>96</v>
      </c>
      <c r="H2375" s="13">
        <f>ROUND(G2375/2,0)</f>
        <v>48</v>
      </c>
      <c r="I2375" s="12">
        <f>G2375-H2375</f>
        <v>48</v>
      </c>
      <c r="J2375" s="3" t="str">
        <f t="shared" si="177"/>
        <v>3320004</v>
      </c>
    </row>
    <row r="2376" spans="2:10" s="3" customFormat="1">
      <c r="B2376" s="3" t="s">
        <v>2119</v>
      </c>
      <c r="C2376" s="8">
        <v>2</v>
      </c>
      <c r="D2376" s="3" t="s">
        <v>2191</v>
      </c>
      <c r="E2376" s="11" t="s">
        <v>11</v>
      </c>
      <c r="F2376" s="10">
        <v>3.2600000000000001E-4</v>
      </c>
      <c r="G2376" s="12">
        <f>ROUND(G$3*F2376,0)</f>
        <v>94</v>
      </c>
      <c r="H2376" s="13">
        <f>ROUND(G2376/2,0)</f>
        <v>47</v>
      </c>
      <c r="I2376" s="12">
        <f>G2376-H2376</f>
        <v>47</v>
      </c>
      <c r="J2376" s="3" t="str">
        <f t="shared" si="177"/>
        <v>3320004</v>
      </c>
    </row>
    <row r="2377" spans="2:10" s="3" customFormat="1">
      <c r="B2377" s="3" t="s">
        <v>2119</v>
      </c>
      <c r="C2377" s="8">
        <v>2</v>
      </c>
      <c r="D2377" s="3" t="s">
        <v>2192</v>
      </c>
      <c r="E2377" s="11" t="s">
        <v>743</v>
      </c>
      <c r="F2377" s="11"/>
      <c r="G2377" s="9"/>
      <c r="H2377" s="11"/>
      <c r="I2377" s="11"/>
      <c r="J2377" s="3" t="str">
        <f t="shared" si="177"/>
        <v>3320005</v>
      </c>
    </row>
    <row r="2378" spans="2:10" s="3" customFormat="1">
      <c r="B2378" s="3" t="s">
        <v>2119</v>
      </c>
      <c r="C2378" s="8">
        <v>2</v>
      </c>
      <c r="D2378" s="3" t="s">
        <v>2192</v>
      </c>
      <c r="E2378" s="11" t="s">
        <v>10</v>
      </c>
      <c r="F2378" s="10">
        <v>2.6600000000000001E-4</v>
      </c>
      <c r="G2378" s="12">
        <f>ROUND(G$3*F2378,0)</f>
        <v>77</v>
      </c>
      <c r="H2378" s="13">
        <f>ROUND(G2378/2,0)</f>
        <v>39</v>
      </c>
      <c r="I2378" s="12">
        <f>G2378-H2378</f>
        <v>38</v>
      </c>
      <c r="J2378" s="3" t="str">
        <f t="shared" si="177"/>
        <v>3320005</v>
      </c>
    </row>
    <row r="2379" spans="2:10" s="3" customFormat="1">
      <c r="B2379" s="3" t="s">
        <v>2119</v>
      </c>
      <c r="C2379" s="8">
        <v>2</v>
      </c>
      <c r="D2379" s="3" t="s">
        <v>2192</v>
      </c>
      <c r="E2379" s="11" t="s">
        <v>11</v>
      </c>
      <c r="F2379" s="10">
        <v>8.7999999999999998E-5</v>
      </c>
      <c r="G2379" s="12">
        <f>ROUND(G$3*F2379,0)</f>
        <v>25</v>
      </c>
      <c r="H2379" s="13">
        <f>ROUND(G2379/2,0)</f>
        <v>13</v>
      </c>
      <c r="I2379" s="12">
        <f>G2379-H2379</f>
        <v>12</v>
      </c>
      <c r="J2379" s="3" t="str">
        <f t="shared" si="177"/>
        <v>3320005</v>
      </c>
    </row>
    <row r="2380" spans="2:10" s="3" customFormat="1">
      <c r="B2380" s="3" t="s">
        <v>2119</v>
      </c>
      <c r="C2380" s="8">
        <v>2</v>
      </c>
      <c r="D2380" s="3" t="s">
        <v>2193</v>
      </c>
      <c r="E2380" s="11" t="s">
        <v>86</v>
      </c>
      <c r="F2380" s="11"/>
      <c r="G2380" s="9"/>
      <c r="H2380" s="11"/>
      <c r="I2380" s="11"/>
      <c r="J2380" s="3" t="str">
        <f t="shared" si="177"/>
        <v>3320006</v>
      </c>
    </row>
    <row r="2381" spans="2:10" s="3" customFormat="1">
      <c r="B2381" s="3" t="s">
        <v>2119</v>
      </c>
      <c r="C2381" s="8">
        <v>2</v>
      </c>
      <c r="D2381" s="3" t="s">
        <v>2193</v>
      </c>
      <c r="E2381" s="11" t="s">
        <v>10</v>
      </c>
      <c r="F2381" s="10">
        <v>6.2500000000000001E-4</v>
      </c>
      <c r="G2381" s="12">
        <f>ROUND(G$3*F2381,0)</f>
        <v>180</v>
      </c>
      <c r="H2381" s="13">
        <f>ROUND(G2381/2,0)</f>
        <v>90</v>
      </c>
      <c r="I2381" s="12">
        <f>G2381-H2381</f>
        <v>90</v>
      </c>
      <c r="J2381" s="3" t="str">
        <f t="shared" si="177"/>
        <v>3320006</v>
      </c>
    </row>
    <row r="2382" spans="2:10" s="3" customFormat="1">
      <c r="B2382" s="3" t="s">
        <v>2119</v>
      </c>
      <c r="C2382" s="8">
        <v>2</v>
      </c>
      <c r="D2382" s="3" t="s">
        <v>2193</v>
      </c>
      <c r="E2382" s="11" t="s">
        <v>11</v>
      </c>
      <c r="F2382" s="10">
        <v>3.2600000000000001E-4</v>
      </c>
      <c r="G2382" s="12">
        <f>ROUND(G$3*F2382,0)</f>
        <v>94</v>
      </c>
      <c r="H2382" s="13">
        <f>ROUND(G2382/2,0)</f>
        <v>47</v>
      </c>
      <c r="I2382" s="12">
        <f>G2382-H2382</f>
        <v>47</v>
      </c>
      <c r="J2382" s="3" t="str">
        <f t="shared" si="177"/>
        <v>3320006</v>
      </c>
    </row>
    <row r="2383" spans="2:10" s="3" customFormat="1">
      <c r="B2383" s="3" t="s">
        <v>2119</v>
      </c>
      <c r="C2383" s="8">
        <v>2</v>
      </c>
      <c r="D2383" s="3" t="s">
        <v>2194</v>
      </c>
      <c r="E2383" s="11" t="s">
        <v>550</v>
      </c>
      <c r="F2383" s="11"/>
      <c r="G2383" s="9"/>
      <c r="H2383" s="11"/>
      <c r="I2383" s="11"/>
      <c r="J2383" s="3" t="str">
        <f t="shared" si="177"/>
        <v>3320007</v>
      </c>
    </row>
    <row r="2384" spans="2:10" s="3" customFormat="1">
      <c r="B2384" s="3" t="s">
        <v>2119</v>
      </c>
      <c r="C2384" s="8">
        <v>2</v>
      </c>
      <c r="D2384" s="3" t="s">
        <v>2194</v>
      </c>
      <c r="E2384" s="11" t="s">
        <v>10</v>
      </c>
      <c r="F2384" s="10">
        <v>6.705E-3</v>
      </c>
      <c r="G2384" s="12">
        <f>ROUND(G$3*F2384,0)</f>
        <v>1929</v>
      </c>
      <c r="H2384" s="13">
        <f>ROUND(G2384/2,0)</f>
        <v>965</v>
      </c>
      <c r="I2384" s="12">
        <f>G2384-H2384</f>
        <v>964</v>
      </c>
      <c r="J2384" s="3" t="str">
        <f t="shared" si="177"/>
        <v>3320007</v>
      </c>
    </row>
    <row r="2385" spans="2:10" s="3" customFormat="1">
      <c r="B2385" s="3" t="s">
        <v>2119</v>
      </c>
      <c r="C2385" s="8">
        <v>2</v>
      </c>
      <c r="D2385" s="3" t="s">
        <v>2194</v>
      </c>
      <c r="E2385" s="11" t="s">
        <v>11</v>
      </c>
      <c r="F2385" s="10">
        <v>2.9359999999999998E-3</v>
      </c>
      <c r="G2385" s="12">
        <f>ROUND(G$3*F2385,0)</f>
        <v>845</v>
      </c>
      <c r="H2385" s="13">
        <f>ROUND(G2385/2,0)</f>
        <v>423</v>
      </c>
      <c r="I2385" s="12">
        <f>G2385-H2385</f>
        <v>422</v>
      </c>
      <c r="J2385" s="3" t="str">
        <f t="shared" si="177"/>
        <v>3320007</v>
      </c>
    </row>
    <row r="2386" spans="2:10" s="3" customFormat="1">
      <c r="B2386" s="3" t="s">
        <v>2119</v>
      </c>
      <c r="C2386" s="8">
        <v>2</v>
      </c>
      <c r="D2386" s="3" t="s">
        <v>2195</v>
      </c>
      <c r="E2386" s="11" t="s">
        <v>14</v>
      </c>
      <c r="F2386" s="11"/>
      <c r="G2386" s="9"/>
      <c r="H2386" s="11"/>
      <c r="I2386" s="11"/>
      <c r="J2386" s="3" t="str">
        <f t="shared" si="177"/>
        <v>3320008</v>
      </c>
    </row>
    <row r="2387" spans="2:10" s="3" customFormat="1">
      <c r="B2387" s="3" t="s">
        <v>2119</v>
      </c>
      <c r="C2387" s="8">
        <v>2</v>
      </c>
      <c r="D2387" s="3" t="s">
        <v>2195</v>
      </c>
      <c r="E2387" s="11" t="s">
        <v>10</v>
      </c>
      <c r="F2387" s="10">
        <v>6.8300000000000001E-4</v>
      </c>
      <c r="G2387" s="12">
        <f>ROUND(G$3*F2387,0)</f>
        <v>197</v>
      </c>
      <c r="H2387" s="13">
        <f>ROUND(G2387/2,0)</f>
        <v>99</v>
      </c>
      <c r="I2387" s="12">
        <f>G2387-H2387</f>
        <v>98</v>
      </c>
      <c r="J2387" s="3" t="str">
        <f t="shared" si="177"/>
        <v>3320008</v>
      </c>
    </row>
    <row r="2388" spans="2:10" s="3" customFormat="1">
      <c r="B2388" s="3" t="s">
        <v>2119</v>
      </c>
      <c r="C2388" s="8">
        <v>2</v>
      </c>
      <c r="D2388" s="3" t="s">
        <v>2195</v>
      </c>
      <c r="E2388" s="11" t="s">
        <v>11</v>
      </c>
      <c r="F2388" s="10">
        <v>5.0699999999999996E-4</v>
      </c>
      <c r="G2388" s="12">
        <f>ROUND(G$3*F2388,0)</f>
        <v>146</v>
      </c>
      <c r="H2388" s="13">
        <f>ROUND(G2388/2,0)</f>
        <v>73</v>
      </c>
      <c r="I2388" s="12">
        <f>G2388-H2388</f>
        <v>73</v>
      </c>
      <c r="J2388" s="3" t="str">
        <f t="shared" si="177"/>
        <v>3320008</v>
      </c>
    </row>
    <row r="2389" spans="2:10" s="3" customFormat="1">
      <c r="B2389" s="3" t="s">
        <v>2119</v>
      </c>
      <c r="C2389" s="8">
        <v>2</v>
      </c>
      <c r="D2389" s="3" t="s">
        <v>2196</v>
      </c>
      <c r="E2389" s="11" t="s">
        <v>181</v>
      </c>
      <c r="F2389" s="11"/>
      <c r="G2389" s="9"/>
      <c r="H2389" s="11"/>
      <c r="I2389" s="11"/>
      <c r="J2389" s="3" t="str">
        <f t="shared" si="177"/>
        <v>3320009</v>
      </c>
    </row>
    <row r="2390" spans="2:10" s="3" customFormat="1">
      <c r="B2390" s="3" t="s">
        <v>2119</v>
      </c>
      <c r="C2390" s="8">
        <v>2</v>
      </c>
      <c r="D2390" s="3" t="s">
        <v>2196</v>
      </c>
      <c r="E2390" s="11" t="s">
        <v>10</v>
      </c>
      <c r="F2390" s="10">
        <v>3.5599999999999998E-4</v>
      </c>
      <c r="G2390" s="12">
        <f>ROUND(G$3*F2390,0)</f>
        <v>102</v>
      </c>
      <c r="H2390" s="13">
        <f>ROUND(G2390/2,0)</f>
        <v>51</v>
      </c>
      <c r="I2390" s="12">
        <f>G2390-H2390</f>
        <v>51</v>
      </c>
      <c r="J2390" s="3" t="str">
        <f t="shared" si="177"/>
        <v>3320009</v>
      </c>
    </row>
    <row r="2391" spans="2:10" s="3" customFormat="1">
      <c r="B2391" s="3" t="s">
        <v>2119</v>
      </c>
      <c r="C2391" s="8">
        <v>2</v>
      </c>
      <c r="D2391" s="3" t="s">
        <v>2196</v>
      </c>
      <c r="E2391" s="11" t="s">
        <v>11</v>
      </c>
      <c r="F2391" s="10">
        <v>2.0799999999999999E-4</v>
      </c>
      <c r="G2391" s="12">
        <f>ROUND(G$3*F2391,0)</f>
        <v>60</v>
      </c>
      <c r="H2391" s="13">
        <f>ROUND(G2391/2,0)</f>
        <v>30</v>
      </c>
      <c r="I2391" s="12">
        <f>G2391-H2391</f>
        <v>30</v>
      </c>
      <c r="J2391" s="3" t="str">
        <f t="shared" si="177"/>
        <v>3320009</v>
      </c>
    </row>
    <row r="2392" spans="2:10" s="3" customFormat="1">
      <c r="B2392" s="3" t="s">
        <v>2119</v>
      </c>
      <c r="C2392" s="8">
        <v>2</v>
      </c>
      <c r="D2392" s="3" t="s">
        <v>2197</v>
      </c>
      <c r="E2392" s="11" t="s">
        <v>744</v>
      </c>
      <c r="F2392" s="11"/>
      <c r="G2392" s="9"/>
      <c r="H2392" s="11"/>
      <c r="I2392" s="11"/>
      <c r="J2392" s="3" t="str">
        <f t="shared" si="177"/>
        <v>3320010</v>
      </c>
    </row>
    <row r="2393" spans="2:10" s="3" customFormat="1">
      <c r="B2393" s="3" t="s">
        <v>2119</v>
      </c>
      <c r="C2393" s="8">
        <v>2</v>
      </c>
      <c r="D2393" s="3" t="s">
        <v>2197</v>
      </c>
      <c r="E2393" s="11" t="s">
        <v>10</v>
      </c>
      <c r="F2393" s="10">
        <v>8.8800000000000001E-4</v>
      </c>
      <c r="G2393" s="12">
        <f>ROUND(G$3*F2393,0)</f>
        <v>255</v>
      </c>
      <c r="H2393" s="13">
        <f>ROUND(G2393/2,0)</f>
        <v>128</v>
      </c>
      <c r="I2393" s="12">
        <f>G2393-H2393</f>
        <v>127</v>
      </c>
      <c r="J2393" s="3" t="str">
        <f t="shared" si="177"/>
        <v>3320010</v>
      </c>
    </row>
    <row r="2394" spans="2:10" s="3" customFormat="1">
      <c r="B2394" s="3" t="s">
        <v>2119</v>
      </c>
      <c r="C2394" s="8">
        <v>2</v>
      </c>
      <c r="D2394" s="3" t="s">
        <v>2197</v>
      </c>
      <c r="E2394" s="11" t="s">
        <v>11</v>
      </c>
      <c r="F2394" s="10">
        <v>4.2339999999999999E-3</v>
      </c>
      <c r="G2394" s="12">
        <f>ROUND(G$3*F2394,0)</f>
        <v>1218</v>
      </c>
      <c r="H2394" s="13">
        <f>ROUND(G2394/2,0)</f>
        <v>609</v>
      </c>
      <c r="I2394" s="12">
        <f>G2394-H2394</f>
        <v>609</v>
      </c>
      <c r="J2394" s="3" t="str">
        <f t="shared" si="177"/>
        <v>3320010</v>
      </c>
    </row>
    <row r="2395" spans="2:10" s="3" customFormat="1">
      <c r="B2395" s="3" t="s">
        <v>2119</v>
      </c>
      <c r="C2395" s="8">
        <v>2</v>
      </c>
      <c r="D2395" s="3" t="s">
        <v>2198</v>
      </c>
      <c r="E2395" s="11" t="s">
        <v>745</v>
      </c>
      <c r="F2395" s="11"/>
      <c r="G2395" s="9"/>
      <c r="H2395" s="11"/>
      <c r="I2395" s="11"/>
      <c r="J2395" s="3" t="str">
        <f t="shared" si="177"/>
        <v>3320011</v>
      </c>
    </row>
    <row r="2396" spans="2:10" s="3" customFormat="1">
      <c r="B2396" s="3" t="s">
        <v>2119</v>
      </c>
      <c r="C2396" s="8">
        <v>2</v>
      </c>
      <c r="D2396" s="3" t="s">
        <v>2198</v>
      </c>
      <c r="E2396" s="11" t="s">
        <v>10</v>
      </c>
      <c r="F2396" s="10">
        <v>8.1499999999999997E-4</v>
      </c>
      <c r="G2396" s="12">
        <f>ROUND(G$3*F2396,0)</f>
        <v>234</v>
      </c>
      <c r="H2396" s="13">
        <f>ROUND(G2396/2,0)</f>
        <v>117</v>
      </c>
      <c r="I2396" s="12">
        <f>G2396-H2396</f>
        <v>117</v>
      </c>
      <c r="J2396" s="3" t="str">
        <f t="shared" si="177"/>
        <v>3320011</v>
      </c>
    </row>
    <row r="2397" spans="2:10" s="3" customFormat="1">
      <c r="B2397" s="3" t="s">
        <v>2119</v>
      </c>
      <c r="C2397" s="8">
        <v>2</v>
      </c>
      <c r="D2397" s="3" t="s">
        <v>2198</v>
      </c>
      <c r="E2397" s="11" t="s">
        <v>11</v>
      </c>
      <c r="F2397" s="10">
        <v>7.85E-4</v>
      </c>
      <c r="G2397" s="12">
        <f>ROUND(G$3*F2397,0)</f>
        <v>226</v>
      </c>
      <c r="H2397" s="13">
        <f>ROUND(G2397/2,0)</f>
        <v>113</v>
      </c>
      <c r="I2397" s="12">
        <f>G2397-H2397</f>
        <v>113</v>
      </c>
      <c r="J2397" s="3" t="str">
        <f t="shared" si="177"/>
        <v>3320011</v>
      </c>
    </row>
    <row r="2398" spans="2:10" s="3" customFormat="1">
      <c r="B2398" s="3" t="s">
        <v>2119</v>
      </c>
      <c r="C2398" s="8">
        <v>2</v>
      </c>
      <c r="D2398" s="3" t="s">
        <v>2199</v>
      </c>
      <c r="E2398" s="11" t="s">
        <v>746</v>
      </c>
      <c r="F2398" s="11"/>
      <c r="G2398" s="9"/>
      <c r="H2398" s="11"/>
      <c r="I2398" s="11"/>
      <c r="J2398" s="3" t="str">
        <f t="shared" si="177"/>
        <v>3320012</v>
      </c>
    </row>
    <row r="2399" spans="2:10" s="3" customFormat="1">
      <c r="B2399" s="3" t="s">
        <v>2119</v>
      </c>
      <c r="C2399" s="8">
        <v>2</v>
      </c>
      <c r="D2399" s="3" t="s">
        <v>2199</v>
      </c>
      <c r="E2399" s="11" t="s">
        <v>10</v>
      </c>
      <c r="F2399" s="10">
        <v>3.5E-4</v>
      </c>
      <c r="G2399" s="12">
        <f>ROUND(G$3*F2399,0)</f>
        <v>101</v>
      </c>
      <c r="H2399" s="13">
        <f>ROUND(G2399/2,0)</f>
        <v>51</v>
      </c>
      <c r="I2399" s="12">
        <f>G2399-H2399</f>
        <v>50</v>
      </c>
      <c r="J2399" s="3" t="str">
        <f t="shared" si="177"/>
        <v>3320012</v>
      </c>
    </row>
    <row r="2400" spans="2:10" s="3" customFormat="1">
      <c r="B2400" s="3" t="s">
        <v>2119</v>
      </c>
      <c r="C2400" s="8">
        <v>2</v>
      </c>
      <c r="D2400" s="3" t="s">
        <v>2199</v>
      </c>
      <c r="E2400" s="11" t="s">
        <v>11</v>
      </c>
      <c r="F2400" s="10">
        <v>5.71E-4</v>
      </c>
      <c r="G2400" s="12">
        <f>ROUND(G$3*F2400,0)</f>
        <v>164</v>
      </c>
      <c r="H2400" s="13">
        <f>ROUND(G2400/2,0)</f>
        <v>82</v>
      </c>
      <c r="I2400" s="12">
        <f>G2400-H2400</f>
        <v>82</v>
      </c>
      <c r="J2400" s="3" t="str">
        <f t="shared" si="177"/>
        <v>3320012</v>
      </c>
    </row>
    <row r="2401" spans="1:10" s="3" customFormat="1">
      <c r="B2401" s="3" t="s">
        <v>2119</v>
      </c>
      <c r="C2401" s="8">
        <v>2</v>
      </c>
      <c r="D2401" s="3" t="s">
        <v>2208</v>
      </c>
      <c r="E2401" s="11" t="s">
        <v>61</v>
      </c>
      <c r="F2401" s="11"/>
      <c r="G2401" s="9"/>
      <c r="H2401" s="11"/>
      <c r="I2401" s="11"/>
      <c r="J2401" s="3" t="str">
        <f t="shared" si="177"/>
        <v>3320013</v>
      </c>
    </row>
    <row r="2402" spans="1:10" s="3" customFormat="1">
      <c r="B2402" s="3" t="s">
        <v>2119</v>
      </c>
      <c r="C2402" s="8">
        <v>2</v>
      </c>
      <c r="D2402" s="3" t="s">
        <v>2208</v>
      </c>
      <c r="E2402" s="11" t="s">
        <v>10</v>
      </c>
      <c r="F2402" s="10">
        <v>1.199E-3</v>
      </c>
      <c r="G2402" s="12">
        <f t="shared" ref="G2402:G2420" si="178">ROUND(G$3*F2402,0)</f>
        <v>345</v>
      </c>
      <c r="H2402" s="13">
        <f t="shared" ref="H2402:H2420" si="179">ROUND(G2402/2,0)</f>
        <v>173</v>
      </c>
      <c r="I2402" s="12">
        <f t="shared" ref="I2402:I2420" si="180">G2402-H2402</f>
        <v>172</v>
      </c>
      <c r="J2402" s="3" t="str">
        <f t="shared" si="177"/>
        <v>3320013</v>
      </c>
    </row>
    <row r="2403" spans="1:10" s="3" customFormat="1">
      <c r="B2403" s="3" t="s">
        <v>2119</v>
      </c>
      <c r="C2403" s="8">
        <v>2</v>
      </c>
      <c r="D2403" s="3" t="s">
        <v>2208</v>
      </c>
      <c r="E2403" s="11" t="s">
        <v>11</v>
      </c>
      <c r="F2403" s="10">
        <v>7.3999999999999999E-4</v>
      </c>
      <c r="G2403" s="12">
        <f t="shared" si="178"/>
        <v>213</v>
      </c>
      <c r="H2403" s="13">
        <f t="shared" si="179"/>
        <v>107</v>
      </c>
      <c r="I2403" s="12">
        <f t="shared" si="180"/>
        <v>106</v>
      </c>
      <c r="J2403" s="3" t="str">
        <f t="shared" si="177"/>
        <v>3320013</v>
      </c>
    </row>
    <row r="2404" spans="1:10" s="3" customFormat="1">
      <c r="B2404" s="3" t="s">
        <v>2119</v>
      </c>
      <c r="C2404" s="8">
        <v>3</v>
      </c>
      <c r="D2404" s="3" t="s">
        <v>2569</v>
      </c>
      <c r="E2404" s="11" t="s">
        <v>747</v>
      </c>
      <c r="F2404" s="10">
        <v>8.7999999999999998E-5</v>
      </c>
      <c r="G2404" s="12">
        <f t="shared" si="178"/>
        <v>25</v>
      </c>
      <c r="H2404" s="13">
        <f t="shared" si="179"/>
        <v>13</v>
      </c>
      <c r="I2404" s="12">
        <f t="shared" si="180"/>
        <v>12</v>
      </c>
      <c r="J2404" s="3" t="str">
        <f t="shared" si="177"/>
        <v>3330667</v>
      </c>
    </row>
    <row r="2405" spans="1:10" s="3" customFormat="1">
      <c r="A2405" s="3" t="s">
        <v>6269</v>
      </c>
      <c r="B2405" s="3" t="s">
        <v>2119</v>
      </c>
      <c r="C2405" s="8">
        <v>3</v>
      </c>
      <c r="D2405" s="3" t="s">
        <v>2570</v>
      </c>
      <c r="E2405" s="11" t="s">
        <v>748</v>
      </c>
      <c r="F2405" s="10">
        <v>0</v>
      </c>
      <c r="G2405" s="12">
        <f t="shared" si="178"/>
        <v>0</v>
      </c>
      <c r="H2405" s="13">
        <f t="shared" si="179"/>
        <v>0</v>
      </c>
      <c r="I2405" s="12">
        <f t="shared" si="180"/>
        <v>0</v>
      </c>
      <c r="J2405" s="3" t="str">
        <f t="shared" si="177"/>
        <v>3330668</v>
      </c>
    </row>
    <row r="2406" spans="1:10" s="3" customFormat="1">
      <c r="B2406" s="3" t="s">
        <v>2119</v>
      </c>
      <c r="C2406" s="8">
        <v>3</v>
      </c>
      <c r="D2406" s="3" t="s">
        <v>2571</v>
      </c>
      <c r="E2406" s="11" t="s">
        <v>749</v>
      </c>
      <c r="F2406" s="10">
        <v>1.9239999999999999E-3</v>
      </c>
      <c r="G2406" s="12">
        <f t="shared" si="178"/>
        <v>554</v>
      </c>
      <c r="H2406" s="13">
        <f t="shared" si="179"/>
        <v>277</v>
      </c>
      <c r="I2406" s="12">
        <f t="shared" si="180"/>
        <v>277</v>
      </c>
      <c r="J2406" s="3" t="str">
        <f t="shared" si="177"/>
        <v>3330669</v>
      </c>
    </row>
    <row r="2407" spans="1:10" s="3" customFormat="1">
      <c r="A2407" s="3" t="s">
        <v>6269</v>
      </c>
      <c r="B2407" s="3" t="s">
        <v>2119</v>
      </c>
      <c r="C2407" s="8">
        <v>3</v>
      </c>
      <c r="D2407" s="3" t="s">
        <v>2269</v>
      </c>
      <c r="E2407" s="11" t="s">
        <v>750</v>
      </c>
      <c r="F2407" s="10">
        <v>0</v>
      </c>
      <c r="G2407" s="12">
        <f t="shared" si="178"/>
        <v>0</v>
      </c>
      <c r="H2407" s="13">
        <f t="shared" si="179"/>
        <v>0</v>
      </c>
      <c r="I2407" s="12">
        <f t="shared" si="180"/>
        <v>0</v>
      </c>
      <c r="J2407" s="3" t="str">
        <f t="shared" si="177"/>
        <v>3330670</v>
      </c>
    </row>
    <row r="2408" spans="1:10" s="3" customFormat="1">
      <c r="B2408" s="3" t="s">
        <v>2119</v>
      </c>
      <c r="C2408" s="8">
        <v>3</v>
      </c>
      <c r="D2408" s="3" t="s">
        <v>2572</v>
      </c>
      <c r="E2408" s="11" t="s">
        <v>751</v>
      </c>
      <c r="F2408" s="10">
        <v>1.0059999999999999E-3</v>
      </c>
      <c r="G2408" s="12">
        <f t="shared" si="178"/>
        <v>289</v>
      </c>
      <c r="H2408" s="13">
        <f t="shared" si="179"/>
        <v>145</v>
      </c>
      <c r="I2408" s="12">
        <f t="shared" si="180"/>
        <v>144</v>
      </c>
      <c r="J2408" s="3" t="str">
        <f t="shared" si="177"/>
        <v>3330671</v>
      </c>
    </row>
    <row r="2409" spans="1:10" s="3" customFormat="1">
      <c r="B2409" s="3" t="s">
        <v>2119</v>
      </c>
      <c r="C2409" s="8">
        <v>3</v>
      </c>
      <c r="D2409" s="3" t="s">
        <v>2573</v>
      </c>
      <c r="E2409" s="11" t="s">
        <v>752</v>
      </c>
      <c r="F2409" s="10">
        <v>8.5109999999999995E-3</v>
      </c>
      <c r="G2409" s="12">
        <f t="shared" si="178"/>
        <v>2449</v>
      </c>
      <c r="H2409" s="13">
        <f t="shared" si="179"/>
        <v>1225</v>
      </c>
      <c r="I2409" s="12">
        <f t="shared" si="180"/>
        <v>1224</v>
      </c>
      <c r="J2409" s="3" t="str">
        <f t="shared" si="177"/>
        <v>3330672</v>
      </c>
    </row>
    <row r="2410" spans="1:10" s="3" customFormat="1">
      <c r="A2410" s="3" t="s">
        <v>6269</v>
      </c>
      <c r="B2410" s="3" t="s">
        <v>2119</v>
      </c>
      <c r="C2410" s="8">
        <v>3</v>
      </c>
      <c r="D2410" s="3" t="s">
        <v>2574</v>
      </c>
      <c r="E2410" s="11" t="s">
        <v>753</v>
      </c>
      <c r="F2410" s="10">
        <v>0</v>
      </c>
      <c r="G2410" s="12">
        <f t="shared" si="178"/>
        <v>0</v>
      </c>
      <c r="H2410" s="13">
        <f t="shared" si="179"/>
        <v>0</v>
      </c>
      <c r="I2410" s="12">
        <f t="shared" si="180"/>
        <v>0</v>
      </c>
      <c r="J2410" s="3" t="str">
        <f t="shared" si="177"/>
        <v>3330673</v>
      </c>
    </row>
    <row r="2411" spans="1:10" s="3" customFormat="1">
      <c r="B2411" s="3" t="s">
        <v>2119</v>
      </c>
      <c r="C2411" s="8">
        <v>3</v>
      </c>
      <c r="D2411" s="3" t="s">
        <v>2575</v>
      </c>
      <c r="E2411" s="11" t="s">
        <v>754</v>
      </c>
      <c r="F2411" s="10">
        <v>5.1650000000000003E-3</v>
      </c>
      <c r="G2411" s="12">
        <f t="shared" si="178"/>
        <v>1486</v>
      </c>
      <c r="H2411" s="13">
        <f t="shared" si="179"/>
        <v>743</v>
      </c>
      <c r="I2411" s="12">
        <f t="shared" si="180"/>
        <v>743</v>
      </c>
      <c r="J2411" s="3" t="str">
        <f t="shared" si="177"/>
        <v>3330674</v>
      </c>
    </row>
    <row r="2412" spans="1:10" s="3" customFormat="1">
      <c r="B2412" s="3" t="s">
        <v>2119</v>
      </c>
      <c r="C2412" s="8">
        <v>3</v>
      </c>
      <c r="D2412" s="3" t="s">
        <v>2576</v>
      </c>
      <c r="E2412" s="11" t="s">
        <v>755</v>
      </c>
      <c r="F2412" s="10">
        <v>4.86E-4</v>
      </c>
      <c r="G2412" s="12">
        <f t="shared" si="178"/>
        <v>140</v>
      </c>
      <c r="H2412" s="13">
        <f t="shared" si="179"/>
        <v>70</v>
      </c>
      <c r="I2412" s="12">
        <f t="shared" si="180"/>
        <v>70</v>
      </c>
      <c r="J2412" s="3" t="str">
        <f t="shared" si="177"/>
        <v>3330675</v>
      </c>
    </row>
    <row r="2413" spans="1:10" s="3" customFormat="1">
      <c r="A2413" s="3" t="s">
        <v>6269</v>
      </c>
      <c r="B2413" s="3" t="s">
        <v>2119</v>
      </c>
      <c r="C2413" s="8">
        <v>3</v>
      </c>
      <c r="D2413" s="3" t="s">
        <v>2577</v>
      </c>
      <c r="E2413" s="11" t="s">
        <v>756</v>
      </c>
      <c r="F2413" s="10">
        <v>0</v>
      </c>
      <c r="G2413" s="12">
        <f t="shared" si="178"/>
        <v>0</v>
      </c>
      <c r="H2413" s="13">
        <f t="shared" si="179"/>
        <v>0</v>
      </c>
      <c r="I2413" s="12">
        <f t="shared" si="180"/>
        <v>0</v>
      </c>
      <c r="J2413" s="3" t="str">
        <f t="shared" si="177"/>
        <v>3330676</v>
      </c>
    </row>
    <row r="2414" spans="1:10" s="3" customFormat="1">
      <c r="B2414" s="3" t="s">
        <v>2119</v>
      </c>
      <c r="C2414" s="8">
        <v>3</v>
      </c>
      <c r="D2414" s="3" t="s">
        <v>2568</v>
      </c>
      <c r="E2414" s="11" t="s">
        <v>757</v>
      </c>
      <c r="F2414" s="10">
        <v>0.104667</v>
      </c>
      <c r="G2414" s="12">
        <f t="shared" si="178"/>
        <v>30115</v>
      </c>
      <c r="H2414" s="13">
        <f t="shared" si="179"/>
        <v>15058</v>
      </c>
      <c r="I2414" s="12">
        <f t="shared" si="180"/>
        <v>15057</v>
      </c>
      <c r="J2414" s="3" t="str">
        <f t="shared" si="177"/>
        <v>3330203</v>
      </c>
    </row>
    <row r="2415" spans="1:10" s="3" customFormat="1">
      <c r="A2415" s="3" t="s">
        <v>6269</v>
      </c>
      <c r="B2415" s="3" t="s">
        <v>2119</v>
      </c>
      <c r="C2415" s="8">
        <v>3</v>
      </c>
      <c r="D2415" s="3" t="s">
        <v>2526</v>
      </c>
      <c r="E2415" s="11" t="s">
        <v>679</v>
      </c>
      <c r="F2415" s="10">
        <v>0</v>
      </c>
      <c r="G2415" s="12">
        <f t="shared" si="178"/>
        <v>0</v>
      </c>
      <c r="H2415" s="13">
        <f t="shared" si="179"/>
        <v>0</v>
      </c>
      <c r="I2415" s="12">
        <f t="shared" si="180"/>
        <v>0</v>
      </c>
      <c r="J2415" s="3" t="str">
        <f t="shared" si="177"/>
        <v>3330647</v>
      </c>
    </row>
    <row r="2416" spans="1:10" s="3" customFormat="1">
      <c r="B2416" s="3" t="s">
        <v>2119</v>
      </c>
      <c r="C2416" s="8">
        <v>3</v>
      </c>
      <c r="D2416" s="3" t="s">
        <v>2578</v>
      </c>
      <c r="E2416" s="11" t="s">
        <v>758</v>
      </c>
      <c r="F2416" s="10">
        <v>5.6800000000000004E-4</v>
      </c>
      <c r="G2416" s="12">
        <f t="shared" si="178"/>
        <v>163</v>
      </c>
      <c r="H2416" s="13">
        <f t="shared" si="179"/>
        <v>82</v>
      </c>
      <c r="I2416" s="12">
        <f t="shared" si="180"/>
        <v>81</v>
      </c>
      <c r="J2416" s="3" t="str">
        <f t="shared" si="177"/>
        <v>3330677</v>
      </c>
    </row>
    <row r="2417" spans="1:10" s="3" customFormat="1">
      <c r="A2417" s="3" t="s">
        <v>6269</v>
      </c>
      <c r="B2417" s="3" t="s">
        <v>2119</v>
      </c>
      <c r="C2417" s="8">
        <v>3</v>
      </c>
      <c r="D2417" s="3" t="s">
        <v>2579</v>
      </c>
      <c r="E2417" s="11" t="s">
        <v>759</v>
      </c>
      <c r="F2417" s="10">
        <v>0</v>
      </c>
      <c r="G2417" s="12">
        <f t="shared" si="178"/>
        <v>0</v>
      </c>
      <c r="H2417" s="13">
        <f t="shared" si="179"/>
        <v>0</v>
      </c>
      <c r="I2417" s="12">
        <f t="shared" si="180"/>
        <v>0</v>
      </c>
      <c r="J2417" s="3" t="str">
        <f t="shared" si="177"/>
        <v>3330678</v>
      </c>
    </row>
    <row r="2418" spans="1:10" s="3" customFormat="1">
      <c r="B2418" s="3" t="s">
        <v>2119</v>
      </c>
      <c r="C2418" s="8">
        <v>3</v>
      </c>
      <c r="D2418" s="3" t="s">
        <v>2580</v>
      </c>
      <c r="E2418" s="11" t="s">
        <v>760</v>
      </c>
      <c r="F2418" s="10">
        <v>3.3199999999999999E-4</v>
      </c>
      <c r="G2418" s="12">
        <f t="shared" si="178"/>
        <v>96</v>
      </c>
      <c r="H2418" s="13">
        <f t="shared" si="179"/>
        <v>48</v>
      </c>
      <c r="I2418" s="12">
        <f t="shared" si="180"/>
        <v>48</v>
      </c>
      <c r="J2418" s="3" t="str">
        <f t="shared" si="177"/>
        <v>3330679</v>
      </c>
    </row>
    <row r="2419" spans="1:10" s="3" customFormat="1">
      <c r="B2419" s="3" t="s">
        <v>2119</v>
      </c>
      <c r="C2419" s="8">
        <v>3</v>
      </c>
      <c r="D2419" s="116" t="s">
        <v>2581</v>
      </c>
      <c r="E2419" s="11" t="s">
        <v>761</v>
      </c>
      <c r="F2419" s="10">
        <v>9.3599999999999998E-4</v>
      </c>
      <c r="G2419" s="12">
        <f t="shared" si="178"/>
        <v>269</v>
      </c>
      <c r="H2419" s="13">
        <f t="shared" si="179"/>
        <v>135</v>
      </c>
      <c r="I2419" s="12">
        <f t="shared" si="180"/>
        <v>134</v>
      </c>
      <c r="J2419" s="3" t="str">
        <f t="shared" si="177"/>
        <v>3330680</v>
      </c>
    </row>
    <row r="2420" spans="1:10" s="3" customFormat="1">
      <c r="B2420" s="3" t="s">
        <v>2119</v>
      </c>
      <c r="C2420" s="8">
        <v>4</v>
      </c>
      <c r="D2420" s="3" t="s">
        <v>2582</v>
      </c>
      <c r="E2420" s="11" t="s">
        <v>762</v>
      </c>
      <c r="F2420" s="10">
        <v>7.9007999999999995E-2</v>
      </c>
      <c r="G2420" s="9">
        <f t="shared" si="178"/>
        <v>22732</v>
      </c>
      <c r="H2420" s="11">
        <f t="shared" si="179"/>
        <v>11366</v>
      </c>
      <c r="I2420" s="9">
        <f t="shared" si="180"/>
        <v>11366</v>
      </c>
      <c r="J2420" s="3" t="str">
        <f t="shared" si="177"/>
        <v>3343405</v>
      </c>
    </row>
    <row r="2421" spans="1:10" s="3" customFormat="1">
      <c r="B2421" s="3" t="s">
        <v>2119</v>
      </c>
      <c r="C2421" s="8">
        <v>4</v>
      </c>
      <c r="D2421" s="3" t="s">
        <v>2582</v>
      </c>
      <c r="E2421" s="11" t="s">
        <v>28</v>
      </c>
      <c r="F2421" s="11"/>
      <c r="G2421" s="14">
        <v>0.41911999999999999</v>
      </c>
      <c r="H2421" s="11"/>
      <c r="I2421" s="11"/>
      <c r="J2421" s="3" t="str">
        <f t="shared" si="177"/>
        <v>3343405</v>
      </c>
    </row>
    <row r="2422" spans="1:10" s="3" customFormat="1">
      <c r="B2422" s="3" t="s">
        <v>2119</v>
      </c>
      <c r="C2422" s="8">
        <v>4</v>
      </c>
      <c r="D2422" s="3" t="s">
        <v>2582</v>
      </c>
      <c r="E2422" s="11" t="s">
        <v>29</v>
      </c>
      <c r="F2422" s="11"/>
      <c r="G2422" s="15">
        <f>ROUND(G2420*G2421,0)</f>
        <v>9527</v>
      </c>
      <c r="H2422" s="16">
        <f>ROUND(G2422/2,0)</f>
        <v>4764</v>
      </c>
      <c r="I2422" s="15">
        <f>G2422-H2422</f>
        <v>4763</v>
      </c>
      <c r="J2422" s="3" t="str">
        <f t="shared" si="177"/>
        <v>3343405</v>
      </c>
    </row>
    <row r="2423" spans="1:10" s="3" customFormat="1">
      <c r="B2423" s="3" t="s">
        <v>2119</v>
      </c>
      <c r="C2423" s="8">
        <v>4</v>
      </c>
      <c r="D2423" s="3" t="s">
        <v>2582</v>
      </c>
      <c r="E2423" s="11" t="s">
        <v>30</v>
      </c>
      <c r="F2423" s="11"/>
      <c r="G2423" s="12">
        <f>+G2420-G2422</f>
        <v>13205</v>
      </c>
      <c r="H2423" s="13">
        <f>ROUND(G2423/2,0)</f>
        <v>6603</v>
      </c>
      <c r="I2423" s="12">
        <f>G2423-H2423</f>
        <v>6602</v>
      </c>
      <c r="J2423" s="3" t="str">
        <f t="shared" si="177"/>
        <v>3343405</v>
      </c>
    </row>
    <row r="2424" spans="1:10" s="3" customFormat="1">
      <c r="B2424" s="3" t="s">
        <v>2119</v>
      </c>
      <c r="C2424" s="8">
        <v>4</v>
      </c>
      <c r="D2424" s="116" t="s">
        <v>2586</v>
      </c>
      <c r="E2424" s="11" t="s">
        <v>763</v>
      </c>
      <c r="F2424" s="10">
        <v>8.0276E-2</v>
      </c>
      <c r="G2424" s="9">
        <f>ROUND(G$3*F2424,0)</f>
        <v>23097</v>
      </c>
      <c r="H2424" s="11">
        <f>ROUND(G2424/2,0)</f>
        <v>11549</v>
      </c>
      <c r="I2424" s="9">
        <f>G2424-H2424</f>
        <v>11548</v>
      </c>
      <c r="J2424" s="3" t="str">
        <f t="shared" si="177"/>
        <v>3343455</v>
      </c>
    </row>
    <row r="2425" spans="1:10" s="3" customFormat="1">
      <c r="B2425" s="3" t="s">
        <v>2119</v>
      </c>
      <c r="C2425" s="8">
        <v>4</v>
      </c>
      <c r="D2425" s="116" t="s">
        <v>2586</v>
      </c>
      <c r="E2425" s="11" t="s">
        <v>28</v>
      </c>
      <c r="F2425" s="11"/>
      <c r="G2425" s="14">
        <v>0.41227799999999998</v>
      </c>
      <c r="H2425" s="11"/>
      <c r="I2425" s="11"/>
      <c r="J2425" s="3" t="str">
        <f t="shared" si="177"/>
        <v>3343455</v>
      </c>
    </row>
    <row r="2426" spans="1:10" s="3" customFormat="1">
      <c r="B2426" s="3" t="s">
        <v>2119</v>
      </c>
      <c r="C2426" s="8">
        <v>4</v>
      </c>
      <c r="D2426" s="116" t="s">
        <v>2586</v>
      </c>
      <c r="E2426" s="11" t="s">
        <v>29</v>
      </c>
      <c r="F2426" s="11"/>
      <c r="G2426" s="15">
        <f>ROUND(G2424*G2425,0)</f>
        <v>9522</v>
      </c>
      <c r="H2426" s="16">
        <f>ROUND(G2426/2,0)</f>
        <v>4761</v>
      </c>
      <c r="I2426" s="15">
        <f>G2426-H2426</f>
        <v>4761</v>
      </c>
      <c r="J2426" s="3" t="str">
        <f t="shared" si="177"/>
        <v>3343455</v>
      </c>
    </row>
    <row r="2427" spans="1:10" s="3" customFormat="1">
      <c r="B2427" s="3" t="s">
        <v>2119</v>
      </c>
      <c r="C2427" s="8">
        <v>4</v>
      </c>
      <c r="D2427" s="116" t="s">
        <v>2586</v>
      </c>
      <c r="E2427" s="11" t="s">
        <v>30</v>
      </c>
      <c r="F2427" s="11"/>
      <c r="G2427" s="12">
        <f>+G2424-G2426</f>
        <v>13575</v>
      </c>
      <c r="H2427" s="13">
        <f>ROUND(G2427/2,0)</f>
        <v>6788</v>
      </c>
      <c r="I2427" s="12">
        <f>G2427-H2427</f>
        <v>6787</v>
      </c>
      <c r="J2427" s="3" t="str">
        <f t="shared" si="177"/>
        <v>3343455</v>
      </c>
    </row>
    <row r="2428" spans="1:10" s="3" customFormat="1">
      <c r="B2428" s="3" t="s">
        <v>2119</v>
      </c>
      <c r="C2428" s="8">
        <v>4</v>
      </c>
      <c r="D2428" s="3" t="s">
        <v>2588</v>
      </c>
      <c r="E2428" s="11" t="s">
        <v>764</v>
      </c>
      <c r="F2428" s="10">
        <v>4.3369999999999997E-3</v>
      </c>
      <c r="G2428" s="9">
        <f>ROUND(G$3*F2428,0)</f>
        <v>1248</v>
      </c>
      <c r="H2428" s="11">
        <f>ROUND(G2428/2,0)</f>
        <v>624</v>
      </c>
      <c r="I2428" s="9">
        <f>G2428-H2428</f>
        <v>624</v>
      </c>
      <c r="J2428" s="3" t="str">
        <f t="shared" si="177"/>
        <v>3348305</v>
      </c>
    </row>
    <row r="2429" spans="1:10" s="3" customFormat="1">
      <c r="B2429" s="3" t="s">
        <v>2119</v>
      </c>
      <c r="C2429" s="8">
        <v>4</v>
      </c>
      <c r="D2429" s="3" t="s">
        <v>2588</v>
      </c>
      <c r="E2429" s="11" t="s">
        <v>28</v>
      </c>
      <c r="F2429" s="11"/>
      <c r="G2429" s="14">
        <v>0.43467600000000001</v>
      </c>
      <c r="H2429" s="11"/>
      <c r="I2429" s="11"/>
      <c r="J2429" s="3" t="str">
        <f t="shared" si="177"/>
        <v>3348305</v>
      </c>
    </row>
    <row r="2430" spans="1:10" s="3" customFormat="1">
      <c r="B2430" s="3" t="s">
        <v>2119</v>
      </c>
      <c r="C2430" s="8">
        <v>4</v>
      </c>
      <c r="D2430" s="3" t="s">
        <v>2588</v>
      </c>
      <c r="E2430" s="11" t="s">
        <v>29</v>
      </c>
      <c r="F2430" s="11"/>
      <c r="G2430" s="15">
        <f>ROUND(G2428*G2429,0)</f>
        <v>542</v>
      </c>
      <c r="H2430" s="16">
        <f>ROUND(G2430/2,0)</f>
        <v>271</v>
      </c>
      <c r="I2430" s="15">
        <f>G2430-H2430</f>
        <v>271</v>
      </c>
      <c r="J2430" s="3" t="str">
        <f t="shared" si="177"/>
        <v>3348305</v>
      </c>
    </row>
    <row r="2431" spans="1:10" s="3" customFormat="1">
      <c r="B2431" s="3" t="s">
        <v>2119</v>
      </c>
      <c r="C2431" s="8">
        <v>4</v>
      </c>
      <c r="D2431" s="3" t="s">
        <v>2588</v>
      </c>
      <c r="E2431" s="11" t="s">
        <v>30</v>
      </c>
      <c r="F2431" s="11"/>
      <c r="G2431" s="12">
        <f>+G2428-G2430</f>
        <v>706</v>
      </c>
      <c r="H2431" s="13">
        <f>ROUND(G2431/2,0)</f>
        <v>353</v>
      </c>
      <c r="I2431" s="12">
        <f>G2431-H2431</f>
        <v>353</v>
      </c>
      <c r="J2431" s="3" t="str">
        <f t="shared" si="177"/>
        <v>3348305</v>
      </c>
    </row>
    <row r="2432" spans="1:10" s="3" customFormat="1">
      <c r="B2432" s="3" t="s">
        <v>2119</v>
      </c>
      <c r="C2432" s="8">
        <v>4</v>
      </c>
      <c r="D2432" s="3" t="s">
        <v>2585</v>
      </c>
      <c r="E2432" s="11" t="s">
        <v>765</v>
      </c>
      <c r="F2432" s="10">
        <v>0.22870599999999999</v>
      </c>
      <c r="G2432" s="9">
        <f>ROUND(G$3*F2432,0)</f>
        <v>65804</v>
      </c>
      <c r="H2432" s="11">
        <f>ROUND(G2432/2,0)</f>
        <v>32902</v>
      </c>
      <c r="I2432" s="9">
        <f>G2432-H2432</f>
        <v>32902</v>
      </c>
      <c r="J2432" s="3" t="str">
        <f t="shared" si="177"/>
        <v>3343445</v>
      </c>
    </row>
    <row r="2433" spans="2:10" s="3" customFormat="1">
      <c r="B2433" s="3" t="s">
        <v>2119</v>
      </c>
      <c r="C2433" s="8">
        <v>4</v>
      </c>
      <c r="D2433" s="3" t="s">
        <v>2585</v>
      </c>
      <c r="E2433" s="11" t="s">
        <v>28</v>
      </c>
      <c r="F2433" s="11"/>
      <c r="G2433" s="14">
        <v>0.46383000000000002</v>
      </c>
      <c r="H2433" s="11"/>
      <c r="I2433" s="11"/>
      <c r="J2433" s="3" t="str">
        <f t="shared" si="177"/>
        <v>3343445</v>
      </c>
    </row>
    <row r="2434" spans="2:10" s="3" customFormat="1">
      <c r="B2434" s="3" t="s">
        <v>2119</v>
      </c>
      <c r="C2434" s="8">
        <v>4</v>
      </c>
      <c r="D2434" s="3" t="s">
        <v>2585</v>
      </c>
      <c r="E2434" s="11" t="s">
        <v>29</v>
      </c>
      <c r="F2434" s="11"/>
      <c r="G2434" s="15">
        <f>ROUND(G2432*G2433,0)</f>
        <v>30522</v>
      </c>
      <c r="H2434" s="16">
        <f>ROUND(G2434/2,0)</f>
        <v>15261</v>
      </c>
      <c r="I2434" s="15">
        <f>G2434-H2434</f>
        <v>15261</v>
      </c>
      <c r="J2434" s="3" t="str">
        <f t="shared" si="177"/>
        <v>3343445</v>
      </c>
    </row>
    <row r="2435" spans="2:10" s="3" customFormat="1">
      <c r="B2435" s="3" t="s">
        <v>2119</v>
      </c>
      <c r="C2435" s="8">
        <v>4</v>
      </c>
      <c r="D2435" s="3" t="s">
        <v>2585</v>
      </c>
      <c r="E2435" s="11" t="s">
        <v>30</v>
      </c>
      <c r="F2435" s="11"/>
      <c r="G2435" s="12">
        <f>+G2432-G2434</f>
        <v>35282</v>
      </c>
      <c r="H2435" s="13">
        <f>ROUND(G2435/2,0)</f>
        <v>17641</v>
      </c>
      <c r="I2435" s="12">
        <f>G2435-H2435</f>
        <v>17641</v>
      </c>
      <c r="J2435" s="3" t="str">
        <f t="shared" si="177"/>
        <v>3343445</v>
      </c>
    </row>
    <row r="2436" spans="2:10" s="3" customFormat="1">
      <c r="B2436" s="3" t="s">
        <v>2119</v>
      </c>
      <c r="C2436" s="8">
        <v>4</v>
      </c>
      <c r="D2436" s="3" t="s">
        <v>2584</v>
      </c>
      <c r="E2436" s="11" t="s">
        <v>766</v>
      </c>
      <c r="F2436" s="10">
        <v>0.111454</v>
      </c>
      <c r="G2436" s="9">
        <f>ROUND(G$3*F2436,0)</f>
        <v>32068</v>
      </c>
      <c r="H2436" s="11">
        <f>ROUND(G2436/2,0)</f>
        <v>16034</v>
      </c>
      <c r="I2436" s="9">
        <f>G2436-H2436</f>
        <v>16034</v>
      </c>
      <c r="J2436" s="3" t="str">
        <f t="shared" ref="J2436:J2499" si="181">B2436&amp;C2436&amp;D2436</f>
        <v>3343435</v>
      </c>
    </row>
    <row r="2437" spans="2:10" s="3" customFormat="1">
      <c r="B2437" s="3" t="s">
        <v>2119</v>
      </c>
      <c r="C2437" s="8">
        <v>4</v>
      </c>
      <c r="D2437" s="3" t="s">
        <v>2584</v>
      </c>
      <c r="E2437" s="11" t="s">
        <v>28</v>
      </c>
      <c r="F2437" s="11"/>
      <c r="G2437" s="14">
        <v>0.41815600000000003</v>
      </c>
      <c r="H2437" s="11"/>
      <c r="I2437" s="11"/>
      <c r="J2437" s="3" t="str">
        <f t="shared" si="181"/>
        <v>3343435</v>
      </c>
    </row>
    <row r="2438" spans="2:10" s="3" customFormat="1">
      <c r="B2438" s="3" t="s">
        <v>2119</v>
      </c>
      <c r="C2438" s="8">
        <v>4</v>
      </c>
      <c r="D2438" s="3" t="s">
        <v>2584</v>
      </c>
      <c r="E2438" s="11" t="s">
        <v>29</v>
      </c>
      <c r="F2438" s="11"/>
      <c r="G2438" s="15">
        <f>ROUND(G2436*G2437,0)</f>
        <v>13409</v>
      </c>
      <c r="H2438" s="16">
        <f>ROUND(G2438/2,0)</f>
        <v>6705</v>
      </c>
      <c r="I2438" s="15">
        <f>G2438-H2438</f>
        <v>6704</v>
      </c>
      <c r="J2438" s="3" t="str">
        <f t="shared" si="181"/>
        <v>3343435</v>
      </c>
    </row>
    <row r="2439" spans="2:10" s="3" customFormat="1">
      <c r="B2439" s="3" t="s">
        <v>2119</v>
      </c>
      <c r="C2439" s="8">
        <v>4</v>
      </c>
      <c r="D2439" s="3" t="s">
        <v>2584</v>
      </c>
      <c r="E2439" s="11" t="s">
        <v>30</v>
      </c>
      <c r="F2439" s="11"/>
      <c r="G2439" s="12">
        <f>+G2436-G2438</f>
        <v>18659</v>
      </c>
      <c r="H2439" s="13">
        <f>ROUND(G2439/2,0)</f>
        <v>9330</v>
      </c>
      <c r="I2439" s="12">
        <f>G2439-H2439</f>
        <v>9329</v>
      </c>
      <c r="J2439" s="3" t="str">
        <f t="shared" si="181"/>
        <v>3343435</v>
      </c>
    </row>
    <row r="2440" spans="2:10" s="3" customFormat="1">
      <c r="B2440" s="3" t="s">
        <v>2119</v>
      </c>
      <c r="C2440" s="8">
        <v>4</v>
      </c>
      <c r="D2440" s="3" t="s">
        <v>2583</v>
      </c>
      <c r="E2440" s="11" t="s">
        <v>767</v>
      </c>
      <c r="F2440" s="10">
        <v>9.7682000000000005E-2</v>
      </c>
      <c r="G2440" s="9">
        <f>ROUND(G$3*F2440,0)</f>
        <v>28105</v>
      </c>
      <c r="H2440" s="11">
        <f>ROUND(G2440/2,0)</f>
        <v>14053</v>
      </c>
      <c r="I2440" s="9">
        <f>G2440-H2440</f>
        <v>14052</v>
      </c>
      <c r="J2440" s="3" t="str">
        <f t="shared" si="181"/>
        <v>3343415</v>
      </c>
    </row>
    <row r="2441" spans="2:10" s="3" customFormat="1">
      <c r="B2441" s="3" t="s">
        <v>2119</v>
      </c>
      <c r="C2441" s="8">
        <v>4</v>
      </c>
      <c r="D2441" s="3" t="s">
        <v>2583</v>
      </c>
      <c r="E2441" s="11" t="s">
        <v>28</v>
      </c>
      <c r="F2441" s="11"/>
      <c r="G2441" s="14">
        <v>0.48574699999999998</v>
      </c>
      <c r="H2441" s="11"/>
      <c r="I2441" s="11"/>
      <c r="J2441" s="3" t="str">
        <f t="shared" si="181"/>
        <v>3343415</v>
      </c>
    </row>
    <row r="2442" spans="2:10" s="3" customFormat="1">
      <c r="B2442" s="3" t="s">
        <v>2119</v>
      </c>
      <c r="C2442" s="8">
        <v>4</v>
      </c>
      <c r="D2442" s="3" t="s">
        <v>2583</v>
      </c>
      <c r="E2442" s="11" t="s">
        <v>29</v>
      </c>
      <c r="F2442" s="11"/>
      <c r="G2442" s="15">
        <f>ROUND(G2440*G2441,0)</f>
        <v>13652</v>
      </c>
      <c r="H2442" s="16">
        <f>ROUND(G2442/2,0)</f>
        <v>6826</v>
      </c>
      <c r="I2442" s="15">
        <f>G2442-H2442</f>
        <v>6826</v>
      </c>
      <c r="J2442" s="3" t="str">
        <f t="shared" si="181"/>
        <v>3343415</v>
      </c>
    </row>
    <row r="2443" spans="2:10" s="3" customFormat="1">
      <c r="B2443" s="3" t="s">
        <v>2119</v>
      </c>
      <c r="C2443" s="8">
        <v>4</v>
      </c>
      <c r="D2443" s="3" t="s">
        <v>2583</v>
      </c>
      <c r="E2443" s="11" t="s">
        <v>30</v>
      </c>
      <c r="F2443" s="11"/>
      <c r="G2443" s="12">
        <f>+G2440-G2442</f>
        <v>14453</v>
      </c>
      <c r="H2443" s="13">
        <f>ROUND(G2443/2,0)</f>
        <v>7227</v>
      </c>
      <c r="I2443" s="12">
        <f>G2443-H2443</f>
        <v>7226</v>
      </c>
      <c r="J2443" s="3" t="str">
        <f t="shared" si="181"/>
        <v>3343415</v>
      </c>
    </row>
    <row r="2444" spans="2:10" s="3" customFormat="1">
      <c r="B2444" s="3" t="s">
        <v>2119</v>
      </c>
      <c r="C2444" s="8">
        <v>4</v>
      </c>
      <c r="D2444" s="3" t="s">
        <v>2587</v>
      </c>
      <c r="E2444" s="11" t="s">
        <v>768</v>
      </c>
      <c r="F2444" s="10">
        <v>1.0808999999999999E-2</v>
      </c>
      <c r="G2444" s="9">
        <f>ROUND(G$3*F2444,0)</f>
        <v>3110</v>
      </c>
      <c r="H2444" s="11">
        <f>ROUND(G2444/2,0)</f>
        <v>1555</v>
      </c>
      <c r="I2444" s="9">
        <f>G2444-H2444</f>
        <v>1555</v>
      </c>
      <c r="J2444" s="3" t="str">
        <f t="shared" si="181"/>
        <v>3346795</v>
      </c>
    </row>
    <row r="2445" spans="2:10" s="3" customFormat="1">
      <c r="B2445" s="3" t="s">
        <v>2119</v>
      </c>
      <c r="C2445" s="8">
        <v>4</v>
      </c>
      <c r="D2445" s="3" t="s">
        <v>2587</v>
      </c>
      <c r="E2445" s="11" t="s">
        <v>28</v>
      </c>
      <c r="F2445" s="11"/>
      <c r="G2445" s="14">
        <v>0.49706600000000001</v>
      </c>
      <c r="H2445" s="11"/>
      <c r="I2445" s="11"/>
      <c r="J2445" s="3" t="str">
        <f t="shared" si="181"/>
        <v>3346795</v>
      </c>
    </row>
    <row r="2446" spans="2:10" s="3" customFormat="1">
      <c r="B2446" s="3" t="s">
        <v>2119</v>
      </c>
      <c r="C2446" s="8">
        <v>4</v>
      </c>
      <c r="D2446" s="3" t="s">
        <v>2587</v>
      </c>
      <c r="E2446" s="11" t="s">
        <v>29</v>
      </c>
      <c r="F2446" s="11"/>
      <c r="G2446" s="15">
        <f>ROUND(G2444*G2445,0)</f>
        <v>1546</v>
      </c>
      <c r="H2446" s="16">
        <f t="shared" ref="H2446:H2452" si="182">ROUND(G2446/2,0)</f>
        <v>773</v>
      </c>
      <c r="I2446" s="15">
        <f t="shared" ref="I2446:I2452" si="183">G2446-H2446</f>
        <v>773</v>
      </c>
      <c r="J2446" s="3" t="str">
        <f t="shared" si="181"/>
        <v>3346795</v>
      </c>
    </row>
    <row r="2447" spans="2:10" s="3" customFormat="1">
      <c r="B2447" s="3" t="s">
        <v>2119</v>
      </c>
      <c r="C2447" s="8">
        <v>4</v>
      </c>
      <c r="D2447" s="3" t="s">
        <v>2587</v>
      </c>
      <c r="E2447" s="11" t="s">
        <v>30</v>
      </c>
      <c r="F2447" s="11"/>
      <c r="G2447" s="12">
        <f>+G2444-G2446</f>
        <v>1564</v>
      </c>
      <c r="H2447" s="13">
        <f t="shared" si="182"/>
        <v>782</v>
      </c>
      <c r="I2447" s="12">
        <f t="shared" si="183"/>
        <v>782</v>
      </c>
      <c r="J2447" s="3" t="str">
        <f t="shared" si="181"/>
        <v>3346795</v>
      </c>
    </row>
    <row r="2448" spans="2:10" s="3" customFormat="1">
      <c r="B2448" s="3" t="s">
        <v>2119</v>
      </c>
      <c r="C2448" s="8">
        <v>5</v>
      </c>
      <c r="D2448" s="3" t="s">
        <v>4308</v>
      </c>
      <c r="E2448" s="11" t="s">
        <v>769</v>
      </c>
      <c r="F2448" s="10">
        <v>1.0660000000000001E-3</v>
      </c>
      <c r="G2448" s="120">
        <f>ROUND(G$3*F2448,0)</f>
        <v>307</v>
      </c>
      <c r="H2448" s="120">
        <f t="shared" si="182"/>
        <v>154</v>
      </c>
      <c r="I2448" s="120">
        <f t="shared" si="183"/>
        <v>153</v>
      </c>
      <c r="J2448" s="3" t="str">
        <f t="shared" si="181"/>
        <v>3350089</v>
      </c>
    </row>
    <row r="2449" spans="1:10" s="3" customFormat="1">
      <c r="B2449" s="3" t="s">
        <v>2119</v>
      </c>
      <c r="C2449" s="8">
        <v>5</v>
      </c>
      <c r="D2449" s="116" t="s">
        <v>4310</v>
      </c>
      <c r="E2449" s="11" t="s">
        <v>770</v>
      </c>
      <c r="F2449" s="10">
        <v>3.0049999999999999E-3</v>
      </c>
      <c r="G2449" s="120">
        <f>ROUND(G$3*F2449,0)</f>
        <v>865</v>
      </c>
      <c r="H2449" s="120">
        <f t="shared" si="182"/>
        <v>433</v>
      </c>
      <c r="I2449" s="120">
        <f t="shared" si="183"/>
        <v>432</v>
      </c>
      <c r="J2449" s="3" t="str">
        <f t="shared" si="181"/>
        <v>3350090</v>
      </c>
    </row>
    <row r="2450" spans="1:10" s="3" customFormat="1">
      <c r="B2450" s="3" t="s">
        <v>2119</v>
      </c>
      <c r="C2450" s="8">
        <v>5</v>
      </c>
      <c r="D2450" s="3" t="s">
        <v>4314</v>
      </c>
      <c r="E2450" s="11" t="s">
        <v>771</v>
      </c>
      <c r="F2450" s="10">
        <v>2.5302999999999999E-2</v>
      </c>
      <c r="G2450" s="120">
        <f>ROUND(G$3*F2450,0)</f>
        <v>7280</v>
      </c>
      <c r="H2450" s="120">
        <f t="shared" si="182"/>
        <v>3640</v>
      </c>
      <c r="I2450" s="120">
        <f t="shared" si="183"/>
        <v>3640</v>
      </c>
      <c r="J2450" s="3" t="str">
        <f t="shared" si="181"/>
        <v>3350293</v>
      </c>
    </row>
    <row r="2451" spans="1:10" s="3" customFormat="1">
      <c r="B2451" s="3" t="s">
        <v>2119</v>
      </c>
      <c r="C2451" s="8">
        <v>5</v>
      </c>
      <c r="D2451" s="3" t="s">
        <v>2589</v>
      </c>
      <c r="E2451" s="11" t="s">
        <v>772</v>
      </c>
      <c r="F2451" s="10">
        <v>6.1800000000011845E-4</v>
      </c>
      <c r="G2451" s="120">
        <f>+G2359-SUM(G2360:G2361)-SUM(G2366:G2420)-G2424-G2428-G2432-G2436-G2440-G2444-SUM(G2448:G2450)</f>
        <v>14207</v>
      </c>
      <c r="H2451" s="120">
        <f t="shared" si="182"/>
        <v>7104</v>
      </c>
      <c r="I2451" s="120">
        <f t="shared" si="183"/>
        <v>7103</v>
      </c>
      <c r="J2451" s="3" t="str">
        <f t="shared" si="181"/>
        <v>3350091</v>
      </c>
    </row>
    <row r="2452" spans="1:10" s="3" customFormat="1">
      <c r="A2452" s="3" t="s">
        <v>6269</v>
      </c>
      <c r="B2452" s="3" t="s">
        <v>2119</v>
      </c>
      <c r="C2452" s="8">
        <v>6</v>
      </c>
      <c r="D2452" s="3" t="s">
        <v>6267</v>
      </c>
      <c r="E2452" s="11" t="s">
        <v>488</v>
      </c>
      <c r="F2452" s="10">
        <v>0</v>
      </c>
      <c r="G2452" s="120">
        <f>ROUND(G$3*F2452,0)</f>
        <v>0</v>
      </c>
      <c r="H2452" s="120">
        <f t="shared" si="182"/>
        <v>0</v>
      </c>
      <c r="I2452" s="120">
        <f t="shared" si="183"/>
        <v>0</v>
      </c>
      <c r="J2452" s="3" t="str">
        <f t="shared" si="181"/>
        <v>336XXXX</v>
      </c>
    </row>
    <row r="2453" spans="1:10" s="3" customFormat="1">
      <c r="B2453" s="3" t="s">
        <v>2119</v>
      </c>
      <c r="C2453" s="8">
        <v>0</v>
      </c>
      <c r="D2453" s="125" t="s">
        <v>2187</v>
      </c>
      <c r="E2453" s="28" t="s">
        <v>288</v>
      </c>
      <c r="F2453" s="10">
        <v>1</v>
      </c>
      <c r="G2453" s="12">
        <f>+G2360+SUM(G2363:G2419)+SUM(G2422:G2423)+SUM(G2426:G2427)+SUM(G2430:G2431)+SUM(G2434:G2435)+SUM(G2438:G2439)+SUM(G2442:G2443)+SUM(G2446:G2452)</f>
        <v>301751</v>
      </c>
      <c r="H2453" s="12">
        <f>+H2360+SUM(H2363:H2419)+SUM(H2422:H2423)+SUM(H2426:H2427)+SUM(H2430:H2431)+SUM(H2434:H2435)+SUM(H2438:H2439)+SUM(H2442:H2443)+SUM(H2446:H2452)</f>
        <v>150890</v>
      </c>
      <c r="I2453" s="12">
        <f>+I2360+SUM(I2363:I2419)+SUM(I2422:I2423)+SUM(I2426:I2427)+SUM(I2430:I2431)+SUM(I2434:I2435)+SUM(I2438:I2439)+SUM(I2442:I2443)+SUM(I2446:I2452)</f>
        <v>150861</v>
      </c>
      <c r="J2453" s="3" t="str">
        <f t="shared" si="181"/>
        <v>3300000</v>
      </c>
    </row>
    <row r="2454" spans="1:10" s="3" customFormat="1">
      <c r="B2454" s="3" t="s">
        <v>2119</v>
      </c>
      <c r="C2454" s="8">
        <v>0</v>
      </c>
      <c r="D2454" s="3" t="s">
        <v>2187</v>
      </c>
      <c r="E2454" s="18" t="s">
        <v>38</v>
      </c>
      <c r="G2454" s="19">
        <f>+G2360</f>
        <v>307</v>
      </c>
      <c r="H2454" s="19">
        <f>+H2360</f>
        <v>154</v>
      </c>
      <c r="I2454" s="19">
        <f>+I2360</f>
        <v>153</v>
      </c>
      <c r="J2454" s="3" t="str">
        <f t="shared" si="181"/>
        <v>3300000</v>
      </c>
    </row>
    <row r="2455" spans="1:10" s="3" customFormat="1">
      <c r="B2455" s="3" t="s">
        <v>2119</v>
      </c>
      <c r="C2455" s="8">
        <v>0</v>
      </c>
      <c r="D2455" s="3" t="s">
        <v>2187</v>
      </c>
      <c r="E2455" s="2" t="s">
        <v>39</v>
      </c>
      <c r="G2455" s="19">
        <f>+G2363</f>
        <v>14151</v>
      </c>
      <c r="H2455" s="19">
        <f>+H2363</f>
        <v>7076</v>
      </c>
      <c r="I2455" s="19">
        <f>+I2363</f>
        <v>7075</v>
      </c>
      <c r="J2455" s="3" t="str">
        <f t="shared" si="181"/>
        <v>3300000</v>
      </c>
    </row>
    <row r="2456" spans="1:10" s="3" customFormat="1">
      <c r="B2456" s="3" t="s">
        <v>2119</v>
      </c>
      <c r="C2456" s="8">
        <v>0</v>
      </c>
      <c r="D2456" s="3" t="s">
        <v>2187</v>
      </c>
      <c r="E2456" s="2" t="s">
        <v>40</v>
      </c>
      <c r="G2456" s="19">
        <f>+G2422+G2426+G2430+G2434+G2438+G2442+G2446</f>
        <v>78720</v>
      </c>
      <c r="H2456" s="19">
        <f>+H2422+H2426+H2430+H2434+H2438+H2442+H2446</f>
        <v>39361</v>
      </c>
      <c r="I2456" s="19">
        <f>+I2422+I2426+I2430+I2434+I2438+I2442+I2446</f>
        <v>39359</v>
      </c>
      <c r="J2456" s="3" t="str">
        <f t="shared" si="181"/>
        <v>3300000</v>
      </c>
    </row>
    <row r="2457" spans="1:10" s="3" customFormat="1">
      <c r="B2457" s="3" t="s">
        <v>2119</v>
      </c>
      <c r="C2457" s="8">
        <v>0</v>
      </c>
      <c r="D2457" s="125" t="s">
        <v>2187</v>
      </c>
      <c r="E2457" s="18" t="s">
        <v>41</v>
      </c>
      <c r="G2457" s="19">
        <f>+G2453-G2454-G2455-G2456</f>
        <v>208573</v>
      </c>
      <c r="H2457" s="19">
        <f>+H2453-H2454-H2455-H2456</f>
        <v>104299</v>
      </c>
      <c r="I2457" s="19">
        <f>+I2453-I2454-I2455-I2456</f>
        <v>104274</v>
      </c>
      <c r="J2457" s="3" t="str">
        <f t="shared" si="181"/>
        <v>3300000</v>
      </c>
    </row>
    <row r="2458" spans="1:10" ht="15.75">
      <c r="B2458" s="3" t="s">
        <v>2186</v>
      </c>
      <c r="D2458" t="s">
        <v>2186</v>
      </c>
      <c r="E2458">
        <v>0</v>
      </c>
      <c r="G2458"/>
      <c r="H2458"/>
      <c r="I2458"/>
      <c r="J2458" s="3" t="str">
        <f t="shared" si="181"/>
        <v/>
      </c>
    </row>
    <row r="2459" spans="1:10" s="3" customFormat="1">
      <c r="C2459" s="1"/>
      <c r="D2459" s="3" t="s">
        <v>2186</v>
      </c>
      <c r="E2459" s="2" t="s">
        <v>773</v>
      </c>
      <c r="J2459" s="3" t="str">
        <f t="shared" si="181"/>
        <v/>
      </c>
    </row>
    <row r="2460" spans="1:10" s="3" customFormat="1" ht="45">
      <c r="B2460" s="3" t="s">
        <v>2186</v>
      </c>
      <c r="C2460" s="1"/>
      <c r="D2460" s="3" t="s">
        <v>2186</v>
      </c>
      <c r="E2460" s="1">
        <v>0</v>
      </c>
      <c r="F2460" s="6" t="s">
        <v>1</v>
      </c>
      <c r="G2460" s="60">
        <f>'Allocation Worksheet'!H2460</f>
        <v>0</v>
      </c>
      <c r="H2460" s="60">
        <f>'Allocation Worksheet'!H2461</f>
        <v>0</v>
      </c>
      <c r="I2460" s="60">
        <f>'Allocation Worksheet'!H2462</f>
        <v>0</v>
      </c>
      <c r="J2460" s="3" t="str">
        <f t="shared" si="181"/>
        <v/>
      </c>
    </row>
    <row r="2461" spans="1:10" s="3" customFormat="1">
      <c r="C2461" s="7" t="s">
        <v>2087</v>
      </c>
      <c r="D2461" s="3" t="s">
        <v>2186</v>
      </c>
      <c r="E2461" s="7" t="s">
        <v>3</v>
      </c>
      <c r="F2461" s="10"/>
      <c r="G2461" s="9">
        <f>'Allocation Worksheet'!$D$37</f>
        <v>545828</v>
      </c>
      <c r="H2461" s="11"/>
      <c r="I2461" s="11"/>
      <c r="J2461" s="3" t="str">
        <f t="shared" si="181"/>
        <v>UT</v>
      </c>
    </row>
    <row r="2462" spans="1:10" s="3" customFormat="1">
      <c r="B2462" s="3" t="s">
        <v>2120</v>
      </c>
      <c r="C2462" s="8">
        <v>0</v>
      </c>
      <c r="D2462" s="3" t="s">
        <v>2187</v>
      </c>
      <c r="E2462" s="11" t="s">
        <v>4</v>
      </c>
      <c r="F2462" s="10">
        <v>1.114E-3</v>
      </c>
      <c r="G2462" s="12">
        <f>ROUND(G$3*F2462,0)</f>
        <v>321</v>
      </c>
      <c r="H2462" s="13">
        <f>ROUND(G2462/2,0)</f>
        <v>161</v>
      </c>
      <c r="I2462" s="12">
        <f>G2462-H2462</f>
        <v>160</v>
      </c>
      <c r="J2462" s="3" t="str">
        <f t="shared" si="181"/>
        <v>3400000</v>
      </c>
    </row>
    <row r="2463" spans="1:10" s="3" customFormat="1">
      <c r="B2463" s="3" t="s">
        <v>2120</v>
      </c>
      <c r="C2463" s="8">
        <v>1</v>
      </c>
      <c r="D2463" s="3" t="s">
        <v>2187</v>
      </c>
      <c r="E2463" s="11" t="s">
        <v>774</v>
      </c>
      <c r="F2463" s="10">
        <v>0.15896199999999999</v>
      </c>
      <c r="G2463" s="9">
        <f>ROUND(G$3*F2463,0)</f>
        <v>45737</v>
      </c>
      <c r="H2463" s="11">
        <f>ROUND(G2463/2,0)</f>
        <v>22869</v>
      </c>
      <c r="I2463" s="9">
        <f>G2463-H2463</f>
        <v>22868</v>
      </c>
      <c r="J2463" s="3" t="str">
        <f t="shared" si="181"/>
        <v>3410000</v>
      </c>
    </row>
    <row r="2464" spans="1:10" s="3" customFormat="1">
      <c r="B2464" s="3" t="s">
        <v>2120</v>
      </c>
      <c r="C2464" s="8">
        <v>1</v>
      </c>
      <c r="D2464" s="3" t="s">
        <v>2187</v>
      </c>
      <c r="E2464" s="11" t="s">
        <v>6</v>
      </c>
      <c r="F2464" s="11"/>
      <c r="G2464" s="14">
        <v>0.14154900000000001</v>
      </c>
      <c r="H2464" s="11"/>
      <c r="I2464" s="11"/>
      <c r="J2464" s="3" t="str">
        <f t="shared" si="181"/>
        <v>3410000</v>
      </c>
    </row>
    <row r="2465" spans="2:10" s="3" customFormat="1">
      <c r="B2465" s="3" t="s">
        <v>2120</v>
      </c>
      <c r="C2465" s="8">
        <v>1</v>
      </c>
      <c r="D2465" s="3" t="s">
        <v>2187</v>
      </c>
      <c r="E2465" s="11" t="s">
        <v>7</v>
      </c>
      <c r="F2465" s="11"/>
      <c r="G2465" s="15">
        <f>ROUND(G2463*G2464,0)</f>
        <v>6474</v>
      </c>
      <c r="H2465" s="16">
        <f>ROUND(G2465/2,0)</f>
        <v>3237</v>
      </c>
      <c r="I2465" s="15">
        <f>G2465-H2465</f>
        <v>3237</v>
      </c>
      <c r="J2465" s="3" t="str">
        <f t="shared" si="181"/>
        <v>3410000</v>
      </c>
    </row>
    <row r="2466" spans="2:10" s="3" customFormat="1">
      <c r="B2466" s="3" t="s">
        <v>2120</v>
      </c>
      <c r="C2466" s="8">
        <v>1</v>
      </c>
      <c r="D2466" s="3" t="s">
        <v>2187</v>
      </c>
      <c r="E2466" s="11" t="s">
        <v>8</v>
      </c>
      <c r="F2466" s="11"/>
      <c r="G2466" s="12">
        <f>+G2463-G2465</f>
        <v>39263</v>
      </c>
      <c r="H2466" s="13">
        <f>ROUND(G2466/2,0)</f>
        <v>19632</v>
      </c>
      <c r="I2466" s="12">
        <f>G2466-H2466</f>
        <v>19631</v>
      </c>
      <c r="J2466" s="3" t="str">
        <f t="shared" si="181"/>
        <v>3410000</v>
      </c>
    </row>
    <row r="2467" spans="2:10" s="3" customFormat="1">
      <c r="B2467" s="3" t="s">
        <v>2120</v>
      </c>
      <c r="C2467" s="8">
        <v>2</v>
      </c>
      <c r="D2467" s="3" t="s">
        <v>2188</v>
      </c>
      <c r="E2467" s="11" t="s">
        <v>107</v>
      </c>
      <c r="F2467" s="11"/>
      <c r="G2467" s="9"/>
      <c r="H2467" s="11"/>
      <c r="I2467" s="11"/>
      <c r="J2467" s="3" t="str">
        <f t="shared" si="181"/>
        <v>3420001</v>
      </c>
    </row>
    <row r="2468" spans="2:10" s="3" customFormat="1">
      <c r="B2468" s="3" t="s">
        <v>2120</v>
      </c>
      <c r="C2468" s="8">
        <v>2</v>
      </c>
      <c r="D2468" s="3" t="s">
        <v>2188</v>
      </c>
      <c r="E2468" s="11" t="s">
        <v>10</v>
      </c>
      <c r="F2468" s="10">
        <v>2.5999999999999998E-4</v>
      </c>
      <c r="G2468" s="12">
        <f>ROUND(G$3*F2468,0)</f>
        <v>75</v>
      </c>
      <c r="H2468" s="13">
        <f>ROUND(G2468/2,0)</f>
        <v>38</v>
      </c>
      <c r="I2468" s="12">
        <f>G2468-H2468</f>
        <v>37</v>
      </c>
      <c r="J2468" s="3" t="str">
        <f t="shared" si="181"/>
        <v>3420001</v>
      </c>
    </row>
    <row r="2469" spans="2:10" s="3" customFormat="1">
      <c r="B2469" s="3" t="s">
        <v>2120</v>
      </c>
      <c r="C2469" s="8">
        <v>2</v>
      </c>
      <c r="D2469" s="3" t="s">
        <v>2188</v>
      </c>
      <c r="E2469" s="11" t="s">
        <v>11</v>
      </c>
      <c r="F2469" s="10">
        <v>1.2999999999999999E-5</v>
      </c>
      <c r="G2469" s="12">
        <f>ROUND(G$3*F2469,0)</f>
        <v>4</v>
      </c>
      <c r="H2469" s="13">
        <f>ROUND(G2469/2,0)</f>
        <v>2</v>
      </c>
      <c r="I2469" s="12">
        <f>G2469-H2469</f>
        <v>2</v>
      </c>
      <c r="J2469" s="3" t="str">
        <f t="shared" si="181"/>
        <v>3420001</v>
      </c>
    </row>
    <row r="2470" spans="2:10" s="3" customFormat="1">
      <c r="B2470" s="3" t="s">
        <v>2120</v>
      </c>
      <c r="C2470" s="8">
        <v>2</v>
      </c>
      <c r="D2470" s="3" t="s">
        <v>2189</v>
      </c>
      <c r="E2470" s="11" t="s">
        <v>81</v>
      </c>
      <c r="F2470" s="11"/>
      <c r="G2470" s="9"/>
      <c r="H2470" s="11"/>
      <c r="I2470" s="11"/>
      <c r="J2470" s="3" t="str">
        <f t="shared" si="181"/>
        <v>3420002</v>
      </c>
    </row>
    <row r="2471" spans="2:10" s="3" customFormat="1">
      <c r="B2471" s="3" t="s">
        <v>2120</v>
      </c>
      <c r="C2471" s="8">
        <v>2</v>
      </c>
      <c r="D2471" s="3" t="s">
        <v>2189</v>
      </c>
      <c r="E2471" s="11" t="s">
        <v>10</v>
      </c>
      <c r="F2471" s="10">
        <v>1.1E-4</v>
      </c>
      <c r="G2471" s="12">
        <f>ROUND(G$3*F2471,0)</f>
        <v>32</v>
      </c>
      <c r="H2471" s="13">
        <f>ROUND(G2471/2,0)</f>
        <v>16</v>
      </c>
      <c r="I2471" s="12">
        <f>G2471-H2471</f>
        <v>16</v>
      </c>
      <c r="J2471" s="3" t="str">
        <f t="shared" si="181"/>
        <v>3420002</v>
      </c>
    </row>
    <row r="2472" spans="2:10" s="3" customFormat="1">
      <c r="B2472" s="3" t="s">
        <v>2120</v>
      </c>
      <c r="C2472" s="8">
        <v>2</v>
      </c>
      <c r="D2472" s="3" t="s">
        <v>2189</v>
      </c>
      <c r="E2472" s="11" t="s">
        <v>11</v>
      </c>
      <c r="F2472" s="10">
        <v>8.0000000000000007E-5</v>
      </c>
      <c r="G2472" s="12">
        <f>ROUND(G$3*F2472,0)</f>
        <v>23</v>
      </c>
      <c r="H2472" s="13">
        <f>ROUND(G2472/2,0)</f>
        <v>12</v>
      </c>
      <c r="I2472" s="12">
        <f>G2472-H2472</f>
        <v>11</v>
      </c>
      <c r="J2472" s="3" t="str">
        <f t="shared" si="181"/>
        <v>3420002</v>
      </c>
    </row>
    <row r="2473" spans="2:10" s="3" customFormat="1">
      <c r="B2473" s="3" t="s">
        <v>2120</v>
      </c>
      <c r="C2473" s="8">
        <v>2</v>
      </c>
      <c r="D2473" s="3" t="s">
        <v>2190</v>
      </c>
      <c r="E2473" s="11" t="s">
        <v>775</v>
      </c>
      <c r="F2473" s="11"/>
      <c r="G2473" s="9"/>
      <c r="H2473" s="11"/>
      <c r="I2473" s="11"/>
      <c r="J2473" s="3" t="str">
        <f t="shared" si="181"/>
        <v>3420003</v>
      </c>
    </row>
    <row r="2474" spans="2:10" s="3" customFormat="1">
      <c r="B2474" s="3" t="s">
        <v>2120</v>
      </c>
      <c r="C2474" s="8">
        <v>2</v>
      </c>
      <c r="D2474" s="3" t="s">
        <v>2190</v>
      </c>
      <c r="E2474" s="11" t="s">
        <v>10</v>
      </c>
      <c r="F2474" s="10">
        <v>6.29E-4</v>
      </c>
      <c r="G2474" s="12">
        <f>ROUND(G$3*F2474,0)</f>
        <v>181</v>
      </c>
      <c r="H2474" s="13">
        <f>ROUND(G2474/2,0)</f>
        <v>91</v>
      </c>
      <c r="I2474" s="12">
        <f>G2474-H2474</f>
        <v>90</v>
      </c>
      <c r="J2474" s="3" t="str">
        <f t="shared" si="181"/>
        <v>3420003</v>
      </c>
    </row>
    <row r="2475" spans="2:10" s="3" customFormat="1">
      <c r="B2475" s="3" t="s">
        <v>2120</v>
      </c>
      <c r="C2475" s="8">
        <v>2</v>
      </c>
      <c r="D2475" s="3" t="s">
        <v>2190</v>
      </c>
      <c r="E2475" s="11" t="s">
        <v>11</v>
      </c>
      <c r="F2475" s="10">
        <v>4.5399999999999998E-4</v>
      </c>
      <c r="G2475" s="12">
        <f>ROUND(G$3*F2475,0)</f>
        <v>131</v>
      </c>
      <c r="H2475" s="13">
        <f>ROUND(G2475/2,0)</f>
        <v>66</v>
      </c>
      <c r="I2475" s="12">
        <f>G2475-H2475</f>
        <v>65</v>
      </c>
      <c r="J2475" s="3" t="str">
        <f t="shared" si="181"/>
        <v>3420003</v>
      </c>
    </row>
    <row r="2476" spans="2:10" s="3" customFormat="1">
      <c r="B2476" s="3" t="s">
        <v>2120</v>
      </c>
      <c r="C2476" s="8">
        <v>2</v>
      </c>
      <c r="D2476" s="3" t="s">
        <v>2191</v>
      </c>
      <c r="E2476" s="11" t="s">
        <v>86</v>
      </c>
      <c r="F2476" s="11"/>
      <c r="G2476" s="9"/>
      <c r="H2476" s="11"/>
      <c r="I2476" s="11"/>
      <c r="J2476" s="3" t="str">
        <f t="shared" si="181"/>
        <v>3420004</v>
      </c>
    </row>
    <row r="2477" spans="2:10" s="3" customFormat="1">
      <c r="B2477" s="3" t="s">
        <v>2120</v>
      </c>
      <c r="C2477" s="8">
        <v>2</v>
      </c>
      <c r="D2477" s="3" t="s">
        <v>2191</v>
      </c>
      <c r="E2477" s="11" t="s">
        <v>10</v>
      </c>
      <c r="F2477" s="10">
        <v>4.3399999999999998E-4</v>
      </c>
      <c r="G2477" s="12">
        <f>ROUND(G$3*F2477,0)</f>
        <v>125</v>
      </c>
      <c r="H2477" s="13">
        <f>ROUND(G2477/2,0)</f>
        <v>63</v>
      </c>
      <c r="I2477" s="12">
        <f>G2477-H2477</f>
        <v>62</v>
      </c>
      <c r="J2477" s="3" t="str">
        <f t="shared" si="181"/>
        <v>3420004</v>
      </c>
    </row>
    <row r="2478" spans="2:10" s="3" customFormat="1">
      <c r="B2478" s="3" t="s">
        <v>2120</v>
      </c>
      <c r="C2478" s="8">
        <v>2</v>
      </c>
      <c r="D2478" s="3" t="s">
        <v>2191</v>
      </c>
      <c r="E2478" s="11" t="s">
        <v>11</v>
      </c>
      <c r="F2478" s="10">
        <v>1.9699999999999999E-4</v>
      </c>
      <c r="G2478" s="12">
        <f>ROUND(G$3*F2478,0)</f>
        <v>57</v>
      </c>
      <c r="H2478" s="13">
        <f>ROUND(G2478/2,0)</f>
        <v>29</v>
      </c>
      <c r="I2478" s="12">
        <f>G2478-H2478</f>
        <v>28</v>
      </c>
      <c r="J2478" s="3" t="str">
        <f t="shared" si="181"/>
        <v>3420004</v>
      </c>
    </row>
    <row r="2479" spans="2:10" s="3" customFormat="1">
      <c r="B2479" s="3" t="s">
        <v>2120</v>
      </c>
      <c r="C2479" s="8">
        <v>2</v>
      </c>
      <c r="D2479" s="3" t="s">
        <v>2192</v>
      </c>
      <c r="E2479" s="11" t="s">
        <v>776</v>
      </c>
      <c r="F2479" s="11"/>
      <c r="G2479" s="9"/>
      <c r="H2479" s="11"/>
      <c r="I2479" s="11"/>
      <c r="J2479" s="3" t="str">
        <f t="shared" si="181"/>
        <v>3420005</v>
      </c>
    </row>
    <row r="2480" spans="2:10" s="3" customFormat="1">
      <c r="B2480" s="3" t="s">
        <v>2120</v>
      </c>
      <c r="C2480" s="8">
        <v>2</v>
      </c>
      <c r="D2480" s="3" t="s">
        <v>2192</v>
      </c>
      <c r="E2480" s="11" t="s">
        <v>10</v>
      </c>
      <c r="F2480" s="10">
        <v>3.5599999999999998E-4</v>
      </c>
      <c r="G2480" s="12">
        <f>ROUND(G$3*F2480,0)</f>
        <v>102</v>
      </c>
      <c r="H2480" s="13">
        <f>ROUND(G2480/2,0)</f>
        <v>51</v>
      </c>
      <c r="I2480" s="12">
        <f>G2480-H2480</f>
        <v>51</v>
      </c>
      <c r="J2480" s="3" t="str">
        <f t="shared" si="181"/>
        <v>3420005</v>
      </c>
    </row>
    <row r="2481" spans="2:10" s="3" customFormat="1">
      <c r="B2481" s="3" t="s">
        <v>2120</v>
      </c>
      <c r="C2481" s="8">
        <v>2</v>
      </c>
      <c r="D2481" s="3" t="s">
        <v>2192</v>
      </c>
      <c r="E2481" s="11" t="s">
        <v>11</v>
      </c>
      <c r="F2481" s="10">
        <v>1.9699999999999999E-4</v>
      </c>
      <c r="G2481" s="12">
        <f>ROUND(G$3*F2481,0)</f>
        <v>57</v>
      </c>
      <c r="H2481" s="13">
        <f>ROUND(G2481/2,0)</f>
        <v>29</v>
      </c>
      <c r="I2481" s="12">
        <f>G2481-H2481</f>
        <v>28</v>
      </c>
      <c r="J2481" s="3" t="str">
        <f t="shared" si="181"/>
        <v>3420005</v>
      </c>
    </row>
    <row r="2482" spans="2:10" s="3" customFormat="1">
      <c r="B2482" s="3" t="s">
        <v>2120</v>
      </c>
      <c r="C2482" s="8">
        <v>2</v>
      </c>
      <c r="D2482" s="3" t="s">
        <v>2193</v>
      </c>
      <c r="E2482" s="11" t="s">
        <v>777</v>
      </c>
      <c r="F2482" s="11"/>
      <c r="G2482" s="9"/>
      <c r="H2482" s="11"/>
      <c r="I2482" s="11"/>
      <c r="J2482" s="3" t="str">
        <f t="shared" si="181"/>
        <v>3420006</v>
      </c>
    </row>
    <row r="2483" spans="2:10" s="3" customFormat="1">
      <c r="B2483" s="3" t="s">
        <v>2120</v>
      </c>
      <c r="C2483" s="8">
        <v>2</v>
      </c>
      <c r="D2483" s="3" t="s">
        <v>2193</v>
      </c>
      <c r="E2483" s="11" t="s">
        <v>10</v>
      </c>
      <c r="F2483" s="10">
        <v>1.25E-4</v>
      </c>
      <c r="G2483" s="12">
        <f>ROUND(G$3*F2483,0)</f>
        <v>36</v>
      </c>
      <c r="H2483" s="13">
        <f>ROUND(G2483/2,0)</f>
        <v>18</v>
      </c>
      <c r="I2483" s="12">
        <f>G2483-H2483</f>
        <v>18</v>
      </c>
      <c r="J2483" s="3" t="str">
        <f t="shared" si="181"/>
        <v>3420006</v>
      </c>
    </row>
    <row r="2484" spans="2:10" s="3" customFormat="1">
      <c r="B2484" s="3" t="s">
        <v>2120</v>
      </c>
      <c r="C2484" s="8">
        <v>2</v>
      </c>
      <c r="D2484" s="3" t="s">
        <v>2193</v>
      </c>
      <c r="E2484" s="11" t="s">
        <v>11</v>
      </c>
      <c r="F2484" s="10">
        <v>7.4999999999999993E-5</v>
      </c>
      <c r="G2484" s="12">
        <f>ROUND(G$3*F2484,0)</f>
        <v>22</v>
      </c>
      <c r="H2484" s="13">
        <f>ROUND(G2484/2,0)</f>
        <v>11</v>
      </c>
      <c r="I2484" s="12">
        <f>G2484-H2484</f>
        <v>11</v>
      </c>
      <c r="J2484" s="3" t="str">
        <f t="shared" si="181"/>
        <v>3420006</v>
      </c>
    </row>
    <row r="2485" spans="2:10" s="3" customFormat="1">
      <c r="B2485" s="3" t="s">
        <v>2120</v>
      </c>
      <c r="C2485" s="8">
        <v>2</v>
      </c>
      <c r="D2485" s="3" t="s">
        <v>2194</v>
      </c>
      <c r="E2485" s="11" t="s">
        <v>49</v>
      </c>
      <c r="F2485" s="11"/>
      <c r="G2485" s="9"/>
      <c r="H2485" s="11"/>
      <c r="I2485" s="11"/>
      <c r="J2485" s="3" t="str">
        <f t="shared" si="181"/>
        <v>3420007</v>
      </c>
    </row>
    <row r="2486" spans="2:10" s="3" customFormat="1">
      <c r="B2486" s="3" t="s">
        <v>2120</v>
      </c>
      <c r="C2486" s="8">
        <v>2</v>
      </c>
      <c r="D2486" s="3" t="s">
        <v>2194</v>
      </c>
      <c r="E2486" s="11" t="s">
        <v>10</v>
      </c>
      <c r="F2486" s="10">
        <v>1.8900000000000001E-4</v>
      </c>
      <c r="G2486" s="12">
        <f>ROUND(G$3*F2486,0)</f>
        <v>54</v>
      </c>
      <c r="H2486" s="13">
        <f>ROUND(G2486/2,0)</f>
        <v>27</v>
      </c>
      <c r="I2486" s="12">
        <f>G2486-H2486</f>
        <v>27</v>
      </c>
      <c r="J2486" s="3" t="str">
        <f t="shared" si="181"/>
        <v>3420007</v>
      </c>
    </row>
    <row r="2487" spans="2:10" s="3" customFormat="1">
      <c r="B2487" s="3" t="s">
        <v>2120</v>
      </c>
      <c r="C2487" s="8">
        <v>2</v>
      </c>
      <c r="D2487" s="3" t="s">
        <v>2194</v>
      </c>
      <c r="E2487" s="11" t="s">
        <v>11</v>
      </c>
      <c r="F2487" s="10">
        <v>1.0399999999999999E-4</v>
      </c>
      <c r="G2487" s="12">
        <f>ROUND(G$3*F2487,0)</f>
        <v>30</v>
      </c>
      <c r="H2487" s="13">
        <f>ROUND(G2487/2,0)</f>
        <v>15</v>
      </c>
      <c r="I2487" s="12">
        <f>G2487-H2487</f>
        <v>15</v>
      </c>
      <c r="J2487" s="3" t="str">
        <f t="shared" si="181"/>
        <v>3420007</v>
      </c>
    </row>
    <row r="2488" spans="2:10" s="3" customFormat="1">
      <c r="B2488" s="3" t="s">
        <v>2120</v>
      </c>
      <c r="C2488" s="8">
        <v>2</v>
      </c>
      <c r="D2488" s="3" t="s">
        <v>2195</v>
      </c>
      <c r="E2488" s="11" t="s">
        <v>181</v>
      </c>
      <c r="F2488" s="11"/>
      <c r="G2488" s="9"/>
      <c r="H2488" s="11"/>
      <c r="I2488" s="11"/>
      <c r="J2488" s="3" t="str">
        <f t="shared" si="181"/>
        <v>3420008</v>
      </c>
    </row>
    <row r="2489" spans="2:10" s="3" customFormat="1">
      <c r="B2489" s="3" t="s">
        <v>2120</v>
      </c>
      <c r="C2489" s="8">
        <v>2</v>
      </c>
      <c r="D2489" s="3" t="s">
        <v>2195</v>
      </c>
      <c r="E2489" s="11" t="s">
        <v>10</v>
      </c>
      <c r="F2489" s="10">
        <v>1.8900000000000001E-4</v>
      </c>
      <c r="G2489" s="12">
        <f>ROUND(G$3*F2489,0)</f>
        <v>54</v>
      </c>
      <c r="H2489" s="13">
        <f>ROUND(G2489/2,0)</f>
        <v>27</v>
      </c>
      <c r="I2489" s="12">
        <f>G2489-H2489</f>
        <v>27</v>
      </c>
      <c r="J2489" s="3" t="str">
        <f t="shared" si="181"/>
        <v>3420008</v>
      </c>
    </row>
    <row r="2490" spans="2:10" s="3" customFormat="1">
      <c r="B2490" s="3" t="s">
        <v>2120</v>
      </c>
      <c r="C2490" s="8">
        <v>2</v>
      </c>
      <c r="D2490" s="3" t="s">
        <v>2195</v>
      </c>
      <c r="E2490" s="11" t="s">
        <v>11</v>
      </c>
      <c r="F2490" s="10">
        <v>1.15E-4</v>
      </c>
      <c r="G2490" s="12">
        <f>ROUND(G$3*F2490,0)</f>
        <v>33</v>
      </c>
      <c r="H2490" s="13">
        <f>ROUND(G2490/2,0)</f>
        <v>17</v>
      </c>
      <c r="I2490" s="12">
        <f>G2490-H2490</f>
        <v>16</v>
      </c>
      <c r="J2490" s="3" t="str">
        <f t="shared" si="181"/>
        <v>3420008</v>
      </c>
    </row>
    <row r="2491" spans="2:10" s="3" customFormat="1">
      <c r="B2491" s="3" t="s">
        <v>2120</v>
      </c>
      <c r="C2491" s="8">
        <v>2</v>
      </c>
      <c r="D2491" s="3" t="s">
        <v>2196</v>
      </c>
      <c r="E2491" s="11" t="s">
        <v>16</v>
      </c>
      <c r="F2491" s="11"/>
      <c r="G2491" s="9"/>
      <c r="H2491" s="11"/>
      <c r="I2491" s="11"/>
      <c r="J2491" s="3" t="str">
        <f t="shared" si="181"/>
        <v>3420009</v>
      </c>
    </row>
    <row r="2492" spans="2:10" s="3" customFormat="1">
      <c r="B2492" s="3" t="s">
        <v>2120</v>
      </c>
      <c r="C2492" s="8">
        <v>2</v>
      </c>
      <c r="D2492" s="3" t="s">
        <v>2196</v>
      </c>
      <c r="E2492" s="11" t="s">
        <v>10</v>
      </c>
      <c r="F2492" s="10">
        <v>2.5999999999999998E-4</v>
      </c>
      <c r="G2492" s="12">
        <f>ROUND(G$3*F2492,0)</f>
        <v>75</v>
      </c>
      <c r="H2492" s="13">
        <f>ROUND(G2492/2,0)</f>
        <v>38</v>
      </c>
      <c r="I2492" s="12">
        <f>G2492-H2492</f>
        <v>37</v>
      </c>
      <c r="J2492" s="3" t="str">
        <f t="shared" si="181"/>
        <v>3420009</v>
      </c>
    </row>
    <row r="2493" spans="2:10" s="3" customFormat="1">
      <c r="B2493" s="3" t="s">
        <v>2120</v>
      </c>
      <c r="C2493" s="8">
        <v>2</v>
      </c>
      <c r="D2493" s="3" t="s">
        <v>2196</v>
      </c>
      <c r="E2493" s="11" t="s">
        <v>11</v>
      </c>
      <c r="F2493" s="10">
        <v>1.37E-4</v>
      </c>
      <c r="G2493" s="12">
        <f>ROUND(G$3*F2493,0)</f>
        <v>39</v>
      </c>
      <c r="H2493" s="13">
        <f>ROUND(G2493/2,0)</f>
        <v>20</v>
      </c>
      <c r="I2493" s="12">
        <f>G2493-H2493</f>
        <v>19</v>
      </c>
      <c r="J2493" s="3" t="str">
        <f t="shared" si="181"/>
        <v>3420009</v>
      </c>
    </row>
    <row r="2494" spans="2:10" s="3" customFormat="1">
      <c r="B2494" s="3" t="s">
        <v>2120</v>
      </c>
      <c r="C2494" s="8">
        <v>2</v>
      </c>
      <c r="D2494" s="3" t="s">
        <v>2197</v>
      </c>
      <c r="E2494" s="11" t="s">
        <v>627</v>
      </c>
      <c r="F2494" s="11"/>
      <c r="G2494" s="9"/>
      <c r="H2494" s="11"/>
      <c r="I2494" s="11"/>
      <c r="J2494" s="3" t="str">
        <f t="shared" si="181"/>
        <v>3420010</v>
      </c>
    </row>
    <row r="2495" spans="2:10" s="3" customFormat="1">
      <c r="B2495" s="3" t="s">
        <v>2120</v>
      </c>
      <c r="C2495" s="8">
        <v>2</v>
      </c>
      <c r="D2495" s="3" t="s">
        <v>2197</v>
      </c>
      <c r="E2495" s="11" t="s">
        <v>10</v>
      </c>
      <c r="F2495" s="10">
        <v>5.7300000000000005E-4</v>
      </c>
      <c r="G2495" s="12">
        <f>ROUND(G$3*F2495,0)</f>
        <v>165</v>
      </c>
      <c r="H2495" s="13">
        <f>ROUND(G2495/2,0)</f>
        <v>83</v>
      </c>
      <c r="I2495" s="12">
        <f>G2495-H2495</f>
        <v>82</v>
      </c>
      <c r="J2495" s="3" t="str">
        <f t="shared" si="181"/>
        <v>3420010</v>
      </c>
    </row>
    <row r="2496" spans="2:10" s="3" customFormat="1">
      <c r="B2496" s="3" t="s">
        <v>2120</v>
      </c>
      <c r="C2496" s="8">
        <v>2</v>
      </c>
      <c r="D2496" s="3" t="s">
        <v>2197</v>
      </c>
      <c r="E2496" s="11" t="s">
        <v>11</v>
      </c>
      <c r="F2496" s="10">
        <v>6.1399999999999996E-4</v>
      </c>
      <c r="G2496" s="12">
        <f>ROUND(G$3*F2496,0)</f>
        <v>177</v>
      </c>
      <c r="H2496" s="13">
        <f>ROUND(G2496/2,0)</f>
        <v>89</v>
      </c>
      <c r="I2496" s="12">
        <f>G2496-H2496</f>
        <v>88</v>
      </c>
      <c r="J2496" s="3" t="str">
        <f t="shared" si="181"/>
        <v>3420010</v>
      </c>
    </row>
    <row r="2497" spans="2:10" s="3" customFormat="1">
      <c r="B2497" s="3" t="s">
        <v>2120</v>
      </c>
      <c r="C2497" s="8">
        <v>2</v>
      </c>
      <c r="D2497" s="3" t="s">
        <v>2198</v>
      </c>
      <c r="E2497" s="11" t="s">
        <v>20</v>
      </c>
      <c r="F2497" s="11"/>
      <c r="G2497" s="9"/>
      <c r="H2497" s="11"/>
      <c r="I2497" s="11"/>
      <c r="J2497" s="3" t="str">
        <f t="shared" si="181"/>
        <v>3420011</v>
      </c>
    </row>
    <row r="2498" spans="2:10" s="3" customFormat="1">
      <c r="B2498" s="3" t="s">
        <v>2120</v>
      </c>
      <c r="C2498" s="8">
        <v>2</v>
      </c>
      <c r="D2498" s="3" t="s">
        <v>2198</v>
      </c>
      <c r="E2498" s="11" t="s">
        <v>10</v>
      </c>
      <c r="F2498" s="10">
        <v>3.1399999999999999E-4</v>
      </c>
      <c r="G2498" s="12">
        <f t="shared" ref="G2498:G2503" si="184">ROUND(G$3*F2498,0)</f>
        <v>90</v>
      </c>
      <c r="H2498" s="13">
        <f t="shared" ref="H2498:H2503" si="185">ROUND(G2498/2,0)</f>
        <v>45</v>
      </c>
      <c r="I2498" s="12">
        <f t="shared" ref="I2498:I2503" si="186">G2498-H2498</f>
        <v>45</v>
      </c>
      <c r="J2498" s="3" t="str">
        <f t="shared" si="181"/>
        <v>3420011</v>
      </c>
    </row>
    <row r="2499" spans="2:10" s="3" customFormat="1">
      <c r="B2499" s="3" t="s">
        <v>2120</v>
      </c>
      <c r="C2499" s="8">
        <v>2</v>
      </c>
      <c r="D2499" s="3" t="s">
        <v>2198</v>
      </c>
      <c r="E2499" s="11" t="s">
        <v>11</v>
      </c>
      <c r="F2499" s="10">
        <v>1.5200000000000001E-4</v>
      </c>
      <c r="G2499" s="12">
        <f t="shared" si="184"/>
        <v>44</v>
      </c>
      <c r="H2499" s="13">
        <f t="shared" si="185"/>
        <v>22</v>
      </c>
      <c r="I2499" s="12">
        <f t="shared" si="186"/>
        <v>22</v>
      </c>
      <c r="J2499" s="3" t="str">
        <f t="shared" si="181"/>
        <v>3420011</v>
      </c>
    </row>
    <row r="2500" spans="2:10" s="3" customFormat="1">
      <c r="B2500" s="3" t="s">
        <v>2120</v>
      </c>
      <c r="C2500" s="8">
        <v>3</v>
      </c>
      <c r="D2500" s="3" t="s">
        <v>2591</v>
      </c>
      <c r="E2500" s="11" t="s">
        <v>778</v>
      </c>
      <c r="F2500" s="10">
        <v>9.7799999999999992E-4</v>
      </c>
      <c r="G2500" s="12">
        <f t="shared" si="184"/>
        <v>281</v>
      </c>
      <c r="H2500" s="13">
        <f t="shared" si="185"/>
        <v>141</v>
      </c>
      <c r="I2500" s="12">
        <f t="shared" si="186"/>
        <v>140</v>
      </c>
      <c r="J2500" s="3" t="str">
        <f t="shared" ref="J2500:J2563" si="187">B2500&amp;C2500&amp;D2500</f>
        <v>3430681</v>
      </c>
    </row>
    <row r="2501" spans="2:10" s="3" customFormat="1">
      <c r="B2501" s="3" t="s">
        <v>2120</v>
      </c>
      <c r="C2501" s="8">
        <v>3</v>
      </c>
      <c r="D2501" s="3" t="s">
        <v>2590</v>
      </c>
      <c r="E2501" s="11" t="s">
        <v>779</v>
      </c>
      <c r="F2501" s="10">
        <v>0.24615400000000001</v>
      </c>
      <c r="G2501" s="12">
        <f t="shared" si="184"/>
        <v>70824</v>
      </c>
      <c r="H2501" s="13">
        <f t="shared" si="185"/>
        <v>35412</v>
      </c>
      <c r="I2501" s="12">
        <f t="shared" si="186"/>
        <v>35412</v>
      </c>
      <c r="J2501" s="3" t="str">
        <f t="shared" si="187"/>
        <v>3430110</v>
      </c>
    </row>
    <row r="2502" spans="2:10" s="3" customFormat="1">
      <c r="B2502" s="3" t="s">
        <v>2120</v>
      </c>
      <c r="C2502" s="8">
        <v>3</v>
      </c>
      <c r="D2502" s="3" t="s">
        <v>2592</v>
      </c>
      <c r="E2502" s="11" t="s">
        <v>780</v>
      </c>
      <c r="F2502" s="10">
        <v>1.3159999999999999E-3</v>
      </c>
      <c r="G2502" s="12">
        <f t="shared" si="184"/>
        <v>379</v>
      </c>
      <c r="H2502" s="13">
        <f t="shared" si="185"/>
        <v>190</v>
      </c>
      <c r="I2502" s="12">
        <f t="shared" si="186"/>
        <v>189</v>
      </c>
      <c r="J2502" s="3" t="str">
        <f t="shared" si="187"/>
        <v>3430682</v>
      </c>
    </row>
    <row r="2503" spans="2:10" s="3" customFormat="1">
      <c r="B2503" s="3" t="s">
        <v>2120</v>
      </c>
      <c r="C2503" s="8">
        <v>4</v>
      </c>
      <c r="D2503" s="116" t="s">
        <v>2595</v>
      </c>
      <c r="E2503" s="11" t="s">
        <v>781</v>
      </c>
      <c r="F2503" s="10">
        <v>5.4828000000000002E-2</v>
      </c>
      <c r="G2503" s="9">
        <f t="shared" si="184"/>
        <v>15775</v>
      </c>
      <c r="H2503" s="11">
        <f t="shared" si="185"/>
        <v>7888</v>
      </c>
      <c r="I2503" s="9">
        <f t="shared" si="186"/>
        <v>7887</v>
      </c>
      <c r="J2503" s="3" t="str">
        <f t="shared" si="187"/>
        <v>3443480</v>
      </c>
    </row>
    <row r="2504" spans="2:10" s="3" customFormat="1">
      <c r="B2504" s="3" t="s">
        <v>2120</v>
      </c>
      <c r="C2504" s="8">
        <v>4</v>
      </c>
      <c r="D2504" s="116" t="s">
        <v>2595</v>
      </c>
      <c r="E2504" s="11" t="s">
        <v>28</v>
      </c>
      <c r="F2504" s="11"/>
      <c r="G2504" s="14">
        <v>0.38406200000000001</v>
      </c>
      <c r="H2504" s="11"/>
      <c r="I2504" s="11"/>
      <c r="J2504" s="3" t="str">
        <f t="shared" si="187"/>
        <v>3443480</v>
      </c>
    </row>
    <row r="2505" spans="2:10" s="3" customFormat="1">
      <c r="B2505" s="3" t="s">
        <v>2120</v>
      </c>
      <c r="C2505" s="8">
        <v>4</v>
      </c>
      <c r="D2505" s="116" t="s">
        <v>2595</v>
      </c>
      <c r="E2505" s="11" t="s">
        <v>29</v>
      </c>
      <c r="F2505" s="11"/>
      <c r="G2505" s="15">
        <f>ROUND(G2503*G2504,0)</f>
        <v>6059</v>
      </c>
      <c r="H2505" s="16">
        <f>ROUND(G2505/2,0)</f>
        <v>3030</v>
      </c>
      <c r="I2505" s="15">
        <f>G2505-H2505</f>
        <v>3029</v>
      </c>
      <c r="J2505" s="3" t="str">
        <f t="shared" si="187"/>
        <v>3443480</v>
      </c>
    </row>
    <row r="2506" spans="2:10" s="3" customFormat="1">
      <c r="B2506" s="3" t="s">
        <v>2120</v>
      </c>
      <c r="C2506" s="8">
        <v>4</v>
      </c>
      <c r="D2506" s="116" t="s">
        <v>2595</v>
      </c>
      <c r="E2506" s="11" t="s">
        <v>30</v>
      </c>
      <c r="F2506" s="11"/>
      <c r="G2506" s="12">
        <f>+G2503-G2505</f>
        <v>9716</v>
      </c>
      <c r="H2506" s="13">
        <f>ROUND(G2506/2,0)</f>
        <v>4858</v>
      </c>
      <c r="I2506" s="12">
        <f>G2506-H2506</f>
        <v>4858</v>
      </c>
      <c r="J2506" s="3" t="str">
        <f t="shared" si="187"/>
        <v>3443480</v>
      </c>
    </row>
    <row r="2507" spans="2:10" s="3" customFormat="1">
      <c r="B2507" s="3" t="s">
        <v>2120</v>
      </c>
      <c r="C2507" s="8">
        <v>4</v>
      </c>
      <c r="D2507" s="116" t="s">
        <v>2597</v>
      </c>
      <c r="E2507" s="11" t="s">
        <v>782</v>
      </c>
      <c r="F2507" s="10">
        <v>0.36520999999999998</v>
      </c>
      <c r="G2507" s="9">
        <f>ROUND(G$3*F2507,0)</f>
        <v>105079</v>
      </c>
      <c r="H2507" s="11">
        <f>ROUND(G2507/2,0)</f>
        <v>52540</v>
      </c>
      <c r="I2507" s="9">
        <f>G2507-H2507</f>
        <v>52539</v>
      </c>
      <c r="J2507" s="3" t="str">
        <f t="shared" si="187"/>
        <v>3443500</v>
      </c>
    </row>
    <row r="2508" spans="2:10" s="3" customFormat="1">
      <c r="B2508" s="3" t="s">
        <v>2120</v>
      </c>
      <c r="C2508" s="8">
        <v>4</v>
      </c>
      <c r="D2508" s="116" t="s">
        <v>2597</v>
      </c>
      <c r="E2508" s="11" t="s">
        <v>28</v>
      </c>
      <c r="F2508" s="11"/>
      <c r="G2508" s="14">
        <v>0.55304299999999995</v>
      </c>
      <c r="H2508" s="11"/>
      <c r="I2508" s="11"/>
      <c r="J2508" s="3" t="str">
        <f t="shared" si="187"/>
        <v>3443500</v>
      </c>
    </row>
    <row r="2509" spans="2:10" s="3" customFormat="1">
      <c r="B2509" s="3" t="s">
        <v>2120</v>
      </c>
      <c r="C2509" s="8">
        <v>4</v>
      </c>
      <c r="D2509" s="116" t="s">
        <v>2597</v>
      </c>
      <c r="E2509" s="11" t="s">
        <v>29</v>
      </c>
      <c r="F2509" s="11"/>
      <c r="G2509" s="15">
        <f>ROUND(G2507*G2508,0)</f>
        <v>58113</v>
      </c>
      <c r="H2509" s="16">
        <f>ROUND(G2509/2,0)</f>
        <v>29057</v>
      </c>
      <c r="I2509" s="15">
        <f>G2509-H2509</f>
        <v>29056</v>
      </c>
      <c r="J2509" s="3" t="str">
        <f t="shared" si="187"/>
        <v>3443500</v>
      </c>
    </row>
    <row r="2510" spans="2:10" s="3" customFormat="1">
      <c r="B2510" s="3" t="s">
        <v>2120</v>
      </c>
      <c r="C2510" s="8">
        <v>4</v>
      </c>
      <c r="D2510" s="116" t="s">
        <v>2597</v>
      </c>
      <c r="E2510" s="11" t="s">
        <v>30</v>
      </c>
      <c r="F2510" s="11"/>
      <c r="G2510" s="12">
        <f>+G2507-G2509</f>
        <v>46966</v>
      </c>
      <c r="H2510" s="13">
        <f>ROUND(G2510/2,0)</f>
        <v>23483</v>
      </c>
      <c r="I2510" s="12">
        <f>G2510-H2510</f>
        <v>23483</v>
      </c>
      <c r="J2510" s="3" t="str">
        <f t="shared" si="187"/>
        <v>3443500</v>
      </c>
    </row>
    <row r="2511" spans="2:10" s="3" customFormat="1">
      <c r="B2511" s="3" t="s">
        <v>2120</v>
      </c>
      <c r="C2511" s="8">
        <v>4</v>
      </c>
      <c r="D2511" s="3" t="s">
        <v>2594</v>
      </c>
      <c r="E2511" s="11" t="s">
        <v>783</v>
      </c>
      <c r="F2511" s="10">
        <v>7.4455999999999994E-2</v>
      </c>
      <c r="G2511" s="9">
        <f>ROUND(G$3*F2511,0)</f>
        <v>21423</v>
      </c>
      <c r="H2511" s="11">
        <f>ROUND(G2511/2,0)</f>
        <v>10712</v>
      </c>
      <c r="I2511" s="9">
        <f>G2511-H2511</f>
        <v>10711</v>
      </c>
      <c r="J2511" s="3" t="str">
        <f t="shared" si="187"/>
        <v>3443470</v>
      </c>
    </row>
    <row r="2512" spans="2:10" s="3" customFormat="1">
      <c r="B2512" s="3" t="s">
        <v>2120</v>
      </c>
      <c r="C2512" s="8">
        <v>4</v>
      </c>
      <c r="D2512" s="3" t="s">
        <v>2594</v>
      </c>
      <c r="E2512" s="11" t="s">
        <v>28</v>
      </c>
      <c r="F2512" s="11"/>
      <c r="G2512" s="14">
        <v>0.50184099999999998</v>
      </c>
      <c r="H2512" s="11"/>
      <c r="I2512" s="11"/>
      <c r="J2512" s="3" t="str">
        <f t="shared" si="187"/>
        <v>3443470</v>
      </c>
    </row>
    <row r="2513" spans="2:10" s="3" customFormat="1">
      <c r="B2513" s="3" t="s">
        <v>2120</v>
      </c>
      <c r="C2513" s="8">
        <v>4</v>
      </c>
      <c r="D2513" s="3" t="s">
        <v>2594</v>
      </c>
      <c r="E2513" s="11" t="s">
        <v>29</v>
      </c>
      <c r="F2513" s="11"/>
      <c r="G2513" s="15">
        <f>ROUND(G2511*G2512,0)</f>
        <v>10751</v>
      </c>
      <c r="H2513" s="16">
        <f>ROUND(G2513/2,0)</f>
        <v>5376</v>
      </c>
      <c r="I2513" s="15">
        <f>G2513-H2513</f>
        <v>5375</v>
      </c>
      <c r="J2513" s="3" t="str">
        <f t="shared" si="187"/>
        <v>3443470</v>
      </c>
    </row>
    <row r="2514" spans="2:10" s="3" customFormat="1">
      <c r="B2514" s="3" t="s">
        <v>2120</v>
      </c>
      <c r="C2514" s="8">
        <v>4</v>
      </c>
      <c r="D2514" s="3" t="s">
        <v>2594</v>
      </c>
      <c r="E2514" s="11" t="s">
        <v>30</v>
      </c>
      <c r="F2514" s="11"/>
      <c r="G2514" s="12">
        <f>+G2511-G2513</f>
        <v>10672</v>
      </c>
      <c r="H2514" s="13">
        <f>ROUND(G2514/2,0)</f>
        <v>5336</v>
      </c>
      <c r="I2514" s="12">
        <f>G2514-H2514</f>
        <v>5336</v>
      </c>
      <c r="J2514" s="3" t="str">
        <f t="shared" si="187"/>
        <v>3443470</v>
      </c>
    </row>
    <row r="2515" spans="2:10" s="3" customFormat="1">
      <c r="B2515" s="3" t="s">
        <v>2120</v>
      </c>
      <c r="C2515" s="8">
        <v>4</v>
      </c>
      <c r="D2515" s="3" t="s">
        <v>2593</v>
      </c>
      <c r="E2515" s="11" t="s">
        <v>784</v>
      </c>
      <c r="F2515" s="10">
        <v>2.8608999999999999E-2</v>
      </c>
      <c r="G2515" s="9">
        <f>ROUND(G$3*F2515,0)</f>
        <v>8231</v>
      </c>
      <c r="H2515" s="11">
        <f>ROUND(G2515/2,0)</f>
        <v>4116</v>
      </c>
      <c r="I2515" s="9">
        <f>G2515-H2515</f>
        <v>4115</v>
      </c>
      <c r="J2515" s="3" t="str">
        <f t="shared" si="187"/>
        <v>3443460</v>
      </c>
    </row>
    <row r="2516" spans="2:10" s="3" customFormat="1">
      <c r="B2516" s="3" t="s">
        <v>2120</v>
      </c>
      <c r="C2516" s="8">
        <v>4</v>
      </c>
      <c r="D2516" s="3" t="s">
        <v>2593</v>
      </c>
      <c r="E2516" s="11" t="s">
        <v>28</v>
      </c>
      <c r="F2516" s="11"/>
      <c r="G2516" s="14">
        <v>0.44720300000000002</v>
      </c>
      <c r="H2516" s="11"/>
      <c r="I2516" s="11"/>
      <c r="J2516" s="3" t="str">
        <f t="shared" si="187"/>
        <v>3443460</v>
      </c>
    </row>
    <row r="2517" spans="2:10" s="3" customFormat="1">
      <c r="B2517" s="3" t="s">
        <v>2120</v>
      </c>
      <c r="C2517" s="8">
        <v>4</v>
      </c>
      <c r="D2517" s="3" t="s">
        <v>2593</v>
      </c>
      <c r="E2517" s="11" t="s">
        <v>29</v>
      </c>
      <c r="F2517" s="11"/>
      <c r="G2517" s="15">
        <f>ROUND(G2515*G2516,0)</f>
        <v>3681</v>
      </c>
      <c r="H2517" s="16">
        <f>ROUND(G2517/2,0)</f>
        <v>1841</v>
      </c>
      <c r="I2517" s="15">
        <f>G2517-H2517</f>
        <v>1840</v>
      </c>
      <c r="J2517" s="3" t="str">
        <f t="shared" si="187"/>
        <v>3443460</v>
      </c>
    </row>
    <row r="2518" spans="2:10" s="3" customFormat="1">
      <c r="B2518" s="3" t="s">
        <v>2120</v>
      </c>
      <c r="C2518" s="8">
        <v>4</v>
      </c>
      <c r="D2518" s="3" t="s">
        <v>2593</v>
      </c>
      <c r="E2518" s="11" t="s">
        <v>30</v>
      </c>
      <c r="F2518" s="11"/>
      <c r="G2518" s="12">
        <f>+G2515-G2517</f>
        <v>4550</v>
      </c>
      <c r="H2518" s="13">
        <f>ROUND(G2518/2,0)</f>
        <v>2275</v>
      </c>
      <c r="I2518" s="12">
        <f>G2518-H2518</f>
        <v>2275</v>
      </c>
      <c r="J2518" s="3" t="str">
        <f t="shared" si="187"/>
        <v>3443460</v>
      </c>
    </row>
    <row r="2519" spans="2:10" s="3" customFormat="1">
      <c r="B2519" s="3" t="s">
        <v>2120</v>
      </c>
      <c r="C2519" s="8">
        <v>4</v>
      </c>
      <c r="D2519" s="3" t="s">
        <v>2596</v>
      </c>
      <c r="E2519" s="11" t="s">
        <v>785</v>
      </c>
      <c r="F2519" s="10">
        <v>3.3683999999999999E-2</v>
      </c>
      <c r="G2519" s="9">
        <f>ROUND(G$3*F2519,0)</f>
        <v>9692</v>
      </c>
      <c r="H2519" s="11">
        <f>ROUND(G2519/2,0)</f>
        <v>4846</v>
      </c>
      <c r="I2519" s="9">
        <f>G2519-H2519</f>
        <v>4846</v>
      </c>
      <c r="J2519" s="3" t="str">
        <f t="shared" si="187"/>
        <v>3443490</v>
      </c>
    </row>
    <row r="2520" spans="2:10" s="3" customFormat="1">
      <c r="B2520" s="3" t="s">
        <v>2120</v>
      </c>
      <c r="C2520" s="8">
        <v>4</v>
      </c>
      <c r="D2520" s="3" t="s">
        <v>2596</v>
      </c>
      <c r="E2520" s="11" t="s">
        <v>28</v>
      </c>
      <c r="F2520" s="11"/>
      <c r="G2520" s="14">
        <v>0.44162200000000001</v>
      </c>
      <c r="H2520" s="11"/>
      <c r="I2520" s="11"/>
      <c r="J2520" s="3" t="str">
        <f t="shared" si="187"/>
        <v>3443490</v>
      </c>
    </row>
    <row r="2521" spans="2:10" s="3" customFormat="1">
      <c r="B2521" s="3" t="s">
        <v>2120</v>
      </c>
      <c r="C2521" s="8">
        <v>4</v>
      </c>
      <c r="D2521" s="3" t="s">
        <v>2596</v>
      </c>
      <c r="E2521" s="11" t="s">
        <v>29</v>
      </c>
      <c r="F2521" s="11"/>
      <c r="G2521" s="15">
        <f>ROUND(G2519*G2520,0)</f>
        <v>4280</v>
      </c>
      <c r="H2521" s="16">
        <f>ROUND(G2521/2,0)</f>
        <v>2140</v>
      </c>
      <c r="I2521" s="15">
        <f>G2521-H2521</f>
        <v>2140</v>
      </c>
      <c r="J2521" s="3" t="str">
        <f t="shared" si="187"/>
        <v>3443490</v>
      </c>
    </row>
    <row r="2522" spans="2:10" s="3" customFormat="1">
      <c r="B2522" s="3" t="s">
        <v>2120</v>
      </c>
      <c r="C2522" s="8">
        <v>4</v>
      </c>
      <c r="D2522" s="3" t="s">
        <v>2596</v>
      </c>
      <c r="E2522" s="11" t="s">
        <v>30</v>
      </c>
      <c r="F2522" s="11"/>
      <c r="G2522" s="12">
        <f>+G2519-G2521</f>
        <v>5412</v>
      </c>
      <c r="H2522" s="13">
        <f>ROUND(G2522/2,0)</f>
        <v>2706</v>
      </c>
      <c r="I2522" s="12">
        <f>G2522-H2522</f>
        <v>2706</v>
      </c>
      <c r="J2522" s="3" t="str">
        <f t="shared" si="187"/>
        <v>3443490</v>
      </c>
    </row>
    <row r="2523" spans="2:10" s="3" customFormat="1">
      <c r="B2523" s="3" t="s">
        <v>2120</v>
      </c>
      <c r="C2523" s="8">
        <v>5</v>
      </c>
      <c r="D2523" s="3" t="s">
        <v>2598</v>
      </c>
      <c r="E2523" s="11" t="s">
        <v>786</v>
      </c>
      <c r="F2523" s="10">
        <v>2.4229999999999998E-3</v>
      </c>
      <c r="G2523" s="120">
        <f>ROUND(G$3*F2523,0)</f>
        <v>697</v>
      </c>
      <c r="H2523" s="120">
        <f>ROUND(G2523/2,0)</f>
        <v>349</v>
      </c>
      <c r="I2523" s="120">
        <f>G2523-H2523</f>
        <v>348</v>
      </c>
      <c r="J2523" s="3" t="str">
        <f t="shared" si="187"/>
        <v>3450094</v>
      </c>
    </row>
    <row r="2524" spans="2:10" s="3" customFormat="1">
      <c r="B2524" s="3" t="s">
        <v>2120</v>
      </c>
      <c r="C2524" s="8">
        <v>5</v>
      </c>
      <c r="D2524" s="3" t="s">
        <v>4344</v>
      </c>
      <c r="E2524" s="11" t="s">
        <v>787</v>
      </c>
      <c r="F2524" s="10">
        <v>2.162E-2</v>
      </c>
      <c r="G2524" s="120">
        <f>ROUND(G$3*F2524,0)</f>
        <v>6221</v>
      </c>
      <c r="H2524" s="120">
        <f>ROUND(G2524/2,0)</f>
        <v>3111</v>
      </c>
      <c r="I2524" s="120">
        <f>G2524-H2524</f>
        <v>3110</v>
      </c>
      <c r="J2524" s="3" t="str">
        <f t="shared" si="187"/>
        <v>3450282</v>
      </c>
    </row>
    <row r="2525" spans="2:10" s="3" customFormat="1">
      <c r="B2525" s="3" t="s">
        <v>2120</v>
      </c>
      <c r="C2525" s="8">
        <v>6</v>
      </c>
      <c r="D2525" s="3" t="s">
        <v>4346</v>
      </c>
      <c r="E2525" s="11" t="s">
        <v>788</v>
      </c>
      <c r="F2525" s="10">
        <v>5.0689999999999997E-3</v>
      </c>
      <c r="G2525" s="120">
        <f>+G2461-SUM(G2462:G2463)-SUM(G2468:G2503)-G2507-G2511-G2515-G2519-SUM(G2523:G2524)</f>
        <v>259562</v>
      </c>
      <c r="H2525" s="120">
        <f>ROUND(G2525/2,0)</f>
        <v>129781</v>
      </c>
      <c r="I2525" s="120">
        <f>G2525-H2525</f>
        <v>129781</v>
      </c>
      <c r="J2525" s="3" t="str">
        <f t="shared" si="187"/>
        <v>3461027</v>
      </c>
    </row>
    <row r="2526" spans="2:10" s="3" customFormat="1">
      <c r="B2526" s="3" t="s">
        <v>2120</v>
      </c>
      <c r="C2526" s="8">
        <v>0</v>
      </c>
      <c r="D2526" s="125" t="s">
        <v>2187</v>
      </c>
      <c r="E2526" s="28" t="s">
        <v>288</v>
      </c>
      <c r="F2526" s="10">
        <v>0.99999999999999989</v>
      </c>
      <c r="G2526" s="12">
        <f>+G2462+SUM(G2465:G2502)+SUM(G2505:G2506)+SUM(G2509:G2510)+SUM(G2513:G2514)+SUM(G2517:G2518)+SUM(G2521:G2525)</f>
        <v>545828</v>
      </c>
      <c r="H2526" s="12">
        <f>+H2462+SUM(H2465:H2502)+SUM(H2505:H2506)+SUM(H2509:H2510)+SUM(H2513:H2514)+SUM(H2517:H2518)+SUM(H2521:H2525)</f>
        <v>272925</v>
      </c>
      <c r="I2526" s="12">
        <f>+I2462+SUM(I2465:I2502)+SUM(I2505:I2506)+SUM(I2509:I2510)+SUM(I2513:I2514)+SUM(I2517:I2518)+SUM(I2521:I2525)</f>
        <v>272903</v>
      </c>
      <c r="J2526" s="3" t="str">
        <f t="shared" si="187"/>
        <v>3400000</v>
      </c>
    </row>
    <row r="2527" spans="2:10" s="3" customFormat="1">
      <c r="B2527" s="3" t="s">
        <v>2120</v>
      </c>
      <c r="C2527" s="8">
        <v>0</v>
      </c>
      <c r="D2527" s="3" t="s">
        <v>2187</v>
      </c>
      <c r="E2527" s="18" t="s">
        <v>38</v>
      </c>
      <c r="G2527" s="19">
        <f>+G2462</f>
        <v>321</v>
      </c>
      <c r="H2527" s="19">
        <f>+H2462</f>
        <v>161</v>
      </c>
      <c r="I2527" s="19">
        <f>+I2462</f>
        <v>160</v>
      </c>
      <c r="J2527" s="3" t="str">
        <f t="shared" si="187"/>
        <v>3400000</v>
      </c>
    </row>
    <row r="2528" spans="2:10" s="3" customFormat="1">
      <c r="B2528" s="3" t="s">
        <v>2120</v>
      </c>
      <c r="C2528" s="8">
        <v>0</v>
      </c>
      <c r="D2528" s="3" t="s">
        <v>2187</v>
      </c>
      <c r="E2528" s="2" t="s">
        <v>39</v>
      </c>
      <c r="G2528" s="19">
        <f>+G2465</f>
        <v>6474</v>
      </c>
      <c r="H2528" s="19">
        <f>+H2465</f>
        <v>3237</v>
      </c>
      <c r="I2528" s="19">
        <f>+I2465</f>
        <v>3237</v>
      </c>
      <c r="J2528" s="3" t="str">
        <f t="shared" si="187"/>
        <v>3400000</v>
      </c>
    </row>
    <row r="2529" spans="2:10" s="3" customFormat="1">
      <c r="B2529" s="3" t="s">
        <v>2120</v>
      </c>
      <c r="C2529" s="8">
        <v>0</v>
      </c>
      <c r="D2529" s="3" t="s">
        <v>2187</v>
      </c>
      <c r="E2529" s="2" t="s">
        <v>40</v>
      </c>
      <c r="G2529" s="19">
        <f>+G2505+G2509+G2513+G2517+G2521</f>
        <v>82884</v>
      </c>
      <c r="H2529" s="19">
        <f>+H2505+H2509+H2513+H2517+H2521</f>
        <v>41444</v>
      </c>
      <c r="I2529" s="19">
        <f>+I2505+I2509+I2513+I2517+I2521</f>
        <v>41440</v>
      </c>
      <c r="J2529" s="3" t="str">
        <f t="shared" si="187"/>
        <v>3400000</v>
      </c>
    </row>
    <row r="2530" spans="2:10" s="3" customFormat="1">
      <c r="B2530" s="3" t="s">
        <v>2120</v>
      </c>
      <c r="C2530" s="8">
        <v>0</v>
      </c>
      <c r="D2530" s="125" t="s">
        <v>2187</v>
      </c>
      <c r="E2530" s="18" t="s">
        <v>41</v>
      </c>
      <c r="G2530" s="19">
        <f>+G2526-G2527-G2528-G2529</f>
        <v>456149</v>
      </c>
      <c r="H2530" s="19">
        <f>+H2526-H2527-H2528-H2529</f>
        <v>228083</v>
      </c>
      <c r="I2530" s="19">
        <f>+I2526-I2527-I2528-I2529</f>
        <v>228066</v>
      </c>
      <c r="J2530" s="3" t="str">
        <f t="shared" si="187"/>
        <v>3400000</v>
      </c>
    </row>
    <row r="2531" spans="2:10" ht="15.75">
      <c r="B2531" s="3" t="s">
        <v>2186</v>
      </c>
      <c r="D2531" t="s">
        <v>2186</v>
      </c>
      <c r="E2531">
        <v>0</v>
      </c>
      <c r="G2531"/>
      <c r="H2531"/>
      <c r="I2531"/>
      <c r="J2531" s="3" t="str">
        <f t="shared" si="187"/>
        <v/>
      </c>
    </row>
    <row r="2532" spans="2:10" s="3" customFormat="1">
      <c r="C2532" s="1"/>
      <c r="D2532" s="3" t="s">
        <v>2186</v>
      </c>
      <c r="E2532" s="2" t="s">
        <v>789</v>
      </c>
      <c r="J2532" s="3" t="str">
        <f t="shared" si="187"/>
        <v/>
      </c>
    </row>
    <row r="2533" spans="2:10" s="3" customFormat="1" ht="45">
      <c r="B2533" s="3" t="s">
        <v>2186</v>
      </c>
      <c r="C2533" s="1"/>
      <c r="D2533" s="3" t="s">
        <v>2186</v>
      </c>
      <c r="E2533" s="1">
        <v>0</v>
      </c>
      <c r="F2533" s="6" t="s">
        <v>1</v>
      </c>
      <c r="G2533" s="60">
        <f>'Allocation Worksheet'!H2533</f>
        <v>0</v>
      </c>
      <c r="H2533" s="60">
        <f>'Allocation Worksheet'!H2534</f>
        <v>0</v>
      </c>
      <c r="I2533" s="60">
        <f>'Allocation Worksheet'!H2535</f>
        <v>0</v>
      </c>
      <c r="J2533" s="3" t="str">
        <f t="shared" si="187"/>
        <v/>
      </c>
    </row>
    <row r="2534" spans="2:10" s="3" customFormat="1">
      <c r="C2534" s="7" t="s">
        <v>2087</v>
      </c>
      <c r="D2534" s="3" t="s">
        <v>2186</v>
      </c>
      <c r="E2534" s="7" t="s">
        <v>3</v>
      </c>
      <c r="F2534" s="10"/>
      <c r="G2534" s="9">
        <f>'Allocation Worksheet'!$D$38</f>
        <v>399214</v>
      </c>
      <c r="H2534" s="11"/>
      <c r="I2534" s="11"/>
      <c r="J2534" s="3" t="str">
        <f t="shared" si="187"/>
        <v>UT</v>
      </c>
    </row>
    <row r="2535" spans="2:10" s="3" customFormat="1">
      <c r="B2535" s="3" t="s">
        <v>2121</v>
      </c>
      <c r="C2535" s="8">
        <v>0</v>
      </c>
      <c r="D2535" s="3" t="s">
        <v>2187</v>
      </c>
      <c r="E2535" s="11" t="s">
        <v>4</v>
      </c>
      <c r="F2535" s="10">
        <v>1.157E-3</v>
      </c>
      <c r="G2535" s="12">
        <f>ROUND(G$3*F2535,0)</f>
        <v>333</v>
      </c>
      <c r="H2535" s="13">
        <f>ROUND(G2535/2,0)</f>
        <v>167</v>
      </c>
      <c r="I2535" s="12">
        <f>G2535-H2535</f>
        <v>166</v>
      </c>
      <c r="J2535" s="3" t="str">
        <f t="shared" si="187"/>
        <v>3500000</v>
      </c>
    </row>
    <row r="2536" spans="2:10" s="3" customFormat="1">
      <c r="B2536" s="3" t="s">
        <v>2121</v>
      </c>
      <c r="C2536" s="8">
        <v>1</v>
      </c>
      <c r="D2536" s="3" t="s">
        <v>2187</v>
      </c>
      <c r="E2536" s="11" t="s">
        <v>790</v>
      </c>
      <c r="F2536" s="10">
        <v>0.19927800000000001</v>
      </c>
      <c r="G2536" s="9">
        <f>ROUND(G$3*F2536,0)</f>
        <v>57337</v>
      </c>
      <c r="H2536" s="11">
        <f>ROUND(G2536/2,0)</f>
        <v>28669</v>
      </c>
      <c r="I2536" s="9">
        <f>G2536-H2536</f>
        <v>28668</v>
      </c>
      <c r="J2536" s="3" t="str">
        <f t="shared" si="187"/>
        <v>3510000</v>
      </c>
    </row>
    <row r="2537" spans="2:10" s="3" customFormat="1">
      <c r="B2537" s="3" t="s">
        <v>2121</v>
      </c>
      <c r="C2537" s="8">
        <v>1</v>
      </c>
      <c r="D2537" s="3" t="s">
        <v>2187</v>
      </c>
      <c r="E2537" s="11" t="s">
        <v>6</v>
      </c>
      <c r="F2537" s="11"/>
      <c r="G2537" s="14">
        <v>0.17790800000000001</v>
      </c>
      <c r="H2537" s="11"/>
      <c r="I2537" s="11"/>
      <c r="J2537" s="3" t="str">
        <f t="shared" si="187"/>
        <v>3510000</v>
      </c>
    </row>
    <row r="2538" spans="2:10" s="3" customFormat="1">
      <c r="B2538" s="3" t="s">
        <v>2121</v>
      </c>
      <c r="C2538" s="8">
        <v>1</v>
      </c>
      <c r="D2538" s="3" t="s">
        <v>2187</v>
      </c>
      <c r="E2538" s="11" t="s">
        <v>7</v>
      </c>
      <c r="F2538" s="11"/>
      <c r="G2538" s="15">
        <f>ROUND(G2536*G2537,0)</f>
        <v>10201</v>
      </c>
      <c r="H2538" s="16">
        <f>ROUND(G2538/2,0)</f>
        <v>5101</v>
      </c>
      <c r="I2538" s="15">
        <f>G2538-H2538</f>
        <v>5100</v>
      </c>
      <c r="J2538" s="3" t="str">
        <f t="shared" si="187"/>
        <v>3510000</v>
      </c>
    </row>
    <row r="2539" spans="2:10" s="3" customFormat="1">
      <c r="B2539" s="3" t="s">
        <v>2121</v>
      </c>
      <c r="C2539" s="8">
        <v>1</v>
      </c>
      <c r="D2539" s="3" t="s">
        <v>2187</v>
      </c>
      <c r="E2539" s="11" t="s">
        <v>8</v>
      </c>
      <c r="F2539" s="11"/>
      <c r="G2539" s="12">
        <f>+G2536-G2538</f>
        <v>47136</v>
      </c>
      <c r="H2539" s="13">
        <f>ROUND(G2539/2,0)</f>
        <v>23568</v>
      </c>
      <c r="I2539" s="12">
        <f>G2539-H2539</f>
        <v>23568</v>
      </c>
      <c r="J2539" s="3" t="str">
        <f t="shared" si="187"/>
        <v>3510000</v>
      </c>
    </row>
    <row r="2540" spans="2:10" s="3" customFormat="1">
      <c r="B2540" s="3" t="s">
        <v>2121</v>
      </c>
      <c r="C2540" s="8">
        <v>2</v>
      </c>
      <c r="D2540" s="3" t="s">
        <v>2188</v>
      </c>
      <c r="E2540" s="11" t="s">
        <v>791</v>
      </c>
      <c r="F2540" s="11"/>
      <c r="G2540" s="9"/>
      <c r="H2540" s="11"/>
      <c r="I2540" s="11"/>
      <c r="J2540" s="3" t="str">
        <f t="shared" si="187"/>
        <v>3520001</v>
      </c>
    </row>
    <row r="2541" spans="2:10" s="3" customFormat="1">
      <c r="B2541" s="3" t="s">
        <v>2121</v>
      </c>
      <c r="C2541" s="8">
        <v>2</v>
      </c>
      <c r="D2541" s="3" t="s">
        <v>2188</v>
      </c>
      <c r="E2541" s="11" t="s">
        <v>10</v>
      </c>
      <c r="F2541" s="10">
        <v>1E-3</v>
      </c>
      <c r="G2541" s="12">
        <f>ROUND(G$3*F2541,0)</f>
        <v>288</v>
      </c>
      <c r="H2541" s="13">
        <f>ROUND(G2541/2,0)</f>
        <v>144</v>
      </c>
      <c r="I2541" s="12">
        <f>G2541-H2541</f>
        <v>144</v>
      </c>
      <c r="J2541" s="3" t="str">
        <f t="shared" si="187"/>
        <v>3520001</v>
      </c>
    </row>
    <row r="2542" spans="2:10" s="3" customFormat="1">
      <c r="B2542" s="3" t="s">
        <v>2121</v>
      </c>
      <c r="C2542" s="8">
        <v>2</v>
      </c>
      <c r="D2542" s="3" t="s">
        <v>2188</v>
      </c>
      <c r="E2542" s="11" t="s">
        <v>11</v>
      </c>
      <c r="F2542" s="10">
        <v>6.87E-4</v>
      </c>
      <c r="G2542" s="12">
        <f>ROUND(G$3*F2542,0)</f>
        <v>198</v>
      </c>
      <c r="H2542" s="13">
        <f>ROUND(G2542/2,0)</f>
        <v>99</v>
      </c>
      <c r="I2542" s="12">
        <f>G2542-H2542</f>
        <v>99</v>
      </c>
      <c r="J2542" s="3" t="str">
        <f t="shared" si="187"/>
        <v>3520001</v>
      </c>
    </row>
    <row r="2543" spans="2:10" s="3" customFormat="1">
      <c r="B2543" s="3" t="s">
        <v>2121</v>
      </c>
      <c r="C2543" s="8">
        <v>2</v>
      </c>
      <c r="D2543" s="3" t="s">
        <v>2189</v>
      </c>
      <c r="E2543" s="11" t="s">
        <v>792</v>
      </c>
      <c r="F2543" s="11"/>
      <c r="G2543" s="9"/>
      <c r="H2543" s="11"/>
      <c r="I2543" s="11"/>
      <c r="J2543" s="3" t="str">
        <f t="shared" si="187"/>
        <v>3520002</v>
      </c>
    </row>
    <row r="2544" spans="2:10" s="3" customFormat="1">
      <c r="B2544" s="3" t="s">
        <v>2121</v>
      </c>
      <c r="C2544" s="8">
        <v>2</v>
      </c>
      <c r="D2544" s="3" t="s">
        <v>2189</v>
      </c>
      <c r="E2544" s="11" t="s">
        <v>10</v>
      </c>
      <c r="F2544" s="10">
        <v>6.3900000000000003E-4</v>
      </c>
      <c r="G2544" s="12">
        <f>ROUND(G$3*F2544,0)</f>
        <v>184</v>
      </c>
      <c r="H2544" s="13">
        <f>ROUND(G2544/2,0)</f>
        <v>92</v>
      </c>
      <c r="I2544" s="12">
        <f>G2544-H2544</f>
        <v>92</v>
      </c>
      <c r="J2544" s="3" t="str">
        <f t="shared" si="187"/>
        <v>3520002</v>
      </c>
    </row>
    <row r="2545" spans="2:10" s="3" customFormat="1">
      <c r="B2545" s="3" t="s">
        <v>2121</v>
      </c>
      <c r="C2545" s="8">
        <v>2</v>
      </c>
      <c r="D2545" s="3" t="s">
        <v>2189</v>
      </c>
      <c r="E2545" s="11" t="s">
        <v>11</v>
      </c>
      <c r="F2545" s="10">
        <v>5.1599999999999997E-4</v>
      </c>
      <c r="G2545" s="12">
        <f>ROUND(G$3*F2545,0)</f>
        <v>148</v>
      </c>
      <c r="H2545" s="13">
        <f>ROUND(G2545/2,0)</f>
        <v>74</v>
      </c>
      <c r="I2545" s="12">
        <f>G2545-H2545</f>
        <v>74</v>
      </c>
      <c r="J2545" s="3" t="str">
        <f t="shared" si="187"/>
        <v>3520002</v>
      </c>
    </row>
    <row r="2546" spans="2:10" s="3" customFormat="1">
      <c r="B2546" s="3" t="s">
        <v>2121</v>
      </c>
      <c r="C2546" s="8">
        <v>2</v>
      </c>
      <c r="D2546" s="3" t="s">
        <v>2190</v>
      </c>
      <c r="E2546" s="11" t="s">
        <v>793</v>
      </c>
      <c r="F2546" s="11"/>
      <c r="G2546" s="9"/>
      <c r="H2546" s="11"/>
      <c r="I2546" s="11"/>
      <c r="J2546" s="3" t="str">
        <f t="shared" si="187"/>
        <v>3520003</v>
      </c>
    </row>
    <row r="2547" spans="2:10" s="3" customFormat="1">
      <c r="B2547" s="3" t="s">
        <v>2121</v>
      </c>
      <c r="C2547" s="8">
        <v>2</v>
      </c>
      <c r="D2547" s="3" t="s">
        <v>2190</v>
      </c>
      <c r="E2547" s="11" t="s">
        <v>10</v>
      </c>
      <c r="F2547" s="10">
        <v>4.2459999999999998E-3</v>
      </c>
      <c r="G2547" s="12">
        <f>ROUND(G$3*F2547,0)</f>
        <v>1222</v>
      </c>
      <c r="H2547" s="13">
        <f>ROUND(G2547/2,0)</f>
        <v>611</v>
      </c>
      <c r="I2547" s="12">
        <f>G2547-H2547</f>
        <v>611</v>
      </c>
      <c r="J2547" s="3" t="str">
        <f t="shared" si="187"/>
        <v>3520003</v>
      </c>
    </row>
    <row r="2548" spans="2:10" s="3" customFormat="1">
      <c r="B2548" s="3" t="s">
        <v>2121</v>
      </c>
      <c r="C2548" s="8">
        <v>2</v>
      </c>
      <c r="D2548" s="3" t="s">
        <v>2190</v>
      </c>
      <c r="E2548" s="11" t="s">
        <v>11</v>
      </c>
      <c r="F2548" s="10">
        <v>5.7300000000000005E-4</v>
      </c>
      <c r="G2548" s="12">
        <f>ROUND(G$3*F2548,0)</f>
        <v>165</v>
      </c>
      <c r="H2548" s="13">
        <f>ROUND(G2548/2,0)</f>
        <v>83</v>
      </c>
      <c r="I2548" s="12">
        <f>G2548-H2548</f>
        <v>82</v>
      </c>
      <c r="J2548" s="3" t="str">
        <f t="shared" si="187"/>
        <v>3520003</v>
      </c>
    </row>
    <row r="2549" spans="2:10" s="3" customFormat="1">
      <c r="B2549" s="3" t="s">
        <v>2121</v>
      </c>
      <c r="C2549" s="8">
        <v>2</v>
      </c>
      <c r="D2549" s="3" t="s">
        <v>2191</v>
      </c>
      <c r="E2549" s="11" t="s">
        <v>49</v>
      </c>
      <c r="F2549" s="11"/>
      <c r="G2549" s="9"/>
      <c r="H2549" s="11"/>
      <c r="I2549" s="11"/>
      <c r="J2549" s="3" t="str">
        <f t="shared" si="187"/>
        <v>3520004</v>
      </c>
    </row>
    <row r="2550" spans="2:10" s="3" customFormat="1">
      <c r="B2550" s="3" t="s">
        <v>2121</v>
      </c>
      <c r="C2550" s="8">
        <v>2</v>
      </c>
      <c r="D2550" s="3" t="s">
        <v>2191</v>
      </c>
      <c r="E2550" s="11" t="s">
        <v>10</v>
      </c>
      <c r="F2550" s="10">
        <v>1.9469999999999999E-3</v>
      </c>
      <c r="G2550" s="12">
        <f>ROUND(G$3*F2550,0)</f>
        <v>560</v>
      </c>
      <c r="H2550" s="13">
        <f>ROUND(G2550/2,0)</f>
        <v>280</v>
      </c>
      <c r="I2550" s="12">
        <f>G2550-H2550</f>
        <v>280</v>
      </c>
      <c r="J2550" s="3" t="str">
        <f t="shared" si="187"/>
        <v>3520004</v>
      </c>
    </row>
    <row r="2551" spans="2:10" s="3" customFormat="1">
      <c r="B2551" s="3" t="s">
        <v>2121</v>
      </c>
      <c r="C2551" s="8">
        <v>2</v>
      </c>
      <c r="D2551" s="3" t="s">
        <v>2191</v>
      </c>
      <c r="E2551" s="11" t="s">
        <v>11</v>
      </c>
      <c r="F2551" s="10">
        <v>1.361E-3</v>
      </c>
      <c r="G2551" s="12">
        <f>ROUND(G$3*F2551,0)</f>
        <v>392</v>
      </c>
      <c r="H2551" s="13">
        <f>ROUND(G2551/2,0)</f>
        <v>196</v>
      </c>
      <c r="I2551" s="12">
        <f>G2551-H2551</f>
        <v>196</v>
      </c>
      <c r="J2551" s="3" t="str">
        <f t="shared" si="187"/>
        <v>3520004</v>
      </c>
    </row>
    <row r="2552" spans="2:10" s="3" customFormat="1">
      <c r="B2552" s="3" t="s">
        <v>2121</v>
      </c>
      <c r="C2552" s="8">
        <v>2</v>
      </c>
      <c r="D2552" s="3" t="s">
        <v>2192</v>
      </c>
      <c r="E2552" s="11" t="s">
        <v>14</v>
      </c>
      <c r="F2552" s="11"/>
      <c r="G2552" s="9"/>
      <c r="H2552" s="11"/>
      <c r="I2552" s="11"/>
      <c r="J2552" s="3" t="str">
        <f t="shared" si="187"/>
        <v>3520005</v>
      </c>
    </row>
    <row r="2553" spans="2:10" s="3" customFormat="1">
      <c r="B2553" s="3" t="s">
        <v>2121</v>
      </c>
      <c r="C2553" s="8">
        <v>2</v>
      </c>
      <c r="D2553" s="3" t="s">
        <v>2192</v>
      </c>
      <c r="E2553" s="11" t="s">
        <v>10</v>
      </c>
      <c r="F2553" s="10">
        <v>2.4000000000000001E-4</v>
      </c>
      <c r="G2553" s="12">
        <f>ROUND(G$3*F2553,0)</f>
        <v>69</v>
      </c>
      <c r="H2553" s="13">
        <f>ROUND(G2553/2,0)</f>
        <v>35</v>
      </c>
      <c r="I2553" s="12">
        <f>G2553-H2553</f>
        <v>34</v>
      </c>
      <c r="J2553" s="3" t="str">
        <f t="shared" si="187"/>
        <v>3520005</v>
      </c>
    </row>
    <row r="2554" spans="2:10" s="3" customFormat="1">
      <c r="B2554" s="3" t="s">
        <v>2121</v>
      </c>
      <c r="C2554" s="8">
        <v>2</v>
      </c>
      <c r="D2554" s="3" t="s">
        <v>2192</v>
      </c>
      <c r="E2554" s="11" t="s">
        <v>11</v>
      </c>
      <c r="F2554" s="10">
        <v>3.4699999999999998E-4</v>
      </c>
      <c r="G2554" s="12">
        <f>ROUND(G$3*F2554,0)</f>
        <v>100</v>
      </c>
      <c r="H2554" s="13">
        <f>ROUND(G2554/2,0)</f>
        <v>50</v>
      </c>
      <c r="I2554" s="12">
        <f>G2554-H2554</f>
        <v>50</v>
      </c>
      <c r="J2554" s="3" t="str">
        <f t="shared" si="187"/>
        <v>3520005</v>
      </c>
    </row>
    <row r="2555" spans="2:10" s="3" customFormat="1">
      <c r="B2555" s="3" t="s">
        <v>2121</v>
      </c>
      <c r="C2555" s="8">
        <v>2</v>
      </c>
      <c r="D2555" s="3" t="s">
        <v>2193</v>
      </c>
      <c r="E2555" s="11" t="s">
        <v>794</v>
      </c>
      <c r="F2555" s="11"/>
      <c r="G2555" s="9"/>
      <c r="H2555" s="11"/>
      <c r="I2555" s="11"/>
      <c r="J2555" s="3" t="str">
        <f t="shared" si="187"/>
        <v>3520006</v>
      </c>
    </row>
    <row r="2556" spans="2:10" s="3" customFormat="1">
      <c r="B2556" s="3" t="s">
        <v>2121</v>
      </c>
      <c r="C2556" s="8">
        <v>2</v>
      </c>
      <c r="D2556" s="3" t="s">
        <v>2193</v>
      </c>
      <c r="E2556" s="11" t="s">
        <v>10</v>
      </c>
      <c r="F2556" s="10">
        <v>8.6300000000000005E-4</v>
      </c>
      <c r="G2556" s="12">
        <f>ROUND(G$3*F2556,0)</f>
        <v>248</v>
      </c>
      <c r="H2556" s="13">
        <f>ROUND(G2556/2,0)</f>
        <v>124</v>
      </c>
      <c r="I2556" s="12">
        <f>G2556-H2556</f>
        <v>124</v>
      </c>
      <c r="J2556" s="3" t="str">
        <f t="shared" si="187"/>
        <v>3520006</v>
      </c>
    </row>
    <row r="2557" spans="2:10" s="3" customFormat="1">
      <c r="B2557" s="3" t="s">
        <v>2121</v>
      </c>
      <c r="C2557" s="8">
        <v>2</v>
      </c>
      <c r="D2557" s="3" t="s">
        <v>2193</v>
      </c>
      <c r="E2557" s="11" t="s">
        <v>11</v>
      </c>
      <c r="F2557" s="10">
        <v>1.609E-3</v>
      </c>
      <c r="G2557" s="12">
        <f>ROUND(G$3*F2557,0)</f>
        <v>463</v>
      </c>
      <c r="H2557" s="13">
        <f>ROUND(G2557/2,0)</f>
        <v>232</v>
      </c>
      <c r="I2557" s="12">
        <f>G2557-H2557</f>
        <v>231</v>
      </c>
      <c r="J2557" s="3" t="str">
        <f t="shared" si="187"/>
        <v>3520006</v>
      </c>
    </row>
    <row r="2558" spans="2:10" s="3" customFormat="1" ht="15.75" customHeight="1">
      <c r="B2558" s="3" t="s">
        <v>2121</v>
      </c>
      <c r="C2558" s="8">
        <v>2</v>
      </c>
      <c r="D2558" s="3" t="s">
        <v>2194</v>
      </c>
      <c r="E2558" s="11" t="s">
        <v>795</v>
      </c>
      <c r="F2558" s="11"/>
      <c r="G2558" s="9"/>
      <c r="H2558" s="11"/>
      <c r="I2558" s="11"/>
      <c r="J2558" s="3" t="str">
        <f t="shared" si="187"/>
        <v>3520007</v>
      </c>
    </row>
    <row r="2559" spans="2:10" s="3" customFormat="1" ht="15.75" customHeight="1">
      <c r="B2559" s="3" t="s">
        <v>2121</v>
      </c>
      <c r="C2559" s="8">
        <v>2</v>
      </c>
      <c r="D2559" s="3" t="s">
        <v>2194</v>
      </c>
      <c r="E2559" s="11" t="s">
        <v>10</v>
      </c>
      <c r="F2559" s="10">
        <v>2.9399999999999999E-4</v>
      </c>
      <c r="G2559" s="12">
        <f>ROUND(G$3*F2559,0)</f>
        <v>85</v>
      </c>
      <c r="H2559" s="13">
        <f>ROUND(G2559/2,0)</f>
        <v>43</v>
      </c>
      <c r="I2559" s="12">
        <f>G2559-H2559</f>
        <v>42</v>
      </c>
      <c r="J2559" s="3" t="str">
        <f t="shared" si="187"/>
        <v>3520007</v>
      </c>
    </row>
    <row r="2560" spans="2:10" s="3" customFormat="1" ht="15.75" customHeight="1">
      <c r="B2560" s="3" t="s">
        <v>2121</v>
      </c>
      <c r="C2560" s="8">
        <v>2</v>
      </c>
      <c r="D2560" s="3" t="s">
        <v>2194</v>
      </c>
      <c r="E2560" s="11" t="s">
        <v>11</v>
      </c>
      <c r="F2560" s="10">
        <v>1.6200000000000001E-4</v>
      </c>
      <c r="G2560" s="12">
        <f>ROUND(G$3*F2560,0)</f>
        <v>47</v>
      </c>
      <c r="H2560" s="13">
        <f>ROUND(G2560/2,0)</f>
        <v>24</v>
      </c>
      <c r="I2560" s="12">
        <f>G2560-H2560</f>
        <v>23</v>
      </c>
      <c r="J2560" s="3" t="str">
        <f t="shared" si="187"/>
        <v>3520007</v>
      </c>
    </row>
    <row r="2561" spans="2:10" s="3" customFormat="1">
      <c r="B2561" s="3" t="s">
        <v>2121</v>
      </c>
      <c r="C2561" s="8">
        <v>2</v>
      </c>
      <c r="D2561" s="3" t="s">
        <v>2195</v>
      </c>
      <c r="E2561" s="11" t="s">
        <v>182</v>
      </c>
      <c r="F2561" s="11"/>
      <c r="G2561" s="9"/>
      <c r="H2561" s="11"/>
      <c r="I2561" s="11"/>
      <c r="J2561" s="3" t="str">
        <f t="shared" si="187"/>
        <v>3520008</v>
      </c>
    </row>
    <row r="2562" spans="2:10" s="3" customFormat="1">
      <c r="B2562" s="3" t="s">
        <v>2121</v>
      </c>
      <c r="C2562" s="8">
        <v>2</v>
      </c>
      <c r="D2562" s="3" t="s">
        <v>2195</v>
      </c>
      <c r="E2562" s="11" t="s">
        <v>10</v>
      </c>
      <c r="F2562" s="10">
        <v>2.6899999999999998E-4</v>
      </c>
      <c r="G2562" s="12">
        <f>ROUND(G$3*F2562,0)</f>
        <v>77</v>
      </c>
      <c r="H2562" s="13">
        <f>ROUND(G2562/2,0)</f>
        <v>39</v>
      </c>
      <c r="I2562" s="12">
        <f>G2562-H2562</f>
        <v>38</v>
      </c>
      <c r="J2562" s="3" t="str">
        <f t="shared" si="187"/>
        <v>3520008</v>
      </c>
    </row>
    <row r="2563" spans="2:10" s="3" customFormat="1">
      <c r="B2563" s="3" t="s">
        <v>2121</v>
      </c>
      <c r="C2563" s="8">
        <v>2</v>
      </c>
      <c r="D2563" s="3" t="s">
        <v>2195</v>
      </c>
      <c r="E2563" s="11" t="s">
        <v>11</v>
      </c>
      <c r="F2563" s="10">
        <v>1.1400000000000001E-4</v>
      </c>
      <c r="G2563" s="12">
        <f>ROUND(G$3*F2563,0)</f>
        <v>33</v>
      </c>
      <c r="H2563" s="13">
        <f>ROUND(G2563/2,0)</f>
        <v>17</v>
      </c>
      <c r="I2563" s="12">
        <f>G2563-H2563</f>
        <v>16</v>
      </c>
      <c r="J2563" s="3" t="str">
        <f t="shared" si="187"/>
        <v>3520008</v>
      </c>
    </row>
    <row r="2564" spans="2:10" s="3" customFormat="1">
      <c r="B2564" s="3" t="s">
        <v>2121</v>
      </c>
      <c r="C2564" s="8">
        <v>2</v>
      </c>
      <c r="D2564" s="3" t="s">
        <v>2196</v>
      </c>
      <c r="E2564" s="11" t="s">
        <v>796</v>
      </c>
      <c r="F2564" s="11"/>
      <c r="G2564" s="9"/>
      <c r="H2564" s="11"/>
      <c r="I2564" s="11"/>
      <c r="J2564" s="3" t="str">
        <f t="shared" ref="J2564:J2627" si="188">B2564&amp;C2564&amp;D2564</f>
        <v>3520009</v>
      </c>
    </row>
    <row r="2565" spans="2:10" s="3" customFormat="1">
      <c r="B2565" s="3" t="s">
        <v>2121</v>
      </c>
      <c r="C2565" s="8">
        <v>2</v>
      </c>
      <c r="D2565" s="3" t="s">
        <v>2196</v>
      </c>
      <c r="E2565" s="11" t="s">
        <v>10</v>
      </c>
      <c r="F2565" s="10">
        <v>1.036E-3</v>
      </c>
      <c r="G2565" s="12">
        <f>ROUND(G$3*F2565,0)</f>
        <v>298</v>
      </c>
      <c r="H2565" s="13">
        <f>ROUND(G2565/2,0)</f>
        <v>149</v>
      </c>
      <c r="I2565" s="12">
        <f>G2565-H2565</f>
        <v>149</v>
      </c>
      <c r="J2565" s="3" t="str">
        <f t="shared" si="188"/>
        <v>3520009</v>
      </c>
    </row>
    <row r="2566" spans="2:10" s="3" customFormat="1">
      <c r="B2566" s="3" t="s">
        <v>2121</v>
      </c>
      <c r="C2566" s="8">
        <v>2</v>
      </c>
      <c r="D2566" s="3" t="s">
        <v>2196</v>
      </c>
      <c r="E2566" s="11" t="s">
        <v>11</v>
      </c>
      <c r="F2566" s="10">
        <v>5.3200000000000003E-4</v>
      </c>
      <c r="G2566" s="12">
        <f>ROUND(G$3*F2566,0)</f>
        <v>153</v>
      </c>
      <c r="H2566" s="13">
        <f>ROUND(G2566/2,0)</f>
        <v>77</v>
      </c>
      <c r="I2566" s="12">
        <f>G2566-H2566</f>
        <v>76</v>
      </c>
      <c r="J2566" s="3" t="str">
        <f t="shared" si="188"/>
        <v>3520009</v>
      </c>
    </row>
    <row r="2567" spans="2:10" s="3" customFormat="1">
      <c r="B2567" s="3" t="s">
        <v>2121</v>
      </c>
      <c r="C2567" s="8">
        <v>2</v>
      </c>
      <c r="D2567" s="3" t="s">
        <v>2197</v>
      </c>
      <c r="E2567" s="11" t="s">
        <v>20</v>
      </c>
      <c r="F2567" s="11"/>
      <c r="G2567" s="9"/>
      <c r="H2567" s="11"/>
      <c r="I2567" s="11"/>
      <c r="J2567" s="3" t="str">
        <f t="shared" si="188"/>
        <v>3520010</v>
      </c>
    </row>
    <row r="2568" spans="2:10" s="3" customFormat="1">
      <c r="B2568" s="3" t="s">
        <v>2121</v>
      </c>
      <c r="C2568" s="8">
        <v>2</v>
      </c>
      <c r="D2568" s="3" t="s">
        <v>2197</v>
      </c>
      <c r="E2568" s="11" t="s">
        <v>10</v>
      </c>
      <c r="F2568" s="10">
        <v>9.9799999999999997E-4</v>
      </c>
      <c r="G2568" s="12">
        <f>ROUND(G$3*F2568,0)</f>
        <v>287</v>
      </c>
      <c r="H2568" s="13">
        <f>ROUND(G2568/2,0)</f>
        <v>144</v>
      </c>
      <c r="I2568" s="12">
        <f>G2568-H2568</f>
        <v>143</v>
      </c>
      <c r="J2568" s="3" t="str">
        <f t="shared" si="188"/>
        <v>3520010</v>
      </c>
    </row>
    <row r="2569" spans="2:10" s="3" customFormat="1">
      <c r="B2569" s="3" t="s">
        <v>2121</v>
      </c>
      <c r="C2569" s="8">
        <v>2</v>
      </c>
      <c r="D2569" s="3" t="s">
        <v>2197</v>
      </c>
      <c r="E2569" s="11" t="s">
        <v>11</v>
      </c>
      <c r="F2569" s="10">
        <v>6.8300000000000001E-4</v>
      </c>
      <c r="G2569" s="12">
        <f>ROUND(G$3*F2569,0)</f>
        <v>197</v>
      </c>
      <c r="H2569" s="13">
        <f>ROUND(G2569/2,0)</f>
        <v>99</v>
      </c>
      <c r="I2569" s="12">
        <f>G2569-H2569</f>
        <v>98</v>
      </c>
      <c r="J2569" s="3" t="str">
        <f t="shared" si="188"/>
        <v>3520010</v>
      </c>
    </row>
    <row r="2570" spans="2:10" s="3" customFormat="1">
      <c r="B2570" s="3" t="s">
        <v>2121</v>
      </c>
      <c r="C2570" s="8">
        <v>2</v>
      </c>
      <c r="D2570" s="3" t="s">
        <v>2198</v>
      </c>
      <c r="E2570" s="11" t="s">
        <v>272</v>
      </c>
      <c r="F2570" s="11"/>
      <c r="G2570" s="9"/>
      <c r="H2570" s="11"/>
      <c r="I2570" s="11"/>
      <c r="J2570" s="3" t="str">
        <f t="shared" si="188"/>
        <v>3520011</v>
      </c>
    </row>
    <row r="2571" spans="2:10" s="3" customFormat="1">
      <c r="B2571" s="3" t="s">
        <v>2121</v>
      </c>
      <c r="C2571" s="8">
        <v>2</v>
      </c>
      <c r="D2571" s="3" t="s">
        <v>2198</v>
      </c>
      <c r="E2571" s="11" t="s">
        <v>10</v>
      </c>
      <c r="F2571" s="10">
        <v>1.934E-3</v>
      </c>
      <c r="G2571" s="12">
        <f>ROUND(G$3*F2571,0)</f>
        <v>556</v>
      </c>
      <c r="H2571" s="13">
        <f>ROUND(G2571/2,0)</f>
        <v>278</v>
      </c>
      <c r="I2571" s="12">
        <f>G2571-H2571</f>
        <v>278</v>
      </c>
      <c r="J2571" s="3" t="str">
        <f t="shared" si="188"/>
        <v>3520011</v>
      </c>
    </row>
    <row r="2572" spans="2:10" s="3" customFormat="1">
      <c r="B2572" s="3" t="s">
        <v>2121</v>
      </c>
      <c r="C2572" s="8">
        <v>2</v>
      </c>
      <c r="D2572" s="3" t="s">
        <v>2198</v>
      </c>
      <c r="E2572" s="11" t="s">
        <v>11</v>
      </c>
      <c r="F2572" s="10">
        <v>1.2880000000000001E-3</v>
      </c>
      <c r="G2572" s="12">
        <f>ROUND(G$3*F2572,0)</f>
        <v>371</v>
      </c>
      <c r="H2572" s="13">
        <f>ROUND(G2572/2,0)</f>
        <v>186</v>
      </c>
      <c r="I2572" s="12">
        <f>G2572-H2572</f>
        <v>185</v>
      </c>
      <c r="J2572" s="3" t="str">
        <f t="shared" si="188"/>
        <v>3520011</v>
      </c>
    </row>
    <row r="2573" spans="2:10" s="3" customFormat="1">
      <c r="B2573" s="3" t="s">
        <v>2121</v>
      </c>
      <c r="C2573" s="8">
        <v>2</v>
      </c>
      <c r="D2573" s="3" t="s">
        <v>2199</v>
      </c>
      <c r="E2573" s="11" t="s">
        <v>61</v>
      </c>
      <c r="F2573" s="11"/>
      <c r="G2573" s="9"/>
      <c r="H2573" s="11"/>
      <c r="I2573" s="11"/>
      <c r="J2573" s="3" t="str">
        <f t="shared" si="188"/>
        <v>3520012</v>
      </c>
    </row>
    <row r="2574" spans="2:10" s="3" customFormat="1">
      <c r="B2574" s="3" t="s">
        <v>2121</v>
      </c>
      <c r="C2574" s="8">
        <v>2</v>
      </c>
      <c r="D2574" s="3" t="s">
        <v>2199</v>
      </c>
      <c r="E2574" s="11" t="s">
        <v>10</v>
      </c>
      <c r="F2574" s="10">
        <v>2.8499999999999999E-4</v>
      </c>
      <c r="G2574" s="12">
        <f t="shared" ref="G2574:G2582" si="189">ROUND(G$3*F2574,0)</f>
        <v>82</v>
      </c>
      <c r="H2574" s="13">
        <f t="shared" ref="H2574:H2582" si="190">ROUND(G2574/2,0)</f>
        <v>41</v>
      </c>
      <c r="I2574" s="12">
        <f t="shared" ref="I2574:I2582" si="191">G2574-H2574</f>
        <v>41</v>
      </c>
      <c r="J2574" s="3" t="str">
        <f t="shared" si="188"/>
        <v>3520012</v>
      </c>
    </row>
    <row r="2575" spans="2:10" s="3" customFormat="1">
      <c r="B2575" s="3" t="s">
        <v>2121</v>
      </c>
      <c r="C2575" s="8">
        <v>2</v>
      </c>
      <c r="D2575" s="3" t="s">
        <v>2199</v>
      </c>
      <c r="E2575" s="11" t="s">
        <v>11</v>
      </c>
      <c r="F2575" s="10">
        <v>7.3099999999999999E-4</v>
      </c>
      <c r="G2575" s="12">
        <f t="shared" si="189"/>
        <v>210</v>
      </c>
      <c r="H2575" s="13">
        <f t="shared" si="190"/>
        <v>105</v>
      </c>
      <c r="I2575" s="12">
        <f t="shared" si="191"/>
        <v>105</v>
      </c>
      <c r="J2575" s="3" t="str">
        <f t="shared" si="188"/>
        <v>3520012</v>
      </c>
    </row>
    <row r="2576" spans="2:10" s="3" customFormat="1">
      <c r="B2576" s="3" t="s">
        <v>2121</v>
      </c>
      <c r="C2576" s="8">
        <v>3</v>
      </c>
      <c r="D2576" s="3" t="s">
        <v>2600</v>
      </c>
      <c r="E2576" s="11" t="s">
        <v>797</v>
      </c>
      <c r="F2576" s="10">
        <v>5.0900000000000001E-4</v>
      </c>
      <c r="G2576" s="12">
        <f t="shared" si="189"/>
        <v>146</v>
      </c>
      <c r="H2576" s="13">
        <f t="shared" si="190"/>
        <v>73</v>
      </c>
      <c r="I2576" s="12">
        <f t="shared" si="191"/>
        <v>73</v>
      </c>
      <c r="J2576" s="3" t="str">
        <f t="shared" si="188"/>
        <v>3530683</v>
      </c>
    </row>
    <row r="2577" spans="2:10" s="3" customFormat="1">
      <c r="B2577" s="3" t="s">
        <v>2121</v>
      </c>
      <c r="C2577" s="8">
        <v>3</v>
      </c>
      <c r="D2577" s="3" t="s">
        <v>2599</v>
      </c>
      <c r="E2577" s="11" t="s">
        <v>798</v>
      </c>
      <c r="F2577" s="10">
        <v>0.150117</v>
      </c>
      <c r="G2577" s="12">
        <f t="shared" si="189"/>
        <v>43192</v>
      </c>
      <c r="H2577" s="13">
        <f t="shared" si="190"/>
        <v>21596</v>
      </c>
      <c r="I2577" s="12">
        <f t="shared" si="191"/>
        <v>21596</v>
      </c>
      <c r="J2577" s="3" t="str">
        <f t="shared" si="188"/>
        <v>3530307</v>
      </c>
    </row>
    <row r="2578" spans="2:10" s="3" customFormat="1">
      <c r="B2578" s="3" t="s">
        <v>2121</v>
      </c>
      <c r="C2578" s="8">
        <v>3</v>
      </c>
      <c r="D2578" s="3" t="s">
        <v>2601</v>
      </c>
      <c r="E2578" s="11" t="s">
        <v>799</v>
      </c>
      <c r="F2578" s="10">
        <v>1.0430000000000001E-3</v>
      </c>
      <c r="G2578" s="12">
        <f t="shared" si="189"/>
        <v>300</v>
      </c>
      <c r="H2578" s="13">
        <f t="shared" si="190"/>
        <v>150</v>
      </c>
      <c r="I2578" s="12">
        <f t="shared" si="191"/>
        <v>150</v>
      </c>
      <c r="J2578" s="3" t="str">
        <f t="shared" si="188"/>
        <v>3530684</v>
      </c>
    </row>
    <row r="2579" spans="2:10" s="3" customFormat="1">
      <c r="B2579" s="3" t="s">
        <v>2121</v>
      </c>
      <c r="C2579" s="8">
        <v>3</v>
      </c>
      <c r="D2579" s="3" t="s">
        <v>2602</v>
      </c>
      <c r="E2579" s="11" t="s">
        <v>800</v>
      </c>
      <c r="F2579" s="10">
        <v>3.8999999999999999E-5</v>
      </c>
      <c r="G2579" s="12">
        <f t="shared" si="189"/>
        <v>11</v>
      </c>
      <c r="H2579" s="13">
        <f t="shared" si="190"/>
        <v>6</v>
      </c>
      <c r="I2579" s="12">
        <f t="shared" si="191"/>
        <v>5</v>
      </c>
      <c r="J2579" s="3" t="str">
        <f t="shared" si="188"/>
        <v>3530685</v>
      </c>
    </row>
    <row r="2580" spans="2:10" s="3" customFormat="1">
      <c r="B2580" s="3" t="s">
        <v>2121</v>
      </c>
      <c r="C2580" s="8">
        <v>3</v>
      </c>
      <c r="D2580" s="3" t="s">
        <v>2603</v>
      </c>
      <c r="E2580" s="11" t="s">
        <v>801</v>
      </c>
      <c r="F2580" s="10">
        <v>1.0870000000000001E-3</v>
      </c>
      <c r="G2580" s="12">
        <f t="shared" si="189"/>
        <v>313</v>
      </c>
      <c r="H2580" s="13">
        <f t="shared" si="190"/>
        <v>157</v>
      </c>
      <c r="I2580" s="12">
        <f t="shared" si="191"/>
        <v>156</v>
      </c>
      <c r="J2580" s="3" t="str">
        <f t="shared" si="188"/>
        <v>3530686</v>
      </c>
    </row>
    <row r="2581" spans="2:10" s="3" customFormat="1">
      <c r="B2581" s="3" t="s">
        <v>2121</v>
      </c>
      <c r="C2581" s="8">
        <v>3</v>
      </c>
      <c r="D2581" s="3" t="s">
        <v>2604</v>
      </c>
      <c r="E2581" s="11" t="s">
        <v>802</v>
      </c>
      <c r="F2581" s="10">
        <v>1.0362E-2</v>
      </c>
      <c r="G2581" s="12">
        <f t="shared" si="189"/>
        <v>2981</v>
      </c>
      <c r="H2581" s="13">
        <f t="shared" si="190"/>
        <v>1491</v>
      </c>
      <c r="I2581" s="12">
        <f t="shared" si="191"/>
        <v>1490</v>
      </c>
      <c r="J2581" s="3" t="str">
        <f t="shared" si="188"/>
        <v>3530687</v>
      </c>
    </row>
    <row r="2582" spans="2:10" s="3" customFormat="1">
      <c r="B2582" s="3" t="s">
        <v>2121</v>
      </c>
      <c r="C2582" s="8">
        <v>4</v>
      </c>
      <c r="D2582" s="116" t="s">
        <v>2605</v>
      </c>
      <c r="E2582" s="11" t="s">
        <v>803</v>
      </c>
      <c r="F2582" s="10">
        <v>0.58491000000000004</v>
      </c>
      <c r="G2582" s="9">
        <f t="shared" si="189"/>
        <v>168292</v>
      </c>
      <c r="H2582" s="11">
        <f t="shared" si="190"/>
        <v>84146</v>
      </c>
      <c r="I2582" s="9">
        <f t="shared" si="191"/>
        <v>84146</v>
      </c>
      <c r="J2582" s="3" t="str">
        <f t="shared" si="188"/>
        <v>3543625</v>
      </c>
    </row>
    <row r="2583" spans="2:10" s="3" customFormat="1">
      <c r="B2583" s="3" t="s">
        <v>2121</v>
      </c>
      <c r="C2583" s="8">
        <v>4</v>
      </c>
      <c r="D2583" s="116" t="s">
        <v>2605</v>
      </c>
      <c r="E2583" s="11" t="s">
        <v>28</v>
      </c>
      <c r="F2583" s="11"/>
      <c r="G2583" s="14">
        <v>0.44848500000000002</v>
      </c>
      <c r="H2583" s="11"/>
      <c r="I2583" s="11"/>
      <c r="J2583" s="3" t="str">
        <f t="shared" si="188"/>
        <v>3543625</v>
      </c>
    </row>
    <row r="2584" spans="2:10" s="3" customFormat="1">
      <c r="B2584" s="3" t="s">
        <v>2121</v>
      </c>
      <c r="C2584" s="8">
        <v>4</v>
      </c>
      <c r="D2584" s="116" t="s">
        <v>2605</v>
      </c>
      <c r="E2584" s="11" t="s">
        <v>29</v>
      </c>
      <c r="F2584" s="11"/>
      <c r="G2584" s="15">
        <f>ROUND(G2582*G2583,0)</f>
        <v>75476</v>
      </c>
      <c r="H2584" s="16">
        <f t="shared" ref="H2584:H2591" si="192">ROUND(G2584/2,0)</f>
        <v>37738</v>
      </c>
      <c r="I2584" s="15">
        <f t="shared" ref="I2584:I2591" si="193">G2584-H2584</f>
        <v>37738</v>
      </c>
      <c r="J2584" s="3" t="str">
        <f t="shared" si="188"/>
        <v>3543625</v>
      </c>
    </row>
    <row r="2585" spans="2:10" s="3" customFormat="1">
      <c r="B2585" s="3" t="s">
        <v>2121</v>
      </c>
      <c r="C2585" s="8">
        <v>4</v>
      </c>
      <c r="D2585" s="116" t="s">
        <v>2605</v>
      </c>
      <c r="E2585" s="11" t="s">
        <v>30</v>
      </c>
      <c r="F2585" s="11"/>
      <c r="G2585" s="12">
        <f>+G2582-G2584</f>
        <v>92816</v>
      </c>
      <c r="H2585" s="13">
        <f t="shared" si="192"/>
        <v>46408</v>
      </c>
      <c r="I2585" s="12">
        <f t="shared" si="193"/>
        <v>46408</v>
      </c>
      <c r="J2585" s="3" t="str">
        <f t="shared" si="188"/>
        <v>3543625</v>
      </c>
    </row>
    <row r="2586" spans="2:10" s="3" customFormat="1">
      <c r="B2586" s="3" t="s">
        <v>2121</v>
      </c>
      <c r="C2586" s="8">
        <v>5</v>
      </c>
      <c r="D2586" s="3" t="s">
        <v>2606</v>
      </c>
      <c r="E2586" s="11" t="s">
        <v>804</v>
      </c>
      <c r="F2586" s="10">
        <v>6.1600000000000001E-4</v>
      </c>
      <c r="G2586" s="120">
        <f>ROUND(G$3*F2586,0)</f>
        <v>177</v>
      </c>
      <c r="H2586" s="120">
        <f t="shared" si="192"/>
        <v>89</v>
      </c>
      <c r="I2586" s="120">
        <f t="shared" si="193"/>
        <v>88</v>
      </c>
      <c r="J2586" s="3" t="str">
        <f t="shared" si="188"/>
        <v>3550096</v>
      </c>
    </row>
    <row r="2587" spans="2:10" s="3" customFormat="1">
      <c r="B2587" s="3" t="s">
        <v>2121</v>
      </c>
      <c r="C2587" s="8">
        <v>5</v>
      </c>
      <c r="D2587" s="3" t="s">
        <v>2608</v>
      </c>
      <c r="E2587" s="11" t="s">
        <v>805</v>
      </c>
      <c r="F2587" s="10">
        <v>2.0475E-2</v>
      </c>
      <c r="G2587" s="120">
        <f>ROUND(G$3*F2587,0)</f>
        <v>5891</v>
      </c>
      <c r="H2587" s="120">
        <f t="shared" si="192"/>
        <v>2946</v>
      </c>
      <c r="I2587" s="120">
        <f t="shared" si="193"/>
        <v>2945</v>
      </c>
      <c r="J2587" s="3" t="str">
        <f t="shared" si="188"/>
        <v>3550302</v>
      </c>
    </row>
    <row r="2588" spans="2:10" s="128" customFormat="1">
      <c r="B2588" s="128" t="s">
        <v>2121</v>
      </c>
      <c r="C2588" s="129">
        <v>5</v>
      </c>
      <c r="D2588" s="128" t="s">
        <v>6267</v>
      </c>
      <c r="E2588" s="131" t="s">
        <v>806</v>
      </c>
      <c r="F2588" s="133">
        <v>1.1E-4</v>
      </c>
      <c r="G2588" s="137">
        <f>ROUND(G$3*F2588,0)</f>
        <v>32</v>
      </c>
      <c r="H2588" s="137">
        <f t="shared" si="192"/>
        <v>16</v>
      </c>
      <c r="I2588" s="137">
        <f t="shared" si="193"/>
        <v>16</v>
      </c>
      <c r="J2588" s="128" t="str">
        <f t="shared" si="188"/>
        <v>355XXXX</v>
      </c>
    </row>
    <row r="2589" spans="2:10" s="3" customFormat="1">
      <c r="B2589" s="3" t="s">
        <v>2121</v>
      </c>
      <c r="C2589" s="8">
        <v>5</v>
      </c>
      <c r="D2589" s="3" t="s">
        <v>2249</v>
      </c>
      <c r="E2589" s="11" t="s">
        <v>807</v>
      </c>
      <c r="F2589" s="10">
        <v>1.1E-4</v>
      </c>
      <c r="G2589" s="120">
        <f>ROUND(G$3*F2589,0)</f>
        <v>32</v>
      </c>
      <c r="H2589" s="120">
        <f t="shared" si="192"/>
        <v>16</v>
      </c>
      <c r="I2589" s="120">
        <f t="shared" si="193"/>
        <v>16</v>
      </c>
      <c r="J2589" s="3" t="str">
        <f t="shared" si="188"/>
        <v>3550098</v>
      </c>
    </row>
    <row r="2590" spans="2:10" s="3" customFormat="1">
      <c r="B2590" s="3" t="s">
        <v>2121</v>
      </c>
      <c r="C2590" s="8">
        <v>5</v>
      </c>
      <c r="D2590" s="3" t="s">
        <v>2607</v>
      </c>
      <c r="E2590" s="11" t="s">
        <v>808</v>
      </c>
      <c r="F2590" s="10">
        <v>3.901E-3</v>
      </c>
      <c r="G2590" s="120">
        <f>ROUND(G$3*F2590,0)</f>
        <v>1122</v>
      </c>
      <c r="H2590" s="120">
        <f t="shared" si="192"/>
        <v>561</v>
      </c>
      <c r="I2590" s="120">
        <f t="shared" si="193"/>
        <v>561</v>
      </c>
      <c r="J2590" s="3" t="str">
        <f t="shared" si="188"/>
        <v>3550099</v>
      </c>
    </row>
    <row r="2591" spans="2:10" s="3" customFormat="1">
      <c r="B2591" s="3" t="s">
        <v>2121</v>
      </c>
      <c r="C2591" s="8">
        <v>6</v>
      </c>
      <c r="D2591" s="3" t="s">
        <v>4375</v>
      </c>
      <c r="E2591" s="11" t="s">
        <v>809</v>
      </c>
      <c r="F2591" s="10">
        <v>3.9319999999999355E-3</v>
      </c>
      <c r="G2591" s="120">
        <f>+G2534-SUM(G2535:G2536)-SUM(G2541:G2582)-SUM(G2586:G2590)</f>
        <v>112622</v>
      </c>
      <c r="H2591" s="120">
        <f t="shared" si="192"/>
        <v>56311</v>
      </c>
      <c r="I2591" s="120">
        <f t="shared" si="193"/>
        <v>56311</v>
      </c>
      <c r="J2591" s="3" t="str">
        <f t="shared" si="188"/>
        <v>3561055</v>
      </c>
    </row>
    <row r="2592" spans="2:10" s="3" customFormat="1">
      <c r="B2592" s="3" t="s">
        <v>2121</v>
      </c>
      <c r="C2592" s="8">
        <v>0</v>
      </c>
      <c r="D2592" s="125" t="s">
        <v>2187</v>
      </c>
      <c r="E2592" s="28" t="s">
        <v>288</v>
      </c>
      <c r="F2592" s="10">
        <v>1</v>
      </c>
      <c r="G2592" s="12">
        <f>+G2535+SUM(G2538:G2581)+SUM(G2584:G2591)</f>
        <v>399214</v>
      </c>
      <c r="H2592" s="12">
        <f>+H2535+SUM(H2538:H2581)+SUM(H2584:H2591)</f>
        <v>199616</v>
      </c>
      <c r="I2592" s="12">
        <f>+I2535+SUM(I2538:I2581)+SUM(I2584:I2591)</f>
        <v>199598</v>
      </c>
      <c r="J2592" s="3" t="str">
        <f t="shared" si="188"/>
        <v>3500000</v>
      </c>
    </row>
    <row r="2593" spans="2:10" s="3" customFormat="1">
      <c r="B2593" s="3" t="s">
        <v>2121</v>
      </c>
      <c r="C2593" s="8">
        <v>0</v>
      </c>
      <c r="D2593" s="3" t="s">
        <v>2187</v>
      </c>
      <c r="E2593" s="18" t="s">
        <v>38</v>
      </c>
      <c r="G2593" s="19">
        <f>+G2535</f>
        <v>333</v>
      </c>
      <c r="H2593" s="19">
        <f>+H2535</f>
        <v>167</v>
      </c>
      <c r="I2593" s="19">
        <f>+I2535</f>
        <v>166</v>
      </c>
      <c r="J2593" s="3" t="str">
        <f t="shared" si="188"/>
        <v>3500000</v>
      </c>
    </row>
    <row r="2594" spans="2:10" s="3" customFormat="1">
      <c r="B2594" s="3" t="s">
        <v>2121</v>
      </c>
      <c r="C2594" s="8">
        <v>0</v>
      </c>
      <c r="D2594" s="3" t="s">
        <v>2187</v>
      </c>
      <c r="E2594" s="2" t="s">
        <v>39</v>
      </c>
      <c r="G2594" s="19">
        <f>+G2538</f>
        <v>10201</v>
      </c>
      <c r="H2594" s="19">
        <f>+H2538</f>
        <v>5101</v>
      </c>
      <c r="I2594" s="19">
        <f>+I2538</f>
        <v>5100</v>
      </c>
      <c r="J2594" s="3" t="str">
        <f t="shared" si="188"/>
        <v>3500000</v>
      </c>
    </row>
    <row r="2595" spans="2:10" s="3" customFormat="1">
      <c r="B2595" s="3" t="s">
        <v>2121</v>
      </c>
      <c r="C2595" s="8">
        <v>0</v>
      </c>
      <c r="D2595" s="3" t="s">
        <v>2187</v>
      </c>
      <c r="E2595" s="2" t="s">
        <v>40</v>
      </c>
      <c r="G2595" s="19">
        <f>+G2584</f>
        <v>75476</v>
      </c>
      <c r="H2595" s="19">
        <f>+H2584</f>
        <v>37738</v>
      </c>
      <c r="I2595" s="19">
        <f>+I2584</f>
        <v>37738</v>
      </c>
      <c r="J2595" s="3" t="str">
        <f t="shared" si="188"/>
        <v>3500000</v>
      </c>
    </row>
    <row r="2596" spans="2:10" s="3" customFormat="1">
      <c r="B2596" s="3" t="s">
        <v>2121</v>
      </c>
      <c r="C2596" s="8">
        <v>0</v>
      </c>
      <c r="D2596" s="125" t="s">
        <v>2187</v>
      </c>
      <c r="E2596" s="18" t="s">
        <v>41</v>
      </c>
      <c r="G2596" s="19">
        <f>+G2592-G2593-G2594-G2595</f>
        <v>313204</v>
      </c>
      <c r="H2596" s="19">
        <f>+H2592-H2593-H2594-H2595</f>
        <v>156610</v>
      </c>
      <c r="I2596" s="19">
        <f>+I2592-I2593-I2594-I2595</f>
        <v>156594</v>
      </c>
      <c r="J2596" s="3" t="str">
        <f t="shared" si="188"/>
        <v>3500000</v>
      </c>
    </row>
    <row r="2597" spans="2:10" ht="15.75">
      <c r="B2597" s="3" t="s">
        <v>2186</v>
      </c>
      <c r="D2597" t="s">
        <v>2186</v>
      </c>
      <c r="E2597">
        <v>0</v>
      </c>
      <c r="G2597"/>
      <c r="H2597"/>
      <c r="I2597"/>
      <c r="J2597" s="3" t="str">
        <f t="shared" si="188"/>
        <v/>
      </c>
    </row>
    <row r="2598" spans="2:10" s="3" customFormat="1">
      <c r="C2598" s="1"/>
      <c r="D2598" s="3" t="s">
        <v>2186</v>
      </c>
      <c r="E2598" s="2" t="s">
        <v>810</v>
      </c>
      <c r="J2598" s="3" t="str">
        <f t="shared" si="188"/>
        <v/>
      </c>
    </row>
    <row r="2599" spans="2:10" s="3" customFormat="1" ht="45">
      <c r="B2599" s="3" t="s">
        <v>2186</v>
      </c>
      <c r="C2599" s="1"/>
      <c r="D2599" s="3" t="s">
        <v>2186</v>
      </c>
      <c r="E2599" s="1">
        <v>0</v>
      </c>
      <c r="F2599" s="6" t="s">
        <v>1</v>
      </c>
      <c r="G2599" s="60">
        <f>'Allocation Worksheet'!H2599</f>
        <v>0</v>
      </c>
      <c r="H2599" s="60">
        <f>'Allocation Worksheet'!H2600</f>
        <v>0</v>
      </c>
      <c r="I2599" s="60">
        <f>'Allocation Worksheet'!H2601</f>
        <v>0</v>
      </c>
      <c r="J2599" s="3" t="str">
        <f t="shared" si="188"/>
        <v/>
      </c>
    </row>
    <row r="2600" spans="2:10" s="3" customFormat="1">
      <c r="C2600" s="7" t="s">
        <v>2087</v>
      </c>
      <c r="D2600" s="3" t="s">
        <v>2186</v>
      </c>
      <c r="E2600" s="7" t="s">
        <v>3</v>
      </c>
      <c r="F2600" s="10"/>
      <c r="G2600" s="9">
        <f>'Allocation Worksheet'!$D$39</f>
        <v>502117</v>
      </c>
      <c r="H2600" s="11"/>
      <c r="I2600" s="11"/>
      <c r="J2600" s="3" t="str">
        <f t="shared" si="188"/>
        <v>UT</v>
      </c>
    </row>
    <row r="2601" spans="2:10" s="3" customFormat="1">
      <c r="B2601" s="3" t="s">
        <v>2122</v>
      </c>
      <c r="C2601" s="8">
        <v>0</v>
      </c>
      <c r="D2601" s="3" t="s">
        <v>2187</v>
      </c>
      <c r="E2601" s="11" t="s">
        <v>4</v>
      </c>
      <c r="F2601" s="10">
        <v>1.5169999999999999E-3</v>
      </c>
      <c r="G2601" s="12">
        <f>ROUND(G$3*F2601,0)</f>
        <v>436</v>
      </c>
      <c r="H2601" s="13">
        <f>ROUND(G2601/2,0)</f>
        <v>218</v>
      </c>
      <c r="I2601" s="12">
        <f>G2601-H2601</f>
        <v>218</v>
      </c>
      <c r="J2601" s="3" t="str">
        <f t="shared" si="188"/>
        <v>3600000</v>
      </c>
    </row>
    <row r="2602" spans="2:10" s="3" customFormat="1">
      <c r="B2602" s="3" t="s">
        <v>2122</v>
      </c>
      <c r="C2602" s="8">
        <v>1</v>
      </c>
      <c r="D2602" s="3" t="s">
        <v>2187</v>
      </c>
      <c r="E2602" s="11" t="s">
        <v>811</v>
      </c>
      <c r="F2602" s="10">
        <v>0.133662</v>
      </c>
      <c r="G2602" s="9">
        <f>ROUND(G$3*F2602,0)</f>
        <v>38458</v>
      </c>
      <c r="H2602" s="11">
        <f>ROUND(G2602/2,0)</f>
        <v>19229</v>
      </c>
      <c r="I2602" s="9">
        <f>G2602-H2602</f>
        <v>19229</v>
      </c>
      <c r="J2602" s="3" t="str">
        <f t="shared" si="188"/>
        <v>3610000</v>
      </c>
    </row>
    <row r="2603" spans="2:10" s="3" customFormat="1">
      <c r="B2603" s="3" t="s">
        <v>2122</v>
      </c>
      <c r="C2603" s="8">
        <v>1</v>
      </c>
      <c r="D2603" s="3" t="s">
        <v>2187</v>
      </c>
      <c r="E2603" s="11" t="s">
        <v>6</v>
      </c>
      <c r="F2603" s="11"/>
      <c r="G2603" s="14">
        <v>0.22754199999999999</v>
      </c>
      <c r="H2603" s="11"/>
      <c r="I2603" s="11"/>
      <c r="J2603" s="3" t="str">
        <f t="shared" si="188"/>
        <v>3610000</v>
      </c>
    </row>
    <row r="2604" spans="2:10" s="3" customFormat="1">
      <c r="B2604" s="3" t="s">
        <v>2122</v>
      </c>
      <c r="C2604" s="8">
        <v>1</v>
      </c>
      <c r="D2604" s="3" t="s">
        <v>2187</v>
      </c>
      <c r="E2604" s="11" t="s">
        <v>7</v>
      </c>
      <c r="F2604" s="11"/>
      <c r="G2604" s="15">
        <f>ROUND(G2602*G2603,0)</f>
        <v>8751</v>
      </c>
      <c r="H2604" s="16">
        <f>ROUND(G2604/2,0)</f>
        <v>4376</v>
      </c>
      <c r="I2604" s="15">
        <f>G2604-H2604</f>
        <v>4375</v>
      </c>
      <c r="J2604" s="3" t="str">
        <f t="shared" si="188"/>
        <v>3610000</v>
      </c>
    </row>
    <row r="2605" spans="2:10" s="3" customFormat="1">
      <c r="B2605" s="3" t="s">
        <v>2122</v>
      </c>
      <c r="C2605" s="8">
        <v>1</v>
      </c>
      <c r="D2605" s="3" t="s">
        <v>2187</v>
      </c>
      <c r="E2605" s="11" t="s">
        <v>8</v>
      </c>
      <c r="F2605" s="11"/>
      <c r="G2605" s="12">
        <f>+G2602-G2604</f>
        <v>29707</v>
      </c>
      <c r="H2605" s="13">
        <f>ROUND(G2605/2,0)</f>
        <v>14854</v>
      </c>
      <c r="I2605" s="12">
        <f>G2605-H2605</f>
        <v>14853</v>
      </c>
      <c r="J2605" s="3" t="str">
        <f t="shared" si="188"/>
        <v>3610000</v>
      </c>
    </row>
    <row r="2606" spans="2:10" s="3" customFormat="1">
      <c r="B2606" s="3" t="s">
        <v>2122</v>
      </c>
      <c r="C2606" s="8">
        <v>2</v>
      </c>
      <c r="D2606" s="3" t="s">
        <v>2188</v>
      </c>
      <c r="E2606" s="11" t="s">
        <v>812</v>
      </c>
      <c r="F2606" s="11"/>
      <c r="G2606" s="9"/>
      <c r="H2606" s="11"/>
      <c r="I2606" s="11"/>
      <c r="J2606" s="3" t="str">
        <f t="shared" si="188"/>
        <v>3620001</v>
      </c>
    </row>
    <row r="2607" spans="2:10" s="3" customFormat="1">
      <c r="B2607" s="3" t="s">
        <v>2122</v>
      </c>
      <c r="C2607" s="8">
        <v>2</v>
      </c>
      <c r="D2607" s="3" t="s">
        <v>2188</v>
      </c>
      <c r="E2607" s="11" t="s">
        <v>10</v>
      </c>
      <c r="F2607" s="10">
        <v>1.2310000000000001E-3</v>
      </c>
      <c r="G2607" s="12">
        <f>ROUND(G$3*F2607,0)</f>
        <v>354</v>
      </c>
      <c r="H2607" s="13">
        <f>ROUND(G2607/2,0)</f>
        <v>177</v>
      </c>
      <c r="I2607" s="12">
        <f>G2607-H2607</f>
        <v>177</v>
      </c>
      <c r="J2607" s="3" t="str">
        <f t="shared" si="188"/>
        <v>3620001</v>
      </c>
    </row>
    <row r="2608" spans="2:10" s="3" customFormat="1">
      <c r="B2608" s="3" t="s">
        <v>2122</v>
      </c>
      <c r="C2608" s="8">
        <v>2</v>
      </c>
      <c r="D2608" s="3" t="s">
        <v>2188</v>
      </c>
      <c r="E2608" s="11" t="s">
        <v>11</v>
      </c>
      <c r="F2608" s="10">
        <v>5.3700000000000004E-4</v>
      </c>
      <c r="G2608" s="12">
        <f>ROUND(G$3*F2608,0)</f>
        <v>155</v>
      </c>
      <c r="H2608" s="13">
        <f>ROUND(G2608/2,0)</f>
        <v>78</v>
      </c>
      <c r="I2608" s="12">
        <f>G2608-H2608</f>
        <v>77</v>
      </c>
      <c r="J2608" s="3" t="str">
        <f t="shared" si="188"/>
        <v>3620001</v>
      </c>
    </row>
    <row r="2609" spans="1:10" s="3" customFormat="1">
      <c r="B2609" s="3" t="s">
        <v>2122</v>
      </c>
      <c r="C2609" s="8">
        <v>2</v>
      </c>
      <c r="D2609" s="3" t="s">
        <v>2189</v>
      </c>
      <c r="E2609" s="11" t="s">
        <v>220</v>
      </c>
      <c r="F2609" s="11"/>
      <c r="G2609" s="9"/>
      <c r="H2609" s="11"/>
      <c r="I2609" s="11"/>
      <c r="J2609" s="3" t="str">
        <f t="shared" si="188"/>
        <v>3620002</v>
      </c>
    </row>
    <row r="2610" spans="1:10" s="3" customFormat="1">
      <c r="B2610" s="3" t="s">
        <v>2122</v>
      </c>
      <c r="C2610" s="8">
        <v>2</v>
      </c>
      <c r="D2610" s="3" t="s">
        <v>2189</v>
      </c>
      <c r="E2610" s="11" t="s">
        <v>10</v>
      </c>
      <c r="F2610" s="10">
        <v>1.1180000000000001E-3</v>
      </c>
      <c r="G2610" s="12">
        <f>ROUND(G$3*F2610,0)</f>
        <v>322</v>
      </c>
      <c r="H2610" s="13">
        <f>ROUND(G2610/2,0)</f>
        <v>161</v>
      </c>
      <c r="I2610" s="12">
        <f>G2610-H2610</f>
        <v>161</v>
      </c>
      <c r="J2610" s="3" t="str">
        <f t="shared" si="188"/>
        <v>3620002</v>
      </c>
    </row>
    <row r="2611" spans="1:10" s="3" customFormat="1">
      <c r="B2611" s="3" t="s">
        <v>2122</v>
      </c>
      <c r="C2611" s="8">
        <v>2</v>
      </c>
      <c r="D2611" s="3" t="s">
        <v>2189</v>
      </c>
      <c r="E2611" s="11" t="s">
        <v>11</v>
      </c>
      <c r="F2611" s="10">
        <v>6.5700000000000003E-4</v>
      </c>
      <c r="G2611" s="12">
        <f>ROUND(G$3*F2611,0)</f>
        <v>189</v>
      </c>
      <c r="H2611" s="13">
        <f>ROUND(G2611/2,0)</f>
        <v>95</v>
      </c>
      <c r="I2611" s="12">
        <f>G2611-H2611</f>
        <v>94</v>
      </c>
      <c r="J2611" s="3" t="str">
        <f t="shared" si="188"/>
        <v>3620002</v>
      </c>
    </row>
    <row r="2612" spans="1:10" s="3" customFormat="1">
      <c r="B2612" s="3" t="s">
        <v>2122</v>
      </c>
      <c r="C2612" s="8">
        <v>2</v>
      </c>
      <c r="D2612" s="3" t="s">
        <v>2190</v>
      </c>
      <c r="E2612" s="11" t="s">
        <v>813</v>
      </c>
      <c r="F2612" s="11"/>
      <c r="G2612" s="9"/>
      <c r="H2612" s="11"/>
      <c r="I2612" s="11"/>
      <c r="J2612" s="3" t="str">
        <f t="shared" si="188"/>
        <v>3620003</v>
      </c>
    </row>
    <row r="2613" spans="1:10" s="3" customFormat="1">
      <c r="B2613" s="3" t="s">
        <v>2122</v>
      </c>
      <c r="C2613" s="8">
        <v>2</v>
      </c>
      <c r="D2613" s="3" t="s">
        <v>2190</v>
      </c>
      <c r="E2613" s="11" t="s">
        <v>10</v>
      </c>
      <c r="F2613" s="10">
        <v>6.8400000000000004E-4</v>
      </c>
      <c r="G2613" s="12">
        <f>ROUND(G$3*F2613,0)</f>
        <v>197</v>
      </c>
      <c r="H2613" s="13">
        <f>ROUND(G2613/2,0)</f>
        <v>99</v>
      </c>
      <c r="I2613" s="12">
        <f>G2613-H2613</f>
        <v>98</v>
      </c>
      <c r="J2613" s="3" t="str">
        <f t="shared" si="188"/>
        <v>3620003</v>
      </c>
    </row>
    <row r="2614" spans="1:10" s="3" customFormat="1">
      <c r="B2614" s="3" t="s">
        <v>2122</v>
      </c>
      <c r="C2614" s="8">
        <v>2</v>
      </c>
      <c r="D2614" s="3" t="s">
        <v>2190</v>
      </c>
      <c r="E2614" s="11" t="s">
        <v>11</v>
      </c>
      <c r="F2614" s="10">
        <v>3.6699999999999998E-4</v>
      </c>
      <c r="G2614" s="12">
        <f>ROUND(G$3*F2614,0)</f>
        <v>106</v>
      </c>
      <c r="H2614" s="13">
        <f>ROUND(G2614/2,0)</f>
        <v>53</v>
      </c>
      <c r="I2614" s="12">
        <f>G2614-H2614</f>
        <v>53</v>
      </c>
      <c r="J2614" s="3" t="str">
        <f t="shared" si="188"/>
        <v>3620003</v>
      </c>
    </row>
    <row r="2615" spans="1:10" s="3" customFormat="1">
      <c r="B2615" s="3" t="s">
        <v>2122</v>
      </c>
      <c r="C2615" s="8">
        <v>2</v>
      </c>
      <c r="D2615" s="3" t="s">
        <v>2191</v>
      </c>
      <c r="E2615" s="11" t="s">
        <v>814</v>
      </c>
      <c r="F2615" s="11"/>
      <c r="G2615" s="9"/>
      <c r="H2615" s="11"/>
      <c r="I2615" s="11"/>
      <c r="J2615" s="3" t="str">
        <f t="shared" si="188"/>
        <v>3620004</v>
      </c>
    </row>
    <row r="2616" spans="1:10" s="3" customFormat="1">
      <c r="B2616" s="3" t="s">
        <v>2122</v>
      </c>
      <c r="C2616" s="8">
        <v>2</v>
      </c>
      <c r="D2616" s="3" t="s">
        <v>2191</v>
      </c>
      <c r="E2616" s="11" t="s">
        <v>10</v>
      </c>
      <c r="F2616" s="10">
        <v>6.8599999999999998E-4</v>
      </c>
      <c r="G2616" s="12">
        <f>ROUND(G$3*F2616,0)</f>
        <v>197</v>
      </c>
      <c r="H2616" s="13">
        <f>ROUND(G2616/2,0)</f>
        <v>99</v>
      </c>
      <c r="I2616" s="12">
        <f>G2616-H2616</f>
        <v>98</v>
      </c>
      <c r="J2616" s="3" t="str">
        <f t="shared" si="188"/>
        <v>3620004</v>
      </c>
    </row>
    <row r="2617" spans="1:10" s="3" customFormat="1">
      <c r="B2617" s="3" t="s">
        <v>2122</v>
      </c>
      <c r="C2617" s="8">
        <v>2</v>
      </c>
      <c r="D2617" s="3" t="s">
        <v>2191</v>
      </c>
      <c r="E2617" s="11" t="s">
        <v>11</v>
      </c>
      <c r="F2617" s="10">
        <v>3.5799999999999997E-4</v>
      </c>
      <c r="G2617" s="12">
        <f>ROUND(G$3*F2617,0)</f>
        <v>103</v>
      </c>
      <c r="H2617" s="13">
        <f>ROUND(G2617/2,0)</f>
        <v>52</v>
      </c>
      <c r="I2617" s="12">
        <f>G2617-H2617</f>
        <v>51</v>
      </c>
      <c r="J2617" s="3" t="str">
        <f t="shared" si="188"/>
        <v>3620004</v>
      </c>
    </row>
    <row r="2618" spans="1:10" s="3" customFormat="1">
      <c r="B2618" s="3" t="s">
        <v>2122</v>
      </c>
      <c r="C2618" s="8">
        <v>2</v>
      </c>
      <c r="D2618" s="3" t="s">
        <v>2192</v>
      </c>
      <c r="E2618" s="11" t="s">
        <v>401</v>
      </c>
      <c r="F2618" s="11"/>
      <c r="G2618" s="9"/>
      <c r="H2618" s="11"/>
      <c r="I2618" s="11"/>
      <c r="J2618" s="3" t="str">
        <f t="shared" si="188"/>
        <v>3620005</v>
      </c>
    </row>
    <row r="2619" spans="1:10" s="3" customFormat="1">
      <c r="B2619" s="3" t="s">
        <v>2122</v>
      </c>
      <c r="C2619" s="8">
        <v>2</v>
      </c>
      <c r="D2619" s="3" t="s">
        <v>2192</v>
      </c>
      <c r="E2619" s="11" t="s">
        <v>10</v>
      </c>
      <c r="F2619" s="10">
        <v>1.5950000000000001E-3</v>
      </c>
      <c r="G2619" s="12">
        <f>ROUND(G$3*F2619,0)</f>
        <v>459</v>
      </c>
      <c r="H2619" s="13">
        <f>ROUND(G2619/2,0)</f>
        <v>230</v>
      </c>
      <c r="I2619" s="12">
        <f>G2619-H2619</f>
        <v>229</v>
      </c>
      <c r="J2619" s="3" t="str">
        <f t="shared" si="188"/>
        <v>3620005</v>
      </c>
    </row>
    <row r="2620" spans="1:10" s="3" customFormat="1">
      <c r="B2620" s="3" t="s">
        <v>2122</v>
      </c>
      <c r="C2620" s="8">
        <v>2</v>
      </c>
      <c r="D2620" s="3" t="s">
        <v>2192</v>
      </c>
      <c r="E2620" s="11" t="s">
        <v>11</v>
      </c>
      <c r="F2620" s="10">
        <v>1.044E-3</v>
      </c>
      <c r="G2620" s="12">
        <f>ROUND(G$3*F2620,0)</f>
        <v>300</v>
      </c>
      <c r="H2620" s="13">
        <f>ROUND(G2620/2,0)</f>
        <v>150</v>
      </c>
      <c r="I2620" s="12">
        <f>G2620-H2620</f>
        <v>150</v>
      </c>
      <c r="J2620" s="3" t="str">
        <f t="shared" si="188"/>
        <v>3620005</v>
      </c>
    </row>
    <row r="2621" spans="1:10" s="3" customFormat="1">
      <c r="B2621" s="3" t="s">
        <v>2122</v>
      </c>
      <c r="C2621" s="8">
        <v>2</v>
      </c>
      <c r="D2621" s="3" t="s">
        <v>2193</v>
      </c>
      <c r="E2621" s="11" t="s">
        <v>49</v>
      </c>
      <c r="F2621" s="11"/>
      <c r="G2621" s="9"/>
      <c r="H2621" s="11"/>
      <c r="I2621" s="11"/>
      <c r="J2621" s="3" t="str">
        <f t="shared" si="188"/>
        <v>3620006</v>
      </c>
    </row>
    <row r="2622" spans="1:10" s="3" customFormat="1">
      <c r="B2622" s="3" t="s">
        <v>2122</v>
      </c>
      <c r="C2622" s="8">
        <v>2</v>
      </c>
      <c r="D2622" s="3" t="s">
        <v>2193</v>
      </c>
      <c r="E2622" s="11" t="s">
        <v>10</v>
      </c>
      <c r="F2622" s="10">
        <v>2.9689999999999999E-3</v>
      </c>
      <c r="G2622" s="12">
        <f>ROUND(G$3*F2622,0)</f>
        <v>854</v>
      </c>
      <c r="H2622" s="13">
        <f>ROUND(G2622/2,0)</f>
        <v>427</v>
      </c>
      <c r="I2622" s="12">
        <f>G2622-H2622</f>
        <v>427</v>
      </c>
      <c r="J2622" s="3" t="str">
        <f t="shared" si="188"/>
        <v>3620006</v>
      </c>
    </row>
    <row r="2623" spans="1:10" s="3" customFormat="1">
      <c r="A2623" s="3" t="s">
        <v>6269</v>
      </c>
      <c r="B2623" s="3" t="s">
        <v>2122</v>
      </c>
      <c r="C2623" s="8">
        <v>2</v>
      </c>
      <c r="D2623" s="3" t="s">
        <v>2193</v>
      </c>
      <c r="E2623" s="11" t="s">
        <v>11</v>
      </c>
      <c r="F2623" s="10">
        <v>0</v>
      </c>
      <c r="G2623" s="12">
        <f>ROUND(G$3*F2623,0)</f>
        <v>0</v>
      </c>
      <c r="H2623" s="13">
        <f>ROUND(G2623/2,0)</f>
        <v>0</v>
      </c>
      <c r="I2623" s="12">
        <f>G2623-H2623</f>
        <v>0</v>
      </c>
      <c r="J2623" s="3" t="str">
        <f t="shared" si="188"/>
        <v>3620006</v>
      </c>
    </row>
    <row r="2624" spans="1:10" s="3" customFormat="1">
      <c r="B2624" s="3" t="s">
        <v>2122</v>
      </c>
      <c r="C2624" s="8">
        <v>2</v>
      </c>
      <c r="D2624" s="3" t="s">
        <v>2194</v>
      </c>
      <c r="E2624" s="11" t="s">
        <v>224</v>
      </c>
      <c r="F2624" s="11"/>
      <c r="G2624" s="9"/>
      <c r="H2624" s="11"/>
      <c r="I2624" s="11"/>
      <c r="J2624" s="3" t="str">
        <f t="shared" si="188"/>
        <v>3620007</v>
      </c>
    </row>
    <row r="2625" spans="1:10" s="3" customFormat="1">
      <c r="B2625" s="3" t="s">
        <v>2122</v>
      </c>
      <c r="C2625" s="8">
        <v>2</v>
      </c>
      <c r="D2625" s="3" t="s">
        <v>2194</v>
      </c>
      <c r="E2625" s="11" t="s">
        <v>10</v>
      </c>
      <c r="F2625" s="10">
        <v>2.6899999999999998E-4</v>
      </c>
      <c r="G2625" s="12">
        <f>ROUND(G$3*F2625,0)</f>
        <v>77</v>
      </c>
      <c r="H2625" s="13">
        <f>ROUND(G2625/2,0)</f>
        <v>39</v>
      </c>
      <c r="I2625" s="12">
        <f>G2625-H2625</f>
        <v>38</v>
      </c>
      <c r="J2625" s="3" t="str">
        <f t="shared" si="188"/>
        <v>3620007</v>
      </c>
    </row>
    <row r="2626" spans="1:10" s="3" customFormat="1">
      <c r="B2626" s="3" t="s">
        <v>2122</v>
      </c>
      <c r="C2626" s="8">
        <v>2</v>
      </c>
      <c r="D2626" s="3" t="s">
        <v>2194</v>
      </c>
      <c r="E2626" s="11" t="s">
        <v>11</v>
      </c>
      <c r="F2626" s="10">
        <v>5.3000000000000001E-5</v>
      </c>
      <c r="G2626" s="12">
        <f>ROUND(G$3*F2626,0)</f>
        <v>15</v>
      </c>
      <c r="H2626" s="13">
        <f>ROUND(G2626/2,0)</f>
        <v>8</v>
      </c>
      <c r="I2626" s="12">
        <f>G2626-H2626</f>
        <v>7</v>
      </c>
      <c r="J2626" s="3" t="str">
        <f t="shared" si="188"/>
        <v>3620007</v>
      </c>
    </row>
    <row r="2627" spans="1:10" s="3" customFormat="1">
      <c r="B2627" s="3" t="s">
        <v>2122</v>
      </c>
      <c r="C2627" s="8">
        <v>2</v>
      </c>
      <c r="D2627" s="3" t="s">
        <v>2195</v>
      </c>
      <c r="E2627" s="11" t="s">
        <v>815</v>
      </c>
      <c r="F2627" s="11"/>
      <c r="G2627" s="9"/>
      <c r="H2627" s="11"/>
      <c r="I2627" s="11"/>
      <c r="J2627" s="3" t="str">
        <f t="shared" si="188"/>
        <v>3620008</v>
      </c>
    </row>
    <row r="2628" spans="1:10" s="3" customFormat="1">
      <c r="B2628" s="3" t="s">
        <v>2122</v>
      </c>
      <c r="C2628" s="8">
        <v>2</v>
      </c>
      <c r="D2628" s="3" t="s">
        <v>2195</v>
      </c>
      <c r="E2628" s="11" t="s">
        <v>10</v>
      </c>
      <c r="F2628" s="10">
        <v>5.2800000000000004E-4</v>
      </c>
      <c r="G2628" s="12">
        <f>ROUND(G$3*F2628,0)</f>
        <v>152</v>
      </c>
      <c r="H2628" s="13">
        <f>ROUND(G2628/2,0)</f>
        <v>76</v>
      </c>
      <c r="I2628" s="12">
        <f>G2628-H2628</f>
        <v>76</v>
      </c>
      <c r="J2628" s="3" t="str">
        <f t="shared" ref="J2628:J2691" si="194">B2628&amp;C2628&amp;D2628</f>
        <v>3620008</v>
      </c>
    </row>
    <row r="2629" spans="1:10" s="3" customFormat="1">
      <c r="A2629" s="3" t="s">
        <v>6269</v>
      </c>
      <c r="B2629" s="3" t="s">
        <v>2122</v>
      </c>
      <c r="C2629" s="8">
        <v>2</v>
      </c>
      <c r="D2629" s="3" t="s">
        <v>2195</v>
      </c>
      <c r="E2629" s="11" t="s">
        <v>11</v>
      </c>
      <c r="F2629" s="10">
        <v>0</v>
      </c>
      <c r="G2629" s="12">
        <f>ROUND(G$3*F2629,0)</f>
        <v>0</v>
      </c>
      <c r="H2629" s="13">
        <f>ROUND(G2629/2,0)</f>
        <v>0</v>
      </c>
      <c r="I2629" s="12">
        <f>G2629-H2629</f>
        <v>0</v>
      </c>
      <c r="J2629" s="3" t="str">
        <f t="shared" si="194"/>
        <v>3620008</v>
      </c>
    </row>
    <row r="2630" spans="1:10" s="3" customFormat="1">
      <c r="B2630" s="3" t="s">
        <v>2122</v>
      </c>
      <c r="C2630" s="8">
        <v>2</v>
      </c>
      <c r="D2630" s="3" t="s">
        <v>2196</v>
      </c>
      <c r="E2630" s="11" t="s">
        <v>816</v>
      </c>
      <c r="F2630" s="11"/>
      <c r="G2630" s="9"/>
      <c r="H2630" s="11"/>
      <c r="I2630" s="11"/>
      <c r="J2630" s="3" t="str">
        <f t="shared" si="194"/>
        <v>3620009</v>
      </c>
    </row>
    <row r="2631" spans="1:10" s="3" customFormat="1">
      <c r="B2631" s="3" t="s">
        <v>2122</v>
      </c>
      <c r="C2631" s="8">
        <v>2</v>
      </c>
      <c r="D2631" s="3" t="s">
        <v>2196</v>
      </c>
      <c r="E2631" s="11" t="s">
        <v>10</v>
      </c>
      <c r="F2631" s="10">
        <v>3.0699999999999998E-4</v>
      </c>
      <c r="G2631" s="12">
        <f>ROUND(G$3*F2631,0)</f>
        <v>88</v>
      </c>
      <c r="H2631" s="13">
        <f>ROUND(G2631/2,0)</f>
        <v>44</v>
      </c>
      <c r="I2631" s="12">
        <f>G2631-H2631</f>
        <v>44</v>
      </c>
      <c r="J2631" s="3" t="str">
        <f t="shared" si="194"/>
        <v>3620009</v>
      </c>
    </row>
    <row r="2632" spans="1:10" s="3" customFormat="1">
      <c r="A2632" s="3" t="s">
        <v>6269</v>
      </c>
      <c r="B2632" s="3" t="s">
        <v>2122</v>
      </c>
      <c r="C2632" s="8">
        <v>2</v>
      </c>
      <c r="D2632" s="3" t="s">
        <v>2196</v>
      </c>
      <c r="E2632" s="11" t="s">
        <v>11</v>
      </c>
      <c r="F2632" s="10">
        <v>0</v>
      </c>
      <c r="G2632" s="12">
        <f>ROUND(G$3*F2632,0)</f>
        <v>0</v>
      </c>
      <c r="H2632" s="13">
        <f>ROUND(G2632/2,0)</f>
        <v>0</v>
      </c>
      <c r="I2632" s="12">
        <f>G2632-H2632</f>
        <v>0</v>
      </c>
      <c r="J2632" s="3" t="str">
        <f t="shared" si="194"/>
        <v>3620009</v>
      </c>
    </row>
    <row r="2633" spans="1:10" s="3" customFormat="1">
      <c r="B2633" s="3" t="s">
        <v>2122</v>
      </c>
      <c r="C2633" s="8">
        <v>2</v>
      </c>
      <c r="D2633" s="3" t="s">
        <v>2197</v>
      </c>
      <c r="E2633" s="11" t="s">
        <v>532</v>
      </c>
      <c r="F2633" s="11"/>
      <c r="G2633" s="9"/>
      <c r="H2633" s="11"/>
      <c r="I2633" s="11"/>
      <c r="J2633" s="3" t="str">
        <f t="shared" si="194"/>
        <v>3620010</v>
      </c>
    </row>
    <row r="2634" spans="1:10" s="3" customFormat="1">
      <c r="B2634" s="3" t="s">
        <v>2122</v>
      </c>
      <c r="C2634" s="8">
        <v>2</v>
      </c>
      <c r="D2634" s="3" t="s">
        <v>2197</v>
      </c>
      <c r="E2634" s="11" t="s">
        <v>10</v>
      </c>
      <c r="F2634" s="10">
        <v>1.03E-4</v>
      </c>
      <c r="G2634" s="12">
        <f>ROUND(G$3*F2634,0)</f>
        <v>30</v>
      </c>
      <c r="H2634" s="13">
        <f>ROUND(G2634/2,0)</f>
        <v>15</v>
      </c>
      <c r="I2634" s="12">
        <f>G2634-H2634</f>
        <v>15</v>
      </c>
      <c r="J2634" s="3" t="str">
        <f t="shared" si="194"/>
        <v>3620010</v>
      </c>
    </row>
    <row r="2635" spans="1:10" s="3" customFormat="1">
      <c r="B2635" s="3" t="s">
        <v>2122</v>
      </c>
      <c r="C2635" s="8">
        <v>2</v>
      </c>
      <c r="D2635" s="3" t="s">
        <v>2197</v>
      </c>
      <c r="E2635" s="11" t="s">
        <v>11</v>
      </c>
      <c r="F2635" s="10">
        <v>4.0000000000000003E-5</v>
      </c>
      <c r="G2635" s="12">
        <f>ROUND(G$3*F2635,0)</f>
        <v>12</v>
      </c>
      <c r="H2635" s="13">
        <f>ROUND(G2635/2,0)</f>
        <v>6</v>
      </c>
      <c r="I2635" s="12">
        <f>G2635-H2635</f>
        <v>6</v>
      </c>
      <c r="J2635" s="3" t="str">
        <f t="shared" si="194"/>
        <v>3620010</v>
      </c>
    </row>
    <row r="2636" spans="1:10" s="3" customFormat="1">
      <c r="B2636" s="3" t="s">
        <v>2122</v>
      </c>
      <c r="C2636" s="8">
        <v>2</v>
      </c>
      <c r="D2636" s="3" t="s">
        <v>2198</v>
      </c>
      <c r="E2636" s="11" t="s">
        <v>673</v>
      </c>
      <c r="F2636" s="11"/>
      <c r="G2636" s="9"/>
      <c r="H2636" s="11"/>
      <c r="I2636" s="11"/>
      <c r="J2636" s="3" t="str">
        <f t="shared" si="194"/>
        <v>3620011</v>
      </c>
    </row>
    <row r="2637" spans="1:10" s="3" customFormat="1">
      <c r="B2637" s="3" t="s">
        <v>2122</v>
      </c>
      <c r="C2637" s="8">
        <v>2</v>
      </c>
      <c r="D2637" s="3" t="s">
        <v>2198</v>
      </c>
      <c r="E2637" s="11" t="s">
        <v>10</v>
      </c>
      <c r="F2637" s="10">
        <v>6.9499999999999998E-4</v>
      </c>
      <c r="G2637" s="12">
        <f>ROUND(G$3*F2637,0)</f>
        <v>200</v>
      </c>
      <c r="H2637" s="13">
        <f>ROUND(G2637/2,0)</f>
        <v>100</v>
      </c>
      <c r="I2637" s="12">
        <f>G2637-H2637</f>
        <v>100</v>
      </c>
      <c r="J2637" s="3" t="str">
        <f t="shared" si="194"/>
        <v>3620011</v>
      </c>
    </row>
    <row r="2638" spans="1:10" s="3" customFormat="1">
      <c r="B2638" s="3" t="s">
        <v>2122</v>
      </c>
      <c r="C2638" s="8">
        <v>2</v>
      </c>
      <c r="D2638" s="3" t="s">
        <v>2198</v>
      </c>
      <c r="E2638" s="11" t="s">
        <v>11</v>
      </c>
      <c r="F2638" s="10">
        <v>4.5199999999999998E-4</v>
      </c>
      <c r="G2638" s="12">
        <f>ROUND(G$3*F2638,0)</f>
        <v>130</v>
      </c>
      <c r="H2638" s="13">
        <f>ROUND(G2638/2,0)</f>
        <v>65</v>
      </c>
      <c r="I2638" s="12">
        <f>G2638-H2638</f>
        <v>65</v>
      </c>
      <c r="J2638" s="3" t="str">
        <f t="shared" si="194"/>
        <v>3620011</v>
      </c>
    </row>
    <row r="2639" spans="1:10" s="3" customFormat="1">
      <c r="B2639" s="3" t="s">
        <v>2122</v>
      </c>
      <c r="C2639" s="8">
        <v>2</v>
      </c>
      <c r="D2639" s="3" t="s">
        <v>2199</v>
      </c>
      <c r="E2639" s="11" t="s">
        <v>22</v>
      </c>
      <c r="F2639" s="11"/>
      <c r="G2639" s="9"/>
      <c r="H2639" s="11"/>
      <c r="I2639" s="11"/>
      <c r="J2639" s="3" t="str">
        <f t="shared" si="194"/>
        <v>3620012</v>
      </c>
    </row>
    <row r="2640" spans="1:10" s="3" customFormat="1">
      <c r="B2640" s="3" t="s">
        <v>2122</v>
      </c>
      <c r="C2640" s="8">
        <v>2</v>
      </c>
      <c r="D2640" s="3" t="s">
        <v>2199</v>
      </c>
      <c r="E2640" s="11" t="s">
        <v>10</v>
      </c>
      <c r="F2640" s="10">
        <v>5.4299999999999997E-4</v>
      </c>
      <c r="G2640" s="12">
        <f t="shared" ref="G2640:G2646" si="195">ROUND(G$3*F2640,0)</f>
        <v>156</v>
      </c>
      <c r="H2640" s="13">
        <f t="shared" ref="H2640:H2646" si="196">ROUND(G2640/2,0)</f>
        <v>78</v>
      </c>
      <c r="I2640" s="12">
        <f t="shared" ref="I2640:I2646" si="197">G2640-H2640</f>
        <v>78</v>
      </c>
      <c r="J2640" s="3" t="str">
        <f t="shared" si="194"/>
        <v>3620012</v>
      </c>
    </row>
    <row r="2641" spans="1:10" s="3" customFormat="1">
      <c r="A2641" s="3" t="s">
        <v>6269</v>
      </c>
      <c r="B2641" s="3" t="s">
        <v>2122</v>
      </c>
      <c r="C2641" s="8">
        <v>2</v>
      </c>
      <c r="D2641" s="3" t="s">
        <v>2199</v>
      </c>
      <c r="E2641" s="11" t="s">
        <v>11</v>
      </c>
      <c r="F2641" s="10">
        <v>0</v>
      </c>
      <c r="G2641" s="12">
        <f t="shared" si="195"/>
        <v>0</v>
      </c>
      <c r="H2641" s="13">
        <f t="shared" si="196"/>
        <v>0</v>
      </c>
      <c r="I2641" s="12">
        <f t="shared" si="197"/>
        <v>0</v>
      </c>
      <c r="J2641" s="3" t="str">
        <f t="shared" si="194"/>
        <v>3620012</v>
      </c>
    </row>
    <row r="2642" spans="1:10" s="3" customFormat="1">
      <c r="B2642" s="3" t="s">
        <v>2122</v>
      </c>
      <c r="C2642" s="8">
        <v>3</v>
      </c>
      <c r="D2642" s="3" t="s">
        <v>2610</v>
      </c>
      <c r="E2642" s="11" t="s">
        <v>817</v>
      </c>
      <c r="F2642" s="10">
        <v>5.7390000000000002E-3</v>
      </c>
      <c r="G2642" s="12">
        <f t="shared" si="195"/>
        <v>1651</v>
      </c>
      <c r="H2642" s="13">
        <f t="shared" si="196"/>
        <v>826</v>
      </c>
      <c r="I2642" s="12">
        <f t="shared" si="197"/>
        <v>825</v>
      </c>
      <c r="J2642" s="3" t="str">
        <f t="shared" si="194"/>
        <v>3630688</v>
      </c>
    </row>
    <row r="2643" spans="1:10" s="3" customFormat="1">
      <c r="B2643" s="3" t="s">
        <v>2122</v>
      </c>
      <c r="C2643" s="8">
        <v>3</v>
      </c>
      <c r="D2643" s="3" t="s">
        <v>2611</v>
      </c>
      <c r="E2643" s="11" t="s">
        <v>818</v>
      </c>
      <c r="F2643" s="10">
        <v>1.673E-3</v>
      </c>
      <c r="G2643" s="12">
        <f t="shared" si="195"/>
        <v>481</v>
      </c>
      <c r="H2643" s="13">
        <f t="shared" si="196"/>
        <v>241</v>
      </c>
      <c r="I2643" s="12">
        <f t="shared" si="197"/>
        <v>240</v>
      </c>
      <c r="J2643" s="3" t="str">
        <f t="shared" si="194"/>
        <v>3630689</v>
      </c>
    </row>
    <row r="2644" spans="1:10" s="3" customFormat="1">
      <c r="B2644" s="3" t="s">
        <v>2122</v>
      </c>
      <c r="C2644" s="8">
        <v>3</v>
      </c>
      <c r="D2644" s="3" t="s">
        <v>2612</v>
      </c>
      <c r="E2644" s="11" t="s">
        <v>819</v>
      </c>
      <c r="F2644" s="10">
        <v>1.305E-3</v>
      </c>
      <c r="G2644" s="12">
        <f t="shared" si="195"/>
        <v>375</v>
      </c>
      <c r="H2644" s="13">
        <f t="shared" si="196"/>
        <v>188</v>
      </c>
      <c r="I2644" s="12">
        <f t="shared" si="197"/>
        <v>187</v>
      </c>
      <c r="J2644" s="3" t="str">
        <f t="shared" si="194"/>
        <v>3630690</v>
      </c>
    </row>
    <row r="2645" spans="1:10" s="3" customFormat="1">
      <c r="B2645" s="3" t="s">
        <v>2122</v>
      </c>
      <c r="C2645" s="8">
        <v>3</v>
      </c>
      <c r="D2645" s="3" t="s">
        <v>2609</v>
      </c>
      <c r="E2645" s="11" t="s">
        <v>820</v>
      </c>
      <c r="F2645" s="10">
        <v>0.148285</v>
      </c>
      <c r="G2645" s="12">
        <f t="shared" si="195"/>
        <v>42665</v>
      </c>
      <c r="H2645" s="13">
        <f t="shared" si="196"/>
        <v>21333</v>
      </c>
      <c r="I2645" s="12">
        <f t="shared" si="197"/>
        <v>21332</v>
      </c>
      <c r="J2645" s="3" t="str">
        <f t="shared" si="194"/>
        <v>3630314</v>
      </c>
    </row>
    <row r="2646" spans="1:10" s="3" customFormat="1">
      <c r="B2646" s="3" t="s">
        <v>2122</v>
      </c>
      <c r="C2646" s="8">
        <v>4</v>
      </c>
      <c r="D2646" s="3" t="s">
        <v>2615</v>
      </c>
      <c r="E2646" s="11" t="s">
        <v>821</v>
      </c>
      <c r="F2646" s="10">
        <v>0.110149</v>
      </c>
      <c r="G2646" s="9">
        <f t="shared" si="195"/>
        <v>31692</v>
      </c>
      <c r="H2646" s="11">
        <f t="shared" si="196"/>
        <v>15846</v>
      </c>
      <c r="I2646" s="9">
        <f t="shared" si="197"/>
        <v>15846</v>
      </c>
      <c r="J2646" s="3" t="str">
        <f t="shared" si="194"/>
        <v>3643695</v>
      </c>
    </row>
    <row r="2647" spans="1:10" s="3" customFormat="1">
      <c r="B2647" s="3" t="s">
        <v>2122</v>
      </c>
      <c r="C2647" s="8">
        <v>4</v>
      </c>
      <c r="D2647" s="3" t="s">
        <v>2615</v>
      </c>
      <c r="E2647" s="11" t="s">
        <v>28</v>
      </c>
      <c r="F2647" s="11"/>
      <c r="G2647" s="14">
        <v>0.43771500000000002</v>
      </c>
      <c r="H2647" s="11"/>
      <c r="I2647" s="11"/>
      <c r="J2647" s="3" t="str">
        <f t="shared" si="194"/>
        <v>3643695</v>
      </c>
    </row>
    <row r="2648" spans="1:10" s="3" customFormat="1">
      <c r="B2648" s="3" t="s">
        <v>2122</v>
      </c>
      <c r="C2648" s="8">
        <v>4</v>
      </c>
      <c r="D2648" s="3" t="s">
        <v>2615</v>
      </c>
      <c r="E2648" s="11" t="s">
        <v>29</v>
      </c>
      <c r="F2648" s="11"/>
      <c r="G2648" s="15">
        <f>ROUND(G2646*G2647,0)</f>
        <v>13872</v>
      </c>
      <c r="H2648" s="16">
        <f>ROUND(G2648/2,0)</f>
        <v>6936</v>
      </c>
      <c r="I2648" s="15">
        <f>G2648-H2648</f>
        <v>6936</v>
      </c>
      <c r="J2648" s="3" t="str">
        <f t="shared" si="194"/>
        <v>3643695</v>
      </c>
    </row>
    <row r="2649" spans="1:10" s="3" customFormat="1">
      <c r="B2649" s="3" t="s">
        <v>2122</v>
      </c>
      <c r="C2649" s="8">
        <v>4</v>
      </c>
      <c r="D2649" s="3" t="s">
        <v>2615</v>
      </c>
      <c r="E2649" s="11" t="s">
        <v>30</v>
      </c>
      <c r="F2649" s="11"/>
      <c r="G2649" s="12">
        <f>+G2646-G2648</f>
        <v>17820</v>
      </c>
      <c r="H2649" s="13">
        <f>ROUND(G2649/2,0)</f>
        <v>8910</v>
      </c>
      <c r="I2649" s="12">
        <f>G2649-H2649</f>
        <v>8910</v>
      </c>
      <c r="J2649" s="3" t="str">
        <f t="shared" si="194"/>
        <v>3643695</v>
      </c>
    </row>
    <row r="2650" spans="1:10" s="3" customFormat="1">
      <c r="B2650" s="3" t="s">
        <v>2122</v>
      </c>
      <c r="C2650" s="8">
        <v>4</v>
      </c>
      <c r="D2650" s="3" t="s">
        <v>2616</v>
      </c>
      <c r="E2650" s="11" t="s">
        <v>822</v>
      </c>
      <c r="F2650" s="10">
        <v>3.4363999999999999E-2</v>
      </c>
      <c r="G2650" s="9">
        <f>ROUND(G$3*F2650,0)</f>
        <v>9887</v>
      </c>
      <c r="H2650" s="11">
        <f>ROUND(G2650/2,0)</f>
        <v>4944</v>
      </c>
      <c r="I2650" s="9">
        <f>G2650-H2650</f>
        <v>4943</v>
      </c>
      <c r="J2650" s="3" t="str">
        <f t="shared" si="194"/>
        <v>3643710</v>
      </c>
    </row>
    <row r="2651" spans="1:10" s="3" customFormat="1">
      <c r="B2651" s="3" t="s">
        <v>2122</v>
      </c>
      <c r="C2651" s="8">
        <v>4</v>
      </c>
      <c r="D2651" s="3" t="s">
        <v>2616</v>
      </c>
      <c r="E2651" s="11" t="s">
        <v>28</v>
      </c>
      <c r="F2651" s="11"/>
      <c r="G2651" s="14">
        <v>0.44339000000000001</v>
      </c>
      <c r="H2651" s="11"/>
      <c r="I2651" s="11"/>
      <c r="J2651" s="3" t="str">
        <f t="shared" si="194"/>
        <v>3643710</v>
      </c>
    </row>
    <row r="2652" spans="1:10" s="3" customFormat="1">
      <c r="B2652" s="3" t="s">
        <v>2122</v>
      </c>
      <c r="C2652" s="8">
        <v>4</v>
      </c>
      <c r="D2652" s="3" t="s">
        <v>2616</v>
      </c>
      <c r="E2652" s="11" t="s">
        <v>29</v>
      </c>
      <c r="F2652" s="11"/>
      <c r="G2652" s="15">
        <f>ROUND(G2650*G2651,0)</f>
        <v>4384</v>
      </c>
      <c r="H2652" s="16">
        <f>ROUND(G2652/2,0)</f>
        <v>2192</v>
      </c>
      <c r="I2652" s="15">
        <f>G2652-H2652</f>
        <v>2192</v>
      </c>
      <c r="J2652" s="3" t="str">
        <f t="shared" si="194"/>
        <v>3643710</v>
      </c>
    </row>
    <row r="2653" spans="1:10" s="3" customFormat="1">
      <c r="B2653" s="3" t="s">
        <v>2122</v>
      </c>
      <c r="C2653" s="8">
        <v>4</v>
      </c>
      <c r="D2653" s="3" t="s">
        <v>2616</v>
      </c>
      <c r="E2653" s="11" t="s">
        <v>30</v>
      </c>
      <c r="F2653" s="11"/>
      <c r="G2653" s="12">
        <f>+G2650-G2652</f>
        <v>5503</v>
      </c>
      <c r="H2653" s="13">
        <f>ROUND(G2653/2,0)</f>
        <v>2752</v>
      </c>
      <c r="I2653" s="12">
        <f>G2653-H2653</f>
        <v>2751</v>
      </c>
      <c r="J2653" s="3" t="str">
        <f t="shared" si="194"/>
        <v>3643710</v>
      </c>
    </row>
    <row r="2654" spans="1:10" s="3" customFormat="1">
      <c r="B2654" s="3" t="s">
        <v>2122</v>
      </c>
      <c r="C2654" s="8">
        <v>4</v>
      </c>
      <c r="D2654" s="3" t="s">
        <v>2613</v>
      </c>
      <c r="E2654" s="11" t="s">
        <v>823</v>
      </c>
      <c r="F2654" s="10">
        <v>2.5323999999999999E-2</v>
      </c>
      <c r="G2654" s="9">
        <f>ROUND(G$3*F2654,0)</f>
        <v>7286</v>
      </c>
      <c r="H2654" s="11">
        <f>ROUND(G2654/2,0)</f>
        <v>3643</v>
      </c>
      <c r="I2654" s="9">
        <f>G2654-H2654</f>
        <v>3643</v>
      </c>
      <c r="J2654" s="3" t="str">
        <f t="shared" si="194"/>
        <v>3643640</v>
      </c>
    </row>
    <row r="2655" spans="1:10" s="3" customFormat="1">
      <c r="B2655" s="3" t="s">
        <v>2122</v>
      </c>
      <c r="C2655" s="8">
        <v>4</v>
      </c>
      <c r="D2655" s="3" t="s">
        <v>2613</v>
      </c>
      <c r="E2655" s="11" t="s">
        <v>28</v>
      </c>
      <c r="F2655" s="11"/>
      <c r="G2655" s="14">
        <v>0.31547700000000001</v>
      </c>
      <c r="H2655" s="11"/>
      <c r="I2655" s="11"/>
      <c r="J2655" s="3" t="str">
        <f t="shared" si="194"/>
        <v>3643640</v>
      </c>
    </row>
    <row r="2656" spans="1:10" s="3" customFormat="1">
      <c r="B2656" s="3" t="s">
        <v>2122</v>
      </c>
      <c r="C2656" s="8">
        <v>4</v>
      </c>
      <c r="D2656" s="3" t="s">
        <v>2613</v>
      </c>
      <c r="E2656" s="11" t="s">
        <v>29</v>
      </c>
      <c r="F2656" s="11"/>
      <c r="G2656" s="15">
        <f>ROUND(G2654*G2655,0)</f>
        <v>2299</v>
      </c>
      <c r="H2656" s="16">
        <f>ROUND(G2656/2,0)</f>
        <v>1150</v>
      </c>
      <c r="I2656" s="15">
        <f>G2656-H2656</f>
        <v>1149</v>
      </c>
      <c r="J2656" s="3" t="str">
        <f t="shared" si="194"/>
        <v>3643640</v>
      </c>
    </row>
    <row r="2657" spans="1:10" s="3" customFormat="1">
      <c r="B2657" s="3" t="s">
        <v>2122</v>
      </c>
      <c r="C2657" s="8">
        <v>4</v>
      </c>
      <c r="D2657" s="3" t="s">
        <v>2613</v>
      </c>
      <c r="E2657" s="11" t="s">
        <v>30</v>
      </c>
      <c r="F2657" s="11"/>
      <c r="G2657" s="12">
        <f>+G2654-G2656</f>
        <v>4987</v>
      </c>
      <c r="H2657" s="13">
        <f>ROUND(G2657/2,0)</f>
        <v>2494</v>
      </c>
      <c r="I2657" s="12">
        <f>G2657-H2657</f>
        <v>2493</v>
      </c>
      <c r="J2657" s="3" t="str">
        <f t="shared" si="194"/>
        <v>3643640</v>
      </c>
    </row>
    <row r="2658" spans="1:10" s="3" customFormat="1">
      <c r="B2658" s="3" t="s">
        <v>2122</v>
      </c>
      <c r="C2658" s="8">
        <v>4</v>
      </c>
      <c r="D2658" s="3" t="s">
        <v>2614</v>
      </c>
      <c r="E2658" s="11" t="s">
        <v>824</v>
      </c>
      <c r="F2658" s="10">
        <v>0.48102</v>
      </c>
      <c r="G2658" s="9">
        <f>ROUND(G$3*F2658,0)</f>
        <v>138401</v>
      </c>
      <c r="H2658" s="11">
        <f>ROUND(G2658/2,0)</f>
        <v>69201</v>
      </c>
      <c r="I2658" s="9">
        <f>G2658-H2658</f>
        <v>69200</v>
      </c>
      <c r="J2658" s="3" t="str">
        <f t="shared" si="194"/>
        <v>3643675</v>
      </c>
    </row>
    <row r="2659" spans="1:10" s="3" customFormat="1">
      <c r="B2659" s="3" t="s">
        <v>2122</v>
      </c>
      <c r="C2659" s="8">
        <v>4</v>
      </c>
      <c r="D2659" s="3" t="s">
        <v>2614</v>
      </c>
      <c r="E2659" s="11" t="s">
        <v>28</v>
      </c>
      <c r="F2659" s="11"/>
      <c r="G2659" s="14">
        <v>0.51713299999999995</v>
      </c>
      <c r="H2659" s="11"/>
      <c r="I2659" s="11"/>
      <c r="J2659" s="3" t="str">
        <f t="shared" si="194"/>
        <v>3643675</v>
      </c>
    </row>
    <row r="2660" spans="1:10" s="3" customFormat="1">
      <c r="B2660" s="3" t="s">
        <v>2122</v>
      </c>
      <c r="C2660" s="8">
        <v>4</v>
      </c>
      <c r="D2660" s="3" t="s">
        <v>2614</v>
      </c>
      <c r="E2660" s="11" t="s">
        <v>29</v>
      </c>
      <c r="F2660" s="11"/>
      <c r="G2660" s="15">
        <f>ROUND(G2658*G2659,0)</f>
        <v>71572</v>
      </c>
      <c r="H2660" s="16">
        <f t="shared" ref="H2660:H2665" si="198">ROUND(G2660/2,0)</f>
        <v>35786</v>
      </c>
      <c r="I2660" s="15">
        <f t="shared" ref="I2660:I2665" si="199">G2660-H2660</f>
        <v>35786</v>
      </c>
      <c r="J2660" s="3" t="str">
        <f t="shared" si="194"/>
        <v>3643675</v>
      </c>
    </row>
    <row r="2661" spans="1:10" s="3" customFormat="1">
      <c r="B2661" s="3" t="s">
        <v>2122</v>
      </c>
      <c r="C2661" s="8">
        <v>4</v>
      </c>
      <c r="D2661" s="3" t="s">
        <v>2614</v>
      </c>
      <c r="E2661" s="11" t="s">
        <v>30</v>
      </c>
      <c r="F2661" s="11"/>
      <c r="G2661" s="12">
        <f>+G2658-G2660</f>
        <v>66829</v>
      </c>
      <c r="H2661" s="13">
        <f t="shared" si="198"/>
        <v>33415</v>
      </c>
      <c r="I2661" s="12">
        <f t="shared" si="199"/>
        <v>33414</v>
      </c>
      <c r="J2661" s="3" t="str">
        <f t="shared" si="194"/>
        <v>3643675</v>
      </c>
    </row>
    <row r="2662" spans="1:10" s="3" customFormat="1">
      <c r="B2662" s="3" t="s">
        <v>2122</v>
      </c>
      <c r="C2662" s="8">
        <v>5</v>
      </c>
      <c r="D2662" s="3" t="s">
        <v>2215</v>
      </c>
      <c r="E2662" s="11" t="s">
        <v>825</v>
      </c>
      <c r="F2662" s="10">
        <v>5.1580000000000003E-3</v>
      </c>
      <c r="G2662" s="120">
        <f>ROUND(G$3*F2662,0)</f>
        <v>1484</v>
      </c>
      <c r="H2662" s="120">
        <f t="shared" si="198"/>
        <v>742</v>
      </c>
      <c r="I2662" s="120">
        <f t="shared" si="199"/>
        <v>742</v>
      </c>
      <c r="J2662" s="3" t="str">
        <f t="shared" si="194"/>
        <v>3650100</v>
      </c>
    </row>
    <row r="2663" spans="1:10" s="3" customFormat="1">
      <c r="B2663" s="3" t="s">
        <v>2122</v>
      </c>
      <c r="C2663" s="8">
        <v>5</v>
      </c>
      <c r="D2663" s="3" t="s">
        <v>4402</v>
      </c>
      <c r="E2663" s="11" t="s">
        <v>826</v>
      </c>
      <c r="F2663" s="10">
        <v>3.6632999999999999E-2</v>
      </c>
      <c r="G2663" s="120">
        <f>ROUND(G$3*F2663,0)</f>
        <v>10540</v>
      </c>
      <c r="H2663" s="120">
        <f t="shared" si="198"/>
        <v>5270</v>
      </c>
      <c r="I2663" s="120">
        <f t="shared" si="199"/>
        <v>5270</v>
      </c>
      <c r="J2663" s="3" t="str">
        <f t="shared" si="194"/>
        <v>3650289</v>
      </c>
    </row>
    <row r="2664" spans="1:10" s="3" customFormat="1">
      <c r="A2664" s="3" t="s">
        <v>6269</v>
      </c>
      <c r="B2664" s="3" t="s">
        <v>2122</v>
      </c>
      <c r="C2664" s="8">
        <v>6</v>
      </c>
      <c r="D2664" s="3" t="s">
        <v>4409</v>
      </c>
      <c r="E2664" s="11" t="s">
        <v>827</v>
      </c>
      <c r="F2664" s="10">
        <v>0</v>
      </c>
      <c r="G2664" s="120">
        <f>ROUND(G$3*F2664,0)</f>
        <v>0</v>
      </c>
      <c r="H2664" s="120">
        <f t="shared" si="198"/>
        <v>0</v>
      </c>
      <c r="I2664" s="120">
        <f t="shared" si="199"/>
        <v>0</v>
      </c>
      <c r="J2664" s="3" t="str">
        <f t="shared" si="194"/>
        <v>3661014</v>
      </c>
    </row>
    <row r="2665" spans="1:10" s="3" customFormat="1">
      <c r="B2665" s="3" t="s">
        <v>2122</v>
      </c>
      <c r="C2665" s="8">
        <v>6</v>
      </c>
      <c r="D2665" s="3" t="s">
        <v>2618</v>
      </c>
      <c r="E2665" s="11" t="s">
        <v>828</v>
      </c>
      <c r="F2665" s="10">
        <v>9.3499999999999996E-4</v>
      </c>
      <c r="G2665" s="12">
        <f>+G2600-SUM(G2601:G2602)-SUM(G2607:G2646)-G2650-G2654-G2658-SUM(G2662:G2664)</f>
        <v>214665</v>
      </c>
      <c r="H2665" s="13">
        <f t="shared" si="198"/>
        <v>107333</v>
      </c>
      <c r="I2665" s="12">
        <f t="shared" si="199"/>
        <v>107332</v>
      </c>
      <c r="J2665" s="3" t="str">
        <f t="shared" si="194"/>
        <v>3661081</v>
      </c>
    </row>
    <row r="2666" spans="1:10" s="3" customFormat="1">
      <c r="B2666" s="3" t="s">
        <v>2122</v>
      </c>
      <c r="C2666" s="8">
        <v>0</v>
      </c>
      <c r="D2666" s="125" t="s">
        <v>2187</v>
      </c>
      <c r="E2666" s="28" t="s">
        <v>288</v>
      </c>
      <c r="F2666" s="10">
        <v>1</v>
      </c>
      <c r="G2666" s="12">
        <f>+G2601+SUM(G2604:G2645)+SUM(G2648:G2649)+SUM(G2652:G2653)+SUM(G2656:G2657)+SUM(G2660:G2665)</f>
        <v>502117</v>
      </c>
      <c r="H2666" s="12">
        <f>+H2601+SUM(H2604:H2645)+SUM(H2648:H2649)+SUM(H2652:H2653)+SUM(H2656:H2657)+SUM(H2660:H2665)</f>
        <v>251068</v>
      </c>
      <c r="I2666" s="12">
        <f>+I2601+SUM(I2604:I2645)+SUM(I2648:I2649)+SUM(I2652:I2653)+SUM(I2656:I2657)+SUM(I2660:I2665)</f>
        <v>251049</v>
      </c>
      <c r="J2666" s="3" t="str">
        <f t="shared" si="194"/>
        <v>3600000</v>
      </c>
    </row>
    <row r="2667" spans="1:10" s="3" customFormat="1">
      <c r="B2667" s="3" t="s">
        <v>2122</v>
      </c>
      <c r="C2667" s="8">
        <v>0</v>
      </c>
      <c r="D2667" s="3" t="s">
        <v>2187</v>
      </c>
      <c r="E2667" s="18" t="s">
        <v>38</v>
      </c>
      <c r="G2667" s="19">
        <f>+G2601</f>
        <v>436</v>
      </c>
      <c r="H2667" s="19">
        <f>+H2601</f>
        <v>218</v>
      </c>
      <c r="I2667" s="19">
        <f>+I2601</f>
        <v>218</v>
      </c>
      <c r="J2667" s="3" t="str">
        <f t="shared" si="194"/>
        <v>3600000</v>
      </c>
    </row>
    <row r="2668" spans="1:10" s="3" customFormat="1">
      <c r="B2668" s="3" t="s">
        <v>2122</v>
      </c>
      <c r="C2668" s="8">
        <v>0</v>
      </c>
      <c r="D2668" s="3" t="s">
        <v>2187</v>
      </c>
      <c r="E2668" s="2" t="s">
        <v>39</v>
      </c>
      <c r="G2668" s="19">
        <f>+G2604</f>
        <v>8751</v>
      </c>
      <c r="H2668" s="19">
        <f>+H2604</f>
        <v>4376</v>
      </c>
      <c r="I2668" s="19">
        <f>+I2604</f>
        <v>4375</v>
      </c>
      <c r="J2668" s="3" t="str">
        <f t="shared" si="194"/>
        <v>3600000</v>
      </c>
    </row>
    <row r="2669" spans="1:10" s="3" customFormat="1">
      <c r="B2669" s="3" t="s">
        <v>2122</v>
      </c>
      <c r="C2669" s="8">
        <v>0</v>
      </c>
      <c r="D2669" s="3" t="s">
        <v>2187</v>
      </c>
      <c r="E2669" s="2" t="s">
        <v>40</v>
      </c>
      <c r="G2669" s="19">
        <f>+G2648+G2652+G2656+G2660</f>
        <v>92127</v>
      </c>
      <c r="H2669" s="19">
        <f>+H2648+H2652+H2656+H2660</f>
        <v>46064</v>
      </c>
      <c r="I2669" s="19">
        <f>+I2648+I2652+I2656+I2660</f>
        <v>46063</v>
      </c>
      <c r="J2669" s="3" t="str">
        <f t="shared" si="194"/>
        <v>3600000</v>
      </c>
    </row>
    <row r="2670" spans="1:10" s="3" customFormat="1">
      <c r="B2670" s="3" t="s">
        <v>2122</v>
      </c>
      <c r="C2670" s="8">
        <v>0</v>
      </c>
      <c r="D2670" s="125" t="s">
        <v>2187</v>
      </c>
      <c r="E2670" s="18" t="s">
        <v>41</v>
      </c>
      <c r="G2670" s="19">
        <f>+G2666-G2667-G2668-G2669</f>
        <v>400803</v>
      </c>
      <c r="H2670" s="19">
        <f>+H2666-H2667-H2668-H2669</f>
        <v>200410</v>
      </c>
      <c r="I2670" s="19">
        <f>+I2666-I2667-I2668-I2669</f>
        <v>200393</v>
      </c>
      <c r="J2670" s="3" t="str">
        <f t="shared" si="194"/>
        <v>3600000</v>
      </c>
    </row>
    <row r="2671" spans="1:10" ht="15.75">
      <c r="B2671" s="3" t="s">
        <v>2186</v>
      </c>
      <c r="D2671" t="s">
        <v>2186</v>
      </c>
      <c r="E2671">
        <v>0</v>
      </c>
      <c r="G2671"/>
      <c r="H2671"/>
      <c r="I2671"/>
      <c r="J2671" s="3" t="str">
        <f t="shared" si="194"/>
        <v/>
      </c>
    </row>
    <row r="2672" spans="1:10" s="3" customFormat="1">
      <c r="C2672" s="1"/>
      <c r="D2672" s="3" t="s">
        <v>2186</v>
      </c>
      <c r="E2672" s="2" t="s">
        <v>829</v>
      </c>
      <c r="J2672" s="3" t="str">
        <f t="shared" si="194"/>
        <v/>
      </c>
    </row>
    <row r="2673" spans="2:10" s="3" customFormat="1" ht="45">
      <c r="B2673" s="3" t="s">
        <v>2186</v>
      </c>
      <c r="C2673" s="1"/>
      <c r="D2673" s="3" t="s">
        <v>2186</v>
      </c>
      <c r="E2673" s="1">
        <v>0</v>
      </c>
      <c r="F2673" s="6" t="s">
        <v>1</v>
      </c>
      <c r="G2673" s="60">
        <f>'Allocation Worksheet'!H2673</f>
        <v>0</v>
      </c>
      <c r="H2673" s="60">
        <f>'Allocation Worksheet'!H2674</f>
        <v>0</v>
      </c>
      <c r="I2673" s="60">
        <f>'Allocation Worksheet'!H2675</f>
        <v>0</v>
      </c>
      <c r="J2673" s="3" t="str">
        <f t="shared" si="194"/>
        <v/>
      </c>
    </row>
    <row r="2674" spans="2:10" s="3" customFormat="1">
      <c r="C2674" s="7" t="s">
        <v>2087</v>
      </c>
      <c r="D2674" s="3" t="s">
        <v>2186</v>
      </c>
      <c r="E2674" s="7" t="s">
        <v>3</v>
      </c>
      <c r="F2674" s="10"/>
      <c r="G2674" s="9">
        <f>'Allocation Worksheet'!$D$40</f>
        <v>705710</v>
      </c>
      <c r="H2674" s="11"/>
      <c r="I2674" s="11"/>
      <c r="J2674" s="3" t="str">
        <f t="shared" si="194"/>
        <v>UT</v>
      </c>
    </row>
    <row r="2675" spans="2:10" s="3" customFormat="1">
      <c r="B2675" s="3" t="s">
        <v>2123</v>
      </c>
      <c r="C2675" s="8">
        <v>0</v>
      </c>
      <c r="D2675" s="3" t="s">
        <v>2187</v>
      </c>
      <c r="E2675" s="11" t="s">
        <v>4</v>
      </c>
      <c r="F2675" s="10">
        <v>1.3829999999999999E-3</v>
      </c>
      <c r="G2675" s="12">
        <f>ROUND(G$3*F2675,0)</f>
        <v>398</v>
      </c>
      <c r="H2675" s="13">
        <f>ROUND(G2675/2,0)</f>
        <v>199</v>
      </c>
      <c r="I2675" s="12">
        <f>G2675-H2675</f>
        <v>199</v>
      </c>
      <c r="J2675" s="3" t="str">
        <f t="shared" si="194"/>
        <v>3700000</v>
      </c>
    </row>
    <row r="2676" spans="2:10" s="3" customFormat="1">
      <c r="B2676" s="3" t="s">
        <v>2123</v>
      </c>
      <c r="C2676" s="8">
        <v>1</v>
      </c>
      <c r="D2676" s="3" t="s">
        <v>2187</v>
      </c>
      <c r="E2676" s="11" t="s">
        <v>830</v>
      </c>
      <c r="F2676" s="10">
        <v>0.18002499999999999</v>
      </c>
      <c r="G2676" s="9">
        <f>ROUND(G$3*F2676,0)</f>
        <v>51797</v>
      </c>
      <c r="H2676" s="11">
        <f>ROUND(G2676/2,0)</f>
        <v>25899</v>
      </c>
      <c r="I2676" s="9">
        <f>G2676-H2676</f>
        <v>25898</v>
      </c>
      <c r="J2676" s="3" t="str">
        <f t="shared" si="194"/>
        <v>3710000</v>
      </c>
    </row>
    <row r="2677" spans="2:10" s="3" customFormat="1">
      <c r="B2677" s="3" t="s">
        <v>2123</v>
      </c>
      <c r="C2677" s="8">
        <v>1</v>
      </c>
      <c r="D2677" s="3" t="s">
        <v>2187</v>
      </c>
      <c r="E2677" s="11" t="s">
        <v>6</v>
      </c>
      <c r="F2677" s="11"/>
      <c r="G2677" s="14">
        <v>0.17832400000000001</v>
      </c>
      <c r="H2677" s="11"/>
      <c r="I2677" s="11"/>
      <c r="J2677" s="3" t="str">
        <f t="shared" si="194"/>
        <v>3710000</v>
      </c>
    </row>
    <row r="2678" spans="2:10" s="3" customFormat="1">
      <c r="B2678" s="3" t="s">
        <v>2123</v>
      </c>
      <c r="C2678" s="8">
        <v>1</v>
      </c>
      <c r="D2678" s="3" t="s">
        <v>2187</v>
      </c>
      <c r="E2678" s="11" t="s">
        <v>7</v>
      </c>
      <c r="F2678" s="11"/>
      <c r="G2678" s="15">
        <f>ROUND(G2676*G2677,0)</f>
        <v>9237</v>
      </c>
      <c r="H2678" s="16">
        <f>ROUND(G2678/2,0)</f>
        <v>4619</v>
      </c>
      <c r="I2678" s="15">
        <f>G2678-H2678</f>
        <v>4618</v>
      </c>
      <c r="J2678" s="3" t="str">
        <f t="shared" si="194"/>
        <v>3710000</v>
      </c>
    </row>
    <row r="2679" spans="2:10" s="3" customFormat="1">
      <c r="B2679" s="3" t="s">
        <v>2123</v>
      </c>
      <c r="C2679" s="8">
        <v>1</v>
      </c>
      <c r="D2679" s="3" t="s">
        <v>2187</v>
      </c>
      <c r="E2679" s="11" t="s">
        <v>8</v>
      </c>
      <c r="F2679" s="11"/>
      <c r="G2679" s="12">
        <f>+G2676-G2678</f>
        <v>42560</v>
      </c>
      <c r="H2679" s="13">
        <f>ROUND(G2679/2,0)</f>
        <v>21280</v>
      </c>
      <c r="I2679" s="12">
        <f>G2679-H2679</f>
        <v>21280</v>
      </c>
      <c r="J2679" s="3" t="str">
        <f t="shared" si="194"/>
        <v>3710000</v>
      </c>
    </row>
    <row r="2680" spans="2:10" s="3" customFormat="1">
      <c r="B2680" s="3" t="s">
        <v>2123</v>
      </c>
      <c r="C2680" s="8">
        <v>2</v>
      </c>
      <c r="D2680" s="3" t="s">
        <v>2188</v>
      </c>
      <c r="E2680" s="11" t="s">
        <v>831</v>
      </c>
      <c r="F2680" s="11"/>
      <c r="G2680" s="9"/>
      <c r="H2680" s="11"/>
      <c r="I2680" s="11"/>
      <c r="J2680" s="3" t="str">
        <f t="shared" si="194"/>
        <v>3720001</v>
      </c>
    </row>
    <row r="2681" spans="2:10" s="3" customFormat="1">
      <c r="B2681" s="3" t="s">
        <v>2123</v>
      </c>
      <c r="C2681" s="8">
        <v>2</v>
      </c>
      <c r="D2681" s="3" t="s">
        <v>2188</v>
      </c>
      <c r="E2681" s="11" t="s">
        <v>10</v>
      </c>
      <c r="F2681" s="10">
        <v>2.6499999999999999E-4</v>
      </c>
      <c r="G2681" s="12">
        <f>ROUND(G$3*F2681,0)</f>
        <v>76</v>
      </c>
      <c r="H2681" s="13">
        <f>ROUND(G2681/2,0)</f>
        <v>38</v>
      </c>
      <c r="I2681" s="12">
        <f>G2681-H2681</f>
        <v>38</v>
      </c>
      <c r="J2681" s="3" t="str">
        <f t="shared" si="194"/>
        <v>3720001</v>
      </c>
    </row>
    <row r="2682" spans="2:10" s="3" customFormat="1">
      <c r="B2682" s="3" t="s">
        <v>2123</v>
      </c>
      <c r="C2682" s="8">
        <v>2</v>
      </c>
      <c r="D2682" s="3" t="s">
        <v>2188</v>
      </c>
      <c r="E2682" s="11" t="s">
        <v>11</v>
      </c>
      <c r="F2682" s="10">
        <v>1.46E-4</v>
      </c>
      <c r="G2682" s="12">
        <f>ROUND(G$3*F2682,0)</f>
        <v>42</v>
      </c>
      <c r="H2682" s="13">
        <f>ROUND(G2682/2,0)</f>
        <v>21</v>
      </c>
      <c r="I2682" s="12">
        <f>G2682-H2682</f>
        <v>21</v>
      </c>
      <c r="J2682" s="3" t="str">
        <f t="shared" si="194"/>
        <v>3720001</v>
      </c>
    </row>
    <row r="2683" spans="2:10" s="3" customFormat="1">
      <c r="B2683" s="3" t="s">
        <v>2123</v>
      </c>
      <c r="C2683" s="8">
        <v>2</v>
      </c>
      <c r="D2683" s="3" t="s">
        <v>2189</v>
      </c>
      <c r="E2683" s="11" t="s">
        <v>832</v>
      </c>
      <c r="F2683" s="11"/>
      <c r="G2683" s="9"/>
      <c r="H2683" s="11"/>
      <c r="I2683" s="11"/>
      <c r="J2683" s="3" t="str">
        <f t="shared" si="194"/>
        <v>3720002</v>
      </c>
    </row>
    <row r="2684" spans="2:10" s="3" customFormat="1">
      <c r="B2684" s="3" t="s">
        <v>2123</v>
      </c>
      <c r="C2684" s="8">
        <v>2</v>
      </c>
      <c r="D2684" s="3" t="s">
        <v>2189</v>
      </c>
      <c r="E2684" s="11" t="s">
        <v>10</v>
      </c>
      <c r="F2684" s="10">
        <v>1.137E-2</v>
      </c>
      <c r="G2684" s="12">
        <f>ROUND(G$3*F2684,0)</f>
        <v>3271</v>
      </c>
      <c r="H2684" s="13">
        <f>ROUND(G2684/2,0)</f>
        <v>1636</v>
      </c>
      <c r="I2684" s="12">
        <f>G2684-H2684</f>
        <v>1635</v>
      </c>
      <c r="J2684" s="3" t="str">
        <f t="shared" si="194"/>
        <v>3720002</v>
      </c>
    </row>
    <row r="2685" spans="2:10" s="3" customFormat="1">
      <c r="B2685" s="3" t="s">
        <v>2123</v>
      </c>
      <c r="C2685" s="8">
        <v>2</v>
      </c>
      <c r="D2685" s="3" t="s">
        <v>2189</v>
      </c>
      <c r="E2685" s="11" t="s">
        <v>11</v>
      </c>
      <c r="F2685" s="10">
        <v>4.4710000000000001E-3</v>
      </c>
      <c r="G2685" s="12">
        <f>ROUND(G$3*F2685,0)</f>
        <v>1286</v>
      </c>
      <c r="H2685" s="13">
        <f>ROUND(G2685/2,0)</f>
        <v>643</v>
      </c>
      <c r="I2685" s="12">
        <f>G2685-H2685</f>
        <v>643</v>
      </c>
      <c r="J2685" s="3" t="str">
        <f t="shared" si="194"/>
        <v>3720002</v>
      </c>
    </row>
    <row r="2686" spans="2:10" s="3" customFormat="1">
      <c r="B2686" s="3" t="s">
        <v>2123</v>
      </c>
      <c r="C2686" s="8">
        <v>2</v>
      </c>
      <c r="D2686" s="3" t="s">
        <v>2190</v>
      </c>
      <c r="E2686" s="11" t="s">
        <v>833</v>
      </c>
      <c r="F2686" s="11"/>
      <c r="G2686" s="9"/>
      <c r="H2686" s="11"/>
      <c r="I2686" s="11"/>
      <c r="J2686" s="3" t="str">
        <f t="shared" si="194"/>
        <v>3720003</v>
      </c>
    </row>
    <row r="2687" spans="2:10" s="3" customFormat="1">
      <c r="B2687" s="3" t="s">
        <v>2123</v>
      </c>
      <c r="C2687" s="8">
        <v>2</v>
      </c>
      <c r="D2687" s="3" t="s">
        <v>2190</v>
      </c>
      <c r="E2687" s="11" t="s">
        <v>10</v>
      </c>
      <c r="F2687" s="10">
        <v>2.32E-4</v>
      </c>
      <c r="G2687" s="12">
        <f>ROUND(G$3*F2687,0)</f>
        <v>67</v>
      </c>
      <c r="H2687" s="13">
        <f>ROUND(G2687/2,0)</f>
        <v>34</v>
      </c>
      <c r="I2687" s="12">
        <f>G2687-H2687</f>
        <v>33</v>
      </c>
      <c r="J2687" s="3" t="str">
        <f t="shared" si="194"/>
        <v>3720003</v>
      </c>
    </row>
    <row r="2688" spans="2:10" s="3" customFormat="1">
      <c r="B2688" s="3" t="s">
        <v>2123</v>
      </c>
      <c r="C2688" s="8">
        <v>2</v>
      </c>
      <c r="D2688" s="3" t="s">
        <v>2190</v>
      </c>
      <c r="E2688" s="11" t="s">
        <v>11</v>
      </c>
      <c r="F2688" s="10">
        <v>7.6000000000000004E-5</v>
      </c>
      <c r="G2688" s="12">
        <f>ROUND(G$3*F2688,0)</f>
        <v>22</v>
      </c>
      <c r="H2688" s="13">
        <f>ROUND(G2688/2,0)</f>
        <v>11</v>
      </c>
      <c r="I2688" s="12">
        <f>G2688-H2688</f>
        <v>11</v>
      </c>
      <c r="J2688" s="3" t="str">
        <f t="shared" si="194"/>
        <v>3720003</v>
      </c>
    </row>
    <row r="2689" spans="2:10" s="3" customFormat="1">
      <c r="B2689" s="3" t="s">
        <v>2123</v>
      </c>
      <c r="C2689" s="8">
        <v>2</v>
      </c>
      <c r="D2689" s="3" t="s">
        <v>2191</v>
      </c>
      <c r="E2689" s="11" t="s">
        <v>834</v>
      </c>
      <c r="F2689" s="11"/>
      <c r="G2689" s="12"/>
      <c r="H2689" s="13"/>
      <c r="I2689" s="12"/>
      <c r="J2689" s="3" t="str">
        <f t="shared" si="194"/>
        <v>3720004</v>
      </c>
    </row>
    <row r="2690" spans="2:10" s="3" customFormat="1">
      <c r="B2690" s="3" t="s">
        <v>2123</v>
      </c>
      <c r="C2690" s="8">
        <v>2</v>
      </c>
      <c r="D2690" s="3" t="s">
        <v>2191</v>
      </c>
      <c r="E2690" s="11" t="s">
        <v>10</v>
      </c>
      <c r="F2690" s="10">
        <v>3.6699999999999998E-4</v>
      </c>
      <c r="G2690" s="12">
        <f>ROUND(G$3*F2690,0)</f>
        <v>106</v>
      </c>
      <c r="H2690" s="13">
        <f>ROUND(G2690/2,0)</f>
        <v>53</v>
      </c>
      <c r="I2690" s="12">
        <f>G2690-H2690</f>
        <v>53</v>
      </c>
      <c r="J2690" s="3" t="str">
        <f t="shared" si="194"/>
        <v>3720004</v>
      </c>
    </row>
    <row r="2691" spans="2:10" s="3" customFormat="1">
      <c r="B2691" s="3" t="s">
        <v>2123</v>
      </c>
      <c r="C2691" s="8">
        <v>2</v>
      </c>
      <c r="D2691" s="3" t="s">
        <v>2191</v>
      </c>
      <c r="E2691" s="11" t="s">
        <v>11</v>
      </c>
      <c r="F2691" s="10">
        <v>2.1000000000000001E-4</v>
      </c>
      <c r="G2691" s="12">
        <f>ROUND(G$3*F2691,0)</f>
        <v>60</v>
      </c>
      <c r="H2691" s="13">
        <f>ROUND(G2691/2,0)</f>
        <v>30</v>
      </c>
      <c r="I2691" s="12">
        <f>G2691-H2691</f>
        <v>30</v>
      </c>
      <c r="J2691" s="3" t="str">
        <f t="shared" si="194"/>
        <v>3720004</v>
      </c>
    </row>
    <row r="2692" spans="2:10" s="3" customFormat="1">
      <c r="B2692" s="3" t="s">
        <v>2123</v>
      </c>
      <c r="C2692" s="8">
        <v>2</v>
      </c>
      <c r="D2692" s="3" t="s">
        <v>2192</v>
      </c>
      <c r="E2692" s="11" t="s">
        <v>835</v>
      </c>
      <c r="F2692" s="11"/>
      <c r="G2692" s="9"/>
      <c r="H2692" s="11"/>
      <c r="I2692" s="11"/>
      <c r="J2692" s="3" t="str">
        <f t="shared" ref="J2692:J2755" si="200">B2692&amp;C2692&amp;D2692</f>
        <v>3720005</v>
      </c>
    </row>
    <row r="2693" spans="2:10" s="3" customFormat="1">
      <c r="B2693" s="3" t="s">
        <v>2123</v>
      </c>
      <c r="C2693" s="8">
        <v>2</v>
      </c>
      <c r="D2693" s="3" t="s">
        <v>2192</v>
      </c>
      <c r="E2693" s="11" t="s">
        <v>10</v>
      </c>
      <c r="F2693" s="10">
        <v>2.52E-4</v>
      </c>
      <c r="G2693" s="12">
        <f>ROUND(G$3*F2693,0)</f>
        <v>73</v>
      </c>
      <c r="H2693" s="13">
        <f>ROUND(G2693/2,0)</f>
        <v>37</v>
      </c>
      <c r="I2693" s="12">
        <f>G2693-H2693</f>
        <v>36</v>
      </c>
      <c r="J2693" s="3" t="str">
        <f t="shared" si="200"/>
        <v>3720005</v>
      </c>
    </row>
    <row r="2694" spans="2:10" s="3" customFormat="1">
      <c r="B2694" s="3" t="s">
        <v>2123</v>
      </c>
      <c r="C2694" s="8">
        <v>2</v>
      </c>
      <c r="D2694" s="3" t="s">
        <v>2192</v>
      </c>
      <c r="E2694" s="11" t="s">
        <v>11</v>
      </c>
      <c r="F2694" s="10">
        <v>1.3200000000000001E-4</v>
      </c>
      <c r="G2694" s="12">
        <f>ROUND(G$3*F2694,0)</f>
        <v>38</v>
      </c>
      <c r="H2694" s="13">
        <f>ROUND(G2694/2,0)</f>
        <v>19</v>
      </c>
      <c r="I2694" s="12">
        <f>G2694-H2694</f>
        <v>19</v>
      </c>
      <c r="J2694" s="3" t="str">
        <f t="shared" si="200"/>
        <v>3720005</v>
      </c>
    </row>
    <row r="2695" spans="2:10" s="3" customFormat="1">
      <c r="B2695" s="3" t="s">
        <v>2123</v>
      </c>
      <c r="C2695" s="8">
        <v>2</v>
      </c>
      <c r="D2695" s="3" t="s">
        <v>2193</v>
      </c>
      <c r="E2695" s="11" t="s">
        <v>836</v>
      </c>
      <c r="F2695" s="11"/>
      <c r="G2695" s="9"/>
      <c r="H2695" s="11"/>
      <c r="I2695" s="11"/>
      <c r="J2695" s="3" t="str">
        <f t="shared" si="200"/>
        <v>3720006</v>
      </c>
    </row>
    <row r="2696" spans="2:10" s="3" customFormat="1">
      <c r="B2696" s="3" t="s">
        <v>2123</v>
      </c>
      <c r="C2696" s="8">
        <v>2</v>
      </c>
      <c r="D2696" s="3" t="s">
        <v>2193</v>
      </c>
      <c r="E2696" s="11" t="s">
        <v>10</v>
      </c>
      <c r="F2696" s="10">
        <v>3.1799999999999998E-4</v>
      </c>
      <c r="G2696" s="12">
        <f>ROUND(G$3*F2696,0)</f>
        <v>91</v>
      </c>
      <c r="H2696" s="13">
        <f>ROUND(G2696/2,0)</f>
        <v>46</v>
      </c>
      <c r="I2696" s="12">
        <f>G2696-H2696</f>
        <v>45</v>
      </c>
      <c r="J2696" s="3" t="str">
        <f t="shared" si="200"/>
        <v>3720006</v>
      </c>
    </row>
    <row r="2697" spans="2:10" s="3" customFormat="1">
      <c r="B2697" s="3" t="s">
        <v>2123</v>
      </c>
      <c r="C2697" s="8">
        <v>2</v>
      </c>
      <c r="D2697" s="3" t="s">
        <v>2193</v>
      </c>
      <c r="E2697" s="11" t="s">
        <v>11</v>
      </c>
      <c r="F2697" s="10">
        <v>2.0699999999999999E-4</v>
      </c>
      <c r="G2697" s="12">
        <f>ROUND(G$3*F2697,0)</f>
        <v>60</v>
      </c>
      <c r="H2697" s="13">
        <f>ROUND(G2697/2,0)</f>
        <v>30</v>
      </c>
      <c r="I2697" s="12">
        <f>G2697-H2697</f>
        <v>30</v>
      </c>
      <c r="J2697" s="3" t="str">
        <f t="shared" si="200"/>
        <v>3720006</v>
      </c>
    </row>
    <row r="2698" spans="2:10" s="3" customFormat="1">
      <c r="B2698" s="3" t="s">
        <v>2123</v>
      </c>
      <c r="C2698" s="8">
        <v>2</v>
      </c>
      <c r="D2698" s="3" t="s">
        <v>2194</v>
      </c>
      <c r="E2698" s="11" t="s">
        <v>837</v>
      </c>
      <c r="F2698" s="11"/>
      <c r="G2698" s="9"/>
      <c r="H2698" s="11"/>
      <c r="I2698" s="11"/>
      <c r="J2698" s="3" t="str">
        <f t="shared" si="200"/>
        <v>3720007</v>
      </c>
    </row>
    <row r="2699" spans="2:10" s="3" customFormat="1">
      <c r="B2699" s="3" t="s">
        <v>2123</v>
      </c>
      <c r="C2699" s="8">
        <v>2</v>
      </c>
      <c r="D2699" s="3" t="s">
        <v>2194</v>
      </c>
      <c r="E2699" s="11" t="s">
        <v>10</v>
      </c>
      <c r="F2699" s="10">
        <v>3.5860000000000002E-3</v>
      </c>
      <c r="G2699" s="12">
        <f>ROUND(G$3*F2699,0)</f>
        <v>1032</v>
      </c>
      <c r="H2699" s="13">
        <f>ROUND(G2699/2,0)</f>
        <v>516</v>
      </c>
      <c r="I2699" s="12">
        <f>G2699-H2699</f>
        <v>516</v>
      </c>
      <c r="J2699" s="3" t="str">
        <f t="shared" si="200"/>
        <v>3720007</v>
      </c>
    </row>
    <row r="2700" spans="2:10" s="3" customFormat="1">
      <c r="B2700" s="3" t="s">
        <v>2123</v>
      </c>
      <c r="C2700" s="8">
        <v>2</v>
      </c>
      <c r="D2700" s="3" t="s">
        <v>2194</v>
      </c>
      <c r="E2700" s="11" t="s">
        <v>11</v>
      </c>
      <c r="F2700" s="10">
        <v>2.6090000000000002E-3</v>
      </c>
      <c r="G2700" s="12">
        <f>ROUND(G$3*F2700,0)</f>
        <v>751</v>
      </c>
      <c r="H2700" s="13">
        <f>ROUND(G2700/2,0)</f>
        <v>376</v>
      </c>
      <c r="I2700" s="12">
        <f>G2700-H2700</f>
        <v>375</v>
      </c>
      <c r="J2700" s="3" t="str">
        <f t="shared" si="200"/>
        <v>3720007</v>
      </c>
    </row>
    <row r="2701" spans="2:10" s="3" customFormat="1">
      <c r="B2701" s="3" t="s">
        <v>2123</v>
      </c>
      <c r="C2701" s="8">
        <v>2</v>
      </c>
      <c r="D2701" s="3" t="s">
        <v>2195</v>
      </c>
      <c r="E2701" s="11" t="s">
        <v>53</v>
      </c>
      <c r="F2701" s="11"/>
      <c r="G2701" s="9"/>
      <c r="H2701" s="11"/>
      <c r="I2701" s="11"/>
      <c r="J2701" s="3" t="str">
        <f t="shared" si="200"/>
        <v>3720008</v>
      </c>
    </row>
    <row r="2702" spans="2:10" s="3" customFormat="1">
      <c r="B2702" s="3" t="s">
        <v>2123</v>
      </c>
      <c r="C2702" s="8">
        <v>2</v>
      </c>
      <c r="D2702" s="3" t="s">
        <v>2195</v>
      </c>
      <c r="E2702" s="11" t="s">
        <v>10</v>
      </c>
      <c r="F2702" s="10">
        <v>9.5600000000000004E-4</v>
      </c>
      <c r="G2702" s="12">
        <f>ROUND(G$3*F2702,0)</f>
        <v>275</v>
      </c>
      <c r="H2702" s="13">
        <f>ROUND(G2702/2,0)</f>
        <v>138</v>
      </c>
      <c r="I2702" s="12">
        <f>G2702-H2702</f>
        <v>137</v>
      </c>
      <c r="J2702" s="3" t="str">
        <f t="shared" si="200"/>
        <v>3720008</v>
      </c>
    </row>
    <row r="2703" spans="2:10" s="3" customFormat="1">
      <c r="B2703" s="3" t="s">
        <v>2123</v>
      </c>
      <c r="C2703" s="8">
        <v>2</v>
      </c>
      <c r="D2703" s="3" t="s">
        <v>2195</v>
      </c>
      <c r="E2703" s="11" t="s">
        <v>11</v>
      </c>
      <c r="F2703" s="10">
        <v>2.92E-4</v>
      </c>
      <c r="G2703" s="12">
        <f>ROUND(G$3*F2703,0)</f>
        <v>84</v>
      </c>
      <c r="H2703" s="13">
        <f>ROUND(G2703/2,0)</f>
        <v>42</v>
      </c>
      <c r="I2703" s="12">
        <f>G2703-H2703</f>
        <v>42</v>
      </c>
      <c r="J2703" s="3" t="str">
        <f t="shared" si="200"/>
        <v>3720008</v>
      </c>
    </row>
    <row r="2704" spans="2:10" s="3" customFormat="1">
      <c r="B2704" s="3" t="s">
        <v>2123</v>
      </c>
      <c r="C2704" s="8">
        <v>2</v>
      </c>
      <c r="D2704" s="3" t="s">
        <v>2196</v>
      </c>
      <c r="E2704" s="11" t="s">
        <v>838</v>
      </c>
      <c r="F2704" s="11"/>
      <c r="G2704" s="9"/>
      <c r="H2704" s="11"/>
      <c r="I2704" s="11"/>
      <c r="J2704" s="3" t="str">
        <f t="shared" si="200"/>
        <v>3720009</v>
      </c>
    </row>
    <row r="2705" spans="2:10" s="3" customFormat="1">
      <c r="B2705" s="3" t="s">
        <v>2123</v>
      </c>
      <c r="C2705" s="8">
        <v>2</v>
      </c>
      <c r="D2705" s="3" t="s">
        <v>2196</v>
      </c>
      <c r="E2705" s="11" t="s">
        <v>10</v>
      </c>
      <c r="F2705" s="10">
        <v>2.0000000000000001E-4</v>
      </c>
      <c r="G2705" s="12">
        <f>ROUND(G$3*F2705,0)</f>
        <v>58</v>
      </c>
      <c r="H2705" s="13">
        <f>ROUND(G2705/2,0)</f>
        <v>29</v>
      </c>
      <c r="I2705" s="12">
        <f>G2705-H2705</f>
        <v>29</v>
      </c>
      <c r="J2705" s="3" t="str">
        <f t="shared" si="200"/>
        <v>3720009</v>
      </c>
    </row>
    <row r="2706" spans="2:10" s="3" customFormat="1">
      <c r="B2706" s="3" t="s">
        <v>2123</v>
      </c>
      <c r="C2706" s="8">
        <v>2</v>
      </c>
      <c r="D2706" s="3" t="s">
        <v>2196</v>
      </c>
      <c r="E2706" s="11" t="s">
        <v>11</v>
      </c>
      <c r="F2706" s="10">
        <v>4.3999999999999999E-5</v>
      </c>
      <c r="G2706" s="12">
        <f>ROUND(G$3*F2706,0)</f>
        <v>13</v>
      </c>
      <c r="H2706" s="13">
        <f>ROUND(G2706/2,0)</f>
        <v>7</v>
      </c>
      <c r="I2706" s="12">
        <f>G2706-H2706</f>
        <v>6</v>
      </c>
      <c r="J2706" s="3" t="str">
        <f t="shared" si="200"/>
        <v>3720009</v>
      </c>
    </row>
    <row r="2707" spans="2:10" s="3" customFormat="1">
      <c r="B2707" s="3" t="s">
        <v>2123</v>
      </c>
      <c r="C2707" s="8">
        <v>2</v>
      </c>
      <c r="D2707" s="3" t="s">
        <v>2197</v>
      </c>
      <c r="E2707" s="11" t="s">
        <v>839</v>
      </c>
      <c r="F2707" s="11"/>
      <c r="G2707" s="9"/>
      <c r="H2707" s="11"/>
      <c r="I2707" s="11"/>
      <c r="J2707" s="3" t="str">
        <f t="shared" si="200"/>
        <v>3720010</v>
      </c>
    </row>
    <row r="2708" spans="2:10" s="3" customFormat="1">
      <c r="B2708" s="3" t="s">
        <v>2123</v>
      </c>
      <c r="C2708" s="8">
        <v>2</v>
      </c>
      <c r="D2708" s="3" t="s">
        <v>2197</v>
      </c>
      <c r="E2708" s="11" t="s">
        <v>10</v>
      </c>
      <c r="F2708" s="10">
        <v>1.6699999999999999E-4</v>
      </c>
      <c r="G2708" s="12">
        <f>ROUND(G$3*F2708,0)</f>
        <v>48</v>
      </c>
      <c r="H2708" s="13">
        <f>ROUND(G2708/2,0)</f>
        <v>24</v>
      </c>
      <c r="I2708" s="12">
        <f>G2708-H2708</f>
        <v>24</v>
      </c>
      <c r="J2708" s="3" t="str">
        <f t="shared" si="200"/>
        <v>3720010</v>
      </c>
    </row>
    <row r="2709" spans="2:10" s="3" customFormat="1">
      <c r="B2709" s="3" t="s">
        <v>2123</v>
      </c>
      <c r="C2709" s="8">
        <v>2</v>
      </c>
      <c r="D2709" s="3" t="s">
        <v>2197</v>
      </c>
      <c r="E2709" s="11" t="s">
        <v>11</v>
      </c>
      <c r="F2709" s="10">
        <v>9.2E-5</v>
      </c>
      <c r="G2709" s="12">
        <f>ROUND(G$3*F2709,0)</f>
        <v>26</v>
      </c>
      <c r="H2709" s="13">
        <f>ROUND(G2709/2,0)</f>
        <v>13</v>
      </c>
      <c r="I2709" s="12">
        <f>G2709-H2709</f>
        <v>13</v>
      </c>
      <c r="J2709" s="3" t="str">
        <f t="shared" si="200"/>
        <v>3720010</v>
      </c>
    </row>
    <row r="2710" spans="2:10" s="3" customFormat="1">
      <c r="B2710" s="3" t="s">
        <v>2123</v>
      </c>
      <c r="C2710" s="8">
        <v>2</v>
      </c>
      <c r="D2710" s="3" t="s">
        <v>2198</v>
      </c>
      <c r="E2710" s="11" t="s">
        <v>20</v>
      </c>
      <c r="F2710" s="11"/>
      <c r="G2710" s="9"/>
      <c r="H2710" s="11"/>
      <c r="I2710" s="11"/>
      <c r="J2710" s="3" t="str">
        <f t="shared" si="200"/>
        <v>3720011</v>
      </c>
    </row>
    <row r="2711" spans="2:10" s="3" customFormat="1">
      <c r="B2711" s="3" t="s">
        <v>2123</v>
      </c>
      <c r="C2711" s="8">
        <v>2</v>
      </c>
      <c r="D2711" s="3" t="s">
        <v>2198</v>
      </c>
      <c r="E2711" s="11" t="s">
        <v>10</v>
      </c>
      <c r="F2711" s="10">
        <v>3.4099999999999999E-4</v>
      </c>
      <c r="G2711" s="12">
        <f>ROUND(G$3*F2711,0)</f>
        <v>98</v>
      </c>
      <c r="H2711" s="13">
        <f>ROUND(G2711/2,0)</f>
        <v>49</v>
      </c>
      <c r="I2711" s="12">
        <f>G2711-H2711</f>
        <v>49</v>
      </c>
      <c r="J2711" s="3" t="str">
        <f t="shared" si="200"/>
        <v>3720011</v>
      </c>
    </row>
    <row r="2712" spans="2:10" s="3" customFormat="1">
      <c r="B2712" s="3" t="s">
        <v>2123</v>
      </c>
      <c r="C2712" s="8">
        <v>2</v>
      </c>
      <c r="D2712" s="3" t="s">
        <v>2198</v>
      </c>
      <c r="E2712" s="11" t="s">
        <v>11</v>
      </c>
      <c r="F2712" s="10">
        <v>9.2999999999999997E-5</v>
      </c>
      <c r="G2712" s="12">
        <f>ROUND(G$3*F2712,0)</f>
        <v>27</v>
      </c>
      <c r="H2712" s="13">
        <f>ROUND(G2712/2,0)</f>
        <v>14</v>
      </c>
      <c r="I2712" s="12">
        <f>G2712-H2712</f>
        <v>13</v>
      </c>
      <c r="J2712" s="3" t="str">
        <f t="shared" si="200"/>
        <v>3720011</v>
      </c>
    </row>
    <row r="2713" spans="2:10" s="3" customFormat="1">
      <c r="B2713" s="3" t="s">
        <v>2123</v>
      </c>
      <c r="C2713" s="8">
        <v>2</v>
      </c>
      <c r="D2713" s="3" t="s">
        <v>2199</v>
      </c>
      <c r="E2713" s="11" t="s">
        <v>840</v>
      </c>
      <c r="F2713" s="11"/>
      <c r="G2713" s="9"/>
      <c r="H2713" s="11"/>
      <c r="I2713" s="11"/>
      <c r="J2713" s="3" t="str">
        <f t="shared" si="200"/>
        <v>3720012</v>
      </c>
    </row>
    <row r="2714" spans="2:10" s="3" customFormat="1">
      <c r="B2714" s="3" t="s">
        <v>2123</v>
      </c>
      <c r="C2714" s="8">
        <v>2</v>
      </c>
      <c r="D2714" s="3" t="s">
        <v>2199</v>
      </c>
      <c r="E2714" s="11" t="s">
        <v>10</v>
      </c>
      <c r="F2714" s="10">
        <v>6.2200000000000005E-4</v>
      </c>
      <c r="G2714" s="12">
        <f>ROUND(G$3*F2714,0)</f>
        <v>179</v>
      </c>
      <c r="H2714" s="13">
        <f>ROUND(G2714/2,0)</f>
        <v>90</v>
      </c>
      <c r="I2714" s="12">
        <f>G2714-H2714</f>
        <v>89</v>
      </c>
      <c r="J2714" s="3" t="str">
        <f t="shared" si="200"/>
        <v>3720012</v>
      </c>
    </row>
    <row r="2715" spans="2:10" s="3" customFormat="1">
      <c r="B2715" s="3" t="s">
        <v>2123</v>
      </c>
      <c r="C2715" s="8">
        <v>2</v>
      </c>
      <c r="D2715" s="3" t="s">
        <v>2199</v>
      </c>
      <c r="E2715" s="11" t="s">
        <v>11</v>
      </c>
      <c r="F2715" s="10">
        <v>2.43E-4</v>
      </c>
      <c r="G2715" s="12">
        <f>ROUND(G$3*F2715,0)</f>
        <v>70</v>
      </c>
      <c r="H2715" s="13">
        <f>ROUND(G2715/2,0)</f>
        <v>35</v>
      </c>
      <c r="I2715" s="12">
        <f>G2715-H2715</f>
        <v>35</v>
      </c>
      <c r="J2715" s="3" t="str">
        <f t="shared" si="200"/>
        <v>3720012</v>
      </c>
    </row>
    <row r="2716" spans="2:10" s="3" customFormat="1">
      <c r="B2716" s="3" t="s">
        <v>2123</v>
      </c>
      <c r="C2716" s="8">
        <v>2</v>
      </c>
      <c r="D2716" s="3" t="s">
        <v>2208</v>
      </c>
      <c r="E2716" s="11" t="s">
        <v>841</v>
      </c>
      <c r="F2716" s="11"/>
      <c r="G2716" s="9"/>
      <c r="H2716" s="11"/>
      <c r="I2716" s="11"/>
      <c r="J2716" s="3" t="str">
        <f t="shared" si="200"/>
        <v>3720013</v>
      </c>
    </row>
    <row r="2717" spans="2:10" s="3" customFormat="1">
      <c r="B2717" s="3" t="s">
        <v>2123</v>
      </c>
      <c r="C2717" s="8">
        <v>2</v>
      </c>
      <c r="D2717" s="3" t="s">
        <v>2208</v>
      </c>
      <c r="E2717" s="11" t="s">
        <v>10</v>
      </c>
      <c r="F2717" s="10">
        <v>9.9400000000000009E-4</v>
      </c>
      <c r="G2717" s="12">
        <f t="shared" ref="G2717:G2723" si="201">ROUND(G$3*F2717,0)</f>
        <v>286</v>
      </c>
      <c r="H2717" s="13">
        <f t="shared" ref="H2717:H2723" si="202">ROUND(G2717/2,0)</f>
        <v>143</v>
      </c>
      <c r="I2717" s="12">
        <f t="shared" ref="I2717:I2723" si="203">G2717-H2717</f>
        <v>143</v>
      </c>
      <c r="J2717" s="3" t="str">
        <f t="shared" si="200"/>
        <v>3720013</v>
      </c>
    </row>
    <row r="2718" spans="2:10" s="3" customFormat="1">
      <c r="B2718" s="3" t="s">
        <v>2123</v>
      </c>
      <c r="C2718" s="8">
        <v>2</v>
      </c>
      <c r="D2718" s="3" t="s">
        <v>2208</v>
      </c>
      <c r="E2718" s="11" t="s">
        <v>11</v>
      </c>
      <c r="F2718" s="10">
        <v>3.4699999999999998E-4</v>
      </c>
      <c r="G2718" s="12">
        <f t="shared" si="201"/>
        <v>100</v>
      </c>
      <c r="H2718" s="13">
        <f t="shared" si="202"/>
        <v>50</v>
      </c>
      <c r="I2718" s="12">
        <f t="shared" si="203"/>
        <v>50</v>
      </c>
      <c r="J2718" s="3" t="str">
        <f t="shared" si="200"/>
        <v>3720013</v>
      </c>
    </row>
    <row r="2719" spans="2:10" s="3" customFormat="1">
      <c r="B2719" s="3" t="s">
        <v>2123</v>
      </c>
      <c r="C2719" s="8">
        <v>3</v>
      </c>
      <c r="D2719" s="3" t="s">
        <v>2620</v>
      </c>
      <c r="E2719" s="11" t="s">
        <v>842</v>
      </c>
      <c r="F2719" s="10">
        <v>2.1439E-2</v>
      </c>
      <c r="G2719" s="12">
        <f t="shared" si="201"/>
        <v>6168</v>
      </c>
      <c r="H2719" s="13">
        <f t="shared" si="202"/>
        <v>3084</v>
      </c>
      <c r="I2719" s="12">
        <f t="shared" si="203"/>
        <v>3084</v>
      </c>
      <c r="J2719" s="3" t="str">
        <f t="shared" si="200"/>
        <v>3730691</v>
      </c>
    </row>
    <row r="2720" spans="2:10" s="3" customFormat="1">
      <c r="B2720" s="3" t="s">
        <v>2123</v>
      </c>
      <c r="C2720" s="8">
        <v>3</v>
      </c>
      <c r="D2720" s="3" t="s">
        <v>2621</v>
      </c>
      <c r="E2720" s="11" t="s">
        <v>843</v>
      </c>
      <c r="F2720" s="10">
        <v>1.2251E-2</v>
      </c>
      <c r="G2720" s="12">
        <f t="shared" si="201"/>
        <v>3525</v>
      </c>
      <c r="H2720" s="13">
        <f t="shared" si="202"/>
        <v>1763</v>
      </c>
      <c r="I2720" s="12">
        <f t="shared" si="203"/>
        <v>1762</v>
      </c>
      <c r="J2720" s="3" t="str">
        <f t="shared" si="200"/>
        <v>3730692</v>
      </c>
    </row>
    <row r="2721" spans="2:10" s="3" customFormat="1">
      <c r="B2721" s="3" t="s">
        <v>2123</v>
      </c>
      <c r="C2721" s="8">
        <v>3</v>
      </c>
      <c r="D2721" s="3" t="s">
        <v>2619</v>
      </c>
      <c r="E2721" s="11" t="s">
        <v>844</v>
      </c>
      <c r="F2721" s="10">
        <v>1.4494999999999999E-2</v>
      </c>
      <c r="G2721" s="12">
        <f t="shared" si="201"/>
        <v>4171</v>
      </c>
      <c r="H2721" s="13">
        <f t="shared" si="202"/>
        <v>2086</v>
      </c>
      <c r="I2721" s="12">
        <f t="shared" si="203"/>
        <v>2085</v>
      </c>
      <c r="J2721" s="3" t="str">
        <f t="shared" si="200"/>
        <v>3730437</v>
      </c>
    </row>
    <row r="2722" spans="2:10" s="3" customFormat="1">
      <c r="B2722" s="3" t="s">
        <v>2123</v>
      </c>
      <c r="C2722" s="8">
        <v>3</v>
      </c>
      <c r="D2722" s="3" t="s">
        <v>2622</v>
      </c>
      <c r="E2722" s="11" t="s">
        <v>845</v>
      </c>
      <c r="F2722" s="10">
        <v>1.8699999999999999E-4</v>
      </c>
      <c r="G2722" s="12">
        <f t="shared" si="201"/>
        <v>54</v>
      </c>
      <c r="H2722" s="13">
        <f t="shared" si="202"/>
        <v>27</v>
      </c>
      <c r="I2722" s="12">
        <f t="shared" si="203"/>
        <v>27</v>
      </c>
      <c r="J2722" s="3" t="str">
        <f t="shared" si="200"/>
        <v>3730693</v>
      </c>
    </row>
    <row r="2723" spans="2:10" s="3" customFormat="1">
      <c r="B2723" s="3" t="s">
        <v>2123</v>
      </c>
      <c r="C2723" s="8">
        <v>4</v>
      </c>
      <c r="D2723" s="3" t="s">
        <v>2623</v>
      </c>
      <c r="E2723" s="11" t="s">
        <v>846</v>
      </c>
      <c r="F2723" s="10">
        <v>0.211035</v>
      </c>
      <c r="G2723" s="9">
        <f t="shared" si="201"/>
        <v>60720</v>
      </c>
      <c r="H2723" s="11">
        <f t="shared" si="202"/>
        <v>30360</v>
      </c>
      <c r="I2723" s="9">
        <f t="shared" si="203"/>
        <v>30360</v>
      </c>
      <c r="J2723" s="3" t="str">
        <f t="shared" si="200"/>
        <v>3743785</v>
      </c>
    </row>
    <row r="2724" spans="2:10" s="3" customFormat="1">
      <c r="B2724" s="3" t="s">
        <v>2123</v>
      </c>
      <c r="C2724" s="8">
        <v>4</v>
      </c>
      <c r="D2724" s="3" t="s">
        <v>2623</v>
      </c>
      <c r="E2724" s="11" t="s">
        <v>28</v>
      </c>
      <c r="F2724" s="11"/>
      <c r="G2724" s="14">
        <v>0.49685600000000002</v>
      </c>
      <c r="H2724" s="11"/>
      <c r="I2724" s="11"/>
      <c r="J2724" s="3" t="str">
        <f t="shared" si="200"/>
        <v>3743785</v>
      </c>
    </row>
    <row r="2725" spans="2:10" s="3" customFormat="1">
      <c r="B2725" s="3" t="s">
        <v>2123</v>
      </c>
      <c r="C2725" s="8">
        <v>4</v>
      </c>
      <c r="D2725" s="3" t="s">
        <v>2623</v>
      </c>
      <c r="E2725" s="11" t="s">
        <v>29</v>
      </c>
      <c r="F2725" s="11"/>
      <c r="G2725" s="15">
        <f>ROUND(G2723*G2724,0)</f>
        <v>30169</v>
      </c>
      <c r="H2725" s="16">
        <f>ROUND(G2725/2,0)</f>
        <v>15085</v>
      </c>
      <c r="I2725" s="15">
        <f>G2725-H2725</f>
        <v>15084</v>
      </c>
      <c r="J2725" s="3" t="str">
        <f t="shared" si="200"/>
        <v>3743785</v>
      </c>
    </row>
    <row r="2726" spans="2:10" s="3" customFormat="1">
      <c r="B2726" s="3" t="s">
        <v>2123</v>
      </c>
      <c r="C2726" s="8">
        <v>4</v>
      </c>
      <c r="D2726" s="3" t="s">
        <v>2623</v>
      </c>
      <c r="E2726" s="11" t="s">
        <v>30</v>
      </c>
      <c r="F2726" s="11"/>
      <c r="G2726" s="12">
        <f>+G2723-G2725</f>
        <v>30551</v>
      </c>
      <c r="H2726" s="13">
        <f>ROUND(G2726/2,0)</f>
        <v>15276</v>
      </c>
      <c r="I2726" s="12">
        <f>G2726-H2726</f>
        <v>15275</v>
      </c>
      <c r="J2726" s="3" t="str">
        <f t="shared" si="200"/>
        <v>3743785</v>
      </c>
    </row>
    <row r="2727" spans="2:10" s="3" customFormat="1">
      <c r="B2727" s="3" t="s">
        <v>2123</v>
      </c>
      <c r="C2727" s="8">
        <v>4</v>
      </c>
      <c r="D2727" s="3" t="s">
        <v>2624</v>
      </c>
      <c r="E2727" s="11" t="s">
        <v>847</v>
      </c>
      <c r="F2727" s="10">
        <v>0.106741</v>
      </c>
      <c r="G2727" s="9">
        <f>ROUND(G$3*F2727,0)</f>
        <v>30712</v>
      </c>
      <c r="H2727" s="11">
        <f>ROUND(G2727/2,0)</f>
        <v>15356</v>
      </c>
      <c r="I2727" s="9">
        <f>G2727-H2727</f>
        <v>15356</v>
      </c>
      <c r="J2727" s="3" t="str">
        <f t="shared" si="200"/>
        <v>3743815</v>
      </c>
    </row>
    <row r="2728" spans="2:10" s="3" customFormat="1">
      <c r="B2728" s="3" t="s">
        <v>2123</v>
      </c>
      <c r="C2728" s="8">
        <v>4</v>
      </c>
      <c r="D2728" s="3" t="s">
        <v>2624</v>
      </c>
      <c r="E2728" s="11" t="s">
        <v>28</v>
      </c>
      <c r="F2728" s="11"/>
      <c r="G2728" s="14">
        <v>0.52319000000000004</v>
      </c>
      <c r="H2728" s="11"/>
      <c r="I2728" s="11"/>
      <c r="J2728" s="3" t="str">
        <f t="shared" si="200"/>
        <v>3743815</v>
      </c>
    </row>
    <row r="2729" spans="2:10" s="3" customFormat="1">
      <c r="B2729" s="3" t="s">
        <v>2123</v>
      </c>
      <c r="C2729" s="8">
        <v>4</v>
      </c>
      <c r="D2729" s="3" t="s">
        <v>2624</v>
      </c>
      <c r="E2729" s="11" t="s">
        <v>29</v>
      </c>
      <c r="F2729" s="11"/>
      <c r="G2729" s="15">
        <f>ROUND(G2727*G2728,0)</f>
        <v>16068</v>
      </c>
      <c r="H2729" s="16">
        <f>ROUND(G2729/2,0)</f>
        <v>8034</v>
      </c>
      <c r="I2729" s="15">
        <f>G2729-H2729</f>
        <v>8034</v>
      </c>
      <c r="J2729" s="3" t="str">
        <f t="shared" si="200"/>
        <v>3743815</v>
      </c>
    </row>
    <row r="2730" spans="2:10" s="3" customFormat="1">
      <c r="B2730" s="3" t="s">
        <v>2123</v>
      </c>
      <c r="C2730" s="8">
        <v>4</v>
      </c>
      <c r="D2730" s="3" t="s">
        <v>2624</v>
      </c>
      <c r="E2730" s="11" t="s">
        <v>30</v>
      </c>
      <c r="F2730" s="11"/>
      <c r="G2730" s="12">
        <f>+G2727-G2729</f>
        <v>14644</v>
      </c>
      <c r="H2730" s="13">
        <f>ROUND(G2730/2,0)</f>
        <v>7322</v>
      </c>
      <c r="I2730" s="12">
        <f>G2730-H2730</f>
        <v>7322</v>
      </c>
      <c r="J2730" s="3" t="str">
        <f t="shared" si="200"/>
        <v>3743815</v>
      </c>
    </row>
    <row r="2731" spans="2:10" s="3" customFormat="1">
      <c r="B2731" s="3" t="s">
        <v>2123</v>
      </c>
      <c r="C2731" s="8">
        <v>4</v>
      </c>
      <c r="D2731" s="3" t="s">
        <v>2248</v>
      </c>
      <c r="E2731" s="11" t="s">
        <v>848</v>
      </c>
      <c r="F2731" s="10">
        <v>0.38769700000000001</v>
      </c>
      <c r="G2731" s="9">
        <f>ROUND(G$3*F2731,0)</f>
        <v>111549</v>
      </c>
      <c r="H2731" s="11">
        <f>ROUND(G2731/2,0)</f>
        <v>55775</v>
      </c>
      <c r="I2731" s="9">
        <f>G2731-H2731</f>
        <v>55774</v>
      </c>
      <c r="J2731" s="3" t="str">
        <f t="shared" si="200"/>
        <v>3748535</v>
      </c>
    </row>
    <row r="2732" spans="2:10" s="3" customFormat="1">
      <c r="B2732" s="3" t="s">
        <v>2123</v>
      </c>
      <c r="C2732" s="8">
        <v>4</v>
      </c>
      <c r="D2732" s="3" t="s">
        <v>2248</v>
      </c>
      <c r="E2732" s="11" t="s">
        <v>28</v>
      </c>
      <c r="F2732" s="11"/>
      <c r="G2732" s="14">
        <v>0.55119499999999999</v>
      </c>
      <c r="H2732" s="11"/>
      <c r="I2732" s="11"/>
      <c r="J2732" s="3" t="str">
        <f t="shared" si="200"/>
        <v>3748535</v>
      </c>
    </row>
    <row r="2733" spans="2:10" s="3" customFormat="1">
      <c r="B2733" s="3" t="s">
        <v>2123</v>
      </c>
      <c r="C2733" s="8">
        <v>4</v>
      </c>
      <c r="D2733" s="3" t="s">
        <v>2248</v>
      </c>
      <c r="E2733" s="11" t="s">
        <v>29</v>
      </c>
      <c r="F2733" s="11"/>
      <c r="G2733" s="15">
        <f>ROUND(G2731*G2732,0)</f>
        <v>61485</v>
      </c>
      <c r="H2733" s="16">
        <f>ROUND(G2733/2,0)</f>
        <v>30743</v>
      </c>
      <c r="I2733" s="15">
        <f>G2733-H2733</f>
        <v>30742</v>
      </c>
      <c r="J2733" s="3" t="str">
        <f t="shared" si="200"/>
        <v>3748535</v>
      </c>
    </row>
    <row r="2734" spans="2:10" s="3" customFormat="1">
      <c r="B2734" s="3" t="s">
        <v>2123</v>
      </c>
      <c r="C2734" s="8">
        <v>4</v>
      </c>
      <c r="D2734" s="3" t="s">
        <v>2248</v>
      </c>
      <c r="E2734" s="11" t="s">
        <v>30</v>
      </c>
      <c r="F2734" s="11"/>
      <c r="G2734" s="12">
        <f>+G2731-G2733</f>
        <v>50064</v>
      </c>
      <c r="H2734" s="13">
        <f>ROUND(G2734/2,0)</f>
        <v>25032</v>
      </c>
      <c r="I2734" s="12">
        <f>G2734-H2734</f>
        <v>25032</v>
      </c>
      <c r="J2734" s="3" t="str">
        <f t="shared" si="200"/>
        <v>3748535</v>
      </c>
    </row>
    <row r="2735" spans="2:10" s="3" customFormat="1">
      <c r="B2735" s="3" t="s">
        <v>2123</v>
      </c>
      <c r="C2735" s="8">
        <v>4</v>
      </c>
      <c r="D2735" s="3" t="s">
        <v>2625</v>
      </c>
      <c r="E2735" s="11" t="s">
        <v>849</v>
      </c>
      <c r="F2735" s="10">
        <v>4.052E-3</v>
      </c>
      <c r="G2735" s="9">
        <f>ROUND(G$3*F2735,0)</f>
        <v>1166</v>
      </c>
      <c r="H2735" s="11">
        <f>ROUND(G2735/2,0)</f>
        <v>583</v>
      </c>
      <c r="I2735" s="9">
        <f>G2735-H2735</f>
        <v>583</v>
      </c>
      <c r="J2735" s="3" t="str">
        <f t="shared" si="200"/>
        <v>3746630</v>
      </c>
    </row>
    <row r="2736" spans="2:10" s="3" customFormat="1">
      <c r="B2736" s="3" t="s">
        <v>2123</v>
      </c>
      <c r="C2736" s="8">
        <v>4</v>
      </c>
      <c r="D2736" s="3" t="s">
        <v>2625</v>
      </c>
      <c r="E2736" s="11" t="s">
        <v>28</v>
      </c>
      <c r="F2736" s="11"/>
      <c r="G2736" s="14">
        <v>0.571967</v>
      </c>
      <c r="H2736" s="11"/>
      <c r="I2736" s="11"/>
      <c r="J2736" s="3" t="str">
        <f t="shared" si="200"/>
        <v>3746630</v>
      </c>
    </row>
    <row r="2737" spans="1:10" s="3" customFormat="1">
      <c r="B2737" s="3" t="s">
        <v>2123</v>
      </c>
      <c r="C2737" s="8">
        <v>4</v>
      </c>
      <c r="D2737" s="3" t="s">
        <v>2625</v>
      </c>
      <c r="E2737" s="11" t="s">
        <v>29</v>
      </c>
      <c r="F2737" s="11"/>
      <c r="G2737" s="15">
        <f>ROUND(G2735*G2736,0)</f>
        <v>667</v>
      </c>
      <c r="H2737" s="16">
        <f>ROUND(G2737/2,0)</f>
        <v>334</v>
      </c>
      <c r="I2737" s="15">
        <f>G2737-H2737</f>
        <v>333</v>
      </c>
      <c r="J2737" s="3" t="str">
        <f t="shared" si="200"/>
        <v>3746630</v>
      </c>
    </row>
    <row r="2738" spans="1:10" s="3" customFormat="1">
      <c r="B2738" s="3" t="s">
        <v>2123</v>
      </c>
      <c r="C2738" s="8">
        <v>4</v>
      </c>
      <c r="D2738" s="3" t="s">
        <v>2625</v>
      </c>
      <c r="E2738" s="11" t="s">
        <v>30</v>
      </c>
      <c r="F2738" s="11"/>
      <c r="G2738" s="12">
        <f>+G2735-G2737</f>
        <v>499</v>
      </c>
      <c r="H2738" s="13">
        <f>ROUND(G2738/2,0)</f>
        <v>250</v>
      </c>
      <c r="I2738" s="12">
        <f>G2738-H2738</f>
        <v>249</v>
      </c>
      <c r="J2738" s="3" t="str">
        <f t="shared" si="200"/>
        <v>3746630</v>
      </c>
    </row>
    <row r="2739" spans="1:10" s="3" customFormat="1">
      <c r="B2739" s="3" t="s">
        <v>2123</v>
      </c>
      <c r="C2739" s="8">
        <v>5</v>
      </c>
      <c r="D2739" s="3" t="s">
        <v>4455</v>
      </c>
      <c r="E2739" s="11" t="s">
        <v>850</v>
      </c>
      <c r="F2739" s="10">
        <v>2.4146999999999998E-2</v>
      </c>
      <c r="G2739" s="120">
        <f>ROUND(G$3*F2739,0)</f>
        <v>6948</v>
      </c>
      <c r="H2739" s="120">
        <f>ROUND(G2739/2,0)</f>
        <v>3474</v>
      </c>
      <c r="I2739" s="120">
        <f>G2739-H2739</f>
        <v>3474</v>
      </c>
      <c r="J2739" s="3" t="str">
        <f t="shared" si="200"/>
        <v>3750266</v>
      </c>
    </row>
    <row r="2740" spans="1:10" s="3" customFormat="1">
      <c r="B2740" s="3" t="s">
        <v>2123</v>
      </c>
      <c r="C2740" s="8">
        <v>5</v>
      </c>
      <c r="D2740" s="3" t="s">
        <v>2626</v>
      </c>
      <c r="E2740" s="11" t="s">
        <v>851</v>
      </c>
      <c r="F2740" s="10">
        <v>7.9159999999999994E-3</v>
      </c>
      <c r="G2740" s="120">
        <f>+G2674-SUM(G2675:G2676)-SUM(G2681:G2723)-G2727-G2731-G2735-G2739</f>
        <v>420263</v>
      </c>
      <c r="H2740" s="120">
        <f>ROUND(G2740/2,0)</f>
        <v>210132</v>
      </c>
      <c r="I2740" s="120">
        <f>G2740-H2740</f>
        <v>210131</v>
      </c>
      <c r="J2740" s="3" t="str">
        <f t="shared" si="200"/>
        <v>3750103</v>
      </c>
    </row>
    <row r="2741" spans="1:10" s="3" customFormat="1">
      <c r="A2741" s="3" t="s">
        <v>6269</v>
      </c>
      <c r="B2741" s="3" t="s">
        <v>2123</v>
      </c>
      <c r="C2741" s="8">
        <v>6</v>
      </c>
      <c r="D2741" s="3" t="s">
        <v>3281</v>
      </c>
      <c r="E2741" s="11" t="s">
        <v>131</v>
      </c>
      <c r="F2741" s="10">
        <v>0</v>
      </c>
      <c r="G2741" s="120">
        <f>ROUND(G$3*F2741,0)</f>
        <v>0</v>
      </c>
      <c r="H2741" s="120">
        <f>ROUND(G2741/2,0)</f>
        <v>0</v>
      </c>
      <c r="I2741" s="120">
        <f>G2741-H2741</f>
        <v>0</v>
      </c>
      <c r="J2741" s="3" t="str">
        <f t="shared" si="200"/>
        <v>3761062</v>
      </c>
    </row>
    <row r="2742" spans="1:10" s="3" customFormat="1">
      <c r="B2742" s="3" t="s">
        <v>2123</v>
      </c>
      <c r="C2742" s="8">
        <v>0</v>
      </c>
      <c r="D2742" s="125" t="s">
        <v>2187</v>
      </c>
      <c r="E2742" s="28" t="s">
        <v>288</v>
      </c>
      <c r="F2742" s="10">
        <v>0.99999999999999989</v>
      </c>
      <c r="G2742" s="12">
        <f>+G2675+SUM(G2678:G2722)+SUM(G2725:G2726)+SUM(G2729:G2730)+SUM(G2733:G2734)+SUM(G2737:G2741)</f>
        <v>705710</v>
      </c>
      <c r="H2742" s="12">
        <f>+H2675+SUM(H2678:H2722)+SUM(H2725:H2726)+SUM(H2729:H2730)+SUM(H2733:H2734)+SUM(H2737:H2741)</f>
        <v>352864</v>
      </c>
      <c r="I2742" s="12">
        <f>+I2675+SUM(I2678:I2722)+SUM(I2725:I2726)+SUM(I2729:I2730)+SUM(I2733:I2734)+SUM(I2737:I2741)</f>
        <v>352846</v>
      </c>
      <c r="J2742" s="3" t="str">
        <f t="shared" si="200"/>
        <v>3700000</v>
      </c>
    </row>
    <row r="2743" spans="1:10" s="3" customFormat="1">
      <c r="B2743" s="3" t="s">
        <v>2123</v>
      </c>
      <c r="C2743" s="8">
        <v>0</v>
      </c>
      <c r="D2743" s="3" t="s">
        <v>2187</v>
      </c>
      <c r="E2743" s="18" t="s">
        <v>38</v>
      </c>
      <c r="G2743" s="19">
        <f>+G2675</f>
        <v>398</v>
      </c>
      <c r="H2743" s="19">
        <f>+H2675</f>
        <v>199</v>
      </c>
      <c r="I2743" s="19">
        <f>+I2675</f>
        <v>199</v>
      </c>
      <c r="J2743" s="3" t="str">
        <f t="shared" si="200"/>
        <v>3700000</v>
      </c>
    </row>
    <row r="2744" spans="1:10" s="3" customFormat="1">
      <c r="B2744" s="3" t="s">
        <v>2123</v>
      </c>
      <c r="C2744" s="8">
        <v>0</v>
      </c>
      <c r="D2744" s="3" t="s">
        <v>2187</v>
      </c>
      <c r="E2744" s="2" t="s">
        <v>39</v>
      </c>
      <c r="G2744" s="19">
        <f>+G2678</f>
        <v>9237</v>
      </c>
      <c r="H2744" s="19">
        <f>+H2678</f>
        <v>4619</v>
      </c>
      <c r="I2744" s="19">
        <f>+I2678</f>
        <v>4618</v>
      </c>
      <c r="J2744" s="3" t="str">
        <f t="shared" si="200"/>
        <v>3700000</v>
      </c>
    </row>
    <row r="2745" spans="1:10" s="3" customFormat="1">
      <c r="B2745" s="3" t="s">
        <v>2123</v>
      </c>
      <c r="C2745" s="8">
        <v>0</v>
      </c>
      <c r="D2745" s="3" t="s">
        <v>2187</v>
      </c>
      <c r="E2745" s="2" t="s">
        <v>40</v>
      </c>
      <c r="G2745" s="19">
        <f>+G2725+G2729+G2733+G2737</f>
        <v>108389</v>
      </c>
      <c r="H2745" s="19">
        <f>+H2725+H2729+H2733+H2737</f>
        <v>54196</v>
      </c>
      <c r="I2745" s="19">
        <f>+I2725+I2729+I2733+I2737</f>
        <v>54193</v>
      </c>
      <c r="J2745" s="3" t="str">
        <f t="shared" si="200"/>
        <v>3700000</v>
      </c>
    </row>
    <row r="2746" spans="1:10" s="3" customFormat="1">
      <c r="B2746" s="3" t="s">
        <v>2123</v>
      </c>
      <c r="C2746" s="8">
        <v>0</v>
      </c>
      <c r="D2746" s="125" t="s">
        <v>2187</v>
      </c>
      <c r="E2746" s="18" t="s">
        <v>41</v>
      </c>
      <c r="G2746" s="19">
        <f>+G2742-G2743-G2744-G2745</f>
        <v>587686</v>
      </c>
      <c r="H2746" s="19">
        <f>+H2742-H2743-H2744-H2745</f>
        <v>293850</v>
      </c>
      <c r="I2746" s="19">
        <f>+I2742-I2743-I2744-I2745</f>
        <v>293836</v>
      </c>
      <c r="J2746" s="3" t="str">
        <f t="shared" si="200"/>
        <v>3700000</v>
      </c>
    </row>
    <row r="2747" spans="1:10" ht="15.75">
      <c r="B2747" s="3" t="s">
        <v>2186</v>
      </c>
      <c r="D2747" t="s">
        <v>2186</v>
      </c>
      <c r="E2747">
        <v>0</v>
      </c>
      <c r="G2747"/>
      <c r="H2747"/>
      <c r="I2747"/>
      <c r="J2747" s="3" t="str">
        <f t="shared" si="200"/>
        <v/>
      </c>
    </row>
    <row r="2748" spans="1:10" s="3" customFormat="1">
      <c r="C2748" s="1"/>
      <c r="D2748" s="3" t="s">
        <v>2186</v>
      </c>
      <c r="E2748" s="2" t="s">
        <v>2181</v>
      </c>
      <c r="J2748" s="3" t="str">
        <f t="shared" si="200"/>
        <v/>
      </c>
    </row>
    <row r="2749" spans="1:10" s="3" customFormat="1" ht="45">
      <c r="B2749" s="3" t="s">
        <v>2186</v>
      </c>
      <c r="C2749" s="1" t="s">
        <v>590</v>
      </c>
      <c r="D2749" s="3" t="s">
        <v>2186</v>
      </c>
      <c r="E2749" s="1">
        <v>0</v>
      </c>
      <c r="F2749" s="6" t="s">
        <v>1</v>
      </c>
      <c r="G2749" s="60">
        <f>'Allocation Worksheet'!H2749</f>
        <v>0</v>
      </c>
      <c r="H2749" s="60">
        <f>'Allocation Worksheet'!H2750</f>
        <v>0</v>
      </c>
      <c r="I2749" s="60">
        <f>'Allocation Worksheet'!H2751</f>
        <v>0</v>
      </c>
      <c r="J2749" s="3" t="str">
        <f t="shared" si="200"/>
        <v xml:space="preserve"> </v>
      </c>
    </row>
    <row r="2750" spans="1:10" s="3" customFormat="1">
      <c r="C2750" s="7" t="s">
        <v>2087</v>
      </c>
      <c r="D2750" s="3" t="s">
        <v>2186</v>
      </c>
      <c r="E2750" s="7" t="s">
        <v>3</v>
      </c>
      <c r="F2750" s="10"/>
      <c r="G2750" s="9">
        <f>'Allocation Worksheet'!$D$41</f>
        <v>135739</v>
      </c>
      <c r="H2750" s="11"/>
      <c r="I2750" s="11"/>
      <c r="J2750" s="3" t="str">
        <f t="shared" si="200"/>
        <v>UT</v>
      </c>
    </row>
    <row r="2751" spans="1:10" s="3" customFormat="1">
      <c r="B2751" s="3" t="s">
        <v>2184</v>
      </c>
      <c r="C2751" s="8">
        <v>0</v>
      </c>
      <c r="D2751" s="3" t="s">
        <v>2187</v>
      </c>
      <c r="E2751" s="11" t="s">
        <v>4</v>
      </c>
      <c r="F2751" s="10">
        <v>1.2149999999999999E-3</v>
      </c>
      <c r="G2751" s="12">
        <f>ROUND(G$3*F2751,0)</f>
        <v>350</v>
      </c>
      <c r="H2751" s="13">
        <f>ROUND(G2751/2,0)</f>
        <v>175</v>
      </c>
      <c r="I2751" s="12">
        <f>G2751-H2751</f>
        <v>175</v>
      </c>
      <c r="J2751" s="3" t="str">
        <f t="shared" si="200"/>
        <v>3800000</v>
      </c>
    </row>
    <row r="2752" spans="1:10" s="3" customFormat="1">
      <c r="B2752" s="3" t="s">
        <v>2184</v>
      </c>
      <c r="C2752" s="8">
        <v>1</v>
      </c>
      <c r="D2752" s="3" t="s">
        <v>2187</v>
      </c>
      <c r="E2752" s="11" t="s">
        <v>853</v>
      </c>
      <c r="F2752" s="10">
        <v>0.23508100000000001</v>
      </c>
      <c r="G2752" s="9">
        <f>ROUND(G$3*F2752,0)</f>
        <v>67638</v>
      </c>
      <c r="H2752" s="11">
        <f>ROUND(G2752/2,0)</f>
        <v>33819</v>
      </c>
      <c r="I2752" s="9">
        <f>G2752-H2752</f>
        <v>33819</v>
      </c>
      <c r="J2752" s="3" t="str">
        <f t="shared" si="200"/>
        <v>3810000</v>
      </c>
    </row>
    <row r="2753" spans="2:10" s="3" customFormat="1">
      <c r="B2753" s="3" t="s">
        <v>2184</v>
      </c>
      <c r="C2753" s="8">
        <v>1</v>
      </c>
      <c r="D2753" s="3" t="s">
        <v>2187</v>
      </c>
      <c r="E2753" s="11" t="s">
        <v>6</v>
      </c>
      <c r="F2753" s="11"/>
      <c r="G2753" s="14">
        <v>0.18595800000000001</v>
      </c>
      <c r="H2753" s="11"/>
      <c r="I2753" s="11"/>
      <c r="J2753" s="3" t="str">
        <f t="shared" si="200"/>
        <v>3810000</v>
      </c>
    </row>
    <row r="2754" spans="2:10" s="3" customFormat="1">
      <c r="B2754" s="3" t="s">
        <v>2184</v>
      </c>
      <c r="C2754" s="8">
        <v>1</v>
      </c>
      <c r="D2754" s="3" t="s">
        <v>2187</v>
      </c>
      <c r="E2754" s="11" t="s">
        <v>7</v>
      </c>
      <c r="F2754" s="11"/>
      <c r="G2754" s="15">
        <f>ROUND(G2752*G2753,0)</f>
        <v>12578</v>
      </c>
      <c r="H2754" s="16">
        <f>ROUND(G2754/2,0)</f>
        <v>6289</v>
      </c>
      <c r="I2754" s="15">
        <f>G2754-H2754</f>
        <v>6289</v>
      </c>
      <c r="J2754" s="3" t="str">
        <f t="shared" si="200"/>
        <v>3810000</v>
      </c>
    </row>
    <row r="2755" spans="2:10" s="3" customFormat="1">
      <c r="B2755" s="3" t="s">
        <v>2184</v>
      </c>
      <c r="C2755" s="8">
        <v>1</v>
      </c>
      <c r="D2755" s="3" t="s">
        <v>2187</v>
      </c>
      <c r="E2755" s="11" t="s">
        <v>8</v>
      </c>
      <c r="F2755" s="11"/>
      <c r="G2755" s="12">
        <f>+G2752-G2754</f>
        <v>55060</v>
      </c>
      <c r="H2755" s="13">
        <f>ROUND(G2755/2,0)</f>
        <v>27530</v>
      </c>
      <c r="I2755" s="12">
        <f>G2755-H2755</f>
        <v>27530</v>
      </c>
      <c r="J2755" s="3" t="str">
        <f t="shared" si="200"/>
        <v>3810000</v>
      </c>
    </row>
    <row r="2756" spans="2:10" s="3" customFormat="1">
      <c r="B2756" s="3" t="s">
        <v>2184</v>
      </c>
      <c r="C2756" s="8">
        <v>2</v>
      </c>
      <c r="D2756" s="3" t="s">
        <v>2188</v>
      </c>
      <c r="E2756" s="11" t="s">
        <v>854</v>
      </c>
      <c r="F2756" s="11"/>
      <c r="G2756" s="9"/>
      <c r="H2756" s="11"/>
      <c r="I2756" s="11"/>
      <c r="J2756" s="3" t="str">
        <f t="shared" ref="J2756:J2819" si="204">B2756&amp;C2756&amp;D2756</f>
        <v>3820001</v>
      </c>
    </row>
    <row r="2757" spans="2:10" s="3" customFormat="1">
      <c r="B2757" s="3" t="s">
        <v>2184</v>
      </c>
      <c r="C2757" s="8">
        <v>2</v>
      </c>
      <c r="D2757" s="3" t="s">
        <v>2188</v>
      </c>
      <c r="E2757" s="11" t="s">
        <v>10</v>
      </c>
      <c r="F2757" s="10">
        <v>8.2600000000000002E-4</v>
      </c>
      <c r="G2757" s="12">
        <f>ROUND(G$3*F2757,0)</f>
        <v>238</v>
      </c>
      <c r="H2757" s="13">
        <f>ROUND(G2757/2,0)</f>
        <v>119</v>
      </c>
      <c r="I2757" s="12">
        <f>G2757-H2757</f>
        <v>119</v>
      </c>
      <c r="J2757" s="3" t="str">
        <f t="shared" si="204"/>
        <v>3820001</v>
      </c>
    </row>
    <row r="2758" spans="2:10" s="3" customFormat="1">
      <c r="B2758" s="3" t="s">
        <v>2184</v>
      </c>
      <c r="C2758" s="8">
        <v>2</v>
      </c>
      <c r="D2758" s="3" t="s">
        <v>2188</v>
      </c>
      <c r="E2758" s="11" t="s">
        <v>11</v>
      </c>
      <c r="F2758" s="10">
        <v>5.1000000000000004E-4</v>
      </c>
      <c r="G2758" s="12">
        <f>ROUND(G$3*F2758,0)</f>
        <v>147</v>
      </c>
      <c r="H2758" s="13">
        <f>ROUND(G2758/2,0)</f>
        <v>74</v>
      </c>
      <c r="I2758" s="12">
        <f>G2758-H2758</f>
        <v>73</v>
      </c>
      <c r="J2758" s="3" t="str">
        <f t="shared" si="204"/>
        <v>3820001</v>
      </c>
    </row>
    <row r="2759" spans="2:10" s="3" customFormat="1">
      <c r="B2759" s="3" t="s">
        <v>2184</v>
      </c>
      <c r="C2759" s="8">
        <v>2</v>
      </c>
      <c r="D2759" s="3" t="s">
        <v>2189</v>
      </c>
      <c r="E2759" s="11" t="s">
        <v>855</v>
      </c>
      <c r="F2759" s="11"/>
      <c r="G2759" s="9"/>
      <c r="H2759" s="11"/>
      <c r="I2759" s="11"/>
      <c r="J2759" s="3" t="str">
        <f t="shared" si="204"/>
        <v>3820002</v>
      </c>
    </row>
    <row r="2760" spans="2:10" s="3" customFormat="1">
      <c r="B2760" s="3" t="s">
        <v>2184</v>
      </c>
      <c r="C2760" s="8">
        <v>2</v>
      </c>
      <c r="D2760" s="3" t="s">
        <v>2189</v>
      </c>
      <c r="E2760" s="11" t="s">
        <v>10</v>
      </c>
      <c r="F2760" s="10">
        <v>1.5169999999999999E-3</v>
      </c>
      <c r="G2760" s="12">
        <f>ROUND(G$3*F2760,0)</f>
        <v>436</v>
      </c>
      <c r="H2760" s="13">
        <f>ROUND(G2760/2,0)</f>
        <v>218</v>
      </c>
      <c r="I2760" s="12">
        <f>G2760-H2760</f>
        <v>218</v>
      </c>
      <c r="J2760" s="3" t="str">
        <f t="shared" si="204"/>
        <v>3820002</v>
      </c>
    </row>
    <row r="2761" spans="2:10" s="3" customFormat="1">
      <c r="B2761" s="3" t="s">
        <v>2184</v>
      </c>
      <c r="C2761" s="8">
        <v>2</v>
      </c>
      <c r="D2761" s="3" t="s">
        <v>2189</v>
      </c>
      <c r="E2761" s="11" t="s">
        <v>11</v>
      </c>
      <c r="F2761" s="10">
        <v>1.0139999999999999E-3</v>
      </c>
      <c r="G2761" s="12">
        <f>ROUND(G$3*F2761,0)</f>
        <v>292</v>
      </c>
      <c r="H2761" s="13">
        <f>ROUND(G2761/2,0)</f>
        <v>146</v>
      </c>
      <c r="I2761" s="12">
        <f>G2761-H2761</f>
        <v>146</v>
      </c>
      <c r="J2761" s="3" t="str">
        <f t="shared" si="204"/>
        <v>3820002</v>
      </c>
    </row>
    <row r="2762" spans="2:10" s="3" customFormat="1">
      <c r="B2762" s="3" t="s">
        <v>2184</v>
      </c>
      <c r="C2762" s="8">
        <v>2</v>
      </c>
      <c r="D2762" s="3" t="s">
        <v>2190</v>
      </c>
      <c r="E2762" s="11" t="s">
        <v>49</v>
      </c>
      <c r="F2762" s="11"/>
      <c r="G2762" s="9"/>
      <c r="H2762" s="11"/>
      <c r="I2762" s="11"/>
      <c r="J2762" s="3" t="str">
        <f t="shared" si="204"/>
        <v>3820003</v>
      </c>
    </row>
    <row r="2763" spans="2:10" s="3" customFormat="1">
      <c r="B2763" s="3" t="s">
        <v>2184</v>
      </c>
      <c r="C2763" s="8">
        <v>2</v>
      </c>
      <c r="D2763" s="3" t="s">
        <v>2190</v>
      </c>
      <c r="E2763" s="11" t="s">
        <v>10</v>
      </c>
      <c r="F2763" s="10">
        <v>3.6299999999999999E-4</v>
      </c>
      <c r="G2763" s="12">
        <f>ROUND(G$3*F2763,0)</f>
        <v>104</v>
      </c>
      <c r="H2763" s="13">
        <f>ROUND(G2763/2,0)</f>
        <v>52</v>
      </c>
      <c r="I2763" s="12">
        <f>G2763-H2763</f>
        <v>52</v>
      </c>
      <c r="J2763" s="3" t="str">
        <f t="shared" si="204"/>
        <v>3820003</v>
      </c>
    </row>
    <row r="2764" spans="2:10" s="3" customFormat="1">
      <c r="B2764" s="3" t="s">
        <v>2184</v>
      </c>
      <c r="C2764" s="8">
        <v>2</v>
      </c>
      <c r="D2764" s="3" t="s">
        <v>2190</v>
      </c>
      <c r="E2764" s="11" t="s">
        <v>11</v>
      </c>
      <c r="F2764" s="10">
        <v>1.4100000000000001E-4</v>
      </c>
      <c r="G2764" s="12">
        <f>ROUND(G$3*F2764,0)</f>
        <v>41</v>
      </c>
      <c r="H2764" s="13">
        <f>ROUND(G2764/2,0)</f>
        <v>21</v>
      </c>
      <c r="I2764" s="12">
        <f>G2764-H2764</f>
        <v>20</v>
      </c>
      <c r="J2764" s="3" t="str">
        <f t="shared" si="204"/>
        <v>3820003</v>
      </c>
    </row>
    <row r="2765" spans="2:10" s="3" customFormat="1">
      <c r="B2765" s="3" t="s">
        <v>2184</v>
      </c>
      <c r="C2765" s="8">
        <v>2</v>
      </c>
      <c r="D2765" s="3" t="s">
        <v>2191</v>
      </c>
      <c r="E2765" s="11" t="s">
        <v>14</v>
      </c>
      <c r="F2765" s="11"/>
      <c r="G2765" s="9"/>
      <c r="H2765" s="11"/>
      <c r="I2765" s="11"/>
      <c r="J2765" s="3" t="str">
        <f t="shared" si="204"/>
        <v>3820004</v>
      </c>
    </row>
    <row r="2766" spans="2:10" s="3" customFormat="1">
      <c r="B2766" s="3" t="s">
        <v>2184</v>
      </c>
      <c r="C2766" s="8">
        <v>2</v>
      </c>
      <c r="D2766" s="3" t="s">
        <v>2191</v>
      </c>
      <c r="E2766" s="11" t="s">
        <v>10</v>
      </c>
      <c r="F2766" s="10">
        <v>5.9100000000000005E-4</v>
      </c>
      <c r="G2766" s="12">
        <f>ROUND(G$3*F2766,0)</f>
        <v>170</v>
      </c>
      <c r="H2766" s="13">
        <f>ROUND(G2766/2,0)</f>
        <v>85</v>
      </c>
      <c r="I2766" s="12">
        <f>G2766-H2766</f>
        <v>85</v>
      </c>
      <c r="J2766" s="3" t="str">
        <f t="shared" si="204"/>
        <v>3820004</v>
      </c>
    </row>
    <row r="2767" spans="2:10" s="3" customFormat="1">
      <c r="B2767" s="3" t="s">
        <v>2184</v>
      </c>
      <c r="C2767" s="8">
        <v>2</v>
      </c>
      <c r="D2767" s="3" t="s">
        <v>2191</v>
      </c>
      <c r="E2767" s="11" t="s">
        <v>11</v>
      </c>
      <c r="F2767" s="10">
        <v>3.5599999999999998E-4</v>
      </c>
      <c r="G2767" s="12">
        <f>ROUND(G$3*F2767,0)</f>
        <v>102</v>
      </c>
      <c r="H2767" s="13">
        <f>ROUND(G2767/2,0)</f>
        <v>51</v>
      </c>
      <c r="I2767" s="12">
        <f>G2767-H2767</f>
        <v>51</v>
      </c>
      <c r="J2767" s="3" t="str">
        <f t="shared" si="204"/>
        <v>3820004</v>
      </c>
    </row>
    <row r="2768" spans="2:10" s="3" customFormat="1">
      <c r="B2768" s="3" t="s">
        <v>2184</v>
      </c>
      <c r="C2768" s="8">
        <v>2</v>
      </c>
      <c r="D2768" s="3" t="s">
        <v>2192</v>
      </c>
      <c r="E2768" s="11" t="s">
        <v>856</v>
      </c>
      <c r="F2768" s="11"/>
      <c r="G2768" s="9"/>
      <c r="H2768" s="11"/>
      <c r="I2768" s="11"/>
      <c r="J2768" s="3" t="str">
        <f t="shared" si="204"/>
        <v>3820005</v>
      </c>
    </row>
    <row r="2769" spans="2:10" s="3" customFormat="1">
      <c r="B2769" s="3" t="s">
        <v>2184</v>
      </c>
      <c r="C2769" s="8">
        <v>2</v>
      </c>
      <c r="D2769" s="3" t="s">
        <v>2192</v>
      </c>
      <c r="E2769" s="11" t="s">
        <v>10</v>
      </c>
      <c r="F2769" s="10">
        <v>6.0400000000000004E-4</v>
      </c>
      <c r="G2769" s="12">
        <f>ROUND(G$3*F2769,0)</f>
        <v>174</v>
      </c>
      <c r="H2769" s="13">
        <f>ROUND(G2769/2,0)</f>
        <v>87</v>
      </c>
      <c r="I2769" s="12">
        <f>G2769-H2769</f>
        <v>87</v>
      </c>
      <c r="J2769" s="3" t="str">
        <f t="shared" si="204"/>
        <v>3820005</v>
      </c>
    </row>
    <row r="2770" spans="2:10" s="3" customFormat="1">
      <c r="B2770" s="3" t="s">
        <v>2184</v>
      </c>
      <c r="C2770" s="8">
        <v>2</v>
      </c>
      <c r="D2770" s="3" t="s">
        <v>2192</v>
      </c>
      <c r="E2770" s="11" t="s">
        <v>11</v>
      </c>
      <c r="F2770" s="10">
        <v>2.9500000000000001E-4</v>
      </c>
      <c r="G2770" s="12">
        <f>ROUND(G$3*F2770,0)</f>
        <v>85</v>
      </c>
      <c r="H2770" s="13">
        <f>ROUND(G2770/2,0)</f>
        <v>43</v>
      </c>
      <c r="I2770" s="12">
        <f>G2770-H2770</f>
        <v>42</v>
      </c>
      <c r="J2770" s="3" t="str">
        <f t="shared" si="204"/>
        <v>3820005</v>
      </c>
    </row>
    <row r="2771" spans="2:10" s="3" customFormat="1">
      <c r="B2771" s="3" t="s">
        <v>2184</v>
      </c>
      <c r="C2771" s="8">
        <v>2</v>
      </c>
      <c r="D2771" s="3" t="s">
        <v>2193</v>
      </c>
      <c r="E2771" s="11" t="s">
        <v>52</v>
      </c>
      <c r="F2771" s="11"/>
      <c r="G2771" s="9"/>
      <c r="H2771" s="11"/>
      <c r="I2771" s="11"/>
      <c r="J2771" s="3" t="str">
        <f t="shared" si="204"/>
        <v>3820006</v>
      </c>
    </row>
    <row r="2772" spans="2:10" s="3" customFormat="1">
      <c r="B2772" s="3" t="s">
        <v>2184</v>
      </c>
      <c r="C2772" s="8">
        <v>2</v>
      </c>
      <c r="D2772" s="3" t="s">
        <v>2193</v>
      </c>
      <c r="E2772" s="11" t="s">
        <v>10</v>
      </c>
      <c r="F2772" s="10">
        <v>7.3899999999999997E-4</v>
      </c>
      <c r="G2772" s="12">
        <f>ROUND(G$3*F2772,0)</f>
        <v>213</v>
      </c>
      <c r="H2772" s="13">
        <f>ROUND(G2772/2,0)</f>
        <v>107</v>
      </c>
      <c r="I2772" s="12">
        <f>G2772-H2772</f>
        <v>106</v>
      </c>
      <c r="J2772" s="3" t="str">
        <f t="shared" si="204"/>
        <v>3820006</v>
      </c>
    </row>
    <row r="2773" spans="2:10" s="3" customFormat="1">
      <c r="B2773" s="3" t="s">
        <v>2184</v>
      </c>
      <c r="C2773" s="8">
        <v>2</v>
      </c>
      <c r="D2773" s="3" t="s">
        <v>2193</v>
      </c>
      <c r="E2773" s="11" t="s">
        <v>11</v>
      </c>
      <c r="F2773" s="10">
        <v>3.3599999999999998E-4</v>
      </c>
      <c r="G2773" s="12">
        <f>ROUND(G$3*F2773,0)</f>
        <v>97</v>
      </c>
      <c r="H2773" s="13">
        <f>ROUND(G2773/2,0)</f>
        <v>49</v>
      </c>
      <c r="I2773" s="12">
        <f>G2773-H2773</f>
        <v>48</v>
      </c>
      <c r="J2773" s="3" t="str">
        <f t="shared" si="204"/>
        <v>3820006</v>
      </c>
    </row>
    <row r="2774" spans="2:10" s="3" customFormat="1">
      <c r="B2774" s="3" t="s">
        <v>2184</v>
      </c>
      <c r="C2774" s="8">
        <v>2</v>
      </c>
      <c r="D2774" s="3" t="s">
        <v>2194</v>
      </c>
      <c r="E2774" s="11" t="s">
        <v>203</v>
      </c>
      <c r="F2774" s="11"/>
      <c r="G2774" s="9"/>
      <c r="H2774" s="11"/>
      <c r="I2774" s="11"/>
      <c r="J2774" s="3" t="str">
        <f t="shared" si="204"/>
        <v>3820007</v>
      </c>
    </row>
    <row r="2775" spans="2:10" s="3" customFormat="1">
      <c r="B2775" s="3" t="s">
        <v>2184</v>
      </c>
      <c r="C2775" s="8">
        <v>2</v>
      </c>
      <c r="D2775" s="3" t="s">
        <v>2194</v>
      </c>
      <c r="E2775" s="11" t="s">
        <v>10</v>
      </c>
      <c r="F2775" s="10">
        <v>5.2400000000000005E-4</v>
      </c>
      <c r="G2775" s="12">
        <f>ROUND(G$3*F2775,0)</f>
        <v>151</v>
      </c>
      <c r="H2775" s="13">
        <f>ROUND(G2775/2,0)</f>
        <v>76</v>
      </c>
      <c r="I2775" s="12">
        <f>G2775-H2775</f>
        <v>75</v>
      </c>
      <c r="J2775" s="3" t="str">
        <f t="shared" si="204"/>
        <v>3820007</v>
      </c>
    </row>
    <row r="2776" spans="2:10" s="3" customFormat="1">
      <c r="B2776" s="3" t="s">
        <v>2184</v>
      </c>
      <c r="C2776" s="8">
        <v>2</v>
      </c>
      <c r="D2776" s="3" t="s">
        <v>2194</v>
      </c>
      <c r="E2776" s="11" t="s">
        <v>11</v>
      </c>
      <c r="F2776" s="10">
        <v>1.95E-4</v>
      </c>
      <c r="G2776" s="12">
        <f>ROUND(G$3*F2776,0)</f>
        <v>56</v>
      </c>
      <c r="H2776" s="13">
        <f>ROUND(G2776/2,0)</f>
        <v>28</v>
      </c>
      <c r="I2776" s="12">
        <f>G2776-H2776</f>
        <v>28</v>
      </c>
      <c r="J2776" s="3" t="str">
        <f t="shared" si="204"/>
        <v>3820007</v>
      </c>
    </row>
    <row r="2777" spans="2:10" s="3" customFormat="1">
      <c r="B2777" s="3" t="s">
        <v>2184</v>
      </c>
      <c r="C2777" s="8">
        <v>2</v>
      </c>
      <c r="D2777" s="3" t="s">
        <v>2195</v>
      </c>
      <c r="E2777" s="11" t="s">
        <v>857</v>
      </c>
      <c r="F2777" s="11"/>
      <c r="G2777" s="9"/>
      <c r="H2777" s="11"/>
      <c r="I2777" s="11"/>
      <c r="J2777" s="3" t="str">
        <f t="shared" si="204"/>
        <v>3820008</v>
      </c>
    </row>
    <row r="2778" spans="2:10" s="3" customFormat="1">
      <c r="B2778" s="3" t="s">
        <v>2184</v>
      </c>
      <c r="C2778" s="8">
        <v>2</v>
      </c>
      <c r="D2778" s="3" t="s">
        <v>2195</v>
      </c>
      <c r="E2778" s="11" t="s">
        <v>10</v>
      </c>
      <c r="F2778" s="10">
        <v>1.4799999999999999E-4</v>
      </c>
      <c r="G2778" s="12">
        <f>ROUND(G$3*F2778,0)</f>
        <v>43</v>
      </c>
      <c r="H2778" s="13">
        <f>ROUND(G2778/2,0)</f>
        <v>22</v>
      </c>
      <c r="I2778" s="12">
        <f>G2778-H2778</f>
        <v>21</v>
      </c>
      <c r="J2778" s="3" t="str">
        <f t="shared" si="204"/>
        <v>3820008</v>
      </c>
    </row>
    <row r="2779" spans="2:10" s="3" customFormat="1">
      <c r="B2779" s="3" t="s">
        <v>2184</v>
      </c>
      <c r="C2779" s="8">
        <v>2</v>
      </c>
      <c r="D2779" s="3" t="s">
        <v>2195</v>
      </c>
      <c r="E2779" s="11" t="s">
        <v>11</v>
      </c>
      <c r="F2779" s="10">
        <v>2.0000000000000002E-5</v>
      </c>
      <c r="G2779" s="12">
        <f>ROUND(G$3*F2779,0)</f>
        <v>6</v>
      </c>
      <c r="H2779" s="13">
        <f>ROUND(G2779/2,0)</f>
        <v>3</v>
      </c>
      <c r="I2779" s="12">
        <f>G2779-H2779</f>
        <v>3</v>
      </c>
      <c r="J2779" s="3" t="str">
        <f t="shared" si="204"/>
        <v>3820008</v>
      </c>
    </row>
    <row r="2780" spans="2:10" s="3" customFormat="1">
      <c r="B2780" s="3" t="s">
        <v>2184</v>
      </c>
      <c r="C2780" s="8">
        <v>2</v>
      </c>
      <c r="D2780" s="3" t="s">
        <v>2196</v>
      </c>
      <c r="E2780" s="11" t="s">
        <v>858</v>
      </c>
      <c r="F2780" s="11"/>
      <c r="G2780" s="9"/>
      <c r="H2780" s="11"/>
      <c r="I2780" s="11"/>
      <c r="J2780" s="3" t="str">
        <f t="shared" si="204"/>
        <v>3820009</v>
      </c>
    </row>
    <row r="2781" spans="2:10" s="3" customFormat="1">
      <c r="B2781" s="3" t="s">
        <v>2184</v>
      </c>
      <c r="C2781" s="8">
        <v>2</v>
      </c>
      <c r="D2781" s="3" t="s">
        <v>2196</v>
      </c>
      <c r="E2781" s="11" t="s">
        <v>10</v>
      </c>
      <c r="F2781" s="10">
        <v>8.3900000000000001E-4</v>
      </c>
      <c r="G2781" s="12">
        <f>ROUND(G$3*F2781,0)</f>
        <v>241</v>
      </c>
      <c r="H2781" s="13">
        <f>ROUND(G2781/2,0)</f>
        <v>121</v>
      </c>
      <c r="I2781" s="12">
        <f>G2781-H2781</f>
        <v>120</v>
      </c>
      <c r="J2781" s="3" t="str">
        <f t="shared" si="204"/>
        <v>3820009</v>
      </c>
    </row>
    <row r="2782" spans="2:10" s="3" customFormat="1">
      <c r="B2782" s="3" t="s">
        <v>2184</v>
      </c>
      <c r="C2782" s="8">
        <v>2</v>
      </c>
      <c r="D2782" s="3" t="s">
        <v>2196</v>
      </c>
      <c r="E2782" s="11" t="s">
        <v>11</v>
      </c>
      <c r="F2782" s="10">
        <v>5.2400000000000005E-4</v>
      </c>
      <c r="G2782" s="12">
        <f>ROUND(G$3*F2782,0)</f>
        <v>151</v>
      </c>
      <c r="H2782" s="13">
        <f>ROUND(G2782/2,0)</f>
        <v>76</v>
      </c>
      <c r="I2782" s="12">
        <f>G2782-H2782</f>
        <v>75</v>
      </c>
      <c r="J2782" s="3" t="str">
        <f t="shared" si="204"/>
        <v>3820009</v>
      </c>
    </row>
    <row r="2783" spans="2:10" s="3" customFormat="1">
      <c r="B2783" s="3" t="s">
        <v>2184</v>
      </c>
      <c r="C2783" s="8">
        <v>2</v>
      </c>
      <c r="D2783" s="3" t="s">
        <v>2197</v>
      </c>
      <c r="E2783" s="11" t="s">
        <v>114</v>
      </c>
      <c r="F2783" s="11"/>
      <c r="G2783" s="9"/>
      <c r="H2783" s="11"/>
      <c r="I2783" s="11"/>
      <c r="J2783" s="3" t="str">
        <f t="shared" si="204"/>
        <v>3820010</v>
      </c>
    </row>
    <row r="2784" spans="2:10" s="3" customFormat="1">
      <c r="B2784" s="3" t="s">
        <v>2184</v>
      </c>
      <c r="C2784" s="8">
        <v>2</v>
      </c>
      <c r="D2784" s="3" t="s">
        <v>2197</v>
      </c>
      <c r="E2784" s="11" t="s">
        <v>10</v>
      </c>
      <c r="F2784" s="10">
        <v>4.7809999999999997E-3</v>
      </c>
      <c r="G2784" s="12">
        <f>ROUND(G$3*F2784,0)</f>
        <v>1376</v>
      </c>
      <c r="H2784" s="13">
        <f>ROUND(G2784/2,0)</f>
        <v>688</v>
      </c>
      <c r="I2784" s="12">
        <f>G2784-H2784</f>
        <v>688</v>
      </c>
      <c r="J2784" s="3" t="str">
        <f t="shared" si="204"/>
        <v>3820010</v>
      </c>
    </row>
    <row r="2785" spans="2:10" s="3" customFormat="1">
      <c r="B2785" s="3" t="s">
        <v>2184</v>
      </c>
      <c r="C2785" s="8">
        <v>2</v>
      </c>
      <c r="D2785" s="3" t="s">
        <v>2197</v>
      </c>
      <c r="E2785" s="11" t="s">
        <v>11</v>
      </c>
      <c r="F2785" s="10">
        <v>5.3700000000000004E-4</v>
      </c>
      <c r="G2785" s="12">
        <f>ROUND(G$3*F2785,0)</f>
        <v>155</v>
      </c>
      <c r="H2785" s="13">
        <f>ROUND(G2785/2,0)</f>
        <v>78</v>
      </c>
      <c r="I2785" s="12">
        <f>G2785-H2785</f>
        <v>77</v>
      </c>
      <c r="J2785" s="3" t="str">
        <f t="shared" si="204"/>
        <v>3820010</v>
      </c>
    </row>
    <row r="2786" spans="2:10" s="3" customFormat="1">
      <c r="B2786" s="3" t="s">
        <v>2184</v>
      </c>
      <c r="C2786" s="8">
        <v>2</v>
      </c>
      <c r="D2786" s="3" t="s">
        <v>2198</v>
      </c>
      <c r="E2786" s="11" t="s">
        <v>21</v>
      </c>
      <c r="F2786" s="11"/>
      <c r="G2786" s="9"/>
      <c r="H2786" s="11"/>
      <c r="I2786" s="11"/>
      <c r="J2786" s="3" t="str">
        <f t="shared" si="204"/>
        <v>3820011</v>
      </c>
    </row>
    <row r="2787" spans="2:10" s="3" customFormat="1">
      <c r="B2787" s="3" t="s">
        <v>2184</v>
      </c>
      <c r="C2787" s="8">
        <v>2</v>
      </c>
      <c r="D2787" s="3" t="s">
        <v>2198</v>
      </c>
      <c r="E2787" s="11" t="s">
        <v>10</v>
      </c>
      <c r="F2787" s="10">
        <v>1.1400000000000001E-4</v>
      </c>
      <c r="G2787" s="12">
        <f>ROUND(G$3*F2787,0)</f>
        <v>33</v>
      </c>
      <c r="H2787" s="13">
        <f>ROUND(G2787/2,0)</f>
        <v>17</v>
      </c>
      <c r="I2787" s="12">
        <f>G2787-H2787</f>
        <v>16</v>
      </c>
      <c r="J2787" s="3" t="str">
        <f t="shared" si="204"/>
        <v>3820011</v>
      </c>
    </row>
    <row r="2788" spans="2:10" s="3" customFormat="1">
      <c r="B2788" s="3" t="s">
        <v>2184</v>
      </c>
      <c r="C2788" s="8">
        <v>2</v>
      </c>
      <c r="D2788" s="3" t="s">
        <v>2198</v>
      </c>
      <c r="E2788" s="11" t="s">
        <v>11</v>
      </c>
      <c r="F2788" s="10">
        <v>2.6999999999999999E-5</v>
      </c>
      <c r="G2788" s="12">
        <f>ROUND(G$3*F2788,0)</f>
        <v>8</v>
      </c>
      <c r="H2788" s="13">
        <f>ROUND(G2788/2,0)</f>
        <v>4</v>
      </c>
      <c r="I2788" s="12">
        <f>G2788-H2788</f>
        <v>4</v>
      </c>
      <c r="J2788" s="3" t="str">
        <f t="shared" si="204"/>
        <v>3820011</v>
      </c>
    </row>
    <row r="2789" spans="2:10" s="3" customFormat="1">
      <c r="B2789" s="3" t="s">
        <v>2184</v>
      </c>
      <c r="C2789" s="8">
        <v>2</v>
      </c>
      <c r="D2789" s="3" t="s">
        <v>2199</v>
      </c>
      <c r="E2789" s="11" t="s">
        <v>61</v>
      </c>
      <c r="F2789" s="11"/>
      <c r="G2789" s="9"/>
      <c r="H2789" s="11"/>
      <c r="I2789" s="11"/>
      <c r="J2789" s="3" t="str">
        <f t="shared" si="204"/>
        <v>3820012</v>
      </c>
    </row>
    <row r="2790" spans="2:10" s="3" customFormat="1">
      <c r="B2790" s="3" t="s">
        <v>2184</v>
      </c>
      <c r="C2790" s="8">
        <v>2</v>
      </c>
      <c r="D2790" s="3" t="s">
        <v>2199</v>
      </c>
      <c r="E2790" s="11" t="s">
        <v>10</v>
      </c>
      <c r="F2790" s="10">
        <v>7.0029999999999997E-3</v>
      </c>
      <c r="G2790" s="12">
        <f t="shared" ref="G2790:G2798" si="205">ROUND(G$3*F2790,0)</f>
        <v>2015</v>
      </c>
      <c r="H2790" s="13">
        <f t="shared" ref="H2790:H2798" si="206">ROUND(G2790/2,0)</f>
        <v>1008</v>
      </c>
      <c r="I2790" s="12">
        <f t="shared" ref="I2790:I2798" si="207">G2790-H2790</f>
        <v>1007</v>
      </c>
      <c r="J2790" s="3" t="str">
        <f t="shared" si="204"/>
        <v>3820012</v>
      </c>
    </row>
    <row r="2791" spans="2:10" s="3" customFormat="1">
      <c r="B2791" s="3" t="s">
        <v>2184</v>
      </c>
      <c r="C2791" s="8">
        <v>2</v>
      </c>
      <c r="D2791" s="3" t="s">
        <v>2199</v>
      </c>
      <c r="E2791" s="11" t="s">
        <v>11</v>
      </c>
      <c r="F2791" s="10">
        <v>1.1349999999999999E-3</v>
      </c>
      <c r="G2791" s="12">
        <f t="shared" si="205"/>
        <v>327</v>
      </c>
      <c r="H2791" s="13">
        <f t="shared" si="206"/>
        <v>164</v>
      </c>
      <c r="I2791" s="12">
        <f t="shared" si="207"/>
        <v>163</v>
      </c>
      <c r="J2791" s="3" t="str">
        <f t="shared" si="204"/>
        <v>3820012</v>
      </c>
    </row>
    <row r="2792" spans="2:10" s="3" customFormat="1">
      <c r="B2792" s="3" t="s">
        <v>2184</v>
      </c>
      <c r="C2792" s="8">
        <v>3</v>
      </c>
      <c r="D2792" s="3" t="s">
        <v>2628</v>
      </c>
      <c r="E2792" s="11" t="s">
        <v>859</v>
      </c>
      <c r="F2792" s="10">
        <v>1.4100000000000001E-4</v>
      </c>
      <c r="G2792" s="12">
        <f t="shared" si="205"/>
        <v>41</v>
      </c>
      <c r="H2792" s="13">
        <f t="shared" si="206"/>
        <v>21</v>
      </c>
      <c r="I2792" s="12">
        <f t="shared" si="207"/>
        <v>20</v>
      </c>
      <c r="J2792" s="3" t="str">
        <f t="shared" si="204"/>
        <v>3830694</v>
      </c>
    </row>
    <row r="2793" spans="2:10" s="3" customFormat="1">
      <c r="B2793" s="3" t="s">
        <v>2184</v>
      </c>
      <c r="C2793" s="8">
        <v>3</v>
      </c>
      <c r="D2793" s="3" t="s">
        <v>2251</v>
      </c>
      <c r="E2793" s="11" t="s">
        <v>135</v>
      </c>
      <c r="F2793" s="10">
        <v>1.8148999999999998E-2</v>
      </c>
      <c r="G2793" s="12">
        <f t="shared" si="205"/>
        <v>5222</v>
      </c>
      <c r="H2793" s="13">
        <f t="shared" si="206"/>
        <v>2611</v>
      </c>
      <c r="I2793" s="12">
        <f t="shared" si="207"/>
        <v>2611</v>
      </c>
      <c r="J2793" s="3" t="str">
        <f t="shared" si="204"/>
        <v>3830450</v>
      </c>
    </row>
    <row r="2794" spans="2:10" s="3" customFormat="1">
      <c r="B2794" s="3" t="s">
        <v>2184</v>
      </c>
      <c r="C2794" s="8">
        <v>3</v>
      </c>
      <c r="D2794" s="3" t="s">
        <v>2629</v>
      </c>
      <c r="E2794" s="11" t="s">
        <v>860</v>
      </c>
      <c r="F2794" s="10">
        <v>1.34E-4</v>
      </c>
      <c r="G2794" s="12">
        <f t="shared" si="205"/>
        <v>39</v>
      </c>
      <c r="H2794" s="13">
        <f t="shared" si="206"/>
        <v>20</v>
      </c>
      <c r="I2794" s="12">
        <f t="shared" si="207"/>
        <v>19</v>
      </c>
      <c r="J2794" s="3" t="str">
        <f t="shared" si="204"/>
        <v>3830695</v>
      </c>
    </row>
    <row r="2795" spans="2:10" s="3" customFormat="1">
      <c r="B2795" s="3" t="s">
        <v>2184</v>
      </c>
      <c r="C2795" s="8">
        <v>3</v>
      </c>
      <c r="D2795" s="3" t="s">
        <v>2627</v>
      </c>
      <c r="E2795" s="11" t="s">
        <v>861</v>
      </c>
      <c r="F2795" s="10">
        <v>0.110793</v>
      </c>
      <c r="G2795" s="12">
        <f t="shared" si="205"/>
        <v>31878</v>
      </c>
      <c r="H2795" s="13">
        <f t="shared" si="206"/>
        <v>15939</v>
      </c>
      <c r="I2795" s="12">
        <f t="shared" si="207"/>
        <v>15939</v>
      </c>
      <c r="J2795" s="3" t="str">
        <f t="shared" si="204"/>
        <v>3830417</v>
      </c>
    </row>
    <row r="2796" spans="2:10" s="3" customFormat="1">
      <c r="B2796" s="3" t="s">
        <v>2184</v>
      </c>
      <c r="C2796" s="8">
        <v>3</v>
      </c>
      <c r="D2796" s="3" t="s">
        <v>2630</v>
      </c>
      <c r="E2796" s="11" t="s">
        <v>862</v>
      </c>
      <c r="F2796" s="10">
        <v>2.7910999999999998E-2</v>
      </c>
      <c r="G2796" s="12">
        <f t="shared" si="205"/>
        <v>8031</v>
      </c>
      <c r="H2796" s="13">
        <f t="shared" si="206"/>
        <v>4016</v>
      </c>
      <c r="I2796" s="12">
        <f t="shared" si="207"/>
        <v>4015</v>
      </c>
      <c r="J2796" s="3" t="str">
        <f t="shared" si="204"/>
        <v>3830696</v>
      </c>
    </row>
    <row r="2797" spans="2:10" s="3" customFormat="1">
      <c r="B2797" s="3" t="s">
        <v>2184</v>
      </c>
      <c r="C2797" s="8">
        <v>3</v>
      </c>
      <c r="D2797" s="3" t="s">
        <v>2631</v>
      </c>
      <c r="E2797" s="11" t="s">
        <v>863</v>
      </c>
      <c r="F2797" s="10">
        <v>1.0939999999999999E-3</v>
      </c>
      <c r="G2797" s="12">
        <f t="shared" si="205"/>
        <v>315</v>
      </c>
      <c r="H2797" s="13">
        <f t="shared" si="206"/>
        <v>158</v>
      </c>
      <c r="I2797" s="12">
        <f t="shared" si="207"/>
        <v>157</v>
      </c>
      <c r="J2797" s="3" t="str">
        <f t="shared" si="204"/>
        <v>3830697</v>
      </c>
    </row>
    <row r="2798" spans="2:10" s="3" customFormat="1">
      <c r="B2798" s="3" t="s">
        <v>2184</v>
      </c>
      <c r="C2798" s="8">
        <v>4</v>
      </c>
      <c r="D2798" s="3" t="s">
        <v>2255</v>
      </c>
      <c r="E2798" s="11" t="s">
        <v>140</v>
      </c>
      <c r="F2798" s="10">
        <v>0.54254199999999997</v>
      </c>
      <c r="G2798" s="9">
        <f t="shared" si="205"/>
        <v>156102</v>
      </c>
      <c r="H2798" s="11">
        <f t="shared" si="206"/>
        <v>78051</v>
      </c>
      <c r="I2798" s="9">
        <f t="shared" si="207"/>
        <v>78051</v>
      </c>
      <c r="J2798" s="3" t="str">
        <f t="shared" si="204"/>
        <v>3843945</v>
      </c>
    </row>
    <row r="2799" spans="2:10" s="3" customFormat="1">
      <c r="B2799" s="3" t="s">
        <v>2184</v>
      </c>
      <c r="C2799" s="8">
        <v>4</v>
      </c>
      <c r="D2799" s="3" t="s">
        <v>2255</v>
      </c>
      <c r="E2799" s="11" t="s">
        <v>28</v>
      </c>
      <c r="F2799" s="11"/>
      <c r="G2799" s="14">
        <v>0.43942199999999998</v>
      </c>
      <c r="H2799" s="11"/>
      <c r="I2799" s="11"/>
      <c r="J2799" s="3" t="str">
        <f t="shared" si="204"/>
        <v>3843945</v>
      </c>
    </row>
    <row r="2800" spans="2:10" s="3" customFormat="1">
      <c r="B2800" s="3" t="s">
        <v>2184</v>
      </c>
      <c r="C2800" s="8">
        <v>4</v>
      </c>
      <c r="D2800" s="3" t="s">
        <v>2255</v>
      </c>
      <c r="E2800" s="11" t="s">
        <v>29</v>
      </c>
      <c r="F2800" s="11"/>
      <c r="G2800" s="15">
        <f>ROUND(G2798*G2799,0)</f>
        <v>68595</v>
      </c>
      <c r="H2800" s="16">
        <f t="shared" ref="H2800:H2805" si="208">ROUND(G2800/2,0)</f>
        <v>34298</v>
      </c>
      <c r="I2800" s="15">
        <f t="shared" ref="I2800:I2805" si="209">G2800-H2800</f>
        <v>34297</v>
      </c>
      <c r="J2800" s="3" t="str">
        <f t="shared" si="204"/>
        <v>3843945</v>
      </c>
    </row>
    <row r="2801" spans="1:10" s="3" customFormat="1">
      <c r="B2801" s="3" t="s">
        <v>2184</v>
      </c>
      <c r="C2801" s="8">
        <v>4</v>
      </c>
      <c r="D2801" s="3" t="s">
        <v>2255</v>
      </c>
      <c r="E2801" s="11" t="s">
        <v>30</v>
      </c>
      <c r="F2801" s="11"/>
      <c r="G2801" s="12">
        <f>+G2798-G2800</f>
        <v>87507</v>
      </c>
      <c r="H2801" s="13">
        <f t="shared" si="208"/>
        <v>43754</v>
      </c>
      <c r="I2801" s="12">
        <f t="shared" si="209"/>
        <v>43753</v>
      </c>
      <c r="J2801" s="3" t="str">
        <f t="shared" si="204"/>
        <v>3843945</v>
      </c>
    </row>
    <row r="2802" spans="1:10" s="3" customFormat="1">
      <c r="B2802" s="3" t="s">
        <v>2184</v>
      </c>
      <c r="C2802" s="8">
        <v>5</v>
      </c>
      <c r="D2802" s="3" t="s">
        <v>2256</v>
      </c>
      <c r="E2802" s="11" t="s">
        <v>141</v>
      </c>
      <c r="F2802" s="10">
        <v>1.7730000000000001E-3</v>
      </c>
      <c r="G2802" s="120">
        <f>ROUND(G$3*F2802,0)</f>
        <v>510</v>
      </c>
      <c r="H2802" s="120">
        <f t="shared" si="208"/>
        <v>255</v>
      </c>
      <c r="I2802" s="120">
        <f t="shared" si="209"/>
        <v>255</v>
      </c>
      <c r="J2802" s="3" t="str">
        <f t="shared" si="204"/>
        <v>3850106</v>
      </c>
    </row>
    <row r="2803" spans="1:10" s="3" customFormat="1">
      <c r="B2803" s="3" t="s">
        <v>2184</v>
      </c>
      <c r="C2803" s="8">
        <v>5</v>
      </c>
      <c r="D2803" s="3" t="s">
        <v>2632</v>
      </c>
      <c r="E2803" s="11" t="s">
        <v>864</v>
      </c>
      <c r="F2803" s="10">
        <v>3.7989000000000002E-2</v>
      </c>
      <c r="G2803" s="120">
        <f>ROUND(G$3*F2803,0)</f>
        <v>10930</v>
      </c>
      <c r="H2803" s="120">
        <f t="shared" si="208"/>
        <v>5465</v>
      </c>
      <c r="I2803" s="120">
        <f t="shared" si="209"/>
        <v>5465</v>
      </c>
      <c r="J2803" s="3" t="str">
        <f t="shared" si="204"/>
        <v>3850267</v>
      </c>
    </row>
    <row r="2804" spans="1:10" s="3" customFormat="1">
      <c r="B2804" s="3" t="s">
        <v>2184</v>
      </c>
      <c r="C2804" s="8">
        <v>5</v>
      </c>
      <c r="D2804" s="3" t="s">
        <v>2375</v>
      </c>
      <c r="E2804" s="11" t="s">
        <v>865</v>
      </c>
      <c r="F2804" s="10">
        <v>3.8999999999900226E-5</v>
      </c>
      <c r="G2804" s="120">
        <f>+G2750-SUM(G2751:G2752)-SUM(G2757:G2798)-SUM(G2802:G2803)</f>
        <v>-151978</v>
      </c>
      <c r="H2804" s="120">
        <f t="shared" si="208"/>
        <v>-75989</v>
      </c>
      <c r="I2804" s="120">
        <f t="shared" si="209"/>
        <v>-75989</v>
      </c>
      <c r="J2804" s="3" t="str">
        <f t="shared" si="204"/>
        <v>3850107</v>
      </c>
    </row>
    <row r="2805" spans="1:10" s="3" customFormat="1">
      <c r="A2805" s="3" t="s">
        <v>6269</v>
      </c>
      <c r="B2805" s="3" t="s">
        <v>2184</v>
      </c>
      <c r="C2805" s="8">
        <v>6</v>
      </c>
      <c r="D2805" s="3" t="s">
        <v>6267</v>
      </c>
      <c r="E2805" s="11" t="s">
        <v>144</v>
      </c>
      <c r="F2805" s="10">
        <v>0</v>
      </c>
      <c r="G2805" s="120">
        <f>ROUND(G$3*F2805,0)</f>
        <v>0</v>
      </c>
      <c r="H2805" s="120">
        <f t="shared" si="208"/>
        <v>0</v>
      </c>
      <c r="I2805" s="120">
        <f t="shared" si="209"/>
        <v>0</v>
      </c>
      <c r="J2805" s="3" t="str">
        <f t="shared" si="204"/>
        <v>386XXXX</v>
      </c>
    </row>
    <row r="2806" spans="1:10" s="3" customFormat="1">
      <c r="B2806" s="3" t="s">
        <v>2184</v>
      </c>
      <c r="C2806" s="8">
        <v>0</v>
      </c>
      <c r="D2806" s="125" t="s">
        <v>2187</v>
      </c>
      <c r="E2806" s="28" t="s">
        <v>288</v>
      </c>
      <c r="F2806" s="10">
        <v>1</v>
      </c>
      <c r="G2806" s="12">
        <f>+G2751+SUM(G2754:G2797)+SUM(G2800:G2805)</f>
        <v>135739</v>
      </c>
      <c r="H2806" s="12">
        <f>+H2751+SUM(H2754:H2797)+SUM(H2800:H2805)</f>
        <v>67879</v>
      </c>
      <c r="I2806" s="12">
        <f>+I2751+SUM(I2754:I2797)+SUM(I2800:I2805)</f>
        <v>67860</v>
      </c>
      <c r="J2806" s="3" t="str">
        <f t="shared" si="204"/>
        <v>3800000</v>
      </c>
    </row>
    <row r="2807" spans="1:10" s="3" customFormat="1">
      <c r="B2807" s="3" t="s">
        <v>2184</v>
      </c>
      <c r="C2807" s="8">
        <v>0</v>
      </c>
      <c r="D2807" s="3" t="s">
        <v>2187</v>
      </c>
      <c r="E2807" s="18" t="s">
        <v>38</v>
      </c>
      <c r="G2807" s="19">
        <f>+G2751</f>
        <v>350</v>
      </c>
      <c r="H2807" s="19">
        <f>+H2751</f>
        <v>175</v>
      </c>
      <c r="I2807" s="19">
        <f>+I2751</f>
        <v>175</v>
      </c>
      <c r="J2807" s="3" t="str">
        <f t="shared" si="204"/>
        <v>3800000</v>
      </c>
    </row>
    <row r="2808" spans="1:10" s="3" customFormat="1">
      <c r="B2808" s="3" t="s">
        <v>2184</v>
      </c>
      <c r="C2808" s="8">
        <v>0</v>
      </c>
      <c r="D2808" s="3" t="s">
        <v>2187</v>
      </c>
      <c r="E2808" s="2" t="s">
        <v>39</v>
      </c>
      <c r="G2808" s="19">
        <f>+G2754</f>
        <v>12578</v>
      </c>
      <c r="H2808" s="19">
        <f>+H2754</f>
        <v>6289</v>
      </c>
      <c r="I2808" s="19">
        <f>+I2754</f>
        <v>6289</v>
      </c>
      <c r="J2808" s="3" t="str">
        <f t="shared" si="204"/>
        <v>3800000</v>
      </c>
    </row>
    <row r="2809" spans="1:10" s="3" customFormat="1">
      <c r="B2809" s="3" t="s">
        <v>2184</v>
      </c>
      <c r="C2809" s="8">
        <v>0</v>
      </c>
      <c r="D2809" s="3" t="s">
        <v>2187</v>
      </c>
      <c r="E2809" s="2" t="s">
        <v>40</v>
      </c>
      <c r="G2809" s="19">
        <f>+G2800</f>
        <v>68595</v>
      </c>
      <c r="H2809" s="19">
        <f>+H2800</f>
        <v>34298</v>
      </c>
      <c r="I2809" s="19">
        <f>+I2800</f>
        <v>34297</v>
      </c>
      <c r="J2809" s="3" t="str">
        <f t="shared" si="204"/>
        <v>3800000</v>
      </c>
    </row>
    <row r="2810" spans="1:10" s="3" customFormat="1">
      <c r="B2810" s="3" t="s">
        <v>2184</v>
      </c>
      <c r="C2810" s="8">
        <v>0</v>
      </c>
      <c r="D2810" s="125" t="s">
        <v>2187</v>
      </c>
      <c r="E2810" s="18" t="s">
        <v>41</v>
      </c>
      <c r="G2810" s="19">
        <f>+G2806-G2807-G2808-G2809</f>
        <v>54216</v>
      </c>
      <c r="H2810" s="19">
        <f>+H2806-H2807-H2808-H2809</f>
        <v>27117</v>
      </c>
      <c r="I2810" s="19">
        <f>+I2806-I2807-I2808-I2809</f>
        <v>27099</v>
      </c>
      <c r="J2810" s="3" t="str">
        <f t="shared" si="204"/>
        <v>3800000</v>
      </c>
    </row>
    <row r="2811" spans="1:10" ht="15.75">
      <c r="B2811" s="3" t="s">
        <v>2186</v>
      </c>
      <c r="D2811" t="s">
        <v>2186</v>
      </c>
      <c r="E2811">
        <v>0</v>
      </c>
      <c r="G2811"/>
      <c r="H2811"/>
      <c r="I2811"/>
      <c r="J2811" s="3" t="str">
        <f t="shared" si="204"/>
        <v/>
      </c>
    </row>
    <row r="2812" spans="1:10" s="3" customFormat="1">
      <c r="C2812" s="1"/>
      <c r="D2812" s="3" t="s">
        <v>2186</v>
      </c>
      <c r="E2812" s="2" t="s">
        <v>2180</v>
      </c>
      <c r="J2812" s="3" t="str">
        <f t="shared" si="204"/>
        <v/>
      </c>
    </row>
    <row r="2813" spans="1:10" s="3" customFormat="1" ht="45">
      <c r="B2813" s="3" t="s">
        <v>2186</v>
      </c>
      <c r="C2813" s="1"/>
      <c r="D2813" s="3" t="s">
        <v>2186</v>
      </c>
      <c r="E2813" s="1">
        <v>0</v>
      </c>
      <c r="F2813" s="6" t="s">
        <v>1</v>
      </c>
      <c r="G2813" s="60">
        <f>'Allocation Worksheet'!H2813</f>
        <v>0</v>
      </c>
      <c r="H2813" s="60">
        <f>'Allocation Worksheet'!H2814</f>
        <v>0</v>
      </c>
      <c r="I2813" s="60">
        <f>'Allocation Worksheet'!H2815</f>
        <v>0</v>
      </c>
      <c r="J2813" s="3" t="str">
        <f t="shared" si="204"/>
        <v/>
      </c>
    </row>
    <row r="2814" spans="1:10" s="3" customFormat="1">
      <c r="C2814" s="7" t="s">
        <v>2087</v>
      </c>
      <c r="D2814" s="3" t="s">
        <v>2186</v>
      </c>
      <c r="E2814" s="7" t="s">
        <v>3</v>
      </c>
      <c r="F2814" s="10"/>
      <c r="G2814" s="9">
        <f>'Allocation Worksheet'!$D$42</f>
        <v>84409</v>
      </c>
      <c r="H2814" s="11"/>
      <c r="I2814" s="11"/>
      <c r="J2814" s="3" t="str">
        <f t="shared" si="204"/>
        <v>UT</v>
      </c>
    </row>
    <row r="2815" spans="1:10" s="3" customFormat="1">
      <c r="B2815" s="3" t="s">
        <v>2185</v>
      </c>
      <c r="C2815" s="8">
        <v>0</v>
      </c>
      <c r="D2815" s="3" t="s">
        <v>2187</v>
      </c>
      <c r="E2815" s="11" t="s">
        <v>4</v>
      </c>
      <c r="F2815" s="10">
        <v>1.188E-3</v>
      </c>
      <c r="G2815" s="12">
        <f>ROUND(G$3*F2815,0)</f>
        <v>342</v>
      </c>
      <c r="H2815" s="13">
        <f>ROUND(G2815/2,0)</f>
        <v>171</v>
      </c>
      <c r="I2815" s="12">
        <f>G2815-H2815</f>
        <v>171</v>
      </c>
      <c r="J2815" s="3" t="str">
        <f t="shared" si="204"/>
        <v>3900000</v>
      </c>
    </row>
    <row r="2816" spans="1:10" s="3" customFormat="1">
      <c r="B2816" s="3" t="s">
        <v>2185</v>
      </c>
      <c r="C2816" s="8">
        <v>1</v>
      </c>
      <c r="D2816" s="3" t="s">
        <v>2187</v>
      </c>
      <c r="E2816" s="11" t="s">
        <v>867</v>
      </c>
      <c r="F2816" s="10">
        <v>0.27544200000000002</v>
      </c>
      <c r="G2816" s="9">
        <f>ROUND(G$3*F2816,0)</f>
        <v>79251</v>
      </c>
      <c r="H2816" s="11">
        <f>ROUND(G2816/2,0)</f>
        <v>39626</v>
      </c>
      <c r="I2816" s="9">
        <f>G2816-H2816</f>
        <v>39625</v>
      </c>
      <c r="J2816" s="3" t="str">
        <f t="shared" si="204"/>
        <v>3910000</v>
      </c>
    </row>
    <row r="2817" spans="2:10" s="3" customFormat="1">
      <c r="B2817" s="3" t="s">
        <v>2185</v>
      </c>
      <c r="C2817" s="8">
        <v>1</v>
      </c>
      <c r="D2817" s="3" t="s">
        <v>2187</v>
      </c>
      <c r="E2817" s="11" t="s">
        <v>6</v>
      </c>
      <c r="F2817" s="11"/>
      <c r="G2817" s="14">
        <v>0.34783799999999998</v>
      </c>
      <c r="H2817" s="11"/>
      <c r="I2817" s="11"/>
      <c r="J2817" s="3" t="str">
        <f t="shared" si="204"/>
        <v>3910000</v>
      </c>
    </row>
    <row r="2818" spans="2:10" s="3" customFormat="1">
      <c r="B2818" s="3" t="s">
        <v>2185</v>
      </c>
      <c r="C2818" s="8">
        <v>1</v>
      </c>
      <c r="D2818" s="3" t="s">
        <v>2187</v>
      </c>
      <c r="E2818" s="11" t="s">
        <v>7</v>
      </c>
      <c r="F2818" s="11"/>
      <c r="G2818" s="15">
        <f>ROUND(G2816*G2817,0)</f>
        <v>27567</v>
      </c>
      <c r="H2818" s="16">
        <f>ROUND(G2818/2,0)</f>
        <v>13784</v>
      </c>
      <c r="I2818" s="15">
        <f>G2818-H2818</f>
        <v>13783</v>
      </c>
      <c r="J2818" s="3" t="str">
        <f t="shared" si="204"/>
        <v>3910000</v>
      </c>
    </row>
    <row r="2819" spans="2:10" s="3" customFormat="1">
      <c r="B2819" s="3" t="s">
        <v>2185</v>
      </c>
      <c r="C2819" s="8">
        <v>1</v>
      </c>
      <c r="D2819" s="3" t="s">
        <v>2187</v>
      </c>
      <c r="E2819" s="11" t="s">
        <v>8</v>
      </c>
      <c r="F2819" s="11"/>
      <c r="G2819" s="12">
        <f>+G2816-G2818</f>
        <v>51684</v>
      </c>
      <c r="H2819" s="13">
        <f>ROUND(G2819/2,0)</f>
        <v>25842</v>
      </c>
      <c r="I2819" s="12">
        <f>G2819-H2819</f>
        <v>25842</v>
      </c>
      <c r="J2819" s="3" t="str">
        <f t="shared" si="204"/>
        <v>3910000</v>
      </c>
    </row>
    <row r="2820" spans="2:10" s="3" customFormat="1">
      <c r="B2820" s="3" t="s">
        <v>2185</v>
      </c>
      <c r="C2820" s="8">
        <v>2</v>
      </c>
      <c r="D2820" s="3" t="s">
        <v>2188</v>
      </c>
      <c r="E2820" s="11" t="s">
        <v>868</v>
      </c>
      <c r="F2820" s="11"/>
      <c r="G2820" s="9"/>
      <c r="H2820" s="11"/>
      <c r="I2820" s="11"/>
      <c r="J2820" s="3" t="str">
        <f t="shared" ref="J2820:J2883" si="210">B2820&amp;C2820&amp;D2820</f>
        <v>3920001</v>
      </c>
    </row>
    <row r="2821" spans="2:10" s="3" customFormat="1">
      <c r="B2821" s="3" t="s">
        <v>2185</v>
      </c>
      <c r="C2821" s="8">
        <v>2</v>
      </c>
      <c r="D2821" s="3" t="s">
        <v>2188</v>
      </c>
      <c r="E2821" s="11" t="s">
        <v>10</v>
      </c>
      <c r="F2821" s="10">
        <v>7.0200000000000004E-4</v>
      </c>
      <c r="G2821" s="12">
        <f>ROUND(G$3*F2821,0)</f>
        <v>202</v>
      </c>
      <c r="H2821" s="13">
        <f>ROUND(G2821/2,0)</f>
        <v>101</v>
      </c>
      <c r="I2821" s="12">
        <f>G2821-H2821</f>
        <v>101</v>
      </c>
      <c r="J2821" s="3" t="str">
        <f t="shared" si="210"/>
        <v>3920001</v>
      </c>
    </row>
    <row r="2822" spans="2:10" s="3" customFormat="1">
      <c r="B2822" s="3" t="s">
        <v>2185</v>
      </c>
      <c r="C2822" s="8">
        <v>2</v>
      </c>
      <c r="D2822" s="3" t="s">
        <v>2188</v>
      </c>
      <c r="E2822" s="11" t="s">
        <v>11</v>
      </c>
      <c r="F2822" s="10">
        <v>2.3800000000000001E-4</v>
      </c>
      <c r="G2822" s="12">
        <f>ROUND(G$3*F2822,0)</f>
        <v>68</v>
      </c>
      <c r="H2822" s="13">
        <f>ROUND(G2822/2,0)</f>
        <v>34</v>
      </c>
      <c r="I2822" s="12">
        <f>G2822-H2822</f>
        <v>34</v>
      </c>
      <c r="J2822" s="3" t="str">
        <f t="shared" si="210"/>
        <v>3920001</v>
      </c>
    </row>
    <row r="2823" spans="2:10" s="3" customFormat="1">
      <c r="B2823" s="3" t="s">
        <v>2185</v>
      </c>
      <c r="C2823" s="8">
        <v>2</v>
      </c>
      <c r="D2823" s="3" t="s">
        <v>2189</v>
      </c>
      <c r="E2823" s="11" t="s">
        <v>869</v>
      </c>
      <c r="F2823" s="11"/>
      <c r="G2823" s="9"/>
      <c r="H2823" s="11"/>
      <c r="I2823" s="11"/>
      <c r="J2823" s="3" t="str">
        <f t="shared" si="210"/>
        <v>3920002</v>
      </c>
    </row>
    <row r="2824" spans="2:10" s="3" customFormat="1">
      <c r="B2824" s="3" t="s">
        <v>2185</v>
      </c>
      <c r="C2824" s="8">
        <v>2</v>
      </c>
      <c r="D2824" s="3" t="s">
        <v>2189</v>
      </c>
      <c r="E2824" s="11" t="s">
        <v>10</v>
      </c>
      <c r="F2824" s="10">
        <v>1.274E-3</v>
      </c>
      <c r="G2824" s="12">
        <f>ROUND(G$3*F2824,0)</f>
        <v>367</v>
      </c>
      <c r="H2824" s="13">
        <f>ROUND(G2824/2,0)</f>
        <v>184</v>
      </c>
      <c r="I2824" s="12">
        <f>G2824-H2824</f>
        <v>183</v>
      </c>
      <c r="J2824" s="3" t="str">
        <f t="shared" si="210"/>
        <v>3920002</v>
      </c>
    </row>
    <row r="2825" spans="2:10" s="3" customFormat="1">
      <c r="B2825" s="3" t="s">
        <v>2185</v>
      </c>
      <c r="C2825" s="8">
        <v>2</v>
      </c>
      <c r="D2825" s="3" t="s">
        <v>2189</v>
      </c>
      <c r="E2825" s="11" t="s">
        <v>11</v>
      </c>
      <c r="F2825" s="10">
        <v>3.2400000000000001E-4</v>
      </c>
      <c r="G2825" s="12">
        <f>ROUND(G$3*F2825,0)</f>
        <v>93</v>
      </c>
      <c r="H2825" s="13">
        <f>ROUND(G2825/2,0)</f>
        <v>47</v>
      </c>
      <c r="I2825" s="12">
        <f>G2825-H2825</f>
        <v>46</v>
      </c>
      <c r="J2825" s="3" t="str">
        <f t="shared" si="210"/>
        <v>3920002</v>
      </c>
    </row>
    <row r="2826" spans="2:10" s="3" customFormat="1">
      <c r="B2826" s="3" t="s">
        <v>2185</v>
      </c>
      <c r="C2826" s="8">
        <v>2</v>
      </c>
      <c r="D2826" s="3" t="s">
        <v>2190</v>
      </c>
      <c r="E2826" s="11" t="s">
        <v>794</v>
      </c>
      <c r="F2826" s="11"/>
      <c r="G2826" s="9"/>
      <c r="H2826" s="11"/>
      <c r="I2826" s="11"/>
      <c r="J2826" s="3" t="str">
        <f t="shared" si="210"/>
        <v>3920003</v>
      </c>
    </row>
    <row r="2827" spans="2:10" s="3" customFormat="1">
      <c r="B2827" s="3" t="s">
        <v>2185</v>
      </c>
      <c r="C2827" s="8">
        <v>2</v>
      </c>
      <c r="D2827" s="3" t="s">
        <v>2190</v>
      </c>
      <c r="E2827" s="11" t="s">
        <v>10</v>
      </c>
      <c r="F2827" s="10">
        <v>5.5099999999999995E-4</v>
      </c>
      <c r="G2827" s="12">
        <f>ROUND(G$3*F2827,0)</f>
        <v>159</v>
      </c>
      <c r="H2827" s="13">
        <f>ROUND(G2827/2,0)</f>
        <v>80</v>
      </c>
      <c r="I2827" s="12">
        <f>G2827-H2827</f>
        <v>79</v>
      </c>
      <c r="J2827" s="3" t="str">
        <f t="shared" si="210"/>
        <v>3920003</v>
      </c>
    </row>
    <row r="2828" spans="2:10" s="3" customFormat="1">
      <c r="B2828" s="3" t="s">
        <v>2185</v>
      </c>
      <c r="C2828" s="8">
        <v>2</v>
      </c>
      <c r="D2828" s="3" t="s">
        <v>2190</v>
      </c>
      <c r="E2828" s="11" t="s">
        <v>11</v>
      </c>
      <c r="F2828" s="10">
        <v>2.1599999999999999E-4</v>
      </c>
      <c r="G2828" s="12">
        <f>ROUND(G$3*F2828,0)</f>
        <v>62</v>
      </c>
      <c r="H2828" s="13">
        <f>ROUND(G2828/2,0)</f>
        <v>31</v>
      </c>
      <c r="I2828" s="12">
        <f>G2828-H2828</f>
        <v>31</v>
      </c>
      <c r="J2828" s="3" t="str">
        <f t="shared" si="210"/>
        <v>3920003</v>
      </c>
    </row>
    <row r="2829" spans="2:10" s="3" customFormat="1">
      <c r="B2829" s="3" t="s">
        <v>2185</v>
      </c>
      <c r="C2829" s="8">
        <v>2</v>
      </c>
      <c r="D2829" s="3" t="s">
        <v>2191</v>
      </c>
      <c r="E2829" s="11" t="s">
        <v>52</v>
      </c>
      <c r="F2829" s="11"/>
      <c r="G2829" s="9"/>
      <c r="H2829" s="11"/>
      <c r="I2829" s="11"/>
      <c r="J2829" s="3" t="str">
        <f t="shared" si="210"/>
        <v>3920004</v>
      </c>
    </row>
    <row r="2830" spans="2:10" s="3" customFormat="1">
      <c r="B2830" s="3" t="s">
        <v>2185</v>
      </c>
      <c r="C2830" s="8">
        <v>2</v>
      </c>
      <c r="D2830" s="3" t="s">
        <v>2191</v>
      </c>
      <c r="E2830" s="11" t="s">
        <v>10</v>
      </c>
      <c r="F2830" s="10">
        <v>9.1459999999999996E-3</v>
      </c>
      <c r="G2830" s="12">
        <f>ROUND(G$3*F2830,0)</f>
        <v>2632</v>
      </c>
      <c r="H2830" s="13">
        <f>ROUND(G2830/2,0)</f>
        <v>1316</v>
      </c>
      <c r="I2830" s="12">
        <f>G2830-H2830</f>
        <v>1316</v>
      </c>
      <c r="J2830" s="3" t="str">
        <f t="shared" si="210"/>
        <v>3920004</v>
      </c>
    </row>
    <row r="2831" spans="2:10" s="3" customFormat="1">
      <c r="B2831" s="3" t="s">
        <v>2185</v>
      </c>
      <c r="C2831" s="8">
        <v>2</v>
      </c>
      <c r="D2831" s="3" t="s">
        <v>2191</v>
      </c>
      <c r="E2831" s="11" t="s">
        <v>11</v>
      </c>
      <c r="F2831" s="10">
        <v>1.609E-3</v>
      </c>
      <c r="G2831" s="12">
        <f>ROUND(G$3*F2831,0)</f>
        <v>463</v>
      </c>
      <c r="H2831" s="13">
        <f>ROUND(G2831/2,0)</f>
        <v>232</v>
      </c>
      <c r="I2831" s="12">
        <f>G2831-H2831</f>
        <v>231</v>
      </c>
      <c r="J2831" s="3" t="str">
        <f t="shared" si="210"/>
        <v>3920004</v>
      </c>
    </row>
    <row r="2832" spans="2:10" s="3" customFormat="1" ht="16.5" customHeight="1">
      <c r="B2832" s="3" t="s">
        <v>2185</v>
      </c>
      <c r="C2832" s="8">
        <v>2</v>
      </c>
      <c r="D2832" s="3" t="s">
        <v>2192</v>
      </c>
      <c r="E2832" s="11" t="s">
        <v>870</v>
      </c>
      <c r="F2832" s="11"/>
      <c r="G2832" s="9"/>
      <c r="H2832" s="11"/>
      <c r="I2832" s="11"/>
      <c r="J2832" s="3" t="str">
        <f t="shared" si="210"/>
        <v>3920005</v>
      </c>
    </row>
    <row r="2833" spans="2:10" s="3" customFormat="1" ht="16.5" customHeight="1">
      <c r="B2833" s="3" t="s">
        <v>2185</v>
      </c>
      <c r="C2833" s="8">
        <v>2</v>
      </c>
      <c r="D2833" s="3" t="s">
        <v>2192</v>
      </c>
      <c r="E2833" s="11" t="s">
        <v>10</v>
      </c>
      <c r="F2833" s="10">
        <v>2.1599999999999999E-4</v>
      </c>
      <c r="G2833" s="12">
        <f>ROUND(G$3*F2833,0)</f>
        <v>62</v>
      </c>
      <c r="H2833" s="13">
        <f>ROUND(G2833/2,0)</f>
        <v>31</v>
      </c>
      <c r="I2833" s="12">
        <f>G2833-H2833</f>
        <v>31</v>
      </c>
      <c r="J2833" s="3" t="str">
        <f t="shared" si="210"/>
        <v>3920005</v>
      </c>
    </row>
    <row r="2834" spans="2:10" s="3" customFormat="1" ht="16.5" customHeight="1">
      <c r="B2834" s="3" t="s">
        <v>2185</v>
      </c>
      <c r="C2834" s="8">
        <v>2</v>
      </c>
      <c r="D2834" s="3" t="s">
        <v>2192</v>
      </c>
      <c r="E2834" s="11" t="s">
        <v>11</v>
      </c>
      <c r="F2834" s="10">
        <v>1.94E-4</v>
      </c>
      <c r="G2834" s="12">
        <f>ROUND(G$3*F2834,0)</f>
        <v>56</v>
      </c>
      <c r="H2834" s="13">
        <f>ROUND(G2834/2,0)</f>
        <v>28</v>
      </c>
      <c r="I2834" s="12">
        <f>G2834-H2834</f>
        <v>28</v>
      </c>
      <c r="J2834" s="3" t="str">
        <f t="shared" si="210"/>
        <v>3920005</v>
      </c>
    </row>
    <row r="2835" spans="2:10" s="3" customFormat="1">
      <c r="B2835" s="3" t="s">
        <v>2185</v>
      </c>
      <c r="C2835" s="8">
        <v>2</v>
      </c>
      <c r="D2835" s="3" t="s">
        <v>2193</v>
      </c>
      <c r="E2835" s="11" t="s">
        <v>16</v>
      </c>
      <c r="F2835" s="11"/>
      <c r="G2835" s="9"/>
      <c r="H2835" s="11"/>
      <c r="I2835" s="11"/>
      <c r="J2835" s="3" t="str">
        <f t="shared" si="210"/>
        <v>3920006</v>
      </c>
    </row>
    <row r="2836" spans="2:10" s="3" customFormat="1" ht="17.25" customHeight="1">
      <c r="B2836" s="3" t="s">
        <v>2185</v>
      </c>
      <c r="C2836" s="8">
        <v>2</v>
      </c>
      <c r="D2836" s="3" t="s">
        <v>2193</v>
      </c>
      <c r="E2836" s="11" t="s">
        <v>10</v>
      </c>
      <c r="F2836" s="10">
        <v>6.4999999999999994E-5</v>
      </c>
      <c r="G2836" s="12">
        <f>ROUND(G$3*F2836,0)</f>
        <v>19</v>
      </c>
      <c r="H2836" s="13">
        <f>ROUND(G2836/2,0)</f>
        <v>10</v>
      </c>
      <c r="I2836" s="12">
        <f>G2836-H2836</f>
        <v>9</v>
      </c>
      <c r="J2836" s="3" t="str">
        <f t="shared" si="210"/>
        <v>3920006</v>
      </c>
    </row>
    <row r="2837" spans="2:10" s="3" customFormat="1">
      <c r="B2837" s="3" t="s">
        <v>2185</v>
      </c>
      <c r="C2837" s="8">
        <v>2</v>
      </c>
      <c r="D2837" s="3" t="s">
        <v>2193</v>
      </c>
      <c r="E2837" s="11" t="s">
        <v>11</v>
      </c>
      <c r="F2837" s="10">
        <v>2.1999999999999999E-5</v>
      </c>
      <c r="G2837" s="12">
        <f>ROUND(G$3*F2837,0)</f>
        <v>6</v>
      </c>
      <c r="H2837" s="13">
        <f>ROUND(G2837/2,0)</f>
        <v>3</v>
      </c>
      <c r="I2837" s="12">
        <f>G2837-H2837</f>
        <v>3</v>
      </c>
      <c r="J2837" s="3" t="str">
        <f t="shared" si="210"/>
        <v>3920006</v>
      </c>
    </row>
    <row r="2838" spans="2:10" s="3" customFormat="1">
      <c r="B2838" s="3" t="s">
        <v>2185</v>
      </c>
      <c r="C2838" s="8">
        <v>2</v>
      </c>
      <c r="D2838" s="3" t="s">
        <v>2194</v>
      </c>
      <c r="E2838" s="11" t="s">
        <v>871</v>
      </c>
      <c r="F2838" s="11"/>
      <c r="G2838" s="9"/>
      <c r="H2838" s="11"/>
      <c r="I2838" s="11"/>
      <c r="J2838" s="3" t="str">
        <f t="shared" si="210"/>
        <v>3920007</v>
      </c>
    </row>
    <row r="2839" spans="2:10" s="3" customFormat="1">
      <c r="B2839" s="3" t="s">
        <v>2185</v>
      </c>
      <c r="C2839" s="8">
        <v>2</v>
      </c>
      <c r="D2839" s="3" t="s">
        <v>2194</v>
      </c>
      <c r="E2839" s="11" t="s">
        <v>10</v>
      </c>
      <c r="F2839" s="10">
        <v>2.343E-3</v>
      </c>
      <c r="G2839" s="12">
        <f>ROUND(G$3*F2839,0)</f>
        <v>674</v>
      </c>
      <c r="H2839" s="13">
        <f>ROUND(G2839/2,0)</f>
        <v>337</v>
      </c>
      <c r="I2839" s="12">
        <f>G2839-H2839</f>
        <v>337</v>
      </c>
      <c r="J2839" s="3" t="str">
        <f t="shared" si="210"/>
        <v>3920007</v>
      </c>
    </row>
    <row r="2840" spans="2:10" s="3" customFormat="1">
      <c r="B2840" s="3" t="s">
        <v>2185</v>
      </c>
      <c r="C2840" s="8">
        <v>2</v>
      </c>
      <c r="D2840" s="3" t="s">
        <v>2194</v>
      </c>
      <c r="E2840" s="11" t="s">
        <v>11</v>
      </c>
      <c r="F2840" s="10">
        <v>6.4800000000000003E-4</v>
      </c>
      <c r="G2840" s="12">
        <f>ROUND(G$3*F2840,0)</f>
        <v>186</v>
      </c>
      <c r="H2840" s="13">
        <f>ROUND(G2840/2,0)</f>
        <v>93</v>
      </c>
      <c r="I2840" s="12">
        <f>G2840-H2840</f>
        <v>93</v>
      </c>
      <c r="J2840" s="3" t="str">
        <f t="shared" si="210"/>
        <v>3920007</v>
      </c>
    </row>
    <row r="2841" spans="2:10" s="3" customFormat="1">
      <c r="B2841" s="3" t="s">
        <v>2185</v>
      </c>
      <c r="C2841" s="8">
        <v>2</v>
      </c>
      <c r="D2841" s="3" t="s">
        <v>2195</v>
      </c>
      <c r="E2841" s="11" t="s">
        <v>872</v>
      </c>
      <c r="F2841" s="11"/>
      <c r="G2841" s="9"/>
      <c r="H2841" s="11"/>
      <c r="I2841" s="11"/>
      <c r="J2841" s="3" t="str">
        <f t="shared" si="210"/>
        <v>3920008</v>
      </c>
    </row>
    <row r="2842" spans="2:10" s="3" customFormat="1">
      <c r="B2842" s="3" t="s">
        <v>2185</v>
      </c>
      <c r="C2842" s="8">
        <v>2</v>
      </c>
      <c r="D2842" s="3" t="s">
        <v>2195</v>
      </c>
      <c r="E2842" s="11" t="s">
        <v>10</v>
      </c>
      <c r="F2842" s="10">
        <v>1.738E-3</v>
      </c>
      <c r="G2842" s="12">
        <f>ROUND(G$3*F2842,0)</f>
        <v>500</v>
      </c>
      <c r="H2842" s="13">
        <f>ROUND(G2842/2,0)</f>
        <v>250</v>
      </c>
      <c r="I2842" s="12">
        <f>G2842-H2842</f>
        <v>250</v>
      </c>
      <c r="J2842" s="3" t="str">
        <f t="shared" si="210"/>
        <v>3920008</v>
      </c>
    </row>
    <row r="2843" spans="2:10" s="3" customFormat="1">
      <c r="B2843" s="3" t="s">
        <v>2185</v>
      </c>
      <c r="C2843" s="8">
        <v>2</v>
      </c>
      <c r="D2843" s="3" t="s">
        <v>2195</v>
      </c>
      <c r="E2843" s="11" t="s">
        <v>11</v>
      </c>
      <c r="F2843" s="10">
        <v>5.1800000000000001E-4</v>
      </c>
      <c r="G2843" s="12">
        <f>ROUND(G$3*F2843,0)</f>
        <v>149</v>
      </c>
      <c r="H2843" s="13">
        <f>ROUND(G2843/2,0)</f>
        <v>75</v>
      </c>
      <c r="I2843" s="12">
        <f>G2843-H2843</f>
        <v>74</v>
      </c>
      <c r="J2843" s="3" t="str">
        <f t="shared" si="210"/>
        <v>3920008</v>
      </c>
    </row>
    <row r="2844" spans="2:10" s="3" customFormat="1">
      <c r="B2844" s="3" t="s">
        <v>2185</v>
      </c>
      <c r="C2844" s="8">
        <v>2</v>
      </c>
      <c r="D2844" s="3" t="s">
        <v>2196</v>
      </c>
      <c r="E2844" s="11" t="s">
        <v>873</v>
      </c>
      <c r="F2844" s="11"/>
      <c r="G2844" s="9"/>
      <c r="H2844" s="11"/>
      <c r="I2844" s="11"/>
      <c r="J2844" s="3" t="str">
        <f t="shared" si="210"/>
        <v>3920009</v>
      </c>
    </row>
    <row r="2845" spans="2:10" s="3" customFormat="1">
      <c r="B2845" s="3" t="s">
        <v>2185</v>
      </c>
      <c r="C2845" s="8">
        <v>2</v>
      </c>
      <c r="D2845" s="3" t="s">
        <v>2196</v>
      </c>
      <c r="E2845" s="11" t="s">
        <v>10</v>
      </c>
      <c r="F2845" s="10">
        <v>7.6000000000000004E-5</v>
      </c>
      <c r="G2845" s="12">
        <f>ROUND(G$3*F2845,0)</f>
        <v>22</v>
      </c>
      <c r="H2845" s="13">
        <f>ROUND(G2845/2,0)</f>
        <v>11</v>
      </c>
      <c r="I2845" s="12">
        <f>G2845-H2845</f>
        <v>11</v>
      </c>
      <c r="J2845" s="3" t="str">
        <f t="shared" si="210"/>
        <v>3920009</v>
      </c>
    </row>
    <row r="2846" spans="2:10" s="3" customFormat="1">
      <c r="B2846" s="3" t="s">
        <v>2185</v>
      </c>
      <c r="C2846" s="8">
        <v>2</v>
      </c>
      <c r="D2846" s="3" t="s">
        <v>2196</v>
      </c>
      <c r="E2846" s="11" t="s">
        <v>11</v>
      </c>
      <c r="F2846" s="10">
        <v>3.1999999999999999E-5</v>
      </c>
      <c r="G2846" s="12">
        <f>ROUND(G$3*F2846,0)</f>
        <v>9</v>
      </c>
      <c r="H2846" s="13">
        <f>ROUND(G2846/2,0)</f>
        <v>5</v>
      </c>
      <c r="I2846" s="12">
        <f>G2846-H2846</f>
        <v>4</v>
      </c>
      <c r="J2846" s="3" t="str">
        <f t="shared" si="210"/>
        <v>3920009</v>
      </c>
    </row>
    <row r="2847" spans="2:10" s="3" customFormat="1">
      <c r="B2847" s="3" t="s">
        <v>2185</v>
      </c>
      <c r="C2847" s="8">
        <v>2</v>
      </c>
      <c r="D2847" s="3" t="s">
        <v>2197</v>
      </c>
      <c r="E2847" s="11" t="s">
        <v>874</v>
      </c>
      <c r="F2847" s="11"/>
      <c r="G2847" s="9"/>
      <c r="H2847" s="11"/>
      <c r="I2847" s="11"/>
      <c r="J2847" s="3" t="str">
        <f t="shared" si="210"/>
        <v>3920010</v>
      </c>
    </row>
    <row r="2848" spans="2:10" s="3" customFormat="1">
      <c r="B2848" s="3" t="s">
        <v>2185</v>
      </c>
      <c r="C2848" s="8">
        <v>2</v>
      </c>
      <c r="D2848" s="3" t="s">
        <v>2197</v>
      </c>
      <c r="E2848" s="11" t="s">
        <v>10</v>
      </c>
      <c r="F2848" s="10">
        <v>9.2900000000000003E-4</v>
      </c>
      <c r="G2848" s="12">
        <f t="shared" ref="G2848:G2854" si="211">ROUND(G$3*F2848,0)</f>
        <v>267</v>
      </c>
      <c r="H2848" s="13">
        <f t="shared" ref="H2848:H2854" si="212">ROUND(G2848/2,0)</f>
        <v>134</v>
      </c>
      <c r="I2848" s="12">
        <f t="shared" ref="I2848:I2854" si="213">G2848-H2848</f>
        <v>133</v>
      </c>
      <c r="J2848" s="3" t="str">
        <f t="shared" si="210"/>
        <v>3920010</v>
      </c>
    </row>
    <row r="2849" spans="1:10" s="3" customFormat="1">
      <c r="B2849" s="3" t="s">
        <v>2185</v>
      </c>
      <c r="C2849" s="8">
        <v>2</v>
      </c>
      <c r="D2849" s="3" t="s">
        <v>2197</v>
      </c>
      <c r="E2849" s="11" t="s">
        <v>11</v>
      </c>
      <c r="F2849" s="10">
        <v>3.0200000000000002E-4</v>
      </c>
      <c r="G2849" s="12">
        <f t="shared" si="211"/>
        <v>87</v>
      </c>
      <c r="H2849" s="13">
        <f t="shared" si="212"/>
        <v>44</v>
      </c>
      <c r="I2849" s="12">
        <f t="shared" si="213"/>
        <v>43</v>
      </c>
      <c r="J2849" s="3" t="str">
        <f t="shared" si="210"/>
        <v>3920010</v>
      </c>
    </row>
    <row r="2850" spans="1:10" s="3" customFormat="1">
      <c r="A2850" s="3" t="s">
        <v>6269</v>
      </c>
      <c r="B2850" s="3" t="s">
        <v>2185</v>
      </c>
      <c r="C2850" s="8">
        <v>3</v>
      </c>
      <c r="D2850" s="3" t="s">
        <v>2634</v>
      </c>
      <c r="E2850" s="11" t="s">
        <v>875</v>
      </c>
      <c r="F2850" s="10">
        <v>0</v>
      </c>
      <c r="G2850" s="12">
        <f t="shared" si="211"/>
        <v>0</v>
      </c>
      <c r="H2850" s="13">
        <f t="shared" si="212"/>
        <v>0</v>
      </c>
      <c r="I2850" s="12">
        <f t="shared" si="213"/>
        <v>0</v>
      </c>
      <c r="J2850" s="3" t="str">
        <f t="shared" si="210"/>
        <v>3930698</v>
      </c>
    </row>
    <row r="2851" spans="1:10" s="3" customFormat="1">
      <c r="A2851" s="3" t="s">
        <v>6269</v>
      </c>
      <c r="B2851" s="3" t="s">
        <v>2185</v>
      </c>
      <c r="C2851" s="8">
        <v>3</v>
      </c>
      <c r="D2851" s="3" t="s">
        <v>2635</v>
      </c>
      <c r="E2851" s="11" t="s">
        <v>876</v>
      </c>
      <c r="F2851" s="10">
        <v>0</v>
      </c>
      <c r="G2851" s="12">
        <f t="shared" si="211"/>
        <v>0</v>
      </c>
      <c r="H2851" s="13">
        <f t="shared" si="212"/>
        <v>0</v>
      </c>
      <c r="I2851" s="12">
        <f t="shared" si="213"/>
        <v>0</v>
      </c>
      <c r="J2851" s="3" t="str">
        <f t="shared" si="210"/>
        <v>3930699</v>
      </c>
    </row>
    <row r="2852" spans="1:10" s="3" customFormat="1">
      <c r="B2852" s="3" t="s">
        <v>2185</v>
      </c>
      <c r="C2852" s="8">
        <v>3</v>
      </c>
      <c r="D2852" s="3" t="s">
        <v>2636</v>
      </c>
      <c r="E2852" s="11" t="s">
        <v>877</v>
      </c>
      <c r="F2852" s="10">
        <v>4.1359999999999999E-3</v>
      </c>
      <c r="G2852" s="12">
        <f t="shared" si="211"/>
        <v>1190</v>
      </c>
      <c r="H2852" s="13">
        <f t="shared" si="212"/>
        <v>595</v>
      </c>
      <c r="I2852" s="12">
        <f t="shared" si="213"/>
        <v>595</v>
      </c>
      <c r="J2852" s="3" t="str">
        <f t="shared" si="210"/>
        <v>3930700</v>
      </c>
    </row>
    <row r="2853" spans="1:10" s="3" customFormat="1">
      <c r="B2853" s="3" t="s">
        <v>2185</v>
      </c>
      <c r="C2853" s="8">
        <v>3</v>
      </c>
      <c r="D2853" s="3" t="s">
        <v>2633</v>
      </c>
      <c r="E2853" s="11" t="s">
        <v>878</v>
      </c>
      <c r="F2853" s="10">
        <v>6.2896999999999995E-2</v>
      </c>
      <c r="G2853" s="12">
        <f t="shared" si="211"/>
        <v>18097</v>
      </c>
      <c r="H2853" s="13">
        <f t="shared" si="212"/>
        <v>9049</v>
      </c>
      <c r="I2853" s="12">
        <f t="shared" si="213"/>
        <v>9048</v>
      </c>
      <c r="J2853" s="3" t="str">
        <f t="shared" si="210"/>
        <v>3930316</v>
      </c>
    </row>
    <row r="2854" spans="1:10" s="3" customFormat="1">
      <c r="B2854" s="3" t="s">
        <v>2185</v>
      </c>
      <c r="C2854" s="8">
        <v>4</v>
      </c>
      <c r="D2854" s="3" t="s">
        <v>2637</v>
      </c>
      <c r="E2854" s="11" t="s">
        <v>879</v>
      </c>
      <c r="F2854" s="10">
        <v>0.42529499999999998</v>
      </c>
      <c r="G2854" s="9">
        <f t="shared" si="211"/>
        <v>122367</v>
      </c>
      <c r="H2854" s="11">
        <f t="shared" si="212"/>
        <v>61184</v>
      </c>
      <c r="I2854" s="9">
        <f t="shared" si="213"/>
        <v>61183</v>
      </c>
      <c r="J2854" s="3" t="str">
        <f t="shared" si="210"/>
        <v>3943995</v>
      </c>
    </row>
    <row r="2855" spans="1:10" s="3" customFormat="1">
      <c r="B2855" s="3" t="s">
        <v>2185</v>
      </c>
      <c r="C2855" s="8">
        <v>4</v>
      </c>
      <c r="D2855" s="3" t="s">
        <v>2637</v>
      </c>
      <c r="E2855" s="11" t="s">
        <v>28</v>
      </c>
      <c r="F2855" s="11"/>
      <c r="G2855" s="14">
        <v>0.42543599999999998</v>
      </c>
      <c r="H2855" s="11"/>
      <c r="I2855" s="11"/>
      <c r="J2855" s="3" t="str">
        <f t="shared" si="210"/>
        <v>3943995</v>
      </c>
    </row>
    <row r="2856" spans="1:10" s="3" customFormat="1">
      <c r="B2856" s="3" t="s">
        <v>2185</v>
      </c>
      <c r="C2856" s="8">
        <v>4</v>
      </c>
      <c r="D2856" s="3" t="s">
        <v>2637</v>
      </c>
      <c r="E2856" s="11" t="s">
        <v>29</v>
      </c>
      <c r="F2856" s="11"/>
      <c r="G2856" s="15">
        <f>ROUND(G2854*G2855,0)</f>
        <v>52059</v>
      </c>
      <c r="H2856" s="16">
        <f>ROUND(G2856/2,0)</f>
        <v>26030</v>
      </c>
      <c r="I2856" s="15">
        <f>G2856-H2856</f>
        <v>26029</v>
      </c>
      <c r="J2856" s="3" t="str">
        <f t="shared" si="210"/>
        <v>3943995</v>
      </c>
    </row>
    <row r="2857" spans="1:10" s="3" customFormat="1">
      <c r="B2857" s="3" t="s">
        <v>2185</v>
      </c>
      <c r="C2857" s="8">
        <v>4</v>
      </c>
      <c r="D2857" s="3" t="s">
        <v>2637</v>
      </c>
      <c r="E2857" s="11" t="s">
        <v>30</v>
      </c>
      <c r="F2857" s="11"/>
      <c r="G2857" s="12">
        <f>+G2854-G2856</f>
        <v>70308</v>
      </c>
      <c r="H2857" s="13">
        <f>ROUND(G2857/2,0)</f>
        <v>35154</v>
      </c>
      <c r="I2857" s="12">
        <f>G2857-H2857</f>
        <v>35154</v>
      </c>
      <c r="J2857" s="3" t="str">
        <f t="shared" si="210"/>
        <v>3943995</v>
      </c>
    </row>
    <row r="2858" spans="1:10" s="3" customFormat="1">
      <c r="B2858" s="3" t="s">
        <v>2185</v>
      </c>
      <c r="C2858" s="8">
        <v>4</v>
      </c>
      <c r="D2858" s="3" t="s">
        <v>2638</v>
      </c>
      <c r="E2858" s="11" t="s">
        <v>880</v>
      </c>
      <c r="F2858" s="10">
        <v>0.177592</v>
      </c>
      <c r="G2858" s="9">
        <f>ROUND(G$3*F2858,0)</f>
        <v>51097</v>
      </c>
      <c r="H2858" s="11">
        <f>ROUND(G2858/2,0)</f>
        <v>25549</v>
      </c>
      <c r="I2858" s="9">
        <f>G2858-H2858</f>
        <v>25548</v>
      </c>
      <c r="J2858" s="3" t="str">
        <f t="shared" si="210"/>
        <v>3944000</v>
      </c>
    </row>
    <row r="2859" spans="1:10" s="3" customFormat="1">
      <c r="B2859" s="3" t="s">
        <v>2185</v>
      </c>
      <c r="C2859" s="8">
        <v>4</v>
      </c>
      <c r="D2859" s="3" t="s">
        <v>2638</v>
      </c>
      <c r="E2859" s="11" t="s">
        <v>28</v>
      </c>
      <c r="F2859" s="11"/>
      <c r="G2859" s="14">
        <v>0.40010400000000002</v>
      </c>
      <c r="H2859" s="11"/>
      <c r="I2859" s="11"/>
      <c r="J2859" s="3" t="str">
        <f t="shared" si="210"/>
        <v>3944000</v>
      </c>
    </row>
    <row r="2860" spans="1:10" s="3" customFormat="1">
      <c r="B2860" s="3" t="s">
        <v>2185</v>
      </c>
      <c r="C2860" s="8">
        <v>4</v>
      </c>
      <c r="D2860" s="3" t="s">
        <v>2638</v>
      </c>
      <c r="E2860" s="11" t="s">
        <v>29</v>
      </c>
      <c r="F2860" s="11"/>
      <c r="G2860" s="15">
        <f>ROUND(G2858*G2859,0)</f>
        <v>20444</v>
      </c>
      <c r="H2860" s="16">
        <f>ROUND(G2860/2,0)</f>
        <v>10222</v>
      </c>
      <c r="I2860" s="15">
        <f>G2860-H2860</f>
        <v>10222</v>
      </c>
      <c r="J2860" s="3" t="str">
        <f t="shared" si="210"/>
        <v>3944000</v>
      </c>
    </row>
    <row r="2861" spans="1:10" s="3" customFormat="1">
      <c r="B2861" s="3" t="s">
        <v>2185</v>
      </c>
      <c r="C2861" s="8">
        <v>4</v>
      </c>
      <c r="D2861" s="3" t="s">
        <v>2638</v>
      </c>
      <c r="E2861" s="11" t="s">
        <v>30</v>
      </c>
      <c r="F2861" s="11"/>
      <c r="G2861" s="12">
        <f>+G2858-G2860</f>
        <v>30653</v>
      </c>
      <c r="H2861" s="13">
        <f>ROUND(G2861/2,0)</f>
        <v>15327</v>
      </c>
      <c r="I2861" s="12">
        <f>G2861-H2861</f>
        <v>15326</v>
      </c>
      <c r="J2861" s="3" t="str">
        <f t="shared" si="210"/>
        <v>3944000</v>
      </c>
    </row>
    <row r="2862" spans="1:10" s="3" customFormat="1">
      <c r="B2862" s="3" t="s">
        <v>2185</v>
      </c>
      <c r="C2862" s="8">
        <v>5</v>
      </c>
      <c r="D2862" s="3" t="s">
        <v>2639</v>
      </c>
      <c r="E2862" s="11" t="s">
        <v>881</v>
      </c>
      <c r="F2862" s="10">
        <v>2.7394000000000002E-2</v>
      </c>
      <c r="G2862" s="120">
        <f>ROUND(G$3*F2862,0)</f>
        <v>7882</v>
      </c>
      <c r="H2862" s="120">
        <f>ROUND(G2862/2,0)</f>
        <v>3941</v>
      </c>
      <c r="I2862" s="120">
        <f>G2862-H2862</f>
        <v>3941</v>
      </c>
      <c r="J2862" s="3" t="str">
        <f t="shared" si="210"/>
        <v>3950109</v>
      </c>
    </row>
    <row r="2863" spans="1:10" s="3" customFormat="1">
      <c r="B2863" s="3" t="s">
        <v>2185</v>
      </c>
      <c r="C2863" s="8">
        <v>6</v>
      </c>
      <c r="D2863" s="116" t="s">
        <v>3936</v>
      </c>
      <c r="E2863" s="11" t="s">
        <v>545</v>
      </c>
      <c r="F2863" s="10">
        <v>4.9129999999999998E-3</v>
      </c>
      <c r="G2863" s="120">
        <f>+G2814-SUM(G2815:G2816)-SUM(G2821:G2854)-G2858-G2862</f>
        <v>-201900</v>
      </c>
      <c r="H2863" s="120">
        <f>ROUND(G2863/2,0)</f>
        <v>-100950</v>
      </c>
      <c r="I2863" s="120">
        <f>G2863-H2863</f>
        <v>-100950</v>
      </c>
      <c r="J2863" s="3" t="str">
        <f t="shared" si="210"/>
        <v>3961006</v>
      </c>
    </row>
    <row r="2864" spans="1:10" s="3" customFormat="1">
      <c r="B2864" s="3" t="s">
        <v>2185</v>
      </c>
      <c r="C2864" s="8">
        <v>0</v>
      </c>
      <c r="D2864" s="125" t="s">
        <v>2187</v>
      </c>
      <c r="E2864" s="28" t="s">
        <v>288</v>
      </c>
      <c r="F2864" s="10">
        <v>1</v>
      </c>
      <c r="G2864" s="12">
        <f>+G2815+SUM(G2818:G2853)+SUM(G2856:G2857)+SUM(G2860:G2863)</f>
        <v>84409</v>
      </c>
      <c r="H2864" s="12">
        <f>+H2815+SUM(H2818:H2853)+SUM(H2856:H2857)+SUM(H2860:H2863)</f>
        <v>42211</v>
      </c>
      <c r="I2864" s="12">
        <f>+I2815+SUM(I2818:I2853)+SUM(I2856:I2857)+SUM(I2860:I2863)</f>
        <v>42198</v>
      </c>
      <c r="J2864" s="3" t="str">
        <f t="shared" si="210"/>
        <v>3900000</v>
      </c>
    </row>
    <row r="2865" spans="2:10" s="3" customFormat="1">
      <c r="B2865" s="3" t="s">
        <v>2185</v>
      </c>
      <c r="C2865" s="8">
        <v>0</v>
      </c>
      <c r="D2865" s="3" t="s">
        <v>2187</v>
      </c>
      <c r="E2865" s="18" t="s">
        <v>38</v>
      </c>
      <c r="G2865" s="19">
        <f>+G2815</f>
        <v>342</v>
      </c>
      <c r="H2865" s="19">
        <f>+H2815</f>
        <v>171</v>
      </c>
      <c r="I2865" s="19">
        <f>+I2815</f>
        <v>171</v>
      </c>
      <c r="J2865" s="3" t="str">
        <f t="shared" si="210"/>
        <v>3900000</v>
      </c>
    </row>
    <row r="2866" spans="2:10" s="3" customFormat="1">
      <c r="B2866" s="3" t="s">
        <v>2185</v>
      </c>
      <c r="C2866" s="8">
        <v>0</v>
      </c>
      <c r="D2866" s="3" t="s">
        <v>2187</v>
      </c>
      <c r="E2866" s="2" t="s">
        <v>39</v>
      </c>
      <c r="G2866" s="19">
        <f>+G2818</f>
        <v>27567</v>
      </c>
      <c r="H2866" s="19">
        <f>+H2818</f>
        <v>13784</v>
      </c>
      <c r="I2866" s="19">
        <f>+I2818</f>
        <v>13783</v>
      </c>
      <c r="J2866" s="3" t="str">
        <f t="shared" si="210"/>
        <v>3900000</v>
      </c>
    </row>
    <row r="2867" spans="2:10" s="3" customFormat="1">
      <c r="B2867" s="3" t="s">
        <v>2185</v>
      </c>
      <c r="C2867" s="8">
        <v>0</v>
      </c>
      <c r="D2867" s="3" t="s">
        <v>2187</v>
      </c>
      <c r="E2867" s="2" t="s">
        <v>40</v>
      </c>
      <c r="G2867" s="19">
        <f>+G2856+G2860</f>
        <v>72503</v>
      </c>
      <c r="H2867" s="19">
        <f>+H2856+H2860</f>
        <v>36252</v>
      </c>
      <c r="I2867" s="19">
        <f>+I2856+I2860</f>
        <v>36251</v>
      </c>
      <c r="J2867" s="3" t="str">
        <f t="shared" si="210"/>
        <v>3900000</v>
      </c>
    </row>
    <row r="2868" spans="2:10" s="3" customFormat="1">
      <c r="B2868" s="3" t="s">
        <v>2185</v>
      </c>
      <c r="C2868" s="8">
        <v>0</v>
      </c>
      <c r="D2868" s="125" t="s">
        <v>2187</v>
      </c>
      <c r="E2868" s="18" t="s">
        <v>41</v>
      </c>
      <c r="G2868" s="19">
        <f>+G2864-G2865-G2866-G2867</f>
        <v>-16003</v>
      </c>
      <c r="H2868" s="19">
        <f>+H2864-H2865-H2866-H2867</f>
        <v>-7996</v>
      </c>
      <c r="I2868" s="19">
        <f>+I2864-I2865-I2866-I2867</f>
        <v>-8007</v>
      </c>
      <c r="J2868" s="3" t="str">
        <f t="shared" si="210"/>
        <v>3900000</v>
      </c>
    </row>
    <row r="2869" spans="2:10" ht="15.75">
      <c r="B2869" s="3" t="s">
        <v>2186</v>
      </c>
      <c r="D2869" t="s">
        <v>2186</v>
      </c>
      <c r="E2869">
        <v>0</v>
      </c>
      <c r="G2869"/>
      <c r="H2869"/>
      <c r="I2869"/>
      <c r="J2869" s="3" t="str">
        <f t="shared" si="210"/>
        <v/>
      </c>
    </row>
    <row r="2870" spans="2:10" s="3" customFormat="1">
      <c r="C2870" s="1"/>
      <c r="D2870" s="3" t="s">
        <v>2186</v>
      </c>
      <c r="E2870" s="2" t="s">
        <v>882</v>
      </c>
      <c r="J2870" s="3" t="str">
        <f t="shared" si="210"/>
        <v/>
      </c>
    </row>
    <row r="2871" spans="2:10" s="3" customFormat="1" ht="45">
      <c r="B2871" s="3" t="s">
        <v>2186</v>
      </c>
      <c r="C2871" s="1"/>
      <c r="D2871" s="3" t="s">
        <v>2186</v>
      </c>
      <c r="E2871" s="1">
        <v>0</v>
      </c>
      <c r="F2871" s="6" t="s">
        <v>1</v>
      </c>
      <c r="G2871" s="60">
        <f>'Allocation Worksheet'!H2871</f>
        <v>0</v>
      </c>
      <c r="H2871" s="60">
        <f>'Allocation Worksheet'!H2872</f>
        <v>0</v>
      </c>
      <c r="I2871" s="60">
        <f>'Allocation Worksheet'!H2873</f>
        <v>0</v>
      </c>
      <c r="J2871" s="3" t="str">
        <f t="shared" si="210"/>
        <v/>
      </c>
    </row>
    <row r="2872" spans="2:10" s="3" customFormat="1">
      <c r="C2872" s="7" t="s">
        <v>2087</v>
      </c>
      <c r="D2872" s="3" t="s">
        <v>2186</v>
      </c>
      <c r="E2872" s="7" t="s">
        <v>3</v>
      </c>
      <c r="F2872" s="10"/>
      <c r="G2872" s="9">
        <f>'Allocation Worksheet'!$D$43</f>
        <v>277465</v>
      </c>
      <c r="H2872" s="11"/>
      <c r="I2872" s="11"/>
      <c r="J2872" s="3" t="str">
        <f t="shared" si="210"/>
        <v>UT</v>
      </c>
    </row>
    <row r="2873" spans="2:10" s="3" customFormat="1">
      <c r="B2873" s="3" t="s">
        <v>2124</v>
      </c>
      <c r="C2873" s="8">
        <v>0</v>
      </c>
      <c r="D2873" s="3" t="s">
        <v>2187</v>
      </c>
      <c r="E2873" s="11" t="s">
        <v>4</v>
      </c>
      <c r="F2873" s="10">
        <v>1.3010000000000001E-3</v>
      </c>
      <c r="G2873" s="12">
        <f>ROUND(G$3*F2873,0)</f>
        <v>374</v>
      </c>
      <c r="H2873" s="13">
        <f>ROUND(G2873/2,0)</f>
        <v>187</v>
      </c>
      <c r="I2873" s="12">
        <f>G2873-H2873</f>
        <v>187</v>
      </c>
      <c r="J2873" s="3" t="str">
        <f t="shared" si="210"/>
        <v>4000000</v>
      </c>
    </row>
    <row r="2874" spans="2:10" s="3" customFormat="1">
      <c r="B2874" s="3" t="s">
        <v>2124</v>
      </c>
      <c r="C2874" s="8">
        <v>1</v>
      </c>
      <c r="D2874" s="3" t="s">
        <v>2187</v>
      </c>
      <c r="E2874" s="11" t="s">
        <v>883</v>
      </c>
      <c r="F2874" s="10">
        <v>0.242949</v>
      </c>
      <c r="G2874" s="9">
        <f>ROUND(G$3*F2874,0)</f>
        <v>69902</v>
      </c>
      <c r="H2874" s="11">
        <f>ROUND(G2874/2,0)</f>
        <v>34951</v>
      </c>
      <c r="I2874" s="9">
        <f>G2874-H2874</f>
        <v>34951</v>
      </c>
      <c r="J2874" s="3" t="str">
        <f t="shared" si="210"/>
        <v>4010000</v>
      </c>
    </row>
    <row r="2875" spans="2:10" s="3" customFormat="1">
      <c r="B2875" s="3" t="s">
        <v>2124</v>
      </c>
      <c r="C2875" s="8">
        <v>1</v>
      </c>
      <c r="D2875" s="3" t="s">
        <v>2187</v>
      </c>
      <c r="E2875" s="11" t="s">
        <v>6</v>
      </c>
      <c r="F2875" s="11"/>
      <c r="G2875" s="14">
        <v>0.241366</v>
      </c>
      <c r="H2875" s="11"/>
      <c r="I2875" s="11"/>
      <c r="J2875" s="3" t="str">
        <f t="shared" si="210"/>
        <v>4010000</v>
      </c>
    </row>
    <row r="2876" spans="2:10" s="3" customFormat="1">
      <c r="B2876" s="3" t="s">
        <v>2124</v>
      </c>
      <c r="C2876" s="8">
        <v>1</v>
      </c>
      <c r="D2876" s="3" t="s">
        <v>2187</v>
      </c>
      <c r="E2876" s="11" t="s">
        <v>7</v>
      </c>
      <c r="F2876" s="11"/>
      <c r="G2876" s="15">
        <f>ROUND(G2874*G2875,0)</f>
        <v>16872</v>
      </c>
      <c r="H2876" s="16">
        <f>ROUND(G2876/2,0)</f>
        <v>8436</v>
      </c>
      <c r="I2876" s="15">
        <f>G2876-H2876</f>
        <v>8436</v>
      </c>
      <c r="J2876" s="3" t="str">
        <f t="shared" si="210"/>
        <v>4010000</v>
      </c>
    </row>
    <row r="2877" spans="2:10" s="3" customFormat="1">
      <c r="B2877" s="3" t="s">
        <v>2124</v>
      </c>
      <c r="C2877" s="8">
        <v>1</v>
      </c>
      <c r="D2877" s="3" t="s">
        <v>2187</v>
      </c>
      <c r="E2877" s="11" t="s">
        <v>8</v>
      </c>
      <c r="F2877" s="11"/>
      <c r="G2877" s="12">
        <f>+G2874-G2876</f>
        <v>53030</v>
      </c>
      <c r="H2877" s="13">
        <f>ROUND(G2877/2,0)</f>
        <v>26515</v>
      </c>
      <c r="I2877" s="12">
        <f>G2877-H2877</f>
        <v>26515</v>
      </c>
      <c r="J2877" s="3" t="str">
        <f t="shared" si="210"/>
        <v>4010000</v>
      </c>
    </row>
    <row r="2878" spans="2:10" s="3" customFormat="1">
      <c r="B2878" s="3" t="s">
        <v>2124</v>
      </c>
      <c r="C2878" s="8">
        <v>2</v>
      </c>
      <c r="D2878" s="3" t="s">
        <v>2188</v>
      </c>
      <c r="E2878" s="11" t="s">
        <v>884</v>
      </c>
      <c r="F2878" s="11"/>
      <c r="G2878" s="9"/>
      <c r="H2878" s="11"/>
      <c r="I2878" s="11"/>
      <c r="J2878" s="3" t="str">
        <f t="shared" si="210"/>
        <v>4020001</v>
      </c>
    </row>
    <row r="2879" spans="2:10" s="3" customFormat="1">
      <c r="B2879" s="3" t="s">
        <v>2124</v>
      </c>
      <c r="C2879" s="8">
        <v>2</v>
      </c>
      <c r="D2879" s="3" t="s">
        <v>2188</v>
      </c>
      <c r="E2879" s="11" t="s">
        <v>10</v>
      </c>
      <c r="F2879" s="10">
        <v>3.1500000000000001E-4</v>
      </c>
      <c r="G2879" s="12">
        <f>ROUND(G$3*F2879,0)</f>
        <v>91</v>
      </c>
      <c r="H2879" s="13">
        <f>ROUND(G2879/2,0)</f>
        <v>46</v>
      </c>
      <c r="I2879" s="12">
        <f>G2879-H2879</f>
        <v>45</v>
      </c>
      <c r="J2879" s="3" t="str">
        <f t="shared" si="210"/>
        <v>4020001</v>
      </c>
    </row>
    <row r="2880" spans="2:10" s="3" customFormat="1">
      <c r="B2880" s="3" t="s">
        <v>2124</v>
      </c>
      <c r="C2880" s="8">
        <v>2</v>
      </c>
      <c r="D2880" s="3" t="s">
        <v>2188</v>
      </c>
      <c r="E2880" s="11" t="s">
        <v>11</v>
      </c>
      <c r="F2880" s="10">
        <v>1.5799999999999999E-4</v>
      </c>
      <c r="G2880" s="12">
        <f>ROUND(G$3*F2880,0)</f>
        <v>45</v>
      </c>
      <c r="H2880" s="13">
        <f>ROUND(G2880/2,0)</f>
        <v>23</v>
      </c>
      <c r="I2880" s="12">
        <f>G2880-H2880</f>
        <v>22</v>
      </c>
      <c r="J2880" s="3" t="str">
        <f t="shared" si="210"/>
        <v>4020001</v>
      </c>
    </row>
    <row r="2881" spans="2:10" s="3" customFormat="1">
      <c r="B2881" s="3" t="s">
        <v>2124</v>
      </c>
      <c r="C2881" s="8">
        <v>2</v>
      </c>
      <c r="D2881" s="3" t="s">
        <v>2189</v>
      </c>
      <c r="E2881" s="11" t="s">
        <v>885</v>
      </c>
      <c r="F2881" s="11"/>
      <c r="G2881" s="9"/>
      <c r="H2881" s="11"/>
      <c r="I2881" s="11"/>
      <c r="J2881" s="3" t="str">
        <f t="shared" si="210"/>
        <v>4020002</v>
      </c>
    </row>
    <row r="2882" spans="2:10" s="3" customFormat="1">
      <c r="B2882" s="3" t="s">
        <v>2124</v>
      </c>
      <c r="C2882" s="8">
        <v>2</v>
      </c>
      <c r="D2882" s="3" t="s">
        <v>2189</v>
      </c>
      <c r="E2882" s="11" t="s">
        <v>10</v>
      </c>
      <c r="F2882" s="10">
        <v>1.1169999999999999E-3</v>
      </c>
      <c r="G2882" s="12">
        <f>ROUND(G$3*F2882,0)</f>
        <v>321</v>
      </c>
      <c r="H2882" s="13">
        <f>ROUND(G2882/2,0)</f>
        <v>161</v>
      </c>
      <c r="I2882" s="12">
        <f>G2882-H2882</f>
        <v>160</v>
      </c>
      <c r="J2882" s="3" t="str">
        <f t="shared" si="210"/>
        <v>4020002</v>
      </c>
    </row>
    <row r="2883" spans="2:10" s="3" customFormat="1">
      <c r="B2883" s="3" t="s">
        <v>2124</v>
      </c>
      <c r="C2883" s="8">
        <v>2</v>
      </c>
      <c r="D2883" s="3" t="s">
        <v>2189</v>
      </c>
      <c r="E2883" s="11" t="s">
        <v>11</v>
      </c>
      <c r="F2883" s="10">
        <v>3.3500000000000001E-4</v>
      </c>
      <c r="G2883" s="12">
        <f>ROUND(G$3*F2883,0)</f>
        <v>96</v>
      </c>
      <c r="H2883" s="13">
        <f>ROUND(G2883/2,0)</f>
        <v>48</v>
      </c>
      <c r="I2883" s="12">
        <f>G2883-H2883</f>
        <v>48</v>
      </c>
      <c r="J2883" s="3" t="str">
        <f t="shared" si="210"/>
        <v>4020002</v>
      </c>
    </row>
    <row r="2884" spans="2:10" s="3" customFormat="1">
      <c r="B2884" s="3" t="s">
        <v>2124</v>
      </c>
      <c r="C2884" s="8">
        <v>2</v>
      </c>
      <c r="D2884" s="3" t="s">
        <v>2190</v>
      </c>
      <c r="E2884" s="11" t="s">
        <v>107</v>
      </c>
      <c r="F2884" s="11"/>
      <c r="G2884" s="9"/>
      <c r="H2884" s="11"/>
      <c r="I2884" s="11"/>
      <c r="J2884" s="3" t="str">
        <f t="shared" ref="J2884:J2947" si="214">B2884&amp;C2884&amp;D2884</f>
        <v>4020003</v>
      </c>
    </row>
    <row r="2885" spans="2:10" s="3" customFormat="1">
      <c r="B2885" s="3" t="s">
        <v>2124</v>
      </c>
      <c r="C2885" s="8">
        <v>2</v>
      </c>
      <c r="D2885" s="3" t="s">
        <v>2190</v>
      </c>
      <c r="E2885" s="11" t="s">
        <v>10</v>
      </c>
      <c r="F2885" s="10">
        <v>2.9559999999999999E-3</v>
      </c>
      <c r="G2885" s="12">
        <f>ROUND(G$3*F2885,0)</f>
        <v>851</v>
      </c>
      <c r="H2885" s="13">
        <f>ROUND(G2885/2,0)</f>
        <v>426</v>
      </c>
      <c r="I2885" s="12">
        <f>G2885-H2885</f>
        <v>425</v>
      </c>
      <c r="J2885" s="3" t="str">
        <f t="shared" si="214"/>
        <v>4020003</v>
      </c>
    </row>
    <row r="2886" spans="2:10" s="3" customFormat="1">
      <c r="B2886" s="3" t="s">
        <v>2124</v>
      </c>
      <c r="C2886" s="8">
        <v>2</v>
      </c>
      <c r="D2886" s="3" t="s">
        <v>2190</v>
      </c>
      <c r="E2886" s="11" t="s">
        <v>11</v>
      </c>
      <c r="F2886" s="10">
        <v>9.8999999999999994E-5</v>
      </c>
      <c r="G2886" s="12">
        <f>ROUND(G$3*F2886,0)</f>
        <v>28</v>
      </c>
      <c r="H2886" s="13">
        <f>ROUND(G2886/2,0)</f>
        <v>14</v>
      </c>
      <c r="I2886" s="12">
        <f>G2886-H2886</f>
        <v>14</v>
      </c>
      <c r="J2886" s="3" t="str">
        <f t="shared" si="214"/>
        <v>4020003</v>
      </c>
    </row>
    <row r="2887" spans="2:10" s="3" customFormat="1">
      <c r="B2887" s="3" t="s">
        <v>2124</v>
      </c>
      <c r="C2887" s="8">
        <v>2</v>
      </c>
      <c r="D2887" s="3" t="s">
        <v>2191</v>
      </c>
      <c r="E2887" s="11" t="s">
        <v>429</v>
      </c>
      <c r="F2887" s="11"/>
      <c r="G2887" s="9"/>
      <c r="H2887" s="11"/>
      <c r="I2887" s="11"/>
      <c r="J2887" s="3" t="str">
        <f t="shared" si="214"/>
        <v>4020004</v>
      </c>
    </row>
    <row r="2888" spans="2:10" s="3" customFormat="1">
      <c r="B2888" s="3" t="s">
        <v>2124</v>
      </c>
      <c r="C2888" s="8">
        <v>2</v>
      </c>
      <c r="D2888" s="3" t="s">
        <v>2191</v>
      </c>
      <c r="E2888" s="11" t="s">
        <v>10</v>
      </c>
      <c r="F2888" s="10">
        <v>7.8799999999999996E-4</v>
      </c>
      <c r="G2888" s="12">
        <f>ROUND(G$3*F2888,0)</f>
        <v>227</v>
      </c>
      <c r="H2888" s="13">
        <f>ROUND(G2888/2,0)</f>
        <v>114</v>
      </c>
      <c r="I2888" s="12">
        <f>G2888-H2888</f>
        <v>113</v>
      </c>
      <c r="J2888" s="3" t="str">
        <f t="shared" si="214"/>
        <v>4020004</v>
      </c>
    </row>
    <row r="2889" spans="2:10" s="3" customFormat="1">
      <c r="B2889" s="3" t="s">
        <v>2124</v>
      </c>
      <c r="C2889" s="8">
        <v>2</v>
      </c>
      <c r="D2889" s="3" t="s">
        <v>2191</v>
      </c>
      <c r="E2889" s="11" t="s">
        <v>11</v>
      </c>
      <c r="F2889" s="10">
        <v>1.9699999999999999E-4</v>
      </c>
      <c r="G2889" s="12">
        <f>ROUND(G$3*F2889,0)</f>
        <v>57</v>
      </c>
      <c r="H2889" s="13">
        <f>ROUND(G2889/2,0)</f>
        <v>29</v>
      </c>
      <c r="I2889" s="12">
        <f>G2889-H2889</f>
        <v>28</v>
      </c>
      <c r="J2889" s="3" t="str">
        <f t="shared" si="214"/>
        <v>4020004</v>
      </c>
    </row>
    <row r="2890" spans="2:10" s="3" customFormat="1">
      <c r="B2890" s="3" t="s">
        <v>2124</v>
      </c>
      <c r="C2890" s="8">
        <v>2</v>
      </c>
      <c r="D2890" s="3" t="s">
        <v>2192</v>
      </c>
      <c r="E2890" s="11" t="s">
        <v>886</v>
      </c>
      <c r="F2890" s="11"/>
      <c r="G2890" s="9"/>
      <c r="H2890" s="11"/>
      <c r="I2890" s="11"/>
      <c r="J2890" s="3" t="str">
        <f t="shared" si="214"/>
        <v>4020005</v>
      </c>
    </row>
    <row r="2891" spans="2:10" s="3" customFormat="1">
      <c r="B2891" s="3" t="s">
        <v>2124</v>
      </c>
      <c r="C2891" s="8">
        <v>2</v>
      </c>
      <c r="D2891" s="3" t="s">
        <v>2192</v>
      </c>
      <c r="E2891" s="11" t="s">
        <v>10</v>
      </c>
      <c r="F2891" s="10">
        <v>2.7460000000000002E-3</v>
      </c>
      <c r="G2891" s="12">
        <f>ROUND(G$3*F2891,0)</f>
        <v>790</v>
      </c>
      <c r="H2891" s="13">
        <f>ROUND(G2891/2,0)</f>
        <v>395</v>
      </c>
      <c r="I2891" s="12">
        <f>G2891-H2891</f>
        <v>395</v>
      </c>
      <c r="J2891" s="3" t="str">
        <f t="shared" si="214"/>
        <v>4020005</v>
      </c>
    </row>
    <row r="2892" spans="2:10" s="3" customFormat="1">
      <c r="B2892" s="3" t="s">
        <v>2124</v>
      </c>
      <c r="C2892" s="8">
        <v>2</v>
      </c>
      <c r="D2892" s="3" t="s">
        <v>2192</v>
      </c>
      <c r="E2892" s="11" t="s">
        <v>11</v>
      </c>
      <c r="F2892" s="10">
        <v>1.1169999999999999E-3</v>
      </c>
      <c r="G2892" s="12">
        <f>ROUND(G$3*F2892,0)</f>
        <v>321</v>
      </c>
      <c r="H2892" s="13">
        <f>ROUND(G2892/2,0)</f>
        <v>161</v>
      </c>
      <c r="I2892" s="12">
        <f>G2892-H2892</f>
        <v>160</v>
      </c>
      <c r="J2892" s="3" t="str">
        <f t="shared" si="214"/>
        <v>4020005</v>
      </c>
    </row>
    <row r="2893" spans="2:10" s="3" customFormat="1">
      <c r="B2893" s="3" t="s">
        <v>2124</v>
      </c>
      <c r="C2893" s="8">
        <v>2</v>
      </c>
      <c r="D2893" s="3" t="s">
        <v>2193</v>
      </c>
      <c r="E2893" s="11" t="s">
        <v>887</v>
      </c>
      <c r="F2893" s="11"/>
      <c r="G2893" s="9"/>
      <c r="H2893" s="11"/>
      <c r="I2893" s="11"/>
      <c r="J2893" s="3" t="str">
        <f t="shared" si="214"/>
        <v>4020006</v>
      </c>
    </row>
    <row r="2894" spans="2:10" s="3" customFormat="1">
      <c r="B2894" s="3" t="s">
        <v>2124</v>
      </c>
      <c r="C2894" s="8">
        <v>2</v>
      </c>
      <c r="D2894" s="3" t="s">
        <v>2193</v>
      </c>
      <c r="E2894" s="11" t="s">
        <v>10</v>
      </c>
      <c r="F2894" s="10">
        <v>2.33E-4</v>
      </c>
      <c r="G2894" s="12">
        <f>ROUND(G$3*F2894,0)</f>
        <v>67</v>
      </c>
      <c r="H2894" s="13">
        <f>ROUND(G2894/2,0)</f>
        <v>34</v>
      </c>
      <c r="I2894" s="12">
        <f>G2894-H2894</f>
        <v>33</v>
      </c>
      <c r="J2894" s="3" t="str">
        <f t="shared" si="214"/>
        <v>4020006</v>
      </c>
    </row>
    <row r="2895" spans="2:10" s="3" customFormat="1">
      <c r="B2895" s="3" t="s">
        <v>2124</v>
      </c>
      <c r="C2895" s="8">
        <v>2</v>
      </c>
      <c r="D2895" s="3" t="s">
        <v>2193</v>
      </c>
      <c r="E2895" s="11" t="s">
        <v>11</v>
      </c>
      <c r="F2895" s="10">
        <v>6.8999999999999997E-5</v>
      </c>
      <c r="G2895" s="12">
        <f>ROUND(G$3*F2895,0)</f>
        <v>20</v>
      </c>
      <c r="H2895" s="13">
        <f>ROUND(G2895/2,0)</f>
        <v>10</v>
      </c>
      <c r="I2895" s="12">
        <f>G2895-H2895</f>
        <v>10</v>
      </c>
      <c r="J2895" s="3" t="str">
        <f t="shared" si="214"/>
        <v>4020006</v>
      </c>
    </row>
    <row r="2896" spans="2:10" s="3" customFormat="1">
      <c r="B2896" s="3" t="s">
        <v>2124</v>
      </c>
      <c r="C2896" s="8">
        <v>2</v>
      </c>
      <c r="D2896" s="3" t="s">
        <v>2194</v>
      </c>
      <c r="E2896" s="11" t="s">
        <v>53</v>
      </c>
      <c r="F2896" s="11"/>
      <c r="G2896" s="9"/>
      <c r="H2896" s="11"/>
      <c r="I2896" s="11"/>
      <c r="J2896" s="3" t="str">
        <f t="shared" si="214"/>
        <v>4020007</v>
      </c>
    </row>
    <row r="2897" spans="2:10" s="3" customFormat="1">
      <c r="B2897" s="3" t="s">
        <v>2124</v>
      </c>
      <c r="C2897" s="8">
        <v>2</v>
      </c>
      <c r="D2897" s="3" t="s">
        <v>2194</v>
      </c>
      <c r="E2897" s="11" t="s">
        <v>10</v>
      </c>
      <c r="F2897" s="10">
        <v>2.3599999999999999E-4</v>
      </c>
      <c r="G2897" s="12">
        <f>ROUND(G$3*F2897,0)</f>
        <v>68</v>
      </c>
      <c r="H2897" s="13">
        <f>ROUND(G2897/2,0)</f>
        <v>34</v>
      </c>
      <c r="I2897" s="12">
        <f>G2897-H2897</f>
        <v>34</v>
      </c>
      <c r="J2897" s="3" t="str">
        <f t="shared" si="214"/>
        <v>4020007</v>
      </c>
    </row>
    <row r="2898" spans="2:10" s="3" customFormat="1">
      <c r="B2898" s="3" t="s">
        <v>2124</v>
      </c>
      <c r="C2898" s="8">
        <v>2</v>
      </c>
      <c r="D2898" s="3" t="s">
        <v>2194</v>
      </c>
      <c r="E2898" s="11" t="s">
        <v>11</v>
      </c>
      <c r="F2898" s="10">
        <v>5.8999999999999998E-5</v>
      </c>
      <c r="G2898" s="12">
        <f>ROUND(G$3*F2898,0)</f>
        <v>17</v>
      </c>
      <c r="H2898" s="13">
        <f>ROUND(G2898/2,0)</f>
        <v>9</v>
      </c>
      <c r="I2898" s="12">
        <f>G2898-H2898</f>
        <v>8</v>
      </c>
      <c r="J2898" s="3" t="str">
        <f t="shared" si="214"/>
        <v>4020007</v>
      </c>
    </row>
    <row r="2899" spans="2:10" s="3" customFormat="1">
      <c r="B2899" s="3" t="s">
        <v>2124</v>
      </c>
      <c r="C2899" s="8">
        <v>2</v>
      </c>
      <c r="D2899" s="3" t="s">
        <v>2195</v>
      </c>
      <c r="E2899" s="11" t="s">
        <v>568</v>
      </c>
      <c r="F2899" s="11"/>
      <c r="G2899" s="9"/>
      <c r="H2899" s="11"/>
      <c r="I2899" s="11"/>
      <c r="J2899" s="3" t="str">
        <f t="shared" si="214"/>
        <v>4020008</v>
      </c>
    </row>
    <row r="2900" spans="2:10" s="3" customFormat="1">
      <c r="B2900" s="3" t="s">
        <v>2124</v>
      </c>
      <c r="C2900" s="8">
        <v>2</v>
      </c>
      <c r="D2900" s="3" t="s">
        <v>2195</v>
      </c>
      <c r="E2900" s="11" t="s">
        <v>10</v>
      </c>
      <c r="F2900" s="10">
        <v>8.1800000000000004E-4</v>
      </c>
      <c r="G2900" s="12">
        <f>ROUND(G$3*F2900,0)</f>
        <v>235</v>
      </c>
      <c r="H2900" s="13">
        <f>ROUND(G2900/2,0)</f>
        <v>118</v>
      </c>
      <c r="I2900" s="12">
        <f>G2900-H2900</f>
        <v>117</v>
      </c>
      <c r="J2900" s="3" t="str">
        <f t="shared" si="214"/>
        <v>4020008</v>
      </c>
    </row>
    <row r="2901" spans="2:10" s="3" customFormat="1">
      <c r="B2901" s="3" t="s">
        <v>2124</v>
      </c>
      <c r="C2901" s="8">
        <v>2</v>
      </c>
      <c r="D2901" s="3" t="s">
        <v>2195</v>
      </c>
      <c r="E2901" s="11" t="s">
        <v>11</v>
      </c>
      <c r="F2901" s="10">
        <v>5.1199999999999998E-4</v>
      </c>
      <c r="G2901" s="12">
        <f>ROUND(G$3*F2901,0)</f>
        <v>147</v>
      </c>
      <c r="H2901" s="13">
        <f>ROUND(G2901/2,0)</f>
        <v>74</v>
      </c>
      <c r="I2901" s="12">
        <f>G2901-H2901</f>
        <v>73</v>
      </c>
      <c r="J2901" s="3" t="str">
        <f t="shared" si="214"/>
        <v>4020008</v>
      </c>
    </row>
    <row r="2902" spans="2:10" s="3" customFormat="1">
      <c r="B2902" s="3" t="s">
        <v>2124</v>
      </c>
      <c r="C2902" s="8">
        <v>2</v>
      </c>
      <c r="D2902" s="3" t="s">
        <v>2196</v>
      </c>
      <c r="E2902" s="11" t="s">
        <v>888</v>
      </c>
      <c r="F2902" s="11"/>
      <c r="G2902" s="9"/>
      <c r="H2902" s="11"/>
      <c r="I2902" s="11"/>
      <c r="J2902" s="3" t="str">
        <f t="shared" si="214"/>
        <v>4020009</v>
      </c>
    </row>
    <row r="2903" spans="2:10" s="3" customFormat="1">
      <c r="B2903" s="3" t="s">
        <v>2124</v>
      </c>
      <c r="C2903" s="8">
        <v>2</v>
      </c>
      <c r="D2903" s="3" t="s">
        <v>2196</v>
      </c>
      <c r="E2903" s="11" t="s">
        <v>10</v>
      </c>
      <c r="F2903" s="10">
        <v>4.3399999999999998E-4</v>
      </c>
      <c r="G2903" s="12">
        <f>ROUND(G$3*F2903,0)</f>
        <v>125</v>
      </c>
      <c r="H2903" s="13">
        <f>ROUND(G2903/2,0)</f>
        <v>63</v>
      </c>
      <c r="I2903" s="12">
        <f>G2903-H2903</f>
        <v>62</v>
      </c>
      <c r="J2903" s="3" t="str">
        <f t="shared" si="214"/>
        <v>4020009</v>
      </c>
    </row>
    <row r="2904" spans="2:10" s="3" customFormat="1">
      <c r="B2904" s="3" t="s">
        <v>2124</v>
      </c>
      <c r="C2904" s="8">
        <v>2</v>
      </c>
      <c r="D2904" s="3" t="s">
        <v>2196</v>
      </c>
      <c r="E2904" s="11" t="s">
        <v>11</v>
      </c>
      <c r="F2904" s="10">
        <v>8.5000000000000006E-5</v>
      </c>
      <c r="G2904" s="12">
        <f>ROUND(G$3*F2904,0)</f>
        <v>24</v>
      </c>
      <c r="H2904" s="13">
        <f>ROUND(G2904/2,0)</f>
        <v>12</v>
      </c>
      <c r="I2904" s="12">
        <f>G2904-H2904</f>
        <v>12</v>
      </c>
      <c r="J2904" s="3" t="str">
        <f t="shared" si="214"/>
        <v>4020009</v>
      </c>
    </row>
    <row r="2905" spans="2:10" s="3" customFormat="1">
      <c r="B2905" s="3" t="s">
        <v>2124</v>
      </c>
      <c r="C2905" s="8">
        <v>2</v>
      </c>
      <c r="D2905" s="3" t="s">
        <v>2197</v>
      </c>
      <c r="E2905" s="11" t="s">
        <v>376</v>
      </c>
      <c r="F2905" s="11"/>
      <c r="G2905" s="9"/>
      <c r="H2905" s="11"/>
      <c r="I2905" s="11"/>
      <c r="J2905" s="3" t="str">
        <f t="shared" si="214"/>
        <v>4020010</v>
      </c>
    </row>
    <row r="2906" spans="2:10" s="3" customFormat="1">
      <c r="B2906" s="3" t="s">
        <v>2124</v>
      </c>
      <c r="C2906" s="8">
        <v>2</v>
      </c>
      <c r="D2906" s="3" t="s">
        <v>2197</v>
      </c>
      <c r="E2906" s="11" t="s">
        <v>10</v>
      </c>
      <c r="F2906" s="10">
        <v>2.0100000000000001E-3</v>
      </c>
      <c r="G2906" s="12">
        <f>ROUND(G$3*F2906,0)</f>
        <v>578</v>
      </c>
      <c r="H2906" s="13">
        <f>ROUND(G2906/2,0)</f>
        <v>289</v>
      </c>
      <c r="I2906" s="12">
        <f>G2906-H2906</f>
        <v>289</v>
      </c>
      <c r="J2906" s="3" t="str">
        <f t="shared" si="214"/>
        <v>4020010</v>
      </c>
    </row>
    <row r="2907" spans="2:10" s="3" customFormat="1">
      <c r="B2907" s="3" t="s">
        <v>2124</v>
      </c>
      <c r="C2907" s="8">
        <v>2</v>
      </c>
      <c r="D2907" s="3" t="s">
        <v>2197</v>
      </c>
      <c r="E2907" s="11" t="s">
        <v>11</v>
      </c>
      <c r="F2907" s="10">
        <v>8.6399999999999997E-4</v>
      </c>
      <c r="G2907" s="12">
        <f>ROUND(G$3*F2907,0)</f>
        <v>249</v>
      </c>
      <c r="H2907" s="13">
        <f>ROUND(G2907/2,0)</f>
        <v>125</v>
      </c>
      <c r="I2907" s="12">
        <f>G2907-H2907</f>
        <v>124</v>
      </c>
      <c r="J2907" s="3" t="str">
        <f t="shared" si="214"/>
        <v>4020010</v>
      </c>
    </row>
    <row r="2908" spans="2:10" s="3" customFormat="1">
      <c r="B2908" s="3" t="s">
        <v>2124</v>
      </c>
      <c r="C2908" s="8">
        <v>2</v>
      </c>
      <c r="D2908" s="3" t="s">
        <v>2198</v>
      </c>
      <c r="E2908" s="11" t="s">
        <v>673</v>
      </c>
      <c r="F2908" s="11"/>
      <c r="G2908" s="9"/>
      <c r="H2908" s="11"/>
      <c r="I2908" s="11"/>
      <c r="J2908" s="3" t="str">
        <f t="shared" si="214"/>
        <v>4020011</v>
      </c>
    </row>
    <row r="2909" spans="2:10" s="3" customFormat="1">
      <c r="B2909" s="3" t="s">
        <v>2124</v>
      </c>
      <c r="C2909" s="8">
        <v>2</v>
      </c>
      <c r="D2909" s="3" t="s">
        <v>2198</v>
      </c>
      <c r="E2909" s="11" t="s">
        <v>10</v>
      </c>
      <c r="F2909" s="10">
        <v>4.66E-4</v>
      </c>
      <c r="G2909" s="12">
        <f>ROUND(G$3*F2909,0)</f>
        <v>134</v>
      </c>
      <c r="H2909" s="13">
        <f>ROUND(G2909/2,0)</f>
        <v>67</v>
      </c>
      <c r="I2909" s="12">
        <f>G2909-H2909</f>
        <v>67</v>
      </c>
      <c r="J2909" s="3" t="str">
        <f t="shared" si="214"/>
        <v>4020011</v>
      </c>
    </row>
    <row r="2910" spans="2:10" s="3" customFormat="1">
      <c r="B2910" s="3" t="s">
        <v>2124</v>
      </c>
      <c r="C2910" s="8">
        <v>2</v>
      </c>
      <c r="D2910" s="3" t="s">
        <v>2198</v>
      </c>
      <c r="E2910" s="11" t="s">
        <v>11</v>
      </c>
      <c r="F2910" s="10">
        <v>1.9699999999999999E-4</v>
      </c>
      <c r="G2910" s="12">
        <f>ROUND(G$3*F2910,0)</f>
        <v>57</v>
      </c>
      <c r="H2910" s="13">
        <f>ROUND(G2910/2,0)</f>
        <v>29</v>
      </c>
      <c r="I2910" s="12">
        <f>G2910-H2910</f>
        <v>28</v>
      </c>
      <c r="J2910" s="3" t="str">
        <f t="shared" si="214"/>
        <v>4020011</v>
      </c>
    </row>
    <row r="2911" spans="2:10" s="3" customFormat="1">
      <c r="B2911" s="3" t="s">
        <v>2124</v>
      </c>
      <c r="C2911" s="8">
        <v>3</v>
      </c>
      <c r="D2911" s="3" t="s">
        <v>2640</v>
      </c>
      <c r="E2911" s="11" t="s">
        <v>889</v>
      </c>
      <c r="F2911" s="10">
        <v>0.108455</v>
      </c>
      <c r="G2911" s="12">
        <f>ROUND(G$3*F2911,0)</f>
        <v>31205</v>
      </c>
      <c r="H2911" s="13">
        <f>ROUND(G2911/2,0)</f>
        <v>15603</v>
      </c>
      <c r="I2911" s="12">
        <f>G2911-H2911</f>
        <v>15602</v>
      </c>
      <c r="J2911" s="3" t="str">
        <f t="shared" si="214"/>
        <v>4030441</v>
      </c>
    </row>
    <row r="2912" spans="2:10" s="3" customFormat="1">
      <c r="B2912" s="3" t="s">
        <v>2124</v>
      </c>
      <c r="C2912" s="8">
        <v>3</v>
      </c>
      <c r="D2912" s="3" t="s">
        <v>2641</v>
      </c>
      <c r="E2912" s="11" t="s">
        <v>890</v>
      </c>
      <c r="F2912" s="10">
        <v>1.5100000000000001E-4</v>
      </c>
      <c r="G2912" s="12">
        <f>ROUND(G$3*F2912,0)</f>
        <v>43</v>
      </c>
      <c r="H2912" s="13">
        <f>ROUND(G2912/2,0)</f>
        <v>22</v>
      </c>
      <c r="I2912" s="12">
        <f>G2912-H2912</f>
        <v>21</v>
      </c>
      <c r="J2912" s="3" t="str">
        <f t="shared" si="214"/>
        <v>4030701</v>
      </c>
    </row>
    <row r="2913" spans="2:10" s="3" customFormat="1">
      <c r="B2913" s="3" t="s">
        <v>2124</v>
      </c>
      <c r="C2913" s="8">
        <v>4</v>
      </c>
      <c r="D2913" s="3" t="s">
        <v>2642</v>
      </c>
      <c r="E2913" s="11" t="s">
        <v>891</v>
      </c>
      <c r="F2913" s="10">
        <v>0.58517699999999995</v>
      </c>
      <c r="G2913" s="9">
        <f>ROUND(G$3*F2913,0)</f>
        <v>168369</v>
      </c>
      <c r="H2913" s="11">
        <f>ROUND(G2913/2,0)</f>
        <v>84185</v>
      </c>
      <c r="I2913" s="9">
        <f>G2913-H2913</f>
        <v>84184</v>
      </c>
      <c r="J2913" s="3" t="str">
        <f t="shared" si="214"/>
        <v>4044015</v>
      </c>
    </row>
    <row r="2914" spans="2:10" s="3" customFormat="1">
      <c r="B2914" s="3" t="s">
        <v>2124</v>
      </c>
      <c r="C2914" s="8">
        <v>4</v>
      </c>
      <c r="D2914" s="3" t="s">
        <v>2642</v>
      </c>
      <c r="E2914" s="11" t="s">
        <v>28</v>
      </c>
      <c r="F2914" s="11"/>
      <c r="G2914" s="14">
        <v>0.39505600000000002</v>
      </c>
      <c r="H2914" s="11"/>
      <c r="I2914" s="11"/>
      <c r="J2914" s="3" t="str">
        <f t="shared" si="214"/>
        <v>4044015</v>
      </c>
    </row>
    <row r="2915" spans="2:10" s="3" customFormat="1">
      <c r="B2915" s="3" t="s">
        <v>2124</v>
      </c>
      <c r="C2915" s="8">
        <v>4</v>
      </c>
      <c r="D2915" s="3" t="s">
        <v>2642</v>
      </c>
      <c r="E2915" s="11" t="s">
        <v>29</v>
      </c>
      <c r="F2915" s="11"/>
      <c r="G2915" s="15">
        <f>ROUND(G2913*G2914,0)</f>
        <v>66515</v>
      </c>
      <c r="H2915" s="16">
        <f>ROUND(G2915/2,0)</f>
        <v>33258</v>
      </c>
      <c r="I2915" s="15">
        <f>G2915-H2915</f>
        <v>33257</v>
      </c>
      <c r="J2915" s="3" t="str">
        <f t="shared" si="214"/>
        <v>4044015</v>
      </c>
    </row>
    <row r="2916" spans="2:10" s="3" customFormat="1">
      <c r="B2916" s="3" t="s">
        <v>2124</v>
      </c>
      <c r="C2916" s="8">
        <v>4</v>
      </c>
      <c r="D2916" s="3" t="s">
        <v>2642</v>
      </c>
      <c r="E2916" s="11" t="s">
        <v>30</v>
      </c>
      <c r="F2916" s="11"/>
      <c r="G2916" s="12">
        <f>+G2913-G2915</f>
        <v>101854</v>
      </c>
      <c r="H2916" s="13">
        <f>ROUND(G2916/2,0)</f>
        <v>50927</v>
      </c>
      <c r="I2916" s="12">
        <f>G2916-H2916</f>
        <v>50927</v>
      </c>
      <c r="J2916" s="3" t="str">
        <f t="shared" si="214"/>
        <v>4044015</v>
      </c>
    </row>
    <row r="2917" spans="2:10" s="3" customFormat="1">
      <c r="B2917" s="3" t="s">
        <v>2124</v>
      </c>
      <c r="C2917" s="8">
        <v>5</v>
      </c>
      <c r="D2917" s="3" t="s">
        <v>2590</v>
      </c>
      <c r="E2917" s="11" t="s">
        <v>892</v>
      </c>
      <c r="F2917" s="10">
        <v>4.1137E-2</v>
      </c>
      <c r="G2917" s="120">
        <f>ROUND(G$3*F2917,0)</f>
        <v>11836</v>
      </c>
      <c r="H2917" s="120">
        <f>ROUND(G2917/2,0)</f>
        <v>5918</v>
      </c>
      <c r="I2917" s="120">
        <f>G2917-H2917</f>
        <v>5918</v>
      </c>
      <c r="J2917" s="3" t="str">
        <f t="shared" si="214"/>
        <v>4050110</v>
      </c>
    </row>
    <row r="2918" spans="2:10" s="3" customFormat="1">
      <c r="B2918" s="3" t="s">
        <v>2124</v>
      </c>
      <c r="C2918" s="8">
        <v>6</v>
      </c>
      <c r="D2918" s="116" t="s">
        <v>3936</v>
      </c>
      <c r="E2918" s="11" t="s">
        <v>545</v>
      </c>
      <c r="F2918" s="10">
        <v>5.019E-3</v>
      </c>
      <c r="G2918" s="120">
        <f>+G2872-SUM(G2873:G2874)-SUM(G2879:G2913)-G2917</f>
        <v>-8812</v>
      </c>
      <c r="H2918" s="120">
        <f>ROUND(G2918/2,0)</f>
        <v>-4406</v>
      </c>
      <c r="I2918" s="120">
        <f>G2918-H2918</f>
        <v>-4406</v>
      </c>
      <c r="J2918" s="3" t="str">
        <f t="shared" si="214"/>
        <v>4061006</v>
      </c>
    </row>
    <row r="2919" spans="2:10" s="3" customFormat="1">
      <c r="B2919" s="3" t="s">
        <v>2124</v>
      </c>
      <c r="C2919" s="8">
        <v>0</v>
      </c>
      <c r="D2919" s="125" t="s">
        <v>2187</v>
      </c>
      <c r="E2919" s="28" t="s">
        <v>288</v>
      </c>
      <c r="F2919" s="10">
        <v>0.99999999999999989</v>
      </c>
      <c r="G2919" s="12">
        <f>+G2873+SUM(G2876:G2912)+SUM(G2915:G2918)</f>
        <v>277465</v>
      </c>
      <c r="H2919" s="12">
        <f>+H2873+SUM(H2876:H2912)+SUM(H2915:H2918)</f>
        <v>138741</v>
      </c>
      <c r="I2919" s="12">
        <f>+I2873+SUM(I2876:I2912)+SUM(I2915:I2918)</f>
        <v>138724</v>
      </c>
      <c r="J2919" s="3" t="str">
        <f t="shared" si="214"/>
        <v>4000000</v>
      </c>
    </row>
    <row r="2920" spans="2:10" s="3" customFormat="1">
      <c r="B2920" s="3" t="s">
        <v>2124</v>
      </c>
      <c r="C2920" s="8">
        <v>0</v>
      </c>
      <c r="D2920" s="3" t="s">
        <v>2187</v>
      </c>
      <c r="E2920" s="18" t="s">
        <v>38</v>
      </c>
      <c r="G2920" s="19">
        <f>+G2873</f>
        <v>374</v>
      </c>
      <c r="H2920" s="19">
        <f>+H2873</f>
        <v>187</v>
      </c>
      <c r="I2920" s="19">
        <f>+I2873</f>
        <v>187</v>
      </c>
      <c r="J2920" s="3" t="str">
        <f t="shared" si="214"/>
        <v>4000000</v>
      </c>
    </row>
    <row r="2921" spans="2:10" s="3" customFormat="1">
      <c r="B2921" s="3" t="s">
        <v>2124</v>
      </c>
      <c r="C2921" s="8">
        <v>0</v>
      </c>
      <c r="D2921" s="3" t="s">
        <v>2187</v>
      </c>
      <c r="E2921" s="2" t="s">
        <v>39</v>
      </c>
      <c r="G2921" s="19">
        <f>+G2876</f>
        <v>16872</v>
      </c>
      <c r="H2921" s="19">
        <f>+H2876</f>
        <v>8436</v>
      </c>
      <c r="I2921" s="19">
        <f>+I2876</f>
        <v>8436</v>
      </c>
      <c r="J2921" s="3" t="str">
        <f t="shared" si="214"/>
        <v>4000000</v>
      </c>
    </row>
    <row r="2922" spans="2:10" s="3" customFormat="1">
      <c r="B2922" s="3" t="s">
        <v>2124</v>
      </c>
      <c r="C2922" s="8">
        <v>0</v>
      </c>
      <c r="D2922" s="3" t="s">
        <v>2187</v>
      </c>
      <c r="E2922" s="2" t="s">
        <v>40</v>
      </c>
      <c r="G2922" s="19">
        <f>+G2915</f>
        <v>66515</v>
      </c>
      <c r="H2922" s="19">
        <f>+H2915</f>
        <v>33258</v>
      </c>
      <c r="I2922" s="19">
        <f>+I2915</f>
        <v>33257</v>
      </c>
      <c r="J2922" s="3" t="str">
        <f t="shared" si="214"/>
        <v>4000000</v>
      </c>
    </row>
    <row r="2923" spans="2:10" s="3" customFormat="1">
      <c r="B2923" s="3" t="s">
        <v>2124</v>
      </c>
      <c r="C2923" s="8">
        <v>0</v>
      </c>
      <c r="D2923" s="125" t="s">
        <v>2187</v>
      </c>
      <c r="E2923" s="18" t="s">
        <v>41</v>
      </c>
      <c r="G2923" s="19">
        <f>+G2919-G2920-G2921-G2922</f>
        <v>193704</v>
      </c>
      <c r="H2923" s="19">
        <f>+H2919-H2920-H2921-H2922</f>
        <v>96860</v>
      </c>
      <c r="I2923" s="19">
        <f>+I2919-I2920-I2921-I2922</f>
        <v>96844</v>
      </c>
      <c r="J2923" s="3" t="str">
        <f t="shared" si="214"/>
        <v>4000000</v>
      </c>
    </row>
    <row r="2924" spans="2:10" ht="15.75">
      <c r="B2924" s="3" t="s">
        <v>2186</v>
      </c>
      <c r="D2924" t="s">
        <v>2186</v>
      </c>
      <c r="E2924">
        <v>0</v>
      </c>
      <c r="G2924"/>
      <c r="H2924"/>
      <c r="I2924"/>
      <c r="J2924" s="3" t="str">
        <f t="shared" si="214"/>
        <v/>
      </c>
    </row>
    <row r="2925" spans="2:10" s="3" customFormat="1">
      <c r="C2925" s="1"/>
      <c r="D2925" s="3" t="s">
        <v>2186</v>
      </c>
      <c r="E2925" s="2" t="s">
        <v>893</v>
      </c>
      <c r="J2925" s="3" t="str">
        <f t="shared" si="214"/>
        <v/>
      </c>
    </row>
    <row r="2926" spans="2:10" s="3" customFormat="1" ht="45">
      <c r="B2926" s="3" t="s">
        <v>2186</v>
      </c>
      <c r="C2926" s="1"/>
      <c r="D2926" s="3" t="s">
        <v>2186</v>
      </c>
      <c r="E2926" s="1">
        <v>0</v>
      </c>
      <c r="F2926" s="6" t="s">
        <v>1</v>
      </c>
      <c r="G2926" s="60">
        <f>'Allocation Worksheet'!H2926</f>
        <v>0</v>
      </c>
      <c r="H2926" s="60">
        <f>'Allocation Worksheet'!H2927</f>
        <v>0</v>
      </c>
      <c r="I2926" s="60">
        <f>'Allocation Worksheet'!H2928</f>
        <v>0</v>
      </c>
      <c r="J2926" s="3" t="str">
        <f t="shared" si="214"/>
        <v/>
      </c>
    </row>
    <row r="2927" spans="2:10" s="3" customFormat="1">
      <c r="C2927" s="7" t="s">
        <v>2087</v>
      </c>
      <c r="D2927" s="3" t="s">
        <v>2186</v>
      </c>
      <c r="E2927" s="7" t="s">
        <v>3</v>
      </c>
      <c r="F2927" s="10"/>
      <c r="G2927" s="9">
        <f>'Allocation Worksheet'!$D$44</f>
        <v>596008</v>
      </c>
      <c r="H2927" s="11"/>
      <c r="I2927" s="11"/>
      <c r="J2927" s="3" t="str">
        <f t="shared" si="214"/>
        <v>UT</v>
      </c>
    </row>
    <row r="2928" spans="2:10" s="3" customFormat="1">
      <c r="B2928" s="3" t="s">
        <v>2125</v>
      </c>
      <c r="C2928" s="8">
        <v>0</v>
      </c>
      <c r="D2928" s="3" t="s">
        <v>2187</v>
      </c>
      <c r="E2928" s="11" t="s">
        <v>4</v>
      </c>
      <c r="F2928" s="10">
        <v>1.2110000000000001E-3</v>
      </c>
      <c r="G2928" s="12">
        <f>ROUND(G$3*F2928,0)</f>
        <v>348</v>
      </c>
      <c r="H2928" s="13">
        <f>ROUND(G2928/2,0)</f>
        <v>174</v>
      </c>
      <c r="I2928" s="12">
        <f>G2928-H2928</f>
        <v>174</v>
      </c>
      <c r="J2928" s="3" t="str">
        <f t="shared" si="214"/>
        <v>4100000</v>
      </c>
    </row>
    <row r="2929" spans="1:10" s="3" customFormat="1">
      <c r="B2929" s="3" t="s">
        <v>2125</v>
      </c>
      <c r="C2929" s="8">
        <v>1</v>
      </c>
      <c r="D2929" s="3" t="s">
        <v>2187</v>
      </c>
      <c r="E2929" s="11" t="s">
        <v>894</v>
      </c>
      <c r="F2929" s="10">
        <v>0.116184</v>
      </c>
      <c r="G2929" s="9">
        <f>ROUND(G$3*F2929,0)</f>
        <v>33429</v>
      </c>
      <c r="H2929" s="11">
        <f>ROUND(G2929/2,0)</f>
        <v>16715</v>
      </c>
      <c r="I2929" s="9">
        <f>G2929-H2929</f>
        <v>16714</v>
      </c>
      <c r="J2929" s="3" t="str">
        <f t="shared" si="214"/>
        <v>4110000</v>
      </c>
    </row>
    <row r="2930" spans="1:10" s="3" customFormat="1">
      <c r="B2930" s="3" t="s">
        <v>2125</v>
      </c>
      <c r="C2930" s="8">
        <v>1</v>
      </c>
      <c r="D2930" s="3" t="s">
        <v>2187</v>
      </c>
      <c r="E2930" s="11" t="s">
        <v>6</v>
      </c>
      <c r="F2930" s="11"/>
      <c r="G2930" s="14">
        <v>0.116608</v>
      </c>
      <c r="H2930" s="11"/>
      <c r="I2930" s="11"/>
      <c r="J2930" s="3" t="str">
        <f t="shared" si="214"/>
        <v>4110000</v>
      </c>
    </row>
    <row r="2931" spans="1:10" s="3" customFormat="1">
      <c r="B2931" s="3" t="s">
        <v>2125</v>
      </c>
      <c r="C2931" s="8">
        <v>1</v>
      </c>
      <c r="D2931" s="3" t="s">
        <v>2187</v>
      </c>
      <c r="E2931" s="11" t="s">
        <v>7</v>
      </c>
      <c r="F2931" s="11"/>
      <c r="G2931" s="15">
        <f>ROUND(G2929*G2930,0)</f>
        <v>3898</v>
      </c>
      <c r="H2931" s="16">
        <f>ROUND(G2931/2,0)</f>
        <v>1949</v>
      </c>
      <c r="I2931" s="15">
        <f>G2931-H2931</f>
        <v>1949</v>
      </c>
      <c r="J2931" s="3" t="str">
        <f t="shared" si="214"/>
        <v>4110000</v>
      </c>
    </row>
    <row r="2932" spans="1:10" s="3" customFormat="1">
      <c r="B2932" s="3" t="s">
        <v>2125</v>
      </c>
      <c r="C2932" s="8">
        <v>1</v>
      </c>
      <c r="D2932" s="3" t="s">
        <v>2187</v>
      </c>
      <c r="E2932" s="11" t="s">
        <v>8</v>
      </c>
      <c r="F2932" s="11"/>
      <c r="G2932" s="12">
        <f>+G2929-G2931</f>
        <v>29531</v>
      </c>
      <c r="H2932" s="13">
        <f>ROUND(G2932/2,0)</f>
        <v>14766</v>
      </c>
      <c r="I2932" s="12">
        <f>G2932-H2932</f>
        <v>14765</v>
      </c>
      <c r="J2932" s="3" t="str">
        <f t="shared" si="214"/>
        <v>4110000</v>
      </c>
    </row>
    <row r="2933" spans="1:10" s="3" customFormat="1">
      <c r="B2933" s="3" t="s">
        <v>2125</v>
      </c>
      <c r="C2933" s="8">
        <v>2</v>
      </c>
      <c r="D2933" s="3" t="s">
        <v>2188</v>
      </c>
      <c r="E2933" s="11" t="s">
        <v>669</v>
      </c>
      <c r="F2933" s="11"/>
      <c r="G2933" s="9"/>
      <c r="H2933" s="11"/>
      <c r="I2933" s="11"/>
      <c r="J2933" s="3" t="str">
        <f t="shared" si="214"/>
        <v>4120001</v>
      </c>
    </row>
    <row r="2934" spans="1:10" s="3" customFormat="1">
      <c r="B2934" s="3" t="s">
        <v>2125</v>
      </c>
      <c r="C2934" s="8">
        <v>2</v>
      </c>
      <c r="D2934" s="3" t="s">
        <v>2188</v>
      </c>
      <c r="E2934" s="11" t="s">
        <v>10</v>
      </c>
      <c r="F2934" s="10">
        <v>5.1400000000000003E-4</v>
      </c>
      <c r="G2934" s="12">
        <f>ROUND(G$3*F2934,0)</f>
        <v>148</v>
      </c>
      <c r="H2934" s="13">
        <f>ROUND(G2934/2,0)</f>
        <v>74</v>
      </c>
      <c r="I2934" s="12">
        <f>G2934-H2934</f>
        <v>74</v>
      </c>
      <c r="J2934" s="3" t="str">
        <f t="shared" si="214"/>
        <v>4120001</v>
      </c>
    </row>
    <row r="2935" spans="1:10" s="3" customFormat="1">
      <c r="B2935" s="3" t="s">
        <v>2125</v>
      </c>
      <c r="C2935" s="8">
        <v>2</v>
      </c>
      <c r="D2935" s="3" t="s">
        <v>2188</v>
      </c>
      <c r="E2935" s="11" t="s">
        <v>11</v>
      </c>
      <c r="F2935" s="10">
        <v>3.6999999999999998E-5</v>
      </c>
      <c r="G2935" s="12">
        <f>ROUND(G$3*F2935,0)</f>
        <v>11</v>
      </c>
      <c r="H2935" s="13">
        <f>ROUND(G2935/2,0)</f>
        <v>6</v>
      </c>
      <c r="I2935" s="12">
        <f>G2935-H2935</f>
        <v>5</v>
      </c>
      <c r="J2935" s="3" t="str">
        <f t="shared" si="214"/>
        <v>4120001</v>
      </c>
    </row>
    <row r="2936" spans="1:10" s="3" customFormat="1">
      <c r="B2936" s="3" t="s">
        <v>2125</v>
      </c>
      <c r="C2936" s="8">
        <v>2</v>
      </c>
      <c r="D2936" s="3" t="s">
        <v>2189</v>
      </c>
      <c r="E2936" s="11" t="s">
        <v>895</v>
      </c>
      <c r="F2936" s="11"/>
      <c r="G2936" s="9"/>
      <c r="H2936" s="11"/>
      <c r="I2936" s="11"/>
      <c r="J2936" s="3" t="str">
        <f t="shared" si="214"/>
        <v>4120002</v>
      </c>
    </row>
    <row r="2937" spans="1:10" s="3" customFormat="1">
      <c r="B2937" s="3" t="s">
        <v>2125</v>
      </c>
      <c r="C2937" s="8">
        <v>2</v>
      </c>
      <c r="D2937" s="3" t="s">
        <v>2189</v>
      </c>
      <c r="E2937" s="11" t="s">
        <v>10</v>
      </c>
      <c r="F2937" s="10">
        <v>6.3299999999999999E-4</v>
      </c>
      <c r="G2937" s="12">
        <f>ROUND(G$3*F2937,0)</f>
        <v>182</v>
      </c>
      <c r="H2937" s="13">
        <f>ROUND(G2937/2,0)</f>
        <v>91</v>
      </c>
      <c r="I2937" s="12">
        <f>G2937-H2937</f>
        <v>91</v>
      </c>
      <c r="J2937" s="3" t="str">
        <f t="shared" si="214"/>
        <v>4120002</v>
      </c>
    </row>
    <row r="2938" spans="1:10" s="3" customFormat="1">
      <c r="B2938" s="3" t="s">
        <v>2125</v>
      </c>
      <c r="C2938" s="8">
        <v>2</v>
      </c>
      <c r="D2938" s="3" t="s">
        <v>2189</v>
      </c>
      <c r="E2938" s="11" t="s">
        <v>11</v>
      </c>
      <c r="F2938" s="10">
        <v>6.3900000000000003E-4</v>
      </c>
      <c r="G2938" s="12">
        <f>ROUND(G$3*F2938,0)</f>
        <v>184</v>
      </c>
      <c r="H2938" s="13">
        <f>ROUND(G2938/2,0)</f>
        <v>92</v>
      </c>
      <c r="I2938" s="12">
        <f>G2938-H2938</f>
        <v>92</v>
      </c>
      <c r="J2938" s="3" t="str">
        <f t="shared" si="214"/>
        <v>4120002</v>
      </c>
    </row>
    <row r="2939" spans="1:10" s="3" customFormat="1">
      <c r="B2939" s="3" t="s">
        <v>2125</v>
      </c>
      <c r="C2939" s="8">
        <v>2</v>
      </c>
      <c r="D2939" s="3" t="s">
        <v>2190</v>
      </c>
      <c r="E2939" s="11" t="s">
        <v>372</v>
      </c>
      <c r="F2939" s="11"/>
      <c r="G2939" s="9"/>
      <c r="H2939" s="11"/>
      <c r="I2939" s="11"/>
      <c r="J2939" s="3" t="str">
        <f t="shared" si="214"/>
        <v>4120003</v>
      </c>
    </row>
    <row r="2940" spans="1:10" s="3" customFormat="1">
      <c r="B2940" s="3" t="s">
        <v>2125</v>
      </c>
      <c r="C2940" s="8">
        <v>2</v>
      </c>
      <c r="D2940" s="3" t="s">
        <v>2190</v>
      </c>
      <c r="E2940" s="11" t="s">
        <v>10</v>
      </c>
      <c r="F2940" s="10">
        <v>5.3399999999999997E-4</v>
      </c>
      <c r="G2940" s="12">
        <f>ROUND(G$3*F2940,0)</f>
        <v>154</v>
      </c>
      <c r="H2940" s="13">
        <f>ROUND(G2940/2,0)</f>
        <v>77</v>
      </c>
      <c r="I2940" s="12">
        <f>G2940-H2940</f>
        <v>77</v>
      </c>
      <c r="J2940" s="3" t="str">
        <f t="shared" si="214"/>
        <v>4120003</v>
      </c>
    </row>
    <row r="2941" spans="1:10" s="3" customFormat="1">
      <c r="A2941" s="3" t="s">
        <v>6269</v>
      </c>
      <c r="B2941" s="3" t="s">
        <v>2125</v>
      </c>
      <c r="C2941" s="8">
        <v>2</v>
      </c>
      <c r="D2941" s="3" t="s">
        <v>2190</v>
      </c>
      <c r="E2941" s="11" t="s">
        <v>11</v>
      </c>
      <c r="F2941" s="10">
        <v>0</v>
      </c>
      <c r="G2941" s="12">
        <f>ROUND(G$3*F2941,0)</f>
        <v>0</v>
      </c>
      <c r="H2941" s="13">
        <f>ROUND(G2941/2,0)</f>
        <v>0</v>
      </c>
      <c r="I2941" s="12">
        <f>G2941-H2941</f>
        <v>0</v>
      </c>
      <c r="J2941" s="3" t="str">
        <f t="shared" si="214"/>
        <v>4120003</v>
      </c>
    </row>
    <row r="2942" spans="1:10" s="3" customFormat="1">
      <c r="B2942" s="3" t="s">
        <v>2125</v>
      </c>
      <c r="C2942" s="8">
        <v>2</v>
      </c>
      <c r="D2942" s="3" t="s">
        <v>2191</v>
      </c>
      <c r="E2942" s="11" t="s">
        <v>896</v>
      </c>
      <c r="F2942" s="11"/>
      <c r="G2942" s="9"/>
      <c r="H2942" s="11"/>
      <c r="I2942" s="11"/>
      <c r="J2942" s="3" t="str">
        <f t="shared" si="214"/>
        <v>4120004</v>
      </c>
    </row>
    <row r="2943" spans="1:10" s="3" customFormat="1">
      <c r="B2943" s="3" t="s">
        <v>2125</v>
      </c>
      <c r="C2943" s="8">
        <v>2</v>
      </c>
      <c r="D2943" s="3" t="s">
        <v>2191</v>
      </c>
      <c r="E2943" s="11" t="s">
        <v>10</v>
      </c>
      <c r="F2943" s="10">
        <v>2.02E-4</v>
      </c>
      <c r="G2943" s="12">
        <f>ROUND(G$3*F2943,0)</f>
        <v>58</v>
      </c>
      <c r="H2943" s="13">
        <f>ROUND(G2943/2,0)</f>
        <v>29</v>
      </c>
      <c r="I2943" s="12">
        <f>G2943-H2943</f>
        <v>29</v>
      </c>
      <c r="J2943" s="3" t="str">
        <f t="shared" si="214"/>
        <v>4120004</v>
      </c>
    </row>
    <row r="2944" spans="1:10" s="3" customFormat="1">
      <c r="A2944" s="3" t="s">
        <v>6269</v>
      </c>
      <c r="B2944" s="3" t="s">
        <v>2125</v>
      </c>
      <c r="C2944" s="8">
        <v>2</v>
      </c>
      <c r="D2944" s="3" t="s">
        <v>2191</v>
      </c>
      <c r="E2944" s="11" t="s">
        <v>11</v>
      </c>
      <c r="F2944" s="10">
        <v>0</v>
      </c>
      <c r="G2944" s="12">
        <f>ROUND(G$3*F2944,0)</f>
        <v>0</v>
      </c>
      <c r="H2944" s="13">
        <f>ROUND(G2944/2,0)</f>
        <v>0</v>
      </c>
      <c r="I2944" s="12">
        <f>G2944-H2944</f>
        <v>0</v>
      </c>
      <c r="J2944" s="3" t="str">
        <f t="shared" si="214"/>
        <v>4120004</v>
      </c>
    </row>
    <row r="2945" spans="1:11" s="128" customFormat="1">
      <c r="B2945" s="128" t="s">
        <v>2125</v>
      </c>
      <c r="C2945" s="129">
        <v>2</v>
      </c>
      <c r="D2945" s="130" t="s">
        <v>2192</v>
      </c>
      <c r="E2945" s="131" t="s">
        <v>897</v>
      </c>
      <c r="F2945" s="131"/>
      <c r="G2945" s="132"/>
      <c r="H2945" s="131"/>
      <c r="I2945" s="131"/>
      <c r="J2945" s="128" t="str">
        <f t="shared" si="214"/>
        <v>4120005</v>
      </c>
      <c r="K2945" s="128" t="s">
        <v>6372</v>
      </c>
    </row>
    <row r="2946" spans="1:11" s="128" customFormat="1">
      <c r="B2946" s="128" t="s">
        <v>2125</v>
      </c>
      <c r="C2946" s="129">
        <v>2</v>
      </c>
      <c r="D2946" s="130" t="s">
        <v>2192</v>
      </c>
      <c r="E2946" s="131" t="s">
        <v>10</v>
      </c>
      <c r="F2946" s="133">
        <v>1.5300000000000001E-4</v>
      </c>
      <c r="G2946" s="134">
        <f>ROUND(G$3*F2946,0)</f>
        <v>44</v>
      </c>
      <c r="H2946" s="135">
        <f>ROUND(G2946/2,0)</f>
        <v>22</v>
      </c>
      <c r="I2946" s="134">
        <f>G2946-H2946</f>
        <v>22</v>
      </c>
      <c r="J2946" s="128" t="str">
        <f t="shared" si="214"/>
        <v>4120005</v>
      </c>
      <c r="K2946" s="128" t="s">
        <v>6372</v>
      </c>
    </row>
    <row r="2947" spans="1:11" s="3" customFormat="1">
      <c r="A2947" s="3" t="s">
        <v>6269</v>
      </c>
      <c r="B2947" s="3" t="s">
        <v>2125</v>
      </c>
      <c r="C2947" s="8">
        <v>2</v>
      </c>
      <c r="D2947" s="3" t="s">
        <v>6267</v>
      </c>
      <c r="E2947" s="11" t="s">
        <v>11</v>
      </c>
      <c r="F2947" s="10">
        <v>0</v>
      </c>
      <c r="G2947" s="12">
        <f>ROUND(G$3*F2947,0)</f>
        <v>0</v>
      </c>
      <c r="H2947" s="13">
        <f>ROUND(G2947/2,0)</f>
        <v>0</v>
      </c>
      <c r="I2947" s="12">
        <f>G2947-H2947</f>
        <v>0</v>
      </c>
      <c r="J2947" s="3" t="str">
        <f t="shared" si="214"/>
        <v>412XXXX</v>
      </c>
    </row>
    <row r="2948" spans="1:11" s="3" customFormat="1">
      <c r="B2948" s="3" t="s">
        <v>2125</v>
      </c>
      <c r="C2948" s="8">
        <v>2</v>
      </c>
      <c r="D2948" s="3" t="s">
        <v>2193</v>
      </c>
      <c r="E2948" s="11" t="s">
        <v>898</v>
      </c>
      <c r="F2948" s="11"/>
      <c r="G2948" s="9"/>
      <c r="H2948" s="11"/>
      <c r="I2948" s="11"/>
      <c r="J2948" s="3" t="str">
        <f t="shared" ref="J2948:J3011" si="215">B2948&amp;C2948&amp;D2948</f>
        <v>4120006</v>
      </c>
    </row>
    <row r="2949" spans="1:11" s="3" customFormat="1">
      <c r="B2949" s="3" t="s">
        <v>2125</v>
      </c>
      <c r="C2949" s="8">
        <v>2</v>
      </c>
      <c r="D2949" s="3" t="s">
        <v>2193</v>
      </c>
      <c r="E2949" s="11" t="s">
        <v>10</v>
      </c>
      <c r="F2949" s="10">
        <v>5.5000000000000002E-5</v>
      </c>
      <c r="G2949" s="12">
        <f>ROUND(G$3*F2949,0)</f>
        <v>16</v>
      </c>
      <c r="H2949" s="13">
        <f>ROUND(G2949/2,0)</f>
        <v>8</v>
      </c>
      <c r="I2949" s="12">
        <f>G2949-H2949</f>
        <v>8</v>
      </c>
      <c r="J2949" s="3" t="str">
        <f t="shared" si="215"/>
        <v>4120006</v>
      </c>
    </row>
    <row r="2950" spans="1:11" s="3" customFormat="1">
      <c r="A2950" s="3" t="s">
        <v>6269</v>
      </c>
      <c r="B2950" s="3" t="s">
        <v>2125</v>
      </c>
      <c r="C2950" s="8">
        <v>2</v>
      </c>
      <c r="D2950" s="3" t="s">
        <v>2193</v>
      </c>
      <c r="E2950" s="11" t="s">
        <v>11</v>
      </c>
      <c r="F2950" s="10">
        <v>0</v>
      </c>
      <c r="G2950" s="12">
        <f>ROUND(G$3*F2950,0)</f>
        <v>0</v>
      </c>
      <c r="H2950" s="13">
        <f>ROUND(G2950/2,0)</f>
        <v>0</v>
      </c>
      <c r="I2950" s="12">
        <f>G2950-H2950</f>
        <v>0</v>
      </c>
      <c r="J2950" s="3" t="str">
        <f t="shared" si="215"/>
        <v>4120006</v>
      </c>
    </row>
    <row r="2951" spans="1:11" s="3" customFormat="1">
      <c r="B2951" s="3" t="s">
        <v>2125</v>
      </c>
      <c r="C2951" s="8">
        <v>2</v>
      </c>
      <c r="D2951" s="3" t="s">
        <v>2194</v>
      </c>
      <c r="E2951" s="11" t="s">
        <v>57</v>
      </c>
      <c r="F2951" s="11"/>
      <c r="G2951" s="9"/>
      <c r="H2951" s="11"/>
      <c r="I2951" s="11"/>
      <c r="J2951" s="3" t="str">
        <f t="shared" si="215"/>
        <v>4120007</v>
      </c>
    </row>
    <row r="2952" spans="1:11" s="3" customFormat="1">
      <c r="B2952" s="3" t="s">
        <v>2125</v>
      </c>
      <c r="C2952" s="8">
        <v>2</v>
      </c>
      <c r="D2952" s="3" t="s">
        <v>2194</v>
      </c>
      <c r="E2952" s="11" t="s">
        <v>10</v>
      </c>
      <c r="F2952" s="10">
        <v>1.8259999999999999E-3</v>
      </c>
      <c r="G2952" s="12">
        <f>ROUND(G$3*F2952,0)</f>
        <v>525</v>
      </c>
      <c r="H2952" s="13">
        <f>ROUND(G2952/2,0)</f>
        <v>263</v>
      </c>
      <c r="I2952" s="12">
        <f>G2952-H2952</f>
        <v>262</v>
      </c>
      <c r="J2952" s="3" t="str">
        <f t="shared" si="215"/>
        <v>4120007</v>
      </c>
    </row>
    <row r="2953" spans="1:11" s="3" customFormat="1">
      <c r="B2953" s="3" t="s">
        <v>2125</v>
      </c>
      <c r="C2953" s="8">
        <v>2</v>
      </c>
      <c r="D2953" s="3" t="s">
        <v>2194</v>
      </c>
      <c r="E2953" s="11" t="s">
        <v>11</v>
      </c>
      <c r="F2953" s="10">
        <v>4.6E-5</v>
      </c>
      <c r="G2953" s="12">
        <f>ROUND(G$3*F2953,0)</f>
        <v>13</v>
      </c>
      <c r="H2953" s="13">
        <f>ROUND(G2953/2,0)</f>
        <v>7</v>
      </c>
      <c r="I2953" s="12">
        <f>G2953-H2953</f>
        <v>6</v>
      </c>
      <c r="J2953" s="3" t="str">
        <f t="shared" si="215"/>
        <v>4120007</v>
      </c>
    </row>
    <row r="2954" spans="1:11" s="128" customFormat="1">
      <c r="B2954" s="128" t="s">
        <v>2125</v>
      </c>
      <c r="C2954" s="129">
        <v>2</v>
      </c>
      <c r="D2954" s="130" t="s">
        <v>2195</v>
      </c>
      <c r="E2954" s="131" t="s">
        <v>20</v>
      </c>
      <c r="F2954" s="131"/>
      <c r="G2954" s="132"/>
      <c r="H2954" s="131"/>
      <c r="I2954" s="131"/>
      <c r="J2954" s="128" t="str">
        <f t="shared" si="215"/>
        <v>4120008</v>
      </c>
      <c r="K2954" s="128" t="s">
        <v>6372</v>
      </c>
    </row>
    <row r="2955" spans="1:11" s="128" customFormat="1">
      <c r="B2955" s="128" t="s">
        <v>2125</v>
      </c>
      <c r="C2955" s="129">
        <v>2</v>
      </c>
      <c r="D2955" s="130" t="s">
        <v>2195</v>
      </c>
      <c r="E2955" s="131" t="s">
        <v>10</v>
      </c>
      <c r="F2955" s="133">
        <v>9.5299999999999996E-4</v>
      </c>
      <c r="G2955" s="134">
        <f>ROUND(G$3*F2955,0)</f>
        <v>274</v>
      </c>
      <c r="H2955" s="135">
        <f>ROUND(G2955/2,0)</f>
        <v>137</v>
      </c>
      <c r="I2955" s="134">
        <f>G2955-H2955</f>
        <v>137</v>
      </c>
      <c r="J2955" s="128" t="str">
        <f t="shared" si="215"/>
        <v>4120008</v>
      </c>
      <c r="K2955" s="128" t="s">
        <v>6372</v>
      </c>
    </row>
    <row r="2956" spans="1:11" s="3" customFormat="1">
      <c r="A2956" s="3" t="s">
        <v>6269</v>
      </c>
      <c r="B2956" s="3" t="s">
        <v>2125</v>
      </c>
      <c r="C2956" s="8">
        <v>2</v>
      </c>
      <c r="D2956" s="3" t="s">
        <v>6267</v>
      </c>
      <c r="E2956" s="11" t="s">
        <v>11</v>
      </c>
      <c r="F2956" s="10">
        <v>0</v>
      </c>
      <c r="G2956" s="12">
        <f>ROUND(G$3*F2956,0)</f>
        <v>0</v>
      </c>
      <c r="H2956" s="13">
        <f>ROUND(G2956/2,0)</f>
        <v>0</v>
      </c>
      <c r="I2956" s="12">
        <f>G2956-H2956</f>
        <v>0</v>
      </c>
      <c r="J2956" s="3" t="str">
        <f t="shared" si="215"/>
        <v>412XXXX</v>
      </c>
    </row>
    <row r="2957" spans="1:11" s="3" customFormat="1">
      <c r="B2957" s="3" t="s">
        <v>2125</v>
      </c>
      <c r="C2957" s="8">
        <v>2</v>
      </c>
      <c r="D2957" s="3" t="s">
        <v>2196</v>
      </c>
      <c r="E2957" s="11" t="s">
        <v>569</v>
      </c>
      <c r="F2957" s="11"/>
      <c r="G2957" s="9"/>
      <c r="H2957" s="11"/>
      <c r="I2957" s="11"/>
      <c r="J2957" s="3" t="str">
        <f t="shared" si="215"/>
        <v>4120009</v>
      </c>
    </row>
    <row r="2958" spans="1:11" s="3" customFormat="1">
      <c r="B2958" s="3" t="s">
        <v>2125</v>
      </c>
      <c r="C2958" s="8">
        <v>2</v>
      </c>
      <c r="D2958" s="3" t="s">
        <v>2196</v>
      </c>
      <c r="E2958" s="11" t="s">
        <v>10</v>
      </c>
      <c r="F2958" s="10">
        <v>6.5899999999999997E-4</v>
      </c>
      <c r="G2958" s="12">
        <f t="shared" ref="G2958:G2968" si="216">ROUND(G$3*F2958,0)</f>
        <v>190</v>
      </c>
      <c r="H2958" s="13">
        <f t="shared" ref="H2958:H2968" si="217">ROUND(G2958/2,0)</f>
        <v>95</v>
      </c>
      <c r="I2958" s="12">
        <f t="shared" ref="I2958:I2968" si="218">G2958-H2958</f>
        <v>95</v>
      </c>
      <c r="J2958" s="3" t="str">
        <f t="shared" si="215"/>
        <v>4120009</v>
      </c>
    </row>
    <row r="2959" spans="1:11" s="3" customFormat="1">
      <c r="A2959" s="3" t="s">
        <v>6269</v>
      </c>
      <c r="B2959" s="3" t="s">
        <v>2125</v>
      </c>
      <c r="C2959" s="8">
        <v>2</v>
      </c>
      <c r="D2959" s="3" t="s">
        <v>2196</v>
      </c>
      <c r="E2959" s="11" t="s">
        <v>11</v>
      </c>
      <c r="F2959" s="10">
        <v>0</v>
      </c>
      <c r="G2959" s="12">
        <f t="shared" si="216"/>
        <v>0</v>
      </c>
      <c r="H2959" s="13">
        <f t="shared" si="217"/>
        <v>0</v>
      </c>
      <c r="I2959" s="12">
        <f t="shared" si="218"/>
        <v>0</v>
      </c>
      <c r="J2959" s="3" t="str">
        <f t="shared" si="215"/>
        <v>4120009</v>
      </c>
    </row>
    <row r="2960" spans="1:11" s="3" customFormat="1">
      <c r="B2960" s="3" t="s">
        <v>2125</v>
      </c>
      <c r="C2960" s="8">
        <v>3</v>
      </c>
      <c r="D2960" s="3" t="s">
        <v>2645</v>
      </c>
      <c r="E2960" s="11" t="s">
        <v>899</v>
      </c>
      <c r="F2960" s="10">
        <v>2.7260000000000001E-3</v>
      </c>
      <c r="G2960" s="12">
        <f t="shared" si="216"/>
        <v>784</v>
      </c>
      <c r="H2960" s="13">
        <f t="shared" si="217"/>
        <v>392</v>
      </c>
      <c r="I2960" s="12">
        <f t="shared" si="218"/>
        <v>392</v>
      </c>
      <c r="J2960" s="3" t="str">
        <f t="shared" si="215"/>
        <v>4130702</v>
      </c>
    </row>
    <row r="2961" spans="2:10" s="3" customFormat="1">
      <c r="B2961" s="3" t="s">
        <v>2125</v>
      </c>
      <c r="C2961" s="8">
        <v>3</v>
      </c>
      <c r="D2961" s="3" t="s">
        <v>2235</v>
      </c>
      <c r="E2961" s="11" t="s">
        <v>93</v>
      </c>
      <c r="F2961" s="10">
        <v>1.9316E-2</v>
      </c>
      <c r="G2961" s="12">
        <f t="shared" si="216"/>
        <v>5558</v>
      </c>
      <c r="H2961" s="13">
        <f t="shared" si="217"/>
        <v>2779</v>
      </c>
      <c r="I2961" s="12">
        <f t="shared" si="218"/>
        <v>2779</v>
      </c>
      <c r="J2961" s="3" t="str">
        <f t="shared" si="215"/>
        <v>4130703</v>
      </c>
    </row>
    <row r="2962" spans="2:10" s="3" customFormat="1">
      <c r="B2962" s="3" t="s">
        <v>2125</v>
      </c>
      <c r="C2962" s="8">
        <v>3</v>
      </c>
      <c r="D2962" s="3" t="s">
        <v>2643</v>
      </c>
      <c r="E2962" s="11" t="s">
        <v>900</v>
      </c>
      <c r="F2962" s="10">
        <v>3.3642999999999999E-2</v>
      </c>
      <c r="G2962" s="12">
        <f t="shared" si="216"/>
        <v>9680</v>
      </c>
      <c r="H2962" s="13">
        <f t="shared" si="217"/>
        <v>4840</v>
      </c>
      <c r="I2962" s="12">
        <f t="shared" si="218"/>
        <v>4840</v>
      </c>
      <c r="J2962" s="3" t="str">
        <f t="shared" si="215"/>
        <v>4130317</v>
      </c>
    </row>
    <row r="2963" spans="2:10" s="3" customFormat="1">
      <c r="B2963" s="3" t="s">
        <v>2125</v>
      </c>
      <c r="C2963" s="8">
        <v>3</v>
      </c>
      <c r="D2963" s="3" t="s">
        <v>2644</v>
      </c>
      <c r="E2963" s="11" t="s">
        <v>901</v>
      </c>
      <c r="F2963" s="10">
        <v>5.8531E-2</v>
      </c>
      <c r="G2963" s="12">
        <f t="shared" si="216"/>
        <v>16841</v>
      </c>
      <c r="H2963" s="13">
        <f t="shared" si="217"/>
        <v>8421</v>
      </c>
      <c r="I2963" s="12">
        <f t="shared" si="218"/>
        <v>8420</v>
      </c>
      <c r="J2963" s="3" t="str">
        <f t="shared" si="215"/>
        <v>4130318</v>
      </c>
    </row>
    <row r="2964" spans="2:10" s="3" customFormat="1">
      <c r="B2964" s="3" t="s">
        <v>2125</v>
      </c>
      <c r="C2964" s="8">
        <v>3</v>
      </c>
      <c r="D2964" s="3" t="s">
        <v>2646</v>
      </c>
      <c r="E2964" s="11" t="s">
        <v>902</v>
      </c>
      <c r="F2964" s="10">
        <v>1.0870000000000001E-3</v>
      </c>
      <c r="G2964" s="12">
        <f t="shared" si="216"/>
        <v>313</v>
      </c>
      <c r="H2964" s="13">
        <f t="shared" si="217"/>
        <v>157</v>
      </c>
      <c r="I2964" s="12">
        <f t="shared" si="218"/>
        <v>156</v>
      </c>
      <c r="J2964" s="3" t="str">
        <f t="shared" si="215"/>
        <v>4130704</v>
      </c>
    </row>
    <row r="2965" spans="2:10" s="3" customFormat="1">
      <c r="B2965" s="3" t="s">
        <v>2125</v>
      </c>
      <c r="C2965" s="8">
        <v>3</v>
      </c>
      <c r="D2965" s="3" t="s">
        <v>2647</v>
      </c>
      <c r="E2965" s="11" t="s">
        <v>903</v>
      </c>
      <c r="F2965" s="10">
        <v>6.0000000000000002E-6</v>
      </c>
      <c r="G2965" s="12">
        <f t="shared" si="216"/>
        <v>2</v>
      </c>
      <c r="H2965" s="13">
        <f t="shared" si="217"/>
        <v>1</v>
      </c>
      <c r="I2965" s="12">
        <f t="shared" si="218"/>
        <v>1</v>
      </c>
      <c r="J2965" s="3" t="str">
        <f t="shared" si="215"/>
        <v>4130705</v>
      </c>
    </row>
    <row r="2966" spans="2:10" s="3" customFormat="1">
      <c r="B2966" s="3" t="s">
        <v>2125</v>
      </c>
      <c r="C2966" s="8">
        <v>3</v>
      </c>
      <c r="D2966" s="3" t="s">
        <v>2648</v>
      </c>
      <c r="E2966" s="11" t="s">
        <v>904</v>
      </c>
      <c r="F2966" s="10">
        <v>4.1599999999999997E-4</v>
      </c>
      <c r="G2966" s="12">
        <f t="shared" si="216"/>
        <v>120</v>
      </c>
      <c r="H2966" s="13">
        <f t="shared" si="217"/>
        <v>60</v>
      </c>
      <c r="I2966" s="12">
        <f t="shared" si="218"/>
        <v>60</v>
      </c>
      <c r="J2966" s="3" t="str">
        <f t="shared" si="215"/>
        <v>4130706</v>
      </c>
    </row>
    <row r="2967" spans="2:10" s="3" customFormat="1">
      <c r="B2967" s="3" t="s">
        <v>2125</v>
      </c>
      <c r="C2967" s="8">
        <v>3</v>
      </c>
      <c r="D2967" s="3" t="s">
        <v>2649</v>
      </c>
      <c r="E2967" s="11" t="s">
        <v>905</v>
      </c>
      <c r="F2967" s="10">
        <v>9.2379999999999997E-3</v>
      </c>
      <c r="G2967" s="12">
        <f t="shared" si="216"/>
        <v>2658</v>
      </c>
      <c r="H2967" s="13">
        <f t="shared" si="217"/>
        <v>1329</v>
      </c>
      <c r="I2967" s="12">
        <f t="shared" si="218"/>
        <v>1329</v>
      </c>
      <c r="J2967" s="3" t="str">
        <f t="shared" si="215"/>
        <v>4130707</v>
      </c>
    </row>
    <row r="2968" spans="2:10" s="3" customFormat="1">
      <c r="B2968" s="3" t="s">
        <v>2125</v>
      </c>
      <c r="C2968" s="8">
        <v>4</v>
      </c>
      <c r="D2968" s="3" t="s">
        <v>2651</v>
      </c>
      <c r="E2968" s="11" t="s">
        <v>906</v>
      </c>
      <c r="F2968" s="10">
        <v>0.102987</v>
      </c>
      <c r="G2968" s="9">
        <f t="shared" si="216"/>
        <v>29632</v>
      </c>
      <c r="H2968" s="11">
        <f t="shared" si="217"/>
        <v>14816</v>
      </c>
      <c r="I2968" s="9">
        <f t="shared" si="218"/>
        <v>14816</v>
      </c>
      <c r="J2968" s="3" t="str">
        <f t="shared" si="215"/>
        <v>4144205</v>
      </c>
    </row>
    <row r="2969" spans="2:10" s="3" customFormat="1">
      <c r="B2969" s="3" t="s">
        <v>2125</v>
      </c>
      <c r="C2969" s="8">
        <v>4</v>
      </c>
      <c r="D2969" s="3" t="s">
        <v>2651</v>
      </c>
      <c r="E2969" s="11" t="s">
        <v>28</v>
      </c>
      <c r="F2969" s="11"/>
      <c r="G2969" s="14">
        <v>0.45810699999999999</v>
      </c>
      <c r="H2969" s="11"/>
      <c r="I2969" s="11"/>
      <c r="J2969" s="3" t="str">
        <f t="shared" si="215"/>
        <v>4144205</v>
      </c>
    </row>
    <row r="2970" spans="2:10" s="3" customFormat="1">
      <c r="B2970" s="3" t="s">
        <v>2125</v>
      </c>
      <c r="C2970" s="8">
        <v>4</v>
      </c>
      <c r="D2970" s="3" t="s">
        <v>2651</v>
      </c>
      <c r="E2970" s="11" t="s">
        <v>29</v>
      </c>
      <c r="F2970" s="11"/>
      <c r="G2970" s="15">
        <f>ROUND(G2968*G2969,0)</f>
        <v>13575</v>
      </c>
      <c r="H2970" s="16">
        <f>ROUND(G2970/2,0)</f>
        <v>6788</v>
      </c>
      <c r="I2970" s="15">
        <f>G2970-H2970</f>
        <v>6787</v>
      </c>
      <c r="J2970" s="3" t="str">
        <f t="shared" si="215"/>
        <v>4144205</v>
      </c>
    </row>
    <row r="2971" spans="2:10" s="3" customFormat="1">
      <c r="B2971" s="3" t="s">
        <v>2125</v>
      </c>
      <c r="C2971" s="8">
        <v>4</v>
      </c>
      <c r="D2971" s="3" t="s">
        <v>2651</v>
      </c>
      <c r="E2971" s="11" t="s">
        <v>30</v>
      </c>
      <c r="F2971" s="11"/>
      <c r="G2971" s="12">
        <f>+G2968-G2970</f>
        <v>16057</v>
      </c>
      <c r="H2971" s="13">
        <f>ROUND(G2971/2,0)</f>
        <v>8029</v>
      </c>
      <c r="I2971" s="12">
        <f>G2971-H2971</f>
        <v>8028</v>
      </c>
      <c r="J2971" s="3" t="str">
        <f t="shared" si="215"/>
        <v>4144205</v>
      </c>
    </row>
    <row r="2972" spans="2:10" s="3" customFormat="1">
      <c r="B2972" s="3" t="s">
        <v>2125</v>
      </c>
      <c r="C2972" s="8">
        <v>4</v>
      </c>
      <c r="D2972" s="3" t="s">
        <v>2650</v>
      </c>
      <c r="E2972" s="11" t="s">
        <v>907</v>
      </c>
      <c r="F2972" s="10">
        <v>0.24438099999999999</v>
      </c>
      <c r="G2972" s="9">
        <f>ROUND(G$3*F2972,0)</f>
        <v>70314</v>
      </c>
      <c r="H2972" s="11">
        <f>ROUND(G2972/2,0)</f>
        <v>35157</v>
      </c>
      <c r="I2972" s="9">
        <f>G2972-H2972</f>
        <v>35157</v>
      </c>
      <c r="J2972" s="3" t="str">
        <f t="shared" si="215"/>
        <v>4144145</v>
      </c>
    </row>
    <row r="2973" spans="2:10" s="3" customFormat="1">
      <c r="B2973" s="3" t="s">
        <v>2125</v>
      </c>
      <c r="C2973" s="8">
        <v>4</v>
      </c>
      <c r="D2973" s="3" t="s">
        <v>2650</v>
      </c>
      <c r="E2973" s="11" t="s">
        <v>28</v>
      </c>
      <c r="F2973" s="11"/>
      <c r="G2973" s="14">
        <v>0.32530199999999998</v>
      </c>
      <c r="H2973" s="11"/>
      <c r="I2973" s="11"/>
      <c r="J2973" s="3" t="str">
        <f t="shared" si="215"/>
        <v>4144145</v>
      </c>
    </row>
    <row r="2974" spans="2:10" s="3" customFormat="1">
      <c r="B2974" s="3" t="s">
        <v>2125</v>
      </c>
      <c r="C2974" s="8">
        <v>4</v>
      </c>
      <c r="D2974" s="3" t="s">
        <v>2650</v>
      </c>
      <c r="E2974" s="11" t="s">
        <v>29</v>
      </c>
      <c r="F2974" s="11"/>
      <c r="G2974" s="15">
        <f>ROUND(G2972*G2973,0)</f>
        <v>22873</v>
      </c>
      <c r="H2974" s="16">
        <f>ROUND(G2974/2,0)</f>
        <v>11437</v>
      </c>
      <c r="I2974" s="15">
        <f>G2974-H2974</f>
        <v>11436</v>
      </c>
      <c r="J2974" s="3" t="str">
        <f t="shared" si="215"/>
        <v>4144145</v>
      </c>
    </row>
    <row r="2975" spans="2:10" s="3" customFormat="1">
      <c r="B2975" s="3" t="s">
        <v>2125</v>
      </c>
      <c r="C2975" s="8">
        <v>4</v>
      </c>
      <c r="D2975" s="3" t="s">
        <v>2650</v>
      </c>
      <c r="E2975" s="11" t="s">
        <v>30</v>
      </c>
      <c r="F2975" s="11"/>
      <c r="G2975" s="12">
        <f>+G2972-G2974</f>
        <v>47441</v>
      </c>
      <c r="H2975" s="13">
        <f>ROUND(G2975/2,0)</f>
        <v>23721</v>
      </c>
      <c r="I2975" s="12">
        <f>G2975-H2975</f>
        <v>23720</v>
      </c>
      <c r="J2975" s="3" t="str">
        <f t="shared" si="215"/>
        <v>4144145</v>
      </c>
    </row>
    <row r="2976" spans="2:10" s="3" customFormat="1">
      <c r="B2976" s="3" t="s">
        <v>2125</v>
      </c>
      <c r="C2976" s="8">
        <v>4</v>
      </c>
      <c r="D2976" s="3" t="s">
        <v>2238</v>
      </c>
      <c r="E2976" s="11" t="s">
        <v>99</v>
      </c>
      <c r="F2976" s="10">
        <v>3.8554999999999999E-2</v>
      </c>
      <c r="G2976" s="9">
        <f>ROUND(G$3*F2976,0)</f>
        <v>11093</v>
      </c>
      <c r="H2976" s="11">
        <f>ROUND(G2976/2,0)</f>
        <v>5547</v>
      </c>
      <c r="I2976" s="9">
        <f>G2976-H2976</f>
        <v>5546</v>
      </c>
      <c r="J2976" s="3" t="str">
        <f t="shared" si="215"/>
        <v>4144215</v>
      </c>
    </row>
    <row r="2977" spans="2:10" s="3" customFormat="1">
      <c r="B2977" s="3" t="s">
        <v>2125</v>
      </c>
      <c r="C2977" s="8">
        <v>4</v>
      </c>
      <c r="D2977" s="3" t="s">
        <v>2238</v>
      </c>
      <c r="E2977" s="11" t="s">
        <v>28</v>
      </c>
      <c r="F2977" s="11"/>
      <c r="G2977" s="14">
        <v>0.489618</v>
      </c>
      <c r="H2977" s="11"/>
      <c r="I2977" s="11"/>
      <c r="J2977" s="3" t="str">
        <f t="shared" si="215"/>
        <v>4144215</v>
      </c>
    </row>
    <row r="2978" spans="2:10" s="3" customFormat="1">
      <c r="B2978" s="3" t="s">
        <v>2125</v>
      </c>
      <c r="C2978" s="8">
        <v>4</v>
      </c>
      <c r="D2978" s="3" t="s">
        <v>2238</v>
      </c>
      <c r="E2978" s="11" t="s">
        <v>29</v>
      </c>
      <c r="F2978" s="11"/>
      <c r="G2978" s="15">
        <f>ROUND(G2976*G2977,0)</f>
        <v>5431</v>
      </c>
      <c r="H2978" s="16">
        <f>ROUND(G2978/2,0)</f>
        <v>2716</v>
      </c>
      <c r="I2978" s="15">
        <f>G2978-H2978</f>
        <v>2715</v>
      </c>
      <c r="J2978" s="3" t="str">
        <f t="shared" si="215"/>
        <v>4144215</v>
      </c>
    </row>
    <row r="2979" spans="2:10" s="3" customFormat="1">
      <c r="B2979" s="3" t="s">
        <v>2125</v>
      </c>
      <c r="C2979" s="8">
        <v>4</v>
      </c>
      <c r="D2979" s="3" t="s">
        <v>2238</v>
      </c>
      <c r="E2979" s="11" t="s">
        <v>30</v>
      </c>
      <c r="F2979" s="11"/>
      <c r="G2979" s="12">
        <f>+G2976-G2978</f>
        <v>5662</v>
      </c>
      <c r="H2979" s="13">
        <f>ROUND(G2979/2,0)</f>
        <v>2831</v>
      </c>
      <c r="I2979" s="12">
        <f>G2979-H2979</f>
        <v>2831</v>
      </c>
      <c r="J2979" s="3" t="str">
        <f t="shared" si="215"/>
        <v>4144215</v>
      </c>
    </row>
    <row r="2980" spans="2:10" s="3" customFormat="1">
      <c r="B2980" s="3" t="s">
        <v>2125</v>
      </c>
      <c r="C2980" s="8">
        <v>4</v>
      </c>
      <c r="D2980" s="3" t="s">
        <v>2652</v>
      </c>
      <c r="E2980" s="11" t="s">
        <v>908</v>
      </c>
      <c r="F2980" s="10">
        <v>0.19315099999999999</v>
      </c>
      <c r="G2980" s="9">
        <f>ROUND(G$3*F2980,0)</f>
        <v>55574</v>
      </c>
      <c r="H2980" s="11">
        <f>ROUND(G2980/2,0)</f>
        <v>27787</v>
      </c>
      <c r="I2980" s="9">
        <f>G2980-H2980</f>
        <v>27787</v>
      </c>
      <c r="J2980" s="3" t="str">
        <f t="shared" si="215"/>
        <v>4144225</v>
      </c>
    </row>
    <row r="2981" spans="2:10" s="3" customFormat="1">
      <c r="B2981" s="3" t="s">
        <v>2125</v>
      </c>
      <c r="C2981" s="8">
        <v>4</v>
      </c>
      <c r="D2981" s="3" t="s">
        <v>2652</v>
      </c>
      <c r="E2981" s="11" t="s">
        <v>28</v>
      </c>
      <c r="F2981" s="11"/>
      <c r="G2981" s="14">
        <v>0.35721900000000001</v>
      </c>
      <c r="H2981" s="11"/>
      <c r="I2981" s="11"/>
      <c r="J2981" s="3" t="str">
        <f t="shared" si="215"/>
        <v>4144225</v>
      </c>
    </row>
    <row r="2982" spans="2:10" s="3" customFormat="1">
      <c r="B2982" s="3" t="s">
        <v>2125</v>
      </c>
      <c r="C2982" s="8">
        <v>4</v>
      </c>
      <c r="D2982" s="3" t="s">
        <v>2652</v>
      </c>
      <c r="E2982" s="11" t="s">
        <v>29</v>
      </c>
      <c r="F2982" s="11"/>
      <c r="G2982" s="15">
        <f>ROUND(G2980*G2981,0)</f>
        <v>19852</v>
      </c>
      <c r="H2982" s="16">
        <f>ROUND(G2982/2,0)</f>
        <v>9926</v>
      </c>
      <c r="I2982" s="15">
        <f>G2982-H2982</f>
        <v>9926</v>
      </c>
      <c r="J2982" s="3" t="str">
        <f t="shared" si="215"/>
        <v>4144225</v>
      </c>
    </row>
    <row r="2983" spans="2:10" s="3" customFormat="1">
      <c r="B2983" s="3" t="s">
        <v>2125</v>
      </c>
      <c r="C2983" s="8">
        <v>4</v>
      </c>
      <c r="D2983" s="3" t="s">
        <v>2652</v>
      </c>
      <c r="E2983" s="11" t="s">
        <v>30</v>
      </c>
      <c r="F2983" s="11"/>
      <c r="G2983" s="12">
        <f>+G2980-G2982</f>
        <v>35722</v>
      </c>
      <c r="H2983" s="13">
        <f>ROUND(G2983/2,0)</f>
        <v>17861</v>
      </c>
      <c r="I2983" s="12">
        <f>G2983-H2983</f>
        <v>17861</v>
      </c>
      <c r="J2983" s="3" t="str">
        <f t="shared" si="215"/>
        <v>4144225</v>
      </c>
    </row>
    <row r="2984" spans="2:10" s="3" customFormat="1">
      <c r="B2984" s="3" t="s">
        <v>2125</v>
      </c>
      <c r="C2984" s="8">
        <v>4</v>
      </c>
      <c r="D2984" s="3" t="s">
        <v>2653</v>
      </c>
      <c r="E2984" s="11" t="s">
        <v>909</v>
      </c>
      <c r="F2984" s="10">
        <v>7.9033000000000006E-2</v>
      </c>
      <c r="G2984" s="9">
        <f>ROUND(G$3*F2984,0)</f>
        <v>22740</v>
      </c>
      <c r="H2984" s="11">
        <f>ROUND(G2984/2,0)</f>
        <v>11370</v>
      </c>
      <c r="I2984" s="9">
        <f>G2984-H2984</f>
        <v>11370</v>
      </c>
      <c r="J2984" s="3" t="str">
        <f t="shared" si="215"/>
        <v>4144245</v>
      </c>
    </row>
    <row r="2985" spans="2:10" s="3" customFormat="1">
      <c r="B2985" s="3" t="s">
        <v>2125</v>
      </c>
      <c r="C2985" s="8">
        <v>4</v>
      </c>
      <c r="D2985" s="3" t="s">
        <v>2653</v>
      </c>
      <c r="E2985" s="11" t="s">
        <v>28</v>
      </c>
      <c r="F2985" s="11"/>
      <c r="G2985" s="14">
        <v>0.47976099999999999</v>
      </c>
      <c r="H2985" s="11"/>
      <c r="I2985" s="11"/>
      <c r="J2985" s="3" t="str">
        <f t="shared" si="215"/>
        <v>4144245</v>
      </c>
    </row>
    <row r="2986" spans="2:10" s="3" customFormat="1">
      <c r="B2986" s="3" t="s">
        <v>2125</v>
      </c>
      <c r="C2986" s="8">
        <v>4</v>
      </c>
      <c r="D2986" s="3" t="s">
        <v>2653</v>
      </c>
      <c r="E2986" s="11" t="s">
        <v>29</v>
      </c>
      <c r="F2986" s="11"/>
      <c r="G2986" s="15">
        <f>ROUND(G2984*G2985,0)</f>
        <v>10910</v>
      </c>
      <c r="H2986" s="16">
        <f>ROUND(G2986/2,0)</f>
        <v>5455</v>
      </c>
      <c r="I2986" s="15">
        <f>G2986-H2986</f>
        <v>5455</v>
      </c>
      <c r="J2986" s="3" t="str">
        <f t="shared" si="215"/>
        <v>4144245</v>
      </c>
    </row>
    <row r="2987" spans="2:10" s="3" customFormat="1">
      <c r="B2987" s="3" t="s">
        <v>2125</v>
      </c>
      <c r="C2987" s="8">
        <v>4</v>
      </c>
      <c r="D2987" s="3" t="s">
        <v>2653</v>
      </c>
      <c r="E2987" s="11" t="s">
        <v>30</v>
      </c>
      <c r="F2987" s="11"/>
      <c r="G2987" s="12">
        <f>+G2984-G2986</f>
        <v>11830</v>
      </c>
      <c r="H2987" s="13">
        <f>ROUND(G2987/2,0)</f>
        <v>5915</v>
      </c>
      <c r="I2987" s="12">
        <f>G2987-H2987</f>
        <v>5915</v>
      </c>
      <c r="J2987" s="3" t="str">
        <f t="shared" si="215"/>
        <v>4144245</v>
      </c>
    </row>
    <row r="2988" spans="2:10" s="3" customFormat="1">
      <c r="B2988" s="3" t="s">
        <v>2125</v>
      </c>
      <c r="C2988" s="8">
        <v>4</v>
      </c>
      <c r="D2988" s="3" t="s">
        <v>2654</v>
      </c>
      <c r="E2988" s="11" t="s">
        <v>910</v>
      </c>
      <c r="F2988" s="10">
        <v>3.7532000000000003E-2</v>
      </c>
      <c r="G2988" s="9">
        <f>ROUND(G$3*F2988,0)</f>
        <v>10799</v>
      </c>
      <c r="H2988" s="11">
        <f>ROUND(G2988/2,0)</f>
        <v>5400</v>
      </c>
      <c r="I2988" s="9">
        <f>G2988-H2988</f>
        <v>5399</v>
      </c>
      <c r="J2988" s="3" t="str">
        <f t="shared" si="215"/>
        <v>4144255</v>
      </c>
    </row>
    <row r="2989" spans="2:10" s="3" customFormat="1">
      <c r="B2989" s="3" t="s">
        <v>2125</v>
      </c>
      <c r="C2989" s="8">
        <v>4</v>
      </c>
      <c r="D2989" s="3" t="s">
        <v>2654</v>
      </c>
      <c r="E2989" s="11" t="s">
        <v>28</v>
      </c>
      <c r="F2989" s="11"/>
      <c r="G2989" s="14">
        <v>0.41912500000000003</v>
      </c>
      <c r="H2989" s="11"/>
      <c r="I2989" s="11"/>
      <c r="J2989" s="3" t="str">
        <f t="shared" si="215"/>
        <v>4144255</v>
      </c>
    </row>
    <row r="2990" spans="2:10" s="3" customFormat="1">
      <c r="B2990" s="3" t="s">
        <v>2125</v>
      </c>
      <c r="C2990" s="8">
        <v>4</v>
      </c>
      <c r="D2990" s="3" t="s">
        <v>2654</v>
      </c>
      <c r="E2990" s="11" t="s">
        <v>29</v>
      </c>
      <c r="F2990" s="11"/>
      <c r="G2990" s="15">
        <f>ROUND(G2988*G2989,0)</f>
        <v>4526</v>
      </c>
      <c r="H2990" s="16">
        <f t="shared" ref="H2990:H3002" si="219">ROUND(G2990/2,0)</f>
        <v>2263</v>
      </c>
      <c r="I2990" s="15">
        <f t="shared" ref="I2990:I3002" si="220">G2990-H2990</f>
        <v>2263</v>
      </c>
      <c r="J2990" s="3" t="str">
        <f t="shared" si="215"/>
        <v>4144255</v>
      </c>
    </row>
    <row r="2991" spans="2:10" s="3" customFormat="1">
      <c r="B2991" s="3" t="s">
        <v>2125</v>
      </c>
      <c r="C2991" s="8">
        <v>4</v>
      </c>
      <c r="D2991" s="3" t="s">
        <v>2654</v>
      </c>
      <c r="E2991" s="11" t="s">
        <v>30</v>
      </c>
      <c r="F2991" s="11"/>
      <c r="G2991" s="12">
        <f>+G2988-G2990</f>
        <v>6273</v>
      </c>
      <c r="H2991" s="13">
        <f t="shared" si="219"/>
        <v>3137</v>
      </c>
      <c r="I2991" s="12">
        <f t="shared" si="220"/>
        <v>3136</v>
      </c>
      <c r="J2991" s="3" t="str">
        <f t="shared" si="215"/>
        <v>4144255</v>
      </c>
    </row>
    <row r="2992" spans="2:10" s="3" customFormat="1">
      <c r="B2992" s="3" t="s">
        <v>2125</v>
      </c>
      <c r="C2992" s="8">
        <v>5</v>
      </c>
      <c r="D2992" s="3" t="s">
        <v>2239</v>
      </c>
      <c r="E2992" s="11" t="s">
        <v>911</v>
      </c>
      <c r="F2992" s="10">
        <v>1.9480000000000001E-3</v>
      </c>
      <c r="G2992" s="120">
        <f t="shared" ref="G2992:G3001" si="221">ROUND(G$3*F2992,0)</f>
        <v>560</v>
      </c>
      <c r="H2992" s="120">
        <f t="shared" si="219"/>
        <v>280</v>
      </c>
      <c r="I2992" s="120">
        <f t="shared" si="220"/>
        <v>280</v>
      </c>
      <c r="J2992" s="3" t="str">
        <f t="shared" si="215"/>
        <v>4150111</v>
      </c>
    </row>
    <row r="2993" spans="2:10" s="3" customFormat="1">
      <c r="B2993" s="3" t="s">
        <v>2125</v>
      </c>
      <c r="C2993" s="8">
        <v>5</v>
      </c>
      <c r="D2993" s="3" t="s">
        <v>2403</v>
      </c>
      <c r="E2993" s="11" t="s">
        <v>912</v>
      </c>
      <c r="F2993" s="10">
        <v>9.0259999999999993E-3</v>
      </c>
      <c r="G2993" s="120">
        <f t="shared" si="221"/>
        <v>2597</v>
      </c>
      <c r="H2993" s="120">
        <f t="shared" si="219"/>
        <v>1299</v>
      </c>
      <c r="I2993" s="120">
        <f t="shared" si="220"/>
        <v>1298</v>
      </c>
      <c r="J2993" s="3" t="str">
        <f t="shared" si="215"/>
        <v>4150112</v>
      </c>
    </row>
    <row r="2994" spans="2:10" s="3" customFormat="1">
      <c r="B2994" s="3" t="s">
        <v>2125</v>
      </c>
      <c r="C2994" s="8">
        <v>5</v>
      </c>
      <c r="D2994" s="3" t="s">
        <v>2655</v>
      </c>
      <c r="E2994" s="11" t="s">
        <v>913</v>
      </c>
      <c r="F2994" s="10">
        <v>2.5870000000000001E-2</v>
      </c>
      <c r="G2994" s="120">
        <f t="shared" si="221"/>
        <v>7443</v>
      </c>
      <c r="H2994" s="120">
        <f t="shared" si="219"/>
        <v>3722</v>
      </c>
      <c r="I2994" s="120">
        <f t="shared" si="220"/>
        <v>3721</v>
      </c>
      <c r="J2994" s="3" t="str">
        <f t="shared" si="215"/>
        <v>4150113</v>
      </c>
    </row>
    <row r="2995" spans="2:10" s="3" customFormat="1">
      <c r="B2995" s="3" t="s">
        <v>2125</v>
      </c>
      <c r="C2995" s="8" t="s">
        <v>3170</v>
      </c>
      <c r="D2995" s="3" t="s">
        <v>4555</v>
      </c>
      <c r="E2995" s="11" t="s">
        <v>914</v>
      </c>
      <c r="F2995" s="10">
        <v>1.243E-3</v>
      </c>
      <c r="G2995" s="12">
        <f t="shared" si="221"/>
        <v>358</v>
      </c>
      <c r="H2995" s="13">
        <f t="shared" si="219"/>
        <v>179</v>
      </c>
      <c r="I2995" s="12">
        <f t="shared" si="220"/>
        <v>179</v>
      </c>
      <c r="J2995" s="3" t="str">
        <f t="shared" si="215"/>
        <v>4160974</v>
      </c>
    </row>
    <row r="2996" spans="2:10" s="3" customFormat="1">
      <c r="B2996" s="3" t="s">
        <v>2125</v>
      </c>
      <c r="C2996" s="8">
        <v>6</v>
      </c>
      <c r="D2996" s="3" t="s">
        <v>4561</v>
      </c>
      <c r="E2996" s="11" t="s">
        <v>915</v>
      </c>
      <c r="F2996" s="10">
        <v>6.7349999999999997E-3</v>
      </c>
      <c r="G2996" s="120">
        <f t="shared" si="221"/>
        <v>1938</v>
      </c>
      <c r="H2996" s="120">
        <f t="shared" si="219"/>
        <v>969</v>
      </c>
      <c r="I2996" s="120">
        <f t="shared" si="220"/>
        <v>969</v>
      </c>
      <c r="J2996" s="3" t="str">
        <f t="shared" si="215"/>
        <v>4161028</v>
      </c>
    </row>
    <row r="2997" spans="2:10" s="3" customFormat="1">
      <c r="B2997" s="3" t="s">
        <v>2125</v>
      </c>
      <c r="C2997" s="8">
        <v>6</v>
      </c>
      <c r="D2997" s="3" t="s">
        <v>2402</v>
      </c>
      <c r="E2997" s="11" t="s">
        <v>916</v>
      </c>
      <c r="F2997" s="10">
        <v>1.041E-3</v>
      </c>
      <c r="G2997" s="12">
        <f t="shared" si="221"/>
        <v>300</v>
      </c>
      <c r="H2997" s="13">
        <f t="shared" si="219"/>
        <v>150</v>
      </c>
      <c r="I2997" s="12">
        <f t="shared" si="220"/>
        <v>150</v>
      </c>
      <c r="J2997" s="3" t="str">
        <f t="shared" si="215"/>
        <v>4161030</v>
      </c>
    </row>
    <row r="2998" spans="2:10" s="3" customFormat="1">
      <c r="B2998" s="3" t="s">
        <v>2125</v>
      </c>
      <c r="C2998" s="8">
        <v>6</v>
      </c>
      <c r="D2998" s="3" t="s">
        <v>4564</v>
      </c>
      <c r="E2998" s="11" t="s">
        <v>917</v>
      </c>
      <c r="F2998" s="10">
        <v>1.6789999999999999E-3</v>
      </c>
      <c r="G2998" s="120">
        <f t="shared" si="221"/>
        <v>483</v>
      </c>
      <c r="H2998" s="120">
        <f t="shared" si="219"/>
        <v>242</v>
      </c>
      <c r="I2998" s="120">
        <f t="shared" si="220"/>
        <v>241</v>
      </c>
      <c r="J2998" s="3" t="str">
        <f t="shared" si="215"/>
        <v>4161035</v>
      </c>
    </row>
    <row r="2999" spans="2:10" s="3" customFormat="1">
      <c r="B2999" s="3" t="s">
        <v>2125</v>
      </c>
      <c r="C2999" s="8">
        <v>6</v>
      </c>
      <c r="D2999" s="3" t="s">
        <v>4559</v>
      </c>
      <c r="E2999" s="11" t="s">
        <v>918</v>
      </c>
      <c r="F2999" s="10">
        <v>9.4499999999999998E-4</v>
      </c>
      <c r="G2999" s="120">
        <f t="shared" si="221"/>
        <v>272</v>
      </c>
      <c r="H2999" s="120">
        <f t="shared" si="219"/>
        <v>136</v>
      </c>
      <c r="I2999" s="120">
        <f t="shared" si="220"/>
        <v>136</v>
      </c>
      <c r="J2999" s="3" t="str">
        <f t="shared" si="215"/>
        <v>4160991</v>
      </c>
    </row>
    <row r="3000" spans="2:10" s="3" customFormat="1">
      <c r="B3000" s="3" t="s">
        <v>2125</v>
      </c>
      <c r="C3000" s="8">
        <v>6</v>
      </c>
      <c r="D3000" s="3" t="s">
        <v>4557</v>
      </c>
      <c r="E3000" s="11" t="s">
        <v>919</v>
      </c>
      <c r="F3000" s="10">
        <v>4.1399999999999998E-4</v>
      </c>
      <c r="G3000" s="120">
        <f t="shared" si="221"/>
        <v>119</v>
      </c>
      <c r="H3000" s="120">
        <f t="shared" si="219"/>
        <v>60</v>
      </c>
      <c r="I3000" s="120">
        <f t="shared" si="220"/>
        <v>59</v>
      </c>
      <c r="J3000" s="3" t="str">
        <f t="shared" si="215"/>
        <v>4160979</v>
      </c>
    </row>
    <row r="3001" spans="2:10" s="3" customFormat="1">
      <c r="B3001" s="3" t="s">
        <v>2125</v>
      </c>
      <c r="C3001" s="8">
        <v>6</v>
      </c>
      <c r="D3001" s="3" t="s">
        <v>2656</v>
      </c>
      <c r="E3001" s="11" t="s">
        <v>920</v>
      </c>
      <c r="F3001" s="10">
        <v>3.8649999999999999E-3</v>
      </c>
      <c r="G3001" s="12">
        <f t="shared" si="221"/>
        <v>1112</v>
      </c>
      <c r="H3001" s="13">
        <f t="shared" si="219"/>
        <v>556</v>
      </c>
      <c r="I3001" s="12">
        <f t="shared" si="220"/>
        <v>556</v>
      </c>
      <c r="J3001" s="3" t="str">
        <f t="shared" si="215"/>
        <v>4160970</v>
      </c>
    </row>
    <row r="3002" spans="2:10" s="128" customFormat="1">
      <c r="B3002" s="128" t="s">
        <v>2125</v>
      </c>
      <c r="C3002" s="129">
        <v>6</v>
      </c>
      <c r="D3002" s="128" t="e">
        <v>#N/A</v>
      </c>
      <c r="E3002" s="131" t="s">
        <v>921</v>
      </c>
      <c r="F3002" s="133">
        <v>2.9860000000001552E-3</v>
      </c>
      <c r="G3002" s="137">
        <f>+G2927-SUM(G2928:G2929)-SUM(G2934:G2968)-G2972-G2976-G2980-G2984-G2988-SUM(G2992:G3001)</f>
        <v>309142</v>
      </c>
      <c r="H3002" s="137">
        <f t="shared" si="219"/>
        <v>154571</v>
      </c>
      <c r="I3002" s="137">
        <f t="shared" si="220"/>
        <v>154571</v>
      </c>
      <c r="J3002" s="128" t="e">
        <f t="shared" si="215"/>
        <v>#N/A</v>
      </c>
    </row>
    <row r="3003" spans="2:10" s="3" customFormat="1">
      <c r="B3003" s="3" t="s">
        <v>2125</v>
      </c>
      <c r="C3003" s="8">
        <v>0</v>
      </c>
      <c r="D3003" s="125" t="s">
        <v>2187</v>
      </c>
      <c r="E3003" s="28" t="s">
        <v>288</v>
      </c>
      <c r="F3003" s="10">
        <v>1</v>
      </c>
      <c r="G3003" s="12">
        <f>+G2928+SUM(G2931:G2967)+SUM(G2970:G2971)+SUM(G2974:G2975)+SUM(G2978:G2979)+SUM(G2982:G2983)+SUM(G2986:G2987)+SUM(G2990:G3002)</f>
        <v>596008</v>
      </c>
      <c r="H3003" s="12">
        <f>+H2928+SUM(H2931:H2967)+SUM(H2970:H2971)+SUM(H2974:H2975)+SUM(H2978:H2979)+SUM(H2982:H2983)+SUM(H2986:H2987)+SUM(H2990:H3002)</f>
        <v>298012</v>
      </c>
      <c r="I3003" s="12">
        <f>+I2928+SUM(I2931:I2967)+SUM(I2970:I2971)+SUM(I2974:I2975)+SUM(I2978:I2979)+SUM(I2982:I2983)+SUM(I2986:I2987)+SUM(I2990:I3002)</f>
        <v>297996</v>
      </c>
      <c r="J3003" s="3" t="str">
        <f t="shared" si="215"/>
        <v>4100000</v>
      </c>
    </row>
    <row r="3004" spans="2:10" s="3" customFormat="1">
      <c r="B3004" s="3" t="s">
        <v>2125</v>
      </c>
      <c r="C3004" s="8">
        <v>0</v>
      </c>
      <c r="D3004" s="3" t="s">
        <v>2187</v>
      </c>
      <c r="E3004" s="18" t="s">
        <v>38</v>
      </c>
      <c r="G3004" s="19">
        <f>+G2928</f>
        <v>348</v>
      </c>
      <c r="H3004" s="19">
        <f>+H2928</f>
        <v>174</v>
      </c>
      <c r="I3004" s="19">
        <f>+I2928</f>
        <v>174</v>
      </c>
      <c r="J3004" s="3" t="str">
        <f t="shared" si="215"/>
        <v>4100000</v>
      </c>
    </row>
    <row r="3005" spans="2:10" s="3" customFormat="1">
      <c r="B3005" s="3" t="s">
        <v>2125</v>
      </c>
      <c r="C3005" s="8">
        <v>0</v>
      </c>
      <c r="D3005" s="3" t="s">
        <v>2187</v>
      </c>
      <c r="E3005" s="2" t="s">
        <v>39</v>
      </c>
      <c r="G3005" s="19">
        <f>+G2931</f>
        <v>3898</v>
      </c>
      <c r="H3005" s="19">
        <f>+H2931</f>
        <v>1949</v>
      </c>
      <c r="I3005" s="19">
        <f>+I2931</f>
        <v>1949</v>
      </c>
      <c r="J3005" s="3" t="str">
        <f t="shared" si="215"/>
        <v>4100000</v>
      </c>
    </row>
    <row r="3006" spans="2:10" s="3" customFormat="1">
      <c r="B3006" s="3" t="s">
        <v>2125</v>
      </c>
      <c r="C3006" s="8">
        <v>0</v>
      </c>
      <c r="D3006" s="3" t="s">
        <v>2187</v>
      </c>
      <c r="E3006" s="2" t="s">
        <v>40</v>
      </c>
      <c r="G3006" s="19">
        <f>+G2970+G2974+G2978+G2982+G2986+G2990</f>
        <v>77167</v>
      </c>
      <c r="H3006" s="19">
        <f>+H2970+H2974+H2978+H2982+H2986+H2990</f>
        <v>38585</v>
      </c>
      <c r="I3006" s="19">
        <f>+I2970+I2974+I2978+I2982+I2986+I2990</f>
        <v>38582</v>
      </c>
      <c r="J3006" s="3" t="str">
        <f t="shared" si="215"/>
        <v>4100000</v>
      </c>
    </row>
    <row r="3007" spans="2:10" s="3" customFormat="1">
      <c r="B3007" s="3" t="s">
        <v>2125</v>
      </c>
      <c r="C3007" s="8">
        <v>0</v>
      </c>
      <c r="D3007" s="125" t="s">
        <v>2187</v>
      </c>
      <c r="E3007" s="18" t="s">
        <v>41</v>
      </c>
      <c r="G3007" s="19">
        <f>+G3003-G3004-G3005-G3006</f>
        <v>514595</v>
      </c>
      <c r="H3007" s="19">
        <f>+H3003-H3004-H3005-H3006</f>
        <v>257304</v>
      </c>
      <c r="I3007" s="19">
        <f>+I3003-I3004-I3005-I3006</f>
        <v>257291</v>
      </c>
      <c r="J3007" s="3" t="str">
        <f t="shared" si="215"/>
        <v>4100000</v>
      </c>
    </row>
    <row r="3008" spans="2:10" ht="15.75">
      <c r="B3008" s="3" t="s">
        <v>2186</v>
      </c>
      <c r="D3008" t="s">
        <v>2186</v>
      </c>
      <c r="E3008">
        <v>0</v>
      </c>
      <c r="G3008"/>
      <c r="H3008"/>
      <c r="I3008"/>
      <c r="J3008" s="3" t="str">
        <f t="shared" si="215"/>
        <v/>
      </c>
    </row>
    <row r="3009" spans="2:10" s="3" customFormat="1">
      <c r="C3009" s="1"/>
      <c r="D3009" s="3" t="s">
        <v>2186</v>
      </c>
      <c r="E3009" s="2" t="s">
        <v>922</v>
      </c>
      <c r="J3009" s="3" t="str">
        <f t="shared" si="215"/>
        <v/>
      </c>
    </row>
    <row r="3010" spans="2:10" s="3" customFormat="1" ht="45">
      <c r="B3010" s="3" t="s">
        <v>2186</v>
      </c>
      <c r="C3010" s="1"/>
      <c r="D3010" s="3" t="s">
        <v>2186</v>
      </c>
      <c r="E3010" s="1">
        <v>0</v>
      </c>
      <c r="F3010" s="6" t="s">
        <v>1</v>
      </c>
      <c r="G3010" s="60">
        <f>'Allocation Worksheet'!H3010</f>
        <v>0</v>
      </c>
      <c r="H3010" s="60">
        <f>'Allocation Worksheet'!H3011</f>
        <v>0</v>
      </c>
      <c r="I3010" s="60">
        <f>'Allocation Worksheet'!H3012</f>
        <v>0</v>
      </c>
      <c r="J3010" s="3" t="str">
        <f t="shared" si="215"/>
        <v/>
      </c>
    </row>
    <row r="3011" spans="2:10" s="3" customFormat="1">
      <c r="C3011" s="7" t="s">
        <v>2087</v>
      </c>
      <c r="D3011" s="3" t="s">
        <v>2186</v>
      </c>
      <c r="E3011" s="7" t="s">
        <v>3</v>
      </c>
      <c r="F3011" s="10"/>
      <c r="G3011" s="9">
        <f>'Allocation Worksheet'!$D$45</f>
        <v>553551</v>
      </c>
      <c r="H3011" s="11"/>
      <c r="I3011" s="11"/>
      <c r="J3011" s="3" t="str">
        <f t="shared" si="215"/>
        <v>UT</v>
      </c>
    </row>
    <row r="3012" spans="2:10" s="3" customFormat="1">
      <c r="B3012" s="3" t="s">
        <v>2126</v>
      </c>
      <c r="C3012" s="8">
        <v>0</v>
      </c>
      <c r="D3012" s="3" t="s">
        <v>2187</v>
      </c>
      <c r="E3012" s="11" t="s">
        <v>4</v>
      </c>
      <c r="F3012" s="10">
        <v>1.078E-3</v>
      </c>
      <c r="G3012" s="12">
        <f>ROUND(G$3*F3012,0)</f>
        <v>310</v>
      </c>
      <c r="H3012" s="13">
        <f>ROUND(G3012/2,0)</f>
        <v>155</v>
      </c>
      <c r="I3012" s="12">
        <f>G3012-H3012</f>
        <v>155</v>
      </c>
      <c r="J3012" s="3" t="str">
        <f t="shared" ref="J3012:J3075" si="222">B3012&amp;C3012&amp;D3012</f>
        <v>4200000</v>
      </c>
    </row>
    <row r="3013" spans="2:10" s="3" customFormat="1">
      <c r="B3013" s="3" t="s">
        <v>2126</v>
      </c>
      <c r="C3013" s="8">
        <v>1</v>
      </c>
      <c r="D3013" s="3" t="s">
        <v>2187</v>
      </c>
      <c r="E3013" s="11" t="s">
        <v>923</v>
      </c>
      <c r="F3013" s="10">
        <v>0.22024299999999999</v>
      </c>
      <c r="G3013" s="9">
        <f>ROUND(G$3*F3013,0)</f>
        <v>63369</v>
      </c>
      <c r="H3013" s="11">
        <f>ROUND(G3013/2,0)</f>
        <v>31685</v>
      </c>
      <c r="I3013" s="9">
        <f>G3013-H3013</f>
        <v>31684</v>
      </c>
      <c r="J3013" s="3" t="str">
        <f t="shared" si="222"/>
        <v>4210000</v>
      </c>
    </row>
    <row r="3014" spans="2:10" s="3" customFormat="1">
      <c r="B3014" s="3" t="s">
        <v>2126</v>
      </c>
      <c r="C3014" s="8">
        <v>1</v>
      </c>
      <c r="D3014" s="3" t="s">
        <v>2187</v>
      </c>
      <c r="E3014" s="11" t="s">
        <v>6</v>
      </c>
      <c r="F3014" s="11"/>
      <c r="G3014" s="14">
        <v>0.26653500000000002</v>
      </c>
      <c r="H3014" s="11"/>
      <c r="I3014" s="11"/>
      <c r="J3014" s="3" t="str">
        <f t="shared" si="222"/>
        <v>4210000</v>
      </c>
    </row>
    <row r="3015" spans="2:10" s="3" customFormat="1">
      <c r="B3015" s="3" t="s">
        <v>2126</v>
      </c>
      <c r="C3015" s="8">
        <v>1</v>
      </c>
      <c r="D3015" s="3" t="s">
        <v>2187</v>
      </c>
      <c r="E3015" s="11" t="s">
        <v>7</v>
      </c>
      <c r="F3015" s="11"/>
      <c r="G3015" s="15">
        <f>ROUND(G3013*G3014,0)</f>
        <v>16890</v>
      </c>
      <c r="H3015" s="16">
        <f>ROUND(G3015/2,0)</f>
        <v>8445</v>
      </c>
      <c r="I3015" s="15">
        <f>G3015-H3015</f>
        <v>8445</v>
      </c>
      <c r="J3015" s="3" t="str">
        <f t="shared" si="222"/>
        <v>4210000</v>
      </c>
    </row>
    <row r="3016" spans="2:10" s="3" customFormat="1">
      <c r="B3016" s="3" t="s">
        <v>2126</v>
      </c>
      <c r="C3016" s="8">
        <v>1</v>
      </c>
      <c r="D3016" s="3" t="s">
        <v>2187</v>
      </c>
      <c r="E3016" s="11" t="s">
        <v>8</v>
      </c>
      <c r="F3016" s="11"/>
      <c r="G3016" s="12">
        <f>+G3013-G3015</f>
        <v>46479</v>
      </c>
      <c r="H3016" s="13">
        <f>ROUND(G3016/2,0)</f>
        <v>23240</v>
      </c>
      <c r="I3016" s="12">
        <f>G3016-H3016</f>
        <v>23239</v>
      </c>
      <c r="J3016" s="3" t="str">
        <f t="shared" si="222"/>
        <v>4210000</v>
      </c>
    </row>
    <row r="3017" spans="2:10" s="3" customFormat="1">
      <c r="B3017" s="3" t="s">
        <v>2126</v>
      </c>
      <c r="C3017" s="8">
        <v>2</v>
      </c>
      <c r="D3017" s="3" t="s">
        <v>2188</v>
      </c>
      <c r="E3017" s="11" t="s">
        <v>924</v>
      </c>
      <c r="F3017" s="11"/>
      <c r="G3017" s="9"/>
      <c r="H3017" s="11"/>
      <c r="I3017" s="11"/>
      <c r="J3017" s="3" t="str">
        <f t="shared" si="222"/>
        <v>4220001</v>
      </c>
    </row>
    <row r="3018" spans="2:10" s="3" customFormat="1">
      <c r="B3018" s="3" t="s">
        <v>2126</v>
      </c>
      <c r="C3018" s="8">
        <v>2</v>
      </c>
      <c r="D3018" s="3" t="s">
        <v>2188</v>
      </c>
      <c r="E3018" s="11" t="s">
        <v>10</v>
      </c>
      <c r="F3018" s="10">
        <v>1.039E-3</v>
      </c>
      <c r="G3018" s="12">
        <f>ROUND(G$3*F3018,0)</f>
        <v>299</v>
      </c>
      <c r="H3018" s="13">
        <f>ROUND(G3018/2,0)</f>
        <v>150</v>
      </c>
      <c r="I3018" s="12">
        <f>G3018-H3018</f>
        <v>149</v>
      </c>
      <c r="J3018" s="3" t="str">
        <f t="shared" si="222"/>
        <v>4220001</v>
      </c>
    </row>
    <row r="3019" spans="2:10" s="3" customFormat="1">
      <c r="B3019" s="3" t="s">
        <v>2126</v>
      </c>
      <c r="C3019" s="8">
        <v>2</v>
      </c>
      <c r="D3019" s="3" t="s">
        <v>2188</v>
      </c>
      <c r="E3019" s="11" t="s">
        <v>11</v>
      </c>
      <c r="F3019" s="10">
        <v>6.6699999999999995E-4</v>
      </c>
      <c r="G3019" s="12">
        <f>ROUND(G$3*F3019,0)</f>
        <v>192</v>
      </c>
      <c r="H3019" s="13">
        <f>ROUND(G3019/2,0)</f>
        <v>96</v>
      </c>
      <c r="I3019" s="12">
        <f>G3019-H3019</f>
        <v>96</v>
      </c>
      <c r="J3019" s="3" t="str">
        <f t="shared" si="222"/>
        <v>4220001</v>
      </c>
    </row>
    <row r="3020" spans="2:10" s="3" customFormat="1">
      <c r="B3020" s="3" t="s">
        <v>2126</v>
      </c>
      <c r="C3020" s="8">
        <v>2</v>
      </c>
      <c r="D3020" s="3" t="s">
        <v>2189</v>
      </c>
      <c r="E3020" s="11" t="s">
        <v>925</v>
      </c>
      <c r="F3020" s="11"/>
      <c r="G3020" s="9"/>
      <c r="H3020" s="11"/>
      <c r="I3020" s="11"/>
      <c r="J3020" s="3" t="str">
        <f t="shared" si="222"/>
        <v>4220002</v>
      </c>
    </row>
    <row r="3021" spans="2:10" s="3" customFormat="1">
      <c r="B3021" s="3" t="s">
        <v>2126</v>
      </c>
      <c r="C3021" s="8">
        <v>2</v>
      </c>
      <c r="D3021" s="3" t="s">
        <v>2189</v>
      </c>
      <c r="E3021" s="11" t="s">
        <v>10</v>
      </c>
      <c r="F3021" s="10">
        <v>4.6099999999999998E-4</v>
      </c>
      <c r="G3021" s="12">
        <f>ROUND(G$3*F3021,0)</f>
        <v>133</v>
      </c>
      <c r="H3021" s="13">
        <f>ROUND(G3021/2,0)</f>
        <v>67</v>
      </c>
      <c r="I3021" s="12">
        <f>G3021-H3021</f>
        <v>66</v>
      </c>
      <c r="J3021" s="3" t="str">
        <f t="shared" si="222"/>
        <v>4220002</v>
      </c>
    </row>
    <row r="3022" spans="2:10" s="3" customFormat="1">
      <c r="B3022" s="3" t="s">
        <v>2126</v>
      </c>
      <c r="C3022" s="8">
        <v>2</v>
      </c>
      <c r="D3022" s="3" t="s">
        <v>2189</v>
      </c>
      <c r="E3022" s="11" t="s">
        <v>11</v>
      </c>
      <c r="F3022" s="10">
        <v>1.07E-4</v>
      </c>
      <c r="G3022" s="12">
        <f>ROUND(G$3*F3022,0)</f>
        <v>31</v>
      </c>
      <c r="H3022" s="13">
        <f>ROUND(G3022/2,0)</f>
        <v>16</v>
      </c>
      <c r="I3022" s="12">
        <f>G3022-H3022</f>
        <v>15</v>
      </c>
      <c r="J3022" s="3" t="str">
        <f t="shared" si="222"/>
        <v>4220002</v>
      </c>
    </row>
    <row r="3023" spans="2:10" s="3" customFormat="1">
      <c r="B3023" s="3" t="s">
        <v>2126</v>
      </c>
      <c r="C3023" s="8">
        <v>2</v>
      </c>
      <c r="D3023" s="3" t="s">
        <v>2190</v>
      </c>
      <c r="E3023" s="11" t="s">
        <v>86</v>
      </c>
      <c r="F3023" s="11"/>
      <c r="G3023" s="9"/>
      <c r="H3023" s="11"/>
      <c r="I3023" s="11"/>
      <c r="J3023" s="3" t="str">
        <f t="shared" si="222"/>
        <v>4220003</v>
      </c>
    </row>
    <row r="3024" spans="2:10" s="3" customFormat="1">
      <c r="B3024" s="3" t="s">
        <v>2126</v>
      </c>
      <c r="C3024" s="8">
        <v>2</v>
      </c>
      <c r="D3024" s="3" t="s">
        <v>2190</v>
      </c>
      <c r="E3024" s="11" t="s">
        <v>10</v>
      </c>
      <c r="F3024" s="10">
        <v>5.9299999999999999E-4</v>
      </c>
      <c r="G3024" s="12">
        <f>ROUND(G$3*F3024,0)</f>
        <v>171</v>
      </c>
      <c r="H3024" s="13">
        <f>ROUND(G3024/2,0)</f>
        <v>86</v>
      </c>
      <c r="I3024" s="12">
        <f>G3024-H3024</f>
        <v>85</v>
      </c>
      <c r="J3024" s="3" t="str">
        <f t="shared" si="222"/>
        <v>4220003</v>
      </c>
    </row>
    <row r="3025" spans="1:10" s="3" customFormat="1">
      <c r="B3025" s="3" t="s">
        <v>2126</v>
      </c>
      <c r="C3025" s="8">
        <v>2</v>
      </c>
      <c r="D3025" s="3" t="s">
        <v>2190</v>
      </c>
      <c r="E3025" s="11" t="s">
        <v>11</v>
      </c>
      <c r="F3025" s="10">
        <v>6.8000000000000005E-4</v>
      </c>
      <c r="G3025" s="12">
        <f>ROUND(G$3*F3025,0)</f>
        <v>196</v>
      </c>
      <c r="H3025" s="13">
        <f>ROUND(G3025/2,0)</f>
        <v>98</v>
      </c>
      <c r="I3025" s="12">
        <f>G3025-H3025</f>
        <v>98</v>
      </c>
      <c r="J3025" s="3" t="str">
        <f t="shared" si="222"/>
        <v>4220003</v>
      </c>
    </row>
    <row r="3026" spans="1:10" s="3" customFormat="1">
      <c r="B3026" s="3" t="s">
        <v>2126</v>
      </c>
      <c r="C3026" s="8">
        <v>2</v>
      </c>
      <c r="D3026" s="3" t="s">
        <v>2191</v>
      </c>
      <c r="E3026" s="11" t="s">
        <v>268</v>
      </c>
      <c r="F3026" s="11"/>
      <c r="G3026" s="9"/>
      <c r="H3026" s="11"/>
      <c r="I3026" s="11"/>
      <c r="J3026" s="3" t="str">
        <f t="shared" si="222"/>
        <v>4220004</v>
      </c>
    </row>
    <row r="3027" spans="1:10" s="3" customFormat="1">
      <c r="B3027" s="3" t="s">
        <v>2126</v>
      </c>
      <c r="C3027" s="8">
        <v>2</v>
      </c>
      <c r="D3027" s="3" t="s">
        <v>2191</v>
      </c>
      <c r="E3027" s="11" t="s">
        <v>10</v>
      </c>
      <c r="F3027" s="10">
        <v>2.5000000000000001E-4</v>
      </c>
      <c r="G3027" s="12">
        <f>ROUND(G$3*F3027,0)</f>
        <v>72</v>
      </c>
      <c r="H3027" s="13">
        <f>ROUND(G3027/2,0)</f>
        <v>36</v>
      </c>
      <c r="I3027" s="12">
        <f>G3027-H3027</f>
        <v>36</v>
      </c>
      <c r="J3027" s="3" t="str">
        <f t="shared" si="222"/>
        <v>4220004</v>
      </c>
    </row>
    <row r="3028" spans="1:10" s="3" customFormat="1">
      <c r="A3028" s="3" t="s">
        <v>6269</v>
      </c>
      <c r="B3028" s="3" t="s">
        <v>2126</v>
      </c>
      <c r="C3028" s="8">
        <v>2</v>
      </c>
      <c r="D3028" s="3" t="s">
        <v>2191</v>
      </c>
      <c r="E3028" s="11" t="s">
        <v>11</v>
      </c>
      <c r="F3028" s="10">
        <v>0</v>
      </c>
      <c r="G3028" s="12">
        <f>ROUND(G$3*F3028,0)</f>
        <v>0</v>
      </c>
      <c r="H3028" s="13">
        <f>ROUND(G3028/2,0)</f>
        <v>0</v>
      </c>
      <c r="I3028" s="12">
        <f>G3028-H3028</f>
        <v>0</v>
      </c>
      <c r="J3028" s="3" t="str">
        <f t="shared" si="222"/>
        <v>4220004</v>
      </c>
    </row>
    <row r="3029" spans="1:10" s="3" customFormat="1">
      <c r="B3029" s="3" t="s">
        <v>2126</v>
      </c>
      <c r="C3029" s="8">
        <v>2</v>
      </c>
      <c r="D3029" s="3" t="s">
        <v>2192</v>
      </c>
      <c r="E3029" s="11" t="s">
        <v>926</v>
      </c>
      <c r="F3029" s="11"/>
      <c r="G3029" s="9"/>
      <c r="H3029" s="11"/>
      <c r="I3029" s="11"/>
      <c r="J3029" s="3" t="str">
        <f t="shared" si="222"/>
        <v>4220005</v>
      </c>
    </row>
    <row r="3030" spans="1:10" s="3" customFormat="1">
      <c r="B3030" s="3" t="s">
        <v>2126</v>
      </c>
      <c r="C3030" s="8">
        <v>2</v>
      </c>
      <c r="D3030" s="3" t="s">
        <v>2192</v>
      </c>
      <c r="E3030" s="11" t="s">
        <v>10</v>
      </c>
      <c r="F3030" s="10">
        <v>1.6230000000000001E-3</v>
      </c>
      <c r="G3030" s="12">
        <f>ROUND(G$3*F3030,0)</f>
        <v>467</v>
      </c>
      <c r="H3030" s="13">
        <f>ROUND(G3030/2,0)</f>
        <v>234</v>
      </c>
      <c r="I3030" s="12">
        <f>G3030-H3030</f>
        <v>233</v>
      </c>
      <c r="J3030" s="3" t="str">
        <f t="shared" si="222"/>
        <v>4220005</v>
      </c>
    </row>
    <row r="3031" spans="1:10" s="3" customFormat="1">
      <c r="B3031" s="3" t="s">
        <v>2126</v>
      </c>
      <c r="C3031" s="8">
        <v>2</v>
      </c>
      <c r="D3031" s="3" t="s">
        <v>2192</v>
      </c>
      <c r="E3031" s="11" t="s">
        <v>11</v>
      </c>
      <c r="F3031" s="10">
        <v>8.5599999999999999E-4</v>
      </c>
      <c r="G3031" s="12">
        <f>ROUND(G$3*F3031,0)</f>
        <v>246</v>
      </c>
      <c r="H3031" s="13">
        <f>ROUND(G3031/2,0)</f>
        <v>123</v>
      </c>
      <c r="I3031" s="12">
        <f>G3031-H3031</f>
        <v>123</v>
      </c>
      <c r="J3031" s="3" t="str">
        <f t="shared" si="222"/>
        <v>4220005</v>
      </c>
    </row>
    <row r="3032" spans="1:10" s="3" customFormat="1">
      <c r="B3032" s="3" t="s">
        <v>2126</v>
      </c>
      <c r="C3032" s="8">
        <v>2</v>
      </c>
      <c r="D3032" s="3" t="s">
        <v>2193</v>
      </c>
      <c r="E3032" s="11" t="s">
        <v>927</v>
      </c>
      <c r="F3032" s="11"/>
      <c r="G3032" s="9"/>
      <c r="H3032" s="11"/>
      <c r="I3032" s="11"/>
      <c r="J3032" s="3" t="str">
        <f t="shared" si="222"/>
        <v>4220006</v>
      </c>
    </row>
    <row r="3033" spans="1:10" s="3" customFormat="1">
      <c r="B3033" s="3" t="s">
        <v>2126</v>
      </c>
      <c r="C3033" s="8">
        <v>2</v>
      </c>
      <c r="D3033" s="3" t="s">
        <v>2193</v>
      </c>
      <c r="E3033" s="11" t="s">
        <v>10</v>
      </c>
      <c r="F3033" s="10">
        <v>1.199E-3</v>
      </c>
      <c r="G3033" s="12">
        <f>ROUND(G$3*F3033,0)</f>
        <v>345</v>
      </c>
      <c r="H3033" s="13">
        <f>ROUND(G3033/2,0)</f>
        <v>173</v>
      </c>
      <c r="I3033" s="12">
        <f>G3033-H3033</f>
        <v>172</v>
      </c>
      <c r="J3033" s="3" t="str">
        <f t="shared" si="222"/>
        <v>4220006</v>
      </c>
    </row>
    <row r="3034" spans="1:10" s="3" customFormat="1">
      <c r="B3034" s="3" t="s">
        <v>2126</v>
      </c>
      <c r="C3034" s="8">
        <v>2</v>
      </c>
      <c r="D3034" s="3" t="s">
        <v>2193</v>
      </c>
      <c r="E3034" s="11" t="s">
        <v>11</v>
      </c>
      <c r="F3034" s="10">
        <v>1.1150000000000001E-3</v>
      </c>
      <c r="G3034" s="12">
        <f>ROUND(G$3*F3034,0)</f>
        <v>321</v>
      </c>
      <c r="H3034" s="13">
        <f>ROUND(G3034/2,0)</f>
        <v>161</v>
      </c>
      <c r="I3034" s="12">
        <f>G3034-H3034</f>
        <v>160</v>
      </c>
      <c r="J3034" s="3" t="str">
        <f t="shared" si="222"/>
        <v>4220006</v>
      </c>
    </row>
    <row r="3035" spans="1:10" s="3" customFormat="1">
      <c r="B3035" s="3" t="s">
        <v>2126</v>
      </c>
      <c r="C3035" s="8">
        <v>2</v>
      </c>
      <c r="D3035" s="3" t="s">
        <v>2194</v>
      </c>
      <c r="E3035" s="11" t="s">
        <v>928</v>
      </c>
      <c r="F3035" s="11"/>
      <c r="G3035" s="9"/>
      <c r="H3035" s="11"/>
      <c r="I3035" s="11"/>
      <c r="J3035" s="3" t="str">
        <f t="shared" si="222"/>
        <v>4220007</v>
      </c>
    </row>
    <row r="3036" spans="1:10" s="3" customFormat="1">
      <c r="B3036" s="3" t="s">
        <v>2126</v>
      </c>
      <c r="C3036" s="8">
        <v>2</v>
      </c>
      <c r="D3036" s="3" t="s">
        <v>2194</v>
      </c>
      <c r="E3036" s="11" t="s">
        <v>10</v>
      </c>
      <c r="F3036" s="10">
        <v>2.82E-3</v>
      </c>
      <c r="G3036" s="12">
        <f>ROUND(G$3*F3036,0)</f>
        <v>811</v>
      </c>
      <c r="H3036" s="13">
        <f>ROUND(G3036/2,0)</f>
        <v>406</v>
      </c>
      <c r="I3036" s="12">
        <f>G3036-H3036</f>
        <v>405</v>
      </c>
      <c r="J3036" s="3" t="str">
        <f t="shared" si="222"/>
        <v>4220007</v>
      </c>
    </row>
    <row r="3037" spans="1:10" s="3" customFormat="1">
      <c r="B3037" s="3" t="s">
        <v>2126</v>
      </c>
      <c r="C3037" s="8">
        <v>2</v>
      </c>
      <c r="D3037" s="3" t="s">
        <v>2194</v>
      </c>
      <c r="E3037" s="11" t="s">
        <v>11</v>
      </c>
      <c r="F3037" s="10">
        <v>4.0700000000000003E-4</v>
      </c>
      <c r="G3037" s="12">
        <f>ROUND(G$3*F3037,0)</f>
        <v>117</v>
      </c>
      <c r="H3037" s="13">
        <f>ROUND(G3037/2,0)</f>
        <v>59</v>
      </c>
      <c r="I3037" s="12">
        <f>G3037-H3037</f>
        <v>58</v>
      </c>
      <c r="J3037" s="3" t="str">
        <f t="shared" si="222"/>
        <v>4220007</v>
      </c>
    </row>
    <row r="3038" spans="1:10" s="3" customFormat="1">
      <c r="B3038" s="3" t="s">
        <v>2126</v>
      </c>
      <c r="C3038" s="8">
        <v>2</v>
      </c>
      <c r="D3038" s="3" t="s">
        <v>2195</v>
      </c>
      <c r="E3038" s="11" t="s">
        <v>929</v>
      </c>
      <c r="F3038" s="11"/>
      <c r="G3038" s="9"/>
      <c r="H3038" s="11"/>
      <c r="I3038" s="11"/>
      <c r="J3038" s="3" t="str">
        <f t="shared" si="222"/>
        <v>4220008</v>
      </c>
    </row>
    <row r="3039" spans="1:10" s="3" customFormat="1">
      <c r="B3039" s="3" t="s">
        <v>2126</v>
      </c>
      <c r="C3039" s="8">
        <v>2</v>
      </c>
      <c r="D3039" s="3" t="s">
        <v>2195</v>
      </c>
      <c r="E3039" s="11" t="s">
        <v>10</v>
      </c>
      <c r="F3039" s="10">
        <v>4.5729999999999998E-3</v>
      </c>
      <c r="G3039" s="12">
        <f>ROUND(G$3*F3039,0)</f>
        <v>1316</v>
      </c>
      <c r="H3039" s="13">
        <f>ROUND(G3039/2,0)</f>
        <v>658</v>
      </c>
      <c r="I3039" s="12">
        <f>G3039-H3039</f>
        <v>658</v>
      </c>
      <c r="J3039" s="3" t="str">
        <f t="shared" si="222"/>
        <v>4220008</v>
      </c>
    </row>
    <row r="3040" spans="1:10" s="3" customFormat="1">
      <c r="A3040" s="3" t="s">
        <v>6269</v>
      </c>
      <c r="B3040" s="3" t="s">
        <v>2126</v>
      </c>
      <c r="C3040" s="8">
        <v>2</v>
      </c>
      <c r="D3040" s="3" t="s">
        <v>2195</v>
      </c>
      <c r="E3040" s="11" t="s">
        <v>11</v>
      </c>
      <c r="F3040" s="10">
        <v>0</v>
      </c>
      <c r="G3040" s="12">
        <f>ROUND(G$3*F3040,0)</f>
        <v>0</v>
      </c>
      <c r="H3040" s="13">
        <f>ROUND(G3040/2,0)</f>
        <v>0</v>
      </c>
      <c r="I3040" s="12">
        <f>G3040-H3040</f>
        <v>0</v>
      </c>
      <c r="J3040" s="3" t="str">
        <f t="shared" si="222"/>
        <v>4220008</v>
      </c>
    </row>
    <row r="3041" spans="1:10" s="3" customFormat="1">
      <c r="B3041" s="3" t="s">
        <v>2126</v>
      </c>
      <c r="C3041" s="8">
        <v>2</v>
      </c>
      <c r="D3041" s="3" t="s">
        <v>2196</v>
      </c>
      <c r="E3041" s="11" t="s">
        <v>22</v>
      </c>
      <c r="F3041" s="11"/>
      <c r="G3041" s="9"/>
      <c r="H3041" s="11"/>
      <c r="I3041" s="11"/>
      <c r="J3041" s="3" t="str">
        <f t="shared" si="222"/>
        <v>4220009</v>
      </c>
    </row>
    <row r="3042" spans="1:10" s="3" customFormat="1">
      <c r="B3042" s="3" t="s">
        <v>2126</v>
      </c>
      <c r="C3042" s="8">
        <v>2</v>
      </c>
      <c r="D3042" s="3" t="s">
        <v>2196</v>
      </c>
      <c r="E3042" s="11" t="s">
        <v>10</v>
      </c>
      <c r="F3042" s="10">
        <v>1.4920000000000001E-3</v>
      </c>
      <c r="G3042" s="12">
        <f>ROUND(G$3*F3042,0)</f>
        <v>429</v>
      </c>
      <c r="H3042" s="13">
        <f>ROUND(G3042/2,0)</f>
        <v>215</v>
      </c>
      <c r="I3042" s="12">
        <f>G3042-H3042</f>
        <v>214</v>
      </c>
      <c r="J3042" s="3" t="str">
        <f t="shared" si="222"/>
        <v>4220009</v>
      </c>
    </row>
    <row r="3043" spans="1:10" s="3" customFormat="1">
      <c r="B3043" s="3" t="s">
        <v>2126</v>
      </c>
      <c r="C3043" s="8">
        <v>2</v>
      </c>
      <c r="D3043" s="3" t="s">
        <v>2196</v>
      </c>
      <c r="E3043" s="11" t="s">
        <v>11</v>
      </c>
      <c r="F3043" s="10">
        <v>1.475E-3</v>
      </c>
      <c r="G3043" s="12">
        <f>ROUND(G$3*F3043,0)</f>
        <v>424</v>
      </c>
      <c r="H3043" s="13">
        <f>ROUND(G3043/2,0)</f>
        <v>212</v>
      </c>
      <c r="I3043" s="12">
        <f>G3043-H3043</f>
        <v>212</v>
      </c>
      <c r="J3043" s="3" t="str">
        <f t="shared" si="222"/>
        <v>4220009</v>
      </c>
    </row>
    <row r="3044" spans="1:10" s="3" customFormat="1">
      <c r="B3044" s="3" t="s">
        <v>2126</v>
      </c>
      <c r="C3044" s="8">
        <v>2</v>
      </c>
      <c r="D3044" s="3" t="s">
        <v>2197</v>
      </c>
      <c r="E3044" s="11" t="s">
        <v>930</v>
      </c>
      <c r="F3044" s="11"/>
      <c r="G3044" s="9"/>
      <c r="H3044" s="11"/>
      <c r="I3044" s="11"/>
      <c r="J3044" s="3" t="str">
        <f t="shared" si="222"/>
        <v>4220010</v>
      </c>
    </row>
    <row r="3045" spans="1:10" s="3" customFormat="1">
      <c r="B3045" s="3" t="s">
        <v>2126</v>
      </c>
      <c r="C3045" s="8">
        <v>2</v>
      </c>
      <c r="D3045" s="3" t="s">
        <v>2197</v>
      </c>
      <c r="E3045" s="11" t="s">
        <v>10</v>
      </c>
      <c r="F3045" s="10">
        <v>1.289E-3</v>
      </c>
      <c r="G3045" s="12">
        <f t="shared" ref="G3045:G3055" si="223">ROUND(G$3*F3045,0)</f>
        <v>371</v>
      </c>
      <c r="H3045" s="13">
        <f t="shared" ref="H3045:H3055" si="224">ROUND(G3045/2,0)</f>
        <v>186</v>
      </c>
      <c r="I3045" s="12">
        <f t="shared" ref="I3045:I3055" si="225">G3045-H3045</f>
        <v>185</v>
      </c>
      <c r="J3045" s="3" t="str">
        <f t="shared" si="222"/>
        <v>4220010</v>
      </c>
    </row>
    <row r="3046" spans="1:10" s="3" customFormat="1">
      <c r="B3046" s="3" t="s">
        <v>2126</v>
      </c>
      <c r="C3046" s="8">
        <v>2</v>
      </c>
      <c r="D3046" s="3" t="s">
        <v>2197</v>
      </c>
      <c r="E3046" s="11" t="s">
        <v>11</v>
      </c>
      <c r="F3046" s="10">
        <v>9.6500000000000004E-4</v>
      </c>
      <c r="G3046" s="12">
        <f t="shared" si="223"/>
        <v>278</v>
      </c>
      <c r="H3046" s="13">
        <f t="shared" si="224"/>
        <v>139</v>
      </c>
      <c r="I3046" s="12">
        <f t="shared" si="225"/>
        <v>139</v>
      </c>
      <c r="J3046" s="3" t="str">
        <f t="shared" si="222"/>
        <v>4220010</v>
      </c>
    </row>
    <row r="3047" spans="1:10" s="3" customFormat="1">
      <c r="B3047" s="3" t="s">
        <v>2126</v>
      </c>
      <c r="C3047" s="8">
        <v>3</v>
      </c>
      <c r="D3047" s="3" t="s">
        <v>2657</v>
      </c>
      <c r="E3047" s="11" t="s">
        <v>931</v>
      </c>
      <c r="F3047" s="10">
        <v>1.66E-4</v>
      </c>
      <c r="G3047" s="12">
        <f t="shared" si="223"/>
        <v>48</v>
      </c>
      <c r="H3047" s="13">
        <f t="shared" si="224"/>
        <v>24</v>
      </c>
      <c r="I3047" s="12">
        <f t="shared" si="225"/>
        <v>24</v>
      </c>
      <c r="J3047" s="3" t="str">
        <f t="shared" si="222"/>
        <v>4230708</v>
      </c>
    </row>
    <row r="3048" spans="1:10" s="3" customFormat="1">
      <c r="A3048" s="3" t="s">
        <v>6269</v>
      </c>
      <c r="B3048" s="3" t="s">
        <v>2126</v>
      </c>
      <c r="C3048" s="8">
        <v>3</v>
      </c>
      <c r="D3048" s="3" t="s">
        <v>2658</v>
      </c>
      <c r="E3048" s="11" t="s">
        <v>932</v>
      </c>
      <c r="F3048" s="10">
        <v>0</v>
      </c>
      <c r="G3048" s="12">
        <f t="shared" si="223"/>
        <v>0</v>
      </c>
      <c r="H3048" s="13">
        <f t="shared" si="224"/>
        <v>0</v>
      </c>
      <c r="I3048" s="12">
        <f t="shared" si="225"/>
        <v>0</v>
      </c>
      <c r="J3048" s="3" t="str">
        <f t="shared" si="222"/>
        <v>4230709</v>
      </c>
    </row>
    <row r="3049" spans="1:10" s="3" customFormat="1">
      <c r="B3049" s="3" t="s">
        <v>2126</v>
      </c>
      <c r="C3049" s="8">
        <v>3</v>
      </c>
      <c r="D3049" s="3" t="s">
        <v>2659</v>
      </c>
      <c r="E3049" s="11" t="s">
        <v>933</v>
      </c>
      <c r="F3049" s="10">
        <v>1.0139999999999999E-3</v>
      </c>
      <c r="G3049" s="12">
        <f t="shared" si="223"/>
        <v>292</v>
      </c>
      <c r="H3049" s="13">
        <f t="shared" si="224"/>
        <v>146</v>
      </c>
      <c r="I3049" s="12">
        <f t="shared" si="225"/>
        <v>146</v>
      </c>
      <c r="J3049" s="3" t="str">
        <f t="shared" si="222"/>
        <v>4230710</v>
      </c>
    </row>
    <row r="3050" spans="1:10" s="3" customFormat="1">
      <c r="A3050" s="3" t="s">
        <v>6269</v>
      </c>
      <c r="B3050" s="3" t="s">
        <v>2126</v>
      </c>
      <c r="C3050" s="8">
        <v>3</v>
      </c>
      <c r="D3050" s="3" t="s">
        <v>2660</v>
      </c>
      <c r="E3050" s="11" t="s">
        <v>934</v>
      </c>
      <c r="F3050" s="10">
        <v>0</v>
      </c>
      <c r="G3050" s="12">
        <f t="shared" si="223"/>
        <v>0</v>
      </c>
      <c r="H3050" s="13">
        <f t="shared" si="224"/>
        <v>0</v>
      </c>
      <c r="I3050" s="12">
        <f t="shared" si="225"/>
        <v>0</v>
      </c>
      <c r="J3050" s="3" t="str">
        <f t="shared" si="222"/>
        <v>4230711</v>
      </c>
    </row>
    <row r="3051" spans="1:10" s="3" customFormat="1">
      <c r="B3051" s="3" t="s">
        <v>2126</v>
      </c>
      <c r="C3051" s="8">
        <v>3</v>
      </c>
      <c r="D3051" s="3" t="s">
        <v>2661</v>
      </c>
      <c r="E3051" s="11" t="s">
        <v>935</v>
      </c>
      <c r="F3051" s="10">
        <v>2.6800000000000001E-4</v>
      </c>
      <c r="G3051" s="12">
        <f t="shared" si="223"/>
        <v>77</v>
      </c>
      <c r="H3051" s="13">
        <f t="shared" si="224"/>
        <v>39</v>
      </c>
      <c r="I3051" s="12">
        <f t="shared" si="225"/>
        <v>38</v>
      </c>
      <c r="J3051" s="3" t="str">
        <f t="shared" si="222"/>
        <v>4230712</v>
      </c>
    </row>
    <row r="3052" spans="1:10" s="3" customFormat="1">
      <c r="B3052" s="3" t="s">
        <v>2126</v>
      </c>
      <c r="C3052" s="8">
        <v>3</v>
      </c>
      <c r="D3052" s="3" t="s">
        <v>2662</v>
      </c>
      <c r="E3052" s="11" t="s">
        <v>936</v>
      </c>
      <c r="F3052" s="10">
        <v>6.8999999999999997E-4</v>
      </c>
      <c r="G3052" s="12">
        <f t="shared" si="223"/>
        <v>199</v>
      </c>
      <c r="H3052" s="13">
        <f t="shared" si="224"/>
        <v>100</v>
      </c>
      <c r="I3052" s="12">
        <f t="shared" si="225"/>
        <v>99</v>
      </c>
      <c r="J3052" s="3" t="str">
        <f t="shared" si="222"/>
        <v>4230713</v>
      </c>
    </row>
    <row r="3053" spans="1:10" s="3" customFormat="1">
      <c r="B3053" s="3" t="s">
        <v>2126</v>
      </c>
      <c r="C3053" s="8">
        <v>3</v>
      </c>
      <c r="D3053" s="3" t="s">
        <v>2442</v>
      </c>
      <c r="E3053" s="11" t="s">
        <v>937</v>
      </c>
      <c r="F3053" s="10">
        <v>8.8205000000000006E-2</v>
      </c>
      <c r="G3053" s="12">
        <f t="shared" si="223"/>
        <v>25379</v>
      </c>
      <c r="H3053" s="13">
        <f t="shared" si="224"/>
        <v>12690</v>
      </c>
      <c r="I3053" s="12">
        <f t="shared" si="225"/>
        <v>12689</v>
      </c>
      <c r="J3053" s="3" t="str">
        <f t="shared" si="222"/>
        <v>4230300</v>
      </c>
    </row>
    <row r="3054" spans="1:10" s="3" customFormat="1">
      <c r="B3054" s="3" t="s">
        <v>2126</v>
      </c>
      <c r="C3054" s="8">
        <v>3</v>
      </c>
      <c r="D3054" s="3" t="s">
        <v>2663</v>
      </c>
      <c r="E3054" s="11" t="s">
        <v>938</v>
      </c>
      <c r="F3054" s="10">
        <v>2.0300000000000001E-3</v>
      </c>
      <c r="G3054" s="12">
        <f t="shared" si="223"/>
        <v>584</v>
      </c>
      <c r="H3054" s="13">
        <f t="shared" si="224"/>
        <v>292</v>
      </c>
      <c r="I3054" s="12">
        <f t="shared" si="225"/>
        <v>292</v>
      </c>
      <c r="J3054" s="3" t="str">
        <f t="shared" si="222"/>
        <v>4230714</v>
      </c>
    </row>
    <row r="3055" spans="1:10" s="3" customFormat="1">
      <c r="B3055" s="3" t="s">
        <v>2126</v>
      </c>
      <c r="C3055" s="8">
        <v>4</v>
      </c>
      <c r="D3055" s="3" t="s">
        <v>2664</v>
      </c>
      <c r="E3055" s="11" t="s">
        <v>939</v>
      </c>
      <c r="F3055" s="10">
        <v>0.139871</v>
      </c>
      <c r="G3055" s="9">
        <f t="shared" si="223"/>
        <v>40244</v>
      </c>
      <c r="H3055" s="11">
        <f t="shared" si="224"/>
        <v>20122</v>
      </c>
      <c r="I3055" s="9">
        <f t="shared" si="225"/>
        <v>20122</v>
      </c>
      <c r="J3055" s="3" t="str">
        <f t="shared" si="222"/>
        <v>4244315</v>
      </c>
    </row>
    <row r="3056" spans="1:10" s="3" customFormat="1">
      <c r="B3056" s="3" t="s">
        <v>2126</v>
      </c>
      <c r="C3056" s="8">
        <v>4</v>
      </c>
      <c r="D3056" s="3" t="s">
        <v>2664</v>
      </c>
      <c r="E3056" s="11" t="s">
        <v>28</v>
      </c>
      <c r="F3056" s="11"/>
      <c r="G3056" s="14">
        <v>0.45267400000000002</v>
      </c>
      <c r="H3056" s="11"/>
      <c r="I3056" s="11"/>
      <c r="J3056" s="3" t="str">
        <f t="shared" si="222"/>
        <v>4244315</v>
      </c>
    </row>
    <row r="3057" spans="1:10" s="3" customFormat="1">
      <c r="B3057" s="3" t="s">
        <v>2126</v>
      </c>
      <c r="C3057" s="8">
        <v>4</v>
      </c>
      <c r="D3057" s="3" t="s">
        <v>2664</v>
      </c>
      <c r="E3057" s="11" t="s">
        <v>29</v>
      </c>
      <c r="F3057" s="11"/>
      <c r="G3057" s="15">
        <f>ROUND(G3055*G3056,0)</f>
        <v>18217</v>
      </c>
      <c r="H3057" s="16">
        <f>ROUND(G3057/2,0)</f>
        <v>9109</v>
      </c>
      <c r="I3057" s="15">
        <f>G3057-H3057</f>
        <v>9108</v>
      </c>
      <c r="J3057" s="3" t="str">
        <f t="shared" si="222"/>
        <v>4244315</v>
      </c>
    </row>
    <row r="3058" spans="1:10" s="3" customFormat="1">
      <c r="B3058" s="3" t="s">
        <v>2126</v>
      </c>
      <c r="C3058" s="8">
        <v>4</v>
      </c>
      <c r="D3058" s="3" t="s">
        <v>2664</v>
      </c>
      <c r="E3058" s="11" t="s">
        <v>30</v>
      </c>
      <c r="F3058" s="11"/>
      <c r="G3058" s="12">
        <f>+G3055-G3057</f>
        <v>22027</v>
      </c>
      <c r="H3058" s="13">
        <f>ROUND(G3058/2,0)</f>
        <v>11014</v>
      </c>
      <c r="I3058" s="12">
        <f>G3058-H3058</f>
        <v>11013</v>
      </c>
      <c r="J3058" s="3" t="str">
        <f t="shared" si="222"/>
        <v>4244315</v>
      </c>
    </row>
    <row r="3059" spans="1:10" s="3" customFormat="1">
      <c r="B3059" s="3" t="s">
        <v>2126</v>
      </c>
      <c r="C3059" s="8">
        <v>4</v>
      </c>
      <c r="D3059" s="3" t="s">
        <v>2665</v>
      </c>
      <c r="E3059" s="11" t="s">
        <v>940</v>
      </c>
      <c r="F3059" s="10">
        <v>0.15743599999999999</v>
      </c>
      <c r="G3059" s="9">
        <f>ROUND(G$3*F3059,0)</f>
        <v>45298</v>
      </c>
      <c r="H3059" s="11">
        <f>ROUND(G3059/2,0)</f>
        <v>22649</v>
      </c>
      <c r="I3059" s="9">
        <f>G3059-H3059</f>
        <v>22649</v>
      </c>
      <c r="J3059" s="3" t="str">
        <f t="shared" si="222"/>
        <v>4244325</v>
      </c>
    </row>
    <row r="3060" spans="1:10" s="3" customFormat="1">
      <c r="B3060" s="3" t="s">
        <v>2126</v>
      </c>
      <c r="C3060" s="8">
        <v>4</v>
      </c>
      <c r="D3060" s="3" t="s">
        <v>2665</v>
      </c>
      <c r="E3060" s="11" t="s">
        <v>28</v>
      </c>
      <c r="F3060" s="11"/>
      <c r="G3060" s="14">
        <v>0.45930399999999999</v>
      </c>
      <c r="H3060" s="11"/>
      <c r="I3060" s="11"/>
      <c r="J3060" s="3" t="str">
        <f t="shared" si="222"/>
        <v>4244325</v>
      </c>
    </row>
    <row r="3061" spans="1:10" s="3" customFormat="1">
      <c r="B3061" s="3" t="s">
        <v>2126</v>
      </c>
      <c r="C3061" s="8">
        <v>4</v>
      </c>
      <c r="D3061" s="3" t="s">
        <v>2665</v>
      </c>
      <c r="E3061" s="11" t="s">
        <v>29</v>
      </c>
      <c r="F3061" s="11"/>
      <c r="G3061" s="15">
        <f>ROUND(G3059*G3060,0)</f>
        <v>20806</v>
      </c>
      <c r="H3061" s="16">
        <f>ROUND(G3061/2,0)</f>
        <v>10403</v>
      </c>
      <c r="I3061" s="15">
        <f>G3061-H3061</f>
        <v>10403</v>
      </c>
      <c r="J3061" s="3" t="str">
        <f t="shared" si="222"/>
        <v>4244325</v>
      </c>
    </row>
    <row r="3062" spans="1:10" s="3" customFormat="1">
      <c r="B3062" s="3" t="s">
        <v>2126</v>
      </c>
      <c r="C3062" s="8">
        <v>4</v>
      </c>
      <c r="D3062" s="3" t="s">
        <v>2665</v>
      </c>
      <c r="E3062" s="11" t="s">
        <v>30</v>
      </c>
      <c r="F3062" s="11"/>
      <c r="G3062" s="12">
        <f>+G3059-G3061</f>
        <v>24492</v>
      </c>
      <c r="H3062" s="13">
        <f>ROUND(G3062/2,0)</f>
        <v>12246</v>
      </c>
      <c r="I3062" s="12">
        <f>G3062-H3062</f>
        <v>12246</v>
      </c>
      <c r="J3062" s="3" t="str">
        <f t="shared" si="222"/>
        <v>4244325</v>
      </c>
    </row>
    <row r="3063" spans="1:10" s="3" customFormat="1">
      <c r="B3063" s="3" t="s">
        <v>2126</v>
      </c>
      <c r="C3063" s="8">
        <v>4</v>
      </c>
      <c r="D3063" s="3" t="s">
        <v>2666</v>
      </c>
      <c r="E3063" s="11" t="s">
        <v>941</v>
      </c>
      <c r="F3063" s="10">
        <v>0.28235399999999999</v>
      </c>
      <c r="G3063" s="9">
        <f>ROUND(G$3*F3063,0)</f>
        <v>81240</v>
      </c>
      <c r="H3063" s="11">
        <f>ROUND(G3063/2,0)</f>
        <v>40620</v>
      </c>
      <c r="I3063" s="9">
        <f>G3063-H3063</f>
        <v>40620</v>
      </c>
      <c r="J3063" s="3" t="str">
        <f t="shared" si="222"/>
        <v>4244335</v>
      </c>
    </row>
    <row r="3064" spans="1:10" s="3" customFormat="1">
      <c r="B3064" s="3" t="s">
        <v>2126</v>
      </c>
      <c r="C3064" s="8">
        <v>4</v>
      </c>
      <c r="D3064" s="3" t="s">
        <v>2666</v>
      </c>
      <c r="E3064" s="11" t="s">
        <v>28</v>
      </c>
      <c r="F3064" s="11"/>
      <c r="G3064" s="14">
        <v>0.45843200000000001</v>
      </c>
      <c r="H3064" s="11"/>
      <c r="I3064" s="11"/>
      <c r="J3064" s="3" t="str">
        <f t="shared" si="222"/>
        <v>4244335</v>
      </c>
    </row>
    <row r="3065" spans="1:10" s="3" customFormat="1">
      <c r="B3065" s="3" t="s">
        <v>2126</v>
      </c>
      <c r="C3065" s="8">
        <v>4</v>
      </c>
      <c r="D3065" s="3" t="s">
        <v>2666</v>
      </c>
      <c r="E3065" s="11" t="s">
        <v>29</v>
      </c>
      <c r="F3065" s="11"/>
      <c r="G3065" s="15">
        <f>ROUND(G3063*G3064,0)</f>
        <v>37243</v>
      </c>
      <c r="H3065" s="16">
        <f t="shared" ref="H3065:H3074" si="226">ROUND(G3065/2,0)</f>
        <v>18622</v>
      </c>
      <c r="I3065" s="15">
        <f t="shared" ref="I3065:I3074" si="227">G3065-H3065</f>
        <v>18621</v>
      </c>
      <c r="J3065" s="3" t="str">
        <f t="shared" si="222"/>
        <v>4244335</v>
      </c>
    </row>
    <row r="3066" spans="1:10" s="3" customFormat="1">
      <c r="B3066" s="3" t="s">
        <v>2126</v>
      </c>
      <c r="C3066" s="8">
        <v>4</v>
      </c>
      <c r="D3066" s="3" t="s">
        <v>2666</v>
      </c>
      <c r="E3066" s="11" t="s">
        <v>30</v>
      </c>
      <c r="F3066" s="11"/>
      <c r="G3066" s="12">
        <f>+G3063-G3065</f>
        <v>43997</v>
      </c>
      <c r="H3066" s="13">
        <f t="shared" si="226"/>
        <v>21999</v>
      </c>
      <c r="I3066" s="12">
        <f t="shared" si="227"/>
        <v>21998</v>
      </c>
      <c r="J3066" s="3" t="str">
        <f t="shared" si="222"/>
        <v>4244335</v>
      </c>
    </row>
    <row r="3067" spans="1:10" s="3" customFormat="1">
      <c r="B3067" s="3" t="s">
        <v>2126</v>
      </c>
      <c r="C3067" s="8">
        <v>5</v>
      </c>
      <c r="D3067" s="3" t="s">
        <v>2475</v>
      </c>
      <c r="E3067" s="11" t="s">
        <v>942</v>
      </c>
      <c r="F3067" s="10">
        <v>2.9880000000000002E-3</v>
      </c>
      <c r="G3067" s="120">
        <f t="shared" ref="G3067:G3073" si="228">ROUND(G$3*F3067,0)</f>
        <v>860</v>
      </c>
      <c r="H3067" s="120">
        <f t="shared" si="226"/>
        <v>430</v>
      </c>
      <c r="I3067" s="120">
        <f t="shared" si="227"/>
        <v>430</v>
      </c>
      <c r="J3067" s="3" t="str">
        <f t="shared" si="222"/>
        <v>4250114</v>
      </c>
    </row>
    <row r="3068" spans="1:10" s="3" customFormat="1">
      <c r="B3068" s="3" t="s">
        <v>2126</v>
      </c>
      <c r="C3068" s="8">
        <v>5</v>
      </c>
      <c r="D3068" s="3" t="s">
        <v>2424</v>
      </c>
      <c r="E3068" s="11" t="s">
        <v>943</v>
      </c>
      <c r="F3068" s="10">
        <v>3.1432000000000002E-2</v>
      </c>
      <c r="G3068" s="120">
        <f t="shared" si="228"/>
        <v>9044</v>
      </c>
      <c r="H3068" s="120">
        <f t="shared" si="226"/>
        <v>4522</v>
      </c>
      <c r="I3068" s="120">
        <f t="shared" si="227"/>
        <v>4522</v>
      </c>
      <c r="J3068" s="3" t="str">
        <f t="shared" si="222"/>
        <v>4250116</v>
      </c>
    </row>
    <row r="3069" spans="1:10" s="3" customFormat="1">
      <c r="B3069" s="3" t="s">
        <v>2126</v>
      </c>
      <c r="C3069" s="8">
        <v>6</v>
      </c>
      <c r="D3069" s="3" t="s">
        <v>2668</v>
      </c>
      <c r="E3069" s="11" t="s">
        <v>944</v>
      </c>
      <c r="F3069" s="10">
        <v>1.9970000000000001E-3</v>
      </c>
      <c r="G3069" s="120">
        <f t="shared" si="228"/>
        <v>575</v>
      </c>
      <c r="H3069" s="120">
        <f t="shared" si="226"/>
        <v>288</v>
      </c>
      <c r="I3069" s="120">
        <f t="shared" si="227"/>
        <v>287</v>
      </c>
      <c r="J3069" s="3" t="str">
        <f t="shared" si="222"/>
        <v>4260954</v>
      </c>
    </row>
    <row r="3070" spans="1:10" s="3" customFormat="1">
      <c r="A3070" s="3" t="s">
        <v>6269</v>
      </c>
      <c r="B3070" s="3" t="s">
        <v>2126</v>
      </c>
      <c r="C3070" s="8">
        <v>6</v>
      </c>
      <c r="D3070" s="3" t="s">
        <v>6267</v>
      </c>
      <c r="E3070" s="11" t="s">
        <v>945</v>
      </c>
      <c r="F3070" s="10">
        <v>0</v>
      </c>
      <c r="G3070" s="120">
        <f t="shared" si="228"/>
        <v>0</v>
      </c>
      <c r="H3070" s="120">
        <f t="shared" si="226"/>
        <v>0</v>
      </c>
      <c r="I3070" s="120">
        <f t="shared" si="227"/>
        <v>0</v>
      </c>
      <c r="J3070" s="3" t="str">
        <f t="shared" si="222"/>
        <v>426XXXX</v>
      </c>
    </row>
    <row r="3071" spans="1:10" s="3" customFormat="1">
      <c r="B3071" s="3" t="s">
        <v>2126</v>
      </c>
      <c r="C3071" s="8">
        <v>6</v>
      </c>
      <c r="D3071" s="3" t="s">
        <v>2448</v>
      </c>
      <c r="E3071" s="11" t="s">
        <v>946</v>
      </c>
      <c r="F3071" s="10">
        <v>2.2109999999999999E-3</v>
      </c>
      <c r="G3071" s="12">
        <f t="shared" si="228"/>
        <v>636</v>
      </c>
      <c r="H3071" s="13">
        <f t="shared" si="226"/>
        <v>318</v>
      </c>
      <c r="I3071" s="12">
        <f t="shared" si="227"/>
        <v>318</v>
      </c>
      <c r="J3071" s="3" t="str">
        <f t="shared" si="222"/>
        <v>4260952</v>
      </c>
    </row>
    <row r="3072" spans="1:10" s="3" customFormat="1">
      <c r="B3072" s="3" t="s">
        <v>2126</v>
      </c>
      <c r="C3072" s="8">
        <v>6</v>
      </c>
      <c r="D3072" s="3" t="s">
        <v>4602</v>
      </c>
      <c r="E3072" s="11" t="s">
        <v>947</v>
      </c>
      <c r="F3072" s="10">
        <v>3.4280000000000001E-3</v>
      </c>
      <c r="G3072" s="120">
        <f t="shared" si="228"/>
        <v>986</v>
      </c>
      <c r="H3072" s="120">
        <f t="shared" si="226"/>
        <v>493</v>
      </c>
      <c r="I3072" s="120">
        <f t="shared" si="227"/>
        <v>493</v>
      </c>
      <c r="J3072" s="3" t="str">
        <f t="shared" si="222"/>
        <v>4260953</v>
      </c>
    </row>
    <row r="3073" spans="2:10" s="3" customFormat="1">
      <c r="B3073" s="3" t="s">
        <v>2126</v>
      </c>
      <c r="C3073" s="8">
        <v>6</v>
      </c>
      <c r="D3073" s="3" t="s">
        <v>2667</v>
      </c>
      <c r="E3073" s="11" t="s">
        <v>948</v>
      </c>
      <c r="F3073" s="10">
        <v>4.0252999999999997E-2</v>
      </c>
      <c r="G3073" s="12">
        <f t="shared" si="228"/>
        <v>11582</v>
      </c>
      <c r="H3073" s="13">
        <f t="shared" si="226"/>
        <v>5791</v>
      </c>
      <c r="I3073" s="12">
        <f t="shared" si="227"/>
        <v>5791</v>
      </c>
      <c r="J3073" s="3" t="str">
        <f t="shared" si="222"/>
        <v>4260936</v>
      </c>
    </row>
    <row r="3074" spans="2:10" s="3" customFormat="1">
      <c r="B3074" s="3" t="s">
        <v>2126</v>
      </c>
      <c r="C3074" s="8" t="s">
        <v>3155</v>
      </c>
      <c r="D3074" s="3" t="s">
        <v>4586</v>
      </c>
      <c r="E3074" s="11" t="s">
        <v>949</v>
      </c>
      <c r="F3074" s="10">
        <v>2.7250000000000885E-3</v>
      </c>
      <c r="G3074" s="12">
        <f>+G3011-SUM(G3012:G3013)-SUM(G3018:G3055)-G3059-G3063-SUM(G3067:G3073)</f>
        <v>266609</v>
      </c>
      <c r="H3074" s="13">
        <f t="shared" si="226"/>
        <v>133305</v>
      </c>
      <c r="I3074" s="12">
        <f t="shared" si="227"/>
        <v>133304</v>
      </c>
      <c r="J3074" s="3" t="str">
        <f t="shared" si="222"/>
        <v>4230448</v>
      </c>
    </row>
    <row r="3075" spans="2:10" s="3" customFormat="1">
      <c r="B3075" s="3" t="s">
        <v>2126</v>
      </c>
      <c r="C3075" s="8">
        <v>0</v>
      </c>
      <c r="D3075" s="125" t="s">
        <v>2187</v>
      </c>
      <c r="E3075" s="28" t="s">
        <v>288</v>
      </c>
      <c r="F3075" s="10">
        <v>1</v>
      </c>
      <c r="G3075" s="43">
        <f>+G3012+SUM(G3015:G3054)+SUM(G3057:G3058)+SUM(G3061:G3062)+SUM(G3065:G3074)</f>
        <v>553551</v>
      </c>
      <c r="H3075" s="43">
        <f>+H3012+SUM(H3015:H3054)+SUM(H3057:H3058)+SUM(H3061:H3062)+SUM(H3065:H3074)</f>
        <v>276786</v>
      </c>
      <c r="I3075" s="43">
        <f>+I3012+SUM(I3015:I3054)+SUM(I3057:I3058)+SUM(I3061:I3062)+SUM(I3065:I3074)</f>
        <v>276765</v>
      </c>
      <c r="J3075" s="3" t="str">
        <f t="shared" si="222"/>
        <v>4200000</v>
      </c>
    </row>
    <row r="3076" spans="2:10" s="3" customFormat="1">
      <c r="B3076" s="3" t="s">
        <v>2126</v>
      </c>
      <c r="C3076" s="8">
        <v>0</v>
      </c>
      <c r="D3076" s="3" t="s">
        <v>2187</v>
      </c>
      <c r="E3076" s="18" t="s">
        <v>38</v>
      </c>
      <c r="G3076" s="19">
        <f>+G3012</f>
        <v>310</v>
      </c>
      <c r="H3076" s="19">
        <f>+H3012</f>
        <v>155</v>
      </c>
      <c r="I3076" s="19">
        <f>+I3012</f>
        <v>155</v>
      </c>
      <c r="J3076" s="3" t="str">
        <f t="shared" ref="J3076:J3139" si="229">B3076&amp;C3076&amp;D3076</f>
        <v>4200000</v>
      </c>
    </row>
    <row r="3077" spans="2:10" s="3" customFormat="1">
      <c r="B3077" s="3" t="s">
        <v>2126</v>
      </c>
      <c r="C3077" s="8">
        <v>0</v>
      </c>
      <c r="D3077" s="3" t="s">
        <v>2187</v>
      </c>
      <c r="E3077" s="2" t="s">
        <v>39</v>
      </c>
      <c r="G3077" s="19">
        <f>+G3015</f>
        <v>16890</v>
      </c>
      <c r="H3077" s="19">
        <f>+H3015</f>
        <v>8445</v>
      </c>
      <c r="I3077" s="19">
        <f>+I3015</f>
        <v>8445</v>
      </c>
      <c r="J3077" s="3" t="str">
        <f t="shared" si="229"/>
        <v>4200000</v>
      </c>
    </row>
    <row r="3078" spans="2:10" s="3" customFormat="1">
      <c r="B3078" s="3" t="s">
        <v>2126</v>
      </c>
      <c r="C3078" s="8">
        <v>0</v>
      </c>
      <c r="D3078" s="3" t="s">
        <v>2187</v>
      </c>
      <c r="E3078" s="2" t="s">
        <v>40</v>
      </c>
      <c r="G3078" s="19">
        <f>+G3057+G3061+G3065</f>
        <v>76266</v>
      </c>
      <c r="H3078" s="19">
        <f>+H3057+H3061+H3065</f>
        <v>38134</v>
      </c>
      <c r="I3078" s="19">
        <f>+I3057+I3061+I3065</f>
        <v>38132</v>
      </c>
      <c r="J3078" s="3" t="str">
        <f t="shared" si="229"/>
        <v>4200000</v>
      </c>
    </row>
    <row r="3079" spans="2:10" s="3" customFormat="1">
      <c r="B3079" s="3" t="s">
        <v>2126</v>
      </c>
      <c r="C3079" s="8">
        <v>0</v>
      </c>
      <c r="D3079" s="125" t="s">
        <v>2187</v>
      </c>
      <c r="E3079" s="18" t="s">
        <v>41</v>
      </c>
      <c r="G3079" s="19">
        <f>+G3075-G3076-G3077-G3078</f>
        <v>460085</v>
      </c>
      <c r="H3079" s="19">
        <f>+H3075-H3076-H3077-H3078</f>
        <v>230052</v>
      </c>
      <c r="I3079" s="19">
        <f>+I3075-I3076-I3077-I3078</f>
        <v>230033</v>
      </c>
      <c r="J3079" s="3" t="str">
        <f t="shared" si="229"/>
        <v>4200000</v>
      </c>
    </row>
    <row r="3080" spans="2:10" ht="15.75">
      <c r="B3080" s="3" t="s">
        <v>2186</v>
      </c>
      <c r="D3080" t="s">
        <v>2186</v>
      </c>
      <c r="E3080">
        <v>0</v>
      </c>
      <c r="G3080"/>
      <c r="H3080"/>
      <c r="I3080"/>
      <c r="J3080" s="3" t="str">
        <f t="shared" si="229"/>
        <v/>
      </c>
    </row>
    <row r="3081" spans="2:10" s="3" customFormat="1">
      <c r="C3081" s="1"/>
      <c r="D3081" s="3" t="s">
        <v>2186</v>
      </c>
      <c r="E3081" s="2" t="s">
        <v>950</v>
      </c>
      <c r="J3081" s="3" t="str">
        <f t="shared" si="229"/>
        <v/>
      </c>
    </row>
    <row r="3082" spans="2:10" s="3" customFormat="1" ht="45">
      <c r="B3082" s="3" t="s">
        <v>2186</v>
      </c>
      <c r="C3082" s="1"/>
      <c r="D3082" s="3" t="s">
        <v>2186</v>
      </c>
      <c r="E3082" s="1">
        <v>0</v>
      </c>
      <c r="F3082" s="6" t="s">
        <v>1</v>
      </c>
      <c r="G3082" s="60">
        <f>'Allocation Worksheet'!H3082</f>
        <v>0</v>
      </c>
      <c r="H3082" s="60">
        <f>'Allocation Worksheet'!H3083</f>
        <v>0</v>
      </c>
      <c r="I3082" s="60">
        <f>'Allocation Worksheet'!H3084</f>
        <v>0</v>
      </c>
      <c r="J3082" s="3" t="str">
        <f t="shared" si="229"/>
        <v/>
      </c>
    </row>
    <row r="3083" spans="2:10" s="3" customFormat="1">
      <c r="C3083" s="7" t="s">
        <v>2087</v>
      </c>
      <c r="D3083" s="3" t="s">
        <v>2186</v>
      </c>
      <c r="E3083" s="7" t="s">
        <v>3</v>
      </c>
      <c r="F3083" s="10"/>
      <c r="G3083" s="9">
        <f>'Allocation Worksheet'!$D$46</f>
        <v>615101</v>
      </c>
      <c r="H3083" s="11"/>
      <c r="I3083" s="11"/>
      <c r="J3083" s="3" t="str">
        <f t="shared" si="229"/>
        <v>UT</v>
      </c>
    </row>
    <row r="3084" spans="2:10" s="3" customFormat="1">
      <c r="B3084" s="3" t="s">
        <v>2127</v>
      </c>
      <c r="C3084" s="8">
        <v>0</v>
      </c>
      <c r="D3084" s="3" t="s">
        <v>2187</v>
      </c>
      <c r="E3084" s="11" t="s">
        <v>4</v>
      </c>
      <c r="F3084" s="10">
        <v>1.4270000000000001E-3</v>
      </c>
      <c r="G3084" s="12">
        <f>ROUND(G$3*F3084,0)</f>
        <v>411</v>
      </c>
      <c r="H3084" s="13">
        <f>ROUND(G3084/2,0)</f>
        <v>206</v>
      </c>
      <c r="I3084" s="12">
        <f>G3084-H3084</f>
        <v>205</v>
      </c>
      <c r="J3084" s="3" t="str">
        <f t="shared" si="229"/>
        <v>4300000</v>
      </c>
    </row>
    <row r="3085" spans="2:10" s="3" customFormat="1">
      <c r="B3085" s="3" t="s">
        <v>2127</v>
      </c>
      <c r="C3085" s="8">
        <v>1</v>
      </c>
      <c r="D3085" s="3" t="s">
        <v>2187</v>
      </c>
      <c r="E3085" s="11" t="s">
        <v>951</v>
      </c>
      <c r="F3085" s="10">
        <v>0.13065199999999999</v>
      </c>
      <c r="G3085" s="9">
        <f>ROUND(G$3*F3085,0)</f>
        <v>37592</v>
      </c>
      <c r="H3085" s="11">
        <f>ROUND(G3085/2,0)</f>
        <v>18796</v>
      </c>
      <c r="I3085" s="9">
        <f>G3085-H3085</f>
        <v>18796</v>
      </c>
      <c r="J3085" s="3" t="str">
        <f t="shared" si="229"/>
        <v>4310000</v>
      </c>
    </row>
    <row r="3086" spans="2:10" s="3" customFormat="1">
      <c r="B3086" s="3" t="s">
        <v>2127</v>
      </c>
      <c r="C3086" s="8">
        <v>1</v>
      </c>
      <c r="D3086" s="3" t="s">
        <v>2187</v>
      </c>
      <c r="E3086" s="11" t="s">
        <v>6</v>
      </c>
      <c r="F3086" s="11"/>
      <c r="G3086" s="14">
        <v>0.12561900000000001</v>
      </c>
      <c r="H3086" s="11"/>
      <c r="I3086" s="11"/>
      <c r="J3086" s="3" t="str">
        <f t="shared" si="229"/>
        <v>4310000</v>
      </c>
    </row>
    <row r="3087" spans="2:10" s="3" customFormat="1">
      <c r="B3087" s="3" t="s">
        <v>2127</v>
      </c>
      <c r="C3087" s="8">
        <v>1</v>
      </c>
      <c r="D3087" s="3" t="s">
        <v>2187</v>
      </c>
      <c r="E3087" s="11" t="s">
        <v>7</v>
      </c>
      <c r="F3087" s="11"/>
      <c r="G3087" s="15">
        <f>ROUND(G3085*G3086,0)</f>
        <v>4722</v>
      </c>
      <c r="H3087" s="16">
        <f>ROUND(G3087/2,0)</f>
        <v>2361</v>
      </c>
      <c r="I3087" s="15">
        <f>G3087-H3087</f>
        <v>2361</v>
      </c>
      <c r="J3087" s="3" t="str">
        <f t="shared" si="229"/>
        <v>4310000</v>
      </c>
    </row>
    <row r="3088" spans="2:10" s="3" customFormat="1">
      <c r="B3088" s="3" t="s">
        <v>2127</v>
      </c>
      <c r="C3088" s="8">
        <v>1</v>
      </c>
      <c r="D3088" s="3" t="s">
        <v>2187</v>
      </c>
      <c r="E3088" s="11" t="s">
        <v>8</v>
      </c>
      <c r="F3088" s="11"/>
      <c r="G3088" s="12">
        <f>+G3085-G3087</f>
        <v>32870</v>
      </c>
      <c r="H3088" s="13">
        <f>ROUND(G3088/2,0)</f>
        <v>16435</v>
      </c>
      <c r="I3088" s="12">
        <f>G3088-H3088</f>
        <v>16435</v>
      </c>
      <c r="J3088" s="3" t="str">
        <f t="shared" si="229"/>
        <v>4310000</v>
      </c>
    </row>
    <row r="3089" spans="2:10" s="3" customFormat="1">
      <c r="B3089" s="3" t="s">
        <v>2127</v>
      </c>
      <c r="C3089" s="8">
        <v>2</v>
      </c>
      <c r="D3089" s="3" t="s">
        <v>2188</v>
      </c>
      <c r="E3089" s="11" t="s">
        <v>81</v>
      </c>
      <c r="F3089" s="11"/>
      <c r="G3089" s="9"/>
      <c r="H3089" s="11"/>
      <c r="I3089" s="11"/>
      <c r="J3089" s="3" t="str">
        <f t="shared" si="229"/>
        <v>4320001</v>
      </c>
    </row>
    <row r="3090" spans="2:10" s="3" customFormat="1">
      <c r="B3090" s="3" t="s">
        <v>2127</v>
      </c>
      <c r="C3090" s="8">
        <v>2</v>
      </c>
      <c r="D3090" s="3" t="s">
        <v>2188</v>
      </c>
      <c r="E3090" s="11" t="s">
        <v>10</v>
      </c>
      <c r="F3090" s="10">
        <v>1.119E-3</v>
      </c>
      <c r="G3090" s="12">
        <f>ROUND(G$3*F3090,0)</f>
        <v>322</v>
      </c>
      <c r="H3090" s="13">
        <f>ROUND(G3090/2,0)</f>
        <v>161</v>
      </c>
      <c r="I3090" s="12">
        <f>G3090-H3090</f>
        <v>161</v>
      </c>
      <c r="J3090" s="3" t="str">
        <f t="shared" si="229"/>
        <v>4320001</v>
      </c>
    </row>
    <row r="3091" spans="2:10" s="3" customFormat="1">
      <c r="B3091" s="3" t="s">
        <v>2127</v>
      </c>
      <c r="C3091" s="8">
        <v>2</v>
      </c>
      <c r="D3091" s="3" t="s">
        <v>2188</v>
      </c>
      <c r="E3091" s="11" t="s">
        <v>11</v>
      </c>
      <c r="F3091" s="10">
        <v>1.6000000000000001E-4</v>
      </c>
      <c r="G3091" s="12">
        <f>ROUND(G$3*F3091,0)</f>
        <v>46</v>
      </c>
      <c r="H3091" s="13">
        <f>ROUND(G3091/2,0)</f>
        <v>23</v>
      </c>
      <c r="I3091" s="12">
        <f>G3091-H3091</f>
        <v>23</v>
      </c>
      <c r="J3091" s="3" t="str">
        <f t="shared" si="229"/>
        <v>4320001</v>
      </c>
    </row>
    <row r="3092" spans="2:10" s="3" customFormat="1">
      <c r="B3092" s="3" t="s">
        <v>2127</v>
      </c>
      <c r="C3092" s="8">
        <v>2</v>
      </c>
      <c r="D3092" s="3" t="s">
        <v>2189</v>
      </c>
      <c r="E3092" s="11" t="s">
        <v>952</v>
      </c>
      <c r="F3092" s="11"/>
      <c r="G3092" s="9"/>
      <c r="H3092" s="11"/>
      <c r="I3092" s="11"/>
      <c r="J3092" s="3" t="str">
        <f t="shared" si="229"/>
        <v>4320002</v>
      </c>
    </row>
    <row r="3093" spans="2:10" s="3" customFormat="1">
      <c r="B3093" s="3" t="s">
        <v>2127</v>
      </c>
      <c r="C3093" s="8">
        <v>2</v>
      </c>
      <c r="D3093" s="3" t="s">
        <v>2189</v>
      </c>
      <c r="E3093" s="11" t="s">
        <v>10</v>
      </c>
      <c r="F3093" s="10">
        <v>5.7300000000000005E-4</v>
      </c>
      <c r="G3093" s="12">
        <f>ROUND(G$3*F3093,0)</f>
        <v>165</v>
      </c>
      <c r="H3093" s="13">
        <f>ROUND(G3093/2,0)</f>
        <v>83</v>
      </c>
      <c r="I3093" s="12">
        <f>G3093-H3093</f>
        <v>82</v>
      </c>
      <c r="J3093" s="3" t="str">
        <f t="shared" si="229"/>
        <v>4320002</v>
      </c>
    </row>
    <row r="3094" spans="2:10" s="3" customFormat="1">
      <c r="B3094" s="3" t="s">
        <v>2127</v>
      </c>
      <c r="C3094" s="8">
        <v>2</v>
      </c>
      <c r="D3094" s="3" t="s">
        <v>2189</v>
      </c>
      <c r="E3094" s="11" t="s">
        <v>11</v>
      </c>
      <c r="F3094" s="10">
        <v>3.19E-4</v>
      </c>
      <c r="G3094" s="12">
        <f>ROUND(G$3*F3094,0)</f>
        <v>92</v>
      </c>
      <c r="H3094" s="13">
        <f>ROUND(G3094/2,0)</f>
        <v>46</v>
      </c>
      <c r="I3094" s="12">
        <f>G3094-H3094</f>
        <v>46</v>
      </c>
      <c r="J3094" s="3" t="str">
        <f t="shared" si="229"/>
        <v>4320002</v>
      </c>
    </row>
    <row r="3095" spans="2:10" s="3" customFormat="1">
      <c r="B3095" s="3" t="s">
        <v>2127</v>
      </c>
      <c r="C3095" s="8">
        <v>2</v>
      </c>
      <c r="D3095" s="3" t="s">
        <v>2190</v>
      </c>
      <c r="E3095" s="11" t="s">
        <v>372</v>
      </c>
      <c r="F3095" s="11"/>
      <c r="G3095" s="9"/>
      <c r="H3095" s="11"/>
      <c r="I3095" s="11"/>
      <c r="J3095" s="3" t="str">
        <f t="shared" si="229"/>
        <v>4320003</v>
      </c>
    </row>
    <row r="3096" spans="2:10" s="3" customFormat="1">
      <c r="B3096" s="3" t="s">
        <v>2127</v>
      </c>
      <c r="C3096" s="8">
        <v>2</v>
      </c>
      <c r="D3096" s="3" t="s">
        <v>2190</v>
      </c>
      <c r="E3096" s="11" t="s">
        <v>10</v>
      </c>
      <c r="F3096" s="10">
        <v>2.1499999999999999E-4</v>
      </c>
      <c r="G3096" s="12">
        <f>ROUND(G$3*F3096,0)</f>
        <v>62</v>
      </c>
      <c r="H3096" s="13">
        <f>ROUND(G3096/2,0)</f>
        <v>31</v>
      </c>
      <c r="I3096" s="12">
        <f>G3096-H3096</f>
        <v>31</v>
      </c>
      <c r="J3096" s="3" t="str">
        <f t="shared" si="229"/>
        <v>4320003</v>
      </c>
    </row>
    <row r="3097" spans="2:10" s="3" customFormat="1">
      <c r="B3097" s="3" t="s">
        <v>2127</v>
      </c>
      <c r="C3097" s="8">
        <v>2</v>
      </c>
      <c r="D3097" s="3" t="s">
        <v>2190</v>
      </c>
      <c r="E3097" s="11" t="s">
        <v>11</v>
      </c>
      <c r="F3097" s="10">
        <v>3.8999999999999999E-5</v>
      </c>
      <c r="G3097" s="12">
        <f>ROUND(G$3*F3097,0)</f>
        <v>11</v>
      </c>
      <c r="H3097" s="13">
        <f>ROUND(G3097/2,0)</f>
        <v>6</v>
      </c>
      <c r="I3097" s="12">
        <f>G3097-H3097</f>
        <v>5</v>
      </c>
      <c r="J3097" s="3" t="str">
        <f t="shared" si="229"/>
        <v>4320003</v>
      </c>
    </row>
    <row r="3098" spans="2:10" s="3" customFormat="1">
      <c r="B3098" s="3" t="s">
        <v>2127</v>
      </c>
      <c r="C3098" s="8">
        <v>2</v>
      </c>
      <c r="D3098" s="3" t="s">
        <v>2191</v>
      </c>
      <c r="E3098" s="11" t="s">
        <v>86</v>
      </c>
      <c r="F3098" s="11"/>
      <c r="G3098" s="9"/>
      <c r="H3098" s="11"/>
      <c r="I3098" s="11"/>
      <c r="J3098" s="3" t="str">
        <f t="shared" si="229"/>
        <v>4320004</v>
      </c>
    </row>
    <row r="3099" spans="2:10" s="3" customFormat="1">
      <c r="B3099" s="3" t="s">
        <v>2127</v>
      </c>
      <c r="C3099" s="8">
        <v>2</v>
      </c>
      <c r="D3099" s="3" t="s">
        <v>2191</v>
      </c>
      <c r="E3099" s="11" t="s">
        <v>10</v>
      </c>
      <c r="F3099" s="10">
        <v>2.689E-3</v>
      </c>
      <c r="G3099" s="12">
        <f>ROUND(G$3*F3099,0)</f>
        <v>774</v>
      </c>
      <c r="H3099" s="13">
        <f>ROUND(G3099/2,0)</f>
        <v>387</v>
      </c>
      <c r="I3099" s="12">
        <f>G3099-H3099</f>
        <v>387</v>
      </c>
      <c r="J3099" s="3" t="str">
        <f t="shared" si="229"/>
        <v>4320004</v>
      </c>
    </row>
    <row r="3100" spans="2:10" s="3" customFormat="1">
      <c r="B3100" s="3" t="s">
        <v>2127</v>
      </c>
      <c r="C3100" s="8">
        <v>2</v>
      </c>
      <c r="D3100" s="3" t="s">
        <v>2191</v>
      </c>
      <c r="E3100" s="11" t="s">
        <v>11</v>
      </c>
      <c r="F3100" s="10">
        <v>4.2999999999999999E-4</v>
      </c>
      <c r="G3100" s="12">
        <f>ROUND(G$3*F3100,0)</f>
        <v>124</v>
      </c>
      <c r="H3100" s="13">
        <f>ROUND(G3100/2,0)</f>
        <v>62</v>
      </c>
      <c r="I3100" s="12">
        <f>G3100-H3100</f>
        <v>62</v>
      </c>
      <c r="J3100" s="3" t="str">
        <f t="shared" si="229"/>
        <v>4320004</v>
      </c>
    </row>
    <row r="3101" spans="2:10" s="3" customFormat="1">
      <c r="B3101" s="3" t="s">
        <v>2127</v>
      </c>
      <c r="C3101" s="8">
        <v>2</v>
      </c>
      <c r="D3101" s="3" t="s">
        <v>2192</v>
      </c>
      <c r="E3101" s="11" t="s">
        <v>49</v>
      </c>
      <c r="F3101" s="11"/>
      <c r="G3101" s="9"/>
      <c r="H3101" s="11"/>
      <c r="I3101" s="11"/>
      <c r="J3101" s="3" t="str">
        <f t="shared" si="229"/>
        <v>4320005</v>
      </c>
    </row>
    <row r="3102" spans="2:10" s="3" customFormat="1">
      <c r="B3102" s="3" t="s">
        <v>2127</v>
      </c>
      <c r="C3102" s="8">
        <v>2</v>
      </c>
      <c r="D3102" s="3" t="s">
        <v>2192</v>
      </c>
      <c r="E3102" s="11" t="s">
        <v>10</v>
      </c>
      <c r="F3102" s="10">
        <v>5.2700000000000002E-4</v>
      </c>
      <c r="G3102" s="12">
        <f>ROUND(G$3*F3102,0)</f>
        <v>152</v>
      </c>
      <c r="H3102" s="13">
        <f>ROUND(G3102/2,0)</f>
        <v>76</v>
      </c>
      <c r="I3102" s="12">
        <f>G3102-H3102</f>
        <v>76</v>
      </c>
      <c r="J3102" s="3" t="str">
        <f t="shared" si="229"/>
        <v>4320005</v>
      </c>
    </row>
    <row r="3103" spans="2:10" s="3" customFormat="1">
      <c r="B3103" s="3" t="s">
        <v>2127</v>
      </c>
      <c r="C3103" s="8">
        <v>2</v>
      </c>
      <c r="D3103" s="3" t="s">
        <v>2192</v>
      </c>
      <c r="E3103" s="11" t="s">
        <v>11</v>
      </c>
      <c r="F3103" s="10">
        <v>3.2699999999999998E-4</v>
      </c>
      <c r="G3103" s="12">
        <f>ROUND(G$3*F3103,0)</f>
        <v>94</v>
      </c>
      <c r="H3103" s="13">
        <f>ROUND(G3103/2,0)</f>
        <v>47</v>
      </c>
      <c r="I3103" s="12">
        <f>G3103-H3103</f>
        <v>47</v>
      </c>
      <c r="J3103" s="3" t="str">
        <f t="shared" si="229"/>
        <v>4320005</v>
      </c>
    </row>
    <row r="3104" spans="2:10" s="3" customFormat="1">
      <c r="B3104" s="3" t="s">
        <v>2127</v>
      </c>
      <c r="C3104" s="8">
        <v>2</v>
      </c>
      <c r="D3104" s="3" t="s">
        <v>2193</v>
      </c>
      <c r="E3104" s="11" t="s">
        <v>14</v>
      </c>
      <c r="F3104" s="11"/>
      <c r="G3104" s="9"/>
      <c r="H3104" s="11"/>
      <c r="I3104" s="11"/>
      <c r="J3104" s="3" t="str">
        <f t="shared" si="229"/>
        <v>4320006</v>
      </c>
    </row>
    <row r="3105" spans="2:10" s="3" customFormat="1">
      <c r="B3105" s="3" t="s">
        <v>2127</v>
      </c>
      <c r="C3105" s="8">
        <v>2</v>
      </c>
      <c r="D3105" s="3" t="s">
        <v>2193</v>
      </c>
      <c r="E3105" s="11" t="s">
        <v>10</v>
      </c>
      <c r="F3105" s="10">
        <v>2.42E-4</v>
      </c>
      <c r="G3105" s="12">
        <f>ROUND(G$3*F3105,0)</f>
        <v>70</v>
      </c>
      <c r="H3105" s="13">
        <f>ROUND(G3105/2,0)</f>
        <v>35</v>
      </c>
      <c r="I3105" s="12">
        <f>G3105-H3105</f>
        <v>35</v>
      </c>
      <c r="J3105" s="3" t="str">
        <f t="shared" si="229"/>
        <v>4320006</v>
      </c>
    </row>
    <row r="3106" spans="2:10" s="3" customFormat="1">
      <c r="B3106" s="3" t="s">
        <v>2127</v>
      </c>
      <c r="C3106" s="8">
        <v>2</v>
      </c>
      <c r="D3106" s="3" t="s">
        <v>2193</v>
      </c>
      <c r="E3106" s="11" t="s">
        <v>11</v>
      </c>
      <c r="F3106" s="10">
        <v>3.6999999999999998E-5</v>
      </c>
      <c r="G3106" s="12">
        <f>ROUND(G$3*F3106,0)</f>
        <v>11</v>
      </c>
      <c r="H3106" s="13">
        <f>ROUND(G3106/2,0)</f>
        <v>6</v>
      </c>
      <c r="I3106" s="12">
        <f>G3106-H3106</f>
        <v>5</v>
      </c>
      <c r="J3106" s="3" t="str">
        <f t="shared" si="229"/>
        <v>4320006</v>
      </c>
    </row>
    <row r="3107" spans="2:10" s="3" customFormat="1">
      <c r="B3107" s="3" t="s">
        <v>2127</v>
      </c>
      <c r="C3107" s="8">
        <v>2</v>
      </c>
      <c r="D3107" s="3" t="s">
        <v>2194</v>
      </c>
      <c r="E3107" s="11" t="s">
        <v>51</v>
      </c>
      <c r="F3107" s="11"/>
      <c r="G3107" s="9"/>
      <c r="H3107" s="11"/>
      <c r="I3107" s="11"/>
      <c r="J3107" s="3" t="str">
        <f t="shared" si="229"/>
        <v>4320007</v>
      </c>
    </row>
    <row r="3108" spans="2:10" s="3" customFormat="1">
      <c r="B3108" s="3" t="s">
        <v>2127</v>
      </c>
      <c r="C3108" s="8">
        <v>2</v>
      </c>
      <c r="D3108" s="3" t="s">
        <v>2194</v>
      </c>
      <c r="E3108" s="11" t="s">
        <v>10</v>
      </c>
      <c r="F3108" s="10">
        <v>2.1080000000000001E-3</v>
      </c>
      <c r="G3108" s="12">
        <f>ROUND(G$3*F3108,0)</f>
        <v>607</v>
      </c>
      <c r="H3108" s="13">
        <f>ROUND(G3108/2,0)</f>
        <v>304</v>
      </c>
      <c r="I3108" s="12">
        <f>G3108-H3108</f>
        <v>303</v>
      </c>
      <c r="J3108" s="3" t="str">
        <f t="shared" si="229"/>
        <v>4320007</v>
      </c>
    </row>
    <row r="3109" spans="2:10" s="3" customFormat="1">
      <c r="B3109" s="3" t="s">
        <v>2127</v>
      </c>
      <c r="C3109" s="8">
        <v>2</v>
      </c>
      <c r="D3109" s="3" t="s">
        <v>2194</v>
      </c>
      <c r="E3109" s="11" t="s">
        <v>11</v>
      </c>
      <c r="F3109" s="10">
        <v>3.9100000000000002E-4</v>
      </c>
      <c r="G3109" s="12">
        <f>ROUND(G$3*F3109,0)</f>
        <v>112</v>
      </c>
      <c r="H3109" s="13">
        <f>ROUND(G3109/2,0)</f>
        <v>56</v>
      </c>
      <c r="I3109" s="12">
        <f>G3109-H3109</f>
        <v>56</v>
      </c>
      <c r="J3109" s="3" t="str">
        <f t="shared" si="229"/>
        <v>4320007</v>
      </c>
    </row>
    <row r="3110" spans="2:10" s="3" customFormat="1">
      <c r="B3110" s="3" t="s">
        <v>2127</v>
      </c>
      <c r="C3110" s="8">
        <v>2</v>
      </c>
      <c r="D3110" s="3" t="s">
        <v>2195</v>
      </c>
      <c r="E3110" s="11" t="s">
        <v>16</v>
      </c>
      <c r="F3110" s="11"/>
      <c r="G3110" s="9"/>
      <c r="H3110" s="11"/>
      <c r="I3110" s="11"/>
      <c r="J3110" s="3" t="str">
        <f t="shared" si="229"/>
        <v>4320008</v>
      </c>
    </row>
    <row r="3111" spans="2:10" s="3" customFormat="1">
      <c r="B3111" s="3" t="s">
        <v>2127</v>
      </c>
      <c r="C3111" s="8">
        <v>2</v>
      </c>
      <c r="D3111" s="3" t="s">
        <v>2195</v>
      </c>
      <c r="E3111" s="11" t="s">
        <v>10</v>
      </c>
      <c r="F3111" s="10">
        <v>1.1E-4</v>
      </c>
      <c r="G3111" s="12">
        <f>ROUND(G$3*F3111,0)</f>
        <v>32</v>
      </c>
      <c r="H3111" s="13">
        <f>ROUND(G3111/2,0)</f>
        <v>16</v>
      </c>
      <c r="I3111" s="12">
        <f>G3111-H3111</f>
        <v>16</v>
      </c>
      <c r="J3111" s="3" t="str">
        <f t="shared" si="229"/>
        <v>4320008</v>
      </c>
    </row>
    <row r="3112" spans="2:10" s="3" customFormat="1">
      <c r="B3112" s="3" t="s">
        <v>2127</v>
      </c>
      <c r="C3112" s="8">
        <v>2</v>
      </c>
      <c r="D3112" s="3" t="s">
        <v>2195</v>
      </c>
      <c r="E3112" s="11" t="s">
        <v>11</v>
      </c>
      <c r="F3112" s="10">
        <v>6.7000000000000002E-5</v>
      </c>
      <c r="G3112" s="12">
        <f>ROUND(G$3*F3112,0)</f>
        <v>19</v>
      </c>
      <c r="H3112" s="13">
        <f>ROUND(G3112/2,0)</f>
        <v>10</v>
      </c>
      <c r="I3112" s="12">
        <f>G3112-H3112</f>
        <v>9</v>
      </c>
      <c r="J3112" s="3" t="str">
        <f t="shared" si="229"/>
        <v>4320008</v>
      </c>
    </row>
    <row r="3113" spans="2:10" s="3" customFormat="1">
      <c r="B3113" s="3" t="s">
        <v>2127</v>
      </c>
      <c r="C3113" s="8">
        <v>2</v>
      </c>
      <c r="D3113" s="3" t="s">
        <v>2196</v>
      </c>
      <c r="E3113" s="11" t="s">
        <v>953</v>
      </c>
      <c r="F3113" s="11"/>
      <c r="G3113" s="9"/>
      <c r="H3113" s="11"/>
      <c r="I3113" s="11"/>
      <c r="J3113" s="3" t="str">
        <f t="shared" si="229"/>
        <v>4320009</v>
      </c>
    </row>
    <row r="3114" spans="2:10" s="3" customFormat="1">
      <c r="B3114" s="3" t="s">
        <v>2127</v>
      </c>
      <c r="C3114" s="8">
        <v>2</v>
      </c>
      <c r="D3114" s="3" t="s">
        <v>2196</v>
      </c>
      <c r="E3114" s="11" t="s">
        <v>10</v>
      </c>
      <c r="F3114" s="10">
        <v>6.8849999999999996E-3</v>
      </c>
      <c r="G3114" s="12">
        <f>ROUND(G$3*F3114,0)</f>
        <v>1981</v>
      </c>
      <c r="H3114" s="13">
        <f>ROUND(G3114/2,0)</f>
        <v>991</v>
      </c>
      <c r="I3114" s="12">
        <f>G3114-H3114</f>
        <v>990</v>
      </c>
      <c r="J3114" s="3" t="str">
        <f t="shared" si="229"/>
        <v>4320009</v>
      </c>
    </row>
    <row r="3115" spans="2:10" s="3" customFormat="1">
      <c r="B3115" s="3" t="s">
        <v>2127</v>
      </c>
      <c r="C3115" s="8">
        <v>2</v>
      </c>
      <c r="D3115" s="3" t="s">
        <v>2196</v>
      </c>
      <c r="E3115" s="11" t="s">
        <v>11</v>
      </c>
      <c r="F3115" s="10">
        <v>1.168E-3</v>
      </c>
      <c r="G3115" s="12">
        <f>ROUND(G$3*F3115,0)</f>
        <v>336</v>
      </c>
      <c r="H3115" s="13">
        <f>ROUND(G3115/2,0)</f>
        <v>168</v>
      </c>
      <c r="I3115" s="12">
        <f>G3115-H3115</f>
        <v>168</v>
      </c>
      <c r="J3115" s="3" t="str">
        <f t="shared" si="229"/>
        <v>4320009</v>
      </c>
    </row>
    <row r="3116" spans="2:10" s="3" customFormat="1">
      <c r="B3116" s="3" t="s">
        <v>2127</v>
      </c>
      <c r="C3116" s="8">
        <v>2</v>
      </c>
      <c r="D3116" s="3" t="s">
        <v>2197</v>
      </c>
      <c r="E3116" s="11" t="s">
        <v>744</v>
      </c>
      <c r="F3116" s="11"/>
      <c r="G3116" s="9"/>
      <c r="H3116" s="11"/>
      <c r="I3116" s="11"/>
      <c r="J3116" s="3" t="str">
        <f t="shared" si="229"/>
        <v>4320010</v>
      </c>
    </row>
    <row r="3117" spans="2:10" s="3" customFormat="1">
      <c r="B3117" s="3" t="s">
        <v>2127</v>
      </c>
      <c r="C3117" s="8">
        <v>2</v>
      </c>
      <c r="D3117" s="3" t="s">
        <v>2197</v>
      </c>
      <c r="E3117" s="11" t="s">
        <v>10</v>
      </c>
      <c r="F3117" s="10">
        <v>8.0900000000000004E-4</v>
      </c>
      <c r="G3117" s="12">
        <f>ROUND(G$3*F3117,0)</f>
        <v>233</v>
      </c>
      <c r="H3117" s="13">
        <f>ROUND(G3117/2,0)</f>
        <v>117</v>
      </c>
      <c r="I3117" s="12">
        <f>G3117-H3117</f>
        <v>116</v>
      </c>
      <c r="J3117" s="3" t="str">
        <f t="shared" si="229"/>
        <v>4320010</v>
      </c>
    </row>
    <row r="3118" spans="2:10" s="3" customFormat="1">
      <c r="B3118" s="3" t="s">
        <v>2127</v>
      </c>
      <c r="C3118" s="8">
        <v>2</v>
      </c>
      <c r="D3118" s="3" t="s">
        <v>2197</v>
      </c>
      <c r="E3118" s="11" t="s">
        <v>11</v>
      </c>
      <c r="F3118" s="10">
        <v>3.39E-4</v>
      </c>
      <c r="G3118" s="12">
        <f>ROUND(G$3*F3118,0)</f>
        <v>98</v>
      </c>
      <c r="H3118" s="13">
        <f>ROUND(G3118/2,0)</f>
        <v>49</v>
      </c>
      <c r="I3118" s="12">
        <f>G3118-H3118</f>
        <v>49</v>
      </c>
      <c r="J3118" s="3" t="str">
        <f t="shared" si="229"/>
        <v>4320010</v>
      </c>
    </row>
    <row r="3119" spans="2:10" s="3" customFormat="1">
      <c r="B3119" s="3" t="s">
        <v>2127</v>
      </c>
      <c r="C3119" s="8">
        <v>2</v>
      </c>
      <c r="D3119" s="3" t="s">
        <v>2198</v>
      </c>
      <c r="E3119" s="11" t="s">
        <v>954</v>
      </c>
      <c r="F3119" s="11"/>
      <c r="G3119" s="9"/>
      <c r="H3119" s="11"/>
      <c r="I3119" s="11"/>
      <c r="J3119" s="3" t="str">
        <f t="shared" si="229"/>
        <v>4320011</v>
      </c>
    </row>
    <row r="3120" spans="2:10" s="3" customFormat="1">
      <c r="B3120" s="3" t="s">
        <v>2127</v>
      </c>
      <c r="C3120" s="8">
        <v>2</v>
      </c>
      <c r="D3120" s="3" t="s">
        <v>2198</v>
      </c>
      <c r="E3120" s="11" t="s">
        <v>10</v>
      </c>
      <c r="F3120" s="10">
        <v>1.5699999999999999E-4</v>
      </c>
      <c r="G3120" s="12">
        <f>ROUND(G$3*F3120,0)</f>
        <v>45</v>
      </c>
      <c r="H3120" s="13">
        <f>ROUND(G3120/2,0)</f>
        <v>23</v>
      </c>
      <c r="I3120" s="12">
        <f>G3120-H3120</f>
        <v>22</v>
      </c>
      <c r="J3120" s="3" t="str">
        <f t="shared" si="229"/>
        <v>4320011</v>
      </c>
    </row>
    <row r="3121" spans="2:10" s="3" customFormat="1">
      <c r="B3121" s="3" t="s">
        <v>2127</v>
      </c>
      <c r="C3121" s="8">
        <v>2</v>
      </c>
      <c r="D3121" s="3" t="s">
        <v>2198</v>
      </c>
      <c r="E3121" s="11" t="s">
        <v>11</v>
      </c>
      <c r="F3121" s="10">
        <v>1.16E-4</v>
      </c>
      <c r="G3121" s="12">
        <f>ROUND(G$3*F3121,0)</f>
        <v>33</v>
      </c>
      <c r="H3121" s="13">
        <f>ROUND(G3121/2,0)</f>
        <v>17</v>
      </c>
      <c r="I3121" s="12">
        <f>G3121-H3121</f>
        <v>16</v>
      </c>
      <c r="J3121" s="3" t="str">
        <f t="shared" si="229"/>
        <v>4320011</v>
      </c>
    </row>
    <row r="3122" spans="2:10" s="3" customFormat="1">
      <c r="B3122" s="3" t="s">
        <v>2127</v>
      </c>
      <c r="C3122" s="8">
        <v>2</v>
      </c>
      <c r="D3122" s="3" t="s">
        <v>2199</v>
      </c>
      <c r="E3122" s="11" t="s">
        <v>955</v>
      </c>
      <c r="F3122" s="11"/>
      <c r="G3122" s="9"/>
      <c r="H3122" s="11"/>
      <c r="I3122" s="11"/>
      <c r="J3122" s="3" t="str">
        <f t="shared" si="229"/>
        <v>4320012</v>
      </c>
    </row>
    <row r="3123" spans="2:10" s="3" customFormat="1">
      <c r="B3123" s="3" t="s">
        <v>2127</v>
      </c>
      <c r="C3123" s="8">
        <v>2</v>
      </c>
      <c r="D3123" s="3" t="s">
        <v>2199</v>
      </c>
      <c r="E3123" s="11" t="s">
        <v>10</v>
      </c>
      <c r="F3123" s="10">
        <v>1.9589999999999998E-3</v>
      </c>
      <c r="G3123" s="12">
        <f>ROUND(G$3*F3123,0)</f>
        <v>564</v>
      </c>
      <c r="H3123" s="13">
        <f>ROUND(G3123/2,0)</f>
        <v>282</v>
      </c>
      <c r="I3123" s="12">
        <f>G3123-H3123</f>
        <v>282</v>
      </c>
      <c r="J3123" s="3" t="str">
        <f t="shared" si="229"/>
        <v>4320012</v>
      </c>
    </row>
    <row r="3124" spans="2:10" s="3" customFormat="1">
      <c r="B3124" s="3" t="s">
        <v>2127</v>
      </c>
      <c r="C3124" s="8">
        <v>2</v>
      </c>
      <c r="D3124" s="3" t="s">
        <v>2199</v>
      </c>
      <c r="E3124" s="11" t="s">
        <v>11</v>
      </c>
      <c r="F3124" s="10">
        <v>2.3809999999999999E-3</v>
      </c>
      <c r="G3124" s="12">
        <f>ROUND(G$3*F3124,0)</f>
        <v>685</v>
      </c>
      <c r="H3124" s="13">
        <f>ROUND(G3124/2,0)</f>
        <v>343</v>
      </c>
      <c r="I3124" s="12">
        <f>G3124-H3124</f>
        <v>342</v>
      </c>
      <c r="J3124" s="3" t="str">
        <f t="shared" si="229"/>
        <v>4320012</v>
      </c>
    </row>
    <row r="3125" spans="2:10" s="3" customFormat="1">
      <c r="B3125" s="3" t="s">
        <v>2127</v>
      </c>
      <c r="C3125" s="8">
        <v>2</v>
      </c>
      <c r="D3125" s="3" t="s">
        <v>2208</v>
      </c>
      <c r="E3125" s="11" t="s">
        <v>183</v>
      </c>
      <c r="F3125" s="11"/>
      <c r="G3125" s="9"/>
      <c r="H3125" s="11"/>
      <c r="I3125" s="11"/>
      <c r="J3125" s="3" t="str">
        <f t="shared" si="229"/>
        <v>4320013</v>
      </c>
    </row>
    <row r="3126" spans="2:10" s="3" customFormat="1">
      <c r="B3126" s="3" t="s">
        <v>2127</v>
      </c>
      <c r="C3126" s="8">
        <v>2</v>
      </c>
      <c r="D3126" s="3" t="s">
        <v>2208</v>
      </c>
      <c r="E3126" s="11" t="s">
        <v>10</v>
      </c>
      <c r="F3126" s="10">
        <v>1.668E-3</v>
      </c>
      <c r="G3126" s="12">
        <f>ROUND(G$3*F3126,0)</f>
        <v>480</v>
      </c>
      <c r="H3126" s="13">
        <f>ROUND(G3126/2,0)</f>
        <v>240</v>
      </c>
      <c r="I3126" s="12">
        <f>G3126-H3126</f>
        <v>240</v>
      </c>
      <c r="J3126" s="3" t="str">
        <f t="shared" si="229"/>
        <v>4320013</v>
      </c>
    </row>
    <row r="3127" spans="2:10" s="3" customFormat="1">
      <c r="B3127" s="3" t="s">
        <v>2127</v>
      </c>
      <c r="C3127" s="8">
        <v>2</v>
      </c>
      <c r="D3127" s="3" t="s">
        <v>2208</v>
      </c>
      <c r="E3127" s="11" t="s">
        <v>11</v>
      </c>
      <c r="F3127" s="10">
        <v>1.1249999999999999E-3</v>
      </c>
      <c r="G3127" s="12">
        <f>ROUND(G$3*F3127,0)</f>
        <v>324</v>
      </c>
      <c r="H3127" s="13">
        <f>ROUND(G3127/2,0)</f>
        <v>162</v>
      </c>
      <c r="I3127" s="12">
        <f>G3127-H3127</f>
        <v>162</v>
      </c>
      <c r="J3127" s="3" t="str">
        <f t="shared" si="229"/>
        <v>4320013</v>
      </c>
    </row>
    <row r="3128" spans="2:10" s="3" customFormat="1">
      <c r="B3128" s="3" t="s">
        <v>2127</v>
      </c>
      <c r="C3128" s="8">
        <v>2</v>
      </c>
      <c r="D3128" s="3" t="s">
        <v>2209</v>
      </c>
      <c r="E3128" s="11" t="s">
        <v>956</v>
      </c>
      <c r="F3128" s="11"/>
      <c r="G3128" s="9"/>
      <c r="H3128" s="11"/>
      <c r="I3128" s="11"/>
      <c r="J3128" s="3" t="str">
        <f t="shared" si="229"/>
        <v>4320014</v>
      </c>
    </row>
    <row r="3129" spans="2:10" s="3" customFormat="1">
      <c r="B3129" s="3" t="s">
        <v>2127</v>
      </c>
      <c r="C3129" s="8">
        <v>2</v>
      </c>
      <c r="D3129" s="3" t="s">
        <v>2209</v>
      </c>
      <c r="E3129" s="11" t="s">
        <v>10</v>
      </c>
      <c r="F3129" s="10">
        <v>8.5800000000000004E-4</v>
      </c>
      <c r="G3129" s="12">
        <f>ROUND(G$3*F3129,0)</f>
        <v>247</v>
      </c>
      <c r="H3129" s="13">
        <f>ROUND(G3129/2,0)</f>
        <v>124</v>
      </c>
      <c r="I3129" s="12">
        <f>G3129-H3129</f>
        <v>123</v>
      </c>
      <c r="J3129" s="3" t="str">
        <f t="shared" si="229"/>
        <v>4320014</v>
      </c>
    </row>
    <row r="3130" spans="2:10" s="3" customFormat="1">
      <c r="B3130" s="3" t="s">
        <v>2127</v>
      </c>
      <c r="C3130" s="8">
        <v>2</v>
      </c>
      <c r="D3130" s="3" t="s">
        <v>2209</v>
      </c>
      <c r="E3130" s="11" t="s">
        <v>11</v>
      </c>
      <c r="F3130" s="10">
        <v>8.0900000000000004E-4</v>
      </c>
      <c r="G3130" s="12">
        <f>ROUND(G$3*F3130,0)</f>
        <v>233</v>
      </c>
      <c r="H3130" s="13">
        <f>ROUND(G3130/2,0)</f>
        <v>117</v>
      </c>
      <c r="I3130" s="12">
        <f>G3130-H3130</f>
        <v>116</v>
      </c>
      <c r="J3130" s="3" t="str">
        <f t="shared" si="229"/>
        <v>4320014</v>
      </c>
    </row>
    <row r="3131" spans="2:10" s="3" customFormat="1">
      <c r="B3131" s="3" t="s">
        <v>2127</v>
      </c>
      <c r="C3131" s="8">
        <v>2</v>
      </c>
      <c r="D3131" s="3" t="s">
        <v>2204</v>
      </c>
      <c r="E3131" s="11" t="s">
        <v>169</v>
      </c>
      <c r="F3131" s="11"/>
      <c r="G3131" s="9"/>
      <c r="H3131" s="11"/>
      <c r="I3131" s="11"/>
      <c r="J3131" s="3" t="str">
        <f t="shared" si="229"/>
        <v>4320015</v>
      </c>
    </row>
    <row r="3132" spans="2:10" s="3" customFormat="1">
      <c r="B3132" s="3" t="s">
        <v>2127</v>
      </c>
      <c r="C3132" s="8">
        <v>2</v>
      </c>
      <c r="D3132" s="3" t="s">
        <v>2204</v>
      </c>
      <c r="E3132" s="11" t="s">
        <v>10</v>
      </c>
      <c r="F3132" s="10">
        <v>1.1440000000000001E-3</v>
      </c>
      <c r="G3132" s="12">
        <f>ROUND(G$3*F3132,0)</f>
        <v>329</v>
      </c>
      <c r="H3132" s="13">
        <f>ROUND(G3132/2,0)</f>
        <v>165</v>
      </c>
      <c r="I3132" s="12">
        <f>G3132-H3132</f>
        <v>164</v>
      </c>
      <c r="J3132" s="3" t="str">
        <f t="shared" si="229"/>
        <v>4320015</v>
      </c>
    </row>
    <row r="3133" spans="2:10" s="3" customFormat="1">
      <c r="B3133" s="3" t="s">
        <v>2127</v>
      </c>
      <c r="C3133" s="8">
        <v>2</v>
      </c>
      <c r="D3133" s="3" t="s">
        <v>2204</v>
      </c>
      <c r="E3133" s="11" t="s">
        <v>11</v>
      </c>
      <c r="F3133" s="10">
        <v>2.0000000000000001E-4</v>
      </c>
      <c r="G3133" s="12">
        <f>ROUND(G$3*F3133,0)</f>
        <v>58</v>
      </c>
      <c r="H3133" s="13">
        <f>ROUND(G3133/2,0)</f>
        <v>29</v>
      </c>
      <c r="I3133" s="12">
        <f>G3133-H3133</f>
        <v>29</v>
      </c>
      <c r="J3133" s="3" t="str">
        <f t="shared" si="229"/>
        <v>4320015</v>
      </c>
    </row>
    <row r="3134" spans="2:10" s="3" customFormat="1">
      <c r="B3134" s="3" t="s">
        <v>2127</v>
      </c>
      <c r="C3134" s="8">
        <v>2</v>
      </c>
      <c r="D3134" s="3" t="s">
        <v>2210</v>
      </c>
      <c r="E3134" s="11" t="s">
        <v>22</v>
      </c>
      <c r="F3134" s="11"/>
      <c r="G3134" s="9"/>
      <c r="H3134" s="11"/>
      <c r="I3134" s="11"/>
      <c r="J3134" s="3" t="str">
        <f t="shared" si="229"/>
        <v>4320016</v>
      </c>
    </row>
    <row r="3135" spans="2:10" s="3" customFormat="1">
      <c r="B3135" s="3" t="s">
        <v>2127</v>
      </c>
      <c r="C3135" s="8">
        <v>2</v>
      </c>
      <c r="D3135" s="3" t="s">
        <v>2210</v>
      </c>
      <c r="E3135" s="11" t="s">
        <v>10</v>
      </c>
      <c r="F3135" s="10">
        <v>1.196E-3</v>
      </c>
      <c r="G3135" s="12">
        <f>ROUND(G$3*F3135,0)</f>
        <v>344</v>
      </c>
      <c r="H3135" s="13">
        <f>ROUND(G3135/2,0)</f>
        <v>172</v>
      </c>
      <c r="I3135" s="12">
        <f>G3135-H3135</f>
        <v>172</v>
      </c>
      <c r="J3135" s="3" t="str">
        <f t="shared" si="229"/>
        <v>4320016</v>
      </c>
    </row>
    <row r="3136" spans="2:10" s="3" customFormat="1">
      <c r="B3136" s="3" t="s">
        <v>2127</v>
      </c>
      <c r="C3136" s="8">
        <v>2</v>
      </c>
      <c r="D3136" s="3" t="s">
        <v>2210</v>
      </c>
      <c r="E3136" s="11" t="s">
        <v>11</v>
      </c>
      <c r="F3136" s="10">
        <v>6.02E-4</v>
      </c>
      <c r="G3136" s="12">
        <f>ROUND(G$3*F3136,0)</f>
        <v>173</v>
      </c>
      <c r="H3136" s="13">
        <f>ROUND(G3136/2,0)</f>
        <v>87</v>
      </c>
      <c r="I3136" s="12">
        <f>G3136-H3136</f>
        <v>86</v>
      </c>
      <c r="J3136" s="3" t="str">
        <f t="shared" si="229"/>
        <v>4320016</v>
      </c>
    </row>
    <row r="3137" spans="1:10" s="3" customFormat="1">
      <c r="B3137" s="3" t="s">
        <v>2127</v>
      </c>
      <c r="C3137" s="8">
        <v>2</v>
      </c>
      <c r="D3137" s="3" t="s">
        <v>2211</v>
      </c>
      <c r="E3137" s="11" t="s">
        <v>61</v>
      </c>
      <c r="F3137" s="11"/>
      <c r="G3137" s="9"/>
      <c r="H3137" s="11"/>
      <c r="I3137" s="11"/>
      <c r="J3137" s="3" t="str">
        <f t="shared" si="229"/>
        <v>4320017</v>
      </c>
    </row>
    <row r="3138" spans="1:10" s="3" customFormat="1">
      <c r="B3138" s="3" t="s">
        <v>2127</v>
      </c>
      <c r="C3138" s="8">
        <v>2</v>
      </c>
      <c r="D3138" s="3" t="s">
        <v>2211</v>
      </c>
      <c r="E3138" s="11" t="s">
        <v>10</v>
      </c>
      <c r="F3138" s="10">
        <v>4.836E-3</v>
      </c>
      <c r="G3138" s="12">
        <f t="shared" ref="G3138:G3154" si="230">ROUND(G$3*F3138,0)</f>
        <v>1391</v>
      </c>
      <c r="H3138" s="13">
        <f t="shared" ref="H3138:H3154" si="231">ROUND(G3138/2,0)</f>
        <v>696</v>
      </c>
      <c r="I3138" s="12">
        <f t="shared" ref="I3138:I3154" si="232">G3138-H3138</f>
        <v>695</v>
      </c>
      <c r="J3138" s="3" t="str">
        <f t="shared" si="229"/>
        <v>4320017</v>
      </c>
    </row>
    <row r="3139" spans="1:10" s="3" customFormat="1">
      <c r="B3139" s="3" t="s">
        <v>2127</v>
      </c>
      <c r="C3139" s="8">
        <v>2</v>
      </c>
      <c r="D3139" s="3" t="s">
        <v>2211</v>
      </c>
      <c r="E3139" s="11" t="s">
        <v>11</v>
      </c>
      <c r="F3139" s="10">
        <v>7.4200000000000004E-4</v>
      </c>
      <c r="G3139" s="12">
        <f t="shared" si="230"/>
        <v>213</v>
      </c>
      <c r="H3139" s="13">
        <f t="shared" si="231"/>
        <v>107</v>
      </c>
      <c r="I3139" s="12">
        <f t="shared" si="232"/>
        <v>106</v>
      </c>
      <c r="J3139" s="3" t="str">
        <f t="shared" si="229"/>
        <v>4320017</v>
      </c>
    </row>
    <row r="3140" spans="1:10" s="3" customFormat="1">
      <c r="B3140" s="3" t="s">
        <v>2127</v>
      </c>
      <c r="C3140" s="8">
        <v>3</v>
      </c>
      <c r="D3140" s="3" t="s">
        <v>2670</v>
      </c>
      <c r="E3140" s="11" t="s">
        <v>957</v>
      </c>
      <c r="F3140" s="10">
        <v>2.61E-4</v>
      </c>
      <c r="G3140" s="12">
        <f t="shared" si="230"/>
        <v>75</v>
      </c>
      <c r="H3140" s="13">
        <f t="shared" si="231"/>
        <v>38</v>
      </c>
      <c r="I3140" s="12">
        <f t="shared" si="232"/>
        <v>37</v>
      </c>
      <c r="J3140" s="3" t="str">
        <f t="shared" ref="J3140:J3203" si="233">B3140&amp;C3140&amp;D3140</f>
        <v>4330715</v>
      </c>
    </row>
    <row r="3141" spans="1:10" s="3" customFormat="1">
      <c r="B3141" s="3" t="s">
        <v>2127</v>
      </c>
      <c r="C3141" s="8">
        <v>3</v>
      </c>
      <c r="D3141" s="3" t="s">
        <v>2671</v>
      </c>
      <c r="E3141" s="11" t="s">
        <v>958</v>
      </c>
      <c r="F3141" s="10">
        <v>1.85E-4</v>
      </c>
      <c r="G3141" s="12">
        <f t="shared" si="230"/>
        <v>53</v>
      </c>
      <c r="H3141" s="13">
        <f t="shared" si="231"/>
        <v>27</v>
      </c>
      <c r="I3141" s="12">
        <f t="shared" si="232"/>
        <v>26</v>
      </c>
      <c r="J3141" s="3" t="str">
        <f t="shared" si="233"/>
        <v>4330716</v>
      </c>
    </row>
    <row r="3142" spans="1:10" s="3" customFormat="1">
      <c r="A3142" s="3" t="s">
        <v>6269</v>
      </c>
      <c r="B3142" s="3" t="s">
        <v>2127</v>
      </c>
      <c r="C3142" s="8">
        <v>3</v>
      </c>
      <c r="D3142" s="3" t="s">
        <v>2672</v>
      </c>
      <c r="E3142" s="11" t="s">
        <v>959</v>
      </c>
      <c r="F3142" s="10">
        <v>0</v>
      </c>
      <c r="G3142" s="12">
        <f t="shared" si="230"/>
        <v>0</v>
      </c>
      <c r="H3142" s="13">
        <f t="shared" si="231"/>
        <v>0</v>
      </c>
      <c r="I3142" s="12">
        <f t="shared" si="232"/>
        <v>0</v>
      </c>
      <c r="J3142" s="3" t="str">
        <f t="shared" si="233"/>
        <v>4330717</v>
      </c>
    </row>
    <row r="3143" spans="1:10" s="3" customFormat="1">
      <c r="B3143" s="3" t="s">
        <v>2127</v>
      </c>
      <c r="C3143" s="8">
        <v>3</v>
      </c>
      <c r="D3143" s="3" t="s">
        <v>2673</v>
      </c>
      <c r="E3143" s="11" t="s">
        <v>960</v>
      </c>
      <c r="F3143" s="10">
        <v>9.5600000000000004E-4</v>
      </c>
      <c r="G3143" s="12">
        <f t="shared" si="230"/>
        <v>275</v>
      </c>
      <c r="H3143" s="13">
        <f t="shared" si="231"/>
        <v>138</v>
      </c>
      <c r="I3143" s="12">
        <f t="shared" si="232"/>
        <v>137</v>
      </c>
      <c r="J3143" s="3" t="str">
        <f t="shared" si="233"/>
        <v>4330718</v>
      </c>
    </row>
    <row r="3144" spans="1:10" s="3" customFormat="1">
      <c r="B3144" s="3" t="s">
        <v>2127</v>
      </c>
      <c r="C3144" s="8">
        <v>3</v>
      </c>
      <c r="D3144" s="3" t="s">
        <v>2674</v>
      </c>
      <c r="E3144" s="11" t="s">
        <v>961</v>
      </c>
      <c r="F3144" s="10">
        <v>2.5739999999999999E-3</v>
      </c>
      <c r="G3144" s="12">
        <f t="shared" si="230"/>
        <v>741</v>
      </c>
      <c r="H3144" s="13">
        <f t="shared" si="231"/>
        <v>371</v>
      </c>
      <c r="I3144" s="12">
        <f t="shared" si="232"/>
        <v>370</v>
      </c>
      <c r="J3144" s="3" t="str">
        <f t="shared" si="233"/>
        <v>4330719</v>
      </c>
    </row>
    <row r="3145" spans="1:10" s="3" customFormat="1">
      <c r="B3145" s="3" t="s">
        <v>2127</v>
      </c>
      <c r="C3145" s="8">
        <v>3</v>
      </c>
      <c r="D3145" s="3" t="s">
        <v>2675</v>
      </c>
      <c r="E3145" s="11" t="s">
        <v>357</v>
      </c>
      <c r="F3145" s="10">
        <v>4.3779999999999999E-3</v>
      </c>
      <c r="G3145" s="12">
        <f t="shared" si="230"/>
        <v>1260</v>
      </c>
      <c r="H3145" s="13">
        <f t="shared" si="231"/>
        <v>630</v>
      </c>
      <c r="I3145" s="12">
        <f t="shared" si="232"/>
        <v>630</v>
      </c>
      <c r="J3145" s="3" t="str">
        <f t="shared" si="233"/>
        <v>4330720</v>
      </c>
    </row>
    <row r="3146" spans="1:10" s="3" customFormat="1">
      <c r="A3146" s="3" t="s">
        <v>6269</v>
      </c>
      <c r="B3146" s="3" t="s">
        <v>2127</v>
      </c>
      <c r="C3146" s="8">
        <v>3</v>
      </c>
      <c r="D3146" s="3" t="s">
        <v>2405</v>
      </c>
      <c r="E3146" s="11" t="s">
        <v>462</v>
      </c>
      <c r="F3146" s="10">
        <v>0</v>
      </c>
      <c r="G3146" s="12">
        <f t="shared" si="230"/>
        <v>0</v>
      </c>
      <c r="H3146" s="13">
        <f t="shared" si="231"/>
        <v>0</v>
      </c>
      <c r="I3146" s="12">
        <f t="shared" si="232"/>
        <v>0</v>
      </c>
      <c r="J3146" s="3" t="str">
        <f t="shared" si="233"/>
        <v>4330444</v>
      </c>
    </row>
    <row r="3147" spans="1:10" s="3" customFormat="1">
      <c r="B3147" s="3" t="s">
        <v>2127</v>
      </c>
      <c r="C3147" s="8">
        <v>3</v>
      </c>
      <c r="D3147" s="3" t="s">
        <v>2676</v>
      </c>
      <c r="E3147" s="11" t="s">
        <v>962</v>
      </c>
      <c r="F3147" s="10">
        <v>2.7079999999999999E-3</v>
      </c>
      <c r="G3147" s="12">
        <f t="shared" si="230"/>
        <v>779</v>
      </c>
      <c r="H3147" s="13">
        <f t="shared" si="231"/>
        <v>390</v>
      </c>
      <c r="I3147" s="12">
        <f t="shared" si="232"/>
        <v>389</v>
      </c>
      <c r="J3147" s="3" t="str">
        <f t="shared" si="233"/>
        <v>4330721</v>
      </c>
    </row>
    <row r="3148" spans="1:10" s="3" customFormat="1">
      <c r="B3148" s="3" t="s">
        <v>2127</v>
      </c>
      <c r="C3148" s="8">
        <v>3</v>
      </c>
      <c r="D3148" s="3" t="s">
        <v>2677</v>
      </c>
      <c r="E3148" s="11" t="s">
        <v>963</v>
      </c>
      <c r="F3148" s="10">
        <v>2.7339999999999999E-3</v>
      </c>
      <c r="G3148" s="12">
        <f t="shared" si="230"/>
        <v>787</v>
      </c>
      <c r="H3148" s="13">
        <f t="shared" si="231"/>
        <v>394</v>
      </c>
      <c r="I3148" s="12">
        <f t="shared" si="232"/>
        <v>393</v>
      </c>
      <c r="J3148" s="3" t="str">
        <f t="shared" si="233"/>
        <v>4330722</v>
      </c>
    </row>
    <row r="3149" spans="1:10" s="3" customFormat="1">
      <c r="A3149" s="3" t="s">
        <v>6269</v>
      </c>
      <c r="B3149" s="3" t="s">
        <v>2127</v>
      </c>
      <c r="C3149" s="8">
        <v>3</v>
      </c>
      <c r="D3149" s="3" t="s">
        <v>2678</v>
      </c>
      <c r="E3149" s="11" t="s">
        <v>964</v>
      </c>
      <c r="F3149" s="10">
        <v>0</v>
      </c>
      <c r="G3149" s="12">
        <f t="shared" si="230"/>
        <v>0</v>
      </c>
      <c r="H3149" s="13">
        <f t="shared" si="231"/>
        <v>0</v>
      </c>
      <c r="I3149" s="12">
        <f t="shared" si="232"/>
        <v>0</v>
      </c>
      <c r="J3149" s="3" t="str">
        <f t="shared" si="233"/>
        <v>4330723</v>
      </c>
    </row>
    <row r="3150" spans="1:10" s="3" customFormat="1">
      <c r="B3150" s="3" t="s">
        <v>2127</v>
      </c>
      <c r="C3150" s="8">
        <v>3</v>
      </c>
      <c r="D3150" s="3" t="s">
        <v>2679</v>
      </c>
      <c r="E3150" s="11" t="s">
        <v>965</v>
      </c>
      <c r="F3150" s="10">
        <v>2.6999999999999999E-5</v>
      </c>
      <c r="G3150" s="12">
        <f t="shared" si="230"/>
        <v>8</v>
      </c>
      <c r="H3150" s="13">
        <f t="shared" si="231"/>
        <v>4</v>
      </c>
      <c r="I3150" s="12">
        <f t="shared" si="232"/>
        <v>4</v>
      </c>
      <c r="J3150" s="3" t="str">
        <f t="shared" si="233"/>
        <v>4330724</v>
      </c>
    </row>
    <row r="3151" spans="1:10" s="3" customFormat="1">
      <c r="B3151" s="3" t="s">
        <v>2127</v>
      </c>
      <c r="C3151" s="8" t="s">
        <v>3155</v>
      </c>
      <c r="D3151" s="3" t="s">
        <v>3815</v>
      </c>
      <c r="E3151" s="11" t="s">
        <v>966</v>
      </c>
      <c r="F3151" s="10">
        <v>3.7309999999999999E-3</v>
      </c>
      <c r="G3151" s="12">
        <f t="shared" si="230"/>
        <v>1073</v>
      </c>
      <c r="H3151" s="13">
        <f t="shared" si="231"/>
        <v>537</v>
      </c>
      <c r="I3151" s="12">
        <f t="shared" si="232"/>
        <v>536</v>
      </c>
      <c r="J3151" s="3" t="str">
        <f t="shared" si="233"/>
        <v>4330725</v>
      </c>
    </row>
    <row r="3152" spans="1:10" s="3" customFormat="1">
      <c r="B3152" s="3" t="s">
        <v>2127</v>
      </c>
      <c r="C3152" s="8">
        <v>3</v>
      </c>
      <c r="D3152" s="3" t="s">
        <v>2669</v>
      </c>
      <c r="E3152" s="11" t="s">
        <v>967</v>
      </c>
      <c r="F3152" s="10">
        <v>4.6195E-2</v>
      </c>
      <c r="G3152" s="12">
        <f t="shared" si="230"/>
        <v>13291</v>
      </c>
      <c r="H3152" s="13">
        <f t="shared" si="231"/>
        <v>6646</v>
      </c>
      <c r="I3152" s="12">
        <f t="shared" si="232"/>
        <v>6645</v>
      </c>
      <c r="J3152" s="3" t="str">
        <f t="shared" si="233"/>
        <v>4330414</v>
      </c>
    </row>
    <row r="3153" spans="2:10" s="3" customFormat="1">
      <c r="B3153" s="3" t="s">
        <v>2127</v>
      </c>
      <c r="C3153" s="8">
        <v>3</v>
      </c>
      <c r="D3153" s="3" t="s">
        <v>2680</v>
      </c>
      <c r="E3153" s="11" t="s">
        <v>968</v>
      </c>
      <c r="F3153" s="10">
        <v>1.941E-3</v>
      </c>
      <c r="G3153" s="12">
        <f t="shared" si="230"/>
        <v>558</v>
      </c>
      <c r="H3153" s="13">
        <f t="shared" si="231"/>
        <v>279</v>
      </c>
      <c r="I3153" s="12">
        <f t="shared" si="232"/>
        <v>279</v>
      </c>
      <c r="J3153" s="3" t="str">
        <f t="shared" si="233"/>
        <v>4330726</v>
      </c>
    </row>
    <row r="3154" spans="2:10" s="3" customFormat="1">
      <c r="B3154" s="3" t="s">
        <v>2127</v>
      </c>
      <c r="C3154" s="8">
        <v>4</v>
      </c>
      <c r="D3154" s="3" t="s">
        <v>2457</v>
      </c>
      <c r="E3154" s="11" t="s">
        <v>559</v>
      </c>
      <c r="F3154" s="10">
        <v>0.18701799999999999</v>
      </c>
      <c r="G3154" s="9">
        <f t="shared" si="230"/>
        <v>53809</v>
      </c>
      <c r="H3154" s="11">
        <f t="shared" si="231"/>
        <v>26905</v>
      </c>
      <c r="I3154" s="9">
        <f t="shared" si="232"/>
        <v>26904</v>
      </c>
      <c r="J3154" s="3" t="str">
        <f t="shared" si="233"/>
        <v>4344445</v>
      </c>
    </row>
    <row r="3155" spans="2:10" s="3" customFormat="1">
      <c r="B3155" s="3" t="s">
        <v>2127</v>
      </c>
      <c r="C3155" s="8">
        <v>4</v>
      </c>
      <c r="D3155" s="3" t="s">
        <v>2457</v>
      </c>
      <c r="E3155" s="11" t="s">
        <v>28</v>
      </c>
      <c r="F3155" s="11"/>
      <c r="G3155" s="14">
        <v>0.37656099999999998</v>
      </c>
      <c r="H3155" s="11"/>
      <c r="I3155" s="11"/>
      <c r="J3155" s="3" t="str">
        <f t="shared" si="233"/>
        <v>4344445</v>
      </c>
    </row>
    <row r="3156" spans="2:10" s="3" customFormat="1">
      <c r="B3156" s="3" t="s">
        <v>2127</v>
      </c>
      <c r="C3156" s="8">
        <v>4</v>
      </c>
      <c r="D3156" s="3" t="s">
        <v>2457</v>
      </c>
      <c r="E3156" s="11" t="s">
        <v>29</v>
      </c>
      <c r="F3156" s="11"/>
      <c r="G3156" s="15">
        <f>ROUND(G3154*G3155,0)</f>
        <v>20262</v>
      </c>
      <c r="H3156" s="16">
        <f>ROUND(G3156/2,0)</f>
        <v>10131</v>
      </c>
      <c r="I3156" s="15">
        <f>G3156-H3156</f>
        <v>10131</v>
      </c>
      <c r="J3156" s="3" t="str">
        <f t="shared" si="233"/>
        <v>4344445</v>
      </c>
    </row>
    <row r="3157" spans="2:10" s="3" customFormat="1">
      <c r="B3157" s="3" t="s">
        <v>2127</v>
      </c>
      <c r="C3157" s="8">
        <v>4</v>
      </c>
      <c r="D3157" s="3" t="s">
        <v>2457</v>
      </c>
      <c r="E3157" s="11" t="s">
        <v>30</v>
      </c>
      <c r="F3157" s="11"/>
      <c r="G3157" s="12">
        <f>+G3154-G3156</f>
        <v>33547</v>
      </c>
      <c r="H3157" s="13">
        <f>ROUND(G3157/2,0)</f>
        <v>16774</v>
      </c>
      <c r="I3157" s="12">
        <f>G3157-H3157</f>
        <v>16773</v>
      </c>
      <c r="J3157" s="3" t="str">
        <f t="shared" si="233"/>
        <v>4344445</v>
      </c>
    </row>
    <row r="3158" spans="2:10" s="3" customFormat="1">
      <c r="B3158" s="3" t="s">
        <v>2127</v>
      </c>
      <c r="C3158" s="8">
        <v>4</v>
      </c>
      <c r="D3158" s="3" t="s">
        <v>2684</v>
      </c>
      <c r="E3158" s="11" t="s">
        <v>969</v>
      </c>
      <c r="F3158" s="10">
        <v>1.1773E-2</v>
      </c>
      <c r="G3158" s="9">
        <f>ROUND(G$3*F3158,0)</f>
        <v>3387</v>
      </c>
      <c r="H3158" s="11">
        <f>ROUND(G3158/2,0)</f>
        <v>1694</v>
      </c>
      <c r="I3158" s="9">
        <f>G3158-H3158</f>
        <v>1693</v>
      </c>
      <c r="J3158" s="3" t="str">
        <f t="shared" si="233"/>
        <v>4345495</v>
      </c>
    </row>
    <row r="3159" spans="2:10" s="3" customFormat="1">
      <c r="B3159" s="3" t="s">
        <v>2127</v>
      </c>
      <c r="C3159" s="8">
        <v>4</v>
      </c>
      <c r="D3159" s="3" t="s">
        <v>2684</v>
      </c>
      <c r="E3159" s="11" t="s">
        <v>28</v>
      </c>
      <c r="F3159" s="11"/>
      <c r="G3159" s="14">
        <v>0.50334699999999999</v>
      </c>
      <c r="H3159" s="11"/>
      <c r="I3159" s="11"/>
      <c r="J3159" s="3" t="str">
        <f t="shared" si="233"/>
        <v>4345495</v>
      </c>
    </row>
    <row r="3160" spans="2:10" s="3" customFormat="1">
      <c r="B3160" s="3" t="s">
        <v>2127</v>
      </c>
      <c r="C3160" s="8">
        <v>4</v>
      </c>
      <c r="D3160" s="3" t="s">
        <v>2684</v>
      </c>
      <c r="E3160" s="11" t="s">
        <v>29</v>
      </c>
      <c r="F3160" s="11"/>
      <c r="G3160" s="15">
        <f>ROUND(G3158*G3159,0)</f>
        <v>1705</v>
      </c>
      <c r="H3160" s="16">
        <f>ROUND(G3160/2,0)</f>
        <v>853</v>
      </c>
      <c r="I3160" s="15">
        <f>G3160-H3160</f>
        <v>852</v>
      </c>
      <c r="J3160" s="3" t="str">
        <f t="shared" si="233"/>
        <v>4345495</v>
      </c>
    </row>
    <row r="3161" spans="2:10" s="3" customFormat="1">
      <c r="B3161" s="3" t="s">
        <v>2127</v>
      </c>
      <c r="C3161" s="8">
        <v>4</v>
      </c>
      <c r="D3161" s="3" t="s">
        <v>2684</v>
      </c>
      <c r="E3161" s="11" t="s">
        <v>30</v>
      </c>
      <c r="F3161" s="11"/>
      <c r="G3161" s="12">
        <f>+G3158-G3160</f>
        <v>1682</v>
      </c>
      <c r="H3161" s="13">
        <f>ROUND(G3161/2,0)</f>
        <v>841</v>
      </c>
      <c r="I3161" s="12">
        <f>G3161-H3161</f>
        <v>841</v>
      </c>
      <c r="J3161" s="3" t="str">
        <f t="shared" si="233"/>
        <v>4345495</v>
      </c>
    </row>
    <row r="3162" spans="2:10" s="3" customFormat="1">
      <c r="B3162" s="3" t="s">
        <v>2127</v>
      </c>
      <c r="C3162" s="8">
        <v>4</v>
      </c>
      <c r="D3162" s="3" t="s">
        <v>2414</v>
      </c>
      <c r="E3162" s="11" t="s">
        <v>470</v>
      </c>
      <c r="F3162" s="10">
        <v>2.0636999999999999E-2</v>
      </c>
      <c r="G3162" s="9">
        <f>ROUND(G$3*F3162,0)</f>
        <v>5938</v>
      </c>
      <c r="H3162" s="11">
        <f>ROUND(G3162/2,0)</f>
        <v>2969</v>
      </c>
      <c r="I3162" s="9">
        <f>G3162-H3162</f>
        <v>2969</v>
      </c>
      <c r="J3162" s="3" t="str">
        <f t="shared" si="233"/>
        <v>4342285</v>
      </c>
    </row>
    <row r="3163" spans="2:10" s="3" customFormat="1">
      <c r="B3163" s="3" t="s">
        <v>2127</v>
      </c>
      <c r="C3163" s="8">
        <v>4</v>
      </c>
      <c r="D3163" s="3" t="s">
        <v>2414</v>
      </c>
      <c r="E3163" s="11" t="s">
        <v>28</v>
      </c>
      <c r="F3163" s="11"/>
      <c r="G3163" s="14">
        <v>0.384515</v>
      </c>
      <c r="H3163" s="11"/>
      <c r="I3163" s="11"/>
      <c r="J3163" s="3" t="str">
        <f t="shared" si="233"/>
        <v>4342285</v>
      </c>
    </row>
    <row r="3164" spans="2:10" s="3" customFormat="1">
      <c r="B3164" s="3" t="s">
        <v>2127</v>
      </c>
      <c r="C3164" s="8">
        <v>4</v>
      </c>
      <c r="D3164" s="3" t="s">
        <v>2414</v>
      </c>
      <c r="E3164" s="11" t="s">
        <v>29</v>
      </c>
      <c r="F3164" s="11"/>
      <c r="G3164" s="15">
        <f>ROUND(G3162*G3163,0)</f>
        <v>2283</v>
      </c>
      <c r="H3164" s="16">
        <f>ROUND(G3164/2,0)</f>
        <v>1142</v>
      </c>
      <c r="I3164" s="15">
        <f>G3164-H3164</f>
        <v>1141</v>
      </c>
      <c r="J3164" s="3" t="str">
        <f t="shared" si="233"/>
        <v>4342285</v>
      </c>
    </row>
    <row r="3165" spans="2:10" s="3" customFormat="1">
      <c r="B3165" s="3" t="s">
        <v>2127</v>
      </c>
      <c r="C3165" s="8">
        <v>4</v>
      </c>
      <c r="D3165" s="3" t="s">
        <v>2414</v>
      </c>
      <c r="E3165" s="11" t="s">
        <v>30</v>
      </c>
      <c r="F3165" s="11"/>
      <c r="G3165" s="12">
        <f>+G3162-G3164</f>
        <v>3655</v>
      </c>
      <c r="H3165" s="13">
        <f>ROUND(G3165/2,0)</f>
        <v>1828</v>
      </c>
      <c r="I3165" s="12">
        <f>G3165-H3165</f>
        <v>1827</v>
      </c>
      <c r="J3165" s="3" t="str">
        <f t="shared" si="233"/>
        <v>4342285</v>
      </c>
    </row>
    <row r="3166" spans="2:10" s="3" customFormat="1">
      <c r="B3166" s="3" t="s">
        <v>2127</v>
      </c>
      <c r="C3166" s="8">
        <v>4</v>
      </c>
      <c r="D3166" s="3" t="s">
        <v>2682</v>
      </c>
      <c r="E3166" s="11" t="s">
        <v>970</v>
      </c>
      <c r="F3166" s="10">
        <v>0.34298899999999999</v>
      </c>
      <c r="G3166" s="9">
        <f>ROUND(G$3*F3166,0)</f>
        <v>98686</v>
      </c>
      <c r="H3166" s="11">
        <f>ROUND(G3166/2,0)</f>
        <v>49343</v>
      </c>
      <c r="I3166" s="9">
        <f>G3166-H3166</f>
        <v>49343</v>
      </c>
      <c r="J3166" s="3" t="str">
        <f t="shared" si="233"/>
        <v>4344415</v>
      </c>
    </row>
    <row r="3167" spans="2:10" s="3" customFormat="1">
      <c r="B3167" s="3" t="s">
        <v>2127</v>
      </c>
      <c r="C3167" s="8">
        <v>4</v>
      </c>
      <c r="D3167" s="3" t="s">
        <v>2682</v>
      </c>
      <c r="E3167" s="11" t="s">
        <v>28</v>
      </c>
      <c r="F3167" s="11"/>
      <c r="G3167" s="14">
        <v>0.51649999999999996</v>
      </c>
      <c r="H3167" s="11"/>
      <c r="I3167" s="11"/>
      <c r="J3167" s="3" t="str">
        <f t="shared" si="233"/>
        <v>4344415</v>
      </c>
    </row>
    <row r="3168" spans="2:10" s="3" customFormat="1">
      <c r="B3168" s="3" t="s">
        <v>2127</v>
      </c>
      <c r="C3168" s="8">
        <v>4</v>
      </c>
      <c r="D3168" s="3" t="s">
        <v>2682</v>
      </c>
      <c r="E3168" s="11" t="s">
        <v>29</v>
      </c>
      <c r="F3168" s="11"/>
      <c r="G3168" s="15">
        <f>ROUND(G3166*G3167,0)</f>
        <v>50971</v>
      </c>
      <c r="H3168" s="16">
        <f>ROUND(G3168/2,0)</f>
        <v>25486</v>
      </c>
      <c r="I3168" s="15">
        <f>G3168-H3168</f>
        <v>25485</v>
      </c>
      <c r="J3168" s="3" t="str">
        <f t="shared" si="233"/>
        <v>4344415</v>
      </c>
    </row>
    <row r="3169" spans="1:10" s="3" customFormat="1">
      <c r="B3169" s="3" t="s">
        <v>2127</v>
      </c>
      <c r="C3169" s="8">
        <v>4</v>
      </c>
      <c r="D3169" s="3" t="s">
        <v>2682</v>
      </c>
      <c r="E3169" s="11" t="s">
        <v>30</v>
      </c>
      <c r="F3169" s="11"/>
      <c r="G3169" s="12">
        <f>+G3166-G3168</f>
        <v>47715</v>
      </c>
      <c r="H3169" s="13">
        <f>ROUND(G3169/2,0)</f>
        <v>23858</v>
      </c>
      <c r="I3169" s="12">
        <f>G3169-H3169</f>
        <v>23857</v>
      </c>
      <c r="J3169" s="3" t="str">
        <f t="shared" si="233"/>
        <v>4344415</v>
      </c>
    </row>
    <row r="3170" spans="1:10" s="3" customFormat="1">
      <c r="B3170" s="3" t="s">
        <v>2127</v>
      </c>
      <c r="C3170" s="8">
        <v>4</v>
      </c>
      <c r="D3170" s="3" t="s">
        <v>2681</v>
      </c>
      <c r="E3170" s="11" t="s">
        <v>971</v>
      </c>
      <c r="F3170" s="10">
        <v>0.129999</v>
      </c>
      <c r="G3170" s="9">
        <f>ROUND(G$3*F3170,0)</f>
        <v>37404</v>
      </c>
      <c r="H3170" s="11">
        <f>ROUND(G3170/2,0)</f>
        <v>18702</v>
      </c>
      <c r="I3170" s="9">
        <f>G3170-H3170</f>
        <v>18702</v>
      </c>
      <c r="J3170" s="3" t="str">
        <f t="shared" si="233"/>
        <v>4344345</v>
      </c>
    </row>
    <row r="3171" spans="1:10" s="3" customFormat="1">
      <c r="B3171" s="3" t="s">
        <v>2127</v>
      </c>
      <c r="C3171" s="8">
        <v>4</v>
      </c>
      <c r="D3171" s="3" t="s">
        <v>2681</v>
      </c>
      <c r="E3171" s="11" t="s">
        <v>28</v>
      </c>
      <c r="F3171" s="11"/>
      <c r="G3171" s="14">
        <v>0.55624700000000005</v>
      </c>
      <c r="H3171" s="11"/>
      <c r="I3171" s="11"/>
      <c r="J3171" s="3" t="str">
        <f t="shared" si="233"/>
        <v>4344345</v>
      </c>
    </row>
    <row r="3172" spans="1:10" s="3" customFormat="1">
      <c r="B3172" s="3" t="s">
        <v>2127</v>
      </c>
      <c r="C3172" s="8">
        <v>4</v>
      </c>
      <c r="D3172" s="3" t="s">
        <v>2681</v>
      </c>
      <c r="E3172" s="11" t="s">
        <v>29</v>
      </c>
      <c r="F3172" s="11"/>
      <c r="G3172" s="15">
        <f>ROUND(G3170*G3171,0)</f>
        <v>20806</v>
      </c>
      <c r="H3172" s="16">
        <f>ROUND(G3172/2,0)</f>
        <v>10403</v>
      </c>
      <c r="I3172" s="15">
        <f>G3172-H3172</f>
        <v>10403</v>
      </c>
      <c r="J3172" s="3" t="str">
        <f t="shared" si="233"/>
        <v>4344345</v>
      </c>
    </row>
    <row r="3173" spans="1:10" s="3" customFormat="1">
      <c r="B3173" s="3" t="s">
        <v>2127</v>
      </c>
      <c r="C3173" s="8">
        <v>4</v>
      </c>
      <c r="D3173" s="3" t="s">
        <v>2681</v>
      </c>
      <c r="E3173" s="11" t="s">
        <v>30</v>
      </c>
      <c r="F3173" s="11"/>
      <c r="G3173" s="12">
        <f>+G3170-G3172</f>
        <v>16598</v>
      </c>
      <c r="H3173" s="13">
        <f>ROUND(G3173/2,0)</f>
        <v>8299</v>
      </c>
      <c r="I3173" s="12">
        <f>G3173-H3173</f>
        <v>8299</v>
      </c>
      <c r="J3173" s="3" t="str">
        <f t="shared" si="233"/>
        <v>4344345</v>
      </c>
    </row>
    <row r="3174" spans="1:10" s="3" customFormat="1">
      <c r="B3174" s="3" t="s">
        <v>2127</v>
      </c>
      <c r="C3174" s="8">
        <v>4</v>
      </c>
      <c r="D3174" s="3" t="s">
        <v>2683</v>
      </c>
      <c r="E3174" s="11" t="s">
        <v>972</v>
      </c>
      <c r="F3174" s="10">
        <v>5.1174999999999998E-2</v>
      </c>
      <c r="G3174" s="9">
        <f>ROUND(G$3*F3174,0)</f>
        <v>14724</v>
      </c>
      <c r="H3174" s="11">
        <f>ROUND(G3174/2,0)</f>
        <v>7362</v>
      </c>
      <c r="I3174" s="9">
        <f>G3174-H3174</f>
        <v>7362</v>
      </c>
      <c r="J3174" s="3" t="str">
        <f t="shared" si="233"/>
        <v>4344455</v>
      </c>
    </row>
    <row r="3175" spans="1:10" s="3" customFormat="1">
      <c r="B3175" s="3" t="s">
        <v>2127</v>
      </c>
      <c r="C3175" s="8">
        <v>4</v>
      </c>
      <c r="D3175" s="3" t="s">
        <v>2683</v>
      </c>
      <c r="E3175" s="11" t="s">
        <v>28</v>
      </c>
      <c r="F3175" s="11"/>
      <c r="G3175" s="14">
        <v>0.39507700000000001</v>
      </c>
      <c r="H3175" s="11"/>
      <c r="I3175" s="11"/>
      <c r="J3175" s="3" t="str">
        <f t="shared" si="233"/>
        <v>4344455</v>
      </c>
    </row>
    <row r="3176" spans="1:10" s="3" customFormat="1">
      <c r="B3176" s="3" t="s">
        <v>2127</v>
      </c>
      <c r="C3176" s="8">
        <v>4</v>
      </c>
      <c r="D3176" s="3" t="s">
        <v>2683</v>
      </c>
      <c r="E3176" s="11" t="s">
        <v>29</v>
      </c>
      <c r="F3176" s="11"/>
      <c r="G3176" s="15">
        <f>ROUND(G3174*G3175,0)</f>
        <v>5817</v>
      </c>
      <c r="H3176" s="16">
        <f t="shared" ref="H3176:H3184" si="234">ROUND(G3176/2,0)</f>
        <v>2909</v>
      </c>
      <c r="I3176" s="15">
        <f t="shared" ref="I3176:I3184" si="235">G3176-H3176</f>
        <v>2908</v>
      </c>
      <c r="J3176" s="3" t="str">
        <f t="shared" si="233"/>
        <v>4344455</v>
      </c>
    </row>
    <row r="3177" spans="1:10" s="3" customFormat="1">
      <c r="B3177" s="3" t="s">
        <v>2127</v>
      </c>
      <c r="C3177" s="8">
        <v>4</v>
      </c>
      <c r="D3177" s="3" t="s">
        <v>2683</v>
      </c>
      <c r="E3177" s="11" t="s">
        <v>30</v>
      </c>
      <c r="F3177" s="11"/>
      <c r="G3177" s="12">
        <f>+G3174-G3176</f>
        <v>8907</v>
      </c>
      <c r="H3177" s="13">
        <f t="shared" si="234"/>
        <v>4454</v>
      </c>
      <c r="I3177" s="12">
        <f t="shared" si="235"/>
        <v>4453</v>
      </c>
      <c r="J3177" s="3" t="str">
        <f t="shared" si="233"/>
        <v>4344455</v>
      </c>
    </row>
    <row r="3178" spans="1:10" s="3" customFormat="1">
      <c r="B3178" s="3" t="s">
        <v>2127</v>
      </c>
      <c r="C3178" s="8">
        <v>5</v>
      </c>
      <c r="D3178" s="3" t="s">
        <v>4654</v>
      </c>
      <c r="E3178" s="11" t="s">
        <v>973</v>
      </c>
      <c r="F3178" s="10">
        <v>4.261E-3</v>
      </c>
      <c r="G3178" s="120">
        <f t="shared" ref="G3178:G3183" si="236">ROUND(G$3*F3178,0)</f>
        <v>1226</v>
      </c>
      <c r="H3178" s="120">
        <f t="shared" si="234"/>
        <v>613</v>
      </c>
      <c r="I3178" s="120">
        <f t="shared" si="235"/>
        <v>613</v>
      </c>
      <c r="J3178" s="3" t="str">
        <f t="shared" si="233"/>
        <v>4350268</v>
      </c>
    </row>
    <row r="3179" spans="1:10" s="3" customFormat="1">
      <c r="B3179" s="3" t="s">
        <v>2127</v>
      </c>
      <c r="C3179" s="8">
        <v>5</v>
      </c>
      <c r="D3179" s="3" t="s">
        <v>2685</v>
      </c>
      <c r="E3179" s="11" t="s">
        <v>974</v>
      </c>
      <c r="F3179" s="10">
        <v>4.2389999999999997E-3</v>
      </c>
      <c r="G3179" s="120">
        <f t="shared" si="236"/>
        <v>1220</v>
      </c>
      <c r="H3179" s="120">
        <f t="shared" si="234"/>
        <v>610</v>
      </c>
      <c r="I3179" s="120">
        <f t="shared" si="235"/>
        <v>610</v>
      </c>
      <c r="J3179" s="3" t="str">
        <f t="shared" si="233"/>
        <v>4350118</v>
      </c>
    </row>
    <row r="3180" spans="1:10" s="3" customFormat="1">
      <c r="A3180" s="3" t="s">
        <v>6269</v>
      </c>
      <c r="B3180" s="3" t="s">
        <v>2127</v>
      </c>
      <c r="C3180" s="8">
        <v>5</v>
      </c>
      <c r="D3180" s="3" t="s">
        <v>2420</v>
      </c>
      <c r="E3180" s="11" t="s">
        <v>475</v>
      </c>
      <c r="F3180" s="10">
        <v>0</v>
      </c>
      <c r="G3180" s="120">
        <f t="shared" si="236"/>
        <v>0</v>
      </c>
      <c r="H3180" s="120">
        <f t="shared" si="234"/>
        <v>0</v>
      </c>
      <c r="I3180" s="120">
        <f t="shared" si="235"/>
        <v>0</v>
      </c>
      <c r="J3180" s="3" t="str">
        <f t="shared" si="233"/>
        <v>4350047</v>
      </c>
    </row>
    <row r="3181" spans="1:10" s="3" customFormat="1">
      <c r="B3181" s="3" t="s">
        <v>2127</v>
      </c>
      <c r="C3181" s="8">
        <v>5</v>
      </c>
      <c r="D3181" s="3" t="s">
        <v>2686</v>
      </c>
      <c r="E3181" s="11" t="s">
        <v>975</v>
      </c>
      <c r="F3181" s="10">
        <v>7.5000000000000002E-4</v>
      </c>
      <c r="G3181" s="120">
        <f t="shared" si="236"/>
        <v>216</v>
      </c>
      <c r="H3181" s="120">
        <f t="shared" si="234"/>
        <v>108</v>
      </c>
      <c r="I3181" s="120">
        <f t="shared" si="235"/>
        <v>108</v>
      </c>
      <c r="J3181" s="3" t="str">
        <f t="shared" si="233"/>
        <v>4350119</v>
      </c>
    </row>
    <row r="3182" spans="1:10" s="3" customFormat="1">
      <c r="B3182" s="3" t="s">
        <v>2127</v>
      </c>
      <c r="C3182" s="8">
        <v>5</v>
      </c>
      <c r="D3182" s="3" t="s">
        <v>2687</v>
      </c>
      <c r="E3182" s="11" t="s">
        <v>976</v>
      </c>
      <c r="F3182" s="10">
        <v>1.108E-3</v>
      </c>
      <c r="G3182" s="120">
        <f t="shared" si="236"/>
        <v>319</v>
      </c>
      <c r="H3182" s="120">
        <f t="shared" si="234"/>
        <v>160</v>
      </c>
      <c r="I3182" s="120">
        <f t="shared" si="235"/>
        <v>159</v>
      </c>
      <c r="J3182" s="3" t="str">
        <f t="shared" si="233"/>
        <v>4350120</v>
      </c>
    </row>
    <row r="3183" spans="1:10" s="3" customFormat="1">
      <c r="B3183" s="3" t="s">
        <v>2127</v>
      </c>
      <c r="C3183" s="8">
        <v>5</v>
      </c>
      <c r="D3183" s="3" t="s">
        <v>4652</v>
      </c>
      <c r="E3183" s="11" t="s">
        <v>977</v>
      </c>
      <c r="F3183" s="10">
        <v>1.0956E-2</v>
      </c>
      <c r="G3183" s="120">
        <f t="shared" si="236"/>
        <v>3152</v>
      </c>
      <c r="H3183" s="120">
        <f t="shared" si="234"/>
        <v>1576</v>
      </c>
      <c r="I3183" s="120">
        <f t="shared" si="235"/>
        <v>1576</v>
      </c>
      <c r="J3183" s="3" t="str">
        <f t="shared" si="233"/>
        <v>4350121</v>
      </c>
    </row>
    <row r="3184" spans="1:10" s="3" customFormat="1">
      <c r="B3184" s="3" t="s">
        <v>2127</v>
      </c>
      <c r="C3184" s="8">
        <v>6</v>
      </c>
      <c r="D3184" s="3" t="s">
        <v>4658</v>
      </c>
      <c r="E3184" s="11" t="s">
        <v>978</v>
      </c>
      <c r="F3184" s="10">
        <v>9.7900000000017418E-4</v>
      </c>
      <c r="G3184" s="120">
        <f>+G3083-SUM(G3084:G3085)-SUM(G3090:G3154)-G3158-G3162-G3166-G3170-G3174-SUM(G3178:G3183)</f>
        <v>327657</v>
      </c>
      <c r="H3184" s="120">
        <f t="shared" si="234"/>
        <v>163829</v>
      </c>
      <c r="I3184" s="120">
        <f t="shared" si="235"/>
        <v>163828</v>
      </c>
      <c r="J3184" s="3" t="str">
        <f t="shared" si="233"/>
        <v>4361057</v>
      </c>
    </row>
    <row r="3185" spans="2:10" s="3" customFormat="1">
      <c r="B3185" s="3" t="s">
        <v>2127</v>
      </c>
      <c r="C3185" s="8">
        <v>0</v>
      </c>
      <c r="D3185" s="125" t="s">
        <v>2187</v>
      </c>
      <c r="E3185" s="28" t="s">
        <v>288</v>
      </c>
      <c r="F3185" s="10">
        <v>1</v>
      </c>
      <c r="G3185" s="12">
        <f>+G3084+SUM(G3087:G3153)+SUM(G3156:G3157)+SUM(G3160:G3161)+SUM(G3164:G3165)+SUM(G3168:G3169)+SUM(G3172:G3173)+SUM(G3176:G3184)</f>
        <v>615101</v>
      </c>
      <c r="H3185" s="12">
        <f>+H3084+SUM(H3087:H3153)+SUM(H3156:H3157)+SUM(H3160:H3161)+SUM(H3164:H3165)+SUM(H3168:H3169)+SUM(H3172:H3173)+SUM(H3176:H3184)</f>
        <v>307568</v>
      </c>
      <c r="I3185" s="12">
        <f>+I3084+SUM(I3087:I3153)+SUM(I3156:I3157)+SUM(I3160:I3161)+SUM(I3164:I3165)+SUM(I3168:I3169)+SUM(I3172:I3173)+SUM(I3176:I3184)</f>
        <v>307533</v>
      </c>
      <c r="J3185" s="3" t="str">
        <f t="shared" si="233"/>
        <v>4300000</v>
      </c>
    </row>
    <row r="3186" spans="2:10" s="3" customFormat="1">
      <c r="B3186" s="3" t="s">
        <v>2127</v>
      </c>
      <c r="C3186" s="8">
        <v>0</v>
      </c>
      <c r="D3186" s="3" t="s">
        <v>2187</v>
      </c>
      <c r="E3186" s="18" t="s">
        <v>38</v>
      </c>
      <c r="G3186" s="19">
        <f>+G3084</f>
        <v>411</v>
      </c>
      <c r="H3186" s="19">
        <f>+H3084</f>
        <v>206</v>
      </c>
      <c r="I3186" s="19">
        <f>+I3084</f>
        <v>205</v>
      </c>
      <c r="J3186" s="3" t="str">
        <f t="shared" si="233"/>
        <v>4300000</v>
      </c>
    </row>
    <row r="3187" spans="2:10" s="3" customFormat="1">
      <c r="B3187" s="3" t="s">
        <v>2127</v>
      </c>
      <c r="C3187" s="8">
        <v>0</v>
      </c>
      <c r="D3187" s="3" t="s">
        <v>2187</v>
      </c>
      <c r="E3187" s="2" t="s">
        <v>39</v>
      </c>
      <c r="G3187" s="19">
        <f>+G3087</f>
        <v>4722</v>
      </c>
      <c r="H3187" s="19">
        <f>+H3087</f>
        <v>2361</v>
      </c>
      <c r="I3187" s="19">
        <f>+I3087</f>
        <v>2361</v>
      </c>
      <c r="J3187" s="3" t="str">
        <f t="shared" si="233"/>
        <v>4300000</v>
      </c>
    </row>
    <row r="3188" spans="2:10" s="3" customFormat="1">
      <c r="B3188" s="3" t="s">
        <v>2127</v>
      </c>
      <c r="C3188" s="8">
        <v>0</v>
      </c>
      <c r="D3188" s="3" t="s">
        <v>2187</v>
      </c>
      <c r="E3188" s="2" t="s">
        <v>40</v>
      </c>
      <c r="G3188" s="19">
        <f>+G3156+G3160+G3164+G3168+G3172+G3176</f>
        <v>101844</v>
      </c>
      <c r="H3188" s="19">
        <f>+H3156+H3160+H3164+H3168+H3172+H3176</f>
        <v>50924</v>
      </c>
      <c r="I3188" s="19">
        <f>+I3156+I3160+I3164+I3168+I3172+I3176</f>
        <v>50920</v>
      </c>
      <c r="J3188" s="3" t="str">
        <f t="shared" si="233"/>
        <v>4300000</v>
      </c>
    </row>
    <row r="3189" spans="2:10" s="3" customFormat="1">
      <c r="B3189" s="3" t="s">
        <v>2127</v>
      </c>
      <c r="C3189" s="8">
        <v>0</v>
      </c>
      <c r="D3189" s="125" t="s">
        <v>2187</v>
      </c>
      <c r="E3189" s="18" t="s">
        <v>41</v>
      </c>
      <c r="G3189" s="19">
        <f>+G3185-G3186-G3187-G3188</f>
        <v>508124</v>
      </c>
      <c r="H3189" s="19">
        <f>+H3185-H3186-H3187-H3188</f>
        <v>254077</v>
      </c>
      <c r="I3189" s="19">
        <f>+I3185-I3186-I3187-I3188</f>
        <v>254047</v>
      </c>
      <c r="J3189" s="3" t="str">
        <f t="shared" si="233"/>
        <v>4300000</v>
      </c>
    </row>
    <row r="3190" spans="2:10" ht="15.75">
      <c r="B3190" s="3" t="s">
        <v>2186</v>
      </c>
      <c r="D3190" t="s">
        <v>2186</v>
      </c>
      <c r="E3190">
        <v>0</v>
      </c>
      <c r="G3190"/>
      <c r="H3190"/>
      <c r="I3190"/>
      <c r="J3190" s="3" t="str">
        <f t="shared" si="233"/>
        <v/>
      </c>
    </row>
    <row r="3191" spans="2:10" s="3" customFormat="1">
      <c r="C3191" s="1"/>
      <c r="D3191" s="3" t="s">
        <v>2186</v>
      </c>
      <c r="E3191" s="2" t="s">
        <v>979</v>
      </c>
      <c r="J3191" s="3" t="str">
        <f t="shared" si="233"/>
        <v/>
      </c>
    </row>
    <row r="3192" spans="2:10" s="3" customFormat="1" ht="45">
      <c r="B3192" s="3" t="s">
        <v>2186</v>
      </c>
      <c r="C3192" s="1"/>
      <c r="D3192" s="3" t="s">
        <v>2186</v>
      </c>
      <c r="E3192" s="1">
        <v>0</v>
      </c>
      <c r="F3192" s="6" t="s">
        <v>1</v>
      </c>
      <c r="G3192" s="60">
        <f>'Allocation Worksheet'!H3192</f>
        <v>0</v>
      </c>
      <c r="H3192" s="60">
        <f>'Allocation Worksheet'!H3193</f>
        <v>0</v>
      </c>
      <c r="I3192" s="60">
        <f>'Allocation Worksheet'!H3194</f>
        <v>0</v>
      </c>
      <c r="J3192" s="3" t="str">
        <f t="shared" si="233"/>
        <v/>
      </c>
    </row>
    <row r="3193" spans="2:10" s="3" customFormat="1">
      <c r="C3193" s="7" t="s">
        <v>2087</v>
      </c>
      <c r="D3193" s="3" t="s">
        <v>2186</v>
      </c>
      <c r="E3193" s="7" t="s">
        <v>3</v>
      </c>
      <c r="F3193" s="10"/>
      <c r="G3193" s="9">
        <f>'Allocation Worksheet'!$D$47</f>
        <v>231283</v>
      </c>
      <c r="H3193" s="11"/>
      <c r="I3193" s="11"/>
      <c r="J3193" s="3" t="str">
        <f t="shared" si="233"/>
        <v>UT</v>
      </c>
    </row>
    <row r="3194" spans="2:10" s="3" customFormat="1">
      <c r="B3194" s="3" t="s">
        <v>2128</v>
      </c>
      <c r="C3194" s="8">
        <v>0</v>
      </c>
      <c r="D3194" s="3" t="s">
        <v>2187</v>
      </c>
      <c r="E3194" s="11" t="s">
        <v>4</v>
      </c>
      <c r="F3194" s="10">
        <v>1.3910000000000001E-3</v>
      </c>
      <c r="G3194" s="12">
        <f>ROUND(G$3*F3194,0)</f>
        <v>400</v>
      </c>
      <c r="H3194" s="13">
        <f>ROUND(G3194/2,0)</f>
        <v>200</v>
      </c>
      <c r="I3194" s="12">
        <f>G3194-H3194</f>
        <v>200</v>
      </c>
      <c r="J3194" s="3" t="str">
        <f t="shared" si="233"/>
        <v>4400000</v>
      </c>
    </row>
    <row r="3195" spans="2:10" s="3" customFormat="1">
      <c r="B3195" s="3" t="s">
        <v>2128</v>
      </c>
      <c r="C3195" s="8">
        <v>1</v>
      </c>
      <c r="D3195" s="3" t="s">
        <v>2187</v>
      </c>
      <c r="E3195" s="11" t="s">
        <v>980</v>
      </c>
      <c r="F3195" s="10">
        <v>0.21502399999999999</v>
      </c>
      <c r="G3195" s="9">
        <f>ROUND(G$3*F3195,0)</f>
        <v>61867</v>
      </c>
      <c r="H3195" s="11">
        <f>ROUND(G3195/2,0)</f>
        <v>30934</v>
      </c>
      <c r="I3195" s="9">
        <f>G3195-H3195</f>
        <v>30933</v>
      </c>
      <c r="J3195" s="3" t="str">
        <f t="shared" si="233"/>
        <v>4410000</v>
      </c>
    </row>
    <row r="3196" spans="2:10" s="3" customFormat="1">
      <c r="B3196" s="3" t="s">
        <v>2128</v>
      </c>
      <c r="C3196" s="8">
        <v>1</v>
      </c>
      <c r="D3196" s="3" t="s">
        <v>2187</v>
      </c>
      <c r="E3196" s="11" t="s">
        <v>6</v>
      </c>
      <c r="F3196" s="11"/>
      <c r="G3196" s="14">
        <v>0.24280599999999999</v>
      </c>
      <c r="H3196" s="11"/>
      <c r="I3196" s="11"/>
      <c r="J3196" s="3" t="str">
        <f t="shared" si="233"/>
        <v>4410000</v>
      </c>
    </row>
    <row r="3197" spans="2:10" s="3" customFormat="1">
      <c r="B3197" s="3" t="s">
        <v>2128</v>
      </c>
      <c r="C3197" s="8">
        <v>1</v>
      </c>
      <c r="D3197" s="3" t="s">
        <v>2187</v>
      </c>
      <c r="E3197" s="11" t="s">
        <v>7</v>
      </c>
      <c r="F3197" s="11"/>
      <c r="G3197" s="15">
        <f>ROUND(G3195*G3196,0)</f>
        <v>15022</v>
      </c>
      <c r="H3197" s="16">
        <f>ROUND(G3197/2,0)</f>
        <v>7511</v>
      </c>
      <c r="I3197" s="15">
        <f>G3197-H3197</f>
        <v>7511</v>
      </c>
      <c r="J3197" s="3" t="str">
        <f t="shared" si="233"/>
        <v>4410000</v>
      </c>
    </row>
    <row r="3198" spans="2:10" s="3" customFormat="1">
      <c r="B3198" s="3" t="s">
        <v>2128</v>
      </c>
      <c r="C3198" s="8">
        <v>1</v>
      </c>
      <c r="D3198" s="3" t="s">
        <v>2187</v>
      </c>
      <c r="E3198" s="11" t="s">
        <v>8</v>
      </c>
      <c r="F3198" s="11"/>
      <c r="G3198" s="12">
        <f>+G3195-G3197</f>
        <v>46845</v>
      </c>
      <c r="H3198" s="13">
        <f>ROUND(G3198/2,0)</f>
        <v>23423</v>
      </c>
      <c r="I3198" s="12">
        <f>G3198-H3198</f>
        <v>23422</v>
      </c>
      <c r="J3198" s="3" t="str">
        <f t="shared" si="233"/>
        <v>4410000</v>
      </c>
    </row>
    <row r="3199" spans="2:10" s="3" customFormat="1">
      <c r="B3199" s="3" t="s">
        <v>2128</v>
      </c>
      <c r="C3199" s="8">
        <v>2</v>
      </c>
      <c r="D3199" s="3" t="s">
        <v>2188</v>
      </c>
      <c r="E3199" s="11" t="s">
        <v>981</v>
      </c>
      <c r="F3199" s="11"/>
      <c r="G3199" s="9"/>
      <c r="H3199" s="11"/>
      <c r="I3199" s="11"/>
      <c r="J3199" s="3" t="str">
        <f t="shared" si="233"/>
        <v>4420001</v>
      </c>
    </row>
    <row r="3200" spans="2:10" s="3" customFormat="1">
      <c r="B3200" s="3" t="s">
        <v>2128</v>
      </c>
      <c r="C3200" s="8">
        <v>2</v>
      </c>
      <c r="D3200" s="3" t="s">
        <v>2188</v>
      </c>
      <c r="E3200" s="11" t="s">
        <v>10</v>
      </c>
      <c r="F3200" s="10">
        <v>3.7000000000000002E-3</v>
      </c>
      <c r="G3200" s="12">
        <f>ROUND(G$3*F3200,0)</f>
        <v>1065</v>
      </c>
      <c r="H3200" s="13">
        <f>ROUND(G3200/2,0)</f>
        <v>533</v>
      </c>
      <c r="I3200" s="12">
        <f>G3200-H3200</f>
        <v>532</v>
      </c>
      <c r="J3200" s="3" t="str">
        <f t="shared" si="233"/>
        <v>4420001</v>
      </c>
    </row>
    <row r="3201" spans="1:10" s="3" customFormat="1">
      <c r="B3201" s="3" t="s">
        <v>2128</v>
      </c>
      <c r="C3201" s="8">
        <v>2</v>
      </c>
      <c r="D3201" s="3" t="s">
        <v>2188</v>
      </c>
      <c r="E3201" s="11" t="s">
        <v>11</v>
      </c>
      <c r="F3201" s="10">
        <v>3.1100000000000002E-4</v>
      </c>
      <c r="G3201" s="12">
        <f>ROUND(G$3*F3201,0)</f>
        <v>89</v>
      </c>
      <c r="H3201" s="13">
        <f>ROUND(G3201/2,0)</f>
        <v>45</v>
      </c>
      <c r="I3201" s="12">
        <f>G3201-H3201</f>
        <v>44</v>
      </c>
      <c r="J3201" s="3" t="str">
        <f t="shared" si="233"/>
        <v>4420001</v>
      </c>
    </row>
    <row r="3202" spans="1:10" s="3" customFormat="1">
      <c r="B3202" s="3" t="s">
        <v>2128</v>
      </c>
      <c r="C3202" s="8">
        <v>2</v>
      </c>
      <c r="D3202" s="3" t="s">
        <v>2189</v>
      </c>
      <c r="E3202" s="11" t="s">
        <v>81</v>
      </c>
      <c r="F3202" s="11"/>
      <c r="G3202" s="9"/>
      <c r="H3202" s="11"/>
      <c r="I3202" s="11"/>
      <c r="J3202" s="3" t="str">
        <f t="shared" si="233"/>
        <v>4420002</v>
      </c>
    </row>
    <row r="3203" spans="1:10" s="3" customFormat="1">
      <c r="B3203" s="3" t="s">
        <v>2128</v>
      </c>
      <c r="C3203" s="8">
        <v>2</v>
      </c>
      <c r="D3203" s="3" t="s">
        <v>2189</v>
      </c>
      <c r="E3203" s="11" t="s">
        <v>10</v>
      </c>
      <c r="F3203" s="10">
        <v>2.4120000000000001E-3</v>
      </c>
      <c r="G3203" s="12">
        <f>ROUND(G$3*F3203,0)</f>
        <v>694</v>
      </c>
      <c r="H3203" s="13">
        <f>ROUND(G3203/2,0)</f>
        <v>347</v>
      </c>
      <c r="I3203" s="12">
        <f>G3203-H3203</f>
        <v>347</v>
      </c>
      <c r="J3203" s="3" t="str">
        <f t="shared" si="233"/>
        <v>4420002</v>
      </c>
    </row>
    <row r="3204" spans="1:10" s="3" customFormat="1">
      <c r="B3204" s="3" t="s">
        <v>2128</v>
      </c>
      <c r="C3204" s="8">
        <v>2</v>
      </c>
      <c r="D3204" s="3" t="s">
        <v>2189</v>
      </c>
      <c r="E3204" s="11" t="s">
        <v>11</v>
      </c>
      <c r="F3204" s="10">
        <v>1.639E-3</v>
      </c>
      <c r="G3204" s="12">
        <f>ROUND(G$3*F3204,0)</f>
        <v>472</v>
      </c>
      <c r="H3204" s="13">
        <f>ROUND(G3204/2,0)</f>
        <v>236</v>
      </c>
      <c r="I3204" s="12">
        <f>G3204-H3204</f>
        <v>236</v>
      </c>
      <c r="J3204" s="3" t="str">
        <f t="shared" ref="J3204:J3267" si="237">B3204&amp;C3204&amp;D3204</f>
        <v>4420002</v>
      </c>
    </row>
    <row r="3205" spans="1:10" s="3" customFormat="1">
      <c r="B3205" s="3" t="s">
        <v>2128</v>
      </c>
      <c r="C3205" s="8">
        <v>2</v>
      </c>
      <c r="D3205" s="3" t="s">
        <v>2190</v>
      </c>
      <c r="E3205" s="11" t="s">
        <v>982</v>
      </c>
      <c r="F3205" s="11"/>
      <c r="G3205" s="9"/>
      <c r="H3205" s="11"/>
      <c r="I3205" s="11"/>
      <c r="J3205" s="3" t="str">
        <f t="shared" si="237"/>
        <v>4420003</v>
      </c>
    </row>
    <row r="3206" spans="1:10" s="3" customFormat="1">
      <c r="B3206" s="3" t="s">
        <v>2128</v>
      </c>
      <c r="C3206" s="8">
        <v>2</v>
      </c>
      <c r="D3206" s="3" t="s">
        <v>2190</v>
      </c>
      <c r="E3206" s="11" t="s">
        <v>10</v>
      </c>
      <c r="F3206" s="10">
        <v>3.2699999999999998E-4</v>
      </c>
      <c r="G3206" s="12">
        <f>ROUND(G$3*F3206,0)</f>
        <v>94</v>
      </c>
      <c r="H3206" s="13">
        <f>ROUND(G3206/2,0)</f>
        <v>47</v>
      </c>
      <c r="I3206" s="12">
        <f>G3206-H3206</f>
        <v>47</v>
      </c>
      <c r="J3206" s="3" t="str">
        <f t="shared" si="237"/>
        <v>4420003</v>
      </c>
    </row>
    <row r="3207" spans="1:10" s="3" customFormat="1">
      <c r="B3207" s="3" t="s">
        <v>2128</v>
      </c>
      <c r="C3207" s="8">
        <v>2</v>
      </c>
      <c r="D3207" s="3" t="s">
        <v>2190</v>
      </c>
      <c r="E3207" s="11" t="s">
        <v>11</v>
      </c>
      <c r="F3207" s="10">
        <v>1.1E-4</v>
      </c>
      <c r="G3207" s="12">
        <f>ROUND(G$3*F3207,0)</f>
        <v>32</v>
      </c>
      <c r="H3207" s="13">
        <f>ROUND(G3207/2,0)</f>
        <v>16</v>
      </c>
      <c r="I3207" s="12">
        <f>G3207-H3207</f>
        <v>16</v>
      </c>
      <c r="J3207" s="3" t="str">
        <f t="shared" si="237"/>
        <v>4420003</v>
      </c>
    </row>
    <row r="3208" spans="1:10" s="3" customFormat="1">
      <c r="B3208" s="3" t="s">
        <v>2128</v>
      </c>
      <c r="C3208" s="8">
        <v>2</v>
      </c>
      <c r="D3208" s="3" t="s">
        <v>2191</v>
      </c>
      <c r="E3208" s="11" t="s">
        <v>983</v>
      </c>
      <c r="F3208" s="11"/>
      <c r="G3208" s="9"/>
      <c r="H3208" s="11"/>
      <c r="I3208" s="11"/>
      <c r="J3208" s="3" t="str">
        <f t="shared" si="237"/>
        <v>4420004</v>
      </c>
    </row>
    <row r="3209" spans="1:10" s="3" customFormat="1">
      <c r="B3209" s="3" t="s">
        <v>2128</v>
      </c>
      <c r="C3209" s="8">
        <v>2</v>
      </c>
      <c r="D3209" s="3" t="s">
        <v>2191</v>
      </c>
      <c r="E3209" s="11" t="s">
        <v>10</v>
      </c>
      <c r="F3209" s="10">
        <v>6.7000000000000002E-4</v>
      </c>
      <c r="G3209" s="12">
        <f>ROUND(G$3*F3209,0)</f>
        <v>193</v>
      </c>
      <c r="H3209" s="13">
        <f>ROUND(G3209/2,0)</f>
        <v>97</v>
      </c>
      <c r="I3209" s="12">
        <f>G3209-H3209</f>
        <v>96</v>
      </c>
      <c r="J3209" s="3" t="str">
        <f t="shared" si="237"/>
        <v>4420004</v>
      </c>
    </row>
    <row r="3210" spans="1:10" s="3" customFormat="1">
      <c r="A3210" s="3" t="s">
        <v>6269</v>
      </c>
      <c r="B3210" s="3" t="s">
        <v>2128</v>
      </c>
      <c r="C3210" s="8">
        <v>2</v>
      </c>
      <c r="D3210" s="3" t="s">
        <v>2191</v>
      </c>
      <c r="E3210" s="11" t="s">
        <v>11</v>
      </c>
      <c r="F3210" s="10">
        <v>0</v>
      </c>
      <c r="G3210" s="12">
        <f>ROUND(G$3*F3210,0)</f>
        <v>0</v>
      </c>
      <c r="H3210" s="13">
        <f>ROUND(G3210/2,0)</f>
        <v>0</v>
      </c>
      <c r="I3210" s="12">
        <f>G3210-H3210</f>
        <v>0</v>
      </c>
      <c r="J3210" s="3" t="str">
        <f t="shared" si="237"/>
        <v>4420004</v>
      </c>
    </row>
    <row r="3211" spans="1:10" s="3" customFormat="1">
      <c r="B3211" s="3" t="s">
        <v>2128</v>
      </c>
      <c r="C3211" s="8">
        <v>2</v>
      </c>
      <c r="D3211" s="3" t="s">
        <v>2192</v>
      </c>
      <c r="E3211" s="11" t="s">
        <v>984</v>
      </c>
      <c r="F3211" s="11"/>
      <c r="G3211" s="9"/>
      <c r="H3211" s="11"/>
      <c r="I3211" s="11"/>
      <c r="J3211" s="3" t="str">
        <f t="shared" si="237"/>
        <v>4420005</v>
      </c>
    </row>
    <row r="3212" spans="1:10" s="3" customFormat="1">
      <c r="B3212" s="3" t="s">
        <v>2128</v>
      </c>
      <c r="C3212" s="8">
        <v>2</v>
      </c>
      <c r="D3212" s="3" t="s">
        <v>2192</v>
      </c>
      <c r="E3212" s="11" t="s">
        <v>10</v>
      </c>
      <c r="F3212" s="10">
        <v>1.8900000000000001E-4</v>
      </c>
      <c r="G3212" s="12">
        <f>ROUND(G$3*F3212,0)</f>
        <v>54</v>
      </c>
      <c r="H3212" s="13">
        <f>ROUND(G3212/2,0)</f>
        <v>27</v>
      </c>
      <c r="I3212" s="12">
        <f>G3212-H3212</f>
        <v>27</v>
      </c>
      <c r="J3212" s="3" t="str">
        <f t="shared" si="237"/>
        <v>4420005</v>
      </c>
    </row>
    <row r="3213" spans="1:10" s="3" customFormat="1">
      <c r="B3213" s="3" t="s">
        <v>2128</v>
      </c>
      <c r="C3213" s="8">
        <v>2</v>
      </c>
      <c r="D3213" s="3" t="s">
        <v>2192</v>
      </c>
      <c r="E3213" s="11" t="s">
        <v>11</v>
      </c>
      <c r="F3213" s="10">
        <v>1.02E-4</v>
      </c>
      <c r="G3213" s="12">
        <f>ROUND(G$3*F3213,0)</f>
        <v>29</v>
      </c>
      <c r="H3213" s="13">
        <f>ROUND(G3213/2,0)</f>
        <v>15</v>
      </c>
      <c r="I3213" s="12">
        <f>G3213-H3213</f>
        <v>14</v>
      </c>
      <c r="J3213" s="3" t="str">
        <f t="shared" si="237"/>
        <v>4420005</v>
      </c>
    </row>
    <row r="3214" spans="1:10" s="3" customFormat="1">
      <c r="B3214" s="3" t="s">
        <v>2128</v>
      </c>
      <c r="C3214" s="8">
        <v>2</v>
      </c>
      <c r="D3214" s="3" t="s">
        <v>2193</v>
      </c>
      <c r="E3214" s="11" t="s">
        <v>268</v>
      </c>
      <c r="F3214" s="11"/>
      <c r="G3214" s="9"/>
      <c r="H3214" s="11"/>
      <c r="I3214" s="11"/>
      <c r="J3214" s="3" t="str">
        <f t="shared" si="237"/>
        <v>4420006</v>
      </c>
    </row>
    <row r="3215" spans="1:10" s="3" customFormat="1">
      <c r="B3215" s="3" t="s">
        <v>2128</v>
      </c>
      <c r="C3215" s="8">
        <v>2</v>
      </c>
      <c r="D3215" s="3" t="s">
        <v>2193</v>
      </c>
      <c r="E3215" s="11" t="s">
        <v>10</v>
      </c>
      <c r="F3215" s="10">
        <v>5.1599999999999997E-4</v>
      </c>
      <c r="G3215" s="12">
        <f>ROUND(G$3*F3215,0)</f>
        <v>148</v>
      </c>
      <c r="H3215" s="13">
        <f>ROUND(G3215/2,0)</f>
        <v>74</v>
      </c>
      <c r="I3215" s="12">
        <f>G3215-H3215</f>
        <v>74</v>
      </c>
      <c r="J3215" s="3" t="str">
        <f t="shared" si="237"/>
        <v>4420006</v>
      </c>
    </row>
    <row r="3216" spans="1:10" s="3" customFormat="1">
      <c r="B3216" s="3" t="s">
        <v>2128</v>
      </c>
      <c r="C3216" s="8">
        <v>2</v>
      </c>
      <c r="D3216" s="3" t="s">
        <v>2193</v>
      </c>
      <c r="E3216" s="11" t="s">
        <v>11</v>
      </c>
      <c r="F3216" s="10">
        <v>6.38E-4</v>
      </c>
      <c r="G3216" s="12">
        <f>ROUND(G$3*F3216,0)</f>
        <v>184</v>
      </c>
      <c r="H3216" s="13">
        <f>ROUND(G3216/2,0)</f>
        <v>92</v>
      </c>
      <c r="I3216" s="12">
        <f>G3216-H3216</f>
        <v>92</v>
      </c>
      <c r="J3216" s="3" t="str">
        <f t="shared" si="237"/>
        <v>4420006</v>
      </c>
    </row>
    <row r="3217" spans="2:10" s="3" customFormat="1">
      <c r="B3217" s="3" t="s">
        <v>2128</v>
      </c>
      <c r="C3217" s="8">
        <v>2</v>
      </c>
      <c r="D3217" s="3" t="s">
        <v>2194</v>
      </c>
      <c r="E3217" s="11" t="s">
        <v>985</v>
      </c>
      <c r="F3217" s="11"/>
      <c r="G3217" s="9"/>
      <c r="H3217" s="11"/>
      <c r="I3217" s="11"/>
      <c r="J3217" s="3" t="str">
        <f t="shared" si="237"/>
        <v>4420007</v>
      </c>
    </row>
    <row r="3218" spans="2:10" s="3" customFormat="1">
      <c r="B3218" s="3" t="s">
        <v>2128</v>
      </c>
      <c r="C3218" s="8">
        <v>2</v>
      </c>
      <c r="D3218" s="3" t="s">
        <v>2194</v>
      </c>
      <c r="E3218" s="11" t="s">
        <v>10</v>
      </c>
      <c r="F3218" s="10">
        <v>1.4419999999999999E-3</v>
      </c>
      <c r="G3218" s="12">
        <f>ROUND(G$3*F3218,0)</f>
        <v>415</v>
      </c>
      <c r="H3218" s="13">
        <f>ROUND(G3218/2,0)</f>
        <v>208</v>
      </c>
      <c r="I3218" s="12">
        <f>G3218-H3218</f>
        <v>207</v>
      </c>
      <c r="J3218" s="3" t="str">
        <f t="shared" si="237"/>
        <v>4420007</v>
      </c>
    </row>
    <row r="3219" spans="2:10" s="3" customFormat="1">
      <c r="B3219" s="3" t="s">
        <v>2128</v>
      </c>
      <c r="C3219" s="8">
        <v>2</v>
      </c>
      <c r="D3219" s="3" t="s">
        <v>2194</v>
      </c>
      <c r="E3219" s="11" t="s">
        <v>11</v>
      </c>
      <c r="F3219" s="10">
        <v>1.1230000000000001E-3</v>
      </c>
      <c r="G3219" s="12">
        <f>ROUND(G$3*F3219,0)</f>
        <v>323</v>
      </c>
      <c r="H3219" s="13">
        <f>ROUND(G3219/2,0)</f>
        <v>162</v>
      </c>
      <c r="I3219" s="12">
        <f>G3219-H3219</f>
        <v>161</v>
      </c>
      <c r="J3219" s="3" t="str">
        <f t="shared" si="237"/>
        <v>4420007</v>
      </c>
    </row>
    <row r="3220" spans="2:10" s="3" customFormat="1">
      <c r="B3220" s="3" t="s">
        <v>2128</v>
      </c>
      <c r="C3220" s="8">
        <v>2</v>
      </c>
      <c r="D3220" s="3" t="s">
        <v>2195</v>
      </c>
      <c r="E3220" s="11" t="s">
        <v>986</v>
      </c>
      <c r="F3220" s="11"/>
      <c r="G3220" s="9"/>
      <c r="H3220" s="11"/>
      <c r="I3220" s="11"/>
      <c r="J3220" s="3" t="str">
        <f t="shared" si="237"/>
        <v>4420008</v>
      </c>
    </row>
    <row r="3221" spans="2:10" s="3" customFormat="1">
      <c r="B3221" s="3" t="s">
        <v>2128</v>
      </c>
      <c r="C3221" s="8">
        <v>2</v>
      </c>
      <c r="D3221" s="3" t="s">
        <v>2195</v>
      </c>
      <c r="E3221" s="11" t="s">
        <v>10</v>
      </c>
      <c r="F3221" s="10">
        <v>1.9189999999999999E-3</v>
      </c>
      <c r="G3221" s="12">
        <f>ROUND(G$3*F3221,0)</f>
        <v>552</v>
      </c>
      <c r="H3221" s="13">
        <f>ROUND(G3221/2,0)</f>
        <v>276</v>
      </c>
      <c r="I3221" s="12">
        <f>G3221-H3221</f>
        <v>276</v>
      </c>
      <c r="J3221" s="3" t="str">
        <f t="shared" si="237"/>
        <v>4420008</v>
      </c>
    </row>
    <row r="3222" spans="2:10" s="3" customFormat="1">
      <c r="B3222" s="3" t="s">
        <v>2128</v>
      </c>
      <c r="C3222" s="8">
        <v>2</v>
      </c>
      <c r="D3222" s="3" t="s">
        <v>2195</v>
      </c>
      <c r="E3222" s="11" t="s">
        <v>11</v>
      </c>
      <c r="F3222" s="10">
        <v>1.596E-3</v>
      </c>
      <c r="G3222" s="12">
        <f>ROUND(G$3*F3222,0)</f>
        <v>459</v>
      </c>
      <c r="H3222" s="13">
        <f>ROUND(G3222/2,0)</f>
        <v>230</v>
      </c>
      <c r="I3222" s="12">
        <f>G3222-H3222</f>
        <v>229</v>
      </c>
      <c r="J3222" s="3" t="str">
        <f t="shared" si="237"/>
        <v>4420008</v>
      </c>
    </row>
    <row r="3223" spans="2:10" s="3" customFormat="1">
      <c r="B3223" s="3" t="s">
        <v>2128</v>
      </c>
      <c r="C3223" s="8">
        <v>2</v>
      </c>
      <c r="D3223" s="3" t="s">
        <v>2196</v>
      </c>
      <c r="E3223" s="11" t="s">
        <v>987</v>
      </c>
      <c r="F3223" s="11"/>
      <c r="G3223" s="9"/>
      <c r="H3223" s="11"/>
      <c r="I3223" s="11"/>
      <c r="J3223" s="3" t="str">
        <f t="shared" si="237"/>
        <v>4420009</v>
      </c>
    </row>
    <row r="3224" spans="2:10" s="3" customFormat="1">
      <c r="B3224" s="3" t="s">
        <v>2128</v>
      </c>
      <c r="C3224" s="8">
        <v>2</v>
      </c>
      <c r="D3224" s="3" t="s">
        <v>2196</v>
      </c>
      <c r="E3224" s="11" t="s">
        <v>10</v>
      </c>
      <c r="F3224" s="10">
        <v>9.0200000000000002E-4</v>
      </c>
      <c r="G3224" s="12">
        <f>ROUND(G$3*F3224,0)</f>
        <v>260</v>
      </c>
      <c r="H3224" s="13">
        <f>ROUND(G3224/2,0)</f>
        <v>130</v>
      </c>
      <c r="I3224" s="12">
        <f>G3224-H3224</f>
        <v>130</v>
      </c>
      <c r="J3224" s="3" t="str">
        <f t="shared" si="237"/>
        <v>4420009</v>
      </c>
    </row>
    <row r="3225" spans="2:10" s="3" customFormat="1">
      <c r="B3225" s="3" t="s">
        <v>2128</v>
      </c>
      <c r="C3225" s="8">
        <v>2</v>
      </c>
      <c r="D3225" s="3" t="s">
        <v>2196</v>
      </c>
      <c r="E3225" s="11" t="s">
        <v>11</v>
      </c>
      <c r="F3225" s="10">
        <v>8.43E-4</v>
      </c>
      <c r="G3225" s="12">
        <f>ROUND(G$3*F3225,0)</f>
        <v>243</v>
      </c>
      <c r="H3225" s="13">
        <f>ROUND(G3225/2,0)</f>
        <v>122</v>
      </c>
      <c r="I3225" s="12">
        <f>G3225-H3225</f>
        <v>121</v>
      </c>
      <c r="J3225" s="3" t="str">
        <f t="shared" si="237"/>
        <v>4420009</v>
      </c>
    </row>
    <row r="3226" spans="2:10" s="3" customFormat="1">
      <c r="B3226" s="3" t="s">
        <v>2128</v>
      </c>
      <c r="C3226" s="8">
        <v>2</v>
      </c>
      <c r="D3226" s="3" t="s">
        <v>2197</v>
      </c>
      <c r="E3226" s="11" t="s">
        <v>59</v>
      </c>
      <c r="F3226" s="11"/>
      <c r="G3226" s="9"/>
      <c r="H3226" s="11"/>
      <c r="I3226" s="11"/>
      <c r="J3226" s="3" t="str">
        <f t="shared" si="237"/>
        <v>4420010</v>
      </c>
    </row>
    <row r="3227" spans="2:10" s="3" customFormat="1">
      <c r="B3227" s="3" t="s">
        <v>2128</v>
      </c>
      <c r="C3227" s="8">
        <v>2</v>
      </c>
      <c r="D3227" s="3" t="s">
        <v>2197</v>
      </c>
      <c r="E3227" s="11" t="s">
        <v>10</v>
      </c>
      <c r="F3227" s="10">
        <v>1.1509999999999999E-3</v>
      </c>
      <c r="G3227" s="12">
        <f>ROUND(G$3*F3227,0)</f>
        <v>331</v>
      </c>
      <c r="H3227" s="13">
        <f>ROUND(G3227/2,0)</f>
        <v>166</v>
      </c>
      <c r="I3227" s="12">
        <f>G3227-H3227</f>
        <v>165</v>
      </c>
      <c r="J3227" s="3" t="str">
        <f t="shared" si="237"/>
        <v>4420010</v>
      </c>
    </row>
    <row r="3228" spans="2:10" s="3" customFormat="1">
      <c r="B3228" s="3" t="s">
        <v>2128</v>
      </c>
      <c r="C3228" s="8">
        <v>2</v>
      </c>
      <c r="D3228" s="3" t="s">
        <v>2197</v>
      </c>
      <c r="E3228" s="11" t="s">
        <v>11</v>
      </c>
      <c r="F3228" s="10">
        <v>2.99E-4</v>
      </c>
      <c r="G3228" s="12">
        <f>ROUND(G$3*F3228,0)</f>
        <v>86</v>
      </c>
      <c r="H3228" s="13">
        <f>ROUND(G3228/2,0)</f>
        <v>43</v>
      </c>
      <c r="I3228" s="12">
        <f>G3228-H3228</f>
        <v>43</v>
      </c>
      <c r="J3228" s="3" t="str">
        <f t="shared" si="237"/>
        <v>4420010</v>
      </c>
    </row>
    <row r="3229" spans="2:10" s="3" customFormat="1">
      <c r="B3229" s="3" t="s">
        <v>2128</v>
      </c>
      <c r="C3229" s="8">
        <v>2</v>
      </c>
      <c r="D3229" s="3" t="s">
        <v>2198</v>
      </c>
      <c r="E3229" s="11" t="s">
        <v>169</v>
      </c>
      <c r="F3229" s="11"/>
      <c r="G3229" s="9"/>
      <c r="H3229" s="11"/>
      <c r="I3229" s="11"/>
      <c r="J3229" s="3" t="str">
        <f t="shared" si="237"/>
        <v>4420011</v>
      </c>
    </row>
    <row r="3230" spans="2:10" s="3" customFormat="1">
      <c r="B3230" s="3" t="s">
        <v>2128</v>
      </c>
      <c r="C3230" s="8">
        <v>2</v>
      </c>
      <c r="D3230" s="3" t="s">
        <v>2198</v>
      </c>
      <c r="E3230" s="11" t="s">
        <v>10</v>
      </c>
      <c r="F3230" s="10">
        <v>2.5999999999999998E-4</v>
      </c>
      <c r="G3230" s="12">
        <f t="shared" ref="G3230:G3236" si="238">ROUND(G$3*F3230,0)</f>
        <v>75</v>
      </c>
      <c r="H3230" s="13">
        <f t="shared" ref="H3230:H3236" si="239">ROUND(G3230/2,0)</f>
        <v>38</v>
      </c>
      <c r="I3230" s="12">
        <f t="shared" ref="I3230:I3236" si="240">G3230-H3230</f>
        <v>37</v>
      </c>
      <c r="J3230" s="3" t="str">
        <f t="shared" si="237"/>
        <v>4420011</v>
      </c>
    </row>
    <row r="3231" spans="2:10" s="3" customFormat="1">
      <c r="B3231" s="3" t="s">
        <v>2128</v>
      </c>
      <c r="C3231" s="8">
        <v>2</v>
      </c>
      <c r="D3231" s="3" t="s">
        <v>2198</v>
      </c>
      <c r="E3231" s="11" t="s">
        <v>11</v>
      </c>
      <c r="F3231" s="10">
        <v>1.1E-4</v>
      </c>
      <c r="G3231" s="12">
        <f t="shared" si="238"/>
        <v>32</v>
      </c>
      <c r="H3231" s="13">
        <f t="shared" si="239"/>
        <v>16</v>
      </c>
      <c r="I3231" s="12">
        <f t="shared" si="240"/>
        <v>16</v>
      </c>
      <c r="J3231" s="3" t="str">
        <f t="shared" si="237"/>
        <v>4420011</v>
      </c>
    </row>
    <row r="3232" spans="2:10" s="3" customFormat="1">
      <c r="B3232" s="3" t="s">
        <v>2128</v>
      </c>
      <c r="C3232" s="8">
        <v>3</v>
      </c>
      <c r="D3232" s="3" t="s">
        <v>2689</v>
      </c>
      <c r="E3232" s="11" t="s">
        <v>988</v>
      </c>
      <c r="F3232" s="10">
        <v>3.7919000000000001E-2</v>
      </c>
      <c r="G3232" s="12">
        <f t="shared" si="238"/>
        <v>10910</v>
      </c>
      <c r="H3232" s="13">
        <f t="shared" si="239"/>
        <v>5455</v>
      </c>
      <c r="I3232" s="12">
        <f t="shared" si="240"/>
        <v>5455</v>
      </c>
      <c r="J3232" s="3" t="str">
        <f t="shared" si="237"/>
        <v>4430727</v>
      </c>
    </row>
    <row r="3233" spans="2:10" s="3" customFormat="1">
      <c r="B3233" s="3" t="s">
        <v>2128</v>
      </c>
      <c r="C3233" s="8">
        <v>3</v>
      </c>
      <c r="D3233" s="3" t="s">
        <v>2690</v>
      </c>
      <c r="E3233" s="11" t="s">
        <v>989</v>
      </c>
      <c r="F3233" s="10">
        <v>1.259E-2</v>
      </c>
      <c r="G3233" s="12">
        <f t="shared" si="238"/>
        <v>3622</v>
      </c>
      <c r="H3233" s="13">
        <f t="shared" si="239"/>
        <v>1811</v>
      </c>
      <c r="I3233" s="12">
        <f t="shared" si="240"/>
        <v>1811</v>
      </c>
      <c r="J3233" s="3" t="str">
        <f t="shared" si="237"/>
        <v>4430728</v>
      </c>
    </row>
    <row r="3234" spans="2:10" s="3" customFormat="1">
      <c r="B3234" s="3" t="s">
        <v>2128</v>
      </c>
      <c r="C3234" s="8">
        <v>3</v>
      </c>
      <c r="D3234" s="3" t="s">
        <v>2691</v>
      </c>
      <c r="E3234" s="11" t="s">
        <v>990</v>
      </c>
      <c r="F3234" s="10">
        <v>2.1266E-2</v>
      </c>
      <c r="G3234" s="12">
        <f t="shared" si="238"/>
        <v>6119</v>
      </c>
      <c r="H3234" s="13">
        <f t="shared" si="239"/>
        <v>3060</v>
      </c>
      <c r="I3234" s="12">
        <f t="shared" si="240"/>
        <v>3059</v>
      </c>
      <c r="J3234" s="3" t="str">
        <f t="shared" si="237"/>
        <v>4430729</v>
      </c>
    </row>
    <row r="3235" spans="2:10" s="3" customFormat="1">
      <c r="B3235" s="3" t="s">
        <v>2128</v>
      </c>
      <c r="C3235" s="8">
        <v>3</v>
      </c>
      <c r="D3235" s="3" t="s">
        <v>2692</v>
      </c>
      <c r="E3235" s="11" t="s">
        <v>991</v>
      </c>
      <c r="F3235" s="10">
        <v>1.036E-3</v>
      </c>
      <c r="G3235" s="12">
        <f t="shared" si="238"/>
        <v>298</v>
      </c>
      <c r="H3235" s="13">
        <f t="shared" si="239"/>
        <v>149</v>
      </c>
      <c r="I3235" s="12">
        <f t="shared" si="240"/>
        <v>149</v>
      </c>
      <c r="J3235" s="3" t="str">
        <f t="shared" si="237"/>
        <v>4430811</v>
      </c>
    </row>
    <row r="3236" spans="2:10" s="3" customFormat="1">
      <c r="B3236" s="3" t="s">
        <v>2128</v>
      </c>
      <c r="C3236" s="8">
        <v>4</v>
      </c>
      <c r="D3236" s="3" t="s">
        <v>2695</v>
      </c>
      <c r="E3236" s="11" t="s">
        <v>992</v>
      </c>
      <c r="F3236" s="10">
        <v>0.26509500000000003</v>
      </c>
      <c r="G3236" s="9">
        <f t="shared" si="238"/>
        <v>76274</v>
      </c>
      <c r="H3236" s="11">
        <f t="shared" si="239"/>
        <v>38137</v>
      </c>
      <c r="I3236" s="9">
        <f t="shared" si="240"/>
        <v>38137</v>
      </c>
      <c r="J3236" s="3" t="str">
        <f t="shared" si="237"/>
        <v>4444535</v>
      </c>
    </row>
    <row r="3237" spans="2:10" s="3" customFormat="1">
      <c r="B3237" s="3" t="s">
        <v>2128</v>
      </c>
      <c r="C3237" s="8">
        <v>4</v>
      </c>
      <c r="D3237" s="3" t="s">
        <v>2695</v>
      </c>
      <c r="E3237" s="11" t="s">
        <v>28</v>
      </c>
      <c r="F3237" s="11"/>
      <c r="G3237" s="14">
        <v>0.50151199999999996</v>
      </c>
      <c r="H3237" s="11"/>
      <c r="I3237" s="11"/>
      <c r="J3237" s="3" t="str">
        <f t="shared" si="237"/>
        <v>4444535</v>
      </c>
    </row>
    <row r="3238" spans="2:10" s="3" customFormat="1">
      <c r="B3238" s="3" t="s">
        <v>2128</v>
      </c>
      <c r="C3238" s="8">
        <v>4</v>
      </c>
      <c r="D3238" s="3" t="s">
        <v>2695</v>
      </c>
      <c r="E3238" s="11" t="s">
        <v>29</v>
      </c>
      <c r="F3238" s="11"/>
      <c r="G3238" s="15">
        <f>ROUND(G3236*G3237,0)</f>
        <v>38252</v>
      </c>
      <c r="H3238" s="16">
        <f>ROUND(G3238/2,0)</f>
        <v>19126</v>
      </c>
      <c r="I3238" s="15">
        <f>G3238-H3238</f>
        <v>19126</v>
      </c>
      <c r="J3238" s="3" t="str">
        <f t="shared" si="237"/>
        <v>4444535</v>
      </c>
    </row>
    <row r="3239" spans="2:10" s="3" customFormat="1">
      <c r="B3239" s="3" t="s">
        <v>2128</v>
      </c>
      <c r="C3239" s="8">
        <v>4</v>
      </c>
      <c r="D3239" s="3" t="s">
        <v>2695</v>
      </c>
      <c r="E3239" s="11" t="s">
        <v>30</v>
      </c>
      <c r="F3239" s="11"/>
      <c r="G3239" s="12">
        <f>+G3236-G3238</f>
        <v>38022</v>
      </c>
      <c r="H3239" s="13">
        <f>ROUND(G3239/2,0)</f>
        <v>19011</v>
      </c>
      <c r="I3239" s="12">
        <f>G3239-H3239</f>
        <v>19011</v>
      </c>
      <c r="J3239" s="3" t="str">
        <f t="shared" si="237"/>
        <v>4444535</v>
      </c>
    </row>
    <row r="3240" spans="2:10" s="3" customFormat="1">
      <c r="B3240" s="3" t="s">
        <v>2128</v>
      </c>
      <c r="C3240" s="8">
        <v>4</v>
      </c>
      <c r="D3240" s="3" t="s">
        <v>2693</v>
      </c>
      <c r="E3240" s="11" t="s">
        <v>993</v>
      </c>
      <c r="F3240" s="10">
        <v>0.152226</v>
      </c>
      <c r="G3240" s="9">
        <f>ROUND(G$3*F3240,0)</f>
        <v>43799</v>
      </c>
      <c r="H3240" s="11">
        <f>ROUND(G3240/2,0)</f>
        <v>21900</v>
      </c>
      <c r="I3240" s="9">
        <f>G3240-H3240</f>
        <v>21899</v>
      </c>
      <c r="J3240" s="3" t="str">
        <f t="shared" si="237"/>
        <v>4444515</v>
      </c>
    </row>
    <row r="3241" spans="2:10" s="3" customFormat="1">
      <c r="B3241" s="3" t="s">
        <v>2128</v>
      </c>
      <c r="C3241" s="8">
        <v>4</v>
      </c>
      <c r="D3241" s="3" t="s">
        <v>2693</v>
      </c>
      <c r="E3241" s="11" t="s">
        <v>28</v>
      </c>
      <c r="F3241" s="11"/>
      <c r="G3241" s="14">
        <v>0.44967800000000002</v>
      </c>
      <c r="H3241" s="11"/>
      <c r="I3241" s="11"/>
      <c r="J3241" s="3" t="str">
        <f t="shared" si="237"/>
        <v>4444515</v>
      </c>
    </row>
    <row r="3242" spans="2:10" s="3" customFormat="1">
      <c r="B3242" s="3" t="s">
        <v>2128</v>
      </c>
      <c r="C3242" s="8">
        <v>4</v>
      </c>
      <c r="D3242" s="3" t="s">
        <v>2693</v>
      </c>
      <c r="E3242" s="11" t="s">
        <v>29</v>
      </c>
      <c r="F3242" s="11"/>
      <c r="G3242" s="15">
        <f>ROUND(G3240*G3241,0)</f>
        <v>19695</v>
      </c>
      <c r="H3242" s="16">
        <f>ROUND(G3242/2,0)</f>
        <v>9848</v>
      </c>
      <c r="I3242" s="15">
        <f>G3242-H3242</f>
        <v>9847</v>
      </c>
      <c r="J3242" s="3" t="str">
        <f t="shared" si="237"/>
        <v>4444515</v>
      </c>
    </row>
    <row r="3243" spans="2:10" s="3" customFormat="1">
      <c r="B3243" s="3" t="s">
        <v>2128</v>
      </c>
      <c r="C3243" s="8">
        <v>4</v>
      </c>
      <c r="D3243" s="3" t="s">
        <v>2693</v>
      </c>
      <c r="E3243" s="11" t="s">
        <v>30</v>
      </c>
      <c r="F3243" s="11"/>
      <c r="G3243" s="12">
        <f>+G3240-G3242</f>
        <v>24104</v>
      </c>
      <c r="H3243" s="13">
        <f>ROUND(G3243/2,0)</f>
        <v>12052</v>
      </c>
      <c r="I3243" s="12">
        <f>G3243-H3243</f>
        <v>12052</v>
      </c>
      <c r="J3243" s="3" t="str">
        <f t="shared" si="237"/>
        <v>4444515</v>
      </c>
    </row>
    <row r="3244" spans="2:10" s="3" customFormat="1">
      <c r="B3244" s="3" t="s">
        <v>2128</v>
      </c>
      <c r="C3244" s="8">
        <v>4</v>
      </c>
      <c r="D3244" s="3" t="s">
        <v>2694</v>
      </c>
      <c r="E3244" s="11" t="s">
        <v>994</v>
      </c>
      <c r="F3244" s="10">
        <v>0.25154799999999999</v>
      </c>
      <c r="G3244" s="9">
        <f>ROUND(G$3*F3244,0)</f>
        <v>72376</v>
      </c>
      <c r="H3244" s="11">
        <f>ROUND(G3244/2,0)</f>
        <v>36188</v>
      </c>
      <c r="I3244" s="9">
        <f>G3244-H3244</f>
        <v>36188</v>
      </c>
      <c r="J3244" s="3" t="str">
        <f t="shared" si="237"/>
        <v>4444525</v>
      </c>
    </row>
    <row r="3245" spans="2:10" s="3" customFormat="1">
      <c r="B3245" s="3" t="s">
        <v>2128</v>
      </c>
      <c r="C3245" s="8">
        <v>4</v>
      </c>
      <c r="D3245" s="3" t="s">
        <v>2694</v>
      </c>
      <c r="E3245" s="11" t="s">
        <v>28</v>
      </c>
      <c r="F3245" s="11"/>
      <c r="G3245" s="14">
        <v>0.47811399999999998</v>
      </c>
      <c r="H3245" s="11"/>
      <c r="I3245" s="11"/>
      <c r="J3245" s="3" t="str">
        <f t="shared" si="237"/>
        <v>4444525</v>
      </c>
    </row>
    <row r="3246" spans="2:10" s="3" customFormat="1">
      <c r="B3246" s="3" t="s">
        <v>2128</v>
      </c>
      <c r="C3246" s="8">
        <v>4</v>
      </c>
      <c r="D3246" s="3" t="s">
        <v>2694</v>
      </c>
      <c r="E3246" s="11" t="s">
        <v>29</v>
      </c>
      <c r="F3246" s="11"/>
      <c r="G3246" s="15">
        <f>ROUND(G3244*G3245,0)</f>
        <v>34604</v>
      </c>
      <c r="H3246" s="16">
        <f>ROUND(G3246/2,0)</f>
        <v>17302</v>
      </c>
      <c r="I3246" s="15">
        <f>G3246-H3246</f>
        <v>17302</v>
      </c>
      <c r="J3246" s="3" t="str">
        <f t="shared" si="237"/>
        <v>4444525</v>
      </c>
    </row>
    <row r="3247" spans="2:10" s="3" customFormat="1">
      <c r="B3247" s="3" t="s">
        <v>2128</v>
      </c>
      <c r="C3247" s="8">
        <v>4</v>
      </c>
      <c r="D3247" s="3" t="s">
        <v>2694</v>
      </c>
      <c r="E3247" s="11" t="s">
        <v>30</v>
      </c>
      <c r="F3247" s="11"/>
      <c r="G3247" s="12">
        <f>+G3244-G3246</f>
        <v>37772</v>
      </c>
      <c r="H3247" s="13">
        <f>ROUND(G3247/2,0)</f>
        <v>18886</v>
      </c>
      <c r="I3247" s="12">
        <f>G3247-H3247</f>
        <v>18886</v>
      </c>
      <c r="J3247" s="3" t="str">
        <f t="shared" si="237"/>
        <v>4444525</v>
      </c>
    </row>
    <row r="3248" spans="2:10" s="3" customFormat="1">
      <c r="B3248" s="3" t="s">
        <v>2128</v>
      </c>
      <c r="C3248" s="8">
        <v>5</v>
      </c>
      <c r="D3248" s="3" t="s">
        <v>4682</v>
      </c>
      <c r="E3248" s="11" t="s">
        <v>995</v>
      </c>
      <c r="F3248" s="10">
        <v>1.6285999999999998E-2</v>
      </c>
      <c r="G3248" s="120">
        <f>ROUND(G$3*F3248,0)</f>
        <v>4686</v>
      </c>
      <c r="H3248" s="120">
        <f>ROUND(G3248/2,0)</f>
        <v>2343</v>
      </c>
      <c r="I3248" s="120">
        <f>G3248-H3248</f>
        <v>2343</v>
      </c>
      <c r="J3248" s="3" t="str">
        <f t="shared" si="237"/>
        <v>4450122</v>
      </c>
    </row>
    <row r="3249" spans="2:10" s="3" customFormat="1">
      <c r="B3249" s="3" t="s">
        <v>2128</v>
      </c>
      <c r="C3249" s="8">
        <v>6</v>
      </c>
      <c r="D3249" s="3" t="s">
        <v>3708</v>
      </c>
      <c r="E3249" s="11" t="s">
        <v>397</v>
      </c>
      <c r="F3249" s="10">
        <v>5.3600000000000314E-3</v>
      </c>
      <c r="G3249" s="120">
        <f>+G3193-SUM(G3194:G3195)-SUM(G3200:G3236)-G3240-G3244-G3248</f>
        <v>-54898</v>
      </c>
      <c r="H3249" s="120">
        <f>ROUND(G3249/2,0)</f>
        <v>-27449</v>
      </c>
      <c r="I3249" s="120">
        <f>G3249-H3249</f>
        <v>-27449</v>
      </c>
      <c r="J3249" s="3" t="str">
        <f t="shared" si="237"/>
        <v>4460994</v>
      </c>
    </row>
    <row r="3250" spans="2:10" s="3" customFormat="1">
      <c r="B3250" s="3" t="s">
        <v>2128</v>
      </c>
      <c r="C3250" s="8">
        <v>0</v>
      </c>
      <c r="D3250" s="125" t="s">
        <v>2187</v>
      </c>
      <c r="E3250" s="28" t="s">
        <v>288</v>
      </c>
      <c r="F3250" s="10">
        <v>1</v>
      </c>
      <c r="G3250" s="12">
        <f>+G3194+SUM(G3197:G3235)+SUM(G3238:G3239)+SUM(G3242:G3243)+SUM(G3246:G3249)</f>
        <v>231283</v>
      </c>
      <c r="H3250" s="12">
        <f>+H3194+SUM(H3197:H3235)+SUM(H3238:H3239)+SUM(H3242:H3243)+SUM(H3246:H3249)</f>
        <v>115648</v>
      </c>
      <c r="I3250" s="12">
        <f>+I3194+SUM(I3197:I3235)+SUM(I3238:I3239)+SUM(I3242:I3243)+SUM(I3246:I3249)</f>
        <v>115635</v>
      </c>
      <c r="J3250" s="3" t="str">
        <f t="shared" si="237"/>
        <v>4400000</v>
      </c>
    </row>
    <row r="3251" spans="2:10" s="3" customFormat="1">
      <c r="B3251" s="3" t="s">
        <v>2128</v>
      </c>
      <c r="C3251" s="8">
        <v>0</v>
      </c>
      <c r="D3251" s="3" t="s">
        <v>2187</v>
      </c>
      <c r="E3251" s="18" t="s">
        <v>38</v>
      </c>
      <c r="G3251" s="19">
        <f>+G3194</f>
        <v>400</v>
      </c>
      <c r="H3251" s="19">
        <f>+H3194</f>
        <v>200</v>
      </c>
      <c r="I3251" s="19">
        <f>+I3194</f>
        <v>200</v>
      </c>
      <c r="J3251" s="3" t="str">
        <f t="shared" si="237"/>
        <v>4400000</v>
      </c>
    </row>
    <row r="3252" spans="2:10" s="3" customFormat="1">
      <c r="B3252" s="3" t="s">
        <v>2128</v>
      </c>
      <c r="C3252" s="8">
        <v>0</v>
      </c>
      <c r="D3252" s="3" t="s">
        <v>2187</v>
      </c>
      <c r="E3252" s="2" t="s">
        <v>39</v>
      </c>
      <c r="G3252" s="19">
        <f>+G3197</f>
        <v>15022</v>
      </c>
      <c r="H3252" s="19">
        <f>+H3197</f>
        <v>7511</v>
      </c>
      <c r="I3252" s="19">
        <f>+I3197</f>
        <v>7511</v>
      </c>
      <c r="J3252" s="3" t="str">
        <f t="shared" si="237"/>
        <v>4400000</v>
      </c>
    </row>
    <row r="3253" spans="2:10" s="3" customFormat="1">
      <c r="B3253" s="3" t="s">
        <v>2128</v>
      </c>
      <c r="C3253" s="8">
        <v>0</v>
      </c>
      <c r="D3253" s="3" t="s">
        <v>2187</v>
      </c>
      <c r="E3253" s="2" t="s">
        <v>40</v>
      </c>
      <c r="G3253" s="19">
        <f>+G3238+G3242+G3246</f>
        <v>92551</v>
      </c>
      <c r="H3253" s="19">
        <f>+H3238+H3242+H3246</f>
        <v>46276</v>
      </c>
      <c r="I3253" s="19">
        <f>+I3238+I3242+I3246</f>
        <v>46275</v>
      </c>
      <c r="J3253" s="3" t="str">
        <f t="shared" si="237"/>
        <v>4400000</v>
      </c>
    </row>
    <row r="3254" spans="2:10" s="3" customFormat="1">
      <c r="B3254" s="3" t="s">
        <v>2128</v>
      </c>
      <c r="C3254" s="8">
        <v>0</v>
      </c>
      <c r="D3254" s="125" t="s">
        <v>2187</v>
      </c>
      <c r="E3254" s="18" t="s">
        <v>41</v>
      </c>
      <c r="G3254" s="19">
        <f>+G3250-G3251-G3252-G3253</f>
        <v>123310</v>
      </c>
      <c r="H3254" s="19">
        <f>+H3250-H3251-H3252-H3253</f>
        <v>61661</v>
      </c>
      <c r="I3254" s="19">
        <f>+I3250-I3251-I3252-I3253</f>
        <v>61649</v>
      </c>
      <c r="J3254" s="3" t="str">
        <f t="shared" si="237"/>
        <v>4400000</v>
      </c>
    </row>
    <row r="3255" spans="2:10" ht="15.75">
      <c r="B3255" s="3" t="s">
        <v>2186</v>
      </c>
      <c r="D3255" t="s">
        <v>2186</v>
      </c>
      <c r="E3255">
        <v>0</v>
      </c>
      <c r="G3255"/>
      <c r="H3255"/>
      <c r="I3255"/>
      <c r="J3255" s="3" t="str">
        <f t="shared" si="237"/>
        <v/>
      </c>
    </row>
    <row r="3256" spans="2:10" s="3" customFormat="1">
      <c r="C3256" s="1"/>
      <c r="D3256" s="3" t="s">
        <v>2186</v>
      </c>
      <c r="E3256" s="2" t="s">
        <v>996</v>
      </c>
      <c r="J3256" s="3" t="str">
        <f t="shared" si="237"/>
        <v/>
      </c>
    </row>
    <row r="3257" spans="2:10" s="3" customFormat="1" ht="45">
      <c r="B3257" s="3" t="s">
        <v>2186</v>
      </c>
      <c r="C3257" s="1"/>
      <c r="D3257" s="3" t="s">
        <v>2186</v>
      </c>
      <c r="E3257" s="1">
        <v>0</v>
      </c>
      <c r="F3257" s="6" t="s">
        <v>1</v>
      </c>
      <c r="G3257" s="60">
        <f>'Allocation Worksheet'!H3257</f>
        <v>0</v>
      </c>
      <c r="H3257" s="60">
        <f>'Allocation Worksheet'!H3258</f>
        <v>0</v>
      </c>
      <c r="I3257" s="60">
        <f>'Allocation Worksheet'!H3259</f>
        <v>0</v>
      </c>
      <c r="J3257" s="3" t="str">
        <f t="shared" si="237"/>
        <v/>
      </c>
    </row>
    <row r="3258" spans="2:10" s="3" customFormat="1">
      <c r="C3258" s="7" t="s">
        <v>2087</v>
      </c>
      <c r="D3258" s="3" t="s">
        <v>2186</v>
      </c>
      <c r="E3258" s="7" t="s">
        <v>3</v>
      </c>
      <c r="F3258" s="10"/>
      <c r="G3258" s="9">
        <f>'Allocation Worksheet'!$D$48</f>
        <v>5422774</v>
      </c>
      <c r="H3258" s="11"/>
      <c r="I3258" s="11"/>
      <c r="J3258" s="3" t="str">
        <f t="shared" si="237"/>
        <v>UT</v>
      </c>
    </row>
    <row r="3259" spans="2:10" s="3" customFormat="1">
      <c r="B3259" s="3" t="s">
        <v>2129</v>
      </c>
      <c r="C3259" s="8">
        <v>0</v>
      </c>
      <c r="D3259" s="3" t="s">
        <v>2187</v>
      </c>
      <c r="E3259" s="11" t="s">
        <v>4</v>
      </c>
      <c r="F3259" s="10">
        <v>4.6999999999999999E-4</v>
      </c>
      <c r="G3259" s="12">
        <f>ROUND(G$3*F3259,0)</f>
        <v>135</v>
      </c>
      <c r="H3259" s="13">
        <f>ROUND(G3259/2,0)</f>
        <v>68</v>
      </c>
      <c r="I3259" s="12">
        <f>G3259-H3259</f>
        <v>67</v>
      </c>
      <c r="J3259" s="3" t="str">
        <f t="shared" si="237"/>
        <v>4500000</v>
      </c>
    </row>
    <row r="3260" spans="2:10" s="3" customFormat="1">
      <c r="B3260" s="3" t="s">
        <v>2129</v>
      </c>
      <c r="C3260" s="8">
        <v>1</v>
      </c>
      <c r="D3260" s="3" t="s">
        <v>2187</v>
      </c>
      <c r="E3260" s="11" t="s">
        <v>997</v>
      </c>
      <c r="F3260" s="10">
        <v>0.228634</v>
      </c>
      <c r="G3260" s="9">
        <f>ROUND(G$3*F3260,0)</f>
        <v>65783</v>
      </c>
      <c r="H3260" s="11">
        <f>ROUND(G3260/2,0)</f>
        <v>32892</v>
      </c>
      <c r="I3260" s="9">
        <f>G3260-H3260</f>
        <v>32891</v>
      </c>
      <c r="J3260" s="3" t="str">
        <f t="shared" si="237"/>
        <v>4510000</v>
      </c>
    </row>
    <row r="3261" spans="2:10" s="3" customFormat="1">
      <c r="B3261" s="3" t="s">
        <v>2129</v>
      </c>
      <c r="C3261" s="8">
        <v>1</v>
      </c>
      <c r="D3261" s="3" t="s">
        <v>2187</v>
      </c>
      <c r="E3261" s="11" t="s">
        <v>6</v>
      </c>
      <c r="F3261" s="11"/>
      <c r="G3261" s="14">
        <v>0.44061899999999998</v>
      </c>
      <c r="H3261" s="11"/>
      <c r="I3261" s="11"/>
      <c r="J3261" s="3" t="str">
        <f t="shared" si="237"/>
        <v>4510000</v>
      </c>
    </row>
    <row r="3262" spans="2:10" s="3" customFormat="1">
      <c r="B3262" s="3" t="s">
        <v>2129</v>
      </c>
      <c r="C3262" s="8">
        <v>1</v>
      </c>
      <c r="D3262" s="3" t="s">
        <v>2187</v>
      </c>
      <c r="E3262" s="11" t="s">
        <v>7</v>
      </c>
      <c r="F3262" s="11"/>
      <c r="G3262" s="15">
        <f>ROUND(G3260*G3261,0)</f>
        <v>28985</v>
      </c>
      <c r="H3262" s="16">
        <f>ROUND(G3262/2,0)</f>
        <v>14493</v>
      </c>
      <c r="I3262" s="15">
        <f>G3262-H3262</f>
        <v>14492</v>
      </c>
      <c r="J3262" s="3" t="str">
        <f t="shared" si="237"/>
        <v>4510000</v>
      </c>
    </row>
    <row r="3263" spans="2:10" s="3" customFormat="1">
      <c r="B3263" s="3" t="s">
        <v>2129</v>
      </c>
      <c r="C3263" s="8">
        <v>1</v>
      </c>
      <c r="D3263" s="3" t="s">
        <v>2187</v>
      </c>
      <c r="E3263" s="11" t="s">
        <v>8</v>
      </c>
      <c r="F3263" s="11"/>
      <c r="G3263" s="12">
        <f>+G3260-G3262</f>
        <v>36798</v>
      </c>
      <c r="H3263" s="13">
        <f>ROUND(G3263/2,0)</f>
        <v>18399</v>
      </c>
      <c r="I3263" s="12">
        <f>G3263-H3263</f>
        <v>18399</v>
      </c>
      <c r="J3263" s="3" t="str">
        <f t="shared" si="237"/>
        <v>4510000</v>
      </c>
    </row>
    <row r="3264" spans="2:10" s="3" customFormat="1">
      <c r="B3264" s="3" t="s">
        <v>2129</v>
      </c>
      <c r="C3264" s="8">
        <v>2</v>
      </c>
      <c r="D3264" s="3" t="s">
        <v>2188</v>
      </c>
      <c r="E3264" s="11" t="s">
        <v>998</v>
      </c>
      <c r="F3264" s="11"/>
      <c r="G3264" s="9"/>
      <c r="H3264" s="11"/>
      <c r="I3264" s="11"/>
      <c r="J3264" s="3" t="str">
        <f t="shared" si="237"/>
        <v>4520001</v>
      </c>
    </row>
    <row r="3265" spans="1:10" s="3" customFormat="1">
      <c r="B3265" s="3" t="s">
        <v>2129</v>
      </c>
      <c r="C3265" s="8">
        <v>2</v>
      </c>
      <c r="D3265" s="3" t="s">
        <v>2188</v>
      </c>
      <c r="E3265" s="11" t="s">
        <v>10</v>
      </c>
      <c r="F3265" s="10">
        <v>2.5218999999999998E-2</v>
      </c>
      <c r="G3265" s="12">
        <f>ROUND(G$3*F3265,0)</f>
        <v>7256</v>
      </c>
      <c r="H3265" s="13">
        <f>ROUND(G3265/2,0)</f>
        <v>3628</v>
      </c>
      <c r="I3265" s="12">
        <f>G3265-H3265</f>
        <v>3628</v>
      </c>
      <c r="J3265" s="3" t="str">
        <f t="shared" si="237"/>
        <v>4520001</v>
      </c>
    </row>
    <row r="3266" spans="1:10" s="3" customFormat="1">
      <c r="A3266" s="3" t="s">
        <v>6269</v>
      </c>
      <c r="B3266" s="3" t="s">
        <v>2129</v>
      </c>
      <c r="C3266" s="8">
        <v>2</v>
      </c>
      <c r="D3266" s="3" t="s">
        <v>2188</v>
      </c>
      <c r="E3266" s="11" t="s">
        <v>11</v>
      </c>
      <c r="F3266" s="10">
        <v>0</v>
      </c>
      <c r="G3266" s="12">
        <f>ROUND(G$3*F3266,0)</f>
        <v>0</v>
      </c>
      <c r="H3266" s="13">
        <f>ROUND(G3266/2,0)</f>
        <v>0</v>
      </c>
      <c r="I3266" s="12">
        <f>G3266-H3266</f>
        <v>0</v>
      </c>
      <c r="J3266" s="3" t="str">
        <f t="shared" si="237"/>
        <v>4520001</v>
      </c>
    </row>
    <row r="3267" spans="1:10" s="3" customFormat="1">
      <c r="B3267" s="3" t="s">
        <v>2129</v>
      </c>
      <c r="C3267" s="8">
        <v>2</v>
      </c>
      <c r="D3267" s="3" t="s">
        <v>2189</v>
      </c>
      <c r="E3267" s="11" t="s">
        <v>47</v>
      </c>
      <c r="F3267" s="11"/>
      <c r="G3267" s="9"/>
      <c r="H3267" s="11"/>
      <c r="I3267" s="11"/>
      <c r="J3267" s="3" t="str">
        <f t="shared" si="237"/>
        <v>4520002</v>
      </c>
    </row>
    <row r="3268" spans="1:10" s="3" customFormat="1">
      <c r="B3268" s="3" t="s">
        <v>2129</v>
      </c>
      <c r="C3268" s="8">
        <v>2</v>
      </c>
      <c r="D3268" s="3" t="s">
        <v>2189</v>
      </c>
      <c r="E3268" s="11" t="s">
        <v>10</v>
      </c>
      <c r="F3268" s="10">
        <v>1.5300000000000001E-4</v>
      </c>
      <c r="G3268" s="12">
        <f>ROUND(G$3*F3268,0)</f>
        <v>44</v>
      </c>
      <c r="H3268" s="13">
        <f>ROUND(G3268/2,0)</f>
        <v>22</v>
      </c>
      <c r="I3268" s="12">
        <f>G3268-H3268</f>
        <v>22</v>
      </c>
      <c r="J3268" s="3" t="str">
        <f t="shared" ref="J3268:J3331" si="241">B3268&amp;C3268&amp;D3268</f>
        <v>4520002</v>
      </c>
    </row>
    <row r="3269" spans="1:10" s="3" customFormat="1">
      <c r="B3269" s="3" t="s">
        <v>2129</v>
      </c>
      <c r="C3269" s="8">
        <v>2</v>
      </c>
      <c r="D3269" s="3" t="s">
        <v>2189</v>
      </c>
      <c r="E3269" s="11" t="s">
        <v>11</v>
      </c>
      <c r="F3269" s="10">
        <v>4.5000000000000003E-5</v>
      </c>
      <c r="G3269" s="12">
        <f>ROUND(G$3*F3269,0)</f>
        <v>13</v>
      </c>
      <c r="H3269" s="13">
        <f>ROUND(G3269/2,0)</f>
        <v>7</v>
      </c>
      <c r="I3269" s="12">
        <f>G3269-H3269</f>
        <v>6</v>
      </c>
      <c r="J3269" s="3" t="str">
        <f t="shared" si="241"/>
        <v>4520002</v>
      </c>
    </row>
    <row r="3270" spans="1:10" s="3" customFormat="1">
      <c r="B3270" s="3" t="s">
        <v>2129</v>
      </c>
      <c r="C3270" s="8">
        <v>2</v>
      </c>
      <c r="D3270" s="3" t="s">
        <v>2190</v>
      </c>
      <c r="E3270" s="11" t="s">
        <v>107</v>
      </c>
      <c r="F3270" s="11"/>
      <c r="G3270" s="9"/>
      <c r="H3270" s="11"/>
      <c r="I3270" s="11"/>
      <c r="J3270" s="3" t="str">
        <f t="shared" si="241"/>
        <v>4520003</v>
      </c>
    </row>
    <row r="3271" spans="1:10" s="3" customFormat="1">
      <c r="B3271" s="3" t="s">
        <v>2129</v>
      </c>
      <c r="C3271" s="8">
        <v>2</v>
      </c>
      <c r="D3271" s="3" t="s">
        <v>2190</v>
      </c>
      <c r="E3271" s="11" t="s">
        <v>10</v>
      </c>
      <c r="F3271" s="10">
        <v>4.3100000000000001E-4</v>
      </c>
      <c r="G3271" s="12">
        <f>ROUND(G$3*F3271,0)</f>
        <v>124</v>
      </c>
      <c r="H3271" s="13">
        <f>ROUND(G3271/2,0)</f>
        <v>62</v>
      </c>
      <c r="I3271" s="12">
        <f>G3271-H3271</f>
        <v>62</v>
      </c>
      <c r="J3271" s="3" t="str">
        <f t="shared" si="241"/>
        <v>4520003</v>
      </c>
    </row>
    <row r="3272" spans="1:10" s="3" customFormat="1">
      <c r="B3272" s="3" t="s">
        <v>2129</v>
      </c>
      <c r="C3272" s="8">
        <v>2</v>
      </c>
      <c r="D3272" s="3" t="s">
        <v>2190</v>
      </c>
      <c r="E3272" s="11" t="s">
        <v>11</v>
      </c>
      <c r="F3272" s="10">
        <v>1.3799999999999999E-4</v>
      </c>
      <c r="G3272" s="12">
        <f>ROUND(G$3*F3272,0)</f>
        <v>40</v>
      </c>
      <c r="H3272" s="13">
        <f>ROUND(G3272/2,0)</f>
        <v>20</v>
      </c>
      <c r="I3272" s="12">
        <f>G3272-H3272</f>
        <v>20</v>
      </c>
      <c r="J3272" s="3" t="str">
        <f t="shared" si="241"/>
        <v>4520003</v>
      </c>
    </row>
    <row r="3273" spans="1:10" s="3" customFormat="1">
      <c r="B3273" s="3" t="s">
        <v>2129</v>
      </c>
      <c r="C3273" s="8">
        <v>2</v>
      </c>
      <c r="D3273" s="3" t="s">
        <v>2191</v>
      </c>
      <c r="E3273" s="11" t="s">
        <v>999</v>
      </c>
      <c r="F3273" s="11"/>
      <c r="G3273" s="9"/>
      <c r="H3273" s="11"/>
      <c r="I3273" s="11"/>
      <c r="J3273" s="3" t="str">
        <f t="shared" si="241"/>
        <v>4520004</v>
      </c>
    </row>
    <row r="3274" spans="1:10" s="3" customFormat="1">
      <c r="A3274" s="3" t="s">
        <v>6269</v>
      </c>
      <c r="B3274" s="3" t="s">
        <v>2129</v>
      </c>
      <c r="C3274" s="8">
        <v>2</v>
      </c>
      <c r="D3274" s="3" t="s">
        <v>2191</v>
      </c>
      <c r="E3274" s="11" t="s">
        <v>10</v>
      </c>
      <c r="F3274" s="10">
        <v>0</v>
      </c>
      <c r="G3274" s="12">
        <f>ROUND(G$3*F3274,0)</f>
        <v>0</v>
      </c>
      <c r="H3274" s="13">
        <f>ROUND(G3274/2,0)</f>
        <v>0</v>
      </c>
      <c r="I3274" s="12">
        <f>G3274-H3274</f>
        <v>0</v>
      </c>
      <c r="J3274" s="3" t="str">
        <f t="shared" si="241"/>
        <v>4520004</v>
      </c>
    </row>
    <row r="3275" spans="1:10" s="3" customFormat="1">
      <c r="A3275" s="3" t="s">
        <v>6269</v>
      </c>
      <c r="B3275" s="3" t="s">
        <v>2129</v>
      </c>
      <c r="C3275" s="8">
        <v>2</v>
      </c>
      <c r="D3275" s="3" t="s">
        <v>2191</v>
      </c>
      <c r="E3275" s="11" t="s">
        <v>11</v>
      </c>
      <c r="F3275" s="10">
        <v>0</v>
      </c>
      <c r="G3275" s="12">
        <f>ROUND(G$3*F3275,0)</f>
        <v>0</v>
      </c>
      <c r="H3275" s="13">
        <f>ROUND(G3275/2,0)</f>
        <v>0</v>
      </c>
      <c r="I3275" s="12">
        <f>G3275-H3275</f>
        <v>0</v>
      </c>
      <c r="J3275" s="3" t="str">
        <f t="shared" si="241"/>
        <v>4520004</v>
      </c>
    </row>
    <row r="3276" spans="1:10" s="3" customFormat="1">
      <c r="B3276" s="3" t="s">
        <v>2129</v>
      </c>
      <c r="C3276" s="8">
        <v>2</v>
      </c>
      <c r="D3276" s="3" t="s">
        <v>2192</v>
      </c>
      <c r="E3276" s="11" t="s">
        <v>869</v>
      </c>
      <c r="F3276" s="11"/>
      <c r="G3276" s="9"/>
      <c r="H3276" s="11"/>
      <c r="I3276" s="11"/>
      <c r="J3276" s="3" t="str">
        <f t="shared" si="241"/>
        <v>4520005</v>
      </c>
    </row>
    <row r="3277" spans="1:10" s="3" customFormat="1">
      <c r="B3277" s="3" t="s">
        <v>2129</v>
      </c>
      <c r="C3277" s="8">
        <v>2</v>
      </c>
      <c r="D3277" s="3" t="s">
        <v>2192</v>
      </c>
      <c r="E3277" s="11" t="s">
        <v>10</v>
      </c>
      <c r="F3277" s="10">
        <v>3.5599999999999998E-4</v>
      </c>
      <c r="G3277" s="12">
        <f>ROUND(G$3*F3277,0)</f>
        <v>102</v>
      </c>
      <c r="H3277" s="13">
        <f>ROUND(G3277/2,0)</f>
        <v>51</v>
      </c>
      <c r="I3277" s="12">
        <f>G3277-H3277</f>
        <v>51</v>
      </c>
      <c r="J3277" s="3" t="str">
        <f t="shared" si="241"/>
        <v>4520005</v>
      </c>
    </row>
    <row r="3278" spans="1:10" s="3" customFormat="1">
      <c r="B3278" s="3" t="s">
        <v>2129</v>
      </c>
      <c r="C3278" s="8">
        <v>2</v>
      </c>
      <c r="D3278" s="3" t="s">
        <v>2192</v>
      </c>
      <c r="E3278" s="11" t="s">
        <v>11</v>
      </c>
      <c r="F3278" s="10">
        <v>7.7999999999999999E-5</v>
      </c>
      <c r="G3278" s="12">
        <f>ROUND(G$3*F3278,0)</f>
        <v>22</v>
      </c>
      <c r="H3278" s="13">
        <f>ROUND(G3278/2,0)</f>
        <v>11</v>
      </c>
      <c r="I3278" s="12">
        <f>G3278-H3278</f>
        <v>11</v>
      </c>
      <c r="J3278" s="3" t="str">
        <f t="shared" si="241"/>
        <v>4520005</v>
      </c>
    </row>
    <row r="3279" spans="1:10" s="3" customFormat="1">
      <c r="B3279" s="3" t="s">
        <v>2129</v>
      </c>
      <c r="C3279" s="8">
        <v>2</v>
      </c>
      <c r="D3279" s="3" t="s">
        <v>2193</v>
      </c>
      <c r="E3279" s="11" t="s">
        <v>1000</v>
      </c>
      <c r="F3279" s="11"/>
      <c r="G3279" s="9"/>
      <c r="H3279" s="11"/>
      <c r="I3279" s="11"/>
      <c r="J3279" s="3" t="str">
        <f t="shared" si="241"/>
        <v>4520006</v>
      </c>
    </row>
    <row r="3280" spans="1:10" s="3" customFormat="1">
      <c r="B3280" s="3" t="s">
        <v>2129</v>
      </c>
      <c r="C3280" s="8">
        <v>2</v>
      </c>
      <c r="D3280" s="3" t="s">
        <v>2193</v>
      </c>
      <c r="E3280" s="11" t="s">
        <v>10</v>
      </c>
      <c r="F3280" s="10">
        <v>4.6000000000000001E-4</v>
      </c>
      <c r="G3280" s="12">
        <f>ROUND(G$3*F3280,0)</f>
        <v>132</v>
      </c>
      <c r="H3280" s="13">
        <f>ROUND(G3280/2,0)</f>
        <v>66</v>
      </c>
      <c r="I3280" s="12">
        <f>G3280-H3280</f>
        <v>66</v>
      </c>
      <c r="J3280" s="3" t="str">
        <f t="shared" si="241"/>
        <v>4520006</v>
      </c>
    </row>
    <row r="3281" spans="1:10" s="3" customFormat="1">
      <c r="B3281" s="3" t="s">
        <v>2129</v>
      </c>
      <c r="C3281" s="8">
        <v>2</v>
      </c>
      <c r="D3281" s="3" t="s">
        <v>2193</v>
      </c>
      <c r="E3281" s="11" t="s">
        <v>11</v>
      </c>
      <c r="F3281" s="10">
        <v>3.9999999999999998E-6</v>
      </c>
      <c r="G3281" s="12">
        <f>ROUND(G$3*F3281,0)</f>
        <v>1</v>
      </c>
      <c r="H3281" s="13">
        <f>ROUND(G3281/2,0)</f>
        <v>1</v>
      </c>
      <c r="I3281" s="12">
        <f>G3281-H3281</f>
        <v>0</v>
      </c>
      <c r="J3281" s="3" t="str">
        <f t="shared" si="241"/>
        <v>4520006</v>
      </c>
    </row>
    <row r="3282" spans="1:10" s="3" customFormat="1">
      <c r="B3282" s="3" t="s">
        <v>2129</v>
      </c>
      <c r="C3282" s="8">
        <v>2</v>
      </c>
      <c r="D3282" s="3" t="s">
        <v>2194</v>
      </c>
      <c r="E3282" s="11" t="s">
        <v>1001</v>
      </c>
      <c r="F3282" s="11"/>
      <c r="G3282" s="9"/>
      <c r="H3282" s="11"/>
      <c r="I3282" s="11"/>
      <c r="J3282" s="3" t="str">
        <f t="shared" si="241"/>
        <v>4520007</v>
      </c>
    </row>
    <row r="3283" spans="1:10" s="3" customFormat="1">
      <c r="B3283" s="3" t="s">
        <v>2129</v>
      </c>
      <c r="C3283" s="8">
        <v>2</v>
      </c>
      <c r="D3283" s="3" t="s">
        <v>2194</v>
      </c>
      <c r="E3283" s="11" t="s">
        <v>10</v>
      </c>
      <c r="F3283" s="10">
        <v>5.7840000000000001E-3</v>
      </c>
      <c r="G3283" s="12">
        <f>ROUND(G$3*F3283,0)</f>
        <v>1664</v>
      </c>
      <c r="H3283" s="13">
        <f>ROUND(G3283/2,0)</f>
        <v>832</v>
      </c>
      <c r="I3283" s="12">
        <f>G3283-H3283</f>
        <v>832</v>
      </c>
      <c r="J3283" s="3" t="str">
        <f t="shared" si="241"/>
        <v>4520007</v>
      </c>
    </row>
    <row r="3284" spans="1:10" s="3" customFormat="1">
      <c r="A3284" s="3" t="s">
        <v>6269</v>
      </c>
      <c r="B3284" s="3" t="s">
        <v>2129</v>
      </c>
      <c r="C3284" s="8">
        <v>2</v>
      </c>
      <c r="D3284" s="3" t="s">
        <v>2194</v>
      </c>
      <c r="E3284" s="11" t="s">
        <v>11</v>
      </c>
      <c r="F3284" s="10">
        <v>0</v>
      </c>
      <c r="G3284" s="12">
        <f>ROUND(G$3*F3284,0)</f>
        <v>0</v>
      </c>
      <c r="H3284" s="13">
        <f>ROUND(G3284/2,0)</f>
        <v>0</v>
      </c>
      <c r="I3284" s="12">
        <f>G3284-H3284</f>
        <v>0</v>
      </c>
      <c r="J3284" s="3" t="str">
        <f t="shared" si="241"/>
        <v>4520007</v>
      </c>
    </row>
    <row r="3285" spans="1:10" s="3" customFormat="1">
      <c r="B3285" s="3" t="s">
        <v>2129</v>
      </c>
      <c r="C3285" s="8">
        <v>2</v>
      </c>
      <c r="D3285" s="3" t="s">
        <v>2195</v>
      </c>
      <c r="E3285" s="11" t="s">
        <v>271</v>
      </c>
      <c r="F3285" s="11"/>
      <c r="G3285" s="9"/>
      <c r="H3285" s="11"/>
      <c r="I3285" s="11"/>
      <c r="J3285" s="3" t="str">
        <f t="shared" si="241"/>
        <v>4520008</v>
      </c>
    </row>
    <row r="3286" spans="1:10" s="3" customFormat="1">
      <c r="B3286" s="3" t="s">
        <v>2129</v>
      </c>
      <c r="C3286" s="8">
        <v>2</v>
      </c>
      <c r="D3286" s="3" t="s">
        <v>2195</v>
      </c>
      <c r="E3286" s="11" t="s">
        <v>10</v>
      </c>
      <c r="F3286" s="10">
        <v>4.28E-4</v>
      </c>
      <c r="G3286" s="12">
        <f>ROUND(G$3*F3286,0)</f>
        <v>123</v>
      </c>
      <c r="H3286" s="13">
        <f>ROUND(G3286/2,0)</f>
        <v>62</v>
      </c>
      <c r="I3286" s="12">
        <f>G3286-H3286</f>
        <v>61</v>
      </c>
      <c r="J3286" s="3" t="str">
        <f t="shared" si="241"/>
        <v>4520008</v>
      </c>
    </row>
    <row r="3287" spans="1:10" s="3" customFormat="1">
      <c r="B3287" s="3" t="s">
        <v>2129</v>
      </c>
      <c r="C3287" s="8">
        <v>2</v>
      </c>
      <c r="D3287" s="3" t="s">
        <v>2195</v>
      </c>
      <c r="E3287" s="11" t="s">
        <v>11</v>
      </c>
      <c r="F3287" s="10">
        <v>9.9999999999999995E-7</v>
      </c>
      <c r="G3287" s="12">
        <f>ROUND(G$3*F3287,0)</f>
        <v>0</v>
      </c>
      <c r="H3287" s="13">
        <f>ROUND(G3287/2,0)</f>
        <v>0</v>
      </c>
      <c r="I3287" s="12">
        <f>G3287-H3287</f>
        <v>0</v>
      </c>
      <c r="J3287" s="3" t="str">
        <f t="shared" si="241"/>
        <v>4520008</v>
      </c>
    </row>
    <row r="3288" spans="1:10" s="3" customFormat="1">
      <c r="B3288" s="3" t="s">
        <v>2129</v>
      </c>
      <c r="C3288" s="8">
        <v>2</v>
      </c>
      <c r="D3288" s="3" t="s">
        <v>2196</v>
      </c>
      <c r="E3288" s="11" t="s">
        <v>1002</v>
      </c>
      <c r="F3288" s="11"/>
      <c r="G3288" s="9"/>
      <c r="H3288" s="11"/>
      <c r="I3288" s="11"/>
      <c r="J3288" s="3" t="str">
        <f t="shared" si="241"/>
        <v>4520009</v>
      </c>
    </row>
    <row r="3289" spans="1:10" s="3" customFormat="1">
      <c r="B3289" s="3" t="s">
        <v>2129</v>
      </c>
      <c r="C3289" s="8">
        <v>2</v>
      </c>
      <c r="D3289" s="3" t="s">
        <v>2196</v>
      </c>
      <c r="E3289" s="11" t="s">
        <v>10</v>
      </c>
      <c r="F3289" s="10">
        <v>2.4800000000000001E-4</v>
      </c>
      <c r="G3289" s="12">
        <f>ROUND(G$3*F3289,0)</f>
        <v>71</v>
      </c>
      <c r="H3289" s="13">
        <f>ROUND(G3289/2,0)</f>
        <v>36</v>
      </c>
      <c r="I3289" s="12">
        <f>G3289-H3289</f>
        <v>35</v>
      </c>
      <c r="J3289" s="3" t="str">
        <f t="shared" si="241"/>
        <v>4520009</v>
      </c>
    </row>
    <row r="3290" spans="1:10" s="3" customFormat="1">
      <c r="B3290" s="3" t="s">
        <v>2129</v>
      </c>
      <c r="C3290" s="8">
        <v>2</v>
      </c>
      <c r="D3290" s="3" t="s">
        <v>2196</v>
      </c>
      <c r="E3290" s="11" t="s">
        <v>11</v>
      </c>
      <c r="F3290" s="10">
        <v>2.5999999999999998E-5</v>
      </c>
      <c r="G3290" s="12">
        <f>ROUND(G$3*F3290,0)</f>
        <v>7</v>
      </c>
      <c r="H3290" s="13">
        <f>ROUND(G3290/2,0)</f>
        <v>4</v>
      </c>
      <c r="I3290" s="12">
        <f>G3290-H3290</f>
        <v>3</v>
      </c>
      <c r="J3290" s="3" t="str">
        <f t="shared" si="241"/>
        <v>4520009</v>
      </c>
    </row>
    <row r="3291" spans="1:10" s="3" customFormat="1">
      <c r="B3291" s="3" t="s">
        <v>2129</v>
      </c>
      <c r="C3291" s="8">
        <v>2</v>
      </c>
      <c r="D3291" s="3" t="s">
        <v>2197</v>
      </c>
      <c r="E3291" s="11" t="s">
        <v>1003</v>
      </c>
      <c r="F3291" s="11"/>
      <c r="G3291" s="9"/>
      <c r="H3291" s="11"/>
      <c r="I3291" s="11"/>
      <c r="J3291" s="3" t="str">
        <f t="shared" si="241"/>
        <v>4520010</v>
      </c>
    </row>
    <row r="3292" spans="1:10" s="3" customFormat="1">
      <c r="B3292" s="3" t="s">
        <v>2129</v>
      </c>
      <c r="C3292" s="8">
        <v>2</v>
      </c>
      <c r="D3292" s="3" t="s">
        <v>2197</v>
      </c>
      <c r="E3292" s="11" t="s">
        <v>10</v>
      </c>
      <c r="F3292" s="10">
        <v>6.2600000000000004E-4</v>
      </c>
      <c r="G3292" s="12">
        <f>ROUND(G$3*F3292,0)</f>
        <v>180</v>
      </c>
      <c r="H3292" s="13">
        <f>ROUND(G3292/2,0)</f>
        <v>90</v>
      </c>
      <c r="I3292" s="12">
        <f>G3292-H3292</f>
        <v>90</v>
      </c>
      <c r="J3292" s="3" t="str">
        <f t="shared" si="241"/>
        <v>4520010</v>
      </c>
    </row>
    <row r="3293" spans="1:10" s="3" customFormat="1">
      <c r="B3293" s="3" t="s">
        <v>2129</v>
      </c>
      <c r="C3293" s="8">
        <v>2</v>
      </c>
      <c r="D3293" s="3" t="s">
        <v>2197</v>
      </c>
      <c r="E3293" s="11" t="s">
        <v>11</v>
      </c>
      <c r="F3293" s="10">
        <v>1E-4</v>
      </c>
      <c r="G3293" s="12">
        <f>ROUND(G$3*F3293,0)</f>
        <v>29</v>
      </c>
      <c r="H3293" s="13">
        <f>ROUND(G3293/2,0)</f>
        <v>15</v>
      </c>
      <c r="I3293" s="12">
        <f>G3293-H3293</f>
        <v>14</v>
      </c>
      <c r="J3293" s="3" t="str">
        <f t="shared" si="241"/>
        <v>4520010</v>
      </c>
    </row>
    <row r="3294" spans="1:10" s="3" customFormat="1">
      <c r="B3294" s="3" t="s">
        <v>2129</v>
      </c>
      <c r="C3294" s="8">
        <v>2</v>
      </c>
      <c r="D3294" s="3" t="s">
        <v>2198</v>
      </c>
      <c r="E3294" s="11" t="s">
        <v>1004</v>
      </c>
      <c r="F3294" s="11"/>
      <c r="G3294" s="9"/>
      <c r="H3294" s="11"/>
      <c r="I3294" s="11"/>
      <c r="J3294" s="3" t="str">
        <f t="shared" si="241"/>
        <v>4520011</v>
      </c>
    </row>
    <row r="3295" spans="1:10" s="3" customFormat="1">
      <c r="A3295" s="3" t="s">
        <v>6269</v>
      </c>
      <c r="B3295" s="3" t="s">
        <v>2129</v>
      </c>
      <c r="C3295" s="8">
        <v>2</v>
      </c>
      <c r="D3295" s="3" t="s">
        <v>2198</v>
      </c>
      <c r="E3295" s="11" t="s">
        <v>10</v>
      </c>
      <c r="F3295" s="10">
        <v>0</v>
      </c>
      <c r="G3295" s="12">
        <f t="shared" ref="G3295:G3316" si="242">ROUND(G$3*F3295,0)</f>
        <v>0</v>
      </c>
      <c r="H3295" s="13">
        <f t="shared" ref="H3295:H3316" si="243">ROUND(G3295/2,0)</f>
        <v>0</v>
      </c>
      <c r="I3295" s="12">
        <f t="shared" ref="I3295:I3316" si="244">G3295-H3295</f>
        <v>0</v>
      </c>
      <c r="J3295" s="3" t="str">
        <f t="shared" si="241"/>
        <v>4520011</v>
      </c>
    </row>
    <row r="3296" spans="1:10" s="3" customFormat="1">
      <c r="A3296" s="3" t="s">
        <v>6269</v>
      </c>
      <c r="B3296" s="3" t="s">
        <v>2129</v>
      </c>
      <c r="C3296" s="8">
        <v>2</v>
      </c>
      <c r="D3296" s="3" t="s">
        <v>2198</v>
      </c>
      <c r="E3296" s="11" t="s">
        <v>11</v>
      </c>
      <c r="F3296" s="10">
        <v>0</v>
      </c>
      <c r="G3296" s="12">
        <f t="shared" si="242"/>
        <v>0</v>
      </c>
      <c r="H3296" s="13">
        <f t="shared" si="243"/>
        <v>0</v>
      </c>
      <c r="I3296" s="12">
        <f t="shared" si="244"/>
        <v>0</v>
      </c>
      <c r="J3296" s="3" t="str">
        <f t="shared" si="241"/>
        <v>4520011</v>
      </c>
    </row>
    <row r="3297" spans="1:10" s="3" customFormat="1">
      <c r="B3297" s="3" t="s">
        <v>2129</v>
      </c>
      <c r="C3297" s="8">
        <v>3</v>
      </c>
      <c r="D3297" s="3" t="s">
        <v>2703</v>
      </c>
      <c r="E3297" s="11" t="s">
        <v>1005</v>
      </c>
      <c r="F3297" s="10">
        <v>3.3289999999999999E-3</v>
      </c>
      <c r="G3297" s="12">
        <f t="shared" si="242"/>
        <v>958</v>
      </c>
      <c r="H3297" s="13">
        <f t="shared" si="243"/>
        <v>479</v>
      </c>
      <c r="I3297" s="12">
        <f t="shared" si="244"/>
        <v>479</v>
      </c>
      <c r="J3297" s="3" t="str">
        <f t="shared" si="241"/>
        <v>4530504</v>
      </c>
    </row>
    <row r="3298" spans="1:10" s="3" customFormat="1">
      <c r="B3298" s="3" t="s">
        <v>2129</v>
      </c>
      <c r="C3298" s="8">
        <v>3</v>
      </c>
      <c r="D3298" s="3" t="s">
        <v>2700</v>
      </c>
      <c r="E3298" s="11" t="s">
        <v>1006</v>
      </c>
      <c r="F3298" s="10">
        <v>1.3476E-2</v>
      </c>
      <c r="G3298" s="12">
        <f t="shared" si="242"/>
        <v>3877</v>
      </c>
      <c r="H3298" s="13">
        <f t="shared" si="243"/>
        <v>1939</v>
      </c>
      <c r="I3298" s="12">
        <f t="shared" si="244"/>
        <v>1938</v>
      </c>
      <c r="J3298" s="3" t="str">
        <f t="shared" si="241"/>
        <v>4530321</v>
      </c>
    </row>
    <row r="3299" spans="1:10" s="3" customFormat="1">
      <c r="B3299" s="3" t="s">
        <v>2129</v>
      </c>
      <c r="C3299" s="8">
        <v>3</v>
      </c>
      <c r="D3299" s="3" t="s">
        <v>2708</v>
      </c>
      <c r="E3299" s="11" t="s">
        <v>1007</v>
      </c>
      <c r="F3299" s="10">
        <v>1.854E-3</v>
      </c>
      <c r="G3299" s="12">
        <f t="shared" si="242"/>
        <v>533</v>
      </c>
      <c r="H3299" s="13">
        <f t="shared" si="243"/>
        <v>267</v>
      </c>
      <c r="I3299" s="12">
        <f t="shared" si="244"/>
        <v>266</v>
      </c>
      <c r="J3299" s="3" t="str">
        <f t="shared" si="241"/>
        <v>4530730</v>
      </c>
    </row>
    <row r="3300" spans="1:10" s="3" customFormat="1">
      <c r="B3300" s="3" t="s">
        <v>2129</v>
      </c>
      <c r="C3300" s="8">
        <v>3</v>
      </c>
      <c r="D3300" s="3" t="s">
        <v>2698</v>
      </c>
      <c r="E3300" s="11" t="s">
        <v>1008</v>
      </c>
      <c r="F3300" s="10">
        <v>2.6672000000000001E-2</v>
      </c>
      <c r="G3300" s="12">
        <f t="shared" si="242"/>
        <v>7674</v>
      </c>
      <c r="H3300" s="13">
        <f t="shared" si="243"/>
        <v>3837</v>
      </c>
      <c r="I3300" s="12">
        <f t="shared" si="244"/>
        <v>3837</v>
      </c>
      <c r="J3300" s="3" t="str">
        <f t="shared" si="241"/>
        <v>4530108</v>
      </c>
    </row>
    <row r="3301" spans="1:10" s="3" customFormat="1">
      <c r="B3301" s="3" t="s">
        <v>2129</v>
      </c>
      <c r="C3301" s="8">
        <v>3</v>
      </c>
      <c r="D3301" s="3" t="s">
        <v>2696</v>
      </c>
      <c r="E3301" s="11" t="s">
        <v>1009</v>
      </c>
      <c r="F3301" s="10">
        <v>8.3257999999999999E-2</v>
      </c>
      <c r="G3301" s="12">
        <f t="shared" si="242"/>
        <v>23955</v>
      </c>
      <c r="H3301" s="13">
        <f t="shared" si="243"/>
        <v>11978</v>
      </c>
      <c r="I3301" s="12">
        <f t="shared" si="244"/>
        <v>11977</v>
      </c>
      <c r="J3301" s="3" t="str">
        <f t="shared" si="241"/>
        <v>4530101</v>
      </c>
    </row>
    <row r="3302" spans="1:10" s="3" customFormat="1">
      <c r="B3302" s="3" t="s">
        <v>2129</v>
      </c>
      <c r="C3302" s="8">
        <v>3</v>
      </c>
      <c r="D3302" s="3" t="s">
        <v>2704</v>
      </c>
      <c r="E3302" s="11" t="s">
        <v>1010</v>
      </c>
      <c r="F3302" s="10">
        <v>1.4494999999999999E-2</v>
      </c>
      <c r="G3302" s="12">
        <f t="shared" si="242"/>
        <v>4171</v>
      </c>
      <c r="H3302" s="13">
        <f t="shared" si="243"/>
        <v>2086</v>
      </c>
      <c r="I3302" s="12">
        <f t="shared" si="244"/>
        <v>2085</v>
      </c>
      <c r="J3302" s="3" t="str">
        <f t="shared" si="241"/>
        <v>4530505</v>
      </c>
    </row>
    <row r="3303" spans="1:10" s="3" customFormat="1">
      <c r="B3303" s="3" t="s">
        <v>2129</v>
      </c>
      <c r="C3303" s="8">
        <v>3</v>
      </c>
      <c r="D3303" s="3" t="s">
        <v>2697</v>
      </c>
      <c r="E3303" s="11" t="s">
        <v>1011</v>
      </c>
      <c r="F3303" s="10">
        <v>0.101705</v>
      </c>
      <c r="G3303" s="12">
        <f t="shared" si="242"/>
        <v>29263</v>
      </c>
      <c r="H3303" s="13">
        <f t="shared" si="243"/>
        <v>14632</v>
      </c>
      <c r="I3303" s="12">
        <f t="shared" si="244"/>
        <v>14631</v>
      </c>
      <c r="J3303" s="3" t="str">
        <f t="shared" si="241"/>
        <v>4530104</v>
      </c>
    </row>
    <row r="3304" spans="1:10" s="3" customFormat="1">
      <c r="B3304" s="3" t="s">
        <v>2129</v>
      </c>
      <c r="C3304" s="8">
        <v>3</v>
      </c>
      <c r="D3304" s="3" t="s">
        <v>2705</v>
      </c>
      <c r="E3304" s="11" t="s">
        <v>1012</v>
      </c>
      <c r="F3304" s="10">
        <v>6.8060000000000004E-3</v>
      </c>
      <c r="G3304" s="12">
        <f t="shared" si="242"/>
        <v>1958</v>
      </c>
      <c r="H3304" s="13">
        <f t="shared" si="243"/>
        <v>979</v>
      </c>
      <c r="I3304" s="12">
        <f t="shared" si="244"/>
        <v>979</v>
      </c>
      <c r="J3304" s="3" t="str">
        <f t="shared" si="241"/>
        <v>4530506</v>
      </c>
    </row>
    <row r="3305" spans="1:10" s="3" customFormat="1">
      <c r="B3305" s="3" t="s">
        <v>2129</v>
      </c>
      <c r="C3305" s="8">
        <v>3</v>
      </c>
      <c r="D3305" s="3" t="s">
        <v>2699</v>
      </c>
      <c r="E3305" s="11" t="s">
        <v>1013</v>
      </c>
      <c r="F3305" s="10">
        <v>7.3340000000000002E-3</v>
      </c>
      <c r="G3305" s="12">
        <f t="shared" si="242"/>
        <v>2110</v>
      </c>
      <c r="H3305" s="13">
        <f t="shared" si="243"/>
        <v>1055</v>
      </c>
      <c r="I3305" s="12">
        <f t="shared" si="244"/>
        <v>1055</v>
      </c>
      <c r="J3305" s="3" t="str">
        <f t="shared" si="241"/>
        <v>4530202</v>
      </c>
    </row>
    <row r="3306" spans="1:10" s="3" customFormat="1">
      <c r="B3306" s="3" t="s">
        <v>2129</v>
      </c>
      <c r="C3306" s="8">
        <v>3</v>
      </c>
      <c r="D3306" s="3" t="s">
        <v>2702</v>
      </c>
      <c r="E3306" s="11" t="s">
        <v>1014</v>
      </c>
      <c r="F3306" s="10">
        <v>3.7789999999999998E-3</v>
      </c>
      <c r="G3306" s="12">
        <f t="shared" si="242"/>
        <v>1087</v>
      </c>
      <c r="H3306" s="13">
        <f t="shared" si="243"/>
        <v>544</v>
      </c>
      <c r="I3306" s="12">
        <f t="shared" si="244"/>
        <v>543</v>
      </c>
      <c r="J3306" s="3" t="str">
        <f t="shared" si="241"/>
        <v>4530401</v>
      </c>
    </row>
    <row r="3307" spans="1:10" s="3" customFormat="1">
      <c r="B3307" s="3" t="s">
        <v>2129</v>
      </c>
      <c r="C3307" s="8">
        <v>3</v>
      </c>
      <c r="D3307" s="3" t="s">
        <v>2709</v>
      </c>
      <c r="E3307" s="11" t="s">
        <v>1015</v>
      </c>
      <c r="F3307" s="10">
        <v>6.3400000000000001E-4</v>
      </c>
      <c r="G3307" s="12">
        <f t="shared" si="242"/>
        <v>182</v>
      </c>
      <c r="H3307" s="13">
        <f t="shared" si="243"/>
        <v>91</v>
      </c>
      <c r="I3307" s="12">
        <f t="shared" si="244"/>
        <v>91</v>
      </c>
      <c r="J3307" s="3" t="str">
        <f t="shared" si="241"/>
        <v>4530731</v>
      </c>
    </row>
    <row r="3308" spans="1:10" s="3" customFormat="1">
      <c r="B3308" s="3" t="s">
        <v>2129</v>
      </c>
      <c r="C3308" s="8">
        <v>3</v>
      </c>
      <c r="D3308" s="3" t="s">
        <v>2707</v>
      </c>
      <c r="E3308" s="11" t="s">
        <v>1016</v>
      </c>
      <c r="F3308" s="10">
        <v>2.5400000000000002E-3</v>
      </c>
      <c r="G3308" s="12">
        <f t="shared" si="242"/>
        <v>731</v>
      </c>
      <c r="H3308" s="13">
        <f t="shared" si="243"/>
        <v>366</v>
      </c>
      <c r="I3308" s="12">
        <f t="shared" si="244"/>
        <v>365</v>
      </c>
      <c r="J3308" s="3" t="str">
        <f t="shared" si="241"/>
        <v>4530512</v>
      </c>
    </row>
    <row r="3309" spans="1:10" s="3" customFormat="1">
      <c r="B3309" s="3" t="s">
        <v>2129</v>
      </c>
      <c r="C3309" s="8">
        <v>3</v>
      </c>
      <c r="D3309" s="3" t="s">
        <v>2706</v>
      </c>
      <c r="E3309" s="11" t="s">
        <v>1017</v>
      </c>
      <c r="F3309" s="10">
        <v>5.8199999999999997E-3</v>
      </c>
      <c r="G3309" s="12">
        <f t="shared" si="242"/>
        <v>1675</v>
      </c>
      <c r="H3309" s="13">
        <f t="shared" si="243"/>
        <v>838</v>
      </c>
      <c r="I3309" s="12">
        <f t="shared" si="244"/>
        <v>837</v>
      </c>
      <c r="J3309" s="3" t="str">
        <f t="shared" si="241"/>
        <v>4530507</v>
      </c>
    </row>
    <row r="3310" spans="1:10" s="3" customFormat="1">
      <c r="B3310" s="3" t="s">
        <v>2129</v>
      </c>
      <c r="C3310" s="8">
        <v>3</v>
      </c>
      <c r="D3310" s="3" t="s">
        <v>2710</v>
      </c>
      <c r="E3310" s="11" t="s">
        <v>1018</v>
      </c>
      <c r="F3310" s="10">
        <v>8.2000000000000001E-5</v>
      </c>
      <c r="G3310" s="12">
        <f t="shared" si="242"/>
        <v>24</v>
      </c>
      <c r="H3310" s="13">
        <f t="shared" si="243"/>
        <v>12</v>
      </c>
      <c r="I3310" s="12">
        <f t="shared" si="244"/>
        <v>12</v>
      </c>
      <c r="J3310" s="3" t="str">
        <f t="shared" si="241"/>
        <v>4530732</v>
      </c>
    </row>
    <row r="3311" spans="1:10" s="3" customFormat="1">
      <c r="B3311" s="3" t="s">
        <v>2129</v>
      </c>
      <c r="C3311" s="8">
        <v>3</v>
      </c>
      <c r="D3311" s="3" t="s">
        <v>2712</v>
      </c>
      <c r="E3311" s="11" t="s">
        <v>1019</v>
      </c>
      <c r="F3311" s="10">
        <v>8.8970000000000004E-3</v>
      </c>
      <c r="G3311" s="12">
        <f t="shared" si="242"/>
        <v>2560</v>
      </c>
      <c r="H3311" s="13">
        <f t="shared" si="243"/>
        <v>1280</v>
      </c>
      <c r="I3311" s="12">
        <f t="shared" si="244"/>
        <v>1280</v>
      </c>
      <c r="J3311" s="3" t="str">
        <f t="shared" si="241"/>
        <v>4530734</v>
      </c>
    </row>
    <row r="3312" spans="1:10" s="3" customFormat="1">
      <c r="A3312" s="3" t="s">
        <v>6269</v>
      </c>
      <c r="B3312" s="3" t="s">
        <v>2129</v>
      </c>
      <c r="C3312" s="8">
        <v>3</v>
      </c>
      <c r="D3312" s="3" t="s">
        <v>2713</v>
      </c>
      <c r="E3312" s="11" t="s">
        <v>1020</v>
      </c>
      <c r="F3312" s="10">
        <v>0</v>
      </c>
      <c r="G3312" s="12">
        <f t="shared" si="242"/>
        <v>0</v>
      </c>
      <c r="H3312" s="13">
        <f t="shared" si="243"/>
        <v>0</v>
      </c>
      <c r="I3312" s="12">
        <f t="shared" si="244"/>
        <v>0</v>
      </c>
      <c r="J3312" s="3" t="str">
        <f t="shared" si="241"/>
        <v>4530735</v>
      </c>
    </row>
    <row r="3313" spans="1:10" s="3" customFormat="1">
      <c r="B3313" s="3" t="s">
        <v>2129</v>
      </c>
      <c r="C3313" s="8">
        <v>3</v>
      </c>
      <c r="D3313" s="3" t="s">
        <v>2711</v>
      </c>
      <c r="E3313" s="11" t="s">
        <v>1021</v>
      </c>
      <c r="F3313" s="10">
        <v>2.1410000000000001E-3</v>
      </c>
      <c r="G3313" s="12">
        <f t="shared" si="242"/>
        <v>616</v>
      </c>
      <c r="H3313" s="13">
        <f t="shared" si="243"/>
        <v>308</v>
      </c>
      <c r="I3313" s="12">
        <f t="shared" si="244"/>
        <v>308</v>
      </c>
      <c r="J3313" s="3" t="str">
        <f t="shared" si="241"/>
        <v>4530733</v>
      </c>
    </row>
    <row r="3314" spans="1:10" s="3" customFormat="1">
      <c r="B3314" s="3" t="s">
        <v>2129</v>
      </c>
      <c r="C3314" s="8">
        <v>3</v>
      </c>
      <c r="D3314" s="3" t="s">
        <v>2701</v>
      </c>
      <c r="E3314" s="11" t="s">
        <v>1022</v>
      </c>
      <c r="F3314" s="10">
        <v>6.0879999999999997E-3</v>
      </c>
      <c r="G3314" s="12">
        <f t="shared" si="242"/>
        <v>1752</v>
      </c>
      <c r="H3314" s="13">
        <f t="shared" si="243"/>
        <v>876</v>
      </c>
      <c r="I3314" s="12">
        <f t="shared" si="244"/>
        <v>876</v>
      </c>
      <c r="J3314" s="3" t="str">
        <f t="shared" si="241"/>
        <v>4530322</v>
      </c>
    </row>
    <row r="3315" spans="1:10" s="3" customFormat="1">
      <c r="A3315" s="3" t="s">
        <v>6269</v>
      </c>
      <c r="B3315" s="3" t="s">
        <v>2129</v>
      </c>
      <c r="C3315" s="8">
        <v>3</v>
      </c>
      <c r="D3315" s="3" t="s">
        <v>2714</v>
      </c>
      <c r="E3315" s="11" t="s">
        <v>1023</v>
      </c>
      <c r="F3315" s="10">
        <v>0</v>
      </c>
      <c r="G3315" s="12">
        <f t="shared" si="242"/>
        <v>0</v>
      </c>
      <c r="H3315" s="13">
        <f t="shared" si="243"/>
        <v>0</v>
      </c>
      <c r="I3315" s="12">
        <f t="shared" si="244"/>
        <v>0</v>
      </c>
      <c r="J3315" s="3" t="str">
        <f t="shared" si="241"/>
        <v>4530736</v>
      </c>
    </row>
    <row r="3316" spans="1:10" s="3" customFormat="1">
      <c r="B3316" s="3" t="s">
        <v>2129</v>
      </c>
      <c r="C3316" s="8">
        <v>4</v>
      </c>
      <c r="D3316" s="3" t="s">
        <v>2721</v>
      </c>
      <c r="E3316" s="11" t="s">
        <v>1024</v>
      </c>
      <c r="F3316" s="10">
        <v>2.1409999999999998E-2</v>
      </c>
      <c r="G3316" s="9">
        <f t="shared" si="242"/>
        <v>6160</v>
      </c>
      <c r="H3316" s="11">
        <f t="shared" si="243"/>
        <v>3080</v>
      </c>
      <c r="I3316" s="9">
        <f t="shared" si="244"/>
        <v>3080</v>
      </c>
      <c r="J3316" s="3" t="str">
        <f t="shared" si="241"/>
        <v>4544660</v>
      </c>
    </row>
    <row r="3317" spans="1:10" s="3" customFormat="1">
      <c r="B3317" s="3" t="s">
        <v>2129</v>
      </c>
      <c r="C3317" s="8">
        <v>4</v>
      </c>
      <c r="D3317" s="3" t="s">
        <v>2721</v>
      </c>
      <c r="E3317" s="11" t="s">
        <v>28</v>
      </c>
      <c r="F3317" s="11"/>
      <c r="G3317" s="14">
        <v>0.40711700000000001</v>
      </c>
      <c r="H3317" s="11"/>
      <c r="I3317" s="11"/>
      <c r="J3317" s="3" t="str">
        <f t="shared" si="241"/>
        <v>4544660</v>
      </c>
    </row>
    <row r="3318" spans="1:10" s="3" customFormat="1">
      <c r="B3318" s="3" t="s">
        <v>2129</v>
      </c>
      <c r="C3318" s="8">
        <v>4</v>
      </c>
      <c r="D3318" s="3" t="s">
        <v>2721</v>
      </c>
      <c r="E3318" s="11" t="s">
        <v>29</v>
      </c>
      <c r="F3318" s="11"/>
      <c r="G3318" s="15">
        <f>ROUND(G3316*G3317,0)</f>
        <v>2508</v>
      </c>
      <c r="H3318" s="16">
        <f>ROUND(G3318/2,0)</f>
        <v>1254</v>
      </c>
      <c r="I3318" s="15">
        <f>G3318-H3318</f>
        <v>1254</v>
      </c>
      <c r="J3318" s="3" t="str">
        <f t="shared" si="241"/>
        <v>4544660</v>
      </c>
    </row>
    <row r="3319" spans="1:10" s="3" customFormat="1">
      <c r="B3319" s="3" t="s">
        <v>2129</v>
      </c>
      <c r="C3319" s="8">
        <v>4</v>
      </c>
      <c r="D3319" s="3" t="s">
        <v>2721</v>
      </c>
      <c r="E3319" s="11" t="s">
        <v>30</v>
      </c>
      <c r="F3319" s="11"/>
      <c r="G3319" s="12">
        <f>+G3316-G3318</f>
        <v>3652</v>
      </c>
      <c r="H3319" s="13">
        <f>ROUND(G3319/2,0)</f>
        <v>1826</v>
      </c>
      <c r="I3319" s="12">
        <f>G3319-H3319</f>
        <v>1826</v>
      </c>
      <c r="J3319" s="3" t="str">
        <f t="shared" si="241"/>
        <v>4544660</v>
      </c>
    </row>
    <row r="3320" spans="1:10" s="3" customFormat="1">
      <c r="B3320" s="3" t="s">
        <v>2129</v>
      </c>
      <c r="C3320" s="8">
        <v>4</v>
      </c>
      <c r="D3320" s="116" t="s">
        <v>2722</v>
      </c>
      <c r="E3320" s="11" t="s">
        <v>1025</v>
      </c>
      <c r="F3320" s="10">
        <v>3.3808999999999999E-2</v>
      </c>
      <c r="G3320" s="9">
        <f>ROUND(G$3*F3320,0)</f>
        <v>9728</v>
      </c>
      <c r="H3320" s="11">
        <f>ROUND(G3320/2,0)</f>
        <v>4864</v>
      </c>
      <c r="I3320" s="9">
        <f>G3320-H3320</f>
        <v>4864</v>
      </c>
      <c r="J3320" s="3" t="str">
        <f t="shared" si="241"/>
        <v>4544670</v>
      </c>
    </row>
    <row r="3321" spans="1:10" s="3" customFormat="1">
      <c r="B3321" s="3" t="s">
        <v>2129</v>
      </c>
      <c r="C3321" s="8">
        <v>4</v>
      </c>
      <c r="D3321" s="116" t="s">
        <v>2722</v>
      </c>
      <c r="E3321" s="11" t="s">
        <v>28</v>
      </c>
      <c r="F3321" s="11"/>
      <c r="G3321" s="14">
        <v>0.33182699999999998</v>
      </c>
      <c r="H3321" s="11"/>
      <c r="I3321" s="11"/>
      <c r="J3321" s="3" t="str">
        <f t="shared" si="241"/>
        <v>4544670</v>
      </c>
    </row>
    <row r="3322" spans="1:10" s="3" customFormat="1">
      <c r="B3322" s="3" t="s">
        <v>2129</v>
      </c>
      <c r="C3322" s="8">
        <v>4</v>
      </c>
      <c r="D3322" s="116" t="s">
        <v>2722</v>
      </c>
      <c r="E3322" s="11" t="s">
        <v>29</v>
      </c>
      <c r="F3322" s="11"/>
      <c r="G3322" s="15">
        <f>ROUND(G3320*G3321,0)</f>
        <v>3228</v>
      </c>
      <c r="H3322" s="16">
        <f>ROUND(G3322/2,0)</f>
        <v>1614</v>
      </c>
      <c r="I3322" s="15">
        <f>G3322-H3322</f>
        <v>1614</v>
      </c>
      <c r="J3322" s="3" t="str">
        <f t="shared" si="241"/>
        <v>4544670</v>
      </c>
    </row>
    <row r="3323" spans="1:10" s="3" customFormat="1">
      <c r="B3323" s="3" t="s">
        <v>2129</v>
      </c>
      <c r="C3323" s="8">
        <v>4</v>
      </c>
      <c r="D3323" s="116" t="s">
        <v>2722</v>
      </c>
      <c r="E3323" s="11" t="s">
        <v>30</v>
      </c>
      <c r="F3323" s="11"/>
      <c r="G3323" s="12">
        <f>+G3320-G3322</f>
        <v>6500</v>
      </c>
      <c r="H3323" s="13">
        <f>ROUND(G3323/2,0)</f>
        <v>3250</v>
      </c>
      <c r="I3323" s="12">
        <f>G3323-H3323</f>
        <v>3250</v>
      </c>
      <c r="J3323" s="3" t="str">
        <f t="shared" si="241"/>
        <v>4544670</v>
      </c>
    </row>
    <row r="3324" spans="1:10" s="3" customFormat="1">
      <c r="B3324" s="3" t="s">
        <v>2129</v>
      </c>
      <c r="C3324" s="8">
        <v>4</v>
      </c>
      <c r="D3324" s="3" t="s">
        <v>2724</v>
      </c>
      <c r="E3324" s="11" t="s">
        <v>1026</v>
      </c>
      <c r="F3324" s="10">
        <v>6.8191000000000002E-2</v>
      </c>
      <c r="G3324" s="9">
        <f>ROUND(G$3*F3324,0)</f>
        <v>19620</v>
      </c>
      <c r="H3324" s="11">
        <f>ROUND(G3324/2,0)</f>
        <v>9810</v>
      </c>
      <c r="I3324" s="9">
        <f>G3324-H3324</f>
        <v>9810</v>
      </c>
      <c r="J3324" s="3" t="str">
        <f t="shared" si="241"/>
        <v>4544690</v>
      </c>
    </row>
    <row r="3325" spans="1:10" s="3" customFormat="1">
      <c r="B3325" s="3" t="s">
        <v>2129</v>
      </c>
      <c r="C3325" s="8">
        <v>4</v>
      </c>
      <c r="D3325" s="3" t="s">
        <v>2724</v>
      </c>
      <c r="E3325" s="11" t="s">
        <v>28</v>
      </c>
      <c r="F3325" s="11"/>
      <c r="G3325" s="14">
        <v>0.52289200000000002</v>
      </c>
      <c r="H3325" s="11"/>
      <c r="I3325" s="11"/>
      <c r="J3325" s="3" t="str">
        <f t="shared" si="241"/>
        <v>4544690</v>
      </c>
    </row>
    <row r="3326" spans="1:10" s="3" customFormat="1">
      <c r="B3326" s="3" t="s">
        <v>2129</v>
      </c>
      <c r="C3326" s="8">
        <v>4</v>
      </c>
      <c r="D3326" s="3" t="s">
        <v>2724</v>
      </c>
      <c r="E3326" s="11" t="s">
        <v>29</v>
      </c>
      <c r="F3326" s="11"/>
      <c r="G3326" s="15">
        <f>ROUND(G3324*G3325,0)</f>
        <v>10259</v>
      </c>
      <c r="H3326" s="16">
        <f>ROUND(G3326/2,0)</f>
        <v>5130</v>
      </c>
      <c r="I3326" s="15">
        <f>G3326-H3326</f>
        <v>5129</v>
      </c>
      <c r="J3326" s="3" t="str">
        <f t="shared" si="241"/>
        <v>4544690</v>
      </c>
    </row>
    <row r="3327" spans="1:10" s="3" customFormat="1">
      <c r="B3327" s="3" t="s">
        <v>2129</v>
      </c>
      <c r="C3327" s="8">
        <v>4</v>
      </c>
      <c r="D3327" s="3" t="s">
        <v>2724</v>
      </c>
      <c r="E3327" s="11" t="s">
        <v>30</v>
      </c>
      <c r="F3327" s="11"/>
      <c r="G3327" s="12">
        <f>+G3324-G3326</f>
        <v>9361</v>
      </c>
      <c r="H3327" s="13">
        <f>ROUND(G3327/2,0)</f>
        <v>4681</v>
      </c>
      <c r="I3327" s="12">
        <f>G3327-H3327</f>
        <v>4680</v>
      </c>
      <c r="J3327" s="3" t="str">
        <f t="shared" si="241"/>
        <v>4544690</v>
      </c>
    </row>
    <row r="3328" spans="1:10" s="3" customFormat="1">
      <c r="B3328" s="3" t="s">
        <v>2129</v>
      </c>
      <c r="C3328" s="8">
        <v>4</v>
      </c>
      <c r="D3328" s="3" t="s">
        <v>2725</v>
      </c>
      <c r="E3328" s="11" t="s">
        <v>1027</v>
      </c>
      <c r="F3328" s="10">
        <v>2.0174000000000001E-2</v>
      </c>
      <c r="G3328" s="9">
        <f>ROUND(G$3*F3328,0)</f>
        <v>5805</v>
      </c>
      <c r="H3328" s="11">
        <f>ROUND(G3328/2,0)</f>
        <v>2903</v>
      </c>
      <c r="I3328" s="9">
        <f>G3328-H3328</f>
        <v>2902</v>
      </c>
      <c r="J3328" s="3" t="str">
        <f t="shared" si="241"/>
        <v>4544700</v>
      </c>
    </row>
    <row r="3329" spans="2:10" s="3" customFormat="1">
      <c r="B3329" s="3" t="s">
        <v>2129</v>
      </c>
      <c r="C3329" s="8">
        <v>4</v>
      </c>
      <c r="D3329" s="3" t="s">
        <v>2725</v>
      </c>
      <c r="E3329" s="11" t="s">
        <v>28</v>
      </c>
      <c r="F3329" s="11"/>
      <c r="G3329" s="14">
        <v>0.41710000000000003</v>
      </c>
      <c r="H3329" s="11"/>
      <c r="I3329" s="11"/>
      <c r="J3329" s="3" t="str">
        <f t="shared" si="241"/>
        <v>4544700</v>
      </c>
    </row>
    <row r="3330" spans="2:10" s="3" customFormat="1">
      <c r="B3330" s="3" t="s">
        <v>2129</v>
      </c>
      <c r="C3330" s="8">
        <v>4</v>
      </c>
      <c r="D3330" s="3" t="s">
        <v>2725</v>
      </c>
      <c r="E3330" s="11" t="s">
        <v>29</v>
      </c>
      <c r="F3330" s="11"/>
      <c r="G3330" s="15">
        <f>ROUND(G3328*G3329,0)</f>
        <v>2421</v>
      </c>
      <c r="H3330" s="16">
        <f>ROUND(G3330/2,0)</f>
        <v>1211</v>
      </c>
      <c r="I3330" s="15">
        <f>G3330-H3330</f>
        <v>1210</v>
      </c>
      <c r="J3330" s="3" t="str">
        <f t="shared" si="241"/>
        <v>4544700</v>
      </c>
    </row>
    <row r="3331" spans="2:10" s="3" customFormat="1">
      <c r="B3331" s="3" t="s">
        <v>2129</v>
      </c>
      <c r="C3331" s="8">
        <v>4</v>
      </c>
      <c r="D3331" s="3" t="s">
        <v>2725</v>
      </c>
      <c r="E3331" s="11" t="s">
        <v>30</v>
      </c>
      <c r="F3331" s="11"/>
      <c r="G3331" s="12">
        <f>+G3328-G3330</f>
        <v>3384</v>
      </c>
      <c r="H3331" s="13">
        <f>ROUND(G3331/2,0)</f>
        <v>1692</v>
      </c>
      <c r="I3331" s="12">
        <f>G3331-H3331</f>
        <v>1692</v>
      </c>
      <c r="J3331" s="3" t="str">
        <f t="shared" si="241"/>
        <v>4544700</v>
      </c>
    </row>
    <row r="3332" spans="2:10" s="3" customFormat="1">
      <c r="B3332" s="3" t="s">
        <v>2129</v>
      </c>
      <c r="C3332" s="8">
        <v>4</v>
      </c>
      <c r="D3332" s="3" t="s">
        <v>2726</v>
      </c>
      <c r="E3332" s="11" t="s">
        <v>1028</v>
      </c>
      <c r="F3332" s="10">
        <v>0.105992</v>
      </c>
      <c r="G3332" s="9">
        <f>ROUND(G$3*F3332,0)</f>
        <v>30496</v>
      </c>
      <c r="H3332" s="11">
        <f>ROUND(G3332/2,0)</f>
        <v>15248</v>
      </c>
      <c r="I3332" s="9">
        <f>G3332-H3332</f>
        <v>15248</v>
      </c>
      <c r="J3332" s="3" t="str">
        <f t="shared" ref="J3332:J3395" si="245">B3332&amp;C3332&amp;D3332</f>
        <v>4544710</v>
      </c>
    </row>
    <row r="3333" spans="2:10" s="3" customFormat="1">
      <c r="B3333" s="3" t="s">
        <v>2129</v>
      </c>
      <c r="C3333" s="8">
        <v>4</v>
      </c>
      <c r="D3333" s="3" t="s">
        <v>2726</v>
      </c>
      <c r="E3333" s="11" t="s">
        <v>28</v>
      </c>
      <c r="F3333" s="11"/>
      <c r="G3333" s="14">
        <v>0.30629600000000001</v>
      </c>
      <c r="H3333" s="11"/>
      <c r="I3333" s="11"/>
      <c r="J3333" s="3" t="str">
        <f t="shared" si="245"/>
        <v>4544710</v>
      </c>
    </row>
    <row r="3334" spans="2:10" s="3" customFormat="1">
      <c r="B3334" s="3" t="s">
        <v>2129</v>
      </c>
      <c r="C3334" s="8">
        <v>4</v>
      </c>
      <c r="D3334" s="3" t="s">
        <v>2726</v>
      </c>
      <c r="E3334" s="11" t="s">
        <v>29</v>
      </c>
      <c r="F3334" s="11"/>
      <c r="G3334" s="15">
        <f>ROUND(G3332*G3333,0)</f>
        <v>9341</v>
      </c>
      <c r="H3334" s="16">
        <f>ROUND(G3334/2,0)</f>
        <v>4671</v>
      </c>
      <c r="I3334" s="15">
        <f>G3334-H3334</f>
        <v>4670</v>
      </c>
      <c r="J3334" s="3" t="str">
        <f t="shared" si="245"/>
        <v>4544710</v>
      </c>
    </row>
    <row r="3335" spans="2:10" s="3" customFormat="1">
      <c r="B3335" s="3" t="s">
        <v>2129</v>
      </c>
      <c r="C3335" s="8">
        <v>4</v>
      </c>
      <c r="D3335" s="3" t="s">
        <v>2726</v>
      </c>
      <c r="E3335" s="11" t="s">
        <v>30</v>
      </c>
      <c r="F3335" s="11"/>
      <c r="G3335" s="12">
        <f>+G3332-G3334</f>
        <v>21155</v>
      </c>
      <c r="H3335" s="13">
        <f>ROUND(G3335/2,0)</f>
        <v>10578</v>
      </c>
      <c r="I3335" s="12">
        <f>G3335-H3335</f>
        <v>10577</v>
      </c>
      <c r="J3335" s="3" t="str">
        <f t="shared" si="245"/>
        <v>4544710</v>
      </c>
    </row>
    <row r="3336" spans="2:10" s="3" customFormat="1">
      <c r="B3336" s="3" t="s">
        <v>2129</v>
      </c>
      <c r="C3336" s="8">
        <v>4</v>
      </c>
      <c r="D3336" s="3" t="s">
        <v>2715</v>
      </c>
      <c r="E3336" s="11" t="s">
        <v>1029</v>
      </c>
      <c r="F3336" s="10">
        <v>5.8469999999999998E-3</v>
      </c>
      <c r="G3336" s="9">
        <f>ROUND(G$3*F3336,0)</f>
        <v>1682</v>
      </c>
      <c r="H3336" s="11">
        <f>ROUND(G3336/2,0)</f>
        <v>841</v>
      </c>
      <c r="I3336" s="9">
        <f>G3336-H3336</f>
        <v>841</v>
      </c>
      <c r="J3336" s="3" t="str">
        <f t="shared" si="245"/>
        <v>4544580</v>
      </c>
    </row>
    <row r="3337" spans="2:10" s="3" customFormat="1">
      <c r="B3337" s="3" t="s">
        <v>2129</v>
      </c>
      <c r="C3337" s="8">
        <v>4</v>
      </c>
      <c r="D3337" s="3" t="s">
        <v>2715</v>
      </c>
      <c r="E3337" s="11" t="s">
        <v>28</v>
      </c>
      <c r="F3337" s="11"/>
      <c r="G3337" s="14">
        <v>0.35559600000000002</v>
      </c>
      <c r="H3337" s="11"/>
      <c r="I3337" s="11"/>
      <c r="J3337" s="3" t="str">
        <f t="shared" si="245"/>
        <v>4544580</v>
      </c>
    </row>
    <row r="3338" spans="2:10" s="3" customFormat="1">
      <c r="B3338" s="3" t="s">
        <v>2129</v>
      </c>
      <c r="C3338" s="8">
        <v>4</v>
      </c>
      <c r="D3338" s="3" t="s">
        <v>2715</v>
      </c>
      <c r="E3338" s="11" t="s">
        <v>29</v>
      </c>
      <c r="F3338" s="11"/>
      <c r="G3338" s="15">
        <f>ROUND(G3336*G3337,0)</f>
        <v>598</v>
      </c>
      <c r="H3338" s="16">
        <f>ROUND(G3338/2,0)</f>
        <v>299</v>
      </c>
      <c r="I3338" s="15">
        <f>G3338-H3338</f>
        <v>299</v>
      </c>
      <c r="J3338" s="3" t="str">
        <f t="shared" si="245"/>
        <v>4544580</v>
      </c>
    </row>
    <row r="3339" spans="2:10" s="3" customFormat="1">
      <c r="B3339" s="3" t="s">
        <v>2129</v>
      </c>
      <c r="C3339" s="8">
        <v>4</v>
      </c>
      <c r="D3339" s="3" t="s">
        <v>2715</v>
      </c>
      <c r="E3339" s="11" t="s">
        <v>30</v>
      </c>
      <c r="F3339" s="11"/>
      <c r="G3339" s="12">
        <f>+G3336-G3338</f>
        <v>1084</v>
      </c>
      <c r="H3339" s="13">
        <f>ROUND(G3339/2,0)</f>
        <v>542</v>
      </c>
      <c r="I3339" s="12">
        <f>G3339-H3339</f>
        <v>542</v>
      </c>
      <c r="J3339" s="3" t="str">
        <f t="shared" si="245"/>
        <v>4544580</v>
      </c>
    </row>
    <row r="3340" spans="2:10" s="3" customFormat="1">
      <c r="B3340" s="3" t="s">
        <v>2129</v>
      </c>
      <c r="C3340" s="8">
        <v>4</v>
      </c>
      <c r="D3340" s="3" t="s">
        <v>2727</v>
      </c>
      <c r="E3340" s="11" t="s">
        <v>1030</v>
      </c>
      <c r="F3340" s="10">
        <v>1.2602E-2</v>
      </c>
      <c r="G3340" s="9">
        <f>ROUND(G$3*F3340,0)</f>
        <v>3626</v>
      </c>
      <c r="H3340" s="11">
        <f>ROUND(G3340/2,0)</f>
        <v>1813</v>
      </c>
      <c r="I3340" s="9">
        <f>G3340-H3340</f>
        <v>1813</v>
      </c>
      <c r="J3340" s="3" t="str">
        <f t="shared" si="245"/>
        <v>4544720</v>
      </c>
    </row>
    <row r="3341" spans="2:10" s="3" customFormat="1">
      <c r="B3341" s="3" t="s">
        <v>2129</v>
      </c>
      <c r="C3341" s="8">
        <v>4</v>
      </c>
      <c r="D3341" s="3" t="s">
        <v>2727</v>
      </c>
      <c r="E3341" s="11" t="s">
        <v>28</v>
      </c>
      <c r="F3341" s="11"/>
      <c r="G3341" s="14">
        <v>0.58227399999999996</v>
      </c>
      <c r="H3341" s="11"/>
      <c r="I3341" s="11"/>
      <c r="J3341" s="3" t="str">
        <f t="shared" si="245"/>
        <v>4544720</v>
      </c>
    </row>
    <row r="3342" spans="2:10" s="3" customFormat="1">
      <c r="B3342" s="3" t="s">
        <v>2129</v>
      </c>
      <c r="C3342" s="8">
        <v>4</v>
      </c>
      <c r="D3342" s="3" t="s">
        <v>2727</v>
      </c>
      <c r="E3342" s="11" t="s">
        <v>29</v>
      </c>
      <c r="F3342" s="11"/>
      <c r="G3342" s="15">
        <f>ROUND(G3340*G3341,0)</f>
        <v>2111</v>
      </c>
      <c r="H3342" s="16">
        <f>ROUND(G3342/2,0)</f>
        <v>1056</v>
      </c>
      <c r="I3342" s="15">
        <f>G3342-H3342</f>
        <v>1055</v>
      </c>
      <c r="J3342" s="3" t="str">
        <f t="shared" si="245"/>
        <v>4544720</v>
      </c>
    </row>
    <row r="3343" spans="2:10" s="3" customFormat="1">
      <c r="B3343" s="3" t="s">
        <v>2129</v>
      </c>
      <c r="C3343" s="8">
        <v>4</v>
      </c>
      <c r="D3343" s="3" t="s">
        <v>2727</v>
      </c>
      <c r="E3343" s="11" t="s">
        <v>30</v>
      </c>
      <c r="F3343" s="11"/>
      <c r="G3343" s="12">
        <f>+G3340-G3342</f>
        <v>1515</v>
      </c>
      <c r="H3343" s="13">
        <f>ROUND(G3343/2,0)</f>
        <v>758</v>
      </c>
      <c r="I3343" s="12">
        <f>G3343-H3343</f>
        <v>757</v>
      </c>
      <c r="J3343" s="3" t="str">
        <f t="shared" si="245"/>
        <v>4544720</v>
      </c>
    </row>
    <row r="3344" spans="2:10" s="3" customFormat="1">
      <c r="B3344" s="3" t="s">
        <v>2129</v>
      </c>
      <c r="C3344" s="8">
        <v>4</v>
      </c>
      <c r="D3344" s="3" t="s">
        <v>2718</v>
      </c>
      <c r="E3344" s="11" t="s">
        <v>1031</v>
      </c>
      <c r="F3344" s="10">
        <v>2.8842E-2</v>
      </c>
      <c r="G3344" s="9">
        <f>ROUND(G$3*F3344,0)</f>
        <v>8299</v>
      </c>
      <c r="H3344" s="11">
        <f>ROUND(G3344/2,0)</f>
        <v>4150</v>
      </c>
      <c r="I3344" s="9">
        <f>G3344-H3344</f>
        <v>4149</v>
      </c>
      <c r="J3344" s="3" t="str">
        <f t="shared" si="245"/>
        <v>4544615</v>
      </c>
    </row>
    <row r="3345" spans="2:10" s="3" customFormat="1">
      <c r="B3345" s="3" t="s">
        <v>2129</v>
      </c>
      <c r="C3345" s="8">
        <v>4</v>
      </c>
      <c r="D3345" s="3" t="s">
        <v>2718</v>
      </c>
      <c r="E3345" s="11" t="s">
        <v>28</v>
      </c>
      <c r="F3345" s="11"/>
      <c r="G3345" s="14">
        <v>0.58030300000000001</v>
      </c>
      <c r="H3345" s="11"/>
      <c r="I3345" s="11"/>
      <c r="J3345" s="3" t="str">
        <f t="shared" si="245"/>
        <v>4544615</v>
      </c>
    </row>
    <row r="3346" spans="2:10" s="3" customFormat="1">
      <c r="B3346" s="3" t="s">
        <v>2129</v>
      </c>
      <c r="C3346" s="8">
        <v>4</v>
      </c>
      <c r="D3346" s="3" t="s">
        <v>2718</v>
      </c>
      <c r="E3346" s="11" t="s">
        <v>29</v>
      </c>
      <c r="F3346" s="11"/>
      <c r="G3346" s="15">
        <f>ROUND(G3344*G3345,0)</f>
        <v>4816</v>
      </c>
      <c r="H3346" s="16">
        <f>ROUND(G3346/2,0)</f>
        <v>2408</v>
      </c>
      <c r="I3346" s="15">
        <f>G3346-H3346</f>
        <v>2408</v>
      </c>
      <c r="J3346" s="3" t="str">
        <f t="shared" si="245"/>
        <v>4544615</v>
      </c>
    </row>
    <row r="3347" spans="2:10" s="3" customFormat="1">
      <c r="B3347" s="3" t="s">
        <v>2129</v>
      </c>
      <c r="C3347" s="8">
        <v>4</v>
      </c>
      <c r="D3347" s="3" t="s">
        <v>2718</v>
      </c>
      <c r="E3347" s="11" t="s">
        <v>30</v>
      </c>
      <c r="F3347" s="11"/>
      <c r="G3347" s="12">
        <f>+G3344-G3346</f>
        <v>3483</v>
      </c>
      <c r="H3347" s="13">
        <f>ROUND(G3347/2,0)</f>
        <v>1742</v>
      </c>
      <c r="I3347" s="12">
        <f>G3347-H3347</f>
        <v>1741</v>
      </c>
      <c r="J3347" s="3" t="str">
        <f t="shared" si="245"/>
        <v>4544615</v>
      </c>
    </row>
    <row r="3348" spans="2:10" s="3" customFormat="1">
      <c r="B3348" s="3" t="s">
        <v>2129</v>
      </c>
      <c r="C3348" s="8">
        <v>4</v>
      </c>
      <c r="D3348" s="3" t="s">
        <v>2720</v>
      </c>
      <c r="E3348" s="11" t="s">
        <v>1032</v>
      </c>
      <c r="F3348" s="10">
        <v>1.6362999999999999E-2</v>
      </c>
      <c r="G3348" s="9">
        <f>ROUND(G$3*F3348,0)</f>
        <v>4708</v>
      </c>
      <c r="H3348" s="11">
        <f>ROUND(G3348/2,0)</f>
        <v>2354</v>
      </c>
      <c r="I3348" s="9">
        <f>G3348-H3348</f>
        <v>2354</v>
      </c>
      <c r="J3348" s="3" t="str">
        <f t="shared" si="245"/>
        <v>4544650</v>
      </c>
    </row>
    <row r="3349" spans="2:10" s="3" customFormat="1">
      <c r="B3349" s="3" t="s">
        <v>2129</v>
      </c>
      <c r="C3349" s="8">
        <v>4</v>
      </c>
      <c r="D3349" s="3" t="s">
        <v>2720</v>
      </c>
      <c r="E3349" s="11" t="s">
        <v>28</v>
      </c>
      <c r="F3349" s="11"/>
      <c r="G3349" s="14">
        <v>0.34986</v>
      </c>
      <c r="H3349" s="11"/>
      <c r="I3349" s="11"/>
      <c r="J3349" s="3" t="str">
        <f t="shared" si="245"/>
        <v>4544650</v>
      </c>
    </row>
    <row r="3350" spans="2:10" s="3" customFormat="1">
      <c r="B3350" s="3" t="s">
        <v>2129</v>
      </c>
      <c r="C3350" s="8">
        <v>4</v>
      </c>
      <c r="D3350" s="3" t="s">
        <v>2720</v>
      </c>
      <c r="E3350" s="11" t="s">
        <v>29</v>
      </c>
      <c r="F3350" s="11"/>
      <c r="G3350" s="15">
        <f>ROUND(G3348*G3349,0)</f>
        <v>1647</v>
      </c>
      <c r="H3350" s="16">
        <f>ROUND(G3350/2,0)</f>
        <v>824</v>
      </c>
      <c r="I3350" s="15">
        <f>G3350-H3350</f>
        <v>823</v>
      </c>
      <c r="J3350" s="3" t="str">
        <f t="shared" si="245"/>
        <v>4544650</v>
      </c>
    </row>
    <row r="3351" spans="2:10" s="3" customFormat="1">
      <c r="B3351" s="3" t="s">
        <v>2129</v>
      </c>
      <c r="C3351" s="8">
        <v>4</v>
      </c>
      <c r="D3351" s="3" t="s">
        <v>2720</v>
      </c>
      <c r="E3351" s="11" t="s">
        <v>30</v>
      </c>
      <c r="F3351" s="11"/>
      <c r="G3351" s="12">
        <f>+G3348-G3350</f>
        <v>3061</v>
      </c>
      <c r="H3351" s="13">
        <f>ROUND(G3351/2,0)</f>
        <v>1531</v>
      </c>
      <c r="I3351" s="12">
        <f>G3351-H3351</f>
        <v>1530</v>
      </c>
      <c r="J3351" s="3" t="str">
        <f t="shared" si="245"/>
        <v>4544650</v>
      </c>
    </row>
    <row r="3352" spans="2:10" s="3" customFormat="1">
      <c r="B3352" s="3" t="s">
        <v>2129</v>
      </c>
      <c r="C3352" s="8">
        <v>4</v>
      </c>
      <c r="D3352" s="116" t="s">
        <v>2723</v>
      </c>
      <c r="E3352" s="11" t="s">
        <v>1033</v>
      </c>
      <c r="F3352" s="10">
        <v>2.6459999999999999E-3</v>
      </c>
      <c r="G3352" s="9">
        <f>ROUND(G$3*F3352,0)</f>
        <v>761</v>
      </c>
      <c r="H3352" s="11">
        <f>ROUND(G3352/2,0)</f>
        <v>381</v>
      </c>
      <c r="I3352" s="9">
        <f>G3352-H3352</f>
        <v>380</v>
      </c>
      <c r="J3352" s="3" t="str">
        <f t="shared" si="245"/>
        <v>4544680</v>
      </c>
    </row>
    <row r="3353" spans="2:10" s="3" customFormat="1">
      <c r="B3353" s="3" t="s">
        <v>2129</v>
      </c>
      <c r="C3353" s="8">
        <v>4</v>
      </c>
      <c r="D3353" s="116" t="s">
        <v>2723</v>
      </c>
      <c r="E3353" s="11" t="s">
        <v>28</v>
      </c>
      <c r="F3353" s="11"/>
      <c r="G3353" s="14">
        <v>0.33048899999999998</v>
      </c>
      <c r="H3353" s="11"/>
      <c r="I3353" s="11"/>
      <c r="J3353" s="3" t="str">
        <f t="shared" si="245"/>
        <v>4544680</v>
      </c>
    </row>
    <row r="3354" spans="2:10" s="3" customFormat="1">
      <c r="B3354" s="3" t="s">
        <v>2129</v>
      </c>
      <c r="C3354" s="8">
        <v>4</v>
      </c>
      <c r="D3354" s="116" t="s">
        <v>2723</v>
      </c>
      <c r="E3354" s="11" t="s">
        <v>29</v>
      </c>
      <c r="F3354" s="11"/>
      <c r="G3354" s="15">
        <f>ROUND(G3352*G3353,0)</f>
        <v>252</v>
      </c>
      <c r="H3354" s="16">
        <f>ROUND(G3354/2,0)</f>
        <v>126</v>
      </c>
      <c r="I3354" s="15">
        <f>G3354-H3354</f>
        <v>126</v>
      </c>
      <c r="J3354" s="3" t="str">
        <f t="shared" si="245"/>
        <v>4544680</v>
      </c>
    </row>
    <row r="3355" spans="2:10" s="3" customFormat="1">
      <c r="B3355" s="3" t="s">
        <v>2129</v>
      </c>
      <c r="C3355" s="8">
        <v>4</v>
      </c>
      <c r="D3355" s="116" t="s">
        <v>2723</v>
      </c>
      <c r="E3355" s="11" t="s">
        <v>30</v>
      </c>
      <c r="F3355" s="11"/>
      <c r="G3355" s="12">
        <f>+G3352-G3354</f>
        <v>509</v>
      </c>
      <c r="H3355" s="13">
        <f>ROUND(G3355/2,0)</f>
        <v>255</v>
      </c>
      <c r="I3355" s="12">
        <f>G3355-H3355</f>
        <v>254</v>
      </c>
      <c r="J3355" s="3" t="str">
        <f t="shared" si="245"/>
        <v>4544680</v>
      </c>
    </row>
    <row r="3356" spans="2:10" s="3" customFormat="1">
      <c r="B3356" s="3" t="s">
        <v>2129</v>
      </c>
      <c r="C3356" s="8">
        <v>4</v>
      </c>
      <c r="D3356" s="3" t="s">
        <v>2717</v>
      </c>
      <c r="E3356" s="11" t="s">
        <v>1034</v>
      </c>
      <c r="F3356" s="10">
        <v>1.2921999999999999E-2</v>
      </c>
      <c r="G3356" s="9">
        <f>ROUND(G$3*F3356,0)</f>
        <v>3718</v>
      </c>
      <c r="H3356" s="11">
        <f>ROUND(G3356/2,0)</f>
        <v>1859</v>
      </c>
      <c r="I3356" s="9">
        <f>G3356-H3356</f>
        <v>1859</v>
      </c>
      <c r="J3356" s="3" t="str">
        <f t="shared" si="245"/>
        <v>4544600</v>
      </c>
    </row>
    <row r="3357" spans="2:10" s="3" customFormat="1">
      <c r="B3357" s="3" t="s">
        <v>2129</v>
      </c>
      <c r="C3357" s="8">
        <v>4</v>
      </c>
      <c r="D3357" s="3" t="s">
        <v>2717</v>
      </c>
      <c r="E3357" s="11" t="s">
        <v>28</v>
      </c>
      <c r="F3357" s="11"/>
      <c r="G3357" s="14">
        <v>0.37457099999999999</v>
      </c>
      <c r="H3357" s="11"/>
      <c r="I3357" s="11"/>
      <c r="J3357" s="3" t="str">
        <f t="shared" si="245"/>
        <v>4544600</v>
      </c>
    </row>
    <row r="3358" spans="2:10" s="3" customFormat="1">
      <c r="B3358" s="3" t="s">
        <v>2129</v>
      </c>
      <c r="C3358" s="8">
        <v>4</v>
      </c>
      <c r="D3358" s="3" t="s">
        <v>2717</v>
      </c>
      <c r="E3358" s="11" t="s">
        <v>29</v>
      </c>
      <c r="F3358" s="11"/>
      <c r="G3358" s="15">
        <f>ROUND(G3356*G3357,0)</f>
        <v>1393</v>
      </c>
      <c r="H3358" s="16">
        <f>ROUND(G3358/2,0)</f>
        <v>697</v>
      </c>
      <c r="I3358" s="15">
        <f>G3358-H3358</f>
        <v>696</v>
      </c>
      <c r="J3358" s="3" t="str">
        <f t="shared" si="245"/>
        <v>4544600</v>
      </c>
    </row>
    <row r="3359" spans="2:10" s="3" customFormat="1">
      <c r="B3359" s="3" t="s">
        <v>2129</v>
      </c>
      <c r="C3359" s="8">
        <v>4</v>
      </c>
      <c r="D3359" s="3" t="s">
        <v>2717</v>
      </c>
      <c r="E3359" s="11" t="s">
        <v>30</v>
      </c>
      <c r="F3359" s="11"/>
      <c r="G3359" s="12">
        <f>+G3356-G3358</f>
        <v>2325</v>
      </c>
      <c r="H3359" s="13">
        <f>ROUND(G3359/2,0)</f>
        <v>1163</v>
      </c>
      <c r="I3359" s="12">
        <f>G3359-H3359</f>
        <v>1162</v>
      </c>
      <c r="J3359" s="3" t="str">
        <f t="shared" si="245"/>
        <v>4544600</v>
      </c>
    </row>
    <row r="3360" spans="2:10" s="3" customFormat="1">
      <c r="B3360" s="3" t="s">
        <v>2129</v>
      </c>
      <c r="C3360" s="8">
        <v>4</v>
      </c>
      <c r="D3360" s="3" t="s">
        <v>2729</v>
      </c>
      <c r="E3360" s="11" t="s">
        <v>1035</v>
      </c>
      <c r="F3360" s="10">
        <v>1.1776E-2</v>
      </c>
      <c r="G3360" s="9">
        <f>ROUND(G$3*F3360,0)</f>
        <v>3388</v>
      </c>
      <c r="H3360" s="11">
        <f>ROUND(G3360/2,0)</f>
        <v>1694</v>
      </c>
      <c r="I3360" s="9">
        <f>G3360-H3360</f>
        <v>1694</v>
      </c>
      <c r="J3360" s="3" t="str">
        <f t="shared" si="245"/>
        <v>4544740</v>
      </c>
    </row>
    <row r="3361" spans="2:10" s="3" customFormat="1">
      <c r="B3361" s="3" t="s">
        <v>2129</v>
      </c>
      <c r="C3361" s="8">
        <v>4</v>
      </c>
      <c r="D3361" s="3" t="s">
        <v>2729</v>
      </c>
      <c r="E3361" s="11" t="s">
        <v>28</v>
      </c>
      <c r="F3361" s="11"/>
      <c r="G3361" s="14">
        <v>0.45821699999999999</v>
      </c>
      <c r="H3361" s="11"/>
      <c r="I3361" s="11"/>
      <c r="J3361" s="3" t="str">
        <f t="shared" si="245"/>
        <v>4544740</v>
      </c>
    </row>
    <row r="3362" spans="2:10" s="3" customFormat="1">
      <c r="B3362" s="3" t="s">
        <v>2129</v>
      </c>
      <c r="C3362" s="8">
        <v>4</v>
      </c>
      <c r="D3362" s="3" t="s">
        <v>2729</v>
      </c>
      <c r="E3362" s="11" t="s">
        <v>29</v>
      </c>
      <c r="F3362" s="11"/>
      <c r="G3362" s="15">
        <f>ROUND(G3360*G3361,0)</f>
        <v>1552</v>
      </c>
      <c r="H3362" s="16">
        <f>ROUND(G3362/2,0)</f>
        <v>776</v>
      </c>
      <c r="I3362" s="15">
        <f>G3362-H3362</f>
        <v>776</v>
      </c>
      <c r="J3362" s="3" t="str">
        <f t="shared" si="245"/>
        <v>4544740</v>
      </c>
    </row>
    <row r="3363" spans="2:10" s="3" customFormat="1">
      <c r="B3363" s="3" t="s">
        <v>2129</v>
      </c>
      <c r="C3363" s="8">
        <v>4</v>
      </c>
      <c r="D3363" s="3" t="s">
        <v>2729</v>
      </c>
      <c r="E3363" s="11" t="s">
        <v>30</v>
      </c>
      <c r="F3363" s="11"/>
      <c r="G3363" s="12">
        <f>+G3360-G3362</f>
        <v>1836</v>
      </c>
      <c r="H3363" s="13">
        <f>ROUND(G3363/2,0)</f>
        <v>918</v>
      </c>
      <c r="I3363" s="12">
        <f>G3363-H3363</f>
        <v>918</v>
      </c>
      <c r="J3363" s="3" t="str">
        <f t="shared" si="245"/>
        <v>4544740</v>
      </c>
    </row>
    <row r="3364" spans="2:10" s="3" customFormat="1">
      <c r="B3364" s="3" t="s">
        <v>2129</v>
      </c>
      <c r="C3364" s="8">
        <v>4</v>
      </c>
      <c r="D3364" s="3" t="s">
        <v>2716</v>
      </c>
      <c r="E3364" s="11" t="s">
        <v>1036</v>
      </c>
      <c r="F3364" s="10">
        <v>1.4369999999999999E-3</v>
      </c>
      <c r="G3364" s="9">
        <f>ROUND(G$3*F3364,0)</f>
        <v>413</v>
      </c>
      <c r="H3364" s="11">
        <f>ROUND(G3364/2,0)</f>
        <v>207</v>
      </c>
      <c r="I3364" s="9">
        <f>G3364-H3364</f>
        <v>206</v>
      </c>
      <c r="J3364" s="3" t="str">
        <f t="shared" si="245"/>
        <v>4544590</v>
      </c>
    </row>
    <row r="3365" spans="2:10" s="3" customFormat="1">
      <c r="B3365" s="3" t="s">
        <v>2129</v>
      </c>
      <c r="C3365" s="8">
        <v>4</v>
      </c>
      <c r="D3365" s="3" t="s">
        <v>2716</v>
      </c>
      <c r="E3365" s="11" t="s">
        <v>28</v>
      </c>
      <c r="F3365" s="11"/>
      <c r="G3365" s="14">
        <v>0.33841700000000002</v>
      </c>
      <c r="H3365" s="11"/>
      <c r="I3365" s="11"/>
      <c r="J3365" s="3" t="str">
        <f t="shared" si="245"/>
        <v>4544590</v>
      </c>
    </row>
    <row r="3366" spans="2:10" s="3" customFormat="1">
      <c r="B3366" s="3" t="s">
        <v>2129</v>
      </c>
      <c r="C3366" s="8">
        <v>4</v>
      </c>
      <c r="D3366" s="3" t="s">
        <v>2716</v>
      </c>
      <c r="E3366" s="11" t="s">
        <v>29</v>
      </c>
      <c r="F3366" s="11"/>
      <c r="G3366" s="15">
        <f>ROUND(G3364*G3365,0)</f>
        <v>140</v>
      </c>
      <c r="H3366" s="16">
        <f>ROUND(G3366/2,0)</f>
        <v>70</v>
      </c>
      <c r="I3366" s="15">
        <f>G3366-H3366</f>
        <v>70</v>
      </c>
      <c r="J3366" s="3" t="str">
        <f t="shared" si="245"/>
        <v>4544590</v>
      </c>
    </row>
    <row r="3367" spans="2:10" s="3" customFormat="1">
      <c r="B3367" s="3" t="s">
        <v>2129</v>
      </c>
      <c r="C3367" s="8">
        <v>4</v>
      </c>
      <c r="D3367" s="3" t="s">
        <v>2716</v>
      </c>
      <c r="E3367" s="11" t="s">
        <v>30</v>
      </c>
      <c r="F3367" s="11"/>
      <c r="G3367" s="12">
        <f>+G3364-G3366</f>
        <v>273</v>
      </c>
      <c r="H3367" s="13">
        <f>ROUND(G3367/2,0)</f>
        <v>137</v>
      </c>
      <c r="I3367" s="12">
        <f>G3367-H3367</f>
        <v>136</v>
      </c>
      <c r="J3367" s="3" t="str">
        <f t="shared" si="245"/>
        <v>4544590</v>
      </c>
    </row>
    <row r="3368" spans="2:10" s="3" customFormat="1">
      <c r="B3368" s="3" t="s">
        <v>2129</v>
      </c>
      <c r="C3368" s="8">
        <v>4</v>
      </c>
      <c r="D3368" s="3" t="s">
        <v>2728</v>
      </c>
      <c r="E3368" s="11" t="s">
        <v>1037</v>
      </c>
      <c r="F3368" s="10">
        <v>7.757E-3</v>
      </c>
      <c r="G3368" s="9">
        <f>ROUND(G$3*F3368,0)</f>
        <v>2232</v>
      </c>
      <c r="H3368" s="11">
        <f>ROUND(G3368/2,0)</f>
        <v>1116</v>
      </c>
      <c r="I3368" s="9">
        <f>G3368-H3368</f>
        <v>1116</v>
      </c>
      <c r="J3368" s="3" t="str">
        <f t="shared" si="245"/>
        <v>4544730</v>
      </c>
    </row>
    <row r="3369" spans="2:10" s="3" customFormat="1">
      <c r="B3369" s="3" t="s">
        <v>2129</v>
      </c>
      <c r="C3369" s="8">
        <v>4</v>
      </c>
      <c r="D3369" s="3" t="s">
        <v>2728</v>
      </c>
      <c r="E3369" s="11" t="s">
        <v>28</v>
      </c>
      <c r="F3369" s="11"/>
      <c r="G3369" s="14">
        <v>0.36629400000000001</v>
      </c>
      <c r="H3369" s="11"/>
      <c r="I3369" s="11"/>
      <c r="J3369" s="3" t="str">
        <f t="shared" si="245"/>
        <v>4544730</v>
      </c>
    </row>
    <row r="3370" spans="2:10" s="3" customFormat="1">
      <c r="B3370" s="3" t="s">
        <v>2129</v>
      </c>
      <c r="C3370" s="8">
        <v>4</v>
      </c>
      <c r="D3370" s="3" t="s">
        <v>2728</v>
      </c>
      <c r="E3370" s="11" t="s">
        <v>29</v>
      </c>
      <c r="F3370" s="11"/>
      <c r="G3370" s="15">
        <f>ROUND(G3368*G3369,0)</f>
        <v>818</v>
      </c>
      <c r="H3370" s="16">
        <f>ROUND(G3370/2,0)</f>
        <v>409</v>
      </c>
      <c r="I3370" s="15">
        <f>G3370-H3370</f>
        <v>409</v>
      </c>
      <c r="J3370" s="3" t="str">
        <f t="shared" si="245"/>
        <v>4544730</v>
      </c>
    </row>
    <row r="3371" spans="2:10" s="3" customFormat="1">
      <c r="B3371" s="3" t="s">
        <v>2129</v>
      </c>
      <c r="C3371" s="8">
        <v>4</v>
      </c>
      <c r="D3371" s="3" t="s">
        <v>2728</v>
      </c>
      <c r="E3371" s="11" t="s">
        <v>30</v>
      </c>
      <c r="F3371" s="11"/>
      <c r="G3371" s="12">
        <f>+G3368-G3370</f>
        <v>1414</v>
      </c>
      <c r="H3371" s="13">
        <f>ROUND(G3371/2,0)</f>
        <v>707</v>
      </c>
      <c r="I3371" s="12">
        <f>G3371-H3371</f>
        <v>707</v>
      </c>
      <c r="J3371" s="3" t="str">
        <f t="shared" si="245"/>
        <v>4544730</v>
      </c>
    </row>
    <row r="3372" spans="2:10" s="3" customFormat="1">
      <c r="B3372" s="3" t="s">
        <v>2129</v>
      </c>
      <c r="C3372" s="8">
        <v>4</v>
      </c>
      <c r="D3372" s="3" t="s">
        <v>2719</v>
      </c>
      <c r="E3372" s="11" t="s">
        <v>1038</v>
      </c>
      <c r="F3372" s="10">
        <v>9.7300000000000008E-3</v>
      </c>
      <c r="G3372" s="9">
        <f>ROUND(G$3*F3372,0)</f>
        <v>2800</v>
      </c>
      <c r="H3372" s="11">
        <f>ROUND(G3372/2,0)</f>
        <v>1400</v>
      </c>
      <c r="I3372" s="9">
        <f>G3372-H3372</f>
        <v>1400</v>
      </c>
      <c r="J3372" s="3" t="str">
        <f t="shared" si="245"/>
        <v>4544645</v>
      </c>
    </row>
    <row r="3373" spans="2:10" s="3" customFormat="1">
      <c r="B3373" s="3" t="s">
        <v>2129</v>
      </c>
      <c r="C3373" s="8">
        <v>4</v>
      </c>
      <c r="D3373" s="3" t="s">
        <v>2719</v>
      </c>
      <c r="E3373" s="11" t="s">
        <v>28</v>
      </c>
      <c r="F3373" s="11"/>
      <c r="G3373" s="14">
        <v>0.39481100000000002</v>
      </c>
      <c r="H3373" s="11"/>
      <c r="I3373" s="11"/>
      <c r="J3373" s="3" t="str">
        <f t="shared" si="245"/>
        <v>4544645</v>
      </c>
    </row>
    <row r="3374" spans="2:10" s="3" customFormat="1">
      <c r="B3374" s="3" t="s">
        <v>2129</v>
      </c>
      <c r="C3374" s="8">
        <v>4</v>
      </c>
      <c r="D3374" s="3" t="s">
        <v>2719</v>
      </c>
      <c r="E3374" s="11" t="s">
        <v>29</v>
      </c>
      <c r="F3374" s="11"/>
      <c r="G3374" s="15">
        <f>ROUND(G3372*G3373,0)</f>
        <v>1105</v>
      </c>
      <c r="H3374" s="16">
        <f>ROUND(G3374/2,0)</f>
        <v>553</v>
      </c>
      <c r="I3374" s="15">
        <f>G3374-H3374</f>
        <v>552</v>
      </c>
      <c r="J3374" s="3" t="str">
        <f t="shared" si="245"/>
        <v>4544645</v>
      </c>
    </row>
    <row r="3375" spans="2:10" s="3" customFormat="1">
      <c r="B3375" s="3" t="s">
        <v>2129</v>
      </c>
      <c r="C3375" s="8">
        <v>4</v>
      </c>
      <c r="D3375" s="3" t="s">
        <v>2719</v>
      </c>
      <c r="E3375" s="11" t="s">
        <v>30</v>
      </c>
      <c r="F3375" s="11"/>
      <c r="G3375" s="12">
        <f>+G3372-G3374</f>
        <v>1695</v>
      </c>
      <c r="H3375" s="13">
        <f>ROUND(G3375/2,0)</f>
        <v>848</v>
      </c>
      <c r="I3375" s="12">
        <f>G3375-H3375</f>
        <v>847</v>
      </c>
      <c r="J3375" s="3" t="str">
        <f t="shared" si="245"/>
        <v>4544645</v>
      </c>
    </row>
    <row r="3376" spans="2:10" s="3" customFormat="1">
      <c r="B3376" s="3" t="s">
        <v>2129</v>
      </c>
      <c r="C3376" s="8">
        <v>4</v>
      </c>
      <c r="D3376" s="3" t="s">
        <v>2730</v>
      </c>
      <c r="E3376" s="11" t="s">
        <v>1039</v>
      </c>
      <c r="F3376" s="10">
        <v>6.208E-3</v>
      </c>
      <c r="G3376" s="9">
        <f>ROUND(G$3*F3376,0)</f>
        <v>1786</v>
      </c>
      <c r="H3376" s="11">
        <f>ROUND(G3376/2,0)</f>
        <v>893</v>
      </c>
      <c r="I3376" s="9">
        <f>G3376-H3376</f>
        <v>893</v>
      </c>
      <c r="J3376" s="3" t="str">
        <f t="shared" si="245"/>
        <v>4544760</v>
      </c>
    </row>
    <row r="3377" spans="2:10" s="3" customFormat="1">
      <c r="B3377" s="3" t="s">
        <v>2129</v>
      </c>
      <c r="C3377" s="8">
        <v>4</v>
      </c>
      <c r="D3377" s="3" t="s">
        <v>2730</v>
      </c>
      <c r="E3377" s="11" t="s">
        <v>28</v>
      </c>
      <c r="F3377" s="11"/>
      <c r="G3377" s="14">
        <v>0.56514299999999995</v>
      </c>
      <c r="H3377" s="11"/>
      <c r="I3377" s="11"/>
      <c r="J3377" s="3" t="str">
        <f t="shared" si="245"/>
        <v>4544760</v>
      </c>
    </row>
    <row r="3378" spans="2:10" s="3" customFormat="1">
      <c r="B3378" s="3" t="s">
        <v>2129</v>
      </c>
      <c r="C3378" s="8">
        <v>4</v>
      </c>
      <c r="D3378" s="3" t="s">
        <v>2730</v>
      </c>
      <c r="E3378" s="11" t="s">
        <v>29</v>
      </c>
      <c r="F3378" s="11"/>
      <c r="G3378" s="15">
        <f>ROUND(G3376*G3377,0)</f>
        <v>1009</v>
      </c>
      <c r="H3378" s="16">
        <f t="shared" ref="H3378:H3404" si="246">ROUND(G3378/2,0)</f>
        <v>505</v>
      </c>
      <c r="I3378" s="15">
        <f t="shared" ref="I3378:I3404" si="247">G3378-H3378</f>
        <v>504</v>
      </c>
      <c r="J3378" s="3" t="str">
        <f t="shared" si="245"/>
        <v>4544760</v>
      </c>
    </row>
    <row r="3379" spans="2:10" s="3" customFormat="1">
      <c r="B3379" s="3" t="s">
        <v>2129</v>
      </c>
      <c r="C3379" s="8">
        <v>4</v>
      </c>
      <c r="D3379" s="3" t="s">
        <v>2730</v>
      </c>
      <c r="E3379" s="11" t="s">
        <v>30</v>
      </c>
      <c r="F3379" s="11"/>
      <c r="G3379" s="12">
        <f>+G3376-G3378</f>
        <v>777</v>
      </c>
      <c r="H3379" s="13">
        <f t="shared" si="246"/>
        <v>389</v>
      </c>
      <c r="I3379" s="12">
        <f t="shared" si="247"/>
        <v>388</v>
      </c>
      <c r="J3379" s="3" t="str">
        <f t="shared" si="245"/>
        <v>4544760</v>
      </c>
    </row>
    <row r="3380" spans="2:10" s="3" customFormat="1">
      <c r="B3380" s="3" t="s">
        <v>2129</v>
      </c>
      <c r="C3380" s="8">
        <v>5</v>
      </c>
      <c r="D3380" s="3" t="s">
        <v>4743</v>
      </c>
      <c r="E3380" s="11" t="s">
        <v>1040</v>
      </c>
      <c r="F3380" s="10">
        <v>1.2960000000000001E-3</v>
      </c>
      <c r="G3380" s="120">
        <f t="shared" ref="G3380:G3403" si="248">ROUND(G$3*F3380,0)</f>
        <v>373</v>
      </c>
      <c r="H3380" s="120">
        <f t="shared" si="246"/>
        <v>187</v>
      </c>
      <c r="I3380" s="120">
        <f t="shared" si="247"/>
        <v>186</v>
      </c>
      <c r="J3380" s="3" t="str">
        <f t="shared" si="245"/>
        <v>4550276</v>
      </c>
    </row>
    <row r="3381" spans="2:10" s="3" customFormat="1">
      <c r="B3381" s="3" t="s">
        <v>2129</v>
      </c>
      <c r="C3381" s="8">
        <v>5</v>
      </c>
      <c r="D3381" s="3" t="s">
        <v>4735</v>
      </c>
      <c r="E3381" s="11" t="s">
        <v>1041</v>
      </c>
      <c r="F3381" s="10">
        <v>3.1389999999999999E-3</v>
      </c>
      <c r="G3381" s="120">
        <f t="shared" si="248"/>
        <v>903</v>
      </c>
      <c r="H3381" s="120">
        <f t="shared" si="246"/>
        <v>452</v>
      </c>
      <c r="I3381" s="120">
        <f t="shared" si="247"/>
        <v>451</v>
      </c>
      <c r="J3381" s="3" t="str">
        <f t="shared" si="245"/>
        <v>4550124</v>
      </c>
    </row>
    <row r="3382" spans="2:10" s="3" customFormat="1">
      <c r="B3382" s="3" t="s">
        <v>2129</v>
      </c>
      <c r="C3382" s="8">
        <v>5</v>
      </c>
      <c r="D3382" s="3" t="s">
        <v>2222</v>
      </c>
      <c r="E3382" s="11" t="s">
        <v>1042</v>
      </c>
      <c r="F3382" s="10">
        <v>7.221E-3</v>
      </c>
      <c r="G3382" s="120">
        <f t="shared" si="248"/>
        <v>2078</v>
      </c>
      <c r="H3382" s="120">
        <f t="shared" si="246"/>
        <v>1039</v>
      </c>
      <c r="I3382" s="120">
        <f t="shared" si="247"/>
        <v>1039</v>
      </c>
      <c r="J3382" s="3" t="str">
        <f t="shared" si="245"/>
        <v>4550125</v>
      </c>
    </row>
    <row r="3383" spans="2:10" s="3" customFormat="1">
      <c r="B3383" s="3" t="s">
        <v>2129</v>
      </c>
      <c r="C3383" s="8">
        <v>5</v>
      </c>
      <c r="D3383" s="3" t="s">
        <v>2731</v>
      </c>
      <c r="E3383" s="11" t="s">
        <v>1043</v>
      </c>
      <c r="F3383" s="10">
        <v>8.0370000000000007E-3</v>
      </c>
      <c r="G3383" s="120">
        <f t="shared" si="248"/>
        <v>2312</v>
      </c>
      <c r="H3383" s="120">
        <f t="shared" si="246"/>
        <v>1156</v>
      </c>
      <c r="I3383" s="120">
        <f t="shared" si="247"/>
        <v>1156</v>
      </c>
      <c r="J3383" s="3" t="str">
        <f t="shared" si="245"/>
        <v>4550126</v>
      </c>
    </row>
    <row r="3384" spans="2:10" s="3" customFormat="1">
      <c r="B3384" s="3" t="s">
        <v>2129</v>
      </c>
      <c r="C3384" s="8">
        <v>5</v>
      </c>
      <c r="D3384" s="3" t="s">
        <v>4741</v>
      </c>
      <c r="E3384" s="11" t="s">
        <v>1044</v>
      </c>
      <c r="F3384" s="10">
        <v>9.4219999999999998E-3</v>
      </c>
      <c r="G3384" s="120">
        <f t="shared" si="248"/>
        <v>2711</v>
      </c>
      <c r="H3384" s="120">
        <f t="shared" si="246"/>
        <v>1356</v>
      </c>
      <c r="I3384" s="120">
        <f t="shared" si="247"/>
        <v>1355</v>
      </c>
      <c r="J3384" s="3" t="str">
        <f t="shared" si="245"/>
        <v>4550129</v>
      </c>
    </row>
    <row r="3385" spans="2:10" s="3" customFormat="1">
      <c r="B3385" s="3" t="s">
        <v>2129</v>
      </c>
      <c r="C3385" s="8">
        <v>5</v>
      </c>
      <c r="D3385" s="3" t="s">
        <v>2732</v>
      </c>
      <c r="E3385" s="11" t="s">
        <v>1045</v>
      </c>
      <c r="F3385" s="10">
        <v>1.0399999999999999E-3</v>
      </c>
      <c r="G3385" s="120">
        <f t="shared" si="248"/>
        <v>299</v>
      </c>
      <c r="H3385" s="120">
        <f t="shared" si="246"/>
        <v>150</v>
      </c>
      <c r="I3385" s="120">
        <f t="shared" si="247"/>
        <v>149</v>
      </c>
      <c r="J3385" s="3" t="str">
        <f t="shared" si="245"/>
        <v>4550127</v>
      </c>
    </row>
    <row r="3386" spans="2:10" s="3" customFormat="1">
      <c r="B3386" s="3" t="s">
        <v>2129</v>
      </c>
      <c r="C3386" s="8">
        <v>5</v>
      </c>
      <c r="D3386" s="3" t="s">
        <v>2733</v>
      </c>
      <c r="E3386" s="11" t="s">
        <v>1046</v>
      </c>
      <c r="F3386" s="10">
        <v>7.4200000000000004E-4</v>
      </c>
      <c r="G3386" s="120">
        <f t="shared" si="248"/>
        <v>213</v>
      </c>
      <c r="H3386" s="120">
        <f t="shared" si="246"/>
        <v>107</v>
      </c>
      <c r="I3386" s="120">
        <f t="shared" si="247"/>
        <v>106</v>
      </c>
      <c r="J3386" s="3" t="str">
        <f t="shared" si="245"/>
        <v>4550128</v>
      </c>
    </row>
    <row r="3387" spans="2:10" s="128" customFormat="1">
      <c r="B3387" s="128" t="s">
        <v>2129</v>
      </c>
      <c r="C3387" s="129">
        <v>6</v>
      </c>
      <c r="D3387" s="128" t="e">
        <v>#N/A</v>
      </c>
      <c r="E3387" s="131" t="s">
        <v>1047</v>
      </c>
      <c r="F3387" s="133">
        <v>3.6999999999999998E-5</v>
      </c>
      <c r="G3387" s="137">
        <f t="shared" si="248"/>
        <v>11</v>
      </c>
      <c r="H3387" s="137">
        <f t="shared" si="246"/>
        <v>6</v>
      </c>
      <c r="I3387" s="137">
        <f t="shared" si="247"/>
        <v>5</v>
      </c>
      <c r="J3387" s="128" t="e">
        <f t="shared" si="245"/>
        <v>#N/A</v>
      </c>
    </row>
    <row r="3388" spans="2:10" s="3" customFormat="1">
      <c r="B3388" s="3" t="s">
        <v>2129</v>
      </c>
      <c r="C3388" s="8">
        <v>6</v>
      </c>
      <c r="D3388" s="3" t="s">
        <v>2743</v>
      </c>
      <c r="E3388" s="11" t="s">
        <v>1048</v>
      </c>
      <c r="F3388" s="10">
        <v>2.8699999999999998E-4</v>
      </c>
      <c r="G3388" s="12">
        <f t="shared" si="248"/>
        <v>83</v>
      </c>
      <c r="H3388" s="13">
        <f t="shared" si="246"/>
        <v>42</v>
      </c>
      <c r="I3388" s="12">
        <f t="shared" si="247"/>
        <v>41</v>
      </c>
      <c r="J3388" s="3" t="str">
        <f t="shared" si="245"/>
        <v>4569993</v>
      </c>
    </row>
    <row r="3389" spans="2:10" s="3" customFormat="1">
      <c r="B3389" s="3" t="s">
        <v>2129</v>
      </c>
      <c r="C3389" s="8">
        <v>6</v>
      </c>
      <c r="D3389" s="3" t="s">
        <v>2734</v>
      </c>
      <c r="E3389" s="11" t="s">
        <v>1049</v>
      </c>
      <c r="F3389" s="10">
        <v>1.0565E-2</v>
      </c>
      <c r="G3389" s="12">
        <f t="shared" si="248"/>
        <v>3040</v>
      </c>
      <c r="H3389" s="13">
        <f t="shared" si="246"/>
        <v>1520</v>
      </c>
      <c r="I3389" s="12">
        <f t="shared" si="247"/>
        <v>1520</v>
      </c>
      <c r="J3389" s="3" t="str">
        <f t="shared" si="245"/>
        <v>4560808</v>
      </c>
    </row>
    <row r="3390" spans="2:10" s="3" customFormat="1">
      <c r="B3390" s="3" t="s">
        <v>2129</v>
      </c>
      <c r="C3390" s="8">
        <v>6</v>
      </c>
      <c r="D3390" s="3" t="s">
        <v>2737</v>
      </c>
      <c r="E3390" s="11" t="s">
        <v>1050</v>
      </c>
      <c r="F3390" s="10">
        <v>1.825E-3</v>
      </c>
      <c r="G3390" s="12">
        <f t="shared" si="248"/>
        <v>525</v>
      </c>
      <c r="H3390" s="13">
        <f t="shared" si="246"/>
        <v>263</v>
      </c>
      <c r="I3390" s="12">
        <f t="shared" si="247"/>
        <v>262</v>
      </c>
      <c r="J3390" s="3" t="str">
        <f t="shared" si="245"/>
        <v>4560813</v>
      </c>
    </row>
    <row r="3391" spans="2:10" s="3" customFormat="1">
      <c r="B3391" s="3" t="s">
        <v>2129</v>
      </c>
      <c r="C3391" s="8">
        <v>6</v>
      </c>
      <c r="D3391" s="3" t="s">
        <v>2739</v>
      </c>
      <c r="E3391" s="11" t="s">
        <v>1051</v>
      </c>
      <c r="F3391" s="10">
        <v>2.5490000000000001E-3</v>
      </c>
      <c r="G3391" s="120">
        <f t="shared" si="248"/>
        <v>733</v>
      </c>
      <c r="H3391" s="120">
        <f t="shared" si="246"/>
        <v>367</v>
      </c>
      <c r="I3391" s="120">
        <f t="shared" si="247"/>
        <v>366</v>
      </c>
      <c r="J3391" s="3" t="str">
        <f t="shared" si="245"/>
        <v>4560816</v>
      </c>
    </row>
    <row r="3392" spans="2:10" s="3" customFormat="1">
      <c r="B3392" s="3" t="s">
        <v>2129</v>
      </c>
      <c r="C3392" s="8">
        <v>6</v>
      </c>
      <c r="D3392" s="3" t="s">
        <v>2738</v>
      </c>
      <c r="E3392" s="11" t="s">
        <v>1052</v>
      </c>
      <c r="F3392" s="10">
        <v>2.8699999999999998E-4</v>
      </c>
      <c r="G3392" s="12">
        <f t="shared" si="248"/>
        <v>83</v>
      </c>
      <c r="H3392" s="13">
        <f t="shared" si="246"/>
        <v>42</v>
      </c>
      <c r="I3392" s="12">
        <f t="shared" si="247"/>
        <v>41</v>
      </c>
      <c r="J3392" s="3" t="str">
        <f t="shared" si="245"/>
        <v>4560814</v>
      </c>
    </row>
    <row r="3393" spans="1:11" s="128" customFormat="1">
      <c r="A3393" s="128" t="s">
        <v>6268</v>
      </c>
      <c r="B3393" s="128" t="s">
        <v>2129</v>
      </c>
      <c r="C3393" s="129">
        <v>6</v>
      </c>
      <c r="D3393" s="130" t="s">
        <v>2890</v>
      </c>
      <c r="E3393" s="131" t="s">
        <v>1053</v>
      </c>
      <c r="F3393" s="133">
        <v>9.7179999999999992E-3</v>
      </c>
      <c r="G3393" s="137">
        <f t="shared" si="248"/>
        <v>2796</v>
      </c>
      <c r="H3393" s="137">
        <f t="shared" si="246"/>
        <v>1398</v>
      </c>
      <c r="I3393" s="137">
        <f t="shared" si="247"/>
        <v>1398</v>
      </c>
      <c r="J3393" s="128" t="str">
        <f t="shared" si="245"/>
        <v>4560809</v>
      </c>
      <c r="K3393" s="128" t="s">
        <v>6372</v>
      </c>
    </row>
    <row r="3394" spans="1:11" s="3" customFormat="1">
      <c r="B3394" s="3" t="s">
        <v>2129</v>
      </c>
      <c r="C3394" s="8">
        <v>6</v>
      </c>
      <c r="D3394" s="3" t="s">
        <v>2285</v>
      </c>
      <c r="E3394" s="11" t="s">
        <v>1054</v>
      </c>
      <c r="F3394" s="10">
        <v>9.5200000000000005E-4</v>
      </c>
      <c r="G3394" s="12">
        <f t="shared" si="248"/>
        <v>274</v>
      </c>
      <c r="H3394" s="13">
        <f t="shared" si="246"/>
        <v>137</v>
      </c>
      <c r="I3394" s="12">
        <f t="shared" si="247"/>
        <v>137</v>
      </c>
      <c r="J3394" s="3" t="str">
        <f t="shared" si="245"/>
        <v>4560815</v>
      </c>
    </row>
    <row r="3395" spans="1:11" s="3" customFormat="1">
      <c r="B3395" s="3" t="s">
        <v>2129</v>
      </c>
      <c r="C3395" s="8">
        <v>6</v>
      </c>
      <c r="D3395" s="3" t="s">
        <v>2735</v>
      </c>
      <c r="E3395" s="11" t="s">
        <v>1055</v>
      </c>
      <c r="F3395" s="10">
        <v>1.3146E-2</v>
      </c>
      <c r="G3395" s="12">
        <f t="shared" si="248"/>
        <v>3782</v>
      </c>
      <c r="H3395" s="13">
        <f t="shared" si="246"/>
        <v>1891</v>
      </c>
      <c r="I3395" s="12">
        <f t="shared" si="247"/>
        <v>1891</v>
      </c>
      <c r="J3395" s="3" t="str">
        <f t="shared" si="245"/>
        <v>4560810</v>
      </c>
    </row>
    <row r="3396" spans="1:11" s="3" customFormat="1">
      <c r="B3396" s="3" t="s">
        <v>2129</v>
      </c>
      <c r="C3396" s="8">
        <v>6</v>
      </c>
      <c r="D3396" s="3" t="s">
        <v>2692</v>
      </c>
      <c r="E3396" s="11" t="s">
        <v>1056</v>
      </c>
      <c r="F3396" s="10">
        <v>1.0809999999999999E-3</v>
      </c>
      <c r="G3396" s="12">
        <f t="shared" si="248"/>
        <v>311</v>
      </c>
      <c r="H3396" s="13">
        <f t="shared" si="246"/>
        <v>156</v>
      </c>
      <c r="I3396" s="12">
        <f t="shared" si="247"/>
        <v>155</v>
      </c>
      <c r="J3396" s="3" t="str">
        <f t="shared" ref="J3396:J3459" si="249">B3396&amp;C3396&amp;D3396</f>
        <v>4560811</v>
      </c>
    </row>
    <row r="3397" spans="1:11" s="3" customFormat="1">
      <c r="B3397" s="3" t="s">
        <v>2129</v>
      </c>
      <c r="C3397" s="8">
        <v>6</v>
      </c>
      <c r="D3397" s="3" t="s">
        <v>2740</v>
      </c>
      <c r="E3397" s="11" t="s">
        <v>1057</v>
      </c>
      <c r="F3397" s="10">
        <v>3.1700000000000001E-4</v>
      </c>
      <c r="G3397" s="12">
        <f t="shared" si="248"/>
        <v>91</v>
      </c>
      <c r="H3397" s="13">
        <f t="shared" si="246"/>
        <v>46</v>
      </c>
      <c r="I3397" s="12">
        <f t="shared" si="247"/>
        <v>45</v>
      </c>
      <c r="J3397" s="3" t="str">
        <f t="shared" si="249"/>
        <v>4560901</v>
      </c>
    </row>
    <row r="3398" spans="1:11" s="3" customFormat="1">
      <c r="B3398" s="3" t="s">
        <v>2129</v>
      </c>
      <c r="C3398" s="8">
        <v>6</v>
      </c>
      <c r="D3398" s="116" t="s">
        <v>4760</v>
      </c>
      <c r="E3398" s="11" t="s">
        <v>1058</v>
      </c>
      <c r="F3398" s="10">
        <v>5.2729999999999999E-3</v>
      </c>
      <c r="G3398" s="120">
        <f t="shared" si="248"/>
        <v>1517</v>
      </c>
      <c r="H3398" s="120">
        <f t="shared" si="246"/>
        <v>759</v>
      </c>
      <c r="I3398" s="120">
        <f t="shared" si="247"/>
        <v>758</v>
      </c>
      <c r="J3398" s="3" t="str">
        <f t="shared" si="249"/>
        <v>4561058</v>
      </c>
    </row>
    <row r="3399" spans="1:11" s="3" customFormat="1">
      <c r="B3399" s="3" t="s">
        <v>2129</v>
      </c>
      <c r="C3399" s="8">
        <v>6</v>
      </c>
      <c r="D3399" s="3" t="s">
        <v>4755</v>
      </c>
      <c r="E3399" s="11" t="s">
        <v>1059</v>
      </c>
      <c r="F3399" s="10">
        <v>1.622E-3</v>
      </c>
      <c r="G3399" s="120">
        <f t="shared" si="248"/>
        <v>467</v>
      </c>
      <c r="H3399" s="120">
        <f t="shared" si="246"/>
        <v>234</v>
      </c>
      <c r="I3399" s="120">
        <f t="shared" si="247"/>
        <v>233</v>
      </c>
      <c r="J3399" s="3" t="str">
        <f t="shared" si="249"/>
        <v>4560961</v>
      </c>
    </row>
    <row r="3400" spans="1:11" s="128" customFormat="1">
      <c r="B3400" s="128" t="s">
        <v>2129</v>
      </c>
      <c r="C3400" s="129">
        <v>6</v>
      </c>
      <c r="D3400" s="128" t="e">
        <v>#N/A</v>
      </c>
      <c r="E3400" s="131" t="s">
        <v>1060</v>
      </c>
      <c r="F3400" s="133">
        <v>1.16E-4</v>
      </c>
      <c r="G3400" s="137">
        <f t="shared" si="248"/>
        <v>33</v>
      </c>
      <c r="H3400" s="137">
        <f t="shared" si="246"/>
        <v>17</v>
      </c>
      <c r="I3400" s="137">
        <f t="shared" si="247"/>
        <v>16</v>
      </c>
      <c r="J3400" s="128" t="e">
        <f t="shared" si="249"/>
        <v>#N/A</v>
      </c>
    </row>
    <row r="3401" spans="1:11" s="3" customFormat="1">
      <c r="B3401" s="3" t="s">
        <v>2129</v>
      </c>
      <c r="C3401" s="8">
        <v>6</v>
      </c>
      <c r="D3401" s="3" t="s">
        <v>2741</v>
      </c>
      <c r="E3401" s="11" t="s">
        <v>1061</v>
      </c>
      <c r="F3401" s="10">
        <v>2.4399999999999999E-4</v>
      </c>
      <c r="G3401" s="12">
        <f t="shared" si="248"/>
        <v>70</v>
      </c>
      <c r="H3401" s="13">
        <f t="shared" si="246"/>
        <v>35</v>
      </c>
      <c r="I3401" s="12">
        <f t="shared" si="247"/>
        <v>35</v>
      </c>
      <c r="J3401" s="3" t="str">
        <f t="shared" si="249"/>
        <v>4560959</v>
      </c>
    </row>
    <row r="3402" spans="1:11" s="3" customFormat="1">
      <c r="B3402" s="3" t="s">
        <v>2129</v>
      </c>
      <c r="C3402" s="8">
        <v>6</v>
      </c>
      <c r="D3402" s="3" t="s">
        <v>2742</v>
      </c>
      <c r="E3402" s="11" t="s">
        <v>1062</v>
      </c>
      <c r="F3402" s="10">
        <v>1.16E-4</v>
      </c>
      <c r="G3402" s="12">
        <f t="shared" si="248"/>
        <v>33</v>
      </c>
      <c r="H3402" s="13">
        <f t="shared" si="246"/>
        <v>17</v>
      </c>
      <c r="I3402" s="12">
        <f t="shared" si="247"/>
        <v>16</v>
      </c>
      <c r="J3402" s="3" t="str">
        <f t="shared" si="249"/>
        <v>4560995</v>
      </c>
    </row>
    <row r="3403" spans="1:11" s="3" customFormat="1">
      <c r="B3403" s="3" t="s">
        <v>2129</v>
      </c>
      <c r="C3403" s="8">
        <v>6</v>
      </c>
      <c r="D3403" s="3" t="s">
        <v>4758</v>
      </c>
      <c r="E3403" s="11" t="s">
        <v>1063</v>
      </c>
      <c r="F3403" s="10">
        <v>5.0500000000000002E-4</v>
      </c>
      <c r="G3403" s="120">
        <f t="shared" si="248"/>
        <v>145</v>
      </c>
      <c r="H3403" s="120">
        <f t="shared" si="246"/>
        <v>73</v>
      </c>
      <c r="I3403" s="120">
        <f t="shared" si="247"/>
        <v>72</v>
      </c>
      <c r="J3403" s="3" t="str">
        <f t="shared" si="249"/>
        <v>4561002</v>
      </c>
    </row>
    <row r="3404" spans="1:11" s="3" customFormat="1">
      <c r="B3404" s="3" t="s">
        <v>2129</v>
      </c>
      <c r="C3404" s="8">
        <v>6</v>
      </c>
      <c r="D3404" s="3" t="s">
        <v>2736</v>
      </c>
      <c r="E3404" s="11" t="s">
        <v>1064</v>
      </c>
      <c r="F3404" s="10">
        <v>2.6459999999994821E-3</v>
      </c>
      <c r="G3404" s="12">
        <f>+G3258-SUM(G3259:G3260)-SUM(G3265:G3316)-G3320-G3324-G3328-G3332-G3336-G3340-G3344-G3348-G3352-G3356-G3360-G3364-G3368-G3372-G3376-SUM(G3380:G3403)</f>
        <v>5135817</v>
      </c>
      <c r="H3404" s="13">
        <f t="shared" si="246"/>
        <v>2567909</v>
      </c>
      <c r="I3404" s="12">
        <f t="shared" si="247"/>
        <v>2567908</v>
      </c>
      <c r="J3404" s="3" t="str">
        <f t="shared" si="249"/>
        <v>4560812</v>
      </c>
    </row>
    <row r="3405" spans="1:11" s="3" customFormat="1">
      <c r="B3405" s="3" t="s">
        <v>2129</v>
      </c>
      <c r="C3405" s="8">
        <v>0</v>
      </c>
      <c r="D3405" s="125" t="s">
        <v>2187</v>
      </c>
      <c r="E3405" s="28" t="s">
        <v>288</v>
      </c>
      <c r="F3405" s="10">
        <v>1</v>
      </c>
      <c r="G3405" s="12">
        <f>+G3259+SUM(G3262:G3315)+SUM(G3318:G3319)+SUM(G3322:G3323)+SUM(G3326:G3327)+SUM(G3330:G3331)+SUM(G3334:G3335)+SUM(G3338:G3339)+SUM(G3342:G3343)+SUM(G3346:G3347)+SUM(G3350:G3351)+SUM(G3354:G3355)+SUM(G3358:G3359)+SUM(G3362:G3363)+SUM(G3366:G3367)+SUM(G3370:G3371)+SUM(G3374:G3375)+SUM(G3378:G3404)</f>
        <v>5422774</v>
      </c>
      <c r="H3405" s="12">
        <f>+H3259+SUM(H3262:H3315)+SUM(H3318:H3319)+SUM(H3322:H3323)+SUM(H3326:H3327)+SUM(H3330:H3331)+SUM(H3334:H3335)+SUM(H3338:H3339)+SUM(H3342:H3343)+SUM(H3346:H3347)+SUM(H3350:H3351)+SUM(H3354:H3355)+SUM(H3358:H3359)+SUM(H3362:H3363)+SUM(H3366:H3367)+SUM(H3370:H3371)+SUM(H3374:H3375)+SUM(H3378:H3404)</f>
        <v>2711413</v>
      </c>
      <c r="I3405" s="12">
        <f>+I3259+SUM(I3262:I3315)+SUM(I3318:I3319)+SUM(I3322:I3323)+SUM(I3326:I3327)+SUM(I3330:I3331)+SUM(I3334:I3335)+SUM(I3338:I3339)+SUM(I3342:I3343)+SUM(I3346:I3347)+SUM(I3350:I3351)+SUM(I3354:I3355)+SUM(I3358:I3359)+SUM(I3362:I3363)+SUM(I3366:I3367)+SUM(I3370:I3371)+SUM(I3374:I3375)+SUM(I3378:I3404)</f>
        <v>2711361</v>
      </c>
      <c r="J3405" s="3" t="str">
        <f t="shared" si="249"/>
        <v>4500000</v>
      </c>
    </row>
    <row r="3406" spans="1:11" s="3" customFormat="1">
      <c r="B3406" s="3" t="s">
        <v>2129</v>
      </c>
      <c r="C3406" s="8">
        <v>0</v>
      </c>
      <c r="D3406" s="3" t="s">
        <v>2187</v>
      </c>
      <c r="E3406" s="18" t="s">
        <v>38</v>
      </c>
      <c r="G3406" s="19">
        <f>+G3259</f>
        <v>135</v>
      </c>
      <c r="H3406" s="19">
        <f>+H3259</f>
        <v>68</v>
      </c>
      <c r="I3406" s="19">
        <f>+I3259</f>
        <v>67</v>
      </c>
      <c r="J3406" s="3" t="str">
        <f t="shared" si="249"/>
        <v>4500000</v>
      </c>
    </row>
    <row r="3407" spans="1:11" s="3" customFormat="1">
      <c r="B3407" s="3" t="s">
        <v>2129</v>
      </c>
      <c r="C3407" s="8">
        <v>0</v>
      </c>
      <c r="D3407" s="3" t="s">
        <v>2187</v>
      </c>
      <c r="E3407" s="2" t="s">
        <v>39</v>
      </c>
      <c r="G3407" s="19">
        <f>+G3262</f>
        <v>28985</v>
      </c>
      <c r="H3407" s="19">
        <f>+H3262</f>
        <v>14493</v>
      </c>
      <c r="I3407" s="19">
        <f>+I3262</f>
        <v>14492</v>
      </c>
      <c r="J3407" s="3" t="str">
        <f t="shared" si="249"/>
        <v>4500000</v>
      </c>
    </row>
    <row r="3408" spans="1:11" s="3" customFormat="1">
      <c r="B3408" s="3" t="s">
        <v>2129</v>
      </c>
      <c r="C3408" s="8">
        <v>0</v>
      </c>
      <c r="D3408" s="3" t="s">
        <v>2187</v>
      </c>
      <c r="E3408" s="2" t="s">
        <v>40</v>
      </c>
      <c r="G3408" s="19">
        <f>+G3318+G3322+G3326+G3330+G3334+G3338+G3342+G3346+G3350+G3354+G3358+G3362+G3366+G3370+G3374+G3378</f>
        <v>43198</v>
      </c>
      <c r="H3408" s="19">
        <f>+H3318+H3322+H3326+H3330+H3334+H3338+H3342+H3346+H3350+H3354+H3358+H3362+H3366+H3370+H3374+H3378</f>
        <v>21603</v>
      </c>
      <c r="I3408" s="19">
        <f>+I3318+I3322+I3326+I3330+I3334+I3338+I3342+I3346+I3350+I3354+I3358+I3362+I3366+I3370+I3374+I3378</f>
        <v>21595</v>
      </c>
      <c r="J3408" s="3" t="str">
        <f t="shared" si="249"/>
        <v>4500000</v>
      </c>
    </row>
    <row r="3409" spans="2:10" s="3" customFormat="1">
      <c r="B3409" s="3" t="s">
        <v>2129</v>
      </c>
      <c r="C3409" s="8">
        <v>0</v>
      </c>
      <c r="D3409" s="125" t="s">
        <v>2187</v>
      </c>
      <c r="E3409" s="18" t="s">
        <v>41</v>
      </c>
      <c r="G3409" s="19">
        <f>+G3405-G3406-G3407-G3408</f>
        <v>5350456</v>
      </c>
      <c r="H3409" s="19">
        <f>+H3405-H3406-H3407-H3408</f>
        <v>2675249</v>
      </c>
      <c r="I3409" s="19">
        <f>+I3405-I3406-I3407-I3408</f>
        <v>2675207</v>
      </c>
      <c r="J3409" s="3" t="str">
        <f t="shared" si="249"/>
        <v>4500000</v>
      </c>
    </row>
    <row r="3410" spans="2:10" ht="15.75">
      <c r="B3410" s="3" t="s">
        <v>2186</v>
      </c>
      <c r="D3410" t="s">
        <v>2186</v>
      </c>
      <c r="E3410">
        <v>0</v>
      </c>
      <c r="G3410"/>
      <c r="H3410"/>
      <c r="I3410"/>
      <c r="J3410" s="3" t="str">
        <f t="shared" si="249"/>
        <v/>
      </c>
    </row>
    <row r="3411" spans="2:10" s="3" customFormat="1">
      <c r="C3411" s="1"/>
      <c r="D3411" s="3" t="s">
        <v>2186</v>
      </c>
      <c r="E3411" s="2" t="s">
        <v>1065</v>
      </c>
      <c r="J3411" s="3" t="str">
        <f t="shared" si="249"/>
        <v/>
      </c>
    </row>
    <row r="3412" spans="2:10" s="3" customFormat="1" ht="45">
      <c r="B3412" s="3" t="s">
        <v>2186</v>
      </c>
      <c r="C3412" s="1"/>
      <c r="D3412" s="3" t="s">
        <v>2186</v>
      </c>
      <c r="E3412" s="1">
        <v>0</v>
      </c>
      <c r="F3412" s="6" t="s">
        <v>1</v>
      </c>
      <c r="G3412" s="60">
        <f>'Allocation Worksheet'!H3412</f>
        <v>0</v>
      </c>
      <c r="H3412" s="60">
        <f>'Allocation Worksheet'!H3413</f>
        <v>0</v>
      </c>
      <c r="I3412" s="60">
        <f>'Allocation Worksheet'!H3414</f>
        <v>0</v>
      </c>
      <c r="J3412" s="3" t="str">
        <f t="shared" si="249"/>
        <v/>
      </c>
    </row>
    <row r="3413" spans="2:10" s="3" customFormat="1">
      <c r="C3413" s="7" t="s">
        <v>2087</v>
      </c>
      <c r="D3413" s="3" t="s">
        <v>2186</v>
      </c>
      <c r="E3413" s="7" t="s">
        <v>3</v>
      </c>
      <c r="F3413" s="10"/>
      <c r="G3413" s="9">
        <f>'Allocation Worksheet'!$D$49</f>
        <v>1347834</v>
      </c>
      <c r="H3413" s="11"/>
      <c r="I3413" s="11"/>
      <c r="J3413" s="3" t="str">
        <f t="shared" si="249"/>
        <v>UT</v>
      </c>
    </row>
    <row r="3414" spans="2:10" s="3" customFormat="1">
      <c r="B3414" s="3" t="s">
        <v>2130</v>
      </c>
      <c r="C3414" s="8">
        <v>0</v>
      </c>
      <c r="D3414" s="3" t="s">
        <v>2187</v>
      </c>
      <c r="E3414" s="11" t="s">
        <v>4</v>
      </c>
      <c r="F3414" s="10">
        <v>9.4200000000000002E-4</v>
      </c>
      <c r="G3414" s="12">
        <f>ROUND(G$3*F3414,0)</f>
        <v>271</v>
      </c>
      <c r="H3414" s="13">
        <f>ROUND(G3414/2,0)</f>
        <v>136</v>
      </c>
      <c r="I3414" s="12">
        <f>G3414-H3414</f>
        <v>135</v>
      </c>
      <c r="J3414" s="3" t="str">
        <f t="shared" si="249"/>
        <v>4600000</v>
      </c>
    </row>
    <row r="3415" spans="2:10" s="3" customFormat="1">
      <c r="B3415" s="3" t="s">
        <v>2130</v>
      </c>
      <c r="C3415" s="8">
        <v>1</v>
      </c>
      <c r="D3415" s="3" t="s">
        <v>2187</v>
      </c>
      <c r="E3415" s="11" t="s">
        <v>1066</v>
      </c>
      <c r="F3415" s="10">
        <v>0.23323199999999999</v>
      </c>
      <c r="G3415" s="9">
        <f>ROUND(G$3*F3415,0)</f>
        <v>67106</v>
      </c>
      <c r="H3415" s="11">
        <f>ROUND(G3415/2,0)</f>
        <v>33553</v>
      </c>
      <c r="I3415" s="9">
        <f>G3415-H3415</f>
        <v>33553</v>
      </c>
      <c r="J3415" s="3" t="str">
        <f t="shared" si="249"/>
        <v>4610000</v>
      </c>
    </row>
    <row r="3416" spans="2:10" s="3" customFormat="1">
      <c r="B3416" s="3" t="s">
        <v>2130</v>
      </c>
      <c r="C3416" s="8">
        <v>1</v>
      </c>
      <c r="D3416" s="3" t="s">
        <v>2187</v>
      </c>
      <c r="E3416" s="11" t="s">
        <v>6</v>
      </c>
      <c r="F3416" s="11"/>
      <c r="G3416" s="14">
        <v>0.24724699999999999</v>
      </c>
      <c r="H3416" s="11"/>
      <c r="I3416" s="11"/>
      <c r="J3416" s="3" t="str">
        <f t="shared" si="249"/>
        <v>4610000</v>
      </c>
    </row>
    <row r="3417" spans="2:10" s="3" customFormat="1">
      <c r="B3417" s="3" t="s">
        <v>2130</v>
      </c>
      <c r="C3417" s="8">
        <v>1</v>
      </c>
      <c r="D3417" s="3" t="s">
        <v>2187</v>
      </c>
      <c r="E3417" s="11" t="s">
        <v>7</v>
      </c>
      <c r="F3417" s="11"/>
      <c r="G3417" s="15">
        <f>ROUND(G3415*G3416,0)</f>
        <v>16592</v>
      </c>
      <c r="H3417" s="16">
        <f>ROUND(G3417/2,0)</f>
        <v>8296</v>
      </c>
      <c r="I3417" s="15">
        <f>G3417-H3417</f>
        <v>8296</v>
      </c>
      <c r="J3417" s="3" t="str">
        <f t="shared" si="249"/>
        <v>4610000</v>
      </c>
    </row>
    <row r="3418" spans="2:10" s="3" customFormat="1">
      <c r="B3418" s="3" t="s">
        <v>2130</v>
      </c>
      <c r="C3418" s="8">
        <v>1</v>
      </c>
      <c r="D3418" s="3" t="s">
        <v>2187</v>
      </c>
      <c r="E3418" s="11" t="s">
        <v>8</v>
      </c>
      <c r="F3418" s="11"/>
      <c r="G3418" s="12">
        <f>+G3415-G3417</f>
        <v>50514</v>
      </c>
      <c r="H3418" s="13">
        <f>ROUND(G3418/2,0)</f>
        <v>25257</v>
      </c>
      <c r="I3418" s="12">
        <f>G3418-H3418</f>
        <v>25257</v>
      </c>
      <c r="J3418" s="3" t="str">
        <f t="shared" si="249"/>
        <v>4610000</v>
      </c>
    </row>
    <row r="3419" spans="2:10" s="3" customFormat="1">
      <c r="B3419" s="3" t="s">
        <v>2130</v>
      </c>
      <c r="C3419" s="8">
        <v>2</v>
      </c>
      <c r="D3419" s="3" t="s">
        <v>2188</v>
      </c>
      <c r="E3419" s="11" t="s">
        <v>249</v>
      </c>
      <c r="F3419" s="11"/>
      <c r="G3419" s="9"/>
      <c r="H3419" s="11"/>
      <c r="I3419" s="11"/>
      <c r="J3419" s="3" t="str">
        <f t="shared" si="249"/>
        <v>4620001</v>
      </c>
    </row>
    <row r="3420" spans="2:10" s="3" customFormat="1">
      <c r="B3420" s="3" t="s">
        <v>2130</v>
      </c>
      <c r="C3420" s="8">
        <v>2</v>
      </c>
      <c r="D3420" s="3" t="s">
        <v>2188</v>
      </c>
      <c r="E3420" s="11" t="s">
        <v>10</v>
      </c>
      <c r="F3420" s="10">
        <v>9.8400000000000007E-4</v>
      </c>
      <c r="G3420" s="12">
        <f>ROUND(G$3*F3420,0)</f>
        <v>283</v>
      </c>
      <c r="H3420" s="13">
        <f>ROUND(G3420/2,0)</f>
        <v>142</v>
      </c>
      <c r="I3420" s="12">
        <f>G3420-H3420</f>
        <v>141</v>
      </c>
      <c r="J3420" s="3" t="str">
        <f t="shared" si="249"/>
        <v>4620001</v>
      </c>
    </row>
    <row r="3421" spans="2:10" s="3" customFormat="1">
      <c r="B3421" s="3" t="s">
        <v>2130</v>
      </c>
      <c r="C3421" s="8">
        <v>2</v>
      </c>
      <c r="D3421" s="3" t="s">
        <v>2188</v>
      </c>
      <c r="E3421" s="11" t="s">
        <v>11</v>
      </c>
      <c r="F3421" s="10">
        <v>4.4900000000000002E-4</v>
      </c>
      <c r="G3421" s="12">
        <f>ROUND(G$3*F3421,0)</f>
        <v>129</v>
      </c>
      <c r="H3421" s="13">
        <f>ROUND(G3421/2,0)</f>
        <v>65</v>
      </c>
      <c r="I3421" s="12">
        <f>G3421-H3421</f>
        <v>64</v>
      </c>
      <c r="J3421" s="3" t="str">
        <f t="shared" si="249"/>
        <v>4620001</v>
      </c>
    </row>
    <row r="3422" spans="2:10" s="3" customFormat="1">
      <c r="B3422" s="3" t="s">
        <v>2130</v>
      </c>
      <c r="C3422" s="8">
        <v>2</v>
      </c>
      <c r="D3422" s="3" t="s">
        <v>2189</v>
      </c>
      <c r="E3422" s="11" t="s">
        <v>107</v>
      </c>
      <c r="F3422" s="11"/>
      <c r="G3422" s="9"/>
      <c r="H3422" s="11"/>
      <c r="I3422" s="11"/>
      <c r="J3422" s="3" t="str">
        <f t="shared" si="249"/>
        <v>4620002</v>
      </c>
    </row>
    <row r="3423" spans="2:10" s="3" customFormat="1">
      <c r="B3423" s="3" t="s">
        <v>2130</v>
      </c>
      <c r="C3423" s="8">
        <v>2</v>
      </c>
      <c r="D3423" s="3" t="s">
        <v>2189</v>
      </c>
      <c r="E3423" s="11" t="s">
        <v>10</v>
      </c>
      <c r="F3423" s="10">
        <v>1.2930000000000001E-3</v>
      </c>
      <c r="G3423" s="12">
        <f>ROUND(G$3*F3423,0)</f>
        <v>372</v>
      </c>
      <c r="H3423" s="13">
        <f>ROUND(G3423/2,0)</f>
        <v>186</v>
      </c>
      <c r="I3423" s="12">
        <f>G3423-H3423</f>
        <v>186</v>
      </c>
      <c r="J3423" s="3" t="str">
        <f t="shared" si="249"/>
        <v>4620002</v>
      </c>
    </row>
    <row r="3424" spans="2:10" s="3" customFormat="1">
      <c r="B3424" s="3" t="s">
        <v>2130</v>
      </c>
      <c r="C3424" s="8">
        <v>2</v>
      </c>
      <c r="D3424" s="3" t="s">
        <v>2189</v>
      </c>
      <c r="E3424" s="11" t="s">
        <v>11</v>
      </c>
      <c r="F3424" s="10">
        <v>4.9200000000000003E-4</v>
      </c>
      <c r="G3424" s="12">
        <f>ROUND(G$3*F3424,0)</f>
        <v>142</v>
      </c>
      <c r="H3424" s="13">
        <f>ROUND(G3424/2,0)</f>
        <v>71</v>
      </c>
      <c r="I3424" s="12">
        <f>G3424-H3424</f>
        <v>71</v>
      </c>
      <c r="J3424" s="3" t="str">
        <f t="shared" si="249"/>
        <v>4620002</v>
      </c>
    </row>
    <row r="3425" spans="2:10" s="3" customFormat="1">
      <c r="B3425" s="3" t="s">
        <v>2130</v>
      </c>
      <c r="C3425" s="8">
        <v>2</v>
      </c>
      <c r="D3425" s="3" t="s">
        <v>2190</v>
      </c>
      <c r="E3425" s="11" t="s">
        <v>147</v>
      </c>
      <c r="F3425" s="11"/>
      <c r="G3425" s="9"/>
      <c r="H3425" s="11"/>
      <c r="I3425" s="11"/>
      <c r="J3425" s="3" t="str">
        <f t="shared" si="249"/>
        <v>4620003</v>
      </c>
    </row>
    <row r="3426" spans="2:10" s="3" customFormat="1">
      <c r="B3426" s="3" t="s">
        <v>2130</v>
      </c>
      <c r="C3426" s="8">
        <v>2</v>
      </c>
      <c r="D3426" s="3" t="s">
        <v>2190</v>
      </c>
      <c r="E3426" s="11" t="s">
        <v>10</v>
      </c>
      <c r="F3426" s="10">
        <v>1.5999999999999999E-5</v>
      </c>
      <c r="G3426" s="12">
        <f>ROUND(G$3*F3426,0)</f>
        <v>5</v>
      </c>
      <c r="H3426" s="13">
        <f>ROUND(G3426/2,0)</f>
        <v>3</v>
      </c>
      <c r="I3426" s="12">
        <f>G3426-H3426</f>
        <v>2</v>
      </c>
      <c r="J3426" s="3" t="str">
        <f t="shared" si="249"/>
        <v>4620003</v>
      </c>
    </row>
    <row r="3427" spans="2:10" s="3" customFormat="1">
      <c r="B3427" s="3" t="s">
        <v>2130</v>
      </c>
      <c r="C3427" s="8">
        <v>2</v>
      </c>
      <c r="D3427" s="3" t="s">
        <v>2190</v>
      </c>
      <c r="E3427" s="11" t="s">
        <v>11</v>
      </c>
      <c r="F3427" s="10">
        <v>6.0999999999999999E-5</v>
      </c>
      <c r="G3427" s="12">
        <f>ROUND(G$3*F3427,0)</f>
        <v>18</v>
      </c>
      <c r="H3427" s="13">
        <f>ROUND(G3427/2,0)</f>
        <v>9</v>
      </c>
      <c r="I3427" s="12">
        <f>G3427-H3427</f>
        <v>9</v>
      </c>
      <c r="J3427" s="3" t="str">
        <f t="shared" si="249"/>
        <v>4620003</v>
      </c>
    </row>
    <row r="3428" spans="2:10" s="3" customFormat="1">
      <c r="B3428" s="3" t="s">
        <v>2130</v>
      </c>
      <c r="C3428" s="8">
        <v>2</v>
      </c>
      <c r="D3428" s="3" t="s">
        <v>2191</v>
      </c>
      <c r="E3428" s="11" t="s">
        <v>1067</v>
      </c>
      <c r="F3428" s="11"/>
      <c r="G3428" s="9"/>
      <c r="H3428" s="11"/>
      <c r="I3428" s="11"/>
      <c r="J3428" s="3" t="str">
        <f t="shared" si="249"/>
        <v>4620004</v>
      </c>
    </row>
    <row r="3429" spans="2:10" s="3" customFormat="1">
      <c r="B3429" s="3" t="s">
        <v>2130</v>
      </c>
      <c r="C3429" s="8">
        <v>2</v>
      </c>
      <c r="D3429" s="3" t="s">
        <v>2191</v>
      </c>
      <c r="E3429" s="11" t="s">
        <v>10</v>
      </c>
      <c r="F3429" s="10">
        <v>8.52E-4</v>
      </c>
      <c r="G3429" s="12">
        <f>ROUND(G$3*F3429,0)</f>
        <v>245</v>
      </c>
      <c r="H3429" s="13">
        <f>ROUND(G3429/2,0)</f>
        <v>123</v>
      </c>
      <c r="I3429" s="12">
        <f>G3429-H3429</f>
        <v>122</v>
      </c>
      <c r="J3429" s="3" t="str">
        <f t="shared" si="249"/>
        <v>4620004</v>
      </c>
    </row>
    <row r="3430" spans="2:10" s="3" customFormat="1">
      <c r="B3430" s="3" t="s">
        <v>2130</v>
      </c>
      <c r="C3430" s="8">
        <v>2</v>
      </c>
      <c r="D3430" s="3" t="s">
        <v>2191</v>
      </c>
      <c r="E3430" s="11" t="s">
        <v>11</v>
      </c>
      <c r="F3430" s="10">
        <v>3.4900000000000003E-4</v>
      </c>
      <c r="G3430" s="12">
        <f>ROUND(G$3*F3430,0)</f>
        <v>100</v>
      </c>
      <c r="H3430" s="13">
        <f>ROUND(G3430/2,0)</f>
        <v>50</v>
      </c>
      <c r="I3430" s="12">
        <f>G3430-H3430</f>
        <v>50</v>
      </c>
      <c r="J3430" s="3" t="str">
        <f t="shared" si="249"/>
        <v>4620004</v>
      </c>
    </row>
    <row r="3431" spans="2:10" s="3" customFormat="1">
      <c r="B3431" s="3" t="s">
        <v>2130</v>
      </c>
      <c r="C3431" s="8">
        <v>2</v>
      </c>
      <c r="D3431" s="3" t="s">
        <v>2192</v>
      </c>
      <c r="E3431" s="11" t="s">
        <v>1068</v>
      </c>
      <c r="F3431" s="11"/>
      <c r="G3431" s="9"/>
      <c r="H3431" s="11"/>
      <c r="I3431" s="11"/>
      <c r="J3431" s="3" t="str">
        <f t="shared" si="249"/>
        <v>4620005</v>
      </c>
    </row>
    <row r="3432" spans="2:10" s="3" customFormat="1">
      <c r="B3432" s="3" t="s">
        <v>2130</v>
      </c>
      <c r="C3432" s="8">
        <v>2</v>
      </c>
      <c r="D3432" s="3" t="s">
        <v>2192</v>
      </c>
      <c r="E3432" s="11" t="s">
        <v>10</v>
      </c>
      <c r="F3432" s="10">
        <v>8.8199999999999997E-4</v>
      </c>
      <c r="G3432" s="12">
        <f>ROUND(G$3*F3432,0)</f>
        <v>254</v>
      </c>
      <c r="H3432" s="13">
        <f>ROUND(G3432/2,0)</f>
        <v>127</v>
      </c>
      <c r="I3432" s="12">
        <f>G3432-H3432</f>
        <v>127</v>
      </c>
      <c r="J3432" s="3" t="str">
        <f t="shared" si="249"/>
        <v>4620005</v>
      </c>
    </row>
    <row r="3433" spans="2:10" s="3" customFormat="1">
      <c r="B3433" s="3" t="s">
        <v>2130</v>
      </c>
      <c r="C3433" s="8">
        <v>2</v>
      </c>
      <c r="D3433" s="3" t="s">
        <v>2192</v>
      </c>
      <c r="E3433" s="11" t="s">
        <v>11</v>
      </c>
      <c r="F3433" s="10">
        <v>2.2499999999999999E-4</v>
      </c>
      <c r="G3433" s="12">
        <f>ROUND(G$3*F3433,0)</f>
        <v>65</v>
      </c>
      <c r="H3433" s="13">
        <f>ROUND(G3433/2,0)</f>
        <v>33</v>
      </c>
      <c r="I3433" s="12">
        <f>G3433-H3433</f>
        <v>32</v>
      </c>
      <c r="J3433" s="3" t="str">
        <f t="shared" si="249"/>
        <v>4620005</v>
      </c>
    </row>
    <row r="3434" spans="2:10" s="3" customFormat="1">
      <c r="B3434" s="3" t="s">
        <v>2130</v>
      </c>
      <c r="C3434" s="8">
        <v>2</v>
      </c>
      <c r="D3434" s="3" t="s">
        <v>2193</v>
      </c>
      <c r="E3434" s="11" t="s">
        <v>1069</v>
      </c>
      <c r="F3434" s="11"/>
      <c r="G3434" s="9"/>
      <c r="H3434" s="11"/>
      <c r="I3434" s="11"/>
      <c r="J3434" s="3" t="str">
        <f t="shared" si="249"/>
        <v>4620006</v>
      </c>
    </row>
    <row r="3435" spans="2:10" s="3" customFormat="1">
      <c r="B3435" s="3" t="s">
        <v>2130</v>
      </c>
      <c r="C3435" s="8">
        <v>2</v>
      </c>
      <c r="D3435" s="3" t="s">
        <v>2193</v>
      </c>
      <c r="E3435" s="11" t="s">
        <v>10</v>
      </c>
      <c r="F3435" s="10">
        <v>8.7000000000000001E-5</v>
      </c>
      <c r="G3435" s="12">
        <f>ROUND(G$3*F3435,0)</f>
        <v>25</v>
      </c>
      <c r="H3435" s="13">
        <f>ROUND(G3435/2,0)</f>
        <v>13</v>
      </c>
      <c r="I3435" s="12">
        <f>G3435-H3435</f>
        <v>12</v>
      </c>
      <c r="J3435" s="3" t="str">
        <f t="shared" si="249"/>
        <v>4620006</v>
      </c>
    </row>
    <row r="3436" spans="2:10" s="3" customFormat="1">
      <c r="B3436" s="3" t="s">
        <v>2130</v>
      </c>
      <c r="C3436" s="8">
        <v>2</v>
      </c>
      <c r="D3436" s="3" t="s">
        <v>2193</v>
      </c>
      <c r="E3436" s="11" t="s">
        <v>11</v>
      </c>
      <c r="F3436" s="10">
        <v>5.8999999999999998E-5</v>
      </c>
      <c r="G3436" s="12">
        <f>ROUND(G$3*F3436,0)</f>
        <v>17</v>
      </c>
      <c r="H3436" s="13">
        <f>ROUND(G3436/2,0)</f>
        <v>9</v>
      </c>
      <c r="I3436" s="12">
        <f>G3436-H3436</f>
        <v>8</v>
      </c>
      <c r="J3436" s="3" t="str">
        <f t="shared" si="249"/>
        <v>4620006</v>
      </c>
    </row>
    <row r="3437" spans="2:10" s="3" customFormat="1">
      <c r="B3437" s="3" t="s">
        <v>2130</v>
      </c>
      <c r="C3437" s="8">
        <v>2</v>
      </c>
      <c r="D3437" s="3" t="s">
        <v>2194</v>
      </c>
      <c r="E3437" s="11" t="s">
        <v>1070</v>
      </c>
      <c r="F3437" s="11"/>
      <c r="G3437" s="9"/>
      <c r="H3437" s="11"/>
      <c r="I3437" s="11"/>
      <c r="J3437" s="3" t="str">
        <f t="shared" si="249"/>
        <v>4620007</v>
      </c>
    </row>
    <row r="3438" spans="2:10" s="3" customFormat="1">
      <c r="B3438" s="3" t="s">
        <v>2130</v>
      </c>
      <c r="C3438" s="8">
        <v>2</v>
      </c>
      <c r="D3438" s="3" t="s">
        <v>2194</v>
      </c>
      <c r="E3438" s="11" t="s">
        <v>10</v>
      </c>
      <c r="F3438" s="10">
        <v>1.253E-3</v>
      </c>
      <c r="G3438" s="12">
        <f>ROUND(G$3*F3438,0)</f>
        <v>361</v>
      </c>
      <c r="H3438" s="13">
        <f>ROUND(G3438/2,0)</f>
        <v>181</v>
      </c>
      <c r="I3438" s="12">
        <f>G3438-H3438</f>
        <v>180</v>
      </c>
      <c r="J3438" s="3" t="str">
        <f t="shared" si="249"/>
        <v>4620007</v>
      </c>
    </row>
    <row r="3439" spans="2:10" s="3" customFormat="1">
      <c r="B3439" s="3" t="s">
        <v>2130</v>
      </c>
      <c r="C3439" s="8">
        <v>2</v>
      </c>
      <c r="D3439" s="3" t="s">
        <v>2194</v>
      </c>
      <c r="E3439" s="11" t="s">
        <v>11</v>
      </c>
      <c r="F3439" s="10">
        <v>1.005E-3</v>
      </c>
      <c r="G3439" s="12">
        <f>ROUND(G$3*F3439,0)</f>
        <v>289</v>
      </c>
      <c r="H3439" s="13">
        <f>ROUND(G3439/2,0)</f>
        <v>145</v>
      </c>
      <c r="I3439" s="12">
        <f>G3439-H3439</f>
        <v>144</v>
      </c>
      <c r="J3439" s="3" t="str">
        <f t="shared" si="249"/>
        <v>4620007</v>
      </c>
    </row>
    <row r="3440" spans="2:10" s="3" customFormat="1">
      <c r="B3440" s="3" t="s">
        <v>2130</v>
      </c>
      <c r="C3440" s="8">
        <v>2</v>
      </c>
      <c r="D3440" s="3" t="s">
        <v>2195</v>
      </c>
      <c r="E3440" s="11" t="s">
        <v>1071</v>
      </c>
      <c r="F3440" s="11"/>
      <c r="G3440" s="9"/>
      <c r="H3440" s="11"/>
      <c r="I3440" s="11"/>
      <c r="J3440" s="3" t="str">
        <f t="shared" si="249"/>
        <v>4620008</v>
      </c>
    </row>
    <row r="3441" spans="1:10" s="3" customFormat="1">
      <c r="B3441" s="3" t="s">
        <v>2130</v>
      </c>
      <c r="C3441" s="8">
        <v>2</v>
      </c>
      <c r="D3441" s="3" t="s">
        <v>2195</v>
      </c>
      <c r="E3441" s="11" t="s">
        <v>10</v>
      </c>
      <c r="F3441" s="10">
        <v>1.7E-5</v>
      </c>
      <c r="G3441" s="12">
        <f>ROUND(G$3*F3441,0)</f>
        <v>5</v>
      </c>
      <c r="H3441" s="13">
        <f>ROUND(G3441/2,0)</f>
        <v>3</v>
      </c>
      <c r="I3441" s="12">
        <f>G3441-H3441</f>
        <v>2</v>
      </c>
      <c r="J3441" s="3" t="str">
        <f t="shared" si="249"/>
        <v>4620008</v>
      </c>
    </row>
    <row r="3442" spans="1:10" s="3" customFormat="1">
      <c r="B3442" s="3" t="s">
        <v>2130</v>
      </c>
      <c r="C3442" s="8">
        <v>2</v>
      </c>
      <c r="D3442" s="3" t="s">
        <v>2195</v>
      </c>
      <c r="E3442" s="11" t="s">
        <v>11</v>
      </c>
      <c r="F3442" s="10">
        <v>1.5999999999999999E-5</v>
      </c>
      <c r="G3442" s="12">
        <f>ROUND(G$3*F3442,0)</f>
        <v>5</v>
      </c>
      <c r="H3442" s="13">
        <f>ROUND(G3442/2,0)</f>
        <v>3</v>
      </c>
      <c r="I3442" s="12">
        <f>G3442-H3442</f>
        <v>2</v>
      </c>
      <c r="J3442" s="3" t="str">
        <f t="shared" si="249"/>
        <v>4620008</v>
      </c>
    </row>
    <row r="3443" spans="1:10" s="3" customFormat="1">
      <c r="B3443" s="3" t="s">
        <v>2130</v>
      </c>
      <c r="C3443" s="8">
        <v>2</v>
      </c>
      <c r="D3443" s="3" t="s">
        <v>2196</v>
      </c>
      <c r="E3443" s="11" t="s">
        <v>268</v>
      </c>
      <c r="F3443" s="11"/>
      <c r="G3443" s="9"/>
      <c r="H3443" s="11"/>
      <c r="I3443" s="11"/>
      <c r="J3443" s="3" t="str">
        <f t="shared" si="249"/>
        <v>4620009</v>
      </c>
    </row>
    <row r="3444" spans="1:10" s="3" customFormat="1">
      <c r="B3444" s="3" t="s">
        <v>2130</v>
      </c>
      <c r="C3444" s="8">
        <v>2</v>
      </c>
      <c r="D3444" s="3" t="s">
        <v>2196</v>
      </c>
      <c r="E3444" s="11" t="s">
        <v>10</v>
      </c>
      <c r="F3444" s="10">
        <v>2.3E-5</v>
      </c>
      <c r="G3444" s="12">
        <f>ROUND(G$3*F3444,0)</f>
        <v>7</v>
      </c>
      <c r="H3444" s="13">
        <f>ROUND(G3444/2,0)</f>
        <v>4</v>
      </c>
      <c r="I3444" s="12">
        <f>G3444-H3444</f>
        <v>3</v>
      </c>
      <c r="J3444" s="3" t="str">
        <f t="shared" si="249"/>
        <v>4620009</v>
      </c>
    </row>
    <row r="3445" spans="1:10" s="3" customFormat="1">
      <c r="B3445" s="3" t="s">
        <v>2130</v>
      </c>
      <c r="C3445" s="8">
        <v>2</v>
      </c>
      <c r="D3445" s="3" t="s">
        <v>2196</v>
      </c>
      <c r="E3445" s="11" t="s">
        <v>11</v>
      </c>
      <c r="F3445" s="10">
        <v>2.3E-5</v>
      </c>
      <c r="G3445" s="12">
        <f>ROUND(G$3*F3445,0)</f>
        <v>7</v>
      </c>
      <c r="H3445" s="13">
        <f>ROUND(G3445/2,0)</f>
        <v>4</v>
      </c>
      <c r="I3445" s="12">
        <f>G3445-H3445</f>
        <v>3</v>
      </c>
      <c r="J3445" s="3" t="str">
        <f t="shared" si="249"/>
        <v>4620009</v>
      </c>
    </row>
    <row r="3446" spans="1:10" s="3" customFormat="1">
      <c r="B3446" s="3" t="s">
        <v>2130</v>
      </c>
      <c r="C3446" s="8">
        <v>2</v>
      </c>
      <c r="D3446" s="3" t="s">
        <v>2197</v>
      </c>
      <c r="E3446" s="11" t="s">
        <v>836</v>
      </c>
      <c r="F3446" s="11"/>
      <c r="G3446" s="9"/>
      <c r="H3446" s="11"/>
      <c r="I3446" s="11"/>
      <c r="J3446" s="3" t="str">
        <f t="shared" si="249"/>
        <v>4620010</v>
      </c>
    </row>
    <row r="3447" spans="1:10" s="3" customFormat="1">
      <c r="B3447" s="3" t="s">
        <v>2130</v>
      </c>
      <c r="C3447" s="8">
        <v>2</v>
      </c>
      <c r="D3447" s="3" t="s">
        <v>2197</v>
      </c>
      <c r="E3447" s="11" t="s">
        <v>10</v>
      </c>
      <c r="F3447" s="10">
        <v>1.1119999999999999E-3</v>
      </c>
      <c r="G3447" s="12">
        <f>ROUND(G$3*F3447,0)</f>
        <v>320</v>
      </c>
      <c r="H3447" s="13">
        <f>ROUND(G3447/2,0)</f>
        <v>160</v>
      </c>
      <c r="I3447" s="12">
        <f>G3447-H3447</f>
        <v>160</v>
      </c>
      <c r="J3447" s="3" t="str">
        <f t="shared" si="249"/>
        <v>4620010</v>
      </c>
    </row>
    <row r="3448" spans="1:10" s="3" customFormat="1">
      <c r="B3448" s="3" t="s">
        <v>2130</v>
      </c>
      <c r="C3448" s="8">
        <v>2</v>
      </c>
      <c r="D3448" s="3" t="s">
        <v>2197</v>
      </c>
      <c r="E3448" s="11" t="s">
        <v>11</v>
      </c>
      <c r="F3448" s="10">
        <v>8.8999999999999995E-4</v>
      </c>
      <c r="G3448" s="12">
        <f>ROUND(G$3*F3448,0)</f>
        <v>256</v>
      </c>
      <c r="H3448" s="13">
        <f>ROUND(G3448/2,0)</f>
        <v>128</v>
      </c>
      <c r="I3448" s="12">
        <f>G3448-H3448</f>
        <v>128</v>
      </c>
      <c r="J3448" s="3" t="str">
        <f t="shared" si="249"/>
        <v>4620010</v>
      </c>
    </row>
    <row r="3449" spans="1:10" s="3" customFormat="1">
      <c r="B3449" s="3" t="s">
        <v>2130</v>
      </c>
      <c r="C3449" s="8">
        <v>2</v>
      </c>
      <c r="D3449" s="3" t="s">
        <v>2198</v>
      </c>
      <c r="E3449" s="11" t="s">
        <v>714</v>
      </c>
      <c r="F3449" s="11"/>
      <c r="G3449" s="9"/>
      <c r="H3449" s="11"/>
      <c r="I3449" s="11"/>
      <c r="J3449" s="3" t="str">
        <f t="shared" si="249"/>
        <v>4620011</v>
      </c>
    </row>
    <row r="3450" spans="1:10" s="3" customFormat="1">
      <c r="B3450" s="3" t="s">
        <v>2130</v>
      </c>
      <c r="C3450" s="8">
        <v>2</v>
      </c>
      <c r="D3450" s="3" t="s">
        <v>2198</v>
      </c>
      <c r="E3450" s="11" t="s">
        <v>10</v>
      </c>
      <c r="F3450" s="10">
        <v>3.1100000000000002E-4</v>
      </c>
      <c r="G3450" s="12">
        <f>ROUND(G$3*F3450,0)</f>
        <v>89</v>
      </c>
      <c r="H3450" s="13">
        <f>ROUND(G3450/2,0)</f>
        <v>45</v>
      </c>
      <c r="I3450" s="12">
        <f>G3450-H3450</f>
        <v>44</v>
      </c>
      <c r="J3450" s="3" t="str">
        <f t="shared" si="249"/>
        <v>4620011</v>
      </c>
    </row>
    <row r="3451" spans="1:10" s="3" customFormat="1">
      <c r="B3451" s="3" t="s">
        <v>2130</v>
      </c>
      <c r="C3451" s="8">
        <v>2</v>
      </c>
      <c r="D3451" s="3" t="s">
        <v>2198</v>
      </c>
      <c r="E3451" s="11" t="s">
        <v>11</v>
      </c>
      <c r="F3451" s="10">
        <v>3.1100000000000002E-4</v>
      </c>
      <c r="G3451" s="12">
        <f>ROUND(G$3*F3451,0)</f>
        <v>89</v>
      </c>
      <c r="H3451" s="13">
        <f>ROUND(G3451/2,0)</f>
        <v>45</v>
      </c>
      <c r="I3451" s="12">
        <f>G3451-H3451</f>
        <v>44</v>
      </c>
      <c r="J3451" s="3" t="str">
        <f t="shared" si="249"/>
        <v>4620011</v>
      </c>
    </row>
    <row r="3452" spans="1:10" s="3" customFormat="1">
      <c r="B3452" s="3" t="s">
        <v>2130</v>
      </c>
      <c r="C3452" s="8">
        <v>2</v>
      </c>
      <c r="D3452" s="3" t="s">
        <v>2199</v>
      </c>
      <c r="E3452" s="11" t="s">
        <v>270</v>
      </c>
      <c r="F3452" s="11"/>
      <c r="G3452" s="9"/>
      <c r="H3452" s="11"/>
      <c r="I3452" s="11"/>
      <c r="J3452" s="3" t="str">
        <f t="shared" si="249"/>
        <v>4620012</v>
      </c>
    </row>
    <row r="3453" spans="1:10" s="3" customFormat="1">
      <c r="B3453" s="3" t="s">
        <v>2130</v>
      </c>
      <c r="C3453" s="8">
        <v>2</v>
      </c>
      <c r="D3453" s="3" t="s">
        <v>2199</v>
      </c>
      <c r="E3453" s="11" t="s">
        <v>10</v>
      </c>
      <c r="F3453" s="10">
        <v>7.2499999999999995E-4</v>
      </c>
      <c r="G3453" s="12">
        <f>ROUND(G$3*F3453,0)</f>
        <v>209</v>
      </c>
      <c r="H3453" s="13">
        <f>ROUND(G3453/2,0)</f>
        <v>105</v>
      </c>
      <c r="I3453" s="12">
        <f>G3453-H3453</f>
        <v>104</v>
      </c>
      <c r="J3453" s="3" t="str">
        <f t="shared" si="249"/>
        <v>4620012</v>
      </c>
    </row>
    <row r="3454" spans="1:10" s="3" customFormat="1">
      <c r="A3454" s="3" t="s">
        <v>6269</v>
      </c>
      <c r="B3454" s="3" t="s">
        <v>2130</v>
      </c>
      <c r="C3454" s="8">
        <v>2</v>
      </c>
      <c r="D3454" s="3" t="s">
        <v>2199</v>
      </c>
      <c r="E3454" s="11" t="s">
        <v>11</v>
      </c>
      <c r="F3454" s="10">
        <v>0</v>
      </c>
      <c r="G3454" s="12">
        <f>ROUND(G$3*F3454,0)</f>
        <v>0</v>
      </c>
      <c r="H3454" s="13">
        <f>ROUND(G3454/2,0)</f>
        <v>0</v>
      </c>
      <c r="I3454" s="12">
        <f>G3454-H3454</f>
        <v>0</v>
      </c>
      <c r="J3454" s="3" t="str">
        <f t="shared" si="249"/>
        <v>4620012</v>
      </c>
    </row>
    <row r="3455" spans="1:10" s="3" customFormat="1">
      <c r="B3455" s="3" t="s">
        <v>2130</v>
      </c>
      <c r="C3455" s="8">
        <v>2</v>
      </c>
      <c r="D3455" s="3" t="s">
        <v>2208</v>
      </c>
      <c r="E3455" s="11" t="s">
        <v>1072</v>
      </c>
      <c r="F3455" s="11"/>
      <c r="G3455" s="9"/>
      <c r="H3455" s="11"/>
      <c r="I3455" s="11"/>
      <c r="J3455" s="3" t="str">
        <f t="shared" si="249"/>
        <v>4620013</v>
      </c>
    </row>
    <row r="3456" spans="1:10" s="3" customFormat="1">
      <c r="B3456" s="3" t="s">
        <v>2130</v>
      </c>
      <c r="C3456" s="8">
        <v>2</v>
      </c>
      <c r="D3456" s="3" t="s">
        <v>2208</v>
      </c>
      <c r="E3456" s="11" t="s">
        <v>10</v>
      </c>
      <c r="F3456" s="10">
        <v>8.9700000000000001E-4</v>
      </c>
      <c r="G3456" s="12">
        <f>ROUND(G$3*F3456,0)</f>
        <v>258</v>
      </c>
      <c r="H3456" s="13">
        <f>ROUND(G3456/2,0)</f>
        <v>129</v>
      </c>
      <c r="I3456" s="12">
        <f>G3456-H3456</f>
        <v>129</v>
      </c>
      <c r="J3456" s="3" t="str">
        <f t="shared" si="249"/>
        <v>4620013</v>
      </c>
    </row>
    <row r="3457" spans="2:10" s="3" customFormat="1">
      <c r="B3457" s="3" t="s">
        <v>2130</v>
      </c>
      <c r="C3457" s="8">
        <v>2</v>
      </c>
      <c r="D3457" s="3" t="s">
        <v>2208</v>
      </c>
      <c r="E3457" s="11" t="s">
        <v>11</v>
      </c>
      <c r="F3457" s="10">
        <v>6.1300000000000005E-4</v>
      </c>
      <c r="G3457" s="12">
        <f>ROUND(G$3*F3457,0)</f>
        <v>176</v>
      </c>
      <c r="H3457" s="13">
        <f>ROUND(G3457/2,0)</f>
        <v>88</v>
      </c>
      <c r="I3457" s="12">
        <f>G3457-H3457</f>
        <v>88</v>
      </c>
      <c r="J3457" s="3" t="str">
        <f t="shared" si="249"/>
        <v>4620013</v>
      </c>
    </row>
    <row r="3458" spans="2:10" s="3" customFormat="1">
      <c r="B3458" s="3" t="s">
        <v>2130</v>
      </c>
      <c r="C3458" s="8">
        <v>2</v>
      </c>
      <c r="D3458" s="3" t="s">
        <v>2209</v>
      </c>
      <c r="E3458" s="11" t="s">
        <v>203</v>
      </c>
      <c r="F3458" s="11"/>
      <c r="G3458" s="9"/>
      <c r="H3458" s="11"/>
      <c r="I3458" s="11"/>
      <c r="J3458" s="3" t="str">
        <f t="shared" si="249"/>
        <v>4620014</v>
      </c>
    </row>
    <row r="3459" spans="2:10" s="3" customFormat="1">
      <c r="B3459" s="3" t="s">
        <v>2130</v>
      </c>
      <c r="C3459" s="8">
        <v>2</v>
      </c>
      <c r="D3459" s="3" t="s">
        <v>2209</v>
      </c>
      <c r="E3459" s="11" t="s">
        <v>10</v>
      </c>
      <c r="F3459" s="10">
        <v>9.9500000000000001E-4</v>
      </c>
      <c r="G3459" s="12">
        <f>ROUND(G$3*F3459,0)</f>
        <v>286</v>
      </c>
      <c r="H3459" s="13">
        <f>ROUND(G3459/2,0)</f>
        <v>143</v>
      </c>
      <c r="I3459" s="12">
        <f>G3459-H3459</f>
        <v>143</v>
      </c>
      <c r="J3459" s="3" t="str">
        <f t="shared" si="249"/>
        <v>4620014</v>
      </c>
    </row>
    <row r="3460" spans="2:10" s="3" customFormat="1">
      <c r="B3460" s="3" t="s">
        <v>2130</v>
      </c>
      <c r="C3460" s="8">
        <v>2</v>
      </c>
      <c r="D3460" s="3" t="s">
        <v>2209</v>
      </c>
      <c r="E3460" s="11" t="s">
        <v>11</v>
      </c>
      <c r="F3460" s="10">
        <v>6.4800000000000003E-4</v>
      </c>
      <c r="G3460" s="12">
        <f>ROUND(G$3*F3460,0)</f>
        <v>186</v>
      </c>
      <c r="H3460" s="13">
        <f>ROUND(G3460/2,0)</f>
        <v>93</v>
      </c>
      <c r="I3460" s="12">
        <f>G3460-H3460</f>
        <v>93</v>
      </c>
      <c r="J3460" s="3" t="str">
        <f t="shared" ref="J3460:J3523" si="250">B3460&amp;C3460&amp;D3460</f>
        <v>4620014</v>
      </c>
    </row>
    <row r="3461" spans="2:10" s="3" customFormat="1">
      <c r="B3461" s="3" t="s">
        <v>2130</v>
      </c>
      <c r="C3461" s="8">
        <v>2</v>
      </c>
      <c r="D3461" s="3" t="s">
        <v>2204</v>
      </c>
      <c r="E3461" s="11" t="s">
        <v>57</v>
      </c>
      <c r="F3461" s="11"/>
      <c r="G3461" s="9"/>
      <c r="H3461" s="11"/>
      <c r="I3461" s="11"/>
      <c r="J3461" s="3" t="str">
        <f t="shared" si="250"/>
        <v>4620015</v>
      </c>
    </row>
    <row r="3462" spans="2:10" s="3" customFormat="1">
      <c r="B3462" s="3" t="s">
        <v>2130</v>
      </c>
      <c r="C3462" s="8">
        <v>2</v>
      </c>
      <c r="D3462" s="3" t="s">
        <v>2204</v>
      </c>
      <c r="E3462" s="11" t="s">
        <v>10</v>
      </c>
      <c r="F3462" s="10">
        <v>9.1100000000000003E-4</v>
      </c>
      <c r="G3462" s="12">
        <f>ROUND(G$3*F3462,0)</f>
        <v>262</v>
      </c>
      <c r="H3462" s="13">
        <f>ROUND(G3462/2,0)</f>
        <v>131</v>
      </c>
      <c r="I3462" s="12">
        <f>G3462-H3462</f>
        <v>131</v>
      </c>
      <c r="J3462" s="3" t="str">
        <f t="shared" si="250"/>
        <v>4620015</v>
      </c>
    </row>
    <row r="3463" spans="2:10" s="3" customFormat="1">
      <c r="B3463" s="3" t="s">
        <v>2130</v>
      </c>
      <c r="C3463" s="8">
        <v>2</v>
      </c>
      <c r="D3463" s="3" t="s">
        <v>2204</v>
      </c>
      <c r="E3463" s="11" t="s">
        <v>11</v>
      </c>
      <c r="F3463" s="10">
        <v>1.4760000000000001E-3</v>
      </c>
      <c r="G3463" s="12">
        <f>ROUND(G$3*F3463,0)</f>
        <v>425</v>
      </c>
      <c r="H3463" s="13">
        <f>ROUND(G3463/2,0)</f>
        <v>213</v>
      </c>
      <c r="I3463" s="12">
        <f>G3463-H3463</f>
        <v>212</v>
      </c>
      <c r="J3463" s="3" t="str">
        <f t="shared" si="250"/>
        <v>4620015</v>
      </c>
    </row>
    <row r="3464" spans="2:10" s="3" customFormat="1">
      <c r="B3464" s="3" t="s">
        <v>2130</v>
      </c>
      <c r="C3464" s="8">
        <v>2</v>
      </c>
      <c r="D3464" s="3" t="s">
        <v>2210</v>
      </c>
      <c r="E3464" s="11" t="s">
        <v>744</v>
      </c>
      <c r="F3464" s="11"/>
      <c r="G3464" s="9"/>
      <c r="H3464" s="11"/>
      <c r="I3464" s="11"/>
      <c r="J3464" s="3" t="str">
        <f t="shared" si="250"/>
        <v>4620016</v>
      </c>
    </row>
    <row r="3465" spans="2:10" s="3" customFormat="1">
      <c r="B3465" s="3" t="s">
        <v>2130</v>
      </c>
      <c r="C3465" s="8">
        <v>2</v>
      </c>
      <c r="D3465" s="3" t="s">
        <v>2210</v>
      </c>
      <c r="E3465" s="11" t="s">
        <v>10</v>
      </c>
      <c r="F3465" s="10">
        <v>1.9100000000000001E-4</v>
      </c>
      <c r="G3465" s="12">
        <f>ROUND(G$3*F3465,0)</f>
        <v>55</v>
      </c>
      <c r="H3465" s="13">
        <f>ROUND(G3465/2,0)</f>
        <v>28</v>
      </c>
      <c r="I3465" s="12">
        <f>G3465-H3465</f>
        <v>27</v>
      </c>
      <c r="J3465" s="3" t="str">
        <f t="shared" si="250"/>
        <v>4620016</v>
      </c>
    </row>
    <row r="3466" spans="2:10" s="3" customFormat="1">
      <c r="B3466" s="3" t="s">
        <v>2130</v>
      </c>
      <c r="C3466" s="8">
        <v>2</v>
      </c>
      <c r="D3466" s="3" t="s">
        <v>2210</v>
      </c>
      <c r="E3466" s="11" t="s">
        <v>11</v>
      </c>
      <c r="F3466" s="10">
        <v>1.6899999999999999E-4</v>
      </c>
      <c r="G3466" s="12">
        <f>ROUND(G$3*F3466,0)</f>
        <v>49</v>
      </c>
      <c r="H3466" s="13">
        <f>ROUND(G3466/2,0)</f>
        <v>25</v>
      </c>
      <c r="I3466" s="12">
        <f>G3466-H3466</f>
        <v>24</v>
      </c>
      <c r="J3466" s="3" t="str">
        <f t="shared" si="250"/>
        <v>4620016</v>
      </c>
    </row>
    <row r="3467" spans="2:10" s="3" customFormat="1">
      <c r="B3467" s="3" t="s">
        <v>2130</v>
      </c>
      <c r="C3467" s="8">
        <v>2</v>
      </c>
      <c r="D3467" s="3" t="s">
        <v>2211</v>
      </c>
      <c r="E3467" s="11" t="s">
        <v>58</v>
      </c>
      <c r="F3467" s="11"/>
      <c r="G3467" s="9"/>
      <c r="H3467" s="11"/>
      <c r="I3467" s="11"/>
      <c r="J3467" s="3" t="str">
        <f t="shared" si="250"/>
        <v>4620017</v>
      </c>
    </row>
    <row r="3468" spans="2:10" s="3" customFormat="1">
      <c r="B3468" s="3" t="s">
        <v>2130</v>
      </c>
      <c r="C3468" s="8">
        <v>2</v>
      </c>
      <c r="D3468" s="3" t="s">
        <v>2211</v>
      </c>
      <c r="E3468" s="11" t="s">
        <v>10</v>
      </c>
      <c r="F3468" s="10">
        <v>8.7000000000000001E-5</v>
      </c>
      <c r="G3468" s="12">
        <f>ROUND(G$3*F3468,0)</f>
        <v>25</v>
      </c>
      <c r="H3468" s="13">
        <f>ROUND(G3468/2,0)</f>
        <v>13</v>
      </c>
      <c r="I3468" s="12">
        <f>G3468-H3468</f>
        <v>12</v>
      </c>
      <c r="J3468" s="3" t="str">
        <f t="shared" si="250"/>
        <v>4620017</v>
      </c>
    </row>
    <row r="3469" spans="2:10" s="3" customFormat="1">
      <c r="B3469" s="3" t="s">
        <v>2130</v>
      </c>
      <c r="C3469" s="8">
        <v>2</v>
      </c>
      <c r="D3469" s="3" t="s">
        <v>2211</v>
      </c>
      <c r="E3469" s="11" t="s">
        <v>11</v>
      </c>
      <c r="F3469" s="10">
        <v>1E-4</v>
      </c>
      <c r="G3469" s="12">
        <f>ROUND(G$3*F3469,0)</f>
        <v>29</v>
      </c>
      <c r="H3469" s="13">
        <f>ROUND(G3469/2,0)</f>
        <v>15</v>
      </c>
      <c r="I3469" s="12">
        <f>G3469-H3469</f>
        <v>14</v>
      </c>
      <c r="J3469" s="3" t="str">
        <f t="shared" si="250"/>
        <v>4620017</v>
      </c>
    </row>
    <row r="3470" spans="2:10" s="3" customFormat="1">
      <c r="B3470" s="3" t="s">
        <v>2130</v>
      </c>
      <c r="C3470" s="8">
        <v>2</v>
      </c>
      <c r="D3470" s="3" t="s">
        <v>2212</v>
      </c>
      <c r="E3470" s="11" t="s">
        <v>59</v>
      </c>
      <c r="F3470" s="11"/>
      <c r="G3470" s="9"/>
      <c r="H3470" s="11"/>
      <c r="I3470" s="11"/>
      <c r="J3470" s="3" t="str">
        <f t="shared" si="250"/>
        <v>4620018</v>
      </c>
    </row>
    <row r="3471" spans="2:10" s="3" customFormat="1">
      <c r="B3471" s="3" t="s">
        <v>2130</v>
      </c>
      <c r="C3471" s="8">
        <v>2</v>
      </c>
      <c r="D3471" s="3" t="s">
        <v>2212</v>
      </c>
      <c r="E3471" s="11" t="s">
        <v>10</v>
      </c>
      <c r="F3471" s="10">
        <v>1.0449999999999999E-3</v>
      </c>
      <c r="G3471" s="12">
        <f>ROUND(G$3*F3471,0)</f>
        <v>301</v>
      </c>
      <c r="H3471" s="13">
        <f>ROUND(G3471/2,0)</f>
        <v>151</v>
      </c>
      <c r="I3471" s="12">
        <f>G3471-H3471</f>
        <v>150</v>
      </c>
      <c r="J3471" s="3" t="str">
        <f t="shared" si="250"/>
        <v>4620018</v>
      </c>
    </row>
    <row r="3472" spans="2:10" s="3" customFormat="1">
      <c r="B3472" s="3" t="s">
        <v>2130</v>
      </c>
      <c r="C3472" s="8">
        <v>2</v>
      </c>
      <c r="D3472" s="3" t="s">
        <v>2212</v>
      </c>
      <c r="E3472" s="11" t="s">
        <v>11</v>
      </c>
      <c r="F3472" s="10">
        <v>1.248E-3</v>
      </c>
      <c r="G3472" s="12">
        <f>ROUND(G$3*F3472,0)</f>
        <v>359</v>
      </c>
      <c r="H3472" s="13">
        <f>ROUND(G3472/2,0)</f>
        <v>180</v>
      </c>
      <c r="I3472" s="12">
        <f>G3472-H3472</f>
        <v>179</v>
      </c>
      <c r="J3472" s="3" t="str">
        <f t="shared" si="250"/>
        <v>4620018</v>
      </c>
    </row>
    <row r="3473" spans="1:10" s="3" customFormat="1">
      <c r="B3473" s="3" t="s">
        <v>2130</v>
      </c>
      <c r="C3473" s="8">
        <v>2</v>
      </c>
      <c r="D3473" s="3" t="s">
        <v>2213</v>
      </c>
      <c r="E3473" s="11" t="s">
        <v>20</v>
      </c>
      <c r="F3473" s="11"/>
      <c r="G3473" s="9"/>
      <c r="H3473" s="11"/>
      <c r="I3473" s="11"/>
      <c r="J3473" s="3" t="str">
        <f t="shared" si="250"/>
        <v>4620019</v>
      </c>
    </row>
    <row r="3474" spans="1:10" s="3" customFormat="1">
      <c r="B3474" s="3" t="s">
        <v>2130</v>
      </c>
      <c r="C3474" s="8">
        <v>2</v>
      </c>
      <c r="D3474" s="3" t="s">
        <v>2213</v>
      </c>
      <c r="E3474" s="11" t="s">
        <v>10</v>
      </c>
      <c r="F3474" s="10">
        <v>1.2799999999999999E-4</v>
      </c>
      <c r="G3474" s="12">
        <f>ROUND(G$3*F3474,0)</f>
        <v>37</v>
      </c>
      <c r="H3474" s="13">
        <f>ROUND(G3474/2,0)</f>
        <v>19</v>
      </c>
      <c r="I3474" s="12">
        <f>G3474-H3474</f>
        <v>18</v>
      </c>
      <c r="J3474" s="3" t="str">
        <f t="shared" si="250"/>
        <v>4620019</v>
      </c>
    </row>
    <row r="3475" spans="1:10" s="3" customFormat="1">
      <c r="B3475" s="3" t="s">
        <v>2130</v>
      </c>
      <c r="C3475" s="8">
        <v>2</v>
      </c>
      <c r="D3475" s="3" t="s">
        <v>2213</v>
      </c>
      <c r="E3475" s="11" t="s">
        <v>11</v>
      </c>
      <c r="F3475" s="10">
        <v>8.5000000000000006E-5</v>
      </c>
      <c r="G3475" s="12">
        <f>ROUND(G$3*F3475,0)</f>
        <v>24</v>
      </c>
      <c r="H3475" s="13">
        <f>ROUND(G3475/2,0)</f>
        <v>12</v>
      </c>
      <c r="I3475" s="12">
        <f>G3475-H3475</f>
        <v>12</v>
      </c>
      <c r="J3475" s="3" t="str">
        <f t="shared" si="250"/>
        <v>4620019</v>
      </c>
    </row>
    <row r="3476" spans="1:10" s="3" customFormat="1">
      <c r="B3476" s="3" t="s">
        <v>2130</v>
      </c>
      <c r="C3476" s="8">
        <v>2</v>
      </c>
      <c r="D3476" s="3" t="s">
        <v>2214</v>
      </c>
      <c r="E3476" s="11" t="s">
        <v>22</v>
      </c>
      <c r="F3476" s="11"/>
      <c r="G3476" s="9"/>
      <c r="H3476" s="11"/>
      <c r="I3476" s="11"/>
      <c r="J3476" s="3" t="str">
        <f t="shared" si="250"/>
        <v>4620020</v>
      </c>
    </row>
    <row r="3477" spans="1:10" s="3" customFormat="1">
      <c r="B3477" s="3" t="s">
        <v>2130</v>
      </c>
      <c r="C3477" s="8">
        <v>2</v>
      </c>
      <c r="D3477" s="3" t="s">
        <v>2214</v>
      </c>
      <c r="E3477" s="11" t="s">
        <v>10</v>
      </c>
      <c r="F3477" s="10">
        <v>5.8999999999999998E-5</v>
      </c>
      <c r="G3477" s="12">
        <f>ROUND(G$3*F3477,0)</f>
        <v>17</v>
      </c>
      <c r="H3477" s="13">
        <f>ROUND(G3477/2,0)</f>
        <v>9</v>
      </c>
      <c r="I3477" s="12">
        <f>G3477-H3477</f>
        <v>8</v>
      </c>
      <c r="J3477" s="3" t="str">
        <f t="shared" si="250"/>
        <v>4620020</v>
      </c>
    </row>
    <row r="3478" spans="1:10" s="3" customFormat="1">
      <c r="B3478" s="3" t="s">
        <v>2130</v>
      </c>
      <c r="C3478" s="8">
        <v>2</v>
      </c>
      <c r="D3478" s="3" t="s">
        <v>2214</v>
      </c>
      <c r="E3478" s="11" t="s">
        <v>11</v>
      </c>
      <c r="F3478" s="10">
        <v>1.194E-3</v>
      </c>
      <c r="G3478" s="12">
        <f>ROUND(G$3*F3478,0)</f>
        <v>344</v>
      </c>
      <c r="H3478" s="13">
        <f>ROUND(G3478/2,0)</f>
        <v>172</v>
      </c>
      <c r="I3478" s="12">
        <f>G3478-H3478</f>
        <v>172</v>
      </c>
      <c r="J3478" s="3" t="str">
        <f t="shared" si="250"/>
        <v>4620020</v>
      </c>
    </row>
    <row r="3479" spans="1:10" s="3" customFormat="1">
      <c r="B3479" s="3" t="s">
        <v>2130</v>
      </c>
      <c r="C3479" s="8">
        <v>2</v>
      </c>
      <c r="D3479" s="3" t="s">
        <v>2288</v>
      </c>
      <c r="E3479" s="11" t="s">
        <v>1073</v>
      </c>
      <c r="F3479" s="11"/>
      <c r="G3479" s="9"/>
      <c r="H3479" s="11"/>
      <c r="I3479" s="11"/>
      <c r="J3479" s="3" t="str">
        <f t="shared" si="250"/>
        <v>4620021</v>
      </c>
    </row>
    <row r="3480" spans="1:10" s="3" customFormat="1">
      <c r="B3480" s="3" t="s">
        <v>2130</v>
      </c>
      <c r="C3480" s="8">
        <v>2</v>
      </c>
      <c r="D3480" s="3" t="s">
        <v>2288</v>
      </c>
      <c r="E3480" s="11" t="s">
        <v>10</v>
      </c>
      <c r="F3480" s="10">
        <v>1.5699999999999999E-4</v>
      </c>
      <c r="G3480" s="12">
        <f t="shared" ref="G3480:G3493" si="251">ROUND(G$3*F3480,0)</f>
        <v>45</v>
      </c>
      <c r="H3480" s="13">
        <f t="shared" ref="H3480:H3493" si="252">ROUND(G3480/2,0)</f>
        <v>23</v>
      </c>
      <c r="I3480" s="12">
        <f t="shared" ref="I3480:I3493" si="253">G3480-H3480</f>
        <v>22</v>
      </c>
      <c r="J3480" s="3" t="str">
        <f t="shared" si="250"/>
        <v>4620021</v>
      </c>
    </row>
    <row r="3481" spans="1:10" s="3" customFormat="1">
      <c r="B3481" s="3" t="s">
        <v>2130</v>
      </c>
      <c r="C3481" s="8">
        <v>2</v>
      </c>
      <c r="D3481" s="3" t="s">
        <v>2288</v>
      </c>
      <c r="E3481" s="11" t="s">
        <v>11</v>
      </c>
      <c r="F3481" s="10">
        <v>1.0900000000000001E-4</v>
      </c>
      <c r="G3481" s="12">
        <f t="shared" si="251"/>
        <v>31</v>
      </c>
      <c r="H3481" s="13">
        <f t="shared" si="252"/>
        <v>16</v>
      </c>
      <c r="I3481" s="12">
        <f t="shared" si="253"/>
        <v>15</v>
      </c>
      <c r="J3481" s="3" t="str">
        <f t="shared" si="250"/>
        <v>4620021</v>
      </c>
    </row>
    <row r="3482" spans="1:10" s="3" customFormat="1">
      <c r="A3482" s="3" t="s">
        <v>6269</v>
      </c>
      <c r="B3482" s="3" t="s">
        <v>2130</v>
      </c>
      <c r="C3482" s="8">
        <v>3</v>
      </c>
      <c r="D3482" s="3" t="s">
        <v>2714</v>
      </c>
      <c r="E3482" s="11" t="s">
        <v>1074</v>
      </c>
      <c r="F3482" s="10">
        <v>0</v>
      </c>
      <c r="G3482" s="12">
        <f t="shared" si="251"/>
        <v>0</v>
      </c>
      <c r="H3482" s="13">
        <f t="shared" si="252"/>
        <v>0</v>
      </c>
      <c r="I3482" s="12">
        <f t="shared" si="253"/>
        <v>0</v>
      </c>
      <c r="J3482" s="3" t="str">
        <f t="shared" si="250"/>
        <v>4630736</v>
      </c>
    </row>
    <row r="3483" spans="1:10" s="3" customFormat="1">
      <c r="B3483" s="3" t="s">
        <v>2130</v>
      </c>
      <c r="C3483" s="8">
        <v>3</v>
      </c>
      <c r="D3483" s="116" t="s">
        <v>2746</v>
      </c>
      <c r="E3483" s="11" t="s">
        <v>1075</v>
      </c>
      <c r="F3483" s="10">
        <v>8.5599999999999999E-4</v>
      </c>
      <c r="G3483" s="12">
        <f t="shared" si="251"/>
        <v>246</v>
      </c>
      <c r="H3483" s="13">
        <f t="shared" si="252"/>
        <v>123</v>
      </c>
      <c r="I3483" s="12">
        <f t="shared" si="253"/>
        <v>123</v>
      </c>
      <c r="J3483" s="3" t="str">
        <f t="shared" si="250"/>
        <v>4630737</v>
      </c>
    </row>
    <row r="3484" spans="1:10" s="3" customFormat="1">
      <c r="B3484" s="3" t="s">
        <v>2130</v>
      </c>
      <c r="C3484" s="8">
        <v>3</v>
      </c>
      <c r="D3484" s="3" t="s">
        <v>2747</v>
      </c>
      <c r="E3484" s="11" t="s">
        <v>1076</v>
      </c>
      <c r="F3484" s="10">
        <v>2.2279999999999999E-3</v>
      </c>
      <c r="G3484" s="12">
        <f t="shared" si="251"/>
        <v>641</v>
      </c>
      <c r="H3484" s="13">
        <f t="shared" si="252"/>
        <v>321</v>
      </c>
      <c r="I3484" s="12">
        <f t="shared" si="253"/>
        <v>320</v>
      </c>
      <c r="J3484" s="3" t="str">
        <f t="shared" si="250"/>
        <v>4630738</v>
      </c>
    </row>
    <row r="3485" spans="1:10" s="3" customFormat="1">
      <c r="B3485" s="3" t="s">
        <v>2130</v>
      </c>
      <c r="C3485" s="8">
        <v>3</v>
      </c>
      <c r="D3485" s="3" t="s">
        <v>2745</v>
      </c>
      <c r="E3485" s="11" t="s">
        <v>1077</v>
      </c>
      <c r="F3485" s="10">
        <v>4.4259E-2</v>
      </c>
      <c r="G3485" s="12">
        <f t="shared" si="251"/>
        <v>12734</v>
      </c>
      <c r="H3485" s="13">
        <f t="shared" si="252"/>
        <v>6367</v>
      </c>
      <c r="I3485" s="12">
        <f t="shared" si="253"/>
        <v>6367</v>
      </c>
      <c r="J3485" s="3" t="str">
        <f t="shared" si="250"/>
        <v>4630201</v>
      </c>
    </row>
    <row r="3486" spans="1:10" s="3" customFormat="1">
      <c r="B3486" s="3" t="s">
        <v>2130</v>
      </c>
      <c r="C3486" s="8">
        <v>3</v>
      </c>
      <c r="D3486" s="3" t="s">
        <v>2748</v>
      </c>
      <c r="E3486" s="11" t="s">
        <v>1078</v>
      </c>
      <c r="F3486" s="10">
        <v>4.4099999999999999E-4</v>
      </c>
      <c r="G3486" s="12">
        <f t="shared" si="251"/>
        <v>127</v>
      </c>
      <c r="H3486" s="13">
        <f t="shared" si="252"/>
        <v>64</v>
      </c>
      <c r="I3486" s="12">
        <f t="shared" si="253"/>
        <v>63</v>
      </c>
      <c r="J3486" s="3" t="str">
        <f t="shared" si="250"/>
        <v>4630739</v>
      </c>
    </row>
    <row r="3487" spans="1:10" s="3" customFormat="1">
      <c r="B3487" s="3" t="s">
        <v>2130</v>
      </c>
      <c r="C3487" s="8">
        <v>3</v>
      </c>
      <c r="D3487" s="116" t="s">
        <v>2749</v>
      </c>
      <c r="E3487" s="11" t="s">
        <v>1079</v>
      </c>
      <c r="F3487" s="10">
        <v>3.8999999999999999E-5</v>
      </c>
      <c r="G3487" s="12">
        <f t="shared" si="251"/>
        <v>11</v>
      </c>
      <c r="H3487" s="13">
        <f t="shared" si="252"/>
        <v>6</v>
      </c>
      <c r="I3487" s="12">
        <f t="shared" si="253"/>
        <v>5</v>
      </c>
      <c r="J3487" s="3" t="str">
        <f t="shared" si="250"/>
        <v>4630740</v>
      </c>
    </row>
    <row r="3488" spans="1:10" s="3" customFormat="1">
      <c r="B3488" s="3" t="s">
        <v>2130</v>
      </c>
      <c r="C3488" s="8">
        <v>3</v>
      </c>
      <c r="D3488" s="3" t="s">
        <v>2744</v>
      </c>
      <c r="E3488" s="11" t="s">
        <v>1080</v>
      </c>
      <c r="F3488" s="10">
        <v>9.9430000000000004E-2</v>
      </c>
      <c r="G3488" s="12">
        <f t="shared" si="251"/>
        <v>28608</v>
      </c>
      <c r="H3488" s="13">
        <f t="shared" si="252"/>
        <v>14304</v>
      </c>
      <c r="I3488" s="12">
        <f t="shared" si="253"/>
        <v>14304</v>
      </c>
      <c r="J3488" s="3" t="str">
        <f t="shared" si="250"/>
        <v>4630115</v>
      </c>
    </row>
    <row r="3489" spans="1:10" s="3" customFormat="1">
      <c r="A3489" s="3" t="s">
        <v>6269</v>
      </c>
      <c r="B3489" s="3" t="s">
        <v>2130</v>
      </c>
      <c r="C3489" s="8">
        <v>3</v>
      </c>
      <c r="D3489" s="116" t="s">
        <v>2750</v>
      </c>
      <c r="E3489" s="11" t="s">
        <v>1081</v>
      </c>
      <c r="F3489" s="10">
        <v>0</v>
      </c>
      <c r="G3489" s="12">
        <f t="shared" si="251"/>
        <v>0</v>
      </c>
      <c r="H3489" s="13">
        <f t="shared" si="252"/>
        <v>0</v>
      </c>
      <c r="I3489" s="12">
        <f t="shared" si="253"/>
        <v>0</v>
      </c>
      <c r="J3489" s="3" t="str">
        <f t="shared" si="250"/>
        <v>4630741</v>
      </c>
    </row>
    <row r="3490" spans="1:10" s="3" customFormat="1">
      <c r="B3490" s="3" t="s">
        <v>2130</v>
      </c>
      <c r="C3490" s="8">
        <v>3</v>
      </c>
      <c r="D3490" s="3" t="s">
        <v>2751</v>
      </c>
      <c r="E3490" s="11" t="s">
        <v>1082</v>
      </c>
      <c r="F3490" s="10">
        <v>1.2329999999999999E-3</v>
      </c>
      <c r="G3490" s="12">
        <f t="shared" si="251"/>
        <v>355</v>
      </c>
      <c r="H3490" s="13">
        <f t="shared" si="252"/>
        <v>178</v>
      </c>
      <c r="I3490" s="12">
        <f t="shared" si="253"/>
        <v>177</v>
      </c>
      <c r="J3490" s="3" t="str">
        <f t="shared" si="250"/>
        <v>4630742</v>
      </c>
    </row>
    <row r="3491" spans="1:10" s="3" customFormat="1">
      <c r="B3491" s="3" t="s">
        <v>2130</v>
      </c>
      <c r="C3491" s="8">
        <v>3</v>
      </c>
      <c r="D3491" s="3" t="s">
        <v>2752</v>
      </c>
      <c r="E3491" s="11" t="s">
        <v>1083</v>
      </c>
      <c r="F3491" s="10">
        <v>4.4019999999999997E-3</v>
      </c>
      <c r="G3491" s="12">
        <f t="shared" si="251"/>
        <v>1267</v>
      </c>
      <c r="H3491" s="13">
        <f t="shared" si="252"/>
        <v>634</v>
      </c>
      <c r="I3491" s="12">
        <f t="shared" si="253"/>
        <v>633</v>
      </c>
      <c r="J3491" s="3" t="str">
        <f t="shared" si="250"/>
        <v>4630743</v>
      </c>
    </row>
    <row r="3492" spans="1:10" s="3" customFormat="1">
      <c r="B3492" s="3" t="s">
        <v>2130</v>
      </c>
      <c r="C3492" s="8">
        <v>3</v>
      </c>
      <c r="D3492" s="3" t="s">
        <v>2753</v>
      </c>
      <c r="E3492" s="11" t="s">
        <v>1084</v>
      </c>
      <c r="F3492" s="10">
        <v>1.1428000000000001E-2</v>
      </c>
      <c r="G3492" s="12">
        <f t="shared" si="251"/>
        <v>3288</v>
      </c>
      <c r="H3492" s="13">
        <f t="shared" si="252"/>
        <v>1644</v>
      </c>
      <c r="I3492" s="12">
        <f t="shared" si="253"/>
        <v>1644</v>
      </c>
      <c r="J3492" s="3" t="str">
        <f t="shared" si="250"/>
        <v>4630744</v>
      </c>
    </row>
    <row r="3493" spans="1:10" s="128" customFormat="1" ht="15.75">
      <c r="B3493" s="128" t="s">
        <v>2130</v>
      </c>
      <c r="C3493" s="129">
        <v>4</v>
      </c>
      <c r="D3493" t="s">
        <v>4803</v>
      </c>
      <c r="E3493" s="131" t="s">
        <v>1085</v>
      </c>
      <c r="F3493" s="133">
        <v>2.5713E-2</v>
      </c>
      <c r="G3493" s="132">
        <f t="shared" si="251"/>
        <v>7398</v>
      </c>
      <c r="H3493" s="131">
        <f t="shared" si="252"/>
        <v>3699</v>
      </c>
      <c r="I3493" s="132">
        <f t="shared" si="253"/>
        <v>3699</v>
      </c>
      <c r="J3493" s="128" t="str">
        <f t="shared" si="250"/>
        <v>4644915</v>
      </c>
    </row>
    <row r="3494" spans="1:10" s="3" customFormat="1" ht="15.75">
      <c r="B3494" s="3" t="s">
        <v>2130</v>
      </c>
      <c r="C3494" s="8">
        <v>4</v>
      </c>
      <c r="D3494" t="s">
        <v>4803</v>
      </c>
      <c r="E3494" s="11" t="s">
        <v>28</v>
      </c>
      <c r="F3494" s="11"/>
      <c r="G3494" s="14">
        <v>0.76115100000000002</v>
      </c>
      <c r="H3494" s="11"/>
      <c r="I3494" s="11"/>
      <c r="J3494" s="3" t="str">
        <f t="shared" si="250"/>
        <v>4644915</v>
      </c>
    </row>
    <row r="3495" spans="1:10" s="3" customFormat="1" ht="15.75">
      <c r="B3495" s="3" t="s">
        <v>2130</v>
      </c>
      <c r="C3495" s="8">
        <v>4</v>
      </c>
      <c r="D3495" t="s">
        <v>4803</v>
      </c>
      <c r="E3495" s="11" t="s">
        <v>29</v>
      </c>
      <c r="F3495" s="11"/>
      <c r="G3495" s="15">
        <f>ROUND(G3493*G3494,0)</f>
        <v>5631</v>
      </c>
      <c r="H3495" s="16">
        <f>ROUND(G3495/2,0)</f>
        <v>2816</v>
      </c>
      <c r="I3495" s="15">
        <f>G3495-H3495</f>
        <v>2815</v>
      </c>
      <c r="J3495" s="3" t="str">
        <f t="shared" si="250"/>
        <v>4644915</v>
      </c>
    </row>
    <row r="3496" spans="1:10" s="3" customFormat="1" ht="15.75">
      <c r="B3496" s="3" t="s">
        <v>2130</v>
      </c>
      <c r="C3496" s="8">
        <v>4</v>
      </c>
      <c r="D3496" t="s">
        <v>4803</v>
      </c>
      <c r="E3496" s="11" t="s">
        <v>30</v>
      </c>
      <c r="F3496" s="11"/>
      <c r="G3496" s="12">
        <f>+G3493-G3495</f>
        <v>1767</v>
      </c>
      <c r="H3496" s="13">
        <f>ROUND(G3496/2,0)</f>
        <v>884</v>
      </c>
      <c r="I3496" s="12">
        <f>G3496-H3496</f>
        <v>883</v>
      </c>
      <c r="J3496" s="3" t="str">
        <f t="shared" si="250"/>
        <v>4644915</v>
      </c>
    </row>
    <row r="3497" spans="1:10" s="128" customFormat="1" ht="15.75">
      <c r="B3497" s="128" t="s">
        <v>2130</v>
      </c>
      <c r="C3497" s="129">
        <v>4</v>
      </c>
      <c r="D3497" t="s">
        <v>4803</v>
      </c>
      <c r="E3497" s="131" t="s">
        <v>1086</v>
      </c>
      <c r="F3497" s="133">
        <v>1.4296E-2</v>
      </c>
      <c r="G3497" s="132">
        <f>ROUND(G$3*F3497,0)</f>
        <v>4113</v>
      </c>
      <c r="H3497" s="131">
        <f>ROUND(G3497/2,0)</f>
        <v>2057</v>
      </c>
      <c r="I3497" s="132">
        <f>G3497-H3497</f>
        <v>2056</v>
      </c>
      <c r="J3497" s="128" t="str">
        <f t="shared" si="250"/>
        <v>4644915</v>
      </c>
    </row>
    <row r="3498" spans="1:10" s="3" customFormat="1" ht="15.75">
      <c r="B3498" s="3" t="s">
        <v>2130</v>
      </c>
      <c r="C3498" s="8">
        <v>4</v>
      </c>
      <c r="D3498" t="s">
        <v>4803</v>
      </c>
      <c r="E3498" s="11" t="s">
        <v>28</v>
      </c>
      <c r="F3498" s="11"/>
      <c r="G3498" s="14">
        <v>0.73833199999999999</v>
      </c>
      <c r="H3498" s="11"/>
      <c r="I3498" s="11"/>
      <c r="J3498" s="3" t="str">
        <f t="shared" si="250"/>
        <v>4644915</v>
      </c>
    </row>
    <row r="3499" spans="1:10" s="3" customFormat="1" ht="15.75">
      <c r="B3499" s="3" t="s">
        <v>2130</v>
      </c>
      <c r="C3499" s="8">
        <v>4</v>
      </c>
      <c r="D3499" t="s">
        <v>4803</v>
      </c>
      <c r="E3499" s="11" t="s">
        <v>29</v>
      </c>
      <c r="F3499" s="11"/>
      <c r="G3499" s="15">
        <f>ROUND(G3497*G3498,0)</f>
        <v>3037</v>
      </c>
      <c r="H3499" s="16">
        <f>ROUND(G3499/2,0)</f>
        <v>1519</v>
      </c>
      <c r="I3499" s="15">
        <f>G3499-H3499</f>
        <v>1518</v>
      </c>
      <c r="J3499" s="3" t="str">
        <f t="shared" si="250"/>
        <v>4644915</v>
      </c>
    </row>
    <row r="3500" spans="1:10" s="3" customFormat="1" ht="15.75">
      <c r="B3500" s="3" t="s">
        <v>2130</v>
      </c>
      <c r="C3500" s="8">
        <v>4</v>
      </c>
      <c r="D3500" t="s">
        <v>4803</v>
      </c>
      <c r="E3500" s="11" t="s">
        <v>30</v>
      </c>
      <c r="F3500" s="11"/>
      <c r="G3500" s="12">
        <f>+G3497-G3499</f>
        <v>1076</v>
      </c>
      <c r="H3500" s="13">
        <f>ROUND(G3500/2,0)</f>
        <v>538</v>
      </c>
      <c r="I3500" s="12">
        <f>G3500-H3500</f>
        <v>538</v>
      </c>
      <c r="J3500" s="3" t="str">
        <f t="shared" si="250"/>
        <v>4644915</v>
      </c>
    </row>
    <row r="3501" spans="1:10" s="3" customFormat="1">
      <c r="B3501" s="3" t="s">
        <v>2130</v>
      </c>
      <c r="C3501" s="8">
        <v>4</v>
      </c>
      <c r="D3501" s="3" t="s">
        <v>2759</v>
      </c>
      <c r="E3501" s="11" t="s">
        <v>1087</v>
      </c>
      <c r="F3501" s="10">
        <v>1.66E-3</v>
      </c>
      <c r="G3501" s="9">
        <f>ROUND(G$3*F3501,0)</f>
        <v>478</v>
      </c>
      <c r="H3501" s="11">
        <f>ROUND(G3501/2,0)</f>
        <v>239</v>
      </c>
      <c r="I3501" s="9">
        <f>G3501-H3501</f>
        <v>239</v>
      </c>
      <c r="J3501" s="3" t="str">
        <f t="shared" si="250"/>
        <v>4647150</v>
      </c>
    </row>
    <row r="3502" spans="1:10" s="3" customFormat="1">
      <c r="B3502" s="3" t="s">
        <v>2130</v>
      </c>
      <c r="C3502" s="8">
        <v>4</v>
      </c>
      <c r="D3502" s="3" t="s">
        <v>2759</v>
      </c>
      <c r="E3502" s="11" t="s">
        <v>28</v>
      </c>
      <c r="F3502" s="11"/>
      <c r="G3502" s="14">
        <v>0.410688</v>
      </c>
      <c r="H3502" s="11"/>
      <c r="I3502" s="11"/>
      <c r="J3502" s="3" t="str">
        <f t="shared" si="250"/>
        <v>4647150</v>
      </c>
    </row>
    <row r="3503" spans="1:10" s="3" customFormat="1">
      <c r="B3503" s="3" t="s">
        <v>2130</v>
      </c>
      <c r="C3503" s="8">
        <v>4</v>
      </c>
      <c r="D3503" s="3" t="s">
        <v>2759</v>
      </c>
      <c r="E3503" s="11" t="s">
        <v>29</v>
      </c>
      <c r="F3503" s="11"/>
      <c r="G3503" s="15">
        <f>ROUND(G3501*G3502,0)</f>
        <v>196</v>
      </c>
      <c r="H3503" s="16">
        <f>ROUND(G3503/2,0)</f>
        <v>98</v>
      </c>
      <c r="I3503" s="15">
        <f>G3503-H3503</f>
        <v>98</v>
      </c>
      <c r="J3503" s="3" t="str">
        <f t="shared" si="250"/>
        <v>4647150</v>
      </c>
    </row>
    <row r="3504" spans="1:10" s="3" customFormat="1">
      <c r="B3504" s="3" t="s">
        <v>2130</v>
      </c>
      <c r="C3504" s="8">
        <v>4</v>
      </c>
      <c r="D3504" s="3" t="s">
        <v>2759</v>
      </c>
      <c r="E3504" s="11" t="s">
        <v>30</v>
      </c>
      <c r="F3504" s="11"/>
      <c r="G3504" s="12">
        <f>+G3501-G3503</f>
        <v>282</v>
      </c>
      <c r="H3504" s="13">
        <f>ROUND(G3504/2,0)</f>
        <v>141</v>
      </c>
      <c r="I3504" s="12">
        <f>G3504-H3504</f>
        <v>141</v>
      </c>
      <c r="J3504" s="3" t="str">
        <f t="shared" si="250"/>
        <v>4647150</v>
      </c>
    </row>
    <row r="3505" spans="2:10" s="3" customFormat="1">
      <c r="B3505" s="3" t="s">
        <v>2130</v>
      </c>
      <c r="C3505" s="8">
        <v>4</v>
      </c>
      <c r="D3505" s="3" t="s">
        <v>2758</v>
      </c>
      <c r="E3505" s="11" t="s">
        <v>1088</v>
      </c>
      <c r="F3505" s="10">
        <v>0.160162</v>
      </c>
      <c r="G3505" s="9">
        <f>ROUND(G$3*F3505,0)</f>
        <v>46082</v>
      </c>
      <c r="H3505" s="11">
        <f>ROUND(G3505/2,0)</f>
        <v>23041</v>
      </c>
      <c r="I3505" s="9">
        <f>G3505-H3505</f>
        <v>23041</v>
      </c>
      <c r="J3505" s="3" t="str">
        <f t="shared" si="250"/>
        <v>4644945</v>
      </c>
    </row>
    <row r="3506" spans="2:10" s="3" customFormat="1">
      <c r="B3506" s="3" t="s">
        <v>2130</v>
      </c>
      <c r="C3506" s="8">
        <v>4</v>
      </c>
      <c r="D3506" s="3" t="s">
        <v>2758</v>
      </c>
      <c r="E3506" s="11" t="s">
        <v>28</v>
      </c>
      <c r="F3506" s="11"/>
      <c r="G3506" s="14">
        <v>0.45946300000000001</v>
      </c>
      <c r="H3506" s="11"/>
      <c r="I3506" s="11"/>
      <c r="J3506" s="3" t="str">
        <f t="shared" si="250"/>
        <v>4644945</v>
      </c>
    </row>
    <row r="3507" spans="2:10" s="3" customFormat="1">
      <c r="B3507" s="3" t="s">
        <v>2130</v>
      </c>
      <c r="C3507" s="8">
        <v>4</v>
      </c>
      <c r="D3507" s="3" t="s">
        <v>2758</v>
      </c>
      <c r="E3507" s="11" t="s">
        <v>29</v>
      </c>
      <c r="F3507" s="11"/>
      <c r="G3507" s="15">
        <f>ROUND(G3505*G3506,0)</f>
        <v>21173</v>
      </c>
      <c r="H3507" s="16">
        <f>ROUND(G3507/2,0)</f>
        <v>10587</v>
      </c>
      <c r="I3507" s="15">
        <f>G3507-H3507</f>
        <v>10586</v>
      </c>
      <c r="J3507" s="3" t="str">
        <f t="shared" si="250"/>
        <v>4644945</v>
      </c>
    </row>
    <row r="3508" spans="2:10" s="3" customFormat="1">
      <c r="B3508" s="3" t="s">
        <v>2130</v>
      </c>
      <c r="C3508" s="8">
        <v>4</v>
      </c>
      <c r="D3508" s="3" t="s">
        <v>2758</v>
      </c>
      <c r="E3508" s="11" t="s">
        <v>30</v>
      </c>
      <c r="F3508" s="11"/>
      <c r="G3508" s="12">
        <f>+G3505-G3507</f>
        <v>24909</v>
      </c>
      <c r="H3508" s="13">
        <f>ROUND(G3508/2,0)</f>
        <v>12455</v>
      </c>
      <c r="I3508" s="12">
        <f>G3508-H3508</f>
        <v>12454</v>
      </c>
      <c r="J3508" s="3" t="str">
        <f t="shared" si="250"/>
        <v>4644945</v>
      </c>
    </row>
    <row r="3509" spans="2:10" s="3" customFormat="1">
      <c r="B3509" s="3" t="s">
        <v>2130</v>
      </c>
      <c r="C3509" s="8">
        <v>4</v>
      </c>
      <c r="D3509" s="3" t="s">
        <v>2756</v>
      </c>
      <c r="E3509" s="11" t="s">
        <v>1089</v>
      </c>
      <c r="F3509" s="10">
        <v>0.16100700000000001</v>
      </c>
      <c r="G3509" s="9">
        <f>ROUND(G$3*F3509,0)</f>
        <v>46325</v>
      </c>
      <c r="H3509" s="11">
        <f>ROUND(G3509/2,0)</f>
        <v>23163</v>
      </c>
      <c r="I3509" s="9">
        <f>G3509-H3509</f>
        <v>23162</v>
      </c>
      <c r="J3509" s="3" t="str">
        <f t="shared" si="250"/>
        <v>4644925</v>
      </c>
    </row>
    <row r="3510" spans="2:10" s="3" customFormat="1">
      <c r="B3510" s="3" t="s">
        <v>2130</v>
      </c>
      <c r="C3510" s="8">
        <v>4</v>
      </c>
      <c r="D3510" s="3" t="s">
        <v>2756</v>
      </c>
      <c r="E3510" s="11" t="s">
        <v>28</v>
      </c>
      <c r="F3510" s="11"/>
      <c r="G3510" s="14">
        <v>0.53610800000000003</v>
      </c>
      <c r="H3510" s="11"/>
      <c r="I3510" s="11"/>
      <c r="J3510" s="3" t="str">
        <f t="shared" si="250"/>
        <v>4644925</v>
      </c>
    </row>
    <row r="3511" spans="2:10" s="3" customFormat="1">
      <c r="B3511" s="3" t="s">
        <v>2130</v>
      </c>
      <c r="C3511" s="8">
        <v>4</v>
      </c>
      <c r="D3511" s="3" t="s">
        <v>2756</v>
      </c>
      <c r="E3511" s="11" t="s">
        <v>29</v>
      </c>
      <c r="F3511" s="11"/>
      <c r="G3511" s="15">
        <f>ROUND(G3509*G3510,0)</f>
        <v>24835</v>
      </c>
      <c r="H3511" s="16">
        <f>ROUND(G3511/2,0)</f>
        <v>12418</v>
      </c>
      <c r="I3511" s="15">
        <f>G3511-H3511</f>
        <v>12417</v>
      </c>
      <c r="J3511" s="3" t="str">
        <f t="shared" si="250"/>
        <v>4644925</v>
      </c>
    </row>
    <row r="3512" spans="2:10" s="3" customFormat="1">
      <c r="B3512" s="3" t="s">
        <v>2130</v>
      </c>
      <c r="C3512" s="8">
        <v>4</v>
      </c>
      <c r="D3512" s="3" t="s">
        <v>2756</v>
      </c>
      <c r="E3512" s="11" t="s">
        <v>30</v>
      </c>
      <c r="F3512" s="11"/>
      <c r="G3512" s="12">
        <f>+G3509-G3511</f>
        <v>21490</v>
      </c>
      <c r="H3512" s="13">
        <f>ROUND(G3512/2,0)</f>
        <v>10745</v>
      </c>
      <c r="I3512" s="12">
        <f>G3512-H3512</f>
        <v>10745</v>
      </c>
      <c r="J3512" s="3" t="str">
        <f t="shared" si="250"/>
        <v>4644925</v>
      </c>
    </row>
    <row r="3513" spans="2:10" s="3" customFormat="1">
      <c r="B3513" s="3" t="s">
        <v>2130</v>
      </c>
      <c r="C3513" s="8">
        <v>4</v>
      </c>
      <c r="D3513" s="3" t="s">
        <v>2755</v>
      </c>
      <c r="E3513" s="11" t="s">
        <v>1090</v>
      </c>
      <c r="F3513" s="10">
        <v>4.3130000000000002E-2</v>
      </c>
      <c r="G3513" s="9">
        <f>ROUND(G$3*F3513,0)</f>
        <v>12409</v>
      </c>
      <c r="H3513" s="11">
        <f>ROUND(G3513/2,0)</f>
        <v>6205</v>
      </c>
      <c r="I3513" s="9">
        <f>G3513-H3513</f>
        <v>6204</v>
      </c>
      <c r="J3513" s="3" t="str">
        <f t="shared" si="250"/>
        <v>4644860</v>
      </c>
    </row>
    <row r="3514" spans="2:10" s="3" customFormat="1">
      <c r="B3514" s="3" t="s">
        <v>2130</v>
      </c>
      <c r="C3514" s="8">
        <v>4</v>
      </c>
      <c r="D3514" s="3" t="s">
        <v>2755</v>
      </c>
      <c r="E3514" s="11" t="s">
        <v>28</v>
      </c>
      <c r="F3514" s="11"/>
      <c r="G3514" s="14">
        <v>0.41458600000000001</v>
      </c>
      <c r="H3514" s="11"/>
      <c r="I3514" s="11"/>
      <c r="J3514" s="3" t="str">
        <f t="shared" si="250"/>
        <v>4644860</v>
      </c>
    </row>
    <row r="3515" spans="2:10" s="3" customFormat="1">
      <c r="B3515" s="3" t="s">
        <v>2130</v>
      </c>
      <c r="C3515" s="8">
        <v>4</v>
      </c>
      <c r="D3515" s="3" t="s">
        <v>2755</v>
      </c>
      <c r="E3515" s="11" t="s">
        <v>29</v>
      </c>
      <c r="F3515" s="11"/>
      <c r="G3515" s="15">
        <f>ROUND(G3513*G3514,0)</f>
        <v>5145</v>
      </c>
      <c r="H3515" s="16">
        <f>ROUND(G3515/2,0)</f>
        <v>2573</v>
      </c>
      <c r="I3515" s="15">
        <f>G3515-H3515</f>
        <v>2572</v>
      </c>
      <c r="J3515" s="3" t="str">
        <f t="shared" si="250"/>
        <v>4644860</v>
      </c>
    </row>
    <row r="3516" spans="2:10" s="3" customFormat="1">
      <c r="B3516" s="3" t="s">
        <v>2130</v>
      </c>
      <c r="C3516" s="8">
        <v>4</v>
      </c>
      <c r="D3516" s="3" t="s">
        <v>2755</v>
      </c>
      <c r="E3516" s="11" t="s">
        <v>30</v>
      </c>
      <c r="F3516" s="11"/>
      <c r="G3516" s="12">
        <f>+G3513-G3515</f>
        <v>7264</v>
      </c>
      <c r="H3516" s="13">
        <f>ROUND(G3516/2,0)</f>
        <v>3632</v>
      </c>
      <c r="I3516" s="12">
        <f>G3516-H3516</f>
        <v>3632</v>
      </c>
      <c r="J3516" s="3" t="str">
        <f t="shared" si="250"/>
        <v>4644860</v>
      </c>
    </row>
    <row r="3517" spans="2:10" s="3" customFormat="1">
      <c r="B3517" s="3" t="s">
        <v>2130</v>
      </c>
      <c r="C3517" s="8">
        <v>4</v>
      </c>
      <c r="D3517" s="3" t="s">
        <v>2754</v>
      </c>
      <c r="E3517" s="11" t="s">
        <v>1091</v>
      </c>
      <c r="F3517" s="10">
        <v>5.6883999999999997E-2</v>
      </c>
      <c r="G3517" s="9">
        <f>ROUND(G$3*F3517,0)</f>
        <v>16367</v>
      </c>
      <c r="H3517" s="11">
        <f>ROUND(G3517/2,0)</f>
        <v>8184</v>
      </c>
      <c r="I3517" s="9">
        <f>G3517-H3517</f>
        <v>8183</v>
      </c>
      <c r="J3517" s="3" t="str">
        <f t="shared" si="250"/>
        <v>4644805</v>
      </c>
    </row>
    <row r="3518" spans="2:10" s="3" customFormat="1">
      <c r="B3518" s="3" t="s">
        <v>2130</v>
      </c>
      <c r="C3518" s="8">
        <v>4</v>
      </c>
      <c r="D3518" s="3" t="s">
        <v>2754</v>
      </c>
      <c r="E3518" s="11" t="s">
        <v>28</v>
      </c>
      <c r="F3518" s="11"/>
      <c r="G3518" s="14">
        <v>0.44144499999999998</v>
      </c>
      <c r="H3518" s="11"/>
      <c r="I3518" s="11"/>
      <c r="J3518" s="3" t="str">
        <f t="shared" si="250"/>
        <v>4644805</v>
      </c>
    </row>
    <row r="3519" spans="2:10" s="3" customFormat="1">
      <c r="B3519" s="3" t="s">
        <v>2130</v>
      </c>
      <c r="C3519" s="8">
        <v>4</v>
      </c>
      <c r="D3519" s="3" t="s">
        <v>2754</v>
      </c>
      <c r="E3519" s="11" t="s">
        <v>29</v>
      </c>
      <c r="F3519" s="11"/>
      <c r="G3519" s="15">
        <f>ROUND(G3517*G3518,0)</f>
        <v>7225</v>
      </c>
      <c r="H3519" s="16">
        <f>ROUND(G3519/2,0)</f>
        <v>3613</v>
      </c>
      <c r="I3519" s="15">
        <f>G3519-H3519</f>
        <v>3612</v>
      </c>
      <c r="J3519" s="3" t="str">
        <f t="shared" si="250"/>
        <v>4644805</v>
      </c>
    </row>
    <row r="3520" spans="2:10" s="3" customFormat="1">
      <c r="B3520" s="3" t="s">
        <v>2130</v>
      </c>
      <c r="C3520" s="8">
        <v>4</v>
      </c>
      <c r="D3520" s="3" t="s">
        <v>2754</v>
      </c>
      <c r="E3520" s="11" t="s">
        <v>30</v>
      </c>
      <c r="F3520" s="11"/>
      <c r="G3520" s="12">
        <f>+G3517-G3519</f>
        <v>9142</v>
      </c>
      <c r="H3520" s="13">
        <f>ROUND(G3520/2,0)</f>
        <v>4571</v>
      </c>
      <c r="I3520" s="12">
        <f>G3520-H3520</f>
        <v>4571</v>
      </c>
      <c r="J3520" s="3" t="str">
        <f t="shared" si="250"/>
        <v>4644805</v>
      </c>
    </row>
    <row r="3521" spans="1:10" s="159" customFormat="1">
      <c r="B3521" s="159" t="s">
        <v>2130</v>
      </c>
      <c r="C3521" s="160">
        <v>4</v>
      </c>
      <c r="D3521" s="63" t="s">
        <v>4803</v>
      </c>
      <c r="E3521" s="135" t="s">
        <v>1092</v>
      </c>
      <c r="F3521" s="161">
        <v>9.0700000000000004E-4</v>
      </c>
      <c r="G3521" s="134">
        <f>ROUND(G$3*F3521,0)</f>
        <v>261</v>
      </c>
      <c r="H3521" s="135">
        <f>ROUND(G3521/2,0)</f>
        <v>131</v>
      </c>
      <c r="I3521" s="134">
        <f>G3521-H3521</f>
        <v>130</v>
      </c>
      <c r="J3521" s="159" t="str">
        <f t="shared" si="250"/>
        <v>4644915</v>
      </c>
    </row>
    <row r="3522" spans="1:10" s="18" customFormat="1">
      <c r="B3522" s="18" t="s">
        <v>2130</v>
      </c>
      <c r="C3522" s="7">
        <v>4</v>
      </c>
      <c r="D3522" s="63" t="s">
        <v>4803</v>
      </c>
      <c r="E3522" s="13" t="s">
        <v>28</v>
      </c>
      <c r="F3522" s="13"/>
      <c r="G3522" s="162">
        <v>0.2334</v>
      </c>
      <c r="H3522" s="13"/>
      <c r="I3522" s="13"/>
      <c r="J3522" s="18" t="str">
        <f t="shared" si="250"/>
        <v>4644915</v>
      </c>
    </row>
    <row r="3523" spans="1:10" s="18" customFormat="1">
      <c r="B3523" s="18" t="s">
        <v>2130</v>
      </c>
      <c r="C3523" s="7">
        <v>4</v>
      </c>
      <c r="D3523" s="63" t="s">
        <v>4803</v>
      </c>
      <c r="E3523" s="13" t="s">
        <v>29</v>
      </c>
      <c r="F3523" s="13"/>
      <c r="G3523" s="163">
        <f>ROUND(G3521*G3522,0)</f>
        <v>61</v>
      </c>
      <c r="H3523" s="164">
        <f>ROUND(G3523/2,0)</f>
        <v>31</v>
      </c>
      <c r="I3523" s="163">
        <f>G3523-H3523</f>
        <v>30</v>
      </c>
      <c r="J3523" s="18" t="str">
        <f t="shared" si="250"/>
        <v>4644915</v>
      </c>
    </row>
    <row r="3524" spans="1:10" s="18" customFormat="1">
      <c r="B3524" s="18" t="s">
        <v>2130</v>
      </c>
      <c r="C3524" s="7">
        <v>4</v>
      </c>
      <c r="D3524" s="63" t="s">
        <v>4803</v>
      </c>
      <c r="E3524" s="13" t="s">
        <v>30</v>
      </c>
      <c r="F3524" s="13"/>
      <c r="G3524" s="12">
        <f>+G3521-G3523</f>
        <v>200</v>
      </c>
      <c r="H3524" s="13">
        <f>ROUND(G3524/2,0)</f>
        <v>100</v>
      </c>
      <c r="I3524" s="12">
        <f>G3524-H3524</f>
        <v>100</v>
      </c>
      <c r="J3524" s="18" t="str">
        <f t="shared" ref="J3524:J3587" si="254">B3524&amp;C3524&amp;D3524</f>
        <v>4644915</v>
      </c>
    </row>
    <row r="3525" spans="1:10" s="3" customFormat="1">
      <c r="B3525" s="3" t="s">
        <v>2130</v>
      </c>
      <c r="C3525" s="8">
        <v>4</v>
      </c>
      <c r="D3525" s="3" t="s">
        <v>2757</v>
      </c>
      <c r="E3525" s="11" t="s">
        <v>1093</v>
      </c>
      <c r="F3525" s="10">
        <v>4.3608000000000001E-2</v>
      </c>
      <c r="G3525" s="9">
        <f>ROUND(G$3*F3525,0)</f>
        <v>12547</v>
      </c>
      <c r="H3525" s="11">
        <f>ROUND(G3525/2,0)</f>
        <v>6274</v>
      </c>
      <c r="I3525" s="9">
        <f>G3525-H3525</f>
        <v>6273</v>
      </c>
      <c r="J3525" s="3" t="str">
        <f t="shared" si="254"/>
        <v>4644940</v>
      </c>
    </row>
    <row r="3526" spans="1:10" s="3" customFormat="1">
      <c r="B3526" s="3" t="s">
        <v>2130</v>
      </c>
      <c r="C3526" s="8">
        <v>4</v>
      </c>
      <c r="D3526" s="3" t="s">
        <v>2757</v>
      </c>
      <c r="E3526" s="11" t="s">
        <v>28</v>
      </c>
      <c r="F3526" s="11"/>
      <c r="G3526" s="14">
        <v>0.45180999999999999</v>
      </c>
      <c r="H3526" s="11"/>
      <c r="I3526" s="11"/>
      <c r="J3526" s="3" t="str">
        <f t="shared" si="254"/>
        <v>4644940</v>
      </c>
    </row>
    <row r="3527" spans="1:10" s="3" customFormat="1">
      <c r="B3527" s="3" t="s">
        <v>2130</v>
      </c>
      <c r="C3527" s="8">
        <v>4</v>
      </c>
      <c r="D3527" s="3" t="s">
        <v>2757</v>
      </c>
      <c r="E3527" s="11" t="s">
        <v>29</v>
      </c>
      <c r="F3527" s="11"/>
      <c r="G3527" s="15">
        <f>ROUND(G3525*G3526,0)</f>
        <v>5669</v>
      </c>
      <c r="H3527" s="16">
        <f t="shared" ref="H3527:H3537" si="255">ROUND(G3527/2,0)</f>
        <v>2835</v>
      </c>
      <c r="I3527" s="15">
        <f t="shared" ref="I3527:I3537" si="256">G3527-H3527</f>
        <v>2834</v>
      </c>
      <c r="J3527" s="3" t="str">
        <f t="shared" si="254"/>
        <v>4644940</v>
      </c>
    </row>
    <row r="3528" spans="1:10" s="3" customFormat="1">
      <c r="B3528" s="3" t="s">
        <v>2130</v>
      </c>
      <c r="C3528" s="8">
        <v>4</v>
      </c>
      <c r="D3528" s="3" t="s">
        <v>2757</v>
      </c>
      <c r="E3528" s="11" t="s">
        <v>30</v>
      </c>
      <c r="F3528" s="11"/>
      <c r="G3528" s="12">
        <f>+G3525-G3527</f>
        <v>6878</v>
      </c>
      <c r="H3528" s="13">
        <f t="shared" si="255"/>
        <v>3439</v>
      </c>
      <c r="I3528" s="12">
        <f t="shared" si="256"/>
        <v>3439</v>
      </c>
      <c r="J3528" s="3" t="str">
        <f t="shared" si="254"/>
        <v>4644940</v>
      </c>
    </row>
    <row r="3529" spans="1:10" s="3" customFormat="1">
      <c r="B3529" s="3" t="s">
        <v>2130</v>
      </c>
      <c r="C3529" s="8">
        <v>5</v>
      </c>
      <c r="D3529" s="3" t="s">
        <v>2762</v>
      </c>
      <c r="E3529" s="11" t="s">
        <v>1094</v>
      </c>
      <c r="F3529" s="10">
        <v>7.54E-4</v>
      </c>
      <c r="G3529" s="120">
        <f t="shared" ref="G3529:G3536" si="257">ROUND(G$3*F3529,0)</f>
        <v>217</v>
      </c>
      <c r="H3529" s="120">
        <f t="shared" si="255"/>
        <v>109</v>
      </c>
      <c r="I3529" s="120">
        <f t="shared" si="256"/>
        <v>108</v>
      </c>
      <c r="J3529" s="3" t="str">
        <f t="shared" si="254"/>
        <v>4650281</v>
      </c>
    </row>
    <row r="3530" spans="1:10" s="3" customFormat="1">
      <c r="B3530" s="3" t="s">
        <v>2130</v>
      </c>
      <c r="C3530" s="8">
        <v>5</v>
      </c>
      <c r="D3530" s="3" t="s">
        <v>4815</v>
      </c>
      <c r="E3530" s="11" t="s">
        <v>1095</v>
      </c>
      <c r="F3530" s="10">
        <v>2.5807E-2</v>
      </c>
      <c r="G3530" s="120">
        <f t="shared" si="257"/>
        <v>7425</v>
      </c>
      <c r="H3530" s="120">
        <f t="shared" si="255"/>
        <v>3713</v>
      </c>
      <c r="I3530" s="120">
        <f t="shared" si="256"/>
        <v>3712</v>
      </c>
      <c r="J3530" s="3" t="str">
        <f t="shared" si="254"/>
        <v>4650277</v>
      </c>
    </row>
    <row r="3531" spans="1:10" s="3" customFormat="1">
      <c r="B3531" s="3" t="s">
        <v>2130</v>
      </c>
      <c r="C3531" s="8">
        <v>5</v>
      </c>
      <c r="D3531" s="3" t="s">
        <v>4811</v>
      </c>
      <c r="E3531" s="11" t="s">
        <v>1096</v>
      </c>
      <c r="F3531" s="10">
        <v>1.1894999999999999E-2</v>
      </c>
      <c r="G3531" s="120">
        <f t="shared" si="257"/>
        <v>3422</v>
      </c>
      <c r="H3531" s="120">
        <f t="shared" si="255"/>
        <v>1711</v>
      </c>
      <c r="I3531" s="120">
        <f t="shared" si="256"/>
        <v>1711</v>
      </c>
      <c r="J3531" s="3" t="str">
        <f t="shared" si="254"/>
        <v>4650130</v>
      </c>
    </row>
    <row r="3532" spans="1:10" s="3" customFormat="1">
      <c r="B3532" s="3" t="s">
        <v>2130</v>
      </c>
      <c r="C3532" s="8">
        <v>5</v>
      </c>
      <c r="D3532" s="3" t="s">
        <v>2760</v>
      </c>
      <c r="E3532" s="11" t="s">
        <v>1097</v>
      </c>
      <c r="F3532" s="10">
        <v>8.52E-4</v>
      </c>
      <c r="G3532" s="120">
        <f t="shared" si="257"/>
        <v>245</v>
      </c>
      <c r="H3532" s="120">
        <f t="shared" si="255"/>
        <v>123</v>
      </c>
      <c r="I3532" s="120">
        <f t="shared" si="256"/>
        <v>122</v>
      </c>
      <c r="J3532" s="3" t="str">
        <f t="shared" si="254"/>
        <v>4650131</v>
      </c>
    </row>
    <row r="3533" spans="1:10" s="3" customFormat="1">
      <c r="B3533" s="3" t="s">
        <v>2130</v>
      </c>
      <c r="C3533" s="8">
        <v>5</v>
      </c>
      <c r="D3533" s="3" t="s">
        <v>2761</v>
      </c>
      <c r="E3533" s="11" t="s">
        <v>1098</v>
      </c>
      <c r="F3533" s="10">
        <v>2.2369999999999998E-3</v>
      </c>
      <c r="G3533" s="120">
        <f t="shared" si="257"/>
        <v>644</v>
      </c>
      <c r="H3533" s="120">
        <f t="shared" si="255"/>
        <v>322</v>
      </c>
      <c r="I3533" s="120">
        <f t="shared" si="256"/>
        <v>322</v>
      </c>
      <c r="J3533" s="3" t="str">
        <f t="shared" si="254"/>
        <v>4650132</v>
      </c>
    </row>
    <row r="3534" spans="1:10" s="3" customFormat="1">
      <c r="A3534" s="3" t="s">
        <v>6269</v>
      </c>
      <c r="B3534" s="3" t="s">
        <v>2130</v>
      </c>
      <c r="C3534" s="8">
        <v>6</v>
      </c>
      <c r="D3534" s="3" t="s">
        <v>4823</v>
      </c>
      <c r="E3534" s="11" t="s">
        <v>1099</v>
      </c>
      <c r="F3534" s="10">
        <v>0</v>
      </c>
      <c r="G3534" s="120">
        <f t="shared" si="257"/>
        <v>0</v>
      </c>
      <c r="H3534" s="120">
        <f t="shared" si="255"/>
        <v>0</v>
      </c>
      <c r="I3534" s="120">
        <f t="shared" si="256"/>
        <v>0</v>
      </c>
      <c r="J3534" s="3" t="str">
        <f t="shared" si="254"/>
        <v>4661020</v>
      </c>
    </row>
    <row r="3535" spans="1:10" s="3" customFormat="1">
      <c r="B3535" s="3" t="s">
        <v>2130</v>
      </c>
      <c r="C3535" s="8">
        <v>6</v>
      </c>
      <c r="D3535" s="3" t="s">
        <v>2764</v>
      </c>
      <c r="E3535" s="11" t="s">
        <v>1100</v>
      </c>
      <c r="F3535" s="10">
        <v>1.652E-3</v>
      </c>
      <c r="G3535" s="120">
        <f t="shared" si="257"/>
        <v>475</v>
      </c>
      <c r="H3535" s="120">
        <f t="shared" si="255"/>
        <v>238</v>
      </c>
      <c r="I3535" s="120">
        <f t="shared" si="256"/>
        <v>237</v>
      </c>
      <c r="J3535" s="3" t="str">
        <f t="shared" si="254"/>
        <v>4660978</v>
      </c>
    </row>
    <row r="3536" spans="1:10" s="3" customFormat="1">
      <c r="B3536" s="3" t="s">
        <v>2130</v>
      </c>
      <c r="C3536" s="8">
        <v>6</v>
      </c>
      <c r="D3536" s="3" t="s">
        <v>2765</v>
      </c>
      <c r="E3536" s="11" t="s">
        <v>1101</v>
      </c>
      <c r="F3536" s="10">
        <v>1.1299999999999999E-3</v>
      </c>
      <c r="G3536" s="12">
        <f t="shared" si="257"/>
        <v>325</v>
      </c>
      <c r="H3536" s="13">
        <f t="shared" si="255"/>
        <v>163</v>
      </c>
      <c r="I3536" s="12">
        <f t="shared" si="256"/>
        <v>162</v>
      </c>
      <c r="J3536" s="3" t="str">
        <f t="shared" si="254"/>
        <v>4661017</v>
      </c>
    </row>
    <row r="3537" spans="2:10" s="3" customFormat="1">
      <c r="B3537" s="3" t="s">
        <v>2130</v>
      </c>
      <c r="C3537" s="8">
        <v>6</v>
      </c>
      <c r="D3537" s="3" t="s">
        <v>2763</v>
      </c>
      <c r="E3537" s="11" t="s">
        <v>1102</v>
      </c>
      <c r="F3537" s="10">
        <v>2.8268999999999989E-2</v>
      </c>
      <c r="G3537" s="12">
        <f>+G3413-SUM(G3414:G3415)-SUM(G3420:G3493)-G3497-G3501-G3505-G3509-G3513-G3517-G3521-G3525-SUM(G3529:G3536)</f>
        <v>1068246</v>
      </c>
      <c r="H3537" s="13">
        <f t="shared" si="255"/>
        <v>534123</v>
      </c>
      <c r="I3537" s="12">
        <f t="shared" si="256"/>
        <v>534123</v>
      </c>
      <c r="J3537" s="3" t="str">
        <f t="shared" si="254"/>
        <v>4660817</v>
      </c>
    </row>
    <row r="3538" spans="2:10" s="3" customFormat="1">
      <c r="B3538" s="3" t="s">
        <v>2130</v>
      </c>
      <c r="C3538" s="8">
        <v>0</v>
      </c>
      <c r="D3538" s="125" t="s">
        <v>2187</v>
      </c>
      <c r="E3538" s="28" t="s">
        <v>288</v>
      </c>
      <c r="F3538" s="10">
        <v>1</v>
      </c>
      <c r="G3538" s="12">
        <f>+G3414+SUM(G3417:G3492)+SUM(G3495:G3496)+SUM(G3499:G3500)+SUM(G3503:G3504)+SUM(G3507:G3508)+SUM(G3511:G3512)+SUM(G3515:G3516)+SUM(G3519:G3520)+SUM(G3523:G3524)+SUM(G3527:G3537)</f>
        <v>1347834</v>
      </c>
      <c r="H3538" s="12">
        <f>+H3414+SUM(H3417:H3492)+SUM(H3495:H3496)+SUM(H3499:H3500)+SUM(H3503:H3504)+SUM(H3507:H3508)+SUM(H3511:H3512)+SUM(H3515:H3516)+SUM(H3519:H3520)+SUM(H3523:H3524)+SUM(H3527:H3537)</f>
        <v>673941</v>
      </c>
      <c r="I3538" s="12">
        <f>+I3414+SUM(I3417:I3492)+SUM(I3495:I3496)+SUM(I3499:I3500)+SUM(I3503:I3504)+SUM(I3507:I3508)+SUM(I3511:I3512)+SUM(I3515:I3516)+SUM(I3519:I3520)+SUM(I3523:I3524)+SUM(I3527:I3537)</f>
        <v>673893</v>
      </c>
      <c r="J3538" s="3" t="str">
        <f t="shared" si="254"/>
        <v>4600000</v>
      </c>
    </row>
    <row r="3539" spans="2:10" s="3" customFormat="1">
      <c r="B3539" s="3" t="s">
        <v>2130</v>
      </c>
      <c r="C3539" s="8">
        <v>0</v>
      </c>
      <c r="D3539" s="3" t="s">
        <v>2187</v>
      </c>
      <c r="E3539" s="18" t="s">
        <v>38</v>
      </c>
      <c r="G3539" s="19">
        <f>+G3414</f>
        <v>271</v>
      </c>
      <c r="H3539" s="19">
        <f>+H3414</f>
        <v>136</v>
      </c>
      <c r="I3539" s="19">
        <f>+I3414</f>
        <v>135</v>
      </c>
      <c r="J3539" s="3" t="str">
        <f t="shared" si="254"/>
        <v>4600000</v>
      </c>
    </row>
    <row r="3540" spans="2:10" s="3" customFormat="1">
      <c r="B3540" s="3" t="s">
        <v>2130</v>
      </c>
      <c r="C3540" s="8">
        <v>0</v>
      </c>
      <c r="D3540" s="3" t="s">
        <v>2187</v>
      </c>
      <c r="E3540" s="2" t="s">
        <v>39</v>
      </c>
      <c r="G3540" s="19">
        <f>+G3417</f>
        <v>16592</v>
      </c>
      <c r="H3540" s="19">
        <f>+H3417</f>
        <v>8296</v>
      </c>
      <c r="I3540" s="19">
        <f>+I3417</f>
        <v>8296</v>
      </c>
      <c r="J3540" s="3" t="str">
        <f t="shared" si="254"/>
        <v>4600000</v>
      </c>
    </row>
    <row r="3541" spans="2:10" s="3" customFormat="1">
      <c r="B3541" s="3" t="s">
        <v>2130</v>
      </c>
      <c r="C3541" s="8">
        <v>0</v>
      </c>
      <c r="D3541" s="3" t="s">
        <v>2187</v>
      </c>
      <c r="E3541" s="2" t="s">
        <v>40</v>
      </c>
      <c r="G3541" s="19">
        <f>+G3495+G3499+G3503+G3507+G3511+G3515+G3519+G3523+G3527</f>
        <v>72972</v>
      </c>
      <c r="H3541" s="19">
        <f>+H3495+H3499+H3503+H3507+H3511+H3515+H3519+H3523+H3527</f>
        <v>36490</v>
      </c>
      <c r="I3541" s="19">
        <f>+I3495+I3499+I3503+I3507+I3511+I3515+I3519+I3523+I3527</f>
        <v>36482</v>
      </c>
      <c r="J3541" s="3" t="str">
        <f t="shared" si="254"/>
        <v>4600000</v>
      </c>
    </row>
    <row r="3542" spans="2:10" s="3" customFormat="1">
      <c r="B3542" s="3" t="s">
        <v>2130</v>
      </c>
      <c r="C3542" s="8">
        <v>0</v>
      </c>
      <c r="D3542" s="125" t="s">
        <v>2187</v>
      </c>
      <c r="E3542" s="18" t="s">
        <v>41</v>
      </c>
      <c r="G3542" s="19">
        <f>+G3538-G3539-G3540-G3541</f>
        <v>1257999</v>
      </c>
      <c r="H3542" s="19">
        <f>+H3538-H3539-H3540-H3541</f>
        <v>629019</v>
      </c>
      <c r="I3542" s="19">
        <f>+I3538-I3539-I3540-I3541</f>
        <v>628980</v>
      </c>
      <c r="J3542" s="3" t="str">
        <f t="shared" si="254"/>
        <v>4600000</v>
      </c>
    </row>
    <row r="3543" spans="2:10" ht="15.75">
      <c r="B3543" s="3" t="s">
        <v>2186</v>
      </c>
      <c r="D3543" t="s">
        <v>2186</v>
      </c>
      <c r="E3543">
        <v>0</v>
      </c>
      <c r="G3543"/>
      <c r="H3543"/>
      <c r="I3543"/>
      <c r="J3543" s="3" t="str">
        <f t="shared" si="254"/>
        <v/>
      </c>
    </row>
    <row r="3544" spans="2:10" s="3" customFormat="1">
      <c r="C3544" s="1"/>
      <c r="D3544" s="3" t="s">
        <v>2186</v>
      </c>
      <c r="E3544" s="2" t="s">
        <v>1103</v>
      </c>
      <c r="J3544" s="3" t="str">
        <f t="shared" si="254"/>
        <v/>
      </c>
    </row>
    <row r="3545" spans="2:10" s="3" customFormat="1" ht="45">
      <c r="B3545" s="3" t="s">
        <v>2186</v>
      </c>
      <c r="C3545" s="1"/>
      <c r="D3545" s="3" t="s">
        <v>2186</v>
      </c>
      <c r="E3545" s="1">
        <v>0</v>
      </c>
      <c r="F3545" s="6" t="s">
        <v>1</v>
      </c>
      <c r="G3545" s="60">
        <f>'Allocation Worksheet'!H3545</f>
        <v>0</v>
      </c>
      <c r="H3545" s="60">
        <f>'Allocation Worksheet'!H3546</f>
        <v>0</v>
      </c>
      <c r="I3545" s="60">
        <f>'Allocation Worksheet'!H3547</f>
        <v>0</v>
      </c>
      <c r="J3545" s="3" t="str">
        <f t="shared" si="254"/>
        <v/>
      </c>
    </row>
    <row r="3546" spans="2:10" s="3" customFormat="1">
      <c r="C3546" s="7" t="s">
        <v>2087</v>
      </c>
      <c r="D3546" s="3" t="s">
        <v>2186</v>
      </c>
      <c r="E3546" s="7" t="s">
        <v>3</v>
      </c>
      <c r="F3546" s="10"/>
      <c r="G3546" s="9">
        <f>'Allocation Worksheet'!$D$50</f>
        <v>406178</v>
      </c>
      <c r="H3546" s="11"/>
      <c r="I3546" s="11"/>
      <c r="J3546" s="3" t="str">
        <f t="shared" si="254"/>
        <v>UT</v>
      </c>
    </row>
    <row r="3547" spans="2:10" s="3" customFormat="1">
      <c r="B3547" s="3" t="s">
        <v>2131</v>
      </c>
      <c r="C3547" s="8">
        <v>0</v>
      </c>
      <c r="D3547" s="3" t="s">
        <v>2187</v>
      </c>
      <c r="E3547" s="11" t="s">
        <v>4</v>
      </c>
      <c r="F3547" s="10">
        <v>9.7400000000000004E-4</v>
      </c>
      <c r="G3547" s="12">
        <f>ROUND(G$3*F3547,0)</f>
        <v>280</v>
      </c>
      <c r="H3547" s="13">
        <f>ROUND(G3547/2,0)</f>
        <v>140</v>
      </c>
      <c r="I3547" s="12">
        <f>G3547-H3547</f>
        <v>140</v>
      </c>
      <c r="J3547" s="3" t="str">
        <f t="shared" si="254"/>
        <v>4700000</v>
      </c>
    </row>
    <row r="3548" spans="2:10" s="3" customFormat="1">
      <c r="B3548" s="3" t="s">
        <v>2131</v>
      </c>
      <c r="C3548" s="8">
        <v>1</v>
      </c>
      <c r="D3548" s="3" t="s">
        <v>2187</v>
      </c>
      <c r="E3548" s="11" t="s">
        <v>1104</v>
      </c>
      <c r="F3548" s="10">
        <v>0.208399</v>
      </c>
      <c r="G3548" s="9">
        <f>ROUND(G$3*F3548,0)</f>
        <v>59961</v>
      </c>
      <c r="H3548" s="11">
        <f>ROUND(G3548/2,0)</f>
        <v>29981</v>
      </c>
      <c r="I3548" s="9">
        <f>G3548-H3548</f>
        <v>29980</v>
      </c>
      <c r="J3548" s="3" t="str">
        <f t="shared" si="254"/>
        <v>4710000</v>
      </c>
    </row>
    <row r="3549" spans="2:10" s="3" customFormat="1">
      <c r="B3549" s="3" t="s">
        <v>2131</v>
      </c>
      <c r="C3549" s="8">
        <v>1</v>
      </c>
      <c r="D3549" s="3" t="s">
        <v>2187</v>
      </c>
      <c r="E3549" s="11" t="s">
        <v>6</v>
      </c>
      <c r="F3549" s="11"/>
      <c r="G3549" s="14">
        <v>0.23760999999999999</v>
      </c>
      <c r="H3549" s="11"/>
      <c r="I3549" s="11"/>
      <c r="J3549" s="3" t="str">
        <f t="shared" si="254"/>
        <v>4710000</v>
      </c>
    </row>
    <row r="3550" spans="2:10" s="3" customFormat="1">
      <c r="B3550" s="3" t="s">
        <v>2131</v>
      </c>
      <c r="C3550" s="8">
        <v>1</v>
      </c>
      <c r="D3550" s="3" t="s">
        <v>2187</v>
      </c>
      <c r="E3550" s="11" t="s">
        <v>7</v>
      </c>
      <c r="F3550" s="11"/>
      <c r="G3550" s="15">
        <f>ROUND(G3548*G3549,0)</f>
        <v>14247</v>
      </c>
      <c r="H3550" s="16">
        <f>ROUND(G3550/2,0)</f>
        <v>7124</v>
      </c>
      <c r="I3550" s="15">
        <f>G3550-H3550</f>
        <v>7123</v>
      </c>
      <c r="J3550" s="3" t="str">
        <f t="shared" si="254"/>
        <v>4710000</v>
      </c>
    </row>
    <row r="3551" spans="2:10" s="3" customFormat="1">
      <c r="B3551" s="3" t="s">
        <v>2131</v>
      </c>
      <c r="C3551" s="8">
        <v>1</v>
      </c>
      <c r="D3551" s="3" t="s">
        <v>2187</v>
      </c>
      <c r="E3551" s="11" t="s">
        <v>8</v>
      </c>
      <c r="F3551" s="11"/>
      <c r="G3551" s="12">
        <f>+G3548-G3550</f>
        <v>45714</v>
      </c>
      <c r="H3551" s="13">
        <f>ROUND(G3551/2,0)</f>
        <v>22857</v>
      </c>
      <c r="I3551" s="12">
        <f>G3551-H3551</f>
        <v>22857</v>
      </c>
      <c r="J3551" s="3" t="str">
        <f t="shared" si="254"/>
        <v>4710000</v>
      </c>
    </row>
    <row r="3552" spans="2:10" s="3" customFormat="1">
      <c r="B3552" s="3" t="s">
        <v>2131</v>
      </c>
      <c r="C3552" s="8">
        <v>2</v>
      </c>
      <c r="D3552" s="3" t="s">
        <v>2188</v>
      </c>
      <c r="E3552" s="11" t="s">
        <v>1105</v>
      </c>
      <c r="F3552" s="11"/>
      <c r="G3552" s="9"/>
      <c r="H3552" s="11"/>
      <c r="I3552" s="11"/>
      <c r="J3552" s="3" t="str">
        <f t="shared" si="254"/>
        <v>4720001</v>
      </c>
    </row>
    <row r="3553" spans="2:10" s="3" customFormat="1">
      <c r="B3553" s="3" t="s">
        <v>2131</v>
      </c>
      <c r="C3553" s="8">
        <v>2</v>
      </c>
      <c r="D3553" s="3" t="s">
        <v>2188</v>
      </c>
      <c r="E3553" s="11" t="s">
        <v>10</v>
      </c>
      <c r="F3553" s="10">
        <v>1.03E-4</v>
      </c>
      <c r="G3553" s="12">
        <f>ROUND(G$3*F3553,0)</f>
        <v>30</v>
      </c>
      <c r="H3553" s="13">
        <f>ROUND(G3553/2,0)</f>
        <v>15</v>
      </c>
      <c r="I3553" s="12">
        <f>G3553-H3553</f>
        <v>15</v>
      </c>
      <c r="J3553" s="3" t="str">
        <f t="shared" si="254"/>
        <v>4720001</v>
      </c>
    </row>
    <row r="3554" spans="2:10" s="3" customFormat="1">
      <c r="B3554" s="3" t="s">
        <v>2131</v>
      </c>
      <c r="C3554" s="8">
        <v>2</v>
      </c>
      <c r="D3554" s="3" t="s">
        <v>2188</v>
      </c>
      <c r="E3554" s="11" t="s">
        <v>11</v>
      </c>
      <c r="F3554" s="10">
        <v>4.8999999999999998E-5</v>
      </c>
      <c r="G3554" s="12">
        <f>ROUND(G$3*F3554,0)</f>
        <v>14</v>
      </c>
      <c r="H3554" s="13">
        <f>ROUND(G3554/2,0)</f>
        <v>7</v>
      </c>
      <c r="I3554" s="12">
        <f>G3554-H3554</f>
        <v>7</v>
      </c>
      <c r="J3554" s="3" t="str">
        <f t="shared" si="254"/>
        <v>4720001</v>
      </c>
    </row>
    <row r="3555" spans="2:10" s="3" customFormat="1">
      <c r="B3555" s="3" t="s">
        <v>2131</v>
      </c>
      <c r="C3555" s="8">
        <v>2</v>
      </c>
      <c r="D3555" s="3" t="s">
        <v>2189</v>
      </c>
      <c r="E3555" s="11" t="s">
        <v>1106</v>
      </c>
      <c r="F3555" s="11"/>
      <c r="G3555" s="9"/>
      <c r="H3555" s="11"/>
      <c r="I3555" s="11"/>
      <c r="J3555" s="3" t="str">
        <f t="shared" si="254"/>
        <v>4720002</v>
      </c>
    </row>
    <row r="3556" spans="2:10" s="3" customFormat="1">
      <c r="B3556" s="3" t="s">
        <v>2131</v>
      </c>
      <c r="C3556" s="8">
        <v>2</v>
      </c>
      <c r="D3556" s="3" t="s">
        <v>2189</v>
      </c>
      <c r="E3556" s="11" t="s">
        <v>10</v>
      </c>
      <c r="F3556" s="10">
        <v>7.3399999999999995E-4</v>
      </c>
      <c r="G3556" s="12">
        <f>ROUND(G$3*F3556,0)</f>
        <v>211</v>
      </c>
      <c r="H3556" s="13">
        <f>ROUND(G3556/2,0)</f>
        <v>106</v>
      </c>
      <c r="I3556" s="12">
        <f>G3556-H3556</f>
        <v>105</v>
      </c>
      <c r="J3556" s="3" t="str">
        <f t="shared" si="254"/>
        <v>4720002</v>
      </c>
    </row>
    <row r="3557" spans="2:10" s="3" customFormat="1">
      <c r="B3557" s="3" t="s">
        <v>2131</v>
      </c>
      <c r="C3557" s="8">
        <v>2</v>
      </c>
      <c r="D3557" s="3" t="s">
        <v>2189</v>
      </c>
      <c r="E3557" s="11" t="s">
        <v>11</v>
      </c>
      <c r="F3557" s="10">
        <v>3.6299999999999999E-4</v>
      </c>
      <c r="G3557" s="12">
        <f>ROUND(G$3*F3557,0)</f>
        <v>104</v>
      </c>
      <c r="H3557" s="13">
        <f>ROUND(G3557/2,0)</f>
        <v>52</v>
      </c>
      <c r="I3557" s="12">
        <f>G3557-H3557</f>
        <v>52</v>
      </c>
      <c r="J3557" s="3" t="str">
        <f t="shared" si="254"/>
        <v>4720002</v>
      </c>
    </row>
    <row r="3558" spans="2:10" s="3" customFormat="1">
      <c r="B3558" s="3" t="s">
        <v>2131</v>
      </c>
      <c r="C3558" s="8">
        <v>2</v>
      </c>
      <c r="D3558" s="3" t="s">
        <v>2190</v>
      </c>
      <c r="E3558" s="11" t="s">
        <v>1107</v>
      </c>
      <c r="F3558" s="11"/>
      <c r="G3558" s="9"/>
      <c r="H3558" s="11"/>
      <c r="I3558" s="11"/>
      <c r="J3558" s="3" t="str">
        <f t="shared" si="254"/>
        <v>4720003</v>
      </c>
    </row>
    <row r="3559" spans="2:10" s="3" customFormat="1">
      <c r="B3559" s="3" t="s">
        <v>2131</v>
      </c>
      <c r="C3559" s="8">
        <v>2</v>
      </c>
      <c r="D3559" s="3" t="s">
        <v>2190</v>
      </c>
      <c r="E3559" s="11" t="s">
        <v>10</v>
      </c>
      <c r="F3559" s="10">
        <v>5.2099999999999998E-4</v>
      </c>
      <c r="G3559" s="12">
        <f>ROUND(G$3*F3559,0)</f>
        <v>150</v>
      </c>
      <c r="H3559" s="13">
        <f>ROUND(G3559/2,0)</f>
        <v>75</v>
      </c>
      <c r="I3559" s="12">
        <f>G3559-H3559</f>
        <v>75</v>
      </c>
      <c r="J3559" s="3" t="str">
        <f t="shared" si="254"/>
        <v>4720003</v>
      </c>
    </row>
    <row r="3560" spans="2:10" s="3" customFormat="1">
      <c r="B3560" s="3" t="s">
        <v>2131</v>
      </c>
      <c r="C3560" s="8">
        <v>2</v>
      </c>
      <c r="D3560" s="3" t="s">
        <v>2190</v>
      </c>
      <c r="E3560" s="11" t="s">
        <v>11</v>
      </c>
      <c r="F3560" s="10">
        <v>3.4299999999999999E-4</v>
      </c>
      <c r="G3560" s="12">
        <f>ROUND(G$3*F3560,0)</f>
        <v>99</v>
      </c>
      <c r="H3560" s="13">
        <f>ROUND(G3560/2,0)</f>
        <v>50</v>
      </c>
      <c r="I3560" s="12">
        <f>G3560-H3560</f>
        <v>49</v>
      </c>
      <c r="J3560" s="3" t="str">
        <f t="shared" si="254"/>
        <v>4720003</v>
      </c>
    </row>
    <row r="3561" spans="2:10" s="3" customFormat="1">
      <c r="B3561" s="3" t="s">
        <v>2131</v>
      </c>
      <c r="C3561" s="8">
        <v>2</v>
      </c>
      <c r="D3561" s="3" t="s">
        <v>2191</v>
      </c>
      <c r="E3561" s="11" t="s">
        <v>53</v>
      </c>
      <c r="F3561" s="11"/>
      <c r="G3561" s="9"/>
      <c r="H3561" s="11"/>
      <c r="I3561" s="11"/>
      <c r="J3561" s="3" t="str">
        <f t="shared" si="254"/>
        <v>4720004</v>
      </c>
    </row>
    <row r="3562" spans="2:10" s="3" customFormat="1">
      <c r="B3562" s="3" t="s">
        <v>2131</v>
      </c>
      <c r="C3562" s="8">
        <v>2</v>
      </c>
      <c r="D3562" s="3" t="s">
        <v>2191</v>
      </c>
      <c r="E3562" s="11" t="s">
        <v>10</v>
      </c>
      <c r="F3562" s="10">
        <v>1.243E-3</v>
      </c>
      <c r="G3562" s="12">
        <f>ROUND(G$3*F3562,0)</f>
        <v>358</v>
      </c>
      <c r="H3562" s="13">
        <f>ROUND(G3562/2,0)</f>
        <v>179</v>
      </c>
      <c r="I3562" s="12">
        <f>G3562-H3562</f>
        <v>179</v>
      </c>
      <c r="J3562" s="3" t="str">
        <f t="shared" si="254"/>
        <v>4720004</v>
      </c>
    </row>
    <row r="3563" spans="2:10" s="3" customFormat="1">
      <c r="B3563" s="3" t="s">
        <v>2131</v>
      </c>
      <c r="C3563" s="8">
        <v>2</v>
      </c>
      <c r="D3563" s="3" t="s">
        <v>2191</v>
      </c>
      <c r="E3563" s="11" t="s">
        <v>11</v>
      </c>
      <c r="F3563" s="10">
        <v>9.3300000000000002E-4</v>
      </c>
      <c r="G3563" s="12">
        <f>ROUND(G$3*F3563,0)</f>
        <v>268</v>
      </c>
      <c r="H3563" s="13">
        <f>ROUND(G3563/2,0)</f>
        <v>134</v>
      </c>
      <c r="I3563" s="12">
        <f>G3563-H3563</f>
        <v>134</v>
      </c>
      <c r="J3563" s="3" t="str">
        <f t="shared" si="254"/>
        <v>4720004</v>
      </c>
    </row>
    <row r="3564" spans="2:10" s="3" customFormat="1">
      <c r="B3564" s="3" t="s">
        <v>2131</v>
      </c>
      <c r="C3564" s="8">
        <v>2</v>
      </c>
      <c r="D3564" s="3" t="s">
        <v>2192</v>
      </c>
      <c r="E3564" s="11" t="s">
        <v>1108</v>
      </c>
      <c r="F3564" s="11"/>
      <c r="G3564" s="9"/>
      <c r="H3564" s="11"/>
      <c r="I3564" s="11"/>
      <c r="J3564" s="3" t="str">
        <f t="shared" si="254"/>
        <v>4720005</v>
      </c>
    </row>
    <row r="3565" spans="2:10" s="3" customFormat="1">
      <c r="B3565" s="3" t="s">
        <v>2131</v>
      </c>
      <c r="C3565" s="8">
        <v>2</v>
      </c>
      <c r="D3565" s="3" t="s">
        <v>2192</v>
      </c>
      <c r="E3565" s="11" t="s">
        <v>10</v>
      </c>
      <c r="F3565" s="10">
        <v>1.052E-3</v>
      </c>
      <c r="G3565" s="12">
        <f>ROUND(G$3*F3565,0)</f>
        <v>303</v>
      </c>
      <c r="H3565" s="13">
        <f>ROUND(G3565/2,0)</f>
        <v>152</v>
      </c>
      <c r="I3565" s="12">
        <f>G3565-H3565</f>
        <v>151</v>
      </c>
      <c r="J3565" s="3" t="str">
        <f t="shared" si="254"/>
        <v>4720005</v>
      </c>
    </row>
    <row r="3566" spans="2:10" s="3" customFormat="1">
      <c r="B3566" s="3" t="s">
        <v>2131</v>
      </c>
      <c r="C3566" s="8">
        <v>2</v>
      </c>
      <c r="D3566" s="3" t="s">
        <v>2192</v>
      </c>
      <c r="E3566" s="11" t="s">
        <v>11</v>
      </c>
      <c r="F3566" s="10">
        <v>6.1300000000000005E-4</v>
      </c>
      <c r="G3566" s="12">
        <f>ROUND(G$3*F3566,0)</f>
        <v>176</v>
      </c>
      <c r="H3566" s="13">
        <f>ROUND(G3566/2,0)</f>
        <v>88</v>
      </c>
      <c r="I3566" s="12">
        <f>G3566-H3566</f>
        <v>88</v>
      </c>
      <c r="J3566" s="3" t="str">
        <f t="shared" si="254"/>
        <v>4720005</v>
      </c>
    </row>
    <row r="3567" spans="2:10" s="3" customFormat="1">
      <c r="B3567" s="3" t="s">
        <v>2131</v>
      </c>
      <c r="C3567" s="8">
        <v>2</v>
      </c>
      <c r="D3567" s="3" t="s">
        <v>2193</v>
      </c>
      <c r="E3567" s="11" t="s">
        <v>56</v>
      </c>
      <c r="F3567" s="11"/>
      <c r="G3567" s="9"/>
      <c r="H3567" s="11"/>
      <c r="I3567" s="11"/>
      <c r="J3567" s="3" t="str">
        <f t="shared" si="254"/>
        <v>4720006</v>
      </c>
    </row>
    <row r="3568" spans="2:10" s="3" customFormat="1">
      <c r="B3568" s="3" t="s">
        <v>2131</v>
      </c>
      <c r="C3568" s="8">
        <v>2</v>
      </c>
      <c r="D3568" s="3" t="s">
        <v>2193</v>
      </c>
      <c r="E3568" s="11" t="s">
        <v>10</v>
      </c>
      <c r="F3568" s="10">
        <v>7.9900000000000001E-4</v>
      </c>
      <c r="G3568" s="12">
        <f>ROUND(G$3*F3568,0)</f>
        <v>230</v>
      </c>
      <c r="H3568" s="13">
        <f>ROUND(G3568/2,0)</f>
        <v>115</v>
      </c>
      <c r="I3568" s="12">
        <f>G3568-H3568</f>
        <v>115</v>
      </c>
      <c r="J3568" s="3" t="str">
        <f t="shared" si="254"/>
        <v>4720006</v>
      </c>
    </row>
    <row r="3569" spans="2:10" s="3" customFormat="1">
      <c r="B3569" s="3" t="s">
        <v>2131</v>
      </c>
      <c r="C3569" s="8">
        <v>2</v>
      </c>
      <c r="D3569" s="3" t="s">
        <v>2193</v>
      </c>
      <c r="E3569" s="11" t="s">
        <v>11</v>
      </c>
      <c r="F3569" s="10">
        <v>5.5400000000000002E-4</v>
      </c>
      <c r="G3569" s="12">
        <f>ROUND(G$3*F3569,0)</f>
        <v>159</v>
      </c>
      <c r="H3569" s="13">
        <f>ROUND(G3569/2,0)</f>
        <v>80</v>
      </c>
      <c r="I3569" s="12">
        <f>G3569-H3569</f>
        <v>79</v>
      </c>
      <c r="J3569" s="3" t="str">
        <f t="shared" si="254"/>
        <v>4720006</v>
      </c>
    </row>
    <row r="3570" spans="2:10" s="3" customFormat="1">
      <c r="B3570" s="3" t="s">
        <v>2131</v>
      </c>
      <c r="C3570" s="8">
        <v>2</v>
      </c>
      <c r="D3570" s="3" t="s">
        <v>2194</v>
      </c>
      <c r="E3570" s="11" t="s">
        <v>1109</v>
      </c>
      <c r="F3570" s="11"/>
      <c r="G3570" s="9"/>
      <c r="H3570" s="11"/>
      <c r="I3570" s="11"/>
      <c r="J3570" s="3" t="str">
        <f t="shared" si="254"/>
        <v>4720007</v>
      </c>
    </row>
    <row r="3571" spans="2:10" s="3" customFormat="1">
      <c r="B3571" s="3" t="s">
        <v>2131</v>
      </c>
      <c r="C3571" s="8">
        <v>2</v>
      </c>
      <c r="D3571" s="3" t="s">
        <v>2194</v>
      </c>
      <c r="E3571" s="11" t="s">
        <v>10</v>
      </c>
      <c r="F3571" s="10">
        <v>1.0250000000000001E-3</v>
      </c>
      <c r="G3571" s="12">
        <f>ROUND(G$3*F3571,0)</f>
        <v>295</v>
      </c>
      <c r="H3571" s="13">
        <f>ROUND(G3571/2,0)</f>
        <v>148</v>
      </c>
      <c r="I3571" s="12">
        <f>G3571-H3571</f>
        <v>147</v>
      </c>
      <c r="J3571" s="3" t="str">
        <f t="shared" si="254"/>
        <v>4720007</v>
      </c>
    </row>
    <row r="3572" spans="2:10" s="3" customFormat="1">
      <c r="B3572" s="3" t="s">
        <v>2131</v>
      </c>
      <c r="C3572" s="8">
        <v>2</v>
      </c>
      <c r="D3572" s="3" t="s">
        <v>2194</v>
      </c>
      <c r="E3572" s="11" t="s">
        <v>11</v>
      </c>
      <c r="F3572" s="10">
        <v>6.8400000000000004E-4</v>
      </c>
      <c r="G3572" s="12">
        <f>ROUND(G$3*F3572,0)</f>
        <v>197</v>
      </c>
      <c r="H3572" s="13">
        <f>ROUND(G3572/2,0)</f>
        <v>99</v>
      </c>
      <c r="I3572" s="12">
        <f>G3572-H3572</f>
        <v>98</v>
      </c>
      <c r="J3572" s="3" t="str">
        <f t="shared" si="254"/>
        <v>4720007</v>
      </c>
    </row>
    <row r="3573" spans="2:10" s="3" customFormat="1">
      <c r="B3573" s="3" t="s">
        <v>2131</v>
      </c>
      <c r="C3573" s="8">
        <v>2</v>
      </c>
      <c r="D3573" s="3" t="s">
        <v>2195</v>
      </c>
      <c r="E3573" s="11" t="s">
        <v>1110</v>
      </c>
      <c r="F3573" s="11"/>
      <c r="G3573" s="9"/>
      <c r="H3573" s="11"/>
      <c r="I3573" s="11"/>
      <c r="J3573" s="3" t="str">
        <f t="shared" si="254"/>
        <v>4720008</v>
      </c>
    </row>
    <row r="3574" spans="2:10" s="3" customFormat="1">
      <c r="B3574" s="3" t="s">
        <v>2131</v>
      </c>
      <c r="C3574" s="8">
        <v>2</v>
      </c>
      <c r="D3574" s="3" t="s">
        <v>2195</v>
      </c>
      <c r="E3574" s="11" t="s">
        <v>10</v>
      </c>
      <c r="F3574" s="10">
        <v>2.679E-3</v>
      </c>
      <c r="G3574" s="12">
        <f>ROUND(G$3*F3574,0)</f>
        <v>771</v>
      </c>
      <c r="H3574" s="13">
        <f>ROUND(G3574/2,0)</f>
        <v>386</v>
      </c>
      <c r="I3574" s="12">
        <f>G3574-H3574</f>
        <v>385</v>
      </c>
      <c r="J3574" s="3" t="str">
        <f t="shared" si="254"/>
        <v>4720008</v>
      </c>
    </row>
    <row r="3575" spans="2:10" s="3" customFormat="1">
      <c r="B3575" s="3" t="s">
        <v>2131</v>
      </c>
      <c r="C3575" s="8">
        <v>2</v>
      </c>
      <c r="D3575" s="3" t="s">
        <v>2195</v>
      </c>
      <c r="E3575" s="11" t="s">
        <v>11</v>
      </c>
      <c r="F3575" s="10">
        <v>4.7800000000000002E-4</v>
      </c>
      <c r="G3575" s="12">
        <f>ROUND(G$3*F3575,0)</f>
        <v>138</v>
      </c>
      <c r="H3575" s="13">
        <f>ROUND(G3575/2,0)</f>
        <v>69</v>
      </c>
      <c r="I3575" s="12">
        <f>G3575-H3575</f>
        <v>69</v>
      </c>
      <c r="J3575" s="3" t="str">
        <f t="shared" si="254"/>
        <v>4720008</v>
      </c>
    </row>
    <row r="3576" spans="2:10" s="3" customFormat="1">
      <c r="B3576" s="3" t="s">
        <v>2131</v>
      </c>
      <c r="C3576" s="8">
        <v>2</v>
      </c>
      <c r="D3576" s="3" t="s">
        <v>2196</v>
      </c>
      <c r="E3576" s="11" t="s">
        <v>1111</v>
      </c>
      <c r="F3576" s="11"/>
      <c r="G3576" s="9"/>
      <c r="H3576" s="11"/>
      <c r="I3576" s="11"/>
      <c r="J3576" s="3" t="str">
        <f t="shared" si="254"/>
        <v>4720009</v>
      </c>
    </row>
    <row r="3577" spans="2:10" s="3" customFormat="1">
      <c r="B3577" s="3" t="s">
        <v>2131</v>
      </c>
      <c r="C3577" s="8">
        <v>2</v>
      </c>
      <c r="D3577" s="3" t="s">
        <v>2196</v>
      </c>
      <c r="E3577" s="11" t="s">
        <v>10</v>
      </c>
      <c r="F3577" s="10">
        <v>2.199E-3</v>
      </c>
      <c r="G3577" s="12">
        <f t="shared" ref="G3577:G3582" si="258">ROUND(G$3*F3577,0)</f>
        <v>633</v>
      </c>
      <c r="H3577" s="13">
        <f t="shared" ref="H3577:H3582" si="259">ROUND(G3577/2,0)</f>
        <v>317</v>
      </c>
      <c r="I3577" s="12">
        <f t="shared" ref="I3577:I3582" si="260">G3577-H3577</f>
        <v>316</v>
      </c>
      <c r="J3577" s="3" t="str">
        <f t="shared" si="254"/>
        <v>4720009</v>
      </c>
    </row>
    <row r="3578" spans="2:10" s="3" customFormat="1">
      <c r="B3578" s="3" t="s">
        <v>2131</v>
      </c>
      <c r="C3578" s="8">
        <v>2</v>
      </c>
      <c r="D3578" s="3" t="s">
        <v>2196</v>
      </c>
      <c r="E3578" s="11" t="s">
        <v>11</v>
      </c>
      <c r="F3578" s="10">
        <v>9.7999999999999997E-4</v>
      </c>
      <c r="G3578" s="12">
        <f t="shared" si="258"/>
        <v>282</v>
      </c>
      <c r="H3578" s="13">
        <f t="shared" si="259"/>
        <v>141</v>
      </c>
      <c r="I3578" s="12">
        <f t="shared" si="260"/>
        <v>141</v>
      </c>
      <c r="J3578" s="3" t="str">
        <f t="shared" si="254"/>
        <v>4720009</v>
      </c>
    </row>
    <row r="3579" spans="2:10" s="3" customFormat="1">
      <c r="B3579" s="3" t="s">
        <v>2131</v>
      </c>
      <c r="C3579" s="8">
        <v>3</v>
      </c>
      <c r="D3579" s="3" t="s">
        <v>2766</v>
      </c>
      <c r="E3579" s="11" t="s">
        <v>1112</v>
      </c>
      <c r="F3579" s="10">
        <v>7.3298000000000002E-2</v>
      </c>
      <c r="G3579" s="12">
        <f t="shared" si="258"/>
        <v>21090</v>
      </c>
      <c r="H3579" s="13">
        <f t="shared" si="259"/>
        <v>10545</v>
      </c>
      <c r="I3579" s="12">
        <f t="shared" si="260"/>
        <v>10545</v>
      </c>
      <c r="J3579" s="3" t="str">
        <f t="shared" si="254"/>
        <v>4730315</v>
      </c>
    </row>
    <row r="3580" spans="2:10" s="3" customFormat="1">
      <c r="B3580" s="3" t="s">
        <v>2131</v>
      </c>
      <c r="C3580" s="8">
        <v>3</v>
      </c>
      <c r="D3580" s="3" t="s">
        <v>2767</v>
      </c>
      <c r="E3580" s="11" t="s">
        <v>1113</v>
      </c>
      <c r="F3580" s="10">
        <v>1.7298999999999998E-2</v>
      </c>
      <c r="G3580" s="12">
        <f t="shared" si="258"/>
        <v>4977</v>
      </c>
      <c r="H3580" s="13">
        <f t="shared" si="259"/>
        <v>2489</v>
      </c>
      <c r="I3580" s="12">
        <f t="shared" si="260"/>
        <v>2488</v>
      </c>
      <c r="J3580" s="3" t="str">
        <f t="shared" si="254"/>
        <v>4730445</v>
      </c>
    </row>
    <row r="3581" spans="2:10" s="3" customFormat="1">
      <c r="B3581" s="3" t="s">
        <v>2131</v>
      </c>
      <c r="C3581" s="8">
        <v>3</v>
      </c>
      <c r="D3581" s="3" t="s">
        <v>2768</v>
      </c>
      <c r="E3581" s="11" t="s">
        <v>1114</v>
      </c>
      <c r="F3581" s="10">
        <v>9.6699999999999998E-4</v>
      </c>
      <c r="G3581" s="12">
        <f t="shared" si="258"/>
        <v>278</v>
      </c>
      <c r="H3581" s="13">
        <f t="shared" si="259"/>
        <v>139</v>
      </c>
      <c r="I3581" s="12">
        <f t="shared" si="260"/>
        <v>139</v>
      </c>
      <c r="J3581" s="3" t="str">
        <f t="shared" si="254"/>
        <v>4730745</v>
      </c>
    </row>
    <row r="3582" spans="2:10" s="3" customFormat="1">
      <c r="B3582" s="3" t="s">
        <v>2131</v>
      </c>
      <c r="C3582" s="8">
        <v>4</v>
      </c>
      <c r="D3582" s="3" t="s">
        <v>2770</v>
      </c>
      <c r="E3582" s="11" t="s">
        <v>1115</v>
      </c>
      <c r="F3582" s="10">
        <v>0.24216399999999999</v>
      </c>
      <c r="G3582" s="9">
        <f t="shared" si="258"/>
        <v>69676</v>
      </c>
      <c r="H3582" s="11">
        <f t="shared" si="259"/>
        <v>34838</v>
      </c>
      <c r="I3582" s="9">
        <f t="shared" si="260"/>
        <v>34838</v>
      </c>
      <c r="J3582" s="3" t="str">
        <f t="shared" si="254"/>
        <v>4745085</v>
      </c>
    </row>
    <row r="3583" spans="2:10" s="3" customFormat="1">
      <c r="B3583" s="3" t="s">
        <v>2131</v>
      </c>
      <c r="C3583" s="8">
        <v>4</v>
      </c>
      <c r="D3583" s="3" t="s">
        <v>2770</v>
      </c>
      <c r="E3583" s="11" t="s">
        <v>28</v>
      </c>
      <c r="F3583" s="11"/>
      <c r="G3583" s="14">
        <v>0.34018300000000001</v>
      </c>
      <c r="H3583" s="11"/>
      <c r="I3583" s="11"/>
      <c r="J3583" s="3" t="str">
        <f t="shared" si="254"/>
        <v>4745085</v>
      </c>
    </row>
    <row r="3584" spans="2:10" s="3" customFormat="1">
      <c r="B3584" s="3" t="s">
        <v>2131</v>
      </c>
      <c r="C3584" s="8">
        <v>4</v>
      </c>
      <c r="D3584" s="3" t="s">
        <v>2770</v>
      </c>
      <c r="E3584" s="11" t="s">
        <v>29</v>
      </c>
      <c r="F3584" s="11"/>
      <c r="G3584" s="15">
        <f>ROUND(G3582*G3583,0)</f>
        <v>23703</v>
      </c>
      <c r="H3584" s="16">
        <f>ROUND(G3584/2,0)</f>
        <v>11852</v>
      </c>
      <c r="I3584" s="15">
        <f>G3584-H3584</f>
        <v>11851</v>
      </c>
      <c r="J3584" s="3" t="str">
        <f t="shared" si="254"/>
        <v>4745085</v>
      </c>
    </row>
    <row r="3585" spans="2:10" s="3" customFormat="1">
      <c r="B3585" s="3" t="s">
        <v>2131</v>
      </c>
      <c r="C3585" s="8">
        <v>4</v>
      </c>
      <c r="D3585" s="3" t="s">
        <v>2770</v>
      </c>
      <c r="E3585" s="11" t="s">
        <v>30</v>
      </c>
      <c r="F3585" s="11"/>
      <c r="G3585" s="12">
        <f>+G3582-G3584</f>
        <v>45973</v>
      </c>
      <c r="H3585" s="13">
        <f>ROUND(G3585/2,0)</f>
        <v>22987</v>
      </c>
      <c r="I3585" s="12">
        <f>G3585-H3585</f>
        <v>22986</v>
      </c>
      <c r="J3585" s="3" t="str">
        <f t="shared" si="254"/>
        <v>4745085</v>
      </c>
    </row>
    <row r="3586" spans="2:10" s="3" customFormat="1">
      <c r="B3586" s="3" t="s">
        <v>2131</v>
      </c>
      <c r="C3586" s="8">
        <v>4</v>
      </c>
      <c r="D3586" s="3" t="s">
        <v>2769</v>
      </c>
      <c r="E3586" s="11" t="s">
        <v>1116</v>
      </c>
      <c r="F3586" s="10">
        <v>0.37528099999999998</v>
      </c>
      <c r="G3586" s="9">
        <f>ROUND(G$3*F3586,0)</f>
        <v>107977</v>
      </c>
      <c r="H3586" s="11">
        <f>ROUND(G3586/2,0)</f>
        <v>53989</v>
      </c>
      <c r="I3586" s="9">
        <f>G3586-H3586</f>
        <v>53988</v>
      </c>
      <c r="J3586" s="3" t="str">
        <f t="shared" si="254"/>
        <v>4745075</v>
      </c>
    </row>
    <row r="3587" spans="2:10" s="3" customFormat="1">
      <c r="B3587" s="3" t="s">
        <v>2131</v>
      </c>
      <c r="C3587" s="8">
        <v>4</v>
      </c>
      <c r="D3587" s="3" t="s">
        <v>2769</v>
      </c>
      <c r="E3587" s="11" t="s">
        <v>28</v>
      </c>
      <c r="F3587" s="11"/>
      <c r="G3587" s="14">
        <v>0.36336299999999999</v>
      </c>
      <c r="H3587" s="11"/>
      <c r="I3587" s="11"/>
      <c r="J3587" s="3" t="str">
        <f t="shared" si="254"/>
        <v>4745075</v>
      </c>
    </row>
    <row r="3588" spans="2:10" s="3" customFormat="1">
      <c r="B3588" s="3" t="s">
        <v>2131</v>
      </c>
      <c r="C3588" s="8">
        <v>4</v>
      </c>
      <c r="D3588" s="3" t="s">
        <v>2769</v>
      </c>
      <c r="E3588" s="11" t="s">
        <v>29</v>
      </c>
      <c r="F3588" s="11"/>
      <c r="G3588" s="15">
        <f>ROUND(G3586*G3587,0)</f>
        <v>39235</v>
      </c>
      <c r="H3588" s="16">
        <f>ROUND(G3588/2,0)</f>
        <v>19618</v>
      </c>
      <c r="I3588" s="15">
        <f>G3588-H3588</f>
        <v>19617</v>
      </c>
      <c r="J3588" s="3" t="str">
        <f t="shared" ref="J3588:J3651" si="261">B3588&amp;C3588&amp;D3588</f>
        <v>4745075</v>
      </c>
    </row>
    <row r="3589" spans="2:10" s="3" customFormat="1">
      <c r="B3589" s="3" t="s">
        <v>2131</v>
      </c>
      <c r="C3589" s="8">
        <v>4</v>
      </c>
      <c r="D3589" s="3" t="s">
        <v>2769</v>
      </c>
      <c r="E3589" s="11" t="s">
        <v>30</v>
      </c>
      <c r="F3589" s="11"/>
      <c r="G3589" s="12">
        <f>+G3586-G3588</f>
        <v>68742</v>
      </c>
      <c r="H3589" s="13">
        <f>ROUND(G3589/2,0)</f>
        <v>34371</v>
      </c>
      <c r="I3589" s="12">
        <f>G3589-H3589</f>
        <v>34371</v>
      </c>
      <c r="J3589" s="3" t="str">
        <f t="shared" si="261"/>
        <v>4745075</v>
      </c>
    </row>
    <row r="3590" spans="2:10" s="3" customFormat="1">
      <c r="B3590" s="3" t="s">
        <v>2131</v>
      </c>
      <c r="C3590" s="8">
        <v>5</v>
      </c>
      <c r="D3590" s="3" t="s">
        <v>2771</v>
      </c>
      <c r="E3590" s="11" t="s">
        <v>1117</v>
      </c>
      <c r="F3590" s="10">
        <v>2.4091999999999999E-2</v>
      </c>
      <c r="G3590" s="120">
        <f>ROUND(G$3*F3590,0)</f>
        <v>6932</v>
      </c>
      <c r="H3590" s="120">
        <f>ROUND(G3590/2,0)</f>
        <v>3466</v>
      </c>
      <c r="I3590" s="120">
        <f>G3590-H3590</f>
        <v>3466</v>
      </c>
      <c r="J3590" s="3" t="str">
        <f t="shared" si="261"/>
        <v>4750135</v>
      </c>
    </row>
    <row r="3591" spans="2:10" s="3" customFormat="1">
      <c r="B3591" s="3" t="s">
        <v>2131</v>
      </c>
      <c r="C3591" s="8">
        <v>5</v>
      </c>
      <c r="D3591" s="3" t="s">
        <v>4848</v>
      </c>
      <c r="E3591" s="11" t="s">
        <v>1118</v>
      </c>
      <c r="F3591" s="10">
        <v>1.7847999999999999E-2</v>
      </c>
      <c r="G3591" s="120">
        <f>ROUND(G$3*F3591,0)</f>
        <v>5135</v>
      </c>
      <c r="H3591" s="120">
        <f>ROUND(G3591/2,0)</f>
        <v>2568</v>
      </c>
      <c r="I3591" s="120">
        <f>G3591-H3591</f>
        <v>2567</v>
      </c>
      <c r="J3591" s="3" t="str">
        <f t="shared" si="261"/>
        <v>4750136</v>
      </c>
    </row>
    <row r="3592" spans="2:10" s="3" customFormat="1">
      <c r="B3592" s="3" t="s">
        <v>2131</v>
      </c>
      <c r="C3592" s="8">
        <v>6</v>
      </c>
      <c r="D3592" s="116" t="s">
        <v>4850</v>
      </c>
      <c r="E3592" s="11" t="s">
        <v>1119</v>
      </c>
      <c r="F3592" s="10">
        <v>2.4326E-2</v>
      </c>
      <c r="G3592" s="120">
        <f>+G3546-SUM(G3547:G3548)-SUM(G3553:G3582)-G3586-SUM(G3590:G3591)</f>
        <v>125454</v>
      </c>
      <c r="H3592" s="120">
        <f>ROUND(G3592/2,0)</f>
        <v>62727</v>
      </c>
      <c r="I3592" s="120">
        <f>G3592-H3592</f>
        <v>62727</v>
      </c>
      <c r="J3592" s="3" t="str">
        <f t="shared" si="261"/>
        <v>4761001</v>
      </c>
    </row>
    <row r="3593" spans="2:10" s="3" customFormat="1">
      <c r="B3593" s="3" t="s">
        <v>2131</v>
      </c>
      <c r="C3593" s="8">
        <v>0</v>
      </c>
      <c r="D3593" s="125" t="s">
        <v>2187</v>
      </c>
      <c r="E3593" s="28" t="s">
        <v>288</v>
      </c>
      <c r="F3593" s="10">
        <v>0.99999999999999989</v>
      </c>
      <c r="G3593" s="12">
        <f>+G3547+SUM(G3550:G3581)+SUM(G3584:G3585)+SUM(G3588:G3592)</f>
        <v>406178</v>
      </c>
      <c r="H3593" s="12">
        <f>+H3547+SUM(H3550:H3581)+SUM(H3584:H3585)+SUM(H3588:H3592)</f>
        <v>203096</v>
      </c>
      <c r="I3593" s="12">
        <f>+I3547+SUM(I3550:I3581)+SUM(I3584:I3585)+SUM(I3588:I3592)</f>
        <v>203082</v>
      </c>
      <c r="J3593" s="3" t="str">
        <f t="shared" si="261"/>
        <v>4700000</v>
      </c>
    </row>
    <row r="3594" spans="2:10" s="3" customFormat="1">
      <c r="B3594" s="3" t="s">
        <v>2131</v>
      </c>
      <c r="C3594" s="8">
        <v>0</v>
      </c>
      <c r="D3594" s="3" t="s">
        <v>2187</v>
      </c>
      <c r="E3594" s="18" t="s">
        <v>38</v>
      </c>
      <c r="G3594" s="19">
        <f>+G3547</f>
        <v>280</v>
      </c>
      <c r="H3594" s="19">
        <f>+H3547</f>
        <v>140</v>
      </c>
      <c r="I3594" s="19">
        <f>+I3547</f>
        <v>140</v>
      </c>
      <c r="J3594" s="3" t="str">
        <f t="shared" si="261"/>
        <v>4700000</v>
      </c>
    </row>
    <row r="3595" spans="2:10" s="3" customFormat="1">
      <c r="B3595" s="3" t="s">
        <v>2131</v>
      </c>
      <c r="C3595" s="8">
        <v>0</v>
      </c>
      <c r="D3595" s="3" t="s">
        <v>2187</v>
      </c>
      <c r="E3595" s="2" t="s">
        <v>39</v>
      </c>
      <c r="G3595" s="19">
        <f>+G3550</f>
        <v>14247</v>
      </c>
      <c r="H3595" s="19">
        <f>+H3550</f>
        <v>7124</v>
      </c>
      <c r="I3595" s="19">
        <f>+I3550</f>
        <v>7123</v>
      </c>
      <c r="J3595" s="3" t="str">
        <f t="shared" si="261"/>
        <v>4700000</v>
      </c>
    </row>
    <row r="3596" spans="2:10" s="3" customFormat="1">
      <c r="B3596" s="3" t="s">
        <v>2131</v>
      </c>
      <c r="C3596" s="8">
        <v>0</v>
      </c>
      <c r="D3596" s="3" t="s">
        <v>2187</v>
      </c>
      <c r="E3596" s="2" t="s">
        <v>40</v>
      </c>
      <c r="G3596" s="19">
        <f>+G3584+G3588</f>
        <v>62938</v>
      </c>
      <c r="H3596" s="19">
        <f>+H3584+H3588</f>
        <v>31470</v>
      </c>
      <c r="I3596" s="19">
        <f>+I3584+I3588</f>
        <v>31468</v>
      </c>
      <c r="J3596" s="3" t="str">
        <f t="shared" si="261"/>
        <v>4700000</v>
      </c>
    </row>
    <row r="3597" spans="2:10" s="3" customFormat="1">
      <c r="B3597" s="3" t="s">
        <v>2131</v>
      </c>
      <c r="C3597" s="8">
        <v>0</v>
      </c>
      <c r="D3597" s="125" t="s">
        <v>2187</v>
      </c>
      <c r="E3597" s="18" t="s">
        <v>41</v>
      </c>
      <c r="G3597" s="19">
        <f>+G3593-G3594-G3595-G3596</f>
        <v>328713</v>
      </c>
      <c r="H3597" s="19">
        <f>+H3593-H3594-H3595-H3596</f>
        <v>164362</v>
      </c>
      <c r="I3597" s="19">
        <f>+I3593-I3594-I3595-I3596</f>
        <v>164351</v>
      </c>
      <c r="J3597" s="3" t="str">
        <f t="shared" si="261"/>
        <v>4700000</v>
      </c>
    </row>
    <row r="3598" spans="2:10" ht="15.75">
      <c r="B3598" s="3" t="s">
        <v>2186</v>
      </c>
      <c r="D3598" t="s">
        <v>2186</v>
      </c>
      <c r="E3598">
        <v>0</v>
      </c>
      <c r="G3598"/>
      <c r="H3598"/>
      <c r="I3598"/>
      <c r="J3598" s="3" t="str">
        <f t="shared" si="261"/>
        <v/>
      </c>
    </row>
    <row r="3599" spans="2:10" s="3" customFormat="1">
      <c r="C3599" s="1"/>
      <c r="D3599" s="3" t="s">
        <v>2186</v>
      </c>
      <c r="E3599" s="2" t="s">
        <v>1120</v>
      </c>
      <c r="J3599" s="3" t="str">
        <f t="shared" si="261"/>
        <v/>
      </c>
    </row>
    <row r="3600" spans="2:10" s="3" customFormat="1" ht="45">
      <c r="B3600" s="3" t="s">
        <v>2186</v>
      </c>
      <c r="C3600" s="1"/>
      <c r="D3600" s="3" t="s">
        <v>2186</v>
      </c>
      <c r="E3600" s="1">
        <v>0</v>
      </c>
      <c r="F3600" s="6" t="s">
        <v>1</v>
      </c>
      <c r="G3600" s="60">
        <f>'Allocation Worksheet'!H3600</f>
        <v>0</v>
      </c>
      <c r="H3600" s="60">
        <f>'Allocation Worksheet'!H3601</f>
        <v>0</v>
      </c>
      <c r="I3600" s="60">
        <f>'Allocation Worksheet'!H3602</f>
        <v>0</v>
      </c>
      <c r="J3600" s="3" t="str">
        <f t="shared" si="261"/>
        <v/>
      </c>
    </row>
    <row r="3601" spans="1:10" s="3" customFormat="1">
      <c r="C3601" s="7" t="s">
        <v>2087</v>
      </c>
      <c r="D3601" s="3" t="s">
        <v>2186</v>
      </c>
      <c r="E3601" s="7" t="s">
        <v>3</v>
      </c>
      <c r="F3601" s="10"/>
      <c r="G3601" s="9">
        <f>'Allocation Worksheet'!$D$51</f>
        <v>1222632</v>
      </c>
      <c r="H3601" s="11"/>
      <c r="I3601" s="11"/>
      <c r="J3601" s="3" t="str">
        <f t="shared" si="261"/>
        <v>UT</v>
      </c>
    </row>
    <row r="3602" spans="1:10" s="3" customFormat="1">
      <c r="B3602" s="3" t="s">
        <v>2132</v>
      </c>
      <c r="C3602" s="8">
        <v>0</v>
      </c>
      <c r="D3602" s="3" t="s">
        <v>2187</v>
      </c>
      <c r="E3602" s="11" t="s">
        <v>4</v>
      </c>
      <c r="F3602" s="10">
        <v>9.2100000000000005E-4</v>
      </c>
      <c r="G3602" s="12">
        <f>ROUND(G$3*F3602,0)</f>
        <v>265</v>
      </c>
      <c r="H3602" s="13">
        <f>ROUND(G3602/2,0)</f>
        <v>133</v>
      </c>
      <c r="I3602" s="12">
        <f>G3602-H3602</f>
        <v>132</v>
      </c>
      <c r="J3602" s="3" t="str">
        <f t="shared" si="261"/>
        <v>4800000</v>
      </c>
    </row>
    <row r="3603" spans="1:10" s="3" customFormat="1">
      <c r="B3603" s="3" t="s">
        <v>2132</v>
      </c>
      <c r="C3603" s="8">
        <v>1</v>
      </c>
      <c r="D3603" s="3" t="s">
        <v>2187</v>
      </c>
      <c r="E3603" s="11" t="s">
        <v>1121</v>
      </c>
      <c r="F3603" s="10">
        <v>0.19403400000000001</v>
      </c>
      <c r="G3603" s="9">
        <f>ROUND(G$3*F3603,0)</f>
        <v>55828</v>
      </c>
      <c r="H3603" s="11">
        <f>ROUND(G3603/2,0)</f>
        <v>27914</v>
      </c>
      <c r="I3603" s="9">
        <f>G3603-H3603</f>
        <v>27914</v>
      </c>
      <c r="J3603" s="3" t="str">
        <f t="shared" si="261"/>
        <v>4810000</v>
      </c>
    </row>
    <row r="3604" spans="1:10" s="3" customFormat="1">
      <c r="B3604" s="3" t="s">
        <v>2132</v>
      </c>
      <c r="C3604" s="8">
        <v>1</v>
      </c>
      <c r="D3604" s="3" t="s">
        <v>2187</v>
      </c>
      <c r="E3604" s="11" t="s">
        <v>6</v>
      </c>
      <c r="F3604" s="11"/>
      <c r="G3604" s="14">
        <v>0.32717600000000002</v>
      </c>
      <c r="H3604" s="11"/>
      <c r="I3604" s="11"/>
      <c r="J3604" s="3" t="str">
        <f t="shared" si="261"/>
        <v>4810000</v>
      </c>
    </row>
    <row r="3605" spans="1:10" s="3" customFormat="1">
      <c r="B3605" s="3" t="s">
        <v>2132</v>
      </c>
      <c r="C3605" s="8">
        <v>1</v>
      </c>
      <c r="D3605" s="3" t="s">
        <v>2187</v>
      </c>
      <c r="E3605" s="11" t="s">
        <v>7</v>
      </c>
      <c r="F3605" s="11"/>
      <c r="G3605" s="15">
        <f>ROUND(G3603*G3604,0)</f>
        <v>18266</v>
      </c>
      <c r="H3605" s="16">
        <f>ROUND(G3605/2,0)</f>
        <v>9133</v>
      </c>
      <c r="I3605" s="15">
        <f>G3605-H3605</f>
        <v>9133</v>
      </c>
      <c r="J3605" s="3" t="str">
        <f t="shared" si="261"/>
        <v>4810000</v>
      </c>
    </row>
    <row r="3606" spans="1:10" s="3" customFormat="1">
      <c r="B3606" s="3" t="s">
        <v>2132</v>
      </c>
      <c r="C3606" s="8">
        <v>1</v>
      </c>
      <c r="D3606" s="3" t="s">
        <v>2187</v>
      </c>
      <c r="E3606" s="11" t="s">
        <v>8</v>
      </c>
      <c r="F3606" s="11"/>
      <c r="G3606" s="12">
        <f>+G3603-G3605</f>
        <v>37562</v>
      </c>
      <c r="H3606" s="13">
        <f>ROUND(G3606/2,0)</f>
        <v>18781</v>
      </c>
      <c r="I3606" s="12">
        <f>G3606-H3606</f>
        <v>18781</v>
      </c>
      <c r="J3606" s="3" t="str">
        <f t="shared" si="261"/>
        <v>4810000</v>
      </c>
    </row>
    <row r="3607" spans="1:10" s="3" customFormat="1">
      <c r="B3607" s="3" t="s">
        <v>2132</v>
      </c>
      <c r="C3607" s="8">
        <v>2</v>
      </c>
      <c r="D3607" s="3" t="s">
        <v>2188</v>
      </c>
      <c r="E3607" s="11" t="s">
        <v>46</v>
      </c>
      <c r="F3607" s="11"/>
      <c r="G3607" s="9"/>
      <c r="H3607" s="11"/>
      <c r="I3607" s="11"/>
      <c r="J3607" s="3" t="str">
        <f t="shared" si="261"/>
        <v>4820001</v>
      </c>
    </row>
    <row r="3608" spans="1:10" s="3" customFormat="1">
      <c r="B3608" s="3" t="s">
        <v>2132</v>
      </c>
      <c r="C3608" s="8">
        <v>2</v>
      </c>
      <c r="D3608" s="3" t="s">
        <v>2188</v>
      </c>
      <c r="E3608" s="11" t="s">
        <v>10</v>
      </c>
      <c r="F3608" s="10">
        <v>8.7200000000000005E-4</v>
      </c>
      <c r="G3608" s="12">
        <f>ROUND(G$3*F3608,0)</f>
        <v>251</v>
      </c>
      <c r="H3608" s="13">
        <f>ROUND(G3608/2,0)</f>
        <v>126</v>
      </c>
      <c r="I3608" s="12">
        <f>G3608-H3608</f>
        <v>125</v>
      </c>
      <c r="J3608" s="3" t="str">
        <f t="shared" si="261"/>
        <v>4820001</v>
      </c>
    </row>
    <row r="3609" spans="1:10" s="3" customFormat="1">
      <c r="B3609" s="3" t="s">
        <v>2132</v>
      </c>
      <c r="C3609" s="8">
        <v>2</v>
      </c>
      <c r="D3609" s="3" t="s">
        <v>2188</v>
      </c>
      <c r="E3609" s="11" t="s">
        <v>11</v>
      </c>
      <c r="F3609" s="10">
        <v>9.7E-5</v>
      </c>
      <c r="G3609" s="12">
        <f>ROUND(G$3*F3609,0)</f>
        <v>28</v>
      </c>
      <c r="H3609" s="13">
        <f>ROUND(G3609/2,0)</f>
        <v>14</v>
      </c>
      <c r="I3609" s="12">
        <f>G3609-H3609</f>
        <v>14</v>
      </c>
      <c r="J3609" s="3" t="str">
        <f t="shared" si="261"/>
        <v>4820001</v>
      </c>
    </row>
    <row r="3610" spans="1:10" s="3" customFormat="1">
      <c r="B3610" s="3" t="s">
        <v>2132</v>
      </c>
      <c r="C3610" s="8">
        <v>2</v>
      </c>
      <c r="D3610" s="3" t="s">
        <v>2189</v>
      </c>
      <c r="E3610" s="11" t="s">
        <v>1122</v>
      </c>
      <c r="F3610" s="11"/>
      <c r="G3610" s="9"/>
      <c r="H3610" s="11"/>
      <c r="I3610" s="11"/>
      <c r="J3610" s="3" t="str">
        <f t="shared" si="261"/>
        <v>4820002</v>
      </c>
    </row>
    <row r="3611" spans="1:10" s="3" customFormat="1">
      <c r="B3611" s="3" t="s">
        <v>2132</v>
      </c>
      <c r="C3611" s="8">
        <v>2</v>
      </c>
      <c r="D3611" s="3" t="s">
        <v>2189</v>
      </c>
      <c r="E3611" s="11" t="s">
        <v>10</v>
      </c>
      <c r="F3611" s="10">
        <v>3.0379999999999999E-3</v>
      </c>
      <c r="G3611" s="12">
        <f>ROUND(G$3*F3611,0)</f>
        <v>874</v>
      </c>
      <c r="H3611" s="13">
        <f>ROUND(G3611/2,0)</f>
        <v>437</v>
      </c>
      <c r="I3611" s="12">
        <f>G3611-H3611</f>
        <v>437</v>
      </c>
      <c r="J3611" s="3" t="str">
        <f t="shared" si="261"/>
        <v>4820002</v>
      </c>
    </row>
    <row r="3612" spans="1:10" s="3" customFormat="1">
      <c r="A3612" s="3" t="s">
        <v>6269</v>
      </c>
      <c r="B3612" s="3" t="s">
        <v>2132</v>
      </c>
      <c r="C3612" s="8">
        <v>2</v>
      </c>
      <c r="D3612" s="3" t="s">
        <v>2189</v>
      </c>
      <c r="E3612" s="11" t="s">
        <v>11</v>
      </c>
      <c r="F3612" s="10">
        <v>0</v>
      </c>
      <c r="G3612" s="12">
        <f>ROUND(G$3*F3612,0)</f>
        <v>0</v>
      </c>
      <c r="H3612" s="13">
        <f>ROUND(G3612/2,0)</f>
        <v>0</v>
      </c>
      <c r="I3612" s="12">
        <f>G3612-H3612</f>
        <v>0</v>
      </c>
      <c r="J3612" s="3" t="str">
        <f t="shared" si="261"/>
        <v>4820002</v>
      </c>
    </row>
    <row r="3613" spans="1:10" s="3" customFormat="1">
      <c r="B3613" s="3" t="s">
        <v>2132</v>
      </c>
      <c r="C3613" s="8">
        <v>2</v>
      </c>
      <c r="D3613" s="3" t="s">
        <v>2190</v>
      </c>
      <c r="E3613" s="11" t="s">
        <v>200</v>
      </c>
      <c r="F3613" s="11"/>
      <c r="G3613" s="9"/>
      <c r="H3613" s="11"/>
      <c r="I3613" s="11"/>
      <c r="J3613" s="3" t="str">
        <f t="shared" si="261"/>
        <v>4820003</v>
      </c>
    </row>
    <row r="3614" spans="1:10" s="3" customFormat="1">
      <c r="B3614" s="3" t="s">
        <v>2132</v>
      </c>
      <c r="C3614" s="8">
        <v>2</v>
      </c>
      <c r="D3614" s="3" t="s">
        <v>2190</v>
      </c>
      <c r="E3614" s="11" t="s">
        <v>10</v>
      </c>
      <c r="F3614" s="10">
        <v>2.03E-4</v>
      </c>
      <c r="G3614" s="12">
        <f>ROUND(G$3*F3614,0)</f>
        <v>58</v>
      </c>
      <c r="H3614" s="13">
        <f>ROUND(G3614/2,0)</f>
        <v>29</v>
      </c>
      <c r="I3614" s="12">
        <f>G3614-H3614</f>
        <v>29</v>
      </c>
      <c r="J3614" s="3" t="str">
        <f t="shared" si="261"/>
        <v>4820003</v>
      </c>
    </row>
    <row r="3615" spans="1:10" s="3" customFormat="1">
      <c r="B3615" s="3" t="s">
        <v>2132</v>
      </c>
      <c r="C3615" s="8">
        <v>2</v>
      </c>
      <c r="D3615" s="3" t="s">
        <v>2190</v>
      </c>
      <c r="E3615" s="11" t="s">
        <v>11</v>
      </c>
      <c r="F3615" s="10">
        <v>1.2999999999999999E-4</v>
      </c>
      <c r="G3615" s="12">
        <f>ROUND(G$3*F3615,0)</f>
        <v>37</v>
      </c>
      <c r="H3615" s="13">
        <f>ROUND(G3615/2,0)</f>
        <v>19</v>
      </c>
      <c r="I3615" s="12">
        <f>G3615-H3615</f>
        <v>18</v>
      </c>
      <c r="J3615" s="3" t="str">
        <f t="shared" si="261"/>
        <v>4820003</v>
      </c>
    </row>
    <row r="3616" spans="1:10" s="3" customFormat="1">
      <c r="B3616" s="3" t="s">
        <v>2132</v>
      </c>
      <c r="C3616" s="8">
        <v>2</v>
      </c>
      <c r="D3616" s="3" t="s">
        <v>2191</v>
      </c>
      <c r="E3616" s="11" t="s">
        <v>1123</v>
      </c>
      <c r="F3616" s="11"/>
      <c r="G3616" s="9"/>
      <c r="H3616" s="11"/>
      <c r="I3616" s="11"/>
      <c r="J3616" s="3" t="str">
        <f t="shared" si="261"/>
        <v>4820004</v>
      </c>
    </row>
    <row r="3617" spans="2:10" s="3" customFormat="1">
      <c r="B3617" s="3" t="s">
        <v>2132</v>
      </c>
      <c r="C3617" s="8">
        <v>2</v>
      </c>
      <c r="D3617" s="3" t="s">
        <v>2191</v>
      </c>
      <c r="E3617" s="11" t="s">
        <v>10</v>
      </c>
      <c r="F3617" s="10">
        <v>3.4699999999999998E-4</v>
      </c>
      <c r="G3617" s="12">
        <f>ROUND(G$3*F3617,0)</f>
        <v>100</v>
      </c>
      <c r="H3617" s="13">
        <f>ROUND(G3617/2,0)</f>
        <v>50</v>
      </c>
      <c r="I3617" s="12">
        <f>G3617-H3617</f>
        <v>50</v>
      </c>
      <c r="J3617" s="3" t="str">
        <f t="shared" si="261"/>
        <v>4820004</v>
      </c>
    </row>
    <row r="3618" spans="2:10" s="3" customFormat="1">
      <c r="B3618" s="3" t="s">
        <v>2132</v>
      </c>
      <c r="C3618" s="8">
        <v>2</v>
      </c>
      <c r="D3618" s="3" t="s">
        <v>2191</v>
      </c>
      <c r="E3618" s="11" t="s">
        <v>11</v>
      </c>
      <c r="F3618" s="10">
        <v>4.6700000000000002E-4</v>
      </c>
      <c r="G3618" s="12">
        <f>ROUND(G$3*F3618,0)</f>
        <v>134</v>
      </c>
      <c r="H3618" s="13">
        <f>ROUND(G3618/2,0)</f>
        <v>67</v>
      </c>
      <c r="I3618" s="12">
        <f>G3618-H3618</f>
        <v>67</v>
      </c>
      <c r="J3618" s="3" t="str">
        <f t="shared" si="261"/>
        <v>4820004</v>
      </c>
    </row>
    <row r="3619" spans="2:10" s="3" customFormat="1">
      <c r="B3619" s="3" t="s">
        <v>2132</v>
      </c>
      <c r="C3619" s="8">
        <v>2</v>
      </c>
      <c r="D3619" s="3" t="s">
        <v>2192</v>
      </c>
      <c r="E3619" s="11" t="s">
        <v>647</v>
      </c>
      <c r="F3619" s="11"/>
      <c r="G3619" s="9"/>
      <c r="H3619" s="11"/>
      <c r="I3619" s="11"/>
      <c r="J3619" s="3" t="str">
        <f t="shared" si="261"/>
        <v>4820005</v>
      </c>
    </row>
    <row r="3620" spans="2:10" s="3" customFormat="1">
      <c r="B3620" s="3" t="s">
        <v>2132</v>
      </c>
      <c r="C3620" s="8">
        <v>2</v>
      </c>
      <c r="D3620" s="3" t="s">
        <v>2192</v>
      </c>
      <c r="E3620" s="11" t="s">
        <v>10</v>
      </c>
      <c r="F3620" s="10">
        <v>1.6200000000000001E-4</v>
      </c>
      <c r="G3620" s="12">
        <f>ROUND(G$3*F3620,0)</f>
        <v>47</v>
      </c>
      <c r="H3620" s="13">
        <f>ROUND(G3620/2,0)</f>
        <v>24</v>
      </c>
      <c r="I3620" s="12">
        <f>G3620-H3620</f>
        <v>23</v>
      </c>
      <c r="J3620" s="3" t="str">
        <f t="shared" si="261"/>
        <v>4820005</v>
      </c>
    </row>
    <row r="3621" spans="2:10" s="3" customFormat="1">
      <c r="B3621" s="3" t="s">
        <v>2132</v>
      </c>
      <c r="C3621" s="8">
        <v>2</v>
      </c>
      <c r="D3621" s="3" t="s">
        <v>2192</v>
      </c>
      <c r="E3621" s="11" t="s">
        <v>11</v>
      </c>
      <c r="F3621" s="10">
        <v>2.0100000000000001E-4</v>
      </c>
      <c r="G3621" s="12">
        <f>ROUND(G$3*F3621,0)</f>
        <v>58</v>
      </c>
      <c r="H3621" s="13">
        <f>ROUND(G3621/2,0)</f>
        <v>29</v>
      </c>
      <c r="I3621" s="12">
        <f>G3621-H3621</f>
        <v>29</v>
      </c>
      <c r="J3621" s="3" t="str">
        <f t="shared" si="261"/>
        <v>4820005</v>
      </c>
    </row>
    <row r="3622" spans="2:10" s="3" customFormat="1">
      <c r="B3622" s="3" t="s">
        <v>2132</v>
      </c>
      <c r="C3622" s="8">
        <v>2</v>
      </c>
      <c r="D3622" s="3" t="s">
        <v>2193</v>
      </c>
      <c r="E3622" s="11" t="s">
        <v>593</v>
      </c>
      <c r="F3622" s="11"/>
      <c r="G3622" s="9"/>
      <c r="H3622" s="11"/>
      <c r="I3622" s="11"/>
      <c r="J3622" s="3" t="str">
        <f t="shared" si="261"/>
        <v>4820006</v>
      </c>
    </row>
    <row r="3623" spans="2:10" s="3" customFormat="1">
      <c r="B3623" s="3" t="s">
        <v>2132</v>
      </c>
      <c r="C3623" s="8">
        <v>2</v>
      </c>
      <c r="D3623" s="3" t="s">
        <v>2193</v>
      </c>
      <c r="E3623" s="11" t="s">
        <v>10</v>
      </c>
      <c r="F3623" s="10">
        <v>1.9100000000000001E-4</v>
      </c>
      <c r="G3623" s="12">
        <f>ROUND(G$3*F3623,0)</f>
        <v>55</v>
      </c>
      <c r="H3623" s="13">
        <f>ROUND(G3623/2,0)</f>
        <v>28</v>
      </c>
      <c r="I3623" s="12">
        <f>G3623-H3623</f>
        <v>27</v>
      </c>
      <c r="J3623" s="3" t="str">
        <f t="shared" si="261"/>
        <v>4820006</v>
      </c>
    </row>
    <row r="3624" spans="2:10" s="3" customFormat="1">
      <c r="B3624" s="3" t="s">
        <v>2132</v>
      </c>
      <c r="C3624" s="8">
        <v>2</v>
      </c>
      <c r="D3624" s="3" t="s">
        <v>2193</v>
      </c>
      <c r="E3624" s="11" t="s">
        <v>11</v>
      </c>
      <c r="F3624" s="10">
        <v>2.7900000000000001E-4</v>
      </c>
      <c r="G3624" s="12">
        <f>ROUND(G$3*F3624,0)</f>
        <v>80</v>
      </c>
      <c r="H3624" s="13">
        <f>ROUND(G3624/2,0)</f>
        <v>40</v>
      </c>
      <c r="I3624" s="12">
        <f>G3624-H3624</f>
        <v>40</v>
      </c>
      <c r="J3624" s="3" t="str">
        <f t="shared" si="261"/>
        <v>4820006</v>
      </c>
    </row>
    <row r="3625" spans="2:10" s="3" customFormat="1">
      <c r="B3625" s="3" t="s">
        <v>2132</v>
      </c>
      <c r="C3625" s="8">
        <v>2</v>
      </c>
      <c r="D3625" s="3" t="s">
        <v>2194</v>
      </c>
      <c r="E3625" s="11" t="s">
        <v>49</v>
      </c>
      <c r="F3625" s="11"/>
      <c r="G3625" s="9"/>
      <c r="H3625" s="11"/>
      <c r="I3625" s="11"/>
      <c r="J3625" s="3" t="str">
        <f t="shared" si="261"/>
        <v>4820007</v>
      </c>
    </row>
    <row r="3626" spans="2:10" s="3" customFormat="1">
      <c r="B3626" s="3" t="s">
        <v>2132</v>
      </c>
      <c r="C3626" s="8">
        <v>2</v>
      </c>
      <c r="D3626" s="3" t="s">
        <v>2194</v>
      </c>
      <c r="E3626" s="11" t="s">
        <v>10</v>
      </c>
      <c r="F3626" s="10">
        <v>1.27E-4</v>
      </c>
      <c r="G3626" s="12">
        <f>ROUND(G$3*F3626,0)</f>
        <v>37</v>
      </c>
      <c r="H3626" s="13">
        <f>ROUND(G3626/2,0)</f>
        <v>19</v>
      </c>
      <c r="I3626" s="12">
        <f>G3626-H3626</f>
        <v>18</v>
      </c>
      <c r="J3626" s="3" t="str">
        <f t="shared" si="261"/>
        <v>4820007</v>
      </c>
    </row>
    <row r="3627" spans="2:10" s="3" customFormat="1">
      <c r="B3627" s="3" t="s">
        <v>2132</v>
      </c>
      <c r="C3627" s="8">
        <v>2</v>
      </c>
      <c r="D3627" s="3" t="s">
        <v>2194</v>
      </c>
      <c r="E3627" s="11" t="s">
        <v>11</v>
      </c>
      <c r="F3627" s="10">
        <v>1.0399999999999999E-4</v>
      </c>
      <c r="G3627" s="12">
        <f>ROUND(G$3*F3627,0)</f>
        <v>30</v>
      </c>
      <c r="H3627" s="13">
        <f>ROUND(G3627/2,0)</f>
        <v>15</v>
      </c>
      <c r="I3627" s="12">
        <f>G3627-H3627</f>
        <v>15</v>
      </c>
      <c r="J3627" s="3" t="str">
        <f t="shared" si="261"/>
        <v>4820007</v>
      </c>
    </row>
    <row r="3628" spans="2:10" s="3" customFormat="1">
      <c r="B3628" s="3" t="s">
        <v>2132</v>
      </c>
      <c r="C3628" s="8">
        <v>2</v>
      </c>
      <c r="D3628" s="3" t="s">
        <v>2195</v>
      </c>
      <c r="E3628" s="11" t="s">
        <v>50</v>
      </c>
      <c r="F3628" s="11"/>
      <c r="G3628" s="9"/>
      <c r="H3628" s="11"/>
      <c r="I3628" s="11"/>
      <c r="J3628" s="3" t="str">
        <f t="shared" si="261"/>
        <v>4820008</v>
      </c>
    </row>
    <row r="3629" spans="2:10" s="3" customFormat="1">
      <c r="B3629" s="3" t="s">
        <v>2132</v>
      </c>
      <c r="C3629" s="8">
        <v>2</v>
      </c>
      <c r="D3629" s="3" t="s">
        <v>2195</v>
      </c>
      <c r="E3629" s="11" t="s">
        <v>10</v>
      </c>
      <c r="F3629" s="10">
        <v>5.0500000000000002E-4</v>
      </c>
      <c r="G3629" s="12">
        <f>ROUND(G$3*F3629,0)</f>
        <v>145</v>
      </c>
      <c r="H3629" s="13">
        <f>ROUND(G3629/2,0)</f>
        <v>73</v>
      </c>
      <c r="I3629" s="12">
        <f>G3629-H3629</f>
        <v>72</v>
      </c>
      <c r="J3629" s="3" t="str">
        <f t="shared" si="261"/>
        <v>4820008</v>
      </c>
    </row>
    <row r="3630" spans="2:10" s="3" customFormat="1">
      <c r="B3630" s="3" t="s">
        <v>2132</v>
      </c>
      <c r="C3630" s="8">
        <v>2</v>
      </c>
      <c r="D3630" s="3" t="s">
        <v>2195</v>
      </c>
      <c r="E3630" s="11" t="s">
        <v>11</v>
      </c>
      <c r="F3630" s="10">
        <v>2.81E-4</v>
      </c>
      <c r="G3630" s="12">
        <f>ROUND(G$3*F3630,0)</f>
        <v>81</v>
      </c>
      <c r="H3630" s="13">
        <f>ROUND(G3630/2,0)</f>
        <v>41</v>
      </c>
      <c r="I3630" s="12">
        <f>G3630-H3630</f>
        <v>40</v>
      </c>
      <c r="J3630" s="3" t="str">
        <f t="shared" si="261"/>
        <v>4820008</v>
      </c>
    </row>
    <row r="3631" spans="2:10" s="3" customFormat="1">
      <c r="B3631" s="3" t="s">
        <v>2132</v>
      </c>
      <c r="C3631" s="8">
        <v>2</v>
      </c>
      <c r="D3631" s="3" t="s">
        <v>2196</v>
      </c>
      <c r="E3631" s="11" t="s">
        <v>16</v>
      </c>
      <c r="F3631" s="11"/>
      <c r="G3631" s="9"/>
      <c r="H3631" s="11"/>
      <c r="I3631" s="11"/>
      <c r="J3631" s="3" t="str">
        <f t="shared" si="261"/>
        <v>4820009</v>
      </c>
    </row>
    <row r="3632" spans="2:10" s="3" customFormat="1">
      <c r="B3632" s="3" t="s">
        <v>2132</v>
      </c>
      <c r="C3632" s="8">
        <v>2</v>
      </c>
      <c r="D3632" s="3" t="s">
        <v>2196</v>
      </c>
      <c r="E3632" s="11" t="s">
        <v>10</v>
      </c>
      <c r="F3632" s="10">
        <v>1.0529999999999999E-3</v>
      </c>
      <c r="G3632" s="12">
        <f>ROUND(G$3*F3632,0)</f>
        <v>303</v>
      </c>
      <c r="H3632" s="13">
        <f>ROUND(G3632/2,0)</f>
        <v>152</v>
      </c>
      <c r="I3632" s="12">
        <f>G3632-H3632</f>
        <v>151</v>
      </c>
      <c r="J3632" s="3" t="str">
        <f t="shared" si="261"/>
        <v>4820009</v>
      </c>
    </row>
    <row r="3633" spans="2:10" s="3" customFormat="1">
      <c r="B3633" s="3" t="s">
        <v>2132</v>
      </c>
      <c r="C3633" s="8">
        <v>2</v>
      </c>
      <c r="D3633" s="3" t="s">
        <v>2196</v>
      </c>
      <c r="E3633" s="11" t="s">
        <v>11</v>
      </c>
      <c r="F3633" s="10">
        <v>6.1700000000000004E-4</v>
      </c>
      <c r="G3633" s="12">
        <f>ROUND(G$3*F3633,0)</f>
        <v>178</v>
      </c>
      <c r="H3633" s="13">
        <f>ROUND(G3633/2,0)</f>
        <v>89</v>
      </c>
      <c r="I3633" s="12">
        <f>G3633-H3633</f>
        <v>89</v>
      </c>
      <c r="J3633" s="3" t="str">
        <f t="shared" si="261"/>
        <v>4820009</v>
      </c>
    </row>
    <row r="3634" spans="2:10" s="3" customFormat="1">
      <c r="B3634" s="3" t="s">
        <v>2132</v>
      </c>
      <c r="C3634" s="8">
        <v>2</v>
      </c>
      <c r="D3634" s="3" t="s">
        <v>2197</v>
      </c>
      <c r="E3634" s="11" t="s">
        <v>1124</v>
      </c>
      <c r="F3634" s="11"/>
      <c r="G3634" s="9"/>
      <c r="H3634" s="11"/>
      <c r="I3634" s="11"/>
      <c r="J3634" s="3" t="str">
        <f t="shared" si="261"/>
        <v>4820010</v>
      </c>
    </row>
    <row r="3635" spans="2:10" s="3" customFormat="1">
      <c r="B3635" s="3" t="s">
        <v>2132</v>
      </c>
      <c r="C3635" s="8">
        <v>2</v>
      </c>
      <c r="D3635" s="3" t="s">
        <v>2197</v>
      </c>
      <c r="E3635" s="11" t="s">
        <v>10</v>
      </c>
      <c r="F3635" s="10">
        <v>5.4600000000000004E-4</v>
      </c>
      <c r="G3635" s="12">
        <f>ROUND(G$3*F3635,0)</f>
        <v>157</v>
      </c>
      <c r="H3635" s="13">
        <f>ROUND(G3635/2,0)</f>
        <v>79</v>
      </c>
      <c r="I3635" s="12">
        <f>G3635-H3635</f>
        <v>78</v>
      </c>
      <c r="J3635" s="3" t="str">
        <f t="shared" si="261"/>
        <v>4820010</v>
      </c>
    </row>
    <row r="3636" spans="2:10" s="3" customFormat="1">
      <c r="B3636" s="3" t="s">
        <v>2132</v>
      </c>
      <c r="C3636" s="8">
        <v>2</v>
      </c>
      <c r="D3636" s="3" t="s">
        <v>2197</v>
      </c>
      <c r="E3636" s="11" t="s">
        <v>11</v>
      </c>
      <c r="F3636" s="10">
        <v>1.3100000000000001E-4</v>
      </c>
      <c r="G3636" s="12">
        <f>ROUND(G$3*F3636,0)</f>
        <v>38</v>
      </c>
      <c r="H3636" s="13">
        <f>ROUND(G3636/2,0)</f>
        <v>19</v>
      </c>
      <c r="I3636" s="12">
        <f>G3636-H3636</f>
        <v>19</v>
      </c>
      <c r="J3636" s="3" t="str">
        <f t="shared" si="261"/>
        <v>4820010</v>
      </c>
    </row>
    <row r="3637" spans="2:10" s="3" customFormat="1">
      <c r="B3637" s="3" t="s">
        <v>2132</v>
      </c>
      <c r="C3637" s="8">
        <v>2</v>
      </c>
      <c r="D3637" s="3" t="s">
        <v>2198</v>
      </c>
      <c r="E3637" s="11" t="s">
        <v>114</v>
      </c>
      <c r="F3637" s="11"/>
      <c r="G3637" s="9"/>
      <c r="H3637" s="11"/>
      <c r="I3637" s="11"/>
      <c r="J3637" s="3" t="str">
        <f t="shared" si="261"/>
        <v>4820011</v>
      </c>
    </row>
    <row r="3638" spans="2:10" s="3" customFormat="1">
      <c r="B3638" s="3" t="s">
        <v>2132</v>
      </c>
      <c r="C3638" s="8">
        <v>2</v>
      </c>
      <c r="D3638" s="3" t="s">
        <v>2198</v>
      </c>
      <c r="E3638" s="11" t="s">
        <v>10</v>
      </c>
      <c r="F3638" s="10">
        <v>2.33E-4</v>
      </c>
      <c r="G3638" s="12">
        <f>ROUND(G$3*F3638,0)</f>
        <v>67</v>
      </c>
      <c r="H3638" s="13">
        <f>ROUND(G3638/2,0)</f>
        <v>34</v>
      </c>
      <c r="I3638" s="12">
        <f>G3638-H3638</f>
        <v>33</v>
      </c>
      <c r="J3638" s="3" t="str">
        <f t="shared" si="261"/>
        <v>4820011</v>
      </c>
    </row>
    <row r="3639" spans="2:10" s="3" customFormat="1">
      <c r="B3639" s="3" t="s">
        <v>2132</v>
      </c>
      <c r="C3639" s="8">
        <v>2</v>
      </c>
      <c r="D3639" s="3" t="s">
        <v>2198</v>
      </c>
      <c r="E3639" s="11" t="s">
        <v>11</v>
      </c>
      <c r="F3639" s="10">
        <v>1.3190000000000001E-3</v>
      </c>
      <c r="G3639" s="12">
        <f>ROUND(G$3*F3639,0)</f>
        <v>380</v>
      </c>
      <c r="H3639" s="13">
        <f>ROUND(G3639/2,0)</f>
        <v>190</v>
      </c>
      <c r="I3639" s="12">
        <f>G3639-H3639</f>
        <v>190</v>
      </c>
      <c r="J3639" s="3" t="str">
        <f t="shared" si="261"/>
        <v>4820011</v>
      </c>
    </row>
    <row r="3640" spans="2:10" s="3" customFormat="1">
      <c r="B3640" s="3" t="s">
        <v>2132</v>
      </c>
      <c r="C3640" s="8">
        <v>2</v>
      </c>
      <c r="D3640" s="3" t="s">
        <v>2199</v>
      </c>
      <c r="E3640" s="11" t="s">
        <v>1125</v>
      </c>
      <c r="F3640" s="11"/>
      <c r="G3640" s="9"/>
      <c r="H3640" s="11"/>
      <c r="I3640" s="11"/>
      <c r="J3640" s="3" t="str">
        <f t="shared" si="261"/>
        <v>4820012</v>
      </c>
    </row>
    <row r="3641" spans="2:10" s="3" customFormat="1">
      <c r="B3641" s="3" t="s">
        <v>2132</v>
      </c>
      <c r="C3641" s="8">
        <v>2</v>
      </c>
      <c r="D3641" s="3" t="s">
        <v>2199</v>
      </c>
      <c r="E3641" s="11" t="s">
        <v>10</v>
      </c>
      <c r="F3641" s="10">
        <v>1.8E-3</v>
      </c>
      <c r="G3641" s="12">
        <f>ROUND(G$3*F3641,0)</f>
        <v>518</v>
      </c>
      <c r="H3641" s="13">
        <f>ROUND(G3641/2,0)</f>
        <v>259</v>
      </c>
      <c r="I3641" s="12">
        <f>G3641-H3641</f>
        <v>259</v>
      </c>
      <c r="J3641" s="3" t="str">
        <f t="shared" si="261"/>
        <v>4820012</v>
      </c>
    </row>
    <row r="3642" spans="2:10" s="3" customFormat="1">
      <c r="B3642" s="3" t="s">
        <v>2132</v>
      </c>
      <c r="C3642" s="8">
        <v>2</v>
      </c>
      <c r="D3642" s="3" t="s">
        <v>2199</v>
      </c>
      <c r="E3642" s="11" t="s">
        <v>11</v>
      </c>
      <c r="F3642" s="10">
        <v>1.8799999999999999E-3</v>
      </c>
      <c r="G3642" s="12">
        <f>ROUND(G$3*F3642,0)</f>
        <v>541</v>
      </c>
      <c r="H3642" s="13">
        <f>ROUND(G3642/2,0)</f>
        <v>271</v>
      </c>
      <c r="I3642" s="12">
        <f>G3642-H3642</f>
        <v>270</v>
      </c>
      <c r="J3642" s="3" t="str">
        <f t="shared" si="261"/>
        <v>4820012</v>
      </c>
    </row>
    <row r="3643" spans="2:10" s="3" customFormat="1">
      <c r="B3643" s="3" t="s">
        <v>2132</v>
      </c>
      <c r="C3643" s="8">
        <v>2</v>
      </c>
      <c r="D3643" s="3" t="s">
        <v>2208</v>
      </c>
      <c r="E3643" s="11" t="s">
        <v>20</v>
      </c>
      <c r="F3643" s="11"/>
      <c r="G3643" s="9"/>
      <c r="H3643" s="11"/>
      <c r="I3643" s="11"/>
      <c r="J3643" s="3" t="str">
        <f t="shared" si="261"/>
        <v>4820013</v>
      </c>
    </row>
    <row r="3644" spans="2:10" s="3" customFormat="1">
      <c r="B3644" s="3" t="s">
        <v>2132</v>
      </c>
      <c r="C3644" s="8">
        <v>2</v>
      </c>
      <c r="D3644" s="3" t="s">
        <v>2208</v>
      </c>
      <c r="E3644" s="11" t="s">
        <v>10</v>
      </c>
      <c r="F3644" s="10">
        <v>3.1000000000000001E-5</v>
      </c>
      <c r="G3644" s="12">
        <f>ROUND(G$3*F3644,0)</f>
        <v>9</v>
      </c>
      <c r="H3644" s="13">
        <f>ROUND(G3644/2,0)</f>
        <v>5</v>
      </c>
      <c r="I3644" s="12">
        <f>G3644-H3644</f>
        <v>4</v>
      </c>
      <c r="J3644" s="3" t="str">
        <f t="shared" si="261"/>
        <v>4820013</v>
      </c>
    </row>
    <row r="3645" spans="2:10" s="3" customFormat="1">
      <c r="B3645" s="3" t="s">
        <v>2132</v>
      </c>
      <c r="C3645" s="8">
        <v>2</v>
      </c>
      <c r="D3645" s="3" t="s">
        <v>2208</v>
      </c>
      <c r="E3645" s="11" t="s">
        <v>11</v>
      </c>
      <c r="F3645" s="10">
        <v>7.2000000000000002E-5</v>
      </c>
      <c r="G3645" s="12">
        <f>ROUND(G$3*F3645,0)</f>
        <v>21</v>
      </c>
      <c r="H3645" s="13">
        <f>ROUND(G3645/2,0)</f>
        <v>11</v>
      </c>
      <c r="I3645" s="12">
        <f>G3645-H3645</f>
        <v>10</v>
      </c>
      <c r="J3645" s="3" t="str">
        <f t="shared" si="261"/>
        <v>4820013</v>
      </c>
    </row>
    <row r="3646" spans="2:10" s="3" customFormat="1">
      <c r="B3646" s="3" t="s">
        <v>2132</v>
      </c>
      <c r="C3646" s="8">
        <v>2</v>
      </c>
      <c r="D3646" s="3" t="s">
        <v>2209</v>
      </c>
      <c r="E3646" s="11" t="s">
        <v>169</v>
      </c>
      <c r="F3646" s="11"/>
      <c r="G3646" s="9"/>
      <c r="H3646" s="11"/>
      <c r="I3646" s="11"/>
      <c r="J3646" s="3" t="str">
        <f t="shared" si="261"/>
        <v>4820014</v>
      </c>
    </row>
    <row r="3647" spans="2:10" s="3" customFormat="1">
      <c r="B3647" s="3" t="s">
        <v>2132</v>
      </c>
      <c r="C3647" s="8">
        <v>2</v>
      </c>
      <c r="D3647" s="3" t="s">
        <v>2209</v>
      </c>
      <c r="E3647" s="11" t="s">
        <v>10</v>
      </c>
      <c r="F3647" s="10">
        <v>3.2400000000000001E-4</v>
      </c>
      <c r="G3647" s="12">
        <f t="shared" ref="G3647:G3664" si="262">ROUND(G$3*F3647,0)</f>
        <v>93</v>
      </c>
      <c r="H3647" s="13">
        <f t="shared" ref="H3647:H3664" si="263">ROUND(G3647/2,0)</f>
        <v>47</v>
      </c>
      <c r="I3647" s="12">
        <f t="shared" ref="I3647:I3664" si="264">G3647-H3647</f>
        <v>46</v>
      </c>
      <c r="J3647" s="3" t="str">
        <f t="shared" si="261"/>
        <v>4820014</v>
      </c>
    </row>
    <row r="3648" spans="2:10" s="3" customFormat="1">
      <c r="B3648" s="3" t="s">
        <v>2132</v>
      </c>
      <c r="C3648" s="8">
        <v>2</v>
      </c>
      <c r="D3648" s="3" t="s">
        <v>2209</v>
      </c>
      <c r="E3648" s="11" t="s">
        <v>11</v>
      </c>
      <c r="F3648" s="10">
        <v>2.1499999999999999E-4</v>
      </c>
      <c r="G3648" s="12">
        <f t="shared" si="262"/>
        <v>62</v>
      </c>
      <c r="H3648" s="13">
        <f t="shared" si="263"/>
        <v>31</v>
      </c>
      <c r="I3648" s="12">
        <f t="shared" si="264"/>
        <v>31</v>
      </c>
      <c r="J3648" s="3" t="str">
        <f t="shared" si="261"/>
        <v>4820014</v>
      </c>
    </row>
    <row r="3649" spans="1:10" s="3" customFormat="1">
      <c r="B3649" s="3" t="s">
        <v>2132</v>
      </c>
      <c r="C3649" s="8">
        <v>3</v>
      </c>
      <c r="D3649" s="3" t="s">
        <v>2774</v>
      </c>
      <c r="E3649" s="11" t="s">
        <v>1126</v>
      </c>
      <c r="F3649" s="10">
        <v>8.5459999999999998E-3</v>
      </c>
      <c r="G3649" s="12">
        <f t="shared" si="262"/>
        <v>2459</v>
      </c>
      <c r="H3649" s="13">
        <f t="shared" si="263"/>
        <v>1230</v>
      </c>
      <c r="I3649" s="12">
        <f t="shared" si="264"/>
        <v>1229</v>
      </c>
      <c r="J3649" s="3" t="str">
        <f t="shared" si="261"/>
        <v>4830430</v>
      </c>
    </row>
    <row r="3650" spans="1:10" s="3" customFormat="1">
      <c r="B3650" s="3" t="s">
        <v>2132</v>
      </c>
      <c r="C3650" s="8">
        <v>3</v>
      </c>
      <c r="D3650" s="3" t="s">
        <v>2772</v>
      </c>
      <c r="E3650" s="11" t="s">
        <v>1127</v>
      </c>
      <c r="F3650" s="10">
        <v>0.19006400000000001</v>
      </c>
      <c r="G3650" s="12">
        <f t="shared" si="262"/>
        <v>54686</v>
      </c>
      <c r="H3650" s="13">
        <f t="shared" si="263"/>
        <v>27343</v>
      </c>
      <c r="I3650" s="12">
        <f t="shared" si="264"/>
        <v>27343</v>
      </c>
      <c r="J3650" s="3" t="str">
        <f t="shared" si="261"/>
        <v>4830105</v>
      </c>
    </row>
    <row r="3651" spans="1:10" s="3" customFormat="1">
      <c r="B3651" s="3" t="s">
        <v>2132</v>
      </c>
      <c r="C3651" s="8">
        <v>3</v>
      </c>
      <c r="D3651" s="3" t="s">
        <v>2381</v>
      </c>
      <c r="E3651" s="11" t="s">
        <v>406</v>
      </c>
      <c r="F3651" s="10">
        <v>3.4600000000000001E-4</v>
      </c>
      <c r="G3651" s="12">
        <f t="shared" si="262"/>
        <v>100</v>
      </c>
      <c r="H3651" s="13">
        <f t="shared" si="263"/>
        <v>50</v>
      </c>
      <c r="I3651" s="12">
        <f t="shared" si="264"/>
        <v>50</v>
      </c>
      <c r="J3651" s="3" t="str">
        <f t="shared" si="261"/>
        <v>4830746</v>
      </c>
    </row>
    <row r="3652" spans="1:10" s="3" customFormat="1">
      <c r="B3652" s="3" t="s">
        <v>2132</v>
      </c>
      <c r="C3652" s="8">
        <v>3</v>
      </c>
      <c r="D3652" s="116" t="s">
        <v>2775</v>
      </c>
      <c r="E3652" s="11" t="s">
        <v>1128</v>
      </c>
      <c r="F3652" s="10">
        <v>3.9999999999999998E-6</v>
      </c>
      <c r="G3652" s="12">
        <f t="shared" si="262"/>
        <v>1</v>
      </c>
      <c r="H3652" s="13">
        <f t="shared" si="263"/>
        <v>1</v>
      </c>
      <c r="I3652" s="12">
        <f t="shared" si="264"/>
        <v>0</v>
      </c>
      <c r="J3652" s="3" t="str">
        <f t="shared" ref="J3652:J3715" si="265">B3652&amp;C3652&amp;D3652</f>
        <v>4830747</v>
      </c>
    </row>
    <row r="3653" spans="1:10" s="3" customFormat="1">
      <c r="B3653" s="3" t="s">
        <v>2132</v>
      </c>
      <c r="C3653" s="8">
        <v>3</v>
      </c>
      <c r="D3653" s="3" t="s">
        <v>2776</v>
      </c>
      <c r="E3653" s="11" t="s">
        <v>1129</v>
      </c>
      <c r="F3653" s="10">
        <v>1.45E-4</v>
      </c>
      <c r="G3653" s="12">
        <f t="shared" si="262"/>
        <v>42</v>
      </c>
      <c r="H3653" s="13">
        <f t="shared" si="263"/>
        <v>21</v>
      </c>
      <c r="I3653" s="12">
        <f t="shared" si="264"/>
        <v>21</v>
      </c>
      <c r="J3653" s="3" t="str">
        <f t="shared" si="265"/>
        <v>4830748</v>
      </c>
    </row>
    <row r="3654" spans="1:10" s="3" customFormat="1">
      <c r="B3654" s="3" t="s">
        <v>2132</v>
      </c>
      <c r="C3654" s="8">
        <v>3</v>
      </c>
      <c r="D3654" s="3" t="s">
        <v>2773</v>
      </c>
      <c r="E3654" s="11" t="s">
        <v>1130</v>
      </c>
      <c r="F3654" s="10">
        <v>1.7721000000000001E-2</v>
      </c>
      <c r="G3654" s="12">
        <f t="shared" si="262"/>
        <v>5099</v>
      </c>
      <c r="H3654" s="13">
        <f t="shared" si="263"/>
        <v>2550</v>
      </c>
      <c r="I3654" s="12">
        <f t="shared" si="264"/>
        <v>2549</v>
      </c>
      <c r="J3654" s="3" t="str">
        <f t="shared" si="265"/>
        <v>4830320</v>
      </c>
    </row>
    <row r="3655" spans="1:10" s="3" customFormat="1">
      <c r="B3655" s="3" t="s">
        <v>2132</v>
      </c>
      <c r="C3655" s="8">
        <v>3</v>
      </c>
      <c r="D3655" s="3" t="s">
        <v>2777</v>
      </c>
      <c r="E3655" s="11" t="s">
        <v>1131</v>
      </c>
      <c r="F3655" s="10">
        <v>5.8399999999999999E-4</v>
      </c>
      <c r="G3655" s="12">
        <f t="shared" si="262"/>
        <v>168</v>
      </c>
      <c r="H3655" s="13">
        <f t="shared" si="263"/>
        <v>84</v>
      </c>
      <c r="I3655" s="12">
        <f t="shared" si="264"/>
        <v>84</v>
      </c>
      <c r="J3655" s="3" t="str">
        <f t="shared" si="265"/>
        <v>4830749</v>
      </c>
    </row>
    <row r="3656" spans="1:10" s="3" customFormat="1">
      <c r="B3656" s="3" t="s">
        <v>2132</v>
      </c>
      <c r="C3656" s="8">
        <v>3</v>
      </c>
      <c r="D3656" s="3" t="s">
        <v>2778</v>
      </c>
      <c r="E3656" s="11" t="s">
        <v>1132</v>
      </c>
      <c r="F3656" s="10">
        <v>4.7100000000000001E-4</v>
      </c>
      <c r="G3656" s="12">
        <f t="shared" si="262"/>
        <v>136</v>
      </c>
      <c r="H3656" s="13">
        <f t="shared" si="263"/>
        <v>68</v>
      </c>
      <c r="I3656" s="12">
        <f t="shared" si="264"/>
        <v>68</v>
      </c>
      <c r="J3656" s="3" t="str">
        <f t="shared" si="265"/>
        <v>4830751</v>
      </c>
    </row>
    <row r="3657" spans="1:10" s="3" customFormat="1">
      <c r="B3657" s="3" t="s">
        <v>2132</v>
      </c>
      <c r="C3657" s="8">
        <v>3</v>
      </c>
      <c r="D3657" s="3" t="s">
        <v>2779</v>
      </c>
      <c r="E3657" s="11" t="s">
        <v>1133</v>
      </c>
      <c r="F3657" s="10">
        <v>1.2444999999999999E-2</v>
      </c>
      <c r="G3657" s="12">
        <f t="shared" si="262"/>
        <v>3581</v>
      </c>
      <c r="H3657" s="13">
        <f t="shared" si="263"/>
        <v>1791</v>
      </c>
      <c r="I3657" s="12">
        <f t="shared" si="264"/>
        <v>1790</v>
      </c>
      <c r="J3657" s="3" t="str">
        <f t="shared" si="265"/>
        <v>4830752</v>
      </c>
    </row>
    <row r="3658" spans="1:10" s="3" customFormat="1">
      <c r="B3658" s="3" t="s">
        <v>2132</v>
      </c>
      <c r="C3658" s="8">
        <v>3</v>
      </c>
      <c r="D3658" s="3" t="s">
        <v>2780</v>
      </c>
      <c r="E3658" s="11" t="s">
        <v>1134</v>
      </c>
      <c r="F3658" s="10">
        <v>1.02E-4</v>
      </c>
      <c r="G3658" s="12">
        <f t="shared" si="262"/>
        <v>29</v>
      </c>
      <c r="H3658" s="13">
        <f t="shared" si="263"/>
        <v>15</v>
      </c>
      <c r="I3658" s="12">
        <f t="shared" si="264"/>
        <v>14</v>
      </c>
      <c r="J3658" s="3" t="str">
        <f t="shared" si="265"/>
        <v>4830753</v>
      </c>
    </row>
    <row r="3659" spans="1:10" s="3" customFormat="1">
      <c r="B3659" s="3" t="s">
        <v>2132</v>
      </c>
      <c r="C3659" s="8">
        <v>3</v>
      </c>
      <c r="D3659" s="3" t="s">
        <v>2781</v>
      </c>
      <c r="E3659" s="11" t="s">
        <v>1135</v>
      </c>
      <c r="F3659" s="10">
        <v>2.7999999999999998E-4</v>
      </c>
      <c r="G3659" s="12">
        <f t="shared" si="262"/>
        <v>81</v>
      </c>
      <c r="H3659" s="13">
        <f t="shared" si="263"/>
        <v>41</v>
      </c>
      <c r="I3659" s="12">
        <f t="shared" si="264"/>
        <v>40</v>
      </c>
      <c r="J3659" s="3" t="str">
        <f t="shared" si="265"/>
        <v>4830754</v>
      </c>
    </row>
    <row r="3660" spans="1:10" s="3" customFormat="1">
      <c r="B3660" s="3" t="s">
        <v>2132</v>
      </c>
      <c r="C3660" s="8">
        <v>3</v>
      </c>
      <c r="D3660" s="3" t="s">
        <v>2276</v>
      </c>
      <c r="E3660" s="11" t="s">
        <v>1136</v>
      </c>
      <c r="F3660" s="10">
        <v>9.3159999999999996E-3</v>
      </c>
      <c r="G3660" s="12">
        <f t="shared" si="262"/>
        <v>2680</v>
      </c>
      <c r="H3660" s="13">
        <f t="shared" si="263"/>
        <v>1340</v>
      </c>
      <c r="I3660" s="12">
        <f t="shared" si="264"/>
        <v>1340</v>
      </c>
      <c r="J3660" s="3" t="str">
        <f t="shared" si="265"/>
        <v>4830755</v>
      </c>
    </row>
    <row r="3661" spans="1:10" s="3" customFormat="1">
      <c r="A3661" s="3" t="s">
        <v>6269</v>
      </c>
      <c r="B3661" s="3" t="s">
        <v>2132</v>
      </c>
      <c r="C3661" s="8">
        <v>3</v>
      </c>
      <c r="D3661" s="3" t="s">
        <v>2782</v>
      </c>
      <c r="E3661" s="11" t="s">
        <v>1137</v>
      </c>
      <c r="F3661" s="10">
        <v>0</v>
      </c>
      <c r="G3661" s="12">
        <f t="shared" si="262"/>
        <v>0</v>
      </c>
      <c r="H3661" s="13">
        <f t="shared" si="263"/>
        <v>0</v>
      </c>
      <c r="I3661" s="12">
        <f t="shared" si="264"/>
        <v>0</v>
      </c>
      <c r="J3661" s="3" t="str">
        <f t="shared" si="265"/>
        <v>4830756</v>
      </c>
    </row>
    <row r="3662" spans="1:10" s="3" customFormat="1">
      <c r="B3662" s="3" t="s">
        <v>2132</v>
      </c>
      <c r="C3662" s="8">
        <v>3</v>
      </c>
      <c r="D3662" s="3" t="s">
        <v>2783</v>
      </c>
      <c r="E3662" s="11" t="s">
        <v>1138</v>
      </c>
      <c r="F3662" s="10">
        <v>2.22E-4</v>
      </c>
      <c r="G3662" s="12">
        <f t="shared" si="262"/>
        <v>64</v>
      </c>
      <c r="H3662" s="13">
        <f t="shared" si="263"/>
        <v>32</v>
      </c>
      <c r="I3662" s="12">
        <f t="shared" si="264"/>
        <v>32</v>
      </c>
      <c r="J3662" s="3" t="str">
        <f t="shared" si="265"/>
        <v>4830757</v>
      </c>
    </row>
    <row r="3663" spans="1:10" s="3" customFormat="1">
      <c r="A3663" s="3" t="s">
        <v>6269</v>
      </c>
      <c r="B3663" s="3" t="s">
        <v>2132</v>
      </c>
      <c r="C3663" s="8">
        <v>3</v>
      </c>
      <c r="D3663" s="116" t="s">
        <v>2784</v>
      </c>
      <c r="E3663" s="11" t="s">
        <v>1139</v>
      </c>
      <c r="F3663" s="10">
        <v>0</v>
      </c>
      <c r="G3663" s="12">
        <f t="shared" si="262"/>
        <v>0</v>
      </c>
      <c r="H3663" s="13">
        <f t="shared" si="263"/>
        <v>0</v>
      </c>
      <c r="I3663" s="12">
        <f t="shared" si="264"/>
        <v>0</v>
      </c>
      <c r="J3663" s="3" t="str">
        <f t="shared" si="265"/>
        <v>4830758</v>
      </c>
    </row>
    <row r="3664" spans="1:10" s="3" customFormat="1">
      <c r="B3664" s="3" t="s">
        <v>2132</v>
      </c>
      <c r="C3664" s="8">
        <v>4</v>
      </c>
      <c r="D3664" s="3" t="s">
        <v>2787</v>
      </c>
      <c r="E3664" s="11" t="s">
        <v>1140</v>
      </c>
      <c r="F3664" s="10">
        <v>1.9619999999999999E-2</v>
      </c>
      <c r="G3664" s="9">
        <f t="shared" si="262"/>
        <v>5645</v>
      </c>
      <c r="H3664" s="11">
        <f t="shared" si="263"/>
        <v>2823</v>
      </c>
      <c r="I3664" s="9">
        <f t="shared" si="264"/>
        <v>2822</v>
      </c>
      <c r="J3664" s="3" t="str">
        <f t="shared" si="265"/>
        <v>4845265</v>
      </c>
    </row>
    <row r="3665" spans="2:10" s="3" customFormat="1">
      <c r="B3665" s="3" t="s">
        <v>2132</v>
      </c>
      <c r="C3665" s="8">
        <v>4</v>
      </c>
      <c r="D3665" s="3" t="s">
        <v>2787</v>
      </c>
      <c r="E3665" s="11" t="s">
        <v>28</v>
      </c>
      <c r="F3665" s="11"/>
      <c r="G3665" s="14">
        <v>0.51545300000000005</v>
      </c>
      <c r="H3665" s="11"/>
      <c r="I3665" s="11"/>
      <c r="J3665" s="3" t="str">
        <f t="shared" si="265"/>
        <v>4845265</v>
      </c>
    </row>
    <row r="3666" spans="2:10" s="3" customFormat="1">
      <c r="B3666" s="3" t="s">
        <v>2132</v>
      </c>
      <c r="C3666" s="8">
        <v>4</v>
      </c>
      <c r="D3666" s="3" t="s">
        <v>2787</v>
      </c>
      <c r="E3666" s="11" t="s">
        <v>29</v>
      </c>
      <c r="F3666" s="11"/>
      <c r="G3666" s="15">
        <f>ROUND(G3664*G3665,0)</f>
        <v>2910</v>
      </c>
      <c r="H3666" s="16">
        <f>ROUND(G3666/2,0)</f>
        <v>1455</v>
      </c>
      <c r="I3666" s="15">
        <f>G3666-H3666</f>
        <v>1455</v>
      </c>
      <c r="J3666" s="3" t="str">
        <f t="shared" si="265"/>
        <v>4845265</v>
      </c>
    </row>
    <row r="3667" spans="2:10" s="3" customFormat="1">
      <c r="B3667" s="3" t="s">
        <v>2132</v>
      </c>
      <c r="C3667" s="8">
        <v>4</v>
      </c>
      <c r="D3667" s="3" t="s">
        <v>2787</v>
      </c>
      <c r="E3667" s="11" t="s">
        <v>30</v>
      </c>
      <c r="F3667" s="11"/>
      <c r="G3667" s="12">
        <f>+G3664-G3666</f>
        <v>2735</v>
      </c>
      <c r="H3667" s="13">
        <f>ROUND(G3667/2,0)</f>
        <v>1368</v>
      </c>
      <c r="I3667" s="12">
        <f>G3667-H3667</f>
        <v>1367</v>
      </c>
      <c r="J3667" s="3" t="str">
        <f t="shared" si="265"/>
        <v>4845265</v>
      </c>
    </row>
    <row r="3668" spans="2:10" s="3" customFormat="1">
      <c r="B3668" s="3" t="s">
        <v>2132</v>
      </c>
      <c r="C3668" s="8">
        <v>4</v>
      </c>
      <c r="D3668" s="3" t="s">
        <v>2788</v>
      </c>
      <c r="E3668" s="11" t="s">
        <v>1141</v>
      </c>
      <c r="F3668" s="10">
        <v>0.19852700000000001</v>
      </c>
      <c r="G3668" s="9">
        <f>ROUND(G$3*F3668,0)</f>
        <v>57121</v>
      </c>
      <c r="H3668" s="11">
        <f>ROUND(G3668/2,0)</f>
        <v>28561</v>
      </c>
      <c r="I3668" s="9">
        <f>G3668-H3668</f>
        <v>28560</v>
      </c>
      <c r="J3668" s="3" t="str">
        <f t="shared" si="265"/>
        <v>4845275</v>
      </c>
    </row>
    <row r="3669" spans="2:10" s="3" customFormat="1">
      <c r="B3669" s="3" t="s">
        <v>2132</v>
      </c>
      <c r="C3669" s="8">
        <v>4</v>
      </c>
      <c r="D3669" s="3" t="s">
        <v>2788</v>
      </c>
      <c r="E3669" s="11" t="s">
        <v>28</v>
      </c>
      <c r="F3669" s="11"/>
      <c r="G3669" s="14">
        <v>0.42924200000000001</v>
      </c>
      <c r="H3669" s="11"/>
      <c r="I3669" s="11"/>
      <c r="J3669" s="3" t="str">
        <f t="shared" si="265"/>
        <v>4845275</v>
      </c>
    </row>
    <row r="3670" spans="2:10" s="3" customFormat="1">
      <c r="B3670" s="3" t="s">
        <v>2132</v>
      </c>
      <c r="C3670" s="8">
        <v>4</v>
      </c>
      <c r="D3670" s="3" t="s">
        <v>2788</v>
      </c>
      <c r="E3670" s="11" t="s">
        <v>29</v>
      </c>
      <c r="F3670" s="11"/>
      <c r="G3670" s="15">
        <f>ROUND(G3668*G3669,0)</f>
        <v>24519</v>
      </c>
      <c r="H3670" s="16">
        <f>ROUND(G3670/2,0)</f>
        <v>12260</v>
      </c>
      <c r="I3670" s="15">
        <f>G3670-H3670</f>
        <v>12259</v>
      </c>
      <c r="J3670" s="3" t="str">
        <f t="shared" si="265"/>
        <v>4845275</v>
      </c>
    </row>
    <row r="3671" spans="2:10" s="3" customFormat="1">
      <c r="B3671" s="3" t="s">
        <v>2132</v>
      </c>
      <c r="C3671" s="8">
        <v>4</v>
      </c>
      <c r="D3671" s="3" t="s">
        <v>2788</v>
      </c>
      <c r="E3671" s="11" t="s">
        <v>30</v>
      </c>
      <c r="F3671" s="11"/>
      <c r="G3671" s="12">
        <f>+G3668-G3670</f>
        <v>32602</v>
      </c>
      <c r="H3671" s="13">
        <f>ROUND(G3671/2,0)</f>
        <v>16301</v>
      </c>
      <c r="I3671" s="12">
        <f>G3671-H3671</f>
        <v>16301</v>
      </c>
      <c r="J3671" s="3" t="str">
        <f t="shared" si="265"/>
        <v>4845275</v>
      </c>
    </row>
    <row r="3672" spans="2:10" s="3" customFormat="1">
      <c r="B3672" s="3" t="s">
        <v>2132</v>
      </c>
      <c r="C3672" s="8">
        <v>4</v>
      </c>
      <c r="D3672" s="3" t="s">
        <v>2789</v>
      </c>
      <c r="E3672" s="11" t="s">
        <v>1142</v>
      </c>
      <c r="F3672" s="10">
        <v>2.3826E-2</v>
      </c>
      <c r="G3672" s="9">
        <f>ROUND(G$3*F3672,0)</f>
        <v>6855</v>
      </c>
      <c r="H3672" s="11">
        <f>ROUND(G3672/2,0)</f>
        <v>3428</v>
      </c>
      <c r="I3672" s="9">
        <f>G3672-H3672</f>
        <v>3427</v>
      </c>
      <c r="J3672" s="3" t="str">
        <f t="shared" si="265"/>
        <v>4845280</v>
      </c>
    </row>
    <row r="3673" spans="2:10" s="3" customFormat="1">
      <c r="B3673" s="3" t="s">
        <v>2132</v>
      </c>
      <c r="C3673" s="8">
        <v>4</v>
      </c>
      <c r="D3673" s="3" t="s">
        <v>2789</v>
      </c>
      <c r="E3673" s="11" t="s">
        <v>28</v>
      </c>
      <c r="F3673" s="11"/>
      <c r="G3673" s="14">
        <v>0.24490899999999999</v>
      </c>
      <c r="H3673" s="11"/>
      <c r="I3673" s="11"/>
      <c r="J3673" s="3" t="str">
        <f t="shared" si="265"/>
        <v>4845280</v>
      </c>
    </row>
    <row r="3674" spans="2:10" s="3" customFormat="1">
      <c r="B3674" s="3" t="s">
        <v>2132</v>
      </c>
      <c r="C3674" s="8">
        <v>4</v>
      </c>
      <c r="D3674" s="3" t="s">
        <v>2789</v>
      </c>
      <c r="E3674" s="11" t="s">
        <v>29</v>
      </c>
      <c r="F3674" s="11"/>
      <c r="G3674" s="15">
        <f>ROUND(G3672*G3673,0)</f>
        <v>1679</v>
      </c>
      <c r="H3674" s="16">
        <f>ROUND(G3674/2,0)</f>
        <v>840</v>
      </c>
      <c r="I3674" s="15">
        <f>G3674-H3674</f>
        <v>839</v>
      </c>
      <c r="J3674" s="3" t="str">
        <f t="shared" si="265"/>
        <v>4845280</v>
      </c>
    </row>
    <row r="3675" spans="2:10" s="3" customFormat="1">
      <c r="B3675" s="3" t="s">
        <v>2132</v>
      </c>
      <c r="C3675" s="8">
        <v>4</v>
      </c>
      <c r="D3675" s="3" t="s">
        <v>2789</v>
      </c>
      <c r="E3675" s="11" t="s">
        <v>30</v>
      </c>
      <c r="F3675" s="11"/>
      <c r="G3675" s="12">
        <f>+G3672-G3674</f>
        <v>5176</v>
      </c>
      <c r="H3675" s="13">
        <f>ROUND(G3675/2,0)</f>
        <v>2588</v>
      </c>
      <c r="I3675" s="12">
        <f>G3675-H3675</f>
        <v>2588</v>
      </c>
      <c r="J3675" s="3" t="str">
        <f t="shared" si="265"/>
        <v>4845280</v>
      </c>
    </row>
    <row r="3676" spans="2:10" s="3" customFormat="1">
      <c r="B3676" s="3" t="s">
        <v>2132</v>
      </c>
      <c r="C3676" s="8">
        <v>4</v>
      </c>
      <c r="D3676" s="3" t="s">
        <v>2785</v>
      </c>
      <c r="E3676" s="11" t="s">
        <v>1143</v>
      </c>
      <c r="F3676" s="10">
        <v>0.19841200000000001</v>
      </c>
      <c r="G3676" s="9">
        <f>ROUND(G$3*F3676,0)</f>
        <v>57088</v>
      </c>
      <c r="H3676" s="11">
        <f>ROUND(G3676/2,0)</f>
        <v>28544</v>
      </c>
      <c r="I3676" s="9">
        <f>G3676-H3676</f>
        <v>28544</v>
      </c>
      <c r="J3676" s="3" t="str">
        <f t="shared" si="265"/>
        <v>4845245</v>
      </c>
    </row>
    <row r="3677" spans="2:10" s="3" customFormat="1">
      <c r="B3677" s="3" t="s">
        <v>2132</v>
      </c>
      <c r="C3677" s="8">
        <v>4</v>
      </c>
      <c r="D3677" s="3" t="s">
        <v>2785</v>
      </c>
      <c r="E3677" s="11" t="s">
        <v>28</v>
      </c>
      <c r="F3677" s="11"/>
      <c r="G3677" s="14">
        <v>0.35032600000000003</v>
      </c>
      <c r="H3677" s="11"/>
      <c r="I3677" s="11"/>
      <c r="J3677" s="3" t="str">
        <f t="shared" si="265"/>
        <v>4845245</v>
      </c>
    </row>
    <row r="3678" spans="2:10" s="3" customFormat="1">
      <c r="B3678" s="3" t="s">
        <v>2132</v>
      </c>
      <c r="C3678" s="8">
        <v>4</v>
      </c>
      <c r="D3678" s="3" t="s">
        <v>2785</v>
      </c>
      <c r="E3678" s="11" t="s">
        <v>29</v>
      </c>
      <c r="F3678" s="11"/>
      <c r="G3678" s="15">
        <f>ROUND(G3676*G3677,0)</f>
        <v>19999</v>
      </c>
      <c r="H3678" s="16">
        <f>ROUND(G3678/2,0)</f>
        <v>10000</v>
      </c>
      <c r="I3678" s="15">
        <f>G3678-H3678</f>
        <v>9999</v>
      </c>
      <c r="J3678" s="3" t="str">
        <f t="shared" si="265"/>
        <v>4845245</v>
      </c>
    </row>
    <row r="3679" spans="2:10" s="3" customFormat="1">
      <c r="B3679" s="3" t="s">
        <v>2132</v>
      </c>
      <c r="C3679" s="8">
        <v>4</v>
      </c>
      <c r="D3679" s="3" t="s">
        <v>2785</v>
      </c>
      <c r="E3679" s="11" t="s">
        <v>30</v>
      </c>
      <c r="F3679" s="11"/>
      <c r="G3679" s="12">
        <f>+G3676-G3678</f>
        <v>37089</v>
      </c>
      <c r="H3679" s="13">
        <f>ROUND(G3679/2,0)</f>
        <v>18545</v>
      </c>
      <c r="I3679" s="12">
        <f>G3679-H3679</f>
        <v>18544</v>
      </c>
      <c r="J3679" s="3" t="str">
        <f t="shared" si="265"/>
        <v>4845245</v>
      </c>
    </row>
    <row r="3680" spans="2:10" s="3" customFormat="1">
      <c r="B3680" s="3" t="s">
        <v>2132</v>
      </c>
      <c r="C3680" s="8">
        <v>4</v>
      </c>
      <c r="D3680" s="3" t="s">
        <v>2486</v>
      </c>
      <c r="E3680" s="11" t="s">
        <v>608</v>
      </c>
      <c r="F3680" s="10">
        <v>1.5651000000000002E-2</v>
      </c>
      <c r="G3680" s="9">
        <f>ROUND(G$3*F3680,0)</f>
        <v>4503</v>
      </c>
      <c r="H3680" s="11">
        <f>ROUND(G3680/2,0)</f>
        <v>2252</v>
      </c>
      <c r="I3680" s="9">
        <f>G3680-H3680</f>
        <v>2251</v>
      </c>
      <c r="J3680" s="3" t="str">
        <f t="shared" si="265"/>
        <v>4842825</v>
      </c>
    </row>
    <row r="3681" spans="1:10" s="3" customFormat="1">
      <c r="B3681" s="3" t="s">
        <v>2132</v>
      </c>
      <c r="C3681" s="8">
        <v>4</v>
      </c>
      <c r="D3681" s="3" t="s">
        <v>2486</v>
      </c>
      <c r="E3681" s="11" t="s">
        <v>28</v>
      </c>
      <c r="F3681" s="11"/>
      <c r="G3681" s="14">
        <v>0.45816000000000001</v>
      </c>
      <c r="H3681" s="11"/>
      <c r="I3681" s="11"/>
      <c r="J3681" s="3" t="str">
        <f t="shared" si="265"/>
        <v>4842825</v>
      </c>
    </row>
    <row r="3682" spans="1:10" s="3" customFormat="1">
      <c r="B3682" s="3" t="s">
        <v>2132</v>
      </c>
      <c r="C3682" s="8">
        <v>4</v>
      </c>
      <c r="D3682" s="3" t="s">
        <v>2486</v>
      </c>
      <c r="E3682" s="11" t="s">
        <v>29</v>
      </c>
      <c r="F3682" s="11"/>
      <c r="G3682" s="15">
        <f>ROUND(G3680*G3681,0)</f>
        <v>2063</v>
      </c>
      <c r="H3682" s="16">
        <f>ROUND(G3682/2,0)</f>
        <v>1032</v>
      </c>
      <c r="I3682" s="15">
        <f>G3682-H3682</f>
        <v>1031</v>
      </c>
      <c r="J3682" s="3" t="str">
        <f t="shared" si="265"/>
        <v>4842825</v>
      </c>
    </row>
    <row r="3683" spans="1:10" s="3" customFormat="1">
      <c r="B3683" s="3" t="s">
        <v>2132</v>
      </c>
      <c r="C3683" s="8">
        <v>4</v>
      </c>
      <c r="D3683" s="3" t="s">
        <v>2486</v>
      </c>
      <c r="E3683" s="11" t="s">
        <v>30</v>
      </c>
      <c r="F3683" s="11"/>
      <c r="G3683" s="12">
        <f>+G3680-G3682</f>
        <v>2440</v>
      </c>
      <c r="H3683" s="13">
        <f>ROUND(G3683/2,0)</f>
        <v>1220</v>
      </c>
      <c r="I3683" s="12">
        <f>G3683-H3683</f>
        <v>1220</v>
      </c>
      <c r="J3683" s="3" t="str">
        <f t="shared" si="265"/>
        <v>4842825</v>
      </c>
    </row>
    <row r="3684" spans="1:10" s="3" customFormat="1">
      <c r="B3684" s="3" t="s">
        <v>2132</v>
      </c>
      <c r="C3684" s="8">
        <v>4</v>
      </c>
      <c r="D3684" s="3" t="s">
        <v>2786</v>
      </c>
      <c r="E3684" s="11" t="s">
        <v>1144</v>
      </c>
      <c r="F3684" s="10">
        <v>4.8214E-2</v>
      </c>
      <c r="G3684" s="9">
        <f>ROUND(G$3*F3684,0)</f>
        <v>13872</v>
      </c>
      <c r="H3684" s="11">
        <f>ROUND(G3684/2,0)</f>
        <v>6936</v>
      </c>
      <c r="I3684" s="9">
        <f>G3684-H3684</f>
        <v>6936</v>
      </c>
      <c r="J3684" s="3" t="str">
        <f t="shared" si="265"/>
        <v>4845255</v>
      </c>
    </row>
    <row r="3685" spans="1:10" s="3" customFormat="1">
      <c r="B3685" s="3" t="s">
        <v>2132</v>
      </c>
      <c r="C3685" s="8">
        <v>4</v>
      </c>
      <c r="D3685" s="3" t="s">
        <v>2786</v>
      </c>
      <c r="E3685" s="11" t="s">
        <v>28</v>
      </c>
      <c r="F3685" s="11"/>
      <c r="G3685" s="14">
        <v>0.40493000000000001</v>
      </c>
      <c r="H3685" s="11"/>
      <c r="I3685" s="11"/>
      <c r="J3685" s="3" t="str">
        <f t="shared" si="265"/>
        <v>4845255</v>
      </c>
    </row>
    <row r="3686" spans="1:10" s="3" customFormat="1">
      <c r="B3686" s="3" t="s">
        <v>2132</v>
      </c>
      <c r="C3686" s="8">
        <v>4</v>
      </c>
      <c r="D3686" s="3" t="s">
        <v>2786</v>
      </c>
      <c r="E3686" s="11" t="s">
        <v>29</v>
      </c>
      <c r="F3686" s="11"/>
      <c r="G3686" s="15">
        <f>ROUND(G3684*G3685,0)</f>
        <v>5617</v>
      </c>
      <c r="H3686" s="16">
        <f t="shared" ref="H3686:H3693" si="266">ROUND(G3686/2,0)</f>
        <v>2809</v>
      </c>
      <c r="I3686" s="15">
        <f t="shared" ref="I3686:I3693" si="267">G3686-H3686</f>
        <v>2808</v>
      </c>
      <c r="J3686" s="3" t="str">
        <f t="shared" si="265"/>
        <v>4845255</v>
      </c>
    </row>
    <row r="3687" spans="1:10" s="3" customFormat="1">
      <c r="B3687" s="3" t="s">
        <v>2132</v>
      </c>
      <c r="C3687" s="8">
        <v>4</v>
      </c>
      <c r="D3687" s="3" t="s">
        <v>2786</v>
      </c>
      <c r="E3687" s="11" t="s">
        <v>30</v>
      </c>
      <c r="F3687" s="11"/>
      <c r="G3687" s="12">
        <f>+G3684-G3686</f>
        <v>8255</v>
      </c>
      <c r="H3687" s="13">
        <f t="shared" si="266"/>
        <v>4128</v>
      </c>
      <c r="I3687" s="12">
        <f t="shared" si="267"/>
        <v>4127</v>
      </c>
      <c r="J3687" s="3" t="str">
        <f t="shared" si="265"/>
        <v>4845255</v>
      </c>
    </row>
    <row r="3688" spans="1:10" s="3" customFormat="1">
      <c r="B3688" s="3" t="s">
        <v>2132</v>
      </c>
      <c r="C3688" s="8">
        <v>5</v>
      </c>
      <c r="D3688" s="3" t="s">
        <v>4891</v>
      </c>
      <c r="E3688" s="11" t="s">
        <v>1145</v>
      </c>
      <c r="F3688" s="10">
        <v>2.6800000000000001E-3</v>
      </c>
      <c r="G3688" s="120">
        <f>ROUND(G$3*F3688,0)</f>
        <v>771</v>
      </c>
      <c r="H3688" s="120">
        <f t="shared" si="266"/>
        <v>386</v>
      </c>
      <c r="I3688" s="120">
        <f t="shared" si="267"/>
        <v>385</v>
      </c>
      <c r="J3688" s="3" t="str">
        <f t="shared" si="265"/>
        <v>4850138</v>
      </c>
    </row>
    <row r="3689" spans="1:10" s="3" customFormat="1">
      <c r="B3689" s="3" t="s">
        <v>2132</v>
      </c>
      <c r="C3689" s="8">
        <v>5</v>
      </c>
      <c r="D3689" s="3" t="s">
        <v>4893</v>
      </c>
      <c r="E3689" s="11" t="s">
        <v>1146</v>
      </c>
      <c r="F3689" s="10">
        <v>3.1514E-2</v>
      </c>
      <c r="G3689" s="120">
        <f>ROUND(G$3*F3689,0)</f>
        <v>9067</v>
      </c>
      <c r="H3689" s="120">
        <f t="shared" si="266"/>
        <v>4534</v>
      </c>
      <c r="I3689" s="120">
        <f t="shared" si="267"/>
        <v>4533</v>
      </c>
      <c r="J3689" s="3" t="str">
        <f t="shared" si="265"/>
        <v>4850139</v>
      </c>
    </row>
    <row r="3690" spans="1:10" s="3" customFormat="1">
      <c r="B3690" s="3" t="s">
        <v>2132</v>
      </c>
      <c r="C3690" s="8">
        <v>5</v>
      </c>
      <c r="D3690" s="3" t="s">
        <v>4897</v>
      </c>
      <c r="E3690" s="11" t="s">
        <v>1147</v>
      </c>
      <c r="F3690" s="10">
        <v>6.3460000000000001E-3</v>
      </c>
      <c r="G3690" s="120">
        <f>ROUND(G$3*F3690,0)</f>
        <v>1826</v>
      </c>
      <c r="H3690" s="120">
        <f t="shared" si="266"/>
        <v>913</v>
      </c>
      <c r="I3690" s="120">
        <f t="shared" si="267"/>
        <v>913</v>
      </c>
      <c r="J3690" s="3" t="str">
        <f t="shared" si="265"/>
        <v>4850290</v>
      </c>
    </row>
    <row r="3691" spans="1:10" s="3" customFormat="1">
      <c r="B3691" s="3" t="s">
        <v>2132</v>
      </c>
      <c r="C3691" s="8">
        <v>5</v>
      </c>
      <c r="D3691" s="3" t="s">
        <v>4895</v>
      </c>
      <c r="E3691" s="11" t="s">
        <v>1148</v>
      </c>
      <c r="F3691" s="10">
        <v>2.565E-3</v>
      </c>
      <c r="G3691" s="120">
        <f>ROUND(G$3*F3691,0)</f>
        <v>738</v>
      </c>
      <c r="H3691" s="120">
        <f t="shared" si="266"/>
        <v>369</v>
      </c>
      <c r="I3691" s="120">
        <f t="shared" si="267"/>
        <v>369</v>
      </c>
      <c r="J3691" s="3" t="str">
        <f t="shared" si="265"/>
        <v>4850141</v>
      </c>
    </row>
    <row r="3692" spans="1:10" s="3" customFormat="1">
      <c r="B3692" s="3" t="s">
        <v>2132</v>
      </c>
      <c r="C3692" s="8">
        <v>6</v>
      </c>
      <c r="D3692" s="3" t="s">
        <v>3752</v>
      </c>
      <c r="E3692" s="11" t="s">
        <v>422</v>
      </c>
      <c r="F3692" s="10">
        <v>2.2190000000000001E-3</v>
      </c>
      <c r="G3692" s="120">
        <f>+G3601-SUM(G3602:G3603)-SUM(G3608:G3664)-G3668-G3672-G3676-G3680-G3684-SUM(G3688:G3691)</f>
        <v>935545</v>
      </c>
      <c r="H3692" s="120">
        <f t="shared" si="266"/>
        <v>467773</v>
      </c>
      <c r="I3692" s="120">
        <f t="shared" si="267"/>
        <v>467772</v>
      </c>
      <c r="J3692" s="3" t="str">
        <f t="shared" si="265"/>
        <v>4861034</v>
      </c>
    </row>
    <row r="3693" spans="1:10" s="3" customFormat="1">
      <c r="A3693" s="3" t="s">
        <v>6269</v>
      </c>
      <c r="B3693" s="3" t="s">
        <v>2132</v>
      </c>
      <c r="C3693" s="8">
        <v>6</v>
      </c>
      <c r="D3693" s="3" t="s">
        <v>2790</v>
      </c>
      <c r="E3693" s="11" t="s">
        <v>1149</v>
      </c>
      <c r="F3693" s="10">
        <v>0</v>
      </c>
      <c r="G3693" s="12">
        <f>ROUND(G$3*F3693,0)</f>
        <v>0</v>
      </c>
      <c r="H3693" s="13">
        <f t="shared" si="266"/>
        <v>0</v>
      </c>
      <c r="I3693" s="12">
        <f t="shared" si="267"/>
        <v>0</v>
      </c>
      <c r="J3693" s="3" t="str">
        <f t="shared" si="265"/>
        <v>4860955</v>
      </c>
    </row>
    <row r="3694" spans="1:10" s="3" customFormat="1">
      <c r="B3694" s="3" t="s">
        <v>2132</v>
      </c>
      <c r="C3694" s="8">
        <v>0</v>
      </c>
      <c r="D3694" s="125" t="s">
        <v>2187</v>
      </c>
      <c r="E3694" s="28" t="s">
        <v>288</v>
      </c>
      <c r="F3694" s="10">
        <v>1</v>
      </c>
      <c r="G3694" s="12">
        <f>+G3602+SUM(G3605:G3663)+SUM(G3666:G3667)+SUM(G3670:G3671)+SUM(G3674:G3675)+SUM(G3678:G3679)+SUM(G3682:G3683)+SUM(G3686:G3693)</f>
        <v>1222632</v>
      </c>
      <c r="H3694" s="12">
        <f>+H3602+SUM(H3605:H3663)+SUM(H3666:H3667)+SUM(H3670:H3671)+SUM(H3674:H3675)+SUM(H3678:H3679)+SUM(H3682:H3683)+SUM(H3686:H3693)</f>
        <v>611332</v>
      </c>
      <c r="I3694" s="12">
        <f>+I3602+SUM(I3605:I3663)+SUM(I3666:I3667)+SUM(I3670:I3671)+SUM(I3674:I3675)+SUM(I3678:I3679)+SUM(I3682:I3683)+SUM(I3686:I3693)</f>
        <v>611300</v>
      </c>
      <c r="J3694" s="3" t="str">
        <f t="shared" si="265"/>
        <v>4800000</v>
      </c>
    </row>
    <row r="3695" spans="1:10" s="3" customFormat="1">
      <c r="B3695" s="3" t="s">
        <v>2132</v>
      </c>
      <c r="C3695" s="8">
        <v>0</v>
      </c>
      <c r="D3695" s="3" t="s">
        <v>2187</v>
      </c>
      <c r="E3695" s="18" t="s">
        <v>38</v>
      </c>
      <c r="G3695" s="19">
        <f>+G3602</f>
        <v>265</v>
      </c>
      <c r="H3695" s="19">
        <f>+H3602</f>
        <v>133</v>
      </c>
      <c r="I3695" s="19">
        <f>+I3602</f>
        <v>132</v>
      </c>
      <c r="J3695" s="3" t="str">
        <f t="shared" si="265"/>
        <v>4800000</v>
      </c>
    </row>
    <row r="3696" spans="1:10" s="3" customFormat="1">
      <c r="B3696" s="3" t="s">
        <v>2132</v>
      </c>
      <c r="C3696" s="8">
        <v>0</v>
      </c>
      <c r="D3696" s="3" t="s">
        <v>2187</v>
      </c>
      <c r="E3696" s="2" t="s">
        <v>39</v>
      </c>
      <c r="G3696" s="19">
        <f>+G3605</f>
        <v>18266</v>
      </c>
      <c r="H3696" s="19">
        <f>+H3605</f>
        <v>9133</v>
      </c>
      <c r="I3696" s="19">
        <f>+I3605</f>
        <v>9133</v>
      </c>
      <c r="J3696" s="3" t="str">
        <f t="shared" si="265"/>
        <v>4800000</v>
      </c>
    </row>
    <row r="3697" spans="1:10" s="3" customFormat="1">
      <c r="B3697" s="3" t="s">
        <v>2132</v>
      </c>
      <c r="C3697" s="8">
        <v>0</v>
      </c>
      <c r="D3697" s="3" t="s">
        <v>2187</v>
      </c>
      <c r="E3697" s="2" t="s">
        <v>40</v>
      </c>
      <c r="G3697" s="19">
        <f>+G3666+G3670+G3674+G3678+G3682+G3686</f>
        <v>56787</v>
      </c>
      <c r="H3697" s="19">
        <f>+H3666+H3670+H3674+H3678+H3682+H3686</f>
        <v>28396</v>
      </c>
      <c r="I3697" s="19">
        <f>+I3666+I3670+I3674+I3678+I3682+I3686</f>
        <v>28391</v>
      </c>
      <c r="J3697" s="3" t="str">
        <f t="shared" si="265"/>
        <v>4800000</v>
      </c>
    </row>
    <row r="3698" spans="1:10" s="3" customFormat="1">
      <c r="B3698" s="3" t="s">
        <v>2132</v>
      </c>
      <c r="C3698" s="8">
        <v>0</v>
      </c>
      <c r="D3698" s="125" t="s">
        <v>2187</v>
      </c>
      <c r="E3698" s="18" t="s">
        <v>41</v>
      </c>
      <c r="G3698" s="19">
        <f>+G3694-G3695-G3696-G3697</f>
        <v>1147314</v>
      </c>
      <c r="H3698" s="19">
        <f>+H3694-H3695-H3696-H3697</f>
        <v>573670</v>
      </c>
      <c r="I3698" s="19">
        <f>+I3694-I3695-I3696-I3697</f>
        <v>573644</v>
      </c>
      <c r="J3698" s="3" t="str">
        <f t="shared" si="265"/>
        <v>4800000</v>
      </c>
    </row>
    <row r="3699" spans="1:10" ht="15.75">
      <c r="B3699" s="3" t="s">
        <v>2186</v>
      </c>
      <c r="D3699" t="s">
        <v>2186</v>
      </c>
      <c r="E3699">
        <v>0</v>
      </c>
      <c r="G3699"/>
      <c r="H3699"/>
      <c r="I3699"/>
      <c r="J3699" s="3" t="str">
        <f t="shared" si="265"/>
        <v/>
      </c>
    </row>
    <row r="3700" spans="1:10" s="3" customFormat="1">
      <c r="C3700" s="1"/>
      <c r="D3700" s="3" t="s">
        <v>2186</v>
      </c>
      <c r="E3700" s="2" t="s">
        <v>1150</v>
      </c>
      <c r="J3700" s="3" t="str">
        <f t="shared" si="265"/>
        <v/>
      </c>
    </row>
    <row r="3701" spans="1:10" s="3" customFormat="1" ht="45">
      <c r="B3701" s="3" t="s">
        <v>2186</v>
      </c>
      <c r="C3701" s="1"/>
      <c r="D3701" s="3" t="s">
        <v>2186</v>
      </c>
      <c r="E3701" s="1">
        <v>0</v>
      </c>
      <c r="F3701" s="6" t="s">
        <v>1</v>
      </c>
      <c r="G3701" s="60">
        <f>'Allocation Worksheet'!H3701</f>
        <v>0</v>
      </c>
      <c r="H3701" s="60">
        <f>'Allocation Worksheet'!H3702</f>
        <v>0</v>
      </c>
      <c r="I3701" s="60">
        <f>'Allocation Worksheet'!H3703</f>
        <v>0</v>
      </c>
      <c r="J3701" s="3" t="str">
        <f t="shared" si="265"/>
        <v/>
      </c>
    </row>
    <row r="3702" spans="1:10" s="3" customFormat="1">
      <c r="C3702" s="7" t="s">
        <v>2087</v>
      </c>
      <c r="D3702" s="3" t="s">
        <v>2186</v>
      </c>
      <c r="E3702" s="7" t="s">
        <v>3</v>
      </c>
      <c r="F3702" s="10"/>
      <c r="G3702" s="9">
        <f>'Allocation Worksheet'!$D$52</f>
        <v>11858968</v>
      </c>
      <c r="H3702" s="11"/>
      <c r="I3702" s="11"/>
      <c r="J3702" s="3" t="str">
        <f t="shared" si="265"/>
        <v>UT</v>
      </c>
    </row>
    <row r="3703" spans="1:10" s="3" customFormat="1">
      <c r="B3703" s="3" t="s">
        <v>2133</v>
      </c>
      <c r="C3703" s="8">
        <v>0</v>
      </c>
      <c r="D3703" s="3" t="s">
        <v>2187</v>
      </c>
      <c r="E3703" s="11" t="s">
        <v>4</v>
      </c>
      <c r="F3703" s="10">
        <v>9.2699999999999998E-4</v>
      </c>
      <c r="G3703" s="12">
        <f>ROUND(G$3*F3703,0)</f>
        <v>267</v>
      </c>
      <c r="H3703" s="13">
        <f>ROUND(G3703/2,0)</f>
        <v>134</v>
      </c>
      <c r="I3703" s="12">
        <f>G3703-H3703</f>
        <v>133</v>
      </c>
      <c r="J3703" s="3" t="str">
        <f t="shared" si="265"/>
        <v>4900000</v>
      </c>
    </row>
    <row r="3704" spans="1:10" s="3" customFormat="1">
      <c r="B3704" s="3" t="s">
        <v>2133</v>
      </c>
      <c r="C3704" s="8">
        <v>6</v>
      </c>
      <c r="D3704" s="3" t="s">
        <v>2820</v>
      </c>
      <c r="E3704" s="11" t="s">
        <v>1151</v>
      </c>
      <c r="F3704" s="10">
        <v>5.0327999999999998E-2</v>
      </c>
      <c r="G3704" s="120">
        <f>ROUND(G$3*F3704,0)</f>
        <v>14481</v>
      </c>
      <c r="H3704" s="120">
        <f>ROUND(G3704/2,0)</f>
        <v>7241</v>
      </c>
      <c r="I3704" s="120">
        <f>G3704-H3704</f>
        <v>7240</v>
      </c>
      <c r="J3704" s="3" t="str">
        <f t="shared" si="265"/>
        <v>4960939</v>
      </c>
    </row>
    <row r="3705" spans="1:10" s="3" customFormat="1">
      <c r="B3705" s="3" t="s">
        <v>2133</v>
      </c>
      <c r="C3705" s="8">
        <v>1</v>
      </c>
      <c r="D3705" s="3" t="s">
        <v>2187</v>
      </c>
      <c r="E3705" s="11" t="s">
        <v>1152</v>
      </c>
      <c r="F3705" s="10">
        <v>0.13018299999999999</v>
      </c>
      <c r="G3705" s="9">
        <f>ROUND(G$3*F3705,0)</f>
        <v>37457</v>
      </c>
      <c r="H3705" s="11">
        <f>ROUND(G3705/2,0)</f>
        <v>18729</v>
      </c>
      <c r="I3705" s="9">
        <f>G3705-H3705</f>
        <v>18728</v>
      </c>
      <c r="J3705" s="3" t="str">
        <f t="shared" si="265"/>
        <v>4910000</v>
      </c>
    </row>
    <row r="3706" spans="1:10" s="3" customFormat="1">
      <c r="B3706" s="3" t="s">
        <v>2133</v>
      </c>
      <c r="C3706" s="8">
        <v>1</v>
      </c>
      <c r="D3706" s="3" t="s">
        <v>2187</v>
      </c>
      <c r="E3706" s="11" t="s">
        <v>6</v>
      </c>
      <c r="F3706" s="11"/>
      <c r="G3706" s="14">
        <v>0.26215100000000002</v>
      </c>
      <c r="H3706" s="11"/>
      <c r="I3706" s="11"/>
      <c r="J3706" s="3" t="str">
        <f t="shared" si="265"/>
        <v>4910000</v>
      </c>
    </row>
    <row r="3707" spans="1:10" s="3" customFormat="1">
      <c r="B3707" s="3" t="s">
        <v>2133</v>
      </c>
      <c r="C3707" s="8">
        <v>1</v>
      </c>
      <c r="D3707" s="3" t="s">
        <v>2187</v>
      </c>
      <c r="E3707" s="11" t="s">
        <v>7</v>
      </c>
      <c r="F3707" s="11"/>
      <c r="G3707" s="15">
        <f>ROUND(G3705*G3706,0)</f>
        <v>9819</v>
      </c>
      <c r="H3707" s="16">
        <f>ROUND(G3707/2,0)</f>
        <v>4910</v>
      </c>
      <c r="I3707" s="15">
        <f>G3707-H3707</f>
        <v>4909</v>
      </c>
      <c r="J3707" s="3" t="str">
        <f t="shared" si="265"/>
        <v>4910000</v>
      </c>
    </row>
    <row r="3708" spans="1:10" s="3" customFormat="1">
      <c r="B3708" s="3" t="s">
        <v>2133</v>
      </c>
      <c r="C3708" s="8">
        <v>1</v>
      </c>
      <c r="D3708" s="3" t="s">
        <v>2187</v>
      </c>
      <c r="E3708" s="11" t="s">
        <v>8</v>
      </c>
      <c r="F3708" s="11"/>
      <c r="G3708" s="12">
        <f>+G3705-G3707</f>
        <v>27638</v>
      </c>
      <c r="H3708" s="13">
        <f>ROUND(G3708/2,0)</f>
        <v>13819</v>
      </c>
      <c r="I3708" s="12">
        <f>G3708-H3708</f>
        <v>13819</v>
      </c>
      <c r="J3708" s="3" t="str">
        <f t="shared" si="265"/>
        <v>4910000</v>
      </c>
    </row>
    <row r="3709" spans="1:10" s="3" customFormat="1">
      <c r="B3709" s="3" t="s">
        <v>2133</v>
      </c>
      <c r="C3709" s="8">
        <v>2</v>
      </c>
      <c r="D3709" s="3" t="s">
        <v>2188</v>
      </c>
      <c r="E3709" s="11" t="s">
        <v>107</v>
      </c>
      <c r="F3709" s="11"/>
      <c r="G3709" s="9"/>
      <c r="H3709" s="11"/>
      <c r="I3709" s="11"/>
      <c r="J3709" s="3" t="str">
        <f t="shared" si="265"/>
        <v>4920001</v>
      </c>
    </row>
    <row r="3710" spans="1:10" s="3" customFormat="1">
      <c r="B3710" s="3" t="s">
        <v>2133</v>
      </c>
      <c r="C3710" s="8">
        <v>2</v>
      </c>
      <c r="D3710" s="3" t="s">
        <v>2188</v>
      </c>
      <c r="E3710" s="11" t="s">
        <v>10</v>
      </c>
      <c r="F3710" s="10">
        <v>4.1099999999999999E-3</v>
      </c>
      <c r="G3710" s="12">
        <f>ROUND(G$3*F3710,0)</f>
        <v>1183</v>
      </c>
      <c r="H3710" s="13">
        <f>ROUND(G3710/2,0)</f>
        <v>592</v>
      </c>
      <c r="I3710" s="12">
        <f>G3710-H3710</f>
        <v>591</v>
      </c>
      <c r="J3710" s="3" t="str">
        <f t="shared" si="265"/>
        <v>4920001</v>
      </c>
    </row>
    <row r="3711" spans="1:10" s="3" customFormat="1">
      <c r="A3711" s="3" t="s">
        <v>6269</v>
      </c>
      <c r="B3711" s="3" t="s">
        <v>2133</v>
      </c>
      <c r="C3711" s="8">
        <v>2</v>
      </c>
      <c r="D3711" s="3" t="s">
        <v>2188</v>
      </c>
      <c r="E3711" s="11" t="s">
        <v>11</v>
      </c>
      <c r="F3711" s="10">
        <v>0</v>
      </c>
      <c r="G3711" s="12">
        <f>ROUND(G$3*F3711,0)</f>
        <v>0</v>
      </c>
      <c r="H3711" s="13">
        <f>ROUND(G3711/2,0)</f>
        <v>0</v>
      </c>
      <c r="I3711" s="12">
        <f>G3711-H3711</f>
        <v>0</v>
      </c>
      <c r="J3711" s="3" t="str">
        <f t="shared" si="265"/>
        <v>4920001</v>
      </c>
    </row>
    <row r="3712" spans="1:10" s="3" customFormat="1">
      <c r="B3712" s="3" t="s">
        <v>2133</v>
      </c>
      <c r="C3712" s="8">
        <v>2</v>
      </c>
      <c r="D3712" s="3" t="s">
        <v>2189</v>
      </c>
      <c r="E3712" s="11" t="s">
        <v>1153</v>
      </c>
      <c r="F3712" s="11"/>
      <c r="G3712" s="9"/>
      <c r="H3712" s="11"/>
      <c r="I3712" s="11"/>
      <c r="J3712" s="3" t="str">
        <f t="shared" si="265"/>
        <v>4920002</v>
      </c>
    </row>
    <row r="3713" spans="2:10" s="3" customFormat="1">
      <c r="B3713" s="3" t="s">
        <v>2133</v>
      </c>
      <c r="C3713" s="8">
        <v>2</v>
      </c>
      <c r="D3713" s="3" t="s">
        <v>2189</v>
      </c>
      <c r="E3713" s="11" t="s">
        <v>10</v>
      </c>
      <c r="F3713" s="10">
        <v>2.7500000000000002E-4</v>
      </c>
      <c r="G3713" s="12">
        <f>ROUND(G$3*F3713,0)</f>
        <v>79</v>
      </c>
      <c r="H3713" s="13">
        <f>ROUND(G3713/2,0)</f>
        <v>40</v>
      </c>
      <c r="I3713" s="12">
        <f>G3713-H3713</f>
        <v>39</v>
      </c>
      <c r="J3713" s="3" t="str">
        <f t="shared" si="265"/>
        <v>4920002</v>
      </c>
    </row>
    <row r="3714" spans="2:10" s="3" customFormat="1">
      <c r="B3714" s="3" t="s">
        <v>2133</v>
      </c>
      <c r="C3714" s="8">
        <v>2</v>
      </c>
      <c r="D3714" s="3" t="s">
        <v>2189</v>
      </c>
      <c r="E3714" s="11" t="s">
        <v>11</v>
      </c>
      <c r="F3714" s="10">
        <v>1.737E-3</v>
      </c>
      <c r="G3714" s="12">
        <f>ROUND(G$3*F3714,0)</f>
        <v>500</v>
      </c>
      <c r="H3714" s="13">
        <f>ROUND(G3714/2,0)</f>
        <v>250</v>
      </c>
      <c r="I3714" s="12">
        <f>G3714-H3714</f>
        <v>250</v>
      </c>
      <c r="J3714" s="3" t="str">
        <f t="shared" si="265"/>
        <v>4920002</v>
      </c>
    </row>
    <row r="3715" spans="2:10" s="3" customFormat="1">
      <c r="B3715" s="3" t="s">
        <v>2133</v>
      </c>
      <c r="C3715" s="8">
        <v>2</v>
      </c>
      <c r="D3715" s="3" t="s">
        <v>2190</v>
      </c>
      <c r="E3715" s="11" t="s">
        <v>372</v>
      </c>
      <c r="F3715" s="11"/>
      <c r="G3715" s="9"/>
      <c r="H3715" s="11"/>
      <c r="I3715" s="11"/>
      <c r="J3715" s="3" t="str">
        <f t="shared" si="265"/>
        <v>4920003</v>
      </c>
    </row>
    <row r="3716" spans="2:10" s="3" customFormat="1">
      <c r="B3716" s="3" t="s">
        <v>2133</v>
      </c>
      <c r="C3716" s="8">
        <v>2</v>
      </c>
      <c r="D3716" s="3" t="s">
        <v>2190</v>
      </c>
      <c r="E3716" s="11" t="s">
        <v>10</v>
      </c>
      <c r="F3716" s="10">
        <v>7.1900000000000002E-4</v>
      </c>
      <c r="G3716" s="12">
        <f>ROUND(G$3*F3716,0)</f>
        <v>207</v>
      </c>
      <c r="H3716" s="13">
        <f>ROUND(G3716/2,0)</f>
        <v>104</v>
      </c>
      <c r="I3716" s="12">
        <f>G3716-H3716</f>
        <v>103</v>
      </c>
      <c r="J3716" s="3" t="str">
        <f t="shared" ref="J3716:J3779" si="268">B3716&amp;C3716&amp;D3716</f>
        <v>4920003</v>
      </c>
    </row>
    <row r="3717" spans="2:10" s="3" customFormat="1">
      <c r="B3717" s="3" t="s">
        <v>2133</v>
      </c>
      <c r="C3717" s="8">
        <v>2</v>
      </c>
      <c r="D3717" s="3" t="s">
        <v>2190</v>
      </c>
      <c r="E3717" s="11" t="s">
        <v>11</v>
      </c>
      <c r="F3717" s="10">
        <v>1.3159999999999999E-3</v>
      </c>
      <c r="G3717" s="12">
        <f>ROUND(G$3*F3717,0)</f>
        <v>379</v>
      </c>
      <c r="H3717" s="13">
        <f>ROUND(G3717/2,0)</f>
        <v>190</v>
      </c>
      <c r="I3717" s="12">
        <f>G3717-H3717</f>
        <v>189</v>
      </c>
      <c r="J3717" s="3" t="str">
        <f t="shared" si="268"/>
        <v>4920003</v>
      </c>
    </row>
    <row r="3718" spans="2:10" s="3" customFormat="1">
      <c r="B3718" s="3" t="s">
        <v>2133</v>
      </c>
      <c r="C3718" s="8">
        <v>2</v>
      </c>
      <c r="D3718" s="3" t="s">
        <v>2191</v>
      </c>
      <c r="E3718" s="11" t="s">
        <v>1154</v>
      </c>
      <c r="F3718" s="11"/>
      <c r="G3718" s="9"/>
      <c r="H3718" s="11"/>
      <c r="I3718" s="11"/>
      <c r="J3718" s="3" t="str">
        <f t="shared" si="268"/>
        <v>4920004</v>
      </c>
    </row>
    <row r="3719" spans="2:10" s="3" customFormat="1">
      <c r="B3719" s="3" t="s">
        <v>2133</v>
      </c>
      <c r="C3719" s="8">
        <v>2</v>
      </c>
      <c r="D3719" s="3" t="s">
        <v>2191</v>
      </c>
      <c r="E3719" s="11" t="s">
        <v>10</v>
      </c>
      <c r="F3719" s="10">
        <v>5.8600000000000004E-4</v>
      </c>
      <c r="G3719" s="12">
        <f>ROUND(G$3*F3719,0)</f>
        <v>169</v>
      </c>
      <c r="H3719" s="13">
        <f>ROUND(G3719/2,0)</f>
        <v>85</v>
      </c>
      <c r="I3719" s="12">
        <f>G3719-H3719</f>
        <v>84</v>
      </c>
      <c r="J3719" s="3" t="str">
        <f t="shared" si="268"/>
        <v>4920004</v>
      </c>
    </row>
    <row r="3720" spans="2:10" s="3" customFormat="1">
      <c r="B3720" s="3" t="s">
        <v>2133</v>
      </c>
      <c r="C3720" s="8">
        <v>2</v>
      </c>
      <c r="D3720" s="3" t="s">
        <v>2191</v>
      </c>
      <c r="E3720" s="11" t="s">
        <v>11</v>
      </c>
      <c r="F3720" s="10">
        <v>1.021E-3</v>
      </c>
      <c r="G3720" s="12">
        <f>ROUND(G$3*F3720,0)</f>
        <v>294</v>
      </c>
      <c r="H3720" s="13">
        <f>ROUND(G3720/2,0)</f>
        <v>147</v>
      </c>
      <c r="I3720" s="12">
        <f>G3720-H3720</f>
        <v>147</v>
      </c>
      <c r="J3720" s="3" t="str">
        <f t="shared" si="268"/>
        <v>4920004</v>
      </c>
    </row>
    <row r="3721" spans="2:10" s="3" customFormat="1">
      <c r="B3721" s="3" t="s">
        <v>2133</v>
      </c>
      <c r="C3721" s="8">
        <v>2</v>
      </c>
      <c r="D3721" s="3" t="s">
        <v>2192</v>
      </c>
      <c r="E3721" s="11" t="s">
        <v>56</v>
      </c>
      <c r="F3721" s="11"/>
      <c r="G3721" s="9"/>
      <c r="H3721" s="11"/>
      <c r="I3721" s="11"/>
      <c r="J3721" s="3" t="str">
        <f t="shared" si="268"/>
        <v>4920005</v>
      </c>
    </row>
    <row r="3722" spans="2:10" s="3" customFormat="1">
      <c r="B3722" s="3" t="s">
        <v>2133</v>
      </c>
      <c r="C3722" s="8">
        <v>2</v>
      </c>
      <c r="D3722" s="3" t="s">
        <v>2192</v>
      </c>
      <c r="E3722" s="11" t="s">
        <v>10</v>
      </c>
      <c r="F3722" s="10">
        <v>2.1210000000000001E-3</v>
      </c>
      <c r="G3722" s="12">
        <f>ROUND(G$3*F3722,0)</f>
        <v>610</v>
      </c>
      <c r="H3722" s="13">
        <f>ROUND(G3722/2,0)</f>
        <v>305</v>
      </c>
      <c r="I3722" s="12">
        <f>G3722-H3722</f>
        <v>305</v>
      </c>
      <c r="J3722" s="3" t="str">
        <f t="shared" si="268"/>
        <v>4920005</v>
      </c>
    </row>
    <row r="3723" spans="2:10" s="3" customFormat="1">
      <c r="B3723" s="3" t="s">
        <v>2133</v>
      </c>
      <c r="C3723" s="8">
        <v>2</v>
      </c>
      <c r="D3723" s="3" t="s">
        <v>2192</v>
      </c>
      <c r="E3723" s="11" t="s">
        <v>11</v>
      </c>
      <c r="F3723" s="10">
        <v>7.842E-3</v>
      </c>
      <c r="G3723" s="12">
        <f>ROUND(G$3*F3723,0)</f>
        <v>2256</v>
      </c>
      <c r="H3723" s="13">
        <f>ROUND(G3723/2,0)</f>
        <v>1128</v>
      </c>
      <c r="I3723" s="12">
        <f>G3723-H3723</f>
        <v>1128</v>
      </c>
      <c r="J3723" s="3" t="str">
        <f t="shared" si="268"/>
        <v>4920005</v>
      </c>
    </row>
    <row r="3724" spans="2:10" s="3" customFormat="1">
      <c r="B3724" s="3" t="s">
        <v>2133</v>
      </c>
      <c r="C3724" s="8">
        <v>2</v>
      </c>
      <c r="D3724" s="3" t="s">
        <v>2193</v>
      </c>
      <c r="E3724" s="11" t="s">
        <v>858</v>
      </c>
      <c r="F3724" s="11"/>
      <c r="G3724" s="9"/>
      <c r="H3724" s="11"/>
      <c r="I3724" s="11"/>
      <c r="J3724" s="3" t="str">
        <f t="shared" si="268"/>
        <v>4920006</v>
      </c>
    </row>
    <row r="3725" spans="2:10" s="3" customFormat="1">
      <c r="B3725" s="3" t="s">
        <v>2133</v>
      </c>
      <c r="C3725" s="8">
        <v>2</v>
      </c>
      <c r="D3725" s="3" t="s">
        <v>2193</v>
      </c>
      <c r="E3725" s="11" t="s">
        <v>10</v>
      </c>
      <c r="F3725" s="10">
        <v>7.5100000000000004E-4</v>
      </c>
      <c r="G3725" s="12">
        <f>ROUND(G$3*F3725,0)</f>
        <v>216</v>
      </c>
      <c r="H3725" s="13">
        <f>ROUND(G3725/2,0)</f>
        <v>108</v>
      </c>
      <c r="I3725" s="12">
        <f>G3725-H3725</f>
        <v>108</v>
      </c>
      <c r="J3725" s="3" t="str">
        <f t="shared" si="268"/>
        <v>4920006</v>
      </c>
    </row>
    <row r="3726" spans="2:10" s="3" customFormat="1">
      <c r="B3726" s="3" t="s">
        <v>2133</v>
      </c>
      <c r="C3726" s="8">
        <v>2</v>
      </c>
      <c r="D3726" s="3" t="s">
        <v>2193</v>
      </c>
      <c r="E3726" s="11" t="s">
        <v>11</v>
      </c>
      <c r="F3726" s="10">
        <v>9.2280000000000001E-3</v>
      </c>
      <c r="G3726" s="12">
        <f>ROUND(G$3*F3726,0)</f>
        <v>2655</v>
      </c>
      <c r="H3726" s="13">
        <f>ROUND(G3726/2,0)</f>
        <v>1328</v>
      </c>
      <c r="I3726" s="12">
        <f>G3726-H3726</f>
        <v>1327</v>
      </c>
      <c r="J3726" s="3" t="str">
        <f t="shared" si="268"/>
        <v>4920006</v>
      </c>
    </row>
    <row r="3727" spans="2:10" s="3" customFormat="1">
      <c r="B3727" s="3" t="s">
        <v>2133</v>
      </c>
      <c r="C3727" s="8">
        <v>2</v>
      </c>
      <c r="D3727" s="3" t="s">
        <v>2194</v>
      </c>
      <c r="E3727" s="11" t="s">
        <v>272</v>
      </c>
      <c r="F3727" s="11"/>
      <c r="G3727" s="9"/>
      <c r="H3727" s="11"/>
      <c r="I3727" s="11"/>
      <c r="J3727" s="3" t="str">
        <f t="shared" si="268"/>
        <v>4920007</v>
      </c>
    </row>
    <row r="3728" spans="2:10" s="3" customFormat="1">
      <c r="B3728" s="3" t="s">
        <v>2133</v>
      </c>
      <c r="C3728" s="8">
        <v>2</v>
      </c>
      <c r="D3728" s="3" t="s">
        <v>2194</v>
      </c>
      <c r="E3728" s="11" t="s">
        <v>10</v>
      </c>
      <c r="F3728" s="10">
        <v>3.3379999999999998E-3</v>
      </c>
      <c r="G3728" s="12">
        <f>ROUND(G$3*F3728,0)</f>
        <v>960</v>
      </c>
      <c r="H3728" s="13">
        <f>ROUND(G3728/2,0)</f>
        <v>480</v>
      </c>
      <c r="I3728" s="12">
        <f>G3728-H3728</f>
        <v>480</v>
      </c>
      <c r="J3728" s="3" t="str">
        <f t="shared" si="268"/>
        <v>4920007</v>
      </c>
    </row>
    <row r="3729" spans="1:10" s="3" customFormat="1">
      <c r="B3729" s="3" t="s">
        <v>2133</v>
      </c>
      <c r="C3729" s="8">
        <v>2</v>
      </c>
      <c r="D3729" s="3" t="s">
        <v>2194</v>
      </c>
      <c r="E3729" s="11" t="s">
        <v>11</v>
      </c>
      <c r="F3729" s="10">
        <v>7.6920000000000001E-3</v>
      </c>
      <c r="G3729" s="12">
        <f>ROUND(G$3*F3729,0)</f>
        <v>2213</v>
      </c>
      <c r="H3729" s="13">
        <f>ROUND(G3729/2,0)</f>
        <v>1107</v>
      </c>
      <c r="I3729" s="12">
        <f>G3729-H3729</f>
        <v>1106</v>
      </c>
      <c r="J3729" s="3" t="str">
        <f t="shared" si="268"/>
        <v>4920007</v>
      </c>
    </row>
    <row r="3730" spans="1:10" s="3" customFormat="1">
      <c r="B3730" s="3" t="s">
        <v>2133</v>
      </c>
      <c r="C3730" s="8">
        <v>2</v>
      </c>
      <c r="D3730" s="3" t="s">
        <v>2195</v>
      </c>
      <c r="E3730" s="11" t="s">
        <v>22</v>
      </c>
      <c r="F3730" s="11"/>
      <c r="G3730" s="9"/>
      <c r="H3730" s="11"/>
      <c r="I3730" s="11"/>
      <c r="J3730" s="3" t="str">
        <f t="shared" si="268"/>
        <v>4920008</v>
      </c>
    </row>
    <row r="3731" spans="1:10" s="3" customFormat="1">
      <c r="B3731" s="3" t="s">
        <v>2133</v>
      </c>
      <c r="C3731" s="8">
        <v>2</v>
      </c>
      <c r="D3731" s="3" t="s">
        <v>2195</v>
      </c>
      <c r="E3731" s="11" t="s">
        <v>10</v>
      </c>
      <c r="F3731" s="10">
        <v>2.81E-4</v>
      </c>
      <c r="G3731" s="12">
        <f>ROUND(G$3*F3731,0)</f>
        <v>81</v>
      </c>
      <c r="H3731" s="13">
        <f>ROUND(G3731/2,0)</f>
        <v>41</v>
      </c>
      <c r="I3731" s="12">
        <f>G3731-H3731</f>
        <v>40</v>
      </c>
      <c r="J3731" s="3" t="str">
        <f t="shared" si="268"/>
        <v>4920008</v>
      </c>
    </row>
    <row r="3732" spans="1:10" s="3" customFormat="1">
      <c r="B3732" s="3" t="s">
        <v>2133</v>
      </c>
      <c r="C3732" s="8">
        <v>2</v>
      </c>
      <c r="D3732" s="3" t="s">
        <v>2195</v>
      </c>
      <c r="E3732" s="11" t="s">
        <v>11</v>
      </c>
      <c r="F3732" s="10">
        <v>7.0399999999999998E-4</v>
      </c>
      <c r="G3732" s="12">
        <f>ROUND(G$3*F3732,0)</f>
        <v>203</v>
      </c>
      <c r="H3732" s="13">
        <f>ROUND(G3732/2,0)</f>
        <v>102</v>
      </c>
      <c r="I3732" s="12">
        <f>G3732-H3732</f>
        <v>101</v>
      </c>
      <c r="J3732" s="3" t="str">
        <f t="shared" si="268"/>
        <v>4920008</v>
      </c>
    </row>
    <row r="3733" spans="1:10" s="3" customFormat="1">
      <c r="B3733" s="3" t="s">
        <v>2133</v>
      </c>
      <c r="C3733" s="8">
        <v>2</v>
      </c>
      <c r="D3733" s="3" t="s">
        <v>2196</v>
      </c>
      <c r="E3733" s="11" t="s">
        <v>61</v>
      </c>
      <c r="F3733" s="11"/>
      <c r="G3733" s="9"/>
      <c r="H3733" s="11"/>
      <c r="I3733" s="11"/>
      <c r="J3733" s="3" t="str">
        <f t="shared" si="268"/>
        <v>4920009</v>
      </c>
    </row>
    <row r="3734" spans="1:10" s="3" customFormat="1">
      <c r="B3734" s="3" t="s">
        <v>2133</v>
      </c>
      <c r="C3734" s="8">
        <v>2</v>
      </c>
      <c r="D3734" s="3" t="s">
        <v>2196</v>
      </c>
      <c r="E3734" s="11" t="s">
        <v>10</v>
      </c>
      <c r="F3734" s="10">
        <v>6.6800000000000002E-3</v>
      </c>
      <c r="G3734" s="12">
        <f t="shared" ref="G3734:G3749" si="269">ROUND(G$3*F3734,0)</f>
        <v>1922</v>
      </c>
      <c r="H3734" s="13">
        <f t="shared" ref="H3734:H3749" si="270">ROUND(G3734/2,0)</f>
        <v>961</v>
      </c>
      <c r="I3734" s="12">
        <f t="shared" ref="I3734:I3749" si="271">G3734-H3734</f>
        <v>961</v>
      </c>
      <c r="J3734" s="3" t="str">
        <f t="shared" si="268"/>
        <v>4920009</v>
      </c>
    </row>
    <row r="3735" spans="1:10" s="3" customFormat="1">
      <c r="B3735" s="3" t="s">
        <v>2133</v>
      </c>
      <c r="C3735" s="8">
        <v>2</v>
      </c>
      <c r="D3735" s="3" t="s">
        <v>2196</v>
      </c>
      <c r="E3735" s="11" t="s">
        <v>11</v>
      </c>
      <c r="F3735" s="10">
        <v>1.586E-3</v>
      </c>
      <c r="G3735" s="12">
        <f t="shared" si="269"/>
        <v>456</v>
      </c>
      <c r="H3735" s="13">
        <f t="shared" si="270"/>
        <v>228</v>
      </c>
      <c r="I3735" s="12">
        <f t="shared" si="271"/>
        <v>228</v>
      </c>
      <c r="J3735" s="3" t="str">
        <f t="shared" si="268"/>
        <v>4920009</v>
      </c>
    </row>
    <row r="3736" spans="1:10" s="3" customFormat="1">
      <c r="B3736" s="3" t="s">
        <v>2133</v>
      </c>
      <c r="C3736" s="8">
        <v>3</v>
      </c>
      <c r="D3736" s="3" t="s">
        <v>2792</v>
      </c>
      <c r="E3736" s="11" t="s">
        <v>1155</v>
      </c>
      <c r="F3736" s="10">
        <v>2.5279999999999999E-3</v>
      </c>
      <c r="G3736" s="12">
        <f t="shared" si="269"/>
        <v>727</v>
      </c>
      <c r="H3736" s="13">
        <f t="shared" si="270"/>
        <v>364</v>
      </c>
      <c r="I3736" s="12">
        <f t="shared" si="271"/>
        <v>363</v>
      </c>
      <c r="J3736" s="3" t="str">
        <f t="shared" si="268"/>
        <v>4930312</v>
      </c>
    </row>
    <row r="3737" spans="1:10" s="3" customFormat="1">
      <c r="B3737" s="3" t="s">
        <v>2133</v>
      </c>
      <c r="C3737" s="8">
        <v>3</v>
      </c>
      <c r="D3737" s="3" t="s">
        <v>2795</v>
      </c>
      <c r="E3737" s="11" t="s">
        <v>1156</v>
      </c>
      <c r="F3737" s="10">
        <v>1.614E-3</v>
      </c>
      <c r="G3737" s="12">
        <f t="shared" si="269"/>
        <v>464</v>
      </c>
      <c r="H3737" s="13">
        <f t="shared" si="270"/>
        <v>232</v>
      </c>
      <c r="I3737" s="12">
        <f t="shared" si="271"/>
        <v>232</v>
      </c>
      <c r="J3737" s="3" t="str">
        <f t="shared" si="268"/>
        <v>4930760</v>
      </c>
    </row>
    <row r="3738" spans="1:10" s="3" customFormat="1">
      <c r="B3738" s="3" t="s">
        <v>2133</v>
      </c>
      <c r="C3738" s="8">
        <v>3</v>
      </c>
      <c r="D3738" s="3" t="s">
        <v>2529</v>
      </c>
      <c r="E3738" s="11" t="s">
        <v>674</v>
      </c>
      <c r="F3738" s="10">
        <v>2.2699999999999999E-4</v>
      </c>
      <c r="G3738" s="12">
        <f t="shared" si="269"/>
        <v>65</v>
      </c>
      <c r="H3738" s="13">
        <f t="shared" si="270"/>
        <v>33</v>
      </c>
      <c r="I3738" s="12">
        <f t="shared" si="271"/>
        <v>32</v>
      </c>
      <c r="J3738" s="3" t="str">
        <f t="shared" si="268"/>
        <v>4930762</v>
      </c>
    </row>
    <row r="3739" spans="1:10" s="3" customFormat="1">
      <c r="B3739" s="3" t="s">
        <v>2133</v>
      </c>
      <c r="C3739" s="8">
        <v>3</v>
      </c>
      <c r="D3739" s="3" t="s">
        <v>2796</v>
      </c>
      <c r="E3739" s="11" t="s">
        <v>1157</v>
      </c>
      <c r="F3739" s="10">
        <v>1.1E-5</v>
      </c>
      <c r="G3739" s="12">
        <f t="shared" si="269"/>
        <v>3</v>
      </c>
      <c r="H3739" s="13">
        <f t="shared" si="270"/>
        <v>2</v>
      </c>
      <c r="I3739" s="12">
        <f t="shared" si="271"/>
        <v>1</v>
      </c>
      <c r="J3739" s="3" t="str">
        <f t="shared" si="268"/>
        <v>4930764</v>
      </c>
    </row>
    <row r="3740" spans="1:10" s="3" customFormat="1">
      <c r="B3740" s="3" t="s">
        <v>2133</v>
      </c>
      <c r="C3740" s="8">
        <v>6</v>
      </c>
      <c r="D3740" s="3" t="s">
        <v>2819</v>
      </c>
      <c r="E3740" s="11" t="s">
        <v>1158</v>
      </c>
      <c r="F3740" s="10">
        <v>2.2447000000000002E-2</v>
      </c>
      <c r="G3740" s="120">
        <f t="shared" si="269"/>
        <v>6459</v>
      </c>
      <c r="H3740" s="120">
        <f t="shared" si="270"/>
        <v>3230</v>
      </c>
      <c r="I3740" s="120">
        <f t="shared" si="271"/>
        <v>3229</v>
      </c>
      <c r="J3740" s="3" t="str">
        <f t="shared" si="268"/>
        <v>4960938</v>
      </c>
    </row>
    <row r="3741" spans="1:10" s="3" customFormat="1">
      <c r="B3741" s="3" t="s">
        <v>2133</v>
      </c>
      <c r="C3741" s="8">
        <v>3</v>
      </c>
      <c r="D3741" s="3" t="s">
        <v>2791</v>
      </c>
      <c r="E3741" s="11" t="s">
        <v>1159</v>
      </c>
      <c r="F3741" s="10">
        <v>3.7929999999999999E-3</v>
      </c>
      <c r="G3741" s="12">
        <f t="shared" si="269"/>
        <v>1091</v>
      </c>
      <c r="H3741" s="13">
        <f t="shared" si="270"/>
        <v>546</v>
      </c>
      <c r="I3741" s="12">
        <f t="shared" si="271"/>
        <v>545</v>
      </c>
      <c r="J3741" s="3" t="str">
        <f t="shared" si="268"/>
        <v>4930306</v>
      </c>
    </row>
    <row r="3742" spans="1:10" s="3" customFormat="1">
      <c r="B3742" s="3" t="s">
        <v>2133</v>
      </c>
      <c r="C3742" s="8">
        <v>3</v>
      </c>
      <c r="D3742" s="3" t="s">
        <v>2797</v>
      </c>
      <c r="E3742" s="11" t="s">
        <v>1160</v>
      </c>
      <c r="F3742" s="10">
        <v>2.3E-5</v>
      </c>
      <c r="G3742" s="12">
        <f t="shared" si="269"/>
        <v>7</v>
      </c>
      <c r="H3742" s="13">
        <f t="shared" si="270"/>
        <v>4</v>
      </c>
      <c r="I3742" s="12">
        <f t="shared" si="271"/>
        <v>3</v>
      </c>
      <c r="J3742" s="3" t="str">
        <f t="shared" si="268"/>
        <v>4930766</v>
      </c>
    </row>
    <row r="3743" spans="1:10" s="3" customFormat="1">
      <c r="A3743" s="3" t="s">
        <v>6269</v>
      </c>
      <c r="B3743" s="3" t="s">
        <v>2133</v>
      </c>
      <c r="C3743" s="8">
        <v>3</v>
      </c>
      <c r="D3743" s="3" t="s">
        <v>2798</v>
      </c>
      <c r="E3743" s="11" t="s">
        <v>1161</v>
      </c>
      <c r="F3743" s="10">
        <v>0</v>
      </c>
      <c r="G3743" s="12">
        <f t="shared" si="269"/>
        <v>0</v>
      </c>
      <c r="H3743" s="13">
        <f t="shared" si="270"/>
        <v>0</v>
      </c>
      <c r="I3743" s="12">
        <f t="shared" si="271"/>
        <v>0</v>
      </c>
      <c r="J3743" s="3" t="str">
        <f t="shared" si="268"/>
        <v>4930769</v>
      </c>
    </row>
    <row r="3744" spans="1:10" s="3" customFormat="1">
      <c r="B3744" s="3" t="s">
        <v>2133</v>
      </c>
      <c r="C3744" s="8">
        <v>3</v>
      </c>
      <c r="D3744" s="3" t="s">
        <v>2793</v>
      </c>
      <c r="E3744" s="11" t="s">
        <v>1162</v>
      </c>
      <c r="F3744" s="10">
        <v>7.2000000000000002E-5</v>
      </c>
      <c r="G3744" s="12">
        <f t="shared" si="269"/>
        <v>21</v>
      </c>
      <c r="H3744" s="13">
        <f t="shared" si="270"/>
        <v>11</v>
      </c>
      <c r="I3744" s="12">
        <f t="shared" si="271"/>
        <v>10</v>
      </c>
      <c r="J3744" s="3" t="str">
        <f t="shared" si="268"/>
        <v>4930459</v>
      </c>
    </row>
    <row r="3745" spans="1:10" s="3" customFormat="1">
      <c r="B3745" s="3" t="s">
        <v>2133</v>
      </c>
      <c r="C3745" s="8">
        <v>3</v>
      </c>
      <c r="D3745" s="3" t="s">
        <v>2794</v>
      </c>
      <c r="E3745" s="11" t="s">
        <v>1163</v>
      </c>
      <c r="F3745" s="10">
        <v>3.594E-3</v>
      </c>
      <c r="G3745" s="12">
        <f t="shared" si="269"/>
        <v>1034</v>
      </c>
      <c r="H3745" s="13">
        <f t="shared" si="270"/>
        <v>517</v>
      </c>
      <c r="I3745" s="12">
        <f t="shared" si="271"/>
        <v>517</v>
      </c>
      <c r="J3745" s="3" t="str">
        <f t="shared" si="268"/>
        <v>4930508</v>
      </c>
    </row>
    <row r="3746" spans="1:10" s="3" customFormat="1">
      <c r="A3746" s="3" t="s">
        <v>6269</v>
      </c>
      <c r="B3746" s="3" t="s">
        <v>2133</v>
      </c>
      <c r="C3746" s="8">
        <v>3</v>
      </c>
      <c r="D3746" s="3" t="s">
        <v>2799</v>
      </c>
      <c r="E3746" s="11" t="s">
        <v>1164</v>
      </c>
      <c r="F3746" s="10">
        <v>0</v>
      </c>
      <c r="G3746" s="12">
        <f t="shared" si="269"/>
        <v>0</v>
      </c>
      <c r="H3746" s="13">
        <f t="shared" si="270"/>
        <v>0</v>
      </c>
      <c r="I3746" s="12">
        <f t="shared" si="271"/>
        <v>0</v>
      </c>
      <c r="J3746" s="3" t="str">
        <f t="shared" si="268"/>
        <v>4930772</v>
      </c>
    </row>
    <row r="3747" spans="1:10" s="3" customFormat="1">
      <c r="A3747" s="3" t="s">
        <v>6269</v>
      </c>
      <c r="B3747" s="3" t="s">
        <v>2133</v>
      </c>
      <c r="C3747" s="8">
        <v>3</v>
      </c>
      <c r="D3747" s="3" t="s">
        <v>2800</v>
      </c>
      <c r="E3747" s="11" t="s">
        <v>1165</v>
      </c>
      <c r="F3747" s="10">
        <v>0</v>
      </c>
      <c r="G3747" s="12">
        <f t="shared" si="269"/>
        <v>0</v>
      </c>
      <c r="H3747" s="13">
        <f t="shared" si="270"/>
        <v>0</v>
      </c>
      <c r="I3747" s="12">
        <f t="shared" si="271"/>
        <v>0</v>
      </c>
      <c r="J3747" s="3" t="str">
        <f t="shared" si="268"/>
        <v>4930773</v>
      </c>
    </row>
    <row r="3748" spans="1:10" s="3" customFormat="1">
      <c r="A3748" s="3" t="s">
        <v>6269</v>
      </c>
      <c r="B3748" s="3" t="s">
        <v>2133</v>
      </c>
      <c r="C3748" s="8">
        <v>3</v>
      </c>
      <c r="D3748" s="3" t="s">
        <v>2801</v>
      </c>
      <c r="E3748" s="11" t="s">
        <v>1166</v>
      </c>
      <c r="F3748" s="10">
        <v>0</v>
      </c>
      <c r="G3748" s="12">
        <f t="shared" si="269"/>
        <v>0</v>
      </c>
      <c r="H3748" s="13">
        <f t="shared" si="270"/>
        <v>0</v>
      </c>
      <c r="I3748" s="12">
        <f t="shared" si="271"/>
        <v>0</v>
      </c>
      <c r="J3748" s="3" t="str">
        <f t="shared" si="268"/>
        <v>4930774</v>
      </c>
    </row>
    <row r="3749" spans="1:10" s="3" customFormat="1">
      <c r="B3749" s="3" t="s">
        <v>2133</v>
      </c>
      <c r="C3749" s="8">
        <v>4</v>
      </c>
      <c r="D3749" s="3" t="s">
        <v>2810</v>
      </c>
      <c r="E3749" s="11" t="s">
        <v>1167</v>
      </c>
      <c r="F3749" s="10">
        <v>3.9589999999999998E-3</v>
      </c>
      <c r="G3749" s="9">
        <f t="shared" si="269"/>
        <v>1139</v>
      </c>
      <c r="H3749" s="11">
        <f t="shared" si="270"/>
        <v>570</v>
      </c>
      <c r="I3749" s="9">
        <f t="shared" si="271"/>
        <v>569</v>
      </c>
      <c r="J3749" s="3" t="str">
        <f t="shared" si="268"/>
        <v>4945380</v>
      </c>
    </row>
    <row r="3750" spans="1:10" s="3" customFormat="1">
      <c r="B3750" s="3" t="s">
        <v>2133</v>
      </c>
      <c r="C3750" s="8">
        <v>4</v>
      </c>
      <c r="D3750" s="3" t="s">
        <v>2810</v>
      </c>
      <c r="E3750" s="11" t="s">
        <v>28</v>
      </c>
      <c r="F3750" s="11"/>
      <c r="G3750" s="14">
        <v>0.35447499999999998</v>
      </c>
      <c r="H3750" s="11"/>
      <c r="I3750" s="11"/>
      <c r="J3750" s="3" t="str">
        <f t="shared" si="268"/>
        <v>4945380</v>
      </c>
    </row>
    <row r="3751" spans="1:10" s="3" customFormat="1">
      <c r="B3751" s="3" t="s">
        <v>2133</v>
      </c>
      <c r="C3751" s="8">
        <v>4</v>
      </c>
      <c r="D3751" s="3" t="s">
        <v>2810</v>
      </c>
      <c r="E3751" s="11" t="s">
        <v>29</v>
      </c>
      <c r="F3751" s="11"/>
      <c r="G3751" s="15">
        <f>ROUND(G3749*G3750,0)</f>
        <v>404</v>
      </c>
      <c r="H3751" s="16">
        <f>ROUND(G3751/2,0)</f>
        <v>202</v>
      </c>
      <c r="I3751" s="15">
        <f>G3751-H3751</f>
        <v>202</v>
      </c>
      <c r="J3751" s="3" t="str">
        <f t="shared" si="268"/>
        <v>4945380</v>
      </c>
    </row>
    <row r="3752" spans="1:10" s="3" customFormat="1">
      <c r="B3752" s="3" t="s">
        <v>2133</v>
      </c>
      <c r="C3752" s="8">
        <v>4</v>
      </c>
      <c r="D3752" s="3" t="s">
        <v>2810</v>
      </c>
      <c r="E3752" s="11" t="s">
        <v>30</v>
      </c>
      <c r="F3752" s="11"/>
      <c r="G3752" s="12">
        <f>+G3749-G3751</f>
        <v>735</v>
      </c>
      <c r="H3752" s="13">
        <f>ROUND(G3752/2,0)</f>
        <v>368</v>
      </c>
      <c r="I3752" s="12">
        <f>G3752-H3752</f>
        <v>367</v>
      </c>
      <c r="J3752" s="3" t="str">
        <f t="shared" si="268"/>
        <v>4945380</v>
      </c>
    </row>
    <row r="3753" spans="1:10" s="3" customFormat="1">
      <c r="B3753" s="3" t="s">
        <v>2133</v>
      </c>
      <c r="C3753" s="8">
        <v>4</v>
      </c>
      <c r="D3753" s="3" t="s">
        <v>2803</v>
      </c>
      <c r="E3753" s="11" t="s">
        <v>1168</v>
      </c>
      <c r="F3753" s="10">
        <v>1.2227E-2</v>
      </c>
      <c r="G3753" s="9">
        <f>ROUND(G$3*F3753,0)</f>
        <v>3518</v>
      </c>
      <c r="H3753" s="11">
        <f>ROUND(G3753/2,0)</f>
        <v>1759</v>
      </c>
      <c r="I3753" s="9">
        <f>G3753-H3753</f>
        <v>1759</v>
      </c>
      <c r="J3753" s="3" t="str">
        <f t="shared" si="268"/>
        <v>4945310</v>
      </c>
    </row>
    <row r="3754" spans="1:10" s="3" customFormat="1">
      <c r="B3754" s="3" t="s">
        <v>2133</v>
      </c>
      <c r="C3754" s="8">
        <v>4</v>
      </c>
      <c r="D3754" s="3" t="s">
        <v>2803</v>
      </c>
      <c r="E3754" s="11" t="s">
        <v>28</v>
      </c>
      <c r="F3754" s="11"/>
      <c r="G3754" s="14">
        <v>0.36462800000000001</v>
      </c>
      <c r="H3754" s="11"/>
      <c r="I3754" s="11"/>
      <c r="J3754" s="3" t="str">
        <f t="shared" si="268"/>
        <v>4945310</v>
      </c>
    </row>
    <row r="3755" spans="1:10" s="3" customFormat="1">
      <c r="B3755" s="3" t="s">
        <v>2133</v>
      </c>
      <c r="C3755" s="8">
        <v>4</v>
      </c>
      <c r="D3755" s="3" t="s">
        <v>2803</v>
      </c>
      <c r="E3755" s="11" t="s">
        <v>29</v>
      </c>
      <c r="F3755" s="11"/>
      <c r="G3755" s="15">
        <f>ROUND(G3753*G3754,0)</f>
        <v>1283</v>
      </c>
      <c r="H3755" s="16">
        <f>ROUND(G3755/2,0)</f>
        <v>642</v>
      </c>
      <c r="I3755" s="15">
        <f>G3755-H3755</f>
        <v>641</v>
      </c>
      <c r="J3755" s="3" t="str">
        <f t="shared" si="268"/>
        <v>4945310</v>
      </c>
    </row>
    <row r="3756" spans="1:10" s="3" customFormat="1">
      <c r="B3756" s="3" t="s">
        <v>2133</v>
      </c>
      <c r="C3756" s="8">
        <v>4</v>
      </c>
      <c r="D3756" s="3" t="s">
        <v>2803</v>
      </c>
      <c r="E3756" s="11" t="s">
        <v>30</v>
      </c>
      <c r="F3756" s="11"/>
      <c r="G3756" s="12">
        <f>+G3753-G3755</f>
        <v>2235</v>
      </c>
      <c r="H3756" s="13">
        <f>ROUND(G3756/2,0)</f>
        <v>1118</v>
      </c>
      <c r="I3756" s="12">
        <f>G3756-H3756</f>
        <v>1117</v>
      </c>
      <c r="J3756" s="3" t="str">
        <f t="shared" si="268"/>
        <v>4945310</v>
      </c>
    </row>
    <row r="3757" spans="1:10" s="3" customFormat="1">
      <c r="B3757" s="3" t="s">
        <v>2133</v>
      </c>
      <c r="C3757" s="8">
        <v>4</v>
      </c>
      <c r="D3757" s="3" t="s">
        <v>2811</v>
      </c>
      <c r="E3757" s="11" t="s">
        <v>1169</v>
      </c>
      <c r="F3757" s="10">
        <v>0.162608</v>
      </c>
      <c r="G3757" s="9">
        <f>ROUND(G$3*F3757,0)</f>
        <v>46786</v>
      </c>
      <c r="H3757" s="11">
        <f>ROUND(G3757/2,0)</f>
        <v>23393</v>
      </c>
      <c r="I3757" s="9">
        <f>G3757-H3757</f>
        <v>23393</v>
      </c>
      <c r="J3757" s="3" t="str">
        <f t="shared" si="268"/>
        <v>4945385</v>
      </c>
    </row>
    <row r="3758" spans="1:10" s="3" customFormat="1">
      <c r="B3758" s="3" t="s">
        <v>2133</v>
      </c>
      <c r="C3758" s="8">
        <v>4</v>
      </c>
      <c r="D3758" s="3" t="s">
        <v>2811</v>
      </c>
      <c r="E3758" s="11" t="s">
        <v>28</v>
      </c>
      <c r="F3758" s="11"/>
      <c r="G3758" s="14">
        <v>0.45038299999999998</v>
      </c>
      <c r="H3758" s="11"/>
      <c r="I3758" s="11"/>
      <c r="J3758" s="3" t="str">
        <f t="shared" si="268"/>
        <v>4945385</v>
      </c>
    </row>
    <row r="3759" spans="1:10" s="3" customFormat="1">
      <c r="B3759" s="3" t="s">
        <v>2133</v>
      </c>
      <c r="C3759" s="8">
        <v>4</v>
      </c>
      <c r="D3759" s="3" t="s">
        <v>2811</v>
      </c>
      <c r="E3759" s="11" t="s">
        <v>29</v>
      </c>
      <c r="F3759" s="11"/>
      <c r="G3759" s="15">
        <f>ROUND(G3757*G3758,0)</f>
        <v>21072</v>
      </c>
      <c r="H3759" s="16">
        <f>ROUND(G3759/2,0)</f>
        <v>10536</v>
      </c>
      <c r="I3759" s="15">
        <f>G3759-H3759</f>
        <v>10536</v>
      </c>
      <c r="J3759" s="3" t="str">
        <f t="shared" si="268"/>
        <v>4945385</v>
      </c>
    </row>
    <row r="3760" spans="1:10" s="3" customFormat="1">
      <c r="B3760" s="3" t="s">
        <v>2133</v>
      </c>
      <c r="C3760" s="8">
        <v>4</v>
      </c>
      <c r="D3760" s="3" t="s">
        <v>2811</v>
      </c>
      <c r="E3760" s="11" t="s">
        <v>30</v>
      </c>
      <c r="F3760" s="11"/>
      <c r="G3760" s="12">
        <f>+G3757-G3759</f>
        <v>25714</v>
      </c>
      <c r="H3760" s="13">
        <f>ROUND(G3760/2,0)</f>
        <v>12857</v>
      </c>
      <c r="I3760" s="12">
        <f>G3760-H3760</f>
        <v>12857</v>
      </c>
      <c r="J3760" s="3" t="str">
        <f t="shared" si="268"/>
        <v>4945385</v>
      </c>
    </row>
    <row r="3761" spans="2:10" s="3" customFormat="1">
      <c r="B3761" s="3" t="s">
        <v>2133</v>
      </c>
      <c r="C3761" s="8">
        <v>4</v>
      </c>
      <c r="D3761" s="3" t="s">
        <v>2802</v>
      </c>
      <c r="E3761" s="11" t="s">
        <v>1170</v>
      </c>
      <c r="F3761" s="10">
        <v>2.7144999999999999E-2</v>
      </c>
      <c r="G3761" s="9">
        <f>ROUND(G$3*F3761,0)</f>
        <v>7810</v>
      </c>
      <c r="H3761" s="11">
        <f>ROUND(G3761/2,0)</f>
        <v>3905</v>
      </c>
      <c r="I3761" s="9">
        <f>G3761-H3761</f>
        <v>3905</v>
      </c>
      <c r="J3761" s="3" t="str">
        <f t="shared" si="268"/>
        <v>4945300</v>
      </c>
    </row>
    <row r="3762" spans="2:10" s="3" customFormat="1">
      <c r="B3762" s="3" t="s">
        <v>2133</v>
      </c>
      <c r="C3762" s="8">
        <v>4</v>
      </c>
      <c r="D3762" s="3" t="s">
        <v>2802</v>
      </c>
      <c r="E3762" s="11" t="s">
        <v>28</v>
      </c>
      <c r="F3762" s="11"/>
      <c r="G3762" s="14">
        <v>0.349024</v>
      </c>
      <c r="H3762" s="11"/>
      <c r="I3762" s="11"/>
      <c r="J3762" s="3" t="str">
        <f t="shared" si="268"/>
        <v>4945300</v>
      </c>
    </row>
    <row r="3763" spans="2:10" s="3" customFormat="1">
      <c r="B3763" s="3" t="s">
        <v>2133</v>
      </c>
      <c r="C3763" s="8">
        <v>4</v>
      </c>
      <c r="D3763" s="3" t="s">
        <v>2802</v>
      </c>
      <c r="E3763" s="11" t="s">
        <v>29</v>
      </c>
      <c r="F3763" s="11"/>
      <c r="G3763" s="15">
        <f>ROUND(G3761*G3762,0)</f>
        <v>2726</v>
      </c>
      <c r="H3763" s="16">
        <f>ROUND(G3763/2,0)</f>
        <v>1363</v>
      </c>
      <c r="I3763" s="15">
        <f>G3763-H3763</f>
        <v>1363</v>
      </c>
      <c r="J3763" s="3" t="str">
        <f t="shared" si="268"/>
        <v>4945300</v>
      </c>
    </row>
    <row r="3764" spans="2:10" s="3" customFormat="1">
      <c r="B3764" s="3" t="s">
        <v>2133</v>
      </c>
      <c r="C3764" s="8">
        <v>4</v>
      </c>
      <c r="D3764" s="3" t="s">
        <v>2802</v>
      </c>
      <c r="E3764" s="11" t="s">
        <v>30</v>
      </c>
      <c r="F3764" s="11"/>
      <c r="G3764" s="12">
        <f>+G3761-G3763</f>
        <v>5084</v>
      </c>
      <c r="H3764" s="13">
        <f>ROUND(G3764/2,0)</f>
        <v>2542</v>
      </c>
      <c r="I3764" s="12">
        <f>G3764-H3764</f>
        <v>2542</v>
      </c>
      <c r="J3764" s="3" t="str">
        <f t="shared" si="268"/>
        <v>4945300</v>
      </c>
    </row>
    <row r="3765" spans="2:10" s="3" customFormat="1">
      <c r="B3765" s="3" t="s">
        <v>2133</v>
      </c>
      <c r="C3765" s="8">
        <v>4</v>
      </c>
      <c r="D3765" s="3" t="s">
        <v>2804</v>
      </c>
      <c r="E3765" s="11" t="s">
        <v>1171</v>
      </c>
      <c r="F3765" s="10">
        <v>2.0358000000000001E-2</v>
      </c>
      <c r="G3765" s="9">
        <f>ROUND(G$3*F3765,0)</f>
        <v>5857</v>
      </c>
      <c r="H3765" s="11">
        <f>ROUND(G3765/2,0)</f>
        <v>2929</v>
      </c>
      <c r="I3765" s="9">
        <f>G3765-H3765</f>
        <v>2928</v>
      </c>
      <c r="J3765" s="3" t="str">
        <f t="shared" si="268"/>
        <v>4945330</v>
      </c>
    </row>
    <row r="3766" spans="2:10" s="3" customFormat="1">
      <c r="B3766" s="3" t="s">
        <v>2133</v>
      </c>
      <c r="C3766" s="8">
        <v>4</v>
      </c>
      <c r="D3766" s="3" t="s">
        <v>2804</v>
      </c>
      <c r="E3766" s="11" t="s">
        <v>28</v>
      </c>
      <c r="F3766" s="11"/>
      <c r="G3766" s="14">
        <v>0.44681100000000001</v>
      </c>
      <c r="H3766" s="11"/>
      <c r="I3766" s="11"/>
      <c r="J3766" s="3" t="str">
        <f t="shared" si="268"/>
        <v>4945330</v>
      </c>
    </row>
    <row r="3767" spans="2:10" s="3" customFormat="1">
      <c r="B3767" s="3" t="s">
        <v>2133</v>
      </c>
      <c r="C3767" s="8">
        <v>4</v>
      </c>
      <c r="D3767" s="3" t="s">
        <v>2804</v>
      </c>
      <c r="E3767" s="11" t="s">
        <v>29</v>
      </c>
      <c r="F3767" s="11"/>
      <c r="G3767" s="15">
        <f>ROUND(G3765*G3766,0)</f>
        <v>2617</v>
      </c>
      <c r="H3767" s="16">
        <f>ROUND(G3767/2,0)</f>
        <v>1309</v>
      </c>
      <c r="I3767" s="15">
        <f>G3767-H3767</f>
        <v>1308</v>
      </c>
      <c r="J3767" s="3" t="str">
        <f t="shared" si="268"/>
        <v>4945330</v>
      </c>
    </row>
    <row r="3768" spans="2:10" s="3" customFormat="1">
      <c r="B3768" s="3" t="s">
        <v>2133</v>
      </c>
      <c r="C3768" s="8">
        <v>4</v>
      </c>
      <c r="D3768" s="3" t="s">
        <v>2804</v>
      </c>
      <c r="E3768" s="11" t="s">
        <v>30</v>
      </c>
      <c r="F3768" s="11"/>
      <c r="G3768" s="12">
        <f>+G3765-G3767</f>
        <v>3240</v>
      </c>
      <c r="H3768" s="13">
        <f>ROUND(G3768/2,0)</f>
        <v>1620</v>
      </c>
      <c r="I3768" s="12">
        <f>G3768-H3768</f>
        <v>1620</v>
      </c>
      <c r="J3768" s="3" t="str">
        <f t="shared" si="268"/>
        <v>4945330</v>
      </c>
    </row>
    <row r="3769" spans="2:10" s="3" customFormat="1">
      <c r="B3769" s="3" t="s">
        <v>2133</v>
      </c>
      <c r="C3769" s="8">
        <v>4</v>
      </c>
      <c r="D3769" s="3" t="s">
        <v>2805</v>
      </c>
      <c r="E3769" s="11" t="s">
        <v>1172</v>
      </c>
      <c r="F3769" s="10">
        <v>5.9153999999999998E-2</v>
      </c>
      <c r="G3769" s="9">
        <f>ROUND(G$3*F3769,0)</f>
        <v>17020</v>
      </c>
      <c r="H3769" s="11">
        <f>ROUND(G3769/2,0)</f>
        <v>8510</v>
      </c>
      <c r="I3769" s="9">
        <f>G3769-H3769</f>
        <v>8510</v>
      </c>
      <c r="J3769" s="3" t="str">
        <f t="shared" si="268"/>
        <v>4945340</v>
      </c>
    </row>
    <row r="3770" spans="2:10" s="3" customFormat="1">
      <c r="B3770" s="3" t="s">
        <v>2133</v>
      </c>
      <c r="C3770" s="8">
        <v>4</v>
      </c>
      <c r="D3770" s="3" t="s">
        <v>2805</v>
      </c>
      <c r="E3770" s="11" t="s">
        <v>28</v>
      </c>
      <c r="F3770" s="11"/>
      <c r="G3770" s="14">
        <v>0.43310199999999999</v>
      </c>
      <c r="H3770" s="11"/>
      <c r="I3770" s="11"/>
      <c r="J3770" s="3" t="str">
        <f t="shared" si="268"/>
        <v>4945340</v>
      </c>
    </row>
    <row r="3771" spans="2:10" s="3" customFormat="1">
      <c r="B3771" s="3" t="s">
        <v>2133</v>
      </c>
      <c r="C3771" s="8">
        <v>4</v>
      </c>
      <c r="D3771" s="3" t="s">
        <v>2805</v>
      </c>
      <c r="E3771" s="11" t="s">
        <v>29</v>
      </c>
      <c r="F3771" s="11"/>
      <c r="G3771" s="15">
        <f>ROUND(G3769*G3770,0)</f>
        <v>7371</v>
      </c>
      <c r="H3771" s="16">
        <f>ROUND(G3771/2,0)</f>
        <v>3686</v>
      </c>
      <c r="I3771" s="15">
        <f>G3771-H3771</f>
        <v>3685</v>
      </c>
      <c r="J3771" s="3" t="str">
        <f t="shared" si="268"/>
        <v>4945340</v>
      </c>
    </row>
    <row r="3772" spans="2:10" s="3" customFormat="1">
      <c r="B3772" s="3" t="s">
        <v>2133</v>
      </c>
      <c r="C3772" s="8">
        <v>4</v>
      </c>
      <c r="D3772" s="3" t="s">
        <v>2805</v>
      </c>
      <c r="E3772" s="11" t="s">
        <v>30</v>
      </c>
      <c r="F3772" s="11"/>
      <c r="G3772" s="12">
        <f>+G3769-G3771</f>
        <v>9649</v>
      </c>
      <c r="H3772" s="13">
        <f>ROUND(G3772/2,0)</f>
        <v>4825</v>
      </c>
      <c r="I3772" s="12">
        <f>G3772-H3772</f>
        <v>4824</v>
      </c>
      <c r="J3772" s="3" t="str">
        <f t="shared" si="268"/>
        <v>4945340</v>
      </c>
    </row>
    <row r="3773" spans="2:10" s="3" customFormat="1">
      <c r="B3773" s="3" t="s">
        <v>2133</v>
      </c>
      <c r="C3773" s="8">
        <v>4</v>
      </c>
      <c r="D3773" s="3" t="s">
        <v>2806</v>
      </c>
      <c r="E3773" s="11" t="s">
        <v>1173</v>
      </c>
      <c r="F3773" s="10">
        <v>6.1627000000000001E-2</v>
      </c>
      <c r="G3773" s="9">
        <f>ROUND(G$3*F3773,0)</f>
        <v>17732</v>
      </c>
      <c r="H3773" s="11">
        <f>ROUND(G3773/2,0)</f>
        <v>8866</v>
      </c>
      <c r="I3773" s="9">
        <f>G3773-H3773</f>
        <v>8866</v>
      </c>
      <c r="J3773" s="3" t="str">
        <f t="shared" si="268"/>
        <v>4945350</v>
      </c>
    </row>
    <row r="3774" spans="2:10" s="3" customFormat="1">
      <c r="B3774" s="3" t="s">
        <v>2133</v>
      </c>
      <c r="C3774" s="8">
        <v>4</v>
      </c>
      <c r="D3774" s="3" t="s">
        <v>2806</v>
      </c>
      <c r="E3774" s="11" t="s">
        <v>28</v>
      </c>
      <c r="F3774" s="11"/>
      <c r="G3774" s="14">
        <v>0.48118</v>
      </c>
      <c r="H3774" s="11"/>
      <c r="I3774" s="11"/>
      <c r="J3774" s="3" t="str">
        <f t="shared" si="268"/>
        <v>4945350</v>
      </c>
    </row>
    <row r="3775" spans="2:10" s="3" customFormat="1">
      <c r="B3775" s="3" t="s">
        <v>2133</v>
      </c>
      <c r="C3775" s="8">
        <v>4</v>
      </c>
      <c r="D3775" s="3" t="s">
        <v>2806</v>
      </c>
      <c r="E3775" s="11" t="s">
        <v>29</v>
      </c>
      <c r="F3775" s="11"/>
      <c r="G3775" s="15">
        <f>ROUND(G3773*G3774,0)</f>
        <v>8532</v>
      </c>
      <c r="H3775" s="16">
        <f>ROUND(G3775/2,0)</f>
        <v>4266</v>
      </c>
      <c r="I3775" s="15">
        <f>G3775-H3775</f>
        <v>4266</v>
      </c>
      <c r="J3775" s="3" t="str">
        <f t="shared" si="268"/>
        <v>4945350</v>
      </c>
    </row>
    <row r="3776" spans="2:10" s="3" customFormat="1">
      <c r="B3776" s="3" t="s">
        <v>2133</v>
      </c>
      <c r="C3776" s="8">
        <v>4</v>
      </c>
      <c r="D3776" s="3" t="s">
        <v>2806</v>
      </c>
      <c r="E3776" s="11" t="s">
        <v>30</v>
      </c>
      <c r="F3776" s="11"/>
      <c r="G3776" s="12">
        <f>+G3773-G3775</f>
        <v>9200</v>
      </c>
      <c r="H3776" s="13">
        <f>ROUND(G3776/2,0)</f>
        <v>4600</v>
      </c>
      <c r="I3776" s="12">
        <f>G3776-H3776</f>
        <v>4600</v>
      </c>
      <c r="J3776" s="3" t="str">
        <f t="shared" si="268"/>
        <v>4945350</v>
      </c>
    </row>
    <row r="3777" spans="2:10" s="3" customFormat="1">
      <c r="B3777" s="3" t="s">
        <v>2133</v>
      </c>
      <c r="C3777" s="8">
        <v>4</v>
      </c>
      <c r="D3777" s="3" t="s">
        <v>2807</v>
      </c>
      <c r="E3777" s="11" t="s">
        <v>1174</v>
      </c>
      <c r="F3777" s="10">
        <v>7.3666999999999996E-2</v>
      </c>
      <c r="G3777" s="9">
        <f>ROUND(G$3*F3777,0)</f>
        <v>21196</v>
      </c>
      <c r="H3777" s="11">
        <f>ROUND(G3777/2,0)</f>
        <v>10598</v>
      </c>
      <c r="I3777" s="9">
        <f>G3777-H3777</f>
        <v>10598</v>
      </c>
      <c r="J3777" s="3" t="str">
        <f t="shared" si="268"/>
        <v>4945360</v>
      </c>
    </row>
    <row r="3778" spans="2:10" s="3" customFormat="1">
      <c r="B3778" s="3" t="s">
        <v>2133</v>
      </c>
      <c r="C3778" s="8">
        <v>4</v>
      </c>
      <c r="D3778" s="3" t="s">
        <v>2807</v>
      </c>
      <c r="E3778" s="11" t="s">
        <v>28</v>
      </c>
      <c r="F3778" s="11"/>
      <c r="G3778" s="14">
        <v>0.39560200000000001</v>
      </c>
      <c r="H3778" s="11"/>
      <c r="I3778" s="11"/>
      <c r="J3778" s="3" t="str">
        <f t="shared" si="268"/>
        <v>4945360</v>
      </c>
    </row>
    <row r="3779" spans="2:10" s="3" customFormat="1">
      <c r="B3779" s="3" t="s">
        <v>2133</v>
      </c>
      <c r="C3779" s="8">
        <v>4</v>
      </c>
      <c r="D3779" s="3" t="s">
        <v>2807</v>
      </c>
      <c r="E3779" s="11" t="s">
        <v>29</v>
      </c>
      <c r="F3779" s="11"/>
      <c r="G3779" s="15">
        <f>ROUND(G3777*G3778,0)</f>
        <v>8385</v>
      </c>
      <c r="H3779" s="16">
        <f>ROUND(G3779/2,0)</f>
        <v>4193</v>
      </c>
      <c r="I3779" s="15">
        <f>G3779-H3779</f>
        <v>4192</v>
      </c>
      <c r="J3779" s="3" t="str">
        <f t="shared" si="268"/>
        <v>4945360</v>
      </c>
    </row>
    <row r="3780" spans="2:10" s="3" customFormat="1">
      <c r="B3780" s="3" t="s">
        <v>2133</v>
      </c>
      <c r="C3780" s="8">
        <v>4</v>
      </c>
      <c r="D3780" s="3" t="s">
        <v>2807</v>
      </c>
      <c r="E3780" s="11" t="s">
        <v>30</v>
      </c>
      <c r="F3780" s="11"/>
      <c r="G3780" s="12">
        <f>+G3777-G3779</f>
        <v>12811</v>
      </c>
      <c r="H3780" s="13">
        <f>ROUND(G3780/2,0)</f>
        <v>6406</v>
      </c>
      <c r="I3780" s="12">
        <f>G3780-H3780</f>
        <v>6405</v>
      </c>
      <c r="J3780" s="3" t="str">
        <f t="shared" ref="J3780:J3843" si="272">B3780&amp;C3780&amp;D3780</f>
        <v>4945360</v>
      </c>
    </row>
    <row r="3781" spans="2:10" s="3" customFormat="1">
      <c r="B3781" s="3" t="s">
        <v>2133</v>
      </c>
      <c r="C3781" s="8">
        <v>4</v>
      </c>
      <c r="D3781" s="3" t="s">
        <v>2808</v>
      </c>
      <c r="E3781" s="11" t="s">
        <v>1175</v>
      </c>
      <c r="F3781" s="10">
        <v>6.3689999999999997E-3</v>
      </c>
      <c r="G3781" s="9">
        <f>ROUND(G$3*F3781,0)</f>
        <v>1833</v>
      </c>
      <c r="H3781" s="11">
        <f>ROUND(G3781/2,0)</f>
        <v>917</v>
      </c>
      <c r="I3781" s="9">
        <f>G3781-H3781</f>
        <v>916</v>
      </c>
      <c r="J3781" s="3" t="str">
        <f t="shared" si="272"/>
        <v>4945370</v>
      </c>
    </row>
    <row r="3782" spans="2:10" s="3" customFormat="1">
      <c r="B3782" s="3" t="s">
        <v>2133</v>
      </c>
      <c r="C3782" s="8">
        <v>4</v>
      </c>
      <c r="D3782" s="3" t="s">
        <v>2808</v>
      </c>
      <c r="E3782" s="11" t="s">
        <v>28</v>
      </c>
      <c r="F3782" s="11"/>
      <c r="G3782" s="14">
        <v>0.58224699999999996</v>
      </c>
      <c r="H3782" s="11"/>
      <c r="I3782" s="11"/>
      <c r="J3782" s="3" t="str">
        <f t="shared" si="272"/>
        <v>4945370</v>
      </c>
    </row>
    <row r="3783" spans="2:10" s="3" customFormat="1">
      <c r="B3783" s="3" t="s">
        <v>2133</v>
      </c>
      <c r="C3783" s="8">
        <v>4</v>
      </c>
      <c r="D3783" s="3" t="s">
        <v>2808</v>
      </c>
      <c r="E3783" s="11" t="s">
        <v>29</v>
      </c>
      <c r="F3783" s="11"/>
      <c r="G3783" s="15">
        <f>ROUND(G3781*G3782,0)</f>
        <v>1067</v>
      </c>
      <c r="H3783" s="16">
        <f>ROUND(G3783/2,0)</f>
        <v>534</v>
      </c>
      <c r="I3783" s="15">
        <f>G3783-H3783</f>
        <v>533</v>
      </c>
      <c r="J3783" s="3" t="str">
        <f t="shared" si="272"/>
        <v>4945370</v>
      </c>
    </row>
    <row r="3784" spans="2:10" s="3" customFormat="1">
      <c r="B3784" s="3" t="s">
        <v>2133</v>
      </c>
      <c r="C3784" s="8">
        <v>4</v>
      </c>
      <c r="D3784" s="3" t="s">
        <v>2808</v>
      </c>
      <c r="E3784" s="11" t="s">
        <v>30</v>
      </c>
      <c r="F3784" s="11"/>
      <c r="G3784" s="12">
        <f>+G3781-G3783</f>
        <v>766</v>
      </c>
      <c r="H3784" s="13">
        <f>ROUND(G3784/2,0)</f>
        <v>383</v>
      </c>
      <c r="I3784" s="12">
        <f>G3784-H3784</f>
        <v>383</v>
      </c>
      <c r="J3784" s="3" t="str">
        <f t="shared" si="272"/>
        <v>4945370</v>
      </c>
    </row>
    <row r="3785" spans="2:10" s="3" customFormat="1">
      <c r="B3785" s="3" t="s">
        <v>2133</v>
      </c>
      <c r="C3785" s="8">
        <v>4</v>
      </c>
      <c r="D3785" s="3" t="s">
        <v>2809</v>
      </c>
      <c r="E3785" s="11" t="s">
        <v>1176</v>
      </c>
      <c r="F3785" s="10">
        <v>7.0401000000000005E-2</v>
      </c>
      <c r="G3785" s="9">
        <f>ROUND(G$3*F3785,0)</f>
        <v>20256</v>
      </c>
      <c r="H3785" s="11">
        <f>ROUND(G3785/2,0)</f>
        <v>10128</v>
      </c>
      <c r="I3785" s="9">
        <f>G3785-H3785</f>
        <v>10128</v>
      </c>
      <c r="J3785" s="3" t="str">
        <f t="shared" si="272"/>
        <v>4945375</v>
      </c>
    </row>
    <row r="3786" spans="2:10" s="3" customFormat="1">
      <c r="B3786" s="3" t="s">
        <v>2133</v>
      </c>
      <c r="C3786" s="8">
        <v>4</v>
      </c>
      <c r="D3786" s="3" t="s">
        <v>2809</v>
      </c>
      <c r="E3786" s="11" t="s">
        <v>28</v>
      </c>
      <c r="F3786" s="11"/>
      <c r="G3786" s="14">
        <v>0.38041700000000001</v>
      </c>
      <c r="H3786" s="11"/>
      <c r="I3786" s="11"/>
      <c r="J3786" s="3" t="str">
        <f t="shared" si="272"/>
        <v>4945375</v>
      </c>
    </row>
    <row r="3787" spans="2:10" s="3" customFormat="1">
      <c r="B3787" s="3" t="s">
        <v>2133</v>
      </c>
      <c r="C3787" s="8">
        <v>4</v>
      </c>
      <c r="D3787" s="3" t="s">
        <v>2809</v>
      </c>
      <c r="E3787" s="11" t="s">
        <v>29</v>
      </c>
      <c r="F3787" s="11"/>
      <c r="G3787" s="15">
        <f>ROUND(G3785*G3786,0)</f>
        <v>7706</v>
      </c>
      <c r="H3787" s="16">
        <f>ROUND(G3787/2,0)</f>
        <v>3853</v>
      </c>
      <c r="I3787" s="15">
        <f>G3787-H3787</f>
        <v>3853</v>
      </c>
      <c r="J3787" s="3" t="str">
        <f t="shared" si="272"/>
        <v>4945375</v>
      </c>
    </row>
    <row r="3788" spans="2:10" s="3" customFormat="1">
      <c r="B3788" s="3" t="s">
        <v>2133</v>
      </c>
      <c r="C3788" s="8">
        <v>4</v>
      </c>
      <c r="D3788" s="3" t="s">
        <v>2809</v>
      </c>
      <c r="E3788" s="11" t="s">
        <v>30</v>
      </c>
      <c r="F3788" s="11"/>
      <c r="G3788" s="12">
        <f>+G3785-G3787</f>
        <v>12550</v>
      </c>
      <c r="H3788" s="13">
        <f>ROUND(G3788/2,0)</f>
        <v>6275</v>
      </c>
      <c r="I3788" s="12">
        <f>G3788-H3788</f>
        <v>6275</v>
      </c>
      <c r="J3788" s="3" t="str">
        <f t="shared" si="272"/>
        <v>4945375</v>
      </c>
    </row>
    <row r="3789" spans="2:10" s="3" customFormat="1">
      <c r="B3789" s="3" t="s">
        <v>2133</v>
      </c>
      <c r="C3789" s="8">
        <v>4</v>
      </c>
      <c r="D3789" s="3" t="s">
        <v>2812</v>
      </c>
      <c r="E3789" s="11" t="s">
        <v>1177</v>
      </c>
      <c r="F3789" s="10">
        <v>7.1850000000000004E-3</v>
      </c>
      <c r="G3789" s="9">
        <f>ROUND(G$3*F3789,0)</f>
        <v>2067</v>
      </c>
      <c r="H3789" s="11">
        <f>ROUND(G3789/2,0)</f>
        <v>1034</v>
      </c>
      <c r="I3789" s="9">
        <f>G3789-H3789</f>
        <v>1033</v>
      </c>
      <c r="J3789" s="3" t="str">
        <f t="shared" si="272"/>
        <v>4945400</v>
      </c>
    </row>
    <row r="3790" spans="2:10" s="3" customFormat="1">
      <c r="B3790" s="3" t="s">
        <v>2133</v>
      </c>
      <c r="C3790" s="8">
        <v>4</v>
      </c>
      <c r="D3790" s="3" t="s">
        <v>2812</v>
      </c>
      <c r="E3790" s="11" t="s">
        <v>28</v>
      </c>
      <c r="F3790" s="11"/>
      <c r="G3790" s="14">
        <v>0.68606199999999995</v>
      </c>
      <c r="H3790" s="11"/>
      <c r="I3790" s="11"/>
      <c r="J3790" s="3" t="str">
        <f t="shared" si="272"/>
        <v>4945400</v>
      </c>
    </row>
    <row r="3791" spans="2:10" s="3" customFormat="1">
      <c r="B3791" s="3" t="s">
        <v>2133</v>
      </c>
      <c r="C3791" s="8">
        <v>4</v>
      </c>
      <c r="D3791" s="3" t="s">
        <v>2812</v>
      </c>
      <c r="E3791" s="11" t="s">
        <v>29</v>
      </c>
      <c r="F3791" s="11"/>
      <c r="G3791" s="15">
        <f>ROUND(G3789*G3790,0)</f>
        <v>1418</v>
      </c>
      <c r="H3791" s="16">
        <f t="shared" ref="H3791:H3803" si="273">ROUND(G3791/2,0)</f>
        <v>709</v>
      </c>
      <c r="I3791" s="15">
        <f t="shared" ref="I3791:I3803" si="274">G3791-H3791</f>
        <v>709</v>
      </c>
      <c r="J3791" s="3" t="str">
        <f t="shared" si="272"/>
        <v>4945400</v>
      </c>
    </row>
    <row r="3792" spans="2:10" s="3" customFormat="1">
      <c r="B3792" s="3" t="s">
        <v>2133</v>
      </c>
      <c r="C3792" s="8">
        <v>4</v>
      </c>
      <c r="D3792" s="3" t="s">
        <v>2812</v>
      </c>
      <c r="E3792" s="11" t="s">
        <v>30</v>
      </c>
      <c r="F3792" s="11"/>
      <c r="G3792" s="12">
        <f>+G3789-G3791</f>
        <v>649</v>
      </c>
      <c r="H3792" s="13">
        <f t="shared" si="273"/>
        <v>325</v>
      </c>
      <c r="I3792" s="12">
        <f t="shared" si="274"/>
        <v>324</v>
      </c>
      <c r="J3792" s="3" t="str">
        <f t="shared" si="272"/>
        <v>4945400</v>
      </c>
    </row>
    <row r="3793" spans="1:11" s="3" customFormat="1">
      <c r="A3793" s="122" t="s">
        <v>6272</v>
      </c>
      <c r="B3793" s="128" t="s">
        <v>2133</v>
      </c>
      <c r="C3793" s="129">
        <v>5</v>
      </c>
      <c r="D3793" s="130" t="s">
        <v>6378</v>
      </c>
      <c r="E3793" s="131" t="s">
        <v>1178</v>
      </c>
      <c r="F3793" s="133">
        <v>3.7500000000000001E-4</v>
      </c>
      <c r="G3793" s="137">
        <f t="shared" ref="G3793:G3802" si="275">ROUND(G$3*F3793,0)</f>
        <v>108</v>
      </c>
      <c r="H3793" s="137">
        <f t="shared" si="273"/>
        <v>54</v>
      </c>
      <c r="I3793" s="137">
        <f t="shared" si="274"/>
        <v>54</v>
      </c>
      <c r="J3793" s="128" t="str">
        <f t="shared" si="272"/>
        <v>4950142</v>
      </c>
      <c r="K3793" s="128" t="s">
        <v>6372</v>
      </c>
    </row>
    <row r="3794" spans="1:11" s="3" customFormat="1">
      <c r="B3794" s="3" t="s">
        <v>2133</v>
      </c>
      <c r="C3794" s="8">
        <v>5</v>
      </c>
      <c r="D3794" s="116" t="s">
        <v>4943</v>
      </c>
      <c r="E3794" s="11" t="s">
        <v>1179</v>
      </c>
      <c r="F3794" s="10">
        <v>3.1203999999999999E-2</v>
      </c>
      <c r="G3794" s="120">
        <f t="shared" si="275"/>
        <v>8978</v>
      </c>
      <c r="H3794" s="120">
        <f t="shared" si="273"/>
        <v>4489</v>
      </c>
      <c r="I3794" s="120">
        <f t="shared" si="274"/>
        <v>4489</v>
      </c>
      <c r="J3794" s="3" t="str">
        <f t="shared" si="272"/>
        <v>4950144</v>
      </c>
    </row>
    <row r="3795" spans="1:11" s="3" customFormat="1">
      <c r="B3795" s="3" t="s">
        <v>2133</v>
      </c>
      <c r="C3795" s="8">
        <v>5</v>
      </c>
      <c r="D3795" s="3" t="s">
        <v>4941</v>
      </c>
      <c r="E3795" s="11" t="s">
        <v>1180</v>
      </c>
      <c r="F3795" s="10">
        <v>6.9399999999999996E-4</v>
      </c>
      <c r="G3795" s="120">
        <f t="shared" si="275"/>
        <v>200</v>
      </c>
      <c r="H3795" s="120">
        <f t="shared" si="273"/>
        <v>100</v>
      </c>
      <c r="I3795" s="120">
        <f t="shared" si="274"/>
        <v>100</v>
      </c>
      <c r="J3795" s="3" t="str">
        <f t="shared" si="272"/>
        <v>4950143</v>
      </c>
    </row>
    <row r="3796" spans="1:11" s="3" customFormat="1">
      <c r="B3796" s="3" t="s">
        <v>2133</v>
      </c>
      <c r="C3796" s="8">
        <v>6</v>
      </c>
      <c r="D3796" s="3" t="s">
        <v>2815</v>
      </c>
      <c r="E3796" s="11" t="s">
        <v>1181</v>
      </c>
      <c r="F3796" s="10">
        <v>3.5470000000000002E-2</v>
      </c>
      <c r="G3796" s="120">
        <f t="shared" si="275"/>
        <v>10206</v>
      </c>
      <c r="H3796" s="120">
        <f t="shared" si="273"/>
        <v>5103</v>
      </c>
      <c r="I3796" s="120">
        <f t="shared" si="274"/>
        <v>5103</v>
      </c>
      <c r="J3796" s="3" t="str">
        <f t="shared" si="272"/>
        <v>4960822</v>
      </c>
    </row>
    <row r="3797" spans="1:11" s="3" customFormat="1">
      <c r="B3797" s="3" t="s">
        <v>2133</v>
      </c>
      <c r="C3797" s="8">
        <v>6</v>
      </c>
      <c r="D3797" s="3" t="s">
        <v>2814</v>
      </c>
      <c r="E3797" s="11" t="s">
        <v>1182</v>
      </c>
      <c r="F3797" s="10">
        <v>5.0155999999999999E-2</v>
      </c>
      <c r="G3797" s="120">
        <f t="shared" si="275"/>
        <v>14431</v>
      </c>
      <c r="H3797" s="120">
        <f t="shared" si="273"/>
        <v>7216</v>
      </c>
      <c r="I3797" s="120">
        <f t="shared" si="274"/>
        <v>7215</v>
      </c>
      <c r="J3797" s="3" t="str">
        <f t="shared" si="272"/>
        <v>4960821</v>
      </c>
    </row>
    <row r="3798" spans="1:11" s="3" customFormat="1">
      <c r="B3798" s="3" t="s">
        <v>2133</v>
      </c>
      <c r="C3798" s="8">
        <v>6</v>
      </c>
      <c r="D3798" s="3" t="s">
        <v>2816</v>
      </c>
      <c r="E3798" s="11" t="s">
        <v>1183</v>
      </c>
      <c r="F3798" s="10">
        <v>9.8689999999999993E-3</v>
      </c>
      <c r="G3798" s="120">
        <f t="shared" si="275"/>
        <v>2840</v>
      </c>
      <c r="H3798" s="120">
        <f t="shared" si="273"/>
        <v>1420</v>
      </c>
      <c r="I3798" s="120">
        <f t="shared" si="274"/>
        <v>1420</v>
      </c>
      <c r="J3798" s="3" t="str">
        <f t="shared" si="272"/>
        <v>4960877</v>
      </c>
    </row>
    <row r="3799" spans="1:11" s="128" customFormat="1">
      <c r="A3799" s="128" t="s">
        <v>6273</v>
      </c>
      <c r="B3799" s="128" t="s">
        <v>2133</v>
      </c>
      <c r="C3799" s="129">
        <v>6</v>
      </c>
      <c r="D3799" s="130" t="s">
        <v>2905</v>
      </c>
      <c r="E3799" s="131" t="s">
        <v>1184</v>
      </c>
      <c r="F3799" s="133">
        <v>5.9769999999999997E-3</v>
      </c>
      <c r="G3799" s="137">
        <f t="shared" si="275"/>
        <v>1720</v>
      </c>
      <c r="H3799" s="137">
        <f t="shared" si="273"/>
        <v>860</v>
      </c>
      <c r="I3799" s="137">
        <f t="shared" si="274"/>
        <v>860</v>
      </c>
      <c r="J3799" s="128" t="str">
        <f t="shared" si="272"/>
        <v>4960818</v>
      </c>
      <c r="K3799" s="128" t="s">
        <v>6372</v>
      </c>
    </row>
    <row r="3800" spans="1:11" s="3" customFormat="1">
      <c r="B3800" s="3" t="s">
        <v>2133</v>
      </c>
      <c r="C3800" s="8">
        <v>6</v>
      </c>
      <c r="D3800" s="3" t="s">
        <v>2813</v>
      </c>
      <c r="E3800" s="11" t="s">
        <v>1185</v>
      </c>
      <c r="F3800" s="10">
        <v>2.2225000000000002E-2</v>
      </c>
      <c r="G3800" s="120">
        <f t="shared" si="275"/>
        <v>6395</v>
      </c>
      <c r="H3800" s="120">
        <f t="shared" si="273"/>
        <v>3198</v>
      </c>
      <c r="I3800" s="120">
        <f t="shared" si="274"/>
        <v>3197</v>
      </c>
      <c r="J3800" s="3" t="str">
        <f t="shared" si="272"/>
        <v>4960820</v>
      </c>
    </row>
    <row r="3801" spans="1:11" s="3" customFormat="1">
      <c r="A3801" s="3" t="s">
        <v>6269</v>
      </c>
      <c r="B3801" s="3" t="s">
        <v>2133</v>
      </c>
      <c r="C3801" s="8">
        <v>6</v>
      </c>
      <c r="D3801" s="3" t="s">
        <v>2818</v>
      </c>
      <c r="E3801" s="11" t="s">
        <v>1186</v>
      </c>
      <c r="F3801" s="10">
        <v>0</v>
      </c>
      <c r="G3801" s="12">
        <f t="shared" si="275"/>
        <v>0</v>
      </c>
      <c r="H3801" s="13">
        <f t="shared" si="273"/>
        <v>0</v>
      </c>
      <c r="I3801" s="12">
        <f t="shared" si="274"/>
        <v>0</v>
      </c>
      <c r="J3801" s="3" t="str">
        <f t="shared" si="272"/>
        <v>4960894</v>
      </c>
    </row>
    <row r="3802" spans="1:11" s="3" customFormat="1">
      <c r="B3802" s="3" t="s">
        <v>2133</v>
      </c>
      <c r="C3802" s="8">
        <v>6</v>
      </c>
      <c r="D3802" s="3" t="s">
        <v>2817</v>
      </c>
      <c r="E3802" s="11" t="s">
        <v>1187</v>
      </c>
      <c r="F3802" s="10">
        <v>7.3438000000000003E-2</v>
      </c>
      <c r="G3802" s="120">
        <f t="shared" si="275"/>
        <v>21130</v>
      </c>
      <c r="H3802" s="120">
        <f t="shared" si="273"/>
        <v>10565</v>
      </c>
      <c r="I3802" s="120">
        <f t="shared" si="274"/>
        <v>10565</v>
      </c>
      <c r="J3802" s="3" t="str">
        <f t="shared" si="272"/>
        <v>4960890</v>
      </c>
    </row>
    <row r="3803" spans="1:11" s="3" customFormat="1">
      <c r="B3803" s="3" t="s">
        <v>2133</v>
      </c>
      <c r="C3803" s="8">
        <v>6</v>
      </c>
      <c r="D3803" s="3" t="s">
        <v>4952</v>
      </c>
      <c r="E3803" s="11" t="s">
        <v>1188</v>
      </c>
      <c r="F3803" s="10">
        <v>1.5799999999988046E-4</v>
      </c>
      <c r="G3803" s="120">
        <f>+G3702-SUM(G3703:G3705)-SUM(G3710:G3749)-G3753-G3757-G3761-G3765-G3769-G3773-G3777-G3781-G3785-G3789-SUM(G3793:G3802)</f>
        <v>11571287</v>
      </c>
      <c r="H3803" s="120">
        <f t="shared" si="273"/>
        <v>5785644</v>
      </c>
      <c r="I3803" s="120">
        <f t="shared" si="274"/>
        <v>5785643</v>
      </c>
      <c r="J3803" s="3" t="str">
        <f t="shared" si="272"/>
        <v>4960919</v>
      </c>
    </row>
    <row r="3804" spans="1:11" s="3" customFormat="1">
      <c r="B3804" s="3" t="s">
        <v>2133</v>
      </c>
      <c r="C3804" s="8">
        <v>0</v>
      </c>
      <c r="D3804" s="125" t="s">
        <v>2187</v>
      </c>
      <c r="E3804" s="28" t="s">
        <v>288</v>
      </c>
      <c r="F3804" s="10">
        <v>1</v>
      </c>
      <c r="G3804" s="12">
        <f>+SUM(G3703:G3704)+SUM(G3707:G3748)+SUM(G3751:G3752)+SUM(G3755:G3756)+SUM(G3759:G3760)+SUM(G3763:G3764)+SUM(G3767:G3768)+SUM(G3771:G3772)+SUM(G3775:G3776)+SUM(G3779:G3780)+SUM(G3783:G3784)+SUM(G3787:G3788)+SUM(G3791:G3803)</f>
        <v>11858968</v>
      </c>
      <c r="H3804" s="12">
        <f>+SUM(H3703:H3704)+SUM(H3707:H3748)+SUM(H3751:H3752)+SUM(H3755:H3756)+SUM(H3759:H3760)+SUM(H3763:H3764)+SUM(H3767:H3768)+SUM(H3771:H3772)+SUM(H3775:H3776)+SUM(H3779:H3780)+SUM(H3783:H3784)+SUM(H3787:H3788)+SUM(H3791:H3803)</f>
        <v>5929500</v>
      </c>
      <c r="I3804" s="12">
        <f>+SUM(I3703:I3704)+SUM(I3707:I3748)+SUM(I3751:I3752)+SUM(I3755:I3756)+SUM(I3759:I3760)+SUM(I3763:I3764)+SUM(I3767:I3768)+SUM(I3771:I3772)+SUM(I3775:I3776)+SUM(I3779:I3780)+SUM(I3783:I3784)+SUM(I3787:I3788)+SUM(I3791:I3803)</f>
        <v>5929468</v>
      </c>
      <c r="J3804" s="3" t="str">
        <f t="shared" si="272"/>
        <v>4900000</v>
      </c>
    </row>
    <row r="3805" spans="1:11" s="3" customFormat="1">
      <c r="B3805" s="3" t="s">
        <v>2133</v>
      </c>
      <c r="C3805" s="8">
        <v>0</v>
      </c>
      <c r="D3805" s="3" t="s">
        <v>2187</v>
      </c>
      <c r="E3805" s="18" t="s">
        <v>38</v>
      </c>
      <c r="G3805" s="19">
        <f>+G3703</f>
        <v>267</v>
      </c>
      <c r="H3805" s="19">
        <f>+H3703</f>
        <v>134</v>
      </c>
      <c r="I3805" s="19">
        <f>+I3703</f>
        <v>133</v>
      </c>
      <c r="J3805" s="3" t="str">
        <f t="shared" si="272"/>
        <v>4900000</v>
      </c>
    </row>
    <row r="3806" spans="1:11" s="3" customFormat="1">
      <c r="B3806" s="3" t="s">
        <v>2133</v>
      </c>
      <c r="C3806" s="8">
        <v>0</v>
      </c>
      <c r="D3806" s="3" t="s">
        <v>2187</v>
      </c>
      <c r="E3806" s="2" t="s">
        <v>39</v>
      </c>
      <c r="G3806" s="19">
        <f>+G3707</f>
        <v>9819</v>
      </c>
      <c r="H3806" s="19">
        <f>+H3707</f>
        <v>4910</v>
      </c>
      <c r="I3806" s="19">
        <f>+I3707</f>
        <v>4909</v>
      </c>
      <c r="J3806" s="3" t="str">
        <f t="shared" si="272"/>
        <v>4900000</v>
      </c>
    </row>
    <row r="3807" spans="1:11" s="3" customFormat="1">
      <c r="B3807" s="3" t="s">
        <v>2133</v>
      </c>
      <c r="C3807" s="8">
        <v>0</v>
      </c>
      <c r="D3807" s="3" t="s">
        <v>2187</v>
      </c>
      <c r="E3807" s="2" t="s">
        <v>40</v>
      </c>
      <c r="G3807" s="19">
        <f>+G3751+G3755+G3759+G3763+G3767+G3771+G3775+G3779+G3783+G3787+G3791</f>
        <v>62581</v>
      </c>
      <c r="H3807" s="19">
        <f>+H3751+H3755+H3759+H3763+H3767+H3771+H3775+H3779+H3783+H3787+H3791</f>
        <v>31293</v>
      </c>
      <c r="I3807" s="19">
        <f>+I3751+I3755+I3759+I3763+I3767+I3771+I3775+I3779+I3783+I3787+I3791</f>
        <v>31288</v>
      </c>
      <c r="J3807" s="3" t="str">
        <f t="shared" si="272"/>
        <v>4900000</v>
      </c>
    </row>
    <row r="3808" spans="1:11" s="3" customFormat="1">
      <c r="B3808" s="3" t="s">
        <v>2133</v>
      </c>
      <c r="C3808" s="8">
        <v>0</v>
      </c>
      <c r="D3808" s="125" t="s">
        <v>2187</v>
      </c>
      <c r="E3808" s="18" t="s">
        <v>41</v>
      </c>
      <c r="G3808" s="19">
        <f>+G3804-G3805-G3806-G3807</f>
        <v>11786301</v>
      </c>
      <c r="H3808" s="19">
        <f>+H3804-H3805-H3806-H3807</f>
        <v>5893163</v>
      </c>
      <c r="I3808" s="19">
        <f>+I3804-I3805-I3806-I3807</f>
        <v>5893138</v>
      </c>
      <c r="J3808" s="3" t="str">
        <f t="shared" si="272"/>
        <v>4900000</v>
      </c>
    </row>
    <row r="3809" spans="2:10" ht="15.75">
      <c r="B3809" s="3" t="s">
        <v>2186</v>
      </c>
      <c r="D3809" t="s">
        <v>2186</v>
      </c>
      <c r="E3809">
        <v>0</v>
      </c>
      <c r="G3809"/>
      <c r="H3809"/>
      <c r="I3809"/>
      <c r="J3809" s="3" t="str">
        <f t="shared" si="272"/>
        <v/>
      </c>
    </row>
    <row r="3810" spans="2:10" s="3" customFormat="1">
      <c r="C3810" s="1"/>
      <c r="D3810" s="3" t="s">
        <v>2186</v>
      </c>
      <c r="E3810" s="2" t="s">
        <v>1189</v>
      </c>
      <c r="J3810" s="3" t="str">
        <f t="shared" si="272"/>
        <v/>
      </c>
    </row>
    <row r="3811" spans="2:10" s="3" customFormat="1" ht="45">
      <c r="B3811" s="3" t="s">
        <v>2186</v>
      </c>
      <c r="C3811" s="1"/>
      <c r="D3811" s="3" t="s">
        <v>2186</v>
      </c>
      <c r="E3811" s="1">
        <v>0</v>
      </c>
      <c r="F3811" s="6" t="s">
        <v>1</v>
      </c>
      <c r="G3811" s="60">
        <f>'Allocation Worksheet'!H3811</f>
        <v>0</v>
      </c>
      <c r="H3811" s="60">
        <f>'Allocation Worksheet'!H3812</f>
        <v>0</v>
      </c>
      <c r="I3811" s="60">
        <f>'Allocation Worksheet'!H3813</f>
        <v>0</v>
      </c>
      <c r="J3811" s="3" t="str">
        <f t="shared" si="272"/>
        <v/>
      </c>
    </row>
    <row r="3812" spans="2:10" s="3" customFormat="1">
      <c r="C3812" s="7" t="s">
        <v>2087</v>
      </c>
      <c r="D3812" s="3" t="s">
        <v>2186</v>
      </c>
      <c r="E3812" s="7" t="s">
        <v>3</v>
      </c>
      <c r="F3812" s="10"/>
      <c r="G3812" s="9">
        <f>'Allocation Worksheet'!$D$53</f>
        <v>526148</v>
      </c>
      <c r="H3812" s="11"/>
      <c r="I3812" s="11"/>
      <c r="J3812" s="3" t="str">
        <f t="shared" si="272"/>
        <v>UT</v>
      </c>
    </row>
    <row r="3813" spans="2:10" s="3" customFormat="1">
      <c r="B3813" s="3" t="s">
        <v>2134</v>
      </c>
      <c r="C3813" s="8">
        <v>0</v>
      </c>
      <c r="D3813" s="3" t="s">
        <v>2187</v>
      </c>
      <c r="E3813" s="11" t="s">
        <v>4</v>
      </c>
      <c r="F3813" s="10">
        <v>1.204E-3</v>
      </c>
      <c r="G3813" s="12">
        <f>ROUND(G$3*F3813,0)</f>
        <v>346</v>
      </c>
      <c r="H3813" s="13">
        <f>ROUND(G3813/2,0)</f>
        <v>173</v>
      </c>
      <c r="I3813" s="12">
        <f>G3813-H3813</f>
        <v>173</v>
      </c>
      <c r="J3813" s="3" t="str">
        <f t="shared" si="272"/>
        <v>5000000</v>
      </c>
    </row>
    <row r="3814" spans="2:10" s="3" customFormat="1">
      <c r="B3814" s="3" t="s">
        <v>2134</v>
      </c>
      <c r="C3814" s="8">
        <v>1</v>
      </c>
      <c r="D3814" s="3" t="s">
        <v>2187</v>
      </c>
      <c r="E3814" s="11" t="s">
        <v>1190</v>
      </c>
      <c r="F3814" s="10">
        <v>0.17135500000000001</v>
      </c>
      <c r="G3814" s="9">
        <f>ROUND(G$3*F3814,0)</f>
        <v>49303</v>
      </c>
      <c r="H3814" s="11">
        <f>ROUND(G3814/2,0)</f>
        <v>24652</v>
      </c>
      <c r="I3814" s="9">
        <f>G3814-H3814</f>
        <v>24651</v>
      </c>
      <c r="J3814" s="3" t="str">
        <f t="shared" si="272"/>
        <v>5010000</v>
      </c>
    </row>
    <row r="3815" spans="2:10" s="3" customFormat="1">
      <c r="B3815" s="3" t="s">
        <v>2134</v>
      </c>
      <c r="C3815" s="8">
        <v>1</v>
      </c>
      <c r="D3815" s="3" t="s">
        <v>2187</v>
      </c>
      <c r="E3815" s="11" t="s">
        <v>6</v>
      </c>
      <c r="F3815" s="11"/>
      <c r="G3815" s="14">
        <v>0.34275800000000001</v>
      </c>
      <c r="H3815" s="11"/>
      <c r="I3815" s="11"/>
      <c r="J3815" s="3" t="str">
        <f t="shared" si="272"/>
        <v>5010000</v>
      </c>
    </row>
    <row r="3816" spans="2:10" s="3" customFormat="1">
      <c r="B3816" s="3" t="s">
        <v>2134</v>
      </c>
      <c r="C3816" s="8">
        <v>1</v>
      </c>
      <c r="D3816" s="3" t="s">
        <v>2187</v>
      </c>
      <c r="E3816" s="11" t="s">
        <v>7</v>
      </c>
      <c r="F3816" s="11"/>
      <c r="G3816" s="15">
        <f>ROUND(G3814*G3815,0)</f>
        <v>16899</v>
      </c>
      <c r="H3816" s="16">
        <f>ROUND(G3816/2,0)</f>
        <v>8450</v>
      </c>
      <c r="I3816" s="15">
        <f>G3816-H3816</f>
        <v>8449</v>
      </c>
      <c r="J3816" s="3" t="str">
        <f t="shared" si="272"/>
        <v>5010000</v>
      </c>
    </row>
    <row r="3817" spans="2:10" s="3" customFormat="1">
      <c r="B3817" s="3" t="s">
        <v>2134</v>
      </c>
      <c r="C3817" s="8">
        <v>1</v>
      </c>
      <c r="D3817" s="3" t="s">
        <v>2187</v>
      </c>
      <c r="E3817" s="11" t="s">
        <v>8</v>
      </c>
      <c r="F3817" s="11"/>
      <c r="G3817" s="12">
        <f>+G3814-G3816</f>
        <v>32404</v>
      </c>
      <c r="H3817" s="13">
        <f>ROUND(G3817/2,0)</f>
        <v>16202</v>
      </c>
      <c r="I3817" s="12">
        <f>G3817-H3817</f>
        <v>16202</v>
      </c>
      <c r="J3817" s="3" t="str">
        <f t="shared" si="272"/>
        <v>5010000</v>
      </c>
    </row>
    <row r="3818" spans="2:10" s="3" customFormat="1">
      <c r="B3818" s="3" t="s">
        <v>2134</v>
      </c>
      <c r="C3818" s="8">
        <v>2</v>
      </c>
      <c r="D3818" s="3" t="s">
        <v>2188</v>
      </c>
      <c r="E3818" s="11" t="s">
        <v>1191</v>
      </c>
      <c r="F3818" s="11"/>
      <c r="G3818" s="9"/>
      <c r="H3818" s="11"/>
      <c r="I3818" s="11"/>
      <c r="J3818" s="3" t="str">
        <f t="shared" si="272"/>
        <v>5020001</v>
      </c>
    </row>
    <row r="3819" spans="2:10" s="3" customFormat="1">
      <c r="B3819" s="3" t="s">
        <v>2134</v>
      </c>
      <c r="C3819" s="8">
        <v>2</v>
      </c>
      <c r="D3819" s="3" t="s">
        <v>2188</v>
      </c>
      <c r="E3819" s="11" t="s">
        <v>10</v>
      </c>
      <c r="F3819" s="10">
        <v>1.5900000000000001E-3</v>
      </c>
      <c r="G3819" s="12">
        <f>ROUND(G$3*F3819,0)</f>
        <v>457</v>
      </c>
      <c r="H3819" s="13">
        <f>ROUND(G3819/2,0)</f>
        <v>229</v>
      </c>
      <c r="I3819" s="12">
        <f>G3819-H3819</f>
        <v>228</v>
      </c>
      <c r="J3819" s="3" t="str">
        <f t="shared" si="272"/>
        <v>5020001</v>
      </c>
    </row>
    <row r="3820" spans="2:10" s="3" customFormat="1">
      <c r="B3820" s="3" t="s">
        <v>2134</v>
      </c>
      <c r="C3820" s="8">
        <v>2</v>
      </c>
      <c r="D3820" s="3" t="s">
        <v>2188</v>
      </c>
      <c r="E3820" s="11" t="s">
        <v>11</v>
      </c>
      <c r="F3820" s="10">
        <v>1.5899999999999999E-4</v>
      </c>
      <c r="G3820" s="12">
        <f>ROUND(G$3*F3820,0)</f>
        <v>46</v>
      </c>
      <c r="H3820" s="13">
        <f>ROUND(G3820/2,0)</f>
        <v>23</v>
      </c>
      <c r="I3820" s="12">
        <f>G3820-H3820</f>
        <v>23</v>
      </c>
      <c r="J3820" s="3" t="str">
        <f t="shared" si="272"/>
        <v>5020001</v>
      </c>
    </row>
    <row r="3821" spans="2:10" s="3" customFormat="1">
      <c r="B3821" s="3" t="s">
        <v>2134</v>
      </c>
      <c r="C3821" s="8">
        <v>2</v>
      </c>
      <c r="D3821" s="3" t="s">
        <v>2189</v>
      </c>
      <c r="E3821" s="11" t="s">
        <v>107</v>
      </c>
      <c r="F3821" s="11"/>
      <c r="G3821" s="9"/>
      <c r="H3821" s="11"/>
      <c r="I3821" s="11"/>
      <c r="J3821" s="3" t="str">
        <f t="shared" si="272"/>
        <v>5020002</v>
      </c>
    </row>
    <row r="3822" spans="2:10" s="3" customFormat="1">
      <c r="B3822" s="3" t="s">
        <v>2134</v>
      </c>
      <c r="C3822" s="8">
        <v>2</v>
      </c>
      <c r="D3822" s="3" t="s">
        <v>2189</v>
      </c>
      <c r="E3822" s="11" t="s">
        <v>10</v>
      </c>
      <c r="F3822" s="10">
        <v>6.8970000000000004E-3</v>
      </c>
      <c r="G3822" s="12">
        <f>ROUND(G$3*F3822,0)</f>
        <v>1984</v>
      </c>
      <c r="H3822" s="13">
        <f>ROUND(G3822/2,0)</f>
        <v>992</v>
      </c>
      <c r="I3822" s="12">
        <f>G3822-H3822</f>
        <v>992</v>
      </c>
      <c r="J3822" s="3" t="str">
        <f t="shared" si="272"/>
        <v>5020002</v>
      </c>
    </row>
    <row r="3823" spans="2:10" s="3" customFormat="1">
      <c r="B3823" s="3" t="s">
        <v>2134</v>
      </c>
      <c r="C3823" s="8">
        <v>2</v>
      </c>
      <c r="D3823" s="3" t="s">
        <v>2189</v>
      </c>
      <c r="E3823" s="11" t="s">
        <v>11</v>
      </c>
      <c r="F3823" s="10">
        <v>7.2199999999999999E-4</v>
      </c>
      <c r="G3823" s="12">
        <f>ROUND(G$3*F3823,0)</f>
        <v>208</v>
      </c>
      <c r="H3823" s="13">
        <f>ROUND(G3823/2,0)</f>
        <v>104</v>
      </c>
      <c r="I3823" s="12">
        <f>G3823-H3823</f>
        <v>104</v>
      </c>
      <c r="J3823" s="3" t="str">
        <f t="shared" si="272"/>
        <v>5020002</v>
      </c>
    </row>
    <row r="3824" spans="2:10" s="3" customFormat="1">
      <c r="B3824" s="3" t="s">
        <v>2134</v>
      </c>
      <c r="C3824" s="8">
        <v>2</v>
      </c>
      <c r="D3824" s="3" t="s">
        <v>2190</v>
      </c>
      <c r="E3824" s="11" t="s">
        <v>85</v>
      </c>
      <c r="F3824" s="11"/>
      <c r="G3824" s="9"/>
      <c r="H3824" s="11"/>
      <c r="I3824" s="11"/>
      <c r="J3824" s="3" t="str">
        <f t="shared" si="272"/>
        <v>5020003</v>
      </c>
    </row>
    <row r="3825" spans="2:10" s="3" customFormat="1">
      <c r="B3825" s="3" t="s">
        <v>2134</v>
      </c>
      <c r="C3825" s="8">
        <v>2</v>
      </c>
      <c r="D3825" s="3" t="s">
        <v>2190</v>
      </c>
      <c r="E3825" s="11" t="s">
        <v>10</v>
      </c>
      <c r="F3825" s="10">
        <v>3.6670000000000001E-3</v>
      </c>
      <c r="G3825" s="12">
        <f>ROUND(G$3*F3825,0)</f>
        <v>1055</v>
      </c>
      <c r="H3825" s="13">
        <f>ROUND(G3825/2,0)</f>
        <v>528</v>
      </c>
      <c r="I3825" s="12">
        <f>G3825-H3825</f>
        <v>527</v>
      </c>
      <c r="J3825" s="3" t="str">
        <f t="shared" si="272"/>
        <v>5020003</v>
      </c>
    </row>
    <row r="3826" spans="2:10" s="3" customFormat="1">
      <c r="B3826" s="3" t="s">
        <v>2134</v>
      </c>
      <c r="C3826" s="8">
        <v>2</v>
      </c>
      <c r="D3826" s="3" t="s">
        <v>2190</v>
      </c>
      <c r="E3826" s="11" t="s">
        <v>11</v>
      </c>
      <c r="F3826" s="10">
        <v>4.8000000000000001E-5</v>
      </c>
      <c r="G3826" s="12">
        <f>ROUND(G$3*F3826,0)</f>
        <v>14</v>
      </c>
      <c r="H3826" s="13">
        <f>ROUND(G3826/2,0)</f>
        <v>7</v>
      </c>
      <c r="I3826" s="12">
        <f>G3826-H3826</f>
        <v>7</v>
      </c>
      <c r="J3826" s="3" t="str">
        <f t="shared" si="272"/>
        <v>5020003</v>
      </c>
    </row>
    <row r="3827" spans="2:10" s="3" customFormat="1">
      <c r="B3827" s="3" t="s">
        <v>2134</v>
      </c>
      <c r="C3827" s="8">
        <v>2</v>
      </c>
      <c r="D3827" s="3" t="s">
        <v>2191</v>
      </c>
      <c r="E3827" s="11" t="s">
        <v>593</v>
      </c>
      <c r="F3827" s="11"/>
      <c r="G3827" s="9"/>
      <c r="H3827" s="11"/>
      <c r="I3827" s="11"/>
      <c r="J3827" s="3" t="str">
        <f t="shared" si="272"/>
        <v>5020004</v>
      </c>
    </row>
    <row r="3828" spans="2:10" s="3" customFormat="1">
      <c r="B3828" s="3" t="s">
        <v>2134</v>
      </c>
      <c r="C3828" s="8">
        <v>2</v>
      </c>
      <c r="D3828" s="3" t="s">
        <v>2191</v>
      </c>
      <c r="E3828" s="11" t="s">
        <v>10</v>
      </c>
      <c r="F3828" s="10">
        <v>9.01E-4</v>
      </c>
      <c r="G3828" s="12">
        <f>ROUND(G$3*F3828,0)</f>
        <v>259</v>
      </c>
      <c r="H3828" s="13">
        <f>ROUND(G3828/2,0)</f>
        <v>130</v>
      </c>
      <c r="I3828" s="12">
        <f>G3828-H3828</f>
        <v>129</v>
      </c>
      <c r="J3828" s="3" t="str">
        <f t="shared" si="272"/>
        <v>5020004</v>
      </c>
    </row>
    <row r="3829" spans="2:10" s="3" customFormat="1">
      <c r="B3829" s="3" t="s">
        <v>2134</v>
      </c>
      <c r="C3829" s="8">
        <v>2</v>
      </c>
      <c r="D3829" s="3" t="s">
        <v>2191</v>
      </c>
      <c r="E3829" s="11" t="s">
        <v>11</v>
      </c>
      <c r="F3829" s="10">
        <v>7.4700000000000005E-4</v>
      </c>
      <c r="G3829" s="12">
        <f>ROUND(G$3*F3829,0)</f>
        <v>215</v>
      </c>
      <c r="H3829" s="13">
        <f>ROUND(G3829/2,0)</f>
        <v>108</v>
      </c>
      <c r="I3829" s="12">
        <f>G3829-H3829</f>
        <v>107</v>
      </c>
      <c r="J3829" s="3" t="str">
        <f t="shared" si="272"/>
        <v>5020004</v>
      </c>
    </row>
    <row r="3830" spans="2:10" s="3" customFormat="1">
      <c r="B3830" s="3" t="s">
        <v>2134</v>
      </c>
      <c r="C3830" s="8">
        <v>2</v>
      </c>
      <c r="D3830" s="3" t="s">
        <v>2192</v>
      </c>
      <c r="E3830" s="11" t="s">
        <v>1001</v>
      </c>
      <c r="F3830" s="11"/>
      <c r="G3830" s="9"/>
      <c r="H3830" s="11"/>
      <c r="I3830" s="11"/>
      <c r="J3830" s="3" t="str">
        <f t="shared" si="272"/>
        <v>5020005</v>
      </c>
    </row>
    <row r="3831" spans="2:10" s="3" customFormat="1">
      <c r="B3831" s="3" t="s">
        <v>2134</v>
      </c>
      <c r="C3831" s="8">
        <v>2</v>
      </c>
      <c r="D3831" s="3" t="s">
        <v>2192</v>
      </c>
      <c r="E3831" s="11" t="s">
        <v>10</v>
      </c>
      <c r="F3831" s="10">
        <v>2.3370000000000001E-3</v>
      </c>
      <c r="G3831" s="12">
        <f>ROUND(G$3*F3831,0)</f>
        <v>672</v>
      </c>
      <c r="H3831" s="13">
        <f>ROUND(G3831/2,0)</f>
        <v>336</v>
      </c>
      <c r="I3831" s="12">
        <f>G3831-H3831</f>
        <v>336</v>
      </c>
      <c r="J3831" s="3" t="str">
        <f t="shared" si="272"/>
        <v>5020005</v>
      </c>
    </row>
    <row r="3832" spans="2:10" s="3" customFormat="1">
      <c r="B3832" s="3" t="s">
        <v>2134</v>
      </c>
      <c r="C3832" s="8">
        <v>2</v>
      </c>
      <c r="D3832" s="3" t="s">
        <v>2192</v>
      </c>
      <c r="E3832" s="11" t="s">
        <v>11</v>
      </c>
      <c r="F3832" s="10">
        <v>5.1599999999999997E-4</v>
      </c>
      <c r="G3832" s="12">
        <f>ROUND(G$3*F3832,0)</f>
        <v>148</v>
      </c>
      <c r="H3832" s="13">
        <f>ROUND(G3832/2,0)</f>
        <v>74</v>
      </c>
      <c r="I3832" s="12">
        <f>G3832-H3832</f>
        <v>74</v>
      </c>
      <c r="J3832" s="3" t="str">
        <f t="shared" si="272"/>
        <v>5020005</v>
      </c>
    </row>
    <row r="3833" spans="2:10" s="3" customFormat="1">
      <c r="B3833" s="3" t="s">
        <v>2134</v>
      </c>
      <c r="C3833" s="8">
        <v>2</v>
      </c>
      <c r="D3833" s="3" t="s">
        <v>2193</v>
      </c>
      <c r="E3833" s="11" t="s">
        <v>795</v>
      </c>
      <c r="F3833" s="11"/>
      <c r="G3833" s="9"/>
      <c r="H3833" s="11"/>
      <c r="I3833" s="11"/>
      <c r="J3833" s="3" t="str">
        <f t="shared" si="272"/>
        <v>5020006</v>
      </c>
    </row>
    <row r="3834" spans="2:10" s="3" customFormat="1">
      <c r="B3834" s="3" t="s">
        <v>2134</v>
      </c>
      <c r="C3834" s="8">
        <v>2</v>
      </c>
      <c r="D3834" s="3" t="s">
        <v>2193</v>
      </c>
      <c r="E3834" s="11" t="s">
        <v>10</v>
      </c>
      <c r="F3834" s="10">
        <v>1.4120000000000001E-3</v>
      </c>
      <c r="G3834" s="12">
        <f>ROUND(G$3*F3834,0)</f>
        <v>406</v>
      </c>
      <c r="H3834" s="13">
        <f>ROUND(G3834/2,0)</f>
        <v>203</v>
      </c>
      <c r="I3834" s="12">
        <f>G3834-H3834</f>
        <v>203</v>
      </c>
      <c r="J3834" s="3" t="str">
        <f t="shared" si="272"/>
        <v>5020006</v>
      </c>
    </row>
    <row r="3835" spans="2:10" s="3" customFormat="1">
      <c r="B3835" s="3" t="s">
        <v>2134</v>
      </c>
      <c r="C3835" s="8">
        <v>2</v>
      </c>
      <c r="D3835" s="3" t="s">
        <v>2193</v>
      </c>
      <c r="E3835" s="11" t="s">
        <v>11</v>
      </c>
      <c r="F3835" s="10">
        <v>1.0319999999999999E-3</v>
      </c>
      <c r="G3835" s="12">
        <f>ROUND(G$3*F3835,0)</f>
        <v>297</v>
      </c>
      <c r="H3835" s="13">
        <f>ROUND(G3835/2,0)</f>
        <v>149</v>
      </c>
      <c r="I3835" s="12">
        <f>G3835-H3835</f>
        <v>148</v>
      </c>
      <c r="J3835" s="3" t="str">
        <f t="shared" si="272"/>
        <v>5020006</v>
      </c>
    </row>
    <row r="3836" spans="2:10" s="3" customFormat="1">
      <c r="B3836" s="3" t="s">
        <v>2134</v>
      </c>
      <c r="C3836" s="8">
        <v>2</v>
      </c>
      <c r="D3836" s="3" t="s">
        <v>2194</v>
      </c>
      <c r="E3836" s="11" t="s">
        <v>183</v>
      </c>
      <c r="F3836" s="11"/>
      <c r="G3836" s="9"/>
      <c r="H3836" s="11"/>
      <c r="I3836" s="11"/>
      <c r="J3836" s="3" t="str">
        <f t="shared" si="272"/>
        <v>5020007</v>
      </c>
    </row>
    <row r="3837" spans="2:10" s="3" customFormat="1">
      <c r="B3837" s="3" t="s">
        <v>2134</v>
      </c>
      <c r="C3837" s="8">
        <v>2</v>
      </c>
      <c r="D3837" s="3" t="s">
        <v>2194</v>
      </c>
      <c r="E3837" s="11" t="s">
        <v>10</v>
      </c>
      <c r="F3837" s="10">
        <v>7.6199999999999998E-4</v>
      </c>
      <c r="G3837" s="12">
        <f>ROUND(G$3*F3837,0)</f>
        <v>219</v>
      </c>
      <c r="H3837" s="13">
        <f>ROUND(G3837/2,0)</f>
        <v>110</v>
      </c>
      <c r="I3837" s="12">
        <f>G3837-H3837</f>
        <v>109</v>
      </c>
      <c r="J3837" s="3" t="str">
        <f t="shared" si="272"/>
        <v>5020007</v>
      </c>
    </row>
    <row r="3838" spans="2:10" s="3" customFormat="1">
      <c r="B3838" s="3" t="s">
        <v>2134</v>
      </c>
      <c r="C3838" s="8">
        <v>2</v>
      </c>
      <c r="D3838" s="3" t="s">
        <v>2194</v>
      </c>
      <c r="E3838" s="11" t="s">
        <v>11</v>
      </c>
      <c r="F3838" s="10">
        <v>2.63E-4</v>
      </c>
      <c r="G3838" s="12">
        <f>ROUND(G$3*F3838,0)</f>
        <v>76</v>
      </c>
      <c r="H3838" s="13">
        <f>ROUND(G3838/2,0)</f>
        <v>38</v>
      </c>
      <c r="I3838" s="12">
        <f>G3838-H3838</f>
        <v>38</v>
      </c>
      <c r="J3838" s="3" t="str">
        <f t="shared" si="272"/>
        <v>5020007</v>
      </c>
    </row>
    <row r="3839" spans="2:10" s="3" customFormat="1">
      <c r="B3839" s="3" t="s">
        <v>2134</v>
      </c>
      <c r="C3839" s="8">
        <v>2</v>
      </c>
      <c r="D3839" s="3" t="s">
        <v>2195</v>
      </c>
      <c r="E3839" s="11" t="s">
        <v>20</v>
      </c>
      <c r="F3839" s="11"/>
      <c r="G3839" s="9"/>
      <c r="H3839" s="11"/>
      <c r="I3839" s="11"/>
      <c r="J3839" s="3" t="str">
        <f t="shared" si="272"/>
        <v>5020008</v>
      </c>
    </row>
    <row r="3840" spans="2:10" s="3" customFormat="1">
      <c r="B3840" s="3" t="s">
        <v>2134</v>
      </c>
      <c r="C3840" s="8">
        <v>2</v>
      </c>
      <c r="D3840" s="3" t="s">
        <v>2195</v>
      </c>
      <c r="E3840" s="11" t="s">
        <v>10</v>
      </c>
      <c r="F3840" s="10">
        <v>4.9870000000000001E-3</v>
      </c>
      <c r="G3840" s="12">
        <f>ROUND(G$3*F3840,0)</f>
        <v>1435</v>
      </c>
      <c r="H3840" s="13">
        <f>ROUND(G3840/2,0)</f>
        <v>718</v>
      </c>
      <c r="I3840" s="12">
        <f>G3840-H3840</f>
        <v>717</v>
      </c>
      <c r="J3840" s="3" t="str">
        <f t="shared" si="272"/>
        <v>5020008</v>
      </c>
    </row>
    <row r="3841" spans="2:10" s="3" customFormat="1">
      <c r="B3841" s="3" t="s">
        <v>2134</v>
      </c>
      <c r="C3841" s="8">
        <v>2</v>
      </c>
      <c r="D3841" s="3" t="s">
        <v>2195</v>
      </c>
      <c r="E3841" s="11" t="s">
        <v>11</v>
      </c>
      <c r="F3841" s="10">
        <v>6.3400000000000001E-4</v>
      </c>
      <c r="G3841" s="12">
        <f>ROUND(G$3*F3841,0)</f>
        <v>182</v>
      </c>
      <c r="H3841" s="13">
        <f>ROUND(G3841/2,0)</f>
        <v>91</v>
      </c>
      <c r="I3841" s="12">
        <f>G3841-H3841</f>
        <v>91</v>
      </c>
      <c r="J3841" s="3" t="str">
        <f t="shared" si="272"/>
        <v>5020008</v>
      </c>
    </row>
    <row r="3842" spans="2:10" s="3" customFormat="1">
      <c r="B3842" s="3" t="s">
        <v>2134</v>
      </c>
      <c r="C3842" s="8">
        <v>2</v>
      </c>
      <c r="D3842" s="3" t="s">
        <v>2196</v>
      </c>
      <c r="E3842" s="11" t="s">
        <v>1192</v>
      </c>
      <c r="F3842" s="11"/>
      <c r="G3842" s="9"/>
      <c r="H3842" s="11"/>
      <c r="I3842" s="11"/>
      <c r="J3842" s="3" t="str">
        <f t="shared" si="272"/>
        <v>5020009</v>
      </c>
    </row>
    <row r="3843" spans="2:10" s="3" customFormat="1">
      <c r="B3843" s="3" t="s">
        <v>2134</v>
      </c>
      <c r="C3843" s="8">
        <v>2</v>
      </c>
      <c r="D3843" s="3" t="s">
        <v>2196</v>
      </c>
      <c r="E3843" s="11" t="s">
        <v>10</v>
      </c>
      <c r="F3843" s="10">
        <v>1.122E-3</v>
      </c>
      <c r="G3843" s="12">
        <f>ROUND(G$3*F3843,0)</f>
        <v>323</v>
      </c>
      <c r="H3843" s="13">
        <f>ROUND(G3843/2,0)</f>
        <v>162</v>
      </c>
      <c r="I3843" s="12">
        <f>G3843-H3843</f>
        <v>161</v>
      </c>
      <c r="J3843" s="3" t="str">
        <f t="shared" si="272"/>
        <v>5020009</v>
      </c>
    </row>
    <row r="3844" spans="2:10" s="3" customFormat="1">
      <c r="B3844" s="3" t="s">
        <v>2134</v>
      </c>
      <c r="C3844" s="8">
        <v>2</v>
      </c>
      <c r="D3844" s="3" t="s">
        <v>2196</v>
      </c>
      <c r="E3844" s="11" t="s">
        <v>11</v>
      </c>
      <c r="F3844" s="10">
        <v>1.84E-4</v>
      </c>
      <c r="G3844" s="12">
        <f>ROUND(G$3*F3844,0)</f>
        <v>53</v>
      </c>
      <c r="H3844" s="13">
        <f>ROUND(G3844/2,0)</f>
        <v>27</v>
      </c>
      <c r="I3844" s="12">
        <f>G3844-H3844</f>
        <v>26</v>
      </c>
      <c r="J3844" s="3" t="str">
        <f t="shared" ref="J3844:J3907" si="276">B3844&amp;C3844&amp;D3844</f>
        <v>5020009</v>
      </c>
    </row>
    <row r="3845" spans="2:10" s="3" customFormat="1">
      <c r="B3845" s="3" t="s">
        <v>2134</v>
      </c>
      <c r="C3845" s="8">
        <v>2</v>
      </c>
      <c r="D3845" s="3" t="s">
        <v>2197</v>
      </c>
      <c r="E3845" s="11" t="s">
        <v>1193</v>
      </c>
      <c r="F3845" s="11"/>
      <c r="G3845" s="9"/>
      <c r="H3845" s="11"/>
      <c r="I3845" s="11"/>
      <c r="J3845" s="3" t="str">
        <f t="shared" si="276"/>
        <v>5020010</v>
      </c>
    </row>
    <row r="3846" spans="2:10" s="3" customFormat="1">
      <c r="B3846" s="3" t="s">
        <v>2134</v>
      </c>
      <c r="C3846" s="8">
        <v>2</v>
      </c>
      <c r="D3846" s="3" t="s">
        <v>2197</v>
      </c>
      <c r="E3846" s="11" t="s">
        <v>10</v>
      </c>
      <c r="F3846" s="10">
        <v>7.7999999999999999E-5</v>
      </c>
      <c r="G3846" s="12">
        <f t="shared" ref="G3846:G3854" si="277">ROUND(G$3*F3846,0)</f>
        <v>22</v>
      </c>
      <c r="H3846" s="13">
        <f t="shared" ref="H3846:H3854" si="278">ROUND(G3846/2,0)</f>
        <v>11</v>
      </c>
      <c r="I3846" s="12">
        <f t="shared" ref="I3846:I3854" si="279">G3846-H3846</f>
        <v>11</v>
      </c>
      <c r="J3846" s="3" t="str">
        <f t="shared" si="276"/>
        <v>5020010</v>
      </c>
    </row>
    <row r="3847" spans="2:10" s="3" customFormat="1">
      <c r="B3847" s="3" t="s">
        <v>2134</v>
      </c>
      <c r="C3847" s="8">
        <v>2</v>
      </c>
      <c r="D3847" s="3" t="s">
        <v>2197</v>
      </c>
      <c r="E3847" s="11" t="s">
        <v>11</v>
      </c>
      <c r="F3847" s="10">
        <v>1.4530000000000001E-3</v>
      </c>
      <c r="G3847" s="12">
        <f t="shared" si="277"/>
        <v>418</v>
      </c>
      <c r="H3847" s="13">
        <f t="shared" si="278"/>
        <v>209</v>
      </c>
      <c r="I3847" s="12">
        <f t="shared" si="279"/>
        <v>209</v>
      </c>
      <c r="J3847" s="3" t="str">
        <f t="shared" si="276"/>
        <v>5020010</v>
      </c>
    </row>
    <row r="3848" spans="2:10" s="3" customFormat="1">
      <c r="B3848" s="3" t="s">
        <v>2134</v>
      </c>
      <c r="C3848" s="8">
        <v>3</v>
      </c>
      <c r="D3848" s="3" t="s">
        <v>2284</v>
      </c>
      <c r="E3848" s="11" t="s">
        <v>1194</v>
      </c>
      <c r="F3848" s="10">
        <v>5.8999999999999998E-5</v>
      </c>
      <c r="G3848" s="12">
        <f t="shared" si="277"/>
        <v>17</v>
      </c>
      <c r="H3848" s="13">
        <f t="shared" si="278"/>
        <v>9</v>
      </c>
      <c r="I3848" s="12">
        <f t="shared" si="279"/>
        <v>8</v>
      </c>
      <c r="J3848" s="3" t="str">
        <f t="shared" si="276"/>
        <v>5030775</v>
      </c>
    </row>
    <row r="3849" spans="2:10" s="3" customFormat="1">
      <c r="B3849" s="3" t="s">
        <v>2134</v>
      </c>
      <c r="C3849" s="8">
        <v>3</v>
      </c>
      <c r="D3849" s="3" t="s">
        <v>2822</v>
      </c>
      <c r="E3849" s="11" t="s">
        <v>1195</v>
      </c>
      <c r="F3849" s="10">
        <v>1.206E-2</v>
      </c>
      <c r="G3849" s="12">
        <f t="shared" si="277"/>
        <v>3470</v>
      </c>
      <c r="H3849" s="13">
        <f t="shared" si="278"/>
        <v>1735</v>
      </c>
      <c r="I3849" s="12">
        <f t="shared" si="279"/>
        <v>1735</v>
      </c>
      <c r="J3849" s="3" t="str">
        <f t="shared" si="276"/>
        <v>5030776</v>
      </c>
    </row>
    <row r="3850" spans="2:10" s="3" customFormat="1">
      <c r="B3850" s="3" t="s">
        <v>2134</v>
      </c>
      <c r="C3850" s="8">
        <v>3</v>
      </c>
      <c r="D3850" s="3" t="s">
        <v>2823</v>
      </c>
      <c r="E3850" s="11" t="s">
        <v>1196</v>
      </c>
      <c r="F3850" s="10">
        <v>3.5099999999999999E-2</v>
      </c>
      <c r="G3850" s="12">
        <f t="shared" si="277"/>
        <v>10099</v>
      </c>
      <c r="H3850" s="13">
        <f t="shared" si="278"/>
        <v>5050</v>
      </c>
      <c r="I3850" s="12">
        <f t="shared" si="279"/>
        <v>5049</v>
      </c>
      <c r="J3850" s="3" t="str">
        <f t="shared" si="276"/>
        <v>5030777</v>
      </c>
    </row>
    <row r="3851" spans="2:10" s="3" customFormat="1">
      <c r="B3851" s="3" t="s">
        <v>2134</v>
      </c>
      <c r="C3851" s="8">
        <v>3</v>
      </c>
      <c r="D3851" s="3" t="s">
        <v>2824</v>
      </c>
      <c r="E3851" s="11" t="s">
        <v>1197</v>
      </c>
      <c r="F3851" s="10">
        <v>1.341E-3</v>
      </c>
      <c r="G3851" s="12">
        <f t="shared" si="277"/>
        <v>386</v>
      </c>
      <c r="H3851" s="13">
        <f t="shared" si="278"/>
        <v>193</v>
      </c>
      <c r="I3851" s="12">
        <f t="shared" si="279"/>
        <v>193</v>
      </c>
      <c r="J3851" s="3" t="str">
        <f t="shared" si="276"/>
        <v>5030778</v>
      </c>
    </row>
    <row r="3852" spans="2:10" s="3" customFormat="1">
      <c r="B3852" s="3" t="s">
        <v>2134</v>
      </c>
      <c r="C3852" s="8">
        <v>3</v>
      </c>
      <c r="D3852" s="3" t="s">
        <v>2825</v>
      </c>
      <c r="E3852" s="11" t="s">
        <v>1198</v>
      </c>
      <c r="F3852" s="10">
        <v>3.6400000000000001E-4</v>
      </c>
      <c r="G3852" s="12">
        <f t="shared" si="277"/>
        <v>105</v>
      </c>
      <c r="H3852" s="13">
        <f t="shared" si="278"/>
        <v>53</v>
      </c>
      <c r="I3852" s="12">
        <f t="shared" si="279"/>
        <v>52</v>
      </c>
      <c r="J3852" s="3" t="str">
        <f t="shared" si="276"/>
        <v>5030779</v>
      </c>
    </row>
    <row r="3853" spans="2:10" s="3" customFormat="1">
      <c r="B3853" s="3" t="s">
        <v>2134</v>
      </c>
      <c r="C3853" s="8">
        <v>3</v>
      </c>
      <c r="D3853" s="3" t="s">
        <v>2821</v>
      </c>
      <c r="E3853" s="11" t="s">
        <v>1199</v>
      </c>
      <c r="F3853" s="10">
        <v>9.4527E-2</v>
      </c>
      <c r="G3853" s="12">
        <f t="shared" si="277"/>
        <v>27198</v>
      </c>
      <c r="H3853" s="13">
        <f t="shared" si="278"/>
        <v>13599</v>
      </c>
      <c r="I3853" s="12">
        <f t="shared" si="279"/>
        <v>13599</v>
      </c>
      <c r="J3853" s="3" t="str">
        <f t="shared" si="276"/>
        <v>5030412</v>
      </c>
    </row>
    <row r="3854" spans="2:10" s="3" customFormat="1">
      <c r="B3854" s="3" t="s">
        <v>2134</v>
      </c>
      <c r="C3854" s="8">
        <v>4</v>
      </c>
      <c r="D3854" s="3" t="s">
        <v>2826</v>
      </c>
      <c r="E3854" s="11" t="s">
        <v>1200</v>
      </c>
      <c r="F3854" s="10">
        <v>4.5342E-2</v>
      </c>
      <c r="G3854" s="9">
        <f t="shared" si="277"/>
        <v>13046</v>
      </c>
      <c r="H3854" s="11">
        <f t="shared" si="278"/>
        <v>6523</v>
      </c>
      <c r="I3854" s="9">
        <f t="shared" si="279"/>
        <v>6523</v>
      </c>
      <c r="J3854" s="3" t="str">
        <f t="shared" si="276"/>
        <v>5045470</v>
      </c>
    </row>
    <row r="3855" spans="2:10" s="3" customFormat="1">
      <c r="B3855" s="3" t="s">
        <v>2134</v>
      </c>
      <c r="C3855" s="8">
        <v>4</v>
      </c>
      <c r="D3855" s="3" t="s">
        <v>2826</v>
      </c>
      <c r="E3855" s="11" t="s">
        <v>28</v>
      </c>
      <c r="F3855" s="11"/>
      <c r="G3855" s="14">
        <v>0.41400199999999998</v>
      </c>
      <c r="H3855" s="11"/>
      <c r="I3855" s="11"/>
      <c r="J3855" s="3" t="str">
        <f t="shared" si="276"/>
        <v>5045470</v>
      </c>
    </row>
    <row r="3856" spans="2:10" s="3" customFormat="1">
      <c r="B3856" s="3" t="s">
        <v>2134</v>
      </c>
      <c r="C3856" s="8">
        <v>4</v>
      </c>
      <c r="D3856" s="3" t="s">
        <v>2826</v>
      </c>
      <c r="E3856" s="11" t="s">
        <v>29</v>
      </c>
      <c r="F3856" s="11"/>
      <c r="G3856" s="15">
        <f>ROUND(G3854*G3855,0)</f>
        <v>5401</v>
      </c>
      <c r="H3856" s="16">
        <f>ROUND(G3856/2,0)</f>
        <v>2701</v>
      </c>
      <c r="I3856" s="15">
        <f>G3856-H3856</f>
        <v>2700</v>
      </c>
      <c r="J3856" s="3" t="str">
        <f t="shared" si="276"/>
        <v>5045470</v>
      </c>
    </row>
    <row r="3857" spans="2:10" s="3" customFormat="1">
      <c r="B3857" s="3" t="s">
        <v>2134</v>
      </c>
      <c r="C3857" s="8">
        <v>4</v>
      </c>
      <c r="D3857" s="3" t="s">
        <v>2826</v>
      </c>
      <c r="E3857" s="11" t="s">
        <v>30</v>
      </c>
      <c r="F3857" s="11"/>
      <c r="G3857" s="12">
        <f>+G3854-G3856</f>
        <v>7645</v>
      </c>
      <c r="H3857" s="13">
        <f>ROUND(G3857/2,0)</f>
        <v>3823</v>
      </c>
      <c r="I3857" s="12">
        <f>G3857-H3857</f>
        <v>3822</v>
      </c>
      <c r="J3857" s="3" t="str">
        <f t="shared" si="276"/>
        <v>5045470</v>
      </c>
    </row>
    <row r="3858" spans="2:10" s="3" customFormat="1">
      <c r="B3858" s="3" t="s">
        <v>2134</v>
      </c>
      <c r="C3858" s="8">
        <v>4</v>
      </c>
      <c r="D3858" s="3" t="s">
        <v>2827</v>
      </c>
      <c r="E3858" s="11" t="s">
        <v>1201</v>
      </c>
      <c r="F3858" s="10">
        <v>0.102782</v>
      </c>
      <c r="G3858" s="9">
        <f>ROUND(G$3*F3858,0)</f>
        <v>29573</v>
      </c>
      <c r="H3858" s="11">
        <f>ROUND(G3858/2,0)</f>
        <v>14787</v>
      </c>
      <c r="I3858" s="9">
        <f>G3858-H3858</f>
        <v>14786</v>
      </c>
      <c r="J3858" s="3" t="str">
        <f t="shared" si="276"/>
        <v>5045480</v>
      </c>
    </row>
    <row r="3859" spans="2:10" s="3" customFormat="1">
      <c r="B3859" s="3" t="s">
        <v>2134</v>
      </c>
      <c r="C3859" s="8">
        <v>4</v>
      </c>
      <c r="D3859" s="3" t="s">
        <v>2827</v>
      </c>
      <c r="E3859" s="11" t="s">
        <v>28</v>
      </c>
      <c r="F3859" s="11"/>
      <c r="G3859" s="14">
        <v>0.495645</v>
      </c>
      <c r="H3859" s="11"/>
      <c r="I3859" s="11"/>
      <c r="J3859" s="3" t="str">
        <f t="shared" si="276"/>
        <v>5045480</v>
      </c>
    </row>
    <row r="3860" spans="2:10" s="3" customFormat="1">
      <c r="B3860" s="3" t="s">
        <v>2134</v>
      </c>
      <c r="C3860" s="8">
        <v>4</v>
      </c>
      <c r="D3860" s="3" t="s">
        <v>2827</v>
      </c>
      <c r="E3860" s="11" t="s">
        <v>29</v>
      </c>
      <c r="F3860" s="11"/>
      <c r="G3860" s="15">
        <f>ROUND(G3858*G3859,0)</f>
        <v>14658</v>
      </c>
      <c r="H3860" s="16">
        <f>ROUND(G3860/2,0)</f>
        <v>7329</v>
      </c>
      <c r="I3860" s="15">
        <f>G3860-H3860</f>
        <v>7329</v>
      </c>
      <c r="J3860" s="3" t="str">
        <f t="shared" si="276"/>
        <v>5045480</v>
      </c>
    </row>
    <row r="3861" spans="2:10" s="3" customFormat="1">
      <c r="B3861" s="3" t="s">
        <v>2134</v>
      </c>
      <c r="C3861" s="8">
        <v>4</v>
      </c>
      <c r="D3861" s="3" t="s">
        <v>2827</v>
      </c>
      <c r="E3861" s="11" t="s">
        <v>30</v>
      </c>
      <c r="F3861" s="11"/>
      <c r="G3861" s="12">
        <f>+G3858-G3860</f>
        <v>14915</v>
      </c>
      <c r="H3861" s="13">
        <f>ROUND(G3861/2,0)</f>
        <v>7458</v>
      </c>
      <c r="I3861" s="12">
        <f>G3861-H3861</f>
        <v>7457</v>
      </c>
      <c r="J3861" s="3" t="str">
        <f t="shared" si="276"/>
        <v>5045480</v>
      </c>
    </row>
    <row r="3862" spans="2:10" s="3" customFormat="1">
      <c r="B3862" s="3" t="s">
        <v>2134</v>
      </c>
      <c r="C3862" s="8">
        <v>4</v>
      </c>
      <c r="D3862" s="3" t="s">
        <v>2458</v>
      </c>
      <c r="E3862" s="11" t="s">
        <v>557</v>
      </c>
      <c r="F3862" s="10">
        <v>5.6209000000000002E-2</v>
      </c>
      <c r="G3862" s="9">
        <f>ROUND(G$3*F3862,0)</f>
        <v>16173</v>
      </c>
      <c r="H3862" s="11">
        <f>ROUND(G3862/2,0)</f>
        <v>8087</v>
      </c>
      <c r="I3862" s="9">
        <f>G3862-H3862</f>
        <v>8086</v>
      </c>
      <c r="J3862" s="3" t="str">
        <f t="shared" si="276"/>
        <v>5045455</v>
      </c>
    </row>
    <row r="3863" spans="2:10" s="3" customFormat="1">
      <c r="B3863" s="3" t="s">
        <v>2134</v>
      </c>
      <c r="C3863" s="8">
        <v>4</v>
      </c>
      <c r="D3863" s="3" t="s">
        <v>2458</v>
      </c>
      <c r="E3863" s="11" t="s">
        <v>28</v>
      </c>
      <c r="F3863" s="11"/>
      <c r="G3863" s="14">
        <v>0.48541400000000001</v>
      </c>
      <c r="H3863" s="11"/>
      <c r="I3863" s="11"/>
      <c r="J3863" s="3" t="str">
        <f t="shared" si="276"/>
        <v>5045455</v>
      </c>
    </row>
    <row r="3864" spans="2:10" s="3" customFormat="1">
      <c r="B3864" s="3" t="s">
        <v>2134</v>
      </c>
      <c r="C3864" s="8">
        <v>4</v>
      </c>
      <c r="D3864" s="3" t="s">
        <v>2458</v>
      </c>
      <c r="E3864" s="11" t="s">
        <v>29</v>
      </c>
      <c r="F3864" s="11"/>
      <c r="G3864" s="15">
        <f>ROUND(G3862*G3863,0)</f>
        <v>7851</v>
      </c>
      <c r="H3864" s="16">
        <f>ROUND(G3864/2,0)</f>
        <v>3926</v>
      </c>
      <c r="I3864" s="15">
        <f>G3864-H3864</f>
        <v>3925</v>
      </c>
      <c r="J3864" s="3" t="str">
        <f t="shared" si="276"/>
        <v>5045455</v>
      </c>
    </row>
    <row r="3865" spans="2:10" s="3" customFormat="1">
      <c r="B3865" s="3" t="s">
        <v>2134</v>
      </c>
      <c r="C3865" s="8">
        <v>4</v>
      </c>
      <c r="D3865" s="3" t="s">
        <v>2458</v>
      </c>
      <c r="E3865" s="11" t="s">
        <v>30</v>
      </c>
      <c r="F3865" s="11"/>
      <c r="G3865" s="12">
        <f>+G3862-G3864</f>
        <v>8322</v>
      </c>
      <c r="H3865" s="13">
        <f>ROUND(G3865/2,0)</f>
        <v>4161</v>
      </c>
      <c r="I3865" s="12">
        <f>G3865-H3865</f>
        <v>4161</v>
      </c>
      <c r="J3865" s="3" t="str">
        <f t="shared" si="276"/>
        <v>5045455</v>
      </c>
    </row>
    <row r="3866" spans="2:10" s="3" customFormat="1">
      <c r="B3866" s="3" t="s">
        <v>2134</v>
      </c>
      <c r="C3866" s="8">
        <v>4</v>
      </c>
      <c r="D3866" s="3" t="s">
        <v>2759</v>
      </c>
      <c r="E3866" s="11" t="s">
        <v>1087</v>
      </c>
      <c r="F3866" s="10">
        <v>2.7023999999999999E-2</v>
      </c>
      <c r="G3866" s="9">
        <f>ROUND(G$3*F3866,0)</f>
        <v>7775</v>
      </c>
      <c r="H3866" s="11">
        <f>ROUND(G3866/2,0)</f>
        <v>3888</v>
      </c>
      <c r="I3866" s="9">
        <f>G3866-H3866</f>
        <v>3887</v>
      </c>
      <c r="J3866" s="3" t="str">
        <f t="shared" si="276"/>
        <v>5047150</v>
      </c>
    </row>
    <row r="3867" spans="2:10" s="3" customFormat="1">
      <c r="B3867" s="3" t="s">
        <v>2134</v>
      </c>
      <c r="C3867" s="8">
        <v>4</v>
      </c>
      <c r="D3867" s="3" t="s">
        <v>2759</v>
      </c>
      <c r="E3867" s="11" t="s">
        <v>28</v>
      </c>
      <c r="F3867" s="11"/>
      <c r="G3867" s="14">
        <v>0.41838999999999998</v>
      </c>
      <c r="H3867" s="11"/>
      <c r="I3867" s="11"/>
      <c r="J3867" s="3" t="str">
        <f t="shared" si="276"/>
        <v>5047150</v>
      </c>
    </row>
    <row r="3868" spans="2:10" s="3" customFormat="1">
      <c r="B3868" s="3" t="s">
        <v>2134</v>
      </c>
      <c r="C3868" s="8">
        <v>4</v>
      </c>
      <c r="D3868" s="3" t="s">
        <v>2759</v>
      </c>
      <c r="E3868" s="11" t="s">
        <v>29</v>
      </c>
      <c r="F3868" s="11"/>
      <c r="G3868" s="15">
        <f>ROUND(G3866*G3867,0)</f>
        <v>3253</v>
      </c>
      <c r="H3868" s="16">
        <f>ROUND(G3868/2,0)</f>
        <v>1627</v>
      </c>
      <c r="I3868" s="15">
        <f>G3868-H3868</f>
        <v>1626</v>
      </c>
      <c r="J3868" s="3" t="str">
        <f t="shared" si="276"/>
        <v>5047150</v>
      </c>
    </row>
    <row r="3869" spans="2:10" s="3" customFormat="1">
      <c r="B3869" s="3" t="s">
        <v>2134</v>
      </c>
      <c r="C3869" s="8">
        <v>4</v>
      </c>
      <c r="D3869" s="3" t="s">
        <v>2759</v>
      </c>
      <c r="E3869" s="11" t="s">
        <v>30</v>
      </c>
      <c r="F3869" s="11"/>
      <c r="G3869" s="12">
        <f>+G3866-G3868</f>
        <v>4522</v>
      </c>
      <c r="H3869" s="13">
        <f>ROUND(G3869/2,0)</f>
        <v>2261</v>
      </c>
      <c r="I3869" s="12">
        <f>G3869-H3869</f>
        <v>2261</v>
      </c>
      <c r="J3869" s="3" t="str">
        <f t="shared" si="276"/>
        <v>5047150</v>
      </c>
    </row>
    <row r="3870" spans="2:10" s="3" customFormat="1">
      <c r="B3870" s="3" t="s">
        <v>2134</v>
      </c>
      <c r="C3870" s="8">
        <v>4</v>
      </c>
      <c r="D3870" s="3" t="s">
        <v>2828</v>
      </c>
      <c r="E3870" s="11" t="s">
        <v>2829</v>
      </c>
      <c r="F3870" s="10">
        <v>0.27815899999999999</v>
      </c>
      <c r="G3870" s="9">
        <f>ROUND(G$3*F3870,0)</f>
        <v>80033</v>
      </c>
      <c r="H3870" s="11">
        <f>ROUND(G3870/2,0)</f>
        <v>40017</v>
      </c>
      <c r="I3870" s="9">
        <f>G3870-H3870</f>
        <v>40016</v>
      </c>
      <c r="J3870" s="3" t="str">
        <f t="shared" si="276"/>
        <v>5045485</v>
      </c>
    </row>
    <row r="3871" spans="2:10" s="3" customFormat="1">
      <c r="B3871" s="3" t="s">
        <v>2134</v>
      </c>
      <c r="C3871" s="8">
        <v>4</v>
      </c>
      <c r="D3871" s="3" t="s">
        <v>2828</v>
      </c>
      <c r="E3871" s="11" t="s">
        <v>28</v>
      </c>
      <c r="F3871" s="11"/>
      <c r="G3871" s="14">
        <v>0.455814</v>
      </c>
      <c r="H3871" s="11"/>
      <c r="I3871" s="11"/>
      <c r="J3871" s="3" t="str">
        <f t="shared" si="276"/>
        <v>5045485</v>
      </c>
    </row>
    <row r="3872" spans="2:10" s="3" customFormat="1">
      <c r="B3872" s="3" t="s">
        <v>2134</v>
      </c>
      <c r="C3872" s="8">
        <v>4</v>
      </c>
      <c r="D3872" s="3" t="s">
        <v>2828</v>
      </c>
      <c r="E3872" s="11" t="s">
        <v>29</v>
      </c>
      <c r="F3872" s="11"/>
      <c r="G3872" s="15">
        <f>ROUND(G3870*G3871,0)</f>
        <v>36480</v>
      </c>
      <c r="H3872" s="16">
        <f>ROUND(G3872/2,0)</f>
        <v>18240</v>
      </c>
      <c r="I3872" s="15">
        <f>G3872-H3872</f>
        <v>18240</v>
      </c>
      <c r="J3872" s="3" t="str">
        <f t="shared" si="276"/>
        <v>5045485</v>
      </c>
    </row>
    <row r="3873" spans="2:10" s="3" customFormat="1">
      <c r="B3873" s="3" t="s">
        <v>2134</v>
      </c>
      <c r="C3873" s="8">
        <v>4</v>
      </c>
      <c r="D3873" s="3" t="s">
        <v>2828</v>
      </c>
      <c r="E3873" s="11" t="s">
        <v>30</v>
      </c>
      <c r="F3873" s="11"/>
      <c r="G3873" s="12">
        <f>+G3870-G3872</f>
        <v>43553</v>
      </c>
      <c r="H3873" s="13">
        <f>ROUND(G3873/2,0)</f>
        <v>21777</v>
      </c>
      <c r="I3873" s="12">
        <f>G3873-H3873</f>
        <v>21776</v>
      </c>
      <c r="J3873" s="3" t="str">
        <f t="shared" si="276"/>
        <v>5045485</v>
      </c>
    </row>
    <row r="3874" spans="2:10" s="3" customFormat="1">
      <c r="B3874" s="3" t="s">
        <v>2134</v>
      </c>
      <c r="C3874" s="8">
        <v>4</v>
      </c>
      <c r="D3874" s="3" t="s">
        <v>2684</v>
      </c>
      <c r="E3874" s="11" t="s">
        <v>969</v>
      </c>
      <c r="F3874" s="10">
        <v>5.6895000000000001E-2</v>
      </c>
      <c r="G3874" s="9">
        <f>ROUND(G$3*F3874,0)</f>
        <v>16370</v>
      </c>
      <c r="H3874" s="11">
        <f>ROUND(G3874/2,0)</f>
        <v>8185</v>
      </c>
      <c r="I3874" s="9">
        <f>G3874-H3874</f>
        <v>8185</v>
      </c>
      <c r="J3874" s="3" t="str">
        <f t="shared" si="276"/>
        <v>5045495</v>
      </c>
    </row>
    <row r="3875" spans="2:10" s="3" customFormat="1">
      <c r="B3875" s="3" t="s">
        <v>2134</v>
      </c>
      <c r="C3875" s="8">
        <v>4</v>
      </c>
      <c r="D3875" s="3" t="s">
        <v>2684</v>
      </c>
      <c r="E3875" s="11" t="s">
        <v>28</v>
      </c>
      <c r="F3875" s="11"/>
      <c r="G3875" s="14">
        <v>0.50257799999999997</v>
      </c>
      <c r="H3875" s="11"/>
      <c r="I3875" s="11"/>
      <c r="J3875" s="3" t="str">
        <f t="shared" si="276"/>
        <v>5045495</v>
      </c>
    </row>
    <row r="3876" spans="2:10" s="3" customFormat="1">
      <c r="B3876" s="3" t="s">
        <v>2134</v>
      </c>
      <c r="C3876" s="8">
        <v>4</v>
      </c>
      <c r="D3876" s="3" t="s">
        <v>2684</v>
      </c>
      <c r="E3876" s="11" t="s">
        <v>29</v>
      </c>
      <c r="F3876" s="11"/>
      <c r="G3876" s="15">
        <f>ROUND(G3874*G3875,0)</f>
        <v>8227</v>
      </c>
      <c r="H3876" s="16">
        <f>ROUND(G3876/2,0)</f>
        <v>4114</v>
      </c>
      <c r="I3876" s="15">
        <f>G3876-H3876</f>
        <v>4113</v>
      </c>
      <c r="J3876" s="3" t="str">
        <f t="shared" si="276"/>
        <v>5045495</v>
      </c>
    </row>
    <row r="3877" spans="2:10" s="3" customFormat="1">
      <c r="B3877" s="3" t="s">
        <v>2134</v>
      </c>
      <c r="C3877" s="8">
        <v>4</v>
      </c>
      <c r="D3877" s="3" t="s">
        <v>2684</v>
      </c>
      <c r="E3877" s="11" t="s">
        <v>30</v>
      </c>
      <c r="F3877" s="11"/>
      <c r="G3877" s="12">
        <f>+G3874-G3876</f>
        <v>8143</v>
      </c>
      <c r="H3877" s="13">
        <f>ROUND(G3877/2,0)</f>
        <v>4072</v>
      </c>
      <c r="I3877" s="12">
        <f>G3877-H3877</f>
        <v>4071</v>
      </c>
      <c r="J3877" s="3" t="str">
        <f t="shared" si="276"/>
        <v>5045495</v>
      </c>
    </row>
    <row r="3878" spans="2:10" s="3" customFormat="1">
      <c r="B3878" s="3" t="s">
        <v>2134</v>
      </c>
      <c r="C3878" s="8">
        <v>4</v>
      </c>
      <c r="D3878" s="3" t="s">
        <v>2830</v>
      </c>
      <c r="E3878" s="11" t="s">
        <v>1203</v>
      </c>
      <c r="F3878" s="10">
        <v>4.6542E-2</v>
      </c>
      <c r="G3878" s="9">
        <f>ROUND(G$3*F3878,0)</f>
        <v>13391</v>
      </c>
      <c r="H3878" s="11">
        <f>ROUND(G3878/2,0)</f>
        <v>6696</v>
      </c>
      <c r="I3878" s="9">
        <f>G3878-H3878</f>
        <v>6695</v>
      </c>
      <c r="J3878" s="3" t="str">
        <f t="shared" si="276"/>
        <v>5047215</v>
      </c>
    </row>
    <row r="3879" spans="2:10" s="3" customFormat="1">
      <c r="B3879" s="3" t="s">
        <v>2134</v>
      </c>
      <c r="C3879" s="8">
        <v>4</v>
      </c>
      <c r="D3879" s="3" t="s">
        <v>2830</v>
      </c>
      <c r="E3879" s="11" t="s">
        <v>28</v>
      </c>
      <c r="F3879" s="11"/>
      <c r="G3879" s="14">
        <v>0.49469099999999999</v>
      </c>
      <c r="H3879" s="11"/>
      <c r="I3879" s="11"/>
      <c r="J3879" s="3" t="str">
        <f t="shared" si="276"/>
        <v>5047215</v>
      </c>
    </row>
    <row r="3880" spans="2:10" s="3" customFormat="1">
      <c r="B3880" s="3" t="s">
        <v>2134</v>
      </c>
      <c r="C3880" s="8">
        <v>4</v>
      </c>
      <c r="D3880" s="3" t="s">
        <v>2830</v>
      </c>
      <c r="E3880" s="11" t="s">
        <v>29</v>
      </c>
      <c r="F3880" s="11"/>
      <c r="G3880" s="15">
        <f>ROUND(G3878*G3879,0)</f>
        <v>6624</v>
      </c>
      <c r="H3880" s="16">
        <f t="shared" ref="H3880:H3887" si="280">ROUND(G3880/2,0)</f>
        <v>3312</v>
      </c>
      <c r="I3880" s="15">
        <f t="shared" ref="I3880:I3887" si="281">G3880-H3880</f>
        <v>3312</v>
      </c>
      <c r="J3880" s="3" t="str">
        <f t="shared" si="276"/>
        <v>5047215</v>
      </c>
    </row>
    <row r="3881" spans="2:10" s="3" customFormat="1">
      <c r="B3881" s="3" t="s">
        <v>2134</v>
      </c>
      <c r="C3881" s="8">
        <v>4</v>
      </c>
      <c r="D3881" s="3" t="s">
        <v>2830</v>
      </c>
      <c r="E3881" s="11" t="s">
        <v>30</v>
      </c>
      <c r="F3881" s="11"/>
      <c r="G3881" s="12">
        <f>+G3878-G3880</f>
        <v>6767</v>
      </c>
      <c r="H3881" s="13">
        <f t="shared" si="280"/>
        <v>3384</v>
      </c>
      <c r="I3881" s="12">
        <f t="shared" si="281"/>
        <v>3383</v>
      </c>
      <c r="J3881" s="3" t="str">
        <f t="shared" si="276"/>
        <v>5047215</v>
      </c>
    </row>
    <row r="3882" spans="2:10" s="3" customFormat="1">
      <c r="B3882" s="3" t="s">
        <v>2134</v>
      </c>
      <c r="C3882" s="8">
        <v>5</v>
      </c>
      <c r="D3882" s="3" t="s">
        <v>2831</v>
      </c>
      <c r="E3882" s="11" t="s">
        <v>1204</v>
      </c>
      <c r="F3882" s="10">
        <v>1.4339999999999999E-3</v>
      </c>
      <c r="G3882" s="120">
        <f>ROUND(G$3*F3882,0)</f>
        <v>413</v>
      </c>
      <c r="H3882" s="120">
        <f t="shared" si="280"/>
        <v>207</v>
      </c>
      <c r="I3882" s="120">
        <f t="shared" si="281"/>
        <v>206</v>
      </c>
      <c r="J3882" s="3" t="str">
        <f t="shared" si="276"/>
        <v>5050145</v>
      </c>
    </row>
    <row r="3883" spans="2:10" s="3" customFormat="1">
      <c r="B3883" s="3" t="s">
        <v>2134</v>
      </c>
      <c r="C3883" s="8">
        <v>5</v>
      </c>
      <c r="D3883" s="3" t="s">
        <v>2832</v>
      </c>
      <c r="E3883" s="11" t="s">
        <v>1205</v>
      </c>
      <c r="F3883" s="10">
        <v>1.8289999999999999E-3</v>
      </c>
      <c r="G3883" s="120">
        <f>ROUND(G$3*F3883,0)</f>
        <v>526</v>
      </c>
      <c r="H3883" s="120">
        <f t="shared" si="280"/>
        <v>263</v>
      </c>
      <c r="I3883" s="120">
        <f t="shared" si="281"/>
        <v>263</v>
      </c>
      <c r="J3883" s="3" t="str">
        <f t="shared" si="276"/>
        <v>5050146</v>
      </c>
    </row>
    <row r="3884" spans="2:10" s="3" customFormat="1">
      <c r="B3884" s="3" t="s">
        <v>2134</v>
      </c>
      <c r="C3884" s="8">
        <v>5</v>
      </c>
      <c r="D3884" s="3" t="s">
        <v>2833</v>
      </c>
      <c r="E3884" s="11" t="s">
        <v>1206</v>
      </c>
      <c r="F3884" s="10">
        <v>1.0571000000000001E-2</v>
      </c>
      <c r="G3884" s="120">
        <f>ROUND(G$3*F3884,0)</f>
        <v>3042</v>
      </c>
      <c r="H3884" s="120">
        <f t="shared" si="280"/>
        <v>1521</v>
      </c>
      <c r="I3884" s="120">
        <f t="shared" si="281"/>
        <v>1521</v>
      </c>
      <c r="J3884" s="3" t="str">
        <f t="shared" si="276"/>
        <v>5050147</v>
      </c>
    </row>
    <row r="3885" spans="2:10" s="3" customFormat="1">
      <c r="B3885" s="3" t="s">
        <v>2134</v>
      </c>
      <c r="C3885" s="8">
        <v>5</v>
      </c>
      <c r="D3885" s="3" t="s">
        <v>2834</v>
      </c>
      <c r="E3885" s="11" t="s">
        <v>1207</v>
      </c>
      <c r="F3885" s="10">
        <v>4.8710000000000003E-3</v>
      </c>
      <c r="G3885" s="120">
        <f>ROUND(G$3*F3885,0)</f>
        <v>1401</v>
      </c>
      <c r="H3885" s="120">
        <f t="shared" si="280"/>
        <v>701</v>
      </c>
      <c r="I3885" s="120">
        <f t="shared" si="281"/>
        <v>700</v>
      </c>
      <c r="J3885" s="3" t="str">
        <f t="shared" si="276"/>
        <v>5050148</v>
      </c>
    </row>
    <row r="3886" spans="2:10" s="3" customFormat="1">
      <c r="B3886" s="3" t="s">
        <v>2134</v>
      </c>
      <c r="C3886" s="8">
        <v>5</v>
      </c>
      <c r="D3886" s="3" t="s">
        <v>2835</v>
      </c>
      <c r="E3886" s="11" t="s">
        <v>1208</v>
      </c>
      <c r="F3886" s="10">
        <v>1.7409000000000001E-2</v>
      </c>
      <c r="G3886" s="120">
        <f>ROUND(G$3*F3886,0)</f>
        <v>5009</v>
      </c>
      <c r="H3886" s="120">
        <f t="shared" si="280"/>
        <v>2505</v>
      </c>
      <c r="I3886" s="120">
        <f t="shared" si="281"/>
        <v>2504</v>
      </c>
      <c r="J3886" s="3" t="str">
        <f t="shared" si="276"/>
        <v>5050149</v>
      </c>
    </row>
    <row r="3887" spans="2:10" s="3" customFormat="1">
      <c r="B3887" s="3" t="s">
        <v>2134</v>
      </c>
      <c r="C3887" s="8">
        <v>6</v>
      </c>
      <c r="D3887" s="3" t="s">
        <v>4991</v>
      </c>
      <c r="E3887" s="11" t="s">
        <v>1209</v>
      </c>
      <c r="F3887" s="10">
        <v>5.4119999999999724E-3</v>
      </c>
      <c r="G3887" s="120">
        <f>+G3812-SUM(G3813:G3814)-SUM(G3819:G3854)-G3858-G3862-G3866-G3870-G3874-G3878-SUM(G3882:G3886)</f>
        <v>239983</v>
      </c>
      <c r="H3887" s="120">
        <f t="shared" si="280"/>
        <v>119992</v>
      </c>
      <c r="I3887" s="120">
        <f t="shared" si="281"/>
        <v>119991</v>
      </c>
      <c r="J3887" s="3" t="str">
        <f t="shared" si="276"/>
        <v>5061004</v>
      </c>
    </row>
    <row r="3888" spans="2:10" s="3" customFormat="1">
      <c r="B3888" s="3" t="s">
        <v>2134</v>
      </c>
      <c r="C3888" s="8">
        <v>0</v>
      </c>
      <c r="D3888" s="125" t="s">
        <v>2187</v>
      </c>
      <c r="E3888" s="28" t="s">
        <v>288</v>
      </c>
      <c r="F3888" s="10">
        <v>1</v>
      </c>
      <c r="G3888" s="12">
        <f>+G3813+SUM(G3816:G3853)+SUM(G3856:G3857)+SUM(G3860:G3861)+SUM(G3864:G3865)+SUM(G3868:G3869)+SUM(G3872:G3873)+SUM(G3876:G3877)+SUM(G3880:G3887)</f>
        <v>526148</v>
      </c>
      <c r="H3888" s="12">
        <f>+H3813+SUM(H3816:H3853)+SUM(H3856:H3857)+SUM(H3860:H3861)+SUM(H3864:H3865)+SUM(H3868:H3869)+SUM(H3872:H3873)+SUM(H3876:H3877)+SUM(H3880:H3887)</f>
        <v>263087</v>
      </c>
      <c r="I3888" s="12">
        <f>+I3813+SUM(I3816:I3853)+SUM(I3856:I3857)+SUM(I3860:I3861)+SUM(I3864:I3865)+SUM(I3868:I3869)+SUM(I3872:I3873)+SUM(I3876:I3877)+SUM(I3880:I3887)</f>
        <v>263061</v>
      </c>
      <c r="J3888" s="3" t="str">
        <f t="shared" si="276"/>
        <v>5000000</v>
      </c>
    </row>
    <row r="3889" spans="2:10" s="3" customFormat="1">
      <c r="B3889" s="3" t="s">
        <v>2134</v>
      </c>
      <c r="C3889" s="8">
        <v>0</v>
      </c>
      <c r="D3889" s="3" t="s">
        <v>2187</v>
      </c>
      <c r="E3889" s="18" t="s">
        <v>38</v>
      </c>
      <c r="G3889" s="19">
        <f>+G3813</f>
        <v>346</v>
      </c>
      <c r="H3889" s="19">
        <f>+H3813</f>
        <v>173</v>
      </c>
      <c r="I3889" s="19">
        <f>+I3813</f>
        <v>173</v>
      </c>
      <c r="J3889" s="3" t="str">
        <f t="shared" si="276"/>
        <v>5000000</v>
      </c>
    </row>
    <row r="3890" spans="2:10" s="3" customFormat="1">
      <c r="B3890" s="3" t="s">
        <v>2134</v>
      </c>
      <c r="C3890" s="8">
        <v>0</v>
      </c>
      <c r="D3890" s="3" t="s">
        <v>2187</v>
      </c>
      <c r="E3890" s="2" t="s">
        <v>39</v>
      </c>
      <c r="G3890" s="19">
        <f>+G3816</f>
        <v>16899</v>
      </c>
      <c r="H3890" s="19">
        <f>+H3816</f>
        <v>8450</v>
      </c>
      <c r="I3890" s="19">
        <f>+I3816</f>
        <v>8449</v>
      </c>
      <c r="J3890" s="3" t="str">
        <f t="shared" si="276"/>
        <v>5000000</v>
      </c>
    </row>
    <row r="3891" spans="2:10" s="3" customFormat="1">
      <c r="B3891" s="3" t="s">
        <v>2134</v>
      </c>
      <c r="C3891" s="8">
        <v>0</v>
      </c>
      <c r="D3891" s="3" t="s">
        <v>2187</v>
      </c>
      <c r="E3891" s="2" t="s">
        <v>40</v>
      </c>
      <c r="G3891" s="19">
        <f>+G3856+G3860+G3864+G3868+G3872+G3876+G3880</f>
        <v>82494</v>
      </c>
      <c r="H3891" s="19">
        <f>+H3856+H3860+H3864+H3868+H3872+H3876+H3880</f>
        <v>41249</v>
      </c>
      <c r="I3891" s="19">
        <f>+I3856+I3860+I3864+I3868+I3872+I3876+I3880</f>
        <v>41245</v>
      </c>
      <c r="J3891" s="3" t="str">
        <f t="shared" si="276"/>
        <v>5000000</v>
      </c>
    </row>
    <row r="3892" spans="2:10" s="3" customFormat="1">
      <c r="B3892" s="3" t="s">
        <v>2134</v>
      </c>
      <c r="C3892" s="8">
        <v>0</v>
      </c>
      <c r="D3892" s="125" t="s">
        <v>2187</v>
      </c>
      <c r="E3892" s="18" t="s">
        <v>41</v>
      </c>
      <c r="G3892" s="19">
        <f>+G3888-G3889-G3890-G3891</f>
        <v>426409</v>
      </c>
      <c r="H3892" s="19">
        <f>+H3888-H3889-H3890-H3891</f>
        <v>213215</v>
      </c>
      <c r="I3892" s="19">
        <f>+I3888-I3889-I3890-I3891</f>
        <v>213194</v>
      </c>
      <c r="J3892" s="3" t="str">
        <f t="shared" si="276"/>
        <v>5000000</v>
      </c>
    </row>
    <row r="3893" spans="2:10" ht="15.75">
      <c r="B3893" s="3" t="s">
        <v>2186</v>
      </c>
      <c r="D3893" t="s">
        <v>2186</v>
      </c>
      <c r="E3893">
        <v>0</v>
      </c>
      <c r="G3893"/>
      <c r="H3893"/>
      <c r="I3893"/>
      <c r="J3893" s="3" t="str">
        <f t="shared" si="276"/>
        <v/>
      </c>
    </row>
    <row r="3894" spans="2:10" s="3" customFormat="1">
      <c r="C3894" s="1"/>
      <c r="D3894" s="3" t="s">
        <v>2186</v>
      </c>
      <c r="E3894" s="2" t="s">
        <v>1210</v>
      </c>
      <c r="J3894" s="3" t="str">
        <f t="shared" si="276"/>
        <v/>
      </c>
    </row>
    <row r="3895" spans="2:10" s="3" customFormat="1" ht="45">
      <c r="B3895" s="3" t="s">
        <v>2186</v>
      </c>
      <c r="C3895" s="1"/>
      <c r="D3895" s="3" t="s">
        <v>2186</v>
      </c>
      <c r="E3895" s="1">
        <v>0</v>
      </c>
      <c r="F3895" s="6" t="s">
        <v>1</v>
      </c>
      <c r="G3895" s="60">
        <f>'Allocation Worksheet'!H3895</f>
        <v>0</v>
      </c>
      <c r="H3895" s="60">
        <f>'Allocation Worksheet'!H3896</f>
        <v>0</v>
      </c>
      <c r="I3895" s="60">
        <f>'Allocation Worksheet'!H3897</f>
        <v>0</v>
      </c>
      <c r="J3895" s="3" t="str">
        <f t="shared" si="276"/>
        <v/>
      </c>
    </row>
    <row r="3896" spans="2:10" s="3" customFormat="1">
      <c r="C3896" s="7" t="s">
        <v>2087</v>
      </c>
      <c r="D3896" s="3" t="s">
        <v>2186</v>
      </c>
      <c r="E3896" s="7" t="s">
        <v>3</v>
      </c>
      <c r="F3896" s="10"/>
      <c r="G3896" s="9">
        <f>'Allocation Worksheet'!$D$54</f>
        <v>130716</v>
      </c>
      <c r="H3896" s="11"/>
      <c r="I3896" s="11"/>
      <c r="J3896" s="3" t="str">
        <f t="shared" si="276"/>
        <v>UT</v>
      </c>
    </row>
    <row r="3897" spans="2:10" s="3" customFormat="1">
      <c r="B3897" s="3" t="s">
        <v>2135</v>
      </c>
      <c r="C3897" s="8">
        <v>0</v>
      </c>
      <c r="D3897" s="3" t="s">
        <v>2187</v>
      </c>
      <c r="E3897" s="11" t="s">
        <v>4</v>
      </c>
      <c r="F3897" s="10">
        <v>1.129E-3</v>
      </c>
      <c r="G3897" s="12">
        <f>ROUND(G$3*F3897,0)</f>
        <v>325</v>
      </c>
      <c r="H3897" s="13">
        <f>ROUND(G3897/2,0)</f>
        <v>163</v>
      </c>
      <c r="I3897" s="12">
        <f>G3897-H3897</f>
        <v>162</v>
      </c>
      <c r="J3897" s="3" t="str">
        <f t="shared" si="276"/>
        <v>5100000</v>
      </c>
    </row>
    <row r="3898" spans="2:10" s="3" customFormat="1">
      <c r="B3898" s="3" t="s">
        <v>2135</v>
      </c>
      <c r="C3898" s="8">
        <v>1</v>
      </c>
      <c r="D3898" s="3" t="s">
        <v>2187</v>
      </c>
      <c r="E3898" s="11" t="s">
        <v>1211</v>
      </c>
      <c r="F3898" s="10">
        <v>0.27809800000000001</v>
      </c>
      <c r="G3898" s="9">
        <f>ROUND(G$3*F3898,0)</f>
        <v>80015</v>
      </c>
      <c r="H3898" s="11">
        <f>ROUND(G3898/2,0)</f>
        <v>40008</v>
      </c>
      <c r="I3898" s="9">
        <f>G3898-H3898</f>
        <v>40007</v>
      </c>
      <c r="J3898" s="3" t="str">
        <f t="shared" si="276"/>
        <v>5110000</v>
      </c>
    </row>
    <row r="3899" spans="2:10" s="3" customFormat="1">
      <c r="B3899" s="3" t="s">
        <v>2135</v>
      </c>
      <c r="C3899" s="8">
        <v>1</v>
      </c>
      <c r="D3899" s="3" t="s">
        <v>2187</v>
      </c>
      <c r="E3899" s="11" t="s">
        <v>6</v>
      </c>
      <c r="F3899" s="11"/>
      <c r="G3899" s="14">
        <v>0.15964100000000001</v>
      </c>
      <c r="H3899" s="11"/>
      <c r="I3899" s="11"/>
      <c r="J3899" s="3" t="str">
        <f t="shared" si="276"/>
        <v>5110000</v>
      </c>
    </row>
    <row r="3900" spans="2:10" s="3" customFormat="1">
      <c r="B3900" s="3" t="s">
        <v>2135</v>
      </c>
      <c r="C3900" s="8">
        <v>1</v>
      </c>
      <c r="D3900" s="3" t="s">
        <v>2187</v>
      </c>
      <c r="E3900" s="11" t="s">
        <v>7</v>
      </c>
      <c r="F3900" s="11"/>
      <c r="G3900" s="15">
        <f>ROUND(G3898*G3899,0)</f>
        <v>12774</v>
      </c>
      <c r="H3900" s="16">
        <f>ROUND(G3900/2,0)</f>
        <v>6387</v>
      </c>
      <c r="I3900" s="15">
        <f>G3900-H3900</f>
        <v>6387</v>
      </c>
      <c r="J3900" s="3" t="str">
        <f t="shared" si="276"/>
        <v>5110000</v>
      </c>
    </row>
    <row r="3901" spans="2:10" s="3" customFormat="1">
      <c r="B3901" s="3" t="s">
        <v>2135</v>
      </c>
      <c r="C3901" s="8">
        <v>1</v>
      </c>
      <c r="D3901" s="3" t="s">
        <v>2187</v>
      </c>
      <c r="E3901" s="11" t="s">
        <v>8</v>
      </c>
      <c r="F3901" s="11"/>
      <c r="G3901" s="12">
        <f>+G3898-G3900</f>
        <v>67241</v>
      </c>
      <c r="H3901" s="13">
        <f>ROUND(G3901/2,0)</f>
        <v>33621</v>
      </c>
      <c r="I3901" s="12">
        <f>G3901-H3901</f>
        <v>33620</v>
      </c>
      <c r="J3901" s="3" t="str">
        <f t="shared" si="276"/>
        <v>5110000</v>
      </c>
    </row>
    <row r="3902" spans="2:10" s="3" customFormat="1">
      <c r="B3902" s="3" t="s">
        <v>2135</v>
      </c>
      <c r="C3902" s="8">
        <v>2</v>
      </c>
      <c r="D3902" s="3" t="s">
        <v>2188</v>
      </c>
      <c r="E3902" s="11" t="s">
        <v>107</v>
      </c>
      <c r="F3902" s="11"/>
      <c r="G3902" s="9"/>
      <c r="H3902" s="11"/>
      <c r="I3902" s="11"/>
      <c r="J3902" s="3" t="str">
        <f t="shared" si="276"/>
        <v>5120001</v>
      </c>
    </row>
    <row r="3903" spans="2:10" s="3" customFormat="1">
      <c r="B3903" s="3" t="s">
        <v>2135</v>
      </c>
      <c r="C3903" s="8">
        <v>2</v>
      </c>
      <c r="D3903" s="3" t="s">
        <v>2188</v>
      </c>
      <c r="E3903" s="11" t="s">
        <v>10</v>
      </c>
      <c r="F3903" s="10">
        <v>9.6900000000000003E-4</v>
      </c>
      <c r="G3903" s="12">
        <f>ROUND(G$3*F3903,0)</f>
        <v>279</v>
      </c>
      <c r="H3903" s="13">
        <f>ROUND(G3903/2,0)</f>
        <v>140</v>
      </c>
      <c r="I3903" s="12">
        <f>G3903-H3903</f>
        <v>139</v>
      </c>
      <c r="J3903" s="3" t="str">
        <f t="shared" si="276"/>
        <v>5120001</v>
      </c>
    </row>
    <row r="3904" spans="2:10" s="3" customFormat="1">
      <c r="B3904" s="3" t="s">
        <v>2135</v>
      </c>
      <c r="C3904" s="8">
        <v>2</v>
      </c>
      <c r="D3904" s="3" t="s">
        <v>2188</v>
      </c>
      <c r="E3904" s="11" t="s">
        <v>11</v>
      </c>
      <c r="F3904" s="10">
        <v>1.1900000000000001E-4</v>
      </c>
      <c r="G3904" s="12">
        <f>ROUND(G$3*F3904,0)</f>
        <v>34</v>
      </c>
      <c r="H3904" s="13">
        <f>ROUND(G3904/2,0)</f>
        <v>17</v>
      </c>
      <c r="I3904" s="12">
        <f>G3904-H3904</f>
        <v>17</v>
      </c>
      <c r="J3904" s="3" t="str">
        <f t="shared" si="276"/>
        <v>5120001</v>
      </c>
    </row>
    <row r="3905" spans="1:10" s="3" customFormat="1">
      <c r="B3905" s="3" t="s">
        <v>2135</v>
      </c>
      <c r="C3905" s="8">
        <v>2</v>
      </c>
      <c r="D3905" s="3" t="s">
        <v>2189</v>
      </c>
      <c r="E3905" s="11" t="s">
        <v>1212</v>
      </c>
      <c r="F3905" s="11"/>
      <c r="G3905" s="9"/>
      <c r="H3905" s="11"/>
      <c r="I3905" s="11"/>
      <c r="J3905" s="3" t="str">
        <f t="shared" si="276"/>
        <v>5120002</v>
      </c>
    </row>
    <row r="3906" spans="1:10" s="3" customFormat="1">
      <c r="B3906" s="3" t="s">
        <v>2135</v>
      </c>
      <c r="C3906" s="8">
        <v>2</v>
      </c>
      <c r="D3906" s="3" t="s">
        <v>2189</v>
      </c>
      <c r="E3906" s="11" t="s">
        <v>10</v>
      </c>
      <c r="F3906" s="10">
        <v>8.8830000000000003E-3</v>
      </c>
      <c r="G3906" s="12">
        <f>ROUND(G$3*F3906,0)</f>
        <v>2556</v>
      </c>
      <c r="H3906" s="13">
        <f>ROUND(G3906/2,0)</f>
        <v>1278</v>
      </c>
      <c r="I3906" s="12">
        <f>G3906-H3906</f>
        <v>1278</v>
      </c>
      <c r="J3906" s="3" t="str">
        <f t="shared" si="276"/>
        <v>5120002</v>
      </c>
    </row>
    <row r="3907" spans="1:10" s="3" customFormat="1">
      <c r="B3907" s="3" t="s">
        <v>2135</v>
      </c>
      <c r="C3907" s="8">
        <v>2</v>
      </c>
      <c r="D3907" s="3" t="s">
        <v>2189</v>
      </c>
      <c r="E3907" s="11" t="s">
        <v>11</v>
      </c>
      <c r="F3907" s="10">
        <v>5.2300000000000003E-4</v>
      </c>
      <c r="G3907" s="12">
        <f>ROUND(G$3*F3907,0)</f>
        <v>150</v>
      </c>
      <c r="H3907" s="13">
        <f>ROUND(G3907/2,0)</f>
        <v>75</v>
      </c>
      <c r="I3907" s="12">
        <f>G3907-H3907</f>
        <v>75</v>
      </c>
      <c r="J3907" s="3" t="str">
        <f t="shared" si="276"/>
        <v>5120002</v>
      </c>
    </row>
    <row r="3908" spans="1:10" s="3" customFormat="1">
      <c r="B3908" s="3" t="s">
        <v>2135</v>
      </c>
      <c r="C3908" s="8">
        <v>2</v>
      </c>
      <c r="D3908" s="3" t="s">
        <v>2190</v>
      </c>
      <c r="E3908" s="11" t="s">
        <v>1213</v>
      </c>
      <c r="F3908" s="11"/>
      <c r="G3908" s="9"/>
      <c r="H3908" s="11"/>
      <c r="I3908" s="11"/>
      <c r="J3908" s="3" t="str">
        <f t="shared" ref="J3908:J3971" si="282">B3908&amp;C3908&amp;D3908</f>
        <v>5120003</v>
      </c>
    </row>
    <row r="3909" spans="1:10" s="3" customFormat="1">
      <c r="B3909" s="3" t="s">
        <v>2135</v>
      </c>
      <c r="C3909" s="8">
        <v>2</v>
      </c>
      <c r="D3909" s="3" t="s">
        <v>2190</v>
      </c>
      <c r="E3909" s="11" t="s">
        <v>10</v>
      </c>
      <c r="F3909" s="10">
        <v>9.3400000000000004E-4</v>
      </c>
      <c r="G3909" s="12">
        <f>ROUND(G$3*F3909,0)</f>
        <v>269</v>
      </c>
      <c r="H3909" s="13">
        <f>ROUND(G3909/2,0)</f>
        <v>135</v>
      </c>
      <c r="I3909" s="12">
        <f>G3909-H3909</f>
        <v>134</v>
      </c>
      <c r="J3909" s="3" t="str">
        <f t="shared" si="282"/>
        <v>5120003</v>
      </c>
    </row>
    <row r="3910" spans="1:10" s="3" customFormat="1">
      <c r="B3910" s="3" t="s">
        <v>2135</v>
      </c>
      <c r="C3910" s="8">
        <v>2</v>
      </c>
      <c r="D3910" s="3" t="s">
        <v>2190</v>
      </c>
      <c r="E3910" s="11" t="s">
        <v>11</v>
      </c>
      <c r="F3910" s="10">
        <v>2.6499999999999999E-4</v>
      </c>
      <c r="G3910" s="12">
        <f>ROUND(G$3*F3910,0)</f>
        <v>76</v>
      </c>
      <c r="H3910" s="13">
        <f>ROUND(G3910/2,0)</f>
        <v>38</v>
      </c>
      <c r="I3910" s="12">
        <f>G3910-H3910</f>
        <v>38</v>
      </c>
      <c r="J3910" s="3" t="str">
        <f t="shared" si="282"/>
        <v>5120003</v>
      </c>
    </row>
    <row r="3911" spans="1:10" s="3" customFormat="1">
      <c r="B3911" s="3" t="s">
        <v>2135</v>
      </c>
      <c r="C3911" s="8">
        <v>2</v>
      </c>
      <c r="D3911" s="3" t="s">
        <v>2191</v>
      </c>
      <c r="E3911" s="11" t="s">
        <v>1214</v>
      </c>
      <c r="F3911" s="11"/>
      <c r="G3911" s="9"/>
      <c r="H3911" s="11"/>
      <c r="I3911" s="11"/>
      <c r="J3911" s="3" t="str">
        <f t="shared" si="282"/>
        <v>5120004</v>
      </c>
    </row>
    <row r="3912" spans="1:10" s="3" customFormat="1">
      <c r="B3912" s="3" t="s">
        <v>2135</v>
      </c>
      <c r="C3912" s="8">
        <v>2</v>
      </c>
      <c r="D3912" s="3" t="s">
        <v>2191</v>
      </c>
      <c r="E3912" s="11" t="s">
        <v>10</v>
      </c>
      <c r="F3912" s="10">
        <v>1.3899999999999999E-4</v>
      </c>
      <c r="G3912" s="12">
        <f>ROUND(G$3*F3912,0)</f>
        <v>40</v>
      </c>
      <c r="H3912" s="13">
        <f>ROUND(G3912/2,0)</f>
        <v>20</v>
      </c>
      <c r="I3912" s="12">
        <f>G3912-H3912</f>
        <v>20</v>
      </c>
      <c r="J3912" s="3" t="str">
        <f t="shared" si="282"/>
        <v>5120004</v>
      </c>
    </row>
    <row r="3913" spans="1:10" s="3" customFormat="1">
      <c r="B3913" s="3" t="s">
        <v>2135</v>
      </c>
      <c r="C3913" s="8">
        <v>2</v>
      </c>
      <c r="D3913" s="3" t="s">
        <v>2191</v>
      </c>
      <c r="E3913" s="11" t="s">
        <v>11</v>
      </c>
      <c r="F3913" s="10">
        <v>1.4E-5</v>
      </c>
      <c r="G3913" s="12">
        <f>ROUND(G$3*F3913,0)</f>
        <v>4</v>
      </c>
      <c r="H3913" s="13">
        <f>ROUND(G3913/2,0)</f>
        <v>2</v>
      </c>
      <c r="I3913" s="12">
        <f>G3913-H3913</f>
        <v>2</v>
      </c>
      <c r="J3913" s="3" t="str">
        <f t="shared" si="282"/>
        <v>5120004</v>
      </c>
    </row>
    <row r="3914" spans="1:10" s="3" customFormat="1">
      <c r="B3914" s="3" t="s">
        <v>2135</v>
      </c>
      <c r="C3914" s="8">
        <v>2</v>
      </c>
      <c r="D3914" s="3" t="s">
        <v>2192</v>
      </c>
      <c r="E3914" s="11" t="s">
        <v>56</v>
      </c>
      <c r="F3914" s="11"/>
      <c r="G3914" s="9"/>
      <c r="H3914" s="11"/>
      <c r="I3914" s="11"/>
      <c r="J3914" s="3" t="str">
        <f t="shared" si="282"/>
        <v>5120005</v>
      </c>
    </row>
    <row r="3915" spans="1:10" s="3" customFormat="1">
      <c r="B3915" s="3" t="s">
        <v>2135</v>
      </c>
      <c r="C3915" s="8">
        <v>2</v>
      </c>
      <c r="D3915" s="3" t="s">
        <v>2192</v>
      </c>
      <c r="E3915" s="11" t="s">
        <v>10</v>
      </c>
      <c r="F3915" s="10">
        <v>2.879E-3</v>
      </c>
      <c r="G3915" s="12">
        <f>ROUND(G$3*F3915,0)</f>
        <v>828</v>
      </c>
      <c r="H3915" s="13">
        <f>ROUND(G3915/2,0)</f>
        <v>414</v>
      </c>
      <c r="I3915" s="12">
        <f>G3915-H3915</f>
        <v>414</v>
      </c>
      <c r="J3915" s="3" t="str">
        <f t="shared" si="282"/>
        <v>5120005</v>
      </c>
    </row>
    <row r="3916" spans="1:10" s="3" customFormat="1">
      <c r="B3916" s="3" t="s">
        <v>2135</v>
      </c>
      <c r="C3916" s="8">
        <v>2</v>
      </c>
      <c r="D3916" s="3" t="s">
        <v>2192</v>
      </c>
      <c r="E3916" s="11" t="s">
        <v>11</v>
      </c>
      <c r="F3916" s="10">
        <v>3.0699999999999998E-4</v>
      </c>
      <c r="G3916" s="12">
        <f>ROUND(G$3*F3916,0)</f>
        <v>88</v>
      </c>
      <c r="H3916" s="13">
        <f>ROUND(G3916/2,0)</f>
        <v>44</v>
      </c>
      <c r="I3916" s="12">
        <f>G3916-H3916</f>
        <v>44</v>
      </c>
      <c r="J3916" s="3" t="str">
        <f t="shared" si="282"/>
        <v>5120005</v>
      </c>
    </row>
    <row r="3917" spans="1:10" s="3" customFormat="1">
      <c r="B3917" s="3" t="s">
        <v>2135</v>
      </c>
      <c r="C3917" s="8">
        <v>2</v>
      </c>
      <c r="D3917" s="3" t="s">
        <v>2193</v>
      </c>
      <c r="E3917" s="11" t="s">
        <v>1215</v>
      </c>
      <c r="F3917" s="11"/>
      <c r="G3917" s="9"/>
      <c r="H3917" s="11"/>
      <c r="I3917" s="11"/>
      <c r="J3917" s="3" t="str">
        <f t="shared" si="282"/>
        <v>5120006</v>
      </c>
    </row>
    <row r="3918" spans="1:10" s="3" customFormat="1">
      <c r="B3918" s="3" t="s">
        <v>2135</v>
      </c>
      <c r="C3918" s="8">
        <v>2</v>
      </c>
      <c r="D3918" s="3" t="s">
        <v>2193</v>
      </c>
      <c r="E3918" s="11" t="s">
        <v>10</v>
      </c>
      <c r="F3918" s="10">
        <v>1.0809999999999999E-3</v>
      </c>
      <c r="G3918" s="12">
        <f t="shared" ref="G3918:G3923" si="283">ROUND(G$3*F3918,0)</f>
        <v>311</v>
      </c>
      <c r="H3918" s="13">
        <f t="shared" ref="H3918:H3923" si="284">ROUND(G3918/2,0)</f>
        <v>156</v>
      </c>
      <c r="I3918" s="12">
        <f t="shared" ref="I3918:I3923" si="285">G3918-H3918</f>
        <v>155</v>
      </c>
      <c r="J3918" s="3" t="str">
        <f t="shared" si="282"/>
        <v>5120006</v>
      </c>
    </row>
    <row r="3919" spans="1:10" s="3" customFormat="1">
      <c r="B3919" s="3" t="s">
        <v>2135</v>
      </c>
      <c r="C3919" s="8">
        <v>2</v>
      </c>
      <c r="D3919" s="3" t="s">
        <v>2193</v>
      </c>
      <c r="E3919" s="11" t="s">
        <v>11</v>
      </c>
      <c r="F3919" s="10">
        <v>4.5300000000000001E-4</v>
      </c>
      <c r="G3919" s="12">
        <f t="shared" si="283"/>
        <v>130</v>
      </c>
      <c r="H3919" s="13">
        <f t="shared" si="284"/>
        <v>65</v>
      </c>
      <c r="I3919" s="12">
        <f t="shared" si="285"/>
        <v>65</v>
      </c>
      <c r="J3919" s="3" t="str">
        <f t="shared" si="282"/>
        <v>5120006</v>
      </c>
    </row>
    <row r="3920" spans="1:10" s="3" customFormat="1">
      <c r="A3920" s="3" t="s">
        <v>6269</v>
      </c>
      <c r="B3920" s="3" t="s">
        <v>2135</v>
      </c>
      <c r="C3920" s="8">
        <v>3</v>
      </c>
      <c r="D3920" s="3" t="s">
        <v>2837</v>
      </c>
      <c r="E3920" s="11" t="s">
        <v>1216</v>
      </c>
      <c r="F3920" s="10">
        <v>0</v>
      </c>
      <c r="G3920" s="12">
        <f t="shared" si="283"/>
        <v>0</v>
      </c>
      <c r="H3920" s="13">
        <f t="shared" si="284"/>
        <v>0</v>
      </c>
      <c r="I3920" s="12">
        <f t="shared" si="285"/>
        <v>0</v>
      </c>
      <c r="J3920" s="3" t="str">
        <f t="shared" si="282"/>
        <v>5130780</v>
      </c>
    </row>
    <row r="3921" spans="2:10" s="3" customFormat="1">
      <c r="B3921" s="3" t="s">
        <v>2135</v>
      </c>
      <c r="C3921" s="8">
        <v>3</v>
      </c>
      <c r="D3921" s="3" t="s">
        <v>2836</v>
      </c>
      <c r="E3921" s="11" t="s">
        <v>1217</v>
      </c>
      <c r="F3921" s="10">
        <v>3.3570999999999997E-2</v>
      </c>
      <c r="G3921" s="12">
        <f t="shared" si="283"/>
        <v>9659</v>
      </c>
      <c r="H3921" s="13">
        <f t="shared" si="284"/>
        <v>4830</v>
      </c>
      <c r="I3921" s="12">
        <f t="shared" si="285"/>
        <v>4829</v>
      </c>
      <c r="J3921" s="3" t="str">
        <f t="shared" si="282"/>
        <v>5130454</v>
      </c>
    </row>
    <row r="3922" spans="2:10" s="3" customFormat="1">
      <c r="B3922" s="3" t="s">
        <v>2135</v>
      </c>
      <c r="C3922" s="8">
        <v>3</v>
      </c>
      <c r="D3922" s="3" t="s">
        <v>2838</v>
      </c>
      <c r="E3922" s="11" t="s">
        <v>1218</v>
      </c>
      <c r="F3922" s="10">
        <v>2.6242999999999999E-2</v>
      </c>
      <c r="G3922" s="12">
        <f t="shared" si="283"/>
        <v>7551</v>
      </c>
      <c r="H3922" s="13">
        <f t="shared" si="284"/>
        <v>3776</v>
      </c>
      <c r="I3922" s="12">
        <f t="shared" si="285"/>
        <v>3775</v>
      </c>
      <c r="J3922" s="3" t="str">
        <f t="shared" si="282"/>
        <v>5130781</v>
      </c>
    </row>
    <row r="3923" spans="2:10" s="3" customFormat="1">
      <c r="B3923" s="3" t="s">
        <v>2135</v>
      </c>
      <c r="C3923" s="8">
        <v>4</v>
      </c>
      <c r="D3923" s="3" t="s">
        <v>2840</v>
      </c>
      <c r="E3923" s="11" t="s">
        <v>1219</v>
      </c>
      <c r="F3923" s="10">
        <v>0.21643599999999999</v>
      </c>
      <c r="G3923" s="9">
        <f t="shared" si="283"/>
        <v>62274</v>
      </c>
      <c r="H3923" s="11">
        <f t="shared" si="284"/>
        <v>31137</v>
      </c>
      <c r="I3923" s="9">
        <f t="shared" si="285"/>
        <v>31137</v>
      </c>
      <c r="J3923" s="3" t="str">
        <f t="shared" si="282"/>
        <v>5145525</v>
      </c>
    </row>
    <row r="3924" spans="2:10" s="3" customFormat="1">
      <c r="B3924" s="3" t="s">
        <v>2135</v>
      </c>
      <c r="C3924" s="8">
        <v>4</v>
      </c>
      <c r="D3924" s="3" t="s">
        <v>2840</v>
      </c>
      <c r="E3924" s="11" t="s">
        <v>28</v>
      </c>
      <c r="F3924" s="11"/>
      <c r="G3924" s="14">
        <v>0.51748099999999997</v>
      </c>
      <c r="H3924" s="11"/>
      <c r="I3924" s="11"/>
      <c r="J3924" s="3" t="str">
        <f t="shared" si="282"/>
        <v>5145525</v>
      </c>
    </row>
    <row r="3925" spans="2:10" s="3" customFormat="1">
      <c r="B3925" s="3" t="s">
        <v>2135</v>
      </c>
      <c r="C3925" s="8">
        <v>4</v>
      </c>
      <c r="D3925" s="3" t="s">
        <v>2840</v>
      </c>
      <c r="E3925" s="11" t="s">
        <v>29</v>
      </c>
      <c r="F3925" s="11"/>
      <c r="G3925" s="15">
        <f>ROUND(G3923*G3924,0)</f>
        <v>32226</v>
      </c>
      <c r="H3925" s="16">
        <f>ROUND(G3925/2,0)</f>
        <v>16113</v>
      </c>
      <c r="I3925" s="15">
        <f>G3925-H3925</f>
        <v>16113</v>
      </c>
      <c r="J3925" s="3" t="str">
        <f t="shared" si="282"/>
        <v>5145525</v>
      </c>
    </row>
    <row r="3926" spans="2:10" s="3" customFormat="1">
      <c r="B3926" s="3" t="s">
        <v>2135</v>
      </c>
      <c r="C3926" s="8">
        <v>4</v>
      </c>
      <c r="D3926" s="3" t="s">
        <v>2840</v>
      </c>
      <c r="E3926" s="11" t="s">
        <v>30</v>
      </c>
      <c r="F3926" s="11"/>
      <c r="G3926" s="12">
        <f>+G3923-G3925</f>
        <v>30048</v>
      </c>
      <c r="H3926" s="13">
        <f>ROUND(G3926/2,0)</f>
        <v>15024</v>
      </c>
      <c r="I3926" s="12">
        <f>G3926-H3926</f>
        <v>15024</v>
      </c>
      <c r="J3926" s="3" t="str">
        <f t="shared" si="282"/>
        <v>5145525</v>
      </c>
    </row>
    <row r="3927" spans="2:10" s="3" customFormat="1">
      <c r="B3927" s="3" t="s">
        <v>2135</v>
      </c>
      <c r="C3927" s="8">
        <v>4</v>
      </c>
      <c r="D3927" s="3" t="s">
        <v>2839</v>
      </c>
      <c r="E3927" s="11" t="s">
        <v>1220</v>
      </c>
      <c r="F3927" s="10">
        <v>0.40582699999999999</v>
      </c>
      <c r="G3927" s="9">
        <f>ROUND(G$3*F3927,0)</f>
        <v>116766</v>
      </c>
      <c r="H3927" s="11">
        <f>ROUND(G3927/2,0)</f>
        <v>58383</v>
      </c>
      <c r="I3927" s="9">
        <f>G3927-H3927</f>
        <v>58383</v>
      </c>
      <c r="J3927" s="3" t="str">
        <f t="shared" si="282"/>
        <v>5145520</v>
      </c>
    </row>
    <row r="3928" spans="2:10" s="3" customFormat="1">
      <c r="B3928" s="3" t="s">
        <v>2135</v>
      </c>
      <c r="C3928" s="8">
        <v>4</v>
      </c>
      <c r="D3928" s="3" t="s">
        <v>2839</v>
      </c>
      <c r="E3928" s="11" t="s">
        <v>28</v>
      </c>
      <c r="F3928" s="11"/>
      <c r="G3928" s="14">
        <v>0.34824899999999998</v>
      </c>
      <c r="H3928" s="11"/>
      <c r="I3928" s="11"/>
      <c r="J3928" s="3" t="str">
        <f t="shared" si="282"/>
        <v>5145520</v>
      </c>
    </row>
    <row r="3929" spans="2:10" s="3" customFormat="1">
      <c r="B3929" s="3" t="s">
        <v>2135</v>
      </c>
      <c r="C3929" s="8">
        <v>4</v>
      </c>
      <c r="D3929" s="3" t="s">
        <v>2839</v>
      </c>
      <c r="E3929" s="11" t="s">
        <v>29</v>
      </c>
      <c r="F3929" s="11"/>
      <c r="G3929" s="15">
        <f>ROUND(G3927*G3928,0)</f>
        <v>40664</v>
      </c>
      <c r="H3929" s="16">
        <f>ROUND(G3929/2,0)</f>
        <v>20332</v>
      </c>
      <c r="I3929" s="15">
        <f>G3929-H3929</f>
        <v>20332</v>
      </c>
      <c r="J3929" s="3" t="str">
        <f t="shared" si="282"/>
        <v>5145520</v>
      </c>
    </row>
    <row r="3930" spans="2:10" s="3" customFormat="1">
      <c r="B3930" s="3" t="s">
        <v>2135</v>
      </c>
      <c r="C3930" s="8">
        <v>4</v>
      </c>
      <c r="D3930" s="3" t="s">
        <v>2839</v>
      </c>
      <c r="E3930" s="11" t="s">
        <v>30</v>
      </c>
      <c r="F3930" s="11"/>
      <c r="G3930" s="12">
        <f>+G3927-G3929</f>
        <v>76102</v>
      </c>
      <c r="H3930" s="13">
        <f>ROUND(G3930/2,0)</f>
        <v>38051</v>
      </c>
      <c r="I3930" s="12">
        <f>G3930-H3930</f>
        <v>38051</v>
      </c>
      <c r="J3930" s="3" t="str">
        <f t="shared" si="282"/>
        <v>5145520</v>
      </c>
    </row>
    <row r="3931" spans="2:10" s="3" customFormat="1">
      <c r="B3931" s="3" t="s">
        <v>2135</v>
      </c>
      <c r="C3931" s="8">
        <v>5</v>
      </c>
      <c r="D3931" s="3" t="s">
        <v>2841</v>
      </c>
      <c r="E3931" s="11" t="s">
        <v>1221</v>
      </c>
      <c r="F3931" s="10">
        <v>3.2070000000000002E-3</v>
      </c>
      <c r="G3931" s="120">
        <f>ROUND(G$3*F3931,0)</f>
        <v>923</v>
      </c>
      <c r="H3931" s="120">
        <f>ROUND(G3931/2,0)</f>
        <v>462</v>
      </c>
      <c r="I3931" s="120">
        <f>G3931-H3931</f>
        <v>461</v>
      </c>
      <c r="J3931" s="3" t="str">
        <f t="shared" si="282"/>
        <v>5150150</v>
      </c>
    </row>
    <row r="3932" spans="2:10" s="3" customFormat="1">
      <c r="B3932" s="3" t="s">
        <v>2135</v>
      </c>
      <c r="C3932" s="8">
        <v>5</v>
      </c>
      <c r="D3932" s="3" t="s">
        <v>2842</v>
      </c>
      <c r="E3932" s="11" t="s">
        <v>1222</v>
      </c>
      <c r="F3932" s="10">
        <v>3.3809999999999999E-3</v>
      </c>
      <c r="G3932" s="120">
        <f>ROUND(G$3*F3932,0)</f>
        <v>973</v>
      </c>
      <c r="H3932" s="120">
        <f>ROUND(G3932/2,0)</f>
        <v>487</v>
      </c>
      <c r="I3932" s="120">
        <f>G3932-H3932</f>
        <v>486</v>
      </c>
      <c r="J3932" s="3" t="str">
        <f t="shared" si="282"/>
        <v>5150151</v>
      </c>
    </row>
    <row r="3933" spans="2:10" s="3" customFormat="1">
      <c r="B3933" s="3" t="s">
        <v>2135</v>
      </c>
      <c r="C3933" s="8">
        <v>6</v>
      </c>
      <c r="D3933" s="116" t="s">
        <v>5015</v>
      </c>
      <c r="E3933" s="11" t="s">
        <v>1223</v>
      </c>
      <c r="F3933" s="10">
        <v>1.5542000000000056E-2</v>
      </c>
      <c r="G3933" s="120">
        <f>+G3896-SUM(G3897:G3898)-SUM(G3903:G3923)-G3927-SUM(G3931:G3932)</f>
        <v>-152535</v>
      </c>
      <c r="H3933" s="120">
        <f>ROUND(G3933/2,0)</f>
        <v>-76268</v>
      </c>
      <c r="I3933" s="120">
        <f>G3933-H3933</f>
        <v>-76267</v>
      </c>
      <c r="J3933" s="3" t="str">
        <f t="shared" si="282"/>
        <v>5161059</v>
      </c>
    </row>
    <row r="3934" spans="2:10" s="3" customFormat="1">
      <c r="B3934" s="3" t="s">
        <v>2135</v>
      </c>
      <c r="C3934" s="8">
        <v>0</v>
      </c>
      <c r="D3934" s="125" t="s">
        <v>2187</v>
      </c>
      <c r="E3934" s="28" t="s">
        <v>288</v>
      </c>
      <c r="F3934" s="10">
        <v>1</v>
      </c>
      <c r="G3934" s="12">
        <f>+G3897+SUM(G3900:G3922)+SUM(G3925:G3926)+SUM(G3929:G3933)</f>
        <v>130716</v>
      </c>
      <c r="H3934" s="12">
        <f>+H3897+SUM(H3900:H3922)+SUM(H3925:H3926)+SUM(H3929:H3933)</f>
        <v>65362</v>
      </c>
      <c r="I3934" s="12">
        <f>+I3897+SUM(I3900:I3922)+SUM(I3925:I3926)+SUM(I3929:I3933)</f>
        <v>65354</v>
      </c>
      <c r="J3934" s="3" t="str">
        <f t="shared" si="282"/>
        <v>5100000</v>
      </c>
    </row>
    <row r="3935" spans="2:10" s="3" customFormat="1">
      <c r="B3935" s="3" t="s">
        <v>2135</v>
      </c>
      <c r="C3935" s="8">
        <v>0</v>
      </c>
      <c r="D3935" s="3" t="s">
        <v>2187</v>
      </c>
      <c r="E3935" s="18" t="s">
        <v>38</v>
      </c>
      <c r="G3935" s="19">
        <f>+G3897</f>
        <v>325</v>
      </c>
      <c r="H3935" s="19">
        <f>+H3897</f>
        <v>163</v>
      </c>
      <c r="I3935" s="19">
        <f>+I3897</f>
        <v>162</v>
      </c>
      <c r="J3935" s="3" t="str">
        <f t="shared" si="282"/>
        <v>5100000</v>
      </c>
    </row>
    <row r="3936" spans="2:10" s="3" customFormat="1">
      <c r="B3936" s="3" t="s">
        <v>2135</v>
      </c>
      <c r="C3936" s="8">
        <v>0</v>
      </c>
      <c r="D3936" s="3" t="s">
        <v>2187</v>
      </c>
      <c r="E3936" s="2" t="s">
        <v>39</v>
      </c>
      <c r="G3936" s="19">
        <f>+G3900</f>
        <v>12774</v>
      </c>
      <c r="H3936" s="19">
        <f>+H3900</f>
        <v>6387</v>
      </c>
      <c r="I3936" s="19">
        <f>+I3900</f>
        <v>6387</v>
      </c>
      <c r="J3936" s="3" t="str">
        <f t="shared" si="282"/>
        <v>5100000</v>
      </c>
    </row>
    <row r="3937" spans="2:10" s="3" customFormat="1">
      <c r="B3937" s="3" t="s">
        <v>2135</v>
      </c>
      <c r="C3937" s="8">
        <v>0</v>
      </c>
      <c r="D3937" s="3" t="s">
        <v>2187</v>
      </c>
      <c r="E3937" s="2" t="s">
        <v>40</v>
      </c>
      <c r="G3937" s="19">
        <f>+G3925+G3929</f>
        <v>72890</v>
      </c>
      <c r="H3937" s="19">
        <f>+H3925+H3929</f>
        <v>36445</v>
      </c>
      <c r="I3937" s="19">
        <f>+I3925+I3929</f>
        <v>36445</v>
      </c>
      <c r="J3937" s="3" t="str">
        <f t="shared" si="282"/>
        <v>5100000</v>
      </c>
    </row>
    <row r="3938" spans="2:10" s="3" customFormat="1">
      <c r="B3938" s="3" t="s">
        <v>2135</v>
      </c>
      <c r="C3938" s="8">
        <v>0</v>
      </c>
      <c r="D3938" s="125" t="s">
        <v>2187</v>
      </c>
      <c r="E3938" s="18" t="s">
        <v>41</v>
      </c>
      <c r="G3938" s="19">
        <f>+G3934-G3935-G3936-G3937</f>
        <v>44727</v>
      </c>
      <c r="H3938" s="19">
        <f>+H3934-H3935-H3936-H3937</f>
        <v>22367</v>
      </c>
      <c r="I3938" s="19">
        <f>+I3934-I3935-I3936-I3937</f>
        <v>22360</v>
      </c>
      <c r="J3938" s="3" t="str">
        <f t="shared" si="282"/>
        <v>5100000</v>
      </c>
    </row>
    <row r="3939" spans="2:10" ht="15.75">
      <c r="B3939" s="3" t="s">
        <v>2186</v>
      </c>
      <c r="D3939" t="s">
        <v>2186</v>
      </c>
      <c r="E3939">
        <v>0</v>
      </c>
      <c r="G3939"/>
      <c r="H3939"/>
      <c r="I3939"/>
      <c r="J3939" s="3" t="str">
        <f t="shared" si="282"/>
        <v/>
      </c>
    </row>
    <row r="3940" spans="2:10" s="3" customFormat="1">
      <c r="C3940" s="1"/>
      <c r="D3940" s="3" t="s">
        <v>2186</v>
      </c>
      <c r="E3940" s="2" t="s">
        <v>1224</v>
      </c>
      <c r="J3940" s="3" t="str">
        <f t="shared" si="282"/>
        <v/>
      </c>
    </row>
    <row r="3941" spans="2:10" s="3" customFormat="1" ht="45">
      <c r="B3941" s="3" t="s">
        <v>2186</v>
      </c>
      <c r="C3941" s="1"/>
      <c r="D3941" s="3" t="s">
        <v>2186</v>
      </c>
      <c r="E3941" s="1">
        <v>0</v>
      </c>
      <c r="F3941" s="6" t="s">
        <v>1</v>
      </c>
      <c r="G3941" s="60">
        <f>'Allocation Worksheet'!H3941</f>
        <v>0</v>
      </c>
      <c r="H3941" s="60">
        <f>'Allocation Worksheet'!H3942</f>
        <v>0</v>
      </c>
      <c r="I3941" s="60">
        <f>'Allocation Worksheet'!H3943</f>
        <v>0</v>
      </c>
      <c r="J3941" s="3" t="str">
        <f t="shared" si="282"/>
        <v/>
      </c>
    </row>
    <row r="3942" spans="2:10" s="3" customFormat="1">
      <c r="C3942" s="7" t="s">
        <v>2087</v>
      </c>
      <c r="D3942" s="3" t="s">
        <v>2186</v>
      </c>
      <c r="E3942" s="7" t="s">
        <v>3</v>
      </c>
      <c r="F3942" s="10"/>
      <c r="G3942" s="9">
        <f>'Allocation Worksheet'!$D$55</f>
        <v>244256</v>
      </c>
      <c r="H3942" s="11"/>
      <c r="I3942" s="11"/>
      <c r="J3942" s="3" t="str">
        <f t="shared" si="282"/>
        <v>UT</v>
      </c>
    </row>
    <row r="3943" spans="2:10" s="3" customFormat="1">
      <c r="B3943" s="3" t="s">
        <v>2136</v>
      </c>
      <c r="C3943" s="8">
        <v>0</v>
      </c>
      <c r="D3943" s="3" t="s">
        <v>2187</v>
      </c>
      <c r="E3943" s="11" t="s">
        <v>4</v>
      </c>
      <c r="F3943" s="10">
        <v>1.1980000000000001E-3</v>
      </c>
      <c r="G3943" s="12">
        <f>ROUND(G$3*F3943,0)</f>
        <v>345</v>
      </c>
      <c r="H3943" s="13">
        <f>ROUND(G3943/2,0)</f>
        <v>173</v>
      </c>
      <c r="I3943" s="12">
        <f>G3943-H3943</f>
        <v>172</v>
      </c>
      <c r="J3943" s="3" t="str">
        <f t="shared" si="282"/>
        <v>5200000</v>
      </c>
    </row>
    <row r="3944" spans="2:10" s="3" customFormat="1">
      <c r="B3944" s="3" t="s">
        <v>2136</v>
      </c>
      <c r="C3944" s="8">
        <v>1</v>
      </c>
      <c r="D3944" s="3" t="s">
        <v>2187</v>
      </c>
      <c r="E3944" s="11" t="s">
        <v>1225</v>
      </c>
      <c r="F3944" s="10">
        <v>0.23414099999999999</v>
      </c>
      <c r="G3944" s="9">
        <f>ROUND(G$3*F3944,0)</f>
        <v>67368</v>
      </c>
      <c r="H3944" s="11">
        <f>ROUND(G3944/2,0)</f>
        <v>33684</v>
      </c>
      <c r="I3944" s="9">
        <f>G3944-H3944</f>
        <v>33684</v>
      </c>
      <c r="J3944" s="3" t="str">
        <f t="shared" si="282"/>
        <v>5210000</v>
      </c>
    </row>
    <row r="3945" spans="2:10" s="3" customFormat="1">
      <c r="B3945" s="3" t="s">
        <v>2136</v>
      </c>
      <c r="C3945" s="8">
        <v>1</v>
      </c>
      <c r="D3945" s="3" t="s">
        <v>2187</v>
      </c>
      <c r="E3945" s="11" t="s">
        <v>6</v>
      </c>
      <c r="F3945" s="11"/>
      <c r="G3945" s="14">
        <v>0.28745999999999999</v>
      </c>
      <c r="H3945" s="11"/>
      <c r="I3945" s="11"/>
      <c r="J3945" s="3" t="str">
        <f t="shared" si="282"/>
        <v>5210000</v>
      </c>
    </row>
    <row r="3946" spans="2:10" s="3" customFormat="1">
      <c r="B3946" s="3" t="s">
        <v>2136</v>
      </c>
      <c r="C3946" s="8">
        <v>1</v>
      </c>
      <c r="D3946" s="3" t="s">
        <v>2187</v>
      </c>
      <c r="E3946" s="11" t="s">
        <v>7</v>
      </c>
      <c r="F3946" s="11"/>
      <c r="G3946" s="15">
        <f>ROUND(G3944*G3945,0)</f>
        <v>19366</v>
      </c>
      <c r="H3946" s="16">
        <f>ROUND(G3946/2,0)</f>
        <v>9683</v>
      </c>
      <c r="I3946" s="15">
        <f>G3946-H3946</f>
        <v>9683</v>
      </c>
      <c r="J3946" s="3" t="str">
        <f t="shared" si="282"/>
        <v>5210000</v>
      </c>
    </row>
    <row r="3947" spans="2:10" s="3" customFormat="1">
      <c r="B3947" s="3" t="s">
        <v>2136</v>
      </c>
      <c r="C3947" s="8">
        <v>1</v>
      </c>
      <c r="D3947" s="3" t="s">
        <v>2187</v>
      </c>
      <c r="E3947" s="11" t="s">
        <v>8</v>
      </c>
      <c r="F3947" s="11"/>
      <c r="G3947" s="12">
        <f>+G3944-G3946</f>
        <v>48002</v>
      </c>
      <c r="H3947" s="13">
        <f>ROUND(G3947/2,0)</f>
        <v>24001</v>
      </c>
      <c r="I3947" s="12">
        <f>G3947-H3947</f>
        <v>24001</v>
      </c>
      <c r="J3947" s="3" t="str">
        <f t="shared" si="282"/>
        <v>5210000</v>
      </c>
    </row>
    <row r="3948" spans="2:10" s="3" customFormat="1">
      <c r="B3948" s="3" t="s">
        <v>2136</v>
      </c>
      <c r="C3948" s="8">
        <v>2</v>
      </c>
      <c r="D3948" s="3" t="s">
        <v>2188</v>
      </c>
      <c r="E3948" s="11" t="s">
        <v>1226</v>
      </c>
      <c r="F3948" s="11"/>
      <c r="G3948" s="9"/>
      <c r="H3948" s="11"/>
      <c r="I3948" s="11"/>
      <c r="J3948" s="3" t="str">
        <f t="shared" si="282"/>
        <v>5220001</v>
      </c>
    </row>
    <row r="3949" spans="2:10" s="3" customFormat="1">
      <c r="B3949" s="3" t="s">
        <v>2136</v>
      </c>
      <c r="C3949" s="8">
        <v>2</v>
      </c>
      <c r="D3949" s="3" t="s">
        <v>2188</v>
      </c>
      <c r="E3949" s="11" t="s">
        <v>10</v>
      </c>
      <c r="F3949" s="10">
        <v>5.9299999999999999E-4</v>
      </c>
      <c r="G3949" s="12">
        <f>ROUND(G$3*F3949,0)</f>
        <v>171</v>
      </c>
      <c r="H3949" s="13">
        <f>ROUND(G3949/2,0)</f>
        <v>86</v>
      </c>
      <c r="I3949" s="12">
        <f>G3949-H3949</f>
        <v>85</v>
      </c>
      <c r="J3949" s="3" t="str">
        <f t="shared" si="282"/>
        <v>5220001</v>
      </c>
    </row>
    <row r="3950" spans="2:10" s="3" customFormat="1">
      <c r="B3950" s="3" t="s">
        <v>2136</v>
      </c>
      <c r="C3950" s="8">
        <v>2</v>
      </c>
      <c r="D3950" s="3" t="s">
        <v>2188</v>
      </c>
      <c r="E3950" s="11" t="s">
        <v>11</v>
      </c>
      <c r="F3950" s="10">
        <v>2.9500000000000001E-4</v>
      </c>
      <c r="G3950" s="12">
        <f>ROUND(G$3*F3950,0)</f>
        <v>85</v>
      </c>
      <c r="H3950" s="13">
        <f>ROUND(G3950/2,0)</f>
        <v>43</v>
      </c>
      <c r="I3950" s="12">
        <f>G3950-H3950</f>
        <v>42</v>
      </c>
      <c r="J3950" s="3" t="str">
        <f t="shared" si="282"/>
        <v>5220001</v>
      </c>
    </row>
    <row r="3951" spans="2:10" s="3" customFormat="1">
      <c r="B3951" s="3" t="s">
        <v>2136</v>
      </c>
      <c r="C3951" s="8">
        <v>2</v>
      </c>
      <c r="D3951" s="3" t="s">
        <v>2189</v>
      </c>
      <c r="E3951" s="11" t="s">
        <v>369</v>
      </c>
      <c r="F3951" s="11"/>
      <c r="G3951" s="9"/>
      <c r="H3951" s="11"/>
      <c r="I3951" s="11"/>
      <c r="J3951" s="3" t="str">
        <f t="shared" si="282"/>
        <v>5220002</v>
      </c>
    </row>
    <row r="3952" spans="2:10" s="3" customFormat="1">
      <c r="B3952" s="3" t="s">
        <v>2136</v>
      </c>
      <c r="C3952" s="8">
        <v>2</v>
      </c>
      <c r="D3952" s="3" t="s">
        <v>2189</v>
      </c>
      <c r="E3952" s="11" t="s">
        <v>10</v>
      </c>
      <c r="F3952" s="10">
        <v>4.5899999999999999E-4</v>
      </c>
      <c r="G3952" s="12">
        <f>ROUND(G$3*F3952,0)</f>
        <v>132</v>
      </c>
      <c r="H3952" s="13">
        <f>ROUND(G3952/2,0)</f>
        <v>66</v>
      </c>
      <c r="I3952" s="12">
        <f>G3952-H3952</f>
        <v>66</v>
      </c>
      <c r="J3952" s="3" t="str">
        <f t="shared" si="282"/>
        <v>5220002</v>
      </c>
    </row>
    <row r="3953" spans="2:10" s="3" customFormat="1">
      <c r="B3953" s="3" t="s">
        <v>2136</v>
      </c>
      <c r="C3953" s="8">
        <v>2</v>
      </c>
      <c r="D3953" s="3" t="s">
        <v>2189</v>
      </c>
      <c r="E3953" s="11" t="s">
        <v>11</v>
      </c>
      <c r="F3953" s="10">
        <v>2.2000000000000001E-4</v>
      </c>
      <c r="G3953" s="12">
        <f>ROUND(G$3*F3953,0)</f>
        <v>63</v>
      </c>
      <c r="H3953" s="13">
        <f>ROUND(G3953/2,0)</f>
        <v>32</v>
      </c>
      <c r="I3953" s="12">
        <f>G3953-H3953</f>
        <v>31</v>
      </c>
      <c r="J3953" s="3" t="str">
        <f t="shared" si="282"/>
        <v>5220002</v>
      </c>
    </row>
    <row r="3954" spans="2:10" s="3" customFormat="1">
      <c r="B3954" s="3" t="s">
        <v>2136</v>
      </c>
      <c r="C3954" s="8">
        <v>2</v>
      </c>
      <c r="D3954" s="3" t="s">
        <v>2190</v>
      </c>
      <c r="E3954" s="11" t="s">
        <v>81</v>
      </c>
      <c r="F3954" s="11"/>
      <c r="G3954" s="9"/>
      <c r="H3954" s="11"/>
      <c r="I3954" s="11"/>
      <c r="J3954" s="3" t="str">
        <f t="shared" si="282"/>
        <v>5220003</v>
      </c>
    </row>
    <row r="3955" spans="2:10" s="3" customFormat="1">
      <c r="B3955" s="3" t="s">
        <v>2136</v>
      </c>
      <c r="C3955" s="8">
        <v>2</v>
      </c>
      <c r="D3955" s="3" t="s">
        <v>2190</v>
      </c>
      <c r="E3955" s="11" t="s">
        <v>10</v>
      </c>
      <c r="F3955" s="10">
        <v>7.9100000000000004E-4</v>
      </c>
      <c r="G3955" s="12">
        <f>ROUND(G$3*F3955,0)</f>
        <v>228</v>
      </c>
      <c r="H3955" s="13">
        <f>ROUND(G3955/2,0)</f>
        <v>114</v>
      </c>
      <c r="I3955" s="12">
        <f>G3955-H3955</f>
        <v>114</v>
      </c>
      <c r="J3955" s="3" t="str">
        <f t="shared" si="282"/>
        <v>5220003</v>
      </c>
    </row>
    <row r="3956" spans="2:10" s="3" customFormat="1">
      <c r="B3956" s="3" t="s">
        <v>2136</v>
      </c>
      <c r="C3956" s="8">
        <v>2</v>
      </c>
      <c r="D3956" s="3" t="s">
        <v>2190</v>
      </c>
      <c r="E3956" s="11" t="s">
        <v>11</v>
      </c>
      <c r="F3956" s="10">
        <v>5.04E-4</v>
      </c>
      <c r="G3956" s="12">
        <f>ROUND(G$3*F3956,0)</f>
        <v>145</v>
      </c>
      <c r="H3956" s="13">
        <f>ROUND(G3956/2,0)</f>
        <v>73</v>
      </c>
      <c r="I3956" s="12">
        <f>G3956-H3956</f>
        <v>72</v>
      </c>
      <c r="J3956" s="3" t="str">
        <f t="shared" si="282"/>
        <v>5220003</v>
      </c>
    </row>
    <row r="3957" spans="2:10" s="3" customFormat="1">
      <c r="B3957" s="3" t="s">
        <v>2136</v>
      </c>
      <c r="C3957" s="8">
        <v>2</v>
      </c>
      <c r="D3957" s="3" t="s">
        <v>2191</v>
      </c>
      <c r="E3957" s="11" t="s">
        <v>179</v>
      </c>
      <c r="F3957" s="11"/>
      <c r="G3957" s="9"/>
      <c r="H3957" s="11"/>
      <c r="I3957" s="11"/>
      <c r="J3957" s="3" t="str">
        <f t="shared" si="282"/>
        <v>5220004</v>
      </c>
    </row>
    <row r="3958" spans="2:10" s="3" customFormat="1">
      <c r="B3958" s="3" t="s">
        <v>2136</v>
      </c>
      <c r="C3958" s="8">
        <v>2</v>
      </c>
      <c r="D3958" s="3" t="s">
        <v>2191</v>
      </c>
      <c r="E3958" s="11" t="s">
        <v>10</v>
      </c>
      <c r="F3958" s="10">
        <v>3.5399999999999999E-4</v>
      </c>
      <c r="G3958" s="12">
        <f>ROUND(G$3*F3958,0)</f>
        <v>102</v>
      </c>
      <c r="H3958" s="13">
        <f>ROUND(G3958/2,0)</f>
        <v>51</v>
      </c>
      <c r="I3958" s="12">
        <f>G3958-H3958</f>
        <v>51</v>
      </c>
      <c r="J3958" s="3" t="str">
        <f t="shared" si="282"/>
        <v>5220004</v>
      </c>
    </row>
    <row r="3959" spans="2:10" s="3" customFormat="1">
      <c r="B3959" s="3" t="s">
        <v>2136</v>
      </c>
      <c r="C3959" s="8">
        <v>2</v>
      </c>
      <c r="D3959" s="3" t="s">
        <v>2191</v>
      </c>
      <c r="E3959" s="11" t="s">
        <v>11</v>
      </c>
      <c r="F3959" s="10">
        <v>1.7200000000000001E-4</v>
      </c>
      <c r="G3959" s="12">
        <f>ROUND(G$3*F3959,0)</f>
        <v>49</v>
      </c>
      <c r="H3959" s="13">
        <f>ROUND(G3959/2,0)</f>
        <v>25</v>
      </c>
      <c r="I3959" s="12">
        <f>G3959-H3959</f>
        <v>24</v>
      </c>
      <c r="J3959" s="3" t="str">
        <f t="shared" si="282"/>
        <v>5220004</v>
      </c>
    </row>
    <row r="3960" spans="2:10" s="3" customFormat="1">
      <c r="B3960" s="3" t="s">
        <v>2136</v>
      </c>
      <c r="C3960" s="8">
        <v>2</v>
      </c>
      <c r="D3960" s="3" t="s">
        <v>2192</v>
      </c>
      <c r="E3960" s="11" t="s">
        <v>1227</v>
      </c>
      <c r="F3960" s="11"/>
      <c r="G3960" s="9"/>
      <c r="H3960" s="11"/>
      <c r="I3960" s="11"/>
      <c r="J3960" s="3" t="str">
        <f t="shared" si="282"/>
        <v>5220005</v>
      </c>
    </row>
    <row r="3961" spans="2:10" s="3" customFormat="1">
      <c r="B3961" s="3" t="s">
        <v>2136</v>
      </c>
      <c r="C3961" s="8">
        <v>2</v>
      </c>
      <c r="D3961" s="3" t="s">
        <v>2192</v>
      </c>
      <c r="E3961" s="11" t="s">
        <v>10</v>
      </c>
      <c r="F3961" s="10">
        <v>2.5700000000000001E-4</v>
      </c>
      <c r="G3961" s="12">
        <f>ROUND(G$3*F3961,0)</f>
        <v>74</v>
      </c>
      <c r="H3961" s="13">
        <f>ROUND(G3961/2,0)</f>
        <v>37</v>
      </c>
      <c r="I3961" s="12">
        <f>G3961-H3961</f>
        <v>37</v>
      </c>
      <c r="J3961" s="3" t="str">
        <f t="shared" si="282"/>
        <v>5220005</v>
      </c>
    </row>
    <row r="3962" spans="2:10" s="3" customFormat="1">
      <c r="B3962" s="3" t="s">
        <v>2136</v>
      </c>
      <c r="C3962" s="8">
        <v>2</v>
      </c>
      <c r="D3962" s="3" t="s">
        <v>2192</v>
      </c>
      <c r="E3962" s="11" t="s">
        <v>11</v>
      </c>
      <c r="F3962" s="10">
        <v>1.01E-4</v>
      </c>
      <c r="G3962" s="12">
        <f>ROUND(G$3*F3962,0)</f>
        <v>29</v>
      </c>
      <c r="H3962" s="13">
        <f>ROUND(G3962/2,0)</f>
        <v>15</v>
      </c>
      <c r="I3962" s="12">
        <f>G3962-H3962</f>
        <v>14</v>
      </c>
      <c r="J3962" s="3" t="str">
        <f t="shared" si="282"/>
        <v>5220005</v>
      </c>
    </row>
    <row r="3963" spans="2:10" s="3" customFormat="1">
      <c r="B3963" s="3" t="s">
        <v>2136</v>
      </c>
      <c r="C3963" s="8">
        <v>2</v>
      </c>
      <c r="D3963" s="3" t="s">
        <v>2193</v>
      </c>
      <c r="E3963" s="11" t="s">
        <v>86</v>
      </c>
      <c r="F3963" s="11"/>
      <c r="G3963" s="9"/>
      <c r="H3963" s="11"/>
      <c r="I3963" s="11"/>
      <c r="J3963" s="3" t="str">
        <f t="shared" si="282"/>
        <v>5220006</v>
      </c>
    </row>
    <row r="3964" spans="2:10" s="3" customFormat="1">
      <c r="B3964" s="3" t="s">
        <v>2136</v>
      </c>
      <c r="C3964" s="8">
        <v>2</v>
      </c>
      <c r="D3964" s="3" t="s">
        <v>2193</v>
      </c>
      <c r="E3964" s="11" t="s">
        <v>10</v>
      </c>
      <c r="F3964" s="10">
        <v>2.6499999999999999E-4</v>
      </c>
      <c r="G3964" s="12">
        <f>ROUND(G$3*F3964,0)</f>
        <v>76</v>
      </c>
      <c r="H3964" s="13">
        <f>ROUND(G3964/2,0)</f>
        <v>38</v>
      </c>
      <c r="I3964" s="12">
        <f>G3964-H3964</f>
        <v>38</v>
      </c>
      <c r="J3964" s="3" t="str">
        <f t="shared" si="282"/>
        <v>5220006</v>
      </c>
    </row>
    <row r="3965" spans="2:10" s="3" customFormat="1">
      <c r="B3965" s="3" t="s">
        <v>2136</v>
      </c>
      <c r="C3965" s="8">
        <v>2</v>
      </c>
      <c r="D3965" s="3" t="s">
        <v>2193</v>
      </c>
      <c r="E3965" s="11" t="s">
        <v>11</v>
      </c>
      <c r="F3965" s="10">
        <v>1.7200000000000001E-4</v>
      </c>
      <c r="G3965" s="12">
        <f>ROUND(G$3*F3965,0)</f>
        <v>49</v>
      </c>
      <c r="H3965" s="13">
        <f>ROUND(G3965/2,0)</f>
        <v>25</v>
      </c>
      <c r="I3965" s="12">
        <f>G3965-H3965</f>
        <v>24</v>
      </c>
      <c r="J3965" s="3" t="str">
        <f t="shared" si="282"/>
        <v>5220006</v>
      </c>
    </row>
    <row r="3966" spans="2:10" s="3" customFormat="1">
      <c r="B3966" s="3" t="s">
        <v>2136</v>
      </c>
      <c r="C3966" s="8">
        <v>2</v>
      </c>
      <c r="D3966" s="3" t="s">
        <v>2194</v>
      </c>
      <c r="E3966" s="11" t="s">
        <v>49</v>
      </c>
      <c r="F3966" s="11"/>
      <c r="G3966" s="9"/>
      <c r="H3966" s="11"/>
      <c r="I3966" s="11"/>
      <c r="J3966" s="3" t="str">
        <f t="shared" si="282"/>
        <v>5220007</v>
      </c>
    </row>
    <row r="3967" spans="2:10" s="3" customFormat="1">
      <c r="B3967" s="3" t="s">
        <v>2136</v>
      </c>
      <c r="C3967" s="8">
        <v>2</v>
      </c>
      <c r="D3967" s="3" t="s">
        <v>2194</v>
      </c>
      <c r="E3967" s="11" t="s">
        <v>10</v>
      </c>
      <c r="F3967" s="10">
        <v>9.2199999999999997E-4</v>
      </c>
      <c r="G3967" s="12">
        <f>ROUND(G$3*F3967,0)</f>
        <v>265</v>
      </c>
      <c r="H3967" s="13">
        <f>ROUND(G3967/2,0)</f>
        <v>133</v>
      </c>
      <c r="I3967" s="12">
        <f>G3967-H3967</f>
        <v>132</v>
      </c>
      <c r="J3967" s="3" t="str">
        <f t="shared" si="282"/>
        <v>5220007</v>
      </c>
    </row>
    <row r="3968" spans="2:10" s="3" customFormat="1">
      <c r="B3968" s="3" t="s">
        <v>2136</v>
      </c>
      <c r="C3968" s="8">
        <v>2</v>
      </c>
      <c r="D3968" s="3" t="s">
        <v>2194</v>
      </c>
      <c r="E3968" s="11" t="s">
        <v>11</v>
      </c>
      <c r="F3968" s="10">
        <v>4.4000000000000002E-4</v>
      </c>
      <c r="G3968" s="12">
        <f>ROUND(G$3*F3968,0)</f>
        <v>127</v>
      </c>
      <c r="H3968" s="13">
        <f>ROUND(G3968/2,0)</f>
        <v>64</v>
      </c>
      <c r="I3968" s="12">
        <f>G3968-H3968</f>
        <v>63</v>
      </c>
      <c r="J3968" s="3" t="str">
        <f t="shared" si="282"/>
        <v>5220007</v>
      </c>
    </row>
    <row r="3969" spans="2:10" s="3" customFormat="1">
      <c r="B3969" s="3" t="s">
        <v>2136</v>
      </c>
      <c r="C3969" s="8">
        <v>2</v>
      </c>
      <c r="D3969" s="3" t="s">
        <v>2195</v>
      </c>
      <c r="E3969" s="11" t="s">
        <v>14</v>
      </c>
      <c r="F3969" s="11"/>
      <c r="G3969" s="9"/>
      <c r="H3969" s="11"/>
      <c r="I3969" s="11"/>
      <c r="J3969" s="3" t="str">
        <f t="shared" si="282"/>
        <v>5220008</v>
      </c>
    </row>
    <row r="3970" spans="2:10" s="3" customFormat="1">
      <c r="B3970" s="3" t="s">
        <v>2136</v>
      </c>
      <c r="C3970" s="8">
        <v>2</v>
      </c>
      <c r="D3970" s="3" t="s">
        <v>2195</v>
      </c>
      <c r="E3970" s="11" t="s">
        <v>10</v>
      </c>
      <c r="F3970" s="10">
        <v>8.6899999999999998E-4</v>
      </c>
      <c r="G3970" s="12">
        <f>ROUND(G$3*F3970,0)</f>
        <v>250</v>
      </c>
      <c r="H3970" s="13">
        <f>ROUND(G3970/2,0)</f>
        <v>125</v>
      </c>
      <c r="I3970" s="12">
        <f>G3970-H3970</f>
        <v>125</v>
      </c>
      <c r="J3970" s="3" t="str">
        <f t="shared" si="282"/>
        <v>5220008</v>
      </c>
    </row>
    <row r="3971" spans="2:10" s="3" customFormat="1">
      <c r="B3971" s="3" t="s">
        <v>2136</v>
      </c>
      <c r="C3971" s="8">
        <v>2</v>
      </c>
      <c r="D3971" s="3" t="s">
        <v>2195</v>
      </c>
      <c r="E3971" s="11" t="s">
        <v>11</v>
      </c>
      <c r="F3971" s="10">
        <v>8.43E-4</v>
      </c>
      <c r="G3971" s="12">
        <f>ROUND(G$3*F3971,0)</f>
        <v>243</v>
      </c>
      <c r="H3971" s="13">
        <f>ROUND(G3971/2,0)</f>
        <v>122</v>
      </c>
      <c r="I3971" s="12">
        <f>G3971-H3971</f>
        <v>121</v>
      </c>
      <c r="J3971" s="3" t="str">
        <f t="shared" si="282"/>
        <v>5220008</v>
      </c>
    </row>
    <row r="3972" spans="2:10" s="3" customFormat="1">
      <c r="B3972" s="3" t="s">
        <v>2136</v>
      </c>
      <c r="C3972" s="8">
        <v>2</v>
      </c>
      <c r="D3972" s="3" t="s">
        <v>2196</v>
      </c>
      <c r="E3972" s="11" t="s">
        <v>56</v>
      </c>
      <c r="F3972" s="11"/>
      <c r="G3972" s="9"/>
      <c r="H3972" s="11"/>
      <c r="I3972" s="11"/>
      <c r="J3972" s="3" t="str">
        <f t="shared" ref="J3972:J4035" si="286">B3972&amp;C3972&amp;D3972</f>
        <v>5220009</v>
      </c>
    </row>
    <row r="3973" spans="2:10" s="3" customFormat="1">
      <c r="B3973" s="3" t="s">
        <v>2136</v>
      </c>
      <c r="C3973" s="8">
        <v>2</v>
      </c>
      <c r="D3973" s="3" t="s">
        <v>2196</v>
      </c>
      <c r="E3973" s="11" t="s">
        <v>10</v>
      </c>
      <c r="F3973" s="10">
        <v>3.5399999999999999E-4</v>
      </c>
      <c r="G3973" s="12">
        <f>ROUND(G$3*F3973,0)</f>
        <v>102</v>
      </c>
      <c r="H3973" s="13">
        <f>ROUND(G3973/2,0)</f>
        <v>51</v>
      </c>
      <c r="I3973" s="12">
        <f>G3973-H3973</f>
        <v>51</v>
      </c>
      <c r="J3973" s="3" t="str">
        <f t="shared" si="286"/>
        <v>5220009</v>
      </c>
    </row>
    <row r="3974" spans="2:10" s="3" customFormat="1">
      <c r="B3974" s="3" t="s">
        <v>2136</v>
      </c>
      <c r="C3974" s="8">
        <v>2</v>
      </c>
      <c r="D3974" s="3" t="s">
        <v>2196</v>
      </c>
      <c r="E3974" s="11" t="s">
        <v>11</v>
      </c>
      <c r="F3974" s="10">
        <v>1.27E-4</v>
      </c>
      <c r="G3974" s="12">
        <f>ROUND(G$3*F3974,0)</f>
        <v>37</v>
      </c>
      <c r="H3974" s="13">
        <f>ROUND(G3974/2,0)</f>
        <v>19</v>
      </c>
      <c r="I3974" s="12">
        <f>G3974-H3974</f>
        <v>18</v>
      </c>
      <c r="J3974" s="3" t="str">
        <f t="shared" si="286"/>
        <v>5220009</v>
      </c>
    </row>
    <row r="3975" spans="2:10" s="3" customFormat="1">
      <c r="B3975" s="3" t="s">
        <v>2136</v>
      </c>
      <c r="C3975" s="8">
        <v>2</v>
      </c>
      <c r="D3975" s="3" t="s">
        <v>2197</v>
      </c>
      <c r="E3975" s="11" t="s">
        <v>1228</v>
      </c>
      <c r="F3975" s="11"/>
      <c r="G3975" s="9"/>
      <c r="H3975" s="11"/>
      <c r="I3975" s="11"/>
      <c r="J3975" s="3" t="str">
        <f t="shared" si="286"/>
        <v>5220010</v>
      </c>
    </row>
    <row r="3976" spans="2:10" s="3" customFormat="1">
      <c r="B3976" s="3" t="s">
        <v>2136</v>
      </c>
      <c r="C3976" s="8">
        <v>2</v>
      </c>
      <c r="D3976" s="3" t="s">
        <v>2197</v>
      </c>
      <c r="E3976" s="11" t="s">
        <v>10</v>
      </c>
      <c r="F3976" s="10">
        <v>8.0029999999999997E-3</v>
      </c>
      <c r="G3976" s="12">
        <f>ROUND(G$3*F3976,0)</f>
        <v>2303</v>
      </c>
      <c r="H3976" s="13">
        <f>ROUND(G3976/2,0)</f>
        <v>1152</v>
      </c>
      <c r="I3976" s="12">
        <f>G3976-H3976</f>
        <v>1151</v>
      </c>
      <c r="J3976" s="3" t="str">
        <f t="shared" si="286"/>
        <v>5220010</v>
      </c>
    </row>
    <row r="3977" spans="2:10" s="3" customFormat="1">
      <c r="B3977" s="3" t="s">
        <v>2136</v>
      </c>
      <c r="C3977" s="8">
        <v>2</v>
      </c>
      <c r="D3977" s="3" t="s">
        <v>2197</v>
      </c>
      <c r="E3977" s="11" t="s">
        <v>11</v>
      </c>
      <c r="F3977" s="10">
        <v>2.0070000000000001E-3</v>
      </c>
      <c r="G3977" s="12">
        <f>ROUND(G$3*F3977,0)</f>
        <v>577</v>
      </c>
      <c r="H3977" s="13">
        <f>ROUND(G3977/2,0)</f>
        <v>289</v>
      </c>
      <c r="I3977" s="12">
        <f>G3977-H3977</f>
        <v>288</v>
      </c>
      <c r="J3977" s="3" t="str">
        <f t="shared" si="286"/>
        <v>5220010</v>
      </c>
    </row>
    <row r="3978" spans="2:10" s="3" customFormat="1">
      <c r="B3978" s="3" t="s">
        <v>2136</v>
      </c>
      <c r="C3978" s="8">
        <v>2</v>
      </c>
      <c r="D3978" s="3" t="s">
        <v>2198</v>
      </c>
      <c r="E3978" s="11" t="s">
        <v>1124</v>
      </c>
      <c r="F3978" s="11"/>
      <c r="G3978" s="9"/>
      <c r="H3978" s="11"/>
      <c r="I3978" s="11"/>
      <c r="J3978" s="3" t="str">
        <f t="shared" si="286"/>
        <v>5220011</v>
      </c>
    </row>
    <row r="3979" spans="2:10" s="3" customFormat="1">
      <c r="B3979" s="3" t="s">
        <v>2136</v>
      </c>
      <c r="C3979" s="8">
        <v>2</v>
      </c>
      <c r="D3979" s="3" t="s">
        <v>2198</v>
      </c>
      <c r="E3979" s="11" t="s">
        <v>10</v>
      </c>
      <c r="F3979" s="10">
        <v>6.4199999999999999E-4</v>
      </c>
      <c r="G3979" s="12">
        <f>ROUND(G$3*F3979,0)</f>
        <v>185</v>
      </c>
      <c r="H3979" s="13">
        <f>ROUND(G3979/2,0)</f>
        <v>93</v>
      </c>
      <c r="I3979" s="12">
        <f>G3979-H3979</f>
        <v>92</v>
      </c>
      <c r="J3979" s="3" t="str">
        <f t="shared" si="286"/>
        <v>5220011</v>
      </c>
    </row>
    <row r="3980" spans="2:10" s="3" customFormat="1">
      <c r="B3980" s="3" t="s">
        <v>2136</v>
      </c>
      <c r="C3980" s="8">
        <v>2</v>
      </c>
      <c r="D3980" s="3" t="s">
        <v>2198</v>
      </c>
      <c r="E3980" s="11" t="s">
        <v>11</v>
      </c>
      <c r="F3980" s="10">
        <v>6.0400000000000004E-4</v>
      </c>
      <c r="G3980" s="12">
        <f>ROUND(G$3*F3980,0)</f>
        <v>174</v>
      </c>
      <c r="H3980" s="13">
        <f>ROUND(G3980/2,0)</f>
        <v>87</v>
      </c>
      <c r="I3980" s="12">
        <f>G3980-H3980</f>
        <v>87</v>
      </c>
      <c r="J3980" s="3" t="str">
        <f t="shared" si="286"/>
        <v>5220011</v>
      </c>
    </row>
    <row r="3981" spans="2:10" s="3" customFormat="1">
      <c r="B3981" s="3" t="s">
        <v>2136</v>
      </c>
      <c r="C3981" s="8">
        <v>2</v>
      </c>
      <c r="D3981" s="3" t="s">
        <v>2199</v>
      </c>
      <c r="E3981" s="11" t="s">
        <v>114</v>
      </c>
      <c r="F3981" s="11"/>
      <c r="G3981" s="9"/>
      <c r="H3981" s="11"/>
      <c r="I3981" s="11"/>
      <c r="J3981" s="3" t="str">
        <f t="shared" si="286"/>
        <v>5220012</v>
      </c>
    </row>
    <row r="3982" spans="2:10" s="3" customFormat="1">
      <c r="B3982" s="3" t="s">
        <v>2136</v>
      </c>
      <c r="C3982" s="8">
        <v>2</v>
      </c>
      <c r="D3982" s="3" t="s">
        <v>2199</v>
      </c>
      <c r="E3982" s="11" t="s">
        <v>10</v>
      </c>
      <c r="F3982" s="10">
        <v>5.4100000000000003E-4</v>
      </c>
      <c r="G3982" s="12">
        <f>ROUND(G$3*F3982,0)</f>
        <v>156</v>
      </c>
      <c r="H3982" s="13">
        <f>ROUND(G3982/2,0)</f>
        <v>78</v>
      </c>
      <c r="I3982" s="12">
        <f>G3982-H3982</f>
        <v>78</v>
      </c>
      <c r="J3982" s="3" t="str">
        <f t="shared" si="286"/>
        <v>5220012</v>
      </c>
    </row>
    <row r="3983" spans="2:10" s="3" customFormat="1">
      <c r="B3983" s="3" t="s">
        <v>2136</v>
      </c>
      <c r="C3983" s="8">
        <v>2</v>
      </c>
      <c r="D3983" s="3" t="s">
        <v>2199</v>
      </c>
      <c r="E3983" s="11" t="s">
        <v>11</v>
      </c>
      <c r="F3983" s="10">
        <v>2.7599999999999999E-4</v>
      </c>
      <c r="G3983" s="12">
        <f>ROUND(G$3*F3983,0)</f>
        <v>79</v>
      </c>
      <c r="H3983" s="13">
        <f>ROUND(G3983/2,0)</f>
        <v>40</v>
      </c>
      <c r="I3983" s="12">
        <f>G3983-H3983</f>
        <v>39</v>
      </c>
      <c r="J3983" s="3" t="str">
        <f t="shared" si="286"/>
        <v>5220012</v>
      </c>
    </row>
    <row r="3984" spans="2:10" s="3" customFormat="1">
      <c r="B3984" s="3" t="s">
        <v>2136</v>
      </c>
      <c r="C3984" s="8">
        <v>2</v>
      </c>
      <c r="D3984" s="3" t="s">
        <v>2208</v>
      </c>
      <c r="E3984" s="11" t="s">
        <v>1229</v>
      </c>
      <c r="F3984" s="11"/>
      <c r="G3984" s="9"/>
      <c r="H3984" s="11"/>
      <c r="I3984" s="11"/>
      <c r="J3984" s="3" t="str">
        <f t="shared" si="286"/>
        <v>5220013</v>
      </c>
    </row>
    <row r="3985" spans="2:10" s="3" customFormat="1">
      <c r="B3985" s="3" t="s">
        <v>2136</v>
      </c>
      <c r="C3985" s="8">
        <v>2</v>
      </c>
      <c r="D3985" s="3" t="s">
        <v>2208</v>
      </c>
      <c r="E3985" s="11" t="s">
        <v>10</v>
      </c>
      <c r="F3985" s="10">
        <v>9.3999999999999997E-4</v>
      </c>
      <c r="G3985" s="12">
        <f>ROUND(G$3*F3985,0)</f>
        <v>270</v>
      </c>
      <c r="H3985" s="13">
        <f>ROUND(G3985/2,0)</f>
        <v>135</v>
      </c>
      <c r="I3985" s="12">
        <f>G3985-H3985</f>
        <v>135</v>
      </c>
      <c r="J3985" s="3" t="str">
        <f t="shared" si="286"/>
        <v>5220013</v>
      </c>
    </row>
    <row r="3986" spans="2:10" s="3" customFormat="1">
      <c r="B3986" s="3" t="s">
        <v>2136</v>
      </c>
      <c r="C3986" s="8">
        <v>2</v>
      </c>
      <c r="D3986" s="3" t="s">
        <v>2208</v>
      </c>
      <c r="E3986" s="11" t="s">
        <v>11</v>
      </c>
      <c r="F3986" s="10">
        <v>5.71E-4</v>
      </c>
      <c r="G3986" s="12">
        <f>ROUND(G$3*F3986,0)</f>
        <v>164</v>
      </c>
      <c r="H3986" s="13">
        <f>ROUND(G3986/2,0)</f>
        <v>82</v>
      </c>
      <c r="I3986" s="12">
        <f>G3986-H3986</f>
        <v>82</v>
      </c>
      <c r="J3986" s="3" t="str">
        <f t="shared" si="286"/>
        <v>5220013</v>
      </c>
    </row>
    <row r="3987" spans="2:10" s="3" customFormat="1">
      <c r="B3987" s="3" t="s">
        <v>2136</v>
      </c>
      <c r="C3987" s="8">
        <v>2</v>
      </c>
      <c r="D3987" s="3" t="s">
        <v>2209</v>
      </c>
      <c r="E3987" s="11" t="s">
        <v>22</v>
      </c>
      <c r="F3987" s="11"/>
      <c r="G3987" s="9"/>
      <c r="H3987" s="11"/>
      <c r="I3987" s="11"/>
      <c r="J3987" s="3" t="str">
        <f t="shared" si="286"/>
        <v>5220014</v>
      </c>
    </row>
    <row r="3988" spans="2:10" s="3" customFormat="1">
      <c r="B3988" s="3" t="s">
        <v>2136</v>
      </c>
      <c r="C3988" s="8">
        <v>2</v>
      </c>
      <c r="D3988" s="3" t="s">
        <v>2209</v>
      </c>
      <c r="E3988" s="11" t="s">
        <v>10</v>
      </c>
      <c r="F3988" s="10">
        <v>6.0800000000000003E-4</v>
      </c>
      <c r="G3988" s="12">
        <f t="shared" ref="G3988:G3996" si="287">ROUND(G$3*F3988,0)</f>
        <v>175</v>
      </c>
      <c r="H3988" s="13">
        <f t="shared" ref="H3988:H3996" si="288">ROUND(G3988/2,0)</f>
        <v>88</v>
      </c>
      <c r="I3988" s="12">
        <f t="shared" ref="I3988:I3996" si="289">G3988-H3988</f>
        <v>87</v>
      </c>
      <c r="J3988" s="3" t="str">
        <f t="shared" si="286"/>
        <v>5220014</v>
      </c>
    </row>
    <row r="3989" spans="2:10" s="3" customFormat="1">
      <c r="B3989" s="3" t="s">
        <v>2136</v>
      </c>
      <c r="C3989" s="8">
        <v>2</v>
      </c>
      <c r="D3989" s="3" t="s">
        <v>2209</v>
      </c>
      <c r="E3989" s="11" t="s">
        <v>11</v>
      </c>
      <c r="F3989" s="10">
        <v>6.1200000000000002E-4</v>
      </c>
      <c r="G3989" s="12">
        <f t="shared" si="287"/>
        <v>176</v>
      </c>
      <c r="H3989" s="13">
        <f t="shared" si="288"/>
        <v>88</v>
      </c>
      <c r="I3989" s="12">
        <f t="shared" si="289"/>
        <v>88</v>
      </c>
      <c r="J3989" s="3" t="str">
        <f t="shared" si="286"/>
        <v>5220014</v>
      </c>
    </row>
    <row r="3990" spans="2:10" s="3" customFormat="1">
      <c r="B3990" s="3" t="s">
        <v>2136</v>
      </c>
      <c r="C3990" s="8">
        <v>3</v>
      </c>
      <c r="D3990" s="3" t="s">
        <v>2844</v>
      </c>
      <c r="E3990" s="11" t="s">
        <v>1230</v>
      </c>
      <c r="F3990" s="10">
        <v>3.0600000000000001E-4</v>
      </c>
      <c r="G3990" s="12">
        <f t="shared" si="287"/>
        <v>88</v>
      </c>
      <c r="H3990" s="13">
        <f t="shared" si="288"/>
        <v>44</v>
      </c>
      <c r="I3990" s="12">
        <f t="shared" si="289"/>
        <v>44</v>
      </c>
      <c r="J3990" s="3" t="str">
        <f t="shared" si="286"/>
        <v>5230782</v>
      </c>
    </row>
    <row r="3991" spans="2:10" s="3" customFormat="1">
      <c r="B3991" s="3" t="s">
        <v>2136</v>
      </c>
      <c r="C3991" s="8">
        <v>3</v>
      </c>
      <c r="D3991" s="3" t="s">
        <v>2845</v>
      </c>
      <c r="E3991" s="11" t="s">
        <v>1231</v>
      </c>
      <c r="F3991" s="10">
        <v>5.4500000000000002E-4</v>
      </c>
      <c r="G3991" s="12">
        <f t="shared" si="287"/>
        <v>157</v>
      </c>
      <c r="H3991" s="13">
        <f t="shared" si="288"/>
        <v>79</v>
      </c>
      <c r="I3991" s="12">
        <f t="shared" si="289"/>
        <v>78</v>
      </c>
      <c r="J3991" s="3" t="str">
        <f t="shared" si="286"/>
        <v>5230783</v>
      </c>
    </row>
    <row r="3992" spans="2:10" s="3" customFormat="1">
      <c r="B3992" s="3" t="s">
        <v>2136</v>
      </c>
      <c r="C3992" s="8">
        <v>3</v>
      </c>
      <c r="D3992" s="3" t="s">
        <v>2484</v>
      </c>
      <c r="E3992" s="11" t="s">
        <v>596</v>
      </c>
      <c r="F3992" s="10">
        <v>6.6709999999999998E-3</v>
      </c>
      <c r="G3992" s="12">
        <f t="shared" si="287"/>
        <v>1919</v>
      </c>
      <c r="H3992" s="13">
        <f t="shared" si="288"/>
        <v>960</v>
      </c>
      <c r="I3992" s="12">
        <f t="shared" si="289"/>
        <v>959</v>
      </c>
      <c r="J3992" s="3" t="str">
        <f t="shared" si="286"/>
        <v>5230784</v>
      </c>
    </row>
    <row r="3993" spans="2:10" s="3" customFormat="1">
      <c r="B3993" s="3" t="s">
        <v>2136</v>
      </c>
      <c r="C3993" s="8">
        <v>3</v>
      </c>
      <c r="D3993" s="3" t="s">
        <v>2846</v>
      </c>
      <c r="E3993" s="11" t="s">
        <v>1232</v>
      </c>
      <c r="F3993" s="10">
        <v>1.75E-4</v>
      </c>
      <c r="G3993" s="12">
        <f t="shared" si="287"/>
        <v>50</v>
      </c>
      <c r="H3993" s="13">
        <f t="shared" si="288"/>
        <v>25</v>
      </c>
      <c r="I3993" s="12">
        <f t="shared" si="289"/>
        <v>25</v>
      </c>
      <c r="J3993" s="3" t="str">
        <f t="shared" si="286"/>
        <v>5230785</v>
      </c>
    </row>
    <row r="3994" spans="2:10" s="3" customFormat="1">
      <c r="B3994" s="3" t="s">
        <v>2136</v>
      </c>
      <c r="C3994" s="8">
        <v>3</v>
      </c>
      <c r="D3994" s="3" t="s">
        <v>2847</v>
      </c>
      <c r="E3994" s="11" t="s">
        <v>1233</v>
      </c>
      <c r="F3994" s="10">
        <v>1.01E-4</v>
      </c>
      <c r="G3994" s="12">
        <f t="shared" si="287"/>
        <v>29</v>
      </c>
      <c r="H3994" s="13">
        <f t="shared" si="288"/>
        <v>15</v>
      </c>
      <c r="I3994" s="12">
        <f t="shared" si="289"/>
        <v>14</v>
      </c>
      <c r="J3994" s="3" t="str">
        <f t="shared" si="286"/>
        <v>5230786</v>
      </c>
    </row>
    <row r="3995" spans="2:10" s="3" customFormat="1">
      <c r="B3995" s="3" t="s">
        <v>2136</v>
      </c>
      <c r="C3995" s="8">
        <v>3</v>
      </c>
      <c r="D3995" s="3" t="s">
        <v>2843</v>
      </c>
      <c r="E3995" s="11" t="s">
        <v>1234</v>
      </c>
      <c r="F3995" s="10">
        <v>9.4884999999999997E-2</v>
      </c>
      <c r="G3995" s="12">
        <f t="shared" si="287"/>
        <v>27301</v>
      </c>
      <c r="H3995" s="13">
        <f t="shared" si="288"/>
        <v>13651</v>
      </c>
      <c r="I3995" s="12">
        <f t="shared" si="289"/>
        <v>13650</v>
      </c>
      <c r="J3995" s="3" t="str">
        <f t="shared" si="286"/>
        <v>5230310</v>
      </c>
    </row>
    <row r="3996" spans="2:10" s="3" customFormat="1">
      <c r="B3996" s="3" t="s">
        <v>2136</v>
      </c>
      <c r="C3996" s="8">
        <v>4</v>
      </c>
      <c r="D3996" s="116" t="s">
        <v>2848</v>
      </c>
      <c r="E3996" s="11" t="s">
        <v>1235</v>
      </c>
      <c r="F3996" s="10">
        <v>0.171654</v>
      </c>
      <c r="G3996" s="9">
        <f t="shared" si="287"/>
        <v>49389</v>
      </c>
      <c r="H3996" s="11">
        <f t="shared" si="288"/>
        <v>24695</v>
      </c>
      <c r="I3996" s="9">
        <f t="shared" si="289"/>
        <v>24694</v>
      </c>
      <c r="J3996" s="3" t="str">
        <f t="shared" si="286"/>
        <v>5245615</v>
      </c>
    </row>
    <row r="3997" spans="2:10" s="3" customFormat="1">
      <c r="B3997" s="3" t="s">
        <v>2136</v>
      </c>
      <c r="C3997" s="8">
        <v>4</v>
      </c>
      <c r="D3997" s="116" t="s">
        <v>2848</v>
      </c>
      <c r="E3997" s="11" t="s">
        <v>28</v>
      </c>
      <c r="F3997" s="11"/>
      <c r="G3997" s="14">
        <v>0.66305099999999995</v>
      </c>
      <c r="H3997" s="11"/>
      <c r="I3997" s="11"/>
      <c r="J3997" s="3" t="str">
        <f t="shared" si="286"/>
        <v>5245615</v>
      </c>
    </row>
    <row r="3998" spans="2:10" s="3" customFormat="1">
      <c r="B3998" s="3" t="s">
        <v>2136</v>
      </c>
      <c r="C3998" s="8">
        <v>4</v>
      </c>
      <c r="D3998" s="116" t="s">
        <v>2848</v>
      </c>
      <c r="E3998" s="11" t="s">
        <v>29</v>
      </c>
      <c r="F3998" s="11"/>
      <c r="G3998" s="15">
        <f>ROUND(G3996*G3997,0)</f>
        <v>32747</v>
      </c>
      <c r="H3998" s="16">
        <f>ROUND(G3998/2,0)</f>
        <v>16374</v>
      </c>
      <c r="I3998" s="15">
        <f>G3998-H3998</f>
        <v>16373</v>
      </c>
      <c r="J3998" s="3" t="str">
        <f t="shared" si="286"/>
        <v>5245615</v>
      </c>
    </row>
    <row r="3999" spans="2:10" s="3" customFormat="1">
      <c r="B3999" s="3" t="s">
        <v>2136</v>
      </c>
      <c r="C3999" s="8">
        <v>4</v>
      </c>
      <c r="D3999" s="116" t="s">
        <v>2848</v>
      </c>
      <c r="E3999" s="11" t="s">
        <v>30</v>
      </c>
      <c r="F3999" s="11"/>
      <c r="G3999" s="12">
        <f>+G3996-G3998</f>
        <v>16642</v>
      </c>
      <c r="H3999" s="13">
        <f>ROUND(G3999/2,0)</f>
        <v>8321</v>
      </c>
      <c r="I3999" s="12">
        <f>G3999-H3999</f>
        <v>8321</v>
      </c>
      <c r="J3999" s="3" t="str">
        <f t="shared" si="286"/>
        <v>5245615</v>
      </c>
    </row>
    <row r="4000" spans="2:10" s="3" customFormat="1">
      <c r="B4000" s="3" t="s">
        <v>2136</v>
      </c>
      <c r="C4000" s="8">
        <v>4</v>
      </c>
      <c r="D4000" s="3" t="s">
        <v>2849</v>
      </c>
      <c r="E4000" s="11" t="s">
        <v>1236</v>
      </c>
      <c r="F4000" s="10">
        <v>0.14373</v>
      </c>
      <c r="G4000" s="9">
        <f>ROUND(G$3*F4000,0)</f>
        <v>41354</v>
      </c>
      <c r="H4000" s="11">
        <f>ROUND(G4000/2,0)</f>
        <v>20677</v>
      </c>
      <c r="I4000" s="9">
        <f>G4000-H4000</f>
        <v>20677</v>
      </c>
      <c r="J4000" s="3" t="str">
        <f t="shared" si="286"/>
        <v>5245620</v>
      </c>
    </row>
    <row r="4001" spans="1:10" s="3" customFormat="1">
      <c r="B4001" s="3" t="s">
        <v>2136</v>
      </c>
      <c r="C4001" s="8">
        <v>4</v>
      </c>
      <c r="D4001" s="3" t="s">
        <v>2849</v>
      </c>
      <c r="E4001" s="11" t="s">
        <v>28</v>
      </c>
      <c r="F4001" s="11"/>
      <c r="G4001" s="14">
        <v>0.45907700000000001</v>
      </c>
      <c r="H4001" s="11"/>
      <c r="I4001" s="11"/>
      <c r="J4001" s="3" t="str">
        <f t="shared" si="286"/>
        <v>5245620</v>
      </c>
    </row>
    <row r="4002" spans="1:10" s="3" customFormat="1">
      <c r="B4002" s="3" t="s">
        <v>2136</v>
      </c>
      <c r="C4002" s="8">
        <v>4</v>
      </c>
      <c r="D4002" s="3" t="s">
        <v>2849</v>
      </c>
      <c r="E4002" s="11" t="s">
        <v>29</v>
      </c>
      <c r="F4002" s="11"/>
      <c r="G4002" s="15">
        <f>ROUND(G4000*G4001,0)</f>
        <v>18985</v>
      </c>
      <c r="H4002" s="16">
        <f>ROUND(G4002/2,0)</f>
        <v>9493</v>
      </c>
      <c r="I4002" s="15">
        <f>G4002-H4002</f>
        <v>9492</v>
      </c>
      <c r="J4002" s="3" t="str">
        <f t="shared" si="286"/>
        <v>5245620</v>
      </c>
    </row>
    <row r="4003" spans="1:10" s="3" customFormat="1">
      <c r="B4003" s="3" t="s">
        <v>2136</v>
      </c>
      <c r="C4003" s="8">
        <v>4</v>
      </c>
      <c r="D4003" s="3" t="s">
        <v>2849</v>
      </c>
      <c r="E4003" s="11" t="s">
        <v>30</v>
      </c>
      <c r="F4003" s="11"/>
      <c r="G4003" s="12">
        <f>+G4000-G4002</f>
        <v>22369</v>
      </c>
      <c r="H4003" s="13">
        <f>ROUND(G4003/2,0)</f>
        <v>11185</v>
      </c>
      <c r="I4003" s="12">
        <f>G4003-H4003</f>
        <v>11184</v>
      </c>
      <c r="J4003" s="3" t="str">
        <f t="shared" si="286"/>
        <v>5245620</v>
      </c>
    </row>
    <row r="4004" spans="1:10" s="3" customFormat="1">
      <c r="B4004" s="3" t="s">
        <v>2136</v>
      </c>
      <c r="C4004" s="8">
        <v>4</v>
      </c>
      <c r="D4004" s="3" t="s">
        <v>2488</v>
      </c>
      <c r="E4004" s="11" t="s">
        <v>611</v>
      </c>
      <c r="F4004" s="10">
        <v>5.2039000000000002E-2</v>
      </c>
      <c r="G4004" s="9">
        <f>ROUND(G$3*F4004,0)</f>
        <v>14973</v>
      </c>
      <c r="H4004" s="11">
        <f>ROUND(G4004/2,0)</f>
        <v>7487</v>
      </c>
      <c r="I4004" s="9">
        <f>G4004-H4004</f>
        <v>7486</v>
      </c>
      <c r="J4004" s="3" t="str">
        <f t="shared" si="286"/>
        <v>5245625</v>
      </c>
    </row>
    <row r="4005" spans="1:10" s="3" customFormat="1">
      <c r="B4005" s="3" t="s">
        <v>2136</v>
      </c>
      <c r="C4005" s="8">
        <v>4</v>
      </c>
      <c r="D4005" s="3" t="s">
        <v>2488</v>
      </c>
      <c r="E4005" s="11" t="s">
        <v>28</v>
      </c>
      <c r="F4005" s="11"/>
      <c r="G4005" s="14">
        <v>0.415018</v>
      </c>
      <c r="H4005" s="11"/>
      <c r="I4005" s="11"/>
      <c r="J4005" s="3" t="str">
        <f t="shared" si="286"/>
        <v>5245625</v>
      </c>
    </row>
    <row r="4006" spans="1:10" s="3" customFormat="1">
      <c r="B4006" s="3" t="s">
        <v>2136</v>
      </c>
      <c r="C4006" s="8">
        <v>4</v>
      </c>
      <c r="D4006" s="3" t="s">
        <v>2488</v>
      </c>
      <c r="E4006" s="11" t="s">
        <v>29</v>
      </c>
      <c r="F4006" s="11"/>
      <c r="G4006" s="15">
        <f>ROUND(G4004*G4005,0)</f>
        <v>6214</v>
      </c>
      <c r="H4006" s="16">
        <f>ROUND(G4006/2,0)</f>
        <v>3107</v>
      </c>
      <c r="I4006" s="15">
        <f>G4006-H4006</f>
        <v>3107</v>
      </c>
      <c r="J4006" s="3" t="str">
        <f t="shared" si="286"/>
        <v>5245625</v>
      </c>
    </row>
    <row r="4007" spans="1:10" s="3" customFormat="1">
      <c r="B4007" s="3" t="s">
        <v>2136</v>
      </c>
      <c r="C4007" s="8">
        <v>4</v>
      </c>
      <c r="D4007" s="3" t="s">
        <v>2488</v>
      </c>
      <c r="E4007" s="11" t="s">
        <v>30</v>
      </c>
      <c r="F4007" s="11"/>
      <c r="G4007" s="12">
        <f>+G4004-G4006</f>
        <v>8759</v>
      </c>
      <c r="H4007" s="13">
        <f>ROUND(G4007/2,0)</f>
        <v>4380</v>
      </c>
      <c r="I4007" s="12">
        <f>G4007-H4007</f>
        <v>4379</v>
      </c>
      <c r="J4007" s="3" t="str">
        <f t="shared" si="286"/>
        <v>5245625</v>
      </c>
    </row>
    <row r="4008" spans="1:10" s="3" customFormat="1">
      <c r="B4008" s="3" t="s">
        <v>2136</v>
      </c>
      <c r="C4008" s="8">
        <v>4</v>
      </c>
      <c r="D4008" s="3" t="s">
        <v>2850</v>
      </c>
      <c r="E4008" s="11" t="s">
        <v>1237</v>
      </c>
      <c r="F4008" s="10">
        <v>0.26249800000000001</v>
      </c>
      <c r="G4008" s="9">
        <f>ROUND(G$3*F4008,0)</f>
        <v>75527</v>
      </c>
      <c r="H4008" s="11">
        <f>ROUND(G4008/2,0)</f>
        <v>37764</v>
      </c>
      <c r="I4008" s="9">
        <f>G4008-H4008</f>
        <v>37763</v>
      </c>
      <c r="J4008" s="3" t="str">
        <f t="shared" si="286"/>
        <v>5245635</v>
      </c>
    </row>
    <row r="4009" spans="1:10" s="3" customFormat="1">
      <c r="B4009" s="3" t="s">
        <v>2136</v>
      </c>
      <c r="C4009" s="8">
        <v>4</v>
      </c>
      <c r="D4009" s="3" t="s">
        <v>2850</v>
      </c>
      <c r="E4009" s="11" t="s">
        <v>28</v>
      </c>
      <c r="F4009" s="11"/>
      <c r="G4009" s="14">
        <v>0.38120900000000002</v>
      </c>
      <c r="H4009" s="11"/>
      <c r="I4009" s="11"/>
      <c r="J4009" s="3" t="str">
        <f t="shared" si="286"/>
        <v>5245635</v>
      </c>
    </row>
    <row r="4010" spans="1:10" s="3" customFormat="1">
      <c r="B4010" s="3" t="s">
        <v>2136</v>
      </c>
      <c r="C4010" s="8">
        <v>4</v>
      </c>
      <c r="D4010" s="3" t="s">
        <v>2850</v>
      </c>
      <c r="E4010" s="11" t="s">
        <v>29</v>
      </c>
      <c r="F4010" s="11"/>
      <c r="G4010" s="15">
        <f>ROUND(G4008*G4009,0)</f>
        <v>28792</v>
      </c>
      <c r="H4010" s="16">
        <f>ROUND(G4010/2,0)</f>
        <v>14396</v>
      </c>
      <c r="I4010" s="15">
        <f>G4010-H4010</f>
        <v>14396</v>
      </c>
      <c r="J4010" s="3" t="str">
        <f t="shared" si="286"/>
        <v>5245635</v>
      </c>
    </row>
    <row r="4011" spans="1:10" s="3" customFormat="1">
      <c r="B4011" s="3" t="s">
        <v>2136</v>
      </c>
      <c r="C4011" s="8">
        <v>4</v>
      </c>
      <c r="D4011" s="3" t="s">
        <v>2850</v>
      </c>
      <c r="E4011" s="11" t="s">
        <v>30</v>
      </c>
      <c r="F4011" s="11"/>
      <c r="G4011" s="12">
        <f>+G4008-G4010</f>
        <v>46735</v>
      </c>
      <c r="H4011" s="13">
        <f>ROUND(G4011/2,0)</f>
        <v>23368</v>
      </c>
      <c r="I4011" s="12">
        <f>G4011-H4011</f>
        <v>23367</v>
      </c>
      <c r="J4011" s="3" t="str">
        <f t="shared" si="286"/>
        <v>5245635</v>
      </c>
    </row>
    <row r="4012" spans="1:10" s="3" customFormat="1">
      <c r="B4012" s="3" t="s">
        <v>2136</v>
      </c>
      <c r="C4012" s="8">
        <v>5</v>
      </c>
      <c r="D4012" s="3" t="s">
        <v>2495</v>
      </c>
      <c r="E4012" s="11" t="s">
        <v>1238</v>
      </c>
      <c r="F4012" s="10">
        <v>3.313E-3</v>
      </c>
      <c r="G4012" s="120">
        <f>ROUND(G$3*F4012,0)</f>
        <v>953</v>
      </c>
      <c r="H4012" s="120">
        <f>ROUND(G4012/2,0)</f>
        <v>477</v>
      </c>
      <c r="I4012" s="120">
        <f>G4012-H4012</f>
        <v>476</v>
      </c>
      <c r="J4012" s="3" t="str">
        <f t="shared" si="286"/>
        <v>5250152</v>
      </c>
    </row>
    <row r="4013" spans="1:10" s="3" customFormat="1">
      <c r="B4013" s="3" t="s">
        <v>2136</v>
      </c>
      <c r="C4013" s="8">
        <v>5</v>
      </c>
      <c r="D4013" s="3" t="s">
        <v>2851</v>
      </c>
      <c r="E4013" s="11" t="s">
        <v>1239</v>
      </c>
      <c r="F4013" s="10">
        <v>6.2020000000000408E-3</v>
      </c>
      <c r="G4013" s="120">
        <f>+G3942-SUM(G3943:G3944)-SUM(G3949:G3996)-G4000-G4004-G4008-G4012</f>
        <v>-41683</v>
      </c>
      <c r="H4013" s="120">
        <f>ROUND(G4013/2,0)</f>
        <v>-20842</v>
      </c>
      <c r="I4013" s="120">
        <f>G4013-H4013</f>
        <v>-20841</v>
      </c>
      <c r="J4013" s="3" t="str">
        <f t="shared" si="286"/>
        <v>5250153</v>
      </c>
    </row>
    <row r="4014" spans="1:10" s="3" customFormat="1">
      <c r="A4014" s="3" t="s">
        <v>6269</v>
      </c>
      <c r="B4014" s="3" t="s">
        <v>2136</v>
      </c>
      <c r="C4014" s="8">
        <v>6</v>
      </c>
      <c r="D4014" s="3" t="s">
        <v>5047</v>
      </c>
      <c r="E4014" s="11" t="s">
        <v>1240</v>
      </c>
      <c r="F4014" s="10">
        <v>0</v>
      </c>
      <c r="G4014" s="120">
        <f>ROUND(G$3*F4014,0)</f>
        <v>0</v>
      </c>
      <c r="H4014" s="120">
        <f>ROUND(G4014/2,0)</f>
        <v>0</v>
      </c>
      <c r="I4014" s="120">
        <f>G4014-H4014</f>
        <v>0</v>
      </c>
      <c r="J4014" s="3" t="str">
        <f t="shared" si="286"/>
        <v>5261060</v>
      </c>
    </row>
    <row r="4015" spans="1:10" s="3" customFormat="1">
      <c r="B4015" s="3" t="s">
        <v>2136</v>
      </c>
      <c r="C4015" s="8">
        <v>0</v>
      </c>
      <c r="D4015" s="125" t="s">
        <v>2187</v>
      </c>
      <c r="E4015" s="28" t="s">
        <v>288</v>
      </c>
      <c r="F4015" s="10">
        <v>1</v>
      </c>
      <c r="G4015" s="12">
        <f>+G3943+SUM(G3946:G3995)+SUM(G3998:G3999)+SUM(G4002:G4003)+SUM(G4006:G4007)+SUM(G4010:G4014)</f>
        <v>244256</v>
      </c>
      <c r="H4015" s="12">
        <f>+H3943+SUM(H3946:H3995)+SUM(H3998:H3999)+SUM(H4002:H4003)+SUM(H4006:H4007)+SUM(H4010:H4014)</f>
        <v>122141</v>
      </c>
      <c r="I4015" s="12">
        <f>+I3943+SUM(I3946:I3995)+SUM(I3998:I3999)+SUM(I4002:I4003)+SUM(I4006:I4007)+SUM(I4010:I4014)</f>
        <v>122115</v>
      </c>
      <c r="J4015" s="3" t="str">
        <f t="shared" si="286"/>
        <v>5200000</v>
      </c>
    </row>
    <row r="4016" spans="1:10" s="3" customFormat="1">
      <c r="B4016" s="3" t="s">
        <v>2136</v>
      </c>
      <c r="C4016" s="8">
        <v>0</v>
      </c>
      <c r="D4016" s="3" t="s">
        <v>2187</v>
      </c>
      <c r="E4016" s="18" t="s">
        <v>38</v>
      </c>
      <c r="G4016" s="19">
        <f>+G3943</f>
        <v>345</v>
      </c>
      <c r="H4016" s="19">
        <f>+H3943</f>
        <v>173</v>
      </c>
      <c r="I4016" s="19">
        <f>+I3943</f>
        <v>172</v>
      </c>
      <c r="J4016" s="3" t="str">
        <f t="shared" si="286"/>
        <v>5200000</v>
      </c>
    </row>
    <row r="4017" spans="2:10" s="3" customFormat="1">
      <c r="B4017" s="3" t="s">
        <v>2136</v>
      </c>
      <c r="C4017" s="8">
        <v>0</v>
      </c>
      <c r="D4017" s="3" t="s">
        <v>2187</v>
      </c>
      <c r="E4017" s="2" t="s">
        <v>39</v>
      </c>
      <c r="G4017" s="19">
        <f>+G3946</f>
        <v>19366</v>
      </c>
      <c r="H4017" s="19">
        <f>+H3946</f>
        <v>9683</v>
      </c>
      <c r="I4017" s="19">
        <f>+I3946</f>
        <v>9683</v>
      </c>
      <c r="J4017" s="3" t="str">
        <f t="shared" si="286"/>
        <v>5200000</v>
      </c>
    </row>
    <row r="4018" spans="2:10" s="3" customFormat="1">
      <c r="B4018" s="3" t="s">
        <v>2136</v>
      </c>
      <c r="C4018" s="8">
        <v>0</v>
      </c>
      <c r="D4018" s="3" t="s">
        <v>2187</v>
      </c>
      <c r="E4018" s="2" t="s">
        <v>40</v>
      </c>
      <c r="G4018" s="19">
        <f>+G3998+G4002+G4006+G4010</f>
        <v>86738</v>
      </c>
      <c r="H4018" s="19">
        <f>+H3998+H4002+H4006+H4010</f>
        <v>43370</v>
      </c>
      <c r="I4018" s="19">
        <f>+I3998+I4002+I4006+I4010</f>
        <v>43368</v>
      </c>
      <c r="J4018" s="3" t="str">
        <f t="shared" si="286"/>
        <v>5200000</v>
      </c>
    </row>
    <row r="4019" spans="2:10" s="3" customFormat="1">
      <c r="B4019" s="3" t="s">
        <v>2136</v>
      </c>
      <c r="C4019" s="8">
        <v>0</v>
      </c>
      <c r="D4019" s="125" t="s">
        <v>2187</v>
      </c>
      <c r="E4019" s="18" t="s">
        <v>41</v>
      </c>
      <c r="G4019" s="19">
        <f>+G4015-G4016-G4017-G4018</f>
        <v>137807</v>
      </c>
      <c r="H4019" s="19">
        <f>+H4015-H4016-H4017-H4018</f>
        <v>68915</v>
      </c>
      <c r="I4019" s="19">
        <f>+I4015-I4016-I4017-I4018</f>
        <v>68892</v>
      </c>
      <c r="J4019" s="3" t="str">
        <f t="shared" si="286"/>
        <v>5200000</v>
      </c>
    </row>
    <row r="4020" spans="2:10" ht="15.75">
      <c r="B4020" s="3" t="s">
        <v>2186</v>
      </c>
      <c r="D4020" t="s">
        <v>2186</v>
      </c>
      <c r="E4020">
        <v>0</v>
      </c>
      <c r="G4020"/>
      <c r="H4020"/>
      <c r="I4020"/>
      <c r="J4020" s="3" t="str">
        <f t="shared" si="286"/>
        <v/>
      </c>
    </row>
    <row r="4021" spans="2:10" s="3" customFormat="1">
      <c r="C4021" s="1"/>
      <c r="D4021" s="3" t="s">
        <v>2186</v>
      </c>
      <c r="E4021" s="2" t="s">
        <v>1241</v>
      </c>
      <c r="J4021" s="3" t="str">
        <f t="shared" si="286"/>
        <v/>
      </c>
    </row>
    <row r="4022" spans="2:10" s="3" customFormat="1" ht="45">
      <c r="B4022" s="3" t="s">
        <v>2186</v>
      </c>
      <c r="C4022" s="1"/>
      <c r="D4022" s="3" t="s">
        <v>2186</v>
      </c>
      <c r="E4022" s="3">
        <v>0</v>
      </c>
      <c r="F4022" s="6" t="s">
        <v>1</v>
      </c>
      <c r="G4022" s="60">
        <f>'Allocation Worksheet'!H4022</f>
        <v>0</v>
      </c>
      <c r="H4022" s="60">
        <f>'Allocation Worksheet'!H4023</f>
        <v>0</v>
      </c>
      <c r="I4022" s="60">
        <f>'Allocation Worksheet'!H4024</f>
        <v>0</v>
      </c>
      <c r="J4022" s="3" t="str">
        <f t="shared" si="286"/>
        <v/>
      </c>
    </row>
    <row r="4023" spans="2:10" s="3" customFormat="1">
      <c r="C4023" s="7" t="s">
        <v>2087</v>
      </c>
      <c r="D4023" s="3" t="s">
        <v>2186</v>
      </c>
      <c r="E4023" s="7" t="s">
        <v>3</v>
      </c>
      <c r="F4023" s="10"/>
      <c r="G4023" s="9">
        <f>'Allocation Worksheet'!$D$56</f>
        <v>934087</v>
      </c>
      <c r="H4023" s="11"/>
      <c r="I4023" s="11"/>
      <c r="J4023" s="3" t="str">
        <f t="shared" si="286"/>
        <v>UT</v>
      </c>
    </row>
    <row r="4024" spans="2:10" s="3" customFormat="1">
      <c r="B4024" s="3" t="s">
        <v>2137</v>
      </c>
      <c r="C4024" s="8">
        <v>0</v>
      </c>
      <c r="D4024" s="3" t="s">
        <v>2187</v>
      </c>
      <c r="E4024" s="11" t="s">
        <v>4</v>
      </c>
      <c r="F4024" s="10">
        <v>1.109E-3</v>
      </c>
      <c r="G4024" s="12">
        <f>ROUND(G$3*F4024,0)</f>
        <v>319</v>
      </c>
      <c r="H4024" s="13">
        <f>ROUND(G4024/2,0)</f>
        <v>160</v>
      </c>
      <c r="I4024" s="12">
        <f>G4024-H4024</f>
        <v>159</v>
      </c>
      <c r="J4024" s="3" t="str">
        <f t="shared" si="286"/>
        <v>5300000</v>
      </c>
    </row>
    <row r="4025" spans="2:10" s="3" customFormat="1">
      <c r="B4025" s="3" t="s">
        <v>2137</v>
      </c>
      <c r="C4025" s="8">
        <v>1</v>
      </c>
      <c r="D4025" s="3" t="s">
        <v>2187</v>
      </c>
      <c r="E4025" s="11" t="s">
        <v>1242</v>
      </c>
      <c r="F4025" s="10">
        <v>0.22822700000000001</v>
      </c>
      <c r="G4025" s="9">
        <f>ROUND(G$3*F4025,0)</f>
        <v>65666</v>
      </c>
      <c r="H4025" s="11">
        <f>ROUND(G4025/2,0)</f>
        <v>32833</v>
      </c>
      <c r="I4025" s="9">
        <f>G4025-H4025</f>
        <v>32833</v>
      </c>
      <c r="J4025" s="3" t="str">
        <f t="shared" si="286"/>
        <v>5310000</v>
      </c>
    </row>
    <row r="4026" spans="2:10" s="3" customFormat="1">
      <c r="B4026" s="3" t="s">
        <v>2137</v>
      </c>
      <c r="C4026" s="8">
        <v>1</v>
      </c>
      <c r="D4026" s="3" t="s">
        <v>2187</v>
      </c>
      <c r="E4026" s="11" t="s">
        <v>6</v>
      </c>
      <c r="F4026" s="11"/>
      <c r="G4026" s="14">
        <v>0.28630299999999997</v>
      </c>
      <c r="H4026" s="11"/>
      <c r="I4026" s="11"/>
      <c r="J4026" s="3" t="str">
        <f t="shared" si="286"/>
        <v>5310000</v>
      </c>
    </row>
    <row r="4027" spans="2:10" s="3" customFormat="1">
      <c r="B4027" s="3" t="s">
        <v>2137</v>
      </c>
      <c r="C4027" s="8">
        <v>1</v>
      </c>
      <c r="D4027" s="3" t="s">
        <v>2187</v>
      </c>
      <c r="E4027" s="11" t="s">
        <v>7</v>
      </c>
      <c r="F4027" s="11"/>
      <c r="G4027" s="15">
        <f>ROUND(G4025*G4026,0)</f>
        <v>18800</v>
      </c>
      <c r="H4027" s="16">
        <f>ROUND(G4027/2,0)</f>
        <v>9400</v>
      </c>
      <c r="I4027" s="15">
        <f>G4027-H4027</f>
        <v>9400</v>
      </c>
      <c r="J4027" s="3" t="str">
        <f t="shared" si="286"/>
        <v>5310000</v>
      </c>
    </row>
    <row r="4028" spans="2:10" s="3" customFormat="1">
      <c r="B4028" s="3" t="s">
        <v>2137</v>
      </c>
      <c r="C4028" s="8">
        <v>1</v>
      </c>
      <c r="D4028" s="3" t="s">
        <v>2187</v>
      </c>
      <c r="E4028" s="11" t="s">
        <v>8</v>
      </c>
      <c r="F4028" s="11"/>
      <c r="G4028" s="12">
        <f>+G4025-G4027</f>
        <v>46866</v>
      </c>
      <c r="H4028" s="13">
        <f>ROUND(G4028/2,0)</f>
        <v>23433</v>
      </c>
      <c r="I4028" s="12">
        <f>G4028-H4028</f>
        <v>23433</v>
      </c>
      <c r="J4028" s="3" t="str">
        <f t="shared" si="286"/>
        <v>5310000</v>
      </c>
    </row>
    <row r="4029" spans="2:10" s="3" customFormat="1">
      <c r="B4029" s="3" t="s">
        <v>2137</v>
      </c>
      <c r="C4029" s="8">
        <v>2</v>
      </c>
      <c r="D4029" s="3" t="s">
        <v>2188</v>
      </c>
      <c r="E4029" s="11" t="s">
        <v>1243</v>
      </c>
      <c r="F4029" s="11"/>
      <c r="G4029" s="9"/>
      <c r="H4029" s="11"/>
      <c r="I4029" s="11"/>
      <c r="J4029" s="3" t="str">
        <f t="shared" si="286"/>
        <v>5320001</v>
      </c>
    </row>
    <row r="4030" spans="2:10" s="3" customFormat="1">
      <c r="B4030" s="3" t="s">
        <v>2137</v>
      </c>
      <c r="C4030" s="8">
        <v>2</v>
      </c>
      <c r="D4030" s="3" t="s">
        <v>2188</v>
      </c>
      <c r="E4030" s="11" t="s">
        <v>10</v>
      </c>
      <c r="F4030" s="10">
        <v>2.33E-4</v>
      </c>
      <c r="G4030" s="12">
        <f>ROUND(G$3*F4030,0)</f>
        <v>67</v>
      </c>
      <c r="H4030" s="13">
        <f>ROUND(G4030/2,0)</f>
        <v>34</v>
      </c>
      <c r="I4030" s="12">
        <f>G4030-H4030</f>
        <v>33</v>
      </c>
      <c r="J4030" s="3" t="str">
        <f t="shared" si="286"/>
        <v>5320001</v>
      </c>
    </row>
    <row r="4031" spans="2:10" s="3" customFormat="1">
      <c r="B4031" s="3" t="s">
        <v>2137</v>
      </c>
      <c r="C4031" s="8">
        <v>2</v>
      </c>
      <c r="D4031" s="3" t="s">
        <v>2188</v>
      </c>
      <c r="E4031" s="11" t="s">
        <v>11</v>
      </c>
      <c r="F4031" s="10">
        <v>7.6000000000000004E-4</v>
      </c>
      <c r="G4031" s="12">
        <f>ROUND(G$3*F4031,0)</f>
        <v>219</v>
      </c>
      <c r="H4031" s="13">
        <f>ROUND(G4031/2,0)</f>
        <v>110</v>
      </c>
      <c r="I4031" s="12">
        <f>G4031-H4031</f>
        <v>109</v>
      </c>
      <c r="J4031" s="3" t="str">
        <f t="shared" si="286"/>
        <v>5320001</v>
      </c>
    </row>
    <row r="4032" spans="2:10" s="3" customFormat="1">
      <c r="B4032" s="3" t="s">
        <v>2137</v>
      </c>
      <c r="C4032" s="8">
        <v>2</v>
      </c>
      <c r="D4032" s="3" t="s">
        <v>2189</v>
      </c>
      <c r="E4032" s="11" t="s">
        <v>450</v>
      </c>
      <c r="F4032" s="11"/>
      <c r="G4032" s="9"/>
      <c r="H4032" s="11"/>
      <c r="I4032" s="11"/>
      <c r="J4032" s="3" t="str">
        <f t="shared" si="286"/>
        <v>5320002</v>
      </c>
    </row>
    <row r="4033" spans="1:10" s="3" customFormat="1">
      <c r="B4033" s="3" t="s">
        <v>2137</v>
      </c>
      <c r="C4033" s="8">
        <v>2</v>
      </c>
      <c r="D4033" s="3" t="s">
        <v>2189</v>
      </c>
      <c r="E4033" s="11" t="s">
        <v>10</v>
      </c>
      <c r="F4033" s="10">
        <v>1.1440000000000001E-3</v>
      </c>
      <c r="G4033" s="12">
        <f>ROUND(G$3*F4033,0)</f>
        <v>329</v>
      </c>
      <c r="H4033" s="13">
        <f>ROUND(G4033/2,0)</f>
        <v>165</v>
      </c>
      <c r="I4033" s="12">
        <f>G4033-H4033</f>
        <v>164</v>
      </c>
      <c r="J4033" s="3" t="str">
        <f t="shared" si="286"/>
        <v>5320002</v>
      </c>
    </row>
    <row r="4034" spans="1:10" s="3" customFormat="1">
      <c r="B4034" s="3" t="s">
        <v>2137</v>
      </c>
      <c r="C4034" s="8">
        <v>2</v>
      </c>
      <c r="D4034" s="3" t="s">
        <v>2189</v>
      </c>
      <c r="E4034" s="11" t="s">
        <v>11</v>
      </c>
      <c r="F4034" s="10">
        <v>1.003E-3</v>
      </c>
      <c r="G4034" s="12">
        <f>ROUND(G$3*F4034,0)</f>
        <v>289</v>
      </c>
      <c r="H4034" s="13">
        <f>ROUND(G4034/2,0)</f>
        <v>145</v>
      </c>
      <c r="I4034" s="12">
        <f>G4034-H4034</f>
        <v>144</v>
      </c>
      <c r="J4034" s="3" t="str">
        <f t="shared" si="286"/>
        <v>5320002</v>
      </c>
    </row>
    <row r="4035" spans="1:10" s="3" customFormat="1">
      <c r="B4035" s="3" t="s">
        <v>2137</v>
      </c>
      <c r="C4035" s="8">
        <v>2</v>
      </c>
      <c r="D4035" s="3" t="s">
        <v>2190</v>
      </c>
      <c r="E4035" s="11" t="s">
        <v>1244</v>
      </c>
      <c r="F4035" s="11"/>
      <c r="G4035" s="9"/>
      <c r="H4035" s="11"/>
      <c r="I4035" s="11"/>
      <c r="J4035" s="3" t="str">
        <f t="shared" si="286"/>
        <v>5320003</v>
      </c>
    </row>
    <row r="4036" spans="1:10" s="3" customFormat="1">
      <c r="B4036" s="3" t="s">
        <v>2137</v>
      </c>
      <c r="C4036" s="8">
        <v>2</v>
      </c>
      <c r="D4036" s="3" t="s">
        <v>2190</v>
      </c>
      <c r="E4036" s="11" t="s">
        <v>10</v>
      </c>
      <c r="F4036" s="10">
        <v>1.5472E-2</v>
      </c>
      <c r="G4036" s="12">
        <f>ROUND(G$3*F4036,0)</f>
        <v>4452</v>
      </c>
      <c r="H4036" s="13">
        <f>ROUND(G4036/2,0)</f>
        <v>2226</v>
      </c>
      <c r="I4036" s="12">
        <f>G4036-H4036</f>
        <v>2226</v>
      </c>
      <c r="J4036" s="3" t="str">
        <f t="shared" ref="J4036:J4099" si="290">B4036&amp;C4036&amp;D4036</f>
        <v>5320003</v>
      </c>
    </row>
    <row r="4037" spans="1:10" s="3" customFormat="1">
      <c r="B4037" s="3" t="s">
        <v>2137</v>
      </c>
      <c r="C4037" s="8">
        <v>2</v>
      </c>
      <c r="D4037" s="3" t="s">
        <v>2190</v>
      </c>
      <c r="E4037" s="11" t="s">
        <v>11</v>
      </c>
      <c r="F4037" s="10">
        <v>1.536E-3</v>
      </c>
      <c r="G4037" s="12">
        <f>ROUND(G$3*F4037,0)</f>
        <v>442</v>
      </c>
      <c r="H4037" s="13">
        <f>ROUND(G4037/2,0)</f>
        <v>221</v>
      </c>
      <c r="I4037" s="12">
        <f>G4037-H4037</f>
        <v>221</v>
      </c>
      <c r="J4037" s="3" t="str">
        <f t="shared" si="290"/>
        <v>5320003</v>
      </c>
    </row>
    <row r="4038" spans="1:10" s="3" customFormat="1">
      <c r="B4038" s="3" t="s">
        <v>2137</v>
      </c>
      <c r="C4038" s="8">
        <v>2</v>
      </c>
      <c r="D4038" s="3" t="s">
        <v>2191</v>
      </c>
      <c r="E4038" s="11" t="s">
        <v>791</v>
      </c>
      <c r="F4038" s="11"/>
      <c r="G4038" s="9"/>
      <c r="H4038" s="11"/>
      <c r="I4038" s="11"/>
      <c r="J4038" s="3" t="str">
        <f t="shared" si="290"/>
        <v>5320004</v>
      </c>
    </row>
    <row r="4039" spans="1:10" s="3" customFormat="1">
      <c r="B4039" s="3" t="s">
        <v>2137</v>
      </c>
      <c r="C4039" s="8">
        <v>2</v>
      </c>
      <c r="D4039" s="3" t="s">
        <v>2191</v>
      </c>
      <c r="E4039" s="11" t="s">
        <v>10</v>
      </c>
      <c r="F4039" s="10">
        <v>1.8240000000000001E-3</v>
      </c>
      <c r="G4039" s="12">
        <f>ROUND(G$3*F4039,0)</f>
        <v>525</v>
      </c>
      <c r="H4039" s="13">
        <f>ROUND(G4039/2,0)</f>
        <v>263</v>
      </c>
      <c r="I4039" s="12">
        <f>G4039-H4039</f>
        <v>262</v>
      </c>
      <c r="J4039" s="3" t="str">
        <f t="shared" si="290"/>
        <v>5320004</v>
      </c>
    </row>
    <row r="4040" spans="1:10" s="3" customFormat="1">
      <c r="A4040" s="3" t="s">
        <v>6269</v>
      </c>
      <c r="B4040" s="3" t="s">
        <v>2137</v>
      </c>
      <c r="C4040" s="8">
        <v>2</v>
      </c>
      <c r="D4040" s="3" t="s">
        <v>2191</v>
      </c>
      <c r="E4040" s="11" t="s">
        <v>11</v>
      </c>
      <c r="F4040" s="10">
        <v>0</v>
      </c>
      <c r="G4040" s="12">
        <f>ROUND(G$3*F4040,0)</f>
        <v>0</v>
      </c>
      <c r="H4040" s="13">
        <f>ROUND(G4040/2,0)</f>
        <v>0</v>
      </c>
      <c r="I4040" s="12">
        <f>G4040-H4040</f>
        <v>0</v>
      </c>
      <c r="J4040" s="3" t="str">
        <f t="shared" si="290"/>
        <v>5320004</v>
      </c>
    </row>
    <row r="4041" spans="1:10" s="3" customFormat="1">
      <c r="B4041" s="3" t="s">
        <v>2137</v>
      </c>
      <c r="C4041" s="8">
        <v>2</v>
      </c>
      <c r="D4041" s="3" t="s">
        <v>2192</v>
      </c>
      <c r="E4041" s="11" t="s">
        <v>1107</v>
      </c>
      <c r="F4041" s="11"/>
      <c r="G4041" s="9"/>
      <c r="H4041" s="11"/>
      <c r="I4041" s="11"/>
      <c r="J4041" s="3" t="str">
        <f t="shared" si="290"/>
        <v>5320005</v>
      </c>
    </row>
    <row r="4042" spans="1:10" s="3" customFormat="1">
      <c r="B4042" s="3" t="s">
        <v>2137</v>
      </c>
      <c r="C4042" s="8">
        <v>2</v>
      </c>
      <c r="D4042" s="3" t="s">
        <v>2192</v>
      </c>
      <c r="E4042" s="11" t="s">
        <v>10</v>
      </c>
      <c r="F4042" s="10">
        <v>4.7600000000000002E-4</v>
      </c>
      <c r="G4042" s="12">
        <f>ROUND(G$3*F4042,0)</f>
        <v>137</v>
      </c>
      <c r="H4042" s="13">
        <f>ROUND(G4042/2,0)</f>
        <v>69</v>
      </c>
      <c r="I4042" s="12">
        <f>G4042-H4042</f>
        <v>68</v>
      </c>
      <c r="J4042" s="3" t="str">
        <f t="shared" si="290"/>
        <v>5320005</v>
      </c>
    </row>
    <row r="4043" spans="1:10" s="3" customFormat="1">
      <c r="B4043" s="3" t="s">
        <v>2137</v>
      </c>
      <c r="C4043" s="8">
        <v>2</v>
      </c>
      <c r="D4043" s="3" t="s">
        <v>2192</v>
      </c>
      <c r="E4043" s="11" t="s">
        <v>11</v>
      </c>
      <c r="F4043" s="10">
        <v>3.19E-4</v>
      </c>
      <c r="G4043" s="12">
        <f>ROUND(G$3*F4043,0)</f>
        <v>92</v>
      </c>
      <c r="H4043" s="13">
        <f>ROUND(G4043/2,0)</f>
        <v>46</v>
      </c>
      <c r="I4043" s="12">
        <f>G4043-H4043</f>
        <v>46</v>
      </c>
      <c r="J4043" s="3" t="str">
        <f t="shared" si="290"/>
        <v>5320005</v>
      </c>
    </row>
    <row r="4044" spans="1:10" s="3" customFormat="1">
      <c r="B4044" s="3" t="s">
        <v>2137</v>
      </c>
      <c r="C4044" s="8">
        <v>2</v>
      </c>
      <c r="D4044" s="3" t="s">
        <v>2193</v>
      </c>
      <c r="E4044" s="11" t="s">
        <v>56</v>
      </c>
      <c r="F4044" s="11"/>
      <c r="G4044" s="9"/>
      <c r="H4044" s="11"/>
      <c r="I4044" s="11"/>
      <c r="J4044" s="3" t="str">
        <f t="shared" si="290"/>
        <v>5320006</v>
      </c>
    </row>
    <row r="4045" spans="1:10" s="3" customFormat="1">
      <c r="B4045" s="3" t="s">
        <v>2137</v>
      </c>
      <c r="C4045" s="8">
        <v>2</v>
      </c>
      <c r="D4045" s="3" t="s">
        <v>2193</v>
      </c>
      <c r="E4045" s="11" t="s">
        <v>10</v>
      </c>
      <c r="F4045" s="10">
        <v>3.869E-3</v>
      </c>
      <c r="G4045" s="12">
        <f>ROUND(G$3*F4045,0)</f>
        <v>1113</v>
      </c>
      <c r="H4045" s="13">
        <f>ROUND(G4045/2,0)</f>
        <v>557</v>
      </c>
      <c r="I4045" s="12">
        <f>G4045-H4045</f>
        <v>556</v>
      </c>
      <c r="J4045" s="3" t="str">
        <f t="shared" si="290"/>
        <v>5320006</v>
      </c>
    </row>
    <row r="4046" spans="1:10" s="3" customFormat="1">
      <c r="A4046" s="3" t="s">
        <v>6269</v>
      </c>
      <c r="B4046" s="3" t="s">
        <v>2137</v>
      </c>
      <c r="C4046" s="8">
        <v>2</v>
      </c>
      <c r="D4046" s="3" t="s">
        <v>2193</v>
      </c>
      <c r="E4046" s="11" t="s">
        <v>11</v>
      </c>
      <c r="F4046" s="10">
        <v>0</v>
      </c>
      <c r="G4046" s="12">
        <f>ROUND(G$3*F4046,0)</f>
        <v>0</v>
      </c>
      <c r="H4046" s="13">
        <f>ROUND(G4046/2,0)</f>
        <v>0</v>
      </c>
      <c r="I4046" s="12">
        <f>G4046-H4046</f>
        <v>0</v>
      </c>
      <c r="J4046" s="3" t="str">
        <f t="shared" si="290"/>
        <v>5320006</v>
      </c>
    </row>
    <row r="4047" spans="1:10" s="3" customFormat="1">
      <c r="B4047" s="3" t="s">
        <v>2137</v>
      </c>
      <c r="C4047" s="8">
        <v>2</v>
      </c>
      <c r="D4047" s="3" t="s">
        <v>2194</v>
      </c>
      <c r="E4047" s="11" t="s">
        <v>795</v>
      </c>
      <c r="F4047" s="11"/>
      <c r="G4047" s="9"/>
      <c r="H4047" s="11"/>
      <c r="I4047" s="11"/>
      <c r="J4047" s="3" t="str">
        <f t="shared" si="290"/>
        <v>5320007</v>
      </c>
    </row>
    <row r="4048" spans="1:10" s="3" customFormat="1">
      <c r="B4048" s="3" t="s">
        <v>2137</v>
      </c>
      <c r="C4048" s="8">
        <v>2</v>
      </c>
      <c r="D4048" s="3" t="s">
        <v>2194</v>
      </c>
      <c r="E4048" s="11" t="s">
        <v>10</v>
      </c>
      <c r="F4048" s="10">
        <v>4.8999999999999998E-5</v>
      </c>
      <c r="G4048" s="12">
        <f>ROUND(G$3*F4048,0)</f>
        <v>14</v>
      </c>
      <c r="H4048" s="13">
        <f>ROUND(G4048/2,0)</f>
        <v>7</v>
      </c>
      <c r="I4048" s="12">
        <f>G4048-H4048</f>
        <v>7</v>
      </c>
      <c r="J4048" s="3" t="str">
        <f t="shared" si="290"/>
        <v>5320007</v>
      </c>
    </row>
    <row r="4049" spans="2:10" s="3" customFormat="1">
      <c r="B4049" s="3" t="s">
        <v>2137</v>
      </c>
      <c r="C4049" s="8">
        <v>2</v>
      </c>
      <c r="D4049" s="3" t="s">
        <v>2194</v>
      </c>
      <c r="E4049" s="11" t="s">
        <v>11</v>
      </c>
      <c r="F4049" s="10">
        <v>2.8E-5</v>
      </c>
      <c r="G4049" s="12">
        <f>ROUND(G$3*F4049,0)</f>
        <v>8</v>
      </c>
      <c r="H4049" s="13">
        <f>ROUND(G4049/2,0)</f>
        <v>4</v>
      </c>
      <c r="I4049" s="12">
        <f>G4049-H4049</f>
        <v>4</v>
      </c>
      <c r="J4049" s="3" t="str">
        <f t="shared" si="290"/>
        <v>5320007</v>
      </c>
    </row>
    <row r="4050" spans="2:10" s="3" customFormat="1">
      <c r="B4050" s="3" t="s">
        <v>2137</v>
      </c>
      <c r="C4050" s="8">
        <v>2</v>
      </c>
      <c r="D4050" s="3" t="s">
        <v>2195</v>
      </c>
      <c r="E4050" s="11" t="s">
        <v>114</v>
      </c>
      <c r="F4050" s="11"/>
      <c r="G4050" s="9"/>
      <c r="H4050" s="11"/>
      <c r="I4050" s="11"/>
      <c r="J4050" s="3" t="str">
        <f t="shared" si="290"/>
        <v>5320008</v>
      </c>
    </row>
    <row r="4051" spans="2:10" s="3" customFormat="1">
      <c r="B4051" s="3" t="s">
        <v>2137</v>
      </c>
      <c r="C4051" s="8">
        <v>2</v>
      </c>
      <c r="D4051" s="3" t="s">
        <v>2195</v>
      </c>
      <c r="E4051" s="11" t="s">
        <v>10</v>
      </c>
      <c r="F4051" s="10">
        <v>1.639E-3</v>
      </c>
      <c r="G4051" s="12">
        <f>ROUND(G$3*F4051,0)</f>
        <v>472</v>
      </c>
      <c r="H4051" s="13">
        <f>ROUND(G4051/2,0)</f>
        <v>236</v>
      </c>
      <c r="I4051" s="12">
        <f>G4051-H4051</f>
        <v>236</v>
      </c>
      <c r="J4051" s="3" t="str">
        <f t="shared" si="290"/>
        <v>5320008</v>
      </c>
    </row>
    <row r="4052" spans="2:10" s="3" customFormat="1">
      <c r="B4052" s="3" t="s">
        <v>2137</v>
      </c>
      <c r="C4052" s="8">
        <v>2</v>
      </c>
      <c r="D4052" s="3" t="s">
        <v>2195</v>
      </c>
      <c r="E4052" s="11" t="s">
        <v>11</v>
      </c>
      <c r="F4052" s="10">
        <v>3.2049999999999999E-3</v>
      </c>
      <c r="G4052" s="12">
        <f>ROUND(G$3*F4052,0)</f>
        <v>922</v>
      </c>
      <c r="H4052" s="13">
        <f>ROUND(G4052/2,0)</f>
        <v>461</v>
      </c>
      <c r="I4052" s="12">
        <f>G4052-H4052</f>
        <v>461</v>
      </c>
      <c r="J4052" s="3" t="str">
        <f t="shared" si="290"/>
        <v>5320008</v>
      </c>
    </row>
    <row r="4053" spans="2:10" s="3" customFormat="1">
      <c r="B4053" s="3" t="s">
        <v>2137</v>
      </c>
      <c r="C4053" s="8">
        <v>2</v>
      </c>
      <c r="D4053" s="3" t="s">
        <v>2196</v>
      </c>
      <c r="E4053" s="11" t="s">
        <v>532</v>
      </c>
      <c r="F4053" s="11"/>
      <c r="G4053" s="9"/>
      <c r="H4053" s="11"/>
      <c r="I4053" s="11"/>
      <c r="J4053" s="3" t="str">
        <f t="shared" si="290"/>
        <v>5320009</v>
      </c>
    </row>
    <row r="4054" spans="2:10" s="3" customFormat="1">
      <c r="B4054" s="3" t="s">
        <v>2137</v>
      </c>
      <c r="C4054" s="8">
        <v>2</v>
      </c>
      <c r="D4054" s="3" t="s">
        <v>2196</v>
      </c>
      <c r="E4054" s="11" t="s">
        <v>10</v>
      </c>
      <c r="F4054" s="10">
        <v>1.83E-4</v>
      </c>
      <c r="G4054" s="12">
        <f>ROUND(G$3*F4054,0)</f>
        <v>53</v>
      </c>
      <c r="H4054" s="13">
        <f>ROUND(G4054/2,0)</f>
        <v>27</v>
      </c>
      <c r="I4054" s="12">
        <f>G4054-H4054</f>
        <v>26</v>
      </c>
      <c r="J4054" s="3" t="str">
        <f t="shared" si="290"/>
        <v>5320009</v>
      </c>
    </row>
    <row r="4055" spans="2:10" s="3" customFormat="1">
      <c r="B4055" s="3" t="s">
        <v>2137</v>
      </c>
      <c r="C4055" s="8">
        <v>2</v>
      </c>
      <c r="D4055" s="3" t="s">
        <v>2196</v>
      </c>
      <c r="E4055" s="11" t="s">
        <v>11</v>
      </c>
      <c r="F4055" s="10">
        <v>1E-4</v>
      </c>
      <c r="G4055" s="12">
        <f>ROUND(G$3*F4055,0)</f>
        <v>29</v>
      </c>
      <c r="H4055" s="13">
        <f>ROUND(G4055/2,0)</f>
        <v>15</v>
      </c>
      <c r="I4055" s="12">
        <f>G4055-H4055</f>
        <v>14</v>
      </c>
      <c r="J4055" s="3" t="str">
        <f t="shared" si="290"/>
        <v>5320009</v>
      </c>
    </row>
    <row r="4056" spans="2:10" s="3" customFormat="1">
      <c r="B4056" s="3" t="s">
        <v>2137</v>
      </c>
      <c r="C4056" s="8">
        <v>2</v>
      </c>
      <c r="D4056" s="3" t="s">
        <v>2197</v>
      </c>
      <c r="E4056" s="11" t="s">
        <v>169</v>
      </c>
      <c r="F4056" s="11"/>
      <c r="G4056" s="9"/>
      <c r="H4056" s="11"/>
      <c r="I4056" s="11"/>
      <c r="J4056" s="3" t="str">
        <f t="shared" si="290"/>
        <v>5320010</v>
      </c>
    </row>
    <row r="4057" spans="2:10" s="3" customFormat="1">
      <c r="B4057" s="3" t="s">
        <v>2137</v>
      </c>
      <c r="C4057" s="8">
        <v>2</v>
      </c>
      <c r="D4057" s="3" t="s">
        <v>2197</v>
      </c>
      <c r="E4057" s="11" t="s">
        <v>10</v>
      </c>
      <c r="F4057" s="10">
        <v>5.1330000000000004E-3</v>
      </c>
      <c r="G4057" s="12">
        <f>ROUND(G$3*F4057,0)</f>
        <v>1477</v>
      </c>
      <c r="H4057" s="13">
        <f>ROUND(G4057/2,0)</f>
        <v>739</v>
      </c>
      <c r="I4057" s="12">
        <f>G4057-H4057</f>
        <v>738</v>
      </c>
      <c r="J4057" s="3" t="str">
        <f t="shared" si="290"/>
        <v>5320010</v>
      </c>
    </row>
    <row r="4058" spans="2:10" s="3" customFormat="1">
      <c r="B4058" s="3" t="s">
        <v>2137</v>
      </c>
      <c r="C4058" s="8">
        <v>2</v>
      </c>
      <c r="D4058" s="3" t="s">
        <v>2197</v>
      </c>
      <c r="E4058" s="11" t="s">
        <v>11</v>
      </c>
      <c r="F4058" s="10">
        <v>9.7499999999999996E-4</v>
      </c>
      <c r="G4058" s="12">
        <f>ROUND(G$3*F4058,0)</f>
        <v>281</v>
      </c>
      <c r="H4058" s="13">
        <f>ROUND(G4058/2,0)</f>
        <v>141</v>
      </c>
      <c r="I4058" s="12">
        <f>G4058-H4058</f>
        <v>140</v>
      </c>
      <c r="J4058" s="3" t="str">
        <f t="shared" si="290"/>
        <v>5320010</v>
      </c>
    </row>
    <row r="4059" spans="2:10" s="3" customFormat="1">
      <c r="B4059" s="3" t="s">
        <v>2137</v>
      </c>
      <c r="C4059" s="8">
        <v>2</v>
      </c>
      <c r="D4059" s="3" t="s">
        <v>2198</v>
      </c>
      <c r="E4059" s="11" t="s">
        <v>22</v>
      </c>
      <c r="F4059" s="11"/>
      <c r="G4059" s="9"/>
      <c r="H4059" s="11"/>
      <c r="I4059" s="11"/>
      <c r="J4059" s="3" t="str">
        <f t="shared" si="290"/>
        <v>5320011</v>
      </c>
    </row>
    <row r="4060" spans="2:10" s="3" customFormat="1">
      <c r="B4060" s="3" t="s">
        <v>2137</v>
      </c>
      <c r="C4060" s="8">
        <v>2</v>
      </c>
      <c r="D4060" s="3" t="s">
        <v>2198</v>
      </c>
      <c r="E4060" s="11" t="s">
        <v>10</v>
      </c>
      <c r="F4060" s="10">
        <v>5.2599999999999999E-4</v>
      </c>
      <c r="G4060" s="12">
        <f t="shared" ref="G4060:G4065" si="291">ROUND(G$3*F4060,0)</f>
        <v>151</v>
      </c>
      <c r="H4060" s="13">
        <f t="shared" ref="H4060:H4065" si="292">ROUND(G4060/2,0)</f>
        <v>76</v>
      </c>
      <c r="I4060" s="12">
        <f t="shared" ref="I4060:I4065" si="293">G4060-H4060</f>
        <v>75</v>
      </c>
      <c r="J4060" s="3" t="str">
        <f t="shared" si="290"/>
        <v>5320011</v>
      </c>
    </row>
    <row r="4061" spans="2:10" s="3" customFormat="1">
      <c r="B4061" s="3" t="s">
        <v>2137</v>
      </c>
      <c r="C4061" s="8">
        <v>2</v>
      </c>
      <c r="D4061" s="3" t="s">
        <v>2198</v>
      </c>
      <c r="E4061" s="11" t="s">
        <v>11</v>
      </c>
      <c r="F4061" s="10">
        <v>3.1199999999999999E-4</v>
      </c>
      <c r="G4061" s="12">
        <f t="shared" si="291"/>
        <v>90</v>
      </c>
      <c r="H4061" s="13">
        <f t="shared" si="292"/>
        <v>45</v>
      </c>
      <c r="I4061" s="12">
        <f t="shared" si="293"/>
        <v>45</v>
      </c>
      <c r="J4061" s="3" t="str">
        <f t="shared" si="290"/>
        <v>5320011</v>
      </c>
    </row>
    <row r="4062" spans="2:10" s="3" customFormat="1">
      <c r="B4062" s="3" t="s">
        <v>2137</v>
      </c>
      <c r="C4062" s="8">
        <v>3</v>
      </c>
      <c r="D4062" s="3" t="s">
        <v>2655</v>
      </c>
      <c r="E4062" s="11" t="s">
        <v>1245</v>
      </c>
      <c r="F4062" s="10">
        <v>0.117699</v>
      </c>
      <c r="G4062" s="12">
        <f t="shared" si="291"/>
        <v>33865</v>
      </c>
      <c r="H4062" s="13">
        <f t="shared" si="292"/>
        <v>16933</v>
      </c>
      <c r="I4062" s="12">
        <f t="shared" si="293"/>
        <v>16932</v>
      </c>
      <c r="J4062" s="3" t="str">
        <f t="shared" si="290"/>
        <v>5330113</v>
      </c>
    </row>
    <row r="4063" spans="2:10" s="3" customFormat="1">
      <c r="B4063" s="3" t="s">
        <v>2137</v>
      </c>
      <c r="C4063" s="8">
        <v>3</v>
      </c>
      <c r="D4063" s="3" t="s">
        <v>2852</v>
      </c>
      <c r="E4063" s="11" t="s">
        <v>1246</v>
      </c>
      <c r="F4063" s="10">
        <v>3.993E-3</v>
      </c>
      <c r="G4063" s="12">
        <f t="shared" si="291"/>
        <v>1149</v>
      </c>
      <c r="H4063" s="13">
        <f t="shared" si="292"/>
        <v>575</v>
      </c>
      <c r="I4063" s="12">
        <f t="shared" si="293"/>
        <v>574</v>
      </c>
      <c r="J4063" s="3" t="str">
        <f t="shared" si="290"/>
        <v>5330788</v>
      </c>
    </row>
    <row r="4064" spans="2:10" s="3" customFormat="1">
      <c r="B4064" s="3" t="s">
        <v>2137</v>
      </c>
      <c r="C4064" s="8">
        <v>3</v>
      </c>
      <c r="D4064" s="3" t="s">
        <v>2853</v>
      </c>
      <c r="E4064" s="11" t="s">
        <v>1247</v>
      </c>
      <c r="F4064" s="10">
        <v>3.01E-4</v>
      </c>
      <c r="G4064" s="12">
        <f t="shared" si="291"/>
        <v>87</v>
      </c>
      <c r="H4064" s="13">
        <f t="shared" si="292"/>
        <v>44</v>
      </c>
      <c r="I4064" s="12">
        <f t="shared" si="293"/>
        <v>43</v>
      </c>
      <c r="J4064" s="3" t="str">
        <f t="shared" si="290"/>
        <v>5330789</v>
      </c>
    </row>
    <row r="4065" spans="2:10" s="3" customFormat="1">
      <c r="B4065" s="3" t="s">
        <v>2137</v>
      </c>
      <c r="C4065" s="8">
        <v>4</v>
      </c>
      <c r="D4065" s="3" t="s">
        <v>2855</v>
      </c>
      <c r="E4065" s="11" t="s">
        <v>1248</v>
      </c>
      <c r="F4065" s="10">
        <v>0.42664600000000003</v>
      </c>
      <c r="G4065" s="9">
        <f t="shared" si="291"/>
        <v>122756</v>
      </c>
      <c r="H4065" s="11">
        <f t="shared" si="292"/>
        <v>61378</v>
      </c>
      <c r="I4065" s="9">
        <f t="shared" si="293"/>
        <v>61378</v>
      </c>
      <c r="J4065" s="3" t="str">
        <f t="shared" si="290"/>
        <v>5345740</v>
      </c>
    </row>
    <row r="4066" spans="2:10" s="3" customFormat="1">
      <c r="B4066" s="3" t="s">
        <v>2137</v>
      </c>
      <c r="C4066" s="8">
        <v>4</v>
      </c>
      <c r="D4066" s="3" t="s">
        <v>2855</v>
      </c>
      <c r="E4066" s="11" t="s">
        <v>28</v>
      </c>
      <c r="F4066" s="11"/>
      <c r="G4066" s="14">
        <v>0.56552000000000002</v>
      </c>
      <c r="H4066" s="11"/>
      <c r="I4066" s="11"/>
      <c r="J4066" s="3" t="str">
        <f t="shared" si="290"/>
        <v>5345740</v>
      </c>
    </row>
    <row r="4067" spans="2:10" s="3" customFormat="1">
      <c r="B4067" s="3" t="s">
        <v>2137</v>
      </c>
      <c r="C4067" s="8">
        <v>4</v>
      </c>
      <c r="D4067" s="3" t="s">
        <v>2855</v>
      </c>
      <c r="E4067" s="11" t="s">
        <v>29</v>
      </c>
      <c r="F4067" s="11"/>
      <c r="G4067" s="15">
        <f>ROUND(G4065*G4066,0)</f>
        <v>69421</v>
      </c>
      <c r="H4067" s="16">
        <f>ROUND(G4067/2,0)</f>
        <v>34711</v>
      </c>
      <c r="I4067" s="15">
        <f>G4067-H4067</f>
        <v>34710</v>
      </c>
      <c r="J4067" s="3" t="str">
        <f t="shared" si="290"/>
        <v>5345740</v>
      </c>
    </row>
    <row r="4068" spans="2:10" s="3" customFormat="1">
      <c r="B4068" s="3" t="s">
        <v>2137</v>
      </c>
      <c r="C4068" s="8">
        <v>4</v>
      </c>
      <c r="D4068" s="3" t="s">
        <v>2855</v>
      </c>
      <c r="E4068" s="11" t="s">
        <v>30</v>
      </c>
      <c r="F4068" s="11"/>
      <c r="G4068" s="12">
        <f>+G4065-G4067</f>
        <v>53335</v>
      </c>
      <c r="H4068" s="13">
        <f>ROUND(G4068/2,0)</f>
        <v>26668</v>
      </c>
      <c r="I4068" s="12">
        <f>G4068-H4068</f>
        <v>26667</v>
      </c>
      <c r="J4068" s="3" t="str">
        <f t="shared" si="290"/>
        <v>5345740</v>
      </c>
    </row>
    <row r="4069" spans="2:10" s="3" customFormat="1">
      <c r="B4069" s="3" t="s">
        <v>2137</v>
      </c>
      <c r="C4069" s="8">
        <v>4</v>
      </c>
      <c r="D4069" s="3" t="s">
        <v>2854</v>
      </c>
      <c r="E4069" s="11" t="s">
        <v>1249</v>
      </c>
      <c r="F4069" s="10">
        <v>9.8303000000000001E-2</v>
      </c>
      <c r="G4069" s="9">
        <f>ROUND(G$3*F4069,0)</f>
        <v>28284</v>
      </c>
      <c r="H4069" s="11">
        <f>ROUND(G4069/2,0)</f>
        <v>14142</v>
      </c>
      <c r="I4069" s="9">
        <f>G4069-H4069</f>
        <v>14142</v>
      </c>
      <c r="J4069" s="3" t="str">
        <f t="shared" si="290"/>
        <v>5345705</v>
      </c>
    </row>
    <row r="4070" spans="2:10" s="3" customFormat="1">
      <c r="B4070" s="3" t="s">
        <v>2137</v>
      </c>
      <c r="C4070" s="8">
        <v>4</v>
      </c>
      <c r="D4070" s="3" t="s">
        <v>2854</v>
      </c>
      <c r="E4070" s="11" t="s">
        <v>28</v>
      </c>
      <c r="F4070" s="11"/>
      <c r="G4070" s="14">
        <v>0.46112500000000001</v>
      </c>
      <c r="H4070" s="11"/>
      <c r="I4070" s="11"/>
      <c r="J4070" s="3" t="str">
        <f t="shared" si="290"/>
        <v>5345705</v>
      </c>
    </row>
    <row r="4071" spans="2:10" s="3" customFormat="1">
      <c r="B4071" s="3" t="s">
        <v>2137</v>
      </c>
      <c r="C4071" s="8">
        <v>4</v>
      </c>
      <c r="D4071" s="3" t="s">
        <v>2854</v>
      </c>
      <c r="E4071" s="11" t="s">
        <v>29</v>
      </c>
      <c r="F4071" s="11"/>
      <c r="G4071" s="15">
        <f>ROUND(G4069*G4070,0)</f>
        <v>13042</v>
      </c>
      <c r="H4071" s="16">
        <f t="shared" ref="H4071:H4076" si="294">ROUND(G4071/2,0)</f>
        <v>6521</v>
      </c>
      <c r="I4071" s="15">
        <f t="shared" ref="I4071:I4076" si="295">G4071-H4071</f>
        <v>6521</v>
      </c>
      <c r="J4071" s="3" t="str">
        <f t="shared" si="290"/>
        <v>5345705</v>
      </c>
    </row>
    <row r="4072" spans="2:10" s="3" customFormat="1">
      <c r="B4072" s="3" t="s">
        <v>2137</v>
      </c>
      <c r="C4072" s="8">
        <v>4</v>
      </c>
      <c r="D4072" s="3" t="s">
        <v>2854</v>
      </c>
      <c r="E4072" s="11" t="s">
        <v>30</v>
      </c>
      <c r="F4072" s="11"/>
      <c r="G4072" s="12">
        <f>+G4069-G4071</f>
        <v>15242</v>
      </c>
      <c r="H4072" s="13">
        <f t="shared" si="294"/>
        <v>7621</v>
      </c>
      <c r="I4072" s="12">
        <f t="shared" si="295"/>
        <v>7621</v>
      </c>
      <c r="J4072" s="3" t="str">
        <f t="shared" si="290"/>
        <v>5345705</v>
      </c>
    </row>
    <row r="4073" spans="2:10" s="3" customFormat="1">
      <c r="B4073" s="3" t="s">
        <v>2137</v>
      </c>
      <c r="C4073" s="8">
        <v>5</v>
      </c>
      <c r="D4073" s="3" t="s">
        <v>5068</v>
      </c>
      <c r="E4073" s="11" t="s">
        <v>1250</v>
      </c>
      <c r="F4073" s="10">
        <v>5.7487000000000003E-2</v>
      </c>
      <c r="G4073" s="120">
        <f>ROUND(G$3*F4073,0)</f>
        <v>16540</v>
      </c>
      <c r="H4073" s="120">
        <f t="shared" si="294"/>
        <v>8270</v>
      </c>
      <c r="I4073" s="120">
        <f t="shared" si="295"/>
        <v>8270</v>
      </c>
      <c r="J4073" s="3" t="str">
        <f t="shared" si="290"/>
        <v>5350154</v>
      </c>
    </row>
    <row r="4074" spans="2:10" s="3" customFormat="1">
      <c r="B4074" s="3" t="s">
        <v>2137</v>
      </c>
      <c r="C4074" s="8">
        <v>6</v>
      </c>
      <c r="D4074" s="3" t="s">
        <v>2253</v>
      </c>
      <c r="E4074" s="11" t="s">
        <v>1251</v>
      </c>
      <c r="F4074" s="10">
        <v>4.8380000000000003E-3</v>
      </c>
      <c r="G4074" s="120">
        <f>ROUND(G$3*F4074,0)</f>
        <v>1392</v>
      </c>
      <c r="H4074" s="120">
        <f t="shared" si="294"/>
        <v>696</v>
      </c>
      <c r="I4074" s="120">
        <f t="shared" si="295"/>
        <v>696</v>
      </c>
      <c r="J4074" s="3" t="str">
        <f t="shared" si="290"/>
        <v>5360951</v>
      </c>
    </row>
    <row r="4075" spans="2:10" s="3" customFormat="1">
      <c r="B4075" s="3" t="s">
        <v>2137</v>
      </c>
      <c r="C4075" s="8">
        <v>6</v>
      </c>
      <c r="D4075" s="116" t="s">
        <v>5073</v>
      </c>
      <c r="E4075" s="11" t="s">
        <v>1252</v>
      </c>
      <c r="F4075" s="10">
        <v>9.665E-3</v>
      </c>
      <c r="G4075" s="120">
        <f>ROUND(G$3*F4075,0)</f>
        <v>2781</v>
      </c>
      <c r="H4075" s="120">
        <f t="shared" si="294"/>
        <v>1391</v>
      </c>
      <c r="I4075" s="120">
        <f t="shared" si="295"/>
        <v>1390</v>
      </c>
      <c r="J4075" s="3" t="str">
        <f t="shared" si="290"/>
        <v>5360990</v>
      </c>
    </row>
    <row r="4076" spans="2:10" s="128" customFormat="1">
      <c r="B4076" s="128" t="s">
        <v>2137</v>
      </c>
      <c r="C4076" s="129">
        <v>6</v>
      </c>
      <c r="D4076" s="128" t="e">
        <v>#N/A</v>
      </c>
      <c r="E4076" s="131" t="s">
        <v>1253</v>
      </c>
      <c r="F4076" s="133">
        <v>1.2945999999999902E-2</v>
      </c>
      <c r="G4076" s="137">
        <f>+G4023-SUM(G4024:G4025)-SUM(G4030:G4065)-G4069-SUM(G4073:G4075)</f>
        <v>650086</v>
      </c>
      <c r="H4076" s="137">
        <f t="shared" si="294"/>
        <v>325043</v>
      </c>
      <c r="I4076" s="137">
        <f t="shared" si="295"/>
        <v>325043</v>
      </c>
      <c r="J4076" s="128" t="e">
        <f t="shared" si="290"/>
        <v>#N/A</v>
      </c>
    </row>
    <row r="4077" spans="2:10" s="3" customFormat="1">
      <c r="B4077" s="3" t="s">
        <v>2137</v>
      </c>
      <c r="C4077" s="8">
        <v>0</v>
      </c>
      <c r="D4077" s="125" t="s">
        <v>2187</v>
      </c>
      <c r="E4077" s="28" t="s">
        <v>288</v>
      </c>
      <c r="F4077" s="10">
        <v>1</v>
      </c>
      <c r="G4077" s="12">
        <f>+G4024+SUM(G4027:G4064)+SUM(G4067:G4068)+SUM(G4071:G4076)</f>
        <v>934087</v>
      </c>
      <c r="H4077" s="12">
        <f>+H4024+SUM(H4027:H4064)+SUM(H4067:H4068)+SUM(H4071:H4076)</f>
        <v>467053</v>
      </c>
      <c r="I4077" s="12">
        <f>+I4024+SUM(I4027:I4064)+SUM(I4067:I4068)+SUM(I4071:I4076)</f>
        <v>467034</v>
      </c>
      <c r="J4077" s="3" t="str">
        <f t="shared" si="290"/>
        <v>5300000</v>
      </c>
    </row>
    <row r="4078" spans="2:10" s="3" customFormat="1">
      <c r="B4078" s="3" t="s">
        <v>2137</v>
      </c>
      <c r="C4078" s="8">
        <v>0</v>
      </c>
      <c r="D4078" s="3" t="s">
        <v>2187</v>
      </c>
      <c r="E4078" s="18" t="s">
        <v>38</v>
      </c>
      <c r="G4078" s="19">
        <f>+G4024</f>
        <v>319</v>
      </c>
      <c r="H4078" s="19">
        <f>+H4024</f>
        <v>160</v>
      </c>
      <c r="I4078" s="19">
        <f>+I4024</f>
        <v>159</v>
      </c>
      <c r="J4078" s="3" t="str">
        <f t="shared" si="290"/>
        <v>5300000</v>
      </c>
    </row>
    <row r="4079" spans="2:10" s="3" customFormat="1">
      <c r="B4079" s="3" t="s">
        <v>2137</v>
      </c>
      <c r="C4079" s="8">
        <v>0</v>
      </c>
      <c r="D4079" s="3" t="s">
        <v>2187</v>
      </c>
      <c r="E4079" s="2" t="s">
        <v>39</v>
      </c>
      <c r="G4079" s="19">
        <f>+G4027</f>
        <v>18800</v>
      </c>
      <c r="H4079" s="19">
        <f>+H4027</f>
        <v>9400</v>
      </c>
      <c r="I4079" s="19">
        <f>+I4027</f>
        <v>9400</v>
      </c>
      <c r="J4079" s="3" t="str">
        <f t="shared" si="290"/>
        <v>5300000</v>
      </c>
    </row>
    <row r="4080" spans="2:10" s="3" customFormat="1">
      <c r="B4080" s="3" t="s">
        <v>2137</v>
      </c>
      <c r="C4080" s="8">
        <v>0</v>
      </c>
      <c r="D4080" s="3" t="s">
        <v>2187</v>
      </c>
      <c r="E4080" s="2" t="s">
        <v>40</v>
      </c>
      <c r="G4080" s="19">
        <f>+G4067+G4071</f>
        <v>82463</v>
      </c>
      <c r="H4080" s="19">
        <f>+H4067+H4071</f>
        <v>41232</v>
      </c>
      <c r="I4080" s="19">
        <f>+I4067+I4071</f>
        <v>41231</v>
      </c>
      <c r="J4080" s="3" t="str">
        <f t="shared" si="290"/>
        <v>5300000</v>
      </c>
    </row>
    <row r="4081" spans="2:10" s="3" customFormat="1">
      <c r="B4081" s="3" t="s">
        <v>2137</v>
      </c>
      <c r="C4081" s="8">
        <v>0</v>
      </c>
      <c r="D4081" s="125" t="s">
        <v>2187</v>
      </c>
      <c r="E4081" s="18" t="s">
        <v>41</v>
      </c>
      <c r="G4081" s="19">
        <f>+G4077-G4078-G4079-G4080</f>
        <v>832505</v>
      </c>
      <c r="H4081" s="19">
        <f>+H4077-H4078-H4079-H4080</f>
        <v>416261</v>
      </c>
      <c r="I4081" s="19">
        <f>+I4077-I4078-I4079-I4080</f>
        <v>416244</v>
      </c>
      <c r="J4081" s="3" t="str">
        <f t="shared" si="290"/>
        <v>5300000</v>
      </c>
    </row>
    <row r="4082" spans="2:10" ht="15.75">
      <c r="B4082" s="3" t="s">
        <v>2186</v>
      </c>
      <c r="D4082" t="s">
        <v>2186</v>
      </c>
      <c r="E4082">
        <v>0</v>
      </c>
      <c r="G4082"/>
      <c r="H4082"/>
      <c r="I4082"/>
      <c r="J4082" s="3" t="str">
        <f t="shared" si="290"/>
        <v/>
      </c>
    </row>
    <row r="4083" spans="2:10" s="3" customFormat="1">
      <c r="C4083" s="1"/>
      <c r="D4083" s="3" t="s">
        <v>2186</v>
      </c>
      <c r="E4083" s="2" t="s">
        <v>1254</v>
      </c>
      <c r="J4083" s="3" t="str">
        <f t="shared" si="290"/>
        <v/>
      </c>
    </row>
    <row r="4084" spans="2:10" s="3" customFormat="1" ht="45">
      <c r="B4084" s="3" t="s">
        <v>2186</v>
      </c>
      <c r="C4084" s="1"/>
      <c r="D4084" s="3" t="s">
        <v>2186</v>
      </c>
      <c r="E4084" s="3">
        <v>0</v>
      </c>
      <c r="F4084" s="6" t="s">
        <v>1</v>
      </c>
      <c r="G4084" s="60">
        <f>'Allocation Worksheet'!H4084</f>
        <v>0</v>
      </c>
      <c r="H4084" s="60">
        <f>'Allocation Worksheet'!H4085</f>
        <v>0</v>
      </c>
      <c r="I4084" s="60">
        <f>'Allocation Worksheet'!H4086</f>
        <v>0</v>
      </c>
      <c r="J4084" s="3" t="str">
        <f t="shared" si="290"/>
        <v/>
      </c>
    </row>
    <row r="4085" spans="2:10" s="3" customFormat="1">
      <c r="C4085" s="7" t="s">
        <v>2087</v>
      </c>
      <c r="D4085" s="3" t="s">
        <v>2186</v>
      </c>
      <c r="E4085" s="7" t="s">
        <v>3</v>
      </c>
      <c r="F4085" s="10"/>
      <c r="G4085" s="9">
        <f>'Allocation Worksheet'!$D$57</f>
        <v>331682</v>
      </c>
      <c r="H4085" s="11"/>
      <c r="I4085" s="11"/>
      <c r="J4085" s="3" t="str">
        <f t="shared" si="290"/>
        <v>UT</v>
      </c>
    </row>
    <row r="4086" spans="2:10" s="3" customFormat="1">
      <c r="B4086" s="3" t="s">
        <v>2138</v>
      </c>
      <c r="C4086" s="8">
        <v>0</v>
      </c>
      <c r="D4086" s="3" t="s">
        <v>2187</v>
      </c>
      <c r="E4086" s="11" t="s">
        <v>4</v>
      </c>
      <c r="F4086" s="10">
        <v>1.2689999999999999E-3</v>
      </c>
      <c r="G4086" s="12">
        <f>ROUND(G$3*F4086,0)</f>
        <v>365</v>
      </c>
      <c r="H4086" s="12">
        <f>ROUND(G4086/2,0)</f>
        <v>183</v>
      </c>
      <c r="I4086" s="12">
        <f>G4086-H4086</f>
        <v>182</v>
      </c>
      <c r="J4086" s="3" t="str">
        <f t="shared" si="290"/>
        <v>5400000</v>
      </c>
    </row>
    <row r="4087" spans="2:10" s="3" customFormat="1">
      <c r="B4087" s="3" t="s">
        <v>2138</v>
      </c>
      <c r="C4087" s="8">
        <v>1</v>
      </c>
      <c r="D4087" s="3" t="s">
        <v>2187</v>
      </c>
      <c r="E4087" s="11" t="s">
        <v>1255</v>
      </c>
      <c r="F4087" s="10">
        <v>0.14826</v>
      </c>
      <c r="G4087" s="9">
        <f>ROUND(G$3*F4087,0)</f>
        <v>42658</v>
      </c>
      <c r="H4087" s="11">
        <f>ROUND(G4087/2,0)</f>
        <v>21329</v>
      </c>
      <c r="I4087" s="9">
        <f>G4087-H4087</f>
        <v>21329</v>
      </c>
      <c r="J4087" s="3" t="str">
        <f t="shared" si="290"/>
        <v>5410000</v>
      </c>
    </row>
    <row r="4088" spans="2:10" s="3" customFormat="1">
      <c r="B4088" s="3" t="s">
        <v>2138</v>
      </c>
      <c r="C4088" s="8">
        <v>1</v>
      </c>
      <c r="D4088" s="3" t="s">
        <v>2187</v>
      </c>
      <c r="E4088" s="11" t="s">
        <v>6</v>
      </c>
      <c r="F4088" s="11"/>
      <c r="G4088" s="14">
        <v>0.27552700000000002</v>
      </c>
      <c r="H4088" s="11"/>
      <c r="I4088" s="11"/>
      <c r="J4088" s="3" t="str">
        <f t="shared" si="290"/>
        <v>5410000</v>
      </c>
    </row>
    <row r="4089" spans="2:10" s="3" customFormat="1">
      <c r="B4089" s="3" t="s">
        <v>2138</v>
      </c>
      <c r="C4089" s="8">
        <v>1</v>
      </c>
      <c r="D4089" s="3" t="s">
        <v>2187</v>
      </c>
      <c r="E4089" s="11" t="s">
        <v>7</v>
      </c>
      <c r="F4089" s="11"/>
      <c r="G4089" s="15">
        <f>ROUND(G4087*G4088,0)</f>
        <v>11753</v>
      </c>
      <c r="H4089" s="16">
        <f>ROUND(G4089/2,0)</f>
        <v>5877</v>
      </c>
      <c r="I4089" s="15">
        <f>G4089-H4089</f>
        <v>5876</v>
      </c>
      <c r="J4089" s="3" t="str">
        <f t="shared" si="290"/>
        <v>5410000</v>
      </c>
    </row>
    <row r="4090" spans="2:10" s="3" customFormat="1">
      <c r="B4090" s="3" t="s">
        <v>2138</v>
      </c>
      <c r="C4090" s="8">
        <v>1</v>
      </c>
      <c r="D4090" s="3" t="s">
        <v>2187</v>
      </c>
      <c r="E4090" s="11" t="s">
        <v>8</v>
      </c>
      <c r="F4090" s="11"/>
      <c r="G4090" s="12">
        <f>+G4087-G4089</f>
        <v>30905</v>
      </c>
      <c r="H4090" s="12">
        <f>ROUND(G4090/2,0)</f>
        <v>15453</v>
      </c>
      <c r="I4090" s="12">
        <f>G4090-H4090</f>
        <v>15452</v>
      </c>
      <c r="J4090" s="3" t="str">
        <f t="shared" si="290"/>
        <v>5410000</v>
      </c>
    </row>
    <row r="4091" spans="2:10" s="3" customFormat="1">
      <c r="B4091" s="3" t="s">
        <v>2138</v>
      </c>
      <c r="C4091" s="8">
        <v>2</v>
      </c>
      <c r="D4091" s="3" t="s">
        <v>2188</v>
      </c>
      <c r="E4091" s="11" t="s">
        <v>671</v>
      </c>
      <c r="F4091" s="11"/>
      <c r="G4091" s="9"/>
      <c r="H4091" s="11"/>
      <c r="I4091" s="11"/>
      <c r="J4091" s="3" t="str">
        <f t="shared" si="290"/>
        <v>5420001</v>
      </c>
    </row>
    <row r="4092" spans="2:10" s="3" customFormat="1">
      <c r="B4092" s="3" t="s">
        <v>2138</v>
      </c>
      <c r="C4092" s="8">
        <v>2</v>
      </c>
      <c r="D4092" s="3" t="s">
        <v>2188</v>
      </c>
      <c r="E4092" s="11" t="s">
        <v>10</v>
      </c>
      <c r="F4092" s="10">
        <v>1.6789999999999999E-3</v>
      </c>
      <c r="G4092" s="12">
        <f>ROUND(G$3*F4092,0)</f>
        <v>483</v>
      </c>
      <c r="H4092" s="12">
        <f>ROUND(G4092/2,0)</f>
        <v>242</v>
      </c>
      <c r="I4092" s="12">
        <f>G4092-H4092</f>
        <v>241</v>
      </c>
      <c r="J4092" s="3" t="str">
        <f t="shared" si="290"/>
        <v>5420001</v>
      </c>
    </row>
    <row r="4093" spans="2:10" s="3" customFormat="1">
      <c r="B4093" s="3" t="s">
        <v>2138</v>
      </c>
      <c r="C4093" s="8">
        <v>2</v>
      </c>
      <c r="D4093" s="3" t="s">
        <v>2188</v>
      </c>
      <c r="E4093" s="11" t="s">
        <v>11</v>
      </c>
      <c r="F4093" s="10">
        <v>1.6949999999999999E-3</v>
      </c>
      <c r="G4093" s="12">
        <f>ROUND(G$3*F4093,0)</f>
        <v>488</v>
      </c>
      <c r="H4093" s="12">
        <f>ROUND(G4093/2,0)</f>
        <v>244</v>
      </c>
      <c r="I4093" s="12">
        <f>G4093-H4093</f>
        <v>244</v>
      </c>
      <c r="J4093" s="3" t="str">
        <f t="shared" si="290"/>
        <v>5420001</v>
      </c>
    </row>
    <row r="4094" spans="2:10" s="3" customFormat="1">
      <c r="B4094" s="3" t="s">
        <v>2138</v>
      </c>
      <c r="C4094" s="8">
        <v>2</v>
      </c>
      <c r="D4094" s="3" t="s">
        <v>2189</v>
      </c>
      <c r="E4094" s="11" t="s">
        <v>895</v>
      </c>
      <c r="F4094" s="11"/>
      <c r="G4094" s="9"/>
      <c r="H4094" s="11"/>
      <c r="I4094" s="11"/>
      <c r="J4094" s="3" t="str">
        <f t="shared" si="290"/>
        <v>5420002</v>
      </c>
    </row>
    <row r="4095" spans="2:10" s="3" customFormat="1">
      <c r="B4095" s="3" t="s">
        <v>2138</v>
      </c>
      <c r="C4095" s="8">
        <v>2</v>
      </c>
      <c r="D4095" s="3" t="s">
        <v>2189</v>
      </c>
      <c r="E4095" s="11" t="s">
        <v>10</v>
      </c>
      <c r="F4095" s="10">
        <v>2.091E-3</v>
      </c>
      <c r="G4095" s="12">
        <f>ROUND(G$3*F4095,0)</f>
        <v>602</v>
      </c>
      <c r="H4095" s="12">
        <f>ROUND(G4095/2,0)</f>
        <v>301</v>
      </c>
      <c r="I4095" s="12">
        <f>G4095-H4095</f>
        <v>301</v>
      </c>
      <c r="J4095" s="3" t="str">
        <f t="shared" si="290"/>
        <v>5420002</v>
      </c>
    </row>
    <row r="4096" spans="2:10" s="3" customFormat="1">
      <c r="B4096" s="3" t="s">
        <v>2138</v>
      </c>
      <c r="C4096" s="8">
        <v>2</v>
      </c>
      <c r="D4096" s="3" t="s">
        <v>2189</v>
      </c>
      <c r="E4096" s="11" t="s">
        <v>11</v>
      </c>
      <c r="F4096" s="10">
        <v>4.37E-4</v>
      </c>
      <c r="G4096" s="12">
        <f>ROUND(G$3*F4096,0)</f>
        <v>126</v>
      </c>
      <c r="H4096" s="12">
        <f>ROUND(G4096/2,0)</f>
        <v>63</v>
      </c>
      <c r="I4096" s="12">
        <f>G4096-H4096</f>
        <v>63</v>
      </c>
      <c r="J4096" s="3" t="str">
        <f t="shared" si="290"/>
        <v>5420002</v>
      </c>
    </row>
    <row r="4097" spans="2:10" s="3" customFormat="1">
      <c r="B4097" s="3" t="s">
        <v>2138</v>
      </c>
      <c r="C4097" s="8">
        <v>2</v>
      </c>
      <c r="D4097" s="3" t="s">
        <v>2190</v>
      </c>
      <c r="E4097" s="11" t="s">
        <v>1256</v>
      </c>
      <c r="F4097" s="11"/>
      <c r="G4097" s="9"/>
      <c r="H4097" s="11"/>
      <c r="I4097" s="11"/>
      <c r="J4097" s="3" t="str">
        <f t="shared" si="290"/>
        <v>5420003</v>
      </c>
    </row>
    <row r="4098" spans="2:10" s="3" customFormat="1">
      <c r="B4098" s="3" t="s">
        <v>2138</v>
      </c>
      <c r="C4098" s="8">
        <v>2</v>
      </c>
      <c r="D4098" s="3" t="s">
        <v>2190</v>
      </c>
      <c r="E4098" s="11" t="s">
        <v>10</v>
      </c>
      <c r="F4098" s="10">
        <v>6.3699999999999998E-4</v>
      </c>
      <c r="G4098" s="12">
        <f>ROUND(G$3*F4098,0)</f>
        <v>183</v>
      </c>
      <c r="H4098" s="12">
        <f>ROUND(G4098/2,0)</f>
        <v>92</v>
      </c>
      <c r="I4098" s="12">
        <f>G4098-H4098</f>
        <v>91</v>
      </c>
      <c r="J4098" s="3" t="str">
        <f t="shared" si="290"/>
        <v>5420003</v>
      </c>
    </row>
    <row r="4099" spans="2:10" s="3" customFormat="1">
      <c r="B4099" s="3" t="s">
        <v>2138</v>
      </c>
      <c r="C4099" s="8">
        <v>2</v>
      </c>
      <c r="D4099" s="3" t="s">
        <v>2190</v>
      </c>
      <c r="E4099" s="11" t="s">
        <v>11</v>
      </c>
      <c r="F4099" s="10">
        <v>2.1699999999999999E-4</v>
      </c>
      <c r="G4099" s="12">
        <f>ROUND(G$3*F4099,0)</f>
        <v>62</v>
      </c>
      <c r="H4099" s="12">
        <f>ROUND(G4099/2,0)</f>
        <v>31</v>
      </c>
      <c r="I4099" s="12">
        <f>G4099-H4099</f>
        <v>31</v>
      </c>
      <c r="J4099" s="3" t="str">
        <f t="shared" si="290"/>
        <v>5420003</v>
      </c>
    </row>
    <row r="4100" spans="2:10" s="3" customFormat="1">
      <c r="B4100" s="3" t="s">
        <v>2138</v>
      </c>
      <c r="C4100" s="8">
        <v>2</v>
      </c>
      <c r="D4100" s="3" t="s">
        <v>2191</v>
      </c>
      <c r="E4100" s="11" t="s">
        <v>372</v>
      </c>
      <c r="F4100" s="11"/>
      <c r="G4100" s="9"/>
      <c r="H4100" s="11"/>
      <c r="I4100" s="11"/>
      <c r="J4100" s="3" t="str">
        <f t="shared" ref="J4100:J4163" si="296">B4100&amp;C4100&amp;D4100</f>
        <v>5420004</v>
      </c>
    </row>
    <row r="4101" spans="2:10" s="3" customFormat="1">
      <c r="B4101" s="3" t="s">
        <v>2138</v>
      </c>
      <c r="C4101" s="8">
        <v>2</v>
      </c>
      <c r="D4101" s="3" t="s">
        <v>2191</v>
      </c>
      <c r="E4101" s="11" t="s">
        <v>10</v>
      </c>
      <c r="F4101" s="10">
        <v>9.810000000000001E-4</v>
      </c>
      <c r="G4101" s="12">
        <f>ROUND(G$3*F4101,0)</f>
        <v>282</v>
      </c>
      <c r="H4101" s="12">
        <f>ROUND(G4101/2,0)</f>
        <v>141</v>
      </c>
      <c r="I4101" s="12">
        <f>G4101-H4101</f>
        <v>141</v>
      </c>
      <c r="J4101" s="3" t="str">
        <f t="shared" si="296"/>
        <v>5420004</v>
      </c>
    </row>
    <row r="4102" spans="2:10" s="3" customFormat="1">
      <c r="B4102" s="3" t="s">
        <v>2138</v>
      </c>
      <c r="C4102" s="8">
        <v>2</v>
      </c>
      <c r="D4102" s="3" t="s">
        <v>2191</v>
      </c>
      <c r="E4102" s="11" t="s">
        <v>11</v>
      </c>
      <c r="F4102" s="10">
        <v>5.1900000000000004E-4</v>
      </c>
      <c r="G4102" s="12">
        <f>ROUND(G$3*F4102,0)</f>
        <v>149</v>
      </c>
      <c r="H4102" s="12">
        <f>ROUND(G4102/2,0)</f>
        <v>75</v>
      </c>
      <c r="I4102" s="12">
        <f>G4102-H4102</f>
        <v>74</v>
      </c>
      <c r="J4102" s="3" t="str">
        <f t="shared" si="296"/>
        <v>5420004</v>
      </c>
    </row>
    <row r="4103" spans="2:10" s="3" customFormat="1">
      <c r="B4103" s="3" t="s">
        <v>2138</v>
      </c>
      <c r="C4103" s="8">
        <v>2</v>
      </c>
      <c r="D4103" s="3" t="s">
        <v>2192</v>
      </c>
      <c r="E4103" s="11" t="s">
        <v>52</v>
      </c>
      <c r="F4103" s="11"/>
      <c r="G4103" s="9"/>
      <c r="H4103" s="11"/>
      <c r="I4103" s="11"/>
      <c r="J4103" s="3" t="str">
        <f t="shared" si="296"/>
        <v>5420005</v>
      </c>
    </row>
    <row r="4104" spans="2:10" s="3" customFormat="1">
      <c r="B4104" s="3" t="s">
        <v>2138</v>
      </c>
      <c r="C4104" s="8">
        <v>2</v>
      </c>
      <c r="D4104" s="3" t="s">
        <v>2192</v>
      </c>
      <c r="E4104" s="11" t="s">
        <v>10</v>
      </c>
      <c r="F4104" s="10">
        <v>5.385E-3</v>
      </c>
      <c r="G4104" s="12">
        <f>ROUND(G$3*F4104,0)</f>
        <v>1549</v>
      </c>
      <c r="H4104" s="12">
        <f>ROUND(G4104/2,0)</f>
        <v>775</v>
      </c>
      <c r="I4104" s="12">
        <f>G4104-H4104</f>
        <v>774</v>
      </c>
      <c r="J4104" s="3" t="str">
        <f t="shared" si="296"/>
        <v>5420005</v>
      </c>
    </row>
    <row r="4105" spans="2:10" s="3" customFormat="1">
      <c r="B4105" s="3" t="s">
        <v>2138</v>
      </c>
      <c r="C4105" s="8">
        <v>2</v>
      </c>
      <c r="D4105" s="3" t="s">
        <v>2192</v>
      </c>
      <c r="E4105" s="11" t="s">
        <v>11</v>
      </c>
      <c r="F4105" s="10">
        <v>2.7750000000000001E-3</v>
      </c>
      <c r="G4105" s="12">
        <f>ROUND(G$3*F4105,0)</f>
        <v>798</v>
      </c>
      <c r="H4105" s="12">
        <f>ROUND(G4105/2,0)</f>
        <v>399</v>
      </c>
      <c r="I4105" s="12">
        <f>G4105-H4105</f>
        <v>399</v>
      </c>
      <c r="J4105" s="3" t="str">
        <f t="shared" si="296"/>
        <v>5420005</v>
      </c>
    </row>
    <row r="4106" spans="2:10" s="3" customFormat="1">
      <c r="B4106" s="3" t="s">
        <v>2138</v>
      </c>
      <c r="C4106" s="8">
        <v>2</v>
      </c>
      <c r="D4106" s="3" t="s">
        <v>2193</v>
      </c>
      <c r="E4106" s="11" t="s">
        <v>1257</v>
      </c>
      <c r="F4106" s="11"/>
      <c r="G4106" s="9"/>
      <c r="H4106" s="11"/>
      <c r="I4106" s="11"/>
      <c r="J4106" s="3" t="str">
        <f t="shared" si="296"/>
        <v>5420006</v>
      </c>
    </row>
    <row r="4107" spans="2:10" s="3" customFormat="1">
      <c r="B4107" s="3" t="s">
        <v>2138</v>
      </c>
      <c r="C4107" s="8">
        <v>2</v>
      </c>
      <c r="D4107" s="3" t="s">
        <v>2193</v>
      </c>
      <c r="E4107" s="11" t="s">
        <v>10</v>
      </c>
      <c r="F4107" s="10">
        <v>1.4649999999999999E-3</v>
      </c>
      <c r="G4107" s="12">
        <f>ROUND(G$3*F4107,0)</f>
        <v>422</v>
      </c>
      <c r="H4107" s="12">
        <f>ROUND(G4107/2,0)</f>
        <v>211</v>
      </c>
      <c r="I4107" s="12">
        <f>G4107-H4107</f>
        <v>211</v>
      </c>
      <c r="J4107" s="3" t="str">
        <f t="shared" si="296"/>
        <v>5420006</v>
      </c>
    </row>
    <row r="4108" spans="2:10" s="3" customFormat="1">
      <c r="B4108" s="3" t="s">
        <v>2138</v>
      </c>
      <c r="C4108" s="8">
        <v>2</v>
      </c>
      <c r="D4108" s="3" t="s">
        <v>2193</v>
      </c>
      <c r="E4108" s="11" t="s">
        <v>11</v>
      </c>
      <c r="F4108" s="10">
        <v>6.8099999999999996E-4</v>
      </c>
      <c r="G4108" s="12">
        <f>ROUND(G$3*F4108,0)</f>
        <v>196</v>
      </c>
      <c r="H4108" s="12">
        <f>ROUND(G4108/2,0)</f>
        <v>98</v>
      </c>
      <c r="I4108" s="12">
        <f>G4108-H4108</f>
        <v>98</v>
      </c>
      <c r="J4108" s="3" t="str">
        <f t="shared" si="296"/>
        <v>5420006</v>
      </c>
    </row>
    <row r="4109" spans="2:10" s="3" customFormat="1">
      <c r="B4109" s="3" t="s">
        <v>2138</v>
      </c>
      <c r="C4109" s="8">
        <v>2</v>
      </c>
      <c r="D4109" s="3" t="s">
        <v>2194</v>
      </c>
      <c r="E4109" s="11" t="s">
        <v>954</v>
      </c>
      <c r="F4109" s="11"/>
      <c r="G4109" s="9"/>
      <c r="H4109" s="11"/>
      <c r="I4109" s="11"/>
      <c r="J4109" s="3" t="str">
        <f t="shared" si="296"/>
        <v>5420007</v>
      </c>
    </row>
    <row r="4110" spans="2:10" s="3" customFormat="1">
      <c r="B4110" s="3" t="s">
        <v>2138</v>
      </c>
      <c r="C4110" s="8">
        <v>2</v>
      </c>
      <c r="D4110" s="3" t="s">
        <v>2194</v>
      </c>
      <c r="E4110" s="11" t="s">
        <v>10</v>
      </c>
      <c r="F4110" s="10">
        <v>4.26E-4</v>
      </c>
      <c r="G4110" s="12">
        <f>ROUND(G$3*F4110,0)</f>
        <v>123</v>
      </c>
      <c r="H4110" s="12">
        <f>ROUND(G4110/2,0)</f>
        <v>62</v>
      </c>
      <c r="I4110" s="12">
        <f>G4110-H4110</f>
        <v>61</v>
      </c>
      <c r="J4110" s="3" t="str">
        <f t="shared" si="296"/>
        <v>5420007</v>
      </c>
    </row>
    <row r="4111" spans="2:10" s="3" customFormat="1">
      <c r="B4111" s="3" t="s">
        <v>2138</v>
      </c>
      <c r="C4111" s="8">
        <v>2</v>
      </c>
      <c r="D4111" s="3" t="s">
        <v>2194</v>
      </c>
      <c r="E4111" s="11" t="s">
        <v>11</v>
      </c>
      <c r="F4111" s="10">
        <v>1.1950000000000001E-3</v>
      </c>
      <c r="G4111" s="12">
        <f>ROUND(G$3*F4111,0)</f>
        <v>344</v>
      </c>
      <c r="H4111" s="12">
        <f>ROUND(G4111/2,0)</f>
        <v>172</v>
      </c>
      <c r="I4111" s="12">
        <f>G4111-H4111</f>
        <v>172</v>
      </c>
      <c r="J4111" s="3" t="str">
        <f t="shared" si="296"/>
        <v>5420007</v>
      </c>
    </row>
    <row r="4112" spans="2:10" s="3" customFormat="1">
      <c r="B4112" s="3" t="s">
        <v>2138</v>
      </c>
      <c r="C4112" s="8">
        <v>2</v>
      </c>
      <c r="D4112" s="3" t="s">
        <v>2195</v>
      </c>
      <c r="E4112" s="11" t="s">
        <v>149</v>
      </c>
      <c r="F4112" s="11"/>
      <c r="G4112" s="9"/>
      <c r="H4112" s="11"/>
      <c r="I4112" s="11"/>
      <c r="J4112" s="3" t="str">
        <f t="shared" si="296"/>
        <v>5420008</v>
      </c>
    </row>
    <row r="4113" spans="2:10" s="3" customFormat="1">
      <c r="B4113" s="3" t="s">
        <v>2138</v>
      </c>
      <c r="C4113" s="8">
        <v>2</v>
      </c>
      <c r="D4113" s="3" t="s">
        <v>2195</v>
      </c>
      <c r="E4113" s="11" t="s">
        <v>10</v>
      </c>
      <c r="F4113" s="10">
        <v>1.3929999999999999E-3</v>
      </c>
      <c r="G4113" s="12">
        <f>ROUND(G$3*F4113,0)</f>
        <v>401</v>
      </c>
      <c r="H4113" s="12">
        <f>ROUND(G4113/2,0)</f>
        <v>201</v>
      </c>
      <c r="I4113" s="12">
        <f>G4113-H4113</f>
        <v>200</v>
      </c>
      <c r="J4113" s="3" t="str">
        <f t="shared" si="296"/>
        <v>5420008</v>
      </c>
    </row>
    <row r="4114" spans="2:10" s="3" customFormat="1">
      <c r="B4114" s="3" t="s">
        <v>2138</v>
      </c>
      <c r="C4114" s="8">
        <v>2</v>
      </c>
      <c r="D4114" s="3" t="s">
        <v>2195</v>
      </c>
      <c r="E4114" s="11" t="s">
        <v>11</v>
      </c>
      <c r="F4114" s="10">
        <v>6.8400000000000004E-4</v>
      </c>
      <c r="G4114" s="12">
        <f>ROUND(G$3*F4114,0)</f>
        <v>197</v>
      </c>
      <c r="H4114" s="12">
        <f>ROUND(G4114/2,0)</f>
        <v>99</v>
      </c>
      <c r="I4114" s="12">
        <f>G4114-H4114</f>
        <v>98</v>
      </c>
      <c r="J4114" s="3" t="str">
        <f t="shared" si="296"/>
        <v>5420008</v>
      </c>
    </row>
    <row r="4115" spans="2:10" s="3" customFormat="1">
      <c r="B4115" s="3" t="s">
        <v>2138</v>
      </c>
      <c r="C4115" s="8">
        <v>2</v>
      </c>
      <c r="D4115" s="3" t="s">
        <v>2196</v>
      </c>
      <c r="E4115" s="11" t="s">
        <v>20</v>
      </c>
      <c r="F4115" s="11"/>
      <c r="G4115" s="9"/>
      <c r="H4115" s="11"/>
      <c r="I4115" s="11"/>
      <c r="J4115" s="3" t="str">
        <f t="shared" si="296"/>
        <v>5420009</v>
      </c>
    </row>
    <row r="4116" spans="2:10" s="3" customFormat="1">
      <c r="B4116" s="3" t="s">
        <v>2138</v>
      </c>
      <c r="C4116" s="8">
        <v>2</v>
      </c>
      <c r="D4116" s="3" t="s">
        <v>2196</v>
      </c>
      <c r="E4116" s="11" t="s">
        <v>10</v>
      </c>
      <c r="F4116" s="10">
        <v>6.0920000000000002E-3</v>
      </c>
      <c r="G4116" s="12">
        <f>ROUND(G$3*F4116,0)</f>
        <v>1753</v>
      </c>
      <c r="H4116" s="12">
        <f>ROUND(G4116/2,0)</f>
        <v>877</v>
      </c>
      <c r="I4116" s="12">
        <f>G4116-H4116</f>
        <v>876</v>
      </c>
      <c r="J4116" s="3" t="str">
        <f t="shared" si="296"/>
        <v>5420009</v>
      </c>
    </row>
    <row r="4117" spans="2:10" s="3" customFormat="1">
      <c r="B4117" s="3" t="s">
        <v>2138</v>
      </c>
      <c r="C4117" s="8">
        <v>2</v>
      </c>
      <c r="D4117" s="3" t="s">
        <v>2196</v>
      </c>
      <c r="E4117" s="11" t="s">
        <v>11</v>
      </c>
      <c r="F4117" s="10">
        <v>1.753E-3</v>
      </c>
      <c r="G4117" s="12">
        <f>ROUND(G$3*F4117,0)</f>
        <v>504</v>
      </c>
      <c r="H4117" s="12">
        <f>ROUND(G4117/2,0)</f>
        <v>252</v>
      </c>
      <c r="I4117" s="12">
        <f>G4117-H4117</f>
        <v>252</v>
      </c>
      <c r="J4117" s="3" t="str">
        <f t="shared" si="296"/>
        <v>5420009</v>
      </c>
    </row>
    <row r="4118" spans="2:10" s="3" customFormat="1">
      <c r="B4118" s="3" t="s">
        <v>2138</v>
      </c>
      <c r="C4118" s="8">
        <v>2</v>
      </c>
      <c r="D4118" s="3" t="s">
        <v>2197</v>
      </c>
      <c r="E4118" s="11" t="s">
        <v>1192</v>
      </c>
      <c r="F4118" s="11"/>
      <c r="G4118" s="9"/>
      <c r="H4118" s="11"/>
      <c r="I4118" s="11"/>
      <c r="J4118" s="3" t="str">
        <f t="shared" si="296"/>
        <v>5420010</v>
      </c>
    </row>
    <row r="4119" spans="2:10" s="3" customFormat="1">
      <c r="B4119" s="3" t="s">
        <v>2138</v>
      </c>
      <c r="C4119" s="8">
        <v>2</v>
      </c>
      <c r="D4119" s="3" t="s">
        <v>2197</v>
      </c>
      <c r="E4119" s="11" t="s">
        <v>10</v>
      </c>
      <c r="F4119" s="10">
        <v>5.5500000000000005E-4</v>
      </c>
      <c r="G4119" s="12">
        <f>ROUND(G$3*F4119,0)</f>
        <v>160</v>
      </c>
      <c r="H4119" s="12">
        <f>ROUND(G4119/2,0)</f>
        <v>80</v>
      </c>
      <c r="I4119" s="12">
        <f>G4119-H4119</f>
        <v>80</v>
      </c>
      <c r="J4119" s="3" t="str">
        <f t="shared" si="296"/>
        <v>5420010</v>
      </c>
    </row>
    <row r="4120" spans="2:10" s="3" customFormat="1">
      <c r="B4120" s="3" t="s">
        <v>2138</v>
      </c>
      <c r="C4120" s="8">
        <v>2</v>
      </c>
      <c r="D4120" s="3" t="s">
        <v>2197</v>
      </c>
      <c r="E4120" s="11" t="s">
        <v>11</v>
      </c>
      <c r="F4120" s="10">
        <v>3.5199999999999999E-4</v>
      </c>
      <c r="G4120" s="12">
        <f>ROUND(G$3*F4120,0)</f>
        <v>101</v>
      </c>
      <c r="H4120" s="12">
        <f>ROUND(G4120/2,0)</f>
        <v>51</v>
      </c>
      <c r="I4120" s="12">
        <f>G4120-H4120</f>
        <v>50</v>
      </c>
      <c r="J4120" s="3" t="str">
        <f t="shared" si="296"/>
        <v>5420010</v>
      </c>
    </row>
    <row r="4121" spans="2:10" s="3" customFormat="1">
      <c r="B4121" s="3" t="s">
        <v>2138</v>
      </c>
      <c r="C4121" s="8">
        <v>2</v>
      </c>
      <c r="D4121" s="3" t="s">
        <v>2198</v>
      </c>
      <c r="E4121" s="11" t="s">
        <v>61</v>
      </c>
      <c r="F4121" s="11"/>
      <c r="G4121" s="9"/>
      <c r="H4121" s="11"/>
      <c r="I4121" s="11"/>
      <c r="J4121" s="3" t="str">
        <f t="shared" si="296"/>
        <v>5420011</v>
      </c>
    </row>
    <row r="4122" spans="2:10" s="3" customFormat="1">
      <c r="B4122" s="3" t="s">
        <v>2138</v>
      </c>
      <c r="C4122" s="8">
        <v>2</v>
      </c>
      <c r="D4122" s="3" t="s">
        <v>2198</v>
      </c>
      <c r="E4122" s="11" t="s">
        <v>10</v>
      </c>
      <c r="F4122" s="10">
        <v>7.8299999999999995E-4</v>
      </c>
      <c r="G4122" s="12">
        <f t="shared" ref="G4122:G4135" si="297">ROUND(G$3*F4122,0)</f>
        <v>225</v>
      </c>
      <c r="H4122" s="12">
        <f t="shared" ref="H4122:H4135" si="298">ROUND(G4122/2,0)</f>
        <v>113</v>
      </c>
      <c r="I4122" s="12">
        <f t="shared" ref="I4122:I4135" si="299">G4122-H4122</f>
        <v>112</v>
      </c>
      <c r="J4122" s="3" t="str">
        <f t="shared" si="296"/>
        <v>5420011</v>
      </c>
    </row>
    <row r="4123" spans="2:10" s="3" customFormat="1">
      <c r="B4123" s="3" t="s">
        <v>2138</v>
      </c>
      <c r="C4123" s="8">
        <v>2</v>
      </c>
      <c r="D4123" s="3" t="s">
        <v>2198</v>
      </c>
      <c r="E4123" s="11" t="s">
        <v>11</v>
      </c>
      <c r="F4123" s="10">
        <v>5.6099999999999998E-4</v>
      </c>
      <c r="G4123" s="12">
        <f t="shared" si="297"/>
        <v>161</v>
      </c>
      <c r="H4123" s="12">
        <f t="shared" si="298"/>
        <v>81</v>
      </c>
      <c r="I4123" s="12">
        <f t="shared" si="299"/>
        <v>80</v>
      </c>
      <c r="J4123" s="3" t="str">
        <f t="shared" si="296"/>
        <v>5420011</v>
      </c>
    </row>
    <row r="4124" spans="2:10" s="3" customFormat="1">
      <c r="B4124" s="3" t="s">
        <v>2138</v>
      </c>
      <c r="C4124" s="8">
        <v>3</v>
      </c>
      <c r="D4124" s="3" t="s">
        <v>2857</v>
      </c>
      <c r="E4124" s="11" t="s">
        <v>1258</v>
      </c>
      <c r="F4124" s="10">
        <v>1.2899999999999999E-4</v>
      </c>
      <c r="G4124" s="12">
        <f t="shared" si="297"/>
        <v>37</v>
      </c>
      <c r="H4124" s="12">
        <f t="shared" si="298"/>
        <v>19</v>
      </c>
      <c r="I4124" s="12">
        <f t="shared" si="299"/>
        <v>18</v>
      </c>
      <c r="J4124" s="3" t="str">
        <f t="shared" si="296"/>
        <v>5430790</v>
      </c>
    </row>
    <row r="4125" spans="2:10" s="3" customFormat="1">
      <c r="B4125" s="3" t="s">
        <v>2138</v>
      </c>
      <c r="C4125" s="8">
        <v>3</v>
      </c>
      <c r="D4125" s="3" t="s">
        <v>2856</v>
      </c>
      <c r="E4125" s="11" t="s">
        <v>1259</v>
      </c>
      <c r="F4125" s="10">
        <v>6.3235E-2</v>
      </c>
      <c r="G4125" s="12">
        <f t="shared" si="297"/>
        <v>18194</v>
      </c>
      <c r="H4125" s="12">
        <f t="shared" si="298"/>
        <v>9097</v>
      </c>
      <c r="I4125" s="12">
        <f t="shared" si="299"/>
        <v>9097</v>
      </c>
      <c r="J4125" s="3" t="str">
        <f t="shared" si="296"/>
        <v>5430311</v>
      </c>
    </row>
    <row r="4126" spans="2:10" s="3" customFormat="1">
      <c r="B4126" s="3" t="s">
        <v>2138</v>
      </c>
      <c r="C4126" s="8">
        <v>3</v>
      </c>
      <c r="D4126" s="3" t="s">
        <v>2858</v>
      </c>
      <c r="E4126" s="11" t="s">
        <v>1260</v>
      </c>
      <c r="F4126" s="10">
        <v>1.9040000000000001E-3</v>
      </c>
      <c r="G4126" s="12">
        <f t="shared" si="297"/>
        <v>548</v>
      </c>
      <c r="H4126" s="12">
        <f t="shared" si="298"/>
        <v>274</v>
      </c>
      <c r="I4126" s="12">
        <f t="shared" si="299"/>
        <v>274</v>
      </c>
      <c r="J4126" s="3" t="str">
        <f t="shared" si="296"/>
        <v>5430791</v>
      </c>
    </row>
    <row r="4127" spans="2:10" s="3" customFormat="1">
      <c r="B4127" s="3" t="s">
        <v>2138</v>
      </c>
      <c r="C4127" s="8">
        <v>3</v>
      </c>
      <c r="D4127" s="3" t="s">
        <v>2859</v>
      </c>
      <c r="E4127" s="11" t="s">
        <v>1261</v>
      </c>
      <c r="F4127" s="10">
        <v>9.1200000000000005E-4</v>
      </c>
      <c r="G4127" s="12">
        <f t="shared" si="297"/>
        <v>262</v>
      </c>
      <c r="H4127" s="12">
        <f t="shared" si="298"/>
        <v>131</v>
      </c>
      <c r="I4127" s="12">
        <f t="shared" si="299"/>
        <v>131</v>
      </c>
      <c r="J4127" s="3" t="str">
        <f t="shared" si="296"/>
        <v>5430792</v>
      </c>
    </row>
    <row r="4128" spans="2:10" s="3" customFormat="1">
      <c r="B4128" s="3" t="s">
        <v>2138</v>
      </c>
      <c r="C4128" s="8">
        <v>3</v>
      </c>
      <c r="D4128" s="3" t="s">
        <v>2860</v>
      </c>
      <c r="E4128" s="11" t="s">
        <v>1262</v>
      </c>
      <c r="F4128" s="10">
        <v>2.8470000000000001E-3</v>
      </c>
      <c r="G4128" s="12">
        <f t="shared" si="297"/>
        <v>819</v>
      </c>
      <c r="H4128" s="12">
        <f t="shared" si="298"/>
        <v>410</v>
      </c>
      <c r="I4128" s="12">
        <f t="shared" si="299"/>
        <v>409</v>
      </c>
      <c r="J4128" s="3" t="str">
        <f t="shared" si="296"/>
        <v>5430793</v>
      </c>
    </row>
    <row r="4129" spans="1:10" s="3" customFormat="1">
      <c r="B4129" s="3" t="s">
        <v>2138</v>
      </c>
      <c r="C4129" s="8">
        <v>3</v>
      </c>
      <c r="D4129" s="3" t="s">
        <v>2861</v>
      </c>
      <c r="E4129" s="11" t="s">
        <v>1263</v>
      </c>
      <c r="F4129" s="10">
        <v>7.8299999999999995E-4</v>
      </c>
      <c r="G4129" s="12">
        <f t="shared" si="297"/>
        <v>225</v>
      </c>
      <c r="H4129" s="12">
        <f t="shared" si="298"/>
        <v>113</v>
      </c>
      <c r="I4129" s="12">
        <f t="shared" si="299"/>
        <v>112</v>
      </c>
      <c r="J4129" s="3" t="str">
        <f t="shared" si="296"/>
        <v>5430794</v>
      </c>
    </row>
    <row r="4130" spans="1:10" s="3" customFormat="1">
      <c r="A4130" s="3" t="s">
        <v>6269</v>
      </c>
      <c r="B4130" s="3" t="s">
        <v>2138</v>
      </c>
      <c r="C4130" s="8">
        <v>3</v>
      </c>
      <c r="D4130" s="3" t="s">
        <v>2741</v>
      </c>
      <c r="E4130" s="11" t="s">
        <v>1264</v>
      </c>
      <c r="F4130" s="10">
        <v>0</v>
      </c>
      <c r="G4130" s="12">
        <f t="shared" si="297"/>
        <v>0</v>
      </c>
      <c r="H4130" s="12">
        <f t="shared" si="298"/>
        <v>0</v>
      </c>
      <c r="I4130" s="12">
        <f t="shared" si="299"/>
        <v>0</v>
      </c>
      <c r="J4130" s="3" t="str">
        <f t="shared" si="296"/>
        <v>5430959</v>
      </c>
    </row>
    <row r="4131" spans="1:10" s="3" customFormat="1">
      <c r="B4131" s="3" t="s">
        <v>2138</v>
      </c>
      <c r="C4131" s="8">
        <v>3</v>
      </c>
      <c r="D4131" s="3" t="s">
        <v>2227</v>
      </c>
      <c r="E4131" s="11" t="s">
        <v>1265</v>
      </c>
      <c r="F4131" s="10">
        <v>5.9100000000000005E-4</v>
      </c>
      <c r="G4131" s="12">
        <f t="shared" si="297"/>
        <v>170</v>
      </c>
      <c r="H4131" s="12">
        <f t="shared" si="298"/>
        <v>85</v>
      </c>
      <c r="I4131" s="12">
        <f t="shared" si="299"/>
        <v>85</v>
      </c>
      <c r="J4131" s="3" t="str">
        <f t="shared" si="296"/>
        <v>5430960</v>
      </c>
    </row>
    <row r="4132" spans="1:10" s="3" customFormat="1">
      <c r="B4132" s="3" t="s">
        <v>2138</v>
      </c>
      <c r="C4132" s="8">
        <v>3</v>
      </c>
      <c r="D4132" s="3" t="s">
        <v>2862</v>
      </c>
      <c r="E4132" s="11" t="s">
        <v>1266</v>
      </c>
      <c r="F4132" s="10">
        <v>5.7700000000000004E-4</v>
      </c>
      <c r="G4132" s="12">
        <f t="shared" si="297"/>
        <v>166</v>
      </c>
      <c r="H4132" s="12">
        <f t="shared" si="298"/>
        <v>83</v>
      </c>
      <c r="I4132" s="12">
        <f t="shared" si="299"/>
        <v>83</v>
      </c>
      <c r="J4132" s="3" t="str">
        <f t="shared" si="296"/>
        <v>5430795</v>
      </c>
    </row>
    <row r="4133" spans="1:10" s="3" customFormat="1">
      <c r="B4133" s="3" t="s">
        <v>2138</v>
      </c>
      <c r="C4133" s="8">
        <v>3</v>
      </c>
      <c r="D4133" s="3" t="s">
        <v>2863</v>
      </c>
      <c r="E4133" s="11" t="s">
        <v>1267</v>
      </c>
      <c r="F4133" s="10">
        <v>1.75E-3</v>
      </c>
      <c r="G4133" s="12">
        <f t="shared" si="297"/>
        <v>504</v>
      </c>
      <c r="H4133" s="12">
        <f t="shared" si="298"/>
        <v>252</v>
      </c>
      <c r="I4133" s="12">
        <f t="shared" si="299"/>
        <v>252</v>
      </c>
      <c r="J4133" s="3" t="str">
        <f t="shared" si="296"/>
        <v>5430796</v>
      </c>
    </row>
    <row r="4134" spans="1:10" s="3" customFormat="1">
      <c r="B4134" s="3" t="s">
        <v>2138</v>
      </c>
      <c r="C4134" s="8">
        <v>3</v>
      </c>
      <c r="D4134" s="3" t="s">
        <v>2864</v>
      </c>
      <c r="E4134" s="11" t="s">
        <v>1268</v>
      </c>
      <c r="F4134" s="10">
        <v>1.8990000000000001E-3</v>
      </c>
      <c r="G4134" s="12">
        <f t="shared" si="297"/>
        <v>546</v>
      </c>
      <c r="H4134" s="12">
        <f t="shared" si="298"/>
        <v>273</v>
      </c>
      <c r="I4134" s="12">
        <f t="shared" si="299"/>
        <v>273</v>
      </c>
      <c r="J4134" s="3" t="str">
        <f t="shared" si="296"/>
        <v>5430797</v>
      </c>
    </row>
    <row r="4135" spans="1:10" s="3" customFormat="1">
      <c r="B4135" s="3" t="s">
        <v>2138</v>
      </c>
      <c r="C4135" s="8">
        <v>4</v>
      </c>
      <c r="D4135" s="3" t="s">
        <v>2867</v>
      </c>
      <c r="E4135" s="11" t="s">
        <v>1269</v>
      </c>
      <c r="F4135" s="10">
        <v>0.12316000000000001</v>
      </c>
      <c r="G4135" s="9">
        <f t="shared" si="297"/>
        <v>35436</v>
      </c>
      <c r="H4135" s="11">
        <f t="shared" si="298"/>
        <v>17718</v>
      </c>
      <c r="I4135" s="9">
        <f t="shared" si="299"/>
        <v>17718</v>
      </c>
      <c r="J4135" s="3" t="str">
        <f t="shared" si="296"/>
        <v>5445855</v>
      </c>
    </row>
    <row r="4136" spans="1:10" s="3" customFormat="1">
      <c r="B4136" s="3" t="s">
        <v>2138</v>
      </c>
      <c r="C4136" s="8">
        <v>4</v>
      </c>
      <c r="D4136" s="3" t="s">
        <v>2867</v>
      </c>
      <c r="E4136" s="11" t="s">
        <v>28</v>
      </c>
      <c r="F4136" s="11"/>
      <c r="G4136" s="14">
        <v>0.31659900000000002</v>
      </c>
      <c r="H4136" s="11"/>
      <c r="I4136" s="11"/>
      <c r="J4136" s="3" t="str">
        <f t="shared" si="296"/>
        <v>5445855</v>
      </c>
    </row>
    <row r="4137" spans="1:10" s="3" customFormat="1">
      <c r="B4137" s="3" t="s">
        <v>2138</v>
      </c>
      <c r="C4137" s="8">
        <v>4</v>
      </c>
      <c r="D4137" s="3" t="s">
        <v>2867</v>
      </c>
      <c r="E4137" s="11" t="s">
        <v>29</v>
      </c>
      <c r="F4137" s="11"/>
      <c r="G4137" s="15">
        <f>ROUND(G4135*G4136,0)</f>
        <v>11219</v>
      </c>
      <c r="H4137" s="16">
        <f>ROUND(G4137/2,0)</f>
        <v>5610</v>
      </c>
      <c r="I4137" s="15">
        <f>G4137-H4137</f>
        <v>5609</v>
      </c>
      <c r="J4137" s="3" t="str">
        <f t="shared" si="296"/>
        <v>5445855</v>
      </c>
    </row>
    <row r="4138" spans="1:10" s="3" customFormat="1">
      <c r="B4138" s="3" t="s">
        <v>2138</v>
      </c>
      <c r="C4138" s="8">
        <v>4</v>
      </c>
      <c r="D4138" s="3" t="s">
        <v>2867</v>
      </c>
      <c r="E4138" s="11" t="s">
        <v>30</v>
      </c>
      <c r="F4138" s="11"/>
      <c r="G4138" s="12">
        <f>+G4135-G4137</f>
        <v>24217</v>
      </c>
      <c r="H4138" s="12">
        <f>ROUND(G4138/2,0)</f>
        <v>12109</v>
      </c>
      <c r="I4138" s="12">
        <f>G4138-H4138</f>
        <v>12108</v>
      </c>
      <c r="J4138" s="3" t="str">
        <f t="shared" si="296"/>
        <v>5445855</v>
      </c>
    </row>
    <row r="4139" spans="1:10" s="3" customFormat="1">
      <c r="B4139" s="3" t="s">
        <v>2138</v>
      </c>
      <c r="C4139" s="8">
        <v>4</v>
      </c>
      <c r="D4139" s="3" t="s">
        <v>2865</v>
      </c>
      <c r="E4139" s="11" t="s">
        <v>1270</v>
      </c>
      <c r="F4139" s="10">
        <v>0.33996900000000002</v>
      </c>
      <c r="G4139" s="9">
        <f>ROUND(G$3*F4139,0)</f>
        <v>97817</v>
      </c>
      <c r="H4139" s="11">
        <f>ROUND(G4139/2,0)</f>
        <v>48909</v>
      </c>
      <c r="I4139" s="9">
        <f>G4139-H4139</f>
        <v>48908</v>
      </c>
      <c r="J4139" s="3" t="str">
        <f t="shared" si="296"/>
        <v>5445835</v>
      </c>
    </row>
    <row r="4140" spans="1:10" s="3" customFormat="1">
      <c r="B4140" s="3" t="s">
        <v>2138</v>
      </c>
      <c r="C4140" s="8">
        <v>4</v>
      </c>
      <c r="D4140" s="3" t="s">
        <v>2865</v>
      </c>
      <c r="E4140" s="11" t="s">
        <v>28</v>
      </c>
      <c r="F4140" s="11"/>
      <c r="G4140" s="14">
        <v>0.396789</v>
      </c>
      <c r="H4140" s="11"/>
      <c r="I4140" s="11"/>
      <c r="J4140" s="3" t="str">
        <f t="shared" si="296"/>
        <v>5445835</v>
      </c>
    </row>
    <row r="4141" spans="1:10" s="3" customFormat="1">
      <c r="B4141" s="3" t="s">
        <v>2138</v>
      </c>
      <c r="C4141" s="8">
        <v>4</v>
      </c>
      <c r="D4141" s="3" t="s">
        <v>2865</v>
      </c>
      <c r="E4141" s="11" t="s">
        <v>29</v>
      </c>
      <c r="F4141" s="11"/>
      <c r="G4141" s="15">
        <f>ROUND(G4139*G4140,0)</f>
        <v>38813</v>
      </c>
      <c r="H4141" s="16">
        <f>ROUND(G4141/2,0)</f>
        <v>19407</v>
      </c>
      <c r="I4141" s="15">
        <f>G4141-H4141</f>
        <v>19406</v>
      </c>
      <c r="J4141" s="3" t="str">
        <f t="shared" si="296"/>
        <v>5445835</v>
      </c>
    </row>
    <row r="4142" spans="1:10" s="3" customFormat="1">
      <c r="B4142" s="3" t="s">
        <v>2138</v>
      </c>
      <c r="C4142" s="8">
        <v>4</v>
      </c>
      <c r="D4142" s="3" t="s">
        <v>2865</v>
      </c>
      <c r="E4142" s="11" t="s">
        <v>30</v>
      </c>
      <c r="F4142" s="11"/>
      <c r="G4142" s="12">
        <f>+G4139-G4141</f>
        <v>59004</v>
      </c>
      <c r="H4142" s="12">
        <f>ROUND(G4142/2,0)</f>
        <v>29502</v>
      </c>
      <c r="I4142" s="12">
        <f>G4142-H4142</f>
        <v>29502</v>
      </c>
      <c r="J4142" s="3" t="str">
        <f t="shared" si="296"/>
        <v>5445835</v>
      </c>
    </row>
    <row r="4143" spans="1:10" s="3" customFormat="1">
      <c r="B4143" s="3" t="s">
        <v>2138</v>
      </c>
      <c r="C4143" s="8">
        <v>4</v>
      </c>
      <c r="D4143" s="3" t="s">
        <v>2866</v>
      </c>
      <c r="E4143" s="11" t="s">
        <v>1271</v>
      </c>
      <c r="F4143" s="10">
        <v>0.259077</v>
      </c>
      <c r="G4143" s="9">
        <f>ROUND(G$3*F4143,0)</f>
        <v>74542</v>
      </c>
      <c r="H4143" s="11">
        <f>ROUND(G4143/2,0)</f>
        <v>37271</v>
      </c>
      <c r="I4143" s="9">
        <f>G4143-H4143</f>
        <v>37271</v>
      </c>
      <c r="J4143" s="3" t="str">
        <f t="shared" si="296"/>
        <v>5445845</v>
      </c>
    </row>
    <row r="4144" spans="1:10" s="3" customFormat="1">
      <c r="B4144" s="3" t="s">
        <v>2138</v>
      </c>
      <c r="C4144" s="8">
        <v>4</v>
      </c>
      <c r="D4144" s="3" t="s">
        <v>2866</v>
      </c>
      <c r="E4144" s="11" t="s">
        <v>28</v>
      </c>
      <c r="F4144" s="11"/>
      <c r="G4144" s="14">
        <v>0.45506999999999997</v>
      </c>
      <c r="H4144" s="11"/>
      <c r="I4144" s="11"/>
      <c r="J4144" s="3" t="str">
        <f t="shared" si="296"/>
        <v>5445845</v>
      </c>
    </row>
    <row r="4145" spans="2:10" s="3" customFormat="1">
      <c r="B4145" s="3" t="s">
        <v>2138</v>
      </c>
      <c r="C4145" s="8">
        <v>4</v>
      </c>
      <c r="D4145" s="3" t="s">
        <v>2866</v>
      </c>
      <c r="E4145" s="11" t="s">
        <v>29</v>
      </c>
      <c r="F4145" s="11"/>
      <c r="G4145" s="15">
        <f>ROUND(G4143*G4144,0)</f>
        <v>33922</v>
      </c>
      <c r="H4145" s="16">
        <f t="shared" ref="H4145:H4151" si="300">ROUND(G4145/2,0)</f>
        <v>16961</v>
      </c>
      <c r="I4145" s="15">
        <f t="shared" ref="I4145:I4151" si="301">G4145-H4145</f>
        <v>16961</v>
      </c>
      <c r="J4145" s="3" t="str">
        <f t="shared" si="296"/>
        <v>5445845</v>
      </c>
    </row>
    <row r="4146" spans="2:10" s="3" customFormat="1">
      <c r="B4146" s="3" t="s">
        <v>2138</v>
      </c>
      <c r="C4146" s="8">
        <v>4</v>
      </c>
      <c r="D4146" s="3" t="s">
        <v>2866</v>
      </c>
      <c r="E4146" s="11" t="s">
        <v>30</v>
      </c>
      <c r="F4146" s="11"/>
      <c r="G4146" s="12">
        <f>+G4143-G4145</f>
        <v>40620</v>
      </c>
      <c r="H4146" s="12">
        <f t="shared" si="300"/>
        <v>20310</v>
      </c>
      <c r="I4146" s="12">
        <f t="shared" si="301"/>
        <v>20310</v>
      </c>
      <c r="J4146" s="3" t="str">
        <f t="shared" si="296"/>
        <v>5445845</v>
      </c>
    </row>
    <row r="4147" spans="2:10" s="3" customFormat="1">
      <c r="B4147" s="3" t="s">
        <v>2138</v>
      </c>
      <c r="C4147" s="8">
        <v>5</v>
      </c>
      <c r="D4147" s="3" t="s">
        <v>5106</v>
      </c>
      <c r="E4147" s="11" t="s">
        <v>1272</v>
      </c>
      <c r="F4147" s="10">
        <v>1.0312E-2</v>
      </c>
      <c r="G4147" s="120">
        <f>ROUND(G$3*F4147,0)</f>
        <v>2967</v>
      </c>
      <c r="H4147" s="120">
        <f t="shared" si="300"/>
        <v>1484</v>
      </c>
      <c r="I4147" s="120">
        <f t="shared" si="301"/>
        <v>1483</v>
      </c>
      <c r="J4147" s="3" t="str">
        <f t="shared" si="296"/>
        <v>5450155</v>
      </c>
    </row>
    <row r="4148" spans="2:10" s="3" customFormat="1">
      <c r="B4148" s="3" t="s">
        <v>2138</v>
      </c>
      <c r="C4148" s="8">
        <v>5</v>
      </c>
      <c r="D4148" s="3" t="s">
        <v>2868</v>
      </c>
      <c r="E4148" s="11" t="s">
        <v>1273</v>
      </c>
      <c r="F4148" s="10">
        <v>2.0089999999999999E-3</v>
      </c>
      <c r="G4148" s="120">
        <f>ROUND(G$3*F4148,0)</f>
        <v>578</v>
      </c>
      <c r="H4148" s="120">
        <f t="shared" si="300"/>
        <v>289</v>
      </c>
      <c r="I4148" s="120">
        <f t="shared" si="301"/>
        <v>289</v>
      </c>
      <c r="J4148" s="3" t="str">
        <f t="shared" si="296"/>
        <v>5450156</v>
      </c>
    </row>
    <row r="4149" spans="2:10" s="3" customFormat="1">
      <c r="B4149" s="3" t="s">
        <v>2138</v>
      </c>
      <c r="C4149" s="8">
        <v>5</v>
      </c>
      <c r="D4149" s="3" t="s">
        <v>2869</v>
      </c>
      <c r="E4149" s="11" t="s">
        <v>1274</v>
      </c>
      <c r="F4149" s="10">
        <v>2.9020000000000001E-3</v>
      </c>
      <c r="G4149" s="120">
        <f>ROUND(G$3*F4149,0)</f>
        <v>835</v>
      </c>
      <c r="H4149" s="120">
        <f t="shared" si="300"/>
        <v>418</v>
      </c>
      <c r="I4149" s="120">
        <f t="shared" si="301"/>
        <v>417</v>
      </c>
      <c r="J4149" s="3" t="str">
        <f t="shared" si="296"/>
        <v>5450157</v>
      </c>
    </row>
    <row r="4150" spans="2:10" s="3" customFormat="1">
      <c r="B4150" s="3" t="s">
        <v>2138</v>
      </c>
      <c r="C4150" s="8">
        <v>5</v>
      </c>
      <c r="D4150" s="3" t="s">
        <v>2870</v>
      </c>
      <c r="E4150" s="11" t="s">
        <v>1275</v>
      </c>
      <c r="F4150" s="10">
        <v>2.7780000000000001E-3</v>
      </c>
      <c r="G4150" s="120">
        <f>ROUND(G$3*F4150,0)</f>
        <v>799</v>
      </c>
      <c r="H4150" s="120">
        <f t="shared" si="300"/>
        <v>400</v>
      </c>
      <c r="I4150" s="120">
        <f t="shared" si="301"/>
        <v>399</v>
      </c>
      <c r="J4150" s="3" t="str">
        <f t="shared" si="296"/>
        <v>5450158</v>
      </c>
    </row>
    <row r="4151" spans="2:10" s="3" customFormat="1">
      <c r="B4151" s="3" t="s">
        <v>2138</v>
      </c>
      <c r="C4151" s="8">
        <v>5</v>
      </c>
      <c r="D4151" s="3" t="s">
        <v>2871</v>
      </c>
      <c r="E4151" s="11" t="s">
        <v>1276</v>
      </c>
      <c r="F4151" s="10">
        <v>3.2810000000000001E-3</v>
      </c>
      <c r="G4151" s="120">
        <f>+G4085-SUM(G4086:G4087)-SUM(G4092:G4135)-G4139-G4143-SUM(G4147:G4150)</f>
        <v>44905</v>
      </c>
      <c r="H4151" s="120">
        <f t="shared" si="300"/>
        <v>22453</v>
      </c>
      <c r="I4151" s="120">
        <f t="shared" si="301"/>
        <v>22452</v>
      </c>
      <c r="J4151" s="3" t="str">
        <f t="shared" si="296"/>
        <v>5450159</v>
      </c>
    </row>
    <row r="4152" spans="2:10" s="3" customFormat="1">
      <c r="B4152" s="3" t="s">
        <v>2138</v>
      </c>
      <c r="C4152" s="8">
        <v>0</v>
      </c>
      <c r="D4152" s="125" t="s">
        <v>2187</v>
      </c>
      <c r="E4152" s="28" t="s">
        <v>288</v>
      </c>
      <c r="F4152" s="10">
        <v>0.99999999999999989</v>
      </c>
      <c r="G4152" s="12">
        <f>+G4086+SUM(G4089:G4134)+SUM(G4137:G4138)+SUM(G4141:G4142)+SUM(G4145:G4151)</f>
        <v>331682</v>
      </c>
      <c r="H4152" s="12">
        <f>+H4086+SUM(H4089:H4134)+SUM(H4137:H4138)+SUM(H4141:H4142)+SUM(H4145:H4151)</f>
        <v>165853</v>
      </c>
      <c r="I4152" s="12">
        <f>+I4086+SUM(I4089:I4134)+SUM(I4137:I4138)+SUM(I4141:I4142)+SUM(I4145:I4151)</f>
        <v>165829</v>
      </c>
      <c r="J4152" s="3" t="str">
        <f t="shared" si="296"/>
        <v>5400000</v>
      </c>
    </row>
    <row r="4153" spans="2:10" s="3" customFormat="1">
      <c r="B4153" s="3" t="s">
        <v>2138</v>
      </c>
      <c r="C4153" s="8">
        <v>0</v>
      </c>
      <c r="D4153" s="3" t="s">
        <v>2187</v>
      </c>
      <c r="E4153" s="18" t="s">
        <v>38</v>
      </c>
      <c r="G4153" s="19">
        <f>+G4086</f>
        <v>365</v>
      </c>
      <c r="H4153" s="19">
        <f>+H4086</f>
        <v>183</v>
      </c>
      <c r="I4153" s="19">
        <f>+I4086</f>
        <v>182</v>
      </c>
      <c r="J4153" s="3" t="str">
        <f t="shared" si="296"/>
        <v>5400000</v>
      </c>
    </row>
    <row r="4154" spans="2:10" s="3" customFormat="1">
      <c r="B4154" s="3" t="s">
        <v>2138</v>
      </c>
      <c r="C4154" s="8">
        <v>0</v>
      </c>
      <c r="D4154" s="3" t="s">
        <v>2187</v>
      </c>
      <c r="E4154" s="2" t="s">
        <v>39</v>
      </c>
      <c r="G4154" s="19">
        <f>+G4089</f>
        <v>11753</v>
      </c>
      <c r="H4154" s="19">
        <f>+H4089</f>
        <v>5877</v>
      </c>
      <c r="I4154" s="19">
        <f>+I4089</f>
        <v>5876</v>
      </c>
      <c r="J4154" s="3" t="str">
        <f t="shared" si="296"/>
        <v>5400000</v>
      </c>
    </row>
    <row r="4155" spans="2:10" s="3" customFormat="1">
      <c r="B4155" s="3" t="s">
        <v>2138</v>
      </c>
      <c r="C4155" s="8">
        <v>0</v>
      </c>
      <c r="D4155" s="3" t="s">
        <v>2187</v>
      </c>
      <c r="E4155" s="2" t="s">
        <v>40</v>
      </c>
      <c r="G4155" s="19">
        <f>+G4137+G4141+G4145</f>
        <v>83954</v>
      </c>
      <c r="H4155" s="19">
        <f>+H4137+H4141+H4145</f>
        <v>41978</v>
      </c>
      <c r="I4155" s="19">
        <f>+I4137+I4141+I4145</f>
        <v>41976</v>
      </c>
      <c r="J4155" s="3" t="str">
        <f t="shared" si="296"/>
        <v>5400000</v>
      </c>
    </row>
    <row r="4156" spans="2:10" s="3" customFormat="1">
      <c r="B4156" s="3" t="s">
        <v>2138</v>
      </c>
      <c r="C4156" s="8">
        <v>0</v>
      </c>
      <c r="D4156" s="125" t="s">
        <v>2187</v>
      </c>
      <c r="E4156" s="18" t="s">
        <v>41</v>
      </c>
      <c r="G4156" s="19">
        <f>+G4152-G4153-G4154-G4155</f>
        <v>235610</v>
      </c>
      <c r="H4156" s="19">
        <f>+H4152-H4153-H4154-H4155</f>
        <v>117815</v>
      </c>
      <c r="I4156" s="19">
        <f>+I4152-I4153-I4154-I4155</f>
        <v>117795</v>
      </c>
      <c r="J4156" s="3" t="str">
        <f t="shared" si="296"/>
        <v>5400000</v>
      </c>
    </row>
    <row r="4157" spans="2:10" ht="15.75">
      <c r="B4157" s="3" t="s">
        <v>2186</v>
      </c>
      <c r="D4157" t="s">
        <v>2186</v>
      </c>
      <c r="E4157">
        <v>0</v>
      </c>
      <c r="G4157"/>
      <c r="H4157"/>
      <c r="I4157"/>
      <c r="J4157" s="3" t="str">
        <f t="shared" si="296"/>
        <v/>
      </c>
    </row>
    <row r="4158" spans="2:10" s="3" customFormat="1">
      <c r="C4158" s="1"/>
      <c r="D4158" s="3" t="s">
        <v>2186</v>
      </c>
      <c r="E4158" s="2" t="s">
        <v>1277</v>
      </c>
      <c r="J4158" s="3" t="str">
        <f t="shared" si="296"/>
        <v/>
      </c>
    </row>
    <row r="4159" spans="2:10" s="3" customFormat="1" ht="45">
      <c r="B4159" s="3" t="s">
        <v>2186</v>
      </c>
      <c r="C4159" s="1"/>
      <c r="D4159" s="3" t="s">
        <v>2186</v>
      </c>
      <c r="E4159" s="1">
        <v>0</v>
      </c>
      <c r="F4159" s="6" t="s">
        <v>1</v>
      </c>
      <c r="G4159" s="60">
        <f>'Allocation Worksheet'!H4159</f>
        <v>0</v>
      </c>
      <c r="H4159" s="60">
        <f>'Allocation Worksheet'!H4160</f>
        <v>0</v>
      </c>
      <c r="I4159" s="60">
        <f>'Allocation Worksheet'!H4161</f>
        <v>0</v>
      </c>
      <c r="J4159" s="3" t="str">
        <f t="shared" si="296"/>
        <v/>
      </c>
    </row>
    <row r="4160" spans="2:10" s="3" customFormat="1">
      <c r="C4160" s="7" t="s">
        <v>2087</v>
      </c>
      <c r="D4160" s="3" t="s">
        <v>2186</v>
      </c>
      <c r="E4160" s="7" t="s">
        <v>3</v>
      </c>
      <c r="F4160" s="10"/>
      <c r="G4160" s="9">
        <f>'Allocation Worksheet'!$D$58</f>
        <v>453237</v>
      </c>
      <c r="H4160" s="11"/>
      <c r="I4160" s="11"/>
      <c r="J4160" s="3" t="str">
        <f t="shared" si="296"/>
        <v>UT</v>
      </c>
    </row>
    <row r="4161" spans="2:10" s="3" customFormat="1">
      <c r="B4161" s="3" t="s">
        <v>2139</v>
      </c>
      <c r="C4161" s="8">
        <v>0</v>
      </c>
      <c r="D4161" s="3" t="s">
        <v>2187</v>
      </c>
      <c r="E4161" s="11" t="s">
        <v>4</v>
      </c>
      <c r="F4161" s="10">
        <v>1.369E-3</v>
      </c>
      <c r="G4161" s="12">
        <f>ROUND(G$3*F4161,0)</f>
        <v>394</v>
      </c>
      <c r="H4161" s="13">
        <f>ROUND(G4161/2,0)</f>
        <v>197</v>
      </c>
      <c r="I4161" s="12">
        <f>G4161-H4161</f>
        <v>197</v>
      </c>
      <c r="J4161" s="3" t="str">
        <f t="shared" si="296"/>
        <v>5500000</v>
      </c>
    </row>
    <row r="4162" spans="2:10" s="3" customFormat="1">
      <c r="B4162" s="3" t="s">
        <v>2139</v>
      </c>
      <c r="C4162" s="8">
        <v>1</v>
      </c>
      <c r="D4162" s="3" t="s">
        <v>2187</v>
      </c>
      <c r="E4162" s="11" t="s">
        <v>1278</v>
      </c>
      <c r="F4162" s="10">
        <v>0.15270700000000001</v>
      </c>
      <c r="G4162" s="9">
        <f>ROUND(G$3*F4162,0)</f>
        <v>43937</v>
      </c>
      <c r="H4162" s="11">
        <f>ROUND(G4162/2,0)</f>
        <v>21969</v>
      </c>
      <c r="I4162" s="9">
        <f>G4162-H4162</f>
        <v>21968</v>
      </c>
      <c r="J4162" s="3" t="str">
        <f t="shared" si="296"/>
        <v>5510000</v>
      </c>
    </row>
    <row r="4163" spans="2:10" s="3" customFormat="1">
      <c r="B4163" s="3" t="s">
        <v>2139</v>
      </c>
      <c r="C4163" s="8">
        <v>1</v>
      </c>
      <c r="D4163" s="3" t="s">
        <v>2187</v>
      </c>
      <c r="E4163" s="11" t="s">
        <v>6</v>
      </c>
      <c r="F4163" s="11"/>
      <c r="G4163" s="14">
        <v>0.22949600000000001</v>
      </c>
      <c r="H4163" s="11"/>
      <c r="I4163" s="11"/>
      <c r="J4163" s="3" t="str">
        <f t="shared" si="296"/>
        <v>5510000</v>
      </c>
    </row>
    <row r="4164" spans="2:10" s="3" customFormat="1">
      <c r="B4164" s="3" t="s">
        <v>2139</v>
      </c>
      <c r="C4164" s="8">
        <v>1</v>
      </c>
      <c r="D4164" s="3" t="s">
        <v>2187</v>
      </c>
      <c r="E4164" s="11" t="s">
        <v>7</v>
      </c>
      <c r="F4164" s="11"/>
      <c r="G4164" s="15">
        <f>ROUND(G4162*G4163,0)</f>
        <v>10083</v>
      </c>
      <c r="H4164" s="16">
        <f>ROUND(G4164/2,0)</f>
        <v>5042</v>
      </c>
      <c r="I4164" s="15">
        <f>G4164-H4164</f>
        <v>5041</v>
      </c>
      <c r="J4164" s="3" t="str">
        <f t="shared" ref="J4164:J4227" si="302">B4164&amp;C4164&amp;D4164</f>
        <v>5510000</v>
      </c>
    </row>
    <row r="4165" spans="2:10" s="3" customFormat="1">
      <c r="B4165" s="3" t="s">
        <v>2139</v>
      </c>
      <c r="C4165" s="8">
        <v>1</v>
      </c>
      <c r="D4165" s="3" t="s">
        <v>2187</v>
      </c>
      <c r="E4165" s="11" t="s">
        <v>8</v>
      </c>
      <c r="F4165" s="11"/>
      <c r="G4165" s="12">
        <f>+G4162-G4164</f>
        <v>33854</v>
      </c>
      <c r="H4165" s="13">
        <f>ROUND(G4165/2,0)</f>
        <v>16927</v>
      </c>
      <c r="I4165" s="12">
        <f>G4165-H4165</f>
        <v>16927</v>
      </c>
      <c r="J4165" s="3" t="str">
        <f t="shared" si="302"/>
        <v>5510000</v>
      </c>
    </row>
    <row r="4166" spans="2:10" s="3" customFormat="1">
      <c r="B4166" s="3" t="s">
        <v>2139</v>
      </c>
      <c r="C4166" s="8">
        <v>2</v>
      </c>
      <c r="D4166" s="3" t="s">
        <v>2188</v>
      </c>
      <c r="E4166" s="11" t="s">
        <v>46</v>
      </c>
      <c r="F4166" s="11"/>
      <c r="G4166" s="9"/>
      <c r="H4166" s="11"/>
      <c r="I4166" s="11"/>
      <c r="J4166" s="3" t="str">
        <f t="shared" si="302"/>
        <v>5520001</v>
      </c>
    </row>
    <row r="4167" spans="2:10" s="3" customFormat="1">
      <c r="B4167" s="3" t="s">
        <v>2139</v>
      </c>
      <c r="C4167" s="8">
        <v>2</v>
      </c>
      <c r="D4167" s="3" t="s">
        <v>2188</v>
      </c>
      <c r="E4167" s="11" t="s">
        <v>10</v>
      </c>
      <c r="F4167" s="10">
        <v>7.4799999999999997E-4</v>
      </c>
      <c r="G4167" s="12">
        <f>ROUND(G$3*F4167,0)</f>
        <v>215</v>
      </c>
      <c r="H4167" s="13">
        <f>ROUND(G4167/2,0)</f>
        <v>108</v>
      </c>
      <c r="I4167" s="12">
        <f>G4167-H4167</f>
        <v>107</v>
      </c>
      <c r="J4167" s="3" t="str">
        <f t="shared" si="302"/>
        <v>5520001</v>
      </c>
    </row>
    <row r="4168" spans="2:10" s="3" customFormat="1">
      <c r="B4168" s="3" t="s">
        <v>2139</v>
      </c>
      <c r="C4168" s="8">
        <v>2</v>
      </c>
      <c r="D4168" s="3" t="s">
        <v>2188</v>
      </c>
      <c r="E4168" s="11" t="s">
        <v>11</v>
      </c>
      <c r="F4168" s="10">
        <v>5.2099999999999998E-4</v>
      </c>
      <c r="G4168" s="12">
        <f>ROUND(G$3*F4168,0)</f>
        <v>150</v>
      </c>
      <c r="H4168" s="13">
        <f>ROUND(G4168/2,0)</f>
        <v>75</v>
      </c>
      <c r="I4168" s="12">
        <f>G4168-H4168</f>
        <v>75</v>
      </c>
      <c r="J4168" s="3" t="str">
        <f t="shared" si="302"/>
        <v>5520001</v>
      </c>
    </row>
    <row r="4169" spans="2:10" s="3" customFormat="1">
      <c r="B4169" s="3" t="s">
        <v>2139</v>
      </c>
      <c r="C4169" s="8">
        <v>2</v>
      </c>
      <c r="D4169" s="3" t="s">
        <v>2189</v>
      </c>
      <c r="E4169" s="11" t="s">
        <v>1279</v>
      </c>
      <c r="F4169" s="11"/>
      <c r="G4169" s="9"/>
      <c r="H4169" s="11"/>
      <c r="I4169" s="11"/>
      <c r="J4169" s="3" t="str">
        <f t="shared" si="302"/>
        <v>5520002</v>
      </c>
    </row>
    <row r="4170" spans="2:10" s="3" customFormat="1">
      <c r="B4170" s="3" t="s">
        <v>2139</v>
      </c>
      <c r="C4170" s="8">
        <v>2</v>
      </c>
      <c r="D4170" s="3" t="s">
        <v>2189</v>
      </c>
      <c r="E4170" s="11" t="s">
        <v>10</v>
      </c>
      <c r="F4170" s="10">
        <v>3.5199999999999999E-4</v>
      </c>
      <c r="G4170" s="12">
        <f>ROUND(G$3*F4170,0)</f>
        <v>101</v>
      </c>
      <c r="H4170" s="13">
        <f>ROUND(G4170/2,0)</f>
        <v>51</v>
      </c>
      <c r="I4170" s="12">
        <f>G4170-H4170</f>
        <v>50</v>
      </c>
      <c r="J4170" s="3" t="str">
        <f t="shared" si="302"/>
        <v>5520002</v>
      </c>
    </row>
    <row r="4171" spans="2:10" s="3" customFormat="1">
      <c r="B4171" s="3" t="s">
        <v>2139</v>
      </c>
      <c r="C4171" s="8">
        <v>2</v>
      </c>
      <c r="D4171" s="3" t="s">
        <v>2189</v>
      </c>
      <c r="E4171" s="11" t="s">
        <v>11</v>
      </c>
      <c r="F4171" s="10">
        <v>2.5099999999999998E-4</v>
      </c>
      <c r="G4171" s="12">
        <f>ROUND(G$3*F4171,0)</f>
        <v>72</v>
      </c>
      <c r="H4171" s="13">
        <f>ROUND(G4171/2,0)</f>
        <v>36</v>
      </c>
      <c r="I4171" s="12">
        <f>G4171-H4171</f>
        <v>36</v>
      </c>
      <c r="J4171" s="3" t="str">
        <f t="shared" si="302"/>
        <v>5520002</v>
      </c>
    </row>
    <row r="4172" spans="2:10" s="3" customFormat="1">
      <c r="B4172" s="3" t="s">
        <v>2139</v>
      </c>
      <c r="C4172" s="8">
        <v>2</v>
      </c>
      <c r="D4172" s="3" t="s">
        <v>2190</v>
      </c>
      <c r="E4172" s="11" t="s">
        <v>1280</v>
      </c>
      <c r="F4172" s="11"/>
      <c r="G4172" s="9"/>
      <c r="H4172" s="11"/>
      <c r="I4172" s="11"/>
      <c r="J4172" s="3" t="str">
        <f t="shared" si="302"/>
        <v>5520003</v>
      </c>
    </row>
    <row r="4173" spans="2:10" s="3" customFormat="1">
      <c r="B4173" s="3" t="s">
        <v>2139</v>
      </c>
      <c r="C4173" s="8">
        <v>2</v>
      </c>
      <c r="D4173" s="3" t="s">
        <v>2190</v>
      </c>
      <c r="E4173" s="11" t="s">
        <v>10</v>
      </c>
      <c r="F4173" s="10">
        <v>2.1499999999999999E-4</v>
      </c>
      <c r="G4173" s="12">
        <f>ROUND(G$3*F4173,0)</f>
        <v>62</v>
      </c>
      <c r="H4173" s="13">
        <f>ROUND(G4173/2,0)</f>
        <v>31</v>
      </c>
      <c r="I4173" s="12">
        <f>G4173-H4173</f>
        <v>31</v>
      </c>
      <c r="J4173" s="3" t="str">
        <f t="shared" si="302"/>
        <v>5520003</v>
      </c>
    </row>
    <row r="4174" spans="2:10" s="3" customFormat="1">
      <c r="B4174" s="3" t="s">
        <v>2139</v>
      </c>
      <c r="C4174" s="8">
        <v>2</v>
      </c>
      <c r="D4174" s="3" t="s">
        <v>2190</v>
      </c>
      <c r="E4174" s="11" t="s">
        <v>11</v>
      </c>
      <c r="F4174" s="10">
        <v>1.4E-5</v>
      </c>
      <c r="G4174" s="12">
        <f>ROUND(G$3*F4174,0)</f>
        <v>4</v>
      </c>
      <c r="H4174" s="13">
        <f>ROUND(G4174/2,0)</f>
        <v>2</v>
      </c>
      <c r="I4174" s="12">
        <f>G4174-H4174</f>
        <v>2</v>
      </c>
      <c r="J4174" s="3" t="str">
        <f t="shared" si="302"/>
        <v>5520003</v>
      </c>
    </row>
    <row r="4175" spans="2:10" s="3" customFormat="1">
      <c r="B4175" s="3" t="s">
        <v>2139</v>
      </c>
      <c r="C4175" s="8">
        <v>2</v>
      </c>
      <c r="D4175" s="3" t="s">
        <v>2191</v>
      </c>
      <c r="E4175" s="11" t="s">
        <v>671</v>
      </c>
      <c r="F4175" s="11"/>
      <c r="G4175" s="9"/>
      <c r="H4175" s="11"/>
      <c r="I4175" s="11"/>
      <c r="J4175" s="3" t="str">
        <f t="shared" si="302"/>
        <v>5520004</v>
      </c>
    </row>
    <row r="4176" spans="2:10" s="3" customFormat="1">
      <c r="B4176" s="3" t="s">
        <v>2139</v>
      </c>
      <c r="C4176" s="8">
        <v>2</v>
      </c>
      <c r="D4176" s="3" t="s">
        <v>2191</v>
      </c>
      <c r="E4176" s="11" t="s">
        <v>10</v>
      </c>
      <c r="F4176" s="10">
        <v>8.7930000000000005E-3</v>
      </c>
      <c r="G4176" s="12">
        <f>ROUND(G$3*F4176,0)</f>
        <v>2530</v>
      </c>
      <c r="H4176" s="13">
        <f>ROUND(G4176/2,0)</f>
        <v>1265</v>
      </c>
      <c r="I4176" s="12">
        <f>G4176-H4176</f>
        <v>1265</v>
      </c>
      <c r="J4176" s="3" t="str">
        <f t="shared" si="302"/>
        <v>5520004</v>
      </c>
    </row>
    <row r="4177" spans="1:10" s="3" customFormat="1">
      <c r="B4177" s="3" t="s">
        <v>2139</v>
      </c>
      <c r="C4177" s="8">
        <v>2</v>
      </c>
      <c r="D4177" s="3" t="s">
        <v>2191</v>
      </c>
      <c r="E4177" s="11" t="s">
        <v>11</v>
      </c>
      <c r="F4177" s="10">
        <v>2.222E-3</v>
      </c>
      <c r="G4177" s="12">
        <f>ROUND(G$3*F4177,0)</f>
        <v>639</v>
      </c>
      <c r="H4177" s="13">
        <f>ROUND(G4177/2,0)</f>
        <v>320</v>
      </c>
      <c r="I4177" s="12">
        <f>G4177-H4177</f>
        <v>319</v>
      </c>
      <c r="J4177" s="3" t="str">
        <f t="shared" si="302"/>
        <v>5520004</v>
      </c>
    </row>
    <row r="4178" spans="1:10" s="3" customFormat="1">
      <c r="B4178" s="3" t="s">
        <v>2139</v>
      </c>
      <c r="C4178" s="8">
        <v>2</v>
      </c>
      <c r="D4178" s="3" t="s">
        <v>2192</v>
      </c>
      <c r="E4178" s="11" t="s">
        <v>81</v>
      </c>
      <c r="F4178" s="11"/>
      <c r="G4178" s="9"/>
      <c r="H4178" s="11"/>
      <c r="I4178" s="11"/>
      <c r="J4178" s="3" t="str">
        <f t="shared" si="302"/>
        <v>5520005</v>
      </c>
    </row>
    <row r="4179" spans="1:10" s="3" customFormat="1">
      <c r="B4179" s="3" t="s">
        <v>2139</v>
      </c>
      <c r="C4179" s="8">
        <v>2</v>
      </c>
      <c r="D4179" s="3" t="s">
        <v>2192</v>
      </c>
      <c r="E4179" s="11" t="s">
        <v>10</v>
      </c>
      <c r="F4179" s="10">
        <v>2.0100000000000001E-4</v>
      </c>
      <c r="G4179" s="12">
        <f>ROUND(G$3*F4179,0)</f>
        <v>58</v>
      </c>
      <c r="H4179" s="13">
        <f>ROUND(G4179/2,0)</f>
        <v>29</v>
      </c>
      <c r="I4179" s="12">
        <f>G4179-H4179</f>
        <v>29</v>
      </c>
      <c r="J4179" s="3" t="str">
        <f t="shared" si="302"/>
        <v>5520005</v>
      </c>
    </row>
    <row r="4180" spans="1:10" s="3" customFormat="1">
      <c r="B4180" s="3" t="s">
        <v>2139</v>
      </c>
      <c r="C4180" s="8">
        <v>2</v>
      </c>
      <c r="D4180" s="3" t="s">
        <v>2192</v>
      </c>
      <c r="E4180" s="11" t="s">
        <v>11</v>
      </c>
      <c r="F4180" s="10">
        <v>3.8000000000000002E-4</v>
      </c>
      <c r="G4180" s="12">
        <f>ROUND(G$3*F4180,0)</f>
        <v>109</v>
      </c>
      <c r="H4180" s="13">
        <f>ROUND(G4180/2,0)</f>
        <v>55</v>
      </c>
      <c r="I4180" s="12">
        <f>G4180-H4180</f>
        <v>54</v>
      </c>
      <c r="J4180" s="3" t="str">
        <f t="shared" si="302"/>
        <v>5520005</v>
      </c>
    </row>
    <row r="4181" spans="1:10" s="3" customFormat="1">
      <c r="B4181" s="3" t="s">
        <v>2139</v>
      </c>
      <c r="C4181" s="8">
        <v>2</v>
      </c>
      <c r="D4181" s="3" t="s">
        <v>2193</v>
      </c>
      <c r="E4181" s="11" t="s">
        <v>593</v>
      </c>
      <c r="F4181" s="11"/>
      <c r="G4181" s="9"/>
      <c r="H4181" s="11"/>
      <c r="I4181" s="11"/>
      <c r="J4181" s="3" t="str">
        <f t="shared" si="302"/>
        <v>5520006</v>
      </c>
    </row>
    <row r="4182" spans="1:10" s="3" customFormat="1">
      <c r="B4182" s="3" t="s">
        <v>2139</v>
      </c>
      <c r="C4182" s="8">
        <v>2</v>
      </c>
      <c r="D4182" s="3" t="s">
        <v>2193</v>
      </c>
      <c r="E4182" s="11" t="s">
        <v>10</v>
      </c>
      <c r="F4182" s="10">
        <v>3.225E-3</v>
      </c>
      <c r="G4182" s="12">
        <f>ROUND(G$3*F4182,0)</f>
        <v>928</v>
      </c>
      <c r="H4182" s="13">
        <f>ROUND(G4182/2,0)</f>
        <v>464</v>
      </c>
      <c r="I4182" s="12">
        <f>G4182-H4182</f>
        <v>464</v>
      </c>
      <c r="J4182" s="3" t="str">
        <f t="shared" si="302"/>
        <v>5520006</v>
      </c>
    </row>
    <row r="4183" spans="1:10" s="3" customFormat="1">
      <c r="B4183" s="3" t="s">
        <v>2139</v>
      </c>
      <c r="C4183" s="8">
        <v>2</v>
      </c>
      <c r="D4183" s="3" t="s">
        <v>2193</v>
      </c>
      <c r="E4183" s="11" t="s">
        <v>11</v>
      </c>
      <c r="F4183" s="10">
        <v>7.2800000000000002E-4</v>
      </c>
      <c r="G4183" s="12">
        <f>ROUND(G$3*F4183,0)</f>
        <v>209</v>
      </c>
      <c r="H4183" s="13">
        <f>ROUND(G4183/2,0)</f>
        <v>105</v>
      </c>
      <c r="I4183" s="12">
        <f>G4183-H4183</f>
        <v>104</v>
      </c>
      <c r="J4183" s="3" t="str">
        <f t="shared" si="302"/>
        <v>5520006</v>
      </c>
    </row>
    <row r="4184" spans="1:10" s="3" customFormat="1">
      <c r="B4184" s="3" t="s">
        <v>2139</v>
      </c>
      <c r="C4184" s="8">
        <v>2</v>
      </c>
      <c r="D4184" s="3" t="s">
        <v>2194</v>
      </c>
      <c r="E4184" s="11" t="s">
        <v>1281</v>
      </c>
      <c r="F4184" s="11"/>
      <c r="G4184" s="9"/>
      <c r="H4184" s="11"/>
      <c r="I4184" s="11"/>
      <c r="J4184" s="3" t="str">
        <f t="shared" si="302"/>
        <v>5520007</v>
      </c>
    </row>
    <row r="4185" spans="1:10" s="3" customFormat="1">
      <c r="B4185" s="3" t="s">
        <v>2139</v>
      </c>
      <c r="C4185" s="8">
        <v>2</v>
      </c>
      <c r="D4185" s="3" t="s">
        <v>2194</v>
      </c>
      <c r="E4185" s="11" t="s">
        <v>10</v>
      </c>
      <c r="F4185" s="10">
        <v>1.65E-4</v>
      </c>
      <c r="G4185" s="12">
        <f>ROUND(G$3*F4185,0)</f>
        <v>47</v>
      </c>
      <c r="H4185" s="13">
        <f>ROUND(G4185/2,0)</f>
        <v>24</v>
      </c>
      <c r="I4185" s="12">
        <f>G4185-H4185</f>
        <v>23</v>
      </c>
      <c r="J4185" s="3" t="str">
        <f t="shared" si="302"/>
        <v>5520007</v>
      </c>
    </row>
    <row r="4186" spans="1:10" s="3" customFormat="1">
      <c r="B4186" s="3" t="s">
        <v>2139</v>
      </c>
      <c r="C4186" s="8">
        <v>2</v>
      </c>
      <c r="D4186" s="3" t="s">
        <v>2194</v>
      </c>
      <c r="E4186" s="11" t="s">
        <v>11</v>
      </c>
      <c r="F4186" s="10">
        <v>9.0000000000000006E-5</v>
      </c>
      <c r="G4186" s="12">
        <f>ROUND(G$3*F4186,0)</f>
        <v>26</v>
      </c>
      <c r="H4186" s="13">
        <f>ROUND(G4186/2,0)</f>
        <v>13</v>
      </c>
      <c r="I4186" s="12">
        <f>G4186-H4186</f>
        <v>13</v>
      </c>
      <c r="J4186" s="3" t="str">
        <f t="shared" si="302"/>
        <v>5520007</v>
      </c>
    </row>
    <row r="4187" spans="1:10" s="3" customFormat="1">
      <c r="B4187" s="3" t="s">
        <v>2139</v>
      </c>
      <c r="C4187" s="8">
        <v>2</v>
      </c>
      <c r="D4187" s="3" t="s">
        <v>2195</v>
      </c>
      <c r="E4187" s="11" t="s">
        <v>86</v>
      </c>
      <c r="F4187" s="11"/>
      <c r="G4187" s="9"/>
      <c r="H4187" s="11"/>
      <c r="I4187" s="11"/>
      <c r="J4187" s="3" t="str">
        <f t="shared" si="302"/>
        <v>5520008</v>
      </c>
    </row>
    <row r="4188" spans="1:10" s="3" customFormat="1">
      <c r="B4188" s="3" t="s">
        <v>2139</v>
      </c>
      <c r="C4188" s="8">
        <v>2</v>
      </c>
      <c r="D4188" s="3" t="s">
        <v>2195</v>
      </c>
      <c r="E4188" s="11" t="s">
        <v>10</v>
      </c>
      <c r="F4188" s="10">
        <v>4.8099999999999998E-4</v>
      </c>
      <c r="G4188" s="12">
        <f>ROUND(G$3*F4188,0)</f>
        <v>138</v>
      </c>
      <c r="H4188" s="13">
        <f>ROUND(G4188/2,0)</f>
        <v>69</v>
      </c>
      <c r="I4188" s="12">
        <f>G4188-H4188</f>
        <v>69</v>
      </c>
      <c r="J4188" s="3" t="str">
        <f t="shared" si="302"/>
        <v>5520008</v>
      </c>
    </row>
    <row r="4189" spans="1:10" s="3" customFormat="1">
      <c r="A4189" s="3" t="s">
        <v>6269</v>
      </c>
      <c r="B4189" s="3" t="s">
        <v>2139</v>
      </c>
      <c r="C4189" s="8">
        <v>2</v>
      </c>
      <c r="D4189" s="3" t="s">
        <v>2195</v>
      </c>
      <c r="E4189" s="11" t="s">
        <v>11</v>
      </c>
      <c r="F4189" s="10">
        <v>0</v>
      </c>
      <c r="G4189" s="12">
        <f>ROUND(G$3*F4189,0)</f>
        <v>0</v>
      </c>
      <c r="H4189" s="13">
        <f>ROUND(G4189/2,0)</f>
        <v>0</v>
      </c>
      <c r="I4189" s="12">
        <f>G4189-H4189</f>
        <v>0</v>
      </c>
      <c r="J4189" s="3" t="str">
        <f t="shared" si="302"/>
        <v>5520008</v>
      </c>
    </row>
    <row r="4190" spans="1:10" s="3" customFormat="1">
      <c r="B4190" s="3" t="s">
        <v>2139</v>
      </c>
      <c r="C4190" s="8">
        <v>2</v>
      </c>
      <c r="D4190" s="3" t="s">
        <v>2196</v>
      </c>
      <c r="E4190" s="11" t="s">
        <v>49</v>
      </c>
      <c r="F4190" s="11"/>
      <c r="G4190" s="9"/>
      <c r="H4190" s="11"/>
      <c r="I4190" s="11"/>
      <c r="J4190" s="3" t="str">
        <f t="shared" si="302"/>
        <v>5520009</v>
      </c>
    </row>
    <row r="4191" spans="1:10" s="3" customFormat="1">
      <c r="B4191" s="3" t="s">
        <v>2139</v>
      </c>
      <c r="C4191" s="8">
        <v>2</v>
      </c>
      <c r="D4191" s="3" t="s">
        <v>2196</v>
      </c>
      <c r="E4191" s="11" t="s">
        <v>10</v>
      </c>
      <c r="F4191" s="10">
        <v>1.116E-3</v>
      </c>
      <c r="G4191" s="12">
        <f>ROUND(G$3*F4191,0)</f>
        <v>321</v>
      </c>
      <c r="H4191" s="13">
        <f>ROUND(G4191/2,0)</f>
        <v>161</v>
      </c>
      <c r="I4191" s="12">
        <f>G4191-H4191</f>
        <v>160</v>
      </c>
      <c r="J4191" s="3" t="str">
        <f t="shared" si="302"/>
        <v>5520009</v>
      </c>
    </row>
    <row r="4192" spans="1:10" s="3" customFormat="1">
      <c r="B4192" s="3" t="s">
        <v>2139</v>
      </c>
      <c r="C4192" s="8">
        <v>2</v>
      </c>
      <c r="D4192" s="3" t="s">
        <v>2196</v>
      </c>
      <c r="E4192" s="11" t="s">
        <v>11</v>
      </c>
      <c r="F4192" s="10">
        <v>3.9199999999999999E-4</v>
      </c>
      <c r="G4192" s="12">
        <f>ROUND(G$3*F4192,0)</f>
        <v>113</v>
      </c>
      <c r="H4192" s="13">
        <f>ROUND(G4192/2,0)</f>
        <v>57</v>
      </c>
      <c r="I4192" s="12">
        <f>G4192-H4192</f>
        <v>56</v>
      </c>
      <c r="J4192" s="3" t="str">
        <f t="shared" si="302"/>
        <v>5520009</v>
      </c>
    </row>
    <row r="4193" spans="1:10" s="3" customFormat="1">
      <c r="B4193" s="3" t="s">
        <v>2139</v>
      </c>
      <c r="C4193" s="8">
        <v>2</v>
      </c>
      <c r="D4193" s="3" t="s">
        <v>2197</v>
      </c>
      <c r="E4193" s="11" t="s">
        <v>14</v>
      </c>
      <c r="F4193" s="11"/>
      <c r="G4193" s="9"/>
      <c r="H4193" s="11"/>
      <c r="I4193" s="11"/>
      <c r="J4193" s="3" t="str">
        <f t="shared" si="302"/>
        <v>5520010</v>
      </c>
    </row>
    <row r="4194" spans="1:10" s="3" customFormat="1">
      <c r="B4194" s="3" t="s">
        <v>2139</v>
      </c>
      <c r="C4194" s="8">
        <v>2</v>
      </c>
      <c r="D4194" s="3" t="s">
        <v>2197</v>
      </c>
      <c r="E4194" s="11" t="s">
        <v>10</v>
      </c>
      <c r="F4194" s="10">
        <v>9.6100000000000005E-4</v>
      </c>
      <c r="G4194" s="12">
        <f>ROUND(G$3*F4194,0)</f>
        <v>277</v>
      </c>
      <c r="H4194" s="13">
        <f>ROUND(G4194/2,0)</f>
        <v>139</v>
      </c>
      <c r="I4194" s="12">
        <f>G4194-H4194</f>
        <v>138</v>
      </c>
      <c r="J4194" s="3" t="str">
        <f t="shared" si="302"/>
        <v>5520010</v>
      </c>
    </row>
    <row r="4195" spans="1:10" s="3" customFormat="1">
      <c r="B4195" s="3" t="s">
        <v>2139</v>
      </c>
      <c r="C4195" s="8">
        <v>2</v>
      </c>
      <c r="D4195" s="3" t="s">
        <v>2197</v>
      </c>
      <c r="E4195" s="11" t="s">
        <v>11</v>
      </c>
      <c r="F4195" s="10">
        <v>7.2199999999999999E-4</v>
      </c>
      <c r="G4195" s="12">
        <f>ROUND(G$3*F4195,0)</f>
        <v>208</v>
      </c>
      <c r="H4195" s="13">
        <f>ROUND(G4195/2,0)</f>
        <v>104</v>
      </c>
      <c r="I4195" s="12">
        <f>G4195-H4195</f>
        <v>104</v>
      </c>
      <c r="J4195" s="3" t="str">
        <f t="shared" si="302"/>
        <v>5520010</v>
      </c>
    </row>
    <row r="4196" spans="1:10" s="3" customFormat="1">
      <c r="B4196" s="3" t="s">
        <v>2139</v>
      </c>
      <c r="C4196" s="8">
        <v>2</v>
      </c>
      <c r="D4196" s="3" t="s">
        <v>2198</v>
      </c>
      <c r="E4196" s="11" t="s">
        <v>52</v>
      </c>
      <c r="F4196" s="11"/>
      <c r="G4196" s="9"/>
      <c r="H4196" s="11"/>
      <c r="I4196" s="11"/>
      <c r="J4196" s="3" t="str">
        <f t="shared" si="302"/>
        <v>5520011</v>
      </c>
    </row>
    <row r="4197" spans="1:10" s="3" customFormat="1">
      <c r="B4197" s="3" t="s">
        <v>2139</v>
      </c>
      <c r="C4197" s="8">
        <v>2</v>
      </c>
      <c r="D4197" s="3" t="s">
        <v>2198</v>
      </c>
      <c r="E4197" s="11" t="s">
        <v>10</v>
      </c>
      <c r="F4197" s="10">
        <v>5.9459999999999999E-3</v>
      </c>
      <c r="G4197" s="12">
        <f>ROUND(G$3*F4197,0)</f>
        <v>1711</v>
      </c>
      <c r="H4197" s="13">
        <f>ROUND(G4197/2,0)</f>
        <v>856</v>
      </c>
      <c r="I4197" s="12">
        <f>G4197-H4197</f>
        <v>855</v>
      </c>
      <c r="J4197" s="3" t="str">
        <f t="shared" si="302"/>
        <v>5520011</v>
      </c>
    </row>
    <row r="4198" spans="1:10" s="3" customFormat="1">
      <c r="B4198" s="3" t="s">
        <v>2139</v>
      </c>
      <c r="C4198" s="8">
        <v>2</v>
      </c>
      <c r="D4198" s="3" t="s">
        <v>2198</v>
      </c>
      <c r="E4198" s="11" t="s">
        <v>11</v>
      </c>
      <c r="F4198" s="10">
        <v>3.3300000000000001E-3</v>
      </c>
      <c r="G4198" s="12">
        <f>ROUND(G$3*F4198,0)</f>
        <v>958</v>
      </c>
      <c r="H4198" s="13">
        <f>ROUND(G4198/2,0)</f>
        <v>479</v>
      </c>
      <c r="I4198" s="12">
        <f>G4198-H4198</f>
        <v>479</v>
      </c>
      <c r="J4198" s="3" t="str">
        <f t="shared" si="302"/>
        <v>5520011</v>
      </c>
    </row>
    <row r="4199" spans="1:10" s="3" customFormat="1">
      <c r="B4199" s="3" t="s">
        <v>2139</v>
      </c>
      <c r="C4199" s="8">
        <v>2</v>
      </c>
      <c r="D4199" s="3" t="s">
        <v>2199</v>
      </c>
      <c r="E4199" s="11" t="s">
        <v>16</v>
      </c>
      <c r="F4199" s="11"/>
      <c r="G4199" s="9"/>
      <c r="H4199" s="11"/>
      <c r="I4199" s="11"/>
      <c r="J4199" s="3" t="str">
        <f t="shared" si="302"/>
        <v>5520012</v>
      </c>
    </row>
    <row r="4200" spans="1:10" s="3" customFormat="1">
      <c r="B4200" s="3" t="s">
        <v>2139</v>
      </c>
      <c r="C4200" s="8">
        <v>2</v>
      </c>
      <c r="D4200" s="3" t="s">
        <v>2199</v>
      </c>
      <c r="E4200" s="11" t="s">
        <v>10</v>
      </c>
      <c r="F4200" s="10">
        <v>1.15E-4</v>
      </c>
      <c r="G4200" s="12">
        <f>ROUND(G$3*F4200,0)</f>
        <v>33</v>
      </c>
      <c r="H4200" s="13">
        <f>ROUND(G4200/2,0)</f>
        <v>17</v>
      </c>
      <c r="I4200" s="12">
        <f>G4200-H4200</f>
        <v>16</v>
      </c>
      <c r="J4200" s="3" t="str">
        <f t="shared" si="302"/>
        <v>5520012</v>
      </c>
    </row>
    <row r="4201" spans="1:10" s="3" customFormat="1">
      <c r="A4201" s="3" t="s">
        <v>6269</v>
      </c>
      <c r="B4201" s="3" t="s">
        <v>2139</v>
      </c>
      <c r="C4201" s="8">
        <v>2</v>
      </c>
      <c r="D4201" s="3" t="s">
        <v>2199</v>
      </c>
      <c r="E4201" s="11" t="s">
        <v>11</v>
      </c>
      <c r="F4201" s="10">
        <v>0</v>
      </c>
      <c r="G4201" s="12">
        <f>ROUND(G$3*F4201,0)</f>
        <v>0</v>
      </c>
      <c r="H4201" s="13">
        <f>ROUND(G4201/2,0)</f>
        <v>0</v>
      </c>
      <c r="I4201" s="12">
        <f>G4201-H4201</f>
        <v>0</v>
      </c>
      <c r="J4201" s="3" t="str">
        <f t="shared" si="302"/>
        <v>5520012</v>
      </c>
    </row>
    <row r="4202" spans="1:10" s="3" customFormat="1">
      <c r="B4202" s="3" t="s">
        <v>2139</v>
      </c>
      <c r="C4202" s="8">
        <v>2</v>
      </c>
      <c r="D4202" s="3" t="s">
        <v>2208</v>
      </c>
      <c r="E4202" s="11" t="s">
        <v>531</v>
      </c>
      <c r="F4202" s="11"/>
      <c r="G4202" s="9"/>
      <c r="H4202" s="11"/>
      <c r="I4202" s="11"/>
      <c r="J4202" s="3" t="str">
        <f t="shared" si="302"/>
        <v>5520013</v>
      </c>
    </row>
    <row r="4203" spans="1:10" s="3" customFormat="1">
      <c r="B4203" s="3" t="s">
        <v>2139</v>
      </c>
      <c r="C4203" s="8">
        <v>2</v>
      </c>
      <c r="D4203" s="3" t="s">
        <v>2208</v>
      </c>
      <c r="E4203" s="11" t="s">
        <v>10</v>
      </c>
      <c r="F4203" s="10">
        <v>9.6699999999999998E-4</v>
      </c>
      <c r="G4203" s="12">
        <f>ROUND(G$3*F4203,0)</f>
        <v>278</v>
      </c>
      <c r="H4203" s="13">
        <f>ROUND(G4203/2,0)</f>
        <v>139</v>
      </c>
      <c r="I4203" s="12">
        <f>G4203-H4203</f>
        <v>139</v>
      </c>
      <c r="J4203" s="3" t="str">
        <f t="shared" si="302"/>
        <v>5520013</v>
      </c>
    </row>
    <row r="4204" spans="1:10" s="3" customFormat="1">
      <c r="B4204" s="3" t="s">
        <v>2139</v>
      </c>
      <c r="C4204" s="8">
        <v>2</v>
      </c>
      <c r="D4204" s="3" t="s">
        <v>2208</v>
      </c>
      <c r="E4204" s="11" t="s">
        <v>11</v>
      </c>
      <c r="F4204" s="10">
        <v>4.5199999999999998E-4</v>
      </c>
      <c r="G4204" s="12">
        <f>ROUND(G$3*F4204,0)</f>
        <v>130</v>
      </c>
      <c r="H4204" s="13">
        <f>ROUND(G4204/2,0)</f>
        <v>65</v>
      </c>
      <c r="I4204" s="12">
        <f>G4204-H4204</f>
        <v>65</v>
      </c>
      <c r="J4204" s="3" t="str">
        <f t="shared" si="302"/>
        <v>5520013</v>
      </c>
    </row>
    <row r="4205" spans="1:10" s="3" customFormat="1">
      <c r="B4205" s="3" t="s">
        <v>2139</v>
      </c>
      <c r="C4205" s="8">
        <v>2</v>
      </c>
      <c r="D4205" s="3" t="s">
        <v>2209</v>
      </c>
      <c r="E4205" s="11" t="s">
        <v>22</v>
      </c>
      <c r="F4205" s="11"/>
      <c r="G4205" s="9"/>
      <c r="H4205" s="11"/>
      <c r="I4205" s="11"/>
      <c r="J4205" s="3" t="str">
        <f t="shared" si="302"/>
        <v>5520014</v>
      </c>
    </row>
    <row r="4206" spans="1:10" s="3" customFormat="1">
      <c r="B4206" s="3" t="s">
        <v>2139</v>
      </c>
      <c r="C4206" s="8">
        <v>2</v>
      </c>
      <c r="D4206" s="3" t="s">
        <v>2209</v>
      </c>
      <c r="E4206" s="11" t="s">
        <v>10</v>
      </c>
      <c r="F4206" s="10">
        <v>3.7559999999999998E-3</v>
      </c>
      <c r="G4206" s="12">
        <f t="shared" ref="G4206:G4215" si="303">ROUND(G$3*F4206,0)</f>
        <v>1081</v>
      </c>
      <c r="H4206" s="13">
        <f t="shared" ref="H4206:H4215" si="304">ROUND(G4206/2,0)</f>
        <v>541</v>
      </c>
      <c r="I4206" s="12">
        <f t="shared" ref="I4206:I4215" si="305">G4206-H4206</f>
        <v>540</v>
      </c>
      <c r="J4206" s="3" t="str">
        <f t="shared" si="302"/>
        <v>5520014</v>
      </c>
    </row>
    <row r="4207" spans="1:10" s="3" customFormat="1">
      <c r="B4207" s="3" t="s">
        <v>2139</v>
      </c>
      <c r="C4207" s="8">
        <v>2</v>
      </c>
      <c r="D4207" s="3" t="s">
        <v>2209</v>
      </c>
      <c r="E4207" s="11" t="s">
        <v>11</v>
      </c>
      <c r="F4207" s="10">
        <v>2.5760000000000002E-3</v>
      </c>
      <c r="G4207" s="12">
        <f t="shared" si="303"/>
        <v>741</v>
      </c>
      <c r="H4207" s="13">
        <f t="shared" si="304"/>
        <v>371</v>
      </c>
      <c r="I4207" s="12">
        <f t="shared" si="305"/>
        <v>370</v>
      </c>
      <c r="J4207" s="3" t="str">
        <f t="shared" si="302"/>
        <v>5520014</v>
      </c>
    </row>
    <row r="4208" spans="1:10" s="3" customFormat="1">
      <c r="B4208" s="3" t="s">
        <v>2139</v>
      </c>
      <c r="C4208" s="8">
        <v>3</v>
      </c>
      <c r="D4208" s="3" t="s">
        <v>2874</v>
      </c>
      <c r="E4208" s="11" t="s">
        <v>1282</v>
      </c>
      <c r="F4208" s="10">
        <v>1.0000000000000001E-5</v>
      </c>
      <c r="G4208" s="12">
        <f t="shared" si="303"/>
        <v>3</v>
      </c>
      <c r="H4208" s="13">
        <f t="shared" si="304"/>
        <v>2</v>
      </c>
      <c r="I4208" s="12">
        <f t="shared" si="305"/>
        <v>1</v>
      </c>
      <c r="J4208" s="3" t="str">
        <f t="shared" si="302"/>
        <v>5530798</v>
      </c>
    </row>
    <row r="4209" spans="2:10" s="3" customFormat="1">
      <c r="B4209" s="3" t="s">
        <v>2139</v>
      </c>
      <c r="C4209" s="8">
        <v>3</v>
      </c>
      <c r="D4209" s="3" t="s">
        <v>2875</v>
      </c>
      <c r="E4209" s="11" t="s">
        <v>1283</v>
      </c>
      <c r="F4209" s="10">
        <v>2.1100000000000001E-4</v>
      </c>
      <c r="G4209" s="12">
        <f t="shared" si="303"/>
        <v>61</v>
      </c>
      <c r="H4209" s="13">
        <f t="shared" si="304"/>
        <v>31</v>
      </c>
      <c r="I4209" s="12">
        <f t="shared" si="305"/>
        <v>30</v>
      </c>
      <c r="J4209" s="3" t="str">
        <f t="shared" si="302"/>
        <v>5530799</v>
      </c>
    </row>
    <row r="4210" spans="2:10" s="3" customFormat="1">
      <c r="B4210" s="3" t="s">
        <v>2139</v>
      </c>
      <c r="C4210" s="8">
        <v>3</v>
      </c>
      <c r="D4210" s="3" t="s">
        <v>2872</v>
      </c>
      <c r="E4210" s="11" t="s">
        <v>1284</v>
      </c>
      <c r="F4210" s="10">
        <v>5.2794000000000001E-2</v>
      </c>
      <c r="G4210" s="12">
        <f t="shared" si="303"/>
        <v>15190</v>
      </c>
      <c r="H4210" s="13">
        <f t="shared" si="304"/>
        <v>7595</v>
      </c>
      <c r="I4210" s="12">
        <f t="shared" si="305"/>
        <v>7595</v>
      </c>
      <c r="J4210" s="3" t="str">
        <f t="shared" si="302"/>
        <v>5530403</v>
      </c>
    </row>
    <row r="4211" spans="2:10" s="3" customFormat="1">
      <c r="B4211" s="3" t="s">
        <v>2139</v>
      </c>
      <c r="C4211" s="8">
        <v>3</v>
      </c>
      <c r="D4211" s="3" t="s">
        <v>2656</v>
      </c>
      <c r="E4211" s="11" t="s">
        <v>1285</v>
      </c>
      <c r="F4211" s="10">
        <v>2.6199999999999999E-3</v>
      </c>
      <c r="G4211" s="12">
        <f t="shared" si="303"/>
        <v>754</v>
      </c>
      <c r="H4211" s="13">
        <f t="shared" si="304"/>
        <v>377</v>
      </c>
      <c r="I4211" s="12">
        <f t="shared" si="305"/>
        <v>377</v>
      </c>
      <c r="J4211" s="3" t="str">
        <f t="shared" si="302"/>
        <v>5530970</v>
      </c>
    </row>
    <row r="4212" spans="2:10" s="3" customFormat="1">
      <c r="B4212" s="3" t="s">
        <v>2139</v>
      </c>
      <c r="C4212" s="8">
        <v>3</v>
      </c>
      <c r="D4212" s="3" t="s">
        <v>2873</v>
      </c>
      <c r="E4212" s="11" t="s">
        <v>1286</v>
      </c>
      <c r="F4212" s="10">
        <v>4.7918000000000002E-2</v>
      </c>
      <c r="G4212" s="12">
        <f t="shared" si="303"/>
        <v>13787</v>
      </c>
      <c r="H4212" s="13">
        <f t="shared" si="304"/>
        <v>6894</v>
      </c>
      <c r="I4212" s="12">
        <f t="shared" si="305"/>
        <v>6893</v>
      </c>
      <c r="J4212" s="3" t="str">
        <f t="shared" si="302"/>
        <v>5530509</v>
      </c>
    </row>
    <row r="4213" spans="2:10" s="3" customFormat="1">
      <c r="B4213" s="3" t="s">
        <v>2139</v>
      </c>
      <c r="C4213" s="8">
        <v>3</v>
      </c>
      <c r="D4213" s="3" t="s">
        <v>2226</v>
      </c>
      <c r="E4213" s="11" t="s">
        <v>1287</v>
      </c>
      <c r="F4213" s="10">
        <v>1.0900000000000001E-4</v>
      </c>
      <c r="G4213" s="12">
        <f t="shared" si="303"/>
        <v>31</v>
      </c>
      <c r="H4213" s="13">
        <f t="shared" si="304"/>
        <v>16</v>
      </c>
      <c r="I4213" s="12">
        <f t="shared" si="305"/>
        <v>15</v>
      </c>
      <c r="J4213" s="3" t="str">
        <f t="shared" si="302"/>
        <v>5530800</v>
      </c>
    </row>
    <row r="4214" spans="2:10" s="3" customFormat="1">
      <c r="B4214" s="3" t="s">
        <v>2139</v>
      </c>
      <c r="C4214" s="8">
        <v>3</v>
      </c>
      <c r="D4214" s="3" t="s">
        <v>2876</v>
      </c>
      <c r="E4214" s="11" t="s">
        <v>1288</v>
      </c>
      <c r="F4214" s="10">
        <v>1.7470000000000001E-3</v>
      </c>
      <c r="G4214" s="12">
        <f t="shared" si="303"/>
        <v>503</v>
      </c>
      <c r="H4214" s="13">
        <f t="shared" si="304"/>
        <v>252</v>
      </c>
      <c r="I4214" s="12">
        <f t="shared" si="305"/>
        <v>251</v>
      </c>
      <c r="J4214" s="3" t="str">
        <f t="shared" si="302"/>
        <v>5530801</v>
      </c>
    </row>
    <row r="4215" spans="2:10" s="3" customFormat="1">
      <c r="B4215" s="3" t="s">
        <v>2139</v>
      </c>
      <c r="C4215" s="8">
        <v>4</v>
      </c>
      <c r="D4215" s="3" t="s">
        <v>2878</v>
      </c>
      <c r="E4215" s="11" t="s">
        <v>1289</v>
      </c>
      <c r="F4215" s="10">
        <v>4.3199000000000001E-2</v>
      </c>
      <c r="G4215" s="9">
        <f t="shared" si="303"/>
        <v>12429</v>
      </c>
      <c r="H4215" s="11">
        <f t="shared" si="304"/>
        <v>6215</v>
      </c>
      <c r="I4215" s="9">
        <f t="shared" si="305"/>
        <v>6214</v>
      </c>
      <c r="J4215" s="3" t="str">
        <f t="shared" si="302"/>
        <v>5545910</v>
      </c>
    </row>
    <row r="4216" spans="2:10" s="3" customFormat="1">
      <c r="B4216" s="3" t="s">
        <v>2139</v>
      </c>
      <c r="C4216" s="8">
        <v>4</v>
      </c>
      <c r="D4216" s="3" t="s">
        <v>2878</v>
      </c>
      <c r="E4216" s="11" t="s">
        <v>28</v>
      </c>
      <c r="F4216" s="11"/>
      <c r="G4216" s="14">
        <v>0.46447699999999997</v>
      </c>
      <c r="H4216" s="11"/>
      <c r="I4216" s="11"/>
      <c r="J4216" s="3" t="str">
        <f t="shared" si="302"/>
        <v>5545910</v>
      </c>
    </row>
    <row r="4217" spans="2:10" s="3" customFormat="1">
      <c r="B4217" s="3" t="s">
        <v>2139</v>
      </c>
      <c r="C4217" s="8">
        <v>4</v>
      </c>
      <c r="D4217" s="3" t="s">
        <v>2878</v>
      </c>
      <c r="E4217" s="11" t="s">
        <v>29</v>
      </c>
      <c r="F4217" s="11"/>
      <c r="G4217" s="15">
        <f>ROUND(G4215*G4216,0)</f>
        <v>5773</v>
      </c>
      <c r="H4217" s="16">
        <f>ROUND(G4217/2,0)</f>
        <v>2887</v>
      </c>
      <c r="I4217" s="15">
        <f>G4217-H4217</f>
        <v>2886</v>
      </c>
      <c r="J4217" s="3" t="str">
        <f t="shared" si="302"/>
        <v>5545910</v>
      </c>
    </row>
    <row r="4218" spans="2:10" s="3" customFormat="1">
      <c r="B4218" s="3" t="s">
        <v>2139</v>
      </c>
      <c r="C4218" s="8">
        <v>4</v>
      </c>
      <c r="D4218" s="3" t="s">
        <v>2878</v>
      </c>
      <c r="E4218" s="11" t="s">
        <v>30</v>
      </c>
      <c r="F4218" s="11"/>
      <c r="G4218" s="12">
        <f>+G4215-G4217</f>
        <v>6656</v>
      </c>
      <c r="H4218" s="13">
        <f>ROUND(G4218/2,0)</f>
        <v>3328</v>
      </c>
      <c r="I4218" s="12">
        <f>G4218-H4218</f>
        <v>3328</v>
      </c>
      <c r="J4218" s="3" t="str">
        <f t="shared" si="302"/>
        <v>5545910</v>
      </c>
    </row>
    <row r="4219" spans="2:10" s="3" customFormat="1">
      <c r="B4219" s="3" t="s">
        <v>2139</v>
      </c>
      <c r="C4219" s="8">
        <v>4</v>
      </c>
      <c r="D4219" s="3" t="s">
        <v>2879</v>
      </c>
      <c r="E4219" s="11" t="s">
        <v>1290</v>
      </c>
      <c r="F4219" s="10">
        <v>0.32753399999999999</v>
      </c>
      <c r="G4219" s="9">
        <f>ROUND(G$3*F4219,0)</f>
        <v>94239</v>
      </c>
      <c r="H4219" s="11">
        <f>ROUND(G4219/2,0)</f>
        <v>47120</v>
      </c>
      <c r="I4219" s="9">
        <f>G4219-H4219</f>
        <v>47119</v>
      </c>
      <c r="J4219" s="3" t="str">
        <f t="shared" si="302"/>
        <v>5545925</v>
      </c>
    </row>
    <row r="4220" spans="2:10" s="3" customFormat="1">
      <c r="B4220" s="3" t="s">
        <v>2139</v>
      </c>
      <c r="C4220" s="8">
        <v>4</v>
      </c>
      <c r="D4220" s="3" t="s">
        <v>2879</v>
      </c>
      <c r="E4220" s="11" t="s">
        <v>28</v>
      </c>
      <c r="F4220" s="11"/>
      <c r="G4220" s="14">
        <v>0.51149500000000003</v>
      </c>
      <c r="H4220" s="11"/>
      <c r="I4220" s="11"/>
      <c r="J4220" s="3" t="str">
        <f t="shared" si="302"/>
        <v>5545925</v>
      </c>
    </row>
    <row r="4221" spans="2:10" s="3" customFormat="1">
      <c r="B4221" s="3" t="s">
        <v>2139</v>
      </c>
      <c r="C4221" s="8">
        <v>4</v>
      </c>
      <c r="D4221" s="3" t="s">
        <v>2879</v>
      </c>
      <c r="E4221" s="11" t="s">
        <v>29</v>
      </c>
      <c r="F4221" s="11"/>
      <c r="G4221" s="15">
        <f>ROUND(G4219*G4220,0)</f>
        <v>48203</v>
      </c>
      <c r="H4221" s="16">
        <f>ROUND(G4221/2,0)</f>
        <v>24102</v>
      </c>
      <c r="I4221" s="15">
        <f>G4221-H4221</f>
        <v>24101</v>
      </c>
      <c r="J4221" s="3" t="str">
        <f t="shared" si="302"/>
        <v>5545925</v>
      </c>
    </row>
    <row r="4222" spans="2:10" s="3" customFormat="1">
      <c r="B4222" s="3" t="s">
        <v>2139</v>
      </c>
      <c r="C4222" s="8">
        <v>4</v>
      </c>
      <c r="D4222" s="3" t="s">
        <v>2879</v>
      </c>
      <c r="E4222" s="11" t="s">
        <v>30</v>
      </c>
      <c r="F4222" s="11"/>
      <c r="G4222" s="12">
        <f>+G4219-G4221</f>
        <v>46036</v>
      </c>
      <c r="H4222" s="13">
        <f>ROUND(G4222/2,0)</f>
        <v>23018</v>
      </c>
      <c r="I4222" s="12">
        <f>G4222-H4222</f>
        <v>23018</v>
      </c>
      <c r="J4222" s="3" t="str">
        <f t="shared" si="302"/>
        <v>5545925</v>
      </c>
    </row>
    <row r="4223" spans="2:10" s="3" customFormat="1">
      <c r="B4223" s="3" t="s">
        <v>2139</v>
      </c>
      <c r="C4223" s="8">
        <v>4</v>
      </c>
      <c r="D4223" s="3" t="s">
        <v>2877</v>
      </c>
      <c r="E4223" s="11" t="s">
        <v>1291</v>
      </c>
      <c r="F4223" s="10">
        <v>3.8581999999999998E-2</v>
      </c>
      <c r="G4223" s="9">
        <f>ROUND(G$3*F4223,0)</f>
        <v>11101</v>
      </c>
      <c r="H4223" s="11">
        <f>ROUND(G4223/2,0)</f>
        <v>5551</v>
      </c>
      <c r="I4223" s="9">
        <f>G4223-H4223</f>
        <v>5550</v>
      </c>
      <c r="J4223" s="3" t="str">
        <f t="shared" si="302"/>
        <v>5545900</v>
      </c>
    </row>
    <row r="4224" spans="2:10" s="3" customFormat="1">
      <c r="B4224" s="3" t="s">
        <v>2139</v>
      </c>
      <c r="C4224" s="8">
        <v>4</v>
      </c>
      <c r="D4224" s="3" t="s">
        <v>2877</v>
      </c>
      <c r="E4224" s="11" t="s">
        <v>28</v>
      </c>
      <c r="F4224" s="11"/>
      <c r="G4224" s="14">
        <v>0.42618499999999998</v>
      </c>
      <c r="H4224" s="11"/>
      <c r="I4224" s="11"/>
      <c r="J4224" s="3" t="str">
        <f t="shared" si="302"/>
        <v>5545900</v>
      </c>
    </row>
    <row r="4225" spans="2:10" s="3" customFormat="1">
      <c r="B4225" s="3" t="s">
        <v>2139</v>
      </c>
      <c r="C4225" s="8">
        <v>4</v>
      </c>
      <c r="D4225" s="3" t="s">
        <v>2877</v>
      </c>
      <c r="E4225" s="11" t="s">
        <v>29</v>
      </c>
      <c r="F4225" s="11"/>
      <c r="G4225" s="15">
        <f>ROUND(G4223*G4224,0)</f>
        <v>4731</v>
      </c>
      <c r="H4225" s="16">
        <f>ROUND(G4225/2,0)</f>
        <v>2366</v>
      </c>
      <c r="I4225" s="15">
        <f>G4225-H4225</f>
        <v>2365</v>
      </c>
      <c r="J4225" s="3" t="str">
        <f t="shared" si="302"/>
        <v>5545900</v>
      </c>
    </row>
    <row r="4226" spans="2:10" s="3" customFormat="1">
      <c r="B4226" s="3" t="s">
        <v>2139</v>
      </c>
      <c r="C4226" s="8">
        <v>4</v>
      </c>
      <c r="D4226" s="3" t="s">
        <v>2877</v>
      </c>
      <c r="E4226" s="11" t="s">
        <v>30</v>
      </c>
      <c r="F4226" s="11"/>
      <c r="G4226" s="12">
        <f>+G4223-G4225</f>
        <v>6370</v>
      </c>
      <c r="H4226" s="13">
        <f>ROUND(G4226/2,0)</f>
        <v>3185</v>
      </c>
      <c r="I4226" s="12">
        <f>G4226-H4226</f>
        <v>3185</v>
      </c>
      <c r="J4226" s="3" t="str">
        <f t="shared" si="302"/>
        <v>5545900</v>
      </c>
    </row>
    <row r="4227" spans="2:10" s="3" customFormat="1">
      <c r="B4227" s="3" t="s">
        <v>2139</v>
      </c>
      <c r="C4227" s="8">
        <v>4</v>
      </c>
      <c r="D4227" s="3" t="s">
        <v>2880</v>
      </c>
      <c r="E4227" s="11" t="s">
        <v>1292</v>
      </c>
      <c r="F4227" s="10">
        <v>0.24737300000000001</v>
      </c>
      <c r="G4227" s="9">
        <f>ROUND(G$3*F4227,0)</f>
        <v>71175</v>
      </c>
      <c r="H4227" s="11">
        <f>ROUND(G4227/2,0)</f>
        <v>35588</v>
      </c>
      <c r="I4227" s="9">
        <f>G4227-H4227</f>
        <v>35587</v>
      </c>
      <c r="J4227" s="3" t="str">
        <f t="shared" si="302"/>
        <v>5545930</v>
      </c>
    </row>
    <row r="4228" spans="2:10" s="3" customFormat="1">
      <c r="B4228" s="3" t="s">
        <v>2139</v>
      </c>
      <c r="C4228" s="8">
        <v>4</v>
      </c>
      <c r="D4228" s="3" t="s">
        <v>2880</v>
      </c>
      <c r="E4228" s="11" t="s">
        <v>28</v>
      </c>
      <c r="F4228" s="11"/>
      <c r="G4228" s="14">
        <v>0.43861499999999998</v>
      </c>
      <c r="H4228" s="11"/>
      <c r="I4228" s="11"/>
      <c r="J4228" s="3" t="str">
        <f t="shared" ref="J4228:J4291" si="306">B4228&amp;C4228&amp;D4228</f>
        <v>5545930</v>
      </c>
    </row>
    <row r="4229" spans="2:10" s="3" customFormat="1">
      <c r="B4229" s="3" t="s">
        <v>2139</v>
      </c>
      <c r="C4229" s="8">
        <v>4</v>
      </c>
      <c r="D4229" s="3" t="s">
        <v>2880</v>
      </c>
      <c r="E4229" s="11" t="s">
        <v>29</v>
      </c>
      <c r="F4229" s="11"/>
      <c r="G4229" s="15">
        <f>ROUND(G4227*G4228,0)</f>
        <v>31218</v>
      </c>
      <c r="H4229" s="16">
        <f>ROUND(G4229/2,0)</f>
        <v>15609</v>
      </c>
      <c r="I4229" s="15">
        <f>G4229-H4229</f>
        <v>15609</v>
      </c>
      <c r="J4229" s="3" t="str">
        <f t="shared" si="306"/>
        <v>5545930</v>
      </c>
    </row>
    <row r="4230" spans="2:10" s="3" customFormat="1">
      <c r="B4230" s="3" t="s">
        <v>2139</v>
      </c>
      <c r="C4230" s="8">
        <v>4</v>
      </c>
      <c r="D4230" s="3" t="s">
        <v>2880</v>
      </c>
      <c r="E4230" s="11" t="s">
        <v>30</v>
      </c>
      <c r="F4230" s="11"/>
      <c r="G4230" s="12">
        <f>+G4227-G4229</f>
        <v>39957</v>
      </c>
      <c r="H4230" s="13">
        <f>ROUND(G4230/2,0)</f>
        <v>19979</v>
      </c>
      <c r="I4230" s="12">
        <f>G4230-H4230</f>
        <v>19978</v>
      </c>
      <c r="J4230" s="3" t="str">
        <f t="shared" si="306"/>
        <v>5545930</v>
      </c>
    </row>
    <row r="4231" spans="2:10" s="3" customFormat="1">
      <c r="B4231" s="3" t="s">
        <v>2139</v>
      </c>
      <c r="C4231" s="8">
        <v>4</v>
      </c>
      <c r="D4231" s="3" t="s">
        <v>2654</v>
      </c>
      <c r="E4231" s="11" t="s">
        <v>910</v>
      </c>
      <c r="F4231" s="10">
        <v>2.0655E-2</v>
      </c>
      <c r="G4231" s="9">
        <f>ROUND(G$3*F4231,0)</f>
        <v>5943</v>
      </c>
      <c r="H4231" s="11">
        <f>ROUND(G4231/2,0)</f>
        <v>2972</v>
      </c>
      <c r="I4231" s="9">
        <f>G4231-H4231</f>
        <v>2971</v>
      </c>
      <c r="J4231" s="3" t="str">
        <f t="shared" si="306"/>
        <v>5544255</v>
      </c>
    </row>
    <row r="4232" spans="2:10" s="3" customFormat="1">
      <c r="B4232" s="3" t="s">
        <v>2139</v>
      </c>
      <c r="C4232" s="8">
        <v>4</v>
      </c>
      <c r="D4232" s="3" t="s">
        <v>2654</v>
      </c>
      <c r="E4232" s="11" t="s">
        <v>28</v>
      </c>
      <c r="F4232" s="11"/>
      <c r="G4232" s="14">
        <v>0.41900399999999999</v>
      </c>
      <c r="H4232" s="11"/>
      <c r="I4232" s="11"/>
      <c r="J4232" s="3" t="str">
        <f t="shared" si="306"/>
        <v>5544255</v>
      </c>
    </row>
    <row r="4233" spans="2:10" s="3" customFormat="1">
      <c r="B4233" s="3" t="s">
        <v>2139</v>
      </c>
      <c r="C4233" s="8">
        <v>4</v>
      </c>
      <c r="D4233" s="3" t="s">
        <v>2654</v>
      </c>
      <c r="E4233" s="11" t="s">
        <v>29</v>
      </c>
      <c r="F4233" s="11"/>
      <c r="G4233" s="15">
        <f>ROUND(G4231*G4232,0)</f>
        <v>2490</v>
      </c>
      <c r="H4233" s="16">
        <f t="shared" ref="H4233:H4238" si="307">ROUND(G4233/2,0)</f>
        <v>1245</v>
      </c>
      <c r="I4233" s="15">
        <f t="shared" ref="I4233:I4238" si="308">G4233-H4233</f>
        <v>1245</v>
      </c>
      <c r="J4233" s="3" t="str">
        <f t="shared" si="306"/>
        <v>5544255</v>
      </c>
    </row>
    <row r="4234" spans="2:10" s="3" customFormat="1">
      <c r="B4234" s="3" t="s">
        <v>2139</v>
      </c>
      <c r="C4234" s="8">
        <v>4</v>
      </c>
      <c r="D4234" s="3" t="s">
        <v>2654</v>
      </c>
      <c r="E4234" s="11" t="s">
        <v>30</v>
      </c>
      <c r="F4234" s="11"/>
      <c r="G4234" s="12">
        <f>+G4231-G4233</f>
        <v>3453</v>
      </c>
      <c r="H4234" s="13">
        <f t="shared" si="307"/>
        <v>1727</v>
      </c>
      <c r="I4234" s="12">
        <f t="shared" si="308"/>
        <v>1726</v>
      </c>
      <c r="J4234" s="3" t="str">
        <f t="shared" si="306"/>
        <v>5544255</v>
      </c>
    </row>
    <row r="4235" spans="2:10" s="3" customFormat="1">
      <c r="B4235" s="3" t="s">
        <v>2139</v>
      </c>
      <c r="C4235" s="8">
        <v>5</v>
      </c>
      <c r="D4235" s="3" t="s">
        <v>5149</v>
      </c>
      <c r="E4235" s="11" t="s">
        <v>1293</v>
      </c>
      <c r="F4235" s="10">
        <v>6.5209999999999999E-3</v>
      </c>
      <c r="G4235" s="120">
        <f>ROUND(G$3*F4235,0)</f>
        <v>1876</v>
      </c>
      <c r="H4235" s="120">
        <f t="shared" si="307"/>
        <v>938</v>
      </c>
      <c r="I4235" s="120">
        <f t="shared" si="308"/>
        <v>938</v>
      </c>
      <c r="J4235" s="3" t="str">
        <f t="shared" si="306"/>
        <v>5550161</v>
      </c>
    </row>
    <row r="4236" spans="2:10" s="3" customFormat="1">
      <c r="B4236" s="3" t="s">
        <v>2139</v>
      </c>
      <c r="C4236" s="8">
        <v>5</v>
      </c>
      <c r="D4236" s="3" t="s">
        <v>5147</v>
      </c>
      <c r="E4236" s="11" t="s">
        <v>1294</v>
      </c>
      <c r="F4236" s="10">
        <v>1.5513000000000001E-2</v>
      </c>
      <c r="G4236" s="120">
        <f>ROUND(G$3*F4236,0)</f>
        <v>4463</v>
      </c>
      <c r="H4236" s="120">
        <f t="shared" si="307"/>
        <v>2232</v>
      </c>
      <c r="I4236" s="120">
        <f t="shared" si="308"/>
        <v>2231</v>
      </c>
      <c r="J4236" s="3" t="str">
        <f t="shared" si="306"/>
        <v>5550160</v>
      </c>
    </row>
    <row r="4237" spans="2:10" s="3" customFormat="1">
      <c r="B4237" s="3" t="s">
        <v>2139</v>
      </c>
      <c r="C4237" s="8">
        <v>6</v>
      </c>
      <c r="D4237" s="3" t="s">
        <v>2382</v>
      </c>
      <c r="E4237" s="11" t="s">
        <v>1295</v>
      </c>
      <c r="F4237" s="10">
        <v>1.5460000000000001E-3</v>
      </c>
      <c r="G4237" s="12">
        <f>ROUND(G$3*F4237,0)</f>
        <v>445</v>
      </c>
      <c r="H4237" s="13">
        <f t="shared" si="307"/>
        <v>223</v>
      </c>
      <c r="I4237" s="12">
        <f t="shared" si="308"/>
        <v>222</v>
      </c>
      <c r="J4237" s="3" t="str">
        <f t="shared" si="306"/>
        <v>5560963</v>
      </c>
    </row>
    <row r="4238" spans="2:10" s="3" customFormat="1">
      <c r="B4238" s="3" t="s">
        <v>2139</v>
      </c>
      <c r="C4238" s="8">
        <v>6</v>
      </c>
      <c r="D4238" s="3" t="s">
        <v>4418</v>
      </c>
      <c r="E4238" s="11" t="s">
        <v>1296</v>
      </c>
      <c r="F4238" s="10">
        <v>8.7299999999990163E-4</v>
      </c>
      <c r="G4238" s="120">
        <f>+G4160-SUM(G4161:G4162)-SUM(G4167:G4215)-G4219-G4223-G4227-G4231-SUM(G4235:G4237)</f>
        <v>165767</v>
      </c>
      <c r="H4238" s="120">
        <f t="shared" si="307"/>
        <v>82884</v>
      </c>
      <c r="I4238" s="120">
        <f t="shared" si="308"/>
        <v>82883</v>
      </c>
      <c r="J4238" s="3" t="str">
        <f t="shared" si="306"/>
        <v>5561085</v>
      </c>
    </row>
    <row r="4239" spans="2:10" s="3" customFormat="1">
      <c r="B4239" s="3" t="s">
        <v>2139</v>
      </c>
      <c r="C4239" s="8">
        <v>0</v>
      </c>
      <c r="D4239" s="125" t="s">
        <v>2187</v>
      </c>
      <c r="E4239" s="28" t="s">
        <v>288</v>
      </c>
      <c r="F4239" s="10">
        <v>1</v>
      </c>
      <c r="G4239" s="12">
        <f>+G4161+SUM(G4164:G4214)+SUM(G4217:G4218)+SUM(G4221:G4222)+SUM(G4225:G4226)+SUM(G4229:G4230)+SUM(G4233:G4238)</f>
        <v>453237</v>
      </c>
      <c r="H4239" s="12">
        <f>+H4161+SUM(H4164:H4214)+SUM(H4217:H4218)+SUM(H4221:H4222)+SUM(H4225:H4226)+SUM(H4229:H4230)+SUM(H4233:H4238)</f>
        <v>226632</v>
      </c>
      <c r="I4239" s="12">
        <f>+I4161+SUM(I4164:I4214)+SUM(I4217:I4218)+SUM(I4221:I4222)+SUM(I4225:I4226)+SUM(I4229:I4230)+SUM(I4233:I4238)</f>
        <v>226605</v>
      </c>
      <c r="J4239" s="3" t="str">
        <f t="shared" si="306"/>
        <v>5500000</v>
      </c>
    </row>
    <row r="4240" spans="2:10" s="3" customFormat="1">
      <c r="B4240" s="3" t="s">
        <v>2139</v>
      </c>
      <c r="C4240" s="8">
        <v>0</v>
      </c>
      <c r="D4240" s="3" t="s">
        <v>2187</v>
      </c>
      <c r="E4240" s="18" t="s">
        <v>38</v>
      </c>
      <c r="G4240" s="19">
        <f>+G4161</f>
        <v>394</v>
      </c>
      <c r="H4240" s="19">
        <f>+H4161</f>
        <v>197</v>
      </c>
      <c r="I4240" s="19">
        <f>+I4161</f>
        <v>197</v>
      </c>
      <c r="J4240" s="3" t="str">
        <f t="shared" si="306"/>
        <v>5500000</v>
      </c>
    </row>
    <row r="4241" spans="2:10" s="3" customFormat="1">
      <c r="B4241" s="3" t="s">
        <v>2139</v>
      </c>
      <c r="C4241" s="8">
        <v>0</v>
      </c>
      <c r="D4241" s="3" t="s">
        <v>2187</v>
      </c>
      <c r="E4241" s="2" t="s">
        <v>39</v>
      </c>
      <c r="G4241" s="19">
        <f>+G4164</f>
        <v>10083</v>
      </c>
      <c r="H4241" s="19">
        <f>+H4164</f>
        <v>5042</v>
      </c>
      <c r="I4241" s="19">
        <f>+I4164</f>
        <v>5041</v>
      </c>
      <c r="J4241" s="3" t="str">
        <f t="shared" si="306"/>
        <v>5500000</v>
      </c>
    </row>
    <row r="4242" spans="2:10" s="3" customFormat="1">
      <c r="B4242" s="3" t="s">
        <v>2139</v>
      </c>
      <c r="C4242" s="8">
        <v>0</v>
      </c>
      <c r="D4242" s="3" t="s">
        <v>2187</v>
      </c>
      <c r="E4242" s="2" t="s">
        <v>40</v>
      </c>
      <c r="G4242" s="19">
        <f>+G4217+G4221+G4225+G4229+G4233</f>
        <v>92415</v>
      </c>
      <c r="H4242" s="19">
        <f>+H4217+H4221+H4225+H4229+H4233</f>
        <v>46209</v>
      </c>
      <c r="I4242" s="19">
        <f>+I4217+I4221+I4225+I4229+I4233</f>
        <v>46206</v>
      </c>
      <c r="J4242" s="3" t="str">
        <f t="shared" si="306"/>
        <v>5500000</v>
      </c>
    </row>
    <row r="4243" spans="2:10" s="3" customFormat="1">
      <c r="B4243" s="3" t="s">
        <v>2139</v>
      </c>
      <c r="C4243" s="8">
        <v>0</v>
      </c>
      <c r="D4243" s="125" t="s">
        <v>2187</v>
      </c>
      <c r="E4243" s="18" t="s">
        <v>41</v>
      </c>
      <c r="G4243" s="19">
        <f>+G4239-G4240-G4241-G4242</f>
        <v>350345</v>
      </c>
      <c r="H4243" s="19">
        <f>+H4239-H4240-H4241-H4242</f>
        <v>175184</v>
      </c>
      <c r="I4243" s="19">
        <f>+I4239-I4240-I4241-I4242</f>
        <v>175161</v>
      </c>
      <c r="J4243" s="3" t="str">
        <f t="shared" si="306"/>
        <v>5500000</v>
      </c>
    </row>
    <row r="4244" spans="2:10" ht="15.75">
      <c r="B4244" s="3" t="s">
        <v>2186</v>
      </c>
      <c r="D4244" t="s">
        <v>2186</v>
      </c>
      <c r="E4244">
        <v>0</v>
      </c>
      <c r="G4244"/>
      <c r="H4244"/>
      <c r="I4244"/>
      <c r="J4244" s="3" t="str">
        <f t="shared" si="306"/>
        <v/>
      </c>
    </row>
    <row r="4245" spans="2:10" s="3" customFormat="1">
      <c r="C4245" s="1"/>
      <c r="D4245" s="3" t="s">
        <v>2186</v>
      </c>
      <c r="E4245" s="2" t="s">
        <v>1297</v>
      </c>
      <c r="J4245" s="3" t="str">
        <f t="shared" si="306"/>
        <v/>
      </c>
    </row>
    <row r="4246" spans="2:10" s="3" customFormat="1" ht="45">
      <c r="B4246" s="3" t="s">
        <v>2186</v>
      </c>
      <c r="C4246" s="1"/>
      <c r="D4246" s="3" t="s">
        <v>2186</v>
      </c>
      <c r="E4246" s="1">
        <v>0</v>
      </c>
      <c r="F4246" s="6" t="s">
        <v>1</v>
      </c>
      <c r="G4246" s="60">
        <f>'Allocation Worksheet'!H4246</f>
        <v>0</v>
      </c>
      <c r="H4246" s="60">
        <f>'Allocation Worksheet'!H4247</f>
        <v>0</v>
      </c>
      <c r="I4246" s="60">
        <f>'Allocation Worksheet'!H4248</f>
        <v>0</v>
      </c>
      <c r="J4246" s="3" t="str">
        <f t="shared" si="306"/>
        <v/>
      </c>
    </row>
    <row r="4247" spans="2:10" s="3" customFormat="1">
      <c r="C4247" s="7" t="s">
        <v>2087</v>
      </c>
      <c r="D4247" s="3" t="s">
        <v>2186</v>
      </c>
      <c r="E4247" s="7" t="s">
        <v>3</v>
      </c>
      <c r="F4247" s="10"/>
      <c r="G4247" s="9">
        <f>'Allocation Worksheet'!$D$59</f>
        <v>218494</v>
      </c>
      <c r="H4247" s="11"/>
      <c r="I4247" s="11"/>
      <c r="J4247" s="3" t="str">
        <f t="shared" si="306"/>
        <v>UT</v>
      </c>
    </row>
    <row r="4248" spans="2:10" s="3" customFormat="1">
      <c r="B4248" s="3" t="s">
        <v>2140</v>
      </c>
      <c r="C4248" s="8">
        <v>0</v>
      </c>
      <c r="D4248" s="3" t="s">
        <v>2187</v>
      </c>
      <c r="E4248" s="11" t="s">
        <v>4</v>
      </c>
      <c r="F4248" s="10">
        <v>9.8900000000000008E-4</v>
      </c>
      <c r="G4248" s="12">
        <f>ROUND(G$3*F4248,0)</f>
        <v>285</v>
      </c>
      <c r="H4248" s="13">
        <f>ROUND(G4248/2,0)</f>
        <v>143</v>
      </c>
      <c r="I4248" s="12">
        <f>G4248-H4248</f>
        <v>142</v>
      </c>
      <c r="J4248" s="3" t="str">
        <f t="shared" si="306"/>
        <v>5600000</v>
      </c>
    </row>
    <row r="4249" spans="2:10" s="3" customFormat="1">
      <c r="B4249" s="3" t="s">
        <v>2140</v>
      </c>
      <c r="C4249" s="8">
        <v>1</v>
      </c>
      <c r="D4249" s="3" t="s">
        <v>2187</v>
      </c>
      <c r="E4249" s="11" t="s">
        <v>1298</v>
      </c>
      <c r="F4249" s="10">
        <v>0.28554800000000002</v>
      </c>
      <c r="G4249" s="9">
        <f>ROUND(G$3*F4249,0)</f>
        <v>82159</v>
      </c>
      <c r="H4249" s="11">
        <f>ROUND(G4249/2,0)</f>
        <v>41080</v>
      </c>
      <c r="I4249" s="9">
        <f>G4249-H4249</f>
        <v>41079</v>
      </c>
      <c r="J4249" s="3" t="str">
        <f t="shared" si="306"/>
        <v>5610000</v>
      </c>
    </row>
    <row r="4250" spans="2:10" s="3" customFormat="1">
      <c r="B4250" s="3" t="s">
        <v>2140</v>
      </c>
      <c r="C4250" s="8">
        <v>1</v>
      </c>
      <c r="D4250" s="3" t="s">
        <v>2187</v>
      </c>
      <c r="E4250" s="11" t="s">
        <v>6</v>
      </c>
      <c r="F4250" s="11"/>
      <c r="G4250" s="14">
        <v>0.18049699999999999</v>
      </c>
      <c r="H4250" s="11"/>
      <c r="I4250" s="11"/>
      <c r="J4250" s="3" t="str">
        <f t="shared" si="306"/>
        <v>5610000</v>
      </c>
    </row>
    <row r="4251" spans="2:10" s="3" customFormat="1">
      <c r="B4251" s="3" t="s">
        <v>2140</v>
      </c>
      <c r="C4251" s="8">
        <v>1</v>
      </c>
      <c r="D4251" s="3" t="s">
        <v>2187</v>
      </c>
      <c r="E4251" s="11" t="s">
        <v>7</v>
      </c>
      <c r="F4251" s="11"/>
      <c r="G4251" s="15">
        <f>ROUND(G4249*G4250,0)</f>
        <v>14829</v>
      </c>
      <c r="H4251" s="16">
        <f>ROUND(G4251/2,0)</f>
        <v>7415</v>
      </c>
      <c r="I4251" s="15">
        <f>G4251-H4251</f>
        <v>7414</v>
      </c>
      <c r="J4251" s="3" t="str">
        <f t="shared" si="306"/>
        <v>5610000</v>
      </c>
    </row>
    <row r="4252" spans="2:10" s="3" customFormat="1">
      <c r="B4252" s="3" t="s">
        <v>2140</v>
      </c>
      <c r="C4252" s="8">
        <v>1</v>
      </c>
      <c r="D4252" s="3" t="s">
        <v>2187</v>
      </c>
      <c r="E4252" s="11" t="s">
        <v>8</v>
      </c>
      <c r="F4252" s="11"/>
      <c r="G4252" s="12">
        <f>+G4249-G4251</f>
        <v>67330</v>
      </c>
      <c r="H4252" s="13">
        <f>ROUND(G4252/2,0)</f>
        <v>33665</v>
      </c>
      <c r="I4252" s="12">
        <f>G4252-H4252</f>
        <v>33665</v>
      </c>
      <c r="J4252" s="3" t="str">
        <f t="shared" si="306"/>
        <v>5610000</v>
      </c>
    </row>
    <row r="4253" spans="2:10" s="3" customFormat="1">
      <c r="B4253" s="3" t="s">
        <v>2140</v>
      </c>
      <c r="C4253" s="8">
        <v>2</v>
      </c>
      <c r="D4253" s="3" t="s">
        <v>2188</v>
      </c>
      <c r="E4253" s="11" t="s">
        <v>1299</v>
      </c>
      <c r="F4253" s="11"/>
      <c r="G4253" s="9"/>
      <c r="H4253" s="11"/>
      <c r="I4253" s="11"/>
      <c r="J4253" s="3" t="str">
        <f t="shared" si="306"/>
        <v>5620001</v>
      </c>
    </row>
    <row r="4254" spans="2:10" s="3" customFormat="1">
      <c r="B4254" s="3" t="s">
        <v>2140</v>
      </c>
      <c r="C4254" s="8">
        <v>2</v>
      </c>
      <c r="D4254" s="3" t="s">
        <v>2188</v>
      </c>
      <c r="E4254" s="11" t="s">
        <v>10</v>
      </c>
      <c r="F4254" s="10">
        <v>7.842E-3</v>
      </c>
      <c r="G4254" s="12">
        <f>ROUND(G$3*F4254,0)</f>
        <v>2256</v>
      </c>
      <c r="H4254" s="13">
        <f>ROUND(G4254/2,0)</f>
        <v>1128</v>
      </c>
      <c r="I4254" s="12">
        <f>G4254-H4254</f>
        <v>1128</v>
      </c>
      <c r="J4254" s="3" t="str">
        <f t="shared" si="306"/>
        <v>5620001</v>
      </c>
    </row>
    <row r="4255" spans="2:10" s="3" customFormat="1">
      <c r="B4255" s="3" t="s">
        <v>2140</v>
      </c>
      <c r="C4255" s="8">
        <v>2</v>
      </c>
      <c r="D4255" s="3" t="s">
        <v>2188</v>
      </c>
      <c r="E4255" s="11" t="s">
        <v>11</v>
      </c>
      <c r="F4255" s="10">
        <v>3.0990000000000002E-3</v>
      </c>
      <c r="G4255" s="12">
        <f>ROUND(G$3*F4255,0)</f>
        <v>892</v>
      </c>
      <c r="H4255" s="13">
        <f>ROUND(G4255/2,0)</f>
        <v>446</v>
      </c>
      <c r="I4255" s="12">
        <f>G4255-H4255</f>
        <v>446</v>
      </c>
      <c r="J4255" s="3" t="str">
        <f t="shared" si="306"/>
        <v>5620001</v>
      </c>
    </row>
    <row r="4256" spans="2:10" s="3" customFormat="1">
      <c r="B4256" s="3" t="s">
        <v>2140</v>
      </c>
      <c r="C4256" s="8">
        <v>2</v>
      </c>
      <c r="D4256" s="3" t="s">
        <v>2189</v>
      </c>
      <c r="E4256" s="11" t="s">
        <v>1300</v>
      </c>
      <c r="F4256" s="11"/>
      <c r="G4256" s="9"/>
      <c r="H4256" s="11"/>
      <c r="I4256" s="11"/>
      <c r="J4256" s="3" t="str">
        <f t="shared" si="306"/>
        <v>5620002</v>
      </c>
    </row>
    <row r="4257" spans="2:10" s="3" customFormat="1">
      <c r="B4257" s="3" t="s">
        <v>2140</v>
      </c>
      <c r="C4257" s="8">
        <v>2</v>
      </c>
      <c r="D4257" s="3" t="s">
        <v>2189</v>
      </c>
      <c r="E4257" s="11" t="s">
        <v>10</v>
      </c>
      <c r="F4257" s="10">
        <v>6.0099999999999997E-4</v>
      </c>
      <c r="G4257" s="12">
        <f>ROUND(G$3*F4257,0)</f>
        <v>173</v>
      </c>
      <c r="H4257" s="13">
        <f>ROUND(G4257/2,0)</f>
        <v>87</v>
      </c>
      <c r="I4257" s="12">
        <f>G4257-H4257</f>
        <v>86</v>
      </c>
      <c r="J4257" s="3" t="str">
        <f t="shared" si="306"/>
        <v>5620002</v>
      </c>
    </row>
    <row r="4258" spans="2:10" s="3" customFormat="1">
      <c r="B4258" s="3" t="s">
        <v>2140</v>
      </c>
      <c r="C4258" s="8">
        <v>2</v>
      </c>
      <c r="D4258" s="3" t="s">
        <v>2189</v>
      </c>
      <c r="E4258" s="11" t="s">
        <v>11</v>
      </c>
      <c r="F4258" s="10">
        <v>2.04E-4</v>
      </c>
      <c r="G4258" s="12">
        <f>ROUND(G$3*F4258,0)</f>
        <v>59</v>
      </c>
      <c r="H4258" s="13">
        <f>ROUND(G4258/2,0)</f>
        <v>30</v>
      </c>
      <c r="I4258" s="12">
        <f>G4258-H4258</f>
        <v>29</v>
      </c>
      <c r="J4258" s="3" t="str">
        <f t="shared" si="306"/>
        <v>5620002</v>
      </c>
    </row>
    <row r="4259" spans="2:10" s="3" customFormat="1">
      <c r="B4259" s="3" t="s">
        <v>2140</v>
      </c>
      <c r="C4259" s="8">
        <v>2</v>
      </c>
      <c r="D4259" s="3" t="s">
        <v>2190</v>
      </c>
      <c r="E4259" s="11" t="s">
        <v>109</v>
      </c>
      <c r="F4259" s="11"/>
      <c r="G4259" s="9"/>
      <c r="H4259" s="11"/>
      <c r="I4259" s="11"/>
      <c r="J4259" s="3" t="str">
        <f t="shared" si="306"/>
        <v>5620003</v>
      </c>
    </row>
    <row r="4260" spans="2:10" s="3" customFormat="1">
      <c r="B4260" s="3" t="s">
        <v>2140</v>
      </c>
      <c r="C4260" s="8">
        <v>2</v>
      </c>
      <c r="D4260" s="3" t="s">
        <v>2190</v>
      </c>
      <c r="E4260" s="11" t="s">
        <v>10</v>
      </c>
      <c r="F4260" s="10">
        <v>1.1429999999999999E-3</v>
      </c>
      <c r="G4260" s="12">
        <f>ROUND(G$3*F4260,0)</f>
        <v>329</v>
      </c>
      <c r="H4260" s="13">
        <f>ROUND(G4260/2,0)</f>
        <v>165</v>
      </c>
      <c r="I4260" s="12">
        <f>G4260-H4260</f>
        <v>164</v>
      </c>
      <c r="J4260" s="3" t="str">
        <f t="shared" si="306"/>
        <v>5620003</v>
      </c>
    </row>
    <row r="4261" spans="2:10" s="3" customFormat="1">
      <c r="B4261" s="3" t="s">
        <v>2140</v>
      </c>
      <c r="C4261" s="8">
        <v>2</v>
      </c>
      <c r="D4261" s="3" t="s">
        <v>2190</v>
      </c>
      <c r="E4261" s="11" t="s">
        <v>11</v>
      </c>
      <c r="F4261" s="10">
        <v>3.6699999999999998E-4</v>
      </c>
      <c r="G4261" s="12">
        <f>ROUND(G$3*F4261,0)</f>
        <v>106</v>
      </c>
      <c r="H4261" s="13">
        <f>ROUND(G4261/2,0)</f>
        <v>53</v>
      </c>
      <c r="I4261" s="12">
        <f>G4261-H4261</f>
        <v>53</v>
      </c>
      <c r="J4261" s="3" t="str">
        <f t="shared" si="306"/>
        <v>5620003</v>
      </c>
    </row>
    <row r="4262" spans="2:10" s="3" customFormat="1">
      <c r="B4262" s="3" t="s">
        <v>2140</v>
      </c>
      <c r="C4262" s="8">
        <v>2</v>
      </c>
      <c r="D4262" s="3" t="s">
        <v>2191</v>
      </c>
      <c r="E4262" s="11" t="s">
        <v>1301</v>
      </c>
      <c r="F4262" s="11"/>
      <c r="G4262" s="9"/>
      <c r="H4262" s="11"/>
      <c r="I4262" s="11"/>
      <c r="J4262" s="3" t="str">
        <f t="shared" si="306"/>
        <v>5620004</v>
      </c>
    </row>
    <row r="4263" spans="2:10" s="3" customFormat="1">
      <c r="B4263" s="3" t="s">
        <v>2140</v>
      </c>
      <c r="C4263" s="8">
        <v>2</v>
      </c>
      <c r="D4263" s="3" t="s">
        <v>2191</v>
      </c>
      <c r="E4263" s="11" t="s">
        <v>10</v>
      </c>
      <c r="F4263" s="10">
        <v>1.8519999999999999E-3</v>
      </c>
      <c r="G4263" s="12">
        <f>ROUND(G$3*F4263,0)</f>
        <v>533</v>
      </c>
      <c r="H4263" s="13">
        <f>ROUND(G4263/2,0)</f>
        <v>267</v>
      </c>
      <c r="I4263" s="12">
        <f>G4263-H4263</f>
        <v>266</v>
      </c>
      <c r="J4263" s="3" t="str">
        <f t="shared" si="306"/>
        <v>5620004</v>
      </c>
    </row>
    <row r="4264" spans="2:10" s="3" customFormat="1">
      <c r="B4264" s="3" t="s">
        <v>2140</v>
      </c>
      <c r="C4264" s="8">
        <v>2</v>
      </c>
      <c r="D4264" s="3" t="s">
        <v>2191</v>
      </c>
      <c r="E4264" s="11" t="s">
        <v>11</v>
      </c>
      <c r="F4264" s="10">
        <v>3.6699999999999998E-4</v>
      </c>
      <c r="G4264" s="12">
        <f>ROUND(G$3*F4264,0)</f>
        <v>106</v>
      </c>
      <c r="H4264" s="13">
        <f>ROUND(G4264/2,0)</f>
        <v>53</v>
      </c>
      <c r="I4264" s="12">
        <f>G4264-H4264</f>
        <v>53</v>
      </c>
      <c r="J4264" s="3" t="str">
        <f t="shared" si="306"/>
        <v>5620004</v>
      </c>
    </row>
    <row r="4265" spans="2:10" s="3" customFormat="1">
      <c r="B4265" s="3" t="s">
        <v>2140</v>
      </c>
      <c r="C4265" s="8">
        <v>2</v>
      </c>
      <c r="D4265" s="3" t="s">
        <v>2192</v>
      </c>
      <c r="E4265" s="11" t="s">
        <v>49</v>
      </c>
      <c r="F4265" s="11"/>
      <c r="G4265" s="9"/>
      <c r="H4265" s="11"/>
      <c r="I4265" s="11"/>
      <c r="J4265" s="3" t="str">
        <f t="shared" si="306"/>
        <v>5620005</v>
      </c>
    </row>
    <row r="4266" spans="2:10" s="3" customFormat="1">
      <c r="B4266" s="3" t="s">
        <v>2140</v>
      </c>
      <c r="C4266" s="8">
        <v>2</v>
      </c>
      <c r="D4266" s="3" t="s">
        <v>2192</v>
      </c>
      <c r="E4266" s="11" t="s">
        <v>10</v>
      </c>
      <c r="F4266" s="10">
        <v>5.1699999999999999E-4</v>
      </c>
      <c r="G4266" s="12">
        <f>ROUND(G$3*F4266,0)</f>
        <v>149</v>
      </c>
      <c r="H4266" s="13">
        <f>ROUND(G4266/2,0)</f>
        <v>75</v>
      </c>
      <c r="I4266" s="12">
        <f>G4266-H4266</f>
        <v>74</v>
      </c>
      <c r="J4266" s="3" t="str">
        <f t="shared" si="306"/>
        <v>5620005</v>
      </c>
    </row>
    <row r="4267" spans="2:10" s="3" customFormat="1">
      <c r="B4267" s="3" t="s">
        <v>2140</v>
      </c>
      <c r="C4267" s="8">
        <v>2</v>
      </c>
      <c r="D4267" s="3" t="s">
        <v>2192</v>
      </c>
      <c r="E4267" s="11" t="s">
        <v>11</v>
      </c>
      <c r="F4267" s="10">
        <v>1.21E-4</v>
      </c>
      <c r="G4267" s="12">
        <f>ROUND(G$3*F4267,0)</f>
        <v>35</v>
      </c>
      <c r="H4267" s="13">
        <f>ROUND(G4267/2,0)</f>
        <v>18</v>
      </c>
      <c r="I4267" s="12">
        <f>G4267-H4267</f>
        <v>17</v>
      </c>
      <c r="J4267" s="3" t="str">
        <f t="shared" si="306"/>
        <v>5620005</v>
      </c>
    </row>
    <row r="4268" spans="2:10" s="3" customFormat="1">
      <c r="B4268" s="3" t="s">
        <v>2140</v>
      </c>
      <c r="C4268" s="8">
        <v>2</v>
      </c>
      <c r="D4268" s="3" t="s">
        <v>2193</v>
      </c>
      <c r="E4268" s="11" t="s">
        <v>14</v>
      </c>
      <c r="F4268" s="11"/>
      <c r="G4268" s="9"/>
      <c r="H4268" s="11"/>
      <c r="I4268" s="11"/>
      <c r="J4268" s="3" t="str">
        <f t="shared" si="306"/>
        <v>5620006</v>
      </c>
    </row>
    <row r="4269" spans="2:10" s="3" customFormat="1">
      <c r="B4269" s="3" t="s">
        <v>2140</v>
      </c>
      <c r="C4269" s="8">
        <v>2</v>
      </c>
      <c r="D4269" s="3" t="s">
        <v>2193</v>
      </c>
      <c r="E4269" s="11" t="s">
        <v>10</v>
      </c>
      <c r="F4269" s="10">
        <v>1.1299999999999999E-3</v>
      </c>
      <c r="G4269" s="12">
        <f>ROUND(G$3*F4269,0)</f>
        <v>325</v>
      </c>
      <c r="H4269" s="13">
        <f>ROUND(G4269/2,0)</f>
        <v>163</v>
      </c>
      <c r="I4269" s="12">
        <f>G4269-H4269</f>
        <v>162</v>
      </c>
      <c r="J4269" s="3" t="str">
        <f t="shared" si="306"/>
        <v>5620006</v>
      </c>
    </row>
    <row r="4270" spans="2:10" s="3" customFormat="1">
      <c r="B4270" s="3" t="s">
        <v>2140</v>
      </c>
      <c r="C4270" s="8">
        <v>2</v>
      </c>
      <c r="D4270" s="3" t="s">
        <v>2193</v>
      </c>
      <c r="E4270" s="11" t="s">
        <v>11</v>
      </c>
      <c r="F4270" s="10">
        <v>3.4200000000000002E-4</v>
      </c>
      <c r="G4270" s="12">
        <f>ROUND(G$3*F4270,0)</f>
        <v>98</v>
      </c>
      <c r="H4270" s="13">
        <f>ROUND(G4270/2,0)</f>
        <v>49</v>
      </c>
      <c r="I4270" s="12">
        <f>G4270-H4270</f>
        <v>49</v>
      </c>
      <c r="J4270" s="3" t="str">
        <f t="shared" si="306"/>
        <v>5620006</v>
      </c>
    </row>
    <row r="4271" spans="2:10" s="3" customFormat="1">
      <c r="B4271" s="3" t="s">
        <v>2140</v>
      </c>
      <c r="C4271" s="8">
        <v>2</v>
      </c>
      <c r="D4271" s="3" t="s">
        <v>2194</v>
      </c>
      <c r="E4271" s="11" t="s">
        <v>51</v>
      </c>
      <c r="F4271" s="11"/>
      <c r="G4271" s="9"/>
      <c r="H4271" s="11"/>
      <c r="I4271" s="11"/>
      <c r="J4271" s="3" t="str">
        <f t="shared" si="306"/>
        <v>5620007</v>
      </c>
    </row>
    <row r="4272" spans="2:10" s="3" customFormat="1">
      <c r="B4272" s="3" t="s">
        <v>2140</v>
      </c>
      <c r="C4272" s="8">
        <v>2</v>
      </c>
      <c r="D4272" s="3" t="s">
        <v>2194</v>
      </c>
      <c r="E4272" s="11" t="s">
        <v>10</v>
      </c>
      <c r="F4272" s="10">
        <v>6.019E-3</v>
      </c>
      <c r="G4272" s="12">
        <f>ROUND(G$3*F4272,0)</f>
        <v>1732</v>
      </c>
      <c r="H4272" s="13">
        <f>ROUND(G4272/2,0)</f>
        <v>866</v>
      </c>
      <c r="I4272" s="12">
        <f>G4272-H4272</f>
        <v>866</v>
      </c>
      <c r="J4272" s="3" t="str">
        <f t="shared" si="306"/>
        <v>5620007</v>
      </c>
    </row>
    <row r="4273" spans="2:10" s="3" customFormat="1">
      <c r="B4273" s="3" t="s">
        <v>2140</v>
      </c>
      <c r="C4273" s="8">
        <v>2</v>
      </c>
      <c r="D4273" s="3" t="s">
        <v>2194</v>
      </c>
      <c r="E4273" s="11" t="s">
        <v>11</v>
      </c>
      <c r="F4273" s="10">
        <v>3.0490000000000001E-3</v>
      </c>
      <c r="G4273" s="12">
        <f>ROUND(G$3*F4273,0)</f>
        <v>877</v>
      </c>
      <c r="H4273" s="13">
        <f>ROUND(G4273/2,0)</f>
        <v>439</v>
      </c>
      <c r="I4273" s="12">
        <f>G4273-H4273</f>
        <v>438</v>
      </c>
      <c r="J4273" s="3" t="str">
        <f t="shared" si="306"/>
        <v>5620007</v>
      </c>
    </row>
    <row r="4274" spans="2:10" s="3" customFormat="1">
      <c r="B4274" s="3" t="s">
        <v>2140</v>
      </c>
      <c r="C4274" s="8">
        <v>2</v>
      </c>
      <c r="D4274" s="3" t="s">
        <v>2195</v>
      </c>
      <c r="E4274" s="11" t="s">
        <v>714</v>
      </c>
      <c r="F4274" s="11"/>
      <c r="G4274" s="9"/>
      <c r="H4274" s="11"/>
      <c r="I4274" s="11"/>
      <c r="J4274" s="3" t="str">
        <f t="shared" si="306"/>
        <v>5620008</v>
      </c>
    </row>
    <row r="4275" spans="2:10" s="3" customFormat="1">
      <c r="B4275" s="3" t="s">
        <v>2140</v>
      </c>
      <c r="C4275" s="8">
        <v>2</v>
      </c>
      <c r="D4275" s="3" t="s">
        <v>2195</v>
      </c>
      <c r="E4275" s="11" t="s">
        <v>10</v>
      </c>
      <c r="F4275" s="10">
        <v>4.0169999999999997E-3</v>
      </c>
      <c r="G4275" s="12">
        <f>ROUND(G$3*F4275,0)</f>
        <v>1156</v>
      </c>
      <c r="H4275" s="13">
        <f>ROUND(G4275/2,0)</f>
        <v>578</v>
      </c>
      <c r="I4275" s="12">
        <f>G4275-H4275</f>
        <v>578</v>
      </c>
      <c r="J4275" s="3" t="str">
        <f t="shared" si="306"/>
        <v>5620008</v>
      </c>
    </row>
    <row r="4276" spans="2:10" s="3" customFormat="1">
      <c r="B4276" s="3" t="s">
        <v>2140</v>
      </c>
      <c r="C4276" s="8">
        <v>2</v>
      </c>
      <c r="D4276" s="3" t="s">
        <v>2195</v>
      </c>
      <c r="E4276" s="11" t="s">
        <v>11</v>
      </c>
      <c r="F4276" s="10">
        <v>2.4529999999999999E-3</v>
      </c>
      <c r="G4276" s="12">
        <f>ROUND(G$3*F4276,0)</f>
        <v>706</v>
      </c>
      <c r="H4276" s="13">
        <f>ROUND(G4276/2,0)</f>
        <v>353</v>
      </c>
      <c r="I4276" s="12">
        <f>G4276-H4276</f>
        <v>353</v>
      </c>
      <c r="J4276" s="3" t="str">
        <f t="shared" si="306"/>
        <v>5620008</v>
      </c>
    </row>
    <row r="4277" spans="2:10" s="3" customFormat="1">
      <c r="B4277" s="3" t="s">
        <v>2140</v>
      </c>
      <c r="C4277" s="8">
        <v>2</v>
      </c>
      <c r="D4277" s="3" t="s">
        <v>2196</v>
      </c>
      <c r="E4277" s="11" t="s">
        <v>1302</v>
      </c>
      <c r="F4277" s="11"/>
      <c r="G4277" s="9"/>
      <c r="H4277" s="11"/>
      <c r="I4277" s="11"/>
      <c r="J4277" s="3" t="str">
        <f t="shared" si="306"/>
        <v>5620009</v>
      </c>
    </row>
    <row r="4278" spans="2:10" s="3" customFormat="1">
      <c r="B4278" s="3" t="s">
        <v>2140</v>
      </c>
      <c r="C4278" s="8">
        <v>2</v>
      </c>
      <c r="D4278" s="3" t="s">
        <v>2196</v>
      </c>
      <c r="E4278" s="11" t="s">
        <v>10</v>
      </c>
      <c r="F4278" s="10">
        <v>6.8000000000000005E-4</v>
      </c>
      <c r="G4278" s="12">
        <f>ROUND(G$3*F4278,0)</f>
        <v>196</v>
      </c>
      <c r="H4278" s="13">
        <f>ROUND(G4278/2,0)</f>
        <v>98</v>
      </c>
      <c r="I4278" s="12">
        <f>G4278-H4278</f>
        <v>98</v>
      </c>
      <c r="J4278" s="3" t="str">
        <f t="shared" si="306"/>
        <v>5620009</v>
      </c>
    </row>
    <row r="4279" spans="2:10" s="3" customFormat="1">
      <c r="B4279" s="3" t="s">
        <v>2140</v>
      </c>
      <c r="C4279" s="8">
        <v>2</v>
      </c>
      <c r="D4279" s="3" t="s">
        <v>2196</v>
      </c>
      <c r="E4279" s="11" t="s">
        <v>11</v>
      </c>
      <c r="F4279" s="10">
        <v>8.2999999999999998E-5</v>
      </c>
      <c r="G4279" s="12">
        <f>ROUND(G$3*F4279,0)</f>
        <v>24</v>
      </c>
      <c r="H4279" s="13">
        <f>ROUND(G4279/2,0)</f>
        <v>12</v>
      </c>
      <c r="I4279" s="12">
        <f>G4279-H4279</f>
        <v>12</v>
      </c>
      <c r="J4279" s="3" t="str">
        <f t="shared" si="306"/>
        <v>5620009</v>
      </c>
    </row>
    <row r="4280" spans="2:10" s="3" customFormat="1">
      <c r="B4280" s="3" t="s">
        <v>2140</v>
      </c>
      <c r="C4280" s="8">
        <v>2</v>
      </c>
      <c r="D4280" s="3" t="s">
        <v>2197</v>
      </c>
      <c r="E4280" s="11" t="s">
        <v>22</v>
      </c>
      <c r="F4280" s="11"/>
      <c r="G4280" s="9"/>
      <c r="H4280" s="11"/>
      <c r="I4280" s="11"/>
      <c r="J4280" s="3" t="str">
        <f t="shared" si="306"/>
        <v>5620010</v>
      </c>
    </row>
    <row r="4281" spans="2:10" s="3" customFormat="1">
      <c r="B4281" s="3" t="s">
        <v>2140</v>
      </c>
      <c r="C4281" s="8">
        <v>2</v>
      </c>
      <c r="D4281" s="3" t="s">
        <v>2197</v>
      </c>
      <c r="E4281" s="11" t="s">
        <v>10</v>
      </c>
      <c r="F4281" s="10">
        <v>1.614E-3</v>
      </c>
      <c r="G4281" s="12">
        <f t="shared" ref="G4281:G4288" si="309">ROUND(G$3*F4281,0)</f>
        <v>464</v>
      </c>
      <c r="H4281" s="13">
        <f t="shared" ref="H4281:H4288" si="310">ROUND(G4281/2,0)</f>
        <v>232</v>
      </c>
      <c r="I4281" s="12">
        <f t="shared" ref="I4281:I4288" si="311">G4281-H4281</f>
        <v>232</v>
      </c>
      <c r="J4281" s="3" t="str">
        <f t="shared" si="306"/>
        <v>5620010</v>
      </c>
    </row>
    <row r="4282" spans="2:10" s="3" customFormat="1">
      <c r="B4282" s="3" t="s">
        <v>2140</v>
      </c>
      <c r="C4282" s="8">
        <v>2</v>
      </c>
      <c r="D4282" s="3" t="s">
        <v>2197</v>
      </c>
      <c r="E4282" s="11" t="s">
        <v>11</v>
      </c>
      <c r="F4282" s="10">
        <v>2.5000000000000001E-4</v>
      </c>
      <c r="G4282" s="12">
        <f t="shared" si="309"/>
        <v>72</v>
      </c>
      <c r="H4282" s="13">
        <f t="shared" si="310"/>
        <v>36</v>
      </c>
      <c r="I4282" s="12">
        <f t="shared" si="311"/>
        <v>36</v>
      </c>
      <c r="J4282" s="3" t="str">
        <f t="shared" si="306"/>
        <v>5620010</v>
      </c>
    </row>
    <row r="4283" spans="2:10" s="3" customFormat="1">
      <c r="B4283" s="3" t="s">
        <v>2140</v>
      </c>
      <c r="C4283" s="8">
        <v>3</v>
      </c>
      <c r="D4283" s="3" t="s">
        <v>2300</v>
      </c>
      <c r="E4283" s="11" t="s">
        <v>1303</v>
      </c>
      <c r="F4283" s="10">
        <v>2.7144999999999999E-2</v>
      </c>
      <c r="G4283" s="12">
        <f t="shared" si="309"/>
        <v>7810</v>
      </c>
      <c r="H4283" s="13">
        <f t="shared" si="310"/>
        <v>3905</v>
      </c>
      <c r="I4283" s="12">
        <f t="shared" si="311"/>
        <v>3905</v>
      </c>
      <c r="J4283" s="3" t="str">
        <f t="shared" si="306"/>
        <v>5630802</v>
      </c>
    </row>
    <row r="4284" spans="2:10" s="3" customFormat="1">
      <c r="B4284" s="3" t="s">
        <v>2140</v>
      </c>
      <c r="C4284" s="8">
        <v>3</v>
      </c>
      <c r="D4284" s="3" t="s">
        <v>2881</v>
      </c>
      <c r="E4284" s="11" t="s">
        <v>1304</v>
      </c>
      <c r="F4284" s="10">
        <v>7.0619999999999997E-3</v>
      </c>
      <c r="G4284" s="12">
        <f t="shared" si="309"/>
        <v>2032</v>
      </c>
      <c r="H4284" s="13">
        <f t="shared" si="310"/>
        <v>1016</v>
      </c>
      <c r="I4284" s="12">
        <f t="shared" si="311"/>
        <v>1016</v>
      </c>
      <c r="J4284" s="3" t="str">
        <f t="shared" si="306"/>
        <v>5630803</v>
      </c>
    </row>
    <row r="4285" spans="2:10" s="3" customFormat="1">
      <c r="B4285" s="3" t="s">
        <v>2140</v>
      </c>
      <c r="C4285" s="8">
        <v>3</v>
      </c>
      <c r="D4285" s="3" t="s">
        <v>2882</v>
      </c>
      <c r="E4285" s="11" t="s">
        <v>1305</v>
      </c>
      <c r="F4285" s="10">
        <v>1.2989000000000001E-2</v>
      </c>
      <c r="G4285" s="12">
        <f t="shared" si="309"/>
        <v>3737</v>
      </c>
      <c r="H4285" s="13">
        <f t="shared" si="310"/>
        <v>1869</v>
      </c>
      <c r="I4285" s="12">
        <f t="shared" si="311"/>
        <v>1868</v>
      </c>
      <c r="J4285" s="3" t="str">
        <f t="shared" si="306"/>
        <v>5630804</v>
      </c>
    </row>
    <row r="4286" spans="2:10" s="3" customFormat="1">
      <c r="B4286" s="3" t="s">
        <v>2140</v>
      </c>
      <c r="C4286" s="8">
        <v>3</v>
      </c>
      <c r="D4286" s="3" t="s">
        <v>2883</v>
      </c>
      <c r="E4286" s="11" t="s">
        <v>1306</v>
      </c>
      <c r="F4286" s="10">
        <v>1.8995000000000001E-2</v>
      </c>
      <c r="G4286" s="12">
        <f t="shared" si="309"/>
        <v>5465</v>
      </c>
      <c r="H4286" s="13">
        <f t="shared" si="310"/>
        <v>2733</v>
      </c>
      <c r="I4286" s="12">
        <f t="shared" si="311"/>
        <v>2732</v>
      </c>
      <c r="J4286" s="3" t="str">
        <f t="shared" si="306"/>
        <v>5630805</v>
      </c>
    </row>
    <row r="4287" spans="2:10" s="3" customFormat="1">
      <c r="B4287" s="3" t="s">
        <v>2140</v>
      </c>
      <c r="C4287" s="8">
        <v>3</v>
      </c>
      <c r="D4287" s="3" t="s">
        <v>2389</v>
      </c>
      <c r="E4287" s="11" t="s">
        <v>1307</v>
      </c>
      <c r="F4287" s="10">
        <v>1.3600000000000001E-3</v>
      </c>
      <c r="G4287" s="12">
        <f t="shared" si="309"/>
        <v>391</v>
      </c>
      <c r="H4287" s="13">
        <f t="shared" si="310"/>
        <v>196</v>
      </c>
      <c r="I4287" s="12">
        <f t="shared" si="311"/>
        <v>195</v>
      </c>
      <c r="J4287" s="3" t="str">
        <f t="shared" si="306"/>
        <v>5630806</v>
      </c>
    </row>
    <row r="4288" spans="2:10" s="3" customFormat="1">
      <c r="B4288" s="3" t="s">
        <v>2140</v>
      </c>
      <c r="C4288" s="8">
        <v>4</v>
      </c>
      <c r="D4288" s="3" t="s">
        <v>2884</v>
      </c>
      <c r="E4288" s="11" t="s">
        <v>1308</v>
      </c>
      <c r="F4288" s="10">
        <v>0.30964000000000003</v>
      </c>
      <c r="G4288" s="9">
        <f t="shared" si="309"/>
        <v>89091</v>
      </c>
      <c r="H4288" s="11">
        <f t="shared" si="310"/>
        <v>44546</v>
      </c>
      <c r="I4288" s="9">
        <f t="shared" si="311"/>
        <v>44545</v>
      </c>
      <c r="J4288" s="3" t="str">
        <f t="shared" si="306"/>
        <v>5645945</v>
      </c>
    </row>
    <row r="4289" spans="1:10" s="3" customFormat="1">
      <c r="B4289" s="3" t="s">
        <v>2140</v>
      </c>
      <c r="C4289" s="8">
        <v>4</v>
      </c>
      <c r="D4289" s="3" t="s">
        <v>2884</v>
      </c>
      <c r="E4289" s="11" t="s">
        <v>28</v>
      </c>
      <c r="F4289" s="11"/>
      <c r="G4289" s="14">
        <v>0.47567799999999999</v>
      </c>
      <c r="H4289" s="11"/>
      <c r="I4289" s="11"/>
      <c r="J4289" s="3" t="str">
        <f t="shared" si="306"/>
        <v>5645945</v>
      </c>
    </row>
    <row r="4290" spans="1:10" s="3" customFormat="1">
      <c r="B4290" s="3" t="s">
        <v>2140</v>
      </c>
      <c r="C4290" s="8">
        <v>4</v>
      </c>
      <c r="D4290" s="3" t="s">
        <v>2884</v>
      </c>
      <c r="E4290" s="11" t="s">
        <v>29</v>
      </c>
      <c r="F4290" s="11"/>
      <c r="G4290" s="15">
        <f>ROUND(G4288*G4289,0)</f>
        <v>42379</v>
      </c>
      <c r="H4290" s="16">
        <f>ROUND(G4290/2,0)</f>
        <v>21190</v>
      </c>
      <c r="I4290" s="15">
        <f>G4290-H4290</f>
        <v>21189</v>
      </c>
      <c r="J4290" s="3" t="str">
        <f t="shared" si="306"/>
        <v>5645945</v>
      </c>
    </row>
    <row r="4291" spans="1:10" s="3" customFormat="1">
      <c r="B4291" s="3" t="s">
        <v>2140</v>
      </c>
      <c r="C4291" s="8">
        <v>4</v>
      </c>
      <c r="D4291" s="3" t="s">
        <v>2884</v>
      </c>
      <c r="E4291" s="11" t="s">
        <v>30</v>
      </c>
      <c r="F4291" s="11"/>
      <c r="G4291" s="12">
        <f>+G4288-G4290</f>
        <v>46712</v>
      </c>
      <c r="H4291" s="13">
        <f>ROUND(G4291/2,0)</f>
        <v>23356</v>
      </c>
      <c r="I4291" s="12">
        <f>G4291-H4291</f>
        <v>23356</v>
      </c>
      <c r="J4291" s="3" t="str">
        <f t="shared" si="306"/>
        <v>5645945</v>
      </c>
    </row>
    <row r="4292" spans="1:10" s="3" customFormat="1">
      <c r="B4292" s="3" t="s">
        <v>2140</v>
      </c>
      <c r="C4292" s="8">
        <v>4</v>
      </c>
      <c r="D4292" s="3" t="s">
        <v>2247</v>
      </c>
      <c r="E4292" s="11" t="s">
        <v>123</v>
      </c>
      <c r="F4292" s="10">
        <v>0.26789200000000002</v>
      </c>
      <c r="G4292" s="9">
        <f>ROUND(G$3*F4292,0)</f>
        <v>77079</v>
      </c>
      <c r="H4292" s="11">
        <f>ROUND(G4292/2,0)</f>
        <v>38540</v>
      </c>
      <c r="I4292" s="9">
        <f>G4292-H4292</f>
        <v>38539</v>
      </c>
      <c r="J4292" s="3" t="str">
        <f t="shared" ref="J4292:J4355" si="312">B4292&amp;C4292&amp;D4292</f>
        <v>5645995</v>
      </c>
    </row>
    <row r="4293" spans="1:10" s="3" customFormat="1">
      <c r="B4293" s="3" t="s">
        <v>2140</v>
      </c>
      <c r="C4293" s="8">
        <v>4</v>
      </c>
      <c r="D4293" s="3" t="s">
        <v>2247</v>
      </c>
      <c r="E4293" s="11" t="s">
        <v>28</v>
      </c>
      <c r="F4293" s="11"/>
      <c r="G4293" s="14">
        <v>0.46950199999999997</v>
      </c>
      <c r="H4293" s="11"/>
      <c r="I4293" s="11"/>
      <c r="J4293" s="3" t="str">
        <f t="shared" si="312"/>
        <v>5645995</v>
      </c>
    </row>
    <row r="4294" spans="1:10" s="3" customFormat="1">
      <c r="B4294" s="3" t="s">
        <v>2140</v>
      </c>
      <c r="C4294" s="8">
        <v>4</v>
      </c>
      <c r="D4294" s="3" t="s">
        <v>2247</v>
      </c>
      <c r="E4294" s="11" t="s">
        <v>29</v>
      </c>
      <c r="F4294" s="11"/>
      <c r="G4294" s="15">
        <f>ROUND(G4292*G4293,0)</f>
        <v>36189</v>
      </c>
      <c r="H4294" s="16">
        <f t="shared" ref="H4294:H4300" si="313">ROUND(G4294/2,0)</f>
        <v>18095</v>
      </c>
      <c r="I4294" s="15">
        <f t="shared" ref="I4294:I4300" si="314">G4294-H4294</f>
        <v>18094</v>
      </c>
      <c r="J4294" s="3" t="str">
        <f t="shared" si="312"/>
        <v>5645995</v>
      </c>
    </row>
    <row r="4295" spans="1:10" s="3" customFormat="1">
      <c r="B4295" s="3" t="s">
        <v>2140</v>
      </c>
      <c r="C4295" s="8">
        <v>4</v>
      </c>
      <c r="D4295" s="3" t="s">
        <v>2247</v>
      </c>
      <c r="E4295" s="11" t="s">
        <v>30</v>
      </c>
      <c r="F4295" s="11"/>
      <c r="G4295" s="12">
        <f>+G4292-G4294</f>
        <v>40890</v>
      </c>
      <c r="H4295" s="13">
        <f t="shared" si="313"/>
        <v>20445</v>
      </c>
      <c r="I4295" s="12">
        <f t="shared" si="314"/>
        <v>20445</v>
      </c>
      <c r="J4295" s="3" t="str">
        <f t="shared" si="312"/>
        <v>5645995</v>
      </c>
    </row>
    <row r="4296" spans="1:10" s="3" customFormat="1">
      <c r="B4296" s="3" t="s">
        <v>2140</v>
      </c>
      <c r="C4296" s="8">
        <v>5</v>
      </c>
      <c r="D4296" s="3" t="s">
        <v>2885</v>
      </c>
      <c r="E4296" s="11" t="s">
        <v>1309</v>
      </c>
      <c r="F4296" s="10">
        <v>7.9459999999999999E-3</v>
      </c>
      <c r="G4296" s="120">
        <f>ROUND(G$3*F4296,0)</f>
        <v>2286</v>
      </c>
      <c r="H4296" s="120">
        <f t="shared" si="313"/>
        <v>1143</v>
      </c>
      <c r="I4296" s="120">
        <f t="shared" si="314"/>
        <v>1143</v>
      </c>
      <c r="J4296" s="3" t="str">
        <f t="shared" si="312"/>
        <v>5650162</v>
      </c>
    </row>
    <row r="4297" spans="1:10" s="3" customFormat="1">
      <c r="B4297" s="3" t="s">
        <v>2140</v>
      </c>
      <c r="C4297" s="8">
        <v>5</v>
      </c>
      <c r="D4297" s="3" t="s">
        <v>2886</v>
      </c>
      <c r="E4297" s="11" t="s">
        <v>1310</v>
      </c>
      <c r="F4297" s="10">
        <v>3.3909999999999999E-3</v>
      </c>
      <c r="G4297" s="120">
        <f>ROUND(G$3*F4297,0)</f>
        <v>976</v>
      </c>
      <c r="H4297" s="120">
        <f t="shared" si="313"/>
        <v>488</v>
      </c>
      <c r="I4297" s="120">
        <f t="shared" si="314"/>
        <v>488</v>
      </c>
      <c r="J4297" s="3" t="str">
        <f t="shared" si="312"/>
        <v>5650163</v>
      </c>
    </row>
    <row r="4298" spans="1:10" s="3" customFormat="1">
      <c r="B4298" s="3" t="s">
        <v>2140</v>
      </c>
      <c r="C4298" s="8">
        <v>5</v>
      </c>
      <c r="D4298" s="3" t="s">
        <v>2887</v>
      </c>
      <c r="E4298" s="11" t="s">
        <v>1311</v>
      </c>
      <c r="F4298" s="10">
        <v>3.8289999999999999E-3</v>
      </c>
      <c r="G4298" s="120">
        <f>ROUND(G$3*F4298,0)</f>
        <v>1102</v>
      </c>
      <c r="H4298" s="120">
        <f t="shared" si="313"/>
        <v>551</v>
      </c>
      <c r="I4298" s="120">
        <f t="shared" si="314"/>
        <v>551</v>
      </c>
      <c r="J4298" s="3" t="str">
        <f t="shared" si="312"/>
        <v>5650164</v>
      </c>
    </row>
    <row r="4299" spans="1:10" s="3" customFormat="1">
      <c r="B4299" s="3" t="s">
        <v>2140</v>
      </c>
      <c r="C4299" s="8">
        <v>5</v>
      </c>
      <c r="D4299" s="3" t="s">
        <v>5189</v>
      </c>
      <c r="E4299" s="11" t="s">
        <v>1312</v>
      </c>
      <c r="F4299" s="10">
        <v>1.7464E-2</v>
      </c>
      <c r="G4299" s="120">
        <f>+G4247-SUM(G4248:G4249)-SUM(G4254:G4288)-G4292-SUM(G4296:G4298)</f>
        <v>-64207</v>
      </c>
      <c r="H4299" s="120">
        <f t="shared" si="313"/>
        <v>-32104</v>
      </c>
      <c r="I4299" s="120">
        <f t="shared" si="314"/>
        <v>-32103</v>
      </c>
      <c r="J4299" s="3" t="str">
        <f t="shared" si="312"/>
        <v>5650166</v>
      </c>
    </row>
    <row r="4300" spans="1:10" s="3" customFormat="1">
      <c r="A4300" s="3" t="s">
        <v>6269</v>
      </c>
      <c r="B4300" s="3" t="s">
        <v>2140</v>
      </c>
      <c r="C4300" s="8">
        <v>6</v>
      </c>
      <c r="D4300" s="3" t="s">
        <v>3281</v>
      </c>
      <c r="E4300" s="11" t="s">
        <v>131</v>
      </c>
      <c r="F4300" s="10">
        <v>0</v>
      </c>
      <c r="G4300" s="120">
        <f>ROUND(G$3*F4300,0)</f>
        <v>0</v>
      </c>
      <c r="H4300" s="120">
        <f t="shared" si="313"/>
        <v>0</v>
      </c>
      <c r="I4300" s="120">
        <f t="shared" si="314"/>
        <v>0</v>
      </c>
      <c r="J4300" s="3" t="str">
        <f t="shared" si="312"/>
        <v>5661062</v>
      </c>
    </row>
    <row r="4301" spans="1:10" s="3" customFormat="1">
      <c r="B4301" s="3" t="s">
        <v>2140</v>
      </c>
      <c r="C4301" s="8">
        <v>0</v>
      </c>
      <c r="D4301" s="125" t="s">
        <v>2187</v>
      </c>
      <c r="E4301" s="28" t="s">
        <v>288</v>
      </c>
      <c r="F4301" s="10">
        <v>1.0000000000000002</v>
      </c>
      <c r="G4301" s="12">
        <f>+G4248+SUM(G4251:G4287)+SUM(G4290:G4291)+SUM(G4294:G4300)</f>
        <v>218494</v>
      </c>
      <c r="H4301" s="12">
        <f>+H4248+SUM(H4251:H4287)+SUM(H4290:H4291)+SUM(H4294:H4300)</f>
        <v>109254</v>
      </c>
      <c r="I4301" s="12">
        <f>+I4248+SUM(I4251:I4287)+SUM(I4290:I4291)+SUM(I4294:I4300)</f>
        <v>109240</v>
      </c>
      <c r="J4301" s="3" t="str">
        <f t="shared" si="312"/>
        <v>5600000</v>
      </c>
    </row>
    <row r="4302" spans="1:10" s="3" customFormat="1">
      <c r="B4302" s="3" t="s">
        <v>2140</v>
      </c>
      <c r="C4302" s="8">
        <v>0</v>
      </c>
      <c r="D4302" s="3" t="s">
        <v>2187</v>
      </c>
      <c r="E4302" s="18" t="s">
        <v>38</v>
      </c>
      <c r="G4302" s="19">
        <f>+G4248</f>
        <v>285</v>
      </c>
      <c r="H4302" s="19">
        <f>+H4248</f>
        <v>143</v>
      </c>
      <c r="I4302" s="19">
        <f>+I4248</f>
        <v>142</v>
      </c>
      <c r="J4302" s="3" t="str">
        <f t="shared" si="312"/>
        <v>5600000</v>
      </c>
    </row>
    <row r="4303" spans="1:10" s="3" customFormat="1">
      <c r="B4303" s="3" t="s">
        <v>2140</v>
      </c>
      <c r="C4303" s="8">
        <v>0</v>
      </c>
      <c r="D4303" s="3" t="s">
        <v>2187</v>
      </c>
      <c r="E4303" s="2" t="s">
        <v>39</v>
      </c>
      <c r="G4303" s="19">
        <f>+G4251</f>
        <v>14829</v>
      </c>
      <c r="H4303" s="19">
        <f>+H4251</f>
        <v>7415</v>
      </c>
      <c r="I4303" s="19">
        <f>+I4251</f>
        <v>7414</v>
      </c>
      <c r="J4303" s="3" t="str">
        <f t="shared" si="312"/>
        <v>5600000</v>
      </c>
    </row>
    <row r="4304" spans="1:10" s="3" customFormat="1">
      <c r="B4304" s="3" t="s">
        <v>2140</v>
      </c>
      <c r="C4304" s="8">
        <v>0</v>
      </c>
      <c r="D4304" s="3" t="s">
        <v>2187</v>
      </c>
      <c r="E4304" s="2" t="s">
        <v>40</v>
      </c>
      <c r="G4304" s="19">
        <f>+G4290+G4294</f>
        <v>78568</v>
      </c>
      <c r="H4304" s="19">
        <f>+H4290+H4294</f>
        <v>39285</v>
      </c>
      <c r="I4304" s="19">
        <f>+I4290+I4294</f>
        <v>39283</v>
      </c>
      <c r="J4304" s="3" t="str">
        <f t="shared" si="312"/>
        <v>5600000</v>
      </c>
    </row>
    <row r="4305" spans="2:10" s="3" customFormat="1">
      <c r="B4305" s="3" t="s">
        <v>2140</v>
      </c>
      <c r="C4305" s="8">
        <v>0</v>
      </c>
      <c r="D4305" s="125" t="s">
        <v>2187</v>
      </c>
      <c r="E4305" s="18" t="s">
        <v>41</v>
      </c>
      <c r="G4305" s="19">
        <f>+G4301-G4302-G4303-G4304</f>
        <v>124812</v>
      </c>
      <c r="H4305" s="19">
        <f>+H4301-H4302-H4303-H4304</f>
        <v>62411</v>
      </c>
      <c r="I4305" s="19">
        <f>+I4301-I4302-I4303-I4304</f>
        <v>62401</v>
      </c>
      <c r="J4305" s="3" t="str">
        <f t="shared" si="312"/>
        <v>5600000</v>
      </c>
    </row>
    <row r="4306" spans="2:10" ht="15.75">
      <c r="B4306" s="3" t="s">
        <v>2186</v>
      </c>
      <c r="D4306" t="s">
        <v>2186</v>
      </c>
      <c r="E4306">
        <v>0</v>
      </c>
      <c r="G4306"/>
      <c r="H4306"/>
      <c r="I4306"/>
      <c r="J4306" s="3" t="str">
        <f t="shared" si="312"/>
        <v/>
      </c>
    </row>
    <row r="4307" spans="2:10" s="3" customFormat="1">
      <c r="C4307" s="1"/>
      <c r="D4307" s="3" t="s">
        <v>2186</v>
      </c>
      <c r="E4307" s="2" t="s">
        <v>1313</v>
      </c>
      <c r="J4307" s="3" t="str">
        <f t="shared" si="312"/>
        <v/>
      </c>
    </row>
    <row r="4308" spans="2:10" s="3" customFormat="1" ht="45">
      <c r="B4308" s="3" t="s">
        <v>2186</v>
      </c>
      <c r="C4308" s="1"/>
      <c r="D4308" s="3" t="s">
        <v>2186</v>
      </c>
      <c r="E4308" s="1">
        <v>0</v>
      </c>
      <c r="F4308" s="6" t="s">
        <v>1</v>
      </c>
      <c r="G4308" s="60">
        <f>'Allocation Worksheet'!H4308</f>
        <v>0</v>
      </c>
      <c r="H4308" s="60">
        <f>'Allocation Worksheet'!H4309</f>
        <v>0</v>
      </c>
      <c r="I4308" s="60">
        <f>'Allocation Worksheet'!H4310</f>
        <v>0</v>
      </c>
      <c r="J4308" s="3" t="str">
        <f t="shared" si="312"/>
        <v/>
      </c>
    </row>
    <row r="4309" spans="2:10" s="3" customFormat="1">
      <c r="C4309" s="7" t="s">
        <v>2087</v>
      </c>
      <c r="D4309" s="3" t="s">
        <v>2186</v>
      </c>
      <c r="E4309" s="7" t="s">
        <v>3</v>
      </c>
      <c r="F4309" s="10"/>
      <c r="G4309" s="9">
        <f>'Allocation Worksheet'!$D$60</f>
        <v>283380</v>
      </c>
      <c r="H4309" s="11"/>
      <c r="I4309" s="11"/>
      <c r="J4309" s="3" t="str">
        <f t="shared" si="312"/>
        <v>UT</v>
      </c>
    </row>
    <row r="4310" spans="2:10" s="3" customFormat="1">
      <c r="B4310" s="3" t="s">
        <v>2141</v>
      </c>
      <c r="C4310" s="8">
        <v>0</v>
      </c>
      <c r="D4310" s="3" t="s">
        <v>2187</v>
      </c>
      <c r="E4310" s="11" t="s">
        <v>4</v>
      </c>
      <c r="F4310" s="10">
        <v>1.354E-3</v>
      </c>
      <c r="G4310" s="12">
        <f>ROUND(G$3*F4310,0)</f>
        <v>390</v>
      </c>
      <c r="H4310" s="13">
        <f>ROUND(G4310/2,0)</f>
        <v>195</v>
      </c>
      <c r="I4310" s="12">
        <f>G4310-H4310</f>
        <v>195</v>
      </c>
      <c r="J4310" s="3" t="str">
        <f t="shared" si="312"/>
        <v>5700000</v>
      </c>
    </row>
    <row r="4311" spans="2:10" s="3" customFormat="1">
      <c r="B4311" s="3" t="s">
        <v>2141</v>
      </c>
      <c r="C4311" s="8">
        <v>1</v>
      </c>
      <c r="D4311" s="3" t="s">
        <v>2187</v>
      </c>
      <c r="E4311" s="11" t="s">
        <v>1314</v>
      </c>
      <c r="F4311" s="10">
        <v>0.17034199999999999</v>
      </c>
      <c r="G4311" s="9">
        <f>ROUND(G$3*F4311,0)</f>
        <v>49011</v>
      </c>
      <c r="H4311" s="11">
        <f>ROUND(G4311/2,0)</f>
        <v>24506</v>
      </c>
      <c r="I4311" s="9">
        <f>G4311-H4311</f>
        <v>24505</v>
      </c>
      <c r="J4311" s="3" t="str">
        <f t="shared" si="312"/>
        <v>5710000</v>
      </c>
    </row>
    <row r="4312" spans="2:10" s="3" customFormat="1">
      <c r="B4312" s="3" t="s">
        <v>2141</v>
      </c>
      <c r="C4312" s="8">
        <v>1</v>
      </c>
      <c r="D4312" s="3" t="s">
        <v>2187</v>
      </c>
      <c r="E4312" s="11" t="s">
        <v>6</v>
      </c>
      <c r="F4312" s="11"/>
      <c r="G4312" s="14">
        <v>0.16686000000000001</v>
      </c>
      <c r="H4312" s="11"/>
      <c r="I4312" s="11"/>
      <c r="J4312" s="3" t="str">
        <f t="shared" si="312"/>
        <v>5710000</v>
      </c>
    </row>
    <row r="4313" spans="2:10" s="3" customFormat="1">
      <c r="B4313" s="3" t="s">
        <v>2141</v>
      </c>
      <c r="C4313" s="8">
        <v>1</v>
      </c>
      <c r="D4313" s="3" t="s">
        <v>2187</v>
      </c>
      <c r="E4313" s="11" t="s">
        <v>7</v>
      </c>
      <c r="F4313" s="11"/>
      <c r="G4313" s="15">
        <f>ROUND(G4311*G4312,0)</f>
        <v>8178</v>
      </c>
      <c r="H4313" s="16">
        <f>ROUND(G4313/2,0)</f>
        <v>4089</v>
      </c>
      <c r="I4313" s="15">
        <f>G4313-H4313</f>
        <v>4089</v>
      </c>
      <c r="J4313" s="3" t="str">
        <f t="shared" si="312"/>
        <v>5710000</v>
      </c>
    </row>
    <row r="4314" spans="2:10" s="3" customFormat="1">
      <c r="B4314" s="3" t="s">
        <v>2141</v>
      </c>
      <c r="C4314" s="8">
        <v>1</v>
      </c>
      <c r="D4314" s="3" t="s">
        <v>2187</v>
      </c>
      <c r="E4314" s="11" t="s">
        <v>8</v>
      </c>
      <c r="F4314" s="11"/>
      <c r="G4314" s="12">
        <f>+G4311-G4313</f>
        <v>40833</v>
      </c>
      <c r="H4314" s="13">
        <f>ROUND(G4314/2,0)</f>
        <v>20417</v>
      </c>
      <c r="I4314" s="12">
        <f>G4314-H4314</f>
        <v>20416</v>
      </c>
      <c r="J4314" s="3" t="str">
        <f t="shared" si="312"/>
        <v>5710000</v>
      </c>
    </row>
    <row r="4315" spans="2:10" s="3" customFormat="1">
      <c r="B4315" s="3" t="s">
        <v>2141</v>
      </c>
      <c r="C4315" s="8">
        <v>2</v>
      </c>
      <c r="D4315" s="3" t="s">
        <v>2188</v>
      </c>
      <c r="E4315" s="11" t="s">
        <v>1315</v>
      </c>
      <c r="F4315" s="11"/>
      <c r="G4315" s="9"/>
      <c r="H4315" s="11"/>
      <c r="I4315" s="11"/>
      <c r="J4315" s="3" t="str">
        <f t="shared" si="312"/>
        <v>5720001</v>
      </c>
    </row>
    <row r="4316" spans="2:10" s="3" customFormat="1">
      <c r="B4316" s="3" t="s">
        <v>2141</v>
      </c>
      <c r="C4316" s="8">
        <v>2</v>
      </c>
      <c r="D4316" s="3" t="s">
        <v>2188</v>
      </c>
      <c r="E4316" s="11" t="s">
        <v>10</v>
      </c>
      <c r="F4316" s="10">
        <v>3.0600000000000001E-4</v>
      </c>
      <c r="G4316" s="12">
        <f>ROUND(G$3*F4316,0)</f>
        <v>88</v>
      </c>
      <c r="H4316" s="13">
        <f>ROUND(G4316/2,0)</f>
        <v>44</v>
      </c>
      <c r="I4316" s="12">
        <f>G4316-H4316</f>
        <v>44</v>
      </c>
      <c r="J4316" s="3" t="str">
        <f t="shared" si="312"/>
        <v>5720001</v>
      </c>
    </row>
    <row r="4317" spans="2:10" s="3" customFormat="1">
      <c r="B4317" s="3" t="s">
        <v>2141</v>
      </c>
      <c r="C4317" s="8">
        <v>2</v>
      </c>
      <c r="D4317" s="3" t="s">
        <v>2188</v>
      </c>
      <c r="E4317" s="11" t="s">
        <v>11</v>
      </c>
      <c r="F4317" s="10">
        <v>3.0000000000000001E-6</v>
      </c>
      <c r="G4317" s="12">
        <f>ROUND(G$3*F4317,0)</f>
        <v>1</v>
      </c>
      <c r="H4317" s="13">
        <f>ROUND(G4317/2,0)</f>
        <v>1</v>
      </c>
      <c r="I4317" s="12">
        <f>G4317-H4317</f>
        <v>0</v>
      </c>
      <c r="J4317" s="3" t="str">
        <f t="shared" si="312"/>
        <v>5720001</v>
      </c>
    </row>
    <row r="4318" spans="2:10" s="3" customFormat="1">
      <c r="B4318" s="3" t="s">
        <v>2141</v>
      </c>
      <c r="C4318" s="8">
        <v>2</v>
      </c>
      <c r="D4318" s="3" t="s">
        <v>2189</v>
      </c>
      <c r="E4318" s="11" t="s">
        <v>1226</v>
      </c>
      <c r="F4318" s="11"/>
      <c r="G4318" s="9"/>
      <c r="H4318" s="11"/>
      <c r="I4318" s="11"/>
      <c r="J4318" s="3" t="str">
        <f t="shared" si="312"/>
        <v>5720002</v>
      </c>
    </row>
    <row r="4319" spans="2:10" s="3" customFormat="1">
      <c r="B4319" s="3" t="s">
        <v>2141</v>
      </c>
      <c r="C4319" s="8">
        <v>2</v>
      </c>
      <c r="D4319" s="3" t="s">
        <v>2189</v>
      </c>
      <c r="E4319" s="11" t="s">
        <v>10</v>
      </c>
      <c r="F4319" s="10">
        <v>1.2669999999999999E-3</v>
      </c>
      <c r="G4319" s="12">
        <f>ROUND(G$3*F4319,0)</f>
        <v>365</v>
      </c>
      <c r="H4319" s="13">
        <f>ROUND(G4319/2,0)</f>
        <v>183</v>
      </c>
      <c r="I4319" s="12">
        <f>G4319-H4319</f>
        <v>182</v>
      </c>
      <c r="J4319" s="3" t="str">
        <f t="shared" si="312"/>
        <v>5720002</v>
      </c>
    </row>
    <row r="4320" spans="2:10" s="3" customFormat="1">
      <c r="B4320" s="3" t="s">
        <v>2141</v>
      </c>
      <c r="C4320" s="8">
        <v>2</v>
      </c>
      <c r="D4320" s="3" t="s">
        <v>2189</v>
      </c>
      <c r="E4320" s="11" t="s">
        <v>11</v>
      </c>
      <c r="F4320" s="10">
        <v>2.22E-4</v>
      </c>
      <c r="G4320" s="12">
        <f>ROUND(G$3*F4320,0)</f>
        <v>64</v>
      </c>
      <c r="H4320" s="13">
        <f>ROUND(G4320/2,0)</f>
        <v>32</v>
      </c>
      <c r="I4320" s="12">
        <f>G4320-H4320</f>
        <v>32</v>
      </c>
      <c r="J4320" s="3" t="str">
        <f t="shared" si="312"/>
        <v>5720002</v>
      </c>
    </row>
    <row r="4321" spans="2:10" s="3" customFormat="1">
      <c r="B4321" s="3" t="s">
        <v>2141</v>
      </c>
      <c r="C4321" s="8">
        <v>2</v>
      </c>
      <c r="D4321" s="3" t="s">
        <v>2190</v>
      </c>
      <c r="E4321" s="11" t="s">
        <v>452</v>
      </c>
      <c r="F4321" s="11"/>
      <c r="G4321" s="9"/>
      <c r="H4321" s="11"/>
      <c r="I4321" s="11"/>
      <c r="J4321" s="3" t="str">
        <f t="shared" si="312"/>
        <v>5720003</v>
      </c>
    </row>
    <row r="4322" spans="2:10" s="3" customFormat="1">
      <c r="B4322" s="3" t="s">
        <v>2141</v>
      </c>
      <c r="C4322" s="8">
        <v>2</v>
      </c>
      <c r="D4322" s="3" t="s">
        <v>2190</v>
      </c>
      <c r="E4322" s="11" t="s">
        <v>10</v>
      </c>
      <c r="F4322" s="10">
        <v>1.3600000000000001E-3</v>
      </c>
      <c r="G4322" s="12">
        <f>ROUND(G$3*F4322,0)</f>
        <v>391</v>
      </c>
      <c r="H4322" s="13">
        <f>ROUND(G4322/2,0)</f>
        <v>196</v>
      </c>
      <c r="I4322" s="12">
        <f>G4322-H4322</f>
        <v>195</v>
      </c>
      <c r="J4322" s="3" t="str">
        <f t="shared" si="312"/>
        <v>5720003</v>
      </c>
    </row>
    <row r="4323" spans="2:10" s="3" customFormat="1">
      <c r="B4323" s="3" t="s">
        <v>2141</v>
      </c>
      <c r="C4323" s="8">
        <v>2</v>
      </c>
      <c r="D4323" s="3" t="s">
        <v>2190</v>
      </c>
      <c r="E4323" s="11" t="s">
        <v>11</v>
      </c>
      <c r="F4323" s="10">
        <v>2.7700000000000001E-4</v>
      </c>
      <c r="G4323" s="12">
        <f>ROUND(G$3*F4323,0)</f>
        <v>80</v>
      </c>
      <c r="H4323" s="13">
        <f>ROUND(G4323/2,0)</f>
        <v>40</v>
      </c>
      <c r="I4323" s="12">
        <f>G4323-H4323</f>
        <v>40</v>
      </c>
      <c r="J4323" s="3" t="str">
        <f t="shared" si="312"/>
        <v>5720003</v>
      </c>
    </row>
    <row r="4324" spans="2:10" s="3" customFormat="1">
      <c r="B4324" s="3" t="s">
        <v>2141</v>
      </c>
      <c r="C4324" s="8">
        <v>2</v>
      </c>
      <c r="D4324" s="3" t="s">
        <v>2191</v>
      </c>
      <c r="E4324" s="11" t="s">
        <v>593</v>
      </c>
      <c r="F4324" s="11"/>
      <c r="G4324" s="9"/>
      <c r="H4324" s="11"/>
      <c r="I4324" s="11"/>
      <c r="J4324" s="3" t="str">
        <f t="shared" si="312"/>
        <v>5720004</v>
      </c>
    </row>
    <row r="4325" spans="2:10" s="3" customFormat="1">
      <c r="B4325" s="3" t="s">
        <v>2141</v>
      </c>
      <c r="C4325" s="8">
        <v>2</v>
      </c>
      <c r="D4325" s="3" t="s">
        <v>2191</v>
      </c>
      <c r="E4325" s="11" t="s">
        <v>10</v>
      </c>
      <c r="F4325" s="10">
        <v>5.6599999999999999E-4</v>
      </c>
      <c r="G4325" s="12">
        <f>ROUND(G$3*F4325,0)</f>
        <v>163</v>
      </c>
      <c r="H4325" s="13">
        <f>ROUND(G4325/2,0)</f>
        <v>82</v>
      </c>
      <c r="I4325" s="12">
        <f>G4325-H4325</f>
        <v>81</v>
      </c>
      <c r="J4325" s="3" t="str">
        <f t="shared" si="312"/>
        <v>5720004</v>
      </c>
    </row>
    <row r="4326" spans="2:10" s="3" customFormat="1">
      <c r="B4326" s="3" t="s">
        <v>2141</v>
      </c>
      <c r="C4326" s="8">
        <v>2</v>
      </c>
      <c r="D4326" s="3" t="s">
        <v>2191</v>
      </c>
      <c r="E4326" s="11" t="s">
        <v>11</v>
      </c>
      <c r="F4326" s="10">
        <v>2.5399999999999999E-4</v>
      </c>
      <c r="G4326" s="12">
        <f>ROUND(G$3*F4326,0)</f>
        <v>73</v>
      </c>
      <c r="H4326" s="13">
        <f>ROUND(G4326/2,0)</f>
        <v>37</v>
      </c>
      <c r="I4326" s="12">
        <f>G4326-H4326</f>
        <v>36</v>
      </c>
      <c r="J4326" s="3" t="str">
        <f t="shared" si="312"/>
        <v>5720004</v>
      </c>
    </row>
    <row r="4327" spans="2:10" s="3" customFormat="1">
      <c r="B4327" s="3" t="s">
        <v>2141</v>
      </c>
      <c r="C4327" s="8">
        <v>2</v>
      </c>
      <c r="D4327" s="3" t="s">
        <v>2192</v>
      </c>
      <c r="E4327" s="11" t="s">
        <v>14</v>
      </c>
      <c r="F4327" s="11"/>
      <c r="G4327" s="9"/>
      <c r="H4327" s="11"/>
      <c r="I4327" s="11"/>
      <c r="J4327" s="3" t="str">
        <f t="shared" si="312"/>
        <v>5720005</v>
      </c>
    </row>
    <row r="4328" spans="2:10" s="3" customFormat="1">
      <c r="B4328" s="3" t="s">
        <v>2141</v>
      </c>
      <c r="C4328" s="8">
        <v>2</v>
      </c>
      <c r="D4328" s="3" t="s">
        <v>2192</v>
      </c>
      <c r="E4328" s="11" t="s">
        <v>10</v>
      </c>
      <c r="F4328" s="10">
        <v>5.6599999999999999E-4</v>
      </c>
      <c r="G4328" s="12">
        <f>ROUND(G$3*F4328,0)</f>
        <v>163</v>
      </c>
      <c r="H4328" s="13">
        <f>ROUND(G4328/2,0)</f>
        <v>82</v>
      </c>
      <c r="I4328" s="12">
        <f>G4328-H4328</f>
        <v>81</v>
      </c>
      <c r="J4328" s="3" t="str">
        <f t="shared" si="312"/>
        <v>5720005</v>
      </c>
    </row>
    <row r="4329" spans="2:10" s="3" customFormat="1">
      <c r="B4329" s="3" t="s">
        <v>2141</v>
      </c>
      <c r="C4329" s="8">
        <v>2</v>
      </c>
      <c r="D4329" s="3" t="s">
        <v>2192</v>
      </c>
      <c r="E4329" s="11" t="s">
        <v>11</v>
      </c>
      <c r="F4329" s="10">
        <v>6.69E-4</v>
      </c>
      <c r="G4329" s="12">
        <f>ROUND(G$3*F4329,0)</f>
        <v>192</v>
      </c>
      <c r="H4329" s="13">
        <f>ROUND(G4329/2,0)</f>
        <v>96</v>
      </c>
      <c r="I4329" s="12">
        <f>G4329-H4329</f>
        <v>96</v>
      </c>
      <c r="J4329" s="3" t="str">
        <f t="shared" si="312"/>
        <v>5720005</v>
      </c>
    </row>
    <row r="4330" spans="2:10" s="3" customFormat="1">
      <c r="B4330" s="3" t="s">
        <v>2141</v>
      </c>
      <c r="C4330" s="8">
        <v>2</v>
      </c>
      <c r="D4330" s="3" t="s">
        <v>2193</v>
      </c>
      <c r="E4330" s="11" t="s">
        <v>203</v>
      </c>
      <c r="F4330" s="11"/>
      <c r="G4330" s="9"/>
      <c r="H4330" s="11"/>
      <c r="I4330" s="11"/>
      <c r="J4330" s="3" t="str">
        <f t="shared" si="312"/>
        <v>5720006</v>
      </c>
    </row>
    <row r="4331" spans="2:10" s="3" customFormat="1">
      <c r="B4331" s="3" t="s">
        <v>2141</v>
      </c>
      <c r="C4331" s="8">
        <v>2</v>
      </c>
      <c r="D4331" s="3" t="s">
        <v>2193</v>
      </c>
      <c r="E4331" s="11" t="s">
        <v>10</v>
      </c>
      <c r="F4331" s="10">
        <v>4.1549999999999998E-3</v>
      </c>
      <c r="G4331" s="12">
        <f>ROUND(G$3*F4331,0)</f>
        <v>1195</v>
      </c>
      <c r="H4331" s="13">
        <f>ROUND(G4331/2,0)</f>
        <v>598</v>
      </c>
      <c r="I4331" s="12">
        <f>G4331-H4331</f>
        <v>597</v>
      </c>
      <c r="J4331" s="3" t="str">
        <f t="shared" si="312"/>
        <v>5720006</v>
      </c>
    </row>
    <row r="4332" spans="2:10" s="3" customFormat="1">
      <c r="B4332" s="3" t="s">
        <v>2141</v>
      </c>
      <c r="C4332" s="8">
        <v>2</v>
      </c>
      <c r="D4332" s="3" t="s">
        <v>2193</v>
      </c>
      <c r="E4332" s="11" t="s">
        <v>11</v>
      </c>
      <c r="F4332" s="10">
        <v>2.052E-3</v>
      </c>
      <c r="G4332" s="12">
        <f>ROUND(G$3*F4332,0)</f>
        <v>590</v>
      </c>
      <c r="H4332" s="13">
        <f>ROUND(G4332/2,0)</f>
        <v>295</v>
      </c>
      <c r="I4332" s="12">
        <f>G4332-H4332</f>
        <v>295</v>
      </c>
      <c r="J4332" s="3" t="str">
        <f t="shared" si="312"/>
        <v>5720006</v>
      </c>
    </row>
    <row r="4333" spans="2:10" s="3" customFormat="1">
      <c r="B4333" s="3" t="s">
        <v>2141</v>
      </c>
      <c r="C4333" s="8">
        <v>2</v>
      </c>
      <c r="D4333" s="3" t="s">
        <v>2194</v>
      </c>
      <c r="E4333" s="11" t="s">
        <v>482</v>
      </c>
      <c r="F4333" s="11"/>
      <c r="G4333" s="9"/>
      <c r="H4333" s="11"/>
      <c r="I4333" s="11"/>
      <c r="J4333" s="3" t="str">
        <f t="shared" si="312"/>
        <v>5720007</v>
      </c>
    </row>
    <row r="4334" spans="2:10" s="3" customFormat="1">
      <c r="B4334" s="3" t="s">
        <v>2141</v>
      </c>
      <c r="C4334" s="8">
        <v>2</v>
      </c>
      <c r="D4334" s="3" t="s">
        <v>2194</v>
      </c>
      <c r="E4334" s="11" t="s">
        <v>10</v>
      </c>
      <c r="F4334" s="10">
        <v>6.2100000000000002E-3</v>
      </c>
      <c r="G4334" s="12">
        <f>ROUND(G$3*F4334,0)</f>
        <v>1787</v>
      </c>
      <c r="H4334" s="13">
        <f>ROUND(G4334/2,0)</f>
        <v>894</v>
      </c>
      <c r="I4334" s="12">
        <f>G4334-H4334</f>
        <v>893</v>
      </c>
      <c r="J4334" s="3" t="str">
        <f t="shared" si="312"/>
        <v>5720007</v>
      </c>
    </row>
    <row r="4335" spans="2:10" s="3" customFormat="1">
      <c r="B4335" s="3" t="s">
        <v>2141</v>
      </c>
      <c r="C4335" s="8">
        <v>2</v>
      </c>
      <c r="D4335" s="3" t="s">
        <v>2194</v>
      </c>
      <c r="E4335" s="11" t="s">
        <v>11</v>
      </c>
      <c r="F4335" s="10">
        <v>1.8400000000000001E-3</v>
      </c>
      <c r="G4335" s="12">
        <f>ROUND(G$3*F4335,0)</f>
        <v>529</v>
      </c>
      <c r="H4335" s="13">
        <f>ROUND(G4335/2,0)</f>
        <v>265</v>
      </c>
      <c r="I4335" s="12">
        <f>G4335-H4335</f>
        <v>264</v>
      </c>
      <c r="J4335" s="3" t="str">
        <f t="shared" si="312"/>
        <v>5720007</v>
      </c>
    </row>
    <row r="4336" spans="2:10" s="3" customFormat="1">
      <c r="B4336" s="3" t="s">
        <v>2141</v>
      </c>
      <c r="C4336" s="8">
        <v>2</v>
      </c>
      <c r="D4336" s="3" t="s">
        <v>2195</v>
      </c>
      <c r="E4336" s="11" t="s">
        <v>56</v>
      </c>
      <c r="F4336" s="11"/>
      <c r="G4336" s="9"/>
      <c r="H4336" s="11"/>
      <c r="I4336" s="11"/>
      <c r="J4336" s="3" t="str">
        <f t="shared" si="312"/>
        <v>5720008</v>
      </c>
    </row>
    <row r="4337" spans="1:10" s="3" customFormat="1">
      <c r="B4337" s="3" t="s">
        <v>2141</v>
      </c>
      <c r="C4337" s="8">
        <v>2</v>
      </c>
      <c r="D4337" s="3" t="s">
        <v>2195</v>
      </c>
      <c r="E4337" s="11" t="s">
        <v>10</v>
      </c>
      <c r="F4337" s="10">
        <v>4.7400000000000003E-3</v>
      </c>
      <c r="G4337" s="12">
        <f>ROUND(G$3*F4337,0)</f>
        <v>1364</v>
      </c>
      <c r="H4337" s="13">
        <f>ROUND(G4337/2,0)</f>
        <v>682</v>
      </c>
      <c r="I4337" s="12">
        <f>G4337-H4337</f>
        <v>682</v>
      </c>
      <c r="J4337" s="3" t="str">
        <f t="shared" si="312"/>
        <v>5720008</v>
      </c>
    </row>
    <row r="4338" spans="1:10" s="3" customFormat="1">
      <c r="A4338" s="3" t="s">
        <v>6269</v>
      </c>
      <c r="B4338" s="3" t="s">
        <v>2141</v>
      </c>
      <c r="C4338" s="8">
        <v>2</v>
      </c>
      <c r="D4338" s="3" t="s">
        <v>2195</v>
      </c>
      <c r="E4338" s="11" t="s">
        <v>11</v>
      </c>
      <c r="F4338" s="10">
        <v>0</v>
      </c>
      <c r="G4338" s="12">
        <f>ROUND(G$3*F4338,0)</f>
        <v>0</v>
      </c>
      <c r="H4338" s="13">
        <f>ROUND(G4338/2,0)</f>
        <v>0</v>
      </c>
      <c r="I4338" s="12">
        <f>G4338-H4338</f>
        <v>0</v>
      </c>
      <c r="J4338" s="3" t="str">
        <f t="shared" si="312"/>
        <v>5720008</v>
      </c>
    </row>
    <row r="4339" spans="1:10" s="3" customFormat="1">
      <c r="B4339" s="3" t="s">
        <v>2141</v>
      </c>
      <c r="C4339" s="8">
        <v>2</v>
      </c>
      <c r="D4339" s="3" t="s">
        <v>2196</v>
      </c>
      <c r="E4339" s="11" t="s">
        <v>338</v>
      </c>
      <c r="F4339" s="11"/>
      <c r="G4339" s="9"/>
      <c r="H4339" s="11"/>
      <c r="I4339" s="11"/>
      <c r="J4339" s="3" t="str">
        <f t="shared" si="312"/>
        <v>5720009</v>
      </c>
    </row>
    <row r="4340" spans="1:10" s="3" customFormat="1">
      <c r="B4340" s="3" t="s">
        <v>2141</v>
      </c>
      <c r="C4340" s="8">
        <v>2</v>
      </c>
      <c r="D4340" s="3" t="s">
        <v>2196</v>
      </c>
      <c r="E4340" s="11" t="s">
        <v>10</v>
      </c>
      <c r="F4340" s="10">
        <v>1.2899999999999999E-3</v>
      </c>
      <c r="G4340" s="12">
        <f>ROUND(G$3*F4340,0)</f>
        <v>371</v>
      </c>
      <c r="H4340" s="13">
        <f>ROUND(G4340/2,0)</f>
        <v>186</v>
      </c>
      <c r="I4340" s="12">
        <f>G4340-H4340</f>
        <v>185</v>
      </c>
      <c r="J4340" s="3" t="str">
        <f t="shared" si="312"/>
        <v>5720009</v>
      </c>
    </row>
    <row r="4341" spans="1:10" s="3" customFormat="1">
      <c r="B4341" s="3" t="s">
        <v>2141</v>
      </c>
      <c r="C4341" s="8">
        <v>2</v>
      </c>
      <c r="D4341" s="3" t="s">
        <v>2196</v>
      </c>
      <c r="E4341" s="11" t="s">
        <v>11</v>
      </c>
      <c r="F4341" s="10">
        <v>1.495E-3</v>
      </c>
      <c r="G4341" s="12">
        <f>ROUND(G$3*F4341,0)</f>
        <v>430</v>
      </c>
      <c r="H4341" s="13">
        <f>ROUND(G4341/2,0)</f>
        <v>215</v>
      </c>
      <c r="I4341" s="12">
        <f>G4341-H4341</f>
        <v>215</v>
      </c>
      <c r="J4341" s="3" t="str">
        <f t="shared" si="312"/>
        <v>5720009</v>
      </c>
    </row>
    <row r="4342" spans="1:10" s="3" customFormat="1">
      <c r="B4342" s="3" t="s">
        <v>2141</v>
      </c>
      <c r="C4342" s="8">
        <v>2</v>
      </c>
      <c r="D4342" s="3" t="s">
        <v>2197</v>
      </c>
      <c r="E4342" s="11" t="s">
        <v>1316</v>
      </c>
      <c r="F4342" s="11"/>
      <c r="G4342" s="9"/>
      <c r="H4342" s="11"/>
      <c r="I4342" s="11"/>
      <c r="J4342" s="3" t="str">
        <f t="shared" si="312"/>
        <v>5720010</v>
      </c>
    </row>
    <row r="4343" spans="1:10" s="3" customFormat="1">
      <c r="B4343" s="3" t="s">
        <v>2141</v>
      </c>
      <c r="C4343" s="8">
        <v>2</v>
      </c>
      <c r="D4343" s="3" t="s">
        <v>2197</v>
      </c>
      <c r="E4343" s="11" t="s">
        <v>10</v>
      </c>
      <c r="F4343" s="10">
        <v>1.322E-3</v>
      </c>
      <c r="G4343" s="12">
        <f>ROUND(G$3*F4343,0)</f>
        <v>380</v>
      </c>
      <c r="H4343" s="13">
        <f>ROUND(G4343/2,0)</f>
        <v>190</v>
      </c>
      <c r="I4343" s="12">
        <f>G4343-H4343</f>
        <v>190</v>
      </c>
      <c r="J4343" s="3" t="str">
        <f t="shared" si="312"/>
        <v>5720010</v>
      </c>
    </row>
    <row r="4344" spans="1:10" s="3" customFormat="1">
      <c r="B4344" s="3" t="s">
        <v>2141</v>
      </c>
      <c r="C4344" s="8">
        <v>2</v>
      </c>
      <c r="D4344" s="3" t="s">
        <v>2197</v>
      </c>
      <c r="E4344" s="11" t="s">
        <v>11</v>
      </c>
      <c r="F4344" s="10">
        <v>1.126E-3</v>
      </c>
      <c r="G4344" s="12">
        <f>ROUND(G$3*F4344,0)</f>
        <v>324</v>
      </c>
      <c r="H4344" s="13">
        <f>ROUND(G4344/2,0)</f>
        <v>162</v>
      </c>
      <c r="I4344" s="12">
        <f>G4344-H4344</f>
        <v>162</v>
      </c>
      <c r="J4344" s="3" t="str">
        <f t="shared" si="312"/>
        <v>5720010</v>
      </c>
    </row>
    <row r="4345" spans="1:10" s="3" customFormat="1">
      <c r="B4345" s="3" t="s">
        <v>2141</v>
      </c>
      <c r="C4345" s="8">
        <v>2</v>
      </c>
      <c r="D4345" s="3" t="s">
        <v>2198</v>
      </c>
      <c r="E4345" s="11" t="s">
        <v>22</v>
      </c>
      <c r="F4345" s="11"/>
      <c r="G4345" s="9"/>
      <c r="H4345" s="11"/>
      <c r="I4345" s="11"/>
      <c r="J4345" s="3" t="str">
        <f t="shared" si="312"/>
        <v>5720011</v>
      </c>
    </row>
    <row r="4346" spans="1:10" s="3" customFormat="1">
      <c r="B4346" s="3" t="s">
        <v>2141</v>
      </c>
      <c r="C4346" s="8">
        <v>2</v>
      </c>
      <c r="D4346" s="3" t="s">
        <v>2198</v>
      </c>
      <c r="E4346" s="11" t="s">
        <v>10</v>
      </c>
      <c r="F4346" s="10">
        <v>8.2299999999999995E-4</v>
      </c>
      <c r="G4346" s="12">
        <f>ROUND(G$3*F4346,0)</f>
        <v>237</v>
      </c>
      <c r="H4346" s="13">
        <f>ROUND(G4346/2,0)</f>
        <v>119</v>
      </c>
      <c r="I4346" s="12">
        <f>G4346-H4346</f>
        <v>118</v>
      </c>
      <c r="J4346" s="3" t="str">
        <f t="shared" si="312"/>
        <v>5720011</v>
      </c>
    </row>
    <row r="4347" spans="1:10" s="3" customFormat="1">
      <c r="B4347" s="3" t="s">
        <v>2141</v>
      </c>
      <c r="C4347" s="8">
        <v>2</v>
      </c>
      <c r="D4347" s="3" t="s">
        <v>2198</v>
      </c>
      <c r="E4347" s="11" t="s">
        <v>11</v>
      </c>
      <c r="F4347" s="10">
        <v>3.9199999999999999E-4</v>
      </c>
      <c r="G4347" s="12">
        <f>ROUND(G$3*F4347,0)</f>
        <v>113</v>
      </c>
      <c r="H4347" s="13">
        <f>ROUND(G4347/2,0)</f>
        <v>57</v>
      </c>
      <c r="I4347" s="12">
        <f>G4347-H4347</f>
        <v>56</v>
      </c>
      <c r="J4347" s="3" t="str">
        <f t="shared" si="312"/>
        <v>5720011</v>
      </c>
    </row>
    <row r="4348" spans="1:10" s="3" customFormat="1">
      <c r="B4348" s="3" t="s">
        <v>2141</v>
      </c>
      <c r="C4348" s="8">
        <v>2</v>
      </c>
      <c r="D4348" s="3" t="s">
        <v>2199</v>
      </c>
      <c r="E4348" s="11" t="s">
        <v>61</v>
      </c>
      <c r="F4348" s="11"/>
      <c r="G4348" s="9"/>
      <c r="H4348" s="11"/>
      <c r="I4348" s="11"/>
      <c r="J4348" s="3" t="str">
        <f t="shared" si="312"/>
        <v>5720012</v>
      </c>
    </row>
    <row r="4349" spans="1:10" s="3" customFormat="1">
      <c r="B4349" s="3" t="s">
        <v>2141</v>
      </c>
      <c r="C4349" s="8">
        <v>2</v>
      </c>
      <c r="D4349" s="3" t="s">
        <v>2199</v>
      </c>
      <c r="E4349" s="11" t="s">
        <v>10</v>
      </c>
      <c r="F4349" s="10">
        <v>1.093E-3</v>
      </c>
      <c r="G4349" s="12">
        <f>ROUND(G$3*F4349,0)</f>
        <v>314</v>
      </c>
      <c r="H4349" s="13">
        <f>ROUND(G4349/2,0)</f>
        <v>157</v>
      </c>
      <c r="I4349" s="12">
        <f>G4349-H4349</f>
        <v>157</v>
      </c>
      <c r="J4349" s="3" t="str">
        <f t="shared" si="312"/>
        <v>5720012</v>
      </c>
    </row>
    <row r="4350" spans="1:10" s="3" customFormat="1">
      <c r="B4350" s="3" t="s">
        <v>2141</v>
      </c>
      <c r="C4350" s="8">
        <v>2</v>
      </c>
      <c r="D4350" s="3" t="s">
        <v>2199</v>
      </c>
      <c r="E4350" s="11" t="s">
        <v>11</v>
      </c>
      <c r="F4350" s="10">
        <v>1.4200000000000001E-4</v>
      </c>
      <c r="G4350" s="12">
        <f>ROUND(G$3*F4350,0)</f>
        <v>41</v>
      </c>
      <c r="H4350" s="13">
        <f>ROUND(G4350/2,0)</f>
        <v>21</v>
      </c>
      <c r="I4350" s="12">
        <f>G4350-H4350</f>
        <v>20</v>
      </c>
      <c r="J4350" s="3" t="str">
        <f t="shared" si="312"/>
        <v>5720012</v>
      </c>
    </row>
    <row r="4351" spans="1:10" s="3" customFormat="1">
      <c r="B4351" s="3" t="s">
        <v>2141</v>
      </c>
      <c r="C4351" s="8">
        <v>2</v>
      </c>
      <c r="D4351" s="3" t="s">
        <v>2208</v>
      </c>
      <c r="E4351" s="11" t="s">
        <v>115</v>
      </c>
      <c r="F4351" s="11"/>
      <c r="G4351" s="9"/>
      <c r="H4351" s="11"/>
      <c r="I4351" s="11"/>
      <c r="J4351" s="3" t="str">
        <f t="shared" si="312"/>
        <v>5720013</v>
      </c>
    </row>
    <row r="4352" spans="1:10" s="3" customFormat="1">
      <c r="B4352" s="3" t="s">
        <v>2141</v>
      </c>
      <c r="C4352" s="8">
        <v>2</v>
      </c>
      <c r="D4352" s="3" t="s">
        <v>2208</v>
      </c>
      <c r="E4352" s="11" t="s">
        <v>10</v>
      </c>
      <c r="F4352" s="10">
        <v>3.3799999999999998E-4</v>
      </c>
      <c r="G4352" s="12">
        <f t="shared" ref="G4352:G4361" si="315">ROUND(G$3*F4352,0)</f>
        <v>97</v>
      </c>
      <c r="H4352" s="13">
        <f t="shared" ref="H4352:H4361" si="316">ROUND(G4352/2,0)</f>
        <v>49</v>
      </c>
      <c r="I4352" s="12">
        <f t="shared" ref="I4352:I4361" si="317">G4352-H4352</f>
        <v>48</v>
      </c>
      <c r="J4352" s="3" t="str">
        <f t="shared" si="312"/>
        <v>5720013</v>
      </c>
    </row>
    <row r="4353" spans="2:10" s="3" customFormat="1">
      <c r="B4353" s="3" t="s">
        <v>2141</v>
      </c>
      <c r="C4353" s="8">
        <v>2</v>
      </c>
      <c r="D4353" s="3" t="s">
        <v>2208</v>
      </c>
      <c r="E4353" s="11" t="s">
        <v>11</v>
      </c>
      <c r="F4353" s="10">
        <v>3.2499999999999999E-4</v>
      </c>
      <c r="G4353" s="12">
        <f t="shared" si="315"/>
        <v>94</v>
      </c>
      <c r="H4353" s="13">
        <f t="shared" si="316"/>
        <v>47</v>
      </c>
      <c r="I4353" s="12">
        <f t="shared" si="317"/>
        <v>47</v>
      </c>
      <c r="J4353" s="3" t="str">
        <f t="shared" si="312"/>
        <v>5720013</v>
      </c>
    </row>
    <row r="4354" spans="2:10" s="3" customFormat="1">
      <c r="B4354" s="3" t="s">
        <v>2141</v>
      </c>
      <c r="C4354" s="8">
        <v>3</v>
      </c>
      <c r="D4354" s="3" t="s">
        <v>2428</v>
      </c>
      <c r="E4354" s="11" t="s">
        <v>1317</v>
      </c>
      <c r="F4354" s="10">
        <v>6.9760000000000004E-3</v>
      </c>
      <c r="G4354" s="12">
        <f t="shared" si="315"/>
        <v>2007</v>
      </c>
      <c r="H4354" s="13">
        <f t="shared" si="316"/>
        <v>1004</v>
      </c>
      <c r="I4354" s="12">
        <f t="shared" si="317"/>
        <v>1003</v>
      </c>
      <c r="J4354" s="3" t="str">
        <f t="shared" si="312"/>
        <v>5730807</v>
      </c>
    </row>
    <row r="4355" spans="2:10" s="3" customFormat="1">
      <c r="B4355" s="3" t="s">
        <v>2141</v>
      </c>
      <c r="C4355" s="8">
        <v>3</v>
      </c>
      <c r="D4355" s="3" t="s">
        <v>2734</v>
      </c>
      <c r="E4355" s="11" t="s">
        <v>1318</v>
      </c>
      <c r="F4355" s="10">
        <v>2.7399999999999998E-3</v>
      </c>
      <c r="G4355" s="12">
        <f t="shared" si="315"/>
        <v>788</v>
      </c>
      <c r="H4355" s="13">
        <f t="shared" si="316"/>
        <v>394</v>
      </c>
      <c r="I4355" s="12">
        <f t="shared" si="317"/>
        <v>394</v>
      </c>
      <c r="J4355" s="3" t="str">
        <f t="shared" si="312"/>
        <v>5730808</v>
      </c>
    </row>
    <row r="4356" spans="2:10" s="3" customFormat="1">
      <c r="B4356" s="3" t="s">
        <v>2141</v>
      </c>
      <c r="C4356" s="8">
        <v>3</v>
      </c>
      <c r="D4356" s="3" t="s">
        <v>2890</v>
      </c>
      <c r="E4356" s="11" t="s">
        <v>1319</v>
      </c>
      <c r="F4356" s="10">
        <v>5.6860000000000001E-3</v>
      </c>
      <c r="G4356" s="12">
        <f t="shared" si="315"/>
        <v>1636</v>
      </c>
      <c r="H4356" s="13">
        <f t="shared" si="316"/>
        <v>818</v>
      </c>
      <c r="I4356" s="12">
        <f t="shared" si="317"/>
        <v>818</v>
      </c>
      <c r="J4356" s="3" t="str">
        <f t="shared" ref="J4356:J4419" si="318">B4356&amp;C4356&amp;D4356</f>
        <v>5730809</v>
      </c>
    </row>
    <row r="4357" spans="2:10" s="3" customFormat="1">
      <c r="B4357" s="3" t="s">
        <v>2141</v>
      </c>
      <c r="C4357" s="8">
        <v>3</v>
      </c>
      <c r="D4357" s="3" t="s">
        <v>2888</v>
      </c>
      <c r="E4357" s="11" t="s">
        <v>1320</v>
      </c>
      <c r="F4357" s="10">
        <v>3.9467000000000002E-2</v>
      </c>
      <c r="G4357" s="12">
        <f t="shared" si="315"/>
        <v>11356</v>
      </c>
      <c r="H4357" s="13">
        <f t="shared" si="316"/>
        <v>5678</v>
      </c>
      <c r="I4357" s="12">
        <f t="shared" si="317"/>
        <v>5678</v>
      </c>
      <c r="J4357" s="3" t="str">
        <f t="shared" si="318"/>
        <v>5730418</v>
      </c>
    </row>
    <row r="4358" spans="2:10" s="3" customFormat="1">
      <c r="B4358" s="3" t="s">
        <v>2141</v>
      </c>
      <c r="C4358" s="8">
        <v>3</v>
      </c>
      <c r="D4358" s="3" t="s">
        <v>2889</v>
      </c>
      <c r="E4358" s="11" t="s">
        <v>1321</v>
      </c>
      <c r="F4358" s="10">
        <v>3.3960999999999998E-2</v>
      </c>
      <c r="G4358" s="12">
        <f t="shared" si="315"/>
        <v>9771</v>
      </c>
      <c r="H4358" s="13">
        <f t="shared" si="316"/>
        <v>4886</v>
      </c>
      <c r="I4358" s="12">
        <f t="shared" si="317"/>
        <v>4885</v>
      </c>
      <c r="J4358" s="3" t="str">
        <f t="shared" si="318"/>
        <v>5730452</v>
      </c>
    </row>
    <row r="4359" spans="2:10" s="3" customFormat="1">
      <c r="B4359" s="3" t="s">
        <v>2141</v>
      </c>
      <c r="C4359" s="8">
        <v>3</v>
      </c>
      <c r="D4359" s="3" t="s">
        <v>2735</v>
      </c>
      <c r="E4359" s="11" t="s">
        <v>1322</v>
      </c>
      <c r="F4359" s="10">
        <v>6.2399999999999999E-4</v>
      </c>
      <c r="G4359" s="12">
        <f t="shared" si="315"/>
        <v>180</v>
      </c>
      <c r="H4359" s="13">
        <f t="shared" si="316"/>
        <v>90</v>
      </c>
      <c r="I4359" s="12">
        <f t="shared" si="317"/>
        <v>90</v>
      </c>
      <c r="J4359" s="3" t="str">
        <f t="shared" si="318"/>
        <v>5730810</v>
      </c>
    </row>
    <row r="4360" spans="2:10" s="3" customFormat="1">
      <c r="B4360" s="3" t="s">
        <v>2141</v>
      </c>
      <c r="C4360" s="8">
        <v>3</v>
      </c>
      <c r="D4360" s="3" t="s">
        <v>2692</v>
      </c>
      <c r="E4360" s="11" t="s">
        <v>991</v>
      </c>
      <c r="F4360" s="10">
        <v>1.1658E-2</v>
      </c>
      <c r="G4360" s="12">
        <f t="shared" si="315"/>
        <v>3354</v>
      </c>
      <c r="H4360" s="13">
        <f t="shared" si="316"/>
        <v>1677</v>
      </c>
      <c r="I4360" s="12">
        <f t="shared" si="317"/>
        <v>1677</v>
      </c>
      <c r="J4360" s="3" t="str">
        <f t="shared" si="318"/>
        <v>5730811</v>
      </c>
    </row>
    <row r="4361" spans="2:10" s="3" customFormat="1">
      <c r="B4361" s="3" t="s">
        <v>2141</v>
      </c>
      <c r="C4361" s="8">
        <v>4</v>
      </c>
      <c r="D4361" s="3" t="s">
        <v>2891</v>
      </c>
      <c r="E4361" s="11" t="s">
        <v>1323</v>
      </c>
      <c r="F4361" s="10">
        <v>0.121796</v>
      </c>
      <c r="G4361" s="9">
        <f t="shared" si="315"/>
        <v>35044</v>
      </c>
      <c r="H4361" s="11">
        <f t="shared" si="316"/>
        <v>17522</v>
      </c>
      <c r="I4361" s="9">
        <f t="shared" si="317"/>
        <v>17522</v>
      </c>
      <c r="J4361" s="3" t="str">
        <f t="shared" si="318"/>
        <v>5746055</v>
      </c>
    </row>
    <row r="4362" spans="2:10" s="3" customFormat="1">
      <c r="B4362" s="3" t="s">
        <v>2141</v>
      </c>
      <c r="C4362" s="8">
        <v>4</v>
      </c>
      <c r="D4362" s="3" t="s">
        <v>2891</v>
      </c>
      <c r="E4362" s="11" t="s">
        <v>28</v>
      </c>
      <c r="F4362" s="11"/>
      <c r="G4362" s="14">
        <v>0.46808699999999998</v>
      </c>
      <c r="H4362" s="11"/>
      <c r="I4362" s="11"/>
      <c r="J4362" s="3" t="str">
        <f t="shared" si="318"/>
        <v>5746055</v>
      </c>
    </row>
    <row r="4363" spans="2:10" s="3" customFormat="1">
      <c r="B4363" s="3" t="s">
        <v>2141</v>
      </c>
      <c r="C4363" s="8">
        <v>4</v>
      </c>
      <c r="D4363" s="3" t="s">
        <v>2891</v>
      </c>
      <c r="E4363" s="11" t="s">
        <v>29</v>
      </c>
      <c r="F4363" s="11"/>
      <c r="G4363" s="15">
        <f>ROUND(G4361*G4362,0)</f>
        <v>16404</v>
      </c>
      <c r="H4363" s="16">
        <f>ROUND(G4363/2,0)</f>
        <v>8202</v>
      </c>
      <c r="I4363" s="15">
        <f>G4363-H4363</f>
        <v>8202</v>
      </c>
      <c r="J4363" s="3" t="str">
        <f t="shared" si="318"/>
        <v>5746055</v>
      </c>
    </row>
    <row r="4364" spans="2:10" s="3" customFormat="1">
      <c r="B4364" s="3" t="s">
        <v>2141</v>
      </c>
      <c r="C4364" s="8">
        <v>4</v>
      </c>
      <c r="D4364" s="3" t="s">
        <v>2891</v>
      </c>
      <c r="E4364" s="11" t="s">
        <v>30</v>
      </c>
      <c r="F4364" s="11"/>
      <c r="G4364" s="12">
        <f>+G4361-G4363</f>
        <v>18640</v>
      </c>
      <c r="H4364" s="13">
        <f>ROUND(G4364/2,0)</f>
        <v>9320</v>
      </c>
      <c r="I4364" s="12">
        <f>G4364-H4364</f>
        <v>9320</v>
      </c>
      <c r="J4364" s="3" t="str">
        <f t="shared" si="318"/>
        <v>5746055</v>
      </c>
    </row>
    <row r="4365" spans="2:10" s="3" customFormat="1">
      <c r="B4365" s="3" t="s">
        <v>2141</v>
      </c>
      <c r="C4365" s="8">
        <v>4</v>
      </c>
      <c r="D4365" s="3" t="s">
        <v>2892</v>
      </c>
      <c r="E4365" s="11" t="s">
        <v>1324</v>
      </c>
      <c r="F4365" s="10">
        <v>0.25220500000000001</v>
      </c>
      <c r="G4365" s="9">
        <f>ROUND(G$3*F4365,0)</f>
        <v>72565</v>
      </c>
      <c r="H4365" s="11">
        <f>ROUND(G4365/2,0)</f>
        <v>36283</v>
      </c>
      <c r="I4365" s="9">
        <f>G4365-H4365</f>
        <v>36282</v>
      </c>
      <c r="J4365" s="3" t="str">
        <f t="shared" si="318"/>
        <v>5746060</v>
      </c>
    </row>
    <row r="4366" spans="2:10" s="3" customFormat="1">
      <c r="B4366" s="3" t="s">
        <v>2141</v>
      </c>
      <c r="C4366" s="8">
        <v>4</v>
      </c>
      <c r="D4366" s="3" t="s">
        <v>2892</v>
      </c>
      <c r="E4366" s="11" t="s">
        <v>28</v>
      </c>
      <c r="F4366" s="11"/>
      <c r="G4366" s="14">
        <v>0.45510499999999998</v>
      </c>
      <c r="H4366" s="11"/>
      <c r="I4366" s="11"/>
      <c r="J4366" s="3" t="str">
        <f t="shared" si="318"/>
        <v>5746060</v>
      </c>
    </row>
    <row r="4367" spans="2:10" s="3" customFormat="1">
      <c r="B4367" s="3" t="s">
        <v>2141</v>
      </c>
      <c r="C4367" s="8">
        <v>4</v>
      </c>
      <c r="D4367" s="3" t="s">
        <v>2892</v>
      </c>
      <c r="E4367" s="11" t="s">
        <v>29</v>
      </c>
      <c r="F4367" s="11"/>
      <c r="G4367" s="15">
        <f>ROUND(G4365*G4366,0)</f>
        <v>33025</v>
      </c>
      <c r="H4367" s="16">
        <f>ROUND(G4367/2,0)</f>
        <v>16513</v>
      </c>
      <c r="I4367" s="15">
        <f>G4367-H4367</f>
        <v>16512</v>
      </c>
      <c r="J4367" s="3" t="str">
        <f t="shared" si="318"/>
        <v>5746060</v>
      </c>
    </row>
    <row r="4368" spans="2:10" s="3" customFormat="1">
      <c r="B4368" s="3" t="s">
        <v>2141</v>
      </c>
      <c r="C4368" s="8">
        <v>4</v>
      </c>
      <c r="D4368" s="3" t="s">
        <v>2892</v>
      </c>
      <c r="E4368" s="11" t="s">
        <v>30</v>
      </c>
      <c r="F4368" s="11"/>
      <c r="G4368" s="12">
        <f>+G4365-G4367</f>
        <v>39540</v>
      </c>
      <c r="H4368" s="13">
        <f>ROUND(G4368/2,0)</f>
        <v>19770</v>
      </c>
      <c r="I4368" s="12">
        <f>G4368-H4368</f>
        <v>19770</v>
      </c>
      <c r="J4368" s="3" t="str">
        <f t="shared" si="318"/>
        <v>5746060</v>
      </c>
    </row>
    <row r="4369" spans="2:10" s="3" customFormat="1">
      <c r="B4369" s="3" t="s">
        <v>2141</v>
      </c>
      <c r="C4369" s="8">
        <v>4</v>
      </c>
      <c r="D4369" s="3" t="s">
        <v>2695</v>
      </c>
      <c r="E4369" s="11" t="s">
        <v>992</v>
      </c>
      <c r="F4369" s="10">
        <v>1.5266E-2</v>
      </c>
      <c r="G4369" s="9">
        <f>ROUND(G$3*F4369,0)</f>
        <v>4392</v>
      </c>
      <c r="H4369" s="11">
        <f>ROUND(G4369/2,0)</f>
        <v>2196</v>
      </c>
      <c r="I4369" s="9">
        <f>G4369-H4369</f>
        <v>2196</v>
      </c>
      <c r="J4369" s="3" t="str">
        <f t="shared" si="318"/>
        <v>5744535</v>
      </c>
    </row>
    <row r="4370" spans="2:10" s="3" customFormat="1">
      <c r="B4370" s="3" t="s">
        <v>2141</v>
      </c>
      <c r="C4370" s="8">
        <v>4</v>
      </c>
      <c r="D4370" s="3" t="s">
        <v>2695</v>
      </c>
      <c r="E4370" s="11" t="s">
        <v>28</v>
      </c>
      <c r="F4370" s="11"/>
      <c r="G4370" s="14">
        <v>0.50163199999999997</v>
      </c>
      <c r="H4370" s="11"/>
      <c r="I4370" s="11"/>
      <c r="J4370" s="3" t="str">
        <f t="shared" si="318"/>
        <v>5744535</v>
      </c>
    </row>
    <row r="4371" spans="2:10" s="3" customFormat="1">
      <c r="B4371" s="3" t="s">
        <v>2141</v>
      </c>
      <c r="C4371" s="8">
        <v>4</v>
      </c>
      <c r="D4371" s="3" t="s">
        <v>2695</v>
      </c>
      <c r="E4371" s="11" t="s">
        <v>29</v>
      </c>
      <c r="F4371" s="11"/>
      <c r="G4371" s="15">
        <f>ROUND(G4369*G4370,0)</f>
        <v>2203</v>
      </c>
      <c r="H4371" s="16">
        <f>ROUND(G4371/2,0)</f>
        <v>1102</v>
      </c>
      <c r="I4371" s="15">
        <f>G4371-H4371</f>
        <v>1101</v>
      </c>
      <c r="J4371" s="3" t="str">
        <f t="shared" si="318"/>
        <v>5744535</v>
      </c>
    </row>
    <row r="4372" spans="2:10" s="3" customFormat="1">
      <c r="B4372" s="3" t="s">
        <v>2141</v>
      </c>
      <c r="C4372" s="8">
        <v>4</v>
      </c>
      <c r="D4372" s="3" t="s">
        <v>2695</v>
      </c>
      <c r="E4372" s="11" t="s">
        <v>30</v>
      </c>
      <c r="F4372" s="11"/>
      <c r="G4372" s="12">
        <f>+G4369-G4371</f>
        <v>2189</v>
      </c>
      <c r="H4372" s="13">
        <f>ROUND(G4372/2,0)</f>
        <v>1095</v>
      </c>
      <c r="I4372" s="12">
        <f>G4372-H4372</f>
        <v>1094</v>
      </c>
      <c r="J4372" s="3" t="str">
        <f t="shared" si="318"/>
        <v>5744535</v>
      </c>
    </row>
    <row r="4373" spans="2:10" s="3" customFormat="1">
      <c r="B4373" s="3" t="s">
        <v>2141</v>
      </c>
      <c r="C4373" s="8">
        <v>4</v>
      </c>
      <c r="D4373" s="3" t="s">
        <v>2893</v>
      </c>
      <c r="E4373" s="11" t="s">
        <v>1325</v>
      </c>
      <c r="F4373" s="10">
        <v>1.8248E-2</v>
      </c>
      <c r="G4373" s="9">
        <f>ROUND(G$3*F4373,0)</f>
        <v>5250</v>
      </c>
      <c r="H4373" s="11">
        <f>ROUND(G4373/2,0)</f>
        <v>2625</v>
      </c>
      <c r="I4373" s="9">
        <f>G4373-H4373</f>
        <v>2625</v>
      </c>
      <c r="J4373" s="3" t="str">
        <f t="shared" si="318"/>
        <v>5748625</v>
      </c>
    </row>
    <row r="4374" spans="2:10" s="3" customFormat="1">
      <c r="B4374" s="3" t="s">
        <v>2141</v>
      </c>
      <c r="C4374" s="8">
        <v>4</v>
      </c>
      <c r="D4374" s="3" t="s">
        <v>2893</v>
      </c>
      <c r="E4374" s="11" t="s">
        <v>28</v>
      </c>
      <c r="F4374" s="11"/>
      <c r="G4374" s="14">
        <v>0.47263899999999998</v>
      </c>
      <c r="H4374" s="11"/>
      <c r="I4374" s="11"/>
      <c r="J4374" s="3" t="str">
        <f t="shared" si="318"/>
        <v>5748625</v>
      </c>
    </row>
    <row r="4375" spans="2:10" s="3" customFormat="1">
      <c r="B4375" s="3" t="s">
        <v>2141</v>
      </c>
      <c r="C4375" s="8">
        <v>4</v>
      </c>
      <c r="D4375" s="3" t="s">
        <v>2893</v>
      </c>
      <c r="E4375" s="11" t="s">
        <v>29</v>
      </c>
      <c r="F4375" s="11"/>
      <c r="G4375" s="15">
        <f>ROUND(G4373*G4374,0)</f>
        <v>2481</v>
      </c>
      <c r="H4375" s="16">
        <f>ROUND(G4375/2,0)</f>
        <v>1241</v>
      </c>
      <c r="I4375" s="15">
        <f>G4375-H4375</f>
        <v>1240</v>
      </c>
      <c r="J4375" s="3" t="str">
        <f t="shared" si="318"/>
        <v>5748625</v>
      </c>
    </row>
    <row r="4376" spans="2:10" s="3" customFormat="1">
      <c r="B4376" s="3" t="s">
        <v>2141</v>
      </c>
      <c r="C4376" s="8">
        <v>4</v>
      </c>
      <c r="D4376" s="3" t="s">
        <v>2893</v>
      </c>
      <c r="E4376" s="11" t="s">
        <v>30</v>
      </c>
      <c r="F4376" s="11"/>
      <c r="G4376" s="12">
        <f>+G4373-G4375</f>
        <v>2769</v>
      </c>
      <c r="H4376" s="13">
        <f>ROUND(G4376/2,0)</f>
        <v>1385</v>
      </c>
      <c r="I4376" s="12">
        <f>G4376-H4376</f>
        <v>1384</v>
      </c>
      <c r="J4376" s="3" t="str">
        <f t="shared" si="318"/>
        <v>5748625</v>
      </c>
    </row>
    <row r="4377" spans="2:10" s="3" customFormat="1">
      <c r="B4377" s="3" t="s">
        <v>2141</v>
      </c>
      <c r="C4377" s="8" t="s">
        <v>3160</v>
      </c>
      <c r="D4377" s="3" t="s">
        <v>5222</v>
      </c>
      <c r="E4377" s="11" t="s">
        <v>1326</v>
      </c>
      <c r="F4377" s="10">
        <v>0.24460599999999999</v>
      </c>
      <c r="G4377" s="9">
        <f>ROUND(G$3*F4377,0)</f>
        <v>70379</v>
      </c>
      <c r="H4377" s="11">
        <f>ROUND(G4377/2,0)</f>
        <v>35190</v>
      </c>
      <c r="I4377" s="9">
        <f>G4377-H4377</f>
        <v>35189</v>
      </c>
      <c r="J4377" s="3" t="str">
        <f t="shared" si="318"/>
        <v>5746065</v>
      </c>
    </row>
    <row r="4378" spans="2:10" s="3" customFormat="1">
      <c r="B4378" s="3" t="s">
        <v>2141</v>
      </c>
      <c r="C4378" s="8" t="s">
        <v>3160</v>
      </c>
      <c r="D4378" s="3" t="s">
        <v>5222</v>
      </c>
      <c r="E4378" s="11" t="s">
        <v>28</v>
      </c>
      <c r="F4378" s="11"/>
      <c r="G4378" s="14">
        <v>0.37976799999999999</v>
      </c>
      <c r="H4378" s="11"/>
      <c r="I4378" s="11"/>
      <c r="J4378" s="3" t="str">
        <f t="shared" si="318"/>
        <v>5746065</v>
      </c>
    </row>
    <row r="4379" spans="2:10" s="3" customFormat="1">
      <c r="B4379" s="3" t="s">
        <v>2141</v>
      </c>
      <c r="C4379" s="8" t="s">
        <v>3160</v>
      </c>
      <c r="D4379" s="3" t="s">
        <v>5222</v>
      </c>
      <c r="E4379" s="11" t="s">
        <v>29</v>
      </c>
      <c r="F4379" s="11"/>
      <c r="G4379" s="15">
        <f>ROUND(G4377*G4378,0)</f>
        <v>26728</v>
      </c>
      <c r="H4379" s="16">
        <f t="shared" ref="H4379:H4384" si="319">ROUND(G4379/2,0)</f>
        <v>13364</v>
      </c>
      <c r="I4379" s="15">
        <f t="shared" ref="I4379:I4384" si="320">G4379-H4379</f>
        <v>13364</v>
      </c>
      <c r="J4379" s="3" t="str">
        <f t="shared" si="318"/>
        <v>5746065</v>
      </c>
    </row>
    <row r="4380" spans="2:10" s="3" customFormat="1">
      <c r="B4380" s="3" t="s">
        <v>2141</v>
      </c>
      <c r="C4380" s="8" t="s">
        <v>3160</v>
      </c>
      <c r="D4380" s="3" t="s">
        <v>5222</v>
      </c>
      <c r="E4380" s="11" t="s">
        <v>30</v>
      </c>
      <c r="F4380" s="11"/>
      <c r="G4380" s="12">
        <f>+G4377-G4379</f>
        <v>43651</v>
      </c>
      <c r="H4380" s="13">
        <f t="shared" si="319"/>
        <v>21826</v>
      </c>
      <c r="I4380" s="12">
        <f t="shared" si="320"/>
        <v>21825</v>
      </c>
      <c r="J4380" s="3" t="str">
        <f t="shared" si="318"/>
        <v>5746065</v>
      </c>
    </row>
    <row r="4381" spans="2:10" s="3" customFormat="1">
      <c r="B4381" s="3" t="s">
        <v>2141</v>
      </c>
      <c r="C4381" s="8">
        <v>5</v>
      </c>
      <c r="D4381" s="3" t="s">
        <v>5225</v>
      </c>
      <c r="E4381" s="11" t="s">
        <v>1327</v>
      </c>
      <c r="F4381" s="10">
        <v>1.4636E-2</v>
      </c>
      <c r="G4381" s="120">
        <f>ROUND(G$3*F4381,0)</f>
        <v>4211</v>
      </c>
      <c r="H4381" s="120">
        <f t="shared" si="319"/>
        <v>2106</v>
      </c>
      <c r="I4381" s="120">
        <f t="shared" si="320"/>
        <v>2105</v>
      </c>
      <c r="J4381" s="3" t="str">
        <f t="shared" si="318"/>
        <v>5750167</v>
      </c>
    </row>
    <row r="4382" spans="2:10" s="3" customFormat="1">
      <c r="B4382" s="3" t="s">
        <v>2141</v>
      </c>
      <c r="C4382" s="8">
        <v>5</v>
      </c>
      <c r="D4382" s="3" t="s">
        <v>2894</v>
      </c>
      <c r="E4382" s="11" t="s">
        <v>1328</v>
      </c>
      <c r="F4382" s="10">
        <v>5.1710000000000002E-3</v>
      </c>
      <c r="G4382" s="120">
        <f>ROUND(G$3*F4382,0)</f>
        <v>1488</v>
      </c>
      <c r="H4382" s="120">
        <f t="shared" si="319"/>
        <v>744</v>
      </c>
      <c r="I4382" s="120">
        <f t="shared" si="320"/>
        <v>744</v>
      </c>
      <c r="J4382" s="3" t="str">
        <f t="shared" si="318"/>
        <v>5750168</v>
      </c>
    </row>
    <row r="4383" spans="2:10" s="3" customFormat="1">
      <c r="B4383" s="3" t="s">
        <v>2141</v>
      </c>
      <c r="C4383" s="8">
        <v>5</v>
      </c>
      <c r="D4383" s="3" t="s">
        <v>5228</v>
      </c>
      <c r="E4383" s="11" t="s">
        <v>1329</v>
      </c>
      <c r="F4383" s="10">
        <v>1.6941999999999999E-2</v>
      </c>
      <c r="G4383" s="120">
        <f>ROUND(G$3*F4383,0)</f>
        <v>4875</v>
      </c>
      <c r="H4383" s="120">
        <f t="shared" si="319"/>
        <v>2438</v>
      </c>
      <c r="I4383" s="120">
        <f t="shared" si="320"/>
        <v>2437</v>
      </c>
      <c r="J4383" s="3" t="str">
        <f t="shared" si="318"/>
        <v>5750169</v>
      </c>
    </row>
    <row r="4384" spans="2:10" s="3" customFormat="1">
      <c r="B4384" s="3" t="s">
        <v>2141</v>
      </c>
      <c r="C4384" s="8">
        <v>6</v>
      </c>
      <c r="D4384" s="3" t="s">
        <v>3708</v>
      </c>
      <c r="E4384" s="11" t="s">
        <v>397</v>
      </c>
      <c r="F4384" s="10">
        <v>5.4889999999998551E-3</v>
      </c>
      <c r="G4384" s="120">
        <f>+G4309-SUM(G4310:G4311)-SUM(G4316:G4361)-G4365-G4369-G4373-G4377-SUM(G4381:G4383)</f>
        <v>-2763</v>
      </c>
      <c r="H4384" s="120">
        <f t="shared" si="319"/>
        <v>-1382</v>
      </c>
      <c r="I4384" s="120">
        <f t="shared" si="320"/>
        <v>-1381</v>
      </c>
      <c r="J4384" s="3" t="str">
        <f t="shared" si="318"/>
        <v>5760994</v>
      </c>
    </row>
    <row r="4385" spans="2:10" s="3" customFormat="1">
      <c r="B4385" s="3" t="s">
        <v>2141</v>
      </c>
      <c r="C4385" s="8">
        <v>0</v>
      </c>
      <c r="D4385" s="125" t="s">
        <v>2187</v>
      </c>
      <c r="E4385" s="28" t="s">
        <v>1330</v>
      </c>
      <c r="F4385" s="10">
        <v>1</v>
      </c>
      <c r="G4385" s="12">
        <f>+G4310+SUM(G4313:G4360)+SUM(G4363:G4364)+SUM(G4367:G4368)+SUM(G4371:G4372)+SUM(G4375:G4376)+SUM(G4379:G4384)</f>
        <v>283380</v>
      </c>
      <c r="H4385" s="12">
        <f>+H4310+SUM(H4313:H4360)+SUM(H4363:H4364)+SUM(H4367:H4368)+SUM(H4371:H4372)+SUM(H4375:H4376)+SUM(H4379:H4384)</f>
        <v>141702</v>
      </c>
      <c r="I4385" s="12">
        <f>+I4310+SUM(I4313:I4360)+SUM(I4363:I4364)+SUM(I4367:I4368)+SUM(I4371:I4372)+SUM(I4375:I4376)+SUM(I4379:I4384)</f>
        <v>141678</v>
      </c>
      <c r="J4385" s="3" t="str">
        <f t="shared" si="318"/>
        <v>5700000</v>
      </c>
    </row>
    <row r="4386" spans="2:10" s="3" customFormat="1">
      <c r="B4386" s="3" t="s">
        <v>2141</v>
      </c>
      <c r="C4386" s="8">
        <v>0</v>
      </c>
      <c r="D4386" s="3" t="s">
        <v>2187</v>
      </c>
      <c r="E4386" s="18" t="s">
        <v>38</v>
      </c>
      <c r="G4386" s="19">
        <f>+G4310</f>
        <v>390</v>
      </c>
      <c r="H4386" s="19">
        <f>+H4310</f>
        <v>195</v>
      </c>
      <c r="I4386" s="19">
        <f>+I4310</f>
        <v>195</v>
      </c>
      <c r="J4386" s="3" t="str">
        <f t="shared" si="318"/>
        <v>5700000</v>
      </c>
    </row>
    <row r="4387" spans="2:10" s="3" customFormat="1">
      <c r="B4387" s="3" t="s">
        <v>2141</v>
      </c>
      <c r="C4387" s="8">
        <v>0</v>
      </c>
      <c r="D4387" s="3" t="s">
        <v>2187</v>
      </c>
      <c r="E4387" s="2" t="s">
        <v>39</v>
      </c>
      <c r="G4387" s="19">
        <f>+G4313</f>
        <v>8178</v>
      </c>
      <c r="H4387" s="19">
        <f>+H4313</f>
        <v>4089</v>
      </c>
      <c r="I4387" s="19">
        <f>+I4313</f>
        <v>4089</v>
      </c>
      <c r="J4387" s="3" t="str">
        <f t="shared" si="318"/>
        <v>5700000</v>
      </c>
    </row>
    <row r="4388" spans="2:10" s="3" customFormat="1">
      <c r="B4388" s="3" t="s">
        <v>2141</v>
      </c>
      <c r="C4388" s="8">
        <v>0</v>
      </c>
      <c r="D4388" s="3" t="s">
        <v>2187</v>
      </c>
      <c r="E4388" s="2" t="s">
        <v>40</v>
      </c>
      <c r="G4388" s="19">
        <f>+G4363+G4367+G4371+G4375+G4379</f>
        <v>80841</v>
      </c>
      <c r="H4388" s="19">
        <f>+H4363+H4367+H4371+H4375+H4379</f>
        <v>40422</v>
      </c>
      <c r="I4388" s="19">
        <f>+I4363+I4367+I4371+I4375+I4379</f>
        <v>40419</v>
      </c>
      <c r="J4388" s="3" t="str">
        <f t="shared" si="318"/>
        <v>5700000</v>
      </c>
    </row>
    <row r="4389" spans="2:10" s="3" customFormat="1">
      <c r="B4389" s="3" t="s">
        <v>2141</v>
      </c>
      <c r="C4389" s="8">
        <v>0</v>
      </c>
      <c r="D4389" s="125" t="s">
        <v>2187</v>
      </c>
      <c r="E4389" s="18" t="s">
        <v>41</v>
      </c>
      <c r="G4389" s="19">
        <f>+G4385-G4386-G4387-G4388</f>
        <v>193971</v>
      </c>
      <c r="H4389" s="19">
        <f>+H4385-H4386-H4387-H4388</f>
        <v>96996</v>
      </c>
      <c r="I4389" s="19">
        <f>+I4385-I4386-I4387-I4388</f>
        <v>96975</v>
      </c>
      <c r="J4389" s="3" t="str">
        <f t="shared" si="318"/>
        <v>5700000</v>
      </c>
    </row>
    <row r="4390" spans="2:10" ht="15.75">
      <c r="B4390" s="3" t="s">
        <v>2186</v>
      </c>
      <c r="D4390" t="s">
        <v>2186</v>
      </c>
      <c r="E4390">
        <v>0</v>
      </c>
      <c r="G4390"/>
      <c r="H4390"/>
      <c r="I4390"/>
      <c r="J4390" s="3" t="str">
        <f t="shared" si="318"/>
        <v/>
      </c>
    </row>
    <row r="4391" spans="2:10" s="3" customFormat="1">
      <c r="C4391" s="1"/>
      <c r="D4391" s="3" t="s">
        <v>2186</v>
      </c>
      <c r="E4391" s="2" t="s">
        <v>1331</v>
      </c>
      <c r="J4391" s="3" t="str">
        <f t="shared" si="318"/>
        <v/>
      </c>
    </row>
    <row r="4392" spans="2:10" s="3" customFormat="1" ht="45">
      <c r="B4392" s="3" t="s">
        <v>2186</v>
      </c>
      <c r="C4392" s="1"/>
      <c r="D4392" s="3" t="s">
        <v>2186</v>
      </c>
      <c r="E4392" s="1">
        <v>0</v>
      </c>
      <c r="F4392" s="6" t="s">
        <v>1</v>
      </c>
      <c r="G4392" s="60">
        <f>'Allocation Worksheet'!H4392</f>
        <v>0</v>
      </c>
      <c r="H4392" s="60">
        <f>'Allocation Worksheet'!H4393</f>
        <v>0</v>
      </c>
      <c r="I4392" s="60">
        <f>'Allocation Worksheet'!H4394</f>
        <v>0</v>
      </c>
      <c r="J4392" s="3" t="str">
        <f t="shared" si="318"/>
        <v/>
      </c>
    </row>
    <row r="4393" spans="2:10" s="3" customFormat="1">
      <c r="C4393" s="7" t="s">
        <v>2087</v>
      </c>
      <c r="D4393" s="3" t="s">
        <v>2186</v>
      </c>
      <c r="E4393" s="7" t="s">
        <v>3</v>
      </c>
      <c r="F4393" s="10"/>
      <c r="G4393" s="9">
        <f>'Allocation Worksheet'!$D$61</f>
        <v>29242</v>
      </c>
      <c r="H4393" s="11"/>
      <c r="I4393" s="11"/>
      <c r="J4393" s="3" t="str">
        <f t="shared" si="318"/>
        <v>UT</v>
      </c>
    </row>
    <row r="4394" spans="2:10" s="3" customFormat="1">
      <c r="B4394" s="3" t="s">
        <v>2142</v>
      </c>
      <c r="C4394" s="8">
        <v>0</v>
      </c>
      <c r="D4394" s="3" t="s">
        <v>2187</v>
      </c>
      <c r="E4394" s="11" t="s">
        <v>4</v>
      </c>
      <c r="F4394" s="10">
        <v>1.4959999999999999E-3</v>
      </c>
      <c r="G4394" s="12">
        <f>ROUND(G$3*F4394,0)</f>
        <v>430</v>
      </c>
      <c r="H4394" s="13">
        <f>ROUND(G4394/2,0)</f>
        <v>215</v>
      </c>
      <c r="I4394" s="12">
        <f>G4394-H4394</f>
        <v>215</v>
      </c>
      <c r="J4394" s="3" t="str">
        <f t="shared" si="318"/>
        <v>5800000</v>
      </c>
    </row>
    <row r="4395" spans="2:10" s="3" customFormat="1">
      <c r="B4395" s="3" t="s">
        <v>2142</v>
      </c>
      <c r="C4395" s="8">
        <v>1</v>
      </c>
      <c r="D4395" s="3" t="s">
        <v>2187</v>
      </c>
      <c r="E4395" s="11" t="s">
        <v>1332</v>
      </c>
      <c r="F4395" s="10">
        <v>0.245972</v>
      </c>
      <c r="G4395" s="9">
        <f>ROUND(G$3*F4395,0)</f>
        <v>70772</v>
      </c>
      <c r="H4395" s="11">
        <f>ROUND(G4395/2,0)</f>
        <v>35386</v>
      </c>
      <c r="I4395" s="9">
        <f>G4395-H4395</f>
        <v>35386</v>
      </c>
      <c r="J4395" s="3" t="str">
        <f t="shared" si="318"/>
        <v>5810000</v>
      </c>
    </row>
    <row r="4396" spans="2:10" s="3" customFormat="1">
      <c r="B4396" s="3" t="s">
        <v>2142</v>
      </c>
      <c r="C4396" s="8">
        <v>1</v>
      </c>
      <c r="D4396" s="3" t="s">
        <v>2187</v>
      </c>
      <c r="E4396" s="11" t="s">
        <v>6</v>
      </c>
      <c r="F4396" s="11"/>
      <c r="G4396" s="14">
        <v>0.28086899999999998</v>
      </c>
      <c r="H4396" s="11"/>
      <c r="I4396" s="11"/>
      <c r="J4396" s="3" t="str">
        <f t="shared" si="318"/>
        <v>5810000</v>
      </c>
    </row>
    <row r="4397" spans="2:10" s="3" customFormat="1">
      <c r="B4397" s="3" t="s">
        <v>2142</v>
      </c>
      <c r="C4397" s="8">
        <v>1</v>
      </c>
      <c r="D4397" s="3" t="s">
        <v>2187</v>
      </c>
      <c r="E4397" s="11" t="s">
        <v>7</v>
      </c>
      <c r="F4397" s="11"/>
      <c r="G4397" s="15">
        <f>ROUND(G4395*G4396,0)</f>
        <v>19878</v>
      </c>
      <c r="H4397" s="16">
        <f>ROUND(G4397/2,0)</f>
        <v>9939</v>
      </c>
      <c r="I4397" s="15">
        <f>G4397-H4397</f>
        <v>9939</v>
      </c>
      <c r="J4397" s="3" t="str">
        <f t="shared" si="318"/>
        <v>5810000</v>
      </c>
    </row>
    <row r="4398" spans="2:10" s="3" customFormat="1">
      <c r="B4398" s="3" t="s">
        <v>2142</v>
      </c>
      <c r="C4398" s="8">
        <v>1</v>
      </c>
      <c r="D4398" s="3" t="s">
        <v>2187</v>
      </c>
      <c r="E4398" s="11" t="s">
        <v>8</v>
      </c>
      <c r="F4398" s="11"/>
      <c r="G4398" s="12">
        <f>+G4395-G4397</f>
        <v>50894</v>
      </c>
      <c r="H4398" s="13">
        <f>ROUND(G4398/2,0)</f>
        <v>25447</v>
      </c>
      <c r="I4398" s="12">
        <f>G4398-H4398</f>
        <v>25447</v>
      </c>
      <c r="J4398" s="3" t="str">
        <f t="shared" si="318"/>
        <v>5810000</v>
      </c>
    </row>
    <row r="4399" spans="2:10" s="3" customFormat="1">
      <c r="B4399" s="3" t="s">
        <v>2142</v>
      </c>
      <c r="C4399" s="8">
        <v>2</v>
      </c>
      <c r="D4399" s="3" t="s">
        <v>2188</v>
      </c>
      <c r="E4399" s="11" t="s">
        <v>249</v>
      </c>
      <c r="F4399" s="11"/>
      <c r="G4399" s="9"/>
      <c r="H4399" s="11"/>
      <c r="I4399" s="11"/>
      <c r="J4399" s="3" t="str">
        <f t="shared" si="318"/>
        <v>5820001</v>
      </c>
    </row>
    <row r="4400" spans="2:10" s="3" customFormat="1">
      <c r="B4400" s="3" t="s">
        <v>2142</v>
      </c>
      <c r="C4400" s="8">
        <v>2</v>
      </c>
      <c r="D4400" s="3" t="s">
        <v>2188</v>
      </c>
      <c r="E4400" s="11" t="s">
        <v>10</v>
      </c>
      <c r="F4400" s="10">
        <v>4.1139999999999996E-3</v>
      </c>
      <c r="G4400" s="12">
        <f>ROUND(G$3*F4400,0)</f>
        <v>1184</v>
      </c>
      <c r="H4400" s="13">
        <f>ROUND(G4400/2,0)</f>
        <v>592</v>
      </c>
      <c r="I4400" s="12">
        <f>G4400-H4400</f>
        <v>592</v>
      </c>
      <c r="J4400" s="3" t="str">
        <f t="shared" si="318"/>
        <v>5820001</v>
      </c>
    </row>
    <row r="4401" spans="2:10" s="3" customFormat="1">
      <c r="B4401" s="3" t="s">
        <v>2142</v>
      </c>
      <c r="C4401" s="8">
        <v>2</v>
      </c>
      <c r="D4401" s="3" t="s">
        <v>2188</v>
      </c>
      <c r="E4401" s="11" t="s">
        <v>11</v>
      </c>
      <c r="F4401" s="10">
        <v>8.0999999999999996E-4</v>
      </c>
      <c r="G4401" s="12">
        <f>ROUND(G$3*F4401,0)</f>
        <v>233</v>
      </c>
      <c r="H4401" s="13">
        <f>ROUND(G4401/2,0)</f>
        <v>117</v>
      </c>
      <c r="I4401" s="12">
        <f>G4401-H4401</f>
        <v>116</v>
      </c>
      <c r="J4401" s="3" t="str">
        <f t="shared" si="318"/>
        <v>5820001</v>
      </c>
    </row>
    <row r="4402" spans="2:10" s="3" customFormat="1">
      <c r="B4402" s="3" t="s">
        <v>2142</v>
      </c>
      <c r="C4402" s="8">
        <v>2</v>
      </c>
      <c r="D4402" s="3" t="s">
        <v>2189</v>
      </c>
      <c r="E4402" s="11" t="s">
        <v>858</v>
      </c>
      <c r="F4402" s="11"/>
      <c r="G4402" s="9"/>
      <c r="H4402" s="11"/>
      <c r="I4402" s="11"/>
      <c r="J4402" s="3" t="str">
        <f t="shared" si="318"/>
        <v>5820002</v>
      </c>
    </row>
    <row r="4403" spans="2:10" s="3" customFormat="1">
      <c r="B4403" s="3" t="s">
        <v>2142</v>
      </c>
      <c r="C4403" s="8">
        <v>2</v>
      </c>
      <c r="D4403" s="3" t="s">
        <v>2189</v>
      </c>
      <c r="E4403" s="11" t="s">
        <v>10</v>
      </c>
      <c r="F4403" s="10">
        <v>2.0569999999999998E-3</v>
      </c>
      <c r="G4403" s="12">
        <f>ROUND(G$3*F4403,0)</f>
        <v>592</v>
      </c>
      <c r="H4403" s="13">
        <f>ROUND(G4403/2,0)</f>
        <v>296</v>
      </c>
      <c r="I4403" s="12">
        <f>G4403-H4403</f>
        <v>296</v>
      </c>
      <c r="J4403" s="3" t="str">
        <f t="shared" si="318"/>
        <v>5820002</v>
      </c>
    </row>
    <row r="4404" spans="2:10" s="3" customFormat="1">
      <c r="B4404" s="3" t="s">
        <v>2142</v>
      </c>
      <c r="C4404" s="8">
        <v>2</v>
      </c>
      <c r="D4404" s="3" t="s">
        <v>2189</v>
      </c>
      <c r="E4404" s="11" t="s">
        <v>11</v>
      </c>
      <c r="F4404" s="10">
        <v>6.5499999999999998E-4</v>
      </c>
      <c r="G4404" s="12">
        <f>ROUND(G$3*F4404,0)</f>
        <v>188</v>
      </c>
      <c r="H4404" s="13">
        <f>ROUND(G4404/2,0)</f>
        <v>94</v>
      </c>
      <c r="I4404" s="12">
        <f>G4404-H4404</f>
        <v>94</v>
      </c>
      <c r="J4404" s="3" t="str">
        <f t="shared" si="318"/>
        <v>5820002</v>
      </c>
    </row>
    <row r="4405" spans="2:10" s="3" customFormat="1">
      <c r="B4405" s="3" t="s">
        <v>2142</v>
      </c>
      <c r="C4405" s="8">
        <v>2</v>
      </c>
      <c r="D4405" s="3" t="s">
        <v>2190</v>
      </c>
      <c r="E4405" s="11" t="s">
        <v>1333</v>
      </c>
      <c r="F4405" s="11"/>
      <c r="G4405" s="9"/>
      <c r="H4405" s="11"/>
      <c r="I4405" s="11"/>
      <c r="J4405" s="3" t="str">
        <f t="shared" si="318"/>
        <v>5820003</v>
      </c>
    </row>
    <row r="4406" spans="2:10" s="3" customFormat="1">
      <c r="B4406" s="3" t="s">
        <v>2142</v>
      </c>
      <c r="C4406" s="8">
        <v>2</v>
      </c>
      <c r="D4406" s="3" t="s">
        <v>2190</v>
      </c>
      <c r="E4406" s="11" t="s">
        <v>10</v>
      </c>
      <c r="F4406" s="10">
        <v>7.2620000000000002E-3</v>
      </c>
      <c r="G4406" s="12">
        <f>ROUND(G$3*F4406,0)</f>
        <v>2089</v>
      </c>
      <c r="H4406" s="13">
        <f>ROUND(G4406/2,0)</f>
        <v>1045</v>
      </c>
      <c r="I4406" s="12">
        <f>G4406-H4406</f>
        <v>1044</v>
      </c>
      <c r="J4406" s="3" t="str">
        <f t="shared" si="318"/>
        <v>5820003</v>
      </c>
    </row>
    <row r="4407" spans="2:10" s="3" customFormat="1">
      <c r="B4407" s="3" t="s">
        <v>2142</v>
      </c>
      <c r="C4407" s="8">
        <v>2</v>
      </c>
      <c r="D4407" s="3" t="s">
        <v>2190</v>
      </c>
      <c r="E4407" s="11" t="s">
        <v>11</v>
      </c>
      <c r="F4407" s="10">
        <v>2.2439999999999999E-3</v>
      </c>
      <c r="G4407" s="12">
        <f>ROUND(G$3*F4407,0)</f>
        <v>646</v>
      </c>
      <c r="H4407" s="13">
        <f>ROUND(G4407/2,0)</f>
        <v>323</v>
      </c>
      <c r="I4407" s="12">
        <f>G4407-H4407</f>
        <v>323</v>
      </c>
      <c r="J4407" s="3" t="str">
        <f t="shared" si="318"/>
        <v>5820003</v>
      </c>
    </row>
    <row r="4408" spans="2:10" s="3" customFormat="1">
      <c r="B4408" s="3" t="s">
        <v>2142</v>
      </c>
      <c r="C4408" s="8">
        <v>2</v>
      </c>
      <c r="D4408" s="3" t="s">
        <v>2191</v>
      </c>
      <c r="E4408" s="11" t="s">
        <v>20</v>
      </c>
      <c r="F4408" s="11"/>
      <c r="G4408" s="9"/>
      <c r="H4408" s="11"/>
      <c r="I4408" s="11"/>
      <c r="J4408" s="3" t="str">
        <f t="shared" si="318"/>
        <v>5820004</v>
      </c>
    </row>
    <row r="4409" spans="2:10" s="3" customFormat="1">
      <c r="B4409" s="3" t="s">
        <v>2142</v>
      </c>
      <c r="C4409" s="8">
        <v>2</v>
      </c>
      <c r="D4409" s="3" t="s">
        <v>2191</v>
      </c>
      <c r="E4409" s="11" t="s">
        <v>10</v>
      </c>
      <c r="F4409" s="10">
        <v>3.117E-3</v>
      </c>
      <c r="G4409" s="12">
        <f>ROUND(G$3*F4409,0)</f>
        <v>897</v>
      </c>
      <c r="H4409" s="13">
        <f>ROUND(G4409/2,0)</f>
        <v>449</v>
      </c>
      <c r="I4409" s="12">
        <f>G4409-H4409</f>
        <v>448</v>
      </c>
      <c r="J4409" s="3" t="str">
        <f t="shared" si="318"/>
        <v>5820004</v>
      </c>
    </row>
    <row r="4410" spans="2:10" s="3" customFormat="1">
      <c r="B4410" s="3" t="s">
        <v>2142</v>
      </c>
      <c r="C4410" s="8">
        <v>2</v>
      </c>
      <c r="D4410" s="3" t="s">
        <v>2191</v>
      </c>
      <c r="E4410" s="11" t="s">
        <v>11</v>
      </c>
      <c r="F4410" s="10">
        <v>6.8599999999999998E-4</v>
      </c>
      <c r="G4410" s="12">
        <f>ROUND(G$3*F4410,0)</f>
        <v>197</v>
      </c>
      <c r="H4410" s="13">
        <f>ROUND(G4410/2,0)</f>
        <v>99</v>
      </c>
      <c r="I4410" s="12">
        <f>G4410-H4410</f>
        <v>98</v>
      </c>
      <c r="J4410" s="3" t="str">
        <f t="shared" si="318"/>
        <v>5820004</v>
      </c>
    </row>
    <row r="4411" spans="2:10" s="3" customFormat="1">
      <c r="B4411" s="3" t="s">
        <v>2142</v>
      </c>
      <c r="C4411" s="8">
        <v>3</v>
      </c>
      <c r="D4411" s="3" t="s">
        <v>2895</v>
      </c>
      <c r="E4411" s="11" t="s">
        <v>1334</v>
      </c>
      <c r="F4411" s="10">
        <v>2.3344E-2</v>
      </c>
      <c r="G4411" s="12">
        <f>ROUND(G$3*F4411,0)</f>
        <v>6717</v>
      </c>
      <c r="H4411" s="13">
        <f>ROUND(G4411/2,0)</f>
        <v>3359</v>
      </c>
      <c r="I4411" s="12">
        <f>G4411-H4411</f>
        <v>3358</v>
      </c>
      <c r="J4411" s="3" t="str">
        <f t="shared" si="318"/>
        <v>5830462</v>
      </c>
    </row>
    <row r="4412" spans="2:10" s="3" customFormat="1">
      <c r="B4412" s="3" t="s">
        <v>2142</v>
      </c>
      <c r="C4412" s="8">
        <v>4</v>
      </c>
      <c r="D4412" s="3" t="s">
        <v>2896</v>
      </c>
      <c r="E4412" s="11" t="s">
        <v>1335</v>
      </c>
      <c r="F4412" s="10">
        <v>0.68181400000000003</v>
      </c>
      <c r="G4412" s="9">
        <f>ROUND(G$3*F4412,0)</f>
        <v>196174</v>
      </c>
      <c r="H4412" s="11">
        <f>ROUND(G4412/2,0)</f>
        <v>98087</v>
      </c>
      <c r="I4412" s="9">
        <f>G4412-H4412</f>
        <v>98087</v>
      </c>
      <c r="J4412" s="3" t="str">
        <f t="shared" si="318"/>
        <v>5846080</v>
      </c>
    </row>
    <row r="4413" spans="2:10" s="3" customFormat="1">
      <c r="B4413" s="3" t="s">
        <v>2142</v>
      </c>
      <c r="C4413" s="8">
        <v>4</v>
      </c>
      <c r="D4413" s="3" t="s">
        <v>2896</v>
      </c>
      <c r="E4413" s="11" t="s">
        <v>28</v>
      </c>
      <c r="F4413" s="11"/>
      <c r="G4413" s="14">
        <v>0.66781900000000005</v>
      </c>
      <c r="H4413" s="11"/>
      <c r="I4413" s="11"/>
      <c r="J4413" s="3" t="str">
        <f t="shared" si="318"/>
        <v>5846080</v>
      </c>
    </row>
    <row r="4414" spans="2:10" s="3" customFormat="1">
      <c r="B4414" s="3" t="s">
        <v>2142</v>
      </c>
      <c r="C4414" s="8">
        <v>4</v>
      </c>
      <c r="D4414" s="3" t="s">
        <v>2896</v>
      </c>
      <c r="E4414" s="11" t="s">
        <v>29</v>
      </c>
      <c r="F4414" s="11"/>
      <c r="G4414" s="15">
        <f>ROUND(G4412*G4413,0)</f>
        <v>131009</v>
      </c>
      <c r="H4414" s="16">
        <f>ROUND(G4414/2,0)</f>
        <v>65505</v>
      </c>
      <c r="I4414" s="15">
        <f>G4414-H4414</f>
        <v>65504</v>
      </c>
      <c r="J4414" s="3" t="str">
        <f t="shared" si="318"/>
        <v>5846080</v>
      </c>
    </row>
    <row r="4415" spans="2:10" s="3" customFormat="1">
      <c r="B4415" s="3" t="s">
        <v>2142</v>
      </c>
      <c r="C4415" s="8">
        <v>4</v>
      </c>
      <c r="D4415" s="3" t="s">
        <v>2896</v>
      </c>
      <c r="E4415" s="11" t="s">
        <v>30</v>
      </c>
      <c r="F4415" s="11"/>
      <c r="G4415" s="12">
        <f>+G4412-G4414</f>
        <v>65165</v>
      </c>
      <c r="H4415" s="13">
        <f>ROUND(G4415/2,0)</f>
        <v>32583</v>
      </c>
      <c r="I4415" s="12">
        <f>G4415-H4415</f>
        <v>32582</v>
      </c>
      <c r="J4415" s="3" t="str">
        <f t="shared" si="318"/>
        <v>5846080</v>
      </c>
    </row>
    <row r="4416" spans="2:10" s="3" customFormat="1">
      <c r="B4416" s="3" t="s">
        <v>2142</v>
      </c>
      <c r="C4416" s="8">
        <v>5</v>
      </c>
      <c r="D4416" s="3" t="s">
        <v>5241</v>
      </c>
      <c r="E4416" s="11" t="s">
        <v>1336</v>
      </c>
      <c r="F4416" s="10">
        <v>2.0382999999999998E-2</v>
      </c>
      <c r="G4416" s="120">
        <f>ROUND(G$3*F4416,0)</f>
        <v>5865</v>
      </c>
      <c r="H4416" s="120">
        <f>ROUND(G4416/2,0)</f>
        <v>2933</v>
      </c>
      <c r="I4416" s="120">
        <f>G4416-H4416</f>
        <v>2932</v>
      </c>
      <c r="J4416" s="3" t="str">
        <f t="shared" si="318"/>
        <v>5850170</v>
      </c>
    </row>
    <row r="4417" spans="2:10" s="3" customFormat="1">
      <c r="B4417" s="3" t="s">
        <v>2142</v>
      </c>
      <c r="C4417" s="8">
        <v>6</v>
      </c>
      <c r="D4417" s="116" t="s">
        <v>3936</v>
      </c>
      <c r="E4417" s="11" t="s">
        <v>545</v>
      </c>
      <c r="F4417" s="10">
        <v>6.0460000000000002E-3</v>
      </c>
      <c r="G4417" s="120">
        <f>+G4393-SUM(G4394:G4395)-SUM(G4400:G4412)-G4416</f>
        <v>-256742</v>
      </c>
      <c r="H4417" s="120">
        <f>ROUND(G4417/2,0)</f>
        <v>-128371</v>
      </c>
      <c r="I4417" s="120">
        <f>G4417-H4417</f>
        <v>-128371</v>
      </c>
      <c r="J4417" s="3" t="str">
        <f t="shared" si="318"/>
        <v>5861006</v>
      </c>
    </row>
    <row r="4418" spans="2:10" s="3" customFormat="1">
      <c r="B4418" s="3" t="s">
        <v>2142</v>
      </c>
      <c r="C4418" s="8">
        <v>0</v>
      </c>
      <c r="D4418" s="125" t="s">
        <v>2187</v>
      </c>
      <c r="E4418" s="28" t="s">
        <v>288</v>
      </c>
      <c r="F4418" s="10">
        <v>1</v>
      </c>
      <c r="G4418" s="12">
        <f>+G4394+SUM(G4397:G4411)+SUM(G4414:G4417)</f>
        <v>29242</v>
      </c>
      <c r="H4418" s="12">
        <f>+H4394+SUM(H4397:H4411)+SUM(H4414:H4417)</f>
        <v>14625</v>
      </c>
      <c r="I4418" s="12">
        <f>+I4394+SUM(I4397:I4411)+SUM(I4414:I4417)</f>
        <v>14617</v>
      </c>
      <c r="J4418" s="3" t="str">
        <f t="shared" si="318"/>
        <v>5800000</v>
      </c>
    </row>
    <row r="4419" spans="2:10" s="3" customFormat="1">
      <c r="B4419" s="3" t="s">
        <v>2142</v>
      </c>
      <c r="C4419" s="8">
        <v>0</v>
      </c>
      <c r="D4419" s="3" t="s">
        <v>2187</v>
      </c>
      <c r="E4419" s="18" t="s">
        <v>38</v>
      </c>
      <c r="G4419" s="19">
        <f>+G4394</f>
        <v>430</v>
      </c>
      <c r="H4419" s="19">
        <f>+H4394</f>
        <v>215</v>
      </c>
      <c r="I4419" s="19">
        <f>+I4394</f>
        <v>215</v>
      </c>
      <c r="J4419" s="3" t="str">
        <f t="shared" si="318"/>
        <v>5800000</v>
      </c>
    </row>
    <row r="4420" spans="2:10" s="3" customFormat="1">
      <c r="B4420" s="3" t="s">
        <v>2142</v>
      </c>
      <c r="C4420" s="8">
        <v>0</v>
      </c>
      <c r="D4420" s="3" t="s">
        <v>2187</v>
      </c>
      <c r="E4420" s="2" t="s">
        <v>39</v>
      </c>
      <c r="G4420" s="19">
        <f>+G4397</f>
        <v>19878</v>
      </c>
      <c r="H4420" s="19">
        <f>+H4397</f>
        <v>9939</v>
      </c>
      <c r="I4420" s="19">
        <f>+I4397</f>
        <v>9939</v>
      </c>
      <c r="J4420" s="3" t="str">
        <f t="shared" ref="J4420:J4483" si="321">B4420&amp;C4420&amp;D4420</f>
        <v>5800000</v>
      </c>
    </row>
    <row r="4421" spans="2:10" s="3" customFormat="1">
      <c r="B4421" s="3" t="s">
        <v>2142</v>
      </c>
      <c r="C4421" s="8">
        <v>0</v>
      </c>
      <c r="D4421" s="3" t="s">
        <v>2187</v>
      </c>
      <c r="E4421" s="2" t="s">
        <v>40</v>
      </c>
      <c r="G4421" s="19">
        <f>+G4414</f>
        <v>131009</v>
      </c>
      <c r="H4421" s="19">
        <f>+H4414</f>
        <v>65505</v>
      </c>
      <c r="I4421" s="19">
        <f>+I4414</f>
        <v>65504</v>
      </c>
      <c r="J4421" s="3" t="str">
        <f t="shared" si="321"/>
        <v>5800000</v>
      </c>
    </row>
    <row r="4422" spans="2:10" s="3" customFormat="1">
      <c r="B4422" s="3" t="s">
        <v>2142</v>
      </c>
      <c r="C4422" s="8">
        <v>0</v>
      </c>
      <c r="D4422" s="125" t="s">
        <v>2187</v>
      </c>
      <c r="E4422" s="18" t="s">
        <v>41</v>
      </c>
      <c r="G4422" s="19">
        <f>+G4418-G4419-G4420-G4421</f>
        <v>-122075</v>
      </c>
      <c r="H4422" s="19">
        <f>+H4418-H4419-H4420-H4421</f>
        <v>-61034</v>
      </c>
      <c r="I4422" s="19">
        <f>+I4418-I4419-I4420-I4421</f>
        <v>-61041</v>
      </c>
      <c r="J4422" s="3" t="str">
        <f t="shared" si="321"/>
        <v>5800000</v>
      </c>
    </row>
    <row r="4423" spans="2:10" ht="15.75">
      <c r="B4423" s="3" t="s">
        <v>2186</v>
      </c>
      <c r="D4423" t="s">
        <v>2186</v>
      </c>
      <c r="E4423">
        <v>0</v>
      </c>
      <c r="G4423"/>
      <c r="H4423"/>
      <c r="I4423"/>
      <c r="J4423" s="3" t="str">
        <f t="shared" si="321"/>
        <v/>
      </c>
    </row>
    <row r="4424" spans="2:10" s="3" customFormat="1">
      <c r="C4424" s="1"/>
      <c r="D4424" s="3" t="s">
        <v>2186</v>
      </c>
      <c r="E4424" s="2" t="s">
        <v>1337</v>
      </c>
      <c r="J4424" s="3" t="str">
        <f t="shared" si="321"/>
        <v/>
      </c>
    </row>
    <row r="4425" spans="2:10" s="3" customFormat="1" ht="45">
      <c r="B4425" s="3" t="s">
        <v>2186</v>
      </c>
      <c r="C4425" s="1"/>
      <c r="D4425" s="3" t="s">
        <v>2186</v>
      </c>
      <c r="E4425" s="1">
        <v>0</v>
      </c>
      <c r="F4425" s="6" t="s">
        <v>1</v>
      </c>
      <c r="G4425" s="60">
        <f>'Allocation Worksheet'!H4425</f>
        <v>0</v>
      </c>
      <c r="H4425" s="60">
        <f>'Allocation Worksheet'!H4426</f>
        <v>0</v>
      </c>
      <c r="I4425" s="60">
        <f>'Allocation Worksheet'!H4427</f>
        <v>0</v>
      </c>
      <c r="J4425" s="3" t="str">
        <f t="shared" si="321"/>
        <v/>
      </c>
    </row>
    <row r="4426" spans="2:10" s="3" customFormat="1">
      <c r="C4426" s="7" t="s">
        <v>2087</v>
      </c>
      <c r="D4426" s="3" t="s">
        <v>2186</v>
      </c>
      <c r="E4426" s="7" t="s">
        <v>3</v>
      </c>
      <c r="F4426" s="10"/>
      <c r="G4426" s="9">
        <f>'Allocation Worksheet'!$D$62</f>
        <v>352394</v>
      </c>
      <c r="H4426" s="11"/>
      <c r="I4426" s="11"/>
      <c r="J4426" s="3" t="str">
        <f t="shared" si="321"/>
        <v>UT</v>
      </c>
    </row>
    <row r="4427" spans="2:10" s="3" customFormat="1">
      <c r="B4427" s="3" t="s">
        <v>2143</v>
      </c>
      <c r="C4427" s="8">
        <v>0</v>
      </c>
      <c r="D4427" s="3" t="s">
        <v>2187</v>
      </c>
      <c r="E4427" s="11" t="s">
        <v>4</v>
      </c>
      <c r="F4427" s="10">
        <v>1.508E-3</v>
      </c>
      <c r="G4427" s="12">
        <f>ROUND(G$3*F4427,0)</f>
        <v>434</v>
      </c>
      <c r="H4427" s="13">
        <f>ROUND(G4427/2,0)</f>
        <v>217</v>
      </c>
      <c r="I4427" s="12">
        <f>G4427-H4427</f>
        <v>217</v>
      </c>
      <c r="J4427" s="3" t="str">
        <f t="shared" si="321"/>
        <v>5900000</v>
      </c>
    </row>
    <row r="4428" spans="2:10" s="3" customFormat="1">
      <c r="B4428" s="3" t="s">
        <v>2143</v>
      </c>
      <c r="C4428" s="8">
        <v>1</v>
      </c>
      <c r="D4428" s="3" t="s">
        <v>2187</v>
      </c>
      <c r="E4428" s="11" t="s">
        <v>1338</v>
      </c>
      <c r="F4428" s="10">
        <v>0.213057</v>
      </c>
      <c r="G4428" s="9">
        <f>ROUND(G$3*F4428,0)</f>
        <v>61301</v>
      </c>
      <c r="H4428" s="11">
        <f>ROUND(G4428/2,0)</f>
        <v>30651</v>
      </c>
      <c r="I4428" s="9">
        <f>G4428-H4428</f>
        <v>30650</v>
      </c>
      <c r="J4428" s="3" t="str">
        <f t="shared" si="321"/>
        <v>5910000</v>
      </c>
    </row>
    <row r="4429" spans="2:10" s="3" customFormat="1">
      <c r="B4429" s="3" t="s">
        <v>2143</v>
      </c>
      <c r="C4429" s="8">
        <v>1</v>
      </c>
      <c r="D4429" s="3" t="s">
        <v>2187</v>
      </c>
      <c r="E4429" s="11" t="s">
        <v>6</v>
      </c>
      <c r="F4429" s="11"/>
      <c r="G4429" s="14">
        <v>0.124043</v>
      </c>
      <c r="H4429" s="11"/>
      <c r="I4429" s="11"/>
      <c r="J4429" s="3" t="str">
        <f t="shared" si="321"/>
        <v>5910000</v>
      </c>
    </row>
    <row r="4430" spans="2:10" s="3" customFormat="1">
      <c r="B4430" s="3" t="s">
        <v>2143</v>
      </c>
      <c r="C4430" s="8">
        <v>1</v>
      </c>
      <c r="D4430" s="3" t="s">
        <v>2187</v>
      </c>
      <c r="E4430" s="11" t="s">
        <v>7</v>
      </c>
      <c r="F4430" s="11"/>
      <c r="G4430" s="15">
        <f>ROUND(G4428*G4429,0)</f>
        <v>7604</v>
      </c>
      <c r="H4430" s="16">
        <f>ROUND(G4430/2,0)</f>
        <v>3802</v>
      </c>
      <c r="I4430" s="15">
        <f>G4430-H4430</f>
        <v>3802</v>
      </c>
      <c r="J4430" s="3" t="str">
        <f t="shared" si="321"/>
        <v>5910000</v>
      </c>
    </row>
    <row r="4431" spans="2:10" s="3" customFormat="1">
      <c r="B4431" s="3" t="s">
        <v>2143</v>
      </c>
      <c r="C4431" s="8">
        <v>1</v>
      </c>
      <c r="D4431" s="3" t="s">
        <v>2187</v>
      </c>
      <c r="E4431" s="11" t="s">
        <v>8</v>
      </c>
      <c r="F4431" s="11"/>
      <c r="G4431" s="12">
        <f>+G4428-G4430</f>
        <v>53697</v>
      </c>
      <c r="H4431" s="13">
        <f>ROUND(G4431/2,0)</f>
        <v>26849</v>
      </c>
      <c r="I4431" s="12">
        <f>G4431-H4431</f>
        <v>26848</v>
      </c>
      <c r="J4431" s="3" t="str">
        <f t="shared" si="321"/>
        <v>5910000</v>
      </c>
    </row>
    <row r="4432" spans="2:10" s="3" customFormat="1">
      <c r="B4432" s="3" t="s">
        <v>2143</v>
      </c>
      <c r="C4432" s="8">
        <v>2</v>
      </c>
      <c r="D4432" s="3" t="s">
        <v>2188</v>
      </c>
      <c r="E4432" s="11" t="s">
        <v>1339</v>
      </c>
      <c r="F4432" s="11"/>
      <c r="G4432" s="9"/>
      <c r="H4432" s="11"/>
      <c r="I4432" s="11"/>
      <c r="J4432" s="3" t="str">
        <f t="shared" si="321"/>
        <v>5920001</v>
      </c>
    </row>
    <row r="4433" spans="1:10" s="3" customFormat="1">
      <c r="B4433" s="3" t="s">
        <v>2143</v>
      </c>
      <c r="C4433" s="8">
        <v>2</v>
      </c>
      <c r="D4433" s="3" t="s">
        <v>2188</v>
      </c>
      <c r="E4433" s="11" t="s">
        <v>10</v>
      </c>
      <c r="F4433" s="10">
        <v>7.5000000000000002E-4</v>
      </c>
      <c r="G4433" s="12">
        <f>ROUND(G$3*F4433,0)</f>
        <v>216</v>
      </c>
      <c r="H4433" s="13">
        <f>ROUND(G4433/2,0)</f>
        <v>108</v>
      </c>
      <c r="I4433" s="12">
        <f>G4433-H4433</f>
        <v>108</v>
      </c>
      <c r="J4433" s="3" t="str">
        <f t="shared" si="321"/>
        <v>5920001</v>
      </c>
    </row>
    <row r="4434" spans="1:10" s="3" customFormat="1">
      <c r="A4434" s="3" t="s">
        <v>6269</v>
      </c>
      <c r="B4434" s="3" t="s">
        <v>2143</v>
      </c>
      <c r="C4434" s="8">
        <v>2</v>
      </c>
      <c r="D4434" s="3" t="s">
        <v>2188</v>
      </c>
      <c r="E4434" s="11" t="s">
        <v>11</v>
      </c>
      <c r="F4434" s="10">
        <v>0</v>
      </c>
      <c r="G4434" s="12">
        <f>ROUND(G$3*F4434,0)</f>
        <v>0</v>
      </c>
      <c r="H4434" s="13">
        <f>ROUND(G4434/2,0)</f>
        <v>0</v>
      </c>
      <c r="I4434" s="12">
        <f>G4434-H4434</f>
        <v>0</v>
      </c>
      <c r="J4434" s="3" t="str">
        <f t="shared" si="321"/>
        <v>5920001</v>
      </c>
    </row>
    <row r="4435" spans="1:10" s="3" customFormat="1">
      <c r="B4435" s="3" t="s">
        <v>2143</v>
      </c>
      <c r="C4435" s="8">
        <v>2</v>
      </c>
      <c r="D4435" s="3" t="s">
        <v>2189</v>
      </c>
      <c r="E4435" s="11" t="s">
        <v>984</v>
      </c>
      <c r="F4435" s="11"/>
      <c r="G4435" s="9"/>
      <c r="H4435" s="11"/>
      <c r="I4435" s="11"/>
      <c r="J4435" s="3" t="str">
        <f t="shared" si="321"/>
        <v>5920002</v>
      </c>
    </row>
    <row r="4436" spans="1:10" s="3" customFormat="1">
      <c r="B4436" s="3" t="s">
        <v>2143</v>
      </c>
      <c r="C4436" s="8">
        <v>2</v>
      </c>
      <c r="D4436" s="3" t="s">
        <v>2189</v>
      </c>
      <c r="E4436" s="11" t="s">
        <v>10</v>
      </c>
      <c r="F4436" s="10">
        <v>1.6799999999999999E-4</v>
      </c>
      <c r="G4436" s="12">
        <f>ROUND(G$3*F4436,0)</f>
        <v>48</v>
      </c>
      <c r="H4436" s="13">
        <f>ROUND(G4436/2,0)</f>
        <v>24</v>
      </c>
      <c r="I4436" s="12">
        <f>G4436-H4436</f>
        <v>24</v>
      </c>
      <c r="J4436" s="3" t="str">
        <f t="shared" si="321"/>
        <v>5920002</v>
      </c>
    </row>
    <row r="4437" spans="1:10" s="3" customFormat="1">
      <c r="A4437" s="3" t="s">
        <v>6269</v>
      </c>
      <c r="B4437" s="3" t="s">
        <v>2143</v>
      </c>
      <c r="C4437" s="8">
        <v>2</v>
      </c>
      <c r="D4437" s="3" t="s">
        <v>2189</v>
      </c>
      <c r="E4437" s="11" t="s">
        <v>11</v>
      </c>
      <c r="F4437" s="10">
        <v>0</v>
      </c>
      <c r="G4437" s="12">
        <f>ROUND(G$3*F4437,0)</f>
        <v>0</v>
      </c>
      <c r="H4437" s="13">
        <f>ROUND(G4437/2,0)</f>
        <v>0</v>
      </c>
      <c r="I4437" s="12">
        <f>G4437-H4437</f>
        <v>0</v>
      </c>
      <c r="J4437" s="3" t="str">
        <f t="shared" si="321"/>
        <v>5920002</v>
      </c>
    </row>
    <row r="4438" spans="1:10" s="3" customFormat="1">
      <c r="B4438" s="3" t="s">
        <v>2143</v>
      </c>
      <c r="C4438" s="8">
        <v>2</v>
      </c>
      <c r="D4438" s="3" t="s">
        <v>2190</v>
      </c>
      <c r="E4438" s="11" t="s">
        <v>49</v>
      </c>
      <c r="F4438" s="11"/>
      <c r="G4438" s="9"/>
      <c r="H4438" s="11"/>
      <c r="I4438" s="11"/>
      <c r="J4438" s="3" t="str">
        <f t="shared" si="321"/>
        <v>5920003</v>
      </c>
    </row>
    <row r="4439" spans="1:10" s="3" customFormat="1">
      <c r="B4439" s="3" t="s">
        <v>2143</v>
      </c>
      <c r="C4439" s="8">
        <v>2</v>
      </c>
      <c r="D4439" s="3" t="s">
        <v>2190</v>
      </c>
      <c r="E4439" s="11" t="s">
        <v>10</v>
      </c>
      <c r="F4439" s="10">
        <v>3.1599999999999998E-4</v>
      </c>
      <c r="G4439" s="12">
        <f>ROUND(G$3*F4439,0)</f>
        <v>91</v>
      </c>
      <c r="H4439" s="13">
        <f>ROUND(G4439/2,0)</f>
        <v>46</v>
      </c>
      <c r="I4439" s="12">
        <f>G4439-H4439</f>
        <v>45</v>
      </c>
      <c r="J4439" s="3" t="str">
        <f t="shared" si="321"/>
        <v>5920003</v>
      </c>
    </row>
    <row r="4440" spans="1:10" s="3" customFormat="1">
      <c r="A4440" s="3" t="s">
        <v>6269</v>
      </c>
      <c r="B4440" s="3" t="s">
        <v>2143</v>
      </c>
      <c r="C4440" s="8">
        <v>2</v>
      </c>
      <c r="D4440" s="3" t="s">
        <v>2190</v>
      </c>
      <c r="E4440" s="11" t="s">
        <v>11</v>
      </c>
      <c r="F4440" s="10">
        <v>0</v>
      </c>
      <c r="G4440" s="12">
        <f>ROUND(G$3*F4440,0)</f>
        <v>0</v>
      </c>
      <c r="H4440" s="13">
        <f>ROUND(G4440/2,0)</f>
        <v>0</v>
      </c>
      <c r="I4440" s="12">
        <f>G4440-H4440</f>
        <v>0</v>
      </c>
      <c r="J4440" s="3" t="str">
        <f t="shared" si="321"/>
        <v>5920003</v>
      </c>
    </row>
    <row r="4441" spans="1:10" s="3" customFormat="1">
      <c r="B4441" s="3" t="s">
        <v>2143</v>
      </c>
      <c r="C4441" s="8">
        <v>2</v>
      </c>
      <c r="D4441" s="3" t="s">
        <v>2191</v>
      </c>
      <c r="E4441" s="11" t="s">
        <v>1340</v>
      </c>
      <c r="F4441" s="11"/>
      <c r="G4441" s="9"/>
      <c r="H4441" s="11"/>
      <c r="I4441" s="11"/>
      <c r="J4441" s="3" t="str">
        <f t="shared" si="321"/>
        <v>5920004</v>
      </c>
    </row>
    <row r="4442" spans="1:10" s="3" customFormat="1">
      <c r="B4442" s="3" t="s">
        <v>2143</v>
      </c>
      <c r="C4442" s="8">
        <v>2</v>
      </c>
      <c r="D4442" s="3" t="s">
        <v>2191</v>
      </c>
      <c r="E4442" s="11" t="s">
        <v>10</v>
      </c>
      <c r="F4442" s="10">
        <v>2.7399999999999999E-4</v>
      </c>
      <c r="G4442" s="12">
        <f>ROUND(G$3*F4442,0)</f>
        <v>79</v>
      </c>
      <c r="H4442" s="13">
        <f>ROUND(G4442/2,0)</f>
        <v>40</v>
      </c>
      <c r="I4442" s="12">
        <f>G4442-H4442</f>
        <v>39</v>
      </c>
      <c r="J4442" s="3" t="str">
        <f t="shared" si="321"/>
        <v>5920004</v>
      </c>
    </row>
    <row r="4443" spans="1:10" s="3" customFormat="1">
      <c r="A4443" s="3" t="s">
        <v>6269</v>
      </c>
      <c r="B4443" s="3" t="s">
        <v>2143</v>
      </c>
      <c r="C4443" s="8">
        <v>2</v>
      </c>
      <c r="D4443" s="3" t="s">
        <v>2191</v>
      </c>
      <c r="E4443" s="11" t="s">
        <v>11</v>
      </c>
      <c r="F4443" s="10">
        <v>0</v>
      </c>
      <c r="G4443" s="12">
        <f>ROUND(G$3*F4443,0)</f>
        <v>0</v>
      </c>
      <c r="H4443" s="13">
        <f>ROUND(G4443/2,0)</f>
        <v>0</v>
      </c>
      <c r="I4443" s="12">
        <f>G4443-H4443</f>
        <v>0</v>
      </c>
      <c r="J4443" s="3" t="str">
        <f t="shared" si="321"/>
        <v>5920004</v>
      </c>
    </row>
    <row r="4444" spans="1:10" s="3" customFormat="1">
      <c r="B4444" s="3" t="s">
        <v>2143</v>
      </c>
      <c r="C4444" s="8">
        <v>2</v>
      </c>
      <c r="D4444" s="3" t="s">
        <v>2192</v>
      </c>
      <c r="E4444" s="11" t="s">
        <v>1341</v>
      </c>
      <c r="F4444" s="11"/>
      <c r="G4444" s="9"/>
      <c r="H4444" s="11"/>
      <c r="I4444" s="11"/>
      <c r="J4444" s="3" t="str">
        <f t="shared" si="321"/>
        <v>5920005</v>
      </c>
    </row>
    <row r="4445" spans="1:10" s="3" customFormat="1">
      <c r="B4445" s="3" t="s">
        <v>2143</v>
      </c>
      <c r="C4445" s="8">
        <v>2</v>
      </c>
      <c r="D4445" s="3" t="s">
        <v>2192</v>
      </c>
      <c r="E4445" s="11" t="s">
        <v>10</v>
      </c>
      <c r="F4445" s="10">
        <v>1.27E-4</v>
      </c>
      <c r="G4445" s="12">
        <f>ROUND(G$3*F4445,0)</f>
        <v>37</v>
      </c>
      <c r="H4445" s="13">
        <f>ROUND(G4445/2,0)</f>
        <v>19</v>
      </c>
      <c r="I4445" s="12">
        <f>G4445-H4445</f>
        <v>18</v>
      </c>
      <c r="J4445" s="3" t="str">
        <f t="shared" si="321"/>
        <v>5920005</v>
      </c>
    </row>
    <row r="4446" spans="1:10" s="3" customFormat="1">
      <c r="A4446" s="3" t="s">
        <v>6269</v>
      </c>
      <c r="B4446" s="3" t="s">
        <v>2143</v>
      </c>
      <c r="C4446" s="8">
        <v>2</v>
      </c>
      <c r="D4446" s="3" t="s">
        <v>2192</v>
      </c>
      <c r="E4446" s="11" t="s">
        <v>11</v>
      </c>
      <c r="F4446" s="10">
        <v>0</v>
      </c>
      <c r="G4446" s="12">
        <f>ROUND(G$3*F4446,0)</f>
        <v>0</v>
      </c>
      <c r="H4446" s="13">
        <f>ROUND(G4446/2,0)</f>
        <v>0</v>
      </c>
      <c r="I4446" s="12">
        <f>G4446-H4446</f>
        <v>0</v>
      </c>
      <c r="J4446" s="3" t="str">
        <f t="shared" si="321"/>
        <v>5920005</v>
      </c>
    </row>
    <row r="4447" spans="1:10" s="3" customFormat="1">
      <c r="B4447" s="3" t="s">
        <v>2143</v>
      </c>
      <c r="C4447" s="8">
        <v>2</v>
      </c>
      <c r="D4447" s="3" t="s">
        <v>2193</v>
      </c>
      <c r="E4447" s="11" t="s">
        <v>1342</v>
      </c>
      <c r="F4447" s="11"/>
      <c r="G4447" s="9"/>
      <c r="H4447" s="11"/>
      <c r="I4447" s="11"/>
      <c r="J4447" s="3" t="str">
        <f t="shared" si="321"/>
        <v>5920006</v>
      </c>
    </row>
    <row r="4448" spans="1:10" s="3" customFormat="1">
      <c r="B4448" s="3" t="s">
        <v>2143</v>
      </c>
      <c r="C4448" s="8">
        <v>2</v>
      </c>
      <c r="D4448" s="3" t="s">
        <v>2193</v>
      </c>
      <c r="E4448" s="11" t="s">
        <v>10</v>
      </c>
      <c r="F4448" s="10">
        <v>5.2800000000000004E-4</v>
      </c>
      <c r="G4448" s="12">
        <f>ROUND(G$3*F4448,0)</f>
        <v>152</v>
      </c>
      <c r="H4448" s="13">
        <f>ROUND(G4448/2,0)</f>
        <v>76</v>
      </c>
      <c r="I4448" s="12">
        <f>G4448-H4448</f>
        <v>76</v>
      </c>
      <c r="J4448" s="3" t="str">
        <f t="shared" si="321"/>
        <v>5920006</v>
      </c>
    </row>
    <row r="4449" spans="1:10" s="3" customFormat="1">
      <c r="A4449" s="3" t="s">
        <v>6269</v>
      </c>
      <c r="B4449" s="3" t="s">
        <v>2143</v>
      </c>
      <c r="C4449" s="8">
        <v>2</v>
      </c>
      <c r="D4449" s="3" t="s">
        <v>2193</v>
      </c>
      <c r="E4449" s="11" t="s">
        <v>11</v>
      </c>
      <c r="F4449" s="10">
        <v>0</v>
      </c>
      <c r="G4449" s="12">
        <f>ROUND(G$3*F4449,0)</f>
        <v>0</v>
      </c>
      <c r="H4449" s="13">
        <f>ROUND(G4449/2,0)</f>
        <v>0</v>
      </c>
      <c r="I4449" s="12">
        <f>G4449-H4449</f>
        <v>0</v>
      </c>
      <c r="J4449" s="3" t="str">
        <f t="shared" si="321"/>
        <v>5920006</v>
      </c>
    </row>
    <row r="4450" spans="1:10" s="3" customFormat="1">
      <c r="B4450" s="3" t="s">
        <v>2143</v>
      </c>
      <c r="C4450" s="8">
        <v>2</v>
      </c>
      <c r="D4450" s="3" t="s">
        <v>2194</v>
      </c>
      <c r="E4450" s="11" t="s">
        <v>1343</v>
      </c>
      <c r="F4450" s="11"/>
      <c r="G4450" s="9"/>
      <c r="H4450" s="11"/>
      <c r="I4450" s="11"/>
      <c r="J4450" s="3" t="str">
        <f t="shared" si="321"/>
        <v>5920007</v>
      </c>
    </row>
    <row r="4451" spans="1:10" s="3" customFormat="1">
      <c r="B4451" s="3" t="s">
        <v>2143</v>
      </c>
      <c r="C4451" s="8">
        <v>2</v>
      </c>
      <c r="D4451" s="3" t="s">
        <v>2194</v>
      </c>
      <c r="E4451" s="11" t="s">
        <v>10</v>
      </c>
      <c r="F4451" s="10">
        <v>2.2009999999999998E-3</v>
      </c>
      <c r="G4451" s="12">
        <f>ROUND(G$3*F4451,0)</f>
        <v>633</v>
      </c>
      <c r="H4451" s="13">
        <f>ROUND(G4451/2,0)</f>
        <v>317</v>
      </c>
      <c r="I4451" s="12">
        <f>G4451-H4451</f>
        <v>316</v>
      </c>
      <c r="J4451" s="3" t="str">
        <f t="shared" si="321"/>
        <v>5920007</v>
      </c>
    </row>
    <row r="4452" spans="1:10" s="3" customFormat="1">
      <c r="A4452" s="3" t="s">
        <v>6269</v>
      </c>
      <c r="B4452" s="3" t="s">
        <v>2143</v>
      </c>
      <c r="C4452" s="8">
        <v>2</v>
      </c>
      <c r="D4452" s="3" t="s">
        <v>2194</v>
      </c>
      <c r="E4452" s="11" t="s">
        <v>11</v>
      </c>
      <c r="F4452" s="10">
        <v>0</v>
      </c>
      <c r="G4452" s="12">
        <f>ROUND(G$3*F4452,0)</f>
        <v>0</v>
      </c>
      <c r="H4452" s="13">
        <f>ROUND(G4452/2,0)</f>
        <v>0</v>
      </c>
      <c r="I4452" s="12">
        <f>G4452-H4452</f>
        <v>0</v>
      </c>
      <c r="J4452" s="3" t="str">
        <f t="shared" si="321"/>
        <v>5920007</v>
      </c>
    </row>
    <row r="4453" spans="1:10" s="3" customFormat="1">
      <c r="B4453" s="3" t="s">
        <v>2143</v>
      </c>
      <c r="C4453" s="8">
        <v>2</v>
      </c>
      <c r="D4453" s="3" t="s">
        <v>2195</v>
      </c>
      <c r="E4453" s="11" t="s">
        <v>1344</v>
      </c>
      <c r="F4453" s="11"/>
      <c r="G4453" s="9"/>
      <c r="H4453" s="11"/>
      <c r="I4453" s="11"/>
      <c r="J4453" s="3" t="str">
        <f t="shared" si="321"/>
        <v>5920008</v>
      </c>
    </row>
    <row r="4454" spans="1:10" s="3" customFormat="1">
      <c r="B4454" s="3" t="s">
        <v>2143</v>
      </c>
      <c r="C4454" s="8">
        <v>2</v>
      </c>
      <c r="D4454" s="3" t="s">
        <v>2195</v>
      </c>
      <c r="E4454" s="11" t="s">
        <v>10</v>
      </c>
      <c r="F4454" s="10">
        <v>9.41E-4</v>
      </c>
      <c r="G4454" s="12">
        <f>ROUND(G$3*F4454,0)</f>
        <v>271</v>
      </c>
      <c r="H4454" s="13">
        <f>ROUND(G4454/2,0)</f>
        <v>136</v>
      </c>
      <c r="I4454" s="12">
        <f>G4454-H4454</f>
        <v>135</v>
      </c>
      <c r="J4454" s="3" t="str">
        <f t="shared" si="321"/>
        <v>5920008</v>
      </c>
    </row>
    <row r="4455" spans="1:10" s="3" customFormat="1">
      <c r="A4455" s="3" t="s">
        <v>6269</v>
      </c>
      <c r="B4455" s="3" t="s">
        <v>2143</v>
      </c>
      <c r="C4455" s="8">
        <v>2</v>
      </c>
      <c r="D4455" s="3" t="s">
        <v>2195</v>
      </c>
      <c r="E4455" s="11" t="s">
        <v>11</v>
      </c>
      <c r="F4455" s="10">
        <v>0</v>
      </c>
      <c r="G4455" s="12">
        <f>ROUND(G$3*F4455,0)</f>
        <v>0</v>
      </c>
      <c r="H4455" s="13">
        <f>ROUND(G4455/2,0)</f>
        <v>0</v>
      </c>
      <c r="I4455" s="12">
        <f>G4455-H4455</f>
        <v>0</v>
      </c>
      <c r="J4455" s="3" t="str">
        <f t="shared" si="321"/>
        <v>5920008</v>
      </c>
    </row>
    <row r="4456" spans="1:10" s="3" customFormat="1">
      <c r="B4456" s="3" t="s">
        <v>2143</v>
      </c>
      <c r="C4456" s="8">
        <v>2</v>
      </c>
      <c r="D4456" s="3" t="s">
        <v>2196</v>
      </c>
      <c r="E4456" s="11" t="s">
        <v>1345</v>
      </c>
      <c r="F4456" s="11"/>
      <c r="G4456" s="9"/>
      <c r="H4456" s="11"/>
      <c r="I4456" s="11"/>
      <c r="J4456" s="3" t="str">
        <f t="shared" si="321"/>
        <v>5920009</v>
      </c>
    </row>
    <row r="4457" spans="1:10" s="3" customFormat="1">
      <c r="B4457" s="3" t="s">
        <v>2143</v>
      </c>
      <c r="C4457" s="8">
        <v>2</v>
      </c>
      <c r="D4457" s="3" t="s">
        <v>2196</v>
      </c>
      <c r="E4457" s="11" t="s">
        <v>10</v>
      </c>
      <c r="F4457" s="10">
        <v>3.0299999999999999E-4</v>
      </c>
      <c r="G4457" s="12">
        <f>ROUND(G$3*F4457,0)</f>
        <v>87</v>
      </c>
      <c r="H4457" s="13">
        <f>ROUND(G4457/2,0)</f>
        <v>44</v>
      </c>
      <c r="I4457" s="12">
        <f>G4457-H4457</f>
        <v>43</v>
      </c>
      <c r="J4457" s="3" t="str">
        <f t="shared" si="321"/>
        <v>5920009</v>
      </c>
    </row>
    <row r="4458" spans="1:10" s="3" customFormat="1">
      <c r="A4458" s="3" t="s">
        <v>6269</v>
      </c>
      <c r="B4458" s="3" t="s">
        <v>2143</v>
      </c>
      <c r="C4458" s="8">
        <v>2</v>
      </c>
      <c r="D4458" s="3" t="s">
        <v>2196</v>
      </c>
      <c r="E4458" s="11" t="s">
        <v>11</v>
      </c>
      <c r="F4458" s="10">
        <v>0</v>
      </c>
      <c r="G4458" s="12">
        <f>ROUND(G$3*F4458,0)</f>
        <v>0</v>
      </c>
      <c r="H4458" s="13">
        <f>ROUND(G4458/2,0)</f>
        <v>0</v>
      </c>
      <c r="I4458" s="12">
        <f>G4458-H4458</f>
        <v>0</v>
      </c>
      <c r="J4458" s="3" t="str">
        <f t="shared" si="321"/>
        <v>5920009</v>
      </c>
    </row>
    <row r="4459" spans="1:10" s="3" customFormat="1">
      <c r="B4459" s="3" t="s">
        <v>2143</v>
      </c>
      <c r="C4459" s="8">
        <v>2</v>
      </c>
      <c r="D4459" s="3" t="s">
        <v>2197</v>
      </c>
      <c r="E4459" s="11" t="s">
        <v>1346</v>
      </c>
      <c r="F4459" s="11"/>
      <c r="G4459" s="9"/>
      <c r="H4459" s="11"/>
      <c r="I4459" s="11"/>
      <c r="J4459" s="3" t="str">
        <f t="shared" si="321"/>
        <v>5920010</v>
      </c>
    </row>
    <row r="4460" spans="1:10" s="3" customFormat="1">
      <c r="B4460" s="3" t="s">
        <v>2143</v>
      </c>
      <c r="C4460" s="8">
        <v>2</v>
      </c>
      <c r="D4460" s="3" t="s">
        <v>2197</v>
      </c>
      <c r="E4460" s="11" t="s">
        <v>10</v>
      </c>
      <c r="F4460" s="10">
        <v>4.2400000000000001E-4</v>
      </c>
      <c r="G4460" s="12">
        <f t="shared" ref="G4460:G4466" si="322">ROUND(G$3*F4460,0)</f>
        <v>122</v>
      </c>
      <c r="H4460" s="13">
        <f t="shared" ref="H4460:H4466" si="323">ROUND(G4460/2,0)</f>
        <v>61</v>
      </c>
      <c r="I4460" s="12">
        <f t="shared" ref="I4460:I4466" si="324">G4460-H4460</f>
        <v>61</v>
      </c>
      <c r="J4460" s="3" t="str">
        <f t="shared" si="321"/>
        <v>5920010</v>
      </c>
    </row>
    <row r="4461" spans="1:10" s="3" customFormat="1">
      <c r="A4461" s="3" t="s">
        <v>6269</v>
      </c>
      <c r="B4461" s="3" t="s">
        <v>2143</v>
      </c>
      <c r="C4461" s="8">
        <v>2</v>
      </c>
      <c r="D4461" s="3" t="s">
        <v>2197</v>
      </c>
      <c r="E4461" s="11" t="s">
        <v>11</v>
      </c>
      <c r="F4461" s="10">
        <v>0</v>
      </c>
      <c r="G4461" s="12">
        <f t="shared" si="322"/>
        <v>0</v>
      </c>
      <c r="H4461" s="13">
        <f t="shared" si="323"/>
        <v>0</v>
      </c>
      <c r="I4461" s="12">
        <f t="shared" si="324"/>
        <v>0</v>
      </c>
      <c r="J4461" s="3" t="str">
        <f t="shared" si="321"/>
        <v>5920010</v>
      </c>
    </row>
    <row r="4462" spans="1:10" s="3" customFormat="1">
      <c r="B4462" s="3" t="s">
        <v>2143</v>
      </c>
      <c r="C4462" s="8">
        <v>3</v>
      </c>
      <c r="D4462" s="3" t="s">
        <v>2736</v>
      </c>
      <c r="E4462" s="11" t="s">
        <v>1347</v>
      </c>
      <c r="F4462" s="10">
        <v>3.264E-3</v>
      </c>
      <c r="G4462" s="12">
        <f t="shared" si="322"/>
        <v>939</v>
      </c>
      <c r="H4462" s="13">
        <f t="shared" si="323"/>
        <v>470</v>
      </c>
      <c r="I4462" s="12">
        <f t="shared" si="324"/>
        <v>469</v>
      </c>
      <c r="J4462" s="3" t="str">
        <f t="shared" si="321"/>
        <v>5930812</v>
      </c>
    </row>
    <row r="4463" spans="1:10" s="3" customFormat="1">
      <c r="B4463" s="3" t="s">
        <v>2143</v>
      </c>
      <c r="C4463" s="8">
        <v>3</v>
      </c>
      <c r="D4463" s="3" t="s">
        <v>2737</v>
      </c>
      <c r="E4463" s="11" t="s">
        <v>1348</v>
      </c>
      <c r="F4463" s="10">
        <v>3.2008000000000002E-2</v>
      </c>
      <c r="G4463" s="12">
        <f t="shared" si="322"/>
        <v>9209</v>
      </c>
      <c r="H4463" s="13">
        <f t="shared" si="323"/>
        <v>4605</v>
      </c>
      <c r="I4463" s="12">
        <f t="shared" si="324"/>
        <v>4604</v>
      </c>
      <c r="J4463" s="3" t="str">
        <f t="shared" si="321"/>
        <v>5930813</v>
      </c>
    </row>
    <row r="4464" spans="1:10" s="3" customFormat="1">
      <c r="B4464" s="3" t="s">
        <v>2143</v>
      </c>
      <c r="C4464" s="8">
        <v>3</v>
      </c>
      <c r="D4464" s="3" t="s">
        <v>2738</v>
      </c>
      <c r="E4464" s="11" t="s">
        <v>1349</v>
      </c>
      <c r="F4464" s="10">
        <v>1.4107E-2</v>
      </c>
      <c r="G4464" s="12">
        <f t="shared" si="322"/>
        <v>4059</v>
      </c>
      <c r="H4464" s="13">
        <f t="shared" si="323"/>
        <v>2030</v>
      </c>
      <c r="I4464" s="12">
        <f t="shared" si="324"/>
        <v>2029</v>
      </c>
      <c r="J4464" s="3" t="str">
        <f t="shared" si="321"/>
        <v>5930814</v>
      </c>
    </row>
    <row r="4465" spans="2:11" s="3" customFormat="1">
      <c r="B4465" s="3" t="s">
        <v>2143</v>
      </c>
      <c r="C4465" s="8">
        <v>3</v>
      </c>
      <c r="D4465" s="3" t="s">
        <v>2285</v>
      </c>
      <c r="E4465" s="11" t="s">
        <v>1350</v>
      </c>
      <c r="F4465" s="10">
        <v>3.8839999999999999E-3</v>
      </c>
      <c r="G4465" s="12">
        <f t="shared" si="322"/>
        <v>1118</v>
      </c>
      <c r="H4465" s="13">
        <f t="shared" si="323"/>
        <v>559</v>
      </c>
      <c r="I4465" s="12">
        <f t="shared" si="324"/>
        <v>559</v>
      </c>
      <c r="J4465" s="3" t="str">
        <f t="shared" si="321"/>
        <v>5930815</v>
      </c>
      <c r="K4465" s="3">
        <f>+H4465-H4462</f>
        <v>89</v>
      </c>
    </row>
    <row r="4466" spans="2:11" s="3" customFormat="1">
      <c r="B4466" s="3" t="s">
        <v>2143</v>
      </c>
      <c r="C4466" s="8">
        <v>4</v>
      </c>
      <c r="D4466" s="3" t="s">
        <v>2897</v>
      </c>
      <c r="E4466" s="11" t="s">
        <v>1351</v>
      </c>
      <c r="F4466" s="10">
        <v>0.41665799999999997</v>
      </c>
      <c r="G4466" s="9">
        <f t="shared" si="322"/>
        <v>119882</v>
      </c>
      <c r="H4466" s="11">
        <f t="shared" si="323"/>
        <v>59941</v>
      </c>
      <c r="I4466" s="9">
        <f t="shared" si="324"/>
        <v>59941</v>
      </c>
      <c r="J4466" s="3" t="str">
        <f t="shared" si="321"/>
        <v>5946145</v>
      </c>
    </row>
    <row r="4467" spans="2:11" s="3" customFormat="1">
      <c r="B4467" s="3" t="s">
        <v>2143</v>
      </c>
      <c r="C4467" s="8">
        <v>4</v>
      </c>
      <c r="D4467" s="3" t="s">
        <v>2897</v>
      </c>
      <c r="E4467" s="11" t="s">
        <v>28</v>
      </c>
      <c r="F4467" s="11"/>
      <c r="G4467" s="14">
        <v>0.36108800000000002</v>
      </c>
      <c r="H4467" s="11"/>
      <c r="I4467" s="11"/>
      <c r="J4467" s="3" t="str">
        <f t="shared" si="321"/>
        <v>5946145</v>
      </c>
    </row>
    <row r="4468" spans="2:11" s="3" customFormat="1">
      <c r="B4468" s="3" t="s">
        <v>2143</v>
      </c>
      <c r="C4468" s="8">
        <v>4</v>
      </c>
      <c r="D4468" s="3" t="s">
        <v>2897</v>
      </c>
      <c r="E4468" s="11" t="s">
        <v>29</v>
      </c>
      <c r="F4468" s="11"/>
      <c r="G4468" s="15">
        <f>ROUND(G4466*G4467,0)</f>
        <v>43288</v>
      </c>
      <c r="H4468" s="16">
        <f>ROUND(G4468/2,0)</f>
        <v>21644</v>
      </c>
      <c r="I4468" s="15">
        <f>G4468-H4468</f>
        <v>21644</v>
      </c>
      <c r="J4468" s="3" t="str">
        <f t="shared" si="321"/>
        <v>5946145</v>
      </c>
    </row>
    <row r="4469" spans="2:11" s="3" customFormat="1">
      <c r="B4469" s="3" t="s">
        <v>2143</v>
      </c>
      <c r="C4469" s="8">
        <v>4</v>
      </c>
      <c r="D4469" s="3" t="s">
        <v>2897</v>
      </c>
      <c r="E4469" s="11" t="s">
        <v>30</v>
      </c>
      <c r="F4469" s="11"/>
      <c r="G4469" s="12">
        <f>+G4466-G4468</f>
        <v>76594</v>
      </c>
      <c r="H4469" s="13">
        <f>ROUND(G4469/2,0)</f>
        <v>38297</v>
      </c>
      <c r="I4469" s="12">
        <f>G4469-H4469</f>
        <v>38297</v>
      </c>
      <c r="J4469" s="3" t="str">
        <f t="shared" si="321"/>
        <v>5946145</v>
      </c>
    </row>
    <row r="4470" spans="2:11" s="3" customFormat="1">
      <c r="B4470" s="3" t="s">
        <v>2143</v>
      </c>
      <c r="C4470" s="8">
        <v>4</v>
      </c>
      <c r="D4470" s="3" t="s">
        <v>2898</v>
      </c>
      <c r="E4470" s="11" t="s">
        <v>1352</v>
      </c>
      <c r="F4470" s="10">
        <v>0.18687500000000001</v>
      </c>
      <c r="G4470" s="9">
        <f>ROUND(G$3*F4470,0)</f>
        <v>53768</v>
      </c>
      <c r="H4470" s="11">
        <f>ROUND(G4470/2,0)</f>
        <v>26884</v>
      </c>
      <c r="I4470" s="9">
        <f>G4470-H4470</f>
        <v>26884</v>
      </c>
      <c r="J4470" s="3" t="str">
        <f t="shared" si="321"/>
        <v>5946155</v>
      </c>
    </row>
    <row r="4471" spans="2:11" s="3" customFormat="1">
      <c r="B4471" s="3" t="s">
        <v>2143</v>
      </c>
      <c r="C4471" s="8">
        <v>4</v>
      </c>
      <c r="D4471" s="3" t="s">
        <v>2898</v>
      </c>
      <c r="E4471" s="11" t="s">
        <v>28</v>
      </c>
      <c r="F4471" s="11"/>
      <c r="G4471" s="14">
        <v>0.47829500000000003</v>
      </c>
      <c r="H4471" s="11"/>
      <c r="I4471" s="11"/>
      <c r="J4471" s="3" t="str">
        <f t="shared" si="321"/>
        <v>5946155</v>
      </c>
    </row>
    <row r="4472" spans="2:11" s="3" customFormat="1">
      <c r="B4472" s="3" t="s">
        <v>2143</v>
      </c>
      <c r="C4472" s="8">
        <v>4</v>
      </c>
      <c r="D4472" s="3" t="s">
        <v>2898</v>
      </c>
      <c r="E4472" s="11" t="s">
        <v>29</v>
      </c>
      <c r="F4472" s="11"/>
      <c r="G4472" s="15">
        <f>ROUND(G4470*G4471,0)</f>
        <v>25717</v>
      </c>
      <c r="H4472" s="16">
        <f>ROUND(G4472/2,0)</f>
        <v>12859</v>
      </c>
      <c r="I4472" s="15">
        <f>G4472-H4472</f>
        <v>12858</v>
      </c>
      <c r="J4472" s="3" t="str">
        <f t="shared" si="321"/>
        <v>5946155</v>
      </c>
    </row>
    <row r="4473" spans="2:11" s="3" customFormat="1">
      <c r="B4473" s="3" t="s">
        <v>2143</v>
      </c>
      <c r="C4473" s="8">
        <v>4</v>
      </c>
      <c r="D4473" s="3" t="s">
        <v>2898</v>
      </c>
      <c r="E4473" s="11" t="s">
        <v>30</v>
      </c>
      <c r="F4473" s="11"/>
      <c r="G4473" s="12">
        <f>+G4470-G4472</f>
        <v>28051</v>
      </c>
      <c r="H4473" s="13">
        <f>ROUND(G4473/2,0)</f>
        <v>14026</v>
      </c>
      <c r="I4473" s="12">
        <f>G4473-H4473</f>
        <v>14025</v>
      </c>
      <c r="J4473" s="3" t="str">
        <f t="shared" si="321"/>
        <v>5946155</v>
      </c>
    </row>
    <row r="4474" spans="2:11" s="3" customFormat="1">
      <c r="B4474" s="3" t="s">
        <v>2143</v>
      </c>
      <c r="C4474" s="8">
        <v>4</v>
      </c>
      <c r="D4474" s="3" t="s">
        <v>2899</v>
      </c>
      <c r="E4474" s="11" t="s">
        <v>1353</v>
      </c>
      <c r="F4474" s="10">
        <v>8.4295999999999996E-2</v>
      </c>
      <c r="G4474" s="9">
        <f>ROUND(G$3*F4474,0)</f>
        <v>24254</v>
      </c>
      <c r="H4474" s="11">
        <f>ROUND(G4474/2,0)</f>
        <v>12127</v>
      </c>
      <c r="I4474" s="9">
        <f>G4474-H4474</f>
        <v>12127</v>
      </c>
      <c r="J4474" s="3" t="str">
        <f t="shared" si="321"/>
        <v>5946160</v>
      </c>
    </row>
    <row r="4475" spans="2:11" s="3" customFormat="1">
      <c r="B4475" s="3" t="s">
        <v>2143</v>
      </c>
      <c r="C4475" s="8">
        <v>4</v>
      </c>
      <c r="D4475" s="3" t="s">
        <v>2899</v>
      </c>
      <c r="E4475" s="11" t="s">
        <v>28</v>
      </c>
      <c r="F4475" s="11"/>
      <c r="G4475" s="14">
        <v>0.38762000000000002</v>
      </c>
      <c r="H4475" s="11"/>
      <c r="I4475" s="11"/>
      <c r="J4475" s="3" t="str">
        <f t="shared" si="321"/>
        <v>5946160</v>
      </c>
    </row>
    <row r="4476" spans="2:11" s="3" customFormat="1">
      <c r="B4476" s="3" t="s">
        <v>2143</v>
      </c>
      <c r="C4476" s="8">
        <v>4</v>
      </c>
      <c r="D4476" s="3" t="s">
        <v>2899</v>
      </c>
      <c r="E4476" s="11" t="s">
        <v>29</v>
      </c>
      <c r="F4476" s="11"/>
      <c r="G4476" s="15">
        <f>ROUND(G4474*G4475,0)</f>
        <v>9401</v>
      </c>
      <c r="H4476" s="16">
        <f t="shared" ref="H4476:H4482" si="325">ROUND(G4476/2,0)</f>
        <v>4701</v>
      </c>
      <c r="I4476" s="15">
        <f t="shared" ref="I4476:I4482" si="326">G4476-H4476</f>
        <v>4700</v>
      </c>
      <c r="J4476" s="3" t="str">
        <f t="shared" si="321"/>
        <v>5946160</v>
      </c>
    </row>
    <row r="4477" spans="2:11" s="3" customFormat="1">
      <c r="B4477" s="3" t="s">
        <v>2143</v>
      </c>
      <c r="C4477" s="8">
        <v>4</v>
      </c>
      <c r="D4477" s="3" t="s">
        <v>2899</v>
      </c>
      <c r="E4477" s="11" t="s">
        <v>30</v>
      </c>
      <c r="F4477" s="11"/>
      <c r="G4477" s="12">
        <f>+G4474-G4476</f>
        <v>14853</v>
      </c>
      <c r="H4477" s="13">
        <f t="shared" si="325"/>
        <v>7427</v>
      </c>
      <c r="I4477" s="12">
        <f t="shared" si="326"/>
        <v>7426</v>
      </c>
      <c r="J4477" s="3" t="str">
        <f t="shared" si="321"/>
        <v>5946160</v>
      </c>
    </row>
    <row r="4478" spans="2:11" s="3" customFormat="1">
      <c r="B4478" s="3" t="s">
        <v>2143</v>
      </c>
      <c r="C4478" s="8">
        <v>5</v>
      </c>
      <c r="D4478" s="3" t="s">
        <v>5265</v>
      </c>
      <c r="E4478" s="11" t="s">
        <v>1354</v>
      </c>
      <c r="F4478" s="10">
        <v>2.1259999999999999E-3</v>
      </c>
      <c r="G4478" s="120">
        <f>ROUND(G$3*F4478,0)</f>
        <v>612</v>
      </c>
      <c r="H4478" s="120">
        <f t="shared" si="325"/>
        <v>306</v>
      </c>
      <c r="I4478" s="120">
        <f t="shared" si="326"/>
        <v>306</v>
      </c>
      <c r="J4478" s="3" t="str">
        <f t="shared" si="321"/>
        <v>5950173</v>
      </c>
    </row>
    <row r="4479" spans="2:11" s="3" customFormat="1">
      <c r="B4479" s="3" t="s">
        <v>2143</v>
      </c>
      <c r="C4479" s="8">
        <v>5</v>
      </c>
      <c r="D4479" s="3" t="s">
        <v>2900</v>
      </c>
      <c r="E4479" s="11" t="s">
        <v>1355</v>
      </c>
      <c r="F4479" s="10">
        <v>9.0720000000000002E-3</v>
      </c>
      <c r="G4479" s="120">
        <f>ROUND(G$3*F4479,0)</f>
        <v>2610</v>
      </c>
      <c r="H4479" s="120">
        <f t="shared" si="325"/>
        <v>1305</v>
      </c>
      <c r="I4479" s="120">
        <f t="shared" si="326"/>
        <v>1305</v>
      </c>
      <c r="J4479" s="3" t="str">
        <f t="shared" si="321"/>
        <v>5950171</v>
      </c>
    </row>
    <row r="4480" spans="2:11" s="3" customFormat="1">
      <c r="B4480" s="3" t="s">
        <v>2143</v>
      </c>
      <c r="C4480" s="8">
        <v>5</v>
      </c>
      <c r="D4480" s="3" t="s">
        <v>2901</v>
      </c>
      <c r="E4480" s="11" t="s">
        <v>1356</v>
      </c>
      <c r="F4480" s="10">
        <v>3.039E-3</v>
      </c>
      <c r="G4480" s="120">
        <f>ROUND(G$3*F4480,0)</f>
        <v>874</v>
      </c>
      <c r="H4480" s="120">
        <f t="shared" si="325"/>
        <v>437</v>
      </c>
      <c r="I4480" s="120">
        <f t="shared" si="326"/>
        <v>437</v>
      </c>
      <c r="J4480" s="3" t="str">
        <f t="shared" si="321"/>
        <v>5950172</v>
      </c>
    </row>
    <row r="4481" spans="2:10" s="3" customFormat="1">
      <c r="B4481" s="3" t="s">
        <v>2143</v>
      </c>
      <c r="C4481" s="8">
        <v>6</v>
      </c>
      <c r="D4481" s="3" t="s">
        <v>5267</v>
      </c>
      <c r="E4481" s="11" t="s">
        <v>1357</v>
      </c>
      <c r="F4481" s="10">
        <v>1.1257E-2</v>
      </c>
      <c r="G4481" s="120">
        <f>ROUND(G$3*F4481,0)</f>
        <v>3239</v>
      </c>
      <c r="H4481" s="120">
        <f t="shared" si="325"/>
        <v>1620</v>
      </c>
      <c r="I4481" s="120">
        <f t="shared" si="326"/>
        <v>1619</v>
      </c>
      <c r="J4481" s="3" t="str">
        <f t="shared" si="321"/>
        <v>5960992</v>
      </c>
    </row>
    <row r="4482" spans="2:10" s="3" customFormat="1">
      <c r="B4482" s="3" t="s">
        <v>2143</v>
      </c>
      <c r="C4482" s="8">
        <v>6</v>
      </c>
      <c r="D4482" s="116" t="s">
        <v>5269</v>
      </c>
      <c r="E4482" s="11" t="s">
        <v>1358</v>
      </c>
      <c r="F4482" s="10">
        <v>1.2817000000000078E-2</v>
      </c>
      <c r="G4482" s="120">
        <f>+G4426-SUM(G4427:G4428)-SUM(G4433:G4466)-G4470-G4474-SUM(G4478:G4481)</f>
        <v>68359</v>
      </c>
      <c r="H4482" s="120">
        <f t="shared" si="325"/>
        <v>34180</v>
      </c>
      <c r="I4482" s="120">
        <f t="shared" si="326"/>
        <v>34179</v>
      </c>
      <c r="J4482" s="3" t="str">
        <f t="shared" si="321"/>
        <v>5961063</v>
      </c>
    </row>
    <row r="4483" spans="2:10" s="3" customFormat="1">
      <c r="B4483" s="3" t="s">
        <v>2143</v>
      </c>
      <c r="C4483" s="8">
        <v>0</v>
      </c>
      <c r="D4483" s="125" t="s">
        <v>2187</v>
      </c>
      <c r="E4483" s="28" t="s">
        <v>288</v>
      </c>
      <c r="F4483" s="10">
        <v>1</v>
      </c>
      <c r="G4483" s="12">
        <f>+G4427+SUM(G4430:G4465)+SUM(G4468:G4469)+SUM(G4472:G4473)+SUM(G4476:G4482)</f>
        <v>352394</v>
      </c>
      <c r="H4483" s="12">
        <f>+H4427+SUM(H4430:H4465)+SUM(H4468:H4469)+SUM(H4472:H4473)+SUM(H4476:H4482)</f>
        <v>176205</v>
      </c>
      <c r="I4483" s="12">
        <f>+I4427+SUM(I4430:I4465)+SUM(I4468:I4469)+SUM(I4472:I4473)+SUM(I4476:I4482)</f>
        <v>176189</v>
      </c>
      <c r="J4483" s="3" t="str">
        <f t="shared" si="321"/>
        <v>5900000</v>
      </c>
    </row>
    <row r="4484" spans="2:10" s="3" customFormat="1">
      <c r="B4484" s="3" t="s">
        <v>2143</v>
      </c>
      <c r="C4484" s="8">
        <v>0</v>
      </c>
      <c r="D4484" s="3" t="s">
        <v>2187</v>
      </c>
      <c r="E4484" s="18" t="s">
        <v>38</v>
      </c>
      <c r="G4484" s="19">
        <f>+G4427</f>
        <v>434</v>
      </c>
      <c r="H4484" s="19">
        <f>+H4427</f>
        <v>217</v>
      </c>
      <c r="I4484" s="19">
        <f>+I4427</f>
        <v>217</v>
      </c>
      <c r="J4484" s="3" t="str">
        <f t="shared" ref="J4484:J4547" si="327">B4484&amp;C4484&amp;D4484</f>
        <v>5900000</v>
      </c>
    </row>
    <row r="4485" spans="2:10" s="3" customFormat="1">
      <c r="B4485" s="3" t="s">
        <v>2143</v>
      </c>
      <c r="C4485" s="8">
        <v>0</v>
      </c>
      <c r="D4485" s="3" t="s">
        <v>2187</v>
      </c>
      <c r="E4485" s="2" t="s">
        <v>39</v>
      </c>
      <c r="G4485" s="19">
        <f>+G4430</f>
        <v>7604</v>
      </c>
      <c r="H4485" s="19">
        <f>+H4430</f>
        <v>3802</v>
      </c>
      <c r="I4485" s="19">
        <f>+I4430</f>
        <v>3802</v>
      </c>
      <c r="J4485" s="3" t="str">
        <f t="shared" si="327"/>
        <v>5900000</v>
      </c>
    </row>
    <row r="4486" spans="2:10" s="3" customFormat="1">
      <c r="B4486" s="3" t="s">
        <v>2143</v>
      </c>
      <c r="C4486" s="8">
        <v>0</v>
      </c>
      <c r="D4486" s="3" t="s">
        <v>2187</v>
      </c>
      <c r="E4486" s="2" t="s">
        <v>40</v>
      </c>
      <c r="G4486" s="19">
        <f>+G4468+G4472+G4476</f>
        <v>78406</v>
      </c>
      <c r="H4486" s="19">
        <f>+H4468+H4472+H4476</f>
        <v>39204</v>
      </c>
      <c r="I4486" s="19">
        <f>+I4468+I4472+I4476</f>
        <v>39202</v>
      </c>
      <c r="J4486" s="3" t="str">
        <f t="shared" si="327"/>
        <v>5900000</v>
      </c>
    </row>
    <row r="4487" spans="2:10" s="3" customFormat="1">
      <c r="B4487" s="3" t="s">
        <v>2143</v>
      </c>
      <c r="C4487" s="8">
        <v>0</v>
      </c>
      <c r="D4487" s="125" t="s">
        <v>2187</v>
      </c>
      <c r="E4487" s="18" t="s">
        <v>41</v>
      </c>
      <c r="G4487" s="19">
        <f>+G4483-G4484-G4485-G4486</f>
        <v>265950</v>
      </c>
      <c r="H4487" s="19">
        <f>+H4483-H4484-H4485-H4486</f>
        <v>132982</v>
      </c>
      <c r="I4487" s="19">
        <f>+I4483-I4484-I4485-I4486</f>
        <v>132968</v>
      </c>
      <c r="J4487" s="3" t="str">
        <f t="shared" si="327"/>
        <v>5900000</v>
      </c>
    </row>
    <row r="4488" spans="2:10" ht="15.75">
      <c r="B4488" s="3" t="s">
        <v>2186</v>
      </c>
      <c r="D4488" t="s">
        <v>2186</v>
      </c>
      <c r="E4488">
        <v>0</v>
      </c>
      <c r="G4488"/>
      <c r="H4488"/>
      <c r="I4488"/>
      <c r="J4488" s="3" t="str">
        <f t="shared" si="327"/>
        <v/>
      </c>
    </row>
    <row r="4489" spans="2:10" s="3" customFormat="1">
      <c r="C4489" s="1"/>
      <c r="D4489" s="3" t="s">
        <v>2186</v>
      </c>
      <c r="E4489" s="2" t="s">
        <v>1892</v>
      </c>
      <c r="J4489" s="3" t="str">
        <f t="shared" si="327"/>
        <v/>
      </c>
    </row>
    <row r="4490" spans="2:10" s="3" customFormat="1" ht="45">
      <c r="B4490" s="3" t="s">
        <v>2186</v>
      </c>
      <c r="C4490" s="1"/>
      <c r="D4490" s="3" t="s">
        <v>2186</v>
      </c>
      <c r="E4490" s="1">
        <v>0</v>
      </c>
      <c r="F4490" s="6" t="s">
        <v>1</v>
      </c>
      <c r="G4490" s="60">
        <f>'Allocation Worksheet'!H4490</f>
        <v>0</v>
      </c>
      <c r="H4490" s="60">
        <f>'Allocation Worksheet'!H4491</f>
        <v>0</v>
      </c>
      <c r="I4490" s="60">
        <f>'Allocation Worksheet'!H4492</f>
        <v>0</v>
      </c>
      <c r="J4490" s="3" t="str">
        <f t="shared" si="327"/>
        <v/>
      </c>
    </row>
    <row r="4491" spans="2:10" s="3" customFormat="1">
      <c r="C4491" s="7" t="s">
        <v>2087</v>
      </c>
      <c r="D4491" s="3" t="s">
        <v>2186</v>
      </c>
      <c r="E4491" s="7" t="s">
        <v>3</v>
      </c>
      <c r="F4491" s="10"/>
      <c r="G4491" s="9">
        <f>'Allocation Worksheet'!$D$63</f>
        <v>202322</v>
      </c>
      <c r="H4491" s="11"/>
      <c r="I4491" s="11"/>
      <c r="J4491" s="3" t="str">
        <f t="shared" si="327"/>
        <v>UT</v>
      </c>
    </row>
    <row r="4492" spans="2:10" s="3" customFormat="1">
      <c r="B4492" s="3" t="s">
        <v>2144</v>
      </c>
      <c r="C4492" s="8">
        <v>0</v>
      </c>
      <c r="D4492" s="3" t="s">
        <v>2187</v>
      </c>
      <c r="E4492" s="11" t="s">
        <v>4</v>
      </c>
      <c r="F4492" s="10">
        <v>9.8200000000000002E-4</v>
      </c>
      <c r="G4492" s="12">
        <f>ROUND(G$3*F4492,0)</f>
        <v>283</v>
      </c>
      <c r="H4492" s="13">
        <f>ROUND(G4492/2,0)</f>
        <v>142</v>
      </c>
      <c r="I4492" s="12">
        <f>G4492-H4492</f>
        <v>141</v>
      </c>
      <c r="J4492" s="3" t="str">
        <f t="shared" si="327"/>
        <v>6000000</v>
      </c>
    </row>
    <row r="4493" spans="2:10" s="3" customFormat="1">
      <c r="B4493" s="3" t="s">
        <v>2144</v>
      </c>
      <c r="C4493" s="8">
        <v>1</v>
      </c>
      <c r="D4493" s="3" t="s">
        <v>2187</v>
      </c>
      <c r="E4493" s="11" t="s">
        <v>1359</v>
      </c>
      <c r="F4493" s="10">
        <v>0.209061</v>
      </c>
      <c r="G4493" s="9">
        <f>ROUND(G$3*F4493,0)</f>
        <v>60152</v>
      </c>
      <c r="H4493" s="11">
        <f>ROUND(G4493/2,0)</f>
        <v>30076</v>
      </c>
      <c r="I4493" s="9">
        <f>G4493-H4493</f>
        <v>30076</v>
      </c>
      <c r="J4493" s="3" t="str">
        <f t="shared" si="327"/>
        <v>6010000</v>
      </c>
    </row>
    <row r="4494" spans="2:10" s="3" customFormat="1">
      <c r="B4494" s="3" t="s">
        <v>2144</v>
      </c>
      <c r="C4494" s="8">
        <v>1</v>
      </c>
      <c r="D4494" s="3" t="s">
        <v>2187</v>
      </c>
      <c r="E4494" s="11" t="s">
        <v>6</v>
      </c>
      <c r="F4494" s="11"/>
      <c r="G4494" s="14">
        <v>0.133632</v>
      </c>
      <c r="H4494" s="11"/>
      <c r="I4494" s="11"/>
      <c r="J4494" s="3" t="str">
        <f t="shared" si="327"/>
        <v>6010000</v>
      </c>
    </row>
    <row r="4495" spans="2:10" s="3" customFormat="1">
      <c r="B4495" s="3" t="s">
        <v>2144</v>
      </c>
      <c r="C4495" s="8">
        <v>1</v>
      </c>
      <c r="D4495" s="3" t="s">
        <v>2187</v>
      </c>
      <c r="E4495" s="11" t="s">
        <v>7</v>
      </c>
      <c r="F4495" s="11"/>
      <c r="G4495" s="15">
        <f>ROUND(G4493*G4494,0)</f>
        <v>8038</v>
      </c>
      <c r="H4495" s="16">
        <f>ROUND(G4495/2,0)</f>
        <v>4019</v>
      </c>
      <c r="I4495" s="15">
        <f>G4495-H4495</f>
        <v>4019</v>
      </c>
      <c r="J4495" s="3" t="str">
        <f t="shared" si="327"/>
        <v>6010000</v>
      </c>
    </row>
    <row r="4496" spans="2:10" s="3" customFormat="1">
      <c r="B4496" s="3" t="s">
        <v>2144</v>
      </c>
      <c r="C4496" s="8">
        <v>1</v>
      </c>
      <c r="D4496" s="3" t="s">
        <v>2187</v>
      </c>
      <c r="E4496" s="11" t="s">
        <v>8</v>
      </c>
      <c r="F4496" s="11"/>
      <c r="G4496" s="12">
        <f>+G4493-G4495</f>
        <v>52114</v>
      </c>
      <c r="H4496" s="13">
        <f>ROUND(G4496/2,0)</f>
        <v>26057</v>
      </c>
      <c r="I4496" s="12">
        <f>G4496-H4496</f>
        <v>26057</v>
      </c>
      <c r="J4496" s="3" t="str">
        <f t="shared" si="327"/>
        <v>6010000</v>
      </c>
    </row>
    <row r="4497" spans="2:10" s="3" customFormat="1">
      <c r="B4497" s="3" t="s">
        <v>2144</v>
      </c>
      <c r="C4497" s="8">
        <v>2</v>
      </c>
      <c r="D4497" s="3" t="s">
        <v>2188</v>
      </c>
      <c r="E4497" s="11" t="s">
        <v>81</v>
      </c>
      <c r="F4497" s="11"/>
      <c r="G4497" s="9"/>
      <c r="H4497" s="11"/>
      <c r="I4497" s="11"/>
      <c r="J4497" s="3" t="str">
        <f t="shared" si="327"/>
        <v>6020001</v>
      </c>
    </row>
    <row r="4498" spans="2:10" s="3" customFormat="1">
      <c r="B4498" s="3" t="s">
        <v>2144</v>
      </c>
      <c r="C4498" s="8">
        <v>2</v>
      </c>
      <c r="D4498" s="3" t="s">
        <v>2188</v>
      </c>
      <c r="E4498" s="11" t="s">
        <v>10</v>
      </c>
      <c r="F4498" s="10">
        <v>1.194E-3</v>
      </c>
      <c r="G4498" s="12">
        <f>ROUND(G$3*F4498,0)</f>
        <v>344</v>
      </c>
      <c r="H4498" s="13">
        <f>ROUND(G4498/2,0)</f>
        <v>172</v>
      </c>
      <c r="I4498" s="12">
        <f>G4498-H4498</f>
        <v>172</v>
      </c>
      <c r="J4498" s="3" t="str">
        <f t="shared" si="327"/>
        <v>6020001</v>
      </c>
    </row>
    <row r="4499" spans="2:10" s="3" customFormat="1">
      <c r="B4499" s="3" t="s">
        <v>2144</v>
      </c>
      <c r="C4499" s="8">
        <v>2</v>
      </c>
      <c r="D4499" s="3" t="s">
        <v>2188</v>
      </c>
      <c r="E4499" s="11" t="s">
        <v>11</v>
      </c>
      <c r="F4499" s="10">
        <v>8.5099999999999998E-4</v>
      </c>
      <c r="G4499" s="12">
        <f>ROUND(G$3*F4499,0)</f>
        <v>245</v>
      </c>
      <c r="H4499" s="13">
        <f>ROUND(G4499/2,0)</f>
        <v>123</v>
      </c>
      <c r="I4499" s="12">
        <f>G4499-H4499</f>
        <v>122</v>
      </c>
      <c r="J4499" s="3" t="str">
        <f t="shared" si="327"/>
        <v>6020001</v>
      </c>
    </row>
    <row r="4500" spans="2:10" s="3" customFormat="1">
      <c r="B4500" s="3" t="s">
        <v>2144</v>
      </c>
      <c r="C4500" s="8">
        <v>2</v>
      </c>
      <c r="D4500" s="3" t="s">
        <v>2189</v>
      </c>
      <c r="E4500" s="11" t="s">
        <v>372</v>
      </c>
      <c r="F4500" s="11"/>
      <c r="G4500" s="9"/>
      <c r="H4500" s="11"/>
      <c r="I4500" s="11"/>
      <c r="J4500" s="3" t="str">
        <f t="shared" si="327"/>
        <v>6020002</v>
      </c>
    </row>
    <row r="4501" spans="2:10" s="3" customFormat="1">
      <c r="B4501" s="3" t="s">
        <v>2144</v>
      </c>
      <c r="C4501" s="8">
        <v>2</v>
      </c>
      <c r="D4501" s="3" t="s">
        <v>2189</v>
      </c>
      <c r="E4501" s="11" t="s">
        <v>10</v>
      </c>
      <c r="F4501" s="10">
        <v>8.1000000000000004E-5</v>
      </c>
      <c r="G4501" s="12">
        <f>ROUND(G$3*F4501,0)</f>
        <v>23</v>
      </c>
      <c r="H4501" s="13">
        <f>ROUND(G4501/2,0)</f>
        <v>12</v>
      </c>
      <c r="I4501" s="12">
        <f>G4501-H4501</f>
        <v>11</v>
      </c>
      <c r="J4501" s="3" t="str">
        <f t="shared" si="327"/>
        <v>6020002</v>
      </c>
    </row>
    <row r="4502" spans="2:10" s="3" customFormat="1">
      <c r="B4502" s="3" t="s">
        <v>2144</v>
      </c>
      <c r="C4502" s="8">
        <v>2</v>
      </c>
      <c r="D4502" s="3" t="s">
        <v>2189</v>
      </c>
      <c r="E4502" s="11" t="s">
        <v>11</v>
      </c>
      <c r="F4502" s="10">
        <v>3.6000000000000001E-5</v>
      </c>
      <c r="G4502" s="12">
        <f>ROUND(G$3*F4502,0)</f>
        <v>10</v>
      </c>
      <c r="H4502" s="13">
        <f>ROUND(G4502/2,0)</f>
        <v>5</v>
      </c>
      <c r="I4502" s="12">
        <f>G4502-H4502</f>
        <v>5</v>
      </c>
      <c r="J4502" s="3" t="str">
        <f t="shared" si="327"/>
        <v>6020002</v>
      </c>
    </row>
    <row r="4503" spans="2:10" s="3" customFormat="1">
      <c r="B4503" s="3" t="s">
        <v>2144</v>
      </c>
      <c r="C4503" s="8">
        <v>2</v>
      </c>
      <c r="D4503" s="3" t="s">
        <v>2190</v>
      </c>
      <c r="E4503" s="11" t="s">
        <v>86</v>
      </c>
      <c r="F4503" s="11"/>
      <c r="G4503" s="9"/>
      <c r="H4503" s="11"/>
      <c r="I4503" s="11"/>
      <c r="J4503" s="3" t="str">
        <f t="shared" si="327"/>
        <v>6020003</v>
      </c>
    </row>
    <row r="4504" spans="2:10" s="3" customFormat="1">
      <c r="B4504" s="3" t="s">
        <v>2144</v>
      </c>
      <c r="C4504" s="8">
        <v>2</v>
      </c>
      <c r="D4504" s="3" t="s">
        <v>2190</v>
      </c>
      <c r="E4504" s="11" t="s">
        <v>10</v>
      </c>
      <c r="F4504" s="10">
        <v>8.1099999999999998E-4</v>
      </c>
      <c r="G4504" s="12">
        <f>ROUND(G$3*F4504,0)</f>
        <v>233</v>
      </c>
      <c r="H4504" s="13">
        <f>ROUND(G4504/2,0)</f>
        <v>117</v>
      </c>
      <c r="I4504" s="12">
        <f>G4504-H4504</f>
        <v>116</v>
      </c>
      <c r="J4504" s="3" t="str">
        <f t="shared" si="327"/>
        <v>6020003</v>
      </c>
    </row>
    <row r="4505" spans="2:10" s="3" customFormat="1">
      <c r="B4505" s="3" t="s">
        <v>2144</v>
      </c>
      <c r="C4505" s="8">
        <v>2</v>
      </c>
      <c r="D4505" s="3" t="s">
        <v>2190</v>
      </c>
      <c r="E4505" s="11" t="s">
        <v>11</v>
      </c>
      <c r="F4505" s="10">
        <v>1.35E-4</v>
      </c>
      <c r="G4505" s="12">
        <f>ROUND(G$3*F4505,0)</f>
        <v>39</v>
      </c>
      <c r="H4505" s="13">
        <f>ROUND(G4505/2,0)</f>
        <v>20</v>
      </c>
      <c r="I4505" s="12">
        <f>G4505-H4505</f>
        <v>19</v>
      </c>
      <c r="J4505" s="3" t="str">
        <f t="shared" si="327"/>
        <v>6020003</v>
      </c>
    </row>
    <row r="4506" spans="2:10" s="3" customFormat="1">
      <c r="B4506" s="3" t="s">
        <v>2144</v>
      </c>
      <c r="C4506" s="8">
        <v>2</v>
      </c>
      <c r="D4506" s="3" t="s">
        <v>2191</v>
      </c>
      <c r="E4506" s="11" t="s">
        <v>49</v>
      </c>
      <c r="F4506" s="11"/>
      <c r="G4506" s="9"/>
      <c r="H4506" s="11"/>
      <c r="I4506" s="11"/>
      <c r="J4506" s="3" t="str">
        <f t="shared" si="327"/>
        <v>6020004</v>
      </c>
    </row>
    <row r="4507" spans="2:10" s="3" customFormat="1">
      <c r="B4507" s="3" t="s">
        <v>2144</v>
      </c>
      <c r="C4507" s="8">
        <v>2</v>
      </c>
      <c r="D4507" s="3" t="s">
        <v>2191</v>
      </c>
      <c r="E4507" s="11" t="s">
        <v>10</v>
      </c>
      <c r="F4507" s="10">
        <v>1.22E-4</v>
      </c>
      <c r="G4507" s="12">
        <f>ROUND(G$3*F4507,0)</f>
        <v>35</v>
      </c>
      <c r="H4507" s="13">
        <f>ROUND(G4507/2,0)</f>
        <v>18</v>
      </c>
      <c r="I4507" s="12">
        <f>G4507-H4507</f>
        <v>17</v>
      </c>
      <c r="J4507" s="3" t="str">
        <f t="shared" si="327"/>
        <v>6020004</v>
      </c>
    </row>
    <row r="4508" spans="2:10" s="3" customFormat="1">
      <c r="B4508" s="3" t="s">
        <v>2144</v>
      </c>
      <c r="C4508" s="8">
        <v>2</v>
      </c>
      <c r="D4508" s="3" t="s">
        <v>2191</v>
      </c>
      <c r="E4508" s="11" t="s">
        <v>11</v>
      </c>
      <c r="F4508" s="10">
        <v>2.3E-5</v>
      </c>
      <c r="G4508" s="12">
        <f>ROUND(G$3*F4508,0)</f>
        <v>7</v>
      </c>
      <c r="H4508" s="13">
        <f>ROUND(G4508/2,0)</f>
        <v>4</v>
      </c>
      <c r="I4508" s="12">
        <f>G4508-H4508</f>
        <v>3</v>
      </c>
      <c r="J4508" s="3" t="str">
        <f t="shared" si="327"/>
        <v>6020004</v>
      </c>
    </row>
    <row r="4509" spans="2:10" s="3" customFormat="1">
      <c r="B4509" s="3" t="s">
        <v>2144</v>
      </c>
      <c r="C4509" s="8">
        <v>2</v>
      </c>
      <c r="D4509" s="3" t="s">
        <v>2192</v>
      </c>
      <c r="E4509" s="11" t="s">
        <v>14</v>
      </c>
      <c r="F4509" s="11"/>
      <c r="G4509" s="9"/>
      <c r="H4509" s="11"/>
      <c r="I4509" s="11"/>
      <c r="J4509" s="3" t="str">
        <f t="shared" si="327"/>
        <v>6020005</v>
      </c>
    </row>
    <row r="4510" spans="2:10" s="3" customFormat="1">
      <c r="B4510" s="3" t="s">
        <v>2144</v>
      </c>
      <c r="C4510" s="8">
        <v>2</v>
      </c>
      <c r="D4510" s="3" t="s">
        <v>2192</v>
      </c>
      <c r="E4510" s="11" t="s">
        <v>10</v>
      </c>
      <c r="F4510" s="10">
        <v>1.64E-3</v>
      </c>
      <c r="G4510" s="12">
        <f>ROUND(G$3*F4510,0)</f>
        <v>472</v>
      </c>
      <c r="H4510" s="13">
        <f>ROUND(G4510/2,0)</f>
        <v>236</v>
      </c>
      <c r="I4510" s="12">
        <f>G4510-H4510</f>
        <v>236</v>
      </c>
      <c r="J4510" s="3" t="str">
        <f t="shared" si="327"/>
        <v>6020005</v>
      </c>
    </row>
    <row r="4511" spans="2:10" s="3" customFormat="1">
      <c r="B4511" s="3" t="s">
        <v>2144</v>
      </c>
      <c r="C4511" s="8">
        <v>2</v>
      </c>
      <c r="D4511" s="3" t="s">
        <v>2192</v>
      </c>
      <c r="E4511" s="11" t="s">
        <v>11</v>
      </c>
      <c r="F4511" s="10">
        <v>7.3899999999999997E-4</v>
      </c>
      <c r="G4511" s="12">
        <f>ROUND(G$3*F4511,0)</f>
        <v>213</v>
      </c>
      <c r="H4511" s="13">
        <f>ROUND(G4511/2,0)</f>
        <v>107</v>
      </c>
      <c r="I4511" s="12">
        <f>G4511-H4511</f>
        <v>106</v>
      </c>
      <c r="J4511" s="3" t="str">
        <f t="shared" si="327"/>
        <v>6020005</v>
      </c>
    </row>
    <row r="4512" spans="2:10" s="3" customFormat="1">
      <c r="B4512" s="3" t="s">
        <v>2144</v>
      </c>
      <c r="C4512" s="8">
        <v>2</v>
      </c>
      <c r="D4512" s="3" t="s">
        <v>2193</v>
      </c>
      <c r="E4512" s="11" t="s">
        <v>291</v>
      </c>
      <c r="F4512" s="11"/>
      <c r="G4512" s="9"/>
      <c r="H4512" s="11"/>
      <c r="I4512" s="11"/>
      <c r="J4512" s="3" t="str">
        <f t="shared" si="327"/>
        <v>6020006</v>
      </c>
    </row>
    <row r="4513" spans="2:10" s="3" customFormat="1">
      <c r="B4513" s="3" t="s">
        <v>2144</v>
      </c>
      <c r="C4513" s="8">
        <v>2</v>
      </c>
      <c r="D4513" s="3" t="s">
        <v>2193</v>
      </c>
      <c r="E4513" s="11" t="s">
        <v>10</v>
      </c>
      <c r="F4513" s="10">
        <v>5.0000000000000004E-6</v>
      </c>
      <c r="G4513" s="12">
        <f>ROUND(G$3*F4513,0)</f>
        <v>1</v>
      </c>
      <c r="H4513" s="13">
        <f>ROUND(G4513/2,0)</f>
        <v>1</v>
      </c>
      <c r="I4513" s="12">
        <f>G4513-H4513</f>
        <v>0</v>
      </c>
      <c r="J4513" s="3" t="str">
        <f t="shared" si="327"/>
        <v>6020006</v>
      </c>
    </row>
    <row r="4514" spans="2:10" s="3" customFormat="1">
      <c r="B4514" s="3" t="s">
        <v>2144</v>
      </c>
      <c r="C4514" s="8">
        <v>2</v>
      </c>
      <c r="D4514" s="3" t="s">
        <v>2193</v>
      </c>
      <c r="E4514" s="11" t="s">
        <v>11</v>
      </c>
      <c r="F4514" s="10">
        <v>5.0000000000000004E-6</v>
      </c>
      <c r="G4514" s="12">
        <f>ROUND(G$3*F4514,0)</f>
        <v>1</v>
      </c>
      <c r="H4514" s="13">
        <f>ROUND(G4514/2,0)</f>
        <v>1</v>
      </c>
      <c r="I4514" s="12">
        <f>G4514-H4514</f>
        <v>0</v>
      </c>
      <c r="J4514" s="3" t="str">
        <f t="shared" si="327"/>
        <v>6020006</v>
      </c>
    </row>
    <row r="4515" spans="2:10" s="3" customFormat="1">
      <c r="B4515" s="3" t="s">
        <v>2144</v>
      </c>
      <c r="C4515" s="8">
        <v>2</v>
      </c>
      <c r="D4515" s="3" t="s">
        <v>2194</v>
      </c>
      <c r="E4515" s="11" t="s">
        <v>50</v>
      </c>
      <c r="F4515" s="11"/>
      <c r="G4515" s="9"/>
      <c r="H4515" s="11"/>
      <c r="I4515" s="11"/>
      <c r="J4515" s="3" t="str">
        <f t="shared" si="327"/>
        <v>6020007</v>
      </c>
    </row>
    <row r="4516" spans="2:10" s="3" customFormat="1">
      <c r="B4516" s="3" t="s">
        <v>2144</v>
      </c>
      <c r="C4516" s="8">
        <v>2</v>
      </c>
      <c r="D4516" s="3" t="s">
        <v>2194</v>
      </c>
      <c r="E4516" s="11" t="s">
        <v>10</v>
      </c>
      <c r="F4516" s="10">
        <v>2.6999999999999999E-5</v>
      </c>
      <c r="G4516" s="12">
        <f>ROUND(G$3*F4516,0)</f>
        <v>8</v>
      </c>
      <c r="H4516" s="13">
        <f>ROUND(G4516/2,0)</f>
        <v>4</v>
      </c>
      <c r="I4516" s="12">
        <f>G4516-H4516</f>
        <v>4</v>
      </c>
      <c r="J4516" s="3" t="str">
        <f t="shared" si="327"/>
        <v>6020007</v>
      </c>
    </row>
    <row r="4517" spans="2:10" s="3" customFormat="1">
      <c r="B4517" s="3" t="s">
        <v>2144</v>
      </c>
      <c r="C4517" s="8">
        <v>2</v>
      </c>
      <c r="D4517" s="3" t="s">
        <v>2194</v>
      </c>
      <c r="E4517" s="11" t="s">
        <v>11</v>
      </c>
      <c r="F4517" s="10">
        <v>9.0000000000000002E-6</v>
      </c>
      <c r="G4517" s="12">
        <f>ROUND(G$3*F4517,0)</f>
        <v>3</v>
      </c>
      <c r="H4517" s="13">
        <f>ROUND(G4517/2,0)</f>
        <v>2</v>
      </c>
      <c r="I4517" s="12">
        <f>G4517-H4517</f>
        <v>1</v>
      </c>
      <c r="J4517" s="3" t="str">
        <f t="shared" si="327"/>
        <v>6020007</v>
      </c>
    </row>
    <row r="4518" spans="2:10" s="3" customFormat="1">
      <c r="B4518" s="3" t="s">
        <v>2144</v>
      </c>
      <c r="C4518" s="8">
        <v>2</v>
      </c>
      <c r="D4518" s="3" t="s">
        <v>2195</v>
      </c>
      <c r="E4518" s="11" t="s">
        <v>53</v>
      </c>
      <c r="F4518" s="11"/>
      <c r="G4518" s="9"/>
      <c r="H4518" s="11"/>
      <c r="I4518" s="11"/>
      <c r="J4518" s="3" t="str">
        <f t="shared" si="327"/>
        <v>6020008</v>
      </c>
    </row>
    <row r="4519" spans="2:10" s="3" customFormat="1">
      <c r="B4519" s="3" t="s">
        <v>2144</v>
      </c>
      <c r="C4519" s="8">
        <v>2</v>
      </c>
      <c r="D4519" s="3" t="s">
        <v>2195</v>
      </c>
      <c r="E4519" s="11" t="s">
        <v>10</v>
      </c>
      <c r="F4519" s="10">
        <v>1.41E-3</v>
      </c>
      <c r="G4519" s="12">
        <f>ROUND(G$3*F4519,0)</f>
        <v>406</v>
      </c>
      <c r="H4519" s="13">
        <f>ROUND(G4519/2,0)</f>
        <v>203</v>
      </c>
      <c r="I4519" s="12">
        <f>G4519-H4519</f>
        <v>203</v>
      </c>
      <c r="J4519" s="3" t="str">
        <f t="shared" si="327"/>
        <v>6020008</v>
      </c>
    </row>
    <row r="4520" spans="2:10" s="3" customFormat="1">
      <c r="B4520" s="3" t="s">
        <v>2144</v>
      </c>
      <c r="C4520" s="8">
        <v>2</v>
      </c>
      <c r="D4520" s="3" t="s">
        <v>2195</v>
      </c>
      <c r="E4520" s="11" t="s">
        <v>11</v>
      </c>
      <c r="F4520" s="10">
        <v>5.5400000000000002E-4</v>
      </c>
      <c r="G4520" s="12">
        <f>ROUND(G$3*F4520,0)</f>
        <v>159</v>
      </c>
      <c r="H4520" s="13">
        <f>ROUND(G4520/2,0)</f>
        <v>80</v>
      </c>
      <c r="I4520" s="12">
        <f>G4520-H4520</f>
        <v>79</v>
      </c>
      <c r="J4520" s="3" t="str">
        <f t="shared" si="327"/>
        <v>6020008</v>
      </c>
    </row>
    <row r="4521" spans="2:10" s="3" customFormat="1">
      <c r="B4521" s="3" t="s">
        <v>2144</v>
      </c>
      <c r="C4521" s="8">
        <v>2</v>
      </c>
      <c r="D4521" s="3" t="s">
        <v>2196</v>
      </c>
      <c r="E4521" s="11" t="s">
        <v>568</v>
      </c>
      <c r="F4521" s="11"/>
      <c r="G4521" s="9"/>
      <c r="H4521" s="11"/>
      <c r="I4521" s="11"/>
      <c r="J4521" s="3" t="str">
        <f t="shared" si="327"/>
        <v>6020009</v>
      </c>
    </row>
    <row r="4522" spans="2:10" s="3" customFormat="1">
      <c r="B4522" s="3" t="s">
        <v>2144</v>
      </c>
      <c r="C4522" s="8">
        <v>2</v>
      </c>
      <c r="D4522" s="3" t="s">
        <v>2196</v>
      </c>
      <c r="E4522" s="11" t="s">
        <v>10</v>
      </c>
      <c r="F4522" s="10">
        <v>2.1599999999999999E-4</v>
      </c>
      <c r="G4522" s="12">
        <f>ROUND(G$3*F4522,0)</f>
        <v>62</v>
      </c>
      <c r="H4522" s="13">
        <f>ROUND(G4522/2,0)</f>
        <v>31</v>
      </c>
      <c r="I4522" s="12">
        <f>G4522-H4522</f>
        <v>31</v>
      </c>
      <c r="J4522" s="3" t="str">
        <f t="shared" si="327"/>
        <v>6020009</v>
      </c>
    </row>
    <row r="4523" spans="2:10" s="3" customFormat="1">
      <c r="B4523" s="3" t="s">
        <v>2144</v>
      </c>
      <c r="C4523" s="8">
        <v>2</v>
      </c>
      <c r="D4523" s="3" t="s">
        <v>2196</v>
      </c>
      <c r="E4523" s="11" t="s">
        <v>11</v>
      </c>
      <c r="F4523" s="10">
        <v>4.1E-5</v>
      </c>
      <c r="G4523" s="12">
        <f>ROUND(G$3*F4523,0)</f>
        <v>12</v>
      </c>
      <c r="H4523" s="13">
        <f>ROUND(G4523/2,0)</f>
        <v>6</v>
      </c>
      <c r="I4523" s="12">
        <f>G4523-H4523</f>
        <v>6</v>
      </c>
      <c r="J4523" s="3" t="str">
        <f t="shared" si="327"/>
        <v>6020009</v>
      </c>
    </row>
    <row r="4524" spans="2:10" s="3" customFormat="1">
      <c r="B4524" s="3" t="s">
        <v>2144</v>
      </c>
      <c r="C4524" s="8">
        <v>2</v>
      </c>
      <c r="D4524" s="3" t="s">
        <v>2197</v>
      </c>
      <c r="E4524" s="11" t="s">
        <v>691</v>
      </c>
      <c r="F4524" s="11"/>
      <c r="G4524" s="9"/>
      <c r="H4524" s="11"/>
      <c r="I4524" s="11"/>
      <c r="J4524" s="3" t="str">
        <f t="shared" si="327"/>
        <v>6020010</v>
      </c>
    </row>
    <row r="4525" spans="2:10" s="3" customFormat="1">
      <c r="B4525" s="3" t="s">
        <v>2144</v>
      </c>
      <c r="C4525" s="8">
        <v>2</v>
      </c>
      <c r="D4525" s="3" t="s">
        <v>2197</v>
      </c>
      <c r="E4525" s="11" t="s">
        <v>10</v>
      </c>
      <c r="F4525" s="10">
        <v>1.8000000000000001E-4</v>
      </c>
      <c r="G4525" s="12">
        <f>ROUND(G$3*F4525,0)</f>
        <v>52</v>
      </c>
      <c r="H4525" s="13">
        <f>ROUND(G4525/2,0)</f>
        <v>26</v>
      </c>
      <c r="I4525" s="12">
        <f>G4525-H4525</f>
        <v>26</v>
      </c>
      <c r="J4525" s="3" t="str">
        <f t="shared" si="327"/>
        <v>6020010</v>
      </c>
    </row>
    <row r="4526" spans="2:10" s="3" customFormat="1">
      <c r="B4526" s="3" t="s">
        <v>2144</v>
      </c>
      <c r="C4526" s="8">
        <v>2</v>
      </c>
      <c r="D4526" s="3" t="s">
        <v>2197</v>
      </c>
      <c r="E4526" s="11" t="s">
        <v>11</v>
      </c>
      <c r="F4526" s="10">
        <v>3.1999999999999999E-5</v>
      </c>
      <c r="G4526" s="12">
        <f>ROUND(G$3*F4526,0)</f>
        <v>9</v>
      </c>
      <c r="H4526" s="13">
        <f>ROUND(G4526/2,0)</f>
        <v>5</v>
      </c>
      <c r="I4526" s="12">
        <f>G4526-H4526</f>
        <v>4</v>
      </c>
      <c r="J4526" s="3" t="str">
        <f t="shared" si="327"/>
        <v>6020010</v>
      </c>
    </row>
    <row r="4527" spans="2:10" s="3" customFormat="1">
      <c r="B4527" s="3" t="s">
        <v>2144</v>
      </c>
      <c r="C4527" s="8">
        <v>2</v>
      </c>
      <c r="D4527" s="3" t="s">
        <v>2198</v>
      </c>
      <c r="E4527" s="11" t="s">
        <v>627</v>
      </c>
      <c r="F4527" s="11"/>
      <c r="G4527" s="9"/>
      <c r="H4527" s="11"/>
      <c r="I4527" s="11"/>
      <c r="J4527" s="3" t="str">
        <f t="shared" si="327"/>
        <v>6020011</v>
      </c>
    </row>
    <row r="4528" spans="2:10" s="3" customFormat="1">
      <c r="B4528" s="3" t="s">
        <v>2144</v>
      </c>
      <c r="C4528" s="8">
        <v>2</v>
      </c>
      <c r="D4528" s="3" t="s">
        <v>2198</v>
      </c>
      <c r="E4528" s="11" t="s">
        <v>10</v>
      </c>
      <c r="F4528" s="10">
        <v>4.3199999999999998E-4</v>
      </c>
      <c r="G4528" s="12">
        <f>ROUND(G$3*F4528,0)</f>
        <v>124</v>
      </c>
      <c r="H4528" s="13">
        <f>ROUND(G4528/2,0)</f>
        <v>62</v>
      </c>
      <c r="I4528" s="12">
        <f>G4528-H4528</f>
        <v>62</v>
      </c>
      <c r="J4528" s="3" t="str">
        <f t="shared" si="327"/>
        <v>6020011</v>
      </c>
    </row>
    <row r="4529" spans="1:10" s="3" customFormat="1">
      <c r="B4529" s="3" t="s">
        <v>2144</v>
      </c>
      <c r="C4529" s="8">
        <v>2</v>
      </c>
      <c r="D4529" s="3" t="s">
        <v>2198</v>
      </c>
      <c r="E4529" s="11" t="s">
        <v>11</v>
      </c>
      <c r="F4529" s="10">
        <v>1.9799999999999999E-4</v>
      </c>
      <c r="G4529" s="12">
        <f>ROUND(G$3*F4529,0)</f>
        <v>57</v>
      </c>
      <c r="H4529" s="13">
        <f>ROUND(G4529/2,0)</f>
        <v>29</v>
      </c>
      <c r="I4529" s="12">
        <f>G4529-H4529</f>
        <v>28</v>
      </c>
      <c r="J4529" s="3" t="str">
        <f t="shared" si="327"/>
        <v>6020011</v>
      </c>
    </row>
    <row r="4530" spans="1:10" s="3" customFormat="1">
      <c r="B4530" s="3" t="s">
        <v>2144</v>
      </c>
      <c r="C4530" s="8">
        <v>2</v>
      </c>
      <c r="D4530" s="3" t="s">
        <v>2199</v>
      </c>
      <c r="E4530" s="11" t="s">
        <v>22</v>
      </c>
      <c r="F4530" s="11"/>
      <c r="G4530" s="9"/>
      <c r="H4530" s="11"/>
      <c r="I4530" s="11"/>
      <c r="J4530" s="3" t="str">
        <f t="shared" si="327"/>
        <v>6020012</v>
      </c>
    </row>
    <row r="4531" spans="1:10" s="3" customFormat="1">
      <c r="B4531" s="3" t="s">
        <v>2144</v>
      </c>
      <c r="C4531" s="8">
        <v>2</v>
      </c>
      <c r="D4531" s="3" t="s">
        <v>2199</v>
      </c>
      <c r="E4531" s="11" t="s">
        <v>10</v>
      </c>
      <c r="F4531" s="10">
        <v>1.9661999999999999E-2</v>
      </c>
      <c r="G4531" s="12">
        <f>ROUND(G$3*F4531,0)</f>
        <v>5657</v>
      </c>
      <c r="H4531" s="13">
        <f>ROUND(G4531/2,0)</f>
        <v>2829</v>
      </c>
      <c r="I4531" s="12">
        <f>G4531-H4531</f>
        <v>2828</v>
      </c>
      <c r="J4531" s="3" t="str">
        <f t="shared" si="327"/>
        <v>6020012</v>
      </c>
    </row>
    <row r="4532" spans="1:10" s="3" customFormat="1">
      <c r="B4532" s="3" t="s">
        <v>2144</v>
      </c>
      <c r="C4532" s="8">
        <v>2</v>
      </c>
      <c r="D4532" s="3" t="s">
        <v>2199</v>
      </c>
      <c r="E4532" s="11" t="s">
        <v>11</v>
      </c>
      <c r="F4532" s="10">
        <v>1.0130999999999999E-2</v>
      </c>
      <c r="G4532" s="12">
        <f>ROUND(G$3*F4532,0)</f>
        <v>2915</v>
      </c>
      <c r="H4532" s="13">
        <f>ROUND(G4532/2,0)</f>
        <v>1458</v>
      </c>
      <c r="I4532" s="12">
        <f>G4532-H4532</f>
        <v>1457</v>
      </c>
      <c r="J4532" s="3" t="str">
        <f t="shared" si="327"/>
        <v>6020012</v>
      </c>
    </row>
    <row r="4533" spans="1:10" s="3" customFormat="1">
      <c r="B4533" s="3" t="s">
        <v>2144</v>
      </c>
      <c r="C4533" s="8">
        <v>2</v>
      </c>
      <c r="D4533" s="3" t="s">
        <v>2208</v>
      </c>
      <c r="E4533" s="11" t="s">
        <v>61</v>
      </c>
      <c r="F4533" s="11"/>
      <c r="G4533" s="9"/>
      <c r="H4533" s="11"/>
      <c r="I4533" s="11"/>
      <c r="J4533" s="3" t="str">
        <f t="shared" si="327"/>
        <v>6020013</v>
      </c>
    </row>
    <row r="4534" spans="1:10" s="3" customFormat="1">
      <c r="B4534" s="3" t="s">
        <v>2144</v>
      </c>
      <c r="C4534" s="8">
        <v>2</v>
      </c>
      <c r="D4534" s="3" t="s">
        <v>2208</v>
      </c>
      <c r="E4534" s="11" t="s">
        <v>10</v>
      </c>
      <c r="F4534" s="10">
        <v>1.26E-4</v>
      </c>
      <c r="G4534" s="12">
        <f>ROUND(G$3*F4534,0)</f>
        <v>36</v>
      </c>
      <c r="H4534" s="13">
        <f>ROUND(G4534/2,0)</f>
        <v>18</v>
      </c>
      <c r="I4534" s="12">
        <f>G4534-H4534</f>
        <v>18</v>
      </c>
      <c r="J4534" s="3" t="str">
        <f t="shared" si="327"/>
        <v>6020013</v>
      </c>
    </row>
    <row r="4535" spans="1:10" s="3" customFormat="1">
      <c r="B4535" s="3" t="s">
        <v>2144</v>
      </c>
      <c r="C4535" s="8">
        <v>2</v>
      </c>
      <c r="D4535" s="3" t="s">
        <v>2208</v>
      </c>
      <c r="E4535" s="11" t="s">
        <v>11</v>
      </c>
      <c r="F4535" s="10">
        <v>8.1000000000000004E-5</v>
      </c>
      <c r="G4535" s="12">
        <f>ROUND(G$3*F4535,0)</f>
        <v>23</v>
      </c>
      <c r="H4535" s="13">
        <f>ROUND(G4535/2,0)</f>
        <v>12</v>
      </c>
      <c r="I4535" s="12">
        <f>G4535-H4535</f>
        <v>11</v>
      </c>
      <c r="J4535" s="3" t="str">
        <f t="shared" si="327"/>
        <v>6020013</v>
      </c>
    </row>
    <row r="4536" spans="1:10" s="3" customFormat="1">
      <c r="A4536" s="3" t="s">
        <v>6269</v>
      </c>
      <c r="B4536" s="3" t="s">
        <v>2144</v>
      </c>
      <c r="C4536" s="8">
        <v>3</v>
      </c>
      <c r="D4536" s="3" t="s">
        <v>2739</v>
      </c>
      <c r="E4536" s="11" t="s">
        <v>1364</v>
      </c>
      <c r="F4536" s="10">
        <v>0</v>
      </c>
      <c r="G4536" s="12">
        <f>ROUND(G$3*F4536,0)</f>
        <v>0</v>
      </c>
      <c r="H4536" s="13">
        <f>ROUND(G4536/2,0)</f>
        <v>0</v>
      </c>
      <c r="I4536" s="12">
        <f>G4536-H4536</f>
        <v>0</v>
      </c>
      <c r="J4536" s="3" t="str">
        <f t="shared" si="327"/>
        <v>6030816</v>
      </c>
    </row>
    <row r="4537" spans="1:10" s="3" customFormat="1">
      <c r="B4537" s="3" t="s">
        <v>2144</v>
      </c>
      <c r="C4537" s="8">
        <v>3</v>
      </c>
      <c r="D4537" s="3" t="s">
        <v>2763</v>
      </c>
      <c r="E4537" s="11" t="s">
        <v>1363</v>
      </c>
      <c r="F4537" s="10">
        <v>6.2480000000000001E-3</v>
      </c>
      <c r="G4537" s="12">
        <f>ROUND(G$3*F4537,0)</f>
        <v>1798</v>
      </c>
      <c r="H4537" s="13">
        <f>ROUND(G4537/2,0)</f>
        <v>899</v>
      </c>
      <c r="I4537" s="12">
        <f>G4537-H4537</f>
        <v>899</v>
      </c>
      <c r="J4537" s="3" t="str">
        <f t="shared" si="327"/>
        <v>6030817</v>
      </c>
    </row>
    <row r="4538" spans="1:10" s="3" customFormat="1">
      <c r="B4538" s="3" t="s">
        <v>2144</v>
      </c>
      <c r="C4538" s="8">
        <v>4</v>
      </c>
      <c r="D4538" s="3" t="s">
        <v>2903</v>
      </c>
      <c r="E4538" s="11" t="s">
        <v>1362</v>
      </c>
      <c r="F4538" s="10">
        <v>3.4800999999999999E-2</v>
      </c>
      <c r="G4538" s="9">
        <f>ROUND(G$3*F4538,0)</f>
        <v>10013</v>
      </c>
      <c r="H4538" s="11">
        <f>ROUND(G4538/2,0)</f>
        <v>5007</v>
      </c>
      <c r="I4538" s="9">
        <f>G4538-H4538</f>
        <v>5006</v>
      </c>
      <c r="J4538" s="3" t="str">
        <f t="shared" si="327"/>
        <v>6046750</v>
      </c>
    </row>
    <row r="4539" spans="1:10" s="3" customFormat="1">
      <c r="B4539" s="3" t="s">
        <v>2144</v>
      </c>
      <c r="C4539" s="8">
        <v>4</v>
      </c>
      <c r="D4539" s="3" t="s">
        <v>2903</v>
      </c>
      <c r="E4539" s="11" t="s">
        <v>28</v>
      </c>
      <c r="F4539" s="11"/>
      <c r="G4539" s="14">
        <v>0.333783</v>
      </c>
      <c r="H4539" s="11"/>
      <c r="I4539" s="11"/>
      <c r="J4539" s="3" t="str">
        <f t="shared" si="327"/>
        <v>6046750</v>
      </c>
    </row>
    <row r="4540" spans="1:10" s="3" customFormat="1">
      <c r="B4540" s="3" t="s">
        <v>2144</v>
      </c>
      <c r="C4540" s="8">
        <v>4</v>
      </c>
      <c r="D4540" s="3" t="s">
        <v>2903</v>
      </c>
      <c r="E4540" s="11" t="s">
        <v>29</v>
      </c>
      <c r="F4540" s="11"/>
      <c r="G4540" s="15">
        <f>ROUND(G4538*G4539,0)</f>
        <v>3342</v>
      </c>
      <c r="H4540" s="16">
        <f>ROUND(G4540/2,0)</f>
        <v>1671</v>
      </c>
      <c r="I4540" s="15">
        <f>G4540-H4540</f>
        <v>1671</v>
      </c>
      <c r="J4540" s="3" t="str">
        <f t="shared" si="327"/>
        <v>6046750</v>
      </c>
    </row>
    <row r="4541" spans="1:10" s="3" customFormat="1">
      <c r="B4541" s="3" t="s">
        <v>2144</v>
      </c>
      <c r="C4541" s="8">
        <v>4</v>
      </c>
      <c r="D4541" s="3" t="s">
        <v>2903</v>
      </c>
      <c r="E4541" s="11" t="s">
        <v>30</v>
      </c>
      <c r="F4541" s="11"/>
      <c r="G4541" s="12">
        <f>+G4538-G4540</f>
        <v>6671</v>
      </c>
      <c r="H4541" s="13">
        <f>ROUND(G4541/2,0)</f>
        <v>3336</v>
      </c>
      <c r="I4541" s="12">
        <f>G4541-H4541</f>
        <v>3335</v>
      </c>
      <c r="J4541" s="3" t="str">
        <f t="shared" si="327"/>
        <v>6046750</v>
      </c>
    </row>
    <row r="4542" spans="1:10" s="3" customFormat="1">
      <c r="B4542" s="3" t="s">
        <v>2144</v>
      </c>
      <c r="C4542" s="8">
        <v>4</v>
      </c>
      <c r="D4542" s="3" t="s">
        <v>2902</v>
      </c>
      <c r="E4542" s="11" t="s">
        <v>1360</v>
      </c>
      <c r="F4542" s="10">
        <v>0.67374599999999996</v>
      </c>
      <c r="G4542" s="9">
        <f>ROUND(G$3*F4542,0)</f>
        <v>193852</v>
      </c>
      <c r="H4542" s="11">
        <f>ROUND(G4542/2,0)</f>
        <v>96926</v>
      </c>
      <c r="I4542" s="9">
        <f>G4542-H4542</f>
        <v>96926</v>
      </c>
      <c r="J4542" s="3" t="str">
        <f t="shared" si="327"/>
        <v>6046195</v>
      </c>
    </row>
    <row r="4543" spans="1:10" s="3" customFormat="1">
      <c r="B4543" s="3" t="s">
        <v>2144</v>
      </c>
      <c r="C4543" s="8">
        <v>4</v>
      </c>
      <c r="D4543" s="3" t="s">
        <v>2902</v>
      </c>
      <c r="E4543" s="11" t="s">
        <v>28</v>
      </c>
      <c r="F4543" s="11"/>
      <c r="G4543" s="14">
        <v>0.38364799999999999</v>
      </c>
      <c r="H4543" s="11"/>
      <c r="I4543" s="11"/>
      <c r="J4543" s="3" t="str">
        <f t="shared" si="327"/>
        <v>6046195</v>
      </c>
    </row>
    <row r="4544" spans="1:10" s="3" customFormat="1">
      <c r="B4544" s="3" t="s">
        <v>2144</v>
      </c>
      <c r="C4544" s="8">
        <v>4</v>
      </c>
      <c r="D4544" s="3" t="s">
        <v>2902</v>
      </c>
      <c r="E4544" s="11" t="s">
        <v>29</v>
      </c>
      <c r="F4544" s="11"/>
      <c r="G4544" s="15">
        <f>ROUND(G4542*G4543,0)</f>
        <v>74371</v>
      </c>
      <c r="H4544" s="16">
        <f>ROUND(G4544/2,0)</f>
        <v>37186</v>
      </c>
      <c r="I4544" s="15">
        <f>G4544-H4544</f>
        <v>37185</v>
      </c>
      <c r="J4544" s="3" t="str">
        <f t="shared" si="327"/>
        <v>6046195</v>
      </c>
    </row>
    <row r="4545" spans="1:10" s="3" customFormat="1">
      <c r="B4545" s="3" t="s">
        <v>2144</v>
      </c>
      <c r="C4545" s="8">
        <v>4</v>
      </c>
      <c r="D4545" s="3" t="s">
        <v>2902</v>
      </c>
      <c r="E4545" s="11" t="s">
        <v>30</v>
      </c>
      <c r="F4545" s="11"/>
      <c r="G4545" s="12">
        <f>+G4542-G4544</f>
        <v>119481</v>
      </c>
      <c r="H4545" s="13">
        <f>ROUND(G4545/2,0)</f>
        <v>59741</v>
      </c>
      <c r="I4545" s="12">
        <f>G4545-H4545</f>
        <v>59740</v>
      </c>
      <c r="J4545" s="3" t="str">
        <f t="shared" si="327"/>
        <v>6046195</v>
      </c>
    </row>
    <row r="4546" spans="1:10" s="3" customFormat="1">
      <c r="B4546" s="3" t="s">
        <v>2144</v>
      </c>
      <c r="C4546" s="8">
        <v>5</v>
      </c>
      <c r="D4546" s="3" t="s">
        <v>5293</v>
      </c>
      <c r="E4546" s="11" t="s">
        <v>1361</v>
      </c>
      <c r="F4546" s="10">
        <v>3.6421000000000037E-2</v>
      </c>
      <c r="G4546" s="120">
        <f>+G4491-SUM(G4492:G4493)-SUM(G4498:G4538)-G4542</f>
        <v>-74922</v>
      </c>
      <c r="H4546" s="120">
        <f>ROUND(G4546/2,0)</f>
        <v>-37461</v>
      </c>
      <c r="I4546" s="120">
        <f>G4546-H4546</f>
        <v>-37461</v>
      </c>
      <c r="J4546" s="3" t="str">
        <f t="shared" si="327"/>
        <v>6050264</v>
      </c>
    </row>
    <row r="4547" spans="1:10" s="3" customFormat="1">
      <c r="A4547" s="3" t="s">
        <v>6269</v>
      </c>
      <c r="B4547" s="3" t="s">
        <v>2144</v>
      </c>
      <c r="C4547" s="8">
        <v>6</v>
      </c>
      <c r="D4547" s="3" t="s">
        <v>6267</v>
      </c>
      <c r="E4547" s="11" t="s">
        <v>264</v>
      </c>
      <c r="F4547" s="10">
        <v>0</v>
      </c>
      <c r="G4547" s="120">
        <f>ROUND(G$3*F4547,0)</f>
        <v>0</v>
      </c>
      <c r="H4547" s="120">
        <f>ROUND(G4547/2,0)</f>
        <v>0</v>
      </c>
      <c r="I4547" s="120">
        <f>G4547-H4547</f>
        <v>0</v>
      </c>
      <c r="J4547" s="3" t="str">
        <f t="shared" si="327"/>
        <v>606XXXX</v>
      </c>
    </row>
    <row r="4548" spans="1:10" s="3" customFormat="1">
      <c r="B4548" s="3" t="s">
        <v>2144</v>
      </c>
      <c r="C4548" s="8">
        <v>0</v>
      </c>
      <c r="D4548" s="125" t="s">
        <v>2187</v>
      </c>
      <c r="E4548" s="28" t="s">
        <v>288</v>
      </c>
      <c r="F4548" s="10">
        <v>1</v>
      </c>
      <c r="G4548" s="43">
        <f>+G4492+SUM(G4495:G4537)+SUM(G4540:G4541)+SUM(G4544:G4547)</f>
        <v>202322</v>
      </c>
      <c r="H4548" s="43">
        <f>+H4492+SUM(H4495:H4537)+SUM(H4540:H4541)+SUM(H4544:H4547)</f>
        <v>101171</v>
      </c>
      <c r="I4548" s="43">
        <f>+I4492+SUM(I4495:I4537)+SUM(I4540:I4541)+SUM(I4544:I4547)</f>
        <v>101151</v>
      </c>
      <c r="J4548" s="3" t="str">
        <f t="shared" ref="J4548:J4611" si="328">B4548&amp;C4548&amp;D4548</f>
        <v>6000000</v>
      </c>
    </row>
    <row r="4549" spans="1:10" s="3" customFormat="1">
      <c r="B4549" s="3" t="s">
        <v>2144</v>
      </c>
      <c r="C4549" s="8">
        <v>0</v>
      </c>
      <c r="D4549" s="3" t="s">
        <v>2187</v>
      </c>
      <c r="E4549" s="18" t="s">
        <v>38</v>
      </c>
      <c r="G4549" s="19">
        <f>+G4492</f>
        <v>283</v>
      </c>
      <c r="H4549" s="19">
        <f>+H4492</f>
        <v>142</v>
      </c>
      <c r="I4549" s="19">
        <f>+I4492</f>
        <v>141</v>
      </c>
      <c r="J4549" s="3" t="str">
        <f t="shared" si="328"/>
        <v>6000000</v>
      </c>
    </row>
    <row r="4550" spans="1:10" s="3" customFormat="1">
      <c r="B4550" s="3" t="s">
        <v>2144</v>
      </c>
      <c r="C4550" s="8">
        <v>0</v>
      </c>
      <c r="D4550" s="3" t="s">
        <v>2187</v>
      </c>
      <c r="E4550" s="2" t="s">
        <v>39</v>
      </c>
      <c r="G4550" s="19">
        <f>+G4495</f>
        <v>8038</v>
      </c>
      <c r="H4550" s="19">
        <f>+H4495</f>
        <v>4019</v>
      </c>
      <c r="I4550" s="19">
        <f>+I4495</f>
        <v>4019</v>
      </c>
      <c r="J4550" s="3" t="str">
        <f t="shared" si="328"/>
        <v>6000000</v>
      </c>
    </row>
    <row r="4551" spans="1:10" s="3" customFormat="1">
      <c r="B4551" s="3" t="s">
        <v>2144</v>
      </c>
      <c r="C4551" s="8">
        <v>0</v>
      </c>
      <c r="D4551" s="3" t="s">
        <v>2187</v>
      </c>
      <c r="E4551" s="2" t="s">
        <v>40</v>
      </c>
      <c r="G4551" s="19">
        <f>+G4540+G4544</f>
        <v>77713</v>
      </c>
      <c r="H4551" s="19">
        <f>+H4540+H4544</f>
        <v>38857</v>
      </c>
      <c r="I4551" s="19">
        <f>+I4540+I4544</f>
        <v>38856</v>
      </c>
      <c r="J4551" s="3" t="str">
        <f t="shared" si="328"/>
        <v>6000000</v>
      </c>
    </row>
    <row r="4552" spans="1:10" s="3" customFormat="1">
      <c r="B4552" s="3" t="s">
        <v>2144</v>
      </c>
      <c r="C4552" s="8">
        <v>0</v>
      </c>
      <c r="D4552" s="125" t="s">
        <v>2187</v>
      </c>
      <c r="E4552" s="18" t="s">
        <v>41</v>
      </c>
      <c r="G4552" s="19">
        <f>+G4548-G4549-G4550-G4551</f>
        <v>116288</v>
      </c>
      <c r="H4552" s="19">
        <f>+H4548-H4549-H4550-H4551</f>
        <v>58153</v>
      </c>
      <c r="I4552" s="19">
        <f>+I4548-I4549-I4550-I4551</f>
        <v>58135</v>
      </c>
      <c r="J4552" s="3" t="str">
        <f t="shared" si="328"/>
        <v>6000000</v>
      </c>
    </row>
    <row r="4553" spans="1:10" ht="15.75">
      <c r="B4553" s="3" t="s">
        <v>2186</v>
      </c>
      <c r="D4553" t="s">
        <v>2186</v>
      </c>
      <c r="E4553">
        <v>0</v>
      </c>
      <c r="G4553"/>
      <c r="H4553"/>
      <c r="I4553"/>
      <c r="J4553" s="3" t="str">
        <f t="shared" si="328"/>
        <v/>
      </c>
    </row>
    <row r="4554" spans="1:10" s="3" customFormat="1">
      <c r="C4554" s="1"/>
      <c r="D4554" s="3" t="s">
        <v>2186</v>
      </c>
      <c r="E4554" s="2" t="s">
        <v>1365</v>
      </c>
      <c r="J4554" s="3" t="str">
        <f t="shared" si="328"/>
        <v/>
      </c>
    </row>
    <row r="4555" spans="1:10" s="3" customFormat="1" ht="45">
      <c r="B4555" s="3" t="s">
        <v>2186</v>
      </c>
      <c r="C4555" s="1"/>
      <c r="D4555" s="3" t="s">
        <v>2186</v>
      </c>
      <c r="E4555" s="1">
        <v>0</v>
      </c>
      <c r="F4555" s="6" t="s">
        <v>1</v>
      </c>
      <c r="G4555" s="60">
        <f>'Allocation Worksheet'!H4555</f>
        <v>0</v>
      </c>
      <c r="H4555" s="60">
        <f>'Allocation Worksheet'!H4556</f>
        <v>0</v>
      </c>
      <c r="I4555" s="60">
        <f>'Allocation Worksheet'!H4557</f>
        <v>0</v>
      </c>
      <c r="J4555" s="3" t="str">
        <f t="shared" si="328"/>
        <v/>
      </c>
    </row>
    <row r="4556" spans="1:10" s="3" customFormat="1">
      <c r="C4556" s="7" t="s">
        <v>2087</v>
      </c>
      <c r="D4556" s="3" t="s">
        <v>2186</v>
      </c>
      <c r="E4556" s="7" t="s">
        <v>3</v>
      </c>
      <c r="F4556" s="10"/>
      <c r="G4556" s="9">
        <f>'Allocation Worksheet'!$D$64</f>
        <v>87404</v>
      </c>
      <c r="H4556" s="11"/>
      <c r="I4556" s="11"/>
      <c r="J4556" s="3" t="str">
        <f t="shared" si="328"/>
        <v>UT</v>
      </c>
    </row>
    <row r="4557" spans="1:10" s="3" customFormat="1">
      <c r="B4557" s="3" t="s">
        <v>2145</v>
      </c>
      <c r="C4557" s="8">
        <v>0</v>
      </c>
      <c r="D4557" s="3" t="s">
        <v>2187</v>
      </c>
      <c r="E4557" s="11" t="s">
        <v>4</v>
      </c>
      <c r="F4557" s="10">
        <v>1.178E-3</v>
      </c>
      <c r="G4557" s="12">
        <f>ROUND(G$3*F4557,0)</f>
        <v>339</v>
      </c>
      <c r="H4557" s="13">
        <f>ROUND(G4557/2,0)</f>
        <v>170</v>
      </c>
      <c r="I4557" s="12">
        <f>G4557-H4557</f>
        <v>169</v>
      </c>
      <c r="J4557" s="3" t="str">
        <f t="shared" si="328"/>
        <v>6100000</v>
      </c>
    </row>
    <row r="4558" spans="1:10" s="3" customFormat="1">
      <c r="B4558" s="3" t="s">
        <v>2145</v>
      </c>
      <c r="C4558" s="8">
        <v>1</v>
      </c>
      <c r="D4558" s="3" t="s">
        <v>2187</v>
      </c>
      <c r="E4558" s="11" t="s">
        <v>1366</v>
      </c>
      <c r="F4558" s="10">
        <v>0.239431</v>
      </c>
      <c r="G4558" s="9">
        <f>ROUND(G$3*F4558,0)</f>
        <v>68890</v>
      </c>
      <c r="H4558" s="11">
        <f>ROUND(G4558/2,0)</f>
        <v>34445</v>
      </c>
      <c r="I4558" s="9">
        <f>G4558-H4558</f>
        <v>34445</v>
      </c>
      <c r="J4558" s="3" t="str">
        <f t="shared" si="328"/>
        <v>6110000</v>
      </c>
    </row>
    <row r="4559" spans="1:10" s="3" customFormat="1">
      <c r="B4559" s="3" t="s">
        <v>2145</v>
      </c>
      <c r="C4559" s="8">
        <v>1</v>
      </c>
      <c r="D4559" s="3" t="s">
        <v>2187</v>
      </c>
      <c r="E4559" s="11" t="s">
        <v>6</v>
      </c>
      <c r="F4559" s="11"/>
      <c r="G4559" s="14">
        <v>0.12388299999999999</v>
      </c>
      <c r="H4559" s="11"/>
      <c r="I4559" s="11"/>
      <c r="J4559" s="3" t="str">
        <f t="shared" si="328"/>
        <v>6110000</v>
      </c>
    </row>
    <row r="4560" spans="1:10" s="3" customFormat="1">
      <c r="B4560" s="3" t="s">
        <v>2145</v>
      </c>
      <c r="C4560" s="8">
        <v>1</v>
      </c>
      <c r="D4560" s="3" t="s">
        <v>2187</v>
      </c>
      <c r="E4560" s="11" t="s">
        <v>7</v>
      </c>
      <c r="F4560" s="11"/>
      <c r="G4560" s="15">
        <f>ROUND(G4558*G4559,0)</f>
        <v>8534</v>
      </c>
      <c r="H4560" s="16">
        <f>ROUND(G4560/2,0)</f>
        <v>4267</v>
      </c>
      <c r="I4560" s="15">
        <f>G4560-H4560</f>
        <v>4267</v>
      </c>
      <c r="J4560" s="3" t="str">
        <f t="shared" si="328"/>
        <v>6110000</v>
      </c>
    </row>
    <row r="4561" spans="1:10" s="3" customFormat="1">
      <c r="B4561" s="3" t="s">
        <v>2145</v>
      </c>
      <c r="C4561" s="8">
        <v>1</v>
      </c>
      <c r="D4561" s="3" t="s">
        <v>2187</v>
      </c>
      <c r="E4561" s="11" t="s">
        <v>8</v>
      </c>
      <c r="F4561" s="11"/>
      <c r="G4561" s="12">
        <f>+G4558-G4560</f>
        <v>60356</v>
      </c>
      <c r="H4561" s="13">
        <f>ROUND(G4561/2,0)</f>
        <v>30178</v>
      </c>
      <c r="I4561" s="12">
        <f>G4561-H4561</f>
        <v>30178</v>
      </c>
      <c r="J4561" s="3" t="str">
        <f t="shared" si="328"/>
        <v>6110000</v>
      </c>
    </row>
    <row r="4562" spans="1:10" s="3" customFormat="1">
      <c r="B4562" s="3" t="s">
        <v>2145</v>
      </c>
      <c r="C4562" s="8">
        <v>2</v>
      </c>
      <c r="D4562" s="3" t="s">
        <v>2188</v>
      </c>
      <c r="E4562" s="11" t="s">
        <v>46</v>
      </c>
      <c r="F4562" s="11"/>
      <c r="G4562" s="9"/>
      <c r="H4562" s="11"/>
      <c r="I4562" s="11"/>
      <c r="J4562" s="3" t="str">
        <f t="shared" si="328"/>
        <v>6120001</v>
      </c>
    </row>
    <row r="4563" spans="1:10" s="3" customFormat="1">
      <c r="B4563" s="3" t="s">
        <v>2145</v>
      </c>
      <c r="C4563" s="8">
        <v>2</v>
      </c>
      <c r="D4563" s="3" t="s">
        <v>2188</v>
      </c>
      <c r="E4563" s="11" t="s">
        <v>10</v>
      </c>
      <c r="F4563" s="10">
        <v>1.1471E-2</v>
      </c>
      <c r="G4563" s="12">
        <f>ROUND(G$3*F4563,0)</f>
        <v>3300</v>
      </c>
      <c r="H4563" s="13">
        <f>ROUND(G4563/2,0)</f>
        <v>1650</v>
      </c>
      <c r="I4563" s="12">
        <f>G4563-H4563</f>
        <v>1650</v>
      </c>
      <c r="J4563" s="3" t="str">
        <f t="shared" si="328"/>
        <v>6120001</v>
      </c>
    </row>
    <row r="4564" spans="1:10" s="3" customFormat="1">
      <c r="B4564" s="3" t="s">
        <v>2145</v>
      </c>
      <c r="C4564" s="8">
        <v>2</v>
      </c>
      <c r="D4564" s="3" t="s">
        <v>2188</v>
      </c>
      <c r="E4564" s="11" t="s">
        <v>11</v>
      </c>
      <c r="F4564" s="10">
        <v>5.3810000000000004E-3</v>
      </c>
      <c r="G4564" s="12">
        <f>ROUND(G$3*F4564,0)</f>
        <v>1548</v>
      </c>
      <c r="H4564" s="13">
        <f>ROUND(G4564/2,0)</f>
        <v>774</v>
      </c>
      <c r="I4564" s="12">
        <f>G4564-H4564</f>
        <v>774</v>
      </c>
      <c r="J4564" s="3" t="str">
        <f t="shared" si="328"/>
        <v>6120001</v>
      </c>
    </row>
    <row r="4565" spans="1:10" s="3" customFormat="1">
      <c r="B4565" s="3" t="s">
        <v>2145</v>
      </c>
      <c r="C4565" s="8">
        <v>2</v>
      </c>
      <c r="D4565" s="3" t="s">
        <v>2189</v>
      </c>
      <c r="E4565" s="11" t="s">
        <v>1367</v>
      </c>
      <c r="F4565" s="11"/>
      <c r="G4565" s="9"/>
      <c r="H4565" s="11"/>
      <c r="I4565" s="11"/>
      <c r="J4565" s="3" t="str">
        <f t="shared" si="328"/>
        <v>6120002</v>
      </c>
    </row>
    <row r="4566" spans="1:10" s="3" customFormat="1">
      <c r="B4566" s="3" t="s">
        <v>2145</v>
      </c>
      <c r="C4566" s="8">
        <v>2</v>
      </c>
      <c r="D4566" s="3" t="s">
        <v>2189</v>
      </c>
      <c r="E4566" s="11" t="s">
        <v>10</v>
      </c>
      <c r="F4566" s="10">
        <v>1.0640000000000001E-3</v>
      </c>
      <c r="G4566" s="12">
        <f>ROUND(G$3*F4566,0)</f>
        <v>306</v>
      </c>
      <c r="H4566" s="13">
        <f>ROUND(G4566/2,0)</f>
        <v>153</v>
      </c>
      <c r="I4566" s="12">
        <f>G4566-H4566</f>
        <v>153</v>
      </c>
      <c r="J4566" s="3" t="str">
        <f t="shared" si="328"/>
        <v>6120002</v>
      </c>
    </row>
    <row r="4567" spans="1:10" s="3" customFormat="1">
      <c r="B4567" s="3" t="s">
        <v>2145</v>
      </c>
      <c r="C4567" s="8">
        <v>2</v>
      </c>
      <c r="D4567" s="3" t="s">
        <v>2189</v>
      </c>
      <c r="E4567" s="11" t="s">
        <v>11</v>
      </c>
      <c r="F4567" s="10">
        <v>8.7600000000000004E-4</v>
      </c>
      <c r="G4567" s="12">
        <f>ROUND(G$3*F4567,0)</f>
        <v>252</v>
      </c>
      <c r="H4567" s="13">
        <f>ROUND(G4567/2,0)</f>
        <v>126</v>
      </c>
      <c r="I4567" s="12">
        <f>G4567-H4567</f>
        <v>126</v>
      </c>
      <c r="J4567" s="3" t="str">
        <f t="shared" si="328"/>
        <v>6120002</v>
      </c>
    </row>
    <row r="4568" spans="1:10" s="3" customFormat="1">
      <c r="B4568" s="3" t="s">
        <v>2145</v>
      </c>
      <c r="C4568" s="8">
        <v>2</v>
      </c>
      <c r="D4568" s="3" t="s">
        <v>2190</v>
      </c>
      <c r="E4568" s="11" t="s">
        <v>855</v>
      </c>
      <c r="F4568" s="11"/>
      <c r="G4568" s="9"/>
      <c r="H4568" s="11"/>
      <c r="I4568" s="11"/>
      <c r="J4568" s="3" t="str">
        <f t="shared" si="328"/>
        <v>6120003</v>
      </c>
    </row>
    <row r="4569" spans="1:10" s="3" customFormat="1">
      <c r="B4569" s="3" t="s">
        <v>2145</v>
      </c>
      <c r="C4569" s="8">
        <v>2</v>
      </c>
      <c r="D4569" s="3" t="s">
        <v>2190</v>
      </c>
      <c r="E4569" s="11" t="s">
        <v>10</v>
      </c>
      <c r="F4569" s="10">
        <v>1.0640000000000001E-3</v>
      </c>
      <c r="G4569" s="12">
        <f>ROUND(G$3*F4569,0)</f>
        <v>306</v>
      </c>
      <c r="H4569" s="13">
        <f>ROUND(G4569/2,0)</f>
        <v>153</v>
      </c>
      <c r="I4569" s="12">
        <f>G4569-H4569</f>
        <v>153</v>
      </c>
      <c r="J4569" s="3" t="str">
        <f t="shared" si="328"/>
        <v>6120003</v>
      </c>
    </row>
    <row r="4570" spans="1:10" s="3" customFormat="1">
      <c r="B4570" s="3" t="s">
        <v>2145</v>
      </c>
      <c r="C4570" s="8">
        <v>2</v>
      </c>
      <c r="D4570" s="3" t="s">
        <v>2190</v>
      </c>
      <c r="E4570" s="11" t="s">
        <v>11</v>
      </c>
      <c r="F4570" s="10">
        <v>7.3999999999999999E-4</v>
      </c>
      <c r="G4570" s="12">
        <f>ROUND(G$3*F4570,0)</f>
        <v>213</v>
      </c>
      <c r="H4570" s="13">
        <f>ROUND(G4570/2,0)</f>
        <v>107</v>
      </c>
      <c r="I4570" s="12">
        <f>G4570-H4570</f>
        <v>106</v>
      </c>
      <c r="J4570" s="3" t="str">
        <f t="shared" si="328"/>
        <v>6120003</v>
      </c>
    </row>
    <row r="4571" spans="1:10" s="3" customFormat="1">
      <c r="B4571" s="3" t="s">
        <v>2145</v>
      </c>
      <c r="C4571" s="8">
        <v>2</v>
      </c>
      <c r="D4571" s="3" t="s">
        <v>2191</v>
      </c>
      <c r="E4571" s="11" t="s">
        <v>777</v>
      </c>
      <c r="F4571" s="11"/>
      <c r="G4571" s="9"/>
      <c r="H4571" s="11"/>
      <c r="I4571" s="11"/>
      <c r="J4571" s="3" t="str">
        <f t="shared" si="328"/>
        <v>6120004</v>
      </c>
    </row>
    <row r="4572" spans="1:10" s="3" customFormat="1">
      <c r="B4572" s="3" t="s">
        <v>2145</v>
      </c>
      <c r="C4572" s="8">
        <v>2</v>
      </c>
      <c r="D4572" s="3" t="s">
        <v>2191</v>
      </c>
      <c r="E4572" s="11" t="s">
        <v>10</v>
      </c>
      <c r="F4572" s="10">
        <v>3.1000000000000001E-5</v>
      </c>
      <c r="G4572" s="12">
        <f>ROUND(G$3*F4572,0)</f>
        <v>9</v>
      </c>
      <c r="H4572" s="13">
        <f>ROUND(G4572/2,0)</f>
        <v>5</v>
      </c>
      <c r="I4572" s="12">
        <f>G4572-H4572</f>
        <v>4</v>
      </c>
      <c r="J4572" s="3" t="str">
        <f t="shared" si="328"/>
        <v>6120004</v>
      </c>
    </row>
    <row r="4573" spans="1:10" s="3" customFormat="1">
      <c r="B4573" s="3" t="s">
        <v>2145</v>
      </c>
      <c r="C4573" s="8">
        <v>2</v>
      </c>
      <c r="D4573" s="3" t="s">
        <v>2191</v>
      </c>
      <c r="E4573" s="11" t="s">
        <v>11</v>
      </c>
      <c r="F4573" s="10">
        <v>1.0000000000000001E-5</v>
      </c>
      <c r="G4573" s="12">
        <f>ROUND(G$3*F4573,0)</f>
        <v>3</v>
      </c>
      <c r="H4573" s="13">
        <f>ROUND(G4573/2,0)</f>
        <v>2</v>
      </c>
      <c r="I4573" s="12">
        <f>G4573-H4573</f>
        <v>1</v>
      </c>
      <c r="J4573" s="3" t="str">
        <f t="shared" si="328"/>
        <v>6120004</v>
      </c>
    </row>
    <row r="4574" spans="1:10" s="3" customFormat="1">
      <c r="B4574" s="3" t="s">
        <v>2145</v>
      </c>
      <c r="C4574" s="8">
        <v>2</v>
      </c>
      <c r="D4574" s="3" t="s">
        <v>2192</v>
      </c>
      <c r="E4574" s="11" t="s">
        <v>49</v>
      </c>
      <c r="F4574" s="11"/>
      <c r="G4574" s="9"/>
      <c r="H4574" s="11"/>
      <c r="I4574" s="11"/>
      <c r="J4574" s="3" t="str">
        <f t="shared" si="328"/>
        <v>6120005</v>
      </c>
    </row>
    <row r="4575" spans="1:10" s="3" customFormat="1">
      <c r="A4575" s="3" t="s">
        <v>6269</v>
      </c>
      <c r="B4575" s="3" t="s">
        <v>2145</v>
      </c>
      <c r="C4575" s="8">
        <v>2</v>
      </c>
      <c r="D4575" s="3" t="s">
        <v>2192</v>
      </c>
      <c r="E4575" s="11" t="s">
        <v>10</v>
      </c>
      <c r="F4575" s="10">
        <v>0</v>
      </c>
      <c r="G4575" s="12">
        <f>ROUND(G$3*F4575,0)</f>
        <v>0</v>
      </c>
      <c r="H4575" s="13">
        <f>ROUND(G4575/2,0)</f>
        <v>0</v>
      </c>
      <c r="I4575" s="12">
        <f>G4575-H4575</f>
        <v>0</v>
      </c>
      <c r="J4575" s="3" t="str">
        <f t="shared" si="328"/>
        <v>6120005</v>
      </c>
    </row>
    <row r="4576" spans="1:10" s="3" customFormat="1">
      <c r="A4576" s="3" t="s">
        <v>6269</v>
      </c>
      <c r="B4576" s="3" t="s">
        <v>2145</v>
      </c>
      <c r="C4576" s="8">
        <v>2</v>
      </c>
      <c r="D4576" s="3" t="s">
        <v>2192</v>
      </c>
      <c r="E4576" s="11" t="s">
        <v>11</v>
      </c>
      <c r="F4576" s="10">
        <v>0</v>
      </c>
      <c r="G4576" s="12">
        <f>ROUND(G$3*F4576,0)</f>
        <v>0</v>
      </c>
      <c r="H4576" s="13">
        <f>ROUND(G4576/2,0)</f>
        <v>0</v>
      </c>
      <c r="I4576" s="12">
        <f>G4576-H4576</f>
        <v>0</v>
      </c>
      <c r="J4576" s="3" t="str">
        <f t="shared" si="328"/>
        <v>6120005</v>
      </c>
    </row>
    <row r="4577" spans="1:10" s="3" customFormat="1">
      <c r="B4577" s="3" t="s">
        <v>2145</v>
      </c>
      <c r="C4577" s="8">
        <v>2</v>
      </c>
      <c r="D4577" s="3" t="s">
        <v>2193</v>
      </c>
      <c r="E4577" s="11" t="s">
        <v>181</v>
      </c>
      <c r="F4577" s="11"/>
      <c r="G4577" s="9"/>
      <c r="H4577" s="11"/>
      <c r="I4577" s="11"/>
      <c r="J4577" s="3" t="str">
        <f t="shared" si="328"/>
        <v>6120006</v>
      </c>
    </row>
    <row r="4578" spans="1:10" s="3" customFormat="1">
      <c r="B4578" s="3" t="s">
        <v>2145</v>
      </c>
      <c r="C4578" s="8">
        <v>2</v>
      </c>
      <c r="D4578" s="3" t="s">
        <v>2193</v>
      </c>
      <c r="E4578" s="11" t="s">
        <v>10</v>
      </c>
      <c r="F4578" s="10">
        <v>3.5500000000000001E-4</v>
      </c>
      <c r="G4578" s="12">
        <f>ROUND(G$3*F4578,0)</f>
        <v>102</v>
      </c>
      <c r="H4578" s="13">
        <f>ROUND(G4578/2,0)</f>
        <v>51</v>
      </c>
      <c r="I4578" s="12">
        <f>G4578-H4578</f>
        <v>51</v>
      </c>
      <c r="J4578" s="3" t="str">
        <f t="shared" si="328"/>
        <v>6120006</v>
      </c>
    </row>
    <row r="4579" spans="1:10" s="3" customFormat="1">
      <c r="B4579" s="3" t="s">
        <v>2145</v>
      </c>
      <c r="C4579" s="8">
        <v>2</v>
      </c>
      <c r="D4579" s="3" t="s">
        <v>2193</v>
      </c>
      <c r="E4579" s="11" t="s">
        <v>11</v>
      </c>
      <c r="F4579" s="10">
        <v>2.0900000000000001E-4</v>
      </c>
      <c r="G4579" s="12">
        <f>ROUND(G$3*F4579,0)</f>
        <v>60</v>
      </c>
      <c r="H4579" s="13">
        <f>ROUND(G4579/2,0)</f>
        <v>30</v>
      </c>
      <c r="I4579" s="12">
        <f>G4579-H4579</f>
        <v>30</v>
      </c>
      <c r="J4579" s="3" t="str">
        <f t="shared" si="328"/>
        <v>6120006</v>
      </c>
    </row>
    <row r="4580" spans="1:10" s="3" customFormat="1">
      <c r="B4580" s="3" t="s">
        <v>2145</v>
      </c>
      <c r="C4580" s="8">
        <v>2</v>
      </c>
      <c r="D4580" s="3" t="s">
        <v>2194</v>
      </c>
      <c r="E4580" s="11" t="s">
        <v>857</v>
      </c>
      <c r="F4580" s="11"/>
      <c r="G4580" s="9"/>
      <c r="H4580" s="11"/>
      <c r="I4580" s="11"/>
      <c r="J4580" s="3" t="str">
        <f t="shared" si="328"/>
        <v>6120007</v>
      </c>
    </row>
    <row r="4581" spans="1:10" s="3" customFormat="1">
      <c r="B4581" s="3" t="s">
        <v>2145</v>
      </c>
      <c r="C4581" s="8">
        <v>2</v>
      </c>
      <c r="D4581" s="3" t="s">
        <v>2194</v>
      </c>
      <c r="E4581" s="11" t="s">
        <v>10</v>
      </c>
      <c r="F4581" s="10">
        <v>5.8399999999999999E-4</v>
      </c>
      <c r="G4581" s="12">
        <f>ROUND(G$3*F4581,0)</f>
        <v>168</v>
      </c>
      <c r="H4581" s="13">
        <f>ROUND(G4581/2,0)</f>
        <v>84</v>
      </c>
      <c r="I4581" s="12">
        <f>G4581-H4581</f>
        <v>84</v>
      </c>
      <c r="J4581" s="3" t="str">
        <f t="shared" si="328"/>
        <v>6120007</v>
      </c>
    </row>
    <row r="4582" spans="1:10" s="3" customFormat="1">
      <c r="B4582" s="3" t="s">
        <v>2145</v>
      </c>
      <c r="C4582" s="8">
        <v>2</v>
      </c>
      <c r="D4582" s="3" t="s">
        <v>2194</v>
      </c>
      <c r="E4582" s="11" t="s">
        <v>11</v>
      </c>
      <c r="F4582" s="10">
        <v>2.61E-4</v>
      </c>
      <c r="G4582" s="12">
        <f>ROUND(G$3*F4582,0)</f>
        <v>75</v>
      </c>
      <c r="H4582" s="13">
        <f>ROUND(G4582/2,0)</f>
        <v>38</v>
      </c>
      <c r="I4582" s="12">
        <f>G4582-H4582</f>
        <v>37</v>
      </c>
      <c r="J4582" s="3" t="str">
        <f t="shared" si="328"/>
        <v>6120007</v>
      </c>
    </row>
    <row r="4583" spans="1:10" s="3" customFormat="1">
      <c r="B4583" s="3" t="s">
        <v>2145</v>
      </c>
      <c r="C4583" s="8">
        <v>2</v>
      </c>
      <c r="D4583" s="3" t="s">
        <v>2195</v>
      </c>
      <c r="E4583" s="11" t="s">
        <v>1368</v>
      </c>
      <c r="F4583" s="11"/>
      <c r="G4583" s="9"/>
      <c r="H4583" s="11"/>
      <c r="I4583" s="11"/>
      <c r="J4583" s="3" t="str">
        <f t="shared" si="328"/>
        <v>6120008</v>
      </c>
    </row>
    <row r="4584" spans="1:10" s="3" customFormat="1">
      <c r="B4584" s="3" t="s">
        <v>2145</v>
      </c>
      <c r="C4584" s="8">
        <v>2</v>
      </c>
      <c r="D4584" s="3" t="s">
        <v>2195</v>
      </c>
      <c r="E4584" s="11" t="s">
        <v>10</v>
      </c>
      <c r="F4584" s="10">
        <v>5.2099999999999998E-4</v>
      </c>
      <c r="G4584" s="12">
        <f>ROUND(G$3*F4584,0)</f>
        <v>150</v>
      </c>
      <c r="H4584" s="13">
        <f>ROUND(G4584/2,0)</f>
        <v>75</v>
      </c>
      <c r="I4584" s="12">
        <f>G4584-H4584</f>
        <v>75</v>
      </c>
      <c r="J4584" s="3" t="str">
        <f t="shared" si="328"/>
        <v>6120008</v>
      </c>
    </row>
    <row r="4585" spans="1:10" s="3" customFormat="1">
      <c r="B4585" s="3" t="s">
        <v>2145</v>
      </c>
      <c r="C4585" s="8">
        <v>2</v>
      </c>
      <c r="D4585" s="3" t="s">
        <v>2195</v>
      </c>
      <c r="E4585" s="11" t="s">
        <v>11</v>
      </c>
      <c r="F4585" s="10">
        <v>2.5000000000000001E-4</v>
      </c>
      <c r="G4585" s="12">
        <f>ROUND(G$3*F4585,0)</f>
        <v>72</v>
      </c>
      <c r="H4585" s="13">
        <f>ROUND(G4585/2,0)</f>
        <v>36</v>
      </c>
      <c r="I4585" s="12">
        <f>G4585-H4585</f>
        <v>36</v>
      </c>
      <c r="J4585" s="3" t="str">
        <f t="shared" si="328"/>
        <v>6120008</v>
      </c>
    </row>
    <row r="4586" spans="1:10" s="3" customFormat="1">
      <c r="B4586" s="3" t="s">
        <v>2145</v>
      </c>
      <c r="C4586" s="8">
        <v>2</v>
      </c>
      <c r="D4586" s="3" t="s">
        <v>2196</v>
      </c>
      <c r="E4586" s="11" t="s">
        <v>1369</v>
      </c>
      <c r="F4586" s="11"/>
      <c r="G4586" s="9"/>
      <c r="H4586" s="11"/>
      <c r="I4586" s="11"/>
      <c r="J4586" s="3" t="str">
        <f t="shared" si="328"/>
        <v>6120009</v>
      </c>
    </row>
    <row r="4587" spans="1:10" s="3" customFormat="1">
      <c r="A4587" s="3" t="s">
        <v>6269</v>
      </c>
      <c r="B4587" s="3" t="s">
        <v>2145</v>
      </c>
      <c r="C4587" s="8">
        <v>2</v>
      </c>
      <c r="D4587" s="3" t="s">
        <v>2196</v>
      </c>
      <c r="E4587" s="11" t="s">
        <v>10</v>
      </c>
      <c r="F4587" s="10">
        <v>0</v>
      </c>
      <c r="G4587" s="12">
        <f>ROUND(G$3*F4587,0)</f>
        <v>0</v>
      </c>
      <c r="H4587" s="13">
        <f>ROUND(G4587/2,0)</f>
        <v>0</v>
      </c>
      <c r="I4587" s="12">
        <f>G4587-H4587</f>
        <v>0</v>
      </c>
      <c r="J4587" s="3" t="str">
        <f t="shared" si="328"/>
        <v>6120009</v>
      </c>
    </row>
    <row r="4588" spans="1:10" s="3" customFormat="1">
      <c r="A4588" s="3" t="s">
        <v>6269</v>
      </c>
      <c r="B4588" s="3" t="s">
        <v>2145</v>
      </c>
      <c r="C4588" s="8">
        <v>2</v>
      </c>
      <c r="D4588" s="3" t="s">
        <v>2196</v>
      </c>
      <c r="E4588" s="11" t="s">
        <v>11</v>
      </c>
      <c r="F4588" s="10">
        <v>0</v>
      </c>
      <c r="G4588" s="12">
        <f>ROUND(G$3*F4588,0)</f>
        <v>0</v>
      </c>
      <c r="H4588" s="13">
        <f>ROUND(G4588/2,0)</f>
        <v>0</v>
      </c>
      <c r="I4588" s="12">
        <f>G4588-H4588</f>
        <v>0</v>
      </c>
      <c r="J4588" s="3" t="str">
        <f t="shared" si="328"/>
        <v>6120009</v>
      </c>
    </row>
    <row r="4589" spans="1:10" s="3" customFormat="1">
      <c r="B4589" s="3" t="s">
        <v>2145</v>
      </c>
      <c r="C4589" s="8">
        <v>2</v>
      </c>
      <c r="D4589" s="3" t="s">
        <v>2197</v>
      </c>
      <c r="E4589" s="11" t="s">
        <v>149</v>
      </c>
      <c r="F4589" s="11"/>
      <c r="G4589" s="9"/>
      <c r="H4589" s="11"/>
      <c r="I4589" s="11"/>
      <c r="J4589" s="3" t="str">
        <f t="shared" si="328"/>
        <v>6120010</v>
      </c>
    </row>
    <row r="4590" spans="1:10" s="3" customFormat="1">
      <c r="A4590" s="3" t="s">
        <v>6269</v>
      </c>
      <c r="B4590" s="3" t="s">
        <v>2145</v>
      </c>
      <c r="C4590" s="8">
        <v>2</v>
      </c>
      <c r="D4590" s="3" t="s">
        <v>2197</v>
      </c>
      <c r="E4590" s="11" t="s">
        <v>10</v>
      </c>
      <c r="F4590" s="10">
        <v>0</v>
      </c>
      <c r="G4590" s="12">
        <f>ROUND(G$3*F4590,0)</f>
        <v>0</v>
      </c>
      <c r="H4590" s="13">
        <f>ROUND(G4590/2,0)</f>
        <v>0</v>
      </c>
      <c r="I4590" s="12">
        <f>G4590-H4590</f>
        <v>0</v>
      </c>
      <c r="J4590" s="3" t="str">
        <f t="shared" si="328"/>
        <v>6120010</v>
      </c>
    </row>
    <row r="4591" spans="1:10" s="3" customFormat="1">
      <c r="A4591" s="3" t="s">
        <v>6269</v>
      </c>
      <c r="B4591" s="3" t="s">
        <v>2145</v>
      </c>
      <c r="C4591" s="8">
        <v>2</v>
      </c>
      <c r="D4591" s="3" t="s">
        <v>2197</v>
      </c>
      <c r="E4591" s="11" t="s">
        <v>11</v>
      </c>
      <c r="F4591" s="10">
        <v>0</v>
      </c>
      <c r="G4591" s="12">
        <f>ROUND(G$3*F4591,0)</f>
        <v>0</v>
      </c>
      <c r="H4591" s="13">
        <f>ROUND(G4591/2,0)</f>
        <v>0</v>
      </c>
      <c r="I4591" s="12">
        <f>G4591-H4591</f>
        <v>0</v>
      </c>
      <c r="J4591" s="3" t="str">
        <f t="shared" si="328"/>
        <v>6120010</v>
      </c>
    </row>
    <row r="4592" spans="1:10" s="3" customFormat="1">
      <c r="B4592" s="3" t="s">
        <v>2145</v>
      </c>
      <c r="C4592" s="8">
        <v>2</v>
      </c>
      <c r="D4592" s="3" t="s">
        <v>2198</v>
      </c>
      <c r="E4592" s="11" t="s">
        <v>20</v>
      </c>
      <c r="F4592" s="11"/>
      <c r="G4592" s="9"/>
      <c r="H4592" s="11"/>
      <c r="I4592" s="11"/>
      <c r="J4592" s="3" t="str">
        <f t="shared" si="328"/>
        <v>6120011</v>
      </c>
    </row>
    <row r="4593" spans="1:10" s="3" customFormat="1">
      <c r="A4593" s="3" t="s">
        <v>6269</v>
      </c>
      <c r="B4593" s="3" t="s">
        <v>2145</v>
      </c>
      <c r="C4593" s="8">
        <v>2</v>
      </c>
      <c r="D4593" s="3" t="s">
        <v>2198</v>
      </c>
      <c r="E4593" s="11" t="s">
        <v>10</v>
      </c>
      <c r="F4593" s="10">
        <v>0</v>
      </c>
      <c r="G4593" s="12">
        <f>ROUND(G$3*F4593,0)</f>
        <v>0</v>
      </c>
      <c r="H4593" s="13">
        <f>ROUND(G4593/2,0)</f>
        <v>0</v>
      </c>
      <c r="I4593" s="12">
        <f>G4593-H4593</f>
        <v>0</v>
      </c>
      <c r="J4593" s="3" t="str">
        <f t="shared" si="328"/>
        <v>6120011</v>
      </c>
    </row>
    <row r="4594" spans="1:10" s="3" customFormat="1">
      <c r="A4594" s="3" t="s">
        <v>6269</v>
      </c>
      <c r="B4594" s="3" t="s">
        <v>2145</v>
      </c>
      <c r="C4594" s="8">
        <v>2</v>
      </c>
      <c r="D4594" s="3" t="s">
        <v>2198</v>
      </c>
      <c r="E4594" s="11" t="s">
        <v>11</v>
      </c>
      <c r="F4594" s="10">
        <v>0</v>
      </c>
      <c r="G4594" s="12">
        <f>ROUND(G$3*F4594,0)</f>
        <v>0</v>
      </c>
      <c r="H4594" s="13">
        <f>ROUND(G4594/2,0)</f>
        <v>0</v>
      </c>
      <c r="I4594" s="12">
        <f>G4594-H4594</f>
        <v>0</v>
      </c>
      <c r="J4594" s="3" t="str">
        <f t="shared" si="328"/>
        <v>6120011</v>
      </c>
    </row>
    <row r="4595" spans="1:10" s="3" customFormat="1">
      <c r="B4595" s="3" t="s">
        <v>2145</v>
      </c>
      <c r="C4595" s="8">
        <v>2</v>
      </c>
      <c r="D4595" s="3" t="s">
        <v>2199</v>
      </c>
      <c r="E4595" s="11" t="s">
        <v>21</v>
      </c>
      <c r="F4595" s="11"/>
      <c r="G4595" s="9"/>
      <c r="H4595" s="11"/>
      <c r="I4595" s="11"/>
      <c r="J4595" s="3" t="str">
        <f t="shared" si="328"/>
        <v>6120012</v>
      </c>
    </row>
    <row r="4596" spans="1:10" s="3" customFormat="1">
      <c r="B4596" s="3" t="s">
        <v>2145</v>
      </c>
      <c r="C4596" s="8">
        <v>2</v>
      </c>
      <c r="D4596" s="3" t="s">
        <v>2199</v>
      </c>
      <c r="E4596" s="11" t="s">
        <v>10</v>
      </c>
      <c r="F4596" s="10">
        <v>2.92E-4</v>
      </c>
      <c r="G4596" s="12">
        <f>ROUND(G$3*F4596,0)</f>
        <v>84</v>
      </c>
      <c r="H4596" s="13">
        <f>ROUND(G4596/2,0)</f>
        <v>42</v>
      </c>
      <c r="I4596" s="12">
        <f>G4596-H4596</f>
        <v>42</v>
      </c>
      <c r="J4596" s="3" t="str">
        <f t="shared" si="328"/>
        <v>6120012</v>
      </c>
    </row>
    <row r="4597" spans="1:10" s="3" customFormat="1">
      <c r="B4597" s="3" t="s">
        <v>2145</v>
      </c>
      <c r="C4597" s="8">
        <v>2</v>
      </c>
      <c r="D4597" s="3" t="s">
        <v>2199</v>
      </c>
      <c r="E4597" s="11" t="s">
        <v>11</v>
      </c>
      <c r="F4597" s="10">
        <v>4.6900000000000002E-4</v>
      </c>
      <c r="G4597" s="12">
        <f>ROUND(G$3*F4597,0)</f>
        <v>135</v>
      </c>
      <c r="H4597" s="13">
        <f>ROUND(G4597/2,0)</f>
        <v>68</v>
      </c>
      <c r="I4597" s="12">
        <f>G4597-H4597</f>
        <v>67</v>
      </c>
      <c r="J4597" s="3" t="str">
        <f t="shared" si="328"/>
        <v>6120012</v>
      </c>
    </row>
    <row r="4598" spans="1:10" s="3" customFormat="1">
      <c r="B4598" s="3" t="s">
        <v>2145</v>
      </c>
      <c r="C4598" s="8">
        <v>2</v>
      </c>
      <c r="D4598" s="3" t="s">
        <v>2208</v>
      </c>
      <c r="E4598" s="11" t="s">
        <v>22</v>
      </c>
      <c r="F4598" s="11"/>
      <c r="G4598" s="9"/>
      <c r="H4598" s="11"/>
      <c r="I4598" s="11"/>
      <c r="J4598" s="3" t="str">
        <f t="shared" si="328"/>
        <v>6120013</v>
      </c>
    </row>
    <row r="4599" spans="1:10" s="3" customFormat="1">
      <c r="B4599" s="3" t="s">
        <v>2145</v>
      </c>
      <c r="C4599" s="8">
        <v>2</v>
      </c>
      <c r="D4599" s="3" t="s">
        <v>2208</v>
      </c>
      <c r="E4599" s="11" t="s">
        <v>10</v>
      </c>
      <c r="F4599" s="10">
        <v>1.5430000000000001E-3</v>
      </c>
      <c r="G4599" s="12">
        <f t="shared" ref="G4599:G4607" si="329">ROUND(G$3*F4599,0)</f>
        <v>444</v>
      </c>
      <c r="H4599" s="13">
        <f t="shared" ref="H4599:H4607" si="330">ROUND(G4599/2,0)</f>
        <v>222</v>
      </c>
      <c r="I4599" s="12">
        <f t="shared" ref="I4599:I4607" si="331">G4599-H4599</f>
        <v>222</v>
      </c>
      <c r="J4599" s="3" t="str">
        <f t="shared" si="328"/>
        <v>6120013</v>
      </c>
    </row>
    <row r="4600" spans="1:10" s="3" customFormat="1">
      <c r="B4600" s="3" t="s">
        <v>2145</v>
      </c>
      <c r="C4600" s="8">
        <v>2</v>
      </c>
      <c r="D4600" s="3" t="s">
        <v>2208</v>
      </c>
      <c r="E4600" s="11" t="s">
        <v>11</v>
      </c>
      <c r="F4600" s="10">
        <v>9.3800000000000003E-4</v>
      </c>
      <c r="G4600" s="12">
        <f t="shared" si="329"/>
        <v>270</v>
      </c>
      <c r="H4600" s="13">
        <f t="shared" si="330"/>
        <v>135</v>
      </c>
      <c r="I4600" s="12">
        <f t="shared" si="331"/>
        <v>135</v>
      </c>
      <c r="J4600" s="3" t="str">
        <f t="shared" si="328"/>
        <v>6120013</v>
      </c>
    </row>
    <row r="4601" spans="1:10" s="3" customFormat="1">
      <c r="B4601" s="3" t="s">
        <v>2145</v>
      </c>
      <c r="C4601" s="8">
        <v>3</v>
      </c>
      <c r="D4601" s="3" t="s">
        <v>2905</v>
      </c>
      <c r="E4601" s="11" t="s">
        <v>1370</v>
      </c>
      <c r="F4601" s="10">
        <v>7.5100000000000004E-4</v>
      </c>
      <c r="G4601" s="12">
        <f t="shared" si="329"/>
        <v>216</v>
      </c>
      <c r="H4601" s="13">
        <f t="shared" si="330"/>
        <v>108</v>
      </c>
      <c r="I4601" s="12">
        <f t="shared" si="331"/>
        <v>108</v>
      </c>
      <c r="J4601" s="3" t="str">
        <f t="shared" si="328"/>
        <v>6130818</v>
      </c>
    </row>
    <row r="4602" spans="1:10" s="3" customFormat="1">
      <c r="A4602" s="3" t="s">
        <v>6269</v>
      </c>
      <c r="B4602" s="3" t="s">
        <v>2145</v>
      </c>
      <c r="C4602" s="8">
        <v>3</v>
      </c>
      <c r="D4602" s="3" t="s">
        <v>2813</v>
      </c>
      <c r="E4602" s="11" t="s">
        <v>1371</v>
      </c>
      <c r="F4602" s="10">
        <v>0</v>
      </c>
      <c r="G4602" s="12">
        <f t="shared" si="329"/>
        <v>0</v>
      </c>
      <c r="H4602" s="13">
        <f t="shared" si="330"/>
        <v>0</v>
      </c>
      <c r="I4602" s="12">
        <f t="shared" si="331"/>
        <v>0</v>
      </c>
      <c r="J4602" s="3" t="str">
        <f t="shared" si="328"/>
        <v>6130820</v>
      </c>
    </row>
    <row r="4603" spans="1:10" s="3" customFormat="1">
      <c r="B4603" s="3" t="s">
        <v>2145</v>
      </c>
      <c r="C4603" s="8">
        <v>3</v>
      </c>
      <c r="D4603" s="3" t="s">
        <v>2668</v>
      </c>
      <c r="E4603" s="11" t="s">
        <v>1372</v>
      </c>
      <c r="F4603" s="10">
        <v>3.1000000000000001E-5</v>
      </c>
      <c r="G4603" s="12">
        <f t="shared" si="329"/>
        <v>9</v>
      </c>
      <c r="H4603" s="13">
        <f t="shared" si="330"/>
        <v>5</v>
      </c>
      <c r="I4603" s="12">
        <f t="shared" si="331"/>
        <v>4</v>
      </c>
      <c r="J4603" s="3" t="str">
        <f t="shared" si="328"/>
        <v>6130954</v>
      </c>
    </row>
    <row r="4604" spans="1:10" s="3" customFormat="1">
      <c r="A4604" s="3" t="s">
        <v>6269</v>
      </c>
      <c r="B4604" s="3" t="s">
        <v>2145</v>
      </c>
      <c r="C4604" s="8">
        <v>3</v>
      </c>
      <c r="D4604" s="3" t="s">
        <v>2814</v>
      </c>
      <c r="E4604" s="11" t="s">
        <v>1373</v>
      </c>
      <c r="F4604" s="10">
        <v>0</v>
      </c>
      <c r="G4604" s="12">
        <f t="shared" si="329"/>
        <v>0</v>
      </c>
      <c r="H4604" s="13">
        <f t="shared" si="330"/>
        <v>0</v>
      </c>
      <c r="I4604" s="12">
        <f t="shared" si="331"/>
        <v>0</v>
      </c>
      <c r="J4604" s="3" t="str">
        <f t="shared" si="328"/>
        <v>6130821</v>
      </c>
    </row>
    <row r="4605" spans="1:10" s="3" customFormat="1">
      <c r="B4605" s="3" t="s">
        <v>2145</v>
      </c>
      <c r="C4605" s="8">
        <v>3</v>
      </c>
      <c r="D4605" s="3" t="s">
        <v>2815</v>
      </c>
      <c r="E4605" s="11" t="s">
        <v>1374</v>
      </c>
      <c r="F4605" s="10">
        <v>4.5997000000000003E-2</v>
      </c>
      <c r="G4605" s="12">
        <f t="shared" si="329"/>
        <v>13234</v>
      </c>
      <c r="H4605" s="13">
        <f t="shared" si="330"/>
        <v>6617</v>
      </c>
      <c r="I4605" s="12">
        <f t="shared" si="331"/>
        <v>6617</v>
      </c>
      <c r="J4605" s="3" t="str">
        <f t="shared" si="328"/>
        <v>6130822</v>
      </c>
    </row>
    <row r="4606" spans="1:10" s="3" customFormat="1">
      <c r="B4606" s="3" t="s">
        <v>2145</v>
      </c>
      <c r="C4606" s="8">
        <v>3</v>
      </c>
      <c r="D4606" s="3" t="s">
        <v>2906</v>
      </c>
      <c r="E4606" s="11" t="s">
        <v>1375</v>
      </c>
      <c r="F4606" s="10">
        <v>2.555E-3</v>
      </c>
      <c r="G4606" s="12">
        <f t="shared" si="329"/>
        <v>735</v>
      </c>
      <c r="H4606" s="13">
        <f t="shared" si="330"/>
        <v>368</v>
      </c>
      <c r="I4606" s="12">
        <f t="shared" si="331"/>
        <v>367</v>
      </c>
      <c r="J4606" s="3" t="str">
        <f t="shared" si="328"/>
        <v>6130823</v>
      </c>
    </row>
    <row r="4607" spans="1:10" s="3" customFormat="1">
      <c r="A4607" s="3" t="s">
        <v>6269</v>
      </c>
      <c r="B4607" s="3" t="s">
        <v>2145</v>
      </c>
      <c r="C4607" s="8">
        <v>4</v>
      </c>
      <c r="D4607" s="3" t="s">
        <v>2309</v>
      </c>
      <c r="E4607" s="11" t="s">
        <v>261</v>
      </c>
      <c r="F4607" s="10">
        <v>0</v>
      </c>
      <c r="G4607" s="9">
        <f t="shared" si="329"/>
        <v>0</v>
      </c>
      <c r="H4607" s="11">
        <f t="shared" si="330"/>
        <v>0</v>
      </c>
      <c r="I4607" s="9">
        <f t="shared" si="331"/>
        <v>0</v>
      </c>
      <c r="J4607" s="3" t="str">
        <f t="shared" si="328"/>
        <v>6141125</v>
      </c>
    </row>
    <row r="4608" spans="1:10" s="3" customFormat="1">
      <c r="B4608" s="3" t="s">
        <v>2145</v>
      </c>
      <c r="C4608" s="8">
        <v>4</v>
      </c>
      <c r="D4608" s="3" t="s">
        <v>2309</v>
      </c>
      <c r="E4608" s="11" t="s">
        <v>28</v>
      </c>
      <c r="F4608" s="11"/>
      <c r="G4608" s="14">
        <v>0.37726100000000001</v>
      </c>
      <c r="H4608" s="11"/>
      <c r="I4608" s="11"/>
      <c r="J4608" s="3" t="str">
        <f t="shared" si="328"/>
        <v>6141125</v>
      </c>
    </row>
    <row r="4609" spans="1:11" s="3" customFormat="1">
      <c r="B4609" s="3" t="s">
        <v>2145</v>
      </c>
      <c r="C4609" s="8">
        <v>4</v>
      </c>
      <c r="D4609" s="3" t="s">
        <v>2309</v>
      </c>
      <c r="E4609" s="11" t="s">
        <v>29</v>
      </c>
      <c r="F4609" s="11"/>
      <c r="G4609" s="15">
        <f>ROUND(G4607*G4608,0)</f>
        <v>0</v>
      </c>
      <c r="H4609" s="16">
        <f>ROUND(G4609/2,0)</f>
        <v>0</v>
      </c>
      <c r="I4609" s="15">
        <f>G4609-H4609</f>
        <v>0</v>
      </c>
      <c r="J4609" s="3" t="str">
        <f t="shared" si="328"/>
        <v>6141125</v>
      </c>
    </row>
    <row r="4610" spans="1:11" s="3" customFormat="1">
      <c r="B4610" s="3" t="s">
        <v>2145</v>
      </c>
      <c r="C4610" s="8">
        <v>4</v>
      </c>
      <c r="D4610" s="3" t="s">
        <v>2309</v>
      </c>
      <c r="E4610" s="11" t="s">
        <v>30</v>
      </c>
      <c r="F4610" s="11"/>
      <c r="G4610" s="12">
        <f>+G4607-G4609</f>
        <v>0</v>
      </c>
      <c r="H4610" s="13">
        <f>ROUND(G4610/2,0)</f>
        <v>0</v>
      </c>
      <c r="I4610" s="12">
        <f>G4610-H4610</f>
        <v>0</v>
      </c>
      <c r="J4610" s="3" t="str">
        <f t="shared" si="328"/>
        <v>6141125</v>
      </c>
    </row>
    <row r="4611" spans="1:11" s="128" customFormat="1">
      <c r="B4611" s="128" t="s">
        <v>2145</v>
      </c>
      <c r="C4611" s="129">
        <v>4</v>
      </c>
      <c r="D4611" s="130" t="s">
        <v>6375</v>
      </c>
      <c r="E4611" s="131" t="s">
        <v>1376</v>
      </c>
      <c r="F4611" s="133">
        <v>0.32885999999999999</v>
      </c>
      <c r="G4611" s="132">
        <f>ROUND(G$3*F4611,0)</f>
        <v>94621</v>
      </c>
      <c r="H4611" s="131">
        <f>ROUND(G4611/2,0)</f>
        <v>47311</v>
      </c>
      <c r="I4611" s="132">
        <f>G4611-H4611</f>
        <v>47310</v>
      </c>
      <c r="J4611" s="128" t="str">
        <f t="shared" si="328"/>
        <v>6146300</v>
      </c>
      <c r="K4611" s="128" t="s">
        <v>6372</v>
      </c>
    </row>
    <row r="4612" spans="1:11" s="3" customFormat="1">
      <c r="B4612" s="3" t="s">
        <v>2145</v>
      </c>
      <c r="C4612" s="8">
        <v>4</v>
      </c>
      <c r="D4612" s="3" t="s">
        <v>6267</v>
      </c>
      <c r="E4612" s="11" t="s">
        <v>28</v>
      </c>
      <c r="F4612" s="11"/>
      <c r="G4612" s="14">
        <v>0.44236199999999998</v>
      </c>
      <c r="H4612" s="11"/>
      <c r="I4612" s="11"/>
      <c r="J4612" s="3" t="str">
        <f t="shared" ref="J4612:J4675" si="332">B4612&amp;C4612&amp;D4612</f>
        <v>614XXXX</v>
      </c>
    </row>
    <row r="4613" spans="1:11" s="3" customFormat="1">
      <c r="B4613" s="3" t="s">
        <v>2145</v>
      </c>
      <c r="C4613" s="8">
        <v>4</v>
      </c>
      <c r="D4613" s="3" t="s">
        <v>6267</v>
      </c>
      <c r="E4613" s="11" t="s">
        <v>29</v>
      </c>
      <c r="F4613" s="11"/>
      <c r="G4613" s="15">
        <f>ROUND(G4611*G4612,0)</f>
        <v>41857</v>
      </c>
      <c r="H4613" s="16">
        <f>ROUND(G4613/2,0)</f>
        <v>20929</v>
      </c>
      <c r="I4613" s="15">
        <f>G4613-H4613</f>
        <v>20928</v>
      </c>
      <c r="J4613" s="3" t="str">
        <f t="shared" si="332"/>
        <v>614XXXX</v>
      </c>
    </row>
    <row r="4614" spans="1:11" s="3" customFormat="1">
      <c r="B4614" s="3" t="s">
        <v>2145</v>
      </c>
      <c r="C4614" s="8">
        <v>4</v>
      </c>
      <c r="D4614" s="3" t="s">
        <v>6267</v>
      </c>
      <c r="E4614" s="11" t="s">
        <v>30</v>
      </c>
      <c r="F4614" s="11"/>
      <c r="G4614" s="12">
        <f>+G4611-G4613</f>
        <v>52764</v>
      </c>
      <c r="H4614" s="13">
        <f>ROUND(G4614/2,0)</f>
        <v>26382</v>
      </c>
      <c r="I4614" s="12">
        <f>G4614-H4614</f>
        <v>26382</v>
      </c>
      <c r="J4614" s="3" t="str">
        <f t="shared" si="332"/>
        <v>614XXXX</v>
      </c>
    </row>
    <row r="4615" spans="1:11" s="3" customFormat="1">
      <c r="B4615" s="3" t="s">
        <v>2145</v>
      </c>
      <c r="C4615" s="8">
        <v>4</v>
      </c>
      <c r="D4615" s="3" t="s">
        <v>2907</v>
      </c>
      <c r="E4615" s="11" t="s">
        <v>1377</v>
      </c>
      <c r="F4615" s="10">
        <v>0.123683</v>
      </c>
      <c r="G4615" s="9">
        <f>ROUND(G$3*F4615,0)</f>
        <v>35586</v>
      </c>
      <c r="H4615" s="11">
        <f>ROUND(G4615/2,0)</f>
        <v>17793</v>
      </c>
      <c r="I4615" s="9">
        <f>G4615-H4615</f>
        <v>17793</v>
      </c>
      <c r="J4615" s="3" t="str">
        <f t="shared" si="332"/>
        <v>6146260</v>
      </c>
    </row>
    <row r="4616" spans="1:11" s="3" customFormat="1">
      <c r="B4616" s="3" t="s">
        <v>2145</v>
      </c>
      <c r="C4616" s="8">
        <v>4</v>
      </c>
      <c r="D4616" s="3" t="s">
        <v>2907</v>
      </c>
      <c r="E4616" s="11" t="s">
        <v>28</v>
      </c>
      <c r="F4616" s="11"/>
      <c r="G4616" s="14">
        <v>0.34189399999999998</v>
      </c>
      <c r="H4616" s="11"/>
      <c r="I4616" s="11"/>
      <c r="J4616" s="3" t="str">
        <f t="shared" si="332"/>
        <v>6146260</v>
      </c>
    </row>
    <row r="4617" spans="1:11" s="3" customFormat="1">
      <c r="B4617" s="3" t="s">
        <v>2145</v>
      </c>
      <c r="C4617" s="8">
        <v>4</v>
      </c>
      <c r="D4617" s="3" t="s">
        <v>2907</v>
      </c>
      <c r="E4617" s="11" t="s">
        <v>29</v>
      </c>
      <c r="F4617" s="11"/>
      <c r="G4617" s="15">
        <f>ROUND(G4615*G4616,0)</f>
        <v>12167</v>
      </c>
      <c r="H4617" s="16">
        <f>ROUND(G4617/2,0)</f>
        <v>6084</v>
      </c>
      <c r="I4617" s="15">
        <f>G4617-H4617</f>
        <v>6083</v>
      </c>
      <c r="J4617" s="3" t="str">
        <f t="shared" si="332"/>
        <v>6146260</v>
      </c>
    </row>
    <row r="4618" spans="1:11" s="3" customFormat="1">
      <c r="B4618" s="3" t="s">
        <v>2145</v>
      </c>
      <c r="C4618" s="8">
        <v>4</v>
      </c>
      <c r="D4618" s="3" t="s">
        <v>2907</v>
      </c>
      <c r="E4618" s="11" t="s">
        <v>30</v>
      </c>
      <c r="F4618" s="11"/>
      <c r="G4618" s="12">
        <f>+G4615-G4617</f>
        <v>23419</v>
      </c>
      <c r="H4618" s="13">
        <f>ROUND(G4618/2,0)</f>
        <v>11710</v>
      </c>
      <c r="I4618" s="12">
        <f>G4618-H4618</f>
        <v>11709</v>
      </c>
      <c r="J4618" s="3" t="str">
        <f t="shared" si="332"/>
        <v>6146260</v>
      </c>
    </row>
    <row r="4619" spans="1:11" s="128" customFormat="1">
      <c r="B4619" s="128" t="s">
        <v>2145</v>
      </c>
      <c r="C4619" s="129">
        <v>4</v>
      </c>
      <c r="D4619" s="130" t="s">
        <v>6376</v>
      </c>
      <c r="E4619" s="131" t="s">
        <v>1378</v>
      </c>
      <c r="F4619" s="133">
        <v>0.20768900000000001</v>
      </c>
      <c r="G4619" s="132">
        <f>ROUND(G$3*F4619,0)</f>
        <v>59757</v>
      </c>
      <c r="H4619" s="131">
        <f>ROUND(G4619/2,0)</f>
        <v>29879</v>
      </c>
      <c r="I4619" s="132">
        <f>G4619-H4619</f>
        <v>29878</v>
      </c>
      <c r="J4619" s="128" t="str">
        <f t="shared" si="332"/>
        <v>6146310</v>
      </c>
      <c r="K4619" s="128" t="s">
        <v>6372</v>
      </c>
    </row>
    <row r="4620" spans="1:11" s="3" customFormat="1">
      <c r="B4620" s="3" t="s">
        <v>2145</v>
      </c>
      <c r="C4620" s="8">
        <v>4</v>
      </c>
      <c r="D4620" s="3" t="s">
        <v>6267</v>
      </c>
      <c r="E4620" s="11" t="s">
        <v>28</v>
      </c>
      <c r="F4620" s="11"/>
      <c r="G4620" s="14">
        <v>0.34189399999999998</v>
      </c>
      <c r="H4620" s="11"/>
      <c r="I4620" s="11"/>
      <c r="J4620" s="3" t="str">
        <f t="shared" si="332"/>
        <v>614XXXX</v>
      </c>
    </row>
    <row r="4621" spans="1:11" s="3" customFormat="1">
      <c r="B4621" s="3" t="s">
        <v>2145</v>
      </c>
      <c r="C4621" s="8">
        <v>4</v>
      </c>
      <c r="D4621" s="3" t="s">
        <v>6267</v>
      </c>
      <c r="E4621" s="11" t="s">
        <v>29</v>
      </c>
      <c r="F4621" s="11"/>
      <c r="G4621" s="15">
        <f>ROUND(G4619*G4620,0)</f>
        <v>20431</v>
      </c>
      <c r="H4621" s="16">
        <f>ROUND(G4621/2,0)</f>
        <v>10216</v>
      </c>
      <c r="I4621" s="15">
        <f>G4621-H4621</f>
        <v>10215</v>
      </c>
      <c r="J4621" s="3" t="str">
        <f t="shared" si="332"/>
        <v>614XXXX</v>
      </c>
    </row>
    <row r="4622" spans="1:11" s="3" customFormat="1">
      <c r="B4622" s="3" t="s">
        <v>2145</v>
      </c>
      <c r="C4622" s="8">
        <v>4</v>
      </c>
      <c r="D4622" s="3" t="s">
        <v>6267</v>
      </c>
      <c r="E4622" s="11" t="s">
        <v>30</v>
      </c>
      <c r="F4622" s="11"/>
      <c r="G4622" s="12">
        <f>+G4619-G4621</f>
        <v>39326</v>
      </c>
      <c r="H4622" s="13">
        <f>ROUND(G4622/2,0)</f>
        <v>19663</v>
      </c>
      <c r="I4622" s="12">
        <f>G4622-H4622</f>
        <v>19663</v>
      </c>
      <c r="J4622" s="3" t="str">
        <f t="shared" si="332"/>
        <v>614XXXX</v>
      </c>
    </row>
    <row r="4623" spans="1:11" s="3" customFormat="1">
      <c r="A4623" s="3" t="s">
        <v>6269</v>
      </c>
      <c r="B4623" s="3" t="s">
        <v>2145</v>
      </c>
      <c r="C4623" s="8">
        <v>5</v>
      </c>
      <c r="D4623" s="3" t="s">
        <v>2908</v>
      </c>
      <c r="E4623" s="11" t="s">
        <v>1379</v>
      </c>
      <c r="F4623" s="10">
        <v>0</v>
      </c>
      <c r="G4623" s="120">
        <f>ROUND(G$3*F4623,0)</f>
        <v>0</v>
      </c>
      <c r="H4623" s="120">
        <f>ROUND(G4623/2,0)</f>
        <v>0</v>
      </c>
      <c r="I4623" s="120">
        <f>G4623-H4623</f>
        <v>0</v>
      </c>
      <c r="J4623" s="3" t="str">
        <f t="shared" si="332"/>
        <v>6150176</v>
      </c>
    </row>
    <row r="4624" spans="1:11" s="128" customFormat="1">
      <c r="B4624" s="128" t="s">
        <v>2145</v>
      </c>
      <c r="C4624" s="129">
        <v>5</v>
      </c>
      <c r="D4624" s="128" t="s">
        <v>6267</v>
      </c>
      <c r="E4624" s="131" t="s">
        <v>1380</v>
      </c>
      <c r="F4624" s="133">
        <v>2.3765999999999954E-2</v>
      </c>
      <c r="G4624" s="134">
        <f>+G4556-SUM(G4557:G4558)-SUM(G4563:G4607)-G4611-G4615-G4619</f>
        <v>-193480</v>
      </c>
      <c r="H4624" s="135">
        <f>ROUND(G4624/2,0)</f>
        <v>-96740</v>
      </c>
      <c r="I4624" s="134">
        <f>G4624-H4624</f>
        <v>-96740</v>
      </c>
      <c r="J4624" s="128" t="str">
        <f t="shared" si="332"/>
        <v>615XXXX</v>
      </c>
    </row>
    <row r="4625" spans="1:10" s="3" customFormat="1">
      <c r="A4625" s="3" t="s">
        <v>6269</v>
      </c>
      <c r="B4625" s="3" t="s">
        <v>2145</v>
      </c>
      <c r="C4625" s="8">
        <v>6</v>
      </c>
      <c r="D4625" s="3" t="s">
        <v>5329</v>
      </c>
      <c r="E4625" s="11" t="s">
        <v>1381</v>
      </c>
      <c r="F4625" s="10">
        <v>0</v>
      </c>
      <c r="G4625" s="120">
        <f>ROUND(G$3*F4625,0)</f>
        <v>0</v>
      </c>
      <c r="H4625" s="120">
        <f>ROUND(G4625/2,0)</f>
        <v>0</v>
      </c>
      <c r="I4625" s="120">
        <f>G4625-H4625</f>
        <v>0</v>
      </c>
      <c r="J4625" s="3" t="str">
        <f t="shared" si="332"/>
        <v>6161079</v>
      </c>
    </row>
    <row r="4626" spans="1:10" s="3" customFormat="1">
      <c r="B4626" s="3" t="s">
        <v>2145</v>
      </c>
      <c r="C4626" s="8">
        <v>0</v>
      </c>
      <c r="D4626" s="125" t="s">
        <v>2187</v>
      </c>
      <c r="E4626" s="28" t="s">
        <v>288</v>
      </c>
      <c r="F4626" s="10">
        <v>1</v>
      </c>
      <c r="G4626" s="12">
        <f>+G4557+SUM(G4560:G4606)+SUM(G4609:G4610)+SUM(G4613:G4614)+SUM(G4617:G4618)+SUM(G4621:G4625)</f>
        <v>87404</v>
      </c>
      <c r="H4626" s="12">
        <f>+H4557+SUM(H4560:H4606)+SUM(H4609:H4610)+SUM(H4613:H4614)+SUM(H4617:H4618)+SUM(H4621:H4625)</f>
        <v>43708</v>
      </c>
      <c r="I4626" s="12">
        <f>+I4557+SUM(I4560:I4606)+SUM(I4609:I4610)+SUM(I4613:I4614)+SUM(I4617:I4618)+SUM(I4621:I4625)</f>
        <v>43696</v>
      </c>
      <c r="J4626" s="3" t="str">
        <f t="shared" si="332"/>
        <v>6100000</v>
      </c>
    </row>
    <row r="4627" spans="1:10" s="3" customFormat="1">
      <c r="B4627" s="3" t="s">
        <v>2145</v>
      </c>
      <c r="C4627" s="8">
        <v>0</v>
      </c>
      <c r="D4627" s="3" t="s">
        <v>2187</v>
      </c>
      <c r="E4627" s="18" t="s">
        <v>38</v>
      </c>
      <c r="G4627" s="19">
        <f>+G4557</f>
        <v>339</v>
      </c>
      <c r="H4627" s="19">
        <f>+H4557</f>
        <v>170</v>
      </c>
      <c r="I4627" s="19">
        <f>+I4557</f>
        <v>169</v>
      </c>
      <c r="J4627" s="3" t="str">
        <f t="shared" si="332"/>
        <v>6100000</v>
      </c>
    </row>
    <row r="4628" spans="1:10" s="3" customFormat="1">
      <c r="B4628" s="3" t="s">
        <v>2145</v>
      </c>
      <c r="C4628" s="8">
        <v>0</v>
      </c>
      <c r="D4628" s="3" t="s">
        <v>2187</v>
      </c>
      <c r="E4628" s="2" t="s">
        <v>39</v>
      </c>
      <c r="G4628" s="19">
        <f>+G4560</f>
        <v>8534</v>
      </c>
      <c r="H4628" s="19">
        <f>+H4560</f>
        <v>4267</v>
      </c>
      <c r="I4628" s="19">
        <f>+I4560</f>
        <v>4267</v>
      </c>
      <c r="J4628" s="3" t="str">
        <f t="shared" si="332"/>
        <v>6100000</v>
      </c>
    </row>
    <row r="4629" spans="1:10" s="3" customFormat="1">
      <c r="B4629" s="3" t="s">
        <v>2145</v>
      </c>
      <c r="C4629" s="8">
        <v>0</v>
      </c>
      <c r="D4629" s="3" t="s">
        <v>2187</v>
      </c>
      <c r="E4629" s="2" t="s">
        <v>40</v>
      </c>
      <c r="G4629" s="19">
        <f>+G4609+G4613+G4617+G4621</f>
        <v>74455</v>
      </c>
      <c r="H4629" s="19">
        <f>+H4609+H4613+H4617+H4621</f>
        <v>37229</v>
      </c>
      <c r="I4629" s="19">
        <f>+I4609+I4613+I4617+I4621</f>
        <v>37226</v>
      </c>
      <c r="J4629" s="3" t="str">
        <f t="shared" si="332"/>
        <v>6100000</v>
      </c>
    </row>
    <row r="4630" spans="1:10" s="3" customFormat="1">
      <c r="B4630" s="3" t="s">
        <v>2145</v>
      </c>
      <c r="C4630" s="8">
        <v>0</v>
      </c>
      <c r="D4630" s="125" t="s">
        <v>2187</v>
      </c>
      <c r="E4630" s="18" t="s">
        <v>41</v>
      </c>
      <c r="G4630" s="19">
        <f>+G4626-G4627-G4628-G4629</f>
        <v>4076</v>
      </c>
      <c r="H4630" s="19">
        <f>+H4626-H4627-H4628-H4629</f>
        <v>2042</v>
      </c>
      <c r="I4630" s="19">
        <f>+I4626-I4627-I4628-I4629</f>
        <v>2034</v>
      </c>
      <c r="J4630" s="3" t="str">
        <f t="shared" si="332"/>
        <v>6100000</v>
      </c>
    </row>
    <row r="4631" spans="1:10" ht="15.75">
      <c r="B4631" s="3" t="s">
        <v>2186</v>
      </c>
      <c r="D4631" t="s">
        <v>2186</v>
      </c>
      <c r="E4631">
        <v>0</v>
      </c>
      <c r="G4631"/>
      <c r="H4631"/>
      <c r="I4631"/>
      <c r="J4631" s="3" t="str">
        <f t="shared" si="332"/>
        <v/>
      </c>
    </row>
    <row r="4632" spans="1:10" s="3" customFormat="1">
      <c r="C4632" s="1"/>
      <c r="D4632" s="3" t="s">
        <v>2186</v>
      </c>
      <c r="E4632" s="2" t="s">
        <v>1382</v>
      </c>
      <c r="J4632" s="3" t="str">
        <f t="shared" si="332"/>
        <v/>
      </c>
    </row>
    <row r="4633" spans="1:10" s="3" customFormat="1" ht="45">
      <c r="B4633" s="3" t="s">
        <v>2186</v>
      </c>
      <c r="C4633" s="1"/>
      <c r="D4633" s="3" t="s">
        <v>2186</v>
      </c>
      <c r="E4633" s="1">
        <v>0</v>
      </c>
      <c r="F4633" s="6" t="s">
        <v>1</v>
      </c>
      <c r="G4633" s="60">
        <f>'Allocation Worksheet'!H4633</f>
        <v>0</v>
      </c>
      <c r="H4633" s="60">
        <f>'Allocation Worksheet'!H4634</f>
        <v>0</v>
      </c>
      <c r="I4633" s="60">
        <f>'Allocation Worksheet'!H4635</f>
        <v>0</v>
      </c>
      <c r="J4633" s="3" t="str">
        <f t="shared" si="332"/>
        <v/>
      </c>
    </row>
    <row r="4634" spans="1:10" s="3" customFormat="1">
      <c r="C4634" s="7" t="s">
        <v>2087</v>
      </c>
      <c r="D4634" s="3" t="s">
        <v>2186</v>
      </c>
      <c r="E4634" s="7" t="s">
        <v>3</v>
      </c>
      <c r="F4634" s="10"/>
      <c r="G4634" s="9">
        <f>'Allocation Worksheet'!$D$65</f>
        <v>156077</v>
      </c>
      <c r="H4634" s="11"/>
      <c r="I4634" s="11"/>
      <c r="J4634" s="3" t="str">
        <f t="shared" si="332"/>
        <v>UT</v>
      </c>
    </row>
    <row r="4635" spans="1:10" s="3" customFormat="1">
      <c r="B4635" s="3" t="s">
        <v>2146</v>
      </c>
      <c r="C4635" s="8">
        <v>0</v>
      </c>
      <c r="D4635" s="3" t="s">
        <v>2187</v>
      </c>
      <c r="E4635" s="11" t="s">
        <v>4</v>
      </c>
      <c r="F4635" s="10">
        <v>1.034E-3</v>
      </c>
      <c r="G4635" s="12">
        <f>ROUND(G$3*F4635,0)</f>
        <v>298</v>
      </c>
      <c r="H4635" s="13">
        <f>ROUND(G4635/2,0)</f>
        <v>149</v>
      </c>
      <c r="I4635" s="12">
        <f>G4635-H4635</f>
        <v>149</v>
      </c>
      <c r="J4635" s="3" t="str">
        <f t="shared" si="332"/>
        <v>6200000</v>
      </c>
    </row>
    <row r="4636" spans="1:10" s="3" customFormat="1">
      <c r="B4636" s="3" t="s">
        <v>2146</v>
      </c>
      <c r="C4636" s="8">
        <v>1</v>
      </c>
      <c r="D4636" s="3" t="s">
        <v>2187</v>
      </c>
      <c r="E4636" s="11" t="s">
        <v>1383</v>
      </c>
      <c r="F4636" s="10">
        <v>0.2021</v>
      </c>
      <c r="G4636" s="9">
        <f>ROUND(G$3*F4636,0)</f>
        <v>58149</v>
      </c>
      <c r="H4636" s="11">
        <f>ROUND(G4636/2,0)</f>
        <v>29075</v>
      </c>
      <c r="I4636" s="9">
        <f>G4636-H4636</f>
        <v>29074</v>
      </c>
      <c r="J4636" s="3" t="str">
        <f t="shared" si="332"/>
        <v>6210000</v>
      </c>
    </row>
    <row r="4637" spans="1:10" s="3" customFormat="1">
      <c r="B4637" s="3" t="s">
        <v>2146</v>
      </c>
      <c r="C4637" s="8">
        <v>1</v>
      </c>
      <c r="D4637" s="3" t="s">
        <v>2187</v>
      </c>
      <c r="E4637" s="11" t="s">
        <v>6</v>
      </c>
      <c r="F4637" s="11"/>
      <c r="G4637" s="14">
        <v>0.16716900000000001</v>
      </c>
      <c r="H4637" s="11"/>
      <c r="I4637" s="11"/>
      <c r="J4637" s="3" t="str">
        <f t="shared" si="332"/>
        <v>6210000</v>
      </c>
    </row>
    <row r="4638" spans="1:10" s="3" customFormat="1">
      <c r="B4638" s="3" t="s">
        <v>2146</v>
      </c>
      <c r="C4638" s="8">
        <v>1</v>
      </c>
      <c r="D4638" s="3" t="s">
        <v>2187</v>
      </c>
      <c r="E4638" s="11" t="s">
        <v>7</v>
      </c>
      <c r="F4638" s="11"/>
      <c r="G4638" s="15">
        <f>ROUND(G4636*G4637,0)</f>
        <v>9721</v>
      </c>
      <c r="H4638" s="16">
        <f>ROUND(G4638/2,0)</f>
        <v>4861</v>
      </c>
      <c r="I4638" s="15">
        <f>G4638-H4638</f>
        <v>4860</v>
      </c>
      <c r="J4638" s="3" t="str">
        <f t="shared" si="332"/>
        <v>6210000</v>
      </c>
    </row>
    <row r="4639" spans="1:10" s="3" customFormat="1">
      <c r="B4639" s="3" t="s">
        <v>2146</v>
      </c>
      <c r="C4639" s="8">
        <v>1</v>
      </c>
      <c r="D4639" s="3" t="s">
        <v>2187</v>
      </c>
      <c r="E4639" s="11" t="s">
        <v>8</v>
      </c>
      <c r="F4639" s="11"/>
      <c r="G4639" s="12">
        <f>+G4636-G4638</f>
        <v>48428</v>
      </c>
      <c r="H4639" s="13">
        <f>ROUND(G4639/2,0)</f>
        <v>24214</v>
      </c>
      <c r="I4639" s="12">
        <f>G4639-H4639</f>
        <v>24214</v>
      </c>
      <c r="J4639" s="3" t="str">
        <f t="shared" si="332"/>
        <v>6210000</v>
      </c>
    </row>
    <row r="4640" spans="1:10" s="3" customFormat="1">
      <c r="B4640" s="3" t="s">
        <v>2146</v>
      </c>
      <c r="C4640" s="8">
        <v>2</v>
      </c>
      <c r="D4640" s="3" t="s">
        <v>2188</v>
      </c>
      <c r="E4640" s="11" t="s">
        <v>1122</v>
      </c>
      <c r="F4640" s="11"/>
      <c r="G4640" s="9"/>
      <c r="H4640" s="11"/>
      <c r="I4640" s="11"/>
      <c r="J4640" s="3" t="str">
        <f t="shared" si="332"/>
        <v>6220001</v>
      </c>
    </row>
    <row r="4641" spans="1:10" s="3" customFormat="1">
      <c r="B4641" s="3" t="s">
        <v>2146</v>
      </c>
      <c r="C4641" s="8">
        <v>2</v>
      </c>
      <c r="D4641" s="3" t="s">
        <v>2188</v>
      </c>
      <c r="E4641" s="11" t="s">
        <v>10</v>
      </c>
      <c r="F4641" s="10">
        <v>5.6099999999999998E-4</v>
      </c>
      <c r="G4641" s="12">
        <f>ROUND(G$3*F4641,0)</f>
        <v>161</v>
      </c>
      <c r="H4641" s="13">
        <f>ROUND(G4641/2,0)</f>
        <v>81</v>
      </c>
      <c r="I4641" s="12">
        <f>G4641-H4641</f>
        <v>80</v>
      </c>
      <c r="J4641" s="3" t="str">
        <f t="shared" si="332"/>
        <v>6220001</v>
      </c>
    </row>
    <row r="4642" spans="1:10" s="3" customFormat="1">
      <c r="A4642" s="3" t="s">
        <v>6269</v>
      </c>
      <c r="B4642" s="3" t="s">
        <v>2146</v>
      </c>
      <c r="C4642" s="8">
        <v>2</v>
      </c>
      <c r="D4642" s="3" t="s">
        <v>2188</v>
      </c>
      <c r="E4642" s="11" t="s">
        <v>11</v>
      </c>
      <c r="F4642" s="10">
        <v>0</v>
      </c>
      <c r="G4642" s="12">
        <f>ROUND(G$3*F4642,0)</f>
        <v>0</v>
      </c>
      <c r="H4642" s="13">
        <f>ROUND(G4642/2,0)</f>
        <v>0</v>
      </c>
      <c r="I4642" s="12">
        <f>G4642-H4642</f>
        <v>0</v>
      </c>
      <c r="J4642" s="3" t="str">
        <f t="shared" si="332"/>
        <v>6220001</v>
      </c>
    </row>
    <row r="4643" spans="1:10" s="3" customFormat="1">
      <c r="B4643" s="3" t="s">
        <v>2146</v>
      </c>
      <c r="C4643" s="8">
        <v>2</v>
      </c>
      <c r="D4643" s="3" t="s">
        <v>2189</v>
      </c>
      <c r="E4643" s="11" t="s">
        <v>895</v>
      </c>
      <c r="F4643" s="11"/>
      <c r="G4643" s="9"/>
      <c r="H4643" s="11"/>
      <c r="I4643" s="11"/>
      <c r="J4643" s="3" t="str">
        <f t="shared" si="332"/>
        <v>6220002</v>
      </c>
    </row>
    <row r="4644" spans="1:10" s="3" customFormat="1">
      <c r="B4644" s="3" t="s">
        <v>2146</v>
      </c>
      <c r="C4644" s="8">
        <v>2</v>
      </c>
      <c r="D4644" s="3" t="s">
        <v>2189</v>
      </c>
      <c r="E4644" s="11" t="s">
        <v>10</v>
      </c>
      <c r="F4644" s="10">
        <v>3.3300000000000002E-4</v>
      </c>
      <c r="G4644" s="12">
        <f>ROUND(G$3*F4644,0)</f>
        <v>96</v>
      </c>
      <c r="H4644" s="13">
        <f>ROUND(G4644/2,0)</f>
        <v>48</v>
      </c>
      <c r="I4644" s="12">
        <f>G4644-H4644</f>
        <v>48</v>
      </c>
      <c r="J4644" s="3" t="str">
        <f t="shared" si="332"/>
        <v>6220002</v>
      </c>
    </row>
    <row r="4645" spans="1:10" s="3" customFormat="1">
      <c r="A4645" s="3" t="s">
        <v>6269</v>
      </c>
      <c r="B4645" s="3" t="s">
        <v>2146</v>
      </c>
      <c r="C4645" s="8">
        <v>2</v>
      </c>
      <c r="D4645" s="3" t="s">
        <v>2189</v>
      </c>
      <c r="E4645" s="11" t="s">
        <v>11</v>
      </c>
      <c r="F4645" s="10">
        <v>0</v>
      </c>
      <c r="G4645" s="12">
        <f>ROUND(G$3*F4645,0)</f>
        <v>0</v>
      </c>
      <c r="H4645" s="13">
        <f>ROUND(G4645/2,0)</f>
        <v>0</v>
      </c>
      <c r="I4645" s="12">
        <f>G4645-H4645</f>
        <v>0</v>
      </c>
      <c r="J4645" s="3" t="str">
        <f t="shared" si="332"/>
        <v>6220002</v>
      </c>
    </row>
    <row r="4646" spans="1:10" s="3" customFormat="1">
      <c r="B4646" s="3" t="s">
        <v>2146</v>
      </c>
      <c r="C4646" s="8">
        <v>2</v>
      </c>
      <c r="D4646" s="3" t="s">
        <v>2190</v>
      </c>
      <c r="E4646" s="11" t="s">
        <v>1384</v>
      </c>
      <c r="F4646" s="11"/>
      <c r="G4646" s="9"/>
      <c r="H4646" s="11"/>
      <c r="I4646" s="11"/>
      <c r="J4646" s="3" t="str">
        <f t="shared" si="332"/>
        <v>6220003</v>
      </c>
    </row>
    <row r="4647" spans="1:10" s="3" customFormat="1">
      <c r="B4647" s="3" t="s">
        <v>2146</v>
      </c>
      <c r="C4647" s="8">
        <v>2</v>
      </c>
      <c r="D4647" s="3" t="s">
        <v>2190</v>
      </c>
      <c r="E4647" s="11" t="s">
        <v>10</v>
      </c>
      <c r="F4647" s="10">
        <v>6.7699999999999998E-4</v>
      </c>
      <c r="G4647" s="12">
        <f>ROUND(G$3*F4647,0)</f>
        <v>195</v>
      </c>
      <c r="H4647" s="13">
        <f>ROUND(G4647/2,0)</f>
        <v>98</v>
      </c>
      <c r="I4647" s="12">
        <f>G4647-H4647</f>
        <v>97</v>
      </c>
      <c r="J4647" s="3" t="str">
        <f t="shared" si="332"/>
        <v>6220003</v>
      </c>
    </row>
    <row r="4648" spans="1:10" s="3" customFormat="1">
      <c r="B4648" s="3" t="s">
        <v>2146</v>
      </c>
      <c r="C4648" s="8">
        <v>2</v>
      </c>
      <c r="D4648" s="3" t="s">
        <v>2190</v>
      </c>
      <c r="E4648" s="11" t="s">
        <v>11</v>
      </c>
      <c r="F4648" s="10">
        <v>1.9900000000000001E-4</v>
      </c>
      <c r="G4648" s="12">
        <f>ROUND(G$3*F4648,0)</f>
        <v>57</v>
      </c>
      <c r="H4648" s="13">
        <f>ROUND(G4648/2,0)</f>
        <v>29</v>
      </c>
      <c r="I4648" s="12">
        <f>G4648-H4648</f>
        <v>28</v>
      </c>
      <c r="J4648" s="3" t="str">
        <f t="shared" si="332"/>
        <v>6220003</v>
      </c>
    </row>
    <row r="4649" spans="1:10" s="3" customFormat="1">
      <c r="B4649" s="3" t="s">
        <v>2146</v>
      </c>
      <c r="C4649" s="8">
        <v>2</v>
      </c>
      <c r="D4649" s="3" t="s">
        <v>2191</v>
      </c>
      <c r="E4649" s="11" t="s">
        <v>1385</v>
      </c>
      <c r="F4649" s="11"/>
      <c r="G4649" s="9"/>
      <c r="H4649" s="11"/>
      <c r="I4649" s="11"/>
      <c r="J4649" s="3" t="str">
        <f t="shared" si="332"/>
        <v>6220004</v>
      </c>
    </row>
    <row r="4650" spans="1:10" s="3" customFormat="1">
      <c r="B4650" s="3" t="s">
        <v>2146</v>
      </c>
      <c r="C4650" s="8">
        <v>2</v>
      </c>
      <c r="D4650" s="3" t="s">
        <v>2191</v>
      </c>
      <c r="E4650" s="11" t="s">
        <v>10</v>
      </c>
      <c r="F4650" s="10">
        <v>6.1899999999999998E-4</v>
      </c>
      <c r="G4650" s="12">
        <f>ROUND(G$3*F4650,0)</f>
        <v>178</v>
      </c>
      <c r="H4650" s="13">
        <f>ROUND(G4650/2,0)</f>
        <v>89</v>
      </c>
      <c r="I4650" s="12">
        <f>G4650-H4650</f>
        <v>89</v>
      </c>
      <c r="J4650" s="3" t="str">
        <f t="shared" si="332"/>
        <v>6220004</v>
      </c>
    </row>
    <row r="4651" spans="1:10" s="3" customFormat="1">
      <c r="A4651" s="3" t="s">
        <v>6269</v>
      </c>
      <c r="B4651" s="3" t="s">
        <v>2146</v>
      </c>
      <c r="C4651" s="8">
        <v>2</v>
      </c>
      <c r="D4651" s="3" t="s">
        <v>2191</v>
      </c>
      <c r="E4651" s="11" t="s">
        <v>11</v>
      </c>
      <c r="F4651" s="10">
        <v>0</v>
      </c>
      <c r="G4651" s="12">
        <f>ROUND(G$3*F4651,0)</f>
        <v>0</v>
      </c>
      <c r="H4651" s="13">
        <f>ROUND(G4651/2,0)</f>
        <v>0</v>
      </c>
      <c r="I4651" s="12">
        <f>G4651-H4651</f>
        <v>0</v>
      </c>
      <c r="J4651" s="3" t="str">
        <f t="shared" si="332"/>
        <v>6220004</v>
      </c>
    </row>
    <row r="4652" spans="1:10" s="3" customFormat="1">
      <c r="B4652" s="3" t="s">
        <v>2146</v>
      </c>
      <c r="C4652" s="8">
        <v>2</v>
      </c>
      <c r="D4652" s="3" t="s">
        <v>2192</v>
      </c>
      <c r="E4652" s="11" t="s">
        <v>1386</v>
      </c>
      <c r="F4652" s="11"/>
      <c r="G4652" s="9"/>
      <c r="H4652" s="11"/>
      <c r="I4652" s="11"/>
      <c r="J4652" s="3" t="str">
        <f t="shared" si="332"/>
        <v>6220005</v>
      </c>
    </row>
    <row r="4653" spans="1:10" s="3" customFormat="1">
      <c r="B4653" s="3" t="s">
        <v>2146</v>
      </c>
      <c r="C4653" s="8">
        <v>2</v>
      </c>
      <c r="D4653" s="3" t="s">
        <v>2192</v>
      </c>
      <c r="E4653" s="11" t="s">
        <v>10</v>
      </c>
      <c r="F4653" s="10">
        <v>2.92E-4</v>
      </c>
      <c r="G4653" s="12">
        <f>ROUND(G$3*F4653,0)</f>
        <v>84</v>
      </c>
      <c r="H4653" s="13">
        <f>ROUND(G4653/2,0)</f>
        <v>42</v>
      </c>
      <c r="I4653" s="12">
        <f>G4653-H4653</f>
        <v>42</v>
      </c>
      <c r="J4653" s="3" t="str">
        <f t="shared" si="332"/>
        <v>6220005</v>
      </c>
    </row>
    <row r="4654" spans="1:10" s="3" customFormat="1">
      <c r="A4654" s="3" t="s">
        <v>6269</v>
      </c>
      <c r="B4654" s="3" t="s">
        <v>2146</v>
      </c>
      <c r="C4654" s="8">
        <v>2</v>
      </c>
      <c r="D4654" s="3" t="s">
        <v>2192</v>
      </c>
      <c r="E4654" s="11" t="s">
        <v>11</v>
      </c>
      <c r="F4654" s="10">
        <v>0</v>
      </c>
      <c r="G4654" s="12">
        <f>ROUND(G$3*F4654,0)</f>
        <v>0</v>
      </c>
      <c r="H4654" s="13">
        <f>ROUND(G4654/2,0)</f>
        <v>0</v>
      </c>
      <c r="I4654" s="12">
        <f>G4654-H4654</f>
        <v>0</v>
      </c>
      <c r="J4654" s="3" t="str">
        <f t="shared" si="332"/>
        <v>6220005</v>
      </c>
    </row>
    <row r="4655" spans="1:10" s="3" customFormat="1">
      <c r="B4655" s="3" t="s">
        <v>2146</v>
      </c>
      <c r="C4655" s="8">
        <v>2</v>
      </c>
      <c r="D4655" s="3" t="s">
        <v>2193</v>
      </c>
      <c r="E4655" s="11" t="s">
        <v>378</v>
      </c>
      <c r="F4655" s="11"/>
      <c r="G4655" s="9"/>
      <c r="H4655" s="11"/>
      <c r="I4655" s="11"/>
      <c r="J4655" s="3" t="str">
        <f t="shared" si="332"/>
        <v>6220006</v>
      </c>
    </row>
    <row r="4656" spans="1:10" s="3" customFormat="1">
      <c r="B4656" s="3" t="s">
        <v>2146</v>
      </c>
      <c r="C4656" s="8">
        <v>2</v>
      </c>
      <c r="D4656" s="3" t="s">
        <v>2193</v>
      </c>
      <c r="E4656" s="11" t="s">
        <v>10</v>
      </c>
      <c r="F4656" s="10">
        <v>4.7239999999999999E-3</v>
      </c>
      <c r="G4656" s="12">
        <f>ROUND(G$3*F4656,0)</f>
        <v>1359</v>
      </c>
      <c r="H4656" s="13">
        <f>ROUND(G4656/2,0)</f>
        <v>680</v>
      </c>
      <c r="I4656" s="12">
        <f>G4656-H4656</f>
        <v>679</v>
      </c>
      <c r="J4656" s="3" t="str">
        <f t="shared" si="332"/>
        <v>6220006</v>
      </c>
    </row>
    <row r="4657" spans="2:10" s="3" customFormat="1">
      <c r="B4657" s="3" t="s">
        <v>2146</v>
      </c>
      <c r="C4657" s="8">
        <v>2</v>
      </c>
      <c r="D4657" s="3" t="s">
        <v>2193</v>
      </c>
      <c r="E4657" s="11" t="s">
        <v>11</v>
      </c>
      <c r="F4657" s="10">
        <v>2.9799999999999998E-4</v>
      </c>
      <c r="G4657" s="12">
        <f>ROUND(G$3*F4657,0)</f>
        <v>86</v>
      </c>
      <c r="H4657" s="13">
        <f>ROUND(G4657/2,0)</f>
        <v>43</v>
      </c>
      <c r="I4657" s="12">
        <f>G4657-H4657</f>
        <v>43</v>
      </c>
      <c r="J4657" s="3" t="str">
        <f t="shared" si="332"/>
        <v>6220006</v>
      </c>
    </row>
    <row r="4658" spans="2:10" s="3" customFormat="1">
      <c r="B4658" s="3" t="s">
        <v>2146</v>
      </c>
      <c r="C4658" s="8">
        <v>2</v>
      </c>
      <c r="D4658" s="3" t="s">
        <v>2194</v>
      </c>
      <c r="E4658" s="11" t="s">
        <v>20</v>
      </c>
      <c r="F4658" s="11"/>
      <c r="G4658" s="9"/>
      <c r="H4658" s="11"/>
      <c r="I4658" s="11"/>
      <c r="J4658" s="3" t="str">
        <f t="shared" si="332"/>
        <v>6220007</v>
      </c>
    </row>
    <row r="4659" spans="2:10" s="3" customFormat="1">
      <c r="B4659" s="3" t="s">
        <v>2146</v>
      </c>
      <c r="C4659" s="8">
        <v>2</v>
      </c>
      <c r="D4659" s="3" t="s">
        <v>2194</v>
      </c>
      <c r="E4659" s="11" t="s">
        <v>10</v>
      </c>
      <c r="F4659" s="10">
        <v>6.3100000000000005E-4</v>
      </c>
      <c r="G4659" s="12">
        <f t="shared" ref="G4659:G4664" si="333">ROUND(G$3*F4659,0)</f>
        <v>182</v>
      </c>
      <c r="H4659" s="13">
        <f t="shared" ref="H4659:H4664" si="334">ROUND(G4659/2,0)</f>
        <v>91</v>
      </c>
      <c r="I4659" s="12">
        <f t="shared" ref="I4659:I4664" si="335">G4659-H4659</f>
        <v>91</v>
      </c>
      <c r="J4659" s="3" t="str">
        <f t="shared" si="332"/>
        <v>6220007</v>
      </c>
    </row>
    <row r="4660" spans="2:10" s="3" customFormat="1">
      <c r="B4660" s="3" t="s">
        <v>2146</v>
      </c>
      <c r="C4660" s="8">
        <v>2</v>
      </c>
      <c r="D4660" s="3" t="s">
        <v>2194</v>
      </c>
      <c r="E4660" s="11" t="s">
        <v>11</v>
      </c>
      <c r="F4660" s="10">
        <v>1.46E-4</v>
      </c>
      <c r="G4660" s="12">
        <f t="shared" si="333"/>
        <v>42</v>
      </c>
      <c r="H4660" s="13">
        <f t="shared" si="334"/>
        <v>21</v>
      </c>
      <c r="I4660" s="12">
        <f t="shared" si="335"/>
        <v>21</v>
      </c>
      <c r="J4660" s="3" t="str">
        <f t="shared" si="332"/>
        <v>6220007</v>
      </c>
    </row>
    <row r="4661" spans="2:10" s="3" customFormat="1">
      <c r="B4661" s="3" t="s">
        <v>2146</v>
      </c>
      <c r="C4661" s="8">
        <v>3</v>
      </c>
      <c r="D4661" s="3" t="s">
        <v>2910</v>
      </c>
      <c r="E4661" s="11" t="s">
        <v>1387</v>
      </c>
      <c r="F4661" s="10">
        <v>2.6655999999999999E-2</v>
      </c>
      <c r="G4661" s="12">
        <f t="shared" si="333"/>
        <v>7670</v>
      </c>
      <c r="H4661" s="13">
        <f t="shared" si="334"/>
        <v>3835</v>
      </c>
      <c r="I4661" s="12">
        <f t="shared" si="335"/>
        <v>3835</v>
      </c>
      <c r="J4661" s="3" t="str">
        <f t="shared" si="332"/>
        <v>6230463</v>
      </c>
    </row>
    <row r="4662" spans="2:10" s="3" customFormat="1">
      <c r="B4662" s="3" t="s">
        <v>2146</v>
      </c>
      <c r="C4662" s="8">
        <v>3</v>
      </c>
      <c r="D4662" s="3" t="s">
        <v>2909</v>
      </c>
      <c r="E4662" s="11" t="s">
        <v>1388</v>
      </c>
      <c r="F4662" s="10">
        <v>8.1789000000000001E-2</v>
      </c>
      <c r="G4662" s="12">
        <f t="shared" si="333"/>
        <v>23533</v>
      </c>
      <c r="H4662" s="13">
        <f t="shared" si="334"/>
        <v>11767</v>
      </c>
      <c r="I4662" s="12">
        <f t="shared" si="335"/>
        <v>11766</v>
      </c>
      <c r="J4662" s="3" t="str">
        <f t="shared" si="332"/>
        <v>6230411</v>
      </c>
    </row>
    <row r="4663" spans="2:10" s="3" customFormat="1">
      <c r="B4663" s="3" t="s">
        <v>2146</v>
      </c>
      <c r="C4663" s="8">
        <v>3</v>
      </c>
      <c r="D4663" s="3" t="s">
        <v>2911</v>
      </c>
      <c r="E4663" s="11" t="s">
        <v>1389</v>
      </c>
      <c r="F4663" s="10">
        <v>6.1370000000000001E-3</v>
      </c>
      <c r="G4663" s="12">
        <f t="shared" si="333"/>
        <v>1766</v>
      </c>
      <c r="H4663" s="13">
        <f t="shared" si="334"/>
        <v>883</v>
      </c>
      <c r="I4663" s="12">
        <f t="shared" si="335"/>
        <v>883</v>
      </c>
      <c r="J4663" s="3" t="str">
        <f t="shared" si="332"/>
        <v>6230824</v>
      </c>
    </row>
    <row r="4664" spans="2:10" s="3" customFormat="1">
      <c r="B4664" s="3" t="s">
        <v>2146</v>
      </c>
      <c r="C4664" s="8">
        <v>4</v>
      </c>
      <c r="D4664" s="3" t="s">
        <v>2913</v>
      </c>
      <c r="E4664" s="11" t="s">
        <v>1390</v>
      </c>
      <c r="F4664" s="10">
        <v>4.3041000000000003E-2</v>
      </c>
      <c r="G4664" s="9">
        <f t="shared" si="333"/>
        <v>12384</v>
      </c>
      <c r="H4664" s="11">
        <f t="shared" si="334"/>
        <v>6192</v>
      </c>
      <c r="I4664" s="9">
        <f t="shared" si="335"/>
        <v>6192</v>
      </c>
      <c r="J4664" s="3" t="str">
        <f t="shared" si="332"/>
        <v>6246340</v>
      </c>
    </row>
    <row r="4665" spans="2:10" s="3" customFormat="1">
      <c r="B4665" s="3" t="s">
        <v>2146</v>
      </c>
      <c r="C4665" s="8">
        <v>4</v>
      </c>
      <c r="D4665" s="3" t="s">
        <v>2913</v>
      </c>
      <c r="E4665" s="11" t="s">
        <v>28</v>
      </c>
      <c r="F4665" s="11"/>
      <c r="G4665" s="14">
        <v>0.75700199999999995</v>
      </c>
      <c r="H4665" s="11"/>
      <c r="I4665" s="11"/>
      <c r="J4665" s="3" t="str">
        <f t="shared" si="332"/>
        <v>6246340</v>
      </c>
    </row>
    <row r="4666" spans="2:10" s="3" customFormat="1">
      <c r="B4666" s="3" t="s">
        <v>2146</v>
      </c>
      <c r="C4666" s="8">
        <v>4</v>
      </c>
      <c r="D4666" s="3" t="s">
        <v>2913</v>
      </c>
      <c r="E4666" s="11" t="s">
        <v>29</v>
      </c>
      <c r="F4666" s="11"/>
      <c r="G4666" s="15">
        <f>ROUND(G4664*G4665,0)</f>
        <v>9375</v>
      </c>
      <c r="H4666" s="16">
        <f>ROUND(G4666/2,0)</f>
        <v>4688</v>
      </c>
      <c r="I4666" s="15">
        <f>G4666-H4666</f>
        <v>4687</v>
      </c>
      <c r="J4666" s="3" t="str">
        <f t="shared" si="332"/>
        <v>6246340</v>
      </c>
    </row>
    <row r="4667" spans="2:10" s="3" customFormat="1">
      <c r="B4667" s="3" t="s">
        <v>2146</v>
      </c>
      <c r="C4667" s="8">
        <v>4</v>
      </c>
      <c r="D4667" s="3" t="s">
        <v>2913</v>
      </c>
      <c r="E4667" s="11" t="s">
        <v>30</v>
      </c>
      <c r="F4667" s="11"/>
      <c r="G4667" s="12">
        <f>+G4664-G4666</f>
        <v>3009</v>
      </c>
      <c r="H4667" s="13">
        <f>ROUND(G4667/2,0)</f>
        <v>1505</v>
      </c>
      <c r="I4667" s="12">
        <f>G4667-H4667</f>
        <v>1504</v>
      </c>
      <c r="J4667" s="3" t="str">
        <f t="shared" si="332"/>
        <v>6246340</v>
      </c>
    </row>
    <row r="4668" spans="2:10" s="3" customFormat="1">
      <c r="B4668" s="3" t="s">
        <v>2146</v>
      </c>
      <c r="C4668" s="8">
        <v>4</v>
      </c>
      <c r="D4668" s="3" t="s">
        <v>2912</v>
      </c>
      <c r="E4668" s="11" t="s">
        <v>1391</v>
      </c>
      <c r="F4668" s="10">
        <v>0.239482</v>
      </c>
      <c r="G4668" s="9">
        <f>ROUND(G$3*F4668,0)</f>
        <v>68904</v>
      </c>
      <c r="H4668" s="11">
        <f>ROUND(G4668/2,0)</f>
        <v>34452</v>
      </c>
      <c r="I4668" s="9">
        <f>G4668-H4668</f>
        <v>34452</v>
      </c>
      <c r="J4668" s="3" t="str">
        <f t="shared" si="332"/>
        <v>6246325</v>
      </c>
    </row>
    <row r="4669" spans="2:10" s="3" customFormat="1">
      <c r="B4669" s="3" t="s">
        <v>2146</v>
      </c>
      <c r="C4669" s="8">
        <v>4</v>
      </c>
      <c r="D4669" s="3" t="s">
        <v>2912</v>
      </c>
      <c r="E4669" s="11" t="s">
        <v>28</v>
      </c>
      <c r="F4669" s="11"/>
      <c r="G4669" s="14">
        <v>0.430176</v>
      </c>
      <c r="H4669" s="11"/>
      <c r="I4669" s="11"/>
      <c r="J4669" s="3" t="str">
        <f t="shared" si="332"/>
        <v>6246325</v>
      </c>
    </row>
    <row r="4670" spans="2:10" s="3" customFormat="1">
      <c r="B4670" s="3" t="s">
        <v>2146</v>
      </c>
      <c r="C4670" s="8">
        <v>4</v>
      </c>
      <c r="D4670" s="3" t="s">
        <v>2912</v>
      </c>
      <c r="E4670" s="11" t="s">
        <v>29</v>
      </c>
      <c r="F4670" s="11"/>
      <c r="G4670" s="15">
        <f>ROUND(G4668*G4669,0)</f>
        <v>29641</v>
      </c>
      <c r="H4670" s="16">
        <f>ROUND(G4670/2,0)</f>
        <v>14821</v>
      </c>
      <c r="I4670" s="15">
        <f>G4670-H4670</f>
        <v>14820</v>
      </c>
      <c r="J4670" s="3" t="str">
        <f t="shared" si="332"/>
        <v>6246325</v>
      </c>
    </row>
    <row r="4671" spans="2:10" s="3" customFormat="1">
      <c r="B4671" s="3" t="s">
        <v>2146</v>
      </c>
      <c r="C4671" s="8">
        <v>4</v>
      </c>
      <c r="D4671" s="3" t="s">
        <v>2912</v>
      </c>
      <c r="E4671" s="11" t="s">
        <v>30</v>
      </c>
      <c r="F4671" s="11"/>
      <c r="G4671" s="12">
        <f>+G4668-G4670</f>
        <v>39263</v>
      </c>
      <c r="H4671" s="13">
        <f>ROUND(G4671/2,0)</f>
        <v>19632</v>
      </c>
      <c r="I4671" s="12">
        <f>G4671-H4671</f>
        <v>19631</v>
      </c>
      <c r="J4671" s="3" t="str">
        <f t="shared" si="332"/>
        <v>6246325</v>
      </c>
    </row>
    <row r="4672" spans="2:10" s="3" customFormat="1">
      <c r="B4672" s="3" t="s">
        <v>2146</v>
      </c>
      <c r="C4672" s="8">
        <v>4</v>
      </c>
      <c r="D4672" s="3" t="s">
        <v>2914</v>
      </c>
      <c r="E4672" s="11" t="s">
        <v>1392</v>
      </c>
      <c r="F4672" s="10">
        <v>0.35776599999999997</v>
      </c>
      <c r="G4672" s="9">
        <f>ROUND(G$3*F4672,0)</f>
        <v>102938</v>
      </c>
      <c r="H4672" s="11">
        <f>ROUND(G4672/2,0)</f>
        <v>51469</v>
      </c>
      <c r="I4672" s="9">
        <f>G4672-H4672</f>
        <v>51469</v>
      </c>
      <c r="J4672" s="3" t="str">
        <f t="shared" si="332"/>
        <v>6246350</v>
      </c>
    </row>
    <row r="4673" spans="1:11" s="3" customFormat="1">
      <c r="B4673" s="3" t="s">
        <v>2146</v>
      </c>
      <c r="C4673" s="8">
        <v>4</v>
      </c>
      <c r="D4673" s="3" t="s">
        <v>2914</v>
      </c>
      <c r="E4673" s="11" t="s">
        <v>28</v>
      </c>
      <c r="F4673" s="11"/>
      <c r="G4673" s="14">
        <v>0.39270100000000002</v>
      </c>
      <c r="H4673" s="11"/>
      <c r="I4673" s="11"/>
      <c r="J4673" s="3" t="str">
        <f t="shared" si="332"/>
        <v>6246350</v>
      </c>
    </row>
    <row r="4674" spans="1:11" s="3" customFormat="1">
      <c r="B4674" s="3" t="s">
        <v>2146</v>
      </c>
      <c r="C4674" s="8">
        <v>4</v>
      </c>
      <c r="D4674" s="3" t="s">
        <v>2914</v>
      </c>
      <c r="E4674" s="11" t="s">
        <v>29</v>
      </c>
      <c r="F4674" s="11"/>
      <c r="G4674" s="15">
        <f>ROUND(G4672*G4673,0)</f>
        <v>40424</v>
      </c>
      <c r="H4674" s="16">
        <f t="shared" ref="H4674:H4679" si="336">ROUND(G4674/2,0)</f>
        <v>20212</v>
      </c>
      <c r="I4674" s="15">
        <f t="shared" ref="I4674:I4679" si="337">G4674-H4674</f>
        <v>20212</v>
      </c>
      <c r="J4674" s="3" t="str">
        <f t="shared" si="332"/>
        <v>6246350</v>
      </c>
    </row>
    <row r="4675" spans="1:11" s="3" customFormat="1">
      <c r="B4675" s="3" t="s">
        <v>2146</v>
      </c>
      <c r="C4675" s="8">
        <v>4</v>
      </c>
      <c r="D4675" s="3" t="s">
        <v>2914</v>
      </c>
      <c r="E4675" s="11" t="s">
        <v>30</v>
      </c>
      <c r="F4675" s="11"/>
      <c r="G4675" s="12">
        <f>+G4672-G4674</f>
        <v>62514</v>
      </c>
      <c r="H4675" s="13">
        <f t="shared" si="336"/>
        <v>31257</v>
      </c>
      <c r="I4675" s="12">
        <f t="shared" si="337"/>
        <v>31257</v>
      </c>
      <c r="J4675" s="3" t="str">
        <f t="shared" si="332"/>
        <v>6246350</v>
      </c>
    </row>
    <row r="4676" spans="1:11" s="128" customFormat="1">
      <c r="A4676" s="136" t="s">
        <v>5350</v>
      </c>
      <c r="B4676" s="128" t="s">
        <v>2146</v>
      </c>
      <c r="C4676" s="129">
        <v>5</v>
      </c>
      <c r="D4676" s="130" t="s">
        <v>6373</v>
      </c>
      <c r="E4676" s="131" t="s">
        <v>1393</v>
      </c>
      <c r="F4676" s="133">
        <v>1.3960000000000001E-3</v>
      </c>
      <c r="G4676" s="137">
        <f>ROUND(G$3*F4676,0)</f>
        <v>402</v>
      </c>
      <c r="H4676" s="137">
        <f t="shared" si="336"/>
        <v>201</v>
      </c>
      <c r="I4676" s="137">
        <f t="shared" si="337"/>
        <v>201</v>
      </c>
      <c r="J4676" s="128" t="str">
        <f t="shared" ref="J4676:J4739" si="338">B4676&amp;C4676&amp;D4676</f>
        <v>6250178</v>
      </c>
      <c r="K4676" s="128" t="s">
        <v>6372</v>
      </c>
    </row>
    <row r="4677" spans="1:11" s="128" customFormat="1">
      <c r="A4677" s="136" t="s">
        <v>5350</v>
      </c>
      <c r="B4677" s="128" t="s">
        <v>2146</v>
      </c>
      <c r="C4677" s="129">
        <v>5</v>
      </c>
      <c r="D4677" s="130" t="s">
        <v>6374</v>
      </c>
      <c r="E4677" s="131" t="s">
        <v>1394</v>
      </c>
      <c r="F4677" s="133">
        <v>2.8232E-2</v>
      </c>
      <c r="G4677" s="137">
        <f>ROUND(G$3*F4677,0)</f>
        <v>8123</v>
      </c>
      <c r="H4677" s="137">
        <f t="shared" si="336"/>
        <v>4062</v>
      </c>
      <c r="I4677" s="137">
        <f t="shared" si="337"/>
        <v>4061</v>
      </c>
      <c r="J4677" s="128" t="str">
        <f t="shared" si="338"/>
        <v>6250179</v>
      </c>
      <c r="K4677" s="128" t="s">
        <v>6372</v>
      </c>
    </row>
    <row r="4678" spans="1:11" s="3" customFormat="1">
      <c r="B4678" s="3" t="s">
        <v>2146</v>
      </c>
      <c r="C4678" s="8">
        <v>6</v>
      </c>
      <c r="D4678" s="3" t="s">
        <v>5352</v>
      </c>
      <c r="E4678" s="11" t="s">
        <v>1395</v>
      </c>
      <c r="F4678" s="10">
        <v>3.8869999999999738E-3</v>
      </c>
      <c r="G4678" s="120">
        <f>+G4634-SUM(G4635:G4636)-SUM(G4641:G4664)-G4668-G4672-SUM(G4676:G4677)</f>
        <v>-130530</v>
      </c>
      <c r="H4678" s="120">
        <f t="shared" si="336"/>
        <v>-65265</v>
      </c>
      <c r="I4678" s="120">
        <f t="shared" si="337"/>
        <v>-65265</v>
      </c>
      <c r="J4678" s="3" t="str">
        <f t="shared" si="338"/>
        <v>6260993</v>
      </c>
    </row>
    <row r="4679" spans="1:11" s="3" customFormat="1">
      <c r="A4679" s="3" t="s">
        <v>6269</v>
      </c>
      <c r="B4679" s="3" t="s">
        <v>2146</v>
      </c>
      <c r="C4679" s="8">
        <v>6</v>
      </c>
      <c r="D4679" s="3" t="s">
        <v>5354</v>
      </c>
      <c r="E4679" s="11" t="s">
        <v>1396</v>
      </c>
      <c r="F4679" s="10">
        <v>0</v>
      </c>
      <c r="G4679" s="120">
        <f>ROUND(G$3*F4679,0)</f>
        <v>0</v>
      </c>
      <c r="H4679" s="120">
        <f t="shared" si="336"/>
        <v>0</v>
      </c>
      <c r="I4679" s="120">
        <f t="shared" si="337"/>
        <v>0</v>
      </c>
      <c r="J4679" s="3" t="str">
        <f t="shared" si="338"/>
        <v>6261064</v>
      </c>
    </row>
    <row r="4680" spans="1:11" s="3" customFormat="1">
      <c r="B4680" s="3" t="s">
        <v>2146</v>
      </c>
      <c r="C4680" s="8">
        <v>0</v>
      </c>
      <c r="D4680" s="125" t="s">
        <v>2187</v>
      </c>
      <c r="E4680" s="28" t="s">
        <v>288</v>
      </c>
      <c r="F4680" s="10">
        <v>1</v>
      </c>
      <c r="G4680" s="12">
        <f>+G4635+SUM(G4638:G4663)+SUM(G4666:G4667)+SUM(G4670:G4671)+SUM(G4674:G4679)</f>
        <v>156077</v>
      </c>
      <c r="H4680" s="12">
        <f>+H4635+SUM(H4638:H4663)+SUM(H4666:H4667)+SUM(H4670:H4671)+SUM(H4674:H4679)</f>
        <v>78044</v>
      </c>
      <c r="I4680" s="12">
        <f>+I4635+SUM(I4638:I4663)+SUM(I4666:I4667)+SUM(I4670:I4671)+SUM(I4674:I4679)</f>
        <v>78033</v>
      </c>
      <c r="J4680" s="3" t="str">
        <f t="shared" si="338"/>
        <v>6200000</v>
      </c>
    </row>
    <row r="4681" spans="1:11" s="3" customFormat="1">
      <c r="B4681" s="3" t="s">
        <v>2146</v>
      </c>
      <c r="C4681" s="8">
        <v>0</v>
      </c>
      <c r="D4681" s="3" t="s">
        <v>2187</v>
      </c>
      <c r="E4681" s="18" t="s">
        <v>38</v>
      </c>
      <c r="G4681" s="19">
        <f>+G4635</f>
        <v>298</v>
      </c>
      <c r="H4681" s="19">
        <f>+H4635</f>
        <v>149</v>
      </c>
      <c r="I4681" s="19">
        <f>+I4635</f>
        <v>149</v>
      </c>
      <c r="J4681" s="3" t="str">
        <f t="shared" si="338"/>
        <v>6200000</v>
      </c>
    </row>
    <row r="4682" spans="1:11" s="3" customFormat="1">
      <c r="B4682" s="3" t="s">
        <v>2146</v>
      </c>
      <c r="C4682" s="8">
        <v>0</v>
      </c>
      <c r="D4682" s="3" t="s">
        <v>2187</v>
      </c>
      <c r="E4682" s="2" t="s">
        <v>39</v>
      </c>
      <c r="G4682" s="19">
        <f>+G4638</f>
        <v>9721</v>
      </c>
      <c r="H4682" s="19">
        <f>+H4638</f>
        <v>4861</v>
      </c>
      <c r="I4682" s="19">
        <f>+I4638</f>
        <v>4860</v>
      </c>
      <c r="J4682" s="3" t="str">
        <f t="shared" si="338"/>
        <v>6200000</v>
      </c>
    </row>
    <row r="4683" spans="1:11" s="3" customFormat="1">
      <c r="B4683" s="3" t="s">
        <v>2146</v>
      </c>
      <c r="C4683" s="8">
        <v>0</v>
      </c>
      <c r="D4683" s="3" t="s">
        <v>2187</v>
      </c>
      <c r="E4683" s="2" t="s">
        <v>40</v>
      </c>
      <c r="G4683" s="19">
        <f>+G4666+G4670+G4674</f>
        <v>79440</v>
      </c>
      <c r="H4683" s="19">
        <f>+H4666+H4670+H4674</f>
        <v>39721</v>
      </c>
      <c r="I4683" s="19">
        <f>+I4666+I4670+I4674</f>
        <v>39719</v>
      </c>
      <c r="J4683" s="3" t="str">
        <f t="shared" si="338"/>
        <v>6200000</v>
      </c>
    </row>
    <row r="4684" spans="1:11" s="3" customFormat="1">
      <c r="B4684" s="3" t="s">
        <v>2146</v>
      </c>
      <c r="C4684" s="8">
        <v>0</v>
      </c>
      <c r="D4684" s="125" t="s">
        <v>2187</v>
      </c>
      <c r="E4684" s="18" t="s">
        <v>41</v>
      </c>
      <c r="G4684" s="19">
        <f>+G4680-G4681-G4682-G4683</f>
        <v>66618</v>
      </c>
      <c r="H4684" s="19">
        <f>+H4680-H4681-H4682-H4683</f>
        <v>33313</v>
      </c>
      <c r="I4684" s="19">
        <f>+I4680-I4681-I4682-I4683</f>
        <v>33305</v>
      </c>
      <c r="J4684" s="3" t="str">
        <f t="shared" si="338"/>
        <v>6200000</v>
      </c>
    </row>
    <row r="4685" spans="1:11" ht="15.75">
      <c r="B4685" s="3" t="s">
        <v>2186</v>
      </c>
      <c r="D4685" t="s">
        <v>2186</v>
      </c>
      <c r="E4685">
        <v>0</v>
      </c>
      <c r="G4685"/>
      <c r="H4685"/>
      <c r="I4685"/>
      <c r="J4685" s="3" t="str">
        <f t="shared" si="338"/>
        <v/>
      </c>
    </row>
    <row r="4686" spans="1:11" s="3" customFormat="1">
      <c r="C4686" s="1"/>
      <c r="D4686" s="3" t="s">
        <v>2186</v>
      </c>
      <c r="E4686" s="2" t="s">
        <v>1397</v>
      </c>
      <c r="J4686" s="3" t="str">
        <f t="shared" si="338"/>
        <v/>
      </c>
    </row>
    <row r="4687" spans="1:11" s="3" customFormat="1" ht="45">
      <c r="B4687" s="3" t="s">
        <v>2186</v>
      </c>
      <c r="C4687" s="1"/>
      <c r="D4687" s="3" t="s">
        <v>2186</v>
      </c>
      <c r="E4687" s="1">
        <v>0</v>
      </c>
      <c r="F4687" s="6" t="s">
        <v>1</v>
      </c>
      <c r="G4687" s="60">
        <f>'Allocation Worksheet'!H4687</f>
        <v>0</v>
      </c>
      <c r="H4687" s="60">
        <f>'Allocation Worksheet'!H4688</f>
        <v>0</v>
      </c>
      <c r="I4687" s="60">
        <f>'Allocation Worksheet'!H4689</f>
        <v>0</v>
      </c>
      <c r="J4687" s="3" t="str">
        <f t="shared" si="338"/>
        <v/>
      </c>
    </row>
    <row r="4688" spans="1:11" s="3" customFormat="1">
      <c r="C4688" s="7" t="s">
        <v>2087</v>
      </c>
      <c r="D4688" s="3" t="s">
        <v>2186</v>
      </c>
      <c r="E4688" s="7" t="s">
        <v>3</v>
      </c>
      <c r="F4688" s="10"/>
      <c r="G4688" s="9">
        <f>'Allocation Worksheet'!$D$66</f>
        <v>170346</v>
      </c>
      <c r="H4688" s="11"/>
      <c r="I4688" s="11"/>
      <c r="J4688" s="3" t="str">
        <f t="shared" si="338"/>
        <v>UT</v>
      </c>
    </row>
    <row r="4689" spans="1:10" s="3" customFormat="1">
      <c r="B4689" s="3" t="s">
        <v>2147</v>
      </c>
      <c r="C4689" s="8">
        <v>0</v>
      </c>
      <c r="D4689" s="3" t="s">
        <v>2187</v>
      </c>
      <c r="E4689" s="11" t="s">
        <v>4</v>
      </c>
      <c r="F4689" s="10">
        <v>1.3320000000000001E-3</v>
      </c>
      <c r="G4689" s="12">
        <f>ROUND(G$3*F4689,0)</f>
        <v>383</v>
      </c>
      <c r="H4689" s="13">
        <f>ROUND(G4689/2,0)</f>
        <v>192</v>
      </c>
      <c r="I4689" s="12">
        <f>G4689-H4689</f>
        <v>191</v>
      </c>
      <c r="J4689" s="3" t="str">
        <f t="shared" si="338"/>
        <v>6300000</v>
      </c>
    </row>
    <row r="4690" spans="1:10" s="3" customFormat="1">
      <c r="B4690" s="3" t="s">
        <v>2147</v>
      </c>
      <c r="C4690" s="8">
        <v>1</v>
      </c>
      <c r="D4690" s="3" t="s">
        <v>2187</v>
      </c>
      <c r="E4690" s="11" t="s">
        <v>1398</v>
      </c>
      <c r="F4690" s="10">
        <v>0.33315</v>
      </c>
      <c r="G4690" s="9">
        <f>ROUND(G$3*F4690,0)</f>
        <v>95855</v>
      </c>
      <c r="H4690" s="11">
        <f>ROUND(G4690/2,0)</f>
        <v>47928</v>
      </c>
      <c r="I4690" s="9">
        <f>G4690-H4690</f>
        <v>47927</v>
      </c>
      <c r="J4690" s="3" t="str">
        <f t="shared" si="338"/>
        <v>6310000</v>
      </c>
    </row>
    <row r="4691" spans="1:10" s="3" customFormat="1">
      <c r="B4691" s="3" t="s">
        <v>2147</v>
      </c>
      <c r="C4691" s="8">
        <v>1</v>
      </c>
      <c r="D4691" s="3" t="s">
        <v>2187</v>
      </c>
      <c r="E4691" s="11" t="s">
        <v>6</v>
      </c>
      <c r="F4691" s="11"/>
      <c r="G4691" s="14">
        <v>0.16600999999999999</v>
      </c>
      <c r="H4691" s="11"/>
      <c r="I4691" s="11"/>
      <c r="J4691" s="3" t="str">
        <f t="shared" si="338"/>
        <v>6310000</v>
      </c>
    </row>
    <row r="4692" spans="1:10" s="3" customFormat="1">
      <c r="B4692" s="3" t="s">
        <v>2147</v>
      </c>
      <c r="C4692" s="8">
        <v>1</v>
      </c>
      <c r="D4692" s="3" t="s">
        <v>2187</v>
      </c>
      <c r="E4692" s="11" t="s">
        <v>7</v>
      </c>
      <c r="F4692" s="11"/>
      <c r="G4692" s="15">
        <f>ROUND(G4690*G4691,0)</f>
        <v>15913</v>
      </c>
      <c r="H4692" s="16">
        <f>ROUND(G4692/2,0)</f>
        <v>7957</v>
      </c>
      <c r="I4692" s="15">
        <f>G4692-H4692</f>
        <v>7956</v>
      </c>
      <c r="J4692" s="3" t="str">
        <f t="shared" si="338"/>
        <v>6310000</v>
      </c>
    </row>
    <row r="4693" spans="1:10" s="3" customFormat="1">
      <c r="B4693" s="3" t="s">
        <v>2147</v>
      </c>
      <c r="C4693" s="8">
        <v>1</v>
      </c>
      <c r="D4693" s="3" t="s">
        <v>2187</v>
      </c>
      <c r="E4693" s="11" t="s">
        <v>8</v>
      </c>
      <c r="F4693" s="11"/>
      <c r="G4693" s="12">
        <f>+G4690-G4692</f>
        <v>79942</v>
      </c>
      <c r="H4693" s="13">
        <f>ROUND(G4693/2,0)</f>
        <v>39971</v>
      </c>
      <c r="I4693" s="12">
        <f>G4693-H4693</f>
        <v>39971</v>
      </c>
      <c r="J4693" s="3" t="str">
        <f t="shared" si="338"/>
        <v>6310000</v>
      </c>
    </row>
    <row r="4694" spans="1:10" s="3" customFormat="1">
      <c r="B4694" s="3" t="s">
        <v>2147</v>
      </c>
      <c r="C4694" s="8">
        <v>2</v>
      </c>
      <c r="D4694" s="3" t="s">
        <v>2188</v>
      </c>
      <c r="E4694" s="11" t="s">
        <v>81</v>
      </c>
      <c r="F4694" s="11"/>
      <c r="G4694" s="9"/>
      <c r="H4694" s="11"/>
      <c r="I4694" s="11"/>
      <c r="J4694" s="3" t="str">
        <f t="shared" si="338"/>
        <v>6320001</v>
      </c>
    </row>
    <row r="4695" spans="1:10" s="3" customFormat="1">
      <c r="B4695" s="3" t="s">
        <v>2147</v>
      </c>
      <c r="C4695" s="8">
        <v>2</v>
      </c>
      <c r="D4695" s="3" t="s">
        <v>2188</v>
      </c>
      <c r="E4695" s="11" t="s">
        <v>10</v>
      </c>
      <c r="F4695" s="10">
        <v>7.9699999999999997E-4</v>
      </c>
      <c r="G4695" s="12">
        <f>ROUND(G$3*F4695,0)</f>
        <v>229</v>
      </c>
      <c r="H4695" s="13">
        <f>ROUND(G4695/2,0)</f>
        <v>115</v>
      </c>
      <c r="I4695" s="12">
        <f>G4695-H4695</f>
        <v>114</v>
      </c>
      <c r="J4695" s="3" t="str">
        <f t="shared" si="338"/>
        <v>6320001</v>
      </c>
    </row>
    <row r="4696" spans="1:10" s="3" customFormat="1">
      <c r="A4696" s="3" t="s">
        <v>6269</v>
      </c>
      <c r="B4696" s="3" t="s">
        <v>2147</v>
      </c>
      <c r="C4696" s="8">
        <v>2</v>
      </c>
      <c r="D4696" s="3" t="s">
        <v>2188</v>
      </c>
      <c r="E4696" s="11" t="s">
        <v>11</v>
      </c>
      <c r="F4696" s="10">
        <v>0</v>
      </c>
      <c r="G4696" s="12">
        <f>ROUND(G$3*F4696,0)</f>
        <v>0</v>
      </c>
      <c r="H4696" s="13">
        <f>ROUND(G4696/2,0)</f>
        <v>0</v>
      </c>
      <c r="I4696" s="12">
        <f>G4696-H4696</f>
        <v>0</v>
      </c>
      <c r="J4696" s="3" t="str">
        <f t="shared" si="338"/>
        <v>6320001</v>
      </c>
    </row>
    <row r="4697" spans="1:10" s="3" customFormat="1">
      <c r="B4697" s="3" t="s">
        <v>2147</v>
      </c>
      <c r="C4697" s="8">
        <v>2</v>
      </c>
      <c r="D4697" s="3" t="s">
        <v>2189</v>
      </c>
      <c r="E4697" s="11" t="s">
        <v>14</v>
      </c>
      <c r="F4697" s="11"/>
      <c r="G4697" s="9"/>
      <c r="H4697" s="11"/>
      <c r="I4697" s="11"/>
      <c r="J4697" s="3" t="str">
        <f t="shared" si="338"/>
        <v>6320002</v>
      </c>
    </row>
    <row r="4698" spans="1:10" s="3" customFormat="1">
      <c r="B4698" s="3" t="s">
        <v>2147</v>
      </c>
      <c r="C4698" s="8">
        <v>2</v>
      </c>
      <c r="D4698" s="3" t="s">
        <v>2189</v>
      </c>
      <c r="E4698" s="11" t="s">
        <v>10</v>
      </c>
      <c r="F4698" s="10">
        <v>5.5960000000000003E-3</v>
      </c>
      <c r="G4698" s="12">
        <f>ROUND(G$3*F4698,0)</f>
        <v>1610</v>
      </c>
      <c r="H4698" s="13">
        <f>ROUND(G4698/2,0)</f>
        <v>805</v>
      </c>
      <c r="I4698" s="12">
        <f>G4698-H4698</f>
        <v>805</v>
      </c>
      <c r="J4698" s="3" t="str">
        <f t="shared" si="338"/>
        <v>6320002</v>
      </c>
    </row>
    <row r="4699" spans="1:10" s="3" customFormat="1">
      <c r="A4699" s="3" t="s">
        <v>6269</v>
      </c>
      <c r="B4699" s="3" t="s">
        <v>2147</v>
      </c>
      <c r="C4699" s="8">
        <v>2</v>
      </c>
      <c r="D4699" s="3" t="s">
        <v>2189</v>
      </c>
      <c r="E4699" s="11" t="s">
        <v>11</v>
      </c>
      <c r="F4699" s="10">
        <v>0</v>
      </c>
      <c r="G4699" s="12">
        <f>ROUND(G$3*F4699,0)</f>
        <v>0</v>
      </c>
      <c r="H4699" s="13">
        <f>ROUND(G4699/2,0)</f>
        <v>0</v>
      </c>
      <c r="I4699" s="12">
        <f>G4699-H4699</f>
        <v>0</v>
      </c>
      <c r="J4699" s="3" t="str">
        <f t="shared" si="338"/>
        <v>6320002</v>
      </c>
    </row>
    <row r="4700" spans="1:10" s="3" customFormat="1">
      <c r="B4700" s="3" t="s">
        <v>2147</v>
      </c>
      <c r="C4700" s="8">
        <v>2</v>
      </c>
      <c r="D4700" s="3" t="s">
        <v>2190</v>
      </c>
      <c r="E4700" s="11" t="s">
        <v>1399</v>
      </c>
      <c r="F4700" s="11"/>
      <c r="G4700" s="9"/>
      <c r="H4700" s="11"/>
      <c r="I4700" s="11"/>
      <c r="J4700" s="3" t="str">
        <f t="shared" si="338"/>
        <v>6320003</v>
      </c>
    </row>
    <row r="4701" spans="1:10" s="3" customFormat="1">
      <c r="B4701" s="3" t="s">
        <v>2147</v>
      </c>
      <c r="C4701" s="8">
        <v>2</v>
      </c>
      <c r="D4701" s="3" t="s">
        <v>2190</v>
      </c>
      <c r="E4701" s="11" t="s">
        <v>10</v>
      </c>
      <c r="F4701" s="10">
        <v>2.41E-4</v>
      </c>
      <c r="G4701" s="12">
        <f>ROUND(G$3*F4701,0)</f>
        <v>69</v>
      </c>
      <c r="H4701" s="13">
        <f>ROUND(G4701/2,0)</f>
        <v>35</v>
      </c>
      <c r="I4701" s="12">
        <f>G4701-H4701</f>
        <v>34</v>
      </c>
      <c r="J4701" s="3" t="str">
        <f t="shared" si="338"/>
        <v>6320003</v>
      </c>
    </row>
    <row r="4702" spans="1:10" s="3" customFormat="1">
      <c r="B4702" s="3" t="s">
        <v>2147</v>
      </c>
      <c r="C4702" s="8">
        <v>2</v>
      </c>
      <c r="D4702" s="3" t="s">
        <v>2190</v>
      </c>
      <c r="E4702" s="11" t="s">
        <v>11</v>
      </c>
      <c r="F4702" s="10">
        <v>1.07E-4</v>
      </c>
      <c r="G4702" s="12">
        <f>ROUND(G$3*F4702,0)</f>
        <v>31</v>
      </c>
      <c r="H4702" s="13">
        <f>ROUND(G4702/2,0)</f>
        <v>16</v>
      </c>
      <c r="I4702" s="12">
        <f>G4702-H4702</f>
        <v>15</v>
      </c>
      <c r="J4702" s="3" t="str">
        <f t="shared" si="338"/>
        <v>6320003</v>
      </c>
    </row>
    <row r="4703" spans="1:10" s="3" customFormat="1">
      <c r="B4703" s="3" t="s">
        <v>2147</v>
      </c>
      <c r="C4703" s="8">
        <v>2</v>
      </c>
      <c r="D4703" s="3" t="s">
        <v>2191</v>
      </c>
      <c r="E4703" s="11" t="s">
        <v>335</v>
      </c>
      <c r="F4703" s="11"/>
      <c r="G4703" s="9"/>
      <c r="H4703" s="11"/>
      <c r="I4703" s="11"/>
      <c r="J4703" s="3" t="str">
        <f t="shared" si="338"/>
        <v>6320004</v>
      </c>
    </row>
    <row r="4704" spans="1:10" s="3" customFormat="1">
      <c r="B4704" s="3" t="s">
        <v>2147</v>
      </c>
      <c r="C4704" s="8">
        <v>2</v>
      </c>
      <c r="D4704" s="3" t="s">
        <v>2191</v>
      </c>
      <c r="E4704" s="11" t="s">
        <v>10</v>
      </c>
      <c r="F4704" s="10">
        <v>8.3500000000000002E-4</v>
      </c>
      <c r="G4704" s="12">
        <f>ROUND(G$3*F4704,0)</f>
        <v>240</v>
      </c>
      <c r="H4704" s="13">
        <f>ROUND(G4704/2,0)</f>
        <v>120</v>
      </c>
      <c r="I4704" s="12">
        <f>G4704-H4704</f>
        <v>120</v>
      </c>
      <c r="J4704" s="3" t="str">
        <f t="shared" si="338"/>
        <v>6320004</v>
      </c>
    </row>
    <row r="4705" spans="1:10" s="3" customFormat="1">
      <c r="A4705" s="3" t="s">
        <v>6269</v>
      </c>
      <c r="B4705" s="3" t="s">
        <v>2147</v>
      </c>
      <c r="C4705" s="8">
        <v>2</v>
      </c>
      <c r="D4705" s="3" t="s">
        <v>2191</v>
      </c>
      <c r="E4705" s="11" t="s">
        <v>11</v>
      </c>
      <c r="F4705" s="10">
        <v>0</v>
      </c>
      <c r="G4705" s="12">
        <f>ROUND(G$3*F4705,0)</f>
        <v>0</v>
      </c>
      <c r="H4705" s="13">
        <f>ROUND(G4705/2,0)</f>
        <v>0</v>
      </c>
      <c r="I4705" s="12">
        <f>G4705-H4705</f>
        <v>0</v>
      </c>
      <c r="J4705" s="3" t="str">
        <f t="shared" si="338"/>
        <v>6320004</v>
      </c>
    </row>
    <row r="4706" spans="1:10" s="3" customFormat="1">
      <c r="B4706" s="3" t="s">
        <v>2147</v>
      </c>
      <c r="C4706" s="8">
        <v>2</v>
      </c>
      <c r="D4706" s="3" t="s">
        <v>2192</v>
      </c>
      <c r="E4706" s="11" t="s">
        <v>52</v>
      </c>
      <c r="F4706" s="11"/>
      <c r="G4706" s="9"/>
      <c r="H4706" s="11"/>
      <c r="I4706" s="11"/>
      <c r="J4706" s="3" t="str">
        <f t="shared" si="338"/>
        <v>6320005</v>
      </c>
    </row>
    <row r="4707" spans="1:10" s="3" customFormat="1">
      <c r="B4707" s="3" t="s">
        <v>2147</v>
      </c>
      <c r="C4707" s="8">
        <v>2</v>
      </c>
      <c r="D4707" s="3" t="s">
        <v>2192</v>
      </c>
      <c r="E4707" s="11" t="s">
        <v>10</v>
      </c>
      <c r="F4707" s="10">
        <v>1.268E-3</v>
      </c>
      <c r="G4707" s="12">
        <f>ROUND(G$3*F4707,0)</f>
        <v>365</v>
      </c>
      <c r="H4707" s="13">
        <f>ROUND(G4707/2,0)</f>
        <v>183</v>
      </c>
      <c r="I4707" s="12">
        <f>G4707-H4707</f>
        <v>182</v>
      </c>
      <c r="J4707" s="3" t="str">
        <f t="shared" si="338"/>
        <v>6320005</v>
      </c>
    </row>
    <row r="4708" spans="1:10" s="3" customFormat="1">
      <c r="A4708" s="3" t="s">
        <v>6269</v>
      </c>
      <c r="B4708" s="3" t="s">
        <v>2147</v>
      </c>
      <c r="C4708" s="8">
        <v>2</v>
      </c>
      <c r="D4708" s="3" t="s">
        <v>2192</v>
      </c>
      <c r="E4708" s="11" t="s">
        <v>11</v>
      </c>
      <c r="F4708" s="10">
        <v>0</v>
      </c>
      <c r="G4708" s="12">
        <f>ROUND(G$3*F4708,0)</f>
        <v>0</v>
      </c>
      <c r="H4708" s="13">
        <f>ROUND(G4708/2,0)</f>
        <v>0</v>
      </c>
      <c r="I4708" s="12">
        <f>G4708-H4708</f>
        <v>0</v>
      </c>
      <c r="J4708" s="3" t="str">
        <f t="shared" si="338"/>
        <v>6320005</v>
      </c>
    </row>
    <row r="4709" spans="1:10" s="3" customFormat="1">
      <c r="B4709" s="3" t="s">
        <v>2147</v>
      </c>
      <c r="C4709" s="8">
        <v>2</v>
      </c>
      <c r="D4709" s="3" t="s">
        <v>2193</v>
      </c>
      <c r="E4709" s="11" t="s">
        <v>53</v>
      </c>
      <c r="F4709" s="11"/>
      <c r="G4709" s="9"/>
      <c r="H4709" s="11"/>
      <c r="I4709" s="11"/>
      <c r="J4709" s="3" t="str">
        <f t="shared" si="338"/>
        <v>6320006</v>
      </c>
    </row>
    <row r="4710" spans="1:10" s="3" customFormat="1">
      <c r="B4710" s="3" t="s">
        <v>2147</v>
      </c>
      <c r="C4710" s="8">
        <v>2</v>
      </c>
      <c r="D4710" s="3" t="s">
        <v>2193</v>
      </c>
      <c r="E4710" s="11" t="s">
        <v>10</v>
      </c>
      <c r="F4710" s="10">
        <v>1.145E-3</v>
      </c>
      <c r="G4710" s="12">
        <f>ROUND(G$3*F4710,0)</f>
        <v>329</v>
      </c>
      <c r="H4710" s="13">
        <f>ROUND(G4710/2,0)</f>
        <v>165</v>
      </c>
      <c r="I4710" s="12">
        <f>G4710-H4710</f>
        <v>164</v>
      </c>
      <c r="J4710" s="3" t="str">
        <f t="shared" si="338"/>
        <v>6320006</v>
      </c>
    </row>
    <row r="4711" spans="1:10" s="3" customFormat="1">
      <c r="A4711" s="3" t="s">
        <v>6269</v>
      </c>
      <c r="B4711" s="3" t="s">
        <v>2147</v>
      </c>
      <c r="C4711" s="8">
        <v>2</v>
      </c>
      <c r="D4711" s="3" t="s">
        <v>2193</v>
      </c>
      <c r="E4711" s="11" t="s">
        <v>11</v>
      </c>
      <c r="F4711" s="10">
        <v>0</v>
      </c>
      <c r="G4711" s="12">
        <f>ROUND(G$3*F4711,0)</f>
        <v>0</v>
      </c>
      <c r="H4711" s="13">
        <f>ROUND(G4711/2,0)</f>
        <v>0</v>
      </c>
      <c r="I4711" s="12">
        <f>G4711-H4711</f>
        <v>0</v>
      </c>
      <c r="J4711" s="3" t="str">
        <f t="shared" si="338"/>
        <v>6320006</v>
      </c>
    </row>
    <row r="4712" spans="1:10" s="3" customFormat="1">
      <c r="B4712" s="3" t="s">
        <v>2147</v>
      </c>
      <c r="C4712" s="8">
        <v>2</v>
      </c>
      <c r="D4712" s="3" t="s">
        <v>2194</v>
      </c>
      <c r="E4712" s="11" t="s">
        <v>16</v>
      </c>
      <c r="F4712" s="11"/>
      <c r="G4712" s="9"/>
      <c r="H4712" s="11"/>
      <c r="I4712" s="11"/>
      <c r="J4712" s="3" t="str">
        <f t="shared" si="338"/>
        <v>6320007</v>
      </c>
    </row>
    <row r="4713" spans="1:10" s="3" customFormat="1">
      <c r="B4713" s="3" t="s">
        <v>2147</v>
      </c>
      <c r="C4713" s="8">
        <v>2</v>
      </c>
      <c r="D4713" s="3" t="s">
        <v>2194</v>
      </c>
      <c r="E4713" s="11" t="s">
        <v>10</v>
      </c>
      <c r="F4713" s="10">
        <v>1.6850000000000001E-3</v>
      </c>
      <c r="G4713" s="12">
        <f>ROUND(G$3*F4713,0)</f>
        <v>485</v>
      </c>
      <c r="H4713" s="13">
        <f>ROUND(G4713/2,0)</f>
        <v>243</v>
      </c>
      <c r="I4713" s="12">
        <f>G4713-H4713</f>
        <v>242</v>
      </c>
      <c r="J4713" s="3" t="str">
        <f t="shared" si="338"/>
        <v>6320007</v>
      </c>
    </row>
    <row r="4714" spans="1:10" s="3" customFormat="1">
      <c r="B4714" s="3" t="s">
        <v>2147</v>
      </c>
      <c r="C4714" s="8">
        <v>2</v>
      </c>
      <c r="D4714" s="3" t="s">
        <v>2194</v>
      </c>
      <c r="E4714" s="11" t="s">
        <v>11</v>
      </c>
      <c r="F4714" s="10">
        <v>1.1659999999999999E-3</v>
      </c>
      <c r="G4714" s="12">
        <f>ROUND(G$3*F4714,0)</f>
        <v>335</v>
      </c>
      <c r="H4714" s="13">
        <f>ROUND(G4714/2,0)</f>
        <v>168</v>
      </c>
      <c r="I4714" s="12">
        <f>G4714-H4714</f>
        <v>167</v>
      </c>
      <c r="J4714" s="3" t="str">
        <f t="shared" si="338"/>
        <v>6320007</v>
      </c>
    </row>
    <row r="4715" spans="1:10" s="3" customFormat="1">
      <c r="B4715" s="3" t="s">
        <v>2147</v>
      </c>
      <c r="C4715" s="8">
        <v>2</v>
      </c>
      <c r="D4715" s="3" t="s">
        <v>2195</v>
      </c>
      <c r="E4715" s="11" t="s">
        <v>292</v>
      </c>
      <c r="F4715" s="11"/>
      <c r="G4715" s="9"/>
      <c r="H4715" s="11"/>
      <c r="I4715" s="11"/>
      <c r="J4715" s="3" t="str">
        <f t="shared" si="338"/>
        <v>6320008</v>
      </c>
    </row>
    <row r="4716" spans="1:10" s="3" customFormat="1">
      <c r="B4716" s="3" t="s">
        <v>2147</v>
      </c>
      <c r="C4716" s="8">
        <v>2</v>
      </c>
      <c r="D4716" s="3" t="s">
        <v>2195</v>
      </c>
      <c r="E4716" s="11" t="s">
        <v>10</v>
      </c>
      <c r="F4716" s="10">
        <v>7.1699999999999997E-4</v>
      </c>
      <c r="G4716" s="12">
        <f>ROUND(G$3*F4716,0)</f>
        <v>206</v>
      </c>
      <c r="H4716" s="13">
        <f>ROUND(G4716/2,0)</f>
        <v>103</v>
      </c>
      <c r="I4716" s="12">
        <f>G4716-H4716</f>
        <v>103</v>
      </c>
      <c r="J4716" s="3" t="str">
        <f t="shared" si="338"/>
        <v>6320008</v>
      </c>
    </row>
    <row r="4717" spans="1:10" s="3" customFormat="1">
      <c r="A4717" s="3" t="s">
        <v>6269</v>
      </c>
      <c r="B4717" s="3" t="s">
        <v>2147</v>
      </c>
      <c r="C4717" s="8">
        <v>2</v>
      </c>
      <c r="D4717" s="3" t="s">
        <v>2195</v>
      </c>
      <c r="E4717" s="11" t="s">
        <v>11</v>
      </c>
      <c r="F4717" s="10">
        <v>0</v>
      </c>
      <c r="G4717" s="12">
        <f>ROUND(G$3*F4717,0)</f>
        <v>0</v>
      </c>
      <c r="H4717" s="13">
        <f>ROUND(G4717/2,0)</f>
        <v>0</v>
      </c>
      <c r="I4717" s="12">
        <f>G4717-H4717</f>
        <v>0</v>
      </c>
      <c r="J4717" s="3" t="str">
        <f t="shared" si="338"/>
        <v>6320008</v>
      </c>
    </row>
    <row r="4718" spans="1:10" s="3" customFormat="1">
      <c r="B4718" s="3" t="s">
        <v>2147</v>
      </c>
      <c r="C4718" s="8">
        <v>2</v>
      </c>
      <c r="D4718" s="3" t="s">
        <v>2196</v>
      </c>
      <c r="E4718" s="11" t="s">
        <v>22</v>
      </c>
      <c r="F4718" s="11"/>
      <c r="G4718" s="9"/>
      <c r="H4718" s="11"/>
      <c r="I4718" s="11"/>
      <c r="J4718" s="3" t="str">
        <f t="shared" si="338"/>
        <v>6320009</v>
      </c>
    </row>
    <row r="4719" spans="1:10" s="3" customFormat="1">
      <c r="B4719" s="3" t="s">
        <v>2147</v>
      </c>
      <c r="C4719" s="8">
        <v>2</v>
      </c>
      <c r="D4719" s="3" t="s">
        <v>2196</v>
      </c>
      <c r="E4719" s="11" t="s">
        <v>10</v>
      </c>
      <c r="F4719" s="10">
        <v>2.3700000000000001E-3</v>
      </c>
      <c r="G4719" s="12">
        <f t="shared" ref="G4719:G4724" si="339">ROUND(G$3*F4719,0)</f>
        <v>682</v>
      </c>
      <c r="H4719" s="13">
        <f t="shared" ref="H4719:H4724" si="340">ROUND(G4719/2,0)</f>
        <v>341</v>
      </c>
      <c r="I4719" s="12">
        <f t="shared" ref="I4719:I4724" si="341">G4719-H4719</f>
        <v>341</v>
      </c>
      <c r="J4719" s="3" t="str">
        <f t="shared" si="338"/>
        <v>6320009</v>
      </c>
    </row>
    <row r="4720" spans="1:10" s="3" customFormat="1">
      <c r="B4720" s="3" t="s">
        <v>2147</v>
      </c>
      <c r="C4720" s="8">
        <v>2</v>
      </c>
      <c r="D4720" s="3" t="s">
        <v>2196</v>
      </c>
      <c r="E4720" s="11" t="s">
        <v>11</v>
      </c>
      <c r="F4720" s="10">
        <v>1.5299999999999999E-3</v>
      </c>
      <c r="G4720" s="12">
        <f t="shared" si="339"/>
        <v>440</v>
      </c>
      <c r="H4720" s="13">
        <f t="shared" si="340"/>
        <v>220</v>
      </c>
      <c r="I4720" s="12">
        <f t="shared" si="341"/>
        <v>220</v>
      </c>
      <c r="J4720" s="3" t="str">
        <f t="shared" si="338"/>
        <v>6320009</v>
      </c>
    </row>
    <row r="4721" spans="1:10" s="3" customFormat="1">
      <c r="B4721" s="3" t="s">
        <v>2147</v>
      </c>
      <c r="C4721" s="8">
        <v>3</v>
      </c>
      <c r="D4721" s="3" t="s">
        <v>2915</v>
      </c>
      <c r="E4721" s="11" t="s">
        <v>1400</v>
      </c>
      <c r="F4721" s="10">
        <v>1.7259E-2</v>
      </c>
      <c r="G4721" s="12">
        <f t="shared" si="339"/>
        <v>4966</v>
      </c>
      <c r="H4721" s="13">
        <f t="shared" si="340"/>
        <v>2483</v>
      </c>
      <c r="I4721" s="12">
        <f t="shared" si="341"/>
        <v>2483</v>
      </c>
      <c r="J4721" s="3" t="str">
        <f t="shared" si="338"/>
        <v>6330455</v>
      </c>
    </row>
    <row r="4722" spans="1:10" s="3" customFormat="1">
      <c r="A4722" s="3" t="s">
        <v>6269</v>
      </c>
      <c r="B4722" s="3" t="s">
        <v>2147</v>
      </c>
      <c r="C4722" s="8">
        <v>3</v>
      </c>
      <c r="D4722" s="3" t="s">
        <v>2916</v>
      </c>
      <c r="E4722" s="11" t="s">
        <v>1401</v>
      </c>
      <c r="F4722" s="10">
        <v>0</v>
      </c>
      <c r="G4722" s="12">
        <f t="shared" si="339"/>
        <v>0</v>
      </c>
      <c r="H4722" s="13">
        <f t="shared" si="340"/>
        <v>0</v>
      </c>
      <c r="I4722" s="12">
        <f t="shared" si="341"/>
        <v>0</v>
      </c>
      <c r="J4722" s="3" t="str">
        <f t="shared" si="338"/>
        <v>6330825</v>
      </c>
    </row>
    <row r="4723" spans="1:10" s="3" customFormat="1">
      <c r="A4723" s="3" t="s">
        <v>6269</v>
      </c>
      <c r="B4723" s="3" t="s">
        <v>2147</v>
      </c>
      <c r="C4723" s="8">
        <v>3</v>
      </c>
      <c r="D4723" s="3" t="s">
        <v>2917</v>
      </c>
      <c r="E4723" s="11" t="s">
        <v>1402</v>
      </c>
      <c r="F4723" s="10">
        <v>0</v>
      </c>
      <c r="G4723" s="12">
        <f t="shared" si="339"/>
        <v>0</v>
      </c>
      <c r="H4723" s="13">
        <f t="shared" si="340"/>
        <v>0</v>
      </c>
      <c r="I4723" s="12">
        <f t="shared" si="341"/>
        <v>0</v>
      </c>
      <c r="J4723" s="3" t="str">
        <f t="shared" si="338"/>
        <v>6330826</v>
      </c>
    </row>
    <row r="4724" spans="1:10" s="3" customFormat="1">
      <c r="B4724" s="3" t="s">
        <v>2147</v>
      </c>
      <c r="C4724" s="8">
        <v>4</v>
      </c>
      <c r="D4724" s="3" t="s">
        <v>2918</v>
      </c>
      <c r="E4724" s="11" t="s">
        <v>1403</v>
      </c>
      <c r="F4724" s="10">
        <v>0.58847400000000005</v>
      </c>
      <c r="G4724" s="9">
        <f t="shared" si="339"/>
        <v>169318</v>
      </c>
      <c r="H4724" s="11">
        <f t="shared" si="340"/>
        <v>84659</v>
      </c>
      <c r="I4724" s="9">
        <f t="shared" si="341"/>
        <v>84659</v>
      </c>
      <c r="J4724" s="3" t="str">
        <f t="shared" si="338"/>
        <v>6346445</v>
      </c>
    </row>
    <row r="4725" spans="1:10" s="3" customFormat="1">
      <c r="B4725" s="3" t="s">
        <v>2147</v>
      </c>
      <c r="C4725" s="8">
        <v>4</v>
      </c>
      <c r="D4725" s="3" t="s">
        <v>2918</v>
      </c>
      <c r="E4725" s="11" t="s">
        <v>28</v>
      </c>
      <c r="F4725" s="11"/>
      <c r="G4725" s="14">
        <v>0.42811399999999999</v>
      </c>
      <c r="H4725" s="11"/>
      <c r="I4725" s="11"/>
      <c r="J4725" s="3" t="str">
        <f t="shared" si="338"/>
        <v>6346445</v>
      </c>
    </row>
    <row r="4726" spans="1:10" s="3" customFormat="1">
      <c r="B4726" s="3" t="s">
        <v>2147</v>
      </c>
      <c r="C4726" s="8">
        <v>4</v>
      </c>
      <c r="D4726" s="3" t="s">
        <v>2918</v>
      </c>
      <c r="E4726" s="11" t="s">
        <v>29</v>
      </c>
      <c r="F4726" s="11"/>
      <c r="G4726" s="15">
        <f>ROUND(G4724*G4725,0)</f>
        <v>72487</v>
      </c>
      <c r="H4726" s="16">
        <f t="shared" ref="H4726:H4731" si="342">ROUND(G4726/2,0)</f>
        <v>36244</v>
      </c>
      <c r="I4726" s="15">
        <f t="shared" ref="I4726:I4731" si="343">G4726-H4726</f>
        <v>36243</v>
      </c>
      <c r="J4726" s="3" t="str">
        <f t="shared" si="338"/>
        <v>6346445</v>
      </c>
    </row>
    <row r="4727" spans="1:10" s="3" customFormat="1">
      <c r="B4727" s="3" t="s">
        <v>2147</v>
      </c>
      <c r="C4727" s="8">
        <v>4</v>
      </c>
      <c r="D4727" s="3" t="s">
        <v>2918</v>
      </c>
      <c r="E4727" s="11" t="s">
        <v>30</v>
      </c>
      <c r="F4727" s="11"/>
      <c r="G4727" s="12">
        <f>+G4724-G4726</f>
        <v>96831</v>
      </c>
      <c r="H4727" s="13">
        <f t="shared" si="342"/>
        <v>48416</v>
      </c>
      <c r="I4727" s="12">
        <f t="shared" si="343"/>
        <v>48415</v>
      </c>
      <c r="J4727" s="3" t="str">
        <f t="shared" si="338"/>
        <v>6346445</v>
      </c>
    </row>
    <row r="4728" spans="1:10" s="3" customFormat="1">
      <c r="B4728" s="3" t="s">
        <v>2147</v>
      </c>
      <c r="C4728" s="8">
        <v>5</v>
      </c>
      <c r="D4728" s="3" t="s">
        <v>5372</v>
      </c>
      <c r="E4728" s="11" t="s">
        <v>1404</v>
      </c>
      <c r="F4728" s="10">
        <v>2.5353000000000001E-2</v>
      </c>
      <c r="G4728" s="120">
        <f>ROUND(G$3*F4728,0)</f>
        <v>7295</v>
      </c>
      <c r="H4728" s="120">
        <f t="shared" si="342"/>
        <v>3648</v>
      </c>
      <c r="I4728" s="120">
        <f t="shared" si="343"/>
        <v>3647</v>
      </c>
      <c r="J4728" s="3" t="str">
        <f t="shared" si="338"/>
        <v>6350288</v>
      </c>
    </row>
    <row r="4729" spans="1:10" s="3" customFormat="1">
      <c r="B4729" s="3" t="s">
        <v>2147</v>
      </c>
      <c r="C4729" s="8">
        <v>6</v>
      </c>
      <c r="D4729" s="3" t="s">
        <v>2221</v>
      </c>
      <c r="E4729" s="11" t="s">
        <v>1405</v>
      </c>
      <c r="F4729" s="10">
        <v>1.3161000000000001E-2</v>
      </c>
      <c r="G4729" s="120">
        <f>ROUND(G$3*F4729,0)</f>
        <v>3787</v>
      </c>
      <c r="H4729" s="120">
        <f t="shared" si="342"/>
        <v>1894</v>
      </c>
      <c r="I4729" s="120">
        <f t="shared" si="343"/>
        <v>1893</v>
      </c>
      <c r="J4729" s="3" t="str">
        <f t="shared" si="338"/>
        <v>6360968</v>
      </c>
    </row>
    <row r="4730" spans="1:10" s="3" customFormat="1">
      <c r="B4730" s="3" t="s">
        <v>2147</v>
      </c>
      <c r="C4730" s="8">
        <v>6</v>
      </c>
      <c r="D4730" s="3" t="s">
        <v>2919</v>
      </c>
      <c r="E4730" s="11" t="s">
        <v>1406</v>
      </c>
      <c r="F4730" s="10">
        <v>3.8140000000000001E-3</v>
      </c>
      <c r="G4730" s="12">
        <f>+G4688-SUM(G4689:G4690)-SUM(G4695:G4724)-SUM(G4728:G4729)</f>
        <v>-116279</v>
      </c>
      <c r="H4730" s="13">
        <f t="shared" si="342"/>
        <v>-58140</v>
      </c>
      <c r="I4730" s="12">
        <f t="shared" si="343"/>
        <v>-58139</v>
      </c>
      <c r="J4730" s="3" t="str">
        <f t="shared" si="338"/>
        <v>6360964</v>
      </c>
    </row>
    <row r="4731" spans="1:10" s="3" customFormat="1">
      <c r="A4731" s="3" t="s">
        <v>6269</v>
      </c>
      <c r="B4731" s="3" t="s">
        <v>2147</v>
      </c>
      <c r="C4731" s="8">
        <v>6</v>
      </c>
      <c r="D4731" s="3" t="s">
        <v>5376</v>
      </c>
      <c r="E4731" s="11" t="s">
        <v>1407</v>
      </c>
      <c r="F4731" s="10">
        <v>0</v>
      </c>
      <c r="G4731" s="120">
        <f>ROUND(G$3*F4731,0)</f>
        <v>0</v>
      </c>
      <c r="H4731" s="120">
        <f t="shared" si="342"/>
        <v>0</v>
      </c>
      <c r="I4731" s="120">
        <f t="shared" si="343"/>
        <v>0</v>
      </c>
      <c r="J4731" s="3" t="str">
        <f t="shared" si="338"/>
        <v>6361065</v>
      </c>
    </row>
    <row r="4732" spans="1:10" s="3" customFormat="1">
      <c r="B4732" s="3" t="s">
        <v>2147</v>
      </c>
      <c r="C4732" s="8">
        <v>0</v>
      </c>
      <c r="D4732" s="125" t="s">
        <v>2187</v>
      </c>
      <c r="E4732" s="28" t="s">
        <v>288</v>
      </c>
      <c r="F4732" s="10">
        <v>1</v>
      </c>
      <c r="G4732" s="12">
        <f>+G4689+SUM(G4692:G4723)+SUM(G4726:G4731)</f>
        <v>170346</v>
      </c>
      <c r="H4732" s="12">
        <f>+H4689+SUM(H4692:H4723)+SUM(H4726:H4731)</f>
        <v>85179</v>
      </c>
      <c r="I4732" s="12">
        <f>+I4689+SUM(I4692:I4723)+SUM(I4726:I4731)</f>
        <v>85167</v>
      </c>
      <c r="J4732" s="3" t="str">
        <f t="shared" si="338"/>
        <v>6300000</v>
      </c>
    </row>
    <row r="4733" spans="1:10" s="3" customFormat="1">
      <c r="B4733" s="3" t="s">
        <v>2147</v>
      </c>
      <c r="C4733" s="8">
        <v>0</v>
      </c>
      <c r="D4733" s="3" t="s">
        <v>2187</v>
      </c>
      <c r="E4733" s="18" t="s">
        <v>38</v>
      </c>
      <c r="G4733" s="19">
        <f>+G4689</f>
        <v>383</v>
      </c>
      <c r="H4733" s="19">
        <f>+H4689</f>
        <v>192</v>
      </c>
      <c r="I4733" s="19">
        <f>+I4689</f>
        <v>191</v>
      </c>
      <c r="J4733" s="3" t="str">
        <f t="shared" si="338"/>
        <v>6300000</v>
      </c>
    </row>
    <row r="4734" spans="1:10" s="3" customFormat="1">
      <c r="B4734" s="3" t="s">
        <v>2147</v>
      </c>
      <c r="C4734" s="8">
        <v>0</v>
      </c>
      <c r="D4734" s="3" t="s">
        <v>2187</v>
      </c>
      <c r="E4734" s="2" t="s">
        <v>39</v>
      </c>
      <c r="G4734" s="19">
        <f>+G4692</f>
        <v>15913</v>
      </c>
      <c r="H4734" s="19">
        <f>+H4692</f>
        <v>7957</v>
      </c>
      <c r="I4734" s="19">
        <f>+I4692</f>
        <v>7956</v>
      </c>
      <c r="J4734" s="3" t="str">
        <f t="shared" si="338"/>
        <v>6300000</v>
      </c>
    </row>
    <row r="4735" spans="1:10" s="3" customFormat="1">
      <c r="B4735" s="3" t="s">
        <v>2147</v>
      </c>
      <c r="C4735" s="8">
        <v>0</v>
      </c>
      <c r="D4735" s="3" t="s">
        <v>2187</v>
      </c>
      <c r="E4735" s="2" t="s">
        <v>40</v>
      </c>
      <c r="G4735" s="19">
        <f>+G4726</f>
        <v>72487</v>
      </c>
      <c r="H4735" s="19">
        <f>+H4726</f>
        <v>36244</v>
      </c>
      <c r="I4735" s="19">
        <f>+I4726</f>
        <v>36243</v>
      </c>
      <c r="J4735" s="3" t="str">
        <f t="shared" si="338"/>
        <v>6300000</v>
      </c>
    </row>
    <row r="4736" spans="1:10" s="3" customFormat="1">
      <c r="B4736" s="3" t="s">
        <v>2147</v>
      </c>
      <c r="C4736" s="8">
        <v>0</v>
      </c>
      <c r="D4736" s="125" t="s">
        <v>2187</v>
      </c>
      <c r="E4736" s="18" t="s">
        <v>41</v>
      </c>
      <c r="G4736" s="19">
        <f>+G4732-G4733-G4734-G4735</f>
        <v>81563</v>
      </c>
      <c r="H4736" s="19">
        <f>+H4732-H4733-H4734-H4735</f>
        <v>40786</v>
      </c>
      <c r="I4736" s="19">
        <f>+I4732-I4733-I4734-I4735</f>
        <v>40777</v>
      </c>
      <c r="J4736" s="3" t="str">
        <f t="shared" si="338"/>
        <v>6300000</v>
      </c>
    </row>
    <row r="4737" spans="2:10" ht="15.75">
      <c r="B4737" s="3" t="s">
        <v>2186</v>
      </c>
      <c r="D4737" t="s">
        <v>2186</v>
      </c>
      <c r="E4737">
        <v>0</v>
      </c>
      <c r="G4737"/>
      <c r="H4737"/>
      <c r="I4737"/>
      <c r="J4737" s="3" t="str">
        <f t="shared" si="338"/>
        <v/>
      </c>
    </row>
    <row r="4738" spans="2:10" s="3" customFormat="1">
      <c r="C4738" s="1"/>
      <c r="D4738" s="3" t="s">
        <v>2186</v>
      </c>
      <c r="E4738" s="2" t="s">
        <v>1408</v>
      </c>
      <c r="J4738" s="3" t="str">
        <f t="shared" si="338"/>
        <v/>
      </c>
    </row>
    <row r="4739" spans="2:10" s="3" customFormat="1" ht="45">
      <c r="B4739" s="3" t="s">
        <v>2186</v>
      </c>
      <c r="C4739" s="1"/>
      <c r="D4739" s="3" t="s">
        <v>2186</v>
      </c>
      <c r="E4739" s="1">
        <v>0</v>
      </c>
      <c r="F4739" s="6" t="s">
        <v>1</v>
      </c>
      <c r="G4739" s="60">
        <f>'Allocation Worksheet'!H4739</f>
        <v>0</v>
      </c>
      <c r="H4739" s="60">
        <f>'Allocation Worksheet'!H4740</f>
        <v>0</v>
      </c>
      <c r="I4739" s="60">
        <f>'Allocation Worksheet'!H4741</f>
        <v>0</v>
      </c>
      <c r="J4739" s="3" t="str">
        <f t="shared" si="338"/>
        <v/>
      </c>
    </row>
    <row r="4740" spans="2:10" s="3" customFormat="1">
      <c r="C4740" s="7" t="s">
        <v>2087</v>
      </c>
      <c r="D4740" s="3" t="s">
        <v>2186</v>
      </c>
      <c r="E4740" s="7" t="s">
        <v>3</v>
      </c>
      <c r="F4740" s="10"/>
      <c r="G4740" s="9">
        <f>'Allocation Worksheet'!$D$67</f>
        <v>1875386</v>
      </c>
      <c r="H4740" s="11"/>
      <c r="I4740" s="11"/>
      <c r="J4740" s="3" t="str">
        <f t="shared" ref="J4740:J4803" si="344">B4740&amp;C4740&amp;D4740</f>
        <v>UT</v>
      </c>
    </row>
    <row r="4741" spans="2:10" s="3" customFormat="1">
      <c r="B4741" s="3" t="s">
        <v>2148</v>
      </c>
      <c r="C4741" s="8">
        <v>0</v>
      </c>
      <c r="D4741" s="3" t="s">
        <v>2187</v>
      </c>
      <c r="E4741" s="11" t="s">
        <v>4</v>
      </c>
      <c r="F4741" s="10">
        <v>1.005E-3</v>
      </c>
      <c r="G4741" s="12">
        <f>ROUND(G$3*F4741,0)</f>
        <v>289</v>
      </c>
      <c r="H4741" s="13">
        <f>ROUND(G4741/2,0)</f>
        <v>145</v>
      </c>
      <c r="I4741" s="12">
        <f>G4741-H4741</f>
        <v>144</v>
      </c>
      <c r="J4741" s="3" t="str">
        <f t="shared" si="344"/>
        <v>6400000</v>
      </c>
    </row>
    <row r="4742" spans="2:10" s="3" customFormat="1">
      <c r="B4742" s="3" t="s">
        <v>2148</v>
      </c>
      <c r="C4742" s="8">
        <v>1</v>
      </c>
      <c r="D4742" s="3" t="s">
        <v>2187</v>
      </c>
      <c r="E4742" s="11" t="s">
        <v>1409</v>
      </c>
      <c r="F4742" s="10">
        <v>0.14858399999999999</v>
      </c>
      <c r="G4742" s="9">
        <f>ROUND(G$3*F4742,0)</f>
        <v>42751</v>
      </c>
      <c r="H4742" s="11">
        <f>ROUND(G4742/2,0)</f>
        <v>21376</v>
      </c>
      <c r="I4742" s="9">
        <f>G4742-H4742</f>
        <v>21375</v>
      </c>
      <c r="J4742" s="3" t="str">
        <f t="shared" si="344"/>
        <v>6410000</v>
      </c>
    </row>
    <row r="4743" spans="2:10" s="3" customFormat="1">
      <c r="B4743" s="3" t="s">
        <v>2148</v>
      </c>
      <c r="C4743" s="8">
        <v>1</v>
      </c>
      <c r="D4743" s="3" t="s">
        <v>2187</v>
      </c>
      <c r="E4743" s="11" t="s">
        <v>6</v>
      </c>
      <c r="F4743" s="11"/>
      <c r="G4743" s="14">
        <v>0.20021600000000001</v>
      </c>
      <c r="H4743" s="11"/>
      <c r="I4743" s="11"/>
      <c r="J4743" s="3" t="str">
        <f t="shared" si="344"/>
        <v>6410000</v>
      </c>
    </row>
    <row r="4744" spans="2:10" s="3" customFormat="1">
      <c r="B4744" s="3" t="s">
        <v>2148</v>
      </c>
      <c r="C4744" s="8">
        <v>1</v>
      </c>
      <c r="D4744" s="3" t="s">
        <v>2187</v>
      </c>
      <c r="E4744" s="11" t="s">
        <v>7</v>
      </c>
      <c r="F4744" s="11"/>
      <c r="G4744" s="15">
        <f>ROUND(G4742*G4743,0)</f>
        <v>8559</v>
      </c>
      <c r="H4744" s="16">
        <f>ROUND(G4744/2,0)</f>
        <v>4280</v>
      </c>
      <c r="I4744" s="15">
        <f>G4744-H4744</f>
        <v>4279</v>
      </c>
      <c r="J4744" s="3" t="str">
        <f t="shared" si="344"/>
        <v>6410000</v>
      </c>
    </row>
    <row r="4745" spans="2:10" s="3" customFormat="1">
      <c r="B4745" s="3" t="s">
        <v>2148</v>
      </c>
      <c r="C4745" s="8">
        <v>1</v>
      </c>
      <c r="D4745" s="3" t="s">
        <v>2187</v>
      </c>
      <c r="E4745" s="11" t="s">
        <v>8</v>
      </c>
      <c r="F4745" s="11"/>
      <c r="G4745" s="12">
        <f>+G4742-G4744</f>
        <v>34192</v>
      </c>
      <c r="H4745" s="13">
        <f>ROUND(G4745/2,0)</f>
        <v>17096</v>
      </c>
      <c r="I4745" s="12">
        <f>G4745-H4745</f>
        <v>17096</v>
      </c>
      <c r="J4745" s="3" t="str">
        <f t="shared" si="344"/>
        <v>6410000</v>
      </c>
    </row>
    <row r="4746" spans="2:10" s="3" customFormat="1">
      <c r="B4746" s="3" t="s">
        <v>2148</v>
      </c>
      <c r="C4746" s="8">
        <v>2</v>
      </c>
      <c r="D4746" s="3" t="s">
        <v>2188</v>
      </c>
      <c r="E4746" s="11" t="s">
        <v>200</v>
      </c>
      <c r="F4746" s="11"/>
      <c r="G4746" s="9"/>
      <c r="H4746" s="11"/>
      <c r="I4746" s="11"/>
      <c r="J4746" s="3" t="str">
        <f t="shared" si="344"/>
        <v>6420001</v>
      </c>
    </row>
    <row r="4747" spans="2:10" s="3" customFormat="1">
      <c r="B4747" s="3" t="s">
        <v>2148</v>
      </c>
      <c r="C4747" s="8">
        <v>2</v>
      </c>
      <c r="D4747" s="3" t="s">
        <v>2188</v>
      </c>
      <c r="E4747" s="11" t="s">
        <v>10</v>
      </c>
      <c r="F4747" s="10">
        <v>5.7399999999999997E-4</v>
      </c>
      <c r="G4747" s="12">
        <f>ROUND(G$3*F4747,0)</f>
        <v>165</v>
      </c>
      <c r="H4747" s="13">
        <f>ROUND(G4747/2,0)</f>
        <v>83</v>
      </c>
      <c r="I4747" s="12">
        <f>G4747-H4747</f>
        <v>82</v>
      </c>
      <c r="J4747" s="3" t="str">
        <f t="shared" si="344"/>
        <v>6420001</v>
      </c>
    </row>
    <row r="4748" spans="2:10" s="3" customFormat="1">
      <c r="B4748" s="3" t="s">
        <v>2148</v>
      </c>
      <c r="C4748" s="8">
        <v>2</v>
      </c>
      <c r="D4748" s="3" t="s">
        <v>2188</v>
      </c>
      <c r="E4748" s="11" t="s">
        <v>11</v>
      </c>
      <c r="F4748" s="10">
        <v>9.5000000000000005E-5</v>
      </c>
      <c r="G4748" s="12">
        <f>ROUND(G$3*F4748,0)</f>
        <v>27</v>
      </c>
      <c r="H4748" s="13">
        <f>ROUND(G4748/2,0)</f>
        <v>14</v>
      </c>
      <c r="I4748" s="12">
        <f>G4748-H4748</f>
        <v>13</v>
      </c>
      <c r="J4748" s="3" t="str">
        <f t="shared" si="344"/>
        <v>6420001</v>
      </c>
    </row>
    <row r="4749" spans="2:10" s="3" customFormat="1">
      <c r="B4749" s="3" t="s">
        <v>2148</v>
      </c>
      <c r="C4749" s="8">
        <v>2</v>
      </c>
      <c r="D4749" s="3" t="s">
        <v>2189</v>
      </c>
      <c r="E4749" s="11" t="s">
        <v>107</v>
      </c>
      <c r="F4749" s="11"/>
      <c r="G4749" s="9"/>
      <c r="H4749" s="11"/>
      <c r="I4749" s="11"/>
      <c r="J4749" s="3" t="str">
        <f t="shared" si="344"/>
        <v>6420002</v>
      </c>
    </row>
    <row r="4750" spans="2:10" s="3" customFormat="1">
      <c r="B4750" s="3" t="s">
        <v>2148</v>
      </c>
      <c r="C4750" s="8">
        <v>2</v>
      </c>
      <c r="D4750" s="3" t="s">
        <v>2189</v>
      </c>
      <c r="E4750" s="11" t="s">
        <v>10</v>
      </c>
      <c r="F4750" s="10">
        <v>1.9959999999999999E-3</v>
      </c>
      <c r="G4750" s="12">
        <f>ROUND(G$3*F4750,0)</f>
        <v>574</v>
      </c>
      <c r="H4750" s="13">
        <f>ROUND(G4750/2,0)</f>
        <v>287</v>
      </c>
      <c r="I4750" s="12">
        <f>G4750-H4750</f>
        <v>287</v>
      </c>
      <c r="J4750" s="3" t="str">
        <f t="shared" si="344"/>
        <v>6420002</v>
      </c>
    </row>
    <row r="4751" spans="2:10" s="3" customFormat="1">
      <c r="B4751" s="3" t="s">
        <v>2148</v>
      </c>
      <c r="C4751" s="8">
        <v>2</v>
      </c>
      <c r="D4751" s="3" t="s">
        <v>2189</v>
      </c>
      <c r="E4751" s="11" t="s">
        <v>11</v>
      </c>
      <c r="F4751" s="10">
        <v>8.0599999999999997E-4</v>
      </c>
      <c r="G4751" s="12">
        <f>ROUND(G$3*F4751,0)</f>
        <v>232</v>
      </c>
      <c r="H4751" s="13">
        <f>ROUND(G4751/2,0)</f>
        <v>116</v>
      </c>
      <c r="I4751" s="12">
        <f>G4751-H4751</f>
        <v>116</v>
      </c>
      <c r="J4751" s="3" t="str">
        <f t="shared" si="344"/>
        <v>6420002</v>
      </c>
    </row>
    <row r="4752" spans="2:10" s="3" customFormat="1">
      <c r="B4752" s="3" t="s">
        <v>2148</v>
      </c>
      <c r="C4752" s="8">
        <v>2</v>
      </c>
      <c r="D4752" s="3" t="s">
        <v>2190</v>
      </c>
      <c r="E4752" s="11" t="s">
        <v>49</v>
      </c>
      <c r="F4752" s="11"/>
      <c r="G4752" s="9"/>
      <c r="H4752" s="11"/>
      <c r="I4752" s="11"/>
      <c r="J4752" s="3" t="str">
        <f t="shared" si="344"/>
        <v>6420003</v>
      </c>
    </row>
    <row r="4753" spans="2:10" s="3" customFormat="1">
      <c r="B4753" s="3" t="s">
        <v>2148</v>
      </c>
      <c r="C4753" s="8">
        <v>2</v>
      </c>
      <c r="D4753" s="3" t="s">
        <v>2190</v>
      </c>
      <c r="E4753" s="11" t="s">
        <v>10</v>
      </c>
      <c r="F4753" s="10">
        <v>1.4300000000000001E-4</v>
      </c>
      <c r="G4753" s="12">
        <f>ROUND(G$3*F4753,0)</f>
        <v>41</v>
      </c>
      <c r="H4753" s="13">
        <f>ROUND(G4753/2,0)</f>
        <v>21</v>
      </c>
      <c r="I4753" s="12">
        <f>G4753-H4753</f>
        <v>20</v>
      </c>
      <c r="J4753" s="3" t="str">
        <f t="shared" si="344"/>
        <v>6420003</v>
      </c>
    </row>
    <row r="4754" spans="2:10" s="3" customFormat="1">
      <c r="B4754" s="3" t="s">
        <v>2148</v>
      </c>
      <c r="C4754" s="8">
        <v>2</v>
      </c>
      <c r="D4754" s="3" t="s">
        <v>2190</v>
      </c>
      <c r="E4754" s="11" t="s">
        <v>11</v>
      </c>
      <c r="F4754" s="10">
        <v>2.13E-4</v>
      </c>
      <c r="G4754" s="12">
        <f>ROUND(G$3*F4754,0)</f>
        <v>61</v>
      </c>
      <c r="H4754" s="13">
        <f>ROUND(G4754/2,0)</f>
        <v>31</v>
      </c>
      <c r="I4754" s="12">
        <f>G4754-H4754</f>
        <v>30</v>
      </c>
      <c r="J4754" s="3" t="str">
        <f t="shared" si="344"/>
        <v>6420003</v>
      </c>
    </row>
    <row r="4755" spans="2:10" s="3" customFormat="1">
      <c r="B4755" s="3" t="s">
        <v>2148</v>
      </c>
      <c r="C4755" s="8">
        <v>2</v>
      </c>
      <c r="D4755" s="3" t="s">
        <v>2191</v>
      </c>
      <c r="E4755" s="11" t="s">
        <v>181</v>
      </c>
      <c r="F4755" s="11"/>
      <c r="G4755" s="9"/>
      <c r="H4755" s="11"/>
      <c r="I4755" s="11"/>
      <c r="J4755" s="3" t="str">
        <f t="shared" si="344"/>
        <v>6420004</v>
      </c>
    </row>
    <row r="4756" spans="2:10" s="3" customFormat="1">
      <c r="B4756" s="3" t="s">
        <v>2148</v>
      </c>
      <c r="C4756" s="8">
        <v>2</v>
      </c>
      <c r="D4756" s="3" t="s">
        <v>2191</v>
      </c>
      <c r="E4756" s="11" t="s">
        <v>10</v>
      </c>
      <c r="F4756" s="10">
        <v>6.5499999999999998E-4</v>
      </c>
      <c r="G4756" s="12">
        <f>ROUND(G$3*F4756,0)</f>
        <v>188</v>
      </c>
      <c r="H4756" s="13">
        <f>ROUND(G4756/2,0)</f>
        <v>94</v>
      </c>
      <c r="I4756" s="12">
        <f>G4756-H4756</f>
        <v>94</v>
      </c>
      <c r="J4756" s="3" t="str">
        <f t="shared" si="344"/>
        <v>6420004</v>
      </c>
    </row>
    <row r="4757" spans="2:10" s="3" customFormat="1">
      <c r="B4757" s="3" t="s">
        <v>2148</v>
      </c>
      <c r="C4757" s="8">
        <v>2</v>
      </c>
      <c r="D4757" s="3" t="s">
        <v>2191</v>
      </c>
      <c r="E4757" s="11" t="s">
        <v>11</v>
      </c>
      <c r="F4757" s="10">
        <v>1.4710000000000001E-3</v>
      </c>
      <c r="G4757" s="12">
        <f>ROUND(G$3*F4757,0)</f>
        <v>423</v>
      </c>
      <c r="H4757" s="13">
        <f>ROUND(G4757/2,0)</f>
        <v>212</v>
      </c>
      <c r="I4757" s="12">
        <f>G4757-H4757</f>
        <v>211</v>
      </c>
      <c r="J4757" s="3" t="str">
        <f t="shared" si="344"/>
        <v>6420004</v>
      </c>
    </row>
    <row r="4758" spans="2:10" s="3" customFormat="1">
      <c r="B4758" s="3" t="s">
        <v>2148</v>
      </c>
      <c r="C4758" s="8">
        <v>2</v>
      </c>
      <c r="D4758" s="3" t="s">
        <v>2192</v>
      </c>
      <c r="E4758" s="11" t="s">
        <v>691</v>
      </c>
      <c r="F4758" s="11"/>
      <c r="G4758" s="9"/>
      <c r="H4758" s="11"/>
      <c r="I4758" s="11"/>
      <c r="J4758" s="3" t="str">
        <f t="shared" si="344"/>
        <v>6420005</v>
      </c>
    </row>
    <row r="4759" spans="2:10" s="3" customFormat="1">
      <c r="B4759" s="3" t="s">
        <v>2148</v>
      </c>
      <c r="C4759" s="8">
        <v>2</v>
      </c>
      <c r="D4759" s="3" t="s">
        <v>2192</v>
      </c>
      <c r="E4759" s="11" t="s">
        <v>10</v>
      </c>
      <c r="F4759" s="10">
        <v>2.1499999999999999E-4</v>
      </c>
      <c r="G4759" s="12">
        <f>ROUND(G$3*F4759,0)</f>
        <v>62</v>
      </c>
      <c r="H4759" s="13">
        <f>ROUND(G4759/2,0)</f>
        <v>31</v>
      </c>
      <c r="I4759" s="12">
        <f>G4759-H4759</f>
        <v>31</v>
      </c>
      <c r="J4759" s="3" t="str">
        <f t="shared" si="344"/>
        <v>6420005</v>
      </c>
    </row>
    <row r="4760" spans="2:10" s="3" customFormat="1">
      <c r="B4760" s="3" t="s">
        <v>2148</v>
      </c>
      <c r="C4760" s="8">
        <v>2</v>
      </c>
      <c r="D4760" s="3" t="s">
        <v>2192</v>
      </c>
      <c r="E4760" s="11" t="s">
        <v>11</v>
      </c>
      <c r="F4760" s="10">
        <v>9.7999999999999997E-5</v>
      </c>
      <c r="G4760" s="12">
        <f>ROUND(G$3*F4760,0)</f>
        <v>28</v>
      </c>
      <c r="H4760" s="13">
        <f>ROUND(G4760/2,0)</f>
        <v>14</v>
      </c>
      <c r="I4760" s="12">
        <f>G4760-H4760</f>
        <v>14</v>
      </c>
      <c r="J4760" s="3" t="str">
        <f t="shared" si="344"/>
        <v>6420005</v>
      </c>
    </row>
    <row r="4761" spans="2:10" s="3" customFormat="1">
      <c r="B4761" s="3" t="s">
        <v>2148</v>
      </c>
      <c r="C4761" s="8">
        <v>2</v>
      </c>
      <c r="D4761" s="3" t="s">
        <v>2193</v>
      </c>
      <c r="E4761" s="11" t="s">
        <v>113</v>
      </c>
      <c r="F4761" s="11"/>
      <c r="G4761" s="9"/>
      <c r="H4761" s="11"/>
      <c r="I4761" s="11"/>
      <c r="J4761" s="3" t="str">
        <f t="shared" si="344"/>
        <v>6420006</v>
      </c>
    </row>
    <row r="4762" spans="2:10" s="3" customFormat="1">
      <c r="B4762" s="3" t="s">
        <v>2148</v>
      </c>
      <c r="C4762" s="8">
        <v>2</v>
      </c>
      <c r="D4762" s="3" t="s">
        <v>2193</v>
      </c>
      <c r="E4762" s="11" t="s">
        <v>10</v>
      </c>
      <c r="F4762" s="10">
        <v>2.4699999999999999E-4</v>
      </c>
      <c r="G4762" s="12">
        <f>ROUND(G$3*F4762,0)</f>
        <v>71</v>
      </c>
      <c r="H4762" s="13">
        <f>ROUND(G4762/2,0)</f>
        <v>36</v>
      </c>
      <c r="I4762" s="12">
        <f>G4762-H4762</f>
        <v>35</v>
      </c>
      <c r="J4762" s="3" t="str">
        <f t="shared" si="344"/>
        <v>6420006</v>
      </c>
    </row>
    <row r="4763" spans="2:10" s="3" customFormat="1">
      <c r="B4763" s="3" t="s">
        <v>2148</v>
      </c>
      <c r="C4763" s="8">
        <v>2</v>
      </c>
      <c r="D4763" s="3" t="s">
        <v>2193</v>
      </c>
      <c r="E4763" s="11" t="s">
        <v>11</v>
      </c>
      <c r="F4763" s="10">
        <v>7.8999999999999996E-5</v>
      </c>
      <c r="G4763" s="12">
        <f>ROUND(G$3*F4763,0)</f>
        <v>23</v>
      </c>
      <c r="H4763" s="13">
        <f>ROUND(G4763/2,0)</f>
        <v>12</v>
      </c>
      <c r="I4763" s="12">
        <f>G4763-H4763</f>
        <v>11</v>
      </c>
      <c r="J4763" s="3" t="str">
        <f t="shared" si="344"/>
        <v>6420006</v>
      </c>
    </row>
    <row r="4764" spans="2:10" s="3" customFormat="1">
      <c r="B4764" s="3" t="s">
        <v>2148</v>
      </c>
      <c r="C4764" s="8">
        <v>2</v>
      </c>
      <c r="D4764" s="3" t="s">
        <v>2194</v>
      </c>
      <c r="E4764" s="11" t="s">
        <v>57</v>
      </c>
      <c r="F4764" s="11"/>
      <c r="G4764" s="9"/>
      <c r="H4764" s="11"/>
      <c r="I4764" s="11"/>
      <c r="J4764" s="3" t="str">
        <f t="shared" si="344"/>
        <v>6420007</v>
      </c>
    </row>
    <row r="4765" spans="2:10" s="3" customFormat="1">
      <c r="B4765" s="3" t="s">
        <v>2148</v>
      </c>
      <c r="C4765" s="8">
        <v>2</v>
      </c>
      <c r="D4765" s="3" t="s">
        <v>2194</v>
      </c>
      <c r="E4765" s="11" t="s">
        <v>10</v>
      </c>
      <c r="F4765" s="10">
        <v>1.304E-3</v>
      </c>
      <c r="G4765" s="12">
        <f>ROUND(G$3*F4765,0)</f>
        <v>375</v>
      </c>
      <c r="H4765" s="13">
        <f>ROUND(G4765/2,0)</f>
        <v>188</v>
      </c>
      <c r="I4765" s="12">
        <f>G4765-H4765</f>
        <v>187</v>
      </c>
      <c r="J4765" s="3" t="str">
        <f t="shared" si="344"/>
        <v>6420007</v>
      </c>
    </row>
    <row r="4766" spans="2:10" s="3" customFormat="1">
      <c r="B4766" s="3" t="s">
        <v>2148</v>
      </c>
      <c r="C4766" s="8">
        <v>2</v>
      </c>
      <c r="D4766" s="3" t="s">
        <v>2194</v>
      </c>
      <c r="E4766" s="11" t="s">
        <v>11</v>
      </c>
      <c r="F4766" s="10">
        <v>3.2400000000000001E-4</v>
      </c>
      <c r="G4766" s="12">
        <f>ROUND(G$3*F4766,0)</f>
        <v>93</v>
      </c>
      <c r="H4766" s="13">
        <f>ROUND(G4766/2,0)</f>
        <v>47</v>
      </c>
      <c r="I4766" s="12">
        <f>G4766-H4766</f>
        <v>46</v>
      </c>
      <c r="J4766" s="3" t="str">
        <f t="shared" si="344"/>
        <v>6420007</v>
      </c>
    </row>
    <row r="4767" spans="2:10" s="3" customFormat="1">
      <c r="B4767" s="3" t="s">
        <v>2148</v>
      </c>
      <c r="C4767" s="8">
        <v>2</v>
      </c>
      <c r="D4767" s="3" t="s">
        <v>2195</v>
      </c>
      <c r="E4767" s="11" t="s">
        <v>1410</v>
      </c>
      <c r="F4767" s="11"/>
      <c r="G4767" s="9"/>
      <c r="H4767" s="11"/>
      <c r="I4767" s="11"/>
      <c r="J4767" s="3" t="str">
        <f t="shared" si="344"/>
        <v>6420008</v>
      </c>
    </row>
    <row r="4768" spans="2:10" s="3" customFormat="1">
      <c r="B4768" s="3" t="s">
        <v>2148</v>
      </c>
      <c r="C4768" s="8">
        <v>2</v>
      </c>
      <c r="D4768" s="3" t="s">
        <v>2195</v>
      </c>
      <c r="E4768" s="11" t="s">
        <v>10</v>
      </c>
      <c r="F4768" s="10">
        <v>1.0451E-2</v>
      </c>
      <c r="G4768" s="12">
        <f>ROUND(G$3*F4768,0)</f>
        <v>3007</v>
      </c>
      <c r="H4768" s="13">
        <f>ROUND(G4768/2,0)</f>
        <v>1504</v>
      </c>
      <c r="I4768" s="12">
        <f>G4768-H4768</f>
        <v>1503</v>
      </c>
      <c r="J4768" s="3" t="str">
        <f t="shared" si="344"/>
        <v>6420008</v>
      </c>
    </row>
    <row r="4769" spans="2:10" s="3" customFormat="1">
      <c r="B4769" s="3" t="s">
        <v>2148</v>
      </c>
      <c r="C4769" s="8">
        <v>2</v>
      </c>
      <c r="D4769" s="3" t="s">
        <v>2195</v>
      </c>
      <c r="E4769" s="11" t="s">
        <v>11</v>
      </c>
      <c r="F4769" s="10">
        <v>4.37E-4</v>
      </c>
      <c r="G4769" s="12">
        <f>ROUND(G$3*F4769,0)</f>
        <v>126</v>
      </c>
      <c r="H4769" s="13">
        <f>ROUND(G4769/2,0)</f>
        <v>63</v>
      </c>
      <c r="I4769" s="12">
        <f>G4769-H4769</f>
        <v>63</v>
      </c>
      <c r="J4769" s="3" t="str">
        <f t="shared" si="344"/>
        <v>6420008</v>
      </c>
    </row>
    <row r="4770" spans="2:10" s="3" customFormat="1">
      <c r="B4770" s="3" t="s">
        <v>2148</v>
      </c>
      <c r="C4770" s="8">
        <v>2</v>
      </c>
      <c r="D4770" s="3" t="s">
        <v>2196</v>
      </c>
      <c r="E4770" s="11" t="s">
        <v>1411</v>
      </c>
      <c r="F4770" s="11"/>
      <c r="G4770" s="9"/>
      <c r="H4770" s="11"/>
      <c r="I4770" s="11"/>
      <c r="J4770" s="3" t="str">
        <f t="shared" si="344"/>
        <v>6420009</v>
      </c>
    </row>
    <row r="4771" spans="2:10" s="3" customFormat="1">
      <c r="B4771" s="3" t="s">
        <v>2148</v>
      </c>
      <c r="C4771" s="8">
        <v>2</v>
      </c>
      <c r="D4771" s="3" t="s">
        <v>2196</v>
      </c>
      <c r="E4771" s="11" t="s">
        <v>10</v>
      </c>
      <c r="F4771" s="10">
        <v>5.6300000000000002E-4</v>
      </c>
      <c r="G4771" s="12">
        <f>ROUND(G$3*F4771,0)</f>
        <v>162</v>
      </c>
      <c r="H4771" s="13">
        <f>ROUND(G4771/2,0)</f>
        <v>81</v>
      </c>
      <c r="I4771" s="12">
        <f>G4771-H4771</f>
        <v>81</v>
      </c>
      <c r="J4771" s="3" t="str">
        <f t="shared" si="344"/>
        <v>6420009</v>
      </c>
    </row>
    <row r="4772" spans="2:10" s="3" customFormat="1">
      <c r="B4772" s="3" t="s">
        <v>2148</v>
      </c>
      <c r="C4772" s="8">
        <v>2</v>
      </c>
      <c r="D4772" s="3" t="s">
        <v>2196</v>
      </c>
      <c r="E4772" s="11" t="s">
        <v>11</v>
      </c>
      <c r="F4772" s="10">
        <v>4.0200000000000001E-4</v>
      </c>
      <c r="G4772" s="12">
        <f>ROUND(G$3*F4772,0)</f>
        <v>116</v>
      </c>
      <c r="H4772" s="13">
        <f>ROUND(G4772/2,0)</f>
        <v>58</v>
      </c>
      <c r="I4772" s="12">
        <f>G4772-H4772</f>
        <v>58</v>
      </c>
      <c r="J4772" s="3" t="str">
        <f t="shared" si="344"/>
        <v>6420009</v>
      </c>
    </row>
    <row r="4773" spans="2:10" s="3" customFormat="1">
      <c r="B4773" s="3" t="s">
        <v>2148</v>
      </c>
      <c r="C4773" s="8">
        <v>2</v>
      </c>
      <c r="D4773" s="3" t="s">
        <v>2197</v>
      </c>
      <c r="E4773" s="11" t="s">
        <v>20</v>
      </c>
      <c r="F4773" s="11"/>
      <c r="G4773" s="9"/>
      <c r="H4773" s="11"/>
      <c r="I4773" s="11"/>
      <c r="J4773" s="3" t="str">
        <f t="shared" si="344"/>
        <v>6420010</v>
      </c>
    </row>
    <row r="4774" spans="2:10" s="3" customFormat="1">
      <c r="B4774" s="3" t="s">
        <v>2148</v>
      </c>
      <c r="C4774" s="8">
        <v>2</v>
      </c>
      <c r="D4774" s="3" t="s">
        <v>2197</v>
      </c>
      <c r="E4774" s="11" t="s">
        <v>10</v>
      </c>
      <c r="F4774" s="10">
        <v>5.3300000000000005E-4</v>
      </c>
      <c r="G4774" s="12">
        <f>ROUND(G$3*F4774,0)</f>
        <v>153</v>
      </c>
      <c r="H4774" s="13">
        <f>ROUND(G4774/2,0)</f>
        <v>77</v>
      </c>
      <c r="I4774" s="12">
        <f>G4774-H4774</f>
        <v>76</v>
      </c>
      <c r="J4774" s="3" t="str">
        <f t="shared" si="344"/>
        <v>6420010</v>
      </c>
    </row>
    <row r="4775" spans="2:10" s="3" customFormat="1">
      <c r="B4775" s="3" t="s">
        <v>2148</v>
      </c>
      <c r="C4775" s="8">
        <v>2</v>
      </c>
      <c r="D4775" s="3" t="s">
        <v>2197</v>
      </c>
      <c r="E4775" s="11" t="s">
        <v>11</v>
      </c>
      <c r="F4775" s="10">
        <v>4.1800000000000002E-4</v>
      </c>
      <c r="G4775" s="12">
        <f>ROUND(G$3*F4775,0)</f>
        <v>120</v>
      </c>
      <c r="H4775" s="13">
        <f>ROUND(G4775/2,0)</f>
        <v>60</v>
      </c>
      <c r="I4775" s="12">
        <f>G4775-H4775</f>
        <v>60</v>
      </c>
      <c r="J4775" s="3" t="str">
        <f t="shared" si="344"/>
        <v>6420010</v>
      </c>
    </row>
    <row r="4776" spans="2:10" s="3" customFormat="1">
      <c r="B4776" s="3" t="s">
        <v>2148</v>
      </c>
      <c r="C4776" s="8">
        <v>2</v>
      </c>
      <c r="D4776" s="3" t="s">
        <v>2198</v>
      </c>
      <c r="E4776" s="11" t="s">
        <v>22</v>
      </c>
      <c r="F4776" s="11"/>
      <c r="G4776" s="9"/>
      <c r="H4776" s="11"/>
      <c r="I4776" s="11"/>
      <c r="J4776" s="3" t="str">
        <f t="shared" si="344"/>
        <v>6420011</v>
      </c>
    </row>
    <row r="4777" spans="2:10" s="3" customFormat="1">
      <c r="B4777" s="3" t="s">
        <v>2148</v>
      </c>
      <c r="C4777" s="8">
        <v>2</v>
      </c>
      <c r="D4777" s="3" t="s">
        <v>2198</v>
      </c>
      <c r="E4777" s="11" t="s">
        <v>10</v>
      </c>
      <c r="F4777" s="10">
        <v>9.2599999999999996E-4</v>
      </c>
      <c r="G4777" s="12">
        <f>ROUND(G$3*F4777,0)</f>
        <v>266</v>
      </c>
      <c r="H4777" s="13">
        <f>ROUND(G4777/2,0)</f>
        <v>133</v>
      </c>
      <c r="I4777" s="12">
        <f>G4777-H4777</f>
        <v>133</v>
      </c>
      <c r="J4777" s="3" t="str">
        <f t="shared" si="344"/>
        <v>6420011</v>
      </c>
    </row>
    <row r="4778" spans="2:10" s="3" customFormat="1">
      <c r="B4778" s="3" t="s">
        <v>2148</v>
      </c>
      <c r="C4778" s="8">
        <v>2</v>
      </c>
      <c r="D4778" s="3" t="s">
        <v>2198</v>
      </c>
      <c r="E4778" s="11" t="s">
        <v>11</v>
      </c>
      <c r="F4778" s="10">
        <v>6.1600000000000001E-4</v>
      </c>
      <c r="G4778" s="12">
        <f>ROUND(G$3*F4778,0)</f>
        <v>177</v>
      </c>
      <c r="H4778" s="13">
        <f>ROUND(G4778/2,0)</f>
        <v>89</v>
      </c>
      <c r="I4778" s="12">
        <f>G4778-H4778</f>
        <v>88</v>
      </c>
      <c r="J4778" s="3" t="str">
        <f t="shared" si="344"/>
        <v>6420011</v>
      </c>
    </row>
    <row r="4779" spans="2:10" s="3" customFormat="1">
      <c r="B4779" s="3" t="s">
        <v>2148</v>
      </c>
      <c r="C4779" s="8">
        <v>2</v>
      </c>
      <c r="D4779" s="3" t="s">
        <v>2199</v>
      </c>
      <c r="E4779" s="11" t="s">
        <v>1412</v>
      </c>
      <c r="F4779" s="11"/>
      <c r="G4779" s="9"/>
      <c r="H4779" s="11"/>
      <c r="I4779" s="11"/>
      <c r="J4779" s="3" t="str">
        <f t="shared" si="344"/>
        <v>6420012</v>
      </c>
    </row>
    <row r="4780" spans="2:10" s="3" customFormat="1">
      <c r="B4780" s="3" t="s">
        <v>2148</v>
      </c>
      <c r="C4780" s="8">
        <v>2</v>
      </c>
      <c r="D4780" s="3" t="s">
        <v>2199</v>
      </c>
      <c r="E4780" s="11" t="s">
        <v>10</v>
      </c>
      <c r="F4780" s="10">
        <v>3.0699999999999998E-4</v>
      </c>
      <c r="G4780" s="12">
        <f t="shared" ref="G4780:G4793" si="345">ROUND(G$3*F4780,0)</f>
        <v>88</v>
      </c>
      <c r="H4780" s="13">
        <f t="shared" ref="H4780:H4793" si="346">ROUND(G4780/2,0)</f>
        <v>44</v>
      </c>
      <c r="I4780" s="12">
        <f t="shared" ref="I4780:I4793" si="347">G4780-H4780</f>
        <v>44</v>
      </c>
      <c r="J4780" s="3" t="str">
        <f t="shared" si="344"/>
        <v>6420012</v>
      </c>
    </row>
    <row r="4781" spans="2:10" s="3" customFormat="1">
      <c r="B4781" s="3" t="s">
        <v>2148</v>
      </c>
      <c r="C4781" s="8">
        <v>2</v>
      </c>
      <c r="D4781" s="3" t="s">
        <v>2199</v>
      </c>
      <c r="E4781" s="11" t="s">
        <v>11</v>
      </c>
      <c r="F4781" s="10">
        <v>2.1999999999999999E-5</v>
      </c>
      <c r="G4781" s="12">
        <f t="shared" si="345"/>
        <v>6</v>
      </c>
      <c r="H4781" s="13">
        <f t="shared" si="346"/>
        <v>3</v>
      </c>
      <c r="I4781" s="12">
        <f t="shared" si="347"/>
        <v>3</v>
      </c>
      <c r="J4781" s="3" t="str">
        <f t="shared" si="344"/>
        <v>6420012</v>
      </c>
    </row>
    <row r="4782" spans="2:10" s="3" customFormat="1">
      <c r="B4782" s="3" t="s">
        <v>2148</v>
      </c>
      <c r="C4782" s="8">
        <v>3</v>
      </c>
      <c r="D4782" s="3" t="s">
        <v>2922</v>
      </c>
      <c r="E4782" s="11" t="s">
        <v>1413</v>
      </c>
      <c r="F4782" s="10">
        <v>7.2000000000000002E-5</v>
      </c>
      <c r="G4782" s="12">
        <f t="shared" si="345"/>
        <v>21</v>
      </c>
      <c r="H4782" s="13">
        <f t="shared" si="346"/>
        <v>11</v>
      </c>
      <c r="I4782" s="12">
        <f t="shared" si="347"/>
        <v>10</v>
      </c>
      <c r="J4782" s="3" t="str">
        <f t="shared" si="344"/>
        <v>6430827</v>
      </c>
    </row>
    <row r="4783" spans="2:10" s="3" customFormat="1">
      <c r="B4783" s="3" t="s">
        <v>2148</v>
      </c>
      <c r="C4783" s="8">
        <v>3</v>
      </c>
      <c r="D4783" s="3" t="s">
        <v>2923</v>
      </c>
      <c r="E4783" s="11" t="s">
        <v>1414</v>
      </c>
      <c r="F4783" s="10">
        <v>4.5199999999999998E-4</v>
      </c>
      <c r="G4783" s="12">
        <f t="shared" si="345"/>
        <v>130</v>
      </c>
      <c r="H4783" s="13">
        <f t="shared" si="346"/>
        <v>65</v>
      </c>
      <c r="I4783" s="12">
        <f t="shared" si="347"/>
        <v>65</v>
      </c>
      <c r="J4783" s="3" t="str">
        <f t="shared" si="344"/>
        <v>6430828</v>
      </c>
    </row>
    <row r="4784" spans="2:10" s="3" customFormat="1">
      <c r="B4784" s="3" t="s">
        <v>2148</v>
      </c>
      <c r="C4784" s="8">
        <v>3</v>
      </c>
      <c r="D4784" s="3" t="s">
        <v>2921</v>
      </c>
      <c r="E4784" s="11" t="s">
        <v>1415</v>
      </c>
      <c r="F4784" s="10">
        <v>3.1342000000000002E-2</v>
      </c>
      <c r="G4784" s="12">
        <f t="shared" si="345"/>
        <v>9018</v>
      </c>
      <c r="H4784" s="13">
        <f t="shared" si="346"/>
        <v>4509</v>
      </c>
      <c r="I4784" s="12">
        <f t="shared" si="347"/>
        <v>4509</v>
      </c>
      <c r="J4784" s="3" t="str">
        <f t="shared" si="344"/>
        <v>6430510</v>
      </c>
    </row>
    <row r="4785" spans="1:10" s="3" customFormat="1">
      <c r="A4785" s="3" t="s">
        <v>6269</v>
      </c>
      <c r="B4785" s="3" t="s">
        <v>2148</v>
      </c>
      <c r="C4785" s="8">
        <v>3</v>
      </c>
      <c r="D4785" s="3" t="s">
        <v>2924</v>
      </c>
      <c r="E4785" s="11" t="s">
        <v>1416</v>
      </c>
      <c r="F4785" s="10">
        <v>0</v>
      </c>
      <c r="G4785" s="12">
        <f t="shared" si="345"/>
        <v>0</v>
      </c>
      <c r="H4785" s="13">
        <f t="shared" si="346"/>
        <v>0</v>
      </c>
      <c r="I4785" s="12">
        <f t="shared" si="347"/>
        <v>0</v>
      </c>
      <c r="J4785" s="3" t="str">
        <f t="shared" si="344"/>
        <v>6430829</v>
      </c>
    </row>
    <row r="4786" spans="1:10" s="3" customFormat="1">
      <c r="B4786" s="3" t="s">
        <v>2148</v>
      </c>
      <c r="C4786" s="8">
        <v>3</v>
      </c>
      <c r="D4786" s="3" t="s">
        <v>2925</v>
      </c>
      <c r="E4786" s="11" t="s">
        <v>1417</v>
      </c>
      <c r="F4786" s="10">
        <v>3.5929999999999998E-3</v>
      </c>
      <c r="G4786" s="12">
        <f t="shared" si="345"/>
        <v>1034</v>
      </c>
      <c r="H4786" s="13">
        <f t="shared" si="346"/>
        <v>517</v>
      </c>
      <c r="I4786" s="12">
        <f t="shared" si="347"/>
        <v>517</v>
      </c>
      <c r="J4786" s="3" t="str">
        <f t="shared" si="344"/>
        <v>6430830</v>
      </c>
    </row>
    <row r="4787" spans="1:10" s="3" customFormat="1">
      <c r="B4787" s="3" t="s">
        <v>2148</v>
      </c>
      <c r="C4787" s="8">
        <v>3</v>
      </c>
      <c r="D4787" s="3" t="s">
        <v>2926</v>
      </c>
      <c r="E4787" s="11" t="s">
        <v>1418</v>
      </c>
      <c r="F4787" s="10">
        <v>4.3509999999999998E-3</v>
      </c>
      <c r="G4787" s="12">
        <f t="shared" si="345"/>
        <v>1252</v>
      </c>
      <c r="H4787" s="13">
        <f t="shared" si="346"/>
        <v>626</v>
      </c>
      <c r="I4787" s="12">
        <f t="shared" si="347"/>
        <v>626</v>
      </c>
      <c r="J4787" s="3" t="str">
        <f t="shared" si="344"/>
        <v>6430831</v>
      </c>
    </row>
    <row r="4788" spans="1:10" s="3" customFormat="1">
      <c r="B4788" s="3" t="s">
        <v>2148</v>
      </c>
      <c r="C4788" s="8">
        <v>3</v>
      </c>
      <c r="D4788" s="3" t="s">
        <v>2927</v>
      </c>
      <c r="E4788" s="11" t="s">
        <v>1419</v>
      </c>
      <c r="F4788" s="10">
        <v>5.0000000000000002E-5</v>
      </c>
      <c r="G4788" s="12">
        <f t="shared" si="345"/>
        <v>14</v>
      </c>
      <c r="H4788" s="13">
        <f t="shared" si="346"/>
        <v>7</v>
      </c>
      <c r="I4788" s="12">
        <f t="shared" si="347"/>
        <v>7</v>
      </c>
      <c r="J4788" s="3" t="str">
        <f t="shared" si="344"/>
        <v>6430832</v>
      </c>
    </row>
    <row r="4789" spans="1:10" s="3" customFormat="1">
      <c r="B4789" s="3" t="s">
        <v>2148</v>
      </c>
      <c r="C4789" s="8">
        <v>3</v>
      </c>
      <c r="D4789" s="3" t="s">
        <v>2929</v>
      </c>
      <c r="E4789" s="11" t="s">
        <v>1420</v>
      </c>
      <c r="F4789" s="10">
        <v>8.2200000000000003E-4</v>
      </c>
      <c r="G4789" s="12">
        <f t="shared" si="345"/>
        <v>237</v>
      </c>
      <c r="H4789" s="13">
        <f t="shared" si="346"/>
        <v>119</v>
      </c>
      <c r="I4789" s="12">
        <f t="shared" si="347"/>
        <v>118</v>
      </c>
      <c r="J4789" s="3" t="str">
        <f t="shared" si="344"/>
        <v>6430834</v>
      </c>
    </row>
    <row r="4790" spans="1:10" s="3" customFormat="1">
      <c r="B4790" s="3" t="s">
        <v>2148</v>
      </c>
      <c r="C4790" s="8">
        <v>3</v>
      </c>
      <c r="D4790" s="3" t="s">
        <v>2688</v>
      </c>
      <c r="E4790" s="11" t="s">
        <v>1421</v>
      </c>
      <c r="F4790" s="10">
        <v>0.102383</v>
      </c>
      <c r="G4790" s="12">
        <f t="shared" si="345"/>
        <v>29458</v>
      </c>
      <c r="H4790" s="13">
        <f t="shared" si="346"/>
        <v>14729</v>
      </c>
      <c r="I4790" s="12">
        <f t="shared" si="347"/>
        <v>14729</v>
      </c>
      <c r="J4790" s="3" t="str">
        <f t="shared" si="344"/>
        <v>6430303</v>
      </c>
    </row>
    <row r="4791" spans="1:10" s="3" customFormat="1">
      <c r="B4791" s="3" t="s">
        <v>2148</v>
      </c>
      <c r="C4791" s="8">
        <v>3</v>
      </c>
      <c r="D4791" s="3" t="s">
        <v>2928</v>
      </c>
      <c r="E4791" s="11" t="s">
        <v>1422</v>
      </c>
      <c r="F4791" s="10">
        <v>7.3049999999999999E-3</v>
      </c>
      <c r="G4791" s="12">
        <f t="shared" si="345"/>
        <v>2102</v>
      </c>
      <c r="H4791" s="13">
        <f t="shared" si="346"/>
        <v>1051</v>
      </c>
      <c r="I4791" s="12">
        <f t="shared" si="347"/>
        <v>1051</v>
      </c>
      <c r="J4791" s="3" t="str">
        <f t="shared" si="344"/>
        <v>6430833</v>
      </c>
    </row>
    <row r="4792" spans="1:10" s="3" customFormat="1">
      <c r="B4792" s="3" t="s">
        <v>2148</v>
      </c>
      <c r="C4792" s="8">
        <v>3</v>
      </c>
      <c r="D4792" s="3" t="s">
        <v>2920</v>
      </c>
      <c r="E4792" s="11" t="s">
        <v>1423</v>
      </c>
      <c r="F4792" s="10">
        <v>6.8657999999999997E-2</v>
      </c>
      <c r="G4792" s="12">
        <f t="shared" si="345"/>
        <v>19754</v>
      </c>
      <c r="H4792" s="13">
        <f t="shared" si="346"/>
        <v>9877</v>
      </c>
      <c r="I4792" s="12">
        <f t="shared" si="347"/>
        <v>9877</v>
      </c>
      <c r="J4792" s="3" t="str">
        <f t="shared" si="344"/>
        <v>6430204</v>
      </c>
    </row>
    <row r="4793" spans="1:10" s="3" customFormat="1">
      <c r="B4793" s="3" t="s">
        <v>2148</v>
      </c>
      <c r="C4793" s="8">
        <v>4</v>
      </c>
      <c r="D4793" s="3" t="s">
        <v>2930</v>
      </c>
      <c r="E4793" s="11" t="s">
        <v>1424</v>
      </c>
      <c r="F4793" s="10">
        <v>1.9955000000000001E-2</v>
      </c>
      <c r="G4793" s="9">
        <f t="shared" si="345"/>
        <v>5742</v>
      </c>
      <c r="H4793" s="11">
        <f t="shared" si="346"/>
        <v>2871</v>
      </c>
      <c r="I4793" s="9">
        <f t="shared" si="347"/>
        <v>2871</v>
      </c>
      <c r="J4793" s="3" t="str">
        <f t="shared" si="344"/>
        <v>6446460</v>
      </c>
    </row>
    <row r="4794" spans="1:10" s="3" customFormat="1">
      <c r="B4794" s="3" t="s">
        <v>2148</v>
      </c>
      <c r="C4794" s="8">
        <v>4</v>
      </c>
      <c r="D4794" s="3" t="s">
        <v>2930</v>
      </c>
      <c r="E4794" s="11" t="s">
        <v>28</v>
      </c>
      <c r="F4794" s="11"/>
      <c r="G4794" s="14">
        <v>0.35018500000000002</v>
      </c>
      <c r="H4794" s="11"/>
      <c r="I4794" s="11"/>
      <c r="J4794" s="3" t="str">
        <f t="shared" si="344"/>
        <v>6446460</v>
      </c>
    </row>
    <row r="4795" spans="1:10" s="3" customFormat="1">
      <c r="B4795" s="3" t="s">
        <v>2148</v>
      </c>
      <c r="C4795" s="8">
        <v>4</v>
      </c>
      <c r="D4795" s="3" t="s">
        <v>2930</v>
      </c>
      <c r="E4795" s="11" t="s">
        <v>29</v>
      </c>
      <c r="F4795" s="11"/>
      <c r="G4795" s="15">
        <f>ROUND(G4793*G4794,0)</f>
        <v>2011</v>
      </c>
      <c r="H4795" s="16">
        <f>ROUND(G4795/2,0)</f>
        <v>1006</v>
      </c>
      <c r="I4795" s="15">
        <f>G4795-H4795</f>
        <v>1005</v>
      </c>
      <c r="J4795" s="3" t="str">
        <f t="shared" si="344"/>
        <v>6446460</v>
      </c>
    </row>
    <row r="4796" spans="1:10" s="3" customFormat="1">
      <c r="B4796" s="3" t="s">
        <v>2148</v>
      </c>
      <c r="C4796" s="8">
        <v>4</v>
      </c>
      <c r="D4796" s="3" t="s">
        <v>2930</v>
      </c>
      <c r="E4796" s="11" t="s">
        <v>30</v>
      </c>
      <c r="F4796" s="11"/>
      <c r="G4796" s="12">
        <f>+G4793-G4795</f>
        <v>3731</v>
      </c>
      <c r="H4796" s="13">
        <f>ROUND(G4796/2,0)</f>
        <v>1866</v>
      </c>
      <c r="I4796" s="12">
        <f>G4796-H4796</f>
        <v>1865</v>
      </c>
      <c r="J4796" s="3" t="str">
        <f t="shared" si="344"/>
        <v>6446460</v>
      </c>
    </row>
    <row r="4797" spans="1:10" s="3" customFormat="1">
      <c r="B4797" s="3" t="s">
        <v>2148</v>
      </c>
      <c r="C4797" s="8">
        <v>4</v>
      </c>
      <c r="D4797" s="3" t="s">
        <v>2931</v>
      </c>
      <c r="E4797" s="11" t="s">
        <v>1425</v>
      </c>
      <c r="F4797" s="10">
        <v>0.113042</v>
      </c>
      <c r="G4797" s="9">
        <f>ROUND(G$3*F4797,0)</f>
        <v>32525</v>
      </c>
      <c r="H4797" s="11">
        <f>ROUND(G4797/2,0)</f>
        <v>16263</v>
      </c>
      <c r="I4797" s="9">
        <f>G4797-H4797</f>
        <v>16262</v>
      </c>
      <c r="J4797" s="3" t="str">
        <f t="shared" si="344"/>
        <v>6446470</v>
      </c>
    </row>
    <row r="4798" spans="1:10" s="3" customFormat="1">
      <c r="B4798" s="3" t="s">
        <v>2148</v>
      </c>
      <c r="C4798" s="8">
        <v>4</v>
      </c>
      <c r="D4798" s="3" t="s">
        <v>2931</v>
      </c>
      <c r="E4798" s="11" t="s">
        <v>28</v>
      </c>
      <c r="F4798" s="11"/>
      <c r="G4798" s="14">
        <v>0.49673299999999998</v>
      </c>
      <c r="H4798" s="11"/>
      <c r="I4798" s="11"/>
      <c r="J4798" s="3" t="str">
        <f t="shared" si="344"/>
        <v>6446470</v>
      </c>
    </row>
    <row r="4799" spans="1:10" s="3" customFormat="1">
      <c r="B4799" s="3" t="s">
        <v>2148</v>
      </c>
      <c r="C4799" s="8">
        <v>4</v>
      </c>
      <c r="D4799" s="3" t="s">
        <v>2931</v>
      </c>
      <c r="E4799" s="11" t="s">
        <v>29</v>
      </c>
      <c r="F4799" s="11"/>
      <c r="G4799" s="15">
        <f>ROUND(G4797*G4798,0)</f>
        <v>16156</v>
      </c>
      <c r="H4799" s="16">
        <f>ROUND(G4799/2,0)</f>
        <v>8078</v>
      </c>
      <c r="I4799" s="15">
        <f>G4799-H4799</f>
        <v>8078</v>
      </c>
      <c r="J4799" s="3" t="str">
        <f t="shared" si="344"/>
        <v>6446470</v>
      </c>
    </row>
    <row r="4800" spans="1:10" s="3" customFormat="1">
      <c r="B4800" s="3" t="s">
        <v>2148</v>
      </c>
      <c r="C4800" s="8">
        <v>4</v>
      </c>
      <c r="D4800" s="3" t="s">
        <v>2931</v>
      </c>
      <c r="E4800" s="11" t="s">
        <v>30</v>
      </c>
      <c r="F4800" s="11"/>
      <c r="G4800" s="12">
        <f>+G4797-G4799</f>
        <v>16369</v>
      </c>
      <c r="H4800" s="13">
        <f>ROUND(G4800/2,0)</f>
        <v>8185</v>
      </c>
      <c r="I4800" s="12">
        <f>G4800-H4800</f>
        <v>8184</v>
      </c>
      <c r="J4800" s="3" t="str">
        <f t="shared" si="344"/>
        <v>6446470</v>
      </c>
    </row>
    <row r="4801" spans="2:10" s="3" customFormat="1">
      <c r="B4801" s="3" t="s">
        <v>2148</v>
      </c>
      <c r="C4801" s="8">
        <v>4</v>
      </c>
      <c r="D4801" s="3" t="s">
        <v>2932</v>
      </c>
      <c r="E4801" s="11" t="s">
        <v>1426</v>
      </c>
      <c r="F4801" s="10">
        <v>9.3906000000000003E-2</v>
      </c>
      <c r="G4801" s="9">
        <f>ROUND(G$3*F4801,0)</f>
        <v>27019</v>
      </c>
      <c r="H4801" s="11">
        <f>ROUND(G4801/2,0)</f>
        <v>13510</v>
      </c>
      <c r="I4801" s="9">
        <f>G4801-H4801</f>
        <v>13509</v>
      </c>
      <c r="J4801" s="3" t="str">
        <f t="shared" si="344"/>
        <v>6446510</v>
      </c>
    </row>
    <row r="4802" spans="2:10" s="3" customFormat="1">
      <c r="B4802" s="3" t="s">
        <v>2148</v>
      </c>
      <c r="C4802" s="8">
        <v>4</v>
      </c>
      <c r="D4802" s="3" t="s">
        <v>2932</v>
      </c>
      <c r="E4802" s="11" t="s">
        <v>28</v>
      </c>
      <c r="F4802" s="11"/>
      <c r="G4802" s="14">
        <v>0.46632099999999999</v>
      </c>
      <c r="H4802" s="11"/>
      <c r="I4802" s="11"/>
      <c r="J4802" s="3" t="str">
        <f t="shared" si="344"/>
        <v>6446510</v>
      </c>
    </row>
    <row r="4803" spans="2:10" s="3" customFormat="1">
      <c r="B4803" s="3" t="s">
        <v>2148</v>
      </c>
      <c r="C4803" s="8">
        <v>4</v>
      </c>
      <c r="D4803" s="3" t="s">
        <v>2932</v>
      </c>
      <c r="E4803" s="11" t="s">
        <v>29</v>
      </c>
      <c r="F4803" s="11"/>
      <c r="G4803" s="15">
        <f>ROUND(G4801*G4802,0)</f>
        <v>12600</v>
      </c>
      <c r="H4803" s="16">
        <f>ROUND(G4803/2,0)</f>
        <v>6300</v>
      </c>
      <c r="I4803" s="15">
        <f>G4803-H4803</f>
        <v>6300</v>
      </c>
      <c r="J4803" s="3" t="str">
        <f t="shared" si="344"/>
        <v>6446510</v>
      </c>
    </row>
    <row r="4804" spans="2:10" s="3" customFormat="1">
      <c r="B4804" s="3" t="s">
        <v>2148</v>
      </c>
      <c r="C4804" s="8">
        <v>4</v>
      </c>
      <c r="D4804" s="3" t="s">
        <v>2932</v>
      </c>
      <c r="E4804" s="11" t="s">
        <v>30</v>
      </c>
      <c r="F4804" s="11"/>
      <c r="G4804" s="12">
        <f>+G4801-G4803</f>
        <v>14419</v>
      </c>
      <c r="H4804" s="13">
        <f>ROUND(G4804/2,0)</f>
        <v>7210</v>
      </c>
      <c r="I4804" s="12">
        <f>G4804-H4804</f>
        <v>7209</v>
      </c>
      <c r="J4804" s="3" t="str">
        <f t="shared" ref="J4804:J4867" si="348">B4804&amp;C4804&amp;D4804</f>
        <v>6446510</v>
      </c>
    </row>
    <row r="4805" spans="2:10" s="3" customFormat="1">
      <c r="B4805" s="3" t="s">
        <v>2148</v>
      </c>
      <c r="C4805" s="8">
        <v>4</v>
      </c>
      <c r="D4805" s="3" t="s">
        <v>2756</v>
      </c>
      <c r="E4805" s="11" t="s">
        <v>1089</v>
      </c>
      <c r="F4805" s="10">
        <v>5.7470000000000004E-3</v>
      </c>
      <c r="G4805" s="9">
        <f>ROUND(G$3*F4805,0)</f>
        <v>1654</v>
      </c>
      <c r="H4805" s="11">
        <f>ROUND(G4805/2,0)</f>
        <v>827</v>
      </c>
      <c r="I4805" s="9">
        <f>G4805-H4805</f>
        <v>827</v>
      </c>
      <c r="J4805" s="3" t="str">
        <f t="shared" si="348"/>
        <v>6444925</v>
      </c>
    </row>
    <row r="4806" spans="2:10" s="3" customFormat="1">
      <c r="B4806" s="3" t="s">
        <v>2148</v>
      </c>
      <c r="C4806" s="8">
        <v>4</v>
      </c>
      <c r="D4806" s="3" t="s">
        <v>2756</v>
      </c>
      <c r="E4806" s="11" t="s">
        <v>28</v>
      </c>
      <c r="F4806" s="11"/>
      <c r="G4806" s="14">
        <v>0.524814</v>
      </c>
      <c r="H4806" s="11"/>
      <c r="I4806" s="11"/>
      <c r="J4806" s="3" t="str">
        <f t="shared" si="348"/>
        <v>6444925</v>
      </c>
    </row>
    <row r="4807" spans="2:10" s="3" customFormat="1">
      <c r="B4807" s="3" t="s">
        <v>2148</v>
      </c>
      <c r="C4807" s="8">
        <v>4</v>
      </c>
      <c r="D4807" s="3" t="s">
        <v>2756</v>
      </c>
      <c r="E4807" s="11" t="s">
        <v>29</v>
      </c>
      <c r="F4807" s="11"/>
      <c r="G4807" s="15">
        <f>ROUND(G4805*G4806,0)</f>
        <v>868</v>
      </c>
      <c r="H4807" s="16">
        <f>ROUND(G4807/2,0)</f>
        <v>434</v>
      </c>
      <c r="I4807" s="15">
        <f>G4807-H4807</f>
        <v>434</v>
      </c>
      <c r="J4807" s="3" t="str">
        <f t="shared" si="348"/>
        <v>6444925</v>
      </c>
    </row>
    <row r="4808" spans="2:10" s="3" customFormat="1">
      <c r="B4808" s="3" t="s">
        <v>2148</v>
      </c>
      <c r="C4808" s="8">
        <v>4</v>
      </c>
      <c r="D4808" s="3" t="s">
        <v>2756</v>
      </c>
      <c r="E4808" s="11" t="s">
        <v>30</v>
      </c>
      <c r="F4808" s="11"/>
      <c r="G4808" s="12">
        <f>+G4805-G4807</f>
        <v>786</v>
      </c>
      <c r="H4808" s="13">
        <f>ROUND(G4808/2,0)</f>
        <v>393</v>
      </c>
      <c r="I4808" s="12">
        <f>G4808-H4808</f>
        <v>393</v>
      </c>
      <c r="J4808" s="3" t="str">
        <f t="shared" si="348"/>
        <v>6444925</v>
      </c>
    </row>
    <row r="4809" spans="2:10" s="3" customFormat="1">
      <c r="B4809" s="3" t="s">
        <v>2148</v>
      </c>
      <c r="C4809" s="8">
        <v>4</v>
      </c>
      <c r="D4809" s="3" t="s">
        <v>2935</v>
      </c>
      <c r="E4809" s="11" t="s">
        <v>1427</v>
      </c>
      <c r="F4809" s="10">
        <v>0.18590100000000001</v>
      </c>
      <c r="G4809" s="9">
        <f>ROUND(G$3*F4809,0)</f>
        <v>53488</v>
      </c>
      <c r="H4809" s="11">
        <f>ROUND(G4809/2,0)</f>
        <v>26744</v>
      </c>
      <c r="I4809" s="9">
        <f>G4809-H4809</f>
        <v>26744</v>
      </c>
      <c r="J4809" s="3" t="str">
        <f t="shared" si="348"/>
        <v>6446550</v>
      </c>
    </row>
    <row r="4810" spans="2:10" s="3" customFormat="1">
      <c r="B4810" s="3" t="s">
        <v>2148</v>
      </c>
      <c r="C4810" s="8">
        <v>4</v>
      </c>
      <c r="D4810" s="3" t="s">
        <v>2935</v>
      </c>
      <c r="E4810" s="11" t="s">
        <v>28</v>
      </c>
      <c r="F4810" s="11"/>
      <c r="G4810" s="14">
        <v>0.43910700000000003</v>
      </c>
      <c r="H4810" s="11"/>
      <c r="I4810" s="11"/>
      <c r="J4810" s="3" t="str">
        <f t="shared" si="348"/>
        <v>6446550</v>
      </c>
    </row>
    <row r="4811" spans="2:10" s="3" customFormat="1">
      <c r="B4811" s="3" t="s">
        <v>2148</v>
      </c>
      <c r="C4811" s="8">
        <v>4</v>
      </c>
      <c r="D4811" s="3" t="s">
        <v>2935</v>
      </c>
      <c r="E4811" s="11" t="s">
        <v>29</v>
      </c>
      <c r="F4811" s="11"/>
      <c r="G4811" s="15">
        <f>ROUND(G4809*G4810,0)</f>
        <v>23487</v>
      </c>
      <c r="H4811" s="16">
        <f>ROUND(G4811/2,0)</f>
        <v>11744</v>
      </c>
      <c r="I4811" s="15">
        <f>G4811-H4811</f>
        <v>11743</v>
      </c>
      <c r="J4811" s="3" t="str">
        <f t="shared" si="348"/>
        <v>6446550</v>
      </c>
    </row>
    <row r="4812" spans="2:10" s="3" customFormat="1">
      <c r="B4812" s="3" t="s">
        <v>2148</v>
      </c>
      <c r="C4812" s="8">
        <v>4</v>
      </c>
      <c r="D4812" s="3" t="s">
        <v>2935</v>
      </c>
      <c r="E4812" s="11" t="s">
        <v>30</v>
      </c>
      <c r="F4812" s="11"/>
      <c r="G4812" s="12">
        <f>+G4809-G4811</f>
        <v>30001</v>
      </c>
      <c r="H4812" s="13">
        <f>ROUND(G4812/2,0)</f>
        <v>15001</v>
      </c>
      <c r="I4812" s="12">
        <f>G4812-H4812</f>
        <v>15000</v>
      </c>
      <c r="J4812" s="3" t="str">
        <f t="shared" si="348"/>
        <v>6446550</v>
      </c>
    </row>
    <row r="4813" spans="2:10" s="3" customFormat="1">
      <c r="B4813" s="3" t="s">
        <v>2148</v>
      </c>
      <c r="C4813" s="8">
        <v>4</v>
      </c>
      <c r="D4813" s="3" t="s">
        <v>2933</v>
      </c>
      <c r="E4813" s="11" t="s">
        <v>1428</v>
      </c>
      <c r="F4813" s="10">
        <v>1.5051E-2</v>
      </c>
      <c r="G4813" s="9">
        <f>ROUND(G$3*F4813,0)</f>
        <v>4331</v>
      </c>
      <c r="H4813" s="11">
        <f>ROUND(G4813/2,0)</f>
        <v>2166</v>
      </c>
      <c r="I4813" s="9">
        <f>G4813-H4813</f>
        <v>2165</v>
      </c>
      <c r="J4813" s="3" t="str">
        <f t="shared" si="348"/>
        <v>6446520</v>
      </c>
    </row>
    <row r="4814" spans="2:10" s="3" customFormat="1">
      <c r="B4814" s="3" t="s">
        <v>2148</v>
      </c>
      <c r="C4814" s="8">
        <v>4</v>
      </c>
      <c r="D4814" s="3" t="s">
        <v>2933</v>
      </c>
      <c r="E4814" s="11" t="s">
        <v>28</v>
      </c>
      <c r="F4814" s="11"/>
      <c r="G4814" s="14">
        <v>0.42299100000000001</v>
      </c>
      <c r="H4814" s="11"/>
      <c r="I4814" s="11"/>
      <c r="J4814" s="3" t="str">
        <f t="shared" si="348"/>
        <v>6446520</v>
      </c>
    </row>
    <row r="4815" spans="2:10" s="3" customFormat="1">
      <c r="B4815" s="3" t="s">
        <v>2148</v>
      </c>
      <c r="C4815" s="8">
        <v>4</v>
      </c>
      <c r="D4815" s="3" t="s">
        <v>2933</v>
      </c>
      <c r="E4815" s="11" t="s">
        <v>29</v>
      </c>
      <c r="F4815" s="11"/>
      <c r="G4815" s="15">
        <f>ROUND(G4813*G4814,0)</f>
        <v>1832</v>
      </c>
      <c r="H4815" s="16">
        <f>ROUND(G4815/2,0)</f>
        <v>916</v>
      </c>
      <c r="I4815" s="15">
        <f>G4815-H4815</f>
        <v>916</v>
      </c>
      <c r="J4815" s="3" t="str">
        <f t="shared" si="348"/>
        <v>6446520</v>
      </c>
    </row>
    <row r="4816" spans="2:10" s="3" customFormat="1">
      <c r="B4816" s="3" t="s">
        <v>2148</v>
      </c>
      <c r="C4816" s="8">
        <v>4</v>
      </c>
      <c r="D4816" s="3" t="s">
        <v>2933</v>
      </c>
      <c r="E4816" s="11" t="s">
        <v>30</v>
      </c>
      <c r="F4816" s="11"/>
      <c r="G4816" s="12">
        <f>+G4813-G4815</f>
        <v>2499</v>
      </c>
      <c r="H4816" s="13">
        <f>ROUND(G4816/2,0)</f>
        <v>1250</v>
      </c>
      <c r="I4816" s="12">
        <f>G4816-H4816</f>
        <v>1249</v>
      </c>
      <c r="J4816" s="3" t="str">
        <f t="shared" si="348"/>
        <v>6446520</v>
      </c>
    </row>
    <row r="4817" spans="1:10" s="3" customFormat="1">
      <c r="B4817" s="3" t="s">
        <v>2148</v>
      </c>
      <c r="C4817" s="8">
        <v>4</v>
      </c>
      <c r="D4817" s="3" t="s">
        <v>2934</v>
      </c>
      <c r="E4817" s="11" t="s">
        <v>560</v>
      </c>
      <c r="F4817" s="10">
        <v>2.4167999999999999E-2</v>
      </c>
      <c r="G4817" s="9">
        <f>ROUND(G$3*F4817,0)</f>
        <v>6954</v>
      </c>
      <c r="H4817" s="11">
        <f>ROUND(G4817/2,0)</f>
        <v>3477</v>
      </c>
      <c r="I4817" s="9">
        <f>G4817-H4817</f>
        <v>3477</v>
      </c>
      <c r="J4817" s="3" t="str">
        <f t="shared" si="348"/>
        <v>6446530</v>
      </c>
    </row>
    <row r="4818" spans="1:10" s="3" customFormat="1">
      <c r="B4818" s="3" t="s">
        <v>2148</v>
      </c>
      <c r="C4818" s="8">
        <v>4</v>
      </c>
      <c r="D4818" s="3" t="s">
        <v>2934</v>
      </c>
      <c r="E4818" s="11" t="s">
        <v>28</v>
      </c>
      <c r="F4818" s="11"/>
      <c r="G4818" s="14">
        <v>0.46884199999999998</v>
      </c>
      <c r="H4818" s="11"/>
      <c r="I4818" s="11"/>
      <c r="J4818" s="3" t="str">
        <f t="shared" si="348"/>
        <v>6446530</v>
      </c>
    </row>
    <row r="4819" spans="1:10" s="3" customFormat="1">
      <c r="B4819" s="3" t="s">
        <v>2148</v>
      </c>
      <c r="C4819" s="8">
        <v>4</v>
      </c>
      <c r="D4819" s="3" t="s">
        <v>2934</v>
      </c>
      <c r="E4819" s="11" t="s">
        <v>29</v>
      </c>
      <c r="F4819" s="11"/>
      <c r="G4819" s="15">
        <f>ROUND(G4817*G4818,0)</f>
        <v>3260</v>
      </c>
      <c r="H4819" s="16">
        <f>ROUND(G4819/2,0)</f>
        <v>1630</v>
      </c>
      <c r="I4819" s="15">
        <f>G4819-H4819</f>
        <v>1630</v>
      </c>
      <c r="J4819" s="3" t="str">
        <f t="shared" si="348"/>
        <v>6446530</v>
      </c>
    </row>
    <row r="4820" spans="1:10" s="3" customFormat="1">
      <c r="B4820" s="3" t="s">
        <v>2148</v>
      </c>
      <c r="C4820" s="8">
        <v>4</v>
      </c>
      <c r="D4820" s="3" t="s">
        <v>2934</v>
      </c>
      <c r="E4820" s="11" t="s">
        <v>30</v>
      </c>
      <c r="F4820" s="11"/>
      <c r="G4820" s="12">
        <f>+G4817-G4819</f>
        <v>3694</v>
      </c>
      <c r="H4820" s="13">
        <f>ROUND(G4820/2,0)</f>
        <v>1847</v>
      </c>
      <c r="I4820" s="12">
        <f>G4820-H4820</f>
        <v>1847</v>
      </c>
      <c r="J4820" s="3" t="str">
        <f t="shared" si="348"/>
        <v>6446530</v>
      </c>
    </row>
    <row r="4821" spans="1:10" s="3" customFormat="1">
      <c r="B4821" s="3" t="s">
        <v>2148</v>
      </c>
      <c r="C4821" s="8">
        <v>4</v>
      </c>
      <c r="D4821" s="3" t="s">
        <v>2936</v>
      </c>
      <c r="E4821" s="11" t="s">
        <v>1429</v>
      </c>
      <c r="F4821" s="10">
        <v>0.113556</v>
      </c>
      <c r="G4821" s="9">
        <f>ROUND(G$3*F4821,0)</f>
        <v>32673</v>
      </c>
      <c r="H4821" s="11">
        <f>ROUND(G4821/2,0)</f>
        <v>16337</v>
      </c>
      <c r="I4821" s="9">
        <f>G4821-H4821</f>
        <v>16336</v>
      </c>
      <c r="J4821" s="3" t="str">
        <f t="shared" si="348"/>
        <v>6446560</v>
      </c>
    </row>
    <row r="4822" spans="1:10" s="3" customFormat="1">
      <c r="B4822" s="3" t="s">
        <v>2148</v>
      </c>
      <c r="C4822" s="8">
        <v>4</v>
      </c>
      <c r="D4822" s="3" t="s">
        <v>2936</v>
      </c>
      <c r="E4822" s="11" t="s">
        <v>28</v>
      </c>
      <c r="F4822" s="11"/>
      <c r="G4822" s="14">
        <v>0.44247300000000001</v>
      </c>
      <c r="H4822" s="11"/>
      <c r="I4822" s="11"/>
      <c r="J4822" s="3" t="str">
        <f t="shared" si="348"/>
        <v>6446560</v>
      </c>
    </row>
    <row r="4823" spans="1:10" s="3" customFormat="1">
      <c r="B4823" s="3" t="s">
        <v>2148</v>
      </c>
      <c r="C4823" s="8">
        <v>4</v>
      </c>
      <c r="D4823" s="3" t="s">
        <v>2936</v>
      </c>
      <c r="E4823" s="11" t="s">
        <v>29</v>
      </c>
      <c r="F4823" s="11"/>
      <c r="G4823" s="15">
        <f>ROUND(G4821*G4822,0)</f>
        <v>14457</v>
      </c>
      <c r="H4823" s="16">
        <f t="shared" ref="H4823:H4829" si="349">ROUND(G4823/2,0)</f>
        <v>7229</v>
      </c>
      <c r="I4823" s="15">
        <f t="shared" ref="I4823:I4829" si="350">G4823-H4823</f>
        <v>7228</v>
      </c>
      <c r="J4823" s="3" t="str">
        <f t="shared" si="348"/>
        <v>6446560</v>
      </c>
    </row>
    <row r="4824" spans="1:10" s="3" customFormat="1">
      <c r="B4824" s="3" t="s">
        <v>2148</v>
      </c>
      <c r="C4824" s="8">
        <v>4</v>
      </c>
      <c r="D4824" s="3" t="s">
        <v>2936</v>
      </c>
      <c r="E4824" s="11" t="s">
        <v>30</v>
      </c>
      <c r="F4824" s="11"/>
      <c r="G4824" s="12">
        <f>+G4821-G4823</f>
        <v>18216</v>
      </c>
      <c r="H4824" s="13">
        <f t="shared" si="349"/>
        <v>9108</v>
      </c>
      <c r="I4824" s="12">
        <f t="shared" si="350"/>
        <v>9108</v>
      </c>
      <c r="J4824" s="3" t="str">
        <f t="shared" si="348"/>
        <v>6446560</v>
      </c>
    </row>
    <row r="4825" spans="1:10" s="3" customFormat="1">
      <c r="B4825" s="3" t="s">
        <v>2148</v>
      </c>
      <c r="C4825" s="8">
        <v>5</v>
      </c>
      <c r="D4825" s="3" t="s">
        <v>5417</v>
      </c>
      <c r="E4825" s="11" t="s">
        <v>1430</v>
      </c>
      <c r="F4825" s="10">
        <v>2.9888999999999999E-2</v>
      </c>
      <c r="G4825" s="120">
        <f>ROUND(G$3*F4825,0)</f>
        <v>8600</v>
      </c>
      <c r="H4825" s="120">
        <f t="shared" si="349"/>
        <v>4300</v>
      </c>
      <c r="I4825" s="120">
        <f t="shared" si="350"/>
        <v>4300</v>
      </c>
      <c r="J4825" s="3" t="str">
        <f t="shared" si="348"/>
        <v>6450185</v>
      </c>
    </row>
    <row r="4826" spans="1:10" s="3" customFormat="1">
      <c r="B4826" s="3" t="s">
        <v>2148</v>
      </c>
      <c r="C4826" s="8">
        <v>5</v>
      </c>
      <c r="D4826" s="3" t="s">
        <v>5415</v>
      </c>
      <c r="E4826" s="11" t="s">
        <v>1431</v>
      </c>
      <c r="F4826" s="10">
        <v>4.084E-3</v>
      </c>
      <c r="G4826" s="120">
        <f>ROUND(G$3*F4826,0)</f>
        <v>1175</v>
      </c>
      <c r="H4826" s="120">
        <f t="shared" si="349"/>
        <v>588</v>
      </c>
      <c r="I4826" s="120">
        <f t="shared" si="350"/>
        <v>587</v>
      </c>
      <c r="J4826" s="3" t="str">
        <f t="shared" si="348"/>
        <v>6450184</v>
      </c>
    </row>
    <row r="4827" spans="1:10" s="3" customFormat="1">
      <c r="B4827" s="3" t="s">
        <v>2148</v>
      </c>
      <c r="C4827" s="8">
        <v>6</v>
      </c>
      <c r="D4827" s="3" t="s">
        <v>4415</v>
      </c>
      <c r="E4827" s="11" t="s">
        <v>1432</v>
      </c>
      <c r="F4827" s="10">
        <v>3.0950000000000001E-3</v>
      </c>
      <c r="G4827" s="120">
        <f>ROUND(G$3*F4827,0)</f>
        <v>891</v>
      </c>
      <c r="H4827" s="120">
        <f t="shared" si="349"/>
        <v>446</v>
      </c>
      <c r="I4827" s="120">
        <f t="shared" si="350"/>
        <v>445</v>
      </c>
      <c r="J4827" s="3" t="str">
        <f t="shared" si="348"/>
        <v>6461084</v>
      </c>
    </row>
    <row r="4828" spans="1:10" s="3" customFormat="1">
      <c r="A4828" s="3" t="s">
        <v>6269</v>
      </c>
      <c r="B4828" s="3" t="s">
        <v>2148</v>
      </c>
      <c r="C4828" s="8">
        <v>6</v>
      </c>
      <c r="D4828" s="3" t="s">
        <v>2937</v>
      </c>
      <c r="E4828" s="11" t="s">
        <v>1433</v>
      </c>
      <c r="F4828" s="10">
        <v>0</v>
      </c>
      <c r="G4828" s="12">
        <f>ROUND(G$3*F4828,0)</f>
        <v>0</v>
      </c>
      <c r="H4828" s="13">
        <f t="shared" si="349"/>
        <v>0</v>
      </c>
      <c r="I4828" s="12">
        <f t="shared" si="350"/>
        <v>0</v>
      </c>
      <c r="J4828" s="3" t="str">
        <f t="shared" si="348"/>
        <v>6461066</v>
      </c>
    </row>
    <row r="4829" spans="1:10" s="3" customFormat="1">
      <c r="B4829" s="3" t="s">
        <v>2148</v>
      </c>
      <c r="C4829" s="8">
        <v>6</v>
      </c>
      <c r="D4829" s="3" t="s">
        <v>5419</v>
      </c>
      <c r="E4829" s="11" t="s">
        <v>1434</v>
      </c>
      <c r="F4829" s="10">
        <v>9.3999999999999994E-5</v>
      </c>
      <c r="G4829" s="120">
        <f>+G4740-SUM(G4741:G4742)-SUM(G4747:G4793)-G4797-G4801-G4805-G4809-G4813-G4817-G4821-SUM(G4825:G4828)</f>
        <v>1587690</v>
      </c>
      <c r="H4829" s="120">
        <f t="shared" si="349"/>
        <v>793845</v>
      </c>
      <c r="I4829" s="120">
        <f t="shared" si="350"/>
        <v>793845</v>
      </c>
      <c r="J4829" s="3" t="str">
        <f t="shared" si="348"/>
        <v>6460975</v>
      </c>
    </row>
    <row r="4830" spans="1:10" s="3" customFormat="1">
      <c r="B4830" s="3" t="s">
        <v>2148</v>
      </c>
      <c r="C4830" s="8">
        <v>0</v>
      </c>
      <c r="D4830" s="125" t="s">
        <v>2187</v>
      </c>
      <c r="E4830" s="28" t="s">
        <v>288</v>
      </c>
      <c r="F4830" s="10">
        <v>0.99999999999999989</v>
      </c>
      <c r="G4830" s="12">
        <f>+G4741+SUM(G4744:G4792)+SUM(G4795:G4796)+SUM(G4799:G4800)+SUM(G4803:G4804)+SUM(G4807:G4808)+SUM(G4811:G4812)+SUM(G4815:G4816)+SUM(G4819:G4820)+SUM(G4823:G4829)</f>
        <v>1875386</v>
      </c>
      <c r="H4830" s="12">
        <f>+H4741+SUM(H4744:H4792)+SUM(H4795:H4796)+SUM(H4799:H4800)+SUM(H4803:H4804)+SUM(H4807:H4808)+SUM(H4811:H4812)+SUM(H4815:H4816)+SUM(H4819:H4820)+SUM(H4823:H4829)</f>
        <v>937706</v>
      </c>
      <c r="I4830" s="12">
        <f>+I4741+SUM(I4744:I4792)+SUM(I4795:I4796)+SUM(I4799:I4800)+SUM(I4803:I4804)+SUM(I4807:I4808)+SUM(I4811:I4812)+SUM(I4815:I4816)+SUM(I4819:I4820)+SUM(I4823:I4829)</f>
        <v>937680</v>
      </c>
      <c r="J4830" s="3" t="str">
        <f t="shared" si="348"/>
        <v>6400000</v>
      </c>
    </row>
    <row r="4831" spans="1:10" s="3" customFormat="1">
      <c r="B4831" s="3" t="s">
        <v>2148</v>
      </c>
      <c r="C4831" s="8">
        <v>0</v>
      </c>
      <c r="D4831" s="3" t="s">
        <v>2187</v>
      </c>
      <c r="E4831" s="18" t="s">
        <v>1435</v>
      </c>
      <c r="G4831" s="19">
        <f>+G4741</f>
        <v>289</v>
      </c>
      <c r="H4831" s="19">
        <f>+H4741</f>
        <v>145</v>
      </c>
      <c r="I4831" s="19">
        <f>+I4741</f>
        <v>144</v>
      </c>
      <c r="J4831" s="3" t="str">
        <f t="shared" si="348"/>
        <v>6400000</v>
      </c>
    </row>
    <row r="4832" spans="1:10" s="3" customFormat="1">
      <c r="B4832" s="3" t="s">
        <v>2148</v>
      </c>
      <c r="C4832" s="8">
        <v>0</v>
      </c>
      <c r="D4832" s="3" t="s">
        <v>2187</v>
      </c>
      <c r="E4832" s="2" t="s">
        <v>39</v>
      </c>
      <c r="G4832" s="19">
        <f>+G4744</f>
        <v>8559</v>
      </c>
      <c r="H4832" s="19">
        <f>+H4744</f>
        <v>4280</v>
      </c>
      <c r="I4832" s="19">
        <f>+I4744</f>
        <v>4279</v>
      </c>
      <c r="J4832" s="3" t="str">
        <f t="shared" si="348"/>
        <v>6400000</v>
      </c>
    </row>
    <row r="4833" spans="1:10" s="3" customFormat="1">
      <c r="B4833" s="3" t="s">
        <v>2148</v>
      </c>
      <c r="C4833" s="8">
        <v>0</v>
      </c>
      <c r="D4833" s="3" t="s">
        <v>2187</v>
      </c>
      <c r="E4833" s="2" t="s">
        <v>40</v>
      </c>
      <c r="G4833" s="19">
        <f>+G4795+G4799+G4803+G4807+G4811+G4815+G4819+G4823</f>
        <v>74671</v>
      </c>
      <c r="H4833" s="19">
        <f>+H4795+H4799+H4803+H4807+H4811+H4815+H4819+H4823</f>
        <v>37337</v>
      </c>
      <c r="I4833" s="19">
        <f>+I4795+I4799+I4803+I4807+I4811+I4815+I4819+I4823</f>
        <v>37334</v>
      </c>
      <c r="J4833" s="3" t="str">
        <f t="shared" si="348"/>
        <v>6400000</v>
      </c>
    </row>
    <row r="4834" spans="1:10" s="3" customFormat="1">
      <c r="B4834" s="3" t="s">
        <v>2148</v>
      </c>
      <c r="C4834" s="8">
        <v>0</v>
      </c>
      <c r="D4834" s="125" t="s">
        <v>2187</v>
      </c>
      <c r="E4834" s="18" t="s">
        <v>41</v>
      </c>
      <c r="G4834" s="19">
        <f>+G4830-G4831-G4832-G4833</f>
        <v>1791867</v>
      </c>
      <c r="H4834" s="19">
        <f>+H4830-H4831-H4832-H4833</f>
        <v>895944</v>
      </c>
      <c r="I4834" s="19">
        <f>+I4830-I4831-I4832-I4833</f>
        <v>895923</v>
      </c>
      <c r="J4834" s="3" t="str">
        <f t="shared" si="348"/>
        <v>6400000</v>
      </c>
    </row>
    <row r="4835" spans="1:10" ht="15.75">
      <c r="B4835" s="3" t="s">
        <v>2186</v>
      </c>
      <c r="D4835" t="s">
        <v>2186</v>
      </c>
      <c r="E4835">
        <v>0</v>
      </c>
      <c r="G4835"/>
      <c r="H4835"/>
      <c r="I4835"/>
      <c r="J4835" s="3" t="str">
        <f t="shared" si="348"/>
        <v/>
      </c>
    </row>
    <row r="4836" spans="1:10" s="3" customFormat="1">
      <c r="C4836" s="1"/>
      <c r="D4836" s="3" t="s">
        <v>2186</v>
      </c>
      <c r="E4836" s="2" t="s">
        <v>1436</v>
      </c>
      <c r="J4836" s="3" t="str">
        <f t="shared" si="348"/>
        <v/>
      </c>
    </row>
    <row r="4837" spans="1:10" s="3" customFormat="1" ht="45">
      <c r="B4837" s="3" t="s">
        <v>2186</v>
      </c>
      <c r="C4837" s="1"/>
      <c r="D4837" s="3" t="s">
        <v>2186</v>
      </c>
      <c r="E4837" s="1">
        <v>0</v>
      </c>
      <c r="F4837" s="6" t="s">
        <v>1</v>
      </c>
      <c r="G4837" s="60">
        <f>'Allocation Worksheet'!H4837</f>
        <v>0</v>
      </c>
      <c r="H4837" s="60">
        <f>'Allocation Worksheet'!H4838</f>
        <v>0</v>
      </c>
      <c r="I4837" s="60">
        <f>'Allocation Worksheet'!H4839</f>
        <v>0</v>
      </c>
      <c r="J4837" s="3" t="str">
        <f t="shared" si="348"/>
        <v/>
      </c>
    </row>
    <row r="4838" spans="1:10" s="3" customFormat="1">
      <c r="C4838" s="7" t="s">
        <v>2087</v>
      </c>
      <c r="D4838" s="3" t="s">
        <v>2186</v>
      </c>
      <c r="E4838" s="7" t="s">
        <v>3</v>
      </c>
      <c r="F4838" s="10"/>
      <c r="G4838" s="9">
        <f>'Allocation Worksheet'!$D$68</f>
        <v>301385</v>
      </c>
      <c r="H4838" s="11"/>
      <c r="I4838" s="11"/>
      <c r="J4838" s="3" t="str">
        <f t="shared" si="348"/>
        <v>UT</v>
      </c>
    </row>
    <row r="4839" spans="1:10" s="3" customFormat="1">
      <c r="B4839" s="3" t="s">
        <v>2149</v>
      </c>
      <c r="C4839" s="8">
        <v>0</v>
      </c>
      <c r="D4839" s="3" t="s">
        <v>2187</v>
      </c>
      <c r="E4839" s="11" t="s">
        <v>4</v>
      </c>
      <c r="F4839" s="10">
        <v>1.3270000000000001E-3</v>
      </c>
      <c r="G4839" s="12">
        <f>ROUND(G$3*F4839,0)</f>
        <v>382</v>
      </c>
      <c r="H4839" s="13">
        <f>ROUND(G4839/2,0)</f>
        <v>191</v>
      </c>
      <c r="I4839" s="12">
        <f>G4839-H4839</f>
        <v>191</v>
      </c>
      <c r="J4839" s="3" t="str">
        <f t="shared" si="348"/>
        <v>6500000</v>
      </c>
    </row>
    <row r="4840" spans="1:10" s="3" customFormat="1">
      <c r="B4840" s="3" t="s">
        <v>2149</v>
      </c>
      <c r="C4840" s="8">
        <v>1</v>
      </c>
      <c r="D4840" s="3" t="s">
        <v>2187</v>
      </c>
      <c r="E4840" s="11" t="s">
        <v>1437</v>
      </c>
      <c r="F4840" s="10">
        <v>0.19985700000000001</v>
      </c>
      <c r="G4840" s="9">
        <f>ROUND(G$3*F4840,0)</f>
        <v>57503</v>
      </c>
      <c r="H4840" s="11">
        <f>ROUND(G4840/2,0)</f>
        <v>28752</v>
      </c>
      <c r="I4840" s="9">
        <f>G4840-H4840</f>
        <v>28751</v>
      </c>
      <c r="J4840" s="3" t="str">
        <f t="shared" si="348"/>
        <v>6510000</v>
      </c>
    </row>
    <row r="4841" spans="1:10" s="3" customFormat="1">
      <c r="B4841" s="3" t="s">
        <v>2149</v>
      </c>
      <c r="C4841" s="8">
        <v>1</v>
      </c>
      <c r="D4841" s="3" t="s">
        <v>2187</v>
      </c>
      <c r="E4841" s="11" t="s">
        <v>6</v>
      </c>
      <c r="F4841" s="11"/>
      <c r="G4841" s="14">
        <v>7.0982000000000003E-2</v>
      </c>
      <c r="H4841" s="11"/>
      <c r="I4841" s="11"/>
      <c r="J4841" s="3" t="str">
        <f t="shared" si="348"/>
        <v>6510000</v>
      </c>
    </row>
    <row r="4842" spans="1:10" s="3" customFormat="1">
      <c r="B4842" s="3" t="s">
        <v>2149</v>
      </c>
      <c r="C4842" s="8">
        <v>1</v>
      </c>
      <c r="D4842" s="3" t="s">
        <v>2187</v>
      </c>
      <c r="E4842" s="11" t="s">
        <v>7</v>
      </c>
      <c r="F4842" s="11"/>
      <c r="G4842" s="15">
        <f>ROUND(G4840*G4841,0)</f>
        <v>4082</v>
      </c>
      <c r="H4842" s="16">
        <f>ROUND(G4842/2,0)</f>
        <v>2041</v>
      </c>
      <c r="I4842" s="15">
        <f>G4842-H4842</f>
        <v>2041</v>
      </c>
      <c r="J4842" s="3" t="str">
        <f t="shared" si="348"/>
        <v>6510000</v>
      </c>
    </row>
    <row r="4843" spans="1:10" s="3" customFormat="1">
      <c r="B4843" s="3" t="s">
        <v>2149</v>
      </c>
      <c r="C4843" s="8">
        <v>1</v>
      </c>
      <c r="D4843" s="3" t="s">
        <v>2187</v>
      </c>
      <c r="E4843" s="11" t="s">
        <v>8</v>
      </c>
      <c r="F4843" s="11"/>
      <c r="G4843" s="12">
        <f>+G4840-G4842</f>
        <v>53421</v>
      </c>
      <c r="H4843" s="13">
        <f>ROUND(G4843/2,0)</f>
        <v>26711</v>
      </c>
      <c r="I4843" s="12">
        <f>G4843-H4843</f>
        <v>26710</v>
      </c>
      <c r="J4843" s="3" t="str">
        <f t="shared" si="348"/>
        <v>6510000</v>
      </c>
    </row>
    <row r="4844" spans="1:10" s="3" customFormat="1">
      <c r="B4844" s="3" t="s">
        <v>2149</v>
      </c>
      <c r="C4844" s="8">
        <v>2</v>
      </c>
      <c r="D4844" s="3" t="s">
        <v>2188</v>
      </c>
      <c r="E4844" s="11" t="s">
        <v>1438</v>
      </c>
      <c r="F4844" s="11"/>
      <c r="G4844" s="9"/>
      <c r="H4844" s="11"/>
      <c r="I4844" s="11"/>
      <c r="J4844" s="3" t="str">
        <f t="shared" si="348"/>
        <v>6520001</v>
      </c>
    </row>
    <row r="4845" spans="1:10" s="3" customFormat="1">
      <c r="B4845" s="3" t="s">
        <v>2149</v>
      </c>
      <c r="C4845" s="8">
        <v>2</v>
      </c>
      <c r="D4845" s="3" t="s">
        <v>2188</v>
      </c>
      <c r="E4845" s="11" t="s">
        <v>10</v>
      </c>
      <c r="F4845" s="10">
        <v>5.9900000000000003E-4</v>
      </c>
      <c r="G4845" s="12">
        <f>ROUND(G$3*F4845,0)</f>
        <v>172</v>
      </c>
      <c r="H4845" s="13">
        <f>ROUND(G4845/2,0)</f>
        <v>86</v>
      </c>
      <c r="I4845" s="12">
        <f>G4845-H4845</f>
        <v>86</v>
      </c>
      <c r="J4845" s="3" t="str">
        <f t="shared" si="348"/>
        <v>6520001</v>
      </c>
    </row>
    <row r="4846" spans="1:10" s="3" customFormat="1">
      <c r="A4846" s="3" t="s">
        <v>6269</v>
      </c>
      <c r="B4846" s="3" t="s">
        <v>2149</v>
      </c>
      <c r="C4846" s="8">
        <v>2</v>
      </c>
      <c r="D4846" s="3" t="s">
        <v>2188</v>
      </c>
      <c r="E4846" s="11" t="s">
        <v>11</v>
      </c>
      <c r="F4846" s="10">
        <v>0</v>
      </c>
      <c r="G4846" s="12">
        <f>ROUND(G$3*F4846,0)</f>
        <v>0</v>
      </c>
      <c r="H4846" s="13">
        <f>ROUND(G4846/2,0)</f>
        <v>0</v>
      </c>
      <c r="I4846" s="12">
        <f>G4846-H4846</f>
        <v>0</v>
      </c>
      <c r="J4846" s="3" t="str">
        <f t="shared" si="348"/>
        <v>6520001</v>
      </c>
    </row>
    <row r="4847" spans="1:10" s="3" customFormat="1">
      <c r="B4847" s="3" t="s">
        <v>2149</v>
      </c>
      <c r="C4847" s="8">
        <v>2</v>
      </c>
      <c r="D4847" s="3" t="s">
        <v>2189</v>
      </c>
      <c r="E4847" s="11" t="s">
        <v>1439</v>
      </c>
      <c r="F4847" s="11"/>
      <c r="G4847" s="9"/>
      <c r="H4847" s="11"/>
      <c r="I4847" s="11"/>
      <c r="J4847" s="3" t="str">
        <f t="shared" si="348"/>
        <v>6520002</v>
      </c>
    </row>
    <row r="4848" spans="1:10" s="3" customFormat="1">
      <c r="B4848" s="3" t="s">
        <v>2149</v>
      </c>
      <c r="C4848" s="8">
        <v>2</v>
      </c>
      <c r="D4848" s="3" t="s">
        <v>2189</v>
      </c>
      <c r="E4848" s="11" t="s">
        <v>10</v>
      </c>
      <c r="F4848" s="10">
        <v>2.8700000000000002E-3</v>
      </c>
      <c r="G4848" s="12">
        <f>ROUND(G$3*F4848,0)</f>
        <v>826</v>
      </c>
      <c r="H4848" s="13">
        <f>ROUND(G4848/2,0)</f>
        <v>413</v>
      </c>
      <c r="I4848" s="12">
        <f>G4848-H4848</f>
        <v>413</v>
      </c>
      <c r="J4848" s="3" t="str">
        <f t="shared" si="348"/>
        <v>6520002</v>
      </c>
    </row>
    <row r="4849" spans="1:10" s="3" customFormat="1">
      <c r="B4849" s="3" t="s">
        <v>2149</v>
      </c>
      <c r="C4849" s="8">
        <v>2</v>
      </c>
      <c r="D4849" s="3" t="s">
        <v>2189</v>
      </c>
      <c r="E4849" s="11" t="s">
        <v>11</v>
      </c>
      <c r="F4849" s="10">
        <v>3.2929999999999999E-3</v>
      </c>
      <c r="G4849" s="12">
        <f>ROUND(G$3*F4849,0)</f>
        <v>947</v>
      </c>
      <c r="H4849" s="13">
        <f>ROUND(G4849/2,0)</f>
        <v>474</v>
      </c>
      <c r="I4849" s="12">
        <f>G4849-H4849</f>
        <v>473</v>
      </c>
      <c r="J4849" s="3" t="str">
        <f t="shared" si="348"/>
        <v>6520002</v>
      </c>
    </row>
    <row r="4850" spans="1:10" s="3" customFormat="1">
      <c r="B4850" s="3" t="s">
        <v>2149</v>
      </c>
      <c r="C4850" s="8">
        <v>2</v>
      </c>
      <c r="D4850" s="3" t="s">
        <v>2190</v>
      </c>
      <c r="E4850" s="11" t="s">
        <v>107</v>
      </c>
      <c r="F4850" s="11"/>
      <c r="G4850" s="9"/>
      <c r="H4850" s="11"/>
      <c r="I4850" s="11"/>
      <c r="J4850" s="3" t="str">
        <f t="shared" si="348"/>
        <v>6520003</v>
      </c>
    </row>
    <row r="4851" spans="1:10" s="3" customFormat="1">
      <c r="B4851" s="3" t="s">
        <v>2149</v>
      </c>
      <c r="C4851" s="8">
        <v>2</v>
      </c>
      <c r="D4851" s="3" t="s">
        <v>2190</v>
      </c>
      <c r="E4851" s="11" t="s">
        <v>10</v>
      </c>
      <c r="F4851" s="10">
        <v>8.8000000000000003E-4</v>
      </c>
      <c r="G4851" s="12">
        <f>ROUND(G$3*F4851,0)</f>
        <v>253</v>
      </c>
      <c r="H4851" s="13">
        <f>ROUND(G4851/2,0)</f>
        <v>127</v>
      </c>
      <c r="I4851" s="12">
        <f>G4851-H4851</f>
        <v>126</v>
      </c>
      <c r="J4851" s="3" t="str">
        <f t="shared" si="348"/>
        <v>6520003</v>
      </c>
    </row>
    <row r="4852" spans="1:10" s="3" customFormat="1">
      <c r="A4852" s="3" t="s">
        <v>6269</v>
      </c>
      <c r="B4852" s="3" t="s">
        <v>2149</v>
      </c>
      <c r="C4852" s="8">
        <v>2</v>
      </c>
      <c r="D4852" s="3" t="s">
        <v>2190</v>
      </c>
      <c r="E4852" s="11" t="s">
        <v>11</v>
      </c>
      <c r="F4852" s="10">
        <v>0</v>
      </c>
      <c r="G4852" s="12">
        <f>ROUND(G$3*F4852,0)</f>
        <v>0</v>
      </c>
      <c r="H4852" s="13">
        <f>ROUND(G4852/2,0)</f>
        <v>0</v>
      </c>
      <c r="I4852" s="12">
        <f>G4852-H4852</f>
        <v>0</v>
      </c>
      <c r="J4852" s="3" t="str">
        <f t="shared" si="348"/>
        <v>6520003</v>
      </c>
    </row>
    <row r="4853" spans="1:10" s="3" customFormat="1">
      <c r="B4853" s="3" t="s">
        <v>2149</v>
      </c>
      <c r="C4853" s="8">
        <v>2</v>
      </c>
      <c r="D4853" s="3" t="s">
        <v>2191</v>
      </c>
      <c r="E4853" s="11" t="s">
        <v>1440</v>
      </c>
      <c r="F4853" s="11"/>
      <c r="G4853" s="9"/>
      <c r="H4853" s="11"/>
      <c r="I4853" s="11"/>
      <c r="J4853" s="3" t="str">
        <f t="shared" si="348"/>
        <v>6520004</v>
      </c>
    </row>
    <row r="4854" spans="1:10" s="3" customFormat="1">
      <c r="B4854" s="3" t="s">
        <v>2149</v>
      </c>
      <c r="C4854" s="8">
        <v>2</v>
      </c>
      <c r="D4854" s="3" t="s">
        <v>2191</v>
      </c>
      <c r="E4854" s="11" t="s">
        <v>10</v>
      </c>
      <c r="F4854" s="10">
        <v>7.1100000000000004E-4</v>
      </c>
      <c r="G4854" s="12">
        <f>ROUND(G$3*F4854,0)</f>
        <v>205</v>
      </c>
      <c r="H4854" s="13">
        <f>ROUND(G4854/2,0)</f>
        <v>103</v>
      </c>
      <c r="I4854" s="12">
        <f>G4854-H4854</f>
        <v>102</v>
      </c>
      <c r="J4854" s="3" t="str">
        <f t="shared" si="348"/>
        <v>6520004</v>
      </c>
    </row>
    <row r="4855" spans="1:10" s="3" customFormat="1">
      <c r="B4855" s="3" t="s">
        <v>2149</v>
      </c>
      <c r="C4855" s="8">
        <v>2</v>
      </c>
      <c r="D4855" s="3" t="s">
        <v>2191</v>
      </c>
      <c r="E4855" s="11" t="s">
        <v>11</v>
      </c>
      <c r="F4855" s="10">
        <v>7.6000000000000004E-5</v>
      </c>
      <c r="G4855" s="12">
        <f>ROUND(G$3*F4855,0)</f>
        <v>22</v>
      </c>
      <c r="H4855" s="13">
        <f>ROUND(G4855/2,0)</f>
        <v>11</v>
      </c>
      <c r="I4855" s="12">
        <f>G4855-H4855</f>
        <v>11</v>
      </c>
      <c r="J4855" s="3" t="str">
        <f t="shared" si="348"/>
        <v>6520004</v>
      </c>
    </row>
    <row r="4856" spans="1:10" s="3" customFormat="1">
      <c r="B4856" s="3" t="s">
        <v>2149</v>
      </c>
      <c r="C4856" s="8">
        <v>2</v>
      </c>
      <c r="D4856" s="3" t="s">
        <v>2192</v>
      </c>
      <c r="E4856" s="11" t="s">
        <v>1441</v>
      </c>
      <c r="F4856" s="11"/>
      <c r="G4856" s="9"/>
      <c r="H4856" s="11"/>
      <c r="I4856" s="11"/>
      <c r="J4856" s="3" t="str">
        <f t="shared" si="348"/>
        <v>6520005</v>
      </c>
    </row>
    <row r="4857" spans="1:10" s="3" customFormat="1">
      <c r="B4857" s="3" t="s">
        <v>2149</v>
      </c>
      <c r="C4857" s="8">
        <v>2</v>
      </c>
      <c r="D4857" s="3" t="s">
        <v>2192</v>
      </c>
      <c r="E4857" s="11" t="s">
        <v>10</v>
      </c>
      <c r="F4857" s="10">
        <v>6.2E-4</v>
      </c>
      <c r="G4857" s="12">
        <f>ROUND(G$3*F4857,0)</f>
        <v>178</v>
      </c>
      <c r="H4857" s="13">
        <f>ROUND(G4857/2,0)</f>
        <v>89</v>
      </c>
      <c r="I4857" s="12">
        <f>G4857-H4857</f>
        <v>89</v>
      </c>
      <c r="J4857" s="3" t="str">
        <f t="shared" si="348"/>
        <v>6520005</v>
      </c>
    </row>
    <row r="4858" spans="1:10" s="3" customFormat="1">
      <c r="B4858" s="3" t="s">
        <v>2149</v>
      </c>
      <c r="C4858" s="8">
        <v>2</v>
      </c>
      <c r="D4858" s="3" t="s">
        <v>2192</v>
      </c>
      <c r="E4858" s="11" t="s">
        <v>11</v>
      </c>
      <c r="F4858" s="10">
        <v>2.63E-4</v>
      </c>
      <c r="G4858" s="12">
        <f>ROUND(G$3*F4858,0)</f>
        <v>76</v>
      </c>
      <c r="H4858" s="13">
        <f>ROUND(G4858/2,0)</f>
        <v>38</v>
      </c>
      <c r="I4858" s="12">
        <f>G4858-H4858</f>
        <v>38</v>
      </c>
      <c r="J4858" s="3" t="str">
        <f t="shared" si="348"/>
        <v>6520005</v>
      </c>
    </row>
    <row r="4859" spans="1:10" s="3" customFormat="1">
      <c r="B4859" s="3" t="s">
        <v>2149</v>
      </c>
      <c r="C4859" s="8">
        <v>2</v>
      </c>
      <c r="D4859" s="3" t="s">
        <v>2193</v>
      </c>
      <c r="E4859" s="11" t="s">
        <v>1442</v>
      </c>
      <c r="F4859" s="11"/>
      <c r="G4859" s="9"/>
      <c r="H4859" s="11"/>
      <c r="I4859" s="11"/>
      <c r="J4859" s="3" t="str">
        <f t="shared" si="348"/>
        <v>6520006</v>
      </c>
    </row>
    <row r="4860" spans="1:10" s="3" customFormat="1">
      <c r="B4860" s="3" t="s">
        <v>2149</v>
      </c>
      <c r="C4860" s="8">
        <v>2</v>
      </c>
      <c r="D4860" s="3" t="s">
        <v>2193</v>
      </c>
      <c r="E4860" s="11" t="s">
        <v>10</v>
      </c>
      <c r="F4860" s="10">
        <v>2.0379999999999999E-3</v>
      </c>
      <c r="G4860" s="12">
        <f>ROUND(G$3*F4860,0)</f>
        <v>586</v>
      </c>
      <c r="H4860" s="13">
        <f>ROUND(G4860/2,0)</f>
        <v>293</v>
      </c>
      <c r="I4860" s="12">
        <f>G4860-H4860</f>
        <v>293</v>
      </c>
      <c r="J4860" s="3" t="str">
        <f t="shared" si="348"/>
        <v>6520006</v>
      </c>
    </row>
    <row r="4861" spans="1:10" s="3" customFormat="1">
      <c r="B4861" s="3" t="s">
        <v>2149</v>
      </c>
      <c r="C4861" s="8">
        <v>2</v>
      </c>
      <c r="D4861" s="3" t="s">
        <v>2193</v>
      </c>
      <c r="E4861" s="11" t="s">
        <v>11</v>
      </c>
      <c r="F4861" s="10">
        <v>1.6479999999999999E-3</v>
      </c>
      <c r="G4861" s="12">
        <f>ROUND(G$3*F4861,0)</f>
        <v>474</v>
      </c>
      <c r="H4861" s="13">
        <f>ROUND(G4861/2,0)</f>
        <v>237</v>
      </c>
      <c r="I4861" s="12">
        <f>G4861-H4861</f>
        <v>237</v>
      </c>
      <c r="J4861" s="3" t="str">
        <f t="shared" si="348"/>
        <v>6520006</v>
      </c>
    </row>
    <row r="4862" spans="1:10" s="3" customFormat="1">
      <c r="B4862" s="3" t="s">
        <v>2149</v>
      </c>
      <c r="C4862" s="8">
        <v>2</v>
      </c>
      <c r="D4862" s="3" t="s">
        <v>2194</v>
      </c>
      <c r="E4862" s="11" t="s">
        <v>1443</v>
      </c>
      <c r="F4862" s="11"/>
      <c r="G4862" s="9"/>
      <c r="H4862" s="11"/>
      <c r="I4862" s="11"/>
      <c r="J4862" s="3" t="str">
        <f t="shared" si="348"/>
        <v>6520007</v>
      </c>
    </row>
    <row r="4863" spans="1:10" s="3" customFormat="1">
      <c r="B4863" s="3" t="s">
        <v>2149</v>
      </c>
      <c r="C4863" s="8">
        <v>2</v>
      </c>
      <c r="D4863" s="3" t="s">
        <v>2194</v>
      </c>
      <c r="E4863" s="11" t="s">
        <v>10</v>
      </c>
      <c r="F4863" s="10">
        <v>4.35E-4</v>
      </c>
      <c r="G4863" s="12">
        <f>ROUND(G$3*F4863,0)</f>
        <v>125</v>
      </c>
      <c r="H4863" s="13">
        <f>ROUND(G4863/2,0)</f>
        <v>63</v>
      </c>
      <c r="I4863" s="12">
        <f>G4863-H4863</f>
        <v>62</v>
      </c>
      <c r="J4863" s="3" t="str">
        <f t="shared" si="348"/>
        <v>6520007</v>
      </c>
    </row>
    <row r="4864" spans="1:10" s="3" customFormat="1">
      <c r="B4864" s="3" t="s">
        <v>2149</v>
      </c>
      <c r="C4864" s="8">
        <v>2</v>
      </c>
      <c r="D4864" s="3" t="s">
        <v>2194</v>
      </c>
      <c r="E4864" s="11" t="s">
        <v>11</v>
      </c>
      <c r="F4864" s="10">
        <v>2.2699999999999999E-4</v>
      </c>
      <c r="G4864" s="12">
        <f>ROUND(G$3*F4864,0)</f>
        <v>65</v>
      </c>
      <c r="H4864" s="13">
        <f>ROUND(G4864/2,0)</f>
        <v>33</v>
      </c>
      <c r="I4864" s="12">
        <f>G4864-H4864</f>
        <v>32</v>
      </c>
      <c r="J4864" s="3" t="str">
        <f t="shared" si="348"/>
        <v>6520007</v>
      </c>
    </row>
    <row r="4865" spans="1:10" s="3" customFormat="1">
      <c r="B4865" s="3" t="s">
        <v>2149</v>
      </c>
      <c r="C4865" s="8">
        <v>2</v>
      </c>
      <c r="D4865" s="3" t="s">
        <v>2195</v>
      </c>
      <c r="E4865" s="11" t="s">
        <v>1444</v>
      </c>
      <c r="F4865" s="11"/>
      <c r="G4865" s="9"/>
      <c r="H4865" s="11"/>
      <c r="I4865" s="11"/>
      <c r="J4865" s="3" t="str">
        <f t="shared" si="348"/>
        <v>6520008</v>
      </c>
    </row>
    <row r="4866" spans="1:10" s="3" customFormat="1">
      <c r="B4866" s="3" t="s">
        <v>2149</v>
      </c>
      <c r="C4866" s="8">
        <v>2</v>
      </c>
      <c r="D4866" s="3" t="s">
        <v>2195</v>
      </c>
      <c r="E4866" s="11" t="s">
        <v>10</v>
      </c>
      <c r="F4866" s="10">
        <v>1.2849999999999999E-3</v>
      </c>
      <c r="G4866" s="12">
        <f>ROUND(G$3*F4866,0)</f>
        <v>370</v>
      </c>
      <c r="H4866" s="13">
        <f>ROUND(G4866/2,0)</f>
        <v>185</v>
      </c>
      <c r="I4866" s="12">
        <f>G4866-H4866</f>
        <v>185</v>
      </c>
      <c r="J4866" s="3" t="str">
        <f t="shared" si="348"/>
        <v>6520008</v>
      </c>
    </row>
    <row r="4867" spans="1:10" s="3" customFormat="1">
      <c r="B4867" s="3" t="s">
        <v>2149</v>
      </c>
      <c r="C4867" s="8">
        <v>2</v>
      </c>
      <c r="D4867" s="3" t="s">
        <v>2195</v>
      </c>
      <c r="E4867" s="11" t="s">
        <v>11</v>
      </c>
      <c r="F4867" s="10">
        <v>6.4700000000000001E-4</v>
      </c>
      <c r="G4867" s="12">
        <f>ROUND(G$3*F4867,0)</f>
        <v>186</v>
      </c>
      <c r="H4867" s="13">
        <f>ROUND(G4867/2,0)</f>
        <v>93</v>
      </c>
      <c r="I4867" s="12">
        <f>G4867-H4867</f>
        <v>93</v>
      </c>
      <c r="J4867" s="3" t="str">
        <f t="shared" si="348"/>
        <v>6520008</v>
      </c>
    </row>
    <row r="4868" spans="1:10" s="3" customFormat="1">
      <c r="B4868" s="3" t="s">
        <v>2149</v>
      </c>
      <c r="C4868" s="8">
        <v>2</v>
      </c>
      <c r="D4868" s="3" t="s">
        <v>2196</v>
      </c>
      <c r="E4868" s="11" t="s">
        <v>1445</v>
      </c>
      <c r="F4868" s="11"/>
      <c r="G4868" s="9"/>
      <c r="H4868" s="11"/>
      <c r="I4868" s="11"/>
      <c r="J4868" s="3" t="str">
        <f t="shared" ref="J4868:J4931" si="351">B4868&amp;C4868&amp;D4868</f>
        <v>6520009</v>
      </c>
    </row>
    <row r="4869" spans="1:10" s="3" customFormat="1">
      <c r="B4869" s="3" t="s">
        <v>2149</v>
      </c>
      <c r="C4869" s="8">
        <v>2</v>
      </c>
      <c r="D4869" s="3" t="s">
        <v>2196</v>
      </c>
      <c r="E4869" s="11" t="s">
        <v>10</v>
      </c>
      <c r="F4869" s="10">
        <v>3.5049999999999999E-3</v>
      </c>
      <c r="G4869" s="12">
        <f>ROUND(G$3*F4869,0)</f>
        <v>1008</v>
      </c>
      <c r="H4869" s="13">
        <f>ROUND(G4869/2,0)</f>
        <v>504</v>
      </c>
      <c r="I4869" s="12">
        <f>G4869-H4869</f>
        <v>504</v>
      </c>
      <c r="J4869" s="3" t="str">
        <f t="shared" si="351"/>
        <v>6520009</v>
      </c>
    </row>
    <row r="4870" spans="1:10" s="3" customFormat="1">
      <c r="B4870" s="3" t="s">
        <v>2149</v>
      </c>
      <c r="C4870" s="8">
        <v>2</v>
      </c>
      <c r="D4870" s="3" t="s">
        <v>2196</v>
      </c>
      <c r="E4870" s="11" t="s">
        <v>11</v>
      </c>
      <c r="F4870" s="10">
        <v>2.3310000000000002E-3</v>
      </c>
      <c r="G4870" s="12">
        <f>ROUND(G$3*F4870,0)</f>
        <v>671</v>
      </c>
      <c r="H4870" s="13">
        <f>ROUND(G4870/2,0)</f>
        <v>336</v>
      </c>
      <c r="I4870" s="12">
        <f>G4870-H4870</f>
        <v>335</v>
      </c>
      <c r="J4870" s="3" t="str">
        <f t="shared" si="351"/>
        <v>6520009</v>
      </c>
    </row>
    <row r="4871" spans="1:10" s="3" customFormat="1">
      <c r="B4871" s="3" t="s">
        <v>2149</v>
      </c>
      <c r="C4871" s="8">
        <v>2</v>
      </c>
      <c r="D4871" s="3" t="s">
        <v>2197</v>
      </c>
      <c r="E4871" s="11" t="s">
        <v>625</v>
      </c>
      <c r="F4871" s="11"/>
      <c r="G4871" s="9"/>
      <c r="H4871" s="11"/>
      <c r="I4871" s="11"/>
      <c r="J4871" s="3" t="str">
        <f t="shared" si="351"/>
        <v>6520010</v>
      </c>
    </row>
    <row r="4872" spans="1:10" s="3" customFormat="1">
      <c r="B4872" s="3" t="s">
        <v>2149</v>
      </c>
      <c r="C4872" s="8">
        <v>2</v>
      </c>
      <c r="D4872" s="3" t="s">
        <v>2197</v>
      </c>
      <c r="E4872" s="11" t="s">
        <v>10</v>
      </c>
      <c r="F4872" s="10">
        <v>9.0700000000000004E-4</v>
      </c>
      <c r="G4872" s="12">
        <f t="shared" ref="G4872:G4879" si="352">ROUND(G$3*F4872,0)</f>
        <v>261</v>
      </c>
      <c r="H4872" s="13">
        <f t="shared" ref="H4872:H4879" si="353">ROUND(G4872/2,0)</f>
        <v>131</v>
      </c>
      <c r="I4872" s="12">
        <f t="shared" ref="I4872:I4879" si="354">G4872-H4872</f>
        <v>130</v>
      </c>
      <c r="J4872" s="3" t="str">
        <f t="shared" si="351"/>
        <v>6520010</v>
      </c>
    </row>
    <row r="4873" spans="1:10" s="3" customFormat="1">
      <c r="B4873" s="3" t="s">
        <v>2149</v>
      </c>
      <c r="C4873" s="8">
        <v>2</v>
      </c>
      <c r="D4873" s="3" t="s">
        <v>2197</v>
      </c>
      <c r="E4873" s="11" t="s">
        <v>11</v>
      </c>
      <c r="F4873" s="10">
        <v>7.1699999999999997E-4</v>
      </c>
      <c r="G4873" s="12">
        <f t="shared" si="352"/>
        <v>206</v>
      </c>
      <c r="H4873" s="13">
        <f t="shared" si="353"/>
        <v>103</v>
      </c>
      <c r="I4873" s="12">
        <f t="shared" si="354"/>
        <v>103</v>
      </c>
      <c r="J4873" s="3" t="str">
        <f t="shared" si="351"/>
        <v>6520010</v>
      </c>
    </row>
    <row r="4874" spans="1:10" s="3" customFormat="1">
      <c r="B4874" s="3" t="s">
        <v>2149</v>
      </c>
      <c r="C4874" s="8">
        <v>3</v>
      </c>
      <c r="D4874" s="3" t="s">
        <v>2939</v>
      </c>
      <c r="E4874" s="11" t="s">
        <v>1446</v>
      </c>
      <c r="F4874" s="10">
        <v>5.3200000000000003E-4</v>
      </c>
      <c r="G4874" s="12">
        <f t="shared" si="352"/>
        <v>153</v>
      </c>
      <c r="H4874" s="13">
        <f t="shared" si="353"/>
        <v>77</v>
      </c>
      <c r="I4874" s="12">
        <f t="shared" si="354"/>
        <v>76</v>
      </c>
      <c r="J4874" s="3" t="str">
        <f t="shared" si="351"/>
        <v>6530835</v>
      </c>
    </row>
    <row r="4875" spans="1:10" s="3" customFormat="1">
      <c r="A4875" s="3" t="s">
        <v>6269</v>
      </c>
      <c r="B4875" s="3" t="s">
        <v>2149</v>
      </c>
      <c r="C4875" s="8">
        <v>3</v>
      </c>
      <c r="D4875" s="3" t="s">
        <v>2940</v>
      </c>
      <c r="E4875" s="11" t="s">
        <v>1447</v>
      </c>
      <c r="F4875" s="10">
        <v>0</v>
      </c>
      <c r="G4875" s="12">
        <f t="shared" si="352"/>
        <v>0</v>
      </c>
      <c r="H4875" s="13">
        <f t="shared" si="353"/>
        <v>0</v>
      </c>
      <c r="I4875" s="12">
        <f t="shared" si="354"/>
        <v>0</v>
      </c>
      <c r="J4875" s="3" t="str">
        <f t="shared" si="351"/>
        <v>6530836</v>
      </c>
    </row>
    <row r="4876" spans="1:10" s="3" customFormat="1">
      <c r="B4876" s="3" t="s">
        <v>2149</v>
      </c>
      <c r="C4876" s="8">
        <v>3</v>
      </c>
      <c r="D4876" s="3" t="s">
        <v>2938</v>
      </c>
      <c r="E4876" s="11" t="s">
        <v>1448</v>
      </c>
      <c r="F4876" s="10">
        <v>4.4551E-2</v>
      </c>
      <c r="G4876" s="12">
        <f t="shared" si="352"/>
        <v>12818</v>
      </c>
      <c r="H4876" s="13">
        <f t="shared" si="353"/>
        <v>6409</v>
      </c>
      <c r="I4876" s="12">
        <f t="shared" si="354"/>
        <v>6409</v>
      </c>
      <c r="J4876" s="3" t="str">
        <f t="shared" si="351"/>
        <v>6530419</v>
      </c>
    </row>
    <row r="4877" spans="1:10" s="3" customFormat="1">
      <c r="B4877" s="3" t="s">
        <v>2149</v>
      </c>
      <c r="C4877" s="8">
        <v>3</v>
      </c>
      <c r="D4877" s="3" t="s">
        <v>2941</v>
      </c>
      <c r="E4877" s="11" t="s">
        <v>1449</v>
      </c>
      <c r="F4877" s="10">
        <v>1.73E-3</v>
      </c>
      <c r="G4877" s="12">
        <f t="shared" si="352"/>
        <v>498</v>
      </c>
      <c r="H4877" s="13">
        <f t="shared" si="353"/>
        <v>249</v>
      </c>
      <c r="I4877" s="12">
        <f t="shared" si="354"/>
        <v>249</v>
      </c>
      <c r="J4877" s="3" t="str">
        <f t="shared" si="351"/>
        <v>6530837</v>
      </c>
    </row>
    <row r="4878" spans="1:10" s="3" customFormat="1">
      <c r="B4878" s="3" t="s">
        <v>2149</v>
      </c>
      <c r="C4878" s="8">
        <v>3</v>
      </c>
      <c r="D4878" s="3" t="s">
        <v>2942</v>
      </c>
      <c r="E4878" s="11" t="s">
        <v>1450</v>
      </c>
      <c r="F4878" s="10">
        <v>1.8669000000000002E-2</v>
      </c>
      <c r="G4878" s="12">
        <f t="shared" si="352"/>
        <v>5372</v>
      </c>
      <c r="H4878" s="13">
        <f t="shared" si="353"/>
        <v>2686</v>
      </c>
      <c r="I4878" s="12">
        <f t="shared" si="354"/>
        <v>2686</v>
      </c>
      <c r="J4878" s="3" t="str">
        <f t="shared" si="351"/>
        <v>6530838</v>
      </c>
    </row>
    <row r="4879" spans="1:10" s="3" customFormat="1">
      <c r="B4879" s="3" t="s">
        <v>2149</v>
      </c>
      <c r="C4879" s="8">
        <v>4</v>
      </c>
      <c r="D4879" s="3" t="s">
        <v>2943</v>
      </c>
      <c r="E4879" s="11" t="s">
        <v>1451</v>
      </c>
      <c r="F4879" s="10">
        <v>0.44004100000000002</v>
      </c>
      <c r="G4879" s="9">
        <f t="shared" si="352"/>
        <v>126610</v>
      </c>
      <c r="H4879" s="11">
        <f t="shared" si="353"/>
        <v>63305</v>
      </c>
      <c r="I4879" s="9">
        <f t="shared" si="354"/>
        <v>63305</v>
      </c>
      <c r="J4879" s="3" t="str">
        <f t="shared" si="351"/>
        <v>6546590</v>
      </c>
    </row>
    <row r="4880" spans="1:10" s="3" customFormat="1">
      <c r="B4880" s="3" t="s">
        <v>2149</v>
      </c>
      <c r="C4880" s="8">
        <v>4</v>
      </c>
      <c r="D4880" s="3" t="s">
        <v>2943</v>
      </c>
      <c r="E4880" s="11" t="s">
        <v>28</v>
      </c>
      <c r="F4880" s="11"/>
      <c r="G4880" s="14">
        <v>0.57789000000000001</v>
      </c>
      <c r="H4880" s="11"/>
      <c r="I4880" s="11"/>
      <c r="J4880" s="3" t="str">
        <f t="shared" si="351"/>
        <v>6546590</v>
      </c>
    </row>
    <row r="4881" spans="2:10" s="3" customFormat="1">
      <c r="B4881" s="3" t="s">
        <v>2149</v>
      </c>
      <c r="C4881" s="8">
        <v>4</v>
      </c>
      <c r="D4881" s="3" t="s">
        <v>2943</v>
      </c>
      <c r="E4881" s="11" t="s">
        <v>29</v>
      </c>
      <c r="F4881" s="11"/>
      <c r="G4881" s="15">
        <f>ROUND(G4879*G4880,0)</f>
        <v>73167</v>
      </c>
      <c r="H4881" s="16">
        <f>ROUND(G4881/2,0)</f>
        <v>36584</v>
      </c>
      <c r="I4881" s="15">
        <f>G4881-H4881</f>
        <v>36583</v>
      </c>
      <c r="J4881" s="3" t="str">
        <f t="shared" si="351"/>
        <v>6546590</v>
      </c>
    </row>
    <row r="4882" spans="2:10" s="3" customFormat="1">
      <c r="B4882" s="3" t="s">
        <v>2149</v>
      </c>
      <c r="C4882" s="8">
        <v>4</v>
      </c>
      <c r="D4882" s="3" t="s">
        <v>2943</v>
      </c>
      <c r="E4882" s="11" t="s">
        <v>30</v>
      </c>
      <c r="F4882" s="11"/>
      <c r="G4882" s="12">
        <f>+G4879-G4881</f>
        <v>53443</v>
      </c>
      <c r="H4882" s="13">
        <f>ROUND(G4882/2,0)</f>
        <v>26722</v>
      </c>
      <c r="I4882" s="12">
        <f>G4882-H4882</f>
        <v>26721</v>
      </c>
      <c r="J4882" s="3" t="str">
        <f t="shared" si="351"/>
        <v>6546590</v>
      </c>
    </row>
    <row r="4883" spans="2:10" s="3" customFormat="1">
      <c r="B4883" s="3" t="s">
        <v>2149</v>
      </c>
      <c r="C4883" s="8">
        <v>4</v>
      </c>
      <c r="D4883" s="3" t="s">
        <v>2944</v>
      </c>
      <c r="E4883" s="11" t="s">
        <v>1452</v>
      </c>
      <c r="F4883" s="10">
        <v>0.20847199999999999</v>
      </c>
      <c r="G4883" s="9">
        <f>ROUND(G$3*F4883,0)</f>
        <v>59982</v>
      </c>
      <c r="H4883" s="11">
        <f>ROUND(G4883/2,0)</f>
        <v>29991</v>
      </c>
      <c r="I4883" s="9">
        <f>G4883-H4883</f>
        <v>29991</v>
      </c>
      <c r="J4883" s="3" t="str">
        <f t="shared" si="351"/>
        <v>6546600</v>
      </c>
    </row>
    <row r="4884" spans="2:10" s="3" customFormat="1">
      <c r="B4884" s="3" t="s">
        <v>2149</v>
      </c>
      <c r="C4884" s="8">
        <v>4</v>
      </c>
      <c r="D4884" s="3" t="s">
        <v>2944</v>
      </c>
      <c r="E4884" s="11" t="s">
        <v>28</v>
      </c>
      <c r="F4884" s="11"/>
      <c r="G4884" s="14">
        <v>0.471221</v>
      </c>
      <c r="H4884" s="11"/>
      <c r="I4884" s="11"/>
      <c r="J4884" s="3" t="str">
        <f t="shared" si="351"/>
        <v>6546600</v>
      </c>
    </row>
    <row r="4885" spans="2:10" s="3" customFormat="1">
      <c r="B4885" s="3" t="s">
        <v>2149</v>
      </c>
      <c r="C4885" s="8">
        <v>4</v>
      </c>
      <c r="D4885" s="3" t="s">
        <v>2944</v>
      </c>
      <c r="E4885" s="11" t="s">
        <v>29</v>
      </c>
      <c r="F4885" s="11"/>
      <c r="G4885" s="15">
        <f>ROUND(G4883*G4884,0)</f>
        <v>28265</v>
      </c>
      <c r="H4885" s="16">
        <f>ROUND(G4885/2,0)</f>
        <v>14133</v>
      </c>
      <c r="I4885" s="15">
        <f>G4885-H4885</f>
        <v>14132</v>
      </c>
      <c r="J4885" s="3" t="str">
        <f t="shared" si="351"/>
        <v>6546600</v>
      </c>
    </row>
    <row r="4886" spans="2:10" s="3" customFormat="1">
      <c r="B4886" s="3" t="s">
        <v>2149</v>
      </c>
      <c r="C4886" s="8">
        <v>4</v>
      </c>
      <c r="D4886" s="3" t="s">
        <v>2944</v>
      </c>
      <c r="E4886" s="11" t="s">
        <v>30</v>
      </c>
      <c r="F4886" s="11"/>
      <c r="G4886" s="12">
        <f>+G4883-G4885</f>
        <v>31717</v>
      </c>
      <c r="H4886" s="13">
        <f>ROUND(G4886/2,0)</f>
        <v>15859</v>
      </c>
      <c r="I4886" s="12">
        <f>G4886-H4886</f>
        <v>15858</v>
      </c>
      <c r="J4886" s="3" t="str">
        <f t="shared" si="351"/>
        <v>6546600</v>
      </c>
    </row>
    <row r="4887" spans="2:10" s="128" customFormat="1">
      <c r="B4887" s="128" t="s">
        <v>2149</v>
      </c>
      <c r="C4887" s="129">
        <v>4</v>
      </c>
      <c r="D4887" s="3" t="s">
        <v>6271</v>
      </c>
      <c r="E4887" s="131" t="s">
        <v>1453</v>
      </c>
      <c r="F4887" s="133">
        <v>2.3511000000000001E-2</v>
      </c>
      <c r="G4887" s="132">
        <f>ROUND(G$3*F4887,0)</f>
        <v>6765</v>
      </c>
      <c r="H4887" s="131">
        <f>ROUND(G4887/2,0)</f>
        <v>3383</v>
      </c>
      <c r="I4887" s="132">
        <f>G4887-H4887</f>
        <v>3382</v>
      </c>
      <c r="J4887" s="128" t="str">
        <f t="shared" si="351"/>
        <v>654xxxx</v>
      </c>
    </row>
    <row r="4888" spans="2:10" s="3" customFormat="1">
      <c r="B4888" s="3" t="s">
        <v>2149</v>
      </c>
      <c r="C4888" s="8">
        <v>4</v>
      </c>
      <c r="D4888" s="3" t="s">
        <v>6271</v>
      </c>
      <c r="E4888" s="11" t="s">
        <v>28</v>
      </c>
      <c r="F4888" s="11"/>
      <c r="G4888" s="14">
        <v>0.60457099999999997</v>
      </c>
      <c r="H4888" s="11"/>
      <c r="I4888" s="11"/>
      <c r="J4888" s="3" t="str">
        <f t="shared" si="351"/>
        <v>654xxxx</v>
      </c>
    </row>
    <row r="4889" spans="2:10" s="3" customFormat="1">
      <c r="B4889" s="3" t="s">
        <v>2149</v>
      </c>
      <c r="C4889" s="8">
        <v>4</v>
      </c>
      <c r="D4889" s="3" t="s">
        <v>6271</v>
      </c>
      <c r="E4889" s="11" t="s">
        <v>29</v>
      </c>
      <c r="F4889" s="11"/>
      <c r="G4889" s="15">
        <f>ROUND(G4887*G4888,0)</f>
        <v>4090</v>
      </c>
      <c r="H4889" s="16">
        <f t="shared" ref="H4889:H4896" si="355">ROUND(G4889/2,0)</f>
        <v>2045</v>
      </c>
      <c r="I4889" s="15">
        <f t="shared" ref="I4889:I4896" si="356">G4889-H4889</f>
        <v>2045</v>
      </c>
      <c r="J4889" s="3" t="str">
        <f t="shared" si="351"/>
        <v>654xxxx</v>
      </c>
    </row>
    <row r="4890" spans="2:10" s="3" customFormat="1">
      <c r="B4890" s="3" t="s">
        <v>2149</v>
      </c>
      <c r="C4890" s="8">
        <v>4</v>
      </c>
      <c r="D4890" s="3" t="s">
        <v>6271</v>
      </c>
      <c r="E4890" s="11" t="s">
        <v>30</v>
      </c>
      <c r="F4890" s="11"/>
      <c r="G4890" s="12">
        <f>+G4887-G4889</f>
        <v>2675</v>
      </c>
      <c r="H4890" s="13">
        <f t="shared" si="355"/>
        <v>1338</v>
      </c>
      <c r="I4890" s="12">
        <f t="shared" si="356"/>
        <v>1337</v>
      </c>
      <c r="J4890" s="3" t="str">
        <f t="shared" si="351"/>
        <v>654xxxx</v>
      </c>
    </row>
    <row r="4891" spans="2:10" s="3" customFormat="1">
      <c r="B4891" s="3" t="s">
        <v>2149</v>
      </c>
      <c r="C4891" s="8">
        <v>5</v>
      </c>
      <c r="D4891" s="3" t="s">
        <v>5459</v>
      </c>
      <c r="E4891" s="11" t="s">
        <v>1454</v>
      </c>
      <c r="F4891" s="10">
        <v>1.7475000000000001E-2</v>
      </c>
      <c r="G4891" s="120">
        <f>ROUND(G$3*F4891,0)</f>
        <v>5028</v>
      </c>
      <c r="H4891" s="120">
        <f t="shared" si="355"/>
        <v>2514</v>
      </c>
      <c r="I4891" s="120">
        <f t="shared" si="356"/>
        <v>2514</v>
      </c>
      <c r="J4891" s="3" t="str">
        <f t="shared" si="351"/>
        <v>6550269</v>
      </c>
    </row>
    <row r="4892" spans="2:10" s="3" customFormat="1">
      <c r="B4892" s="3" t="s">
        <v>2149</v>
      </c>
      <c r="C4892" s="8">
        <v>5</v>
      </c>
      <c r="D4892" s="3" t="s">
        <v>5455</v>
      </c>
      <c r="E4892" s="11" t="s">
        <v>1455</v>
      </c>
      <c r="F4892" s="10">
        <v>7.4100000000000001E-4</v>
      </c>
      <c r="G4892" s="120">
        <f>ROUND(G$3*F4892,0)</f>
        <v>213</v>
      </c>
      <c r="H4892" s="120">
        <f t="shared" si="355"/>
        <v>107</v>
      </c>
      <c r="I4892" s="120">
        <f t="shared" si="356"/>
        <v>106</v>
      </c>
      <c r="J4892" s="3" t="str">
        <f t="shared" si="351"/>
        <v>6550187</v>
      </c>
    </row>
    <row r="4893" spans="2:10" s="3" customFormat="1">
      <c r="B4893" s="3" t="s">
        <v>2149</v>
      </c>
      <c r="C4893" s="8">
        <v>5</v>
      </c>
      <c r="D4893" s="3" t="s">
        <v>5457</v>
      </c>
      <c r="E4893" s="11" t="s">
        <v>1456</v>
      </c>
      <c r="F4893" s="10">
        <v>3.0959999999999998E-3</v>
      </c>
      <c r="G4893" s="120">
        <f>ROUND(G$3*F4893,0)</f>
        <v>891</v>
      </c>
      <c r="H4893" s="120">
        <f t="shared" si="355"/>
        <v>446</v>
      </c>
      <c r="I4893" s="120">
        <f t="shared" si="356"/>
        <v>445</v>
      </c>
      <c r="J4893" s="3" t="str">
        <f t="shared" si="351"/>
        <v>6550188</v>
      </c>
    </row>
    <row r="4894" spans="2:10" s="3" customFormat="1">
      <c r="B4894" s="3" t="s">
        <v>2149</v>
      </c>
      <c r="C4894" s="8">
        <v>6</v>
      </c>
      <c r="D4894" s="3" t="s">
        <v>5461</v>
      </c>
      <c r="E4894" s="11" t="s">
        <v>1457</v>
      </c>
      <c r="F4894" s="10">
        <v>2.6879999999999999E-3</v>
      </c>
      <c r="G4894" s="120">
        <f>ROUND(G$3*F4894,0)</f>
        <v>773</v>
      </c>
      <c r="H4894" s="120">
        <f t="shared" si="355"/>
        <v>387</v>
      </c>
      <c r="I4894" s="120">
        <f t="shared" si="356"/>
        <v>386</v>
      </c>
      <c r="J4894" s="3" t="str">
        <f t="shared" si="351"/>
        <v>6560920</v>
      </c>
    </row>
    <row r="4895" spans="2:10" s="3" customFormat="1">
      <c r="B4895" s="3" t="s">
        <v>2149</v>
      </c>
      <c r="C4895" s="8">
        <v>6</v>
      </c>
      <c r="D4895" s="3" t="s">
        <v>5464</v>
      </c>
      <c r="E4895" s="11" t="s">
        <v>1458</v>
      </c>
      <c r="F4895" s="10">
        <v>1.1932E-2</v>
      </c>
      <c r="G4895" s="120">
        <f>ROUND(G$3*F4895,0)</f>
        <v>3433</v>
      </c>
      <c r="H4895" s="120">
        <f t="shared" si="355"/>
        <v>1717</v>
      </c>
      <c r="I4895" s="120">
        <f t="shared" si="356"/>
        <v>1716</v>
      </c>
      <c r="J4895" s="3" t="str">
        <f t="shared" si="351"/>
        <v>6561067</v>
      </c>
    </row>
    <row r="4896" spans="2:10" s="3" customFormat="1">
      <c r="B4896" s="3" t="s">
        <v>2149</v>
      </c>
      <c r="C4896" s="8">
        <v>6</v>
      </c>
      <c r="D4896" s="3" t="s">
        <v>2945</v>
      </c>
      <c r="E4896" s="11" t="s">
        <v>1459</v>
      </c>
      <c r="F4896" s="10">
        <v>2.3259999999999392E-3</v>
      </c>
      <c r="G4896" s="120">
        <f>+G4838-SUM(G4839:G4840)-SUM(G4845:G4879)-G4883-G4887-SUM(G4891:G4895)</f>
        <v>14333</v>
      </c>
      <c r="H4896" s="120">
        <f t="shared" si="355"/>
        <v>7167</v>
      </c>
      <c r="I4896" s="120">
        <f t="shared" si="356"/>
        <v>7166</v>
      </c>
      <c r="J4896" s="3" t="str">
        <f t="shared" si="351"/>
        <v>6560957</v>
      </c>
    </row>
    <row r="4897" spans="2:10" s="3" customFormat="1">
      <c r="B4897" s="3" t="s">
        <v>2149</v>
      </c>
      <c r="C4897" s="8">
        <v>0</v>
      </c>
      <c r="D4897" s="125" t="s">
        <v>2187</v>
      </c>
      <c r="E4897" s="28" t="s">
        <v>288</v>
      </c>
      <c r="F4897" s="10">
        <v>1</v>
      </c>
      <c r="G4897" s="12">
        <f>+G4839+SUM(G4842:G4878)+SUM(G4881:G4882)+SUM(G4885:G4886)+SUM(G4889:G4896)</f>
        <v>301385</v>
      </c>
      <c r="H4897" s="12">
        <f>+H4839+SUM(H4842:H4878)+SUM(H4881:H4882)+SUM(H4885:H4886)+SUM(H4889:H4896)</f>
        <v>150702</v>
      </c>
      <c r="I4897" s="12">
        <f>+I4839+SUM(I4842:I4878)+SUM(I4881:I4882)+SUM(I4885:I4886)+SUM(I4889:I4896)</f>
        <v>150683</v>
      </c>
      <c r="J4897" s="3" t="str">
        <f t="shared" si="351"/>
        <v>6500000</v>
      </c>
    </row>
    <row r="4898" spans="2:10" s="3" customFormat="1">
      <c r="B4898" s="3" t="s">
        <v>2149</v>
      </c>
      <c r="C4898" s="8">
        <v>0</v>
      </c>
      <c r="D4898" s="3" t="s">
        <v>2187</v>
      </c>
      <c r="E4898" s="18" t="s">
        <v>38</v>
      </c>
      <c r="G4898" s="19">
        <f>+G4839</f>
        <v>382</v>
      </c>
      <c r="H4898" s="19">
        <f>+H4839</f>
        <v>191</v>
      </c>
      <c r="I4898" s="19">
        <f>+I4839</f>
        <v>191</v>
      </c>
      <c r="J4898" s="3" t="str">
        <f t="shared" si="351"/>
        <v>6500000</v>
      </c>
    </row>
    <row r="4899" spans="2:10" s="3" customFormat="1">
      <c r="B4899" s="3" t="s">
        <v>2149</v>
      </c>
      <c r="C4899" s="8">
        <v>0</v>
      </c>
      <c r="D4899" s="3" t="s">
        <v>2187</v>
      </c>
      <c r="E4899" s="2" t="s">
        <v>39</v>
      </c>
      <c r="G4899" s="19">
        <f>+G4842</f>
        <v>4082</v>
      </c>
      <c r="H4899" s="19">
        <f>+H4842</f>
        <v>2041</v>
      </c>
      <c r="I4899" s="19">
        <f>+I4842</f>
        <v>2041</v>
      </c>
      <c r="J4899" s="3" t="str">
        <f t="shared" si="351"/>
        <v>6500000</v>
      </c>
    </row>
    <row r="4900" spans="2:10" s="3" customFormat="1">
      <c r="B4900" s="3" t="s">
        <v>2149</v>
      </c>
      <c r="C4900" s="8">
        <v>0</v>
      </c>
      <c r="D4900" s="3" t="s">
        <v>2187</v>
      </c>
      <c r="E4900" s="2" t="s">
        <v>40</v>
      </c>
      <c r="G4900" s="19">
        <f>+G4881+G4885+G4889</f>
        <v>105522</v>
      </c>
      <c r="H4900" s="19">
        <f>+H4881+H4885+H4889</f>
        <v>52762</v>
      </c>
      <c r="I4900" s="19">
        <f>+I4881+I4885+I4889</f>
        <v>52760</v>
      </c>
      <c r="J4900" s="3" t="str">
        <f t="shared" si="351"/>
        <v>6500000</v>
      </c>
    </row>
    <row r="4901" spans="2:10" s="3" customFormat="1">
      <c r="B4901" s="3" t="s">
        <v>2149</v>
      </c>
      <c r="C4901" s="8">
        <v>0</v>
      </c>
      <c r="D4901" s="125" t="s">
        <v>2187</v>
      </c>
      <c r="E4901" s="18" t="s">
        <v>41</v>
      </c>
      <c r="G4901" s="19">
        <f>+G4897-G4898-G4899-G4900</f>
        <v>191399</v>
      </c>
      <c r="H4901" s="19">
        <f>+H4897-H4898-H4899-H4900</f>
        <v>95708</v>
      </c>
      <c r="I4901" s="19">
        <f>+I4897-I4898-I4899-I4900</f>
        <v>95691</v>
      </c>
      <c r="J4901" s="3" t="str">
        <f t="shared" si="351"/>
        <v>6500000</v>
      </c>
    </row>
    <row r="4902" spans="2:10" ht="15.75">
      <c r="B4902" s="3" t="s">
        <v>2186</v>
      </c>
      <c r="D4902" t="s">
        <v>2186</v>
      </c>
      <c r="E4902">
        <v>0</v>
      </c>
      <c r="G4902"/>
      <c r="H4902"/>
      <c r="I4902"/>
      <c r="J4902" s="3" t="str">
        <f t="shared" si="351"/>
        <v/>
      </c>
    </row>
    <row r="4903" spans="2:10" s="3" customFormat="1">
      <c r="C4903" s="1"/>
      <c r="D4903" s="3" t="s">
        <v>2186</v>
      </c>
      <c r="E4903" s="2" t="s">
        <v>1460</v>
      </c>
      <c r="J4903" s="3" t="str">
        <f t="shared" si="351"/>
        <v/>
      </c>
    </row>
    <row r="4904" spans="2:10" s="3" customFormat="1" ht="45">
      <c r="B4904" s="3" t="s">
        <v>2186</v>
      </c>
      <c r="C4904" s="1"/>
      <c r="D4904" s="3" t="s">
        <v>2186</v>
      </c>
      <c r="E4904" s="1">
        <v>0</v>
      </c>
      <c r="F4904" s="6" t="s">
        <v>1</v>
      </c>
      <c r="G4904" s="60">
        <f>'Allocation Worksheet'!H4904</f>
        <v>0</v>
      </c>
      <c r="H4904" s="60">
        <f>'Allocation Worksheet'!H4905</f>
        <v>0</v>
      </c>
      <c r="I4904" s="60">
        <f>'Allocation Worksheet'!H4906</f>
        <v>0</v>
      </c>
      <c r="J4904" s="3" t="str">
        <f t="shared" si="351"/>
        <v/>
      </c>
    </row>
    <row r="4905" spans="2:10" s="3" customFormat="1">
      <c r="C4905" s="7" t="s">
        <v>2087</v>
      </c>
      <c r="D4905" s="3" t="s">
        <v>2186</v>
      </c>
      <c r="E4905" s="7" t="s">
        <v>3</v>
      </c>
      <c r="F4905" s="10"/>
      <c r="G4905" s="9">
        <f>'Allocation Worksheet'!$D$69</f>
        <v>235770</v>
      </c>
      <c r="H4905" s="11"/>
      <c r="I4905" s="11"/>
      <c r="J4905" s="3" t="str">
        <f t="shared" si="351"/>
        <v>UT</v>
      </c>
    </row>
    <row r="4906" spans="2:10" s="3" customFormat="1">
      <c r="B4906" s="3" t="s">
        <v>2150</v>
      </c>
      <c r="C4906" s="8">
        <v>0</v>
      </c>
      <c r="D4906" s="3" t="s">
        <v>2187</v>
      </c>
      <c r="E4906" s="11" t="s">
        <v>4</v>
      </c>
      <c r="F4906" s="10">
        <v>1.2019999999999999E-3</v>
      </c>
      <c r="G4906" s="12">
        <f>ROUND(G$3*F4906,0)</f>
        <v>346</v>
      </c>
      <c r="H4906" s="13">
        <f>ROUND(G4906/2,0)</f>
        <v>173</v>
      </c>
      <c r="I4906" s="12">
        <f>G4906-H4906</f>
        <v>173</v>
      </c>
      <c r="J4906" s="3" t="str">
        <f t="shared" si="351"/>
        <v>6600000</v>
      </c>
    </row>
    <row r="4907" spans="2:10" s="3" customFormat="1">
      <c r="B4907" s="3" t="s">
        <v>2150</v>
      </c>
      <c r="C4907" s="8">
        <v>1</v>
      </c>
      <c r="D4907" s="3" t="s">
        <v>2187</v>
      </c>
      <c r="E4907" s="11" t="s">
        <v>1461</v>
      </c>
      <c r="F4907" s="10">
        <v>0.30420799999999998</v>
      </c>
      <c r="G4907" s="9">
        <f>ROUND(G$3*F4907,0)</f>
        <v>87528</v>
      </c>
      <c r="H4907" s="11">
        <f>ROUND(G4907/2,0)</f>
        <v>43764</v>
      </c>
      <c r="I4907" s="9">
        <f>G4907-H4907</f>
        <v>43764</v>
      </c>
      <c r="J4907" s="3" t="str">
        <f t="shared" si="351"/>
        <v>6610000</v>
      </c>
    </row>
    <row r="4908" spans="2:10" s="3" customFormat="1">
      <c r="B4908" s="3" t="s">
        <v>2150</v>
      </c>
      <c r="C4908" s="8">
        <v>1</v>
      </c>
      <c r="D4908" s="3" t="s">
        <v>2187</v>
      </c>
      <c r="E4908" s="11" t="s">
        <v>6</v>
      </c>
      <c r="F4908" s="11"/>
      <c r="G4908" s="14">
        <v>0.25436599999999998</v>
      </c>
      <c r="H4908" s="11"/>
      <c r="I4908" s="11"/>
      <c r="J4908" s="3" t="str">
        <f t="shared" si="351"/>
        <v>6610000</v>
      </c>
    </row>
    <row r="4909" spans="2:10" s="3" customFormat="1">
      <c r="B4909" s="3" t="s">
        <v>2150</v>
      </c>
      <c r="C4909" s="8">
        <v>1</v>
      </c>
      <c r="D4909" s="3" t="s">
        <v>2187</v>
      </c>
      <c r="E4909" s="11" t="s">
        <v>7</v>
      </c>
      <c r="F4909" s="11"/>
      <c r="G4909" s="15">
        <f>ROUND(G4907*G4908,0)</f>
        <v>22264</v>
      </c>
      <c r="H4909" s="16">
        <f>ROUND(G4909/2,0)</f>
        <v>11132</v>
      </c>
      <c r="I4909" s="15">
        <f>G4909-H4909</f>
        <v>11132</v>
      </c>
      <c r="J4909" s="3" t="str">
        <f t="shared" si="351"/>
        <v>6610000</v>
      </c>
    </row>
    <row r="4910" spans="2:10" s="3" customFormat="1">
      <c r="B4910" s="3" t="s">
        <v>2150</v>
      </c>
      <c r="C4910" s="8">
        <v>1</v>
      </c>
      <c r="D4910" s="3" t="s">
        <v>2187</v>
      </c>
      <c r="E4910" s="11" t="s">
        <v>8</v>
      </c>
      <c r="F4910" s="11"/>
      <c r="G4910" s="12">
        <f>+G4907-G4909</f>
        <v>65264</v>
      </c>
      <c r="H4910" s="13">
        <f>ROUND(G4910/2,0)</f>
        <v>32632</v>
      </c>
      <c r="I4910" s="12">
        <f>G4910-H4910</f>
        <v>32632</v>
      </c>
      <c r="J4910" s="3" t="str">
        <f t="shared" si="351"/>
        <v>6610000</v>
      </c>
    </row>
    <row r="4911" spans="2:10" s="3" customFormat="1">
      <c r="B4911" s="3" t="s">
        <v>2150</v>
      </c>
      <c r="C4911" s="8">
        <v>2</v>
      </c>
      <c r="D4911" s="3" t="s">
        <v>2188</v>
      </c>
      <c r="E4911" s="11" t="s">
        <v>1299</v>
      </c>
      <c r="F4911" s="11"/>
      <c r="G4911" s="9"/>
      <c r="H4911" s="11"/>
      <c r="I4911" s="11"/>
      <c r="J4911" s="3" t="str">
        <f t="shared" si="351"/>
        <v>6620001</v>
      </c>
    </row>
    <row r="4912" spans="2:10" s="3" customFormat="1">
      <c r="B4912" s="3" t="s">
        <v>2150</v>
      </c>
      <c r="C4912" s="8">
        <v>2</v>
      </c>
      <c r="D4912" s="3" t="s">
        <v>2188</v>
      </c>
      <c r="E4912" s="11" t="s">
        <v>10</v>
      </c>
      <c r="F4912" s="10">
        <v>4.95E-4</v>
      </c>
      <c r="G4912" s="12">
        <f>ROUND(G$3*F4912,0)</f>
        <v>142</v>
      </c>
      <c r="H4912" s="13">
        <f>ROUND(G4912/2,0)</f>
        <v>71</v>
      </c>
      <c r="I4912" s="12">
        <f>G4912-H4912</f>
        <v>71</v>
      </c>
      <c r="J4912" s="3" t="str">
        <f t="shared" si="351"/>
        <v>6620001</v>
      </c>
    </row>
    <row r="4913" spans="2:10" s="3" customFormat="1">
      <c r="B4913" s="3" t="s">
        <v>2150</v>
      </c>
      <c r="C4913" s="8">
        <v>2</v>
      </c>
      <c r="D4913" s="3" t="s">
        <v>2188</v>
      </c>
      <c r="E4913" s="11" t="s">
        <v>11</v>
      </c>
      <c r="F4913" s="10">
        <v>2.2000000000000001E-4</v>
      </c>
      <c r="G4913" s="12">
        <f>ROUND(G$3*F4913,0)</f>
        <v>63</v>
      </c>
      <c r="H4913" s="13">
        <f>ROUND(G4913/2,0)</f>
        <v>32</v>
      </c>
      <c r="I4913" s="12">
        <f>G4913-H4913</f>
        <v>31</v>
      </c>
      <c r="J4913" s="3" t="str">
        <f t="shared" si="351"/>
        <v>6620001</v>
      </c>
    </row>
    <row r="4914" spans="2:10" s="3" customFormat="1">
      <c r="B4914" s="3" t="s">
        <v>2150</v>
      </c>
      <c r="C4914" s="8">
        <v>2</v>
      </c>
      <c r="D4914" s="3" t="s">
        <v>2189</v>
      </c>
      <c r="E4914" s="11" t="s">
        <v>249</v>
      </c>
      <c r="F4914" s="11"/>
      <c r="G4914" s="9"/>
      <c r="H4914" s="11"/>
      <c r="I4914" s="11"/>
      <c r="J4914" s="3" t="str">
        <f t="shared" si="351"/>
        <v>6620002</v>
      </c>
    </row>
    <row r="4915" spans="2:10" s="3" customFormat="1">
      <c r="B4915" s="3" t="s">
        <v>2150</v>
      </c>
      <c r="C4915" s="8">
        <v>2</v>
      </c>
      <c r="D4915" s="3" t="s">
        <v>2189</v>
      </c>
      <c r="E4915" s="11" t="s">
        <v>10</v>
      </c>
      <c r="F4915" s="10">
        <v>8.1899999999999996E-4</v>
      </c>
      <c r="G4915" s="12">
        <f>ROUND(G$3*F4915,0)</f>
        <v>236</v>
      </c>
      <c r="H4915" s="13">
        <f>ROUND(G4915/2,0)</f>
        <v>118</v>
      </c>
      <c r="I4915" s="12">
        <f>G4915-H4915</f>
        <v>118</v>
      </c>
      <c r="J4915" s="3" t="str">
        <f t="shared" si="351"/>
        <v>6620002</v>
      </c>
    </row>
    <row r="4916" spans="2:10" s="3" customFormat="1">
      <c r="B4916" s="3" t="s">
        <v>2150</v>
      </c>
      <c r="C4916" s="8">
        <v>2</v>
      </c>
      <c r="D4916" s="3" t="s">
        <v>2189</v>
      </c>
      <c r="E4916" s="11" t="s">
        <v>11</v>
      </c>
      <c r="F4916" s="10">
        <v>5.6400000000000005E-4</v>
      </c>
      <c r="G4916" s="12">
        <f>ROUND(G$3*F4916,0)</f>
        <v>162</v>
      </c>
      <c r="H4916" s="13">
        <f>ROUND(G4916/2,0)</f>
        <v>81</v>
      </c>
      <c r="I4916" s="12">
        <f>G4916-H4916</f>
        <v>81</v>
      </c>
      <c r="J4916" s="3" t="str">
        <f t="shared" si="351"/>
        <v>6620002</v>
      </c>
    </row>
    <row r="4917" spans="2:10" s="3" customFormat="1">
      <c r="B4917" s="3" t="s">
        <v>2150</v>
      </c>
      <c r="C4917" s="8">
        <v>2</v>
      </c>
      <c r="D4917" s="3" t="s">
        <v>2190</v>
      </c>
      <c r="E4917" s="11" t="s">
        <v>372</v>
      </c>
      <c r="F4917" s="11"/>
      <c r="G4917" s="9"/>
      <c r="H4917" s="11"/>
      <c r="I4917" s="11"/>
      <c r="J4917" s="3" t="str">
        <f t="shared" si="351"/>
        <v>6620003</v>
      </c>
    </row>
    <row r="4918" spans="2:10" s="3" customFormat="1">
      <c r="B4918" s="3" t="s">
        <v>2150</v>
      </c>
      <c r="C4918" s="8">
        <v>2</v>
      </c>
      <c r="D4918" s="3" t="s">
        <v>2190</v>
      </c>
      <c r="E4918" s="11" t="s">
        <v>10</v>
      </c>
      <c r="F4918" s="10">
        <v>5.7600000000000001E-4</v>
      </c>
      <c r="G4918" s="12">
        <f>ROUND(G$3*F4918,0)</f>
        <v>166</v>
      </c>
      <c r="H4918" s="13">
        <f>ROUND(G4918/2,0)</f>
        <v>83</v>
      </c>
      <c r="I4918" s="12">
        <f>G4918-H4918</f>
        <v>83</v>
      </c>
      <c r="J4918" s="3" t="str">
        <f t="shared" si="351"/>
        <v>6620003</v>
      </c>
    </row>
    <row r="4919" spans="2:10" s="3" customFormat="1">
      <c r="B4919" s="3" t="s">
        <v>2150</v>
      </c>
      <c r="C4919" s="8">
        <v>2</v>
      </c>
      <c r="D4919" s="3" t="s">
        <v>2190</v>
      </c>
      <c r="E4919" s="11" t="s">
        <v>11</v>
      </c>
      <c r="F4919" s="10">
        <v>4.2900000000000002E-4</v>
      </c>
      <c r="G4919" s="12">
        <f>ROUND(G$3*F4919,0)</f>
        <v>123</v>
      </c>
      <c r="H4919" s="13">
        <f>ROUND(G4919/2,0)</f>
        <v>62</v>
      </c>
      <c r="I4919" s="12">
        <f>G4919-H4919</f>
        <v>61</v>
      </c>
      <c r="J4919" s="3" t="str">
        <f t="shared" si="351"/>
        <v>6620003</v>
      </c>
    </row>
    <row r="4920" spans="2:10" s="3" customFormat="1">
      <c r="B4920" s="3" t="s">
        <v>2150</v>
      </c>
      <c r="C4920" s="8">
        <v>2</v>
      </c>
      <c r="D4920" s="3" t="s">
        <v>2191</v>
      </c>
      <c r="E4920" s="11" t="s">
        <v>86</v>
      </c>
      <c r="F4920" s="11"/>
      <c r="G4920" s="9"/>
      <c r="H4920" s="11"/>
      <c r="I4920" s="11"/>
      <c r="J4920" s="3" t="str">
        <f t="shared" si="351"/>
        <v>6620004</v>
      </c>
    </row>
    <row r="4921" spans="2:10" s="3" customFormat="1">
      <c r="B4921" s="3" t="s">
        <v>2150</v>
      </c>
      <c r="C4921" s="8">
        <v>2</v>
      </c>
      <c r="D4921" s="3" t="s">
        <v>2191</v>
      </c>
      <c r="E4921" s="11" t="s">
        <v>10</v>
      </c>
      <c r="F4921" s="10">
        <v>3.3599999999999998E-4</v>
      </c>
      <c r="G4921" s="12">
        <f>ROUND(G$3*F4921,0)</f>
        <v>97</v>
      </c>
      <c r="H4921" s="13">
        <f>ROUND(G4921/2,0)</f>
        <v>49</v>
      </c>
      <c r="I4921" s="12">
        <f>G4921-H4921</f>
        <v>48</v>
      </c>
      <c r="J4921" s="3" t="str">
        <f t="shared" si="351"/>
        <v>6620004</v>
      </c>
    </row>
    <row r="4922" spans="2:10" s="3" customFormat="1">
      <c r="B4922" s="3" t="s">
        <v>2150</v>
      </c>
      <c r="C4922" s="8">
        <v>2</v>
      </c>
      <c r="D4922" s="3" t="s">
        <v>2191</v>
      </c>
      <c r="E4922" s="11" t="s">
        <v>11</v>
      </c>
      <c r="F4922" s="10">
        <v>2.0900000000000001E-4</v>
      </c>
      <c r="G4922" s="12">
        <f>ROUND(G$3*F4922,0)</f>
        <v>60</v>
      </c>
      <c r="H4922" s="13">
        <f>ROUND(G4922/2,0)</f>
        <v>30</v>
      </c>
      <c r="I4922" s="12">
        <f>G4922-H4922</f>
        <v>30</v>
      </c>
      <c r="J4922" s="3" t="str">
        <f t="shared" si="351"/>
        <v>6620004</v>
      </c>
    </row>
    <row r="4923" spans="2:10" s="3" customFormat="1">
      <c r="B4923" s="3" t="s">
        <v>2150</v>
      </c>
      <c r="C4923" s="8">
        <v>2</v>
      </c>
      <c r="D4923" s="3" t="s">
        <v>2192</v>
      </c>
      <c r="E4923" s="11" t="s">
        <v>1107</v>
      </c>
      <c r="F4923" s="11"/>
      <c r="G4923" s="9"/>
      <c r="H4923" s="11"/>
      <c r="I4923" s="11"/>
      <c r="J4923" s="3" t="str">
        <f t="shared" si="351"/>
        <v>6620005</v>
      </c>
    </row>
    <row r="4924" spans="2:10" s="3" customFormat="1">
      <c r="B4924" s="3" t="s">
        <v>2150</v>
      </c>
      <c r="C4924" s="8">
        <v>2</v>
      </c>
      <c r="D4924" s="3" t="s">
        <v>2192</v>
      </c>
      <c r="E4924" s="11" t="s">
        <v>10</v>
      </c>
      <c r="F4924" s="10">
        <v>2.5099999999999998E-4</v>
      </c>
      <c r="G4924" s="12">
        <f>ROUND(G$3*F4924,0)</f>
        <v>72</v>
      </c>
      <c r="H4924" s="13">
        <f>ROUND(G4924/2,0)</f>
        <v>36</v>
      </c>
      <c r="I4924" s="12">
        <f>G4924-H4924</f>
        <v>36</v>
      </c>
      <c r="J4924" s="3" t="str">
        <f t="shared" si="351"/>
        <v>6620005</v>
      </c>
    </row>
    <row r="4925" spans="2:10" s="3" customFormat="1">
      <c r="B4925" s="3" t="s">
        <v>2150</v>
      </c>
      <c r="C4925" s="8">
        <v>2</v>
      </c>
      <c r="D4925" s="3" t="s">
        <v>2192</v>
      </c>
      <c r="E4925" s="11" t="s">
        <v>11</v>
      </c>
      <c r="F4925" s="10">
        <v>1.7799999999999999E-4</v>
      </c>
      <c r="G4925" s="12">
        <f>ROUND(G$3*F4925,0)</f>
        <v>51</v>
      </c>
      <c r="H4925" s="13">
        <f>ROUND(G4925/2,0)</f>
        <v>26</v>
      </c>
      <c r="I4925" s="12">
        <f>G4925-H4925</f>
        <v>25</v>
      </c>
      <c r="J4925" s="3" t="str">
        <f t="shared" si="351"/>
        <v>6620005</v>
      </c>
    </row>
    <row r="4926" spans="2:10" s="3" customFormat="1">
      <c r="B4926" s="3" t="s">
        <v>2150</v>
      </c>
      <c r="C4926" s="8">
        <v>2</v>
      </c>
      <c r="D4926" s="3" t="s">
        <v>2193</v>
      </c>
      <c r="E4926" s="11" t="s">
        <v>14</v>
      </c>
      <c r="F4926" s="11"/>
      <c r="G4926" s="9"/>
      <c r="H4926" s="11"/>
      <c r="I4926" s="11"/>
      <c r="J4926" s="3" t="str">
        <f t="shared" si="351"/>
        <v>6620006</v>
      </c>
    </row>
    <row r="4927" spans="2:10" s="3" customFormat="1">
      <c r="B4927" s="3" t="s">
        <v>2150</v>
      </c>
      <c r="C4927" s="8">
        <v>2</v>
      </c>
      <c r="D4927" s="3" t="s">
        <v>2193</v>
      </c>
      <c r="E4927" s="11" t="s">
        <v>10</v>
      </c>
      <c r="F4927" s="10">
        <v>6.9999999999999999E-4</v>
      </c>
      <c r="G4927" s="12">
        <f>ROUND(G$3*F4927,0)</f>
        <v>201</v>
      </c>
      <c r="H4927" s="13">
        <f>ROUND(G4927/2,0)</f>
        <v>101</v>
      </c>
      <c r="I4927" s="12">
        <f>G4927-H4927</f>
        <v>100</v>
      </c>
      <c r="J4927" s="3" t="str">
        <f t="shared" si="351"/>
        <v>6620006</v>
      </c>
    </row>
    <row r="4928" spans="2:10" s="3" customFormat="1">
      <c r="B4928" s="3" t="s">
        <v>2150</v>
      </c>
      <c r="C4928" s="8">
        <v>2</v>
      </c>
      <c r="D4928" s="3" t="s">
        <v>2193</v>
      </c>
      <c r="E4928" s="11" t="s">
        <v>11</v>
      </c>
      <c r="F4928" s="10">
        <v>4.0999999999999999E-4</v>
      </c>
      <c r="G4928" s="12">
        <f>ROUND(G$3*F4928,0)</f>
        <v>118</v>
      </c>
      <c r="H4928" s="13">
        <f>ROUND(G4928/2,0)</f>
        <v>59</v>
      </c>
      <c r="I4928" s="12">
        <f>G4928-H4928</f>
        <v>59</v>
      </c>
      <c r="J4928" s="3" t="str">
        <f t="shared" si="351"/>
        <v>6620006</v>
      </c>
    </row>
    <row r="4929" spans="2:10" s="3" customFormat="1">
      <c r="B4929" s="3" t="s">
        <v>2150</v>
      </c>
      <c r="C4929" s="8">
        <v>2</v>
      </c>
      <c r="D4929" s="3" t="s">
        <v>2194</v>
      </c>
      <c r="E4929" s="11" t="s">
        <v>16</v>
      </c>
      <c r="F4929" s="11"/>
      <c r="G4929" s="9"/>
      <c r="H4929" s="11"/>
      <c r="I4929" s="11"/>
      <c r="J4929" s="3" t="str">
        <f t="shared" si="351"/>
        <v>6620007</v>
      </c>
    </row>
    <row r="4930" spans="2:10" s="3" customFormat="1">
      <c r="B4930" s="3" t="s">
        <v>2150</v>
      </c>
      <c r="C4930" s="8">
        <v>2</v>
      </c>
      <c r="D4930" s="3" t="s">
        <v>2194</v>
      </c>
      <c r="E4930" s="11" t="s">
        <v>10</v>
      </c>
      <c r="F4930" s="10">
        <v>1.523E-3</v>
      </c>
      <c r="G4930" s="12">
        <f>ROUND(G$3*F4930,0)</f>
        <v>438</v>
      </c>
      <c r="H4930" s="13">
        <f>ROUND(G4930/2,0)</f>
        <v>219</v>
      </c>
      <c r="I4930" s="12">
        <f>G4930-H4930</f>
        <v>219</v>
      </c>
      <c r="J4930" s="3" t="str">
        <f t="shared" si="351"/>
        <v>6620007</v>
      </c>
    </row>
    <row r="4931" spans="2:10" s="3" customFormat="1">
      <c r="B4931" s="3" t="s">
        <v>2150</v>
      </c>
      <c r="C4931" s="8">
        <v>2</v>
      </c>
      <c r="D4931" s="3" t="s">
        <v>2194</v>
      </c>
      <c r="E4931" s="11" t="s">
        <v>11</v>
      </c>
      <c r="F4931" s="10">
        <v>1.627E-3</v>
      </c>
      <c r="G4931" s="12">
        <f>ROUND(G$3*F4931,0)</f>
        <v>468</v>
      </c>
      <c r="H4931" s="13">
        <f>ROUND(G4931/2,0)</f>
        <v>234</v>
      </c>
      <c r="I4931" s="12">
        <f>G4931-H4931</f>
        <v>234</v>
      </c>
      <c r="J4931" s="3" t="str">
        <f t="shared" si="351"/>
        <v>6620007</v>
      </c>
    </row>
    <row r="4932" spans="2:10" s="3" customFormat="1">
      <c r="B4932" s="3" t="s">
        <v>2150</v>
      </c>
      <c r="C4932" s="8">
        <v>2</v>
      </c>
      <c r="D4932" s="3" t="s">
        <v>2195</v>
      </c>
      <c r="E4932" s="11" t="s">
        <v>1462</v>
      </c>
      <c r="F4932" s="11"/>
      <c r="G4932" s="9"/>
      <c r="H4932" s="11"/>
      <c r="I4932" s="11"/>
      <c r="J4932" s="3" t="str">
        <f t="shared" ref="J4932:J4995" si="357">B4932&amp;C4932&amp;D4932</f>
        <v>6620008</v>
      </c>
    </row>
    <row r="4933" spans="2:10" s="3" customFormat="1">
      <c r="B4933" s="3" t="s">
        <v>2150</v>
      </c>
      <c r="C4933" s="8">
        <v>2</v>
      </c>
      <c r="D4933" s="3" t="s">
        <v>2195</v>
      </c>
      <c r="E4933" s="11" t="s">
        <v>10</v>
      </c>
      <c r="F4933" s="10">
        <v>2.1599999999999999E-4</v>
      </c>
      <c r="G4933" s="12">
        <f>ROUND(G$3*F4933,0)</f>
        <v>62</v>
      </c>
      <c r="H4933" s="13">
        <f>ROUND(G4933/2,0)</f>
        <v>31</v>
      </c>
      <c r="I4933" s="12">
        <f>G4933-H4933</f>
        <v>31</v>
      </c>
      <c r="J4933" s="3" t="str">
        <f t="shared" si="357"/>
        <v>6620008</v>
      </c>
    </row>
    <row r="4934" spans="2:10" s="3" customFormat="1">
      <c r="B4934" s="3" t="s">
        <v>2150</v>
      </c>
      <c r="C4934" s="8">
        <v>2</v>
      </c>
      <c r="D4934" s="3" t="s">
        <v>2195</v>
      </c>
      <c r="E4934" s="11" t="s">
        <v>11</v>
      </c>
      <c r="F4934" s="10">
        <v>1.0399999999999999E-4</v>
      </c>
      <c r="G4934" s="12">
        <f>ROUND(G$3*F4934,0)</f>
        <v>30</v>
      </c>
      <c r="H4934" s="13">
        <f>ROUND(G4934/2,0)</f>
        <v>15</v>
      </c>
      <c r="I4934" s="12">
        <f>G4934-H4934</f>
        <v>15</v>
      </c>
      <c r="J4934" s="3" t="str">
        <f t="shared" si="357"/>
        <v>6620008</v>
      </c>
    </row>
    <row r="4935" spans="2:10" s="3" customFormat="1">
      <c r="B4935" s="3" t="s">
        <v>2150</v>
      </c>
      <c r="C4935" s="8">
        <v>2</v>
      </c>
      <c r="D4935" s="3" t="s">
        <v>2196</v>
      </c>
      <c r="E4935" s="11" t="s">
        <v>404</v>
      </c>
      <c r="F4935" s="11"/>
      <c r="G4935" s="9"/>
      <c r="H4935" s="11"/>
      <c r="I4935" s="11"/>
      <c r="J4935" s="3" t="str">
        <f t="shared" si="357"/>
        <v>6620009</v>
      </c>
    </row>
    <row r="4936" spans="2:10" s="3" customFormat="1">
      <c r="B4936" s="3" t="s">
        <v>2150</v>
      </c>
      <c r="C4936" s="8">
        <v>2</v>
      </c>
      <c r="D4936" s="3" t="s">
        <v>2196</v>
      </c>
      <c r="E4936" s="11" t="s">
        <v>10</v>
      </c>
      <c r="F4936" s="10">
        <v>5.2379999999999996E-3</v>
      </c>
      <c r="G4936" s="12">
        <f>ROUND(G$3*F4936,0)</f>
        <v>1507</v>
      </c>
      <c r="H4936" s="13">
        <f>ROUND(G4936/2,0)</f>
        <v>754</v>
      </c>
      <c r="I4936" s="12">
        <f>G4936-H4936</f>
        <v>753</v>
      </c>
      <c r="J4936" s="3" t="str">
        <f t="shared" si="357"/>
        <v>6620009</v>
      </c>
    </row>
    <row r="4937" spans="2:10" s="3" customFormat="1">
      <c r="B4937" s="3" t="s">
        <v>2150</v>
      </c>
      <c r="C4937" s="8">
        <v>2</v>
      </c>
      <c r="D4937" s="3" t="s">
        <v>2196</v>
      </c>
      <c r="E4937" s="11" t="s">
        <v>11</v>
      </c>
      <c r="F4937" s="10">
        <v>2.1570000000000001E-3</v>
      </c>
      <c r="G4937" s="12">
        <f>ROUND(G$3*F4937,0)</f>
        <v>621</v>
      </c>
      <c r="H4937" s="13">
        <f>ROUND(G4937/2,0)</f>
        <v>311</v>
      </c>
      <c r="I4937" s="12">
        <f>G4937-H4937</f>
        <v>310</v>
      </c>
      <c r="J4937" s="3" t="str">
        <f t="shared" si="357"/>
        <v>6620009</v>
      </c>
    </row>
    <row r="4938" spans="2:10" s="3" customFormat="1">
      <c r="B4938" s="3" t="s">
        <v>2150</v>
      </c>
      <c r="C4938" s="8">
        <v>2</v>
      </c>
      <c r="D4938" s="3" t="s">
        <v>2197</v>
      </c>
      <c r="E4938" s="11" t="s">
        <v>183</v>
      </c>
      <c r="F4938" s="11"/>
      <c r="G4938" s="12"/>
      <c r="H4938" s="11"/>
      <c r="I4938" s="11"/>
      <c r="J4938" s="3" t="str">
        <f t="shared" si="357"/>
        <v>6620010</v>
      </c>
    </row>
    <row r="4939" spans="2:10" s="3" customFormat="1">
      <c r="B4939" s="3" t="s">
        <v>2150</v>
      </c>
      <c r="C4939" s="8">
        <v>2</v>
      </c>
      <c r="D4939" s="3" t="s">
        <v>2197</v>
      </c>
      <c r="E4939" s="11" t="s">
        <v>10</v>
      </c>
      <c r="F4939" s="10">
        <v>1.225E-3</v>
      </c>
      <c r="G4939" s="12">
        <f>ROUND(G$3*F4939,0)</f>
        <v>352</v>
      </c>
      <c r="H4939" s="13">
        <f>ROUND(G4939/2,0)</f>
        <v>176</v>
      </c>
      <c r="I4939" s="12">
        <f>G4939-H4939</f>
        <v>176</v>
      </c>
      <c r="J4939" s="3" t="str">
        <f t="shared" si="357"/>
        <v>6620010</v>
      </c>
    </row>
    <row r="4940" spans="2:10" s="3" customFormat="1">
      <c r="B4940" s="3" t="s">
        <v>2150</v>
      </c>
      <c r="C4940" s="8">
        <v>2</v>
      </c>
      <c r="D4940" s="3" t="s">
        <v>2197</v>
      </c>
      <c r="E4940" s="11" t="s">
        <v>11</v>
      </c>
      <c r="F4940" s="10">
        <v>1.0820000000000001E-3</v>
      </c>
      <c r="G4940" s="12">
        <f>ROUND(G$3*F4940,0)</f>
        <v>311</v>
      </c>
      <c r="H4940" s="13">
        <f>ROUND(G4940/2,0)</f>
        <v>156</v>
      </c>
      <c r="I4940" s="12">
        <f>G4940-H4940</f>
        <v>155</v>
      </c>
      <c r="J4940" s="3" t="str">
        <f t="shared" si="357"/>
        <v>6620010</v>
      </c>
    </row>
    <row r="4941" spans="2:10" s="3" customFormat="1">
      <c r="B4941" s="3" t="s">
        <v>2150</v>
      </c>
      <c r="C4941" s="8">
        <v>2</v>
      </c>
      <c r="D4941" s="3" t="s">
        <v>2198</v>
      </c>
      <c r="E4941" s="11" t="s">
        <v>169</v>
      </c>
      <c r="F4941" s="11"/>
      <c r="G4941" s="9"/>
      <c r="H4941" s="11"/>
      <c r="I4941" s="11"/>
      <c r="J4941" s="3" t="str">
        <f t="shared" si="357"/>
        <v>6620011</v>
      </c>
    </row>
    <row r="4942" spans="2:10" s="3" customFormat="1">
      <c r="B4942" s="3" t="s">
        <v>2150</v>
      </c>
      <c r="C4942" s="8">
        <v>2</v>
      </c>
      <c r="D4942" s="3" t="s">
        <v>2198</v>
      </c>
      <c r="E4942" s="11" t="s">
        <v>10</v>
      </c>
      <c r="F4942" s="10">
        <v>2.4970000000000001E-3</v>
      </c>
      <c r="G4942" s="12">
        <f>ROUND(G$3*F4942,0)</f>
        <v>718</v>
      </c>
      <c r="H4942" s="13">
        <f>ROUND(G4942/2,0)</f>
        <v>359</v>
      </c>
      <c r="I4942" s="12">
        <f>G4942-H4942</f>
        <v>359</v>
      </c>
      <c r="J4942" s="3" t="str">
        <f t="shared" si="357"/>
        <v>6620011</v>
      </c>
    </row>
    <row r="4943" spans="2:10" s="3" customFormat="1">
      <c r="B4943" s="3" t="s">
        <v>2150</v>
      </c>
      <c r="C4943" s="8">
        <v>2</v>
      </c>
      <c r="D4943" s="3" t="s">
        <v>2198</v>
      </c>
      <c r="E4943" s="11" t="s">
        <v>11</v>
      </c>
      <c r="F4943" s="10">
        <v>1.8400000000000001E-3</v>
      </c>
      <c r="G4943" s="12">
        <f>ROUND(G$3*F4943,0)</f>
        <v>529</v>
      </c>
      <c r="H4943" s="13">
        <f>ROUND(G4943/2,0)</f>
        <v>265</v>
      </c>
      <c r="I4943" s="12">
        <f>G4943-H4943</f>
        <v>264</v>
      </c>
      <c r="J4943" s="3" t="str">
        <f t="shared" si="357"/>
        <v>6620011</v>
      </c>
    </row>
    <row r="4944" spans="2:10" s="3" customFormat="1">
      <c r="B4944" s="3" t="s">
        <v>2150</v>
      </c>
      <c r="C4944" s="8">
        <v>2</v>
      </c>
      <c r="D4944" s="3" t="s">
        <v>2199</v>
      </c>
      <c r="E4944" s="11" t="s">
        <v>1463</v>
      </c>
      <c r="F4944" s="11"/>
      <c r="G4944" s="9"/>
      <c r="H4944" s="11"/>
      <c r="I4944" s="11"/>
      <c r="J4944" s="3" t="str">
        <f t="shared" si="357"/>
        <v>6620012</v>
      </c>
    </row>
    <row r="4945" spans="2:10" s="3" customFormat="1">
      <c r="B4945" s="3" t="s">
        <v>2150</v>
      </c>
      <c r="C4945" s="8">
        <v>2</v>
      </c>
      <c r="D4945" s="3" t="s">
        <v>2199</v>
      </c>
      <c r="E4945" s="11" t="s">
        <v>10</v>
      </c>
      <c r="F4945" s="10">
        <v>2.6940000000000002E-3</v>
      </c>
      <c r="G4945" s="12">
        <f t="shared" ref="G4945:G4951" si="358">ROUND(G$3*F4945,0)</f>
        <v>775</v>
      </c>
      <c r="H4945" s="13">
        <f t="shared" ref="H4945:H4951" si="359">ROUND(G4945/2,0)</f>
        <v>388</v>
      </c>
      <c r="I4945" s="12">
        <f t="shared" ref="I4945:I4951" si="360">G4945-H4945</f>
        <v>387</v>
      </c>
      <c r="J4945" s="3" t="str">
        <f t="shared" si="357"/>
        <v>6620012</v>
      </c>
    </row>
    <row r="4946" spans="2:10" s="3" customFormat="1">
      <c r="B4946" s="3" t="s">
        <v>2150</v>
      </c>
      <c r="C4946" s="8">
        <v>2</v>
      </c>
      <c r="D4946" s="3" t="s">
        <v>2199</v>
      </c>
      <c r="E4946" s="11" t="s">
        <v>11</v>
      </c>
      <c r="F4946" s="10">
        <v>1.701E-3</v>
      </c>
      <c r="G4946" s="12">
        <f t="shared" si="358"/>
        <v>489</v>
      </c>
      <c r="H4946" s="13">
        <f t="shared" si="359"/>
        <v>245</v>
      </c>
      <c r="I4946" s="12">
        <f t="shared" si="360"/>
        <v>244</v>
      </c>
      <c r="J4946" s="3" t="str">
        <f t="shared" si="357"/>
        <v>6620012</v>
      </c>
    </row>
    <row r="4947" spans="2:10" s="3" customFormat="1">
      <c r="B4947" s="3" t="s">
        <v>2150</v>
      </c>
      <c r="C4947" s="8">
        <v>3</v>
      </c>
      <c r="D4947" s="3" t="s">
        <v>2946</v>
      </c>
      <c r="E4947" s="11" t="s">
        <v>1464</v>
      </c>
      <c r="F4947" s="10">
        <v>1.3664000000000001E-2</v>
      </c>
      <c r="G4947" s="12">
        <f t="shared" si="358"/>
        <v>3931</v>
      </c>
      <c r="H4947" s="13">
        <f t="shared" si="359"/>
        <v>1966</v>
      </c>
      <c r="I4947" s="12">
        <f t="shared" si="360"/>
        <v>1965</v>
      </c>
      <c r="J4947" s="3" t="str">
        <f t="shared" si="357"/>
        <v>6630839</v>
      </c>
    </row>
    <row r="4948" spans="2:10" s="3" customFormat="1">
      <c r="B4948" s="3" t="s">
        <v>2150</v>
      </c>
      <c r="C4948" s="8">
        <v>3</v>
      </c>
      <c r="D4948" s="3" t="s">
        <v>2947</v>
      </c>
      <c r="E4948" s="11" t="s">
        <v>1465</v>
      </c>
      <c r="F4948" s="10">
        <v>7.0619999999999997E-3</v>
      </c>
      <c r="G4948" s="12">
        <f t="shared" si="358"/>
        <v>2032</v>
      </c>
      <c r="H4948" s="13">
        <f t="shared" si="359"/>
        <v>1016</v>
      </c>
      <c r="I4948" s="12">
        <f t="shared" si="360"/>
        <v>1016</v>
      </c>
      <c r="J4948" s="3" t="str">
        <f t="shared" si="357"/>
        <v>6630840</v>
      </c>
    </row>
    <row r="4949" spans="2:10" s="3" customFormat="1">
      <c r="B4949" s="3" t="s">
        <v>2150</v>
      </c>
      <c r="C4949" s="8">
        <v>3</v>
      </c>
      <c r="D4949" s="3" t="s">
        <v>2948</v>
      </c>
      <c r="E4949" s="11" t="s">
        <v>1466</v>
      </c>
      <c r="F4949" s="10">
        <v>1.307E-3</v>
      </c>
      <c r="G4949" s="12">
        <f t="shared" si="358"/>
        <v>376</v>
      </c>
      <c r="H4949" s="13">
        <f t="shared" si="359"/>
        <v>188</v>
      </c>
      <c r="I4949" s="12">
        <f t="shared" si="360"/>
        <v>188</v>
      </c>
      <c r="J4949" s="3" t="str">
        <f t="shared" si="357"/>
        <v>6630841</v>
      </c>
    </row>
    <row r="4950" spans="2:10" s="3" customFormat="1">
      <c r="B4950" s="3" t="s">
        <v>2150</v>
      </c>
      <c r="C4950" s="8">
        <v>3</v>
      </c>
      <c r="D4950" s="3" t="s">
        <v>2949</v>
      </c>
      <c r="E4950" s="11" t="s">
        <v>1467</v>
      </c>
      <c r="F4950" s="10">
        <v>3.4708000000000003E-2</v>
      </c>
      <c r="G4950" s="12">
        <f t="shared" si="358"/>
        <v>9986</v>
      </c>
      <c r="H4950" s="13">
        <f t="shared" si="359"/>
        <v>4993</v>
      </c>
      <c r="I4950" s="12">
        <f t="shared" si="360"/>
        <v>4993</v>
      </c>
      <c r="J4950" s="3" t="str">
        <f t="shared" si="357"/>
        <v>6630842</v>
      </c>
    </row>
    <row r="4951" spans="2:10" s="3" customFormat="1">
      <c r="B4951" s="3" t="s">
        <v>2150</v>
      </c>
      <c r="C4951" s="8">
        <v>4</v>
      </c>
      <c r="D4951" s="3" t="s">
        <v>2458</v>
      </c>
      <c r="E4951" s="11" t="s">
        <v>557</v>
      </c>
      <c r="F4951" s="10">
        <v>3.3286000000000003E-2</v>
      </c>
      <c r="G4951" s="9">
        <f t="shared" si="358"/>
        <v>9577</v>
      </c>
      <c r="H4951" s="11">
        <f t="shared" si="359"/>
        <v>4789</v>
      </c>
      <c r="I4951" s="9">
        <f t="shared" si="360"/>
        <v>4788</v>
      </c>
      <c r="J4951" s="3" t="str">
        <f t="shared" si="357"/>
        <v>6645455</v>
      </c>
    </row>
    <row r="4952" spans="2:10" s="3" customFormat="1">
      <c r="B4952" s="3" t="s">
        <v>2150</v>
      </c>
      <c r="C4952" s="8">
        <v>4</v>
      </c>
      <c r="D4952" s="3" t="s">
        <v>2458</v>
      </c>
      <c r="E4952" s="11" t="s">
        <v>28</v>
      </c>
      <c r="F4952" s="11"/>
      <c r="G4952" s="14">
        <v>0.485238</v>
      </c>
      <c r="H4952" s="11"/>
      <c r="I4952" s="11"/>
      <c r="J4952" s="3" t="str">
        <f t="shared" si="357"/>
        <v>6645455</v>
      </c>
    </row>
    <row r="4953" spans="2:10" s="3" customFormat="1">
      <c r="B4953" s="3" t="s">
        <v>2150</v>
      </c>
      <c r="C4953" s="8">
        <v>4</v>
      </c>
      <c r="D4953" s="3" t="s">
        <v>2458</v>
      </c>
      <c r="E4953" s="11" t="s">
        <v>29</v>
      </c>
      <c r="F4953" s="11"/>
      <c r="G4953" s="15">
        <f>ROUND(G4951*G4952,0)</f>
        <v>4647</v>
      </c>
      <c r="H4953" s="16">
        <f>ROUND(G4953/2,0)</f>
        <v>2324</v>
      </c>
      <c r="I4953" s="15">
        <f>G4953-H4953</f>
        <v>2323</v>
      </c>
      <c r="J4953" s="3" t="str">
        <f t="shared" si="357"/>
        <v>6645455</v>
      </c>
    </row>
    <row r="4954" spans="2:10" s="3" customFormat="1">
      <c r="B4954" s="3" t="s">
        <v>2150</v>
      </c>
      <c r="C4954" s="8">
        <v>4</v>
      </c>
      <c r="D4954" s="3" t="s">
        <v>2458</v>
      </c>
      <c r="E4954" s="11" t="s">
        <v>30</v>
      </c>
      <c r="F4954" s="11"/>
      <c r="G4954" s="12">
        <f>+G4951-G4953</f>
        <v>4930</v>
      </c>
      <c r="H4954" s="13">
        <f>ROUND(G4954/2,0)</f>
        <v>2465</v>
      </c>
      <c r="I4954" s="12">
        <f>G4954-H4954</f>
        <v>2465</v>
      </c>
      <c r="J4954" s="3" t="str">
        <f t="shared" si="357"/>
        <v>6645455</v>
      </c>
    </row>
    <row r="4955" spans="2:10" s="3" customFormat="1">
      <c r="B4955" s="3" t="s">
        <v>2150</v>
      </c>
      <c r="C4955" s="8">
        <v>4</v>
      </c>
      <c r="D4955" s="3" t="s">
        <v>2459</v>
      </c>
      <c r="E4955" s="11" t="s">
        <v>1468</v>
      </c>
      <c r="F4955" s="10">
        <v>0.30989100000000003</v>
      </c>
      <c r="G4955" s="9">
        <f>ROUND(G$3*F4955,0)</f>
        <v>89163</v>
      </c>
      <c r="H4955" s="11">
        <f>ROUND(G4955/2,0)</f>
        <v>44582</v>
      </c>
      <c r="I4955" s="9">
        <f>G4955-H4955</f>
        <v>44581</v>
      </c>
      <c r="J4955" s="3" t="str">
        <f t="shared" si="357"/>
        <v>6646620</v>
      </c>
    </row>
    <row r="4956" spans="2:10" s="3" customFormat="1">
      <c r="B4956" s="3" t="s">
        <v>2150</v>
      </c>
      <c r="C4956" s="8">
        <v>4</v>
      </c>
      <c r="D4956" s="3" t="s">
        <v>2459</v>
      </c>
      <c r="E4956" s="11" t="s">
        <v>28</v>
      </c>
      <c r="F4956" s="11"/>
      <c r="G4956" s="14">
        <v>0.50509400000000004</v>
      </c>
      <c r="H4956" s="11"/>
      <c r="I4956" s="11"/>
      <c r="J4956" s="3" t="str">
        <f t="shared" si="357"/>
        <v>6646620</v>
      </c>
    </row>
    <row r="4957" spans="2:10" s="3" customFormat="1">
      <c r="B4957" s="3" t="s">
        <v>2150</v>
      </c>
      <c r="C4957" s="8">
        <v>4</v>
      </c>
      <c r="D4957" s="3" t="s">
        <v>2459</v>
      </c>
      <c r="E4957" s="11" t="s">
        <v>29</v>
      </c>
      <c r="F4957" s="11"/>
      <c r="G4957" s="15">
        <f>ROUND(G4955*G4956,0)</f>
        <v>45036</v>
      </c>
      <c r="H4957" s="16">
        <f>ROUND(G4957/2,0)</f>
        <v>22518</v>
      </c>
      <c r="I4957" s="15">
        <f>G4957-H4957</f>
        <v>22518</v>
      </c>
      <c r="J4957" s="3" t="str">
        <f t="shared" si="357"/>
        <v>6646620</v>
      </c>
    </row>
    <row r="4958" spans="2:10" s="3" customFormat="1">
      <c r="B4958" s="3" t="s">
        <v>2150</v>
      </c>
      <c r="C4958" s="8">
        <v>4</v>
      </c>
      <c r="D4958" s="3" t="s">
        <v>2459</v>
      </c>
      <c r="E4958" s="11" t="s">
        <v>30</v>
      </c>
      <c r="F4958" s="11"/>
      <c r="G4958" s="12">
        <f>+G4955-G4957</f>
        <v>44127</v>
      </c>
      <c r="H4958" s="13">
        <f>ROUND(G4958/2,0)</f>
        <v>22064</v>
      </c>
      <c r="I4958" s="12">
        <f>G4958-H4958</f>
        <v>22063</v>
      </c>
      <c r="J4958" s="3" t="str">
        <f t="shared" si="357"/>
        <v>6646620</v>
      </c>
    </row>
    <row r="4959" spans="2:10" s="3" customFormat="1">
      <c r="B4959" s="3" t="s">
        <v>2150</v>
      </c>
      <c r="C4959" s="8">
        <v>4</v>
      </c>
      <c r="D4959" s="3" t="s">
        <v>2950</v>
      </c>
      <c r="E4959" s="11" t="s">
        <v>1469</v>
      </c>
      <c r="F4959" s="10">
        <v>3.6088000000000002E-2</v>
      </c>
      <c r="G4959" s="9">
        <f>ROUND(G$3*F4959,0)</f>
        <v>10383</v>
      </c>
      <c r="H4959" s="11">
        <f>ROUND(G4959/2,0)</f>
        <v>5192</v>
      </c>
      <c r="I4959" s="9">
        <f>G4959-H4959</f>
        <v>5191</v>
      </c>
      <c r="J4959" s="3" t="str">
        <f t="shared" si="357"/>
        <v>6647515</v>
      </c>
    </row>
    <row r="4960" spans="2:10" s="3" customFormat="1">
      <c r="B4960" s="3" t="s">
        <v>2150</v>
      </c>
      <c r="C4960" s="8">
        <v>4</v>
      </c>
      <c r="D4960" s="3" t="s">
        <v>2950</v>
      </c>
      <c r="E4960" s="11" t="s">
        <v>28</v>
      </c>
      <c r="F4960" s="11"/>
      <c r="G4960" s="14">
        <v>0.35514899999999999</v>
      </c>
      <c r="H4960" s="11"/>
      <c r="I4960" s="11"/>
      <c r="J4960" s="3" t="str">
        <f t="shared" si="357"/>
        <v>6647515</v>
      </c>
    </row>
    <row r="4961" spans="1:10" s="3" customFormat="1">
      <c r="B4961" s="3" t="s">
        <v>2150</v>
      </c>
      <c r="C4961" s="8">
        <v>4</v>
      </c>
      <c r="D4961" s="3" t="s">
        <v>2950</v>
      </c>
      <c r="E4961" s="11" t="s">
        <v>29</v>
      </c>
      <c r="F4961" s="11"/>
      <c r="G4961" s="15">
        <f>ROUND(G4959*G4960,0)</f>
        <v>3688</v>
      </c>
      <c r="H4961" s="16">
        <f>ROUND(G4961/2,0)</f>
        <v>1844</v>
      </c>
      <c r="I4961" s="15">
        <f>G4961-H4961</f>
        <v>1844</v>
      </c>
      <c r="J4961" s="3" t="str">
        <f t="shared" si="357"/>
        <v>6647515</v>
      </c>
    </row>
    <row r="4962" spans="1:10" s="3" customFormat="1">
      <c r="B4962" s="3" t="s">
        <v>2150</v>
      </c>
      <c r="C4962" s="8">
        <v>4</v>
      </c>
      <c r="D4962" s="3" t="s">
        <v>2950</v>
      </c>
      <c r="E4962" s="11" t="s">
        <v>30</v>
      </c>
      <c r="F4962" s="11"/>
      <c r="G4962" s="12">
        <f>+G4959-G4961</f>
        <v>6695</v>
      </c>
      <c r="H4962" s="13">
        <f>ROUND(G4962/2,0)</f>
        <v>3348</v>
      </c>
      <c r="I4962" s="12">
        <f>G4962-H4962</f>
        <v>3347</v>
      </c>
      <c r="J4962" s="3" t="str">
        <f t="shared" si="357"/>
        <v>6647515</v>
      </c>
    </row>
    <row r="4963" spans="1:10" s="3" customFormat="1">
      <c r="B4963" s="3" t="s">
        <v>2150</v>
      </c>
      <c r="C4963" s="8">
        <v>4</v>
      </c>
      <c r="D4963" s="3" t="s">
        <v>2625</v>
      </c>
      <c r="E4963" s="11" t="s">
        <v>849</v>
      </c>
      <c r="F4963" s="10">
        <v>0.18894</v>
      </c>
      <c r="G4963" s="9">
        <f>ROUND(G$3*F4963,0)</f>
        <v>54362</v>
      </c>
      <c r="H4963" s="11">
        <f>ROUND(G4963/2,0)</f>
        <v>27181</v>
      </c>
      <c r="I4963" s="9">
        <f>G4963-H4963</f>
        <v>27181</v>
      </c>
      <c r="J4963" s="3" t="str">
        <f t="shared" si="357"/>
        <v>6646630</v>
      </c>
    </row>
    <row r="4964" spans="1:10" s="3" customFormat="1">
      <c r="B4964" s="3" t="s">
        <v>2150</v>
      </c>
      <c r="C4964" s="8">
        <v>4</v>
      </c>
      <c r="D4964" s="3" t="s">
        <v>2625</v>
      </c>
      <c r="E4964" s="11" t="s">
        <v>28</v>
      </c>
      <c r="F4964" s="11"/>
      <c r="G4964" s="14">
        <v>0.57200099999999998</v>
      </c>
      <c r="H4964" s="11"/>
      <c r="I4964" s="11"/>
      <c r="J4964" s="3" t="str">
        <f t="shared" si="357"/>
        <v>6646630</v>
      </c>
    </row>
    <row r="4965" spans="1:10" s="3" customFormat="1">
      <c r="B4965" s="3" t="s">
        <v>2150</v>
      </c>
      <c r="C4965" s="8">
        <v>4</v>
      </c>
      <c r="D4965" s="3" t="s">
        <v>2625</v>
      </c>
      <c r="E4965" s="11" t="s">
        <v>29</v>
      </c>
      <c r="F4965" s="11"/>
      <c r="G4965" s="15">
        <f>ROUND(G4963*G4964,0)</f>
        <v>31095</v>
      </c>
      <c r="H4965" s="16">
        <f t="shared" ref="H4965:H4970" si="361">ROUND(G4965/2,0)</f>
        <v>15548</v>
      </c>
      <c r="I4965" s="15">
        <f t="shared" ref="I4965:I4970" si="362">G4965-H4965</f>
        <v>15547</v>
      </c>
      <c r="J4965" s="3" t="str">
        <f t="shared" si="357"/>
        <v>6646630</v>
      </c>
    </row>
    <row r="4966" spans="1:10" s="3" customFormat="1">
      <c r="B4966" s="3" t="s">
        <v>2150</v>
      </c>
      <c r="C4966" s="8">
        <v>4</v>
      </c>
      <c r="D4966" s="3" t="s">
        <v>2625</v>
      </c>
      <c r="E4966" s="11" t="s">
        <v>30</v>
      </c>
      <c r="F4966" s="11"/>
      <c r="G4966" s="12">
        <f>+G4963-G4965</f>
        <v>23267</v>
      </c>
      <c r="H4966" s="13">
        <f t="shared" si="361"/>
        <v>11634</v>
      </c>
      <c r="I4966" s="12">
        <f t="shared" si="362"/>
        <v>11633</v>
      </c>
      <c r="J4966" s="3" t="str">
        <f t="shared" si="357"/>
        <v>6646630</v>
      </c>
    </row>
    <row r="4967" spans="1:10" s="3" customFormat="1">
      <c r="B4967" s="3" t="s">
        <v>2150</v>
      </c>
      <c r="C4967" s="8">
        <v>5</v>
      </c>
      <c r="D4967" s="3" t="s">
        <v>5488</v>
      </c>
      <c r="E4967" s="11" t="s">
        <v>1470</v>
      </c>
      <c r="F4967" s="10">
        <v>1.5886999999999998E-2</v>
      </c>
      <c r="G4967" s="120">
        <f>ROUND(G$3*F4967,0)</f>
        <v>4571</v>
      </c>
      <c r="H4967" s="120">
        <f t="shared" si="361"/>
        <v>2286</v>
      </c>
      <c r="I4967" s="120">
        <f t="shared" si="362"/>
        <v>2285</v>
      </c>
      <c r="J4967" s="3" t="str">
        <f t="shared" si="357"/>
        <v>6650189</v>
      </c>
    </row>
    <row r="4968" spans="1:10" s="3" customFormat="1">
      <c r="B4968" s="3" t="s">
        <v>2150</v>
      </c>
      <c r="C4968" s="8">
        <v>5</v>
      </c>
      <c r="D4968" s="3" t="s">
        <v>2951</v>
      </c>
      <c r="E4968" s="11" t="s">
        <v>1471</v>
      </c>
      <c r="F4968" s="10">
        <v>5.0410000000000003E-3</v>
      </c>
      <c r="G4968" s="120">
        <f>ROUND(G$3*F4968,0)</f>
        <v>1450</v>
      </c>
      <c r="H4968" s="120">
        <f t="shared" si="361"/>
        <v>725</v>
      </c>
      <c r="I4968" s="120">
        <f t="shared" si="362"/>
        <v>725</v>
      </c>
      <c r="J4968" s="3" t="str">
        <f t="shared" si="357"/>
        <v>6650190</v>
      </c>
    </row>
    <row r="4969" spans="1:10" s="3" customFormat="1">
      <c r="B4969" s="3" t="s">
        <v>2150</v>
      </c>
      <c r="C4969" s="8">
        <v>5</v>
      </c>
      <c r="D4969" s="3" t="s">
        <v>5491</v>
      </c>
      <c r="E4969" s="11" t="s">
        <v>1472</v>
      </c>
      <c r="F4969" s="10">
        <v>2.1624999999999894E-2</v>
      </c>
      <c r="G4969" s="120">
        <f>+G4905-SUM(G4906:G4907)-SUM(G4912:G4951)-G4955-G4959-G4963-SUM(G4967:G4968)</f>
        <v>-45726</v>
      </c>
      <c r="H4969" s="120">
        <f t="shared" si="361"/>
        <v>-22863</v>
      </c>
      <c r="I4969" s="120">
        <f t="shared" si="362"/>
        <v>-22863</v>
      </c>
      <c r="J4969" s="3" t="str">
        <f t="shared" si="357"/>
        <v>6650191</v>
      </c>
    </row>
    <row r="4970" spans="1:10" s="3" customFormat="1">
      <c r="A4970" s="3" t="s">
        <v>6269</v>
      </c>
      <c r="B4970" s="3" t="s">
        <v>2150</v>
      </c>
      <c r="C4970" s="8">
        <v>6</v>
      </c>
      <c r="D4970" s="3" t="s">
        <v>3281</v>
      </c>
      <c r="E4970" s="11" t="s">
        <v>131</v>
      </c>
      <c r="F4970" s="10">
        <v>0</v>
      </c>
      <c r="G4970" s="120">
        <f>ROUND(G$3*F4970,0)</f>
        <v>0</v>
      </c>
      <c r="H4970" s="120">
        <f t="shared" si="361"/>
        <v>0</v>
      </c>
      <c r="I4970" s="120">
        <f t="shared" si="362"/>
        <v>0</v>
      </c>
      <c r="J4970" s="3" t="str">
        <f t="shared" si="357"/>
        <v>6661062</v>
      </c>
    </row>
    <row r="4971" spans="1:10" s="3" customFormat="1">
      <c r="B4971" s="3" t="s">
        <v>2150</v>
      </c>
      <c r="C4971" s="8">
        <v>0</v>
      </c>
      <c r="D4971" s="125" t="s">
        <v>2187</v>
      </c>
      <c r="E4971" s="28" t="s">
        <v>288</v>
      </c>
      <c r="F4971" s="10">
        <v>1</v>
      </c>
      <c r="G4971" s="12">
        <f>+G4906+SUM(G4909:G4950)+SUM(G4953:G4954)+SUM(G4957:G4958)+SUM(G4961:G4962)+SUM(G4965:G4970)</f>
        <v>235770</v>
      </c>
      <c r="H4971" s="12">
        <f>+H4906+SUM(H4909:H4950)+SUM(H4953:H4954)+SUM(H4957:H4958)+SUM(H4961:H4962)+SUM(H4965:H4970)</f>
        <v>117894</v>
      </c>
      <c r="I4971" s="12">
        <f>+I4906+SUM(I4909:I4950)+SUM(I4953:I4954)+SUM(I4957:I4958)+SUM(I4961:I4962)+SUM(I4965:I4970)</f>
        <v>117876</v>
      </c>
      <c r="J4971" s="3" t="str">
        <f t="shared" si="357"/>
        <v>6600000</v>
      </c>
    </row>
    <row r="4972" spans="1:10" s="3" customFormat="1">
      <c r="B4972" s="3" t="s">
        <v>2150</v>
      </c>
      <c r="C4972" s="8">
        <v>0</v>
      </c>
      <c r="D4972" s="3" t="s">
        <v>2187</v>
      </c>
      <c r="E4972" s="18" t="s">
        <v>38</v>
      </c>
      <c r="G4972" s="19">
        <f>+G4906</f>
        <v>346</v>
      </c>
      <c r="H4972" s="19">
        <f>+H4906</f>
        <v>173</v>
      </c>
      <c r="I4972" s="19">
        <f>+I4906</f>
        <v>173</v>
      </c>
      <c r="J4972" s="3" t="str">
        <f t="shared" si="357"/>
        <v>6600000</v>
      </c>
    </row>
    <row r="4973" spans="1:10" s="3" customFormat="1">
      <c r="B4973" s="3" t="s">
        <v>2150</v>
      </c>
      <c r="C4973" s="8">
        <v>0</v>
      </c>
      <c r="D4973" s="3" t="s">
        <v>2187</v>
      </c>
      <c r="E4973" s="2" t="s">
        <v>39</v>
      </c>
      <c r="G4973" s="19">
        <f>+G4909</f>
        <v>22264</v>
      </c>
      <c r="H4973" s="19">
        <f>+H4909</f>
        <v>11132</v>
      </c>
      <c r="I4973" s="19">
        <f>+I4909</f>
        <v>11132</v>
      </c>
      <c r="J4973" s="3" t="str">
        <f t="shared" si="357"/>
        <v>6600000</v>
      </c>
    </row>
    <row r="4974" spans="1:10" s="3" customFormat="1">
      <c r="B4974" s="3" t="s">
        <v>2150</v>
      </c>
      <c r="C4974" s="8">
        <v>0</v>
      </c>
      <c r="D4974" s="3" t="s">
        <v>2187</v>
      </c>
      <c r="E4974" s="2" t="s">
        <v>40</v>
      </c>
      <c r="G4974" s="19">
        <f>+G4953+G4957+G4961+G4965</f>
        <v>84466</v>
      </c>
      <c r="H4974" s="19">
        <f>+H4953+H4957+H4961+H4965</f>
        <v>42234</v>
      </c>
      <c r="I4974" s="19">
        <f>+I4953+I4957+I4961+I4965</f>
        <v>42232</v>
      </c>
      <c r="J4974" s="3" t="str">
        <f t="shared" si="357"/>
        <v>6600000</v>
      </c>
    </row>
    <row r="4975" spans="1:10" s="3" customFormat="1">
      <c r="B4975" s="3" t="s">
        <v>2150</v>
      </c>
      <c r="C4975" s="8">
        <v>0</v>
      </c>
      <c r="D4975" s="125" t="s">
        <v>2187</v>
      </c>
      <c r="E4975" s="18" t="s">
        <v>41</v>
      </c>
      <c r="G4975" s="19">
        <f>+G4971-G4972-G4973-G4974</f>
        <v>128694</v>
      </c>
      <c r="H4975" s="19">
        <f>+H4971-H4972-H4973-H4974</f>
        <v>64355</v>
      </c>
      <c r="I4975" s="19">
        <f>+I4971-I4972-I4973-I4974</f>
        <v>64339</v>
      </c>
      <c r="J4975" s="3" t="str">
        <f t="shared" si="357"/>
        <v>6600000</v>
      </c>
    </row>
    <row r="4976" spans="1:10" ht="15.75">
      <c r="B4976" s="3" t="s">
        <v>2186</v>
      </c>
      <c r="D4976" t="s">
        <v>2186</v>
      </c>
      <c r="E4976">
        <v>0</v>
      </c>
      <c r="G4976"/>
      <c r="H4976"/>
      <c r="I4976"/>
      <c r="J4976" s="3" t="str">
        <f t="shared" si="357"/>
        <v/>
      </c>
    </row>
    <row r="4977" spans="1:10" s="3" customFormat="1">
      <c r="C4977" s="1"/>
      <c r="D4977" s="3" t="s">
        <v>2186</v>
      </c>
      <c r="E4977" s="2" t="s">
        <v>1473</v>
      </c>
      <c r="J4977" s="3" t="str">
        <f t="shared" si="357"/>
        <v/>
      </c>
    </row>
    <row r="4978" spans="1:10" s="3" customFormat="1" ht="45">
      <c r="B4978" s="3" t="s">
        <v>2186</v>
      </c>
      <c r="C4978" s="1"/>
      <c r="D4978" s="3" t="s">
        <v>2186</v>
      </c>
      <c r="E4978" s="1">
        <v>0</v>
      </c>
      <c r="F4978" s="6" t="s">
        <v>1</v>
      </c>
      <c r="G4978" s="60">
        <f>'Allocation Worksheet'!H4978</f>
        <v>0</v>
      </c>
      <c r="H4978" s="60">
        <f>'Allocation Worksheet'!H4979</f>
        <v>0</v>
      </c>
      <c r="I4978" s="60">
        <f>'Allocation Worksheet'!H4980</f>
        <v>0</v>
      </c>
      <c r="J4978" s="3" t="str">
        <f t="shared" si="357"/>
        <v/>
      </c>
    </row>
    <row r="4979" spans="1:10" s="3" customFormat="1">
      <c r="C4979" s="7" t="s">
        <v>2087</v>
      </c>
      <c r="D4979" s="3" t="s">
        <v>2186</v>
      </c>
      <c r="E4979" s="7" t="s">
        <v>3</v>
      </c>
      <c r="F4979" s="10"/>
      <c r="G4979" s="9">
        <f>'Allocation Worksheet'!$D$70</f>
        <v>234199</v>
      </c>
      <c r="H4979" s="11"/>
      <c r="I4979" s="11"/>
      <c r="J4979" s="3" t="str">
        <f t="shared" si="357"/>
        <v>UT</v>
      </c>
    </row>
    <row r="4980" spans="1:10" s="3" customFormat="1">
      <c r="B4980" s="3" t="s">
        <v>2151</v>
      </c>
      <c r="C4980" s="8">
        <v>0</v>
      </c>
      <c r="D4980" s="3" t="s">
        <v>2187</v>
      </c>
      <c r="E4980" s="11" t="s">
        <v>4</v>
      </c>
      <c r="F4980" s="10">
        <v>1.3810000000000001E-3</v>
      </c>
      <c r="G4980" s="12">
        <f>ROUND(G$3*F4980,0)</f>
        <v>397</v>
      </c>
      <c r="H4980" s="13">
        <f>ROUND(G4980/2,0)</f>
        <v>199</v>
      </c>
      <c r="I4980" s="12">
        <f>G4980-H4980</f>
        <v>198</v>
      </c>
      <c r="J4980" s="3" t="str">
        <f t="shared" si="357"/>
        <v>6700000</v>
      </c>
    </row>
    <row r="4981" spans="1:10" s="3" customFormat="1">
      <c r="B4981" s="3" t="s">
        <v>2151</v>
      </c>
      <c r="C4981" s="8">
        <v>1</v>
      </c>
      <c r="D4981" s="3" t="s">
        <v>2187</v>
      </c>
      <c r="E4981" s="11" t="s">
        <v>1474</v>
      </c>
      <c r="F4981" s="10">
        <v>0.17558399999999999</v>
      </c>
      <c r="G4981" s="9">
        <f>ROUND(G$3*F4981,0)</f>
        <v>50520</v>
      </c>
      <c r="H4981" s="11">
        <f>ROUND(G4981/2,0)</f>
        <v>25260</v>
      </c>
      <c r="I4981" s="9">
        <f>G4981-H4981</f>
        <v>25260</v>
      </c>
      <c r="J4981" s="3" t="str">
        <f t="shared" si="357"/>
        <v>6710000</v>
      </c>
    </row>
    <row r="4982" spans="1:10" s="3" customFormat="1">
      <c r="B4982" s="3" t="s">
        <v>2151</v>
      </c>
      <c r="C4982" s="8">
        <v>1</v>
      </c>
      <c r="D4982" s="3" t="s">
        <v>2187</v>
      </c>
      <c r="E4982" s="11" t="s">
        <v>6</v>
      </c>
      <c r="F4982" s="11"/>
      <c r="G4982" s="14">
        <v>0.25581399999999999</v>
      </c>
      <c r="H4982" s="11"/>
      <c r="I4982" s="11"/>
      <c r="J4982" s="3" t="str">
        <f t="shared" si="357"/>
        <v>6710000</v>
      </c>
    </row>
    <row r="4983" spans="1:10" s="3" customFormat="1">
      <c r="B4983" s="3" t="s">
        <v>2151</v>
      </c>
      <c r="C4983" s="8">
        <v>1</v>
      </c>
      <c r="D4983" s="3" t="s">
        <v>2187</v>
      </c>
      <c r="E4983" s="11" t="s">
        <v>7</v>
      </c>
      <c r="F4983" s="11"/>
      <c r="G4983" s="15">
        <f>ROUND(G4981*G4982,0)</f>
        <v>12924</v>
      </c>
      <c r="H4983" s="16">
        <f>ROUND(G4983/2,0)</f>
        <v>6462</v>
      </c>
      <c r="I4983" s="15">
        <f>G4983-H4983</f>
        <v>6462</v>
      </c>
      <c r="J4983" s="3" t="str">
        <f t="shared" si="357"/>
        <v>6710000</v>
      </c>
    </row>
    <row r="4984" spans="1:10" s="3" customFormat="1">
      <c r="B4984" s="3" t="s">
        <v>2151</v>
      </c>
      <c r="C4984" s="8">
        <v>1</v>
      </c>
      <c r="D4984" s="3" t="s">
        <v>2187</v>
      </c>
      <c r="E4984" s="11" t="s">
        <v>8</v>
      </c>
      <c r="F4984" s="11"/>
      <c r="G4984" s="12">
        <f>+G4981-G4983</f>
        <v>37596</v>
      </c>
      <c r="H4984" s="13">
        <f>ROUND(G4984/2,0)</f>
        <v>18798</v>
      </c>
      <c r="I4984" s="12">
        <f>G4984-H4984</f>
        <v>18798</v>
      </c>
      <c r="J4984" s="3" t="str">
        <f t="shared" si="357"/>
        <v>6710000</v>
      </c>
    </row>
    <row r="4985" spans="1:10" s="3" customFormat="1">
      <c r="B4985" s="3" t="s">
        <v>2151</v>
      </c>
      <c r="C4985" s="8">
        <v>2</v>
      </c>
      <c r="D4985" s="3" t="s">
        <v>2188</v>
      </c>
      <c r="E4985" s="11" t="s">
        <v>147</v>
      </c>
      <c r="F4985" s="11"/>
      <c r="G4985" s="9"/>
      <c r="H4985" s="11"/>
      <c r="I4985" s="11"/>
      <c r="J4985" s="3" t="str">
        <f t="shared" si="357"/>
        <v>6720001</v>
      </c>
    </row>
    <row r="4986" spans="1:10" s="3" customFormat="1">
      <c r="B4986" s="3" t="s">
        <v>2151</v>
      </c>
      <c r="C4986" s="8">
        <v>2</v>
      </c>
      <c r="D4986" s="3" t="s">
        <v>2188</v>
      </c>
      <c r="E4986" s="11" t="s">
        <v>10</v>
      </c>
      <c r="F4986" s="10">
        <v>1.17E-4</v>
      </c>
      <c r="G4986" s="12">
        <f>ROUND(G$3*F4986,0)</f>
        <v>34</v>
      </c>
      <c r="H4986" s="13">
        <f>ROUND(G4986/2,0)</f>
        <v>17</v>
      </c>
      <c r="I4986" s="12">
        <f>G4986-H4986</f>
        <v>17</v>
      </c>
      <c r="J4986" s="3" t="str">
        <f t="shared" si="357"/>
        <v>6720001</v>
      </c>
    </row>
    <row r="4987" spans="1:10" s="3" customFormat="1">
      <c r="A4987" s="3" t="s">
        <v>6269</v>
      </c>
      <c r="B4987" s="3" t="s">
        <v>2151</v>
      </c>
      <c r="C4987" s="8">
        <v>2</v>
      </c>
      <c r="D4987" s="3" t="s">
        <v>2188</v>
      </c>
      <c r="E4987" s="11" t="s">
        <v>11</v>
      </c>
      <c r="F4987" s="10">
        <v>0</v>
      </c>
      <c r="G4987" s="12">
        <f>ROUND(G$3*F4987,0)</f>
        <v>0</v>
      </c>
      <c r="H4987" s="13">
        <f>ROUND(G4987/2,0)</f>
        <v>0</v>
      </c>
      <c r="I4987" s="12">
        <f>G4987-H4987</f>
        <v>0</v>
      </c>
      <c r="J4987" s="3" t="str">
        <f t="shared" si="357"/>
        <v>6720001</v>
      </c>
    </row>
    <row r="4988" spans="1:10" s="3" customFormat="1">
      <c r="B4988" s="3" t="s">
        <v>2151</v>
      </c>
      <c r="C4988" s="8">
        <v>2</v>
      </c>
      <c r="D4988" s="3" t="s">
        <v>2189</v>
      </c>
      <c r="E4988" s="11" t="s">
        <v>1475</v>
      </c>
      <c r="F4988" s="11"/>
      <c r="G4988" s="9"/>
      <c r="H4988" s="11"/>
      <c r="I4988" s="11"/>
      <c r="J4988" s="3" t="str">
        <f t="shared" si="357"/>
        <v>6720002</v>
      </c>
    </row>
    <row r="4989" spans="1:10" s="3" customFormat="1">
      <c r="B4989" s="3" t="s">
        <v>2151</v>
      </c>
      <c r="C4989" s="8">
        <v>2</v>
      </c>
      <c r="D4989" s="3" t="s">
        <v>2189</v>
      </c>
      <c r="E4989" s="11" t="s">
        <v>10</v>
      </c>
      <c r="F4989" s="10">
        <v>2.2100000000000002E-3</v>
      </c>
      <c r="G4989" s="12">
        <f>ROUND(G$3*F4989,0)</f>
        <v>636</v>
      </c>
      <c r="H4989" s="13">
        <f>ROUND(G4989/2,0)</f>
        <v>318</v>
      </c>
      <c r="I4989" s="12">
        <f>G4989-H4989</f>
        <v>318</v>
      </c>
      <c r="J4989" s="3" t="str">
        <f t="shared" si="357"/>
        <v>6720002</v>
      </c>
    </row>
    <row r="4990" spans="1:10" s="3" customFormat="1">
      <c r="B4990" s="3" t="s">
        <v>2151</v>
      </c>
      <c r="C4990" s="8">
        <v>2</v>
      </c>
      <c r="D4990" s="3" t="s">
        <v>2189</v>
      </c>
      <c r="E4990" s="11" t="s">
        <v>11</v>
      </c>
      <c r="F4990" s="10">
        <v>4.75E-4</v>
      </c>
      <c r="G4990" s="12">
        <f>ROUND(G$3*F4990,0)</f>
        <v>137</v>
      </c>
      <c r="H4990" s="13">
        <f>ROUND(G4990/2,0)</f>
        <v>69</v>
      </c>
      <c r="I4990" s="12">
        <f>G4990-H4990</f>
        <v>68</v>
      </c>
      <c r="J4990" s="3" t="str">
        <f t="shared" si="357"/>
        <v>6720002</v>
      </c>
    </row>
    <row r="4991" spans="1:10" s="3" customFormat="1">
      <c r="B4991" s="3" t="s">
        <v>2151</v>
      </c>
      <c r="C4991" s="8">
        <v>2</v>
      </c>
      <c r="D4991" s="3" t="s">
        <v>2190</v>
      </c>
      <c r="E4991" s="11" t="s">
        <v>1476</v>
      </c>
      <c r="F4991" s="11"/>
      <c r="G4991" s="9"/>
      <c r="H4991" s="11"/>
      <c r="I4991" s="11"/>
      <c r="J4991" s="3" t="str">
        <f t="shared" si="357"/>
        <v>6720003</v>
      </c>
    </row>
    <row r="4992" spans="1:10" s="3" customFormat="1">
      <c r="B4992" s="3" t="s">
        <v>2151</v>
      </c>
      <c r="C4992" s="8">
        <v>2</v>
      </c>
      <c r="D4992" s="3" t="s">
        <v>2190</v>
      </c>
      <c r="E4992" s="11" t="s">
        <v>10</v>
      </c>
      <c r="F4992" s="10">
        <v>6.8499999999999995E-4</v>
      </c>
      <c r="G4992" s="12">
        <f>ROUND(G$3*F4992,0)</f>
        <v>197</v>
      </c>
      <c r="H4992" s="13">
        <f>ROUND(G4992/2,0)</f>
        <v>99</v>
      </c>
      <c r="I4992" s="12">
        <f>G4992-H4992</f>
        <v>98</v>
      </c>
      <c r="J4992" s="3" t="str">
        <f t="shared" si="357"/>
        <v>6720003</v>
      </c>
    </row>
    <row r="4993" spans="1:10" s="3" customFormat="1">
      <c r="A4993" s="3" t="s">
        <v>6269</v>
      </c>
      <c r="B4993" s="3" t="s">
        <v>2151</v>
      </c>
      <c r="C4993" s="8">
        <v>2</v>
      </c>
      <c r="D4993" s="3" t="s">
        <v>2190</v>
      </c>
      <c r="E4993" s="11" t="s">
        <v>11</v>
      </c>
      <c r="F4993" s="10">
        <v>0</v>
      </c>
      <c r="G4993" s="12">
        <f>ROUND(G$3*F4993,0)</f>
        <v>0</v>
      </c>
      <c r="H4993" s="13">
        <f>ROUND(G4993/2,0)</f>
        <v>0</v>
      </c>
      <c r="I4993" s="12">
        <f>G4993-H4993</f>
        <v>0</v>
      </c>
      <c r="J4993" s="3" t="str">
        <f t="shared" si="357"/>
        <v>6720003</v>
      </c>
    </row>
    <row r="4994" spans="1:10" s="3" customFormat="1">
      <c r="B4994" s="3" t="s">
        <v>2151</v>
      </c>
      <c r="C4994" s="8">
        <v>2</v>
      </c>
      <c r="D4994" s="3" t="s">
        <v>2191</v>
      </c>
      <c r="E4994" s="11" t="s">
        <v>372</v>
      </c>
      <c r="F4994" s="11"/>
      <c r="G4994" s="9"/>
      <c r="H4994" s="11"/>
      <c r="I4994" s="11"/>
      <c r="J4994" s="3" t="str">
        <f t="shared" si="357"/>
        <v>6720004</v>
      </c>
    </row>
    <row r="4995" spans="1:10" s="3" customFormat="1">
      <c r="B4995" s="3" t="s">
        <v>2151</v>
      </c>
      <c r="C4995" s="8">
        <v>2</v>
      </c>
      <c r="D4995" s="3" t="s">
        <v>2191</v>
      </c>
      <c r="E4995" s="11" t="s">
        <v>10</v>
      </c>
      <c r="F4995" s="10">
        <v>6.6200000000000005E-4</v>
      </c>
      <c r="G4995" s="12">
        <f>ROUND(G$3*F4995,0)</f>
        <v>190</v>
      </c>
      <c r="H4995" s="13">
        <f>ROUND(G4995/2,0)</f>
        <v>95</v>
      </c>
      <c r="I4995" s="12">
        <f>G4995-H4995</f>
        <v>95</v>
      </c>
      <c r="J4995" s="3" t="str">
        <f t="shared" si="357"/>
        <v>6720004</v>
      </c>
    </row>
    <row r="4996" spans="1:10" s="3" customFormat="1">
      <c r="A4996" s="3" t="s">
        <v>6269</v>
      </c>
      <c r="B4996" s="3" t="s">
        <v>2151</v>
      </c>
      <c r="C4996" s="8">
        <v>2</v>
      </c>
      <c r="D4996" s="3" t="s">
        <v>2191</v>
      </c>
      <c r="E4996" s="11" t="s">
        <v>11</v>
      </c>
      <c r="F4996" s="10">
        <v>0</v>
      </c>
      <c r="G4996" s="12">
        <f>ROUND(G$3*F4996,0)</f>
        <v>0</v>
      </c>
      <c r="H4996" s="13">
        <f>ROUND(G4996/2,0)</f>
        <v>0</v>
      </c>
      <c r="I4996" s="12">
        <f>G4996-H4996</f>
        <v>0</v>
      </c>
      <c r="J4996" s="3" t="str">
        <f t="shared" ref="J4996:J5059" si="363">B4996&amp;C4996&amp;D4996</f>
        <v>6720004</v>
      </c>
    </row>
    <row r="4997" spans="1:10" s="3" customFormat="1">
      <c r="B4997" s="3" t="s">
        <v>2151</v>
      </c>
      <c r="C4997" s="8">
        <v>2</v>
      </c>
      <c r="D4997" s="3" t="s">
        <v>2192</v>
      </c>
      <c r="E4997" s="11" t="s">
        <v>1477</v>
      </c>
      <c r="F4997" s="11"/>
      <c r="G4997" s="9"/>
      <c r="H4997" s="11"/>
      <c r="I4997" s="11"/>
      <c r="J4997" s="3" t="str">
        <f t="shared" si="363"/>
        <v>6720005</v>
      </c>
    </row>
    <row r="4998" spans="1:10" s="3" customFormat="1">
      <c r="B4998" s="3" t="s">
        <v>2151</v>
      </c>
      <c r="C4998" s="8">
        <v>2</v>
      </c>
      <c r="D4998" s="3" t="s">
        <v>2192</v>
      </c>
      <c r="E4998" s="11" t="s">
        <v>10</v>
      </c>
      <c r="F4998" s="10">
        <v>3.156E-3</v>
      </c>
      <c r="G4998" s="12">
        <f>ROUND(G$3*F4998,0)</f>
        <v>908</v>
      </c>
      <c r="H4998" s="13">
        <f>ROUND(G4998/2,0)</f>
        <v>454</v>
      </c>
      <c r="I4998" s="12">
        <f>G4998-H4998</f>
        <v>454</v>
      </c>
      <c r="J4998" s="3" t="str">
        <f t="shared" si="363"/>
        <v>6720005</v>
      </c>
    </row>
    <row r="4999" spans="1:10" s="3" customFormat="1">
      <c r="B4999" s="3" t="s">
        <v>2151</v>
      </c>
      <c r="C4999" s="8">
        <v>2</v>
      </c>
      <c r="D4999" s="3" t="s">
        <v>2192</v>
      </c>
      <c r="E4999" s="11" t="s">
        <v>11</v>
      </c>
      <c r="F4999" s="10">
        <v>8.5999999999999998E-4</v>
      </c>
      <c r="G4999" s="12">
        <f>ROUND(G$3*F4999,0)</f>
        <v>247</v>
      </c>
      <c r="H4999" s="13">
        <f>ROUND(G4999/2,0)</f>
        <v>124</v>
      </c>
      <c r="I4999" s="12">
        <f>G4999-H4999</f>
        <v>123</v>
      </c>
      <c r="J4999" s="3" t="str">
        <f t="shared" si="363"/>
        <v>6720005</v>
      </c>
    </row>
    <row r="5000" spans="1:10" s="3" customFormat="1">
      <c r="B5000" s="3" t="s">
        <v>2151</v>
      </c>
      <c r="C5000" s="8">
        <v>2</v>
      </c>
      <c r="D5000" s="3" t="s">
        <v>2193</v>
      </c>
      <c r="E5000" s="11" t="s">
        <v>49</v>
      </c>
      <c r="F5000" s="11"/>
      <c r="G5000" s="9"/>
      <c r="H5000" s="11"/>
      <c r="I5000" s="11"/>
      <c r="J5000" s="3" t="str">
        <f t="shared" si="363"/>
        <v>6720006</v>
      </c>
    </row>
    <row r="5001" spans="1:10" s="3" customFormat="1">
      <c r="B5001" s="3" t="s">
        <v>2151</v>
      </c>
      <c r="C5001" s="8">
        <v>2</v>
      </c>
      <c r="D5001" s="3" t="s">
        <v>2193</v>
      </c>
      <c r="E5001" s="11" t="s">
        <v>10</v>
      </c>
      <c r="F5001" s="10">
        <v>1.63E-4</v>
      </c>
      <c r="G5001" s="12">
        <f>ROUND(G$3*F5001,0)</f>
        <v>47</v>
      </c>
      <c r="H5001" s="13">
        <f>ROUND(G5001/2,0)</f>
        <v>24</v>
      </c>
      <c r="I5001" s="12">
        <f>G5001-H5001</f>
        <v>23</v>
      </c>
      <c r="J5001" s="3" t="str">
        <f t="shared" si="363"/>
        <v>6720006</v>
      </c>
    </row>
    <row r="5002" spans="1:10" s="3" customFormat="1">
      <c r="A5002" s="3" t="s">
        <v>6269</v>
      </c>
      <c r="B5002" s="3" t="s">
        <v>2151</v>
      </c>
      <c r="C5002" s="8">
        <v>2</v>
      </c>
      <c r="D5002" s="3" t="s">
        <v>2193</v>
      </c>
      <c r="E5002" s="11" t="s">
        <v>11</v>
      </c>
      <c r="F5002" s="10">
        <v>0</v>
      </c>
      <c r="G5002" s="12">
        <f>ROUND(G$3*F5002,0)</f>
        <v>0</v>
      </c>
      <c r="H5002" s="13">
        <f>ROUND(G5002/2,0)</f>
        <v>0</v>
      </c>
      <c r="I5002" s="12">
        <f>G5002-H5002</f>
        <v>0</v>
      </c>
      <c r="J5002" s="3" t="str">
        <f t="shared" si="363"/>
        <v>6720006</v>
      </c>
    </row>
    <row r="5003" spans="1:10" s="3" customFormat="1">
      <c r="B5003" s="3" t="s">
        <v>2151</v>
      </c>
      <c r="C5003" s="8">
        <v>2</v>
      </c>
      <c r="D5003" s="3" t="s">
        <v>2194</v>
      </c>
      <c r="E5003" s="11" t="s">
        <v>14</v>
      </c>
      <c r="F5003" s="11"/>
      <c r="G5003" s="9"/>
      <c r="H5003" s="11"/>
      <c r="I5003" s="11"/>
      <c r="J5003" s="3" t="str">
        <f t="shared" si="363"/>
        <v>6720007</v>
      </c>
    </row>
    <row r="5004" spans="1:10" s="3" customFormat="1">
      <c r="B5004" s="3" t="s">
        <v>2151</v>
      </c>
      <c r="C5004" s="8">
        <v>2</v>
      </c>
      <c r="D5004" s="3" t="s">
        <v>2194</v>
      </c>
      <c r="E5004" s="11" t="s">
        <v>10</v>
      </c>
      <c r="F5004" s="10">
        <v>3.3500000000000001E-4</v>
      </c>
      <c r="G5004" s="12">
        <f>ROUND(G$3*F5004,0)</f>
        <v>96</v>
      </c>
      <c r="H5004" s="13">
        <f>ROUND(G5004/2,0)</f>
        <v>48</v>
      </c>
      <c r="I5004" s="12">
        <f>G5004-H5004</f>
        <v>48</v>
      </c>
      <c r="J5004" s="3" t="str">
        <f t="shared" si="363"/>
        <v>6720007</v>
      </c>
    </row>
    <row r="5005" spans="1:10" s="3" customFormat="1">
      <c r="B5005" s="3" t="s">
        <v>2151</v>
      </c>
      <c r="C5005" s="8">
        <v>2</v>
      </c>
      <c r="D5005" s="3" t="s">
        <v>2194</v>
      </c>
      <c r="E5005" s="11" t="s">
        <v>11</v>
      </c>
      <c r="F5005" s="10">
        <v>1.7899999999999999E-4</v>
      </c>
      <c r="G5005" s="12">
        <f>ROUND(G$3*F5005,0)</f>
        <v>52</v>
      </c>
      <c r="H5005" s="13">
        <f>ROUND(G5005/2,0)</f>
        <v>26</v>
      </c>
      <c r="I5005" s="12">
        <f>G5005-H5005</f>
        <v>26</v>
      </c>
      <c r="J5005" s="3" t="str">
        <f t="shared" si="363"/>
        <v>6720007</v>
      </c>
    </row>
    <row r="5006" spans="1:10" s="3" customFormat="1">
      <c r="B5006" s="3" t="s">
        <v>2151</v>
      </c>
      <c r="C5006" s="8">
        <v>2</v>
      </c>
      <c r="D5006" s="3" t="s">
        <v>2195</v>
      </c>
      <c r="E5006" s="11" t="s">
        <v>52</v>
      </c>
      <c r="F5006" s="11"/>
      <c r="G5006" s="9"/>
      <c r="H5006" s="11"/>
      <c r="I5006" s="11"/>
      <c r="J5006" s="3" t="str">
        <f t="shared" si="363"/>
        <v>6720008</v>
      </c>
    </row>
    <row r="5007" spans="1:10" s="3" customFormat="1">
      <c r="B5007" s="3" t="s">
        <v>2151</v>
      </c>
      <c r="C5007" s="8">
        <v>2</v>
      </c>
      <c r="D5007" s="3" t="s">
        <v>2195</v>
      </c>
      <c r="E5007" s="11" t="s">
        <v>10</v>
      </c>
      <c r="F5007" s="10">
        <v>2.078E-3</v>
      </c>
      <c r="G5007" s="12">
        <f>ROUND(G$3*F5007,0)</f>
        <v>598</v>
      </c>
      <c r="H5007" s="13">
        <f>ROUND(G5007/2,0)</f>
        <v>299</v>
      </c>
      <c r="I5007" s="12">
        <f>G5007-H5007</f>
        <v>299</v>
      </c>
      <c r="J5007" s="3" t="str">
        <f t="shared" si="363"/>
        <v>6720008</v>
      </c>
    </row>
    <row r="5008" spans="1:10" s="3" customFormat="1">
      <c r="B5008" s="3" t="s">
        <v>2151</v>
      </c>
      <c r="C5008" s="8">
        <v>2</v>
      </c>
      <c r="D5008" s="3" t="s">
        <v>2195</v>
      </c>
      <c r="E5008" s="11" t="s">
        <v>11</v>
      </c>
      <c r="F5008" s="10">
        <v>4.5100000000000001E-4</v>
      </c>
      <c r="G5008" s="12">
        <f>ROUND(G$3*F5008,0)</f>
        <v>130</v>
      </c>
      <c r="H5008" s="13">
        <f>ROUND(G5008/2,0)</f>
        <v>65</v>
      </c>
      <c r="I5008" s="12">
        <f>G5008-H5008</f>
        <v>65</v>
      </c>
      <c r="J5008" s="3" t="str">
        <f t="shared" si="363"/>
        <v>6720008</v>
      </c>
    </row>
    <row r="5009" spans="1:10" s="3" customFormat="1">
      <c r="B5009" s="3" t="s">
        <v>2151</v>
      </c>
      <c r="C5009" s="8">
        <v>2</v>
      </c>
      <c r="D5009" s="3" t="s">
        <v>2196</v>
      </c>
      <c r="E5009" s="11" t="s">
        <v>53</v>
      </c>
      <c r="F5009" s="11"/>
      <c r="G5009" s="9"/>
      <c r="H5009" s="11"/>
      <c r="I5009" s="11"/>
      <c r="J5009" s="3" t="str">
        <f t="shared" si="363"/>
        <v>6720009</v>
      </c>
    </row>
    <row r="5010" spans="1:10" s="3" customFormat="1">
      <c r="B5010" s="3" t="s">
        <v>2151</v>
      </c>
      <c r="C5010" s="8">
        <v>2</v>
      </c>
      <c r="D5010" s="3" t="s">
        <v>2196</v>
      </c>
      <c r="E5010" s="11" t="s">
        <v>10</v>
      </c>
      <c r="F5010" s="10">
        <v>4.1199999999999999E-4</v>
      </c>
      <c r="G5010" s="12">
        <f>ROUND(G$3*F5010,0)</f>
        <v>119</v>
      </c>
      <c r="H5010" s="13">
        <f>ROUND(G5010/2,0)</f>
        <v>60</v>
      </c>
      <c r="I5010" s="12">
        <f>G5010-H5010</f>
        <v>59</v>
      </c>
      <c r="J5010" s="3" t="str">
        <f t="shared" si="363"/>
        <v>6720009</v>
      </c>
    </row>
    <row r="5011" spans="1:10" s="3" customFormat="1">
      <c r="B5011" s="3" t="s">
        <v>2151</v>
      </c>
      <c r="C5011" s="8">
        <v>2</v>
      </c>
      <c r="D5011" s="3" t="s">
        <v>2196</v>
      </c>
      <c r="E5011" s="11" t="s">
        <v>11</v>
      </c>
      <c r="F5011" s="10">
        <v>5.9500000000000004E-4</v>
      </c>
      <c r="G5011" s="12">
        <f>ROUND(G$3*F5011,0)</f>
        <v>171</v>
      </c>
      <c r="H5011" s="13">
        <f>ROUND(G5011/2,0)</f>
        <v>86</v>
      </c>
      <c r="I5011" s="12">
        <f>G5011-H5011</f>
        <v>85</v>
      </c>
      <c r="J5011" s="3" t="str">
        <f t="shared" si="363"/>
        <v>6720009</v>
      </c>
    </row>
    <row r="5012" spans="1:10" s="3" customFormat="1">
      <c r="B5012" s="3" t="s">
        <v>2151</v>
      </c>
      <c r="C5012" s="8">
        <v>2</v>
      </c>
      <c r="D5012" s="3" t="s">
        <v>2197</v>
      </c>
      <c r="E5012" s="11" t="s">
        <v>16</v>
      </c>
      <c r="F5012" s="11"/>
      <c r="G5012" s="9"/>
      <c r="H5012" s="11"/>
      <c r="I5012" s="11"/>
      <c r="J5012" s="3" t="str">
        <f t="shared" si="363"/>
        <v>6720010</v>
      </c>
    </row>
    <row r="5013" spans="1:10" s="3" customFormat="1">
      <c r="B5013" s="3" t="s">
        <v>2151</v>
      </c>
      <c r="C5013" s="8">
        <v>2</v>
      </c>
      <c r="D5013" s="3" t="s">
        <v>2197</v>
      </c>
      <c r="E5013" s="11" t="s">
        <v>10</v>
      </c>
      <c r="F5013" s="10">
        <v>3.77E-4</v>
      </c>
      <c r="G5013" s="12">
        <f>ROUND(G$3*F5013,0)</f>
        <v>108</v>
      </c>
      <c r="H5013" s="13">
        <f>ROUND(G5013/2,0)</f>
        <v>54</v>
      </c>
      <c r="I5013" s="12">
        <f>G5013-H5013</f>
        <v>54</v>
      </c>
      <c r="J5013" s="3" t="str">
        <f t="shared" si="363"/>
        <v>6720010</v>
      </c>
    </row>
    <row r="5014" spans="1:10" s="3" customFormat="1">
      <c r="A5014" s="3" t="s">
        <v>6269</v>
      </c>
      <c r="B5014" s="3" t="s">
        <v>2151</v>
      </c>
      <c r="C5014" s="8">
        <v>2</v>
      </c>
      <c r="D5014" s="3" t="s">
        <v>2197</v>
      </c>
      <c r="E5014" s="11" t="s">
        <v>11</v>
      </c>
      <c r="F5014" s="10">
        <v>0</v>
      </c>
      <c r="G5014" s="12">
        <f>ROUND(G$3*F5014,0)</f>
        <v>0</v>
      </c>
      <c r="H5014" s="13">
        <f>ROUND(G5014/2,0)</f>
        <v>0</v>
      </c>
      <c r="I5014" s="12">
        <f>G5014-H5014</f>
        <v>0</v>
      </c>
      <c r="J5014" s="3" t="str">
        <f t="shared" si="363"/>
        <v>6720010</v>
      </c>
    </row>
    <row r="5015" spans="1:10" s="3" customFormat="1">
      <c r="B5015" s="3" t="s">
        <v>2151</v>
      </c>
      <c r="C5015" s="8">
        <v>2</v>
      </c>
      <c r="D5015" s="3" t="s">
        <v>2198</v>
      </c>
      <c r="E5015" s="11" t="s">
        <v>1478</v>
      </c>
      <c r="F5015" s="11"/>
      <c r="G5015" s="9"/>
      <c r="H5015" s="11"/>
      <c r="I5015" s="11"/>
      <c r="J5015" s="3" t="str">
        <f t="shared" si="363"/>
        <v>6720011</v>
      </c>
    </row>
    <row r="5016" spans="1:10" s="3" customFormat="1">
      <c r="B5016" s="3" t="s">
        <v>2151</v>
      </c>
      <c r="C5016" s="8">
        <v>2</v>
      </c>
      <c r="D5016" s="3" t="s">
        <v>2198</v>
      </c>
      <c r="E5016" s="11" t="s">
        <v>10</v>
      </c>
      <c r="F5016" s="10">
        <v>4.0099999999999999E-4</v>
      </c>
      <c r="G5016" s="12">
        <f>ROUND(G$3*F5016,0)</f>
        <v>115</v>
      </c>
      <c r="H5016" s="13">
        <f>ROUND(G5016/2,0)</f>
        <v>58</v>
      </c>
      <c r="I5016" s="12">
        <f>G5016-H5016</f>
        <v>57</v>
      </c>
      <c r="J5016" s="3" t="str">
        <f t="shared" si="363"/>
        <v>6720011</v>
      </c>
    </row>
    <row r="5017" spans="1:10" s="3" customFormat="1">
      <c r="B5017" s="3" t="s">
        <v>2151</v>
      </c>
      <c r="C5017" s="8">
        <v>2</v>
      </c>
      <c r="D5017" s="3" t="s">
        <v>2198</v>
      </c>
      <c r="E5017" s="11" t="s">
        <v>11</v>
      </c>
      <c r="F5017" s="10">
        <v>5.4100000000000003E-4</v>
      </c>
      <c r="G5017" s="12">
        <f>ROUND(G$3*F5017,0)</f>
        <v>156</v>
      </c>
      <c r="H5017" s="13">
        <f>ROUND(G5017/2,0)</f>
        <v>78</v>
      </c>
      <c r="I5017" s="12">
        <f>G5017-H5017</f>
        <v>78</v>
      </c>
      <c r="J5017" s="3" t="str">
        <f t="shared" si="363"/>
        <v>6720011</v>
      </c>
    </row>
    <row r="5018" spans="1:10" s="3" customFormat="1">
      <c r="B5018" s="3" t="s">
        <v>2151</v>
      </c>
      <c r="C5018" s="8">
        <v>2</v>
      </c>
      <c r="D5018" s="3" t="s">
        <v>2199</v>
      </c>
      <c r="E5018" s="11" t="s">
        <v>272</v>
      </c>
      <c r="F5018" s="11"/>
      <c r="G5018" s="9"/>
      <c r="H5018" s="11"/>
      <c r="I5018" s="11"/>
      <c r="J5018" s="3" t="str">
        <f t="shared" si="363"/>
        <v>6720012</v>
      </c>
    </row>
    <row r="5019" spans="1:10" s="3" customFormat="1">
      <c r="B5019" s="3" t="s">
        <v>2151</v>
      </c>
      <c r="C5019" s="8">
        <v>2</v>
      </c>
      <c r="D5019" s="3" t="s">
        <v>2199</v>
      </c>
      <c r="E5019" s="11" t="s">
        <v>10</v>
      </c>
      <c r="F5019" s="10">
        <v>2.5700000000000001E-4</v>
      </c>
      <c r="G5019" s="12">
        <f>ROUND(G$3*F5019,0)</f>
        <v>74</v>
      </c>
      <c r="H5019" s="13">
        <f>ROUND(G5019/2,0)</f>
        <v>37</v>
      </c>
      <c r="I5019" s="12">
        <f>G5019-H5019</f>
        <v>37</v>
      </c>
      <c r="J5019" s="3" t="str">
        <f t="shared" si="363"/>
        <v>6720012</v>
      </c>
    </row>
    <row r="5020" spans="1:10" s="3" customFormat="1">
      <c r="B5020" s="3" t="s">
        <v>2151</v>
      </c>
      <c r="C5020" s="8">
        <v>2</v>
      </c>
      <c r="D5020" s="3" t="s">
        <v>2199</v>
      </c>
      <c r="E5020" s="11" t="s">
        <v>11</v>
      </c>
      <c r="F5020" s="10">
        <v>2.33E-4</v>
      </c>
      <c r="G5020" s="12">
        <f>ROUND(G$3*F5020,0)</f>
        <v>67</v>
      </c>
      <c r="H5020" s="13">
        <f>ROUND(G5020/2,0)</f>
        <v>34</v>
      </c>
      <c r="I5020" s="12">
        <f>G5020-H5020</f>
        <v>33</v>
      </c>
      <c r="J5020" s="3" t="str">
        <f t="shared" si="363"/>
        <v>6720012</v>
      </c>
    </row>
    <row r="5021" spans="1:10" s="3" customFormat="1">
      <c r="B5021" s="3" t="s">
        <v>2151</v>
      </c>
      <c r="C5021" s="8">
        <v>2</v>
      </c>
      <c r="D5021" s="3" t="s">
        <v>2208</v>
      </c>
      <c r="E5021" s="11" t="s">
        <v>22</v>
      </c>
      <c r="F5021" s="11"/>
      <c r="G5021" s="9"/>
      <c r="H5021" s="11"/>
      <c r="I5021" s="11"/>
      <c r="J5021" s="3" t="str">
        <f t="shared" si="363"/>
        <v>6720013</v>
      </c>
    </row>
    <row r="5022" spans="1:10" s="3" customFormat="1">
      <c r="B5022" s="3" t="s">
        <v>2151</v>
      </c>
      <c r="C5022" s="8">
        <v>2</v>
      </c>
      <c r="D5022" s="3" t="s">
        <v>2208</v>
      </c>
      <c r="E5022" s="11" t="s">
        <v>10</v>
      </c>
      <c r="F5022" s="10">
        <v>1.2340000000000001E-3</v>
      </c>
      <c r="G5022" s="12">
        <f t="shared" ref="G5022:G5030" si="364">ROUND(G$3*F5022,0)</f>
        <v>355</v>
      </c>
      <c r="H5022" s="13">
        <f t="shared" ref="H5022:H5030" si="365">ROUND(G5022/2,0)</f>
        <v>178</v>
      </c>
      <c r="I5022" s="12">
        <f t="shared" ref="I5022:I5030" si="366">G5022-H5022</f>
        <v>177</v>
      </c>
      <c r="J5022" s="3" t="str">
        <f t="shared" si="363"/>
        <v>6720013</v>
      </c>
    </row>
    <row r="5023" spans="1:10" s="3" customFormat="1">
      <c r="B5023" s="3" t="s">
        <v>2151</v>
      </c>
      <c r="C5023" s="8">
        <v>2</v>
      </c>
      <c r="D5023" s="3" t="s">
        <v>2208</v>
      </c>
      <c r="E5023" s="11" t="s">
        <v>11</v>
      </c>
      <c r="F5023" s="10">
        <v>5.1000000000000004E-4</v>
      </c>
      <c r="G5023" s="12">
        <f t="shared" si="364"/>
        <v>147</v>
      </c>
      <c r="H5023" s="13">
        <f t="shared" si="365"/>
        <v>74</v>
      </c>
      <c r="I5023" s="12">
        <f t="shared" si="366"/>
        <v>73</v>
      </c>
      <c r="J5023" s="3" t="str">
        <f t="shared" si="363"/>
        <v>6720013</v>
      </c>
    </row>
    <row r="5024" spans="1:10" s="3" customFormat="1">
      <c r="B5024" s="3" t="s">
        <v>2151</v>
      </c>
      <c r="C5024" s="8">
        <v>3</v>
      </c>
      <c r="D5024" s="3" t="s">
        <v>2953</v>
      </c>
      <c r="E5024" s="11" t="s">
        <v>1479</v>
      </c>
      <c r="F5024" s="10">
        <v>1.681E-3</v>
      </c>
      <c r="G5024" s="12">
        <f t="shared" si="364"/>
        <v>484</v>
      </c>
      <c r="H5024" s="13">
        <f t="shared" si="365"/>
        <v>242</v>
      </c>
      <c r="I5024" s="12">
        <f t="shared" si="366"/>
        <v>242</v>
      </c>
      <c r="J5024" s="3" t="str">
        <f t="shared" si="363"/>
        <v>6730843</v>
      </c>
    </row>
    <row r="5025" spans="1:10" s="3" customFormat="1">
      <c r="B5025" s="3" t="s">
        <v>2151</v>
      </c>
      <c r="C5025" s="8">
        <v>3</v>
      </c>
      <c r="D5025" s="3" t="s">
        <v>2954</v>
      </c>
      <c r="E5025" s="11" t="s">
        <v>1480</v>
      </c>
      <c r="F5025" s="10">
        <v>3.1519999999999999E-3</v>
      </c>
      <c r="G5025" s="12">
        <f t="shared" si="364"/>
        <v>907</v>
      </c>
      <c r="H5025" s="13">
        <f t="shared" si="365"/>
        <v>454</v>
      </c>
      <c r="I5025" s="12">
        <f t="shared" si="366"/>
        <v>453</v>
      </c>
      <c r="J5025" s="3" t="str">
        <f t="shared" si="363"/>
        <v>6730844</v>
      </c>
    </row>
    <row r="5026" spans="1:10" s="3" customFormat="1">
      <c r="A5026" s="3" t="s">
        <v>6269</v>
      </c>
      <c r="B5026" s="3" t="s">
        <v>2151</v>
      </c>
      <c r="C5026" s="8">
        <v>3</v>
      </c>
      <c r="D5026" s="3" t="s">
        <v>2330</v>
      </c>
      <c r="E5026" s="11" t="s">
        <v>1481</v>
      </c>
      <c r="F5026" s="10">
        <v>0</v>
      </c>
      <c r="G5026" s="12">
        <f t="shared" si="364"/>
        <v>0</v>
      </c>
      <c r="H5026" s="13">
        <f t="shared" si="365"/>
        <v>0</v>
      </c>
      <c r="I5026" s="12">
        <f t="shared" si="366"/>
        <v>0</v>
      </c>
      <c r="J5026" s="3" t="str">
        <f t="shared" si="363"/>
        <v>6730965</v>
      </c>
    </row>
    <row r="5027" spans="1:10" s="3" customFormat="1">
      <c r="B5027" s="3" t="s">
        <v>2151</v>
      </c>
      <c r="C5027" s="8">
        <v>3</v>
      </c>
      <c r="D5027" s="3" t="s">
        <v>2952</v>
      </c>
      <c r="E5027" s="11" t="s">
        <v>1482</v>
      </c>
      <c r="F5027" s="10">
        <v>3.5372000000000001E-2</v>
      </c>
      <c r="G5027" s="12">
        <f t="shared" si="364"/>
        <v>10177</v>
      </c>
      <c r="H5027" s="13">
        <f t="shared" si="365"/>
        <v>5089</v>
      </c>
      <c r="I5027" s="12">
        <f t="shared" si="366"/>
        <v>5088</v>
      </c>
      <c r="J5027" s="3" t="str">
        <f t="shared" si="363"/>
        <v>6730404</v>
      </c>
    </row>
    <row r="5028" spans="1:10" s="3" customFormat="1">
      <c r="B5028" s="3" t="s">
        <v>2151</v>
      </c>
      <c r="C5028" s="8">
        <v>3</v>
      </c>
      <c r="D5028" s="3" t="s">
        <v>2955</v>
      </c>
      <c r="E5028" s="11" t="s">
        <v>1483</v>
      </c>
      <c r="F5028" s="10">
        <v>2.3310000000000002E-3</v>
      </c>
      <c r="G5028" s="12">
        <f t="shared" si="364"/>
        <v>671</v>
      </c>
      <c r="H5028" s="13">
        <f t="shared" si="365"/>
        <v>336</v>
      </c>
      <c r="I5028" s="12">
        <f t="shared" si="366"/>
        <v>335</v>
      </c>
      <c r="J5028" s="3" t="str">
        <f t="shared" si="363"/>
        <v>6730845</v>
      </c>
    </row>
    <row r="5029" spans="1:10" s="3" customFormat="1">
      <c r="B5029" s="3" t="s">
        <v>2151</v>
      </c>
      <c r="C5029" s="8">
        <v>3</v>
      </c>
      <c r="D5029" s="3" t="s">
        <v>2956</v>
      </c>
      <c r="E5029" s="11" t="s">
        <v>1484</v>
      </c>
      <c r="F5029" s="10">
        <v>1.7669999999999999E-3</v>
      </c>
      <c r="G5029" s="12">
        <f t="shared" si="364"/>
        <v>508</v>
      </c>
      <c r="H5029" s="13">
        <f t="shared" si="365"/>
        <v>254</v>
      </c>
      <c r="I5029" s="12">
        <f t="shared" si="366"/>
        <v>254</v>
      </c>
      <c r="J5029" s="3" t="str">
        <f t="shared" si="363"/>
        <v>6730846</v>
      </c>
    </row>
    <row r="5030" spans="1:10" s="3" customFormat="1">
      <c r="B5030" s="3" t="s">
        <v>2151</v>
      </c>
      <c r="C5030" s="8">
        <v>4</v>
      </c>
      <c r="D5030" s="3" t="s">
        <v>2903</v>
      </c>
      <c r="E5030" s="11" t="s">
        <v>1362</v>
      </c>
      <c r="F5030" s="10">
        <v>6.2392999999999997E-2</v>
      </c>
      <c r="G5030" s="9">
        <f t="shared" si="364"/>
        <v>17952</v>
      </c>
      <c r="H5030" s="11">
        <f t="shared" si="365"/>
        <v>8976</v>
      </c>
      <c r="I5030" s="9">
        <f t="shared" si="366"/>
        <v>8976</v>
      </c>
      <c r="J5030" s="3" t="str">
        <f t="shared" si="363"/>
        <v>6746750</v>
      </c>
    </row>
    <row r="5031" spans="1:10" s="3" customFormat="1">
      <c r="B5031" s="3" t="s">
        <v>2151</v>
      </c>
      <c r="C5031" s="8">
        <v>4</v>
      </c>
      <c r="D5031" s="3" t="s">
        <v>2903</v>
      </c>
      <c r="E5031" s="11" t="s">
        <v>28</v>
      </c>
      <c r="F5031" s="11"/>
      <c r="G5031" s="14">
        <v>0.33385799999999999</v>
      </c>
      <c r="H5031" s="11"/>
      <c r="I5031" s="11"/>
      <c r="J5031" s="3" t="str">
        <f t="shared" si="363"/>
        <v>6746750</v>
      </c>
    </row>
    <row r="5032" spans="1:10" s="3" customFormat="1">
      <c r="B5032" s="3" t="s">
        <v>2151</v>
      </c>
      <c r="C5032" s="8">
        <v>4</v>
      </c>
      <c r="D5032" s="3" t="s">
        <v>2903</v>
      </c>
      <c r="E5032" s="11" t="s">
        <v>29</v>
      </c>
      <c r="F5032" s="11"/>
      <c r="G5032" s="15">
        <f>ROUND(G5030*G5031,0)</f>
        <v>5993</v>
      </c>
      <c r="H5032" s="16">
        <f>ROUND(G5032/2,0)</f>
        <v>2997</v>
      </c>
      <c r="I5032" s="15">
        <f>G5032-H5032</f>
        <v>2996</v>
      </c>
      <c r="J5032" s="3" t="str">
        <f t="shared" si="363"/>
        <v>6746750</v>
      </c>
    </row>
    <row r="5033" spans="1:10" s="3" customFormat="1">
      <c r="B5033" s="3" t="s">
        <v>2151</v>
      </c>
      <c r="C5033" s="8">
        <v>4</v>
      </c>
      <c r="D5033" s="3" t="s">
        <v>2903</v>
      </c>
      <c r="E5033" s="11" t="s">
        <v>30</v>
      </c>
      <c r="F5033" s="11"/>
      <c r="G5033" s="12">
        <f>+G5030-G5032</f>
        <v>11959</v>
      </c>
      <c r="H5033" s="13">
        <f>ROUND(G5033/2,0)</f>
        <v>5980</v>
      </c>
      <c r="I5033" s="12">
        <f>G5033-H5033</f>
        <v>5979</v>
      </c>
      <c r="J5033" s="3" t="str">
        <f t="shared" si="363"/>
        <v>6746750</v>
      </c>
    </row>
    <row r="5034" spans="1:10" s="3" customFormat="1">
      <c r="B5034" s="3" t="s">
        <v>2151</v>
      </c>
      <c r="C5034" s="8">
        <v>4</v>
      </c>
      <c r="D5034" s="3" t="s">
        <v>2959</v>
      </c>
      <c r="E5034" s="11" t="s">
        <v>1485</v>
      </c>
      <c r="F5034" s="10">
        <v>0.284611</v>
      </c>
      <c r="G5034" s="9">
        <f>ROUND(G$3*F5034,0)</f>
        <v>81889</v>
      </c>
      <c r="H5034" s="11">
        <f>ROUND(G5034/2,0)</f>
        <v>40945</v>
      </c>
      <c r="I5034" s="9">
        <f>G5034-H5034</f>
        <v>40944</v>
      </c>
      <c r="J5034" s="3" t="str">
        <f t="shared" si="363"/>
        <v>6746755</v>
      </c>
    </row>
    <row r="5035" spans="1:10" s="3" customFormat="1">
      <c r="B5035" s="3" t="s">
        <v>2151</v>
      </c>
      <c r="C5035" s="8">
        <v>4</v>
      </c>
      <c r="D5035" s="3" t="s">
        <v>2959</v>
      </c>
      <c r="E5035" s="11" t="s">
        <v>28</v>
      </c>
      <c r="F5035" s="11"/>
      <c r="G5035" s="14">
        <v>0.430477</v>
      </c>
      <c r="H5035" s="11"/>
      <c r="I5035" s="11"/>
      <c r="J5035" s="3" t="str">
        <f t="shared" si="363"/>
        <v>6746755</v>
      </c>
    </row>
    <row r="5036" spans="1:10" s="3" customFormat="1">
      <c r="B5036" s="3" t="s">
        <v>2151</v>
      </c>
      <c r="C5036" s="8">
        <v>4</v>
      </c>
      <c r="D5036" s="3" t="s">
        <v>2959</v>
      </c>
      <c r="E5036" s="11" t="s">
        <v>29</v>
      </c>
      <c r="F5036" s="11"/>
      <c r="G5036" s="15">
        <f>ROUND(G5034*G5035,0)</f>
        <v>35251</v>
      </c>
      <c r="H5036" s="16">
        <f>ROUND(G5036/2,0)</f>
        <v>17626</v>
      </c>
      <c r="I5036" s="15">
        <f>G5036-H5036</f>
        <v>17625</v>
      </c>
      <c r="J5036" s="3" t="str">
        <f t="shared" si="363"/>
        <v>6746755</v>
      </c>
    </row>
    <row r="5037" spans="1:10" s="3" customFormat="1">
      <c r="B5037" s="3" t="s">
        <v>2151</v>
      </c>
      <c r="C5037" s="8">
        <v>4</v>
      </c>
      <c r="D5037" s="3" t="s">
        <v>2959</v>
      </c>
      <c r="E5037" s="11" t="s">
        <v>30</v>
      </c>
      <c r="F5037" s="11"/>
      <c r="G5037" s="12">
        <f>+G5034-G5036</f>
        <v>46638</v>
      </c>
      <c r="H5037" s="13">
        <f>ROUND(G5037/2,0)</f>
        <v>23319</v>
      </c>
      <c r="I5037" s="12">
        <f>G5037-H5037</f>
        <v>23319</v>
      </c>
      <c r="J5037" s="3" t="str">
        <f t="shared" si="363"/>
        <v>6746755</v>
      </c>
    </row>
    <row r="5038" spans="1:10" s="3" customFormat="1">
      <c r="B5038" s="3" t="s">
        <v>2151</v>
      </c>
      <c r="C5038" s="8">
        <v>4</v>
      </c>
      <c r="D5038" s="3" t="s">
        <v>2958</v>
      </c>
      <c r="E5038" s="11" t="s">
        <v>1486</v>
      </c>
      <c r="F5038" s="10">
        <v>0.26794499999999999</v>
      </c>
      <c r="G5038" s="9">
        <f>ROUND(G$3*F5038,0)</f>
        <v>77094</v>
      </c>
      <c r="H5038" s="11">
        <f>ROUND(G5038/2,0)</f>
        <v>38547</v>
      </c>
      <c r="I5038" s="9">
        <f>G5038-H5038</f>
        <v>38547</v>
      </c>
      <c r="J5038" s="3" t="str">
        <f t="shared" si="363"/>
        <v>6746715</v>
      </c>
    </row>
    <row r="5039" spans="1:10" s="3" customFormat="1">
      <c r="B5039" s="3" t="s">
        <v>2151</v>
      </c>
      <c r="C5039" s="8">
        <v>4</v>
      </c>
      <c r="D5039" s="3" t="s">
        <v>2958</v>
      </c>
      <c r="E5039" s="11" t="s">
        <v>28</v>
      </c>
      <c r="F5039" s="11"/>
      <c r="G5039" s="14">
        <v>0.47979300000000003</v>
      </c>
      <c r="H5039" s="11"/>
      <c r="I5039" s="11"/>
      <c r="J5039" s="3" t="str">
        <f t="shared" si="363"/>
        <v>6746715</v>
      </c>
    </row>
    <row r="5040" spans="1:10" s="3" customFormat="1">
      <c r="B5040" s="3" t="s">
        <v>2151</v>
      </c>
      <c r="C5040" s="8">
        <v>4</v>
      </c>
      <c r="D5040" s="3" t="s">
        <v>2958</v>
      </c>
      <c r="E5040" s="11" t="s">
        <v>29</v>
      </c>
      <c r="F5040" s="11"/>
      <c r="G5040" s="15">
        <f>ROUND(G5038*G5039,0)</f>
        <v>36989</v>
      </c>
      <c r="H5040" s="16">
        <f>ROUND(G5040/2,0)</f>
        <v>18495</v>
      </c>
      <c r="I5040" s="15">
        <f>G5040-H5040</f>
        <v>18494</v>
      </c>
      <c r="J5040" s="3" t="str">
        <f t="shared" si="363"/>
        <v>6746715</v>
      </c>
    </row>
    <row r="5041" spans="2:10" s="3" customFormat="1">
      <c r="B5041" s="3" t="s">
        <v>2151</v>
      </c>
      <c r="C5041" s="8">
        <v>4</v>
      </c>
      <c r="D5041" s="3" t="s">
        <v>2958</v>
      </c>
      <c r="E5041" s="11" t="s">
        <v>30</v>
      </c>
      <c r="F5041" s="11"/>
      <c r="G5041" s="12">
        <f>+G5038-G5040</f>
        <v>40105</v>
      </c>
      <c r="H5041" s="13">
        <f>ROUND(G5041/2,0)</f>
        <v>20053</v>
      </c>
      <c r="I5041" s="12">
        <f>G5041-H5041</f>
        <v>20052</v>
      </c>
      <c r="J5041" s="3" t="str">
        <f t="shared" si="363"/>
        <v>6746715</v>
      </c>
    </row>
    <row r="5042" spans="2:10" s="3" customFormat="1">
      <c r="B5042" s="3" t="s">
        <v>2151</v>
      </c>
      <c r="C5042" s="8">
        <v>4</v>
      </c>
      <c r="D5042" s="3" t="s">
        <v>2957</v>
      </c>
      <c r="E5042" s="11" t="s">
        <v>1487</v>
      </c>
      <c r="F5042" s="10">
        <v>0.112354</v>
      </c>
      <c r="G5042" s="9">
        <f>ROUND(G$3*F5042,0)</f>
        <v>32327</v>
      </c>
      <c r="H5042" s="11">
        <f>ROUND(G5042/2,0)</f>
        <v>16164</v>
      </c>
      <c r="I5042" s="9">
        <f>G5042-H5042</f>
        <v>16163</v>
      </c>
      <c r="J5042" s="3" t="str">
        <f t="shared" si="363"/>
        <v>6746705</v>
      </c>
    </row>
    <row r="5043" spans="2:10" s="3" customFormat="1">
      <c r="B5043" s="3" t="s">
        <v>2151</v>
      </c>
      <c r="C5043" s="8">
        <v>4</v>
      </c>
      <c r="D5043" s="3" t="s">
        <v>2957</v>
      </c>
      <c r="E5043" s="11" t="s">
        <v>28</v>
      </c>
      <c r="F5043" s="11"/>
      <c r="G5043" s="14">
        <v>0.306564</v>
      </c>
      <c r="H5043" s="11"/>
      <c r="I5043" s="11"/>
      <c r="J5043" s="3" t="str">
        <f t="shared" si="363"/>
        <v>6746705</v>
      </c>
    </row>
    <row r="5044" spans="2:10" s="3" customFormat="1">
      <c r="B5044" s="3" t="s">
        <v>2151</v>
      </c>
      <c r="C5044" s="8">
        <v>4</v>
      </c>
      <c r="D5044" s="3" t="s">
        <v>2957</v>
      </c>
      <c r="E5044" s="11" t="s">
        <v>29</v>
      </c>
      <c r="F5044" s="11"/>
      <c r="G5044" s="15">
        <f>ROUND(G5042*G5043,0)</f>
        <v>9910</v>
      </c>
      <c r="H5044" s="16">
        <f t="shared" ref="H5044:H5050" si="367">ROUND(G5044/2,0)</f>
        <v>4955</v>
      </c>
      <c r="I5044" s="15">
        <f t="shared" ref="I5044:I5050" si="368">G5044-H5044</f>
        <v>4955</v>
      </c>
      <c r="J5044" s="3" t="str">
        <f t="shared" si="363"/>
        <v>6746705</v>
      </c>
    </row>
    <row r="5045" spans="2:10" s="3" customFormat="1">
      <c r="B5045" s="3" t="s">
        <v>2151</v>
      </c>
      <c r="C5045" s="8">
        <v>4</v>
      </c>
      <c r="D5045" s="3" t="s">
        <v>2957</v>
      </c>
      <c r="E5045" s="11" t="s">
        <v>30</v>
      </c>
      <c r="F5045" s="11"/>
      <c r="G5045" s="12">
        <f>+G5042-G5044</f>
        <v>22417</v>
      </c>
      <c r="H5045" s="13">
        <f t="shared" si="367"/>
        <v>11209</v>
      </c>
      <c r="I5045" s="12">
        <f t="shared" si="368"/>
        <v>11208</v>
      </c>
      <c r="J5045" s="3" t="str">
        <f t="shared" si="363"/>
        <v>6746705</v>
      </c>
    </row>
    <row r="5046" spans="2:10" s="3" customFormat="1">
      <c r="B5046" s="3" t="s">
        <v>2151</v>
      </c>
      <c r="C5046" s="8">
        <v>5</v>
      </c>
      <c r="D5046" s="3" t="s">
        <v>5524</v>
      </c>
      <c r="E5046" s="11" t="s">
        <v>1488</v>
      </c>
      <c r="F5046" s="10">
        <v>2.2932000000000001E-2</v>
      </c>
      <c r="G5046" s="120">
        <f>ROUND(G$3*F5046,0)</f>
        <v>6598</v>
      </c>
      <c r="H5046" s="120">
        <f t="shared" si="367"/>
        <v>3299</v>
      </c>
      <c r="I5046" s="120">
        <f t="shared" si="368"/>
        <v>3299</v>
      </c>
      <c r="J5046" s="3" t="str">
        <f t="shared" si="363"/>
        <v>6750193</v>
      </c>
    </row>
    <row r="5047" spans="2:10" s="3" customFormat="1">
      <c r="B5047" s="3" t="s">
        <v>2151</v>
      </c>
      <c r="C5047" s="8" t="s">
        <v>3166</v>
      </c>
      <c r="D5047" s="3" t="s">
        <v>5522</v>
      </c>
      <c r="E5047" s="11" t="s">
        <v>1489</v>
      </c>
      <c r="F5047" s="10">
        <v>1.5020000000000001E-3</v>
      </c>
      <c r="G5047" s="12">
        <f>ROUND(G$3*F5047,0)</f>
        <v>432</v>
      </c>
      <c r="H5047" s="13">
        <f t="shared" si="367"/>
        <v>216</v>
      </c>
      <c r="I5047" s="12">
        <f t="shared" si="368"/>
        <v>216</v>
      </c>
      <c r="J5047" s="3" t="str">
        <f t="shared" si="363"/>
        <v>6750192</v>
      </c>
    </row>
    <row r="5048" spans="2:10" s="3" customFormat="1">
      <c r="B5048" s="3" t="s">
        <v>2151</v>
      </c>
      <c r="C5048" s="8">
        <v>6</v>
      </c>
      <c r="D5048" s="3" t="s">
        <v>2764</v>
      </c>
      <c r="E5048" s="11" t="s">
        <v>1490</v>
      </c>
      <c r="F5048" s="10">
        <v>6.9969999999999997E-3</v>
      </c>
      <c r="G5048" s="12">
        <f>ROUND(G$3*F5048,0)</f>
        <v>2013</v>
      </c>
      <c r="H5048" s="13">
        <f t="shared" si="367"/>
        <v>1007</v>
      </c>
      <c r="I5048" s="12">
        <f t="shared" si="368"/>
        <v>1006</v>
      </c>
      <c r="J5048" s="3" t="str">
        <f t="shared" si="363"/>
        <v>6760978</v>
      </c>
    </row>
    <row r="5049" spans="2:10" s="3" customFormat="1">
      <c r="B5049" s="3" t="s">
        <v>2151</v>
      </c>
      <c r="C5049" s="8">
        <v>6</v>
      </c>
      <c r="D5049" s="3" t="s">
        <v>2960</v>
      </c>
      <c r="E5049" s="11" t="s">
        <v>1491</v>
      </c>
      <c r="F5049" s="10">
        <v>2.183E-3</v>
      </c>
      <c r="G5049" s="12">
        <f>ROUND(G$3*F5049,0)</f>
        <v>628</v>
      </c>
      <c r="H5049" s="13">
        <f t="shared" si="367"/>
        <v>314</v>
      </c>
      <c r="I5049" s="12">
        <f t="shared" si="368"/>
        <v>314</v>
      </c>
      <c r="J5049" s="3" t="str">
        <f t="shared" si="363"/>
        <v>6760976</v>
      </c>
    </row>
    <row r="5050" spans="2:10" s="3" customFormat="1">
      <c r="B5050" s="3" t="s">
        <v>2151</v>
      </c>
      <c r="C5050" s="8">
        <v>6</v>
      </c>
      <c r="D5050" s="3" t="s">
        <v>5530</v>
      </c>
      <c r="E5050" s="11" t="s">
        <v>1492</v>
      </c>
      <c r="F5050" s="10">
        <v>1.8839999999999968E-3</v>
      </c>
      <c r="G5050" s="120">
        <f>+G4979-SUM(G4980:G4981)-SUM(G4986:G5030)-G5034-G5038-G5042-SUM(G5046:G5049)</f>
        <v>-52982</v>
      </c>
      <c r="H5050" s="120">
        <f t="shared" si="367"/>
        <v>-26491</v>
      </c>
      <c r="I5050" s="120">
        <f t="shared" si="368"/>
        <v>-26491</v>
      </c>
      <c r="J5050" s="3" t="str">
        <f t="shared" si="363"/>
        <v>6760977</v>
      </c>
    </row>
    <row r="5051" spans="2:10" s="3" customFormat="1">
      <c r="B5051" s="3" t="s">
        <v>2151</v>
      </c>
      <c r="C5051" s="8">
        <v>0</v>
      </c>
      <c r="D5051" s="125" t="s">
        <v>2187</v>
      </c>
      <c r="E5051" s="28" t="s">
        <v>288</v>
      </c>
      <c r="F5051" s="10">
        <v>1</v>
      </c>
      <c r="G5051" s="12">
        <f>+G4980+SUM(G4983:G5029)+SUM(G5032:G5033)+SUM(G5036:G5037)+SUM(G5040:G5041)+SUM(G5044:G5050)</f>
        <v>234199</v>
      </c>
      <c r="H5051" s="12">
        <f>+H4980+SUM(H4983:H5029)+SUM(H5032:H5033)+SUM(H5036:H5037)+SUM(H5040:H5041)+SUM(H5044:H5050)</f>
        <v>117110</v>
      </c>
      <c r="I5051" s="12">
        <f>+I4980+SUM(I4983:I5029)+SUM(I5032:I5033)+SUM(I5036:I5037)+SUM(I5040:I5041)+SUM(I5044:I5050)</f>
        <v>117089</v>
      </c>
      <c r="J5051" s="3" t="str">
        <f t="shared" si="363"/>
        <v>6700000</v>
      </c>
    </row>
    <row r="5052" spans="2:10" s="3" customFormat="1">
      <c r="B5052" s="3" t="s">
        <v>2151</v>
      </c>
      <c r="C5052" s="8">
        <v>0</v>
      </c>
      <c r="D5052" s="3" t="s">
        <v>2187</v>
      </c>
      <c r="E5052" s="2" t="s">
        <v>38</v>
      </c>
      <c r="G5052" s="19">
        <f>+G4980</f>
        <v>397</v>
      </c>
      <c r="H5052" s="19">
        <f>+H4980</f>
        <v>199</v>
      </c>
      <c r="I5052" s="19">
        <f>+I4980</f>
        <v>198</v>
      </c>
      <c r="J5052" s="3" t="str">
        <f t="shared" si="363"/>
        <v>6700000</v>
      </c>
    </row>
    <row r="5053" spans="2:10" s="3" customFormat="1">
      <c r="B5053" s="3" t="s">
        <v>2151</v>
      </c>
      <c r="C5053" s="8">
        <v>0</v>
      </c>
      <c r="D5053" s="3" t="s">
        <v>2187</v>
      </c>
      <c r="E5053" s="2" t="s">
        <v>39</v>
      </c>
      <c r="G5053" s="19">
        <f>+G4983</f>
        <v>12924</v>
      </c>
      <c r="H5053" s="19">
        <f>+H4983</f>
        <v>6462</v>
      </c>
      <c r="I5053" s="19">
        <f>+I4983</f>
        <v>6462</v>
      </c>
      <c r="J5053" s="3" t="str">
        <f t="shared" si="363"/>
        <v>6700000</v>
      </c>
    </row>
    <row r="5054" spans="2:10" s="3" customFormat="1">
      <c r="B5054" s="3" t="s">
        <v>2151</v>
      </c>
      <c r="C5054" s="8">
        <v>0</v>
      </c>
      <c r="D5054" s="3" t="s">
        <v>2187</v>
      </c>
      <c r="E5054" s="2" t="s">
        <v>40</v>
      </c>
      <c r="G5054" s="19">
        <f>+G5032+G5036+G5040+G5044</f>
        <v>88143</v>
      </c>
      <c r="H5054" s="19">
        <f>+H5032+H5036+H5040+H5044</f>
        <v>44073</v>
      </c>
      <c r="I5054" s="19">
        <f>+I5032+I5036+I5040+I5044</f>
        <v>44070</v>
      </c>
      <c r="J5054" s="3" t="str">
        <f t="shared" si="363"/>
        <v>6700000</v>
      </c>
    </row>
    <row r="5055" spans="2:10" s="3" customFormat="1">
      <c r="B5055" s="3" t="s">
        <v>2151</v>
      </c>
      <c r="C5055" s="8">
        <v>0</v>
      </c>
      <c r="D5055" s="125" t="s">
        <v>2187</v>
      </c>
      <c r="E5055" s="18" t="s">
        <v>41</v>
      </c>
      <c r="G5055" s="19">
        <f>+G5051-G5052-G5053-G5054</f>
        <v>132735</v>
      </c>
      <c r="H5055" s="19">
        <f>+H5051-H5052-H5053-H5054</f>
        <v>66376</v>
      </c>
      <c r="I5055" s="19">
        <f>+I5051-I5052-I5053-I5054</f>
        <v>66359</v>
      </c>
      <c r="J5055" s="3" t="str">
        <f t="shared" si="363"/>
        <v>6700000</v>
      </c>
    </row>
    <row r="5056" spans="2:10" ht="15.75">
      <c r="B5056" s="3" t="s">
        <v>2186</v>
      </c>
      <c r="D5056" t="s">
        <v>2186</v>
      </c>
      <c r="E5056">
        <v>0</v>
      </c>
      <c r="G5056"/>
      <c r="H5056"/>
      <c r="I5056"/>
      <c r="J5056" s="3" t="str">
        <f t="shared" si="363"/>
        <v/>
      </c>
    </row>
    <row r="5057" spans="2:10" s="3" customFormat="1">
      <c r="C5057" s="1"/>
      <c r="D5057" s="3" t="s">
        <v>2186</v>
      </c>
      <c r="E5057" s="2" t="s">
        <v>1493</v>
      </c>
      <c r="J5057" s="3" t="str">
        <f t="shared" si="363"/>
        <v/>
      </c>
    </row>
    <row r="5058" spans="2:10" s="3" customFormat="1" ht="45">
      <c r="B5058" s="3" t="s">
        <v>2186</v>
      </c>
      <c r="C5058" s="1"/>
      <c r="D5058" s="3" t="s">
        <v>2186</v>
      </c>
      <c r="E5058" s="1">
        <v>0</v>
      </c>
      <c r="F5058" s="6" t="s">
        <v>1</v>
      </c>
      <c r="G5058" s="60">
        <f>'Allocation Worksheet'!H5058</f>
        <v>0</v>
      </c>
      <c r="H5058" s="60">
        <f>'Allocation Worksheet'!H5059</f>
        <v>0</v>
      </c>
      <c r="I5058" s="60">
        <f>'Allocation Worksheet'!H5060</f>
        <v>0</v>
      </c>
      <c r="J5058" s="3" t="str">
        <f t="shared" si="363"/>
        <v/>
      </c>
    </row>
    <row r="5059" spans="2:10" s="3" customFormat="1">
      <c r="C5059" s="7" t="s">
        <v>2087</v>
      </c>
      <c r="D5059" s="3" t="s">
        <v>2186</v>
      </c>
      <c r="E5059" s="7" t="s">
        <v>3</v>
      </c>
      <c r="F5059" s="10"/>
      <c r="G5059" s="9">
        <f>'Allocation Worksheet'!$D$71</f>
        <v>268161</v>
      </c>
      <c r="H5059" s="11"/>
      <c r="I5059" s="11"/>
      <c r="J5059" s="3" t="str">
        <f t="shared" si="363"/>
        <v>UT</v>
      </c>
    </row>
    <row r="5060" spans="2:10" s="3" customFormat="1">
      <c r="B5060" s="3" t="s">
        <v>2152</v>
      </c>
      <c r="C5060" s="8">
        <v>0</v>
      </c>
      <c r="D5060" s="3" t="s">
        <v>2187</v>
      </c>
      <c r="E5060" s="11" t="s">
        <v>4</v>
      </c>
      <c r="F5060" s="10">
        <v>1.2130000000000001E-3</v>
      </c>
      <c r="G5060" s="12">
        <f>ROUND(G$3*F5060,0)</f>
        <v>349</v>
      </c>
      <c r="H5060" s="13">
        <f>ROUND(G5060/2,0)</f>
        <v>175</v>
      </c>
      <c r="I5060" s="12">
        <f>G5060-H5060</f>
        <v>174</v>
      </c>
      <c r="J5060" s="3" t="str">
        <f t="shared" ref="J5060:J5123" si="369">B5060&amp;C5060&amp;D5060</f>
        <v>6800000</v>
      </c>
    </row>
    <row r="5061" spans="2:10" s="3" customFormat="1">
      <c r="B5061" s="3" t="s">
        <v>2152</v>
      </c>
      <c r="C5061" s="8">
        <v>1</v>
      </c>
      <c r="D5061" s="3" t="s">
        <v>2187</v>
      </c>
      <c r="E5061" s="11" t="s">
        <v>1494</v>
      </c>
      <c r="F5061" s="10">
        <v>0.28320000000000001</v>
      </c>
      <c r="G5061" s="9">
        <f>ROUND(G$3*F5061,0)</f>
        <v>81483</v>
      </c>
      <c r="H5061" s="11">
        <f>ROUND(G5061/2,0)</f>
        <v>40742</v>
      </c>
      <c r="I5061" s="9">
        <f>G5061-H5061</f>
        <v>40741</v>
      </c>
      <c r="J5061" s="3" t="str">
        <f t="shared" si="369"/>
        <v>6810000</v>
      </c>
    </row>
    <row r="5062" spans="2:10" s="3" customFormat="1">
      <c r="B5062" s="3" t="s">
        <v>2152</v>
      </c>
      <c r="C5062" s="8">
        <v>1</v>
      </c>
      <c r="D5062" s="3" t="s">
        <v>2187</v>
      </c>
      <c r="E5062" s="11" t="s">
        <v>6</v>
      </c>
      <c r="F5062" s="11"/>
      <c r="G5062" s="14">
        <v>0.34431499999999998</v>
      </c>
      <c r="H5062" s="11"/>
      <c r="I5062" s="11"/>
      <c r="J5062" s="3" t="str">
        <f t="shared" si="369"/>
        <v>6810000</v>
      </c>
    </row>
    <row r="5063" spans="2:10" s="3" customFormat="1">
      <c r="B5063" s="3" t="s">
        <v>2152</v>
      </c>
      <c r="C5063" s="8">
        <v>1</v>
      </c>
      <c r="D5063" s="3" t="s">
        <v>2187</v>
      </c>
      <c r="E5063" s="11" t="s">
        <v>7</v>
      </c>
      <c r="F5063" s="11"/>
      <c r="G5063" s="15">
        <f>ROUND(G5061*G5062,0)</f>
        <v>28056</v>
      </c>
      <c r="H5063" s="16">
        <f>ROUND(G5063/2,0)</f>
        <v>14028</v>
      </c>
      <c r="I5063" s="15">
        <f>G5063-H5063</f>
        <v>14028</v>
      </c>
      <c r="J5063" s="3" t="str">
        <f t="shared" si="369"/>
        <v>6810000</v>
      </c>
    </row>
    <row r="5064" spans="2:10" s="3" customFormat="1">
      <c r="B5064" s="3" t="s">
        <v>2152</v>
      </c>
      <c r="C5064" s="8">
        <v>1</v>
      </c>
      <c r="D5064" s="3" t="s">
        <v>2187</v>
      </c>
      <c r="E5064" s="11" t="s">
        <v>8</v>
      </c>
      <c r="F5064" s="11"/>
      <c r="G5064" s="12">
        <f>+G5061-G5063</f>
        <v>53427</v>
      </c>
      <c r="H5064" s="13">
        <f>ROUND(G5064/2,0)</f>
        <v>26714</v>
      </c>
      <c r="I5064" s="12">
        <f>G5064-H5064</f>
        <v>26713</v>
      </c>
      <c r="J5064" s="3" t="str">
        <f t="shared" si="369"/>
        <v>6810000</v>
      </c>
    </row>
    <row r="5065" spans="2:10" s="3" customFormat="1">
      <c r="B5065" s="3" t="s">
        <v>2152</v>
      </c>
      <c r="C5065" s="8">
        <v>2</v>
      </c>
      <c r="D5065" s="3" t="s">
        <v>2188</v>
      </c>
      <c r="E5065" s="11" t="s">
        <v>372</v>
      </c>
      <c r="F5065" s="11"/>
      <c r="G5065" s="9"/>
      <c r="H5065" s="11"/>
      <c r="I5065" s="11"/>
      <c r="J5065" s="3" t="str">
        <f t="shared" si="369"/>
        <v>6820001</v>
      </c>
    </row>
    <row r="5066" spans="2:10" s="3" customFormat="1">
      <c r="B5066" s="3" t="s">
        <v>2152</v>
      </c>
      <c r="C5066" s="8">
        <v>2</v>
      </c>
      <c r="D5066" s="3" t="s">
        <v>2188</v>
      </c>
      <c r="E5066" s="11" t="s">
        <v>10</v>
      </c>
      <c r="F5066" s="10">
        <v>1.2199999999999999E-3</v>
      </c>
      <c r="G5066" s="12">
        <f>ROUND(G$3*F5066,0)</f>
        <v>351</v>
      </c>
      <c r="H5066" s="13">
        <f>ROUND(G5066/2,0)</f>
        <v>176</v>
      </c>
      <c r="I5066" s="12">
        <f>G5066-H5066</f>
        <v>175</v>
      </c>
      <c r="J5066" s="3" t="str">
        <f t="shared" si="369"/>
        <v>6820001</v>
      </c>
    </row>
    <row r="5067" spans="2:10" s="3" customFormat="1">
      <c r="B5067" s="3" t="s">
        <v>2152</v>
      </c>
      <c r="C5067" s="8">
        <v>2</v>
      </c>
      <c r="D5067" s="3" t="s">
        <v>2188</v>
      </c>
      <c r="E5067" s="11" t="s">
        <v>11</v>
      </c>
      <c r="F5067" s="10">
        <v>9.5000000000000005E-5</v>
      </c>
      <c r="G5067" s="12">
        <f>ROUND(G$3*F5067,0)</f>
        <v>27</v>
      </c>
      <c r="H5067" s="13">
        <f>ROUND(G5067/2,0)</f>
        <v>14</v>
      </c>
      <c r="I5067" s="12">
        <f>G5067-H5067</f>
        <v>13</v>
      </c>
      <c r="J5067" s="3" t="str">
        <f t="shared" si="369"/>
        <v>6820001</v>
      </c>
    </row>
    <row r="5068" spans="2:10" s="3" customFormat="1">
      <c r="B5068" s="3" t="s">
        <v>2152</v>
      </c>
      <c r="C5068" s="8">
        <v>2</v>
      </c>
      <c r="D5068" s="3" t="s">
        <v>2189</v>
      </c>
      <c r="E5068" s="11" t="s">
        <v>593</v>
      </c>
      <c r="F5068" s="11"/>
      <c r="G5068" s="9"/>
      <c r="H5068" s="11"/>
      <c r="I5068" s="11"/>
      <c r="J5068" s="3" t="str">
        <f t="shared" si="369"/>
        <v>6820002</v>
      </c>
    </row>
    <row r="5069" spans="2:10" s="3" customFormat="1">
      <c r="B5069" s="3" t="s">
        <v>2152</v>
      </c>
      <c r="C5069" s="8">
        <v>2</v>
      </c>
      <c r="D5069" s="3" t="s">
        <v>2189</v>
      </c>
      <c r="E5069" s="11" t="s">
        <v>10</v>
      </c>
      <c r="F5069" s="10">
        <v>3.0600000000000001E-4</v>
      </c>
      <c r="G5069" s="12">
        <f>ROUND(G$3*F5069,0)</f>
        <v>88</v>
      </c>
      <c r="H5069" s="13">
        <f>ROUND(G5069/2,0)</f>
        <v>44</v>
      </c>
      <c r="I5069" s="12">
        <f>G5069-H5069</f>
        <v>44</v>
      </c>
      <c r="J5069" s="3" t="str">
        <f t="shared" si="369"/>
        <v>6820002</v>
      </c>
    </row>
    <row r="5070" spans="2:10" s="3" customFormat="1">
      <c r="B5070" s="3" t="s">
        <v>2152</v>
      </c>
      <c r="C5070" s="8">
        <v>2</v>
      </c>
      <c r="D5070" s="3" t="s">
        <v>2189</v>
      </c>
      <c r="E5070" s="11" t="s">
        <v>11</v>
      </c>
      <c r="F5070" s="10">
        <v>1.94E-4</v>
      </c>
      <c r="G5070" s="12">
        <f>ROUND(G$3*F5070,0)</f>
        <v>56</v>
      </c>
      <c r="H5070" s="13">
        <f>ROUND(G5070/2,0)</f>
        <v>28</v>
      </c>
      <c r="I5070" s="12">
        <f>G5070-H5070</f>
        <v>28</v>
      </c>
      <c r="J5070" s="3" t="str">
        <f t="shared" si="369"/>
        <v>6820002</v>
      </c>
    </row>
    <row r="5071" spans="2:10" s="3" customFormat="1">
      <c r="B5071" s="3" t="s">
        <v>2152</v>
      </c>
      <c r="C5071" s="8">
        <v>2</v>
      </c>
      <c r="D5071" s="3" t="s">
        <v>2190</v>
      </c>
      <c r="E5071" s="11" t="s">
        <v>1495</v>
      </c>
      <c r="F5071" s="11"/>
      <c r="G5071" s="9"/>
      <c r="H5071" s="11"/>
      <c r="I5071" s="11"/>
      <c r="J5071" s="3" t="str">
        <f t="shared" si="369"/>
        <v>6820003</v>
      </c>
    </row>
    <row r="5072" spans="2:10" s="3" customFormat="1">
      <c r="B5072" s="3" t="s">
        <v>2152</v>
      </c>
      <c r="C5072" s="8">
        <v>2</v>
      </c>
      <c r="D5072" s="3" t="s">
        <v>2190</v>
      </c>
      <c r="E5072" s="11" t="s">
        <v>10</v>
      </c>
      <c r="F5072" s="10">
        <v>6.87E-4</v>
      </c>
      <c r="G5072" s="12">
        <f>ROUND(G$3*F5072,0)</f>
        <v>198</v>
      </c>
      <c r="H5072" s="13">
        <f>ROUND(G5072/2,0)</f>
        <v>99</v>
      </c>
      <c r="I5072" s="12">
        <f>G5072-H5072</f>
        <v>99</v>
      </c>
      <c r="J5072" s="3" t="str">
        <f t="shared" si="369"/>
        <v>6820003</v>
      </c>
    </row>
    <row r="5073" spans="2:10" s="3" customFormat="1">
      <c r="B5073" s="3" t="s">
        <v>2152</v>
      </c>
      <c r="C5073" s="8">
        <v>2</v>
      </c>
      <c r="D5073" s="3" t="s">
        <v>2190</v>
      </c>
      <c r="E5073" s="11" t="s">
        <v>11</v>
      </c>
      <c r="F5073" s="10">
        <v>3.4299999999999999E-4</v>
      </c>
      <c r="G5073" s="12">
        <f>ROUND(G$3*F5073,0)</f>
        <v>99</v>
      </c>
      <c r="H5073" s="13">
        <f>ROUND(G5073/2,0)</f>
        <v>50</v>
      </c>
      <c r="I5073" s="12">
        <f>G5073-H5073</f>
        <v>49</v>
      </c>
      <c r="J5073" s="3" t="str">
        <f t="shared" si="369"/>
        <v>6820003</v>
      </c>
    </row>
    <row r="5074" spans="2:10" s="3" customFormat="1">
      <c r="B5074" s="3" t="s">
        <v>2152</v>
      </c>
      <c r="C5074" s="8">
        <v>2</v>
      </c>
      <c r="D5074" s="3" t="s">
        <v>2191</v>
      </c>
      <c r="E5074" s="11" t="s">
        <v>49</v>
      </c>
      <c r="F5074" s="11"/>
      <c r="G5074" s="9"/>
      <c r="H5074" s="11"/>
      <c r="I5074" s="11"/>
      <c r="J5074" s="3" t="str">
        <f t="shared" si="369"/>
        <v>6820004</v>
      </c>
    </row>
    <row r="5075" spans="2:10" s="3" customFormat="1">
      <c r="B5075" s="3" t="s">
        <v>2152</v>
      </c>
      <c r="C5075" s="8">
        <v>2</v>
      </c>
      <c r="D5075" s="3" t="s">
        <v>2191</v>
      </c>
      <c r="E5075" s="11" t="s">
        <v>10</v>
      </c>
      <c r="F5075" s="10">
        <v>1.108E-3</v>
      </c>
      <c r="G5075" s="12">
        <f>ROUND(G$3*F5075,0)</f>
        <v>319</v>
      </c>
      <c r="H5075" s="13">
        <f>ROUND(G5075/2,0)</f>
        <v>160</v>
      </c>
      <c r="I5075" s="12">
        <f>G5075-H5075</f>
        <v>159</v>
      </c>
      <c r="J5075" s="3" t="str">
        <f t="shared" si="369"/>
        <v>6820004</v>
      </c>
    </row>
    <row r="5076" spans="2:10" s="3" customFormat="1">
      <c r="B5076" s="3" t="s">
        <v>2152</v>
      </c>
      <c r="C5076" s="8">
        <v>2</v>
      </c>
      <c r="D5076" s="3" t="s">
        <v>2191</v>
      </c>
      <c r="E5076" s="11" t="s">
        <v>11</v>
      </c>
      <c r="F5076" s="10">
        <v>3.0600000000000001E-4</v>
      </c>
      <c r="G5076" s="12">
        <f>ROUND(G$3*F5076,0)</f>
        <v>88</v>
      </c>
      <c r="H5076" s="13">
        <f>ROUND(G5076/2,0)</f>
        <v>44</v>
      </c>
      <c r="I5076" s="12">
        <f>G5076-H5076</f>
        <v>44</v>
      </c>
      <c r="J5076" s="3" t="str">
        <f t="shared" si="369"/>
        <v>6820004</v>
      </c>
    </row>
    <row r="5077" spans="2:10" s="3" customFormat="1">
      <c r="B5077" s="3" t="s">
        <v>2152</v>
      </c>
      <c r="C5077" s="8">
        <v>2</v>
      </c>
      <c r="D5077" s="3" t="s">
        <v>2192</v>
      </c>
      <c r="E5077" s="11" t="s">
        <v>16</v>
      </c>
      <c r="F5077" s="11"/>
      <c r="G5077" s="9"/>
      <c r="H5077" s="11"/>
      <c r="I5077" s="11"/>
      <c r="J5077" s="3" t="str">
        <f t="shared" si="369"/>
        <v>6820005</v>
      </c>
    </row>
    <row r="5078" spans="2:10" s="3" customFormat="1">
      <c r="B5078" s="3" t="s">
        <v>2152</v>
      </c>
      <c r="C5078" s="8">
        <v>2</v>
      </c>
      <c r="D5078" s="3" t="s">
        <v>2192</v>
      </c>
      <c r="E5078" s="11" t="s">
        <v>10</v>
      </c>
      <c r="F5078" s="10">
        <v>3.7889999999999998E-3</v>
      </c>
      <c r="G5078" s="12">
        <f>ROUND(G$3*F5078,0)</f>
        <v>1090</v>
      </c>
      <c r="H5078" s="13">
        <f>ROUND(G5078/2,0)</f>
        <v>545</v>
      </c>
      <c r="I5078" s="12">
        <f>G5078-H5078</f>
        <v>545</v>
      </c>
      <c r="J5078" s="3" t="str">
        <f t="shared" si="369"/>
        <v>6820005</v>
      </c>
    </row>
    <row r="5079" spans="2:10" s="3" customFormat="1">
      <c r="B5079" s="3" t="s">
        <v>2152</v>
      </c>
      <c r="C5079" s="8">
        <v>2</v>
      </c>
      <c r="D5079" s="3" t="s">
        <v>2192</v>
      </c>
      <c r="E5079" s="11" t="s">
        <v>11</v>
      </c>
      <c r="F5079" s="10">
        <v>1.091E-3</v>
      </c>
      <c r="G5079" s="12">
        <f>ROUND(G$3*F5079,0)</f>
        <v>314</v>
      </c>
      <c r="H5079" s="13">
        <f>ROUND(G5079/2,0)</f>
        <v>157</v>
      </c>
      <c r="I5079" s="12">
        <f>G5079-H5079</f>
        <v>157</v>
      </c>
      <c r="J5079" s="3" t="str">
        <f t="shared" si="369"/>
        <v>6820005</v>
      </c>
    </row>
    <row r="5080" spans="2:10" s="3" customFormat="1">
      <c r="B5080" s="3" t="s">
        <v>2152</v>
      </c>
      <c r="C5080" s="8">
        <v>2</v>
      </c>
      <c r="D5080" s="3" t="s">
        <v>2193</v>
      </c>
      <c r="E5080" s="11" t="s">
        <v>746</v>
      </c>
      <c r="F5080" s="11"/>
      <c r="G5080" s="9"/>
      <c r="H5080" s="11"/>
      <c r="I5080" s="11"/>
      <c r="J5080" s="3" t="str">
        <f t="shared" si="369"/>
        <v>6820006</v>
      </c>
    </row>
    <row r="5081" spans="2:10" s="3" customFormat="1">
      <c r="B5081" s="3" t="s">
        <v>2152</v>
      </c>
      <c r="C5081" s="8">
        <v>2</v>
      </c>
      <c r="D5081" s="3" t="s">
        <v>2193</v>
      </c>
      <c r="E5081" s="11" t="s">
        <v>10</v>
      </c>
      <c r="F5081" s="10">
        <v>1.4170000000000001E-3</v>
      </c>
      <c r="G5081" s="12">
        <f>ROUND(G$3*F5081,0)</f>
        <v>408</v>
      </c>
      <c r="H5081" s="13">
        <f>ROUND(G5081/2,0)</f>
        <v>204</v>
      </c>
      <c r="I5081" s="12">
        <f>G5081-H5081</f>
        <v>204</v>
      </c>
      <c r="J5081" s="3" t="str">
        <f t="shared" si="369"/>
        <v>6820006</v>
      </c>
    </row>
    <row r="5082" spans="2:10" s="3" customFormat="1">
      <c r="B5082" s="3" t="s">
        <v>2152</v>
      </c>
      <c r="C5082" s="8">
        <v>2</v>
      </c>
      <c r="D5082" s="3" t="s">
        <v>2193</v>
      </c>
      <c r="E5082" s="11" t="s">
        <v>11</v>
      </c>
      <c r="F5082" s="10">
        <v>6.7299999999999999E-4</v>
      </c>
      <c r="G5082" s="12">
        <f>ROUND(G$3*F5082,0)</f>
        <v>194</v>
      </c>
      <c r="H5082" s="13">
        <f>ROUND(G5082/2,0)</f>
        <v>97</v>
      </c>
      <c r="I5082" s="12">
        <f>G5082-H5082</f>
        <v>97</v>
      </c>
      <c r="J5082" s="3" t="str">
        <f t="shared" si="369"/>
        <v>6820006</v>
      </c>
    </row>
    <row r="5083" spans="2:10" s="3" customFormat="1">
      <c r="B5083" s="3" t="s">
        <v>2152</v>
      </c>
      <c r="C5083" s="8">
        <v>2</v>
      </c>
      <c r="D5083" s="3" t="s">
        <v>2194</v>
      </c>
      <c r="E5083" s="11" t="s">
        <v>20</v>
      </c>
      <c r="F5083" s="11"/>
      <c r="G5083" s="9"/>
      <c r="H5083" s="11"/>
      <c r="I5083" s="11"/>
      <c r="J5083" s="3" t="str">
        <f t="shared" si="369"/>
        <v>6820007</v>
      </c>
    </row>
    <row r="5084" spans="2:10" s="3" customFormat="1">
      <c r="B5084" s="3" t="s">
        <v>2152</v>
      </c>
      <c r="C5084" s="8">
        <v>2</v>
      </c>
      <c r="D5084" s="3" t="s">
        <v>2194</v>
      </c>
      <c r="E5084" s="11" t="s">
        <v>10</v>
      </c>
      <c r="F5084" s="10">
        <v>2.5119999999999999E-3</v>
      </c>
      <c r="G5084" s="12">
        <f>ROUND(G$3*F5084,0)</f>
        <v>723</v>
      </c>
      <c r="H5084" s="13">
        <f>ROUND(G5084/2,0)</f>
        <v>362</v>
      </c>
      <c r="I5084" s="12">
        <f>G5084-H5084</f>
        <v>361</v>
      </c>
      <c r="J5084" s="3" t="str">
        <f t="shared" si="369"/>
        <v>6820007</v>
      </c>
    </row>
    <row r="5085" spans="2:10" s="3" customFormat="1">
      <c r="B5085" s="3" t="s">
        <v>2152</v>
      </c>
      <c r="C5085" s="8">
        <v>2</v>
      </c>
      <c r="D5085" s="3" t="s">
        <v>2194</v>
      </c>
      <c r="E5085" s="11" t="s">
        <v>11</v>
      </c>
      <c r="F5085" s="10">
        <v>1.7880000000000001E-3</v>
      </c>
      <c r="G5085" s="12">
        <f>ROUND(G$3*F5085,0)</f>
        <v>514</v>
      </c>
      <c r="H5085" s="13">
        <f>ROUND(G5085/2,0)</f>
        <v>257</v>
      </c>
      <c r="I5085" s="12">
        <f>G5085-H5085</f>
        <v>257</v>
      </c>
      <c r="J5085" s="3" t="str">
        <f t="shared" si="369"/>
        <v>6820007</v>
      </c>
    </row>
    <row r="5086" spans="2:10" s="3" customFormat="1">
      <c r="B5086" s="3" t="s">
        <v>2152</v>
      </c>
      <c r="C5086" s="8">
        <v>2</v>
      </c>
      <c r="D5086" s="3" t="s">
        <v>2195</v>
      </c>
      <c r="E5086" s="11" t="s">
        <v>1496</v>
      </c>
      <c r="F5086" s="11"/>
      <c r="G5086" s="9"/>
      <c r="H5086" s="11"/>
      <c r="I5086" s="11"/>
      <c r="J5086" s="3" t="str">
        <f t="shared" si="369"/>
        <v>6820008</v>
      </c>
    </row>
    <row r="5087" spans="2:10" s="3" customFormat="1">
      <c r="B5087" s="3" t="s">
        <v>2152</v>
      </c>
      <c r="C5087" s="8">
        <v>2</v>
      </c>
      <c r="D5087" s="3" t="s">
        <v>2195</v>
      </c>
      <c r="E5087" s="11" t="s">
        <v>10</v>
      </c>
      <c r="F5087" s="10">
        <v>9.7900000000000005E-4</v>
      </c>
      <c r="G5087" s="12">
        <f>ROUND(G$3*F5087,0)</f>
        <v>282</v>
      </c>
      <c r="H5087" s="13">
        <f>ROUND(G5087/2,0)</f>
        <v>141</v>
      </c>
      <c r="I5087" s="12">
        <f>G5087-H5087</f>
        <v>141</v>
      </c>
      <c r="J5087" s="3" t="str">
        <f t="shared" si="369"/>
        <v>6820008</v>
      </c>
    </row>
    <row r="5088" spans="2:10" s="3" customFormat="1">
      <c r="B5088" s="3" t="s">
        <v>2152</v>
      </c>
      <c r="C5088" s="8">
        <v>2</v>
      </c>
      <c r="D5088" s="3" t="s">
        <v>2195</v>
      </c>
      <c r="E5088" s="11" t="s">
        <v>11</v>
      </c>
      <c r="F5088" s="10">
        <v>8.8400000000000002E-4</v>
      </c>
      <c r="G5088" s="12">
        <f>ROUND(G$3*F5088,0)</f>
        <v>254</v>
      </c>
      <c r="H5088" s="13">
        <f>ROUND(G5088/2,0)</f>
        <v>127</v>
      </c>
      <c r="I5088" s="12">
        <f>G5088-H5088</f>
        <v>127</v>
      </c>
      <c r="J5088" s="3" t="str">
        <f t="shared" si="369"/>
        <v>6820008</v>
      </c>
    </row>
    <row r="5089" spans="1:10" s="3" customFormat="1">
      <c r="B5089" s="3" t="s">
        <v>2152</v>
      </c>
      <c r="C5089" s="8">
        <v>2</v>
      </c>
      <c r="D5089" s="3" t="s">
        <v>2196</v>
      </c>
      <c r="E5089" s="11" t="s">
        <v>22</v>
      </c>
      <c r="F5089" s="11"/>
      <c r="G5089" s="9"/>
      <c r="H5089" s="11"/>
      <c r="I5089" s="11"/>
      <c r="J5089" s="3" t="str">
        <f t="shared" si="369"/>
        <v>6820009</v>
      </c>
    </row>
    <row r="5090" spans="1:10" s="3" customFormat="1">
      <c r="B5090" s="3" t="s">
        <v>2152</v>
      </c>
      <c r="C5090" s="8">
        <v>2</v>
      </c>
      <c r="D5090" s="3" t="s">
        <v>2196</v>
      </c>
      <c r="E5090" s="11" t="s">
        <v>10</v>
      </c>
      <c r="F5090" s="10">
        <v>1.9919999999999998E-3</v>
      </c>
      <c r="G5090" s="12">
        <f>ROUND(G$3*F5090,0)</f>
        <v>573</v>
      </c>
      <c r="H5090" s="13">
        <f>ROUND(G5090/2,0)</f>
        <v>287</v>
      </c>
      <c r="I5090" s="12">
        <f>G5090-H5090</f>
        <v>286</v>
      </c>
      <c r="J5090" s="3" t="str">
        <f t="shared" si="369"/>
        <v>6820009</v>
      </c>
    </row>
    <row r="5091" spans="1:10" s="3" customFormat="1">
      <c r="B5091" s="3" t="s">
        <v>2152</v>
      </c>
      <c r="C5091" s="8">
        <v>2</v>
      </c>
      <c r="D5091" s="3" t="s">
        <v>2196</v>
      </c>
      <c r="E5091" s="11" t="s">
        <v>11</v>
      </c>
      <c r="F5091" s="10">
        <v>5.8100000000000003E-4</v>
      </c>
      <c r="G5091" s="12">
        <f>ROUND(G$3*F5091,0)</f>
        <v>167</v>
      </c>
      <c r="H5091" s="13">
        <f>ROUND(G5091/2,0)</f>
        <v>84</v>
      </c>
      <c r="I5091" s="12">
        <f>G5091-H5091</f>
        <v>83</v>
      </c>
      <c r="J5091" s="3" t="str">
        <f t="shared" si="369"/>
        <v>6820009</v>
      </c>
    </row>
    <row r="5092" spans="1:10" s="3" customFormat="1">
      <c r="B5092" s="3" t="s">
        <v>2152</v>
      </c>
      <c r="C5092" s="8">
        <v>2</v>
      </c>
      <c r="D5092" s="3" t="s">
        <v>2197</v>
      </c>
      <c r="E5092" s="11" t="s">
        <v>61</v>
      </c>
      <c r="F5092" s="11"/>
      <c r="G5092" s="9"/>
      <c r="H5092" s="11"/>
      <c r="I5092" s="11"/>
      <c r="J5092" s="3" t="str">
        <f t="shared" si="369"/>
        <v>6820010</v>
      </c>
    </row>
    <row r="5093" spans="1:10" s="3" customFormat="1">
      <c r="B5093" s="3" t="s">
        <v>2152</v>
      </c>
      <c r="C5093" s="8">
        <v>2</v>
      </c>
      <c r="D5093" s="3" t="s">
        <v>2197</v>
      </c>
      <c r="E5093" s="11" t="s">
        <v>10</v>
      </c>
      <c r="F5093" s="10">
        <v>6.1200000000000002E-4</v>
      </c>
      <c r="G5093" s="12">
        <f>ROUND(G$3*F5093,0)</f>
        <v>176</v>
      </c>
      <c r="H5093" s="13">
        <f>ROUND(G5093/2,0)</f>
        <v>88</v>
      </c>
      <c r="I5093" s="12">
        <f>G5093-H5093</f>
        <v>88</v>
      </c>
      <c r="J5093" s="3" t="str">
        <f t="shared" si="369"/>
        <v>6820010</v>
      </c>
    </row>
    <row r="5094" spans="1:10" s="3" customFormat="1">
      <c r="B5094" s="3" t="s">
        <v>2152</v>
      </c>
      <c r="C5094" s="8">
        <v>2</v>
      </c>
      <c r="D5094" s="3" t="s">
        <v>2197</v>
      </c>
      <c r="E5094" s="11" t="s">
        <v>11</v>
      </c>
      <c r="F5094" s="10">
        <v>6.4999999999999994E-5</v>
      </c>
      <c r="G5094" s="12">
        <f>ROUND(G$3*F5094,0)</f>
        <v>19</v>
      </c>
      <c r="H5094" s="13">
        <f>ROUND(G5094/2,0)</f>
        <v>10</v>
      </c>
      <c r="I5094" s="12">
        <f>G5094-H5094</f>
        <v>9</v>
      </c>
      <c r="J5094" s="3" t="str">
        <f t="shared" si="369"/>
        <v>6820010</v>
      </c>
    </row>
    <row r="5095" spans="1:10" s="3" customFormat="1">
      <c r="B5095" s="3" t="s">
        <v>2152</v>
      </c>
      <c r="C5095" s="8">
        <v>2</v>
      </c>
      <c r="D5095" s="3" t="s">
        <v>2198</v>
      </c>
      <c r="E5095" s="11" t="s">
        <v>569</v>
      </c>
      <c r="F5095" s="11"/>
      <c r="G5095" s="9"/>
      <c r="H5095" s="11"/>
      <c r="I5095" s="11"/>
      <c r="J5095" s="3" t="str">
        <f t="shared" si="369"/>
        <v>6820011</v>
      </c>
    </row>
    <row r="5096" spans="1:10" s="3" customFormat="1">
      <c r="B5096" s="3" t="s">
        <v>2152</v>
      </c>
      <c r="C5096" s="8">
        <v>2</v>
      </c>
      <c r="D5096" s="3" t="s">
        <v>2198</v>
      </c>
      <c r="E5096" s="11" t="s">
        <v>10</v>
      </c>
      <c r="F5096" s="10">
        <v>2.0999999999999999E-3</v>
      </c>
      <c r="G5096" s="12">
        <f t="shared" ref="G5096:G5108" si="370">ROUND(G$3*F5096,0)</f>
        <v>604</v>
      </c>
      <c r="H5096" s="13">
        <f t="shared" ref="H5096:H5108" si="371">ROUND(G5096/2,0)</f>
        <v>302</v>
      </c>
      <c r="I5096" s="12">
        <f t="shared" ref="I5096:I5108" si="372">G5096-H5096</f>
        <v>302</v>
      </c>
      <c r="J5096" s="3" t="str">
        <f t="shared" si="369"/>
        <v>6820011</v>
      </c>
    </row>
    <row r="5097" spans="1:10" s="3" customFormat="1">
      <c r="B5097" s="3" t="s">
        <v>2152</v>
      </c>
      <c r="C5097" s="8">
        <v>2</v>
      </c>
      <c r="D5097" s="3" t="s">
        <v>2198</v>
      </c>
      <c r="E5097" s="11" t="s">
        <v>11</v>
      </c>
      <c r="F5097" s="10">
        <v>9.6900000000000003E-4</v>
      </c>
      <c r="G5097" s="12">
        <f t="shared" si="370"/>
        <v>279</v>
      </c>
      <c r="H5097" s="13">
        <f t="shared" si="371"/>
        <v>140</v>
      </c>
      <c r="I5097" s="12">
        <f t="shared" si="372"/>
        <v>139</v>
      </c>
      <c r="J5097" s="3" t="str">
        <f t="shared" si="369"/>
        <v>6820011</v>
      </c>
    </row>
    <row r="5098" spans="1:10" s="3" customFormat="1">
      <c r="A5098" s="3" t="s">
        <v>6269</v>
      </c>
      <c r="B5098" s="3" t="s">
        <v>2152</v>
      </c>
      <c r="C5098" s="8">
        <v>3</v>
      </c>
      <c r="D5098" s="3" t="s">
        <v>2376</v>
      </c>
      <c r="E5098" s="11" t="s">
        <v>405</v>
      </c>
      <c r="F5098" s="10">
        <v>0</v>
      </c>
      <c r="G5098" s="12">
        <f t="shared" si="370"/>
        <v>0</v>
      </c>
      <c r="H5098" s="13">
        <f t="shared" si="371"/>
        <v>0</v>
      </c>
      <c r="I5098" s="12">
        <f t="shared" si="372"/>
        <v>0</v>
      </c>
      <c r="J5098" s="3" t="str">
        <f t="shared" si="369"/>
        <v>6830591</v>
      </c>
    </row>
    <row r="5099" spans="1:10" s="3" customFormat="1">
      <c r="B5099" s="3" t="s">
        <v>2152</v>
      </c>
      <c r="C5099" s="8">
        <v>3</v>
      </c>
      <c r="D5099" s="3" t="s">
        <v>2963</v>
      </c>
      <c r="E5099" s="11" t="s">
        <v>1497</v>
      </c>
      <c r="F5099" s="10">
        <v>6.0999999999999999E-5</v>
      </c>
      <c r="G5099" s="12">
        <f t="shared" si="370"/>
        <v>18</v>
      </c>
      <c r="H5099" s="13">
        <f t="shared" si="371"/>
        <v>9</v>
      </c>
      <c r="I5099" s="12">
        <f t="shared" si="372"/>
        <v>9</v>
      </c>
      <c r="J5099" s="3" t="str">
        <f t="shared" si="369"/>
        <v>6830847</v>
      </c>
    </row>
    <row r="5100" spans="1:10" s="3" customFormat="1">
      <c r="B5100" s="3" t="s">
        <v>2152</v>
      </c>
      <c r="C5100" s="8">
        <v>3</v>
      </c>
      <c r="D5100" s="3" t="s">
        <v>2964</v>
      </c>
      <c r="E5100" s="11" t="s">
        <v>1498</v>
      </c>
      <c r="F5100" s="10">
        <v>7.2400000000000003E-4</v>
      </c>
      <c r="G5100" s="12">
        <f t="shared" si="370"/>
        <v>208</v>
      </c>
      <c r="H5100" s="13">
        <f t="shared" si="371"/>
        <v>104</v>
      </c>
      <c r="I5100" s="12">
        <f t="shared" si="372"/>
        <v>104</v>
      </c>
      <c r="J5100" s="3" t="str">
        <f t="shared" si="369"/>
        <v>6830848</v>
      </c>
    </row>
    <row r="5101" spans="1:10" s="3" customFormat="1">
      <c r="B5101" s="3" t="s">
        <v>2152</v>
      </c>
      <c r="C5101" s="8">
        <v>3</v>
      </c>
      <c r="D5101" s="3" t="s">
        <v>2965</v>
      </c>
      <c r="E5101" s="11" t="s">
        <v>1499</v>
      </c>
      <c r="F5101" s="10">
        <v>3.7782000000000003E-2</v>
      </c>
      <c r="G5101" s="12">
        <f t="shared" si="370"/>
        <v>10871</v>
      </c>
      <c r="H5101" s="13">
        <f t="shared" si="371"/>
        <v>5436</v>
      </c>
      <c r="I5101" s="12">
        <f t="shared" si="372"/>
        <v>5435</v>
      </c>
      <c r="J5101" s="3" t="str">
        <f t="shared" si="369"/>
        <v>6830849</v>
      </c>
    </row>
    <row r="5102" spans="1:10" s="3" customFormat="1">
      <c r="B5102" s="3" t="s">
        <v>2152</v>
      </c>
      <c r="C5102" s="8">
        <v>3</v>
      </c>
      <c r="D5102" s="3" t="s">
        <v>2966</v>
      </c>
      <c r="E5102" s="11" t="s">
        <v>1500</v>
      </c>
      <c r="F5102" s="10">
        <v>3.2600000000000001E-4</v>
      </c>
      <c r="G5102" s="12">
        <f t="shared" si="370"/>
        <v>94</v>
      </c>
      <c r="H5102" s="13">
        <f t="shared" si="371"/>
        <v>47</v>
      </c>
      <c r="I5102" s="12">
        <f t="shared" si="372"/>
        <v>47</v>
      </c>
      <c r="J5102" s="3" t="str">
        <f t="shared" si="369"/>
        <v>6830850</v>
      </c>
    </row>
    <row r="5103" spans="1:10" s="3" customFormat="1">
      <c r="B5103" s="3" t="s">
        <v>2152</v>
      </c>
      <c r="C5103" s="8">
        <v>3</v>
      </c>
      <c r="D5103" s="3" t="s">
        <v>2967</v>
      </c>
      <c r="E5103" s="11" t="s">
        <v>1501</v>
      </c>
      <c r="F5103" s="10">
        <v>1.3356E-2</v>
      </c>
      <c r="G5103" s="12">
        <f t="shared" si="370"/>
        <v>3843</v>
      </c>
      <c r="H5103" s="13">
        <f t="shared" si="371"/>
        <v>1922</v>
      </c>
      <c r="I5103" s="12">
        <f t="shared" si="372"/>
        <v>1921</v>
      </c>
      <c r="J5103" s="3" t="str">
        <f t="shared" si="369"/>
        <v>6830851</v>
      </c>
    </row>
    <row r="5104" spans="1:10" s="3" customFormat="1">
      <c r="B5104" s="3" t="s">
        <v>2152</v>
      </c>
      <c r="C5104" s="8">
        <v>3</v>
      </c>
      <c r="D5104" s="3" t="s">
        <v>2968</v>
      </c>
      <c r="E5104" s="11" t="s">
        <v>1502</v>
      </c>
      <c r="F5104" s="10">
        <v>7.5960000000000003E-3</v>
      </c>
      <c r="G5104" s="12">
        <f t="shared" si="370"/>
        <v>2186</v>
      </c>
      <c r="H5104" s="13">
        <f t="shared" si="371"/>
        <v>1093</v>
      </c>
      <c r="I5104" s="12">
        <f t="shared" si="372"/>
        <v>1093</v>
      </c>
      <c r="J5104" s="3" t="str">
        <f t="shared" si="369"/>
        <v>6830852</v>
      </c>
    </row>
    <row r="5105" spans="2:10" s="3" customFormat="1">
      <c r="B5105" s="3" t="s">
        <v>2152</v>
      </c>
      <c r="C5105" s="8">
        <v>3</v>
      </c>
      <c r="D5105" s="3" t="s">
        <v>2969</v>
      </c>
      <c r="E5105" s="11" t="s">
        <v>1503</v>
      </c>
      <c r="F5105" s="10">
        <v>8.9929999999999993E-3</v>
      </c>
      <c r="G5105" s="12">
        <f t="shared" si="370"/>
        <v>2587</v>
      </c>
      <c r="H5105" s="13">
        <f t="shared" si="371"/>
        <v>1294</v>
      </c>
      <c r="I5105" s="12">
        <f t="shared" si="372"/>
        <v>1293</v>
      </c>
      <c r="J5105" s="3" t="str">
        <f t="shared" si="369"/>
        <v>6830853</v>
      </c>
    </row>
    <row r="5106" spans="2:10" s="3" customFormat="1">
      <c r="B5106" s="3" t="s">
        <v>2152</v>
      </c>
      <c r="C5106" s="8">
        <v>3</v>
      </c>
      <c r="D5106" s="3" t="s">
        <v>2962</v>
      </c>
      <c r="E5106" s="11" t="s">
        <v>1504</v>
      </c>
      <c r="F5106" s="10">
        <v>2.0098999999999999E-2</v>
      </c>
      <c r="G5106" s="12">
        <f t="shared" si="370"/>
        <v>5783</v>
      </c>
      <c r="H5106" s="13">
        <f t="shared" si="371"/>
        <v>2892</v>
      </c>
      <c r="I5106" s="12">
        <f t="shared" si="372"/>
        <v>2891</v>
      </c>
      <c r="J5106" s="3" t="str">
        <f t="shared" si="369"/>
        <v>6830446</v>
      </c>
    </row>
    <row r="5107" spans="2:10" s="3" customFormat="1">
      <c r="B5107" s="3" t="s">
        <v>2152</v>
      </c>
      <c r="C5107" s="8">
        <v>3</v>
      </c>
      <c r="D5107" s="3" t="s">
        <v>2961</v>
      </c>
      <c r="E5107" s="11" t="s">
        <v>1505</v>
      </c>
      <c r="F5107" s="10">
        <v>1.3396999999999999E-2</v>
      </c>
      <c r="G5107" s="12">
        <f t="shared" si="370"/>
        <v>3855</v>
      </c>
      <c r="H5107" s="13">
        <f t="shared" si="371"/>
        <v>1928</v>
      </c>
      <c r="I5107" s="12">
        <f t="shared" si="372"/>
        <v>1927</v>
      </c>
      <c r="J5107" s="3" t="str">
        <f t="shared" si="369"/>
        <v>6830425</v>
      </c>
    </row>
    <row r="5108" spans="2:10" s="3" customFormat="1">
      <c r="B5108" s="3" t="s">
        <v>2152</v>
      </c>
      <c r="C5108" s="8">
        <v>4</v>
      </c>
      <c r="D5108" s="3" t="s">
        <v>2971</v>
      </c>
      <c r="E5108" s="11" t="s">
        <v>1506</v>
      </c>
      <c r="F5108" s="10">
        <v>0.16986899999999999</v>
      </c>
      <c r="G5108" s="9">
        <f t="shared" si="370"/>
        <v>48875</v>
      </c>
      <c r="H5108" s="11">
        <f t="shared" si="371"/>
        <v>24438</v>
      </c>
      <c r="I5108" s="9">
        <f t="shared" si="372"/>
        <v>24437</v>
      </c>
      <c r="J5108" s="3" t="str">
        <f t="shared" si="369"/>
        <v>6846820</v>
      </c>
    </row>
    <row r="5109" spans="2:10" s="3" customFormat="1">
      <c r="B5109" s="3" t="s">
        <v>2152</v>
      </c>
      <c r="C5109" s="8">
        <v>4</v>
      </c>
      <c r="D5109" s="3" t="s">
        <v>2971</v>
      </c>
      <c r="E5109" s="11" t="s">
        <v>28</v>
      </c>
      <c r="F5109" s="11"/>
      <c r="G5109" s="14">
        <v>0.41183599999999998</v>
      </c>
      <c r="H5109" s="11"/>
      <c r="I5109" s="11"/>
      <c r="J5109" s="3" t="str">
        <f t="shared" si="369"/>
        <v>6846820</v>
      </c>
    </row>
    <row r="5110" spans="2:10" s="3" customFormat="1">
      <c r="B5110" s="3" t="s">
        <v>2152</v>
      </c>
      <c r="C5110" s="8">
        <v>4</v>
      </c>
      <c r="D5110" s="3" t="s">
        <v>2971</v>
      </c>
      <c r="E5110" s="11" t="s">
        <v>29</v>
      </c>
      <c r="F5110" s="11"/>
      <c r="G5110" s="15">
        <f>ROUND(G5108*G5109,0)</f>
        <v>20128</v>
      </c>
      <c r="H5110" s="16">
        <f>ROUND(G5110/2,0)</f>
        <v>10064</v>
      </c>
      <c r="I5110" s="15">
        <f>G5110-H5110</f>
        <v>10064</v>
      </c>
      <c r="J5110" s="3" t="str">
        <f t="shared" si="369"/>
        <v>6846820</v>
      </c>
    </row>
    <row r="5111" spans="2:10" s="3" customFormat="1">
      <c r="B5111" s="3" t="s">
        <v>2152</v>
      </c>
      <c r="C5111" s="8">
        <v>4</v>
      </c>
      <c r="D5111" s="3" t="s">
        <v>2971</v>
      </c>
      <c r="E5111" s="11" t="s">
        <v>30</v>
      </c>
      <c r="F5111" s="11"/>
      <c r="G5111" s="12">
        <f>+G5108-G5110</f>
        <v>28747</v>
      </c>
      <c r="H5111" s="13">
        <f>ROUND(G5111/2,0)</f>
        <v>14374</v>
      </c>
      <c r="I5111" s="12">
        <f>G5111-H5111</f>
        <v>14373</v>
      </c>
      <c r="J5111" s="3" t="str">
        <f t="shared" si="369"/>
        <v>6846820</v>
      </c>
    </row>
    <row r="5112" spans="2:10" s="3" customFormat="1">
      <c r="B5112" s="3" t="s">
        <v>2152</v>
      </c>
      <c r="C5112" s="8">
        <v>4</v>
      </c>
      <c r="D5112" s="3" t="s">
        <v>2972</v>
      </c>
      <c r="E5112" s="11" t="s">
        <v>1507</v>
      </c>
      <c r="F5112" s="10">
        <v>0.11630799999999999</v>
      </c>
      <c r="G5112" s="9">
        <f>ROUND(G$3*F5112,0)</f>
        <v>33464</v>
      </c>
      <c r="H5112" s="11">
        <f>ROUND(G5112/2,0)</f>
        <v>16732</v>
      </c>
      <c r="I5112" s="9">
        <f>G5112-H5112</f>
        <v>16732</v>
      </c>
      <c r="J5112" s="3" t="str">
        <f t="shared" si="369"/>
        <v>6846825</v>
      </c>
    </row>
    <row r="5113" spans="2:10" s="3" customFormat="1">
      <c r="B5113" s="3" t="s">
        <v>2152</v>
      </c>
      <c r="C5113" s="8">
        <v>4</v>
      </c>
      <c r="D5113" s="3" t="s">
        <v>2972</v>
      </c>
      <c r="E5113" s="11" t="s">
        <v>28</v>
      </c>
      <c r="F5113" s="11"/>
      <c r="G5113" s="14">
        <v>0.48951800000000001</v>
      </c>
      <c r="H5113" s="11"/>
      <c r="I5113" s="11"/>
      <c r="J5113" s="3" t="str">
        <f t="shared" si="369"/>
        <v>6846825</v>
      </c>
    </row>
    <row r="5114" spans="2:10" s="3" customFormat="1">
      <c r="B5114" s="3" t="s">
        <v>2152</v>
      </c>
      <c r="C5114" s="8">
        <v>4</v>
      </c>
      <c r="D5114" s="3" t="s">
        <v>2972</v>
      </c>
      <c r="E5114" s="11" t="s">
        <v>29</v>
      </c>
      <c r="F5114" s="11"/>
      <c r="G5114" s="15">
        <f>ROUND(G5112*G5113,0)</f>
        <v>16381</v>
      </c>
      <c r="H5114" s="16">
        <f>ROUND(G5114/2,0)</f>
        <v>8191</v>
      </c>
      <c r="I5114" s="15">
        <f>G5114-H5114</f>
        <v>8190</v>
      </c>
      <c r="J5114" s="3" t="str">
        <f t="shared" si="369"/>
        <v>6846825</v>
      </c>
    </row>
    <row r="5115" spans="2:10" s="3" customFormat="1">
      <c r="B5115" s="3" t="s">
        <v>2152</v>
      </c>
      <c r="C5115" s="8">
        <v>4</v>
      </c>
      <c r="D5115" s="3" t="s">
        <v>2972</v>
      </c>
      <c r="E5115" s="11" t="s">
        <v>30</v>
      </c>
      <c r="F5115" s="11"/>
      <c r="G5115" s="12">
        <f>+G5112-G5114</f>
        <v>17083</v>
      </c>
      <c r="H5115" s="13">
        <f>ROUND(G5115/2,0)</f>
        <v>8542</v>
      </c>
      <c r="I5115" s="12">
        <f>G5115-H5115</f>
        <v>8541</v>
      </c>
      <c r="J5115" s="3" t="str">
        <f t="shared" si="369"/>
        <v>6846825</v>
      </c>
    </row>
    <row r="5116" spans="2:10" s="3" customFormat="1">
      <c r="B5116" s="3" t="s">
        <v>2152</v>
      </c>
      <c r="C5116" s="8">
        <v>4</v>
      </c>
      <c r="D5116" s="3" t="s">
        <v>2973</v>
      </c>
      <c r="E5116" s="11" t="s">
        <v>1508</v>
      </c>
      <c r="F5116" s="10">
        <v>6.3436999999999993E-2</v>
      </c>
      <c r="G5116" s="9">
        <f>ROUND(G$3*F5116,0)</f>
        <v>18252</v>
      </c>
      <c r="H5116" s="11">
        <f>ROUND(G5116/2,0)</f>
        <v>9126</v>
      </c>
      <c r="I5116" s="9">
        <f>G5116-H5116</f>
        <v>9126</v>
      </c>
      <c r="J5116" s="3" t="str">
        <f t="shared" si="369"/>
        <v>6846835</v>
      </c>
    </row>
    <row r="5117" spans="2:10" s="3" customFormat="1">
      <c r="B5117" s="3" t="s">
        <v>2152</v>
      </c>
      <c r="C5117" s="8">
        <v>4</v>
      </c>
      <c r="D5117" s="3" t="s">
        <v>2973</v>
      </c>
      <c r="E5117" s="11" t="s">
        <v>28</v>
      </c>
      <c r="F5117" s="11"/>
      <c r="G5117" s="14">
        <v>0.44630300000000001</v>
      </c>
      <c r="H5117" s="11"/>
      <c r="I5117" s="11"/>
      <c r="J5117" s="3" t="str">
        <f t="shared" si="369"/>
        <v>6846835</v>
      </c>
    </row>
    <row r="5118" spans="2:10" s="3" customFormat="1">
      <c r="B5118" s="3" t="s">
        <v>2152</v>
      </c>
      <c r="C5118" s="8">
        <v>4</v>
      </c>
      <c r="D5118" s="3" t="s">
        <v>2973</v>
      </c>
      <c r="E5118" s="11" t="s">
        <v>29</v>
      </c>
      <c r="F5118" s="11"/>
      <c r="G5118" s="15">
        <f>ROUND(G5116*G5117,0)</f>
        <v>8146</v>
      </c>
      <c r="H5118" s="16">
        <f>ROUND(G5118/2,0)</f>
        <v>4073</v>
      </c>
      <c r="I5118" s="15">
        <f>G5118-H5118</f>
        <v>4073</v>
      </c>
      <c r="J5118" s="3" t="str">
        <f t="shared" si="369"/>
        <v>6846835</v>
      </c>
    </row>
    <row r="5119" spans="2:10" s="3" customFormat="1">
      <c r="B5119" s="3" t="s">
        <v>2152</v>
      </c>
      <c r="C5119" s="8">
        <v>4</v>
      </c>
      <c r="D5119" s="3" t="s">
        <v>2973</v>
      </c>
      <c r="E5119" s="11" t="s">
        <v>30</v>
      </c>
      <c r="F5119" s="11"/>
      <c r="G5119" s="12">
        <f>+G5116-G5118</f>
        <v>10106</v>
      </c>
      <c r="H5119" s="13">
        <f>ROUND(G5119/2,0)</f>
        <v>5053</v>
      </c>
      <c r="I5119" s="12">
        <f>G5119-H5119</f>
        <v>5053</v>
      </c>
      <c r="J5119" s="3" t="str">
        <f t="shared" si="369"/>
        <v>6846835</v>
      </c>
    </row>
    <row r="5120" spans="2:10" s="3" customFormat="1">
      <c r="B5120" s="3" t="s">
        <v>2152</v>
      </c>
      <c r="C5120" s="8">
        <v>4</v>
      </c>
      <c r="D5120" s="3" t="s">
        <v>2970</v>
      </c>
      <c r="E5120" s="11" t="s">
        <v>1509</v>
      </c>
      <c r="F5120" s="10">
        <v>0.11809600000000001</v>
      </c>
      <c r="G5120" s="9">
        <f>ROUND(G$3*F5120,0)</f>
        <v>33979</v>
      </c>
      <c r="H5120" s="11">
        <f>ROUND(G5120/2,0)</f>
        <v>16990</v>
      </c>
      <c r="I5120" s="9">
        <f>G5120-H5120</f>
        <v>16989</v>
      </c>
      <c r="J5120" s="3" t="str">
        <f t="shared" si="369"/>
        <v>6846805</v>
      </c>
    </row>
    <row r="5121" spans="1:10" s="3" customFormat="1">
      <c r="B5121" s="3" t="s">
        <v>2152</v>
      </c>
      <c r="C5121" s="8">
        <v>4</v>
      </c>
      <c r="D5121" s="3" t="s">
        <v>2970</v>
      </c>
      <c r="E5121" s="11" t="s">
        <v>28</v>
      </c>
      <c r="F5121" s="11"/>
      <c r="G5121" s="14">
        <v>0.492172</v>
      </c>
      <c r="H5121" s="11"/>
      <c r="I5121" s="11"/>
      <c r="J5121" s="3" t="str">
        <f t="shared" si="369"/>
        <v>6846805</v>
      </c>
    </row>
    <row r="5122" spans="1:10" s="3" customFormat="1">
      <c r="B5122" s="3" t="s">
        <v>2152</v>
      </c>
      <c r="C5122" s="8">
        <v>4</v>
      </c>
      <c r="D5122" s="3" t="s">
        <v>2970</v>
      </c>
      <c r="E5122" s="11" t="s">
        <v>29</v>
      </c>
      <c r="F5122" s="11"/>
      <c r="G5122" s="15">
        <f>ROUND(G5120*G5121,0)</f>
        <v>16724</v>
      </c>
      <c r="H5122" s="16">
        <f>ROUND(G5122/2,0)</f>
        <v>8362</v>
      </c>
      <c r="I5122" s="15">
        <f>G5122-H5122</f>
        <v>8362</v>
      </c>
      <c r="J5122" s="3" t="str">
        <f t="shared" si="369"/>
        <v>6846805</v>
      </c>
    </row>
    <row r="5123" spans="1:10" s="3" customFormat="1">
      <c r="B5123" s="3" t="s">
        <v>2152</v>
      </c>
      <c r="C5123" s="8">
        <v>4</v>
      </c>
      <c r="D5123" s="3" t="s">
        <v>2970</v>
      </c>
      <c r="E5123" s="11" t="s">
        <v>30</v>
      </c>
      <c r="F5123" s="11"/>
      <c r="G5123" s="12">
        <f>+G5120-G5122</f>
        <v>17255</v>
      </c>
      <c r="H5123" s="13">
        <f>ROUND(G5123/2,0)</f>
        <v>8628</v>
      </c>
      <c r="I5123" s="12">
        <f>G5123-H5123</f>
        <v>8627</v>
      </c>
      <c r="J5123" s="3" t="str">
        <f t="shared" si="369"/>
        <v>6846805</v>
      </c>
    </row>
    <row r="5124" spans="1:10" s="3" customFormat="1">
      <c r="B5124" s="3" t="s">
        <v>2152</v>
      </c>
      <c r="C5124" s="8">
        <v>4</v>
      </c>
      <c r="D5124" s="3" t="s">
        <v>2587</v>
      </c>
      <c r="E5124" s="11" t="s">
        <v>768</v>
      </c>
      <c r="F5124" s="10">
        <v>0.108417</v>
      </c>
      <c r="G5124" s="9">
        <f>ROUND(G$3*F5124,0)</f>
        <v>31194</v>
      </c>
      <c r="H5124" s="11">
        <f>ROUND(G5124/2,0)</f>
        <v>15597</v>
      </c>
      <c r="I5124" s="9">
        <f>G5124-H5124</f>
        <v>15597</v>
      </c>
      <c r="J5124" s="3" t="str">
        <f t="shared" ref="J5124:J5187" si="373">B5124&amp;C5124&amp;D5124</f>
        <v>6846795</v>
      </c>
    </row>
    <row r="5125" spans="1:10" s="3" customFormat="1">
      <c r="B5125" s="3" t="s">
        <v>2152</v>
      </c>
      <c r="C5125" s="8">
        <v>4</v>
      </c>
      <c r="D5125" s="3" t="s">
        <v>2587</v>
      </c>
      <c r="E5125" s="11" t="s">
        <v>28</v>
      </c>
      <c r="F5125" s="11"/>
      <c r="G5125" s="14">
        <v>0.497116</v>
      </c>
      <c r="H5125" s="11"/>
      <c r="I5125" s="11"/>
      <c r="J5125" s="3" t="str">
        <f t="shared" si="373"/>
        <v>6846795</v>
      </c>
    </row>
    <row r="5126" spans="1:10" s="3" customFormat="1">
      <c r="B5126" s="3" t="s">
        <v>2152</v>
      </c>
      <c r="C5126" s="8">
        <v>4</v>
      </c>
      <c r="D5126" s="3" t="s">
        <v>2587</v>
      </c>
      <c r="E5126" s="11" t="s">
        <v>29</v>
      </c>
      <c r="F5126" s="11"/>
      <c r="G5126" s="15">
        <f>ROUND(G5124*G5125,0)</f>
        <v>15507</v>
      </c>
      <c r="H5126" s="16">
        <f t="shared" ref="H5126:H5133" si="374">ROUND(G5126/2,0)</f>
        <v>7754</v>
      </c>
      <c r="I5126" s="15">
        <f t="shared" ref="I5126:I5133" si="375">G5126-H5126</f>
        <v>7753</v>
      </c>
      <c r="J5126" s="3" t="str">
        <f t="shared" si="373"/>
        <v>6846795</v>
      </c>
    </row>
    <row r="5127" spans="1:10" s="3" customFormat="1">
      <c r="B5127" s="3" t="s">
        <v>2152</v>
      </c>
      <c r="C5127" s="8">
        <v>4</v>
      </c>
      <c r="D5127" s="3" t="s">
        <v>2587</v>
      </c>
      <c r="E5127" s="11" t="s">
        <v>30</v>
      </c>
      <c r="F5127" s="11"/>
      <c r="G5127" s="12">
        <f>+G5124-G5126</f>
        <v>15687</v>
      </c>
      <c r="H5127" s="13">
        <f t="shared" si="374"/>
        <v>7844</v>
      </c>
      <c r="I5127" s="12">
        <f t="shared" si="375"/>
        <v>7843</v>
      </c>
      <c r="J5127" s="3" t="str">
        <f t="shared" si="373"/>
        <v>6846795</v>
      </c>
    </row>
    <row r="5128" spans="1:10" s="3" customFormat="1">
      <c r="B5128" s="3" t="s">
        <v>2152</v>
      </c>
      <c r="C5128" s="8">
        <v>5</v>
      </c>
      <c r="D5128" s="3" t="s">
        <v>2974</v>
      </c>
      <c r="E5128" s="11" t="s">
        <v>1510</v>
      </c>
      <c r="F5128" s="10">
        <v>3.0000000000000001E-6</v>
      </c>
      <c r="G5128" s="120">
        <f>ROUND(G$3*F5128,0)</f>
        <v>1</v>
      </c>
      <c r="H5128" s="120">
        <f t="shared" si="374"/>
        <v>1</v>
      </c>
      <c r="I5128" s="120">
        <f t="shared" si="375"/>
        <v>0</v>
      </c>
      <c r="J5128" s="3" t="str">
        <f t="shared" si="373"/>
        <v>6850194</v>
      </c>
    </row>
    <row r="5129" spans="1:10" s="3" customFormat="1">
      <c r="B5129" s="3" t="s">
        <v>2152</v>
      </c>
      <c r="C5129" s="8">
        <v>5</v>
      </c>
      <c r="D5129" s="3" t="s">
        <v>2975</v>
      </c>
      <c r="E5129" s="11" t="s">
        <v>1511</v>
      </c>
      <c r="F5129" s="10">
        <v>8.0199999999999998E-4</v>
      </c>
      <c r="G5129" s="120">
        <f>ROUND(G$3*F5129,0)</f>
        <v>231</v>
      </c>
      <c r="H5129" s="120">
        <f t="shared" si="374"/>
        <v>116</v>
      </c>
      <c r="I5129" s="120">
        <f t="shared" si="375"/>
        <v>115</v>
      </c>
      <c r="J5129" s="3" t="str">
        <f t="shared" si="373"/>
        <v>6850195</v>
      </c>
    </row>
    <row r="5130" spans="1:10" s="3" customFormat="1">
      <c r="B5130" s="3" t="s">
        <v>2152</v>
      </c>
      <c r="C5130" s="8">
        <v>5</v>
      </c>
      <c r="D5130" s="3" t="s">
        <v>2976</v>
      </c>
      <c r="E5130" s="11" t="s">
        <v>1512</v>
      </c>
      <c r="F5130" s="10">
        <v>1.7570000000000001E-3</v>
      </c>
      <c r="G5130" s="120">
        <f>ROUND(G$3*F5130,0)</f>
        <v>506</v>
      </c>
      <c r="H5130" s="120">
        <f t="shared" si="374"/>
        <v>253</v>
      </c>
      <c r="I5130" s="120">
        <f t="shared" si="375"/>
        <v>253</v>
      </c>
      <c r="J5130" s="3" t="str">
        <f t="shared" si="373"/>
        <v>6850196</v>
      </c>
    </row>
    <row r="5131" spans="1:10" s="3" customFormat="1">
      <c r="B5131" s="3" t="s">
        <v>2152</v>
      </c>
      <c r="C5131" s="8">
        <v>5</v>
      </c>
      <c r="D5131" s="125" t="s">
        <v>5572</v>
      </c>
      <c r="E5131" s="11" t="s">
        <v>738</v>
      </c>
      <c r="F5131" s="10">
        <v>3.8809999999999999E-3</v>
      </c>
      <c r="G5131" s="120">
        <f>ROUND(G$3*F5131,0)</f>
        <v>1117</v>
      </c>
      <c r="H5131" s="120">
        <f t="shared" si="374"/>
        <v>559</v>
      </c>
      <c r="I5131" s="120">
        <f t="shared" si="375"/>
        <v>558</v>
      </c>
      <c r="J5131" s="3" t="str">
        <f t="shared" si="373"/>
        <v>6850198</v>
      </c>
    </row>
    <row r="5132" spans="1:10" s="3" customFormat="1">
      <c r="B5132" s="3" t="s">
        <v>2152</v>
      </c>
      <c r="C5132" s="8">
        <v>5</v>
      </c>
      <c r="D5132" s="3" t="s">
        <v>2977</v>
      </c>
      <c r="E5132" s="11" t="s">
        <v>1513</v>
      </c>
      <c r="F5132" s="10">
        <v>6.9720000000003113E-3</v>
      </c>
      <c r="G5132" s="120">
        <f>+G5059-SUM(G5060:G5061)-SUM(G5066:G5108)-G5112-G5116-G5120-G5124-SUM(G5128:G5131)</f>
        <v>-17558</v>
      </c>
      <c r="H5132" s="120">
        <f t="shared" si="374"/>
        <v>-8779</v>
      </c>
      <c r="I5132" s="120">
        <f t="shared" si="375"/>
        <v>-8779</v>
      </c>
      <c r="J5132" s="3" t="str">
        <f t="shared" si="373"/>
        <v>6850197</v>
      </c>
    </row>
    <row r="5133" spans="1:10" s="3" customFormat="1">
      <c r="A5133" s="3" t="s">
        <v>6269</v>
      </c>
      <c r="B5133" s="3" t="s">
        <v>2152</v>
      </c>
      <c r="C5133" s="8">
        <v>6</v>
      </c>
      <c r="D5133" s="3" t="s">
        <v>2978</v>
      </c>
      <c r="E5133" s="11" t="s">
        <v>1514</v>
      </c>
      <c r="F5133" s="10">
        <v>0</v>
      </c>
      <c r="G5133" s="12">
        <f>ROUND(G$3*F5133,0)</f>
        <v>0</v>
      </c>
      <c r="H5133" s="13">
        <f t="shared" si="374"/>
        <v>0</v>
      </c>
      <c r="I5133" s="12">
        <f t="shared" si="375"/>
        <v>0</v>
      </c>
      <c r="J5133" s="3" t="str">
        <f t="shared" si="373"/>
        <v>6861099</v>
      </c>
    </row>
    <row r="5134" spans="1:10" s="3" customFormat="1">
      <c r="B5134" s="3" t="s">
        <v>2152</v>
      </c>
      <c r="C5134" s="8">
        <v>0</v>
      </c>
      <c r="D5134" s="125" t="s">
        <v>2187</v>
      </c>
      <c r="E5134" s="28" t="s">
        <v>288</v>
      </c>
      <c r="F5134" s="10">
        <v>1</v>
      </c>
      <c r="G5134" s="12">
        <f>+G5060+SUM(G5063:G5107)+SUM(G5110:G5111)+SUM(G5114:G5115)+SUM(G5118:G5119)+SUM(G5122:G5123)+SUM(G5126:G5133)</f>
        <v>268161</v>
      </c>
      <c r="H5134" s="12">
        <f>+H5060+SUM(H5063:H5107)+SUM(H5110:H5111)+SUM(H5114:H5115)+SUM(H5118:H5119)+SUM(H5122:H5123)+SUM(H5126:H5133)</f>
        <v>134093</v>
      </c>
      <c r="I5134" s="12">
        <f>+I5060+SUM(I5063:I5107)+SUM(I5110:I5111)+SUM(I5114:I5115)+SUM(I5118:I5119)+SUM(I5122:I5123)+SUM(I5126:I5133)</f>
        <v>134068</v>
      </c>
      <c r="J5134" s="3" t="str">
        <f t="shared" si="373"/>
        <v>6800000</v>
      </c>
    </row>
    <row r="5135" spans="1:10" s="3" customFormat="1">
      <c r="B5135" s="3" t="s">
        <v>2152</v>
      </c>
      <c r="C5135" s="8">
        <v>0</v>
      </c>
      <c r="D5135" s="3" t="s">
        <v>2187</v>
      </c>
      <c r="E5135" s="18" t="s">
        <v>38</v>
      </c>
      <c r="G5135" s="19">
        <f>+G5060</f>
        <v>349</v>
      </c>
      <c r="H5135" s="19">
        <f>+H5060</f>
        <v>175</v>
      </c>
      <c r="I5135" s="19">
        <f>+I5060</f>
        <v>174</v>
      </c>
      <c r="J5135" s="3" t="str">
        <f t="shared" si="373"/>
        <v>6800000</v>
      </c>
    </row>
    <row r="5136" spans="1:10" s="3" customFormat="1">
      <c r="B5136" s="3" t="s">
        <v>2152</v>
      </c>
      <c r="C5136" s="8">
        <v>0</v>
      </c>
      <c r="D5136" s="3" t="s">
        <v>2187</v>
      </c>
      <c r="E5136" s="2" t="s">
        <v>39</v>
      </c>
      <c r="G5136" s="19">
        <f>+G5063</f>
        <v>28056</v>
      </c>
      <c r="H5136" s="19">
        <f>+H5063</f>
        <v>14028</v>
      </c>
      <c r="I5136" s="19">
        <f>+I5063</f>
        <v>14028</v>
      </c>
      <c r="J5136" s="3" t="str">
        <f t="shared" si="373"/>
        <v>6800000</v>
      </c>
    </row>
    <row r="5137" spans="2:10" s="3" customFormat="1">
      <c r="B5137" s="3" t="s">
        <v>2152</v>
      </c>
      <c r="C5137" s="8">
        <v>0</v>
      </c>
      <c r="D5137" s="3" t="s">
        <v>2187</v>
      </c>
      <c r="E5137" s="2" t="s">
        <v>40</v>
      </c>
      <c r="G5137" s="19">
        <f>+G5110+G5114+G5118+G5122+G5126</f>
        <v>76886</v>
      </c>
      <c r="H5137" s="19">
        <f>+H5110+H5114+H5118+H5122+H5126</f>
        <v>38444</v>
      </c>
      <c r="I5137" s="19">
        <f>+I5110+I5114+I5118+I5122+I5126</f>
        <v>38442</v>
      </c>
      <c r="J5137" s="3" t="str">
        <f t="shared" si="373"/>
        <v>6800000</v>
      </c>
    </row>
    <row r="5138" spans="2:10" s="3" customFormat="1">
      <c r="B5138" s="3" t="s">
        <v>2152</v>
      </c>
      <c r="C5138" s="8">
        <v>0</v>
      </c>
      <c r="D5138" s="125" t="s">
        <v>2187</v>
      </c>
      <c r="E5138" s="18" t="s">
        <v>41</v>
      </c>
      <c r="G5138" s="19">
        <f>+G5134-G5135-G5136-G5137</f>
        <v>162870</v>
      </c>
      <c r="H5138" s="19">
        <f>+H5134-H5135-H5136-H5137</f>
        <v>81446</v>
      </c>
      <c r="I5138" s="19">
        <f>+I5134-I5135-I5136-I5137</f>
        <v>81424</v>
      </c>
      <c r="J5138" s="3" t="str">
        <f t="shared" si="373"/>
        <v>6800000</v>
      </c>
    </row>
    <row r="5139" spans="2:10" ht="15.75">
      <c r="B5139" s="3" t="s">
        <v>2186</v>
      </c>
      <c r="D5139" t="s">
        <v>2186</v>
      </c>
      <c r="E5139">
        <v>0</v>
      </c>
      <c r="G5139"/>
      <c r="H5139"/>
      <c r="I5139"/>
      <c r="J5139" s="3" t="str">
        <f t="shared" si="373"/>
        <v/>
      </c>
    </row>
    <row r="5140" spans="2:10" s="3" customFormat="1">
      <c r="C5140" s="1"/>
      <c r="D5140" s="3" t="s">
        <v>2186</v>
      </c>
      <c r="E5140" s="2" t="s">
        <v>1893</v>
      </c>
      <c r="J5140" s="3" t="str">
        <f t="shared" si="373"/>
        <v/>
      </c>
    </row>
    <row r="5141" spans="2:10" s="3" customFormat="1" ht="45">
      <c r="B5141" s="3" t="s">
        <v>2186</v>
      </c>
      <c r="C5141" s="1"/>
      <c r="D5141" s="3" t="s">
        <v>2186</v>
      </c>
      <c r="E5141" s="1">
        <v>0</v>
      </c>
      <c r="F5141" s="6" t="s">
        <v>1</v>
      </c>
      <c r="G5141" s="60">
        <f>'Allocation Worksheet'!H5141</f>
        <v>0</v>
      </c>
      <c r="H5141" s="60">
        <f>'Allocation Worksheet'!H5142</f>
        <v>0</v>
      </c>
      <c r="I5141" s="60">
        <f>'Allocation Worksheet'!H5143</f>
        <v>0</v>
      </c>
      <c r="J5141" s="3" t="str">
        <f t="shared" si="373"/>
        <v/>
      </c>
    </row>
    <row r="5142" spans="2:10" s="3" customFormat="1">
      <c r="C5142" s="7" t="s">
        <v>2087</v>
      </c>
      <c r="D5142" s="3" t="s">
        <v>2186</v>
      </c>
      <c r="E5142" s="7" t="s">
        <v>3</v>
      </c>
      <c r="F5142" s="10"/>
      <c r="G5142" s="9">
        <f>'Allocation Worksheet'!$D$72</f>
        <v>157577</v>
      </c>
      <c r="H5142" s="11"/>
      <c r="I5142" s="11"/>
      <c r="J5142" s="3" t="str">
        <f t="shared" si="373"/>
        <v>UT</v>
      </c>
    </row>
    <row r="5143" spans="2:10" s="3" customFormat="1">
      <c r="B5143" s="3" t="s">
        <v>2153</v>
      </c>
      <c r="C5143" s="8">
        <v>0</v>
      </c>
      <c r="D5143" s="3" t="s">
        <v>2187</v>
      </c>
      <c r="E5143" s="11" t="s">
        <v>4</v>
      </c>
      <c r="F5143" s="10">
        <v>1.382E-3</v>
      </c>
      <c r="G5143" s="12">
        <f>ROUND(G$3*F5143,0)</f>
        <v>398</v>
      </c>
      <c r="H5143" s="13">
        <f>ROUND(G5143/2,0)</f>
        <v>199</v>
      </c>
      <c r="I5143" s="12">
        <f>G5143-H5143</f>
        <v>199</v>
      </c>
      <c r="J5143" s="3" t="str">
        <f t="shared" si="373"/>
        <v>6900000</v>
      </c>
    </row>
    <row r="5144" spans="2:10" s="3" customFormat="1">
      <c r="B5144" s="3" t="s">
        <v>2153</v>
      </c>
      <c r="C5144" s="8">
        <v>1</v>
      </c>
      <c r="D5144" s="3" t="s">
        <v>2187</v>
      </c>
      <c r="E5144" s="11" t="s">
        <v>1515</v>
      </c>
      <c r="F5144" s="10">
        <v>0.192269</v>
      </c>
      <c r="G5144" s="9">
        <f>ROUND(G$3*F5144,0)</f>
        <v>55320</v>
      </c>
      <c r="H5144" s="11">
        <f>ROUND(G5144/2,0)</f>
        <v>27660</v>
      </c>
      <c r="I5144" s="9">
        <f>G5144-H5144</f>
        <v>27660</v>
      </c>
      <c r="J5144" s="3" t="str">
        <f t="shared" si="373"/>
        <v>6910000</v>
      </c>
    </row>
    <row r="5145" spans="2:10" s="3" customFormat="1">
      <c r="B5145" s="3" t="s">
        <v>2153</v>
      </c>
      <c r="C5145" s="8">
        <v>1</v>
      </c>
      <c r="D5145" s="3" t="s">
        <v>2187</v>
      </c>
      <c r="E5145" s="11" t="s">
        <v>6</v>
      </c>
      <c r="F5145" s="11"/>
      <c r="G5145" s="14">
        <v>0.40797099999999997</v>
      </c>
      <c r="H5145" s="11"/>
      <c r="I5145" s="11"/>
      <c r="J5145" s="3" t="str">
        <f t="shared" si="373"/>
        <v>6910000</v>
      </c>
    </row>
    <row r="5146" spans="2:10" s="3" customFormat="1">
      <c r="B5146" s="3" t="s">
        <v>2153</v>
      </c>
      <c r="C5146" s="8">
        <v>1</v>
      </c>
      <c r="D5146" s="3" t="s">
        <v>2187</v>
      </c>
      <c r="E5146" s="11" t="s">
        <v>7</v>
      </c>
      <c r="F5146" s="11"/>
      <c r="G5146" s="15">
        <f>ROUND(G5144*G5145,0)</f>
        <v>22569</v>
      </c>
      <c r="H5146" s="16">
        <f>ROUND(G5146/2,0)</f>
        <v>11285</v>
      </c>
      <c r="I5146" s="15">
        <f>G5146-H5146</f>
        <v>11284</v>
      </c>
      <c r="J5146" s="3" t="str">
        <f t="shared" si="373"/>
        <v>6910000</v>
      </c>
    </row>
    <row r="5147" spans="2:10" s="3" customFormat="1">
      <c r="B5147" s="3" t="s">
        <v>2153</v>
      </c>
      <c r="C5147" s="8">
        <v>1</v>
      </c>
      <c r="D5147" s="3" t="s">
        <v>2187</v>
      </c>
      <c r="E5147" s="11" t="s">
        <v>8</v>
      </c>
      <c r="F5147" s="11"/>
      <c r="G5147" s="12">
        <f>+G5144-G5146</f>
        <v>32751</v>
      </c>
      <c r="H5147" s="13">
        <f>ROUND(G5147/2,0)</f>
        <v>16376</v>
      </c>
      <c r="I5147" s="12">
        <f>G5147-H5147</f>
        <v>16375</v>
      </c>
      <c r="J5147" s="3" t="str">
        <f t="shared" si="373"/>
        <v>6910000</v>
      </c>
    </row>
    <row r="5148" spans="2:10" s="3" customFormat="1">
      <c r="B5148" s="3" t="s">
        <v>2153</v>
      </c>
      <c r="C5148" s="8">
        <v>2</v>
      </c>
      <c r="D5148" s="3" t="s">
        <v>2188</v>
      </c>
      <c r="E5148" s="11" t="s">
        <v>46</v>
      </c>
      <c r="F5148" s="11"/>
      <c r="G5148" s="9"/>
      <c r="H5148" s="11"/>
      <c r="I5148" s="11"/>
      <c r="J5148" s="3" t="str">
        <f t="shared" si="373"/>
        <v>6920001</v>
      </c>
    </row>
    <row r="5149" spans="2:10" s="3" customFormat="1">
      <c r="B5149" s="3" t="s">
        <v>2153</v>
      </c>
      <c r="C5149" s="8">
        <v>2</v>
      </c>
      <c r="D5149" s="3" t="s">
        <v>2188</v>
      </c>
      <c r="E5149" s="11" t="s">
        <v>10</v>
      </c>
      <c r="F5149" s="10">
        <v>1.7409999999999999E-3</v>
      </c>
      <c r="G5149" s="12">
        <f>ROUND(G$3*F5149,0)</f>
        <v>501</v>
      </c>
      <c r="H5149" s="13">
        <f>ROUND(G5149/2,0)</f>
        <v>251</v>
      </c>
      <c r="I5149" s="12">
        <f>G5149-H5149</f>
        <v>250</v>
      </c>
      <c r="J5149" s="3" t="str">
        <f t="shared" si="373"/>
        <v>6920001</v>
      </c>
    </row>
    <row r="5150" spans="2:10" s="3" customFormat="1">
      <c r="B5150" s="3" t="s">
        <v>2153</v>
      </c>
      <c r="C5150" s="8">
        <v>2</v>
      </c>
      <c r="D5150" s="3" t="s">
        <v>2188</v>
      </c>
      <c r="E5150" s="11" t="s">
        <v>11</v>
      </c>
      <c r="F5150" s="10">
        <v>1.9699999999999999E-4</v>
      </c>
      <c r="G5150" s="12">
        <f>ROUND(G$3*F5150,0)</f>
        <v>57</v>
      </c>
      <c r="H5150" s="13">
        <f>ROUND(G5150/2,0)</f>
        <v>29</v>
      </c>
      <c r="I5150" s="12">
        <f>G5150-H5150</f>
        <v>28</v>
      </c>
      <c r="J5150" s="3" t="str">
        <f t="shared" si="373"/>
        <v>6920001</v>
      </c>
    </row>
    <row r="5151" spans="2:10" s="3" customFormat="1">
      <c r="B5151" s="3" t="s">
        <v>2153</v>
      </c>
      <c r="C5151" s="8">
        <v>2</v>
      </c>
      <c r="D5151" s="3" t="s">
        <v>2189</v>
      </c>
      <c r="E5151" s="11" t="s">
        <v>671</v>
      </c>
      <c r="F5151" s="11"/>
      <c r="G5151" s="9"/>
      <c r="H5151" s="11"/>
      <c r="I5151" s="11"/>
      <c r="J5151" s="3" t="str">
        <f t="shared" si="373"/>
        <v>6920002</v>
      </c>
    </row>
    <row r="5152" spans="2:10" s="3" customFormat="1">
      <c r="B5152" s="3" t="s">
        <v>2153</v>
      </c>
      <c r="C5152" s="8">
        <v>2</v>
      </c>
      <c r="D5152" s="3" t="s">
        <v>2189</v>
      </c>
      <c r="E5152" s="11" t="s">
        <v>10</v>
      </c>
      <c r="F5152" s="10">
        <v>3.8200000000000002E-4</v>
      </c>
      <c r="G5152" s="12">
        <f>ROUND(G$3*F5152,0)</f>
        <v>110</v>
      </c>
      <c r="H5152" s="13">
        <f>ROUND(G5152/2,0)</f>
        <v>55</v>
      </c>
      <c r="I5152" s="12">
        <f>G5152-H5152</f>
        <v>55</v>
      </c>
      <c r="J5152" s="3" t="str">
        <f t="shared" si="373"/>
        <v>6920002</v>
      </c>
    </row>
    <row r="5153" spans="1:10" s="3" customFormat="1">
      <c r="B5153" s="3" t="s">
        <v>2153</v>
      </c>
      <c r="C5153" s="8">
        <v>2</v>
      </c>
      <c r="D5153" s="3" t="s">
        <v>2189</v>
      </c>
      <c r="E5153" s="11" t="s">
        <v>11</v>
      </c>
      <c r="F5153" s="10">
        <v>1.9699999999999999E-4</v>
      </c>
      <c r="G5153" s="12">
        <f>ROUND(G$3*F5153,0)</f>
        <v>57</v>
      </c>
      <c r="H5153" s="13">
        <f>ROUND(G5153/2,0)</f>
        <v>29</v>
      </c>
      <c r="I5153" s="12">
        <f>G5153-H5153</f>
        <v>28</v>
      </c>
      <c r="J5153" s="3" t="str">
        <f t="shared" si="373"/>
        <v>6920002</v>
      </c>
    </row>
    <row r="5154" spans="1:10" s="3" customFormat="1">
      <c r="B5154" s="3" t="s">
        <v>2153</v>
      </c>
      <c r="C5154" s="8">
        <v>2</v>
      </c>
      <c r="D5154" s="3" t="s">
        <v>2190</v>
      </c>
      <c r="E5154" s="11" t="s">
        <v>107</v>
      </c>
      <c r="F5154" s="11"/>
      <c r="G5154" s="9"/>
      <c r="H5154" s="11"/>
      <c r="I5154" s="11"/>
      <c r="J5154" s="3" t="str">
        <f t="shared" si="373"/>
        <v>6920003</v>
      </c>
    </row>
    <row r="5155" spans="1:10" s="3" customFormat="1">
      <c r="B5155" s="3" t="s">
        <v>2153</v>
      </c>
      <c r="C5155" s="8">
        <v>2</v>
      </c>
      <c r="D5155" s="3" t="s">
        <v>2190</v>
      </c>
      <c r="E5155" s="11" t="s">
        <v>10</v>
      </c>
      <c r="F5155" s="10">
        <v>6.4800000000000003E-4</v>
      </c>
      <c r="G5155" s="12">
        <f>ROUND(G$3*F5155,0)</f>
        <v>186</v>
      </c>
      <c r="H5155" s="13">
        <f>ROUND(G5155/2,0)</f>
        <v>93</v>
      </c>
      <c r="I5155" s="12">
        <f>G5155-H5155</f>
        <v>93</v>
      </c>
      <c r="J5155" s="3" t="str">
        <f t="shared" si="373"/>
        <v>6920003</v>
      </c>
    </row>
    <row r="5156" spans="1:10" s="3" customFormat="1">
      <c r="A5156" s="3" t="s">
        <v>6269</v>
      </c>
      <c r="B5156" s="3" t="s">
        <v>2153</v>
      </c>
      <c r="C5156" s="8">
        <v>2</v>
      </c>
      <c r="D5156" s="3" t="s">
        <v>2190</v>
      </c>
      <c r="E5156" s="11" t="s">
        <v>11</v>
      </c>
      <c r="F5156" s="10">
        <v>0</v>
      </c>
      <c r="G5156" s="12">
        <f>ROUND(G$3*F5156,0)</f>
        <v>0</v>
      </c>
      <c r="H5156" s="13">
        <f>ROUND(G5156/2,0)</f>
        <v>0</v>
      </c>
      <c r="I5156" s="12">
        <f>G5156-H5156</f>
        <v>0</v>
      </c>
      <c r="J5156" s="3" t="str">
        <f t="shared" si="373"/>
        <v>6920003</v>
      </c>
    </row>
    <row r="5157" spans="1:10" s="3" customFormat="1">
      <c r="B5157" s="3" t="s">
        <v>2153</v>
      </c>
      <c r="C5157" s="8">
        <v>2</v>
      </c>
      <c r="D5157" s="3" t="s">
        <v>2191</v>
      </c>
      <c r="E5157" s="11" t="s">
        <v>400</v>
      </c>
      <c r="F5157" s="11"/>
      <c r="G5157" s="9"/>
      <c r="H5157" s="11"/>
      <c r="I5157" s="11"/>
      <c r="J5157" s="3" t="str">
        <f t="shared" si="373"/>
        <v>6920004</v>
      </c>
    </row>
    <row r="5158" spans="1:10" s="3" customFormat="1">
      <c r="B5158" s="3" t="s">
        <v>2153</v>
      </c>
      <c r="C5158" s="8">
        <v>2</v>
      </c>
      <c r="D5158" s="3" t="s">
        <v>2191</v>
      </c>
      <c r="E5158" s="11" t="s">
        <v>10</v>
      </c>
      <c r="F5158" s="10">
        <v>1.07E-3</v>
      </c>
      <c r="G5158" s="12">
        <f>ROUND(G$3*F5158,0)</f>
        <v>308</v>
      </c>
      <c r="H5158" s="13">
        <f>ROUND(G5158/2,0)</f>
        <v>154</v>
      </c>
      <c r="I5158" s="12">
        <f>G5158-H5158</f>
        <v>154</v>
      </c>
      <c r="J5158" s="3" t="str">
        <f t="shared" si="373"/>
        <v>6920004</v>
      </c>
    </row>
    <row r="5159" spans="1:10" s="3" customFormat="1">
      <c r="A5159" s="3" t="s">
        <v>6269</v>
      </c>
      <c r="B5159" s="3" t="s">
        <v>2153</v>
      </c>
      <c r="C5159" s="8">
        <v>2</v>
      </c>
      <c r="D5159" s="3" t="s">
        <v>2191</v>
      </c>
      <c r="E5159" s="11" t="s">
        <v>11</v>
      </c>
      <c r="F5159" s="10">
        <v>0</v>
      </c>
      <c r="G5159" s="12">
        <f>ROUND(G$3*F5159,0)</f>
        <v>0</v>
      </c>
      <c r="H5159" s="13">
        <f>ROUND(G5159/2,0)</f>
        <v>0</v>
      </c>
      <c r="I5159" s="12">
        <f>G5159-H5159</f>
        <v>0</v>
      </c>
      <c r="J5159" s="3" t="str">
        <f t="shared" si="373"/>
        <v>6920004</v>
      </c>
    </row>
    <row r="5160" spans="1:10" s="3" customFormat="1">
      <c r="B5160" s="3" t="s">
        <v>2153</v>
      </c>
      <c r="C5160" s="8">
        <v>2</v>
      </c>
      <c r="D5160" s="3" t="s">
        <v>2192</v>
      </c>
      <c r="E5160" s="11" t="s">
        <v>372</v>
      </c>
      <c r="F5160" s="11"/>
      <c r="G5160" s="9"/>
      <c r="H5160" s="11"/>
      <c r="I5160" s="11"/>
      <c r="J5160" s="3" t="str">
        <f t="shared" si="373"/>
        <v>6920005</v>
      </c>
    </row>
    <row r="5161" spans="1:10" s="3" customFormat="1">
      <c r="B5161" s="3" t="s">
        <v>2153</v>
      </c>
      <c r="C5161" s="8">
        <v>2</v>
      </c>
      <c r="D5161" s="3" t="s">
        <v>2192</v>
      </c>
      <c r="E5161" s="11" t="s">
        <v>10</v>
      </c>
      <c r="F5161" s="10">
        <v>1.2149999999999999E-3</v>
      </c>
      <c r="G5161" s="12">
        <f>ROUND(G$3*F5161,0)</f>
        <v>350</v>
      </c>
      <c r="H5161" s="13">
        <f>ROUND(G5161/2,0)</f>
        <v>175</v>
      </c>
      <c r="I5161" s="12">
        <f>G5161-H5161</f>
        <v>175</v>
      </c>
      <c r="J5161" s="3" t="str">
        <f t="shared" si="373"/>
        <v>6920005</v>
      </c>
    </row>
    <row r="5162" spans="1:10" s="3" customFormat="1">
      <c r="B5162" s="3" t="s">
        <v>2153</v>
      </c>
      <c r="C5162" s="8">
        <v>2</v>
      </c>
      <c r="D5162" s="3" t="s">
        <v>2192</v>
      </c>
      <c r="E5162" s="11" t="s">
        <v>11</v>
      </c>
      <c r="F5162" s="10">
        <v>6.4199999999999999E-4</v>
      </c>
      <c r="G5162" s="12">
        <f>ROUND(G$3*F5162,0)</f>
        <v>185</v>
      </c>
      <c r="H5162" s="13">
        <f>ROUND(G5162/2,0)</f>
        <v>93</v>
      </c>
      <c r="I5162" s="12">
        <f>G5162-H5162</f>
        <v>92</v>
      </c>
      <c r="J5162" s="3" t="str">
        <f t="shared" si="373"/>
        <v>6920005</v>
      </c>
    </row>
    <row r="5163" spans="1:10" s="3" customFormat="1">
      <c r="B5163" s="3" t="s">
        <v>2153</v>
      </c>
      <c r="C5163" s="8">
        <v>2</v>
      </c>
      <c r="D5163" s="3" t="s">
        <v>2193</v>
      </c>
      <c r="E5163" s="11" t="s">
        <v>49</v>
      </c>
      <c r="F5163" s="11"/>
      <c r="G5163" s="9"/>
      <c r="H5163" s="11"/>
      <c r="I5163" s="11"/>
      <c r="J5163" s="3" t="str">
        <f t="shared" si="373"/>
        <v>6920006</v>
      </c>
    </row>
    <row r="5164" spans="1:10" s="3" customFormat="1">
      <c r="B5164" s="3" t="s">
        <v>2153</v>
      </c>
      <c r="C5164" s="8">
        <v>2</v>
      </c>
      <c r="D5164" s="3" t="s">
        <v>2193</v>
      </c>
      <c r="E5164" s="11" t="s">
        <v>10</v>
      </c>
      <c r="F5164" s="10">
        <v>2.31E-4</v>
      </c>
      <c r="G5164" s="12">
        <f>ROUND(G$3*F5164,0)</f>
        <v>66</v>
      </c>
      <c r="H5164" s="13">
        <f>ROUND(G5164/2,0)</f>
        <v>33</v>
      </c>
      <c r="I5164" s="12">
        <f>G5164-H5164</f>
        <v>33</v>
      </c>
      <c r="J5164" s="3" t="str">
        <f t="shared" si="373"/>
        <v>6920006</v>
      </c>
    </row>
    <row r="5165" spans="1:10" s="3" customFormat="1">
      <c r="A5165" s="3" t="s">
        <v>6269</v>
      </c>
      <c r="B5165" s="3" t="s">
        <v>2153</v>
      </c>
      <c r="C5165" s="8">
        <v>2</v>
      </c>
      <c r="D5165" s="3" t="s">
        <v>2193</v>
      </c>
      <c r="E5165" s="11" t="s">
        <v>11</v>
      </c>
      <c r="F5165" s="10">
        <v>0</v>
      </c>
      <c r="G5165" s="12">
        <f>ROUND(G$3*F5165,0)</f>
        <v>0</v>
      </c>
      <c r="H5165" s="13">
        <f>ROUND(G5165/2,0)</f>
        <v>0</v>
      </c>
      <c r="I5165" s="12">
        <f>G5165-H5165</f>
        <v>0</v>
      </c>
      <c r="J5165" s="3" t="str">
        <f t="shared" si="373"/>
        <v>6920006</v>
      </c>
    </row>
    <row r="5166" spans="1:10" s="3" customFormat="1">
      <c r="B5166" s="3" t="s">
        <v>2153</v>
      </c>
      <c r="C5166" s="8">
        <v>2</v>
      </c>
      <c r="D5166" s="3" t="s">
        <v>2194</v>
      </c>
      <c r="E5166" s="11" t="s">
        <v>268</v>
      </c>
      <c r="F5166" s="11"/>
      <c r="G5166" s="9"/>
      <c r="H5166" s="11"/>
      <c r="I5166" s="11"/>
      <c r="J5166" s="3" t="str">
        <f t="shared" si="373"/>
        <v>6920007</v>
      </c>
    </row>
    <row r="5167" spans="1:10" s="3" customFormat="1">
      <c r="B5167" s="3" t="s">
        <v>2153</v>
      </c>
      <c r="C5167" s="8">
        <v>2</v>
      </c>
      <c r="D5167" s="3" t="s">
        <v>2194</v>
      </c>
      <c r="E5167" s="11" t="s">
        <v>10</v>
      </c>
      <c r="F5167" s="10">
        <v>2.065E-3</v>
      </c>
      <c r="G5167" s="12">
        <f>ROUND(G$3*F5167,0)</f>
        <v>594</v>
      </c>
      <c r="H5167" s="13">
        <f>ROUND(G5167/2,0)</f>
        <v>297</v>
      </c>
      <c r="I5167" s="12">
        <f>G5167-H5167</f>
        <v>297</v>
      </c>
      <c r="J5167" s="3" t="str">
        <f t="shared" si="373"/>
        <v>6920007</v>
      </c>
    </row>
    <row r="5168" spans="1:10" s="3" customFormat="1">
      <c r="B5168" s="3" t="s">
        <v>2153</v>
      </c>
      <c r="C5168" s="8">
        <v>2</v>
      </c>
      <c r="D5168" s="3" t="s">
        <v>2194</v>
      </c>
      <c r="E5168" s="11" t="s">
        <v>11</v>
      </c>
      <c r="F5168" s="10">
        <v>7.9799999999999999E-4</v>
      </c>
      <c r="G5168" s="12">
        <f>ROUND(G$3*F5168,0)</f>
        <v>230</v>
      </c>
      <c r="H5168" s="13">
        <f>ROUND(G5168/2,0)</f>
        <v>115</v>
      </c>
      <c r="I5168" s="12">
        <f>G5168-H5168</f>
        <v>115</v>
      </c>
      <c r="J5168" s="3" t="str">
        <f t="shared" si="373"/>
        <v>6920007</v>
      </c>
    </row>
    <row r="5169" spans="1:10" s="3" customFormat="1">
      <c r="B5169" s="3" t="s">
        <v>2153</v>
      </c>
      <c r="C5169" s="8">
        <v>2</v>
      </c>
      <c r="D5169" s="3" t="s">
        <v>2195</v>
      </c>
      <c r="E5169" s="11" t="s">
        <v>1526</v>
      </c>
      <c r="F5169" s="11"/>
      <c r="G5169" s="9"/>
      <c r="H5169" s="11"/>
      <c r="I5169" s="11"/>
      <c r="J5169" s="3" t="str">
        <f t="shared" si="373"/>
        <v>6920008</v>
      </c>
    </row>
    <row r="5170" spans="1:10" s="3" customFormat="1">
      <c r="B5170" s="3" t="s">
        <v>2153</v>
      </c>
      <c r="C5170" s="8">
        <v>2</v>
      </c>
      <c r="D5170" s="3" t="s">
        <v>2195</v>
      </c>
      <c r="E5170" s="11" t="s">
        <v>10</v>
      </c>
      <c r="F5170" s="10">
        <v>1.8220000000000001E-3</v>
      </c>
      <c r="G5170" s="12">
        <f>ROUND(G$3*F5170,0)</f>
        <v>524</v>
      </c>
      <c r="H5170" s="13">
        <f>ROUND(G5170/2,0)</f>
        <v>262</v>
      </c>
      <c r="I5170" s="12">
        <f>G5170-H5170</f>
        <v>262</v>
      </c>
      <c r="J5170" s="3" t="str">
        <f t="shared" si="373"/>
        <v>6920008</v>
      </c>
    </row>
    <row r="5171" spans="1:10" s="3" customFormat="1">
      <c r="B5171" s="3" t="s">
        <v>2153</v>
      </c>
      <c r="C5171" s="8">
        <v>2</v>
      </c>
      <c r="D5171" s="3" t="s">
        <v>2195</v>
      </c>
      <c r="E5171" s="11" t="s">
        <v>11</v>
      </c>
      <c r="F5171" s="10">
        <v>1.21E-4</v>
      </c>
      <c r="G5171" s="12">
        <f>ROUND(G$3*F5171,0)</f>
        <v>35</v>
      </c>
      <c r="H5171" s="13">
        <f>ROUND(G5171/2,0)</f>
        <v>18</v>
      </c>
      <c r="I5171" s="12">
        <f>G5171-H5171</f>
        <v>17</v>
      </c>
      <c r="J5171" s="3" t="str">
        <f t="shared" si="373"/>
        <v>6920008</v>
      </c>
    </row>
    <row r="5172" spans="1:10" s="3" customFormat="1">
      <c r="B5172" s="3" t="s">
        <v>2153</v>
      </c>
      <c r="C5172" s="8">
        <v>2</v>
      </c>
      <c r="D5172" s="3" t="s">
        <v>2196</v>
      </c>
      <c r="E5172" s="11" t="s">
        <v>1527</v>
      </c>
      <c r="F5172" s="11"/>
      <c r="G5172" s="9"/>
      <c r="H5172" s="11"/>
      <c r="I5172" s="11"/>
      <c r="J5172" s="3" t="str">
        <f t="shared" si="373"/>
        <v>6920009</v>
      </c>
    </row>
    <row r="5173" spans="1:10" s="3" customFormat="1">
      <c r="B5173" s="3" t="s">
        <v>2153</v>
      </c>
      <c r="C5173" s="8">
        <v>2</v>
      </c>
      <c r="D5173" s="3" t="s">
        <v>2196</v>
      </c>
      <c r="E5173" s="11" t="s">
        <v>10</v>
      </c>
      <c r="F5173" s="10">
        <v>2.7799999999999998E-4</v>
      </c>
      <c r="G5173" s="12">
        <f>ROUND(G$3*F5173,0)</f>
        <v>80</v>
      </c>
      <c r="H5173" s="13">
        <f>ROUND(G5173/2,0)</f>
        <v>40</v>
      </c>
      <c r="I5173" s="12">
        <f>G5173-H5173</f>
        <v>40</v>
      </c>
      <c r="J5173" s="3" t="str">
        <f t="shared" si="373"/>
        <v>6920009</v>
      </c>
    </row>
    <row r="5174" spans="1:10" s="3" customFormat="1">
      <c r="B5174" s="3" t="s">
        <v>2153</v>
      </c>
      <c r="C5174" s="8">
        <v>2</v>
      </c>
      <c r="D5174" s="3" t="s">
        <v>2196</v>
      </c>
      <c r="E5174" s="11" t="s">
        <v>11</v>
      </c>
      <c r="F5174" s="10">
        <v>2.5999999999999998E-4</v>
      </c>
      <c r="G5174" s="12">
        <f>ROUND(G$3*F5174,0)</f>
        <v>75</v>
      </c>
      <c r="H5174" s="13">
        <f>ROUND(G5174/2,0)</f>
        <v>38</v>
      </c>
      <c r="I5174" s="12">
        <f>G5174-H5174</f>
        <v>37</v>
      </c>
      <c r="J5174" s="3" t="str">
        <f t="shared" si="373"/>
        <v>6920009</v>
      </c>
    </row>
    <row r="5175" spans="1:10" s="3" customFormat="1">
      <c r="B5175" s="3" t="s">
        <v>2153</v>
      </c>
      <c r="C5175" s="8">
        <v>2</v>
      </c>
      <c r="D5175" s="3" t="s">
        <v>2197</v>
      </c>
      <c r="E5175" s="11" t="s">
        <v>873</v>
      </c>
      <c r="F5175" s="11"/>
      <c r="G5175" s="9"/>
      <c r="H5175" s="11"/>
      <c r="I5175" s="11"/>
      <c r="J5175" s="3" t="str">
        <f t="shared" si="373"/>
        <v>6920010</v>
      </c>
    </row>
    <row r="5176" spans="1:10" s="3" customFormat="1">
      <c r="B5176" s="3" t="s">
        <v>2153</v>
      </c>
      <c r="C5176" s="8">
        <v>2</v>
      </c>
      <c r="D5176" s="3" t="s">
        <v>2197</v>
      </c>
      <c r="E5176" s="11" t="s">
        <v>10</v>
      </c>
      <c r="F5176" s="10">
        <v>8.1599999999999999E-4</v>
      </c>
      <c r="G5176" s="12">
        <f>ROUND(G$3*F5176,0)</f>
        <v>235</v>
      </c>
      <c r="H5176" s="13">
        <f>ROUND(G5176/2,0)</f>
        <v>118</v>
      </c>
      <c r="I5176" s="12">
        <f>G5176-H5176</f>
        <v>117</v>
      </c>
      <c r="J5176" s="3" t="str">
        <f t="shared" si="373"/>
        <v>6920010</v>
      </c>
    </row>
    <row r="5177" spans="1:10" s="3" customFormat="1">
      <c r="B5177" s="3" t="s">
        <v>2153</v>
      </c>
      <c r="C5177" s="8">
        <v>2</v>
      </c>
      <c r="D5177" s="3" t="s">
        <v>2197</v>
      </c>
      <c r="E5177" s="11" t="s">
        <v>11</v>
      </c>
      <c r="F5177" s="10">
        <v>4.1100000000000002E-4</v>
      </c>
      <c r="G5177" s="12">
        <f>ROUND(G$3*F5177,0)</f>
        <v>118</v>
      </c>
      <c r="H5177" s="13">
        <f>ROUND(G5177/2,0)</f>
        <v>59</v>
      </c>
      <c r="I5177" s="12">
        <f>G5177-H5177</f>
        <v>59</v>
      </c>
      <c r="J5177" s="3" t="str">
        <f t="shared" si="373"/>
        <v>6920010</v>
      </c>
    </row>
    <row r="5178" spans="1:10" s="3" customFormat="1">
      <c r="B5178" s="3" t="s">
        <v>2153</v>
      </c>
      <c r="C5178" s="8">
        <v>2</v>
      </c>
      <c r="D5178" s="3" t="s">
        <v>2198</v>
      </c>
      <c r="E5178" s="11" t="s">
        <v>22</v>
      </c>
      <c r="F5178" s="11"/>
      <c r="G5178" s="9"/>
      <c r="H5178" s="11"/>
      <c r="I5178" s="11"/>
      <c r="J5178" s="3" t="str">
        <f t="shared" si="373"/>
        <v>6920011</v>
      </c>
    </row>
    <row r="5179" spans="1:10" s="3" customFormat="1">
      <c r="B5179" s="3" t="s">
        <v>2153</v>
      </c>
      <c r="C5179" s="8">
        <v>2</v>
      </c>
      <c r="D5179" s="3" t="s">
        <v>2198</v>
      </c>
      <c r="E5179" s="11" t="s">
        <v>10</v>
      </c>
      <c r="F5179" s="10">
        <v>5.9599999999999996E-4</v>
      </c>
      <c r="G5179" s="12">
        <f t="shared" ref="G5179:G5187" si="376">ROUND(G$3*F5179,0)</f>
        <v>171</v>
      </c>
      <c r="H5179" s="13">
        <f t="shared" ref="H5179:H5187" si="377">ROUND(G5179/2,0)</f>
        <v>86</v>
      </c>
      <c r="I5179" s="12">
        <f t="shared" ref="I5179:I5187" si="378">G5179-H5179</f>
        <v>85</v>
      </c>
      <c r="J5179" s="3" t="str">
        <f t="shared" si="373"/>
        <v>6920011</v>
      </c>
    </row>
    <row r="5180" spans="1:10" s="3" customFormat="1">
      <c r="B5180" s="3" t="s">
        <v>2153</v>
      </c>
      <c r="C5180" s="8">
        <v>2</v>
      </c>
      <c r="D5180" s="3" t="s">
        <v>2198</v>
      </c>
      <c r="E5180" s="11" t="s">
        <v>11</v>
      </c>
      <c r="F5180" s="10">
        <v>4.7399999999999997E-4</v>
      </c>
      <c r="G5180" s="12">
        <f t="shared" si="376"/>
        <v>136</v>
      </c>
      <c r="H5180" s="13">
        <f t="shared" si="377"/>
        <v>68</v>
      </c>
      <c r="I5180" s="12">
        <f t="shared" si="378"/>
        <v>68</v>
      </c>
      <c r="J5180" s="3" t="str">
        <f t="shared" si="373"/>
        <v>6920011</v>
      </c>
    </row>
    <row r="5181" spans="1:10" s="3" customFormat="1">
      <c r="B5181" s="3" t="s">
        <v>2153</v>
      </c>
      <c r="C5181" s="8">
        <v>3</v>
      </c>
      <c r="D5181" s="3" t="s">
        <v>2443</v>
      </c>
      <c r="E5181" s="11" t="s">
        <v>534</v>
      </c>
      <c r="F5181" s="10">
        <v>4.2366000000000001E-2</v>
      </c>
      <c r="G5181" s="12">
        <f t="shared" si="376"/>
        <v>12190</v>
      </c>
      <c r="H5181" s="13">
        <f t="shared" si="377"/>
        <v>6095</v>
      </c>
      <c r="I5181" s="12">
        <f t="shared" si="378"/>
        <v>6095</v>
      </c>
      <c r="J5181" s="3" t="str">
        <f t="shared" si="373"/>
        <v>6930447</v>
      </c>
    </row>
    <row r="5182" spans="1:10" s="3" customFormat="1">
      <c r="A5182" s="3" t="s">
        <v>6269</v>
      </c>
      <c r="B5182" s="3" t="s">
        <v>2153</v>
      </c>
      <c r="C5182" s="8">
        <v>3</v>
      </c>
      <c r="D5182" s="3" t="s">
        <v>2790</v>
      </c>
      <c r="E5182" s="11" t="s">
        <v>1528</v>
      </c>
      <c r="F5182" s="10">
        <v>0</v>
      </c>
      <c r="G5182" s="12">
        <f t="shared" si="376"/>
        <v>0</v>
      </c>
      <c r="H5182" s="13">
        <f t="shared" si="377"/>
        <v>0</v>
      </c>
      <c r="I5182" s="12">
        <f t="shared" si="378"/>
        <v>0</v>
      </c>
      <c r="J5182" s="3" t="str">
        <f t="shared" si="373"/>
        <v>6930955</v>
      </c>
    </row>
    <row r="5183" spans="1:10" s="3" customFormat="1">
      <c r="B5183" s="3" t="s">
        <v>2153</v>
      </c>
      <c r="C5183" s="8">
        <v>3</v>
      </c>
      <c r="D5183" s="3" t="s">
        <v>2979</v>
      </c>
      <c r="E5183" s="11" t="s">
        <v>1523</v>
      </c>
      <c r="F5183" s="10">
        <v>2.43E-4</v>
      </c>
      <c r="G5183" s="12">
        <f t="shared" si="376"/>
        <v>70</v>
      </c>
      <c r="H5183" s="13">
        <f t="shared" si="377"/>
        <v>35</v>
      </c>
      <c r="I5183" s="12">
        <f t="shared" si="378"/>
        <v>35</v>
      </c>
      <c r="J5183" s="3" t="str">
        <f t="shared" si="373"/>
        <v>6930854</v>
      </c>
    </row>
    <row r="5184" spans="1:10" s="3" customFormat="1">
      <c r="B5184" s="3" t="s">
        <v>2153</v>
      </c>
      <c r="C5184" s="8">
        <v>3</v>
      </c>
      <c r="D5184" s="3" t="s">
        <v>2980</v>
      </c>
      <c r="E5184" s="11" t="s">
        <v>1524</v>
      </c>
      <c r="F5184" s="10">
        <v>1.45E-4</v>
      </c>
      <c r="G5184" s="12">
        <f t="shared" si="376"/>
        <v>42</v>
      </c>
      <c r="H5184" s="13">
        <f t="shared" si="377"/>
        <v>21</v>
      </c>
      <c r="I5184" s="12">
        <f t="shared" si="378"/>
        <v>21</v>
      </c>
      <c r="J5184" s="3" t="str">
        <f t="shared" si="373"/>
        <v>6930855</v>
      </c>
    </row>
    <row r="5185" spans="2:10" s="3" customFormat="1">
      <c r="B5185" s="3" t="s">
        <v>2153</v>
      </c>
      <c r="C5185" s="8">
        <v>3</v>
      </c>
      <c r="D5185" s="3" t="s">
        <v>2982</v>
      </c>
      <c r="E5185" s="11" t="s">
        <v>1516</v>
      </c>
      <c r="F5185" s="10">
        <v>7.0600000000000003E-4</v>
      </c>
      <c r="G5185" s="12">
        <f t="shared" si="376"/>
        <v>203</v>
      </c>
      <c r="H5185" s="13">
        <f t="shared" si="377"/>
        <v>102</v>
      </c>
      <c r="I5185" s="12">
        <f t="shared" si="378"/>
        <v>101</v>
      </c>
      <c r="J5185" s="3" t="str">
        <f t="shared" si="373"/>
        <v>6930857</v>
      </c>
    </row>
    <row r="5186" spans="2:10" s="3" customFormat="1">
      <c r="B5186" s="3" t="s">
        <v>2153</v>
      </c>
      <c r="C5186" s="8">
        <v>3</v>
      </c>
      <c r="D5186" s="3" t="s">
        <v>2983</v>
      </c>
      <c r="E5186" s="11" t="s">
        <v>1525</v>
      </c>
      <c r="F5186" s="10">
        <v>9.6360000000000005E-3</v>
      </c>
      <c r="G5186" s="12">
        <f t="shared" si="376"/>
        <v>2772</v>
      </c>
      <c r="H5186" s="13">
        <f t="shared" si="377"/>
        <v>1386</v>
      </c>
      <c r="I5186" s="12">
        <f t="shared" si="378"/>
        <v>1386</v>
      </c>
      <c r="J5186" s="3" t="str">
        <f t="shared" si="373"/>
        <v>6930858</v>
      </c>
    </row>
    <row r="5187" spans="2:10" s="3" customFormat="1">
      <c r="B5187" s="3" t="s">
        <v>2153</v>
      </c>
      <c r="C5187" s="8">
        <v>4</v>
      </c>
      <c r="D5187" s="3" t="s">
        <v>2450</v>
      </c>
      <c r="E5187" s="11" t="s">
        <v>540</v>
      </c>
      <c r="F5187" s="10">
        <v>0.22110099999999999</v>
      </c>
      <c r="G5187" s="9">
        <f t="shared" si="376"/>
        <v>63616</v>
      </c>
      <c r="H5187" s="11">
        <f t="shared" si="377"/>
        <v>31808</v>
      </c>
      <c r="I5187" s="9">
        <f t="shared" si="378"/>
        <v>31808</v>
      </c>
      <c r="J5187" s="3" t="str">
        <f t="shared" si="373"/>
        <v>6946895</v>
      </c>
    </row>
    <row r="5188" spans="2:10" s="3" customFormat="1">
      <c r="B5188" s="3" t="s">
        <v>2153</v>
      </c>
      <c r="C5188" s="8">
        <v>4</v>
      </c>
      <c r="D5188" s="3" t="s">
        <v>2450</v>
      </c>
      <c r="E5188" s="11" t="s">
        <v>28</v>
      </c>
      <c r="F5188" s="11"/>
      <c r="G5188" s="14">
        <v>0.52627299999999999</v>
      </c>
      <c r="H5188" s="11"/>
      <c r="I5188" s="11"/>
      <c r="J5188" s="3" t="str">
        <f t="shared" ref="J5188:J5251" si="379">B5188&amp;C5188&amp;D5188</f>
        <v>6946895</v>
      </c>
    </row>
    <row r="5189" spans="2:10" s="3" customFormat="1">
      <c r="B5189" s="3" t="s">
        <v>2153</v>
      </c>
      <c r="C5189" s="8">
        <v>4</v>
      </c>
      <c r="D5189" s="3" t="s">
        <v>2450</v>
      </c>
      <c r="E5189" s="11" t="s">
        <v>29</v>
      </c>
      <c r="F5189" s="11"/>
      <c r="G5189" s="15">
        <f>ROUND(G5187*G5188,0)</f>
        <v>33479</v>
      </c>
      <c r="H5189" s="16">
        <f>ROUND(G5189/2,0)</f>
        <v>16740</v>
      </c>
      <c r="I5189" s="15">
        <f>G5189-H5189</f>
        <v>16739</v>
      </c>
      <c r="J5189" s="3" t="str">
        <f t="shared" si="379"/>
        <v>6946895</v>
      </c>
    </row>
    <row r="5190" spans="2:10" s="3" customFormat="1">
      <c r="B5190" s="3" t="s">
        <v>2153</v>
      </c>
      <c r="C5190" s="8">
        <v>4</v>
      </c>
      <c r="D5190" s="3" t="s">
        <v>2450</v>
      </c>
      <c r="E5190" s="11" t="s">
        <v>30</v>
      </c>
      <c r="F5190" s="11"/>
      <c r="G5190" s="12">
        <f>+G5187-G5189</f>
        <v>30137</v>
      </c>
      <c r="H5190" s="13">
        <f>ROUND(G5190/2,0)</f>
        <v>15069</v>
      </c>
      <c r="I5190" s="12">
        <f>G5190-H5190</f>
        <v>15068</v>
      </c>
      <c r="J5190" s="3" t="str">
        <f t="shared" si="379"/>
        <v>6946895</v>
      </c>
    </row>
    <row r="5191" spans="2:10" s="3" customFormat="1">
      <c r="B5191" s="3" t="s">
        <v>2153</v>
      </c>
      <c r="C5191" s="8">
        <v>4</v>
      </c>
      <c r="D5191" s="3" t="s">
        <v>2985</v>
      </c>
      <c r="E5191" s="11" t="s">
        <v>1518</v>
      </c>
      <c r="F5191" s="10">
        <v>8.5785E-2</v>
      </c>
      <c r="G5191" s="9">
        <f>ROUND(G$3*F5191,0)</f>
        <v>24682</v>
      </c>
      <c r="H5191" s="11">
        <f>ROUND(G5191/2,0)</f>
        <v>12341</v>
      </c>
      <c r="I5191" s="9">
        <f>G5191-H5191</f>
        <v>12341</v>
      </c>
      <c r="J5191" s="3" t="str">
        <f t="shared" si="379"/>
        <v>6946900</v>
      </c>
    </row>
    <row r="5192" spans="2:10" s="3" customFormat="1">
      <c r="B5192" s="3" t="s">
        <v>2153</v>
      </c>
      <c r="C5192" s="8">
        <v>4</v>
      </c>
      <c r="D5192" s="3" t="s">
        <v>2985</v>
      </c>
      <c r="E5192" s="11" t="s">
        <v>28</v>
      </c>
      <c r="F5192" s="11"/>
      <c r="G5192" s="14">
        <v>0.41567700000000002</v>
      </c>
      <c r="H5192" s="11"/>
      <c r="I5192" s="11"/>
      <c r="J5192" s="3" t="str">
        <f t="shared" si="379"/>
        <v>6946900</v>
      </c>
    </row>
    <row r="5193" spans="2:10" s="3" customFormat="1">
      <c r="B5193" s="3" t="s">
        <v>2153</v>
      </c>
      <c r="C5193" s="8">
        <v>4</v>
      </c>
      <c r="D5193" s="3" t="s">
        <v>2985</v>
      </c>
      <c r="E5193" s="11" t="s">
        <v>29</v>
      </c>
      <c r="F5193" s="11"/>
      <c r="G5193" s="15">
        <f>ROUND(G5191*G5192,0)</f>
        <v>10260</v>
      </c>
      <c r="H5193" s="16">
        <f>ROUND(G5193/2,0)</f>
        <v>5130</v>
      </c>
      <c r="I5193" s="15">
        <f>G5193-H5193</f>
        <v>5130</v>
      </c>
      <c r="J5193" s="3" t="str">
        <f t="shared" si="379"/>
        <v>6946900</v>
      </c>
    </row>
    <row r="5194" spans="2:10" s="3" customFormat="1">
      <c r="B5194" s="3" t="s">
        <v>2153</v>
      </c>
      <c r="C5194" s="8">
        <v>4</v>
      </c>
      <c r="D5194" s="3" t="s">
        <v>2985</v>
      </c>
      <c r="E5194" s="11" t="s">
        <v>30</v>
      </c>
      <c r="F5194" s="11"/>
      <c r="G5194" s="12">
        <f>+G5191-G5193</f>
        <v>14422</v>
      </c>
      <c r="H5194" s="13">
        <f>ROUND(G5194/2,0)</f>
        <v>7211</v>
      </c>
      <c r="I5194" s="12">
        <f>G5194-H5194</f>
        <v>7211</v>
      </c>
      <c r="J5194" s="3" t="str">
        <f t="shared" si="379"/>
        <v>6946900</v>
      </c>
    </row>
    <row r="5195" spans="2:10" s="3" customFormat="1">
      <c r="B5195" s="3" t="s">
        <v>2153</v>
      </c>
      <c r="C5195" s="8">
        <v>4</v>
      </c>
      <c r="D5195" s="3" t="s">
        <v>2986</v>
      </c>
      <c r="E5195" s="11" t="s">
        <v>1522</v>
      </c>
      <c r="F5195" s="10">
        <v>0.14685500000000001</v>
      </c>
      <c r="G5195" s="9">
        <f>ROUND(G$3*F5195,0)</f>
        <v>42254</v>
      </c>
      <c r="H5195" s="11">
        <f>ROUND(G5195/2,0)</f>
        <v>21127</v>
      </c>
      <c r="I5195" s="9">
        <f>G5195-H5195</f>
        <v>21127</v>
      </c>
      <c r="J5195" s="3" t="str">
        <f t="shared" si="379"/>
        <v>6946910</v>
      </c>
    </row>
    <row r="5196" spans="2:10" s="3" customFormat="1">
      <c r="B5196" s="3" t="s">
        <v>2153</v>
      </c>
      <c r="C5196" s="8">
        <v>4</v>
      </c>
      <c r="D5196" s="3" t="s">
        <v>2986</v>
      </c>
      <c r="E5196" s="11" t="s">
        <v>28</v>
      </c>
      <c r="F5196" s="11"/>
      <c r="G5196" s="14">
        <v>0.35720400000000002</v>
      </c>
      <c r="H5196" s="11"/>
      <c r="I5196" s="11"/>
      <c r="J5196" s="3" t="str">
        <f t="shared" si="379"/>
        <v>6946910</v>
      </c>
    </row>
    <row r="5197" spans="2:10" s="3" customFormat="1">
      <c r="B5197" s="3" t="s">
        <v>2153</v>
      </c>
      <c r="C5197" s="8">
        <v>4</v>
      </c>
      <c r="D5197" s="3" t="s">
        <v>2986</v>
      </c>
      <c r="E5197" s="11" t="s">
        <v>29</v>
      </c>
      <c r="F5197" s="11"/>
      <c r="G5197" s="15">
        <f>ROUND(G5195*G5196,0)</f>
        <v>15093</v>
      </c>
      <c r="H5197" s="16">
        <f>ROUND(G5197/2,0)</f>
        <v>7547</v>
      </c>
      <c r="I5197" s="15">
        <f>G5197-H5197</f>
        <v>7546</v>
      </c>
      <c r="J5197" s="3" t="str">
        <f t="shared" si="379"/>
        <v>6946910</v>
      </c>
    </row>
    <row r="5198" spans="2:10" s="3" customFormat="1">
      <c r="B5198" s="3" t="s">
        <v>2153</v>
      </c>
      <c r="C5198" s="8">
        <v>4</v>
      </c>
      <c r="D5198" s="3" t="s">
        <v>2986</v>
      </c>
      <c r="E5198" s="11" t="s">
        <v>30</v>
      </c>
      <c r="F5198" s="11"/>
      <c r="G5198" s="12">
        <f>+G5195-G5197</f>
        <v>27161</v>
      </c>
      <c r="H5198" s="13">
        <f>ROUND(G5198/2,0)</f>
        <v>13581</v>
      </c>
      <c r="I5198" s="12">
        <f>G5198-H5198</f>
        <v>13580</v>
      </c>
      <c r="J5198" s="3" t="str">
        <f t="shared" si="379"/>
        <v>6946910</v>
      </c>
    </row>
    <row r="5199" spans="2:10" s="3" customFormat="1">
      <c r="B5199" s="3" t="s">
        <v>2153</v>
      </c>
      <c r="C5199" s="8">
        <v>3</v>
      </c>
      <c r="D5199" s="3" t="s">
        <v>2981</v>
      </c>
      <c r="E5199" s="11" t="s">
        <v>1521</v>
      </c>
      <c r="F5199" s="10">
        <v>3.1350000000000002E-3</v>
      </c>
      <c r="G5199" s="12">
        <f>ROUND(G$3*F5199,0)</f>
        <v>902</v>
      </c>
      <c r="H5199" s="13">
        <f>ROUND(G5199/2,0)</f>
        <v>451</v>
      </c>
      <c r="I5199" s="12">
        <f>G5199-H5199</f>
        <v>451</v>
      </c>
      <c r="J5199" s="3" t="str">
        <f t="shared" si="379"/>
        <v>6930856</v>
      </c>
    </row>
    <row r="5200" spans="2:10" s="3" customFormat="1">
      <c r="B5200" s="3" t="s">
        <v>2153</v>
      </c>
      <c r="C5200" s="8">
        <v>4</v>
      </c>
      <c r="D5200" s="3" t="s">
        <v>2984</v>
      </c>
      <c r="E5200" s="11" t="s">
        <v>1517</v>
      </c>
      <c r="F5200" s="10">
        <v>0.22375600000000001</v>
      </c>
      <c r="G5200" s="9">
        <f>ROUND(G$3*F5200,0)</f>
        <v>64380</v>
      </c>
      <c r="H5200" s="11">
        <f>ROUND(G5200/2,0)</f>
        <v>32190</v>
      </c>
      <c r="I5200" s="9">
        <f>G5200-H5200</f>
        <v>32190</v>
      </c>
      <c r="J5200" s="3" t="str">
        <f t="shared" si="379"/>
        <v>6946865</v>
      </c>
    </row>
    <row r="5201" spans="2:10" s="3" customFormat="1">
      <c r="B5201" s="3" t="s">
        <v>2153</v>
      </c>
      <c r="C5201" s="8">
        <v>4</v>
      </c>
      <c r="D5201" s="3" t="s">
        <v>2984</v>
      </c>
      <c r="E5201" s="11" t="s">
        <v>28</v>
      </c>
      <c r="F5201" s="11"/>
      <c r="G5201" s="14">
        <v>0.42991099999999999</v>
      </c>
      <c r="H5201" s="11"/>
      <c r="I5201" s="11"/>
      <c r="J5201" s="3" t="str">
        <f t="shared" si="379"/>
        <v>6946865</v>
      </c>
    </row>
    <row r="5202" spans="2:10" s="3" customFormat="1">
      <c r="B5202" s="3" t="s">
        <v>2153</v>
      </c>
      <c r="C5202" s="8">
        <v>4</v>
      </c>
      <c r="D5202" s="3" t="s">
        <v>2984</v>
      </c>
      <c r="E5202" s="11" t="s">
        <v>29</v>
      </c>
      <c r="F5202" s="11"/>
      <c r="G5202" s="15">
        <f>ROUND(G5200*G5201,0)</f>
        <v>27678</v>
      </c>
      <c r="H5202" s="16">
        <f>ROUND(G5202/2,0)</f>
        <v>13839</v>
      </c>
      <c r="I5202" s="15">
        <f>G5202-H5202</f>
        <v>13839</v>
      </c>
      <c r="J5202" s="3" t="str">
        <f t="shared" si="379"/>
        <v>6946865</v>
      </c>
    </row>
    <row r="5203" spans="2:10" s="3" customFormat="1">
      <c r="B5203" s="3" t="s">
        <v>2153</v>
      </c>
      <c r="C5203" s="8">
        <v>4</v>
      </c>
      <c r="D5203" s="3" t="s">
        <v>2984</v>
      </c>
      <c r="E5203" s="11" t="s">
        <v>30</v>
      </c>
      <c r="F5203" s="11"/>
      <c r="G5203" s="12">
        <f>+G5200-G5202</f>
        <v>36702</v>
      </c>
      <c r="H5203" s="13">
        <f>ROUND(G5203/2,0)</f>
        <v>18351</v>
      </c>
      <c r="I5203" s="12">
        <f>G5203-H5203</f>
        <v>18351</v>
      </c>
      <c r="J5203" s="3" t="str">
        <f t="shared" si="379"/>
        <v>6946865</v>
      </c>
    </row>
    <row r="5204" spans="2:10" s="3" customFormat="1">
      <c r="B5204" s="3" t="s">
        <v>2153</v>
      </c>
      <c r="C5204" s="8">
        <v>4</v>
      </c>
      <c r="D5204" s="3" t="s">
        <v>2350</v>
      </c>
      <c r="E5204" s="11" t="s">
        <v>348</v>
      </c>
      <c r="F5204" s="10">
        <v>4.3448000000000001E-2</v>
      </c>
      <c r="G5204" s="9">
        <f>ROUND(G$3*F5204,0)</f>
        <v>12501</v>
      </c>
      <c r="H5204" s="11">
        <f>ROUND(G5204/2,0)</f>
        <v>6251</v>
      </c>
      <c r="I5204" s="9">
        <f>G5204-H5204</f>
        <v>6250</v>
      </c>
      <c r="J5204" s="3" t="str">
        <f t="shared" si="379"/>
        <v>6941560</v>
      </c>
    </row>
    <row r="5205" spans="2:10" s="3" customFormat="1">
      <c r="B5205" s="3" t="s">
        <v>2153</v>
      </c>
      <c r="C5205" s="8">
        <v>4</v>
      </c>
      <c r="D5205" s="3" t="s">
        <v>2350</v>
      </c>
      <c r="E5205" s="11" t="s">
        <v>28</v>
      </c>
      <c r="F5205" s="11"/>
      <c r="G5205" s="14">
        <v>0.37737900000000002</v>
      </c>
      <c r="H5205" s="11"/>
      <c r="I5205" s="11"/>
      <c r="J5205" s="3" t="str">
        <f t="shared" si="379"/>
        <v>6941560</v>
      </c>
    </row>
    <row r="5206" spans="2:10" s="3" customFormat="1">
      <c r="B5206" s="3" t="s">
        <v>2153</v>
      </c>
      <c r="C5206" s="8">
        <v>4</v>
      </c>
      <c r="D5206" s="3" t="s">
        <v>2350</v>
      </c>
      <c r="E5206" s="11" t="s">
        <v>29</v>
      </c>
      <c r="F5206" s="11"/>
      <c r="G5206" s="15">
        <f>ROUND(G5204*G5205,0)</f>
        <v>4718</v>
      </c>
      <c r="H5206" s="16">
        <f t="shared" ref="H5206:H5211" si="380">ROUND(G5206/2,0)</f>
        <v>2359</v>
      </c>
      <c r="I5206" s="15">
        <f t="shared" ref="I5206:I5211" si="381">G5206-H5206</f>
        <v>2359</v>
      </c>
      <c r="J5206" s="3" t="str">
        <f t="shared" si="379"/>
        <v>6941560</v>
      </c>
    </row>
    <row r="5207" spans="2:10" s="3" customFormat="1">
      <c r="B5207" s="3" t="s">
        <v>2153</v>
      </c>
      <c r="C5207" s="8">
        <v>4</v>
      </c>
      <c r="D5207" s="3" t="s">
        <v>2350</v>
      </c>
      <c r="E5207" s="11" t="s">
        <v>30</v>
      </c>
      <c r="F5207" s="11"/>
      <c r="G5207" s="12">
        <f>+G5204-G5206</f>
        <v>7783</v>
      </c>
      <c r="H5207" s="13">
        <f t="shared" si="380"/>
        <v>3892</v>
      </c>
      <c r="I5207" s="12">
        <f t="shared" si="381"/>
        <v>3891</v>
      </c>
      <c r="J5207" s="3" t="str">
        <f t="shared" si="379"/>
        <v>6941560</v>
      </c>
    </row>
    <row r="5208" spans="2:10" s="3" customFormat="1">
      <c r="B5208" s="3" t="s">
        <v>2153</v>
      </c>
      <c r="C5208" s="8">
        <v>5</v>
      </c>
      <c r="D5208" s="3" t="s">
        <v>2452</v>
      </c>
      <c r="E5208" s="11" t="s">
        <v>543</v>
      </c>
      <c r="F5208" s="10">
        <v>8.8719999999999997E-3</v>
      </c>
      <c r="G5208" s="120">
        <f>ROUND(G$3*F5208,0)</f>
        <v>2553</v>
      </c>
      <c r="H5208" s="120">
        <f t="shared" si="380"/>
        <v>1277</v>
      </c>
      <c r="I5208" s="120">
        <f t="shared" si="381"/>
        <v>1276</v>
      </c>
      <c r="J5208" s="3" t="str">
        <f t="shared" si="379"/>
        <v>6950199</v>
      </c>
    </row>
    <row r="5209" spans="2:10" s="3" customFormat="1">
      <c r="B5209" s="3" t="s">
        <v>2153</v>
      </c>
      <c r="C5209" s="8">
        <v>5</v>
      </c>
      <c r="D5209" s="3" t="s">
        <v>2229</v>
      </c>
      <c r="E5209" s="11" t="s">
        <v>1519</v>
      </c>
      <c r="F5209" s="10">
        <v>9.8299999999999993E-4</v>
      </c>
      <c r="G5209" s="120">
        <f>ROUND(G$3*F5209,0)</f>
        <v>283</v>
      </c>
      <c r="H5209" s="120">
        <f t="shared" si="380"/>
        <v>142</v>
      </c>
      <c r="I5209" s="120">
        <f t="shared" si="381"/>
        <v>141</v>
      </c>
      <c r="J5209" s="3" t="str">
        <f t="shared" si="379"/>
        <v>6950200</v>
      </c>
    </row>
    <row r="5210" spans="2:10" s="128" customFormat="1">
      <c r="B5210" s="128" t="s">
        <v>2153</v>
      </c>
      <c r="C5210" s="129">
        <v>6</v>
      </c>
      <c r="D5210" s="128" t="s">
        <v>6267</v>
      </c>
      <c r="E5210" s="131" t="s">
        <v>1520</v>
      </c>
      <c r="F5210" s="133">
        <v>4.0000000000000003E-5</v>
      </c>
      <c r="G5210" s="134">
        <f>ROUND(G$3*F5210,0)</f>
        <v>12</v>
      </c>
      <c r="H5210" s="140">
        <f t="shared" si="380"/>
        <v>6</v>
      </c>
      <c r="I5210" s="141">
        <f t="shared" si="381"/>
        <v>6</v>
      </c>
      <c r="J5210" s="128" t="str">
        <f t="shared" si="379"/>
        <v>696XXXX</v>
      </c>
    </row>
    <row r="5211" spans="2:10" s="3" customFormat="1">
      <c r="B5211" s="3" t="s">
        <v>2153</v>
      </c>
      <c r="C5211" s="8">
        <v>6</v>
      </c>
      <c r="D5211" s="116" t="s">
        <v>3936</v>
      </c>
      <c r="E5211" s="11" t="s">
        <v>545</v>
      </c>
      <c r="F5211" s="10">
        <v>5.3140000000001519E-3</v>
      </c>
      <c r="G5211" s="120">
        <f>+G5142-SUM(G5143:G5144)-SUM(G5149:G5187)-G5191-G5195-G5199-G5200-G5204-SUM(G5208:G5210)</f>
        <v>-128619</v>
      </c>
      <c r="H5211" s="120">
        <f t="shared" si="380"/>
        <v>-64310</v>
      </c>
      <c r="I5211" s="120">
        <f t="shared" si="381"/>
        <v>-64309</v>
      </c>
      <c r="J5211" s="3" t="str">
        <f t="shared" si="379"/>
        <v>6961006</v>
      </c>
    </row>
    <row r="5212" spans="2:10" s="3" customFormat="1">
      <c r="B5212" s="3" t="s">
        <v>2153</v>
      </c>
      <c r="C5212" s="8">
        <v>0</v>
      </c>
      <c r="D5212" s="125" t="s">
        <v>2187</v>
      </c>
      <c r="E5212" s="28" t="s">
        <v>288</v>
      </c>
      <c r="F5212" s="10">
        <v>1</v>
      </c>
      <c r="G5212" s="12">
        <f>+G5143+SUM(G5146:G5186)+SUM(G5189:G5190)+SUM(G5193:G5194)+SUM(G5197:G5199)+SUM(G5202:G5203)+SUM(G5206:G5211)</f>
        <v>157577</v>
      </c>
      <c r="H5212" s="12">
        <f>+H5143+SUM(H5146:H5186)+SUM(H5189:H5190)+SUM(H5193:H5194)+SUM(H5197:H5199)+SUM(H5202:H5203)+SUM(H5206:H5211)</f>
        <v>78797</v>
      </c>
      <c r="I5212" s="12">
        <f>+I5143+SUM(I5146:I5186)+SUM(I5189:I5190)+SUM(I5193:I5194)+SUM(I5197:I5199)+SUM(I5202:I5203)+SUM(I5206:I5211)</f>
        <v>78780</v>
      </c>
      <c r="J5212" s="3" t="str">
        <f t="shared" si="379"/>
        <v>6900000</v>
      </c>
    </row>
    <row r="5213" spans="2:10" s="3" customFormat="1">
      <c r="B5213" s="3" t="s">
        <v>2153</v>
      </c>
      <c r="C5213" s="8">
        <v>0</v>
      </c>
      <c r="D5213" s="3" t="s">
        <v>2187</v>
      </c>
      <c r="E5213" s="18" t="s">
        <v>38</v>
      </c>
      <c r="G5213" s="19">
        <f>+G5143</f>
        <v>398</v>
      </c>
      <c r="H5213" s="19">
        <f>+H5143</f>
        <v>199</v>
      </c>
      <c r="I5213" s="19">
        <f>+I5143</f>
        <v>199</v>
      </c>
      <c r="J5213" s="3" t="str">
        <f t="shared" si="379"/>
        <v>6900000</v>
      </c>
    </row>
    <row r="5214" spans="2:10" s="3" customFormat="1">
      <c r="B5214" s="3" t="s">
        <v>2153</v>
      </c>
      <c r="C5214" s="8">
        <v>0</v>
      </c>
      <c r="D5214" s="3" t="s">
        <v>2187</v>
      </c>
      <c r="E5214" s="2" t="s">
        <v>39</v>
      </c>
      <c r="G5214" s="19">
        <f>+G5146</f>
        <v>22569</v>
      </c>
      <c r="H5214" s="19">
        <f>+H5146</f>
        <v>11285</v>
      </c>
      <c r="I5214" s="19">
        <f>+I5146</f>
        <v>11284</v>
      </c>
      <c r="J5214" s="3" t="str">
        <f t="shared" si="379"/>
        <v>6900000</v>
      </c>
    </row>
    <row r="5215" spans="2:10" s="3" customFormat="1">
      <c r="B5215" s="3" t="s">
        <v>2153</v>
      </c>
      <c r="C5215" s="8">
        <v>0</v>
      </c>
      <c r="D5215" s="3" t="s">
        <v>2187</v>
      </c>
      <c r="E5215" s="2" t="s">
        <v>40</v>
      </c>
      <c r="G5215" s="19">
        <f>+G5189+G5193+G5197+G5202+G5206</f>
        <v>91228</v>
      </c>
      <c r="H5215" s="19">
        <f>+H5189+H5193+H5197+H5202+H5206</f>
        <v>45615</v>
      </c>
      <c r="I5215" s="19">
        <f>+I5189+I5193+I5197+I5202+I5206</f>
        <v>45613</v>
      </c>
      <c r="J5215" s="3" t="str">
        <f t="shared" si="379"/>
        <v>6900000</v>
      </c>
    </row>
    <row r="5216" spans="2:10" s="3" customFormat="1">
      <c r="B5216" s="3" t="s">
        <v>2153</v>
      </c>
      <c r="C5216" s="8">
        <v>0</v>
      </c>
      <c r="D5216" s="125" t="s">
        <v>2187</v>
      </c>
      <c r="E5216" s="18" t="s">
        <v>41</v>
      </c>
      <c r="G5216" s="19">
        <f>+G5212-G5213-G5214-G5215</f>
        <v>43382</v>
      </c>
      <c r="H5216" s="19">
        <f>+H5212-H5213-H5214-H5215</f>
        <v>21698</v>
      </c>
      <c r="I5216" s="19">
        <f>+I5212-I5213-I5214-I5215</f>
        <v>21684</v>
      </c>
      <c r="J5216" s="3" t="str">
        <f t="shared" si="379"/>
        <v>6900000</v>
      </c>
    </row>
    <row r="5217" spans="2:10" ht="15.75">
      <c r="B5217" s="3" t="s">
        <v>2186</v>
      </c>
      <c r="D5217" t="s">
        <v>2186</v>
      </c>
      <c r="E5217">
        <v>0</v>
      </c>
      <c r="G5217"/>
      <c r="H5217"/>
      <c r="I5217"/>
      <c r="J5217" s="3" t="str">
        <f t="shared" si="379"/>
        <v/>
      </c>
    </row>
    <row r="5218" spans="2:10" s="3" customFormat="1">
      <c r="C5218" s="1"/>
      <c r="D5218" s="3" t="s">
        <v>2186</v>
      </c>
      <c r="E5218" s="2" t="s">
        <v>1529</v>
      </c>
      <c r="J5218" s="3" t="str">
        <f t="shared" si="379"/>
        <v/>
      </c>
    </row>
    <row r="5219" spans="2:10" s="3" customFormat="1" ht="45">
      <c r="B5219" s="3" t="s">
        <v>2186</v>
      </c>
      <c r="C5219" s="1"/>
      <c r="D5219" s="3" t="s">
        <v>2186</v>
      </c>
      <c r="E5219" s="3">
        <v>0</v>
      </c>
      <c r="F5219" s="6" t="s">
        <v>1</v>
      </c>
      <c r="G5219" s="60">
        <f>'Allocation Worksheet'!H5219</f>
        <v>0</v>
      </c>
      <c r="H5219" s="60">
        <f>'Allocation Worksheet'!H5220</f>
        <v>0</v>
      </c>
      <c r="I5219" s="60">
        <f>'Allocation Worksheet'!H5221</f>
        <v>0</v>
      </c>
      <c r="J5219" s="3" t="str">
        <f t="shared" si="379"/>
        <v/>
      </c>
    </row>
    <row r="5220" spans="2:10" s="3" customFormat="1">
      <c r="C5220" s="7" t="s">
        <v>2087</v>
      </c>
      <c r="D5220" s="3" t="s">
        <v>2186</v>
      </c>
      <c r="E5220" s="7" t="s">
        <v>3</v>
      </c>
      <c r="F5220" s="10"/>
      <c r="G5220" s="9">
        <f>'Allocation Worksheet'!$D$73</f>
        <v>129781</v>
      </c>
      <c r="H5220" s="11"/>
      <c r="I5220" s="11"/>
      <c r="J5220" s="3" t="str">
        <f t="shared" si="379"/>
        <v>UT</v>
      </c>
    </row>
    <row r="5221" spans="2:10" s="3" customFormat="1">
      <c r="B5221" s="3" t="s">
        <v>2154</v>
      </c>
      <c r="C5221" s="8">
        <v>0</v>
      </c>
      <c r="D5221" s="3" t="s">
        <v>2187</v>
      </c>
      <c r="E5221" s="11" t="s">
        <v>4</v>
      </c>
      <c r="F5221" s="10">
        <v>1.3550000000000001E-3</v>
      </c>
      <c r="G5221" s="12">
        <f>ROUND(G$3*F5221,0)</f>
        <v>390</v>
      </c>
      <c r="H5221" s="13">
        <f>ROUND(G5221/2,0)</f>
        <v>195</v>
      </c>
      <c r="I5221" s="12">
        <f>G5221-H5221</f>
        <v>195</v>
      </c>
      <c r="J5221" s="3" t="str">
        <f t="shared" si="379"/>
        <v>7000000</v>
      </c>
    </row>
    <row r="5222" spans="2:10" s="3" customFormat="1">
      <c r="B5222" s="3" t="s">
        <v>2154</v>
      </c>
      <c r="C5222" s="8">
        <v>1</v>
      </c>
      <c r="D5222" s="3" t="s">
        <v>2187</v>
      </c>
      <c r="E5222" s="11" t="s">
        <v>1530</v>
      </c>
      <c r="F5222" s="10">
        <v>0.24413299999999999</v>
      </c>
      <c r="G5222" s="9">
        <f>ROUND(G$3*F5222,0)</f>
        <v>70243</v>
      </c>
      <c r="H5222" s="11">
        <f>ROUND(G5222/2,0)</f>
        <v>35122</v>
      </c>
      <c r="I5222" s="9">
        <f>G5222-H5222</f>
        <v>35121</v>
      </c>
      <c r="J5222" s="3" t="str">
        <f t="shared" si="379"/>
        <v>7010000</v>
      </c>
    </row>
    <row r="5223" spans="2:10" s="3" customFormat="1">
      <c r="B5223" s="3" t="s">
        <v>2154</v>
      </c>
      <c r="C5223" s="8">
        <v>1</v>
      </c>
      <c r="D5223" s="3" t="s">
        <v>2187</v>
      </c>
      <c r="E5223" s="11" t="s">
        <v>6</v>
      </c>
      <c r="F5223" s="11"/>
      <c r="G5223" s="14">
        <v>0.180696</v>
      </c>
      <c r="H5223" s="11"/>
      <c r="I5223" s="11"/>
      <c r="J5223" s="3" t="str">
        <f t="shared" si="379"/>
        <v>7010000</v>
      </c>
    </row>
    <row r="5224" spans="2:10" s="3" customFormat="1">
      <c r="B5224" s="3" t="s">
        <v>2154</v>
      </c>
      <c r="C5224" s="8">
        <v>1</v>
      </c>
      <c r="D5224" s="3" t="s">
        <v>2187</v>
      </c>
      <c r="E5224" s="11" t="s">
        <v>7</v>
      </c>
      <c r="F5224" s="11"/>
      <c r="G5224" s="15">
        <f>ROUND(G5222*G5223,0)</f>
        <v>12693</v>
      </c>
      <c r="H5224" s="16">
        <f>ROUND(G5224/2,0)</f>
        <v>6347</v>
      </c>
      <c r="I5224" s="15">
        <f>G5224-H5224</f>
        <v>6346</v>
      </c>
      <c r="J5224" s="3" t="str">
        <f t="shared" si="379"/>
        <v>7010000</v>
      </c>
    </row>
    <row r="5225" spans="2:10" s="3" customFormat="1">
      <c r="B5225" s="3" t="s">
        <v>2154</v>
      </c>
      <c r="C5225" s="8">
        <v>1</v>
      </c>
      <c r="D5225" s="3" t="s">
        <v>2187</v>
      </c>
      <c r="E5225" s="11" t="s">
        <v>8</v>
      </c>
      <c r="F5225" s="11"/>
      <c r="G5225" s="12">
        <f>+G5222-G5224</f>
        <v>57550</v>
      </c>
      <c r="H5225" s="13">
        <f>ROUND(G5225/2,0)</f>
        <v>28775</v>
      </c>
      <c r="I5225" s="12">
        <f>G5225-H5225</f>
        <v>28775</v>
      </c>
      <c r="J5225" s="3" t="str">
        <f t="shared" si="379"/>
        <v>7010000</v>
      </c>
    </row>
    <row r="5226" spans="2:10" s="3" customFormat="1">
      <c r="B5226" s="3" t="s">
        <v>2154</v>
      </c>
      <c r="C5226" s="8">
        <v>2</v>
      </c>
      <c r="D5226" s="3" t="s">
        <v>2188</v>
      </c>
      <c r="E5226" s="11" t="s">
        <v>1122</v>
      </c>
      <c r="F5226" s="11"/>
      <c r="G5226" s="9"/>
      <c r="H5226" s="11"/>
      <c r="I5226" s="11"/>
      <c r="J5226" s="3" t="str">
        <f t="shared" si="379"/>
        <v>7020001</v>
      </c>
    </row>
    <row r="5227" spans="2:10" s="3" customFormat="1">
      <c r="B5227" s="3" t="s">
        <v>2154</v>
      </c>
      <c r="C5227" s="8">
        <v>2</v>
      </c>
      <c r="D5227" s="3" t="s">
        <v>2188</v>
      </c>
      <c r="E5227" s="11" t="s">
        <v>10</v>
      </c>
      <c r="F5227" s="10">
        <v>1.067E-3</v>
      </c>
      <c r="G5227" s="12">
        <f>ROUND(G$3*F5227,0)</f>
        <v>307</v>
      </c>
      <c r="H5227" s="13">
        <f>ROUND(G5227/2,0)</f>
        <v>154</v>
      </c>
      <c r="I5227" s="12">
        <f>G5227-H5227</f>
        <v>153</v>
      </c>
      <c r="J5227" s="3" t="str">
        <f t="shared" si="379"/>
        <v>7020001</v>
      </c>
    </row>
    <row r="5228" spans="2:10" s="3" customFormat="1">
      <c r="B5228" s="3" t="s">
        <v>2154</v>
      </c>
      <c r="C5228" s="8">
        <v>2</v>
      </c>
      <c r="D5228" s="3" t="s">
        <v>2188</v>
      </c>
      <c r="E5228" s="11" t="s">
        <v>11</v>
      </c>
      <c r="F5228" s="10">
        <v>1.018E-3</v>
      </c>
      <c r="G5228" s="12">
        <f>ROUND(G$3*F5228,0)</f>
        <v>293</v>
      </c>
      <c r="H5228" s="13">
        <f>ROUND(G5228/2,0)</f>
        <v>147</v>
      </c>
      <c r="I5228" s="12">
        <f>G5228-H5228</f>
        <v>146</v>
      </c>
      <c r="J5228" s="3" t="str">
        <f t="shared" si="379"/>
        <v>7020001</v>
      </c>
    </row>
    <row r="5229" spans="2:10" s="3" customFormat="1">
      <c r="B5229" s="3" t="s">
        <v>2154</v>
      </c>
      <c r="C5229" s="8">
        <v>2</v>
      </c>
      <c r="D5229" s="3" t="s">
        <v>2189</v>
      </c>
      <c r="E5229" s="11" t="s">
        <v>107</v>
      </c>
      <c r="F5229" s="11"/>
      <c r="G5229" s="9"/>
      <c r="H5229" s="11"/>
      <c r="I5229" s="11"/>
      <c r="J5229" s="3" t="str">
        <f t="shared" si="379"/>
        <v>7020002</v>
      </c>
    </row>
    <row r="5230" spans="2:10" s="3" customFormat="1">
      <c r="B5230" s="3" t="s">
        <v>2154</v>
      </c>
      <c r="C5230" s="8">
        <v>2</v>
      </c>
      <c r="D5230" s="3" t="s">
        <v>2189</v>
      </c>
      <c r="E5230" s="11" t="s">
        <v>10</v>
      </c>
      <c r="F5230" s="10">
        <v>1.201E-3</v>
      </c>
      <c r="G5230" s="12">
        <f>ROUND(G$3*F5230,0)</f>
        <v>346</v>
      </c>
      <c r="H5230" s="13">
        <f>ROUND(G5230/2,0)</f>
        <v>173</v>
      </c>
      <c r="I5230" s="12">
        <f>G5230-H5230</f>
        <v>173</v>
      </c>
      <c r="J5230" s="3" t="str">
        <f t="shared" si="379"/>
        <v>7020002</v>
      </c>
    </row>
    <row r="5231" spans="2:10" s="3" customFormat="1">
      <c r="B5231" s="3" t="s">
        <v>2154</v>
      </c>
      <c r="C5231" s="8">
        <v>2</v>
      </c>
      <c r="D5231" s="3" t="s">
        <v>2189</v>
      </c>
      <c r="E5231" s="11" t="s">
        <v>11</v>
      </c>
      <c r="F5231" s="10">
        <v>7.3700000000000002E-4</v>
      </c>
      <c r="G5231" s="12">
        <f>ROUND(G$3*F5231,0)</f>
        <v>212</v>
      </c>
      <c r="H5231" s="13">
        <f>ROUND(G5231/2,0)</f>
        <v>106</v>
      </c>
      <c r="I5231" s="12">
        <f>G5231-H5231</f>
        <v>106</v>
      </c>
      <c r="J5231" s="3" t="str">
        <f t="shared" si="379"/>
        <v>7020002</v>
      </c>
    </row>
    <row r="5232" spans="2:10" s="3" customFormat="1">
      <c r="B5232" s="3" t="s">
        <v>2154</v>
      </c>
      <c r="C5232" s="8">
        <v>2</v>
      </c>
      <c r="D5232" s="3" t="s">
        <v>2190</v>
      </c>
      <c r="E5232" s="11" t="s">
        <v>49</v>
      </c>
      <c r="F5232" s="11"/>
      <c r="G5232" s="9"/>
      <c r="H5232" s="11"/>
      <c r="I5232" s="11"/>
      <c r="J5232" s="3" t="str">
        <f t="shared" si="379"/>
        <v>7020003</v>
      </c>
    </row>
    <row r="5233" spans="2:10" s="3" customFormat="1">
      <c r="B5233" s="3" t="s">
        <v>2154</v>
      </c>
      <c r="C5233" s="8">
        <v>2</v>
      </c>
      <c r="D5233" s="3" t="s">
        <v>2190</v>
      </c>
      <c r="E5233" s="11" t="s">
        <v>10</v>
      </c>
      <c r="F5233" s="10">
        <v>5.9000000000000003E-4</v>
      </c>
      <c r="G5233" s="12">
        <f>ROUND(G$3*F5233,0)</f>
        <v>170</v>
      </c>
      <c r="H5233" s="13">
        <f>ROUND(G5233/2,0)</f>
        <v>85</v>
      </c>
      <c r="I5233" s="12">
        <f>G5233-H5233</f>
        <v>85</v>
      </c>
      <c r="J5233" s="3" t="str">
        <f t="shared" si="379"/>
        <v>7020003</v>
      </c>
    </row>
    <row r="5234" spans="2:10" s="3" customFormat="1">
      <c r="B5234" s="3" t="s">
        <v>2154</v>
      </c>
      <c r="C5234" s="8">
        <v>2</v>
      </c>
      <c r="D5234" s="3" t="s">
        <v>2190</v>
      </c>
      <c r="E5234" s="11" t="s">
        <v>11</v>
      </c>
      <c r="F5234" s="10">
        <v>3.4400000000000001E-4</v>
      </c>
      <c r="G5234" s="12">
        <f>ROUND(G$3*F5234,0)</f>
        <v>99</v>
      </c>
      <c r="H5234" s="13">
        <f>ROUND(G5234/2,0)</f>
        <v>50</v>
      </c>
      <c r="I5234" s="12">
        <f>G5234-H5234</f>
        <v>49</v>
      </c>
      <c r="J5234" s="3" t="str">
        <f t="shared" si="379"/>
        <v>7020003</v>
      </c>
    </row>
    <row r="5235" spans="2:10" s="3" customFormat="1">
      <c r="B5235" s="3" t="s">
        <v>2154</v>
      </c>
      <c r="C5235" s="8">
        <v>2</v>
      </c>
      <c r="D5235" s="3" t="s">
        <v>2191</v>
      </c>
      <c r="E5235" s="11" t="s">
        <v>203</v>
      </c>
      <c r="F5235" s="11"/>
      <c r="G5235" s="9"/>
      <c r="H5235" s="11"/>
      <c r="I5235" s="11"/>
      <c r="J5235" s="3" t="str">
        <f t="shared" si="379"/>
        <v>7020004</v>
      </c>
    </row>
    <row r="5236" spans="2:10" s="3" customFormat="1">
      <c r="B5236" s="3" t="s">
        <v>2154</v>
      </c>
      <c r="C5236" s="8">
        <v>2</v>
      </c>
      <c r="D5236" s="3" t="s">
        <v>2191</v>
      </c>
      <c r="E5236" s="11" t="s">
        <v>10</v>
      </c>
      <c r="F5236" s="10">
        <v>6.7400000000000001E-4</v>
      </c>
      <c r="G5236" s="12">
        <f>ROUND(G$3*F5236,0)</f>
        <v>194</v>
      </c>
      <c r="H5236" s="13">
        <f>ROUND(G5236/2,0)</f>
        <v>97</v>
      </c>
      <c r="I5236" s="12">
        <f>G5236-H5236</f>
        <v>97</v>
      </c>
      <c r="J5236" s="3" t="str">
        <f t="shared" si="379"/>
        <v>7020004</v>
      </c>
    </row>
    <row r="5237" spans="2:10" s="3" customFormat="1">
      <c r="B5237" s="3" t="s">
        <v>2154</v>
      </c>
      <c r="C5237" s="8">
        <v>2</v>
      </c>
      <c r="D5237" s="3" t="s">
        <v>2191</v>
      </c>
      <c r="E5237" s="11" t="s">
        <v>11</v>
      </c>
      <c r="F5237" s="10">
        <v>4.1999999999999998E-5</v>
      </c>
      <c r="G5237" s="12">
        <f>ROUND(G$3*F5237,0)</f>
        <v>12</v>
      </c>
      <c r="H5237" s="13">
        <f>ROUND(G5237/2,0)</f>
        <v>6</v>
      </c>
      <c r="I5237" s="12">
        <f>G5237-H5237</f>
        <v>6</v>
      </c>
      <c r="J5237" s="3" t="str">
        <f t="shared" si="379"/>
        <v>7020004</v>
      </c>
    </row>
    <row r="5238" spans="2:10" s="3" customFormat="1">
      <c r="B5238" s="3" t="s">
        <v>2154</v>
      </c>
      <c r="C5238" s="8">
        <v>2</v>
      </c>
      <c r="D5238" s="3" t="s">
        <v>2192</v>
      </c>
      <c r="E5238" s="11" t="s">
        <v>482</v>
      </c>
      <c r="F5238" s="11"/>
      <c r="G5238" s="9"/>
      <c r="H5238" s="11"/>
      <c r="I5238" s="11"/>
      <c r="J5238" s="3" t="str">
        <f t="shared" si="379"/>
        <v>7020005</v>
      </c>
    </row>
    <row r="5239" spans="2:10" s="3" customFormat="1">
      <c r="B5239" s="3" t="s">
        <v>2154</v>
      </c>
      <c r="C5239" s="8">
        <v>2</v>
      </c>
      <c r="D5239" s="3" t="s">
        <v>2192</v>
      </c>
      <c r="E5239" s="11" t="s">
        <v>10</v>
      </c>
      <c r="F5239" s="10">
        <v>3.5799999999999997E-4</v>
      </c>
      <c r="G5239" s="12">
        <f>ROUND(G$3*F5239,0)</f>
        <v>103</v>
      </c>
      <c r="H5239" s="13">
        <f>ROUND(G5239/2,0)</f>
        <v>52</v>
      </c>
      <c r="I5239" s="12">
        <f>G5239-H5239</f>
        <v>51</v>
      </c>
      <c r="J5239" s="3" t="str">
        <f t="shared" si="379"/>
        <v>7020005</v>
      </c>
    </row>
    <row r="5240" spans="2:10" s="3" customFormat="1">
      <c r="B5240" s="3" t="s">
        <v>2154</v>
      </c>
      <c r="C5240" s="8">
        <v>2</v>
      </c>
      <c r="D5240" s="3" t="s">
        <v>2192</v>
      </c>
      <c r="E5240" s="11" t="s">
        <v>11</v>
      </c>
      <c r="F5240" s="10">
        <v>2.81E-4</v>
      </c>
      <c r="G5240" s="12">
        <f>ROUND(G$3*F5240,0)</f>
        <v>81</v>
      </c>
      <c r="H5240" s="13">
        <f>ROUND(G5240/2,0)</f>
        <v>41</v>
      </c>
      <c r="I5240" s="12">
        <f>G5240-H5240</f>
        <v>40</v>
      </c>
      <c r="J5240" s="3" t="str">
        <f t="shared" si="379"/>
        <v>7020005</v>
      </c>
    </row>
    <row r="5241" spans="2:10" s="3" customFormat="1">
      <c r="B5241" s="3" t="s">
        <v>2154</v>
      </c>
      <c r="C5241" s="8">
        <v>2</v>
      </c>
      <c r="D5241" s="3" t="s">
        <v>2193</v>
      </c>
      <c r="E5241" s="11" t="s">
        <v>252</v>
      </c>
      <c r="F5241" s="11"/>
      <c r="G5241" s="9"/>
      <c r="H5241" s="11"/>
      <c r="I5241" s="11"/>
      <c r="J5241" s="3" t="str">
        <f t="shared" si="379"/>
        <v>7020006</v>
      </c>
    </row>
    <row r="5242" spans="2:10" s="3" customFormat="1">
      <c r="B5242" s="3" t="s">
        <v>2154</v>
      </c>
      <c r="C5242" s="8">
        <v>2</v>
      </c>
      <c r="D5242" s="3" t="s">
        <v>2193</v>
      </c>
      <c r="E5242" s="11" t="s">
        <v>10</v>
      </c>
      <c r="F5242" s="10">
        <v>8.7799999999999998E-4</v>
      </c>
      <c r="G5242" s="12">
        <f>ROUND(G$3*F5242,0)</f>
        <v>253</v>
      </c>
      <c r="H5242" s="13">
        <f>ROUND(G5242/2,0)</f>
        <v>127</v>
      </c>
      <c r="I5242" s="12">
        <f>G5242-H5242</f>
        <v>126</v>
      </c>
      <c r="J5242" s="3" t="str">
        <f t="shared" si="379"/>
        <v>7020006</v>
      </c>
    </row>
    <row r="5243" spans="2:10" s="3" customFormat="1">
      <c r="B5243" s="3" t="s">
        <v>2154</v>
      </c>
      <c r="C5243" s="8">
        <v>2</v>
      </c>
      <c r="D5243" s="3" t="s">
        <v>2193</v>
      </c>
      <c r="E5243" s="11" t="s">
        <v>11</v>
      </c>
      <c r="F5243" s="10">
        <v>7.7999999999999999E-4</v>
      </c>
      <c r="G5243" s="12">
        <f>ROUND(G$3*F5243,0)</f>
        <v>224</v>
      </c>
      <c r="H5243" s="13">
        <f>ROUND(G5243/2,0)</f>
        <v>112</v>
      </c>
      <c r="I5243" s="12">
        <f>G5243-H5243</f>
        <v>112</v>
      </c>
      <c r="J5243" s="3" t="str">
        <f t="shared" si="379"/>
        <v>7020006</v>
      </c>
    </row>
    <row r="5244" spans="2:10" s="3" customFormat="1">
      <c r="B5244" s="3" t="s">
        <v>2154</v>
      </c>
      <c r="C5244" s="8">
        <v>2</v>
      </c>
      <c r="D5244" s="3" t="s">
        <v>2194</v>
      </c>
      <c r="E5244" s="11" t="s">
        <v>114</v>
      </c>
      <c r="F5244" s="11"/>
      <c r="G5244" s="9"/>
      <c r="H5244" s="11"/>
      <c r="I5244" s="11"/>
      <c r="J5244" s="3" t="str">
        <f t="shared" si="379"/>
        <v>7020007</v>
      </c>
    </row>
    <row r="5245" spans="2:10" s="3" customFormat="1">
      <c r="B5245" s="3" t="s">
        <v>2154</v>
      </c>
      <c r="C5245" s="8">
        <v>2</v>
      </c>
      <c r="D5245" s="3" t="s">
        <v>2194</v>
      </c>
      <c r="E5245" s="11" t="s">
        <v>10</v>
      </c>
      <c r="F5245" s="10">
        <v>9.9700000000000006E-4</v>
      </c>
      <c r="G5245" s="12">
        <f>ROUND(G$3*F5245,0)</f>
        <v>287</v>
      </c>
      <c r="H5245" s="13">
        <f>ROUND(G5245/2,0)</f>
        <v>144</v>
      </c>
      <c r="I5245" s="12">
        <f>G5245-H5245</f>
        <v>143</v>
      </c>
      <c r="J5245" s="3" t="str">
        <f t="shared" si="379"/>
        <v>7020007</v>
      </c>
    </row>
    <row r="5246" spans="2:10" s="3" customFormat="1">
      <c r="B5246" s="3" t="s">
        <v>2154</v>
      </c>
      <c r="C5246" s="8">
        <v>2</v>
      </c>
      <c r="D5246" s="3" t="s">
        <v>2194</v>
      </c>
      <c r="E5246" s="11" t="s">
        <v>11</v>
      </c>
      <c r="F5246" s="10">
        <v>3.2299999999999999E-4</v>
      </c>
      <c r="G5246" s="12">
        <f>ROUND(G$3*F5246,0)</f>
        <v>93</v>
      </c>
      <c r="H5246" s="13">
        <f>ROUND(G5246/2,0)</f>
        <v>47</v>
      </c>
      <c r="I5246" s="12">
        <f>G5246-H5246</f>
        <v>46</v>
      </c>
      <c r="J5246" s="3" t="str">
        <f t="shared" si="379"/>
        <v>7020007</v>
      </c>
    </row>
    <row r="5247" spans="2:10" s="3" customFormat="1">
      <c r="B5247" s="3" t="s">
        <v>2154</v>
      </c>
      <c r="C5247" s="8">
        <v>2</v>
      </c>
      <c r="D5247" s="3" t="s">
        <v>2195</v>
      </c>
      <c r="E5247" s="11" t="s">
        <v>1257</v>
      </c>
      <c r="F5247" s="11"/>
      <c r="G5247" s="9"/>
      <c r="H5247" s="11"/>
      <c r="I5247" s="11"/>
      <c r="J5247" s="3" t="str">
        <f t="shared" si="379"/>
        <v>7020008</v>
      </c>
    </row>
    <row r="5248" spans="2:10" s="3" customFormat="1">
      <c r="B5248" s="3" t="s">
        <v>2154</v>
      </c>
      <c r="C5248" s="8">
        <v>2</v>
      </c>
      <c r="D5248" s="3" t="s">
        <v>2195</v>
      </c>
      <c r="E5248" s="11" t="s">
        <v>10</v>
      </c>
      <c r="F5248" s="10">
        <v>1.7489999999999999E-3</v>
      </c>
      <c r="G5248" s="12">
        <f>ROUND(G$3*F5248,0)</f>
        <v>503</v>
      </c>
      <c r="H5248" s="13">
        <f>ROUND(G5248/2,0)</f>
        <v>252</v>
      </c>
      <c r="I5248" s="12">
        <f>G5248-H5248</f>
        <v>251</v>
      </c>
      <c r="J5248" s="3" t="str">
        <f t="shared" si="379"/>
        <v>7020008</v>
      </c>
    </row>
    <row r="5249" spans="1:10" s="3" customFormat="1">
      <c r="B5249" s="3" t="s">
        <v>2154</v>
      </c>
      <c r="C5249" s="8">
        <v>2</v>
      </c>
      <c r="D5249" s="3" t="s">
        <v>2195</v>
      </c>
      <c r="E5249" s="11" t="s">
        <v>11</v>
      </c>
      <c r="F5249" s="10">
        <v>1.9000000000000001E-4</v>
      </c>
      <c r="G5249" s="12">
        <f>ROUND(G$3*F5249,0)</f>
        <v>55</v>
      </c>
      <c r="H5249" s="13">
        <f>ROUND(G5249/2,0)</f>
        <v>28</v>
      </c>
      <c r="I5249" s="12">
        <f>G5249-H5249</f>
        <v>27</v>
      </c>
      <c r="J5249" s="3" t="str">
        <f t="shared" si="379"/>
        <v>7020008</v>
      </c>
    </row>
    <row r="5250" spans="1:10" s="3" customFormat="1">
      <c r="B5250" s="3" t="s">
        <v>2154</v>
      </c>
      <c r="C5250" s="8">
        <v>2</v>
      </c>
      <c r="D5250" s="3" t="s">
        <v>2196</v>
      </c>
      <c r="E5250" s="11" t="s">
        <v>1531</v>
      </c>
      <c r="F5250" s="11"/>
      <c r="G5250" s="9"/>
      <c r="H5250" s="11"/>
      <c r="I5250" s="11"/>
      <c r="J5250" s="3" t="str">
        <f t="shared" si="379"/>
        <v>7020009</v>
      </c>
    </row>
    <row r="5251" spans="1:10" s="3" customFormat="1">
      <c r="B5251" s="3" t="s">
        <v>2154</v>
      </c>
      <c r="C5251" s="8">
        <v>2</v>
      </c>
      <c r="D5251" s="3" t="s">
        <v>2196</v>
      </c>
      <c r="E5251" s="11" t="s">
        <v>10</v>
      </c>
      <c r="F5251" s="10">
        <v>2.1069999999999999E-3</v>
      </c>
      <c r="G5251" s="12">
        <f>ROUND(G$3*F5251,0)</f>
        <v>606</v>
      </c>
      <c r="H5251" s="13">
        <f>ROUND(G5251/2,0)</f>
        <v>303</v>
      </c>
      <c r="I5251" s="12">
        <f>G5251-H5251</f>
        <v>303</v>
      </c>
      <c r="J5251" s="3" t="str">
        <f t="shared" si="379"/>
        <v>7020009</v>
      </c>
    </row>
    <row r="5252" spans="1:10" s="3" customFormat="1">
      <c r="B5252" s="3" t="s">
        <v>2154</v>
      </c>
      <c r="C5252" s="8">
        <v>2</v>
      </c>
      <c r="D5252" s="3" t="s">
        <v>2196</v>
      </c>
      <c r="E5252" s="11" t="s">
        <v>11</v>
      </c>
      <c r="F5252" s="10">
        <v>7.4399999999999998E-4</v>
      </c>
      <c r="G5252" s="12">
        <f>ROUND(G$3*F5252,0)</f>
        <v>214</v>
      </c>
      <c r="H5252" s="13">
        <f>ROUND(G5252/2,0)</f>
        <v>107</v>
      </c>
      <c r="I5252" s="12">
        <f>G5252-H5252</f>
        <v>107</v>
      </c>
      <c r="J5252" s="3" t="str">
        <f t="shared" ref="J5252:J5315" si="382">B5252&amp;C5252&amp;D5252</f>
        <v>7020009</v>
      </c>
    </row>
    <row r="5253" spans="1:10" s="3" customFormat="1">
      <c r="B5253" s="3" t="s">
        <v>2154</v>
      </c>
      <c r="C5253" s="8">
        <v>2</v>
      </c>
      <c r="D5253" s="3" t="s">
        <v>2197</v>
      </c>
      <c r="E5253" s="11" t="s">
        <v>20</v>
      </c>
      <c r="F5253" s="11"/>
      <c r="G5253" s="9"/>
      <c r="H5253" s="11"/>
      <c r="I5253" s="11"/>
      <c r="J5253" s="3" t="str">
        <f t="shared" si="382"/>
        <v>7020010</v>
      </c>
    </row>
    <row r="5254" spans="1:10" s="3" customFormat="1">
      <c r="B5254" s="3" t="s">
        <v>2154</v>
      </c>
      <c r="C5254" s="8">
        <v>2</v>
      </c>
      <c r="D5254" s="3" t="s">
        <v>2197</v>
      </c>
      <c r="E5254" s="11" t="s">
        <v>10</v>
      </c>
      <c r="F5254" s="10">
        <v>5.5500000000000005E-4</v>
      </c>
      <c r="G5254" s="12">
        <f>ROUND(G$3*F5254,0)</f>
        <v>160</v>
      </c>
      <c r="H5254" s="13">
        <f>ROUND(G5254/2,0)</f>
        <v>80</v>
      </c>
      <c r="I5254" s="12">
        <f>G5254-H5254</f>
        <v>80</v>
      </c>
      <c r="J5254" s="3" t="str">
        <f t="shared" si="382"/>
        <v>7020010</v>
      </c>
    </row>
    <row r="5255" spans="1:10" s="3" customFormat="1">
      <c r="B5255" s="3" t="s">
        <v>2154</v>
      </c>
      <c r="C5255" s="8">
        <v>2</v>
      </c>
      <c r="D5255" s="3" t="s">
        <v>2197</v>
      </c>
      <c r="E5255" s="11" t="s">
        <v>11</v>
      </c>
      <c r="F5255" s="10">
        <v>1.54E-4</v>
      </c>
      <c r="G5255" s="12">
        <f>ROUND(G$3*F5255,0)</f>
        <v>44</v>
      </c>
      <c r="H5255" s="13">
        <f>ROUND(G5255/2,0)</f>
        <v>22</v>
      </c>
      <c r="I5255" s="12">
        <f>G5255-H5255</f>
        <v>22</v>
      </c>
      <c r="J5255" s="3" t="str">
        <f t="shared" si="382"/>
        <v>7020010</v>
      </c>
    </row>
    <row r="5256" spans="1:10" s="3" customFormat="1">
      <c r="B5256" s="3" t="s">
        <v>2154</v>
      </c>
      <c r="C5256" s="8">
        <v>2</v>
      </c>
      <c r="D5256" s="3" t="s">
        <v>2198</v>
      </c>
      <c r="E5256" s="11" t="s">
        <v>840</v>
      </c>
      <c r="F5256" s="11"/>
      <c r="G5256" s="9"/>
      <c r="H5256" s="11"/>
      <c r="I5256" s="11"/>
      <c r="J5256" s="3" t="str">
        <f t="shared" si="382"/>
        <v>7020011</v>
      </c>
    </row>
    <row r="5257" spans="1:10" s="3" customFormat="1">
      <c r="B5257" s="3" t="s">
        <v>2154</v>
      </c>
      <c r="C5257" s="8">
        <v>2</v>
      </c>
      <c r="D5257" s="3" t="s">
        <v>2198</v>
      </c>
      <c r="E5257" s="11" t="s">
        <v>10</v>
      </c>
      <c r="F5257" s="10">
        <v>4.8500000000000003E-4</v>
      </c>
      <c r="G5257" s="12">
        <f>ROUND(G$3*F5257,0)</f>
        <v>140</v>
      </c>
      <c r="H5257" s="13">
        <f>ROUND(G5257/2,0)</f>
        <v>70</v>
      </c>
      <c r="I5257" s="12">
        <f>G5257-H5257</f>
        <v>70</v>
      </c>
      <c r="J5257" s="3" t="str">
        <f t="shared" si="382"/>
        <v>7020011</v>
      </c>
    </row>
    <row r="5258" spans="1:10" s="3" customFormat="1">
      <c r="B5258" s="3" t="s">
        <v>2154</v>
      </c>
      <c r="C5258" s="8">
        <v>2</v>
      </c>
      <c r="D5258" s="3" t="s">
        <v>2198</v>
      </c>
      <c r="E5258" s="11" t="s">
        <v>11</v>
      </c>
      <c r="F5258" s="10">
        <v>2.81E-4</v>
      </c>
      <c r="G5258" s="12">
        <f>ROUND(G$3*F5258,0)</f>
        <v>81</v>
      </c>
      <c r="H5258" s="13">
        <f>ROUND(G5258/2,0)</f>
        <v>41</v>
      </c>
      <c r="I5258" s="12">
        <f>G5258-H5258</f>
        <v>40</v>
      </c>
      <c r="J5258" s="3" t="str">
        <f t="shared" si="382"/>
        <v>7020011</v>
      </c>
    </row>
    <row r="5259" spans="1:10" s="3" customFormat="1">
      <c r="B5259" s="3" t="s">
        <v>2154</v>
      </c>
      <c r="C5259" s="8">
        <v>2</v>
      </c>
      <c r="D5259" s="3" t="s">
        <v>2199</v>
      </c>
      <c r="E5259" s="11" t="s">
        <v>22</v>
      </c>
      <c r="F5259" s="11"/>
      <c r="G5259" s="9"/>
      <c r="H5259" s="11"/>
      <c r="I5259" s="11"/>
      <c r="J5259" s="3" t="str">
        <f t="shared" si="382"/>
        <v>7020012</v>
      </c>
    </row>
    <row r="5260" spans="1:10" s="3" customFormat="1">
      <c r="B5260" s="3" t="s">
        <v>2154</v>
      </c>
      <c r="C5260" s="8">
        <v>2</v>
      </c>
      <c r="D5260" s="3" t="s">
        <v>2199</v>
      </c>
      <c r="E5260" s="11" t="s">
        <v>10</v>
      </c>
      <c r="F5260" s="10">
        <v>7.1599999999999995E-4</v>
      </c>
      <c r="G5260" s="12">
        <f t="shared" ref="G5260:G5265" si="383">ROUND(G$3*F5260,0)</f>
        <v>206</v>
      </c>
      <c r="H5260" s="13">
        <f t="shared" ref="H5260:H5265" si="384">ROUND(G5260/2,0)</f>
        <v>103</v>
      </c>
      <c r="I5260" s="12">
        <f t="shared" ref="I5260:I5265" si="385">G5260-H5260</f>
        <v>103</v>
      </c>
      <c r="J5260" s="3" t="str">
        <f t="shared" si="382"/>
        <v>7020012</v>
      </c>
    </row>
    <row r="5261" spans="1:10" s="3" customFormat="1">
      <c r="B5261" s="3" t="s">
        <v>2154</v>
      </c>
      <c r="C5261" s="8">
        <v>2</v>
      </c>
      <c r="D5261" s="3" t="s">
        <v>2199</v>
      </c>
      <c r="E5261" s="11" t="s">
        <v>11</v>
      </c>
      <c r="F5261" s="10">
        <v>5.0600000000000005E-4</v>
      </c>
      <c r="G5261" s="12">
        <f t="shared" si="383"/>
        <v>146</v>
      </c>
      <c r="H5261" s="13">
        <f t="shared" si="384"/>
        <v>73</v>
      </c>
      <c r="I5261" s="12">
        <f t="shared" si="385"/>
        <v>73</v>
      </c>
      <c r="J5261" s="3" t="str">
        <f t="shared" si="382"/>
        <v>7020012</v>
      </c>
    </row>
    <row r="5262" spans="1:10" s="3" customFormat="1">
      <c r="B5262" s="3" t="s">
        <v>2154</v>
      </c>
      <c r="C5262" s="8">
        <v>3</v>
      </c>
      <c r="D5262" s="3" t="s">
        <v>2988</v>
      </c>
      <c r="E5262" s="11" t="s">
        <v>1532</v>
      </c>
      <c r="F5262" s="10">
        <v>3.434E-3</v>
      </c>
      <c r="G5262" s="12">
        <f t="shared" si="383"/>
        <v>988</v>
      </c>
      <c r="H5262" s="13">
        <f t="shared" si="384"/>
        <v>494</v>
      </c>
      <c r="I5262" s="12">
        <f t="shared" si="385"/>
        <v>494</v>
      </c>
      <c r="J5262" s="3" t="str">
        <f t="shared" si="382"/>
        <v>7030859</v>
      </c>
    </row>
    <row r="5263" spans="1:10" s="3" customFormat="1">
      <c r="A5263" s="3" t="s">
        <v>6269</v>
      </c>
      <c r="B5263" s="3" t="s">
        <v>2154</v>
      </c>
      <c r="C5263" s="8">
        <v>3</v>
      </c>
      <c r="D5263" s="3" t="s">
        <v>2422</v>
      </c>
      <c r="E5263" s="11" t="s">
        <v>485</v>
      </c>
      <c r="F5263" s="10">
        <v>0</v>
      </c>
      <c r="G5263" s="12">
        <f t="shared" si="383"/>
        <v>0</v>
      </c>
      <c r="H5263" s="13">
        <f t="shared" si="384"/>
        <v>0</v>
      </c>
      <c r="I5263" s="12">
        <f t="shared" si="385"/>
        <v>0</v>
      </c>
      <c r="J5263" s="3" t="str">
        <f t="shared" si="382"/>
        <v>7030860</v>
      </c>
    </row>
    <row r="5264" spans="1:10" s="3" customFormat="1">
      <c r="B5264" s="3" t="s">
        <v>2154</v>
      </c>
      <c r="C5264" s="8">
        <v>3</v>
      </c>
      <c r="D5264" s="3" t="s">
        <v>2987</v>
      </c>
      <c r="E5264" s="11" t="s">
        <v>1533</v>
      </c>
      <c r="F5264" s="10">
        <v>3.6953E-2</v>
      </c>
      <c r="G5264" s="12">
        <f t="shared" si="383"/>
        <v>10632</v>
      </c>
      <c r="H5264" s="13">
        <f t="shared" si="384"/>
        <v>5316</v>
      </c>
      <c r="I5264" s="12">
        <f t="shared" si="385"/>
        <v>5316</v>
      </c>
      <c r="J5264" s="3" t="str">
        <f t="shared" si="382"/>
        <v>7030420</v>
      </c>
    </row>
    <row r="5265" spans="1:10" s="3" customFormat="1">
      <c r="B5265" s="3" t="s">
        <v>2154</v>
      </c>
      <c r="C5265" s="8">
        <v>4</v>
      </c>
      <c r="D5265" s="3" t="s">
        <v>2586</v>
      </c>
      <c r="E5265" s="11" t="s">
        <v>763</v>
      </c>
      <c r="F5265" s="10">
        <v>2.3968E-2</v>
      </c>
      <c r="G5265" s="9">
        <f t="shared" si="383"/>
        <v>6896</v>
      </c>
      <c r="H5265" s="11">
        <f t="shared" si="384"/>
        <v>3448</v>
      </c>
      <c r="I5265" s="9">
        <f t="shared" si="385"/>
        <v>3448</v>
      </c>
      <c r="J5265" s="3" t="str">
        <f t="shared" si="382"/>
        <v>7043455</v>
      </c>
    </row>
    <row r="5266" spans="1:10" s="3" customFormat="1">
      <c r="B5266" s="3" t="s">
        <v>2154</v>
      </c>
      <c r="C5266" s="8">
        <v>4</v>
      </c>
      <c r="D5266" s="3" t="s">
        <v>2586</v>
      </c>
      <c r="E5266" s="11" t="s">
        <v>28</v>
      </c>
      <c r="F5266" s="11"/>
      <c r="G5266" s="14">
        <v>0.41226600000000002</v>
      </c>
      <c r="H5266" s="11"/>
      <c r="I5266" s="11"/>
      <c r="J5266" s="3" t="str">
        <f t="shared" si="382"/>
        <v>7043455</v>
      </c>
    </row>
    <row r="5267" spans="1:10" s="3" customFormat="1">
      <c r="B5267" s="3" t="s">
        <v>2154</v>
      </c>
      <c r="C5267" s="8">
        <v>4</v>
      </c>
      <c r="D5267" s="3" t="s">
        <v>2586</v>
      </c>
      <c r="E5267" s="11" t="s">
        <v>29</v>
      </c>
      <c r="F5267" s="11"/>
      <c r="G5267" s="15">
        <f>ROUND(G5265*G5266,0)</f>
        <v>2843</v>
      </c>
      <c r="H5267" s="16">
        <f>ROUND(G5267/2,0)</f>
        <v>1422</v>
      </c>
      <c r="I5267" s="15">
        <f>G5267-H5267</f>
        <v>1421</v>
      </c>
      <c r="J5267" s="3" t="str">
        <f t="shared" si="382"/>
        <v>7043455</v>
      </c>
    </row>
    <row r="5268" spans="1:10" s="3" customFormat="1">
      <c r="B5268" s="3" t="s">
        <v>2154</v>
      </c>
      <c r="C5268" s="8">
        <v>4</v>
      </c>
      <c r="D5268" s="3" t="s">
        <v>2586</v>
      </c>
      <c r="E5268" s="11" t="s">
        <v>30</v>
      </c>
      <c r="F5268" s="11"/>
      <c r="G5268" s="12">
        <f>+G5265-G5267</f>
        <v>4053</v>
      </c>
      <c r="H5268" s="13">
        <f>ROUND(G5268/2,0)</f>
        <v>2027</v>
      </c>
      <c r="I5268" s="12">
        <f>G5268-H5268</f>
        <v>2026</v>
      </c>
      <c r="J5268" s="3" t="str">
        <f t="shared" si="382"/>
        <v>7043455</v>
      </c>
    </row>
    <row r="5269" spans="1:10" s="128" customFormat="1" ht="15.75">
      <c r="B5269" s="128" t="s">
        <v>2154</v>
      </c>
      <c r="C5269" s="129">
        <v>4</v>
      </c>
      <c r="D5269" t="s">
        <v>5620</v>
      </c>
      <c r="E5269" s="131" t="s">
        <v>1534</v>
      </c>
      <c r="F5269" s="133">
        <v>0.67035400000000001</v>
      </c>
      <c r="G5269" s="132">
        <f>ROUND(G$3*F5269,0)</f>
        <v>192876</v>
      </c>
      <c r="H5269" s="131">
        <f>ROUND(G5269/2,0)</f>
        <v>96438</v>
      </c>
      <c r="I5269" s="132">
        <f>G5269-H5269</f>
        <v>96438</v>
      </c>
      <c r="J5269" s="128" t="str">
        <f t="shared" si="382"/>
        <v>7046995</v>
      </c>
    </row>
    <row r="5270" spans="1:10" s="3" customFormat="1" ht="15.75">
      <c r="B5270" s="3" t="s">
        <v>2154</v>
      </c>
      <c r="C5270" s="8">
        <v>4</v>
      </c>
      <c r="D5270" t="s">
        <v>5620</v>
      </c>
      <c r="E5270" s="11" t="s">
        <v>28</v>
      </c>
      <c r="F5270" s="11"/>
      <c r="G5270" s="14">
        <v>0.51127999999999996</v>
      </c>
      <c r="H5270" s="11"/>
      <c r="I5270" s="11"/>
      <c r="J5270" s="3" t="str">
        <f t="shared" si="382"/>
        <v>7046995</v>
      </c>
    </row>
    <row r="5271" spans="1:10" s="3" customFormat="1" ht="15.75">
      <c r="B5271" s="3" t="s">
        <v>2154</v>
      </c>
      <c r="C5271" s="8">
        <v>4</v>
      </c>
      <c r="D5271" t="s">
        <v>5620</v>
      </c>
      <c r="E5271" s="11" t="s">
        <v>29</v>
      </c>
      <c r="F5271" s="11"/>
      <c r="G5271" s="15">
        <f>ROUND(G5269*G5270,0)</f>
        <v>98614</v>
      </c>
      <c r="H5271" s="16">
        <f>ROUND(G5271/2,0)</f>
        <v>49307</v>
      </c>
      <c r="I5271" s="15">
        <f>G5271-H5271</f>
        <v>49307</v>
      </c>
      <c r="J5271" s="3" t="str">
        <f t="shared" si="382"/>
        <v>7046995</v>
      </c>
    </row>
    <row r="5272" spans="1:10" s="3" customFormat="1" ht="15.75">
      <c r="B5272" s="3" t="s">
        <v>2154</v>
      </c>
      <c r="C5272" s="8">
        <v>4</v>
      </c>
      <c r="D5272" t="s">
        <v>5620</v>
      </c>
      <c r="E5272" s="11" t="s">
        <v>30</v>
      </c>
      <c r="F5272" s="11"/>
      <c r="G5272" s="12">
        <f>+G5269-G5271</f>
        <v>94262</v>
      </c>
      <c r="H5272" s="13">
        <f>ROUND(G5272/2,0)</f>
        <v>47131</v>
      </c>
      <c r="I5272" s="12">
        <f>G5272-H5272</f>
        <v>47131</v>
      </c>
      <c r="J5272" s="3" t="str">
        <f t="shared" si="382"/>
        <v>7046995</v>
      </c>
    </row>
    <row r="5273" spans="1:10" s="3" customFormat="1">
      <c r="B5273" s="3" t="s">
        <v>2154</v>
      </c>
      <c r="C5273" s="8">
        <v>5</v>
      </c>
      <c r="D5273" s="3" t="s">
        <v>2745</v>
      </c>
      <c r="E5273" s="11" t="s">
        <v>1535</v>
      </c>
      <c r="F5273" s="10">
        <v>6.3E-5</v>
      </c>
      <c r="G5273" s="120">
        <f>ROUND(G$3*F5273,0)</f>
        <v>18</v>
      </c>
      <c r="H5273" s="120">
        <f>ROUND(G5273/2,0)</f>
        <v>9</v>
      </c>
      <c r="I5273" s="120">
        <f>G5273-H5273</f>
        <v>9</v>
      </c>
      <c r="J5273" s="3" t="str">
        <f t="shared" si="382"/>
        <v>7050201</v>
      </c>
    </row>
    <row r="5274" spans="1:10" s="3" customFormat="1">
      <c r="B5274" s="3" t="s">
        <v>2154</v>
      </c>
      <c r="C5274" s="8">
        <v>5</v>
      </c>
      <c r="D5274" s="3" t="s">
        <v>2699</v>
      </c>
      <c r="E5274" s="11" t="s">
        <v>1536</v>
      </c>
      <c r="F5274" s="10">
        <v>2.9629999999999379E-3</v>
      </c>
      <c r="G5274" s="120">
        <f>+G5220-SUM(G5221:G5222)-SUM(G5227:G5265)-G5269-G5273</f>
        <v>-157091</v>
      </c>
      <c r="H5274" s="120">
        <f>ROUND(G5274/2,0)</f>
        <v>-78546</v>
      </c>
      <c r="I5274" s="120">
        <f>G5274-H5274</f>
        <v>-78545</v>
      </c>
      <c r="J5274" s="3" t="str">
        <f t="shared" si="382"/>
        <v>7050202</v>
      </c>
    </row>
    <row r="5275" spans="1:10" s="3" customFormat="1">
      <c r="A5275" s="3" t="s">
        <v>6269</v>
      </c>
      <c r="B5275" s="3" t="s">
        <v>2154</v>
      </c>
      <c r="C5275" s="8">
        <v>6</v>
      </c>
      <c r="D5275" s="3" t="s">
        <v>6267</v>
      </c>
      <c r="E5275" s="11" t="s">
        <v>488</v>
      </c>
      <c r="F5275" s="10">
        <v>0</v>
      </c>
      <c r="G5275" s="120">
        <f>ROUND(G$3*F5275,0)</f>
        <v>0</v>
      </c>
      <c r="H5275" s="120">
        <f>ROUND(G5275/2,0)</f>
        <v>0</v>
      </c>
      <c r="I5275" s="120">
        <f>G5275-H5275</f>
        <v>0</v>
      </c>
      <c r="J5275" s="3" t="str">
        <f t="shared" si="382"/>
        <v>706XXXX</v>
      </c>
    </row>
    <row r="5276" spans="1:10" s="3" customFormat="1">
      <c r="B5276" s="3" t="s">
        <v>2154</v>
      </c>
      <c r="C5276" s="8">
        <v>0</v>
      </c>
      <c r="D5276" s="125" t="s">
        <v>2187</v>
      </c>
      <c r="E5276" s="28" t="s">
        <v>288</v>
      </c>
      <c r="F5276" s="10">
        <v>1</v>
      </c>
      <c r="G5276" s="12">
        <f>+G5221+SUM(G5224:G5264)+SUM(G5267:G5268)+SUM(G5271:G5275)</f>
        <v>129781</v>
      </c>
      <c r="H5276" s="12">
        <f>+H5221+SUM(H5224:H5264)+SUM(H5267:H5268)+SUM(H5271:H5275)</f>
        <v>64897</v>
      </c>
      <c r="I5276" s="12">
        <f>+I5221+SUM(I5224:I5264)+SUM(I5267:I5268)+SUM(I5271:I5275)</f>
        <v>64884</v>
      </c>
      <c r="J5276" s="3" t="str">
        <f t="shared" si="382"/>
        <v>7000000</v>
      </c>
    </row>
    <row r="5277" spans="1:10" s="3" customFormat="1">
      <c r="B5277" s="3" t="s">
        <v>2154</v>
      </c>
      <c r="C5277" s="8">
        <v>0</v>
      </c>
      <c r="D5277" s="3" t="s">
        <v>2187</v>
      </c>
      <c r="E5277" s="18" t="s">
        <v>38</v>
      </c>
      <c r="G5277" s="19">
        <f>+G5221</f>
        <v>390</v>
      </c>
      <c r="H5277" s="19">
        <f>+H5221</f>
        <v>195</v>
      </c>
      <c r="I5277" s="19">
        <f>+I5221</f>
        <v>195</v>
      </c>
      <c r="J5277" s="3" t="str">
        <f t="shared" si="382"/>
        <v>7000000</v>
      </c>
    </row>
    <row r="5278" spans="1:10" s="3" customFormat="1">
      <c r="B5278" s="3" t="s">
        <v>2154</v>
      </c>
      <c r="C5278" s="8">
        <v>0</v>
      </c>
      <c r="D5278" s="3" t="s">
        <v>2187</v>
      </c>
      <c r="E5278" s="2" t="s">
        <v>39</v>
      </c>
      <c r="G5278" s="19">
        <f>+G5224</f>
        <v>12693</v>
      </c>
      <c r="H5278" s="19">
        <f>+H5224</f>
        <v>6347</v>
      </c>
      <c r="I5278" s="19">
        <f>+I5224</f>
        <v>6346</v>
      </c>
      <c r="J5278" s="3" t="str">
        <f t="shared" si="382"/>
        <v>7000000</v>
      </c>
    </row>
    <row r="5279" spans="1:10" s="3" customFormat="1">
      <c r="B5279" s="3" t="s">
        <v>2154</v>
      </c>
      <c r="C5279" s="8">
        <v>0</v>
      </c>
      <c r="D5279" s="3" t="s">
        <v>2187</v>
      </c>
      <c r="E5279" s="2" t="s">
        <v>40</v>
      </c>
      <c r="G5279" s="19">
        <f>+G5267+G5271</f>
        <v>101457</v>
      </c>
      <c r="H5279" s="19">
        <f>+H5267+H5271</f>
        <v>50729</v>
      </c>
      <c r="I5279" s="19">
        <f>+I5267+I5271</f>
        <v>50728</v>
      </c>
      <c r="J5279" s="3" t="str">
        <f t="shared" si="382"/>
        <v>7000000</v>
      </c>
    </row>
    <row r="5280" spans="1:10" s="3" customFormat="1">
      <c r="B5280" s="3" t="s">
        <v>2154</v>
      </c>
      <c r="C5280" s="8">
        <v>0</v>
      </c>
      <c r="D5280" s="125" t="s">
        <v>2187</v>
      </c>
      <c r="E5280" s="18" t="s">
        <v>41</v>
      </c>
      <c r="G5280" s="19">
        <f>+G5276-G5277-G5278-G5279</f>
        <v>15241</v>
      </c>
      <c r="H5280" s="19">
        <f>+H5276-H5277-H5278-H5279</f>
        <v>7626</v>
      </c>
      <c r="I5280" s="19">
        <f>+I5276-I5277-I5278-I5279</f>
        <v>7615</v>
      </c>
      <c r="J5280" s="3" t="str">
        <f t="shared" si="382"/>
        <v>7000000</v>
      </c>
    </row>
    <row r="5281" spans="2:10" ht="15.75">
      <c r="B5281" s="3" t="s">
        <v>2186</v>
      </c>
      <c r="D5281" t="s">
        <v>2186</v>
      </c>
      <c r="E5281">
        <v>0</v>
      </c>
      <c r="G5281"/>
      <c r="H5281"/>
      <c r="I5281"/>
      <c r="J5281" s="3" t="str">
        <f t="shared" si="382"/>
        <v/>
      </c>
    </row>
    <row r="5282" spans="2:10" s="3" customFormat="1">
      <c r="C5282" s="1"/>
      <c r="D5282" s="3" t="s">
        <v>2186</v>
      </c>
      <c r="E5282" s="2" t="s">
        <v>1537</v>
      </c>
      <c r="J5282" s="3" t="str">
        <f t="shared" si="382"/>
        <v/>
      </c>
    </row>
    <row r="5283" spans="2:10" s="3" customFormat="1" ht="45">
      <c r="B5283" s="3" t="s">
        <v>2186</v>
      </c>
      <c r="C5283" s="1"/>
      <c r="D5283" s="3" t="s">
        <v>2186</v>
      </c>
      <c r="E5283" s="1">
        <v>0</v>
      </c>
      <c r="F5283" s="6" t="s">
        <v>1</v>
      </c>
      <c r="G5283" s="60">
        <f>'Allocation Worksheet'!H5283</f>
        <v>0</v>
      </c>
      <c r="H5283" s="60">
        <f>'Allocation Worksheet'!H5284</f>
        <v>0</v>
      </c>
      <c r="I5283" s="60">
        <f>'Allocation Worksheet'!H5285</f>
        <v>0</v>
      </c>
      <c r="J5283" s="3" t="str">
        <f t="shared" si="382"/>
        <v/>
      </c>
    </row>
    <row r="5284" spans="2:10" s="3" customFormat="1">
      <c r="C5284" s="7" t="s">
        <v>2087</v>
      </c>
      <c r="D5284" s="3" t="s">
        <v>2186</v>
      </c>
      <c r="E5284" s="7" t="s">
        <v>3</v>
      </c>
      <c r="F5284" s="10"/>
      <c r="G5284" s="9">
        <f>'Allocation Worksheet'!$D$74</f>
        <v>3345317</v>
      </c>
      <c r="H5284" s="11"/>
      <c r="I5284" s="11"/>
      <c r="J5284" s="3" t="str">
        <f t="shared" si="382"/>
        <v>UT</v>
      </c>
    </row>
    <row r="5285" spans="2:10" s="3" customFormat="1">
      <c r="B5285" s="3" t="s">
        <v>2155</v>
      </c>
      <c r="C5285" s="8">
        <v>0</v>
      </c>
      <c r="D5285" s="3" t="s">
        <v>2187</v>
      </c>
      <c r="E5285" s="11" t="s">
        <v>4</v>
      </c>
      <c r="F5285" s="10">
        <v>6.6399999999999999E-4</v>
      </c>
      <c r="G5285" s="12">
        <f>ROUND(G$3*F5285,0)</f>
        <v>191</v>
      </c>
      <c r="H5285" s="13">
        <f>ROUND(G5285/2,0)</f>
        <v>96</v>
      </c>
      <c r="I5285" s="12">
        <f>G5285-H5285</f>
        <v>95</v>
      </c>
      <c r="J5285" s="3" t="str">
        <f t="shared" si="382"/>
        <v>7100000</v>
      </c>
    </row>
    <row r="5286" spans="2:10" s="3" customFormat="1">
      <c r="B5286" s="3" t="s">
        <v>2155</v>
      </c>
      <c r="C5286" s="8">
        <v>1</v>
      </c>
      <c r="D5286" s="3" t="s">
        <v>2187</v>
      </c>
      <c r="E5286" s="11" t="s">
        <v>1538</v>
      </c>
      <c r="F5286" s="10">
        <v>0.20678099999999999</v>
      </c>
      <c r="G5286" s="9">
        <f>ROUND(G$3*F5286,0)</f>
        <v>59496</v>
      </c>
      <c r="H5286" s="11">
        <f>ROUND(G5286/2,0)</f>
        <v>29748</v>
      </c>
      <c r="I5286" s="9">
        <f>G5286-H5286</f>
        <v>29748</v>
      </c>
      <c r="J5286" s="3" t="str">
        <f t="shared" si="382"/>
        <v>7110000</v>
      </c>
    </row>
    <row r="5287" spans="2:10" s="3" customFormat="1">
      <c r="B5287" s="3" t="s">
        <v>2155</v>
      </c>
      <c r="C5287" s="8">
        <v>1</v>
      </c>
      <c r="D5287" s="3" t="s">
        <v>2187</v>
      </c>
      <c r="E5287" s="11" t="s">
        <v>6</v>
      </c>
      <c r="F5287" s="11"/>
      <c r="G5287" s="14">
        <v>0.443519</v>
      </c>
      <c r="H5287" s="11"/>
      <c r="I5287" s="11"/>
      <c r="J5287" s="3" t="str">
        <f t="shared" si="382"/>
        <v>7110000</v>
      </c>
    </row>
    <row r="5288" spans="2:10" s="3" customFormat="1">
      <c r="B5288" s="3" t="s">
        <v>2155</v>
      </c>
      <c r="C5288" s="8">
        <v>1</v>
      </c>
      <c r="D5288" s="3" t="s">
        <v>2187</v>
      </c>
      <c r="E5288" s="11" t="s">
        <v>7</v>
      </c>
      <c r="F5288" s="11"/>
      <c r="G5288" s="15">
        <f>ROUND(G5286*G5287,0)</f>
        <v>26388</v>
      </c>
      <c r="H5288" s="16">
        <f>ROUND(G5288/2,0)</f>
        <v>13194</v>
      </c>
      <c r="I5288" s="15">
        <f>G5288-H5288</f>
        <v>13194</v>
      </c>
      <c r="J5288" s="3" t="str">
        <f t="shared" si="382"/>
        <v>7110000</v>
      </c>
    </row>
    <row r="5289" spans="2:10" s="3" customFormat="1">
      <c r="B5289" s="3" t="s">
        <v>2155</v>
      </c>
      <c r="C5289" s="8">
        <v>1</v>
      </c>
      <c r="D5289" s="3" t="s">
        <v>2187</v>
      </c>
      <c r="E5289" s="11" t="s">
        <v>8</v>
      </c>
      <c r="F5289" s="11"/>
      <c r="G5289" s="12">
        <f>+G5286-G5288</f>
        <v>33108</v>
      </c>
      <c r="H5289" s="13">
        <f>ROUND(G5289/2,0)</f>
        <v>16554</v>
      </c>
      <c r="I5289" s="12">
        <f>G5289-H5289</f>
        <v>16554</v>
      </c>
      <c r="J5289" s="3" t="str">
        <f t="shared" si="382"/>
        <v>7110000</v>
      </c>
    </row>
    <row r="5290" spans="2:10" s="3" customFormat="1">
      <c r="B5290" s="3" t="s">
        <v>2155</v>
      </c>
      <c r="C5290" s="8">
        <v>2</v>
      </c>
      <c r="D5290" s="3" t="s">
        <v>2188</v>
      </c>
      <c r="E5290" s="11" t="s">
        <v>1539</v>
      </c>
      <c r="F5290" s="11"/>
      <c r="G5290" s="9"/>
      <c r="H5290" s="11"/>
      <c r="I5290" s="11"/>
      <c r="J5290" s="3" t="str">
        <f t="shared" si="382"/>
        <v>7120001</v>
      </c>
    </row>
    <row r="5291" spans="2:10" s="3" customFormat="1">
      <c r="B5291" s="3" t="s">
        <v>2155</v>
      </c>
      <c r="C5291" s="8">
        <v>2</v>
      </c>
      <c r="D5291" s="3" t="s">
        <v>2188</v>
      </c>
      <c r="E5291" s="11" t="s">
        <v>10</v>
      </c>
      <c r="F5291" s="10">
        <v>9.5299999999999996E-4</v>
      </c>
      <c r="G5291" s="12">
        <f>ROUND(G$3*F5291,0)</f>
        <v>274</v>
      </c>
      <c r="H5291" s="13">
        <f>ROUND(G5291/2,0)</f>
        <v>137</v>
      </c>
      <c r="I5291" s="12">
        <f>G5291-H5291</f>
        <v>137</v>
      </c>
      <c r="J5291" s="3" t="str">
        <f t="shared" si="382"/>
        <v>7120001</v>
      </c>
    </row>
    <row r="5292" spans="2:10" s="3" customFormat="1">
      <c r="B5292" s="3" t="s">
        <v>2155</v>
      </c>
      <c r="C5292" s="8">
        <v>2</v>
      </c>
      <c r="D5292" s="3" t="s">
        <v>2188</v>
      </c>
      <c r="E5292" s="11" t="s">
        <v>11</v>
      </c>
      <c r="F5292" s="10">
        <v>5.1699999999999999E-4</v>
      </c>
      <c r="G5292" s="12">
        <f>ROUND(G$3*F5292,0)</f>
        <v>149</v>
      </c>
      <c r="H5292" s="13">
        <f>ROUND(G5292/2,0)</f>
        <v>75</v>
      </c>
      <c r="I5292" s="12">
        <f>G5292-H5292</f>
        <v>74</v>
      </c>
      <c r="J5292" s="3" t="str">
        <f t="shared" si="382"/>
        <v>7120001</v>
      </c>
    </row>
    <row r="5293" spans="2:10" s="3" customFormat="1">
      <c r="B5293" s="3" t="s">
        <v>2155</v>
      </c>
      <c r="C5293" s="8">
        <v>2</v>
      </c>
      <c r="D5293" s="3" t="s">
        <v>2189</v>
      </c>
      <c r="E5293" s="11" t="s">
        <v>81</v>
      </c>
      <c r="F5293" s="11"/>
      <c r="G5293" s="9"/>
      <c r="H5293" s="11"/>
      <c r="I5293" s="11"/>
      <c r="J5293" s="3" t="str">
        <f t="shared" si="382"/>
        <v>7120002</v>
      </c>
    </row>
    <row r="5294" spans="2:10" s="3" customFormat="1">
      <c r="B5294" s="3" t="s">
        <v>2155</v>
      </c>
      <c r="C5294" s="8">
        <v>2</v>
      </c>
      <c r="D5294" s="3" t="s">
        <v>2189</v>
      </c>
      <c r="E5294" s="11" t="s">
        <v>10</v>
      </c>
      <c r="F5294" s="10">
        <v>3.4E-5</v>
      </c>
      <c r="G5294" s="12">
        <f>ROUND(G$3*F5294,0)</f>
        <v>10</v>
      </c>
      <c r="H5294" s="13">
        <f>ROUND(G5294/2,0)</f>
        <v>5</v>
      </c>
      <c r="I5294" s="12">
        <f>G5294-H5294</f>
        <v>5</v>
      </c>
      <c r="J5294" s="3" t="str">
        <f t="shared" si="382"/>
        <v>7120002</v>
      </c>
    </row>
    <row r="5295" spans="2:10" s="3" customFormat="1">
      <c r="B5295" s="3" t="s">
        <v>2155</v>
      </c>
      <c r="C5295" s="8">
        <v>2</v>
      </c>
      <c r="D5295" s="3" t="s">
        <v>2189</v>
      </c>
      <c r="E5295" s="11" t="s">
        <v>11</v>
      </c>
      <c r="F5295" s="10">
        <v>4.8999999999999998E-5</v>
      </c>
      <c r="G5295" s="12">
        <f>ROUND(G$3*F5295,0)</f>
        <v>14</v>
      </c>
      <c r="H5295" s="13">
        <f>ROUND(G5295/2,0)</f>
        <v>7</v>
      </c>
      <c r="I5295" s="12">
        <f>G5295-H5295</f>
        <v>7</v>
      </c>
      <c r="J5295" s="3" t="str">
        <f t="shared" si="382"/>
        <v>7120002</v>
      </c>
    </row>
    <row r="5296" spans="2:10" s="3" customFormat="1">
      <c r="B5296" s="3" t="s">
        <v>2155</v>
      </c>
      <c r="C5296" s="8">
        <v>2</v>
      </c>
      <c r="D5296" s="3" t="s">
        <v>2190</v>
      </c>
      <c r="E5296" s="11" t="s">
        <v>85</v>
      </c>
      <c r="F5296" s="11"/>
      <c r="G5296" s="9"/>
      <c r="H5296" s="11"/>
      <c r="I5296" s="11"/>
      <c r="J5296" s="3" t="str">
        <f t="shared" si="382"/>
        <v>7120003</v>
      </c>
    </row>
    <row r="5297" spans="1:10" s="3" customFormat="1">
      <c r="B5297" s="3" t="s">
        <v>2155</v>
      </c>
      <c r="C5297" s="8">
        <v>2</v>
      </c>
      <c r="D5297" s="3" t="s">
        <v>2190</v>
      </c>
      <c r="E5297" s="11" t="s">
        <v>10</v>
      </c>
      <c r="F5297" s="10">
        <v>2.483E-3</v>
      </c>
      <c r="G5297" s="12">
        <f>ROUND(G$3*F5297,0)</f>
        <v>714</v>
      </c>
      <c r="H5297" s="13">
        <f>ROUND(G5297/2,0)</f>
        <v>357</v>
      </c>
      <c r="I5297" s="12">
        <f>G5297-H5297</f>
        <v>357</v>
      </c>
      <c r="J5297" s="3" t="str">
        <f t="shared" si="382"/>
        <v>7120003</v>
      </c>
    </row>
    <row r="5298" spans="1:10" s="3" customFormat="1">
      <c r="B5298" s="3" t="s">
        <v>2155</v>
      </c>
      <c r="C5298" s="8">
        <v>2</v>
      </c>
      <c r="D5298" s="3" t="s">
        <v>2190</v>
      </c>
      <c r="E5298" s="11" t="s">
        <v>11</v>
      </c>
      <c r="F5298" s="10">
        <v>7.3200000000000001E-4</v>
      </c>
      <c r="G5298" s="12">
        <f>ROUND(G$3*F5298,0)</f>
        <v>211</v>
      </c>
      <c r="H5298" s="13">
        <f>ROUND(G5298/2,0)</f>
        <v>106</v>
      </c>
      <c r="I5298" s="12">
        <f>G5298-H5298</f>
        <v>105</v>
      </c>
      <c r="J5298" s="3" t="str">
        <f t="shared" si="382"/>
        <v>7120003</v>
      </c>
    </row>
    <row r="5299" spans="1:10" s="3" customFormat="1">
      <c r="B5299" s="3" t="s">
        <v>2155</v>
      </c>
      <c r="C5299" s="8">
        <v>2</v>
      </c>
      <c r="D5299" s="3" t="s">
        <v>2191</v>
      </c>
      <c r="E5299" s="11" t="s">
        <v>855</v>
      </c>
      <c r="F5299" s="11"/>
      <c r="G5299" s="9"/>
      <c r="H5299" s="11"/>
      <c r="I5299" s="11"/>
      <c r="J5299" s="3" t="str">
        <f t="shared" si="382"/>
        <v>7120004</v>
      </c>
    </row>
    <row r="5300" spans="1:10" s="3" customFormat="1">
      <c r="B5300" s="3" t="s">
        <v>2155</v>
      </c>
      <c r="C5300" s="8">
        <v>2</v>
      </c>
      <c r="D5300" s="3" t="s">
        <v>2191</v>
      </c>
      <c r="E5300" s="11" t="s">
        <v>10</v>
      </c>
      <c r="F5300" s="10">
        <v>5.3799999999999996E-4</v>
      </c>
      <c r="G5300" s="12">
        <f>ROUND(G$3*F5300,0)</f>
        <v>155</v>
      </c>
      <c r="H5300" s="13">
        <f>ROUND(G5300/2,0)</f>
        <v>78</v>
      </c>
      <c r="I5300" s="12">
        <f>G5300-H5300</f>
        <v>77</v>
      </c>
      <c r="J5300" s="3" t="str">
        <f t="shared" si="382"/>
        <v>7120004</v>
      </c>
    </row>
    <row r="5301" spans="1:10" s="3" customFormat="1">
      <c r="B5301" s="3" t="s">
        <v>2155</v>
      </c>
      <c r="C5301" s="8">
        <v>2</v>
      </c>
      <c r="D5301" s="3" t="s">
        <v>2191</v>
      </c>
      <c r="E5301" s="11" t="s">
        <v>11</v>
      </c>
      <c r="F5301" s="10">
        <v>2.5000000000000001E-4</v>
      </c>
      <c r="G5301" s="12">
        <f>ROUND(G$3*F5301,0)</f>
        <v>72</v>
      </c>
      <c r="H5301" s="13">
        <f>ROUND(G5301/2,0)</f>
        <v>36</v>
      </c>
      <c r="I5301" s="12">
        <f>G5301-H5301</f>
        <v>36</v>
      </c>
      <c r="J5301" s="3" t="str">
        <f t="shared" si="382"/>
        <v>7120004</v>
      </c>
    </row>
    <row r="5302" spans="1:10" s="3" customFormat="1">
      <c r="B5302" s="3" t="s">
        <v>2155</v>
      </c>
      <c r="C5302" s="8">
        <v>2</v>
      </c>
      <c r="D5302" s="3" t="s">
        <v>2192</v>
      </c>
      <c r="E5302" s="11" t="s">
        <v>1540</v>
      </c>
      <c r="F5302" s="11"/>
      <c r="G5302" s="9"/>
      <c r="H5302" s="11"/>
      <c r="I5302" s="11"/>
      <c r="J5302" s="3" t="str">
        <f t="shared" si="382"/>
        <v>7120005</v>
      </c>
    </row>
    <row r="5303" spans="1:10" s="3" customFormat="1">
      <c r="B5303" s="3" t="s">
        <v>2155</v>
      </c>
      <c r="C5303" s="8">
        <v>2</v>
      </c>
      <c r="D5303" s="3" t="s">
        <v>2192</v>
      </c>
      <c r="E5303" s="11" t="s">
        <v>10</v>
      </c>
      <c r="F5303" s="10">
        <v>2.22E-4</v>
      </c>
      <c r="G5303" s="12">
        <f>ROUND(G$3*F5303,0)</f>
        <v>64</v>
      </c>
      <c r="H5303" s="13">
        <f>ROUND(G5303/2,0)</f>
        <v>32</v>
      </c>
      <c r="I5303" s="12">
        <f>G5303-H5303</f>
        <v>32</v>
      </c>
      <c r="J5303" s="3" t="str">
        <f t="shared" si="382"/>
        <v>7120005</v>
      </c>
    </row>
    <row r="5304" spans="1:10" s="3" customFormat="1">
      <c r="B5304" s="3" t="s">
        <v>2155</v>
      </c>
      <c r="C5304" s="8">
        <v>2</v>
      </c>
      <c r="D5304" s="3" t="s">
        <v>2192</v>
      </c>
      <c r="E5304" s="11" t="s">
        <v>11</v>
      </c>
      <c r="F5304" s="10">
        <v>1.374E-3</v>
      </c>
      <c r="G5304" s="12">
        <f>ROUND(G$3*F5304,0)</f>
        <v>395</v>
      </c>
      <c r="H5304" s="13">
        <f>ROUND(G5304/2,0)</f>
        <v>198</v>
      </c>
      <c r="I5304" s="12">
        <f>G5304-H5304</f>
        <v>197</v>
      </c>
      <c r="J5304" s="3" t="str">
        <f t="shared" si="382"/>
        <v>7120005</v>
      </c>
    </row>
    <row r="5305" spans="1:10" s="3" customFormat="1">
      <c r="B5305" s="3" t="s">
        <v>2155</v>
      </c>
      <c r="C5305" s="8">
        <v>2</v>
      </c>
      <c r="D5305" s="3" t="s">
        <v>2193</v>
      </c>
      <c r="E5305" s="11" t="s">
        <v>181</v>
      </c>
      <c r="F5305" s="11"/>
      <c r="G5305" s="9"/>
      <c r="H5305" s="11"/>
      <c r="I5305" s="11"/>
      <c r="J5305" s="3" t="str">
        <f t="shared" si="382"/>
        <v>7120006</v>
      </c>
    </row>
    <row r="5306" spans="1:10" s="3" customFormat="1">
      <c r="B5306" s="3" t="s">
        <v>2155</v>
      </c>
      <c r="C5306" s="8">
        <v>2</v>
      </c>
      <c r="D5306" s="3" t="s">
        <v>2193</v>
      </c>
      <c r="E5306" s="11" t="s">
        <v>10</v>
      </c>
      <c r="F5306" s="10">
        <v>2.5000000000000001E-5</v>
      </c>
      <c r="G5306" s="12">
        <f>ROUND(G$3*F5306,0)</f>
        <v>7</v>
      </c>
      <c r="H5306" s="13">
        <f>ROUND(G5306/2,0)</f>
        <v>4</v>
      </c>
      <c r="I5306" s="12">
        <f>G5306-H5306</f>
        <v>3</v>
      </c>
      <c r="J5306" s="3" t="str">
        <f t="shared" si="382"/>
        <v>7120006</v>
      </c>
    </row>
    <row r="5307" spans="1:10" s="3" customFormat="1">
      <c r="B5307" s="3" t="s">
        <v>2155</v>
      </c>
      <c r="C5307" s="8">
        <v>2</v>
      </c>
      <c r="D5307" s="3" t="s">
        <v>2193</v>
      </c>
      <c r="E5307" s="11" t="s">
        <v>11</v>
      </c>
      <c r="F5307" s="10">
        <v>1.4E-5</v>
      </c>
      <c r="G5307" s="12">
        <f>ROUND(G$3*F5307,0)</f>
        <v>4</v>
      </c>
      <c r="H5307" s="13">
        <f>ROUND(G5307/2,0)</f>
        <v>2</v>
      </c>
      <c r="I5307" s="12">
        <f>G5307-H5307</f>
        <v>2</v>
      </c>
      <c r="J5307" s="3" t="str">
        <f t="shared" si="382"/>
        <v>7120006</v>
      </c>
    </row>
    <row r="5308" spans="1:10" s="3" customFormat="1">
      <c r="B5308" s="3" t="s">
        <v>2155</v>
      </c>
      <c r="C5308" s="8">
        <v>2</v>
      </c>
      <c r="D5308" s="3" t="s">
        <v>2194</v>
      </c>
      <c r="E5308" s="11" t="s">
        <v>714</v>
      </c>
      <c r="F5308" s="11"/>
      <c r="G5308" s="9"/>
      <c r="H5308" s="11"/>
      <c r="I5308" s="11"/>
      <c r="J5308" s="3" t="str">
        <f t="shared" si="382"/>
        <v>7120007</v>
      </c>
    </row>
    <row r="5309" spans="1:10" s="3" customFormat="1">
      <c r="A5309" s="3" t="s">
        <v>6269</v>
      </c>
      <c r="B5309" s="3" t="s">
        <v>2155</v>
      </c>
      <c r="C5309" s="8">
        <v>2</v>
      </c>
      <c r="D5309" s="3" t="s">
        <v>2194</v>
      </c>
      <c r="E5309" s="11" t="s">
        <v>10</v>
      </c>
      <c r="F5309" s="10">
        <v>0</v>
      </c>
      <c r="G5309" s="12">
        <f>ROUND(G$3*F5309,0)</f>
        <v>0</v>
      </c>
      <c r="H5309" s="13">
        <f>ROUND(G5309/2,0)</f>
        <v>0</v>
      </c>
      <c r="I5309" s="12">
        <f>G5309-H5309</f>
        <v>0</v>
      </c>
      <c r="J5309" s="3" t="str">
        <f t="shared" si="382"/>
        <v>7120007</v>
      </c>
    </row>
    <row r="5310" spans="1:10" s="3" customFormat="1">
      <c r="A5310" s="3" t="s">
        <v>6269</v>
      </c>
      <c r="B5310" s="3" t="s">
        <v>2155</v>
      </c>
      <c r="C5310" s="8">
        <v>2</v>
      </c>
      <c r="D5310" s="3" t="s">
        <v>2194</v>
      </c>
      <c r="E5310" s="11" t="s">
        <v>11</v>
      </c>
      <c r="F5310" s="10">
        <v>0</v>
      </c>
      <c r="G5310" s="12">
        <f>ROUND(G$3*F5310,0)</f>
        <v>0</v>
      </c>
      <c r="H5310" s="13">
        <f>ROUND(G5310/2,0)</f>
        <v>0</v>
      </c>
      <c r="I5310" s="12">
        <f>G5310-H5310</f>
        <v>0</v>
      </c>
      <c r="J5310" s="3" t="str">
        <f t="shared" si="382"/>
        <v>7120007</v>
      </c>
    </row>
    <row r="5311" spans="1:10" s="3" customFormat="1">
      <c r="B5311" s="3" t="s">
        <v>2155</v>
      </c>
      <c r="C5311" s="8">
        <v>2</v>
      </c>
      <c r="D5311" s="3" t="s">
        <v>2195</v>
      </c>
      <c r="E5311" s="11" t="s">
        <v>52</v>
      </c>
      <c r="F5311" s="11"/>
      <c r="G5311" s="9"/>
      <c r="H5311" s="11"/>
      <c r="I5311" s="11"/>
      <c r="J5311" s="3" t="str">
        <f t="shared" si="382"/>
        <v>7120008</v>
      </c>
    </row>
    <row r="5312" spans="1:10" s="3" customFormat="1">
      <c r="B5312" s="3" t="s">
        <v>2155</v>
      </c>
      <c r="C5312" s="8">
        <v>2</v>
      </c>
      <c r="D5312" s="3" t="s">
        <v>2195</v>
      </c>
      <c r="E5312" s="11" t="s">
        <v>10</v>
      </c>
      <c r="F5312" s="10">
        <v>6.9999999999999994E-5</v>
      </c>
      <c r="G5312" s="12">
        <f>ROUND(G$3*F5312,0)</f>
        <v>20</v>
      </c>
      <c r="H5312" s="13">
        <f>ROUND(G5312/2,0)</f>
        <v>10</v>
      </c>
      <c r="I5312" s="12">
        <f>G5312-H5312</f>
        <v>10</v>
      </c>
      <c r="J5312" s="3" t="str">
        <f t="shared" si="382"/>
        <v>7120008</v>
      </c>
    </row>
    <row r="5313" spans="2:10" s="3" customFormat="1">
      <c r="B5313" s="3" t="s">
        <v>2155</v>
      </c>
      <c r="C5313" s="8">
        <v>2</v>
      </c>
      <c r="D5313" s="3" t="s">
        <v>2195</v>
      </c>
      <c r="E5313" s="11" t="s">
        <v>11</v>
      </c>
      <c r="F5313" s="10">
        <v>5.8999999999999998E-5</v>
      </c>
      <c r="G5313" s="12">
        <f>ROUND(G$3*F5313,0)</f>
        <v>17</v>
      </c>
      <c r="H5313" s="13">
        <f>ROUND(G5313/2,0)</f>
        <v>9</v>
      </c>
      <c r="I5313" s="12">
        <f>G5313-H5313</f>
        <v>8</v>
      </c>
      <c r="J5313" s="3" t="str">
        <f t="shared" si="382"/>
        <v>7120008</v>
      </c>
    </row>
    <row r="5314" spans="2:10" s="3" customFormat="1">
      <c r="B5314" s="3" t="s">
        <v>2155</v>
      </c>
      <c r="C5314" s="8">
        <v>2</v>
      </c>
      <c r="D5314" s="3" t="s">
        <v>2196</v>
      </c>
      <c r="E5314" s="11" t="s">
        <v>455</v>
      </c>
      <c r="F5314" s="11"/>
      <c r="G5314" s="9"/>
      <c r="H5314" s="11"/>
      <c r="I5314" s="11"/>
      <c r="J5314" s="3" t="str">
        <f t="shared" si="382"/>
        <v>7120009</v>
      </c>
    </row>
    <row r="5315" spans="2:10" s="3" customFormat="1">
      <c r="B5315" s="3" t="s">
        <v>2155</v>
      </c>
      <c r="C5315" s="8">
        <v>2</v>
      </c>
      <c r="D5315" s="3" t="s">
        <v>2196</v>
      </c>
      <c r="E5315" s="11" t="s">
        <v>10</v>
      </c>
      <c r="F5315" s="10">
        <v>3.5399999999999999E-4</v>
      </c>
      <c r="G5315" s="12">
        <f>ROUND(G$3*F5315,0)</f>
        <v>102</v>
      </c>
      <c r="H5315" s="13">
        <f>ROUND(G5315/2,0)</f>
        <v>51</v>
      </c>
      <c r="I5315" s="12">
        <f>G5315-H5315</f>
        <v>51</v>
      </c>
      <c r="J5315" s="3" t="str">
        <f t="shared" si="382"/>
        <v>7120009</v>
      </c>
    </row>
    <row r="5316" spans="2:10" s="3" customFormat="1">
      <c r="B5316" s="3" t="s">
        <v>2155</v>
      </c>
      <c r="C5316" s="8">
        <v>2</v>
      </c>
      <c r="D5316" s="3" t="s">
        <v>2196</v>
      </c>
      <c r="E5316" s="11" t="s">
        <v>11</v>
      </c>
      <c r="F5316" s="10">
        <v>6.3999999999999997E-5</v>
      </c>
      <c r="G5316" s="12">
        <f>ROUND(G$3*F5316,0)</f>
        <v>18</v>
      </c>
      <c r="H5316" s="13">
        <f>ROUND(G5316/2,0)</f>
        <v>9</v>
      </c>
      <c r="I5316" s="12">
        <f>G5316-H5316</f>
        <v>9</v>
      </c>
      <c r="J5316" s="3" t="str">
        <f t="shared" ref="J5316:J5379" si="386">B5316&amp;C5316&amp;D5316</f>
        <v>7120009</v>
      </c>
    </row>
    <row r="5317" spans="2:10" s="3" customFormat="1">
      <c r="B5317" s="3" t="s">
        <v>2155</v>
      </c>
      <c r="C5317" s="8">
        <v>2</v>
      </c>
      <c r="D5317" s="3" t="s">
        <v>2197</v>
      </c>
      <c r="E5317" s="11" t="s">
        <v>857</v>
      </c>
      <c r="F5317" s="11"/>
      <c r="G5317" s="9"/>
      <c r="H5317" s="11"/>
      <c r="I5317" s="11"/>
      <c r="J5317" s="3" t="str">
        <f t="shared" si="386"/>
        <v>7120010</v>
      </c>
    </row>
    <row r="5318" spans="2:10" s="3" customFormat="1">
      <c r="B5318" s="3" t="s">
        <v>2155</v>
      </c>
      <c r="C5318" s="8">
        <v>2</v>
      </c>
      <c r="D5318" s="3" t="s">
        <v>2197</v>
      </c>
      <c r="E5318" s="11" t="s">
        <v>10</v>
      </c>
      <c r="F5318" s="10">
        <v>1.658E-3</v>
      </c>
      <c r="G5318" s="12">
        <f>ROUND(G$3*F5318,0)</f>
        <v>477</v>
      </c>
      <c r="H5318" s="13">
        <f>ROUND(G5318/2,0)</f>
        <v>239</v>
      </c>
      <c r="I5318" s="12">
        <f>G5318-H5318</f>
        <v>238</v>
      </c>
      <c r="J5318" s="3" t="str">
        <f t="shared" si="386"/>
        <v>7120010</v>
      </c>
    </row>
    <row r="5319" spans="2:10" s="3" customFormat="1">
      <c r="B5319" s="3" t="s">
        <v>2155</v>
      </c>
      <c r="C5319" s="8">
        <v>2</v>
      </c>
      <c r="D5319" s="3" t="s">
        <v>2197</v>
      </c>
      <c r="E5319" s="11" t="s">
        <v>11</v>
      </c>
      <c r="F5319" s="10">
        <v>5.22E-4</v>
      </c>
      <c r="G5319" s="12">
        <f>ROUND(G$3*F5319,0)</f>
        <v>150</v>
      </c>
      <c r="H5319" s="13">
        <f>ROUND(G5319/2,0)</f>
        <v>75</v>
      </c>
      <c r="I5319" s="12">
        <f>G5319-H5319</f>
        <v>75</v>
      </c>
      <c r="J5319" s="3" t="str">
        <f t="shared" si="386"/>
        <v>7120010</v>
      </c>
    </row>
    <row r="5320" spans="2:10" s="3" customFormat="1">
      <c r="B5320" s="3" t="s">
        <v>2155</v>
      </c>
      <c r="C5320" s="8">
        <v>2</v>
      </c>
      <c r="D5320" s="3" t="s">
        <v>2198</v>
      </c>
      <c r="E5320" s="11" t="s">
        <v>1410</v>
      </c>
      <c r="F5320" s="11"/>
      <c r="G5320" s="9"/>
      <c r="H5320" s="11"/>
      <c r="I5320" s="11"/>
      <c r="J5320" s="3" t="str">
        <f t="shared" si="386"/>
        <v>7120011</v>
      </c>
    </row>
    <row r="5321" spans="2:10" s="3" customFormat="1">
      <c r="B5321" s="3" t="s">
        <v>2155</v>
      </c>
      <c r="C5321" s="8">
        <v>2</v>
      </c>
      <c r="D5321" s="3" t="s">
        <v>2198</v>
      </c>
      <c r="E5321" s="11" t="s">
        <v>10</v>
      </c>
      <c r="F5321" s="10">
        <v>4.5529999999999998E-3</v>
      </c>
      <c r="G5321" s="12">
        <f>ROUND(G$3*F5321,0)</f>
        <v>1310</v>
      </c>
      <c r="H5321" s="13">
        <f>ROUND(G5321/2,0)</f>
        <v>655</v>
      </c>
      <c r="I5321" s="12">
        <f>G5321-H5321</f>
        <v>655</v>
      </c>
      <c r="J5321" s="3" t="str">
        <f t="shared" si="386"/>
        <v>7120011</v>
      </c>
    </row>
    <row r="5322" spans="2:10" s="3" customFormat="1">
      <c r="B5322" s="3" t="s">
        <v>2155</v>
      </c>
      <c r="C5322" s="8">
        <v>2</v>
      </c>
      <c r="D5322" s="3" t="s">
        <v>2198</v>
      </c>
      <c r="E5322" s="11" t="s">
        <v>11</v>
      </c>
      <c r="F5322" s="10">
        <v>1.7100000000000001E-4</v>
      </c>
      <c r="G5322" s="12">
        <f>ROUND(G$3*F5322,0)</f>
        <v>49</v>
      </c>
      <c r="H5322" s="13">
        <f>ROUND(G5322/2,0)</f>
        <v>25</v>
      </c>
      <c r="I5322" s="12">
        <f>G5322-H5322</f>
        <v>24</v>
      </c>
      <c r="J5322" s="3" t="str">
        <f t="shared" si="386"/>
        <v>7120011</v>
      </c>
    </row>
    <row r="5323" spans="2:10" s="3" customFormat="1">
      <c r="B5323" s="3" t="s">
        <v>2155</v>
      </c>
      <c r="C5323" s="8">
        <v>2</v>
      </c>
      <c r="D5323" s="3" t="s">
        <v>2199</v>
      </c>
      <c r="E5323" s="11" t="s">
        <v>20</v>
      </c>
      <c r="F5323" s="11"/>
      <c r="G5323" s="9"/>
      <c r="H5323" s="11"/>
      <c r="I5323" s="11"/>
      <c r="J5323" s="3" t="str">
        <f t="shared" si="386"/>
        <v>7120012</v>
      </c>
    </row>
    <row r="5324" spans="2:10" s="3" customFormat="1">
      <c r="B5324" s="3" t="s">
        <v>2155</v>
      </c>
      <c r="C5324" s="8">
        <v>2</v>
      </c>
      <c r="D5324" s="3" t="s">
        <v>2199</v>
      </c>
      <c r="E5324" s="11" t="s">
        <v>10</v>
      </c>
      <c r="F5324" s="10">
        <v>1.2E-4</v>
      </c>
      <c r="G5324" s="12">
        <f>ROUND(G$3*F5324,0)</f>
        <v>35</v>
      </c>
      <c r="H5324" s="13">
        <f>ROUND(G5324/2,0)</f>
        <v>18</v>
      </c>
      <c r="I5324" s="12">
        <f>G5324-H5324</f>
        <v>17</v>
      </c>
      <c r="J5324" s="3" t="str">
        <f t="shared" si="386"/>
        <v>7120012</v>
      </c>
    </row>
    <row r="5325" spans="2:10" s="3" customFormat="1">
      <c r="B5325" s="3" t="s">
        <v>2155</v>
      </c>
      <c r="C5325" s="8">
        <v>2</v>
      </c>
      <c r="D5325" s="3" t="s">
        <v>2199</v>
      </c>
      <c r="E5325" s="11" t="s">
        <v>11</v>
      </c>
      <c r="F5325" s="10">
        <v>9.5000000000000005E-5</v>
      </c>
      <c r="G5325" s="12">
        <f>ROUND(G$3*F5325,0)</f>
        <v>27</v>
      </c>
      <c r="H5325" s="13">
        <f>ROUND(G5325/2,0)</f>
        <v>14</v>
      </c>
      <c r="I5325" s="12">
        <f>G5325-H5325</f>
        <v>13</v>
      </c>
      <c r="J5325" s="3" t="str">
        <f t="shared" si="386"/>
        <v>7120012</v>
      </c>
    </row>
    <row r="5326" spans="2:10" s="3" customFormat="1">
      <c r="B5326" s="3" t="s">
        <v>2155</v>
      </c>
      <c r="C5326" s="8">
        <v>2</v>
      </c>
      <c r="D5326" s="3" t="s">
        <v>2208</v>
      </c>
      <c r="E5326" s="11" t="s">
        <v>272</v>
      </c>
      <c r="F5326" s="11"/>
      <c r="G5326" s="9"/>
      <c r="H5326" s="11"/>
      <c r="I5326" s="11"/>
      <c r="J5326" s="3" t="str">
        <f t="shared" si="386"/>
        <v>7120013</v>
      </c>
    </row>
    <row r="5327" spans="2:10" s="3" customFormat="1">
      <c r="B5327" s="3" t="s">
        <v>2155</v>
      </c>
      <c r="C5327" s="8">
        <v>2</v>
      </c>
      <c r="D5327" s="3" t="s">
        <v>2208</v>
      </c>
      <c r="E5327" s="11" t="s">
        <v>10</v>
      </c>
      <c r="F5327" s="10">
        <v>3.5500000000000001E-4</v>
      </c>
      <c r="G5327" s="12">
        <f t="shared" ref="G5327:G5338" si="387">ROUND(G$3*F5327,0)</f>
        <v>102</v>
      </c>
      <c r="H5327" s="13">
        <f t="shared" ref="H5327:H5338" si="388">ROUND(G5327/2,0)</f>
        <v>51</v>
      </c>
      <c r="I5327" s="12">
        <f t="shared" ref="I5327:I5338" si="389">G5327-H5327</f>
        <v>51</v>
      </c>
      <c r="J5327" s="3" t="str">
        <f t="shared" si="386"/>
        <v>7120013</v>
      </c>
    </row>
    <row r="5328" spans="2:10" s="3" customFormat="1">
      <c r="B5328" s="3" t="s">
        <v>2155</v>
      </c>
      <c r="C5328" s="8">
        <v>2</v>
      </c>
      <c r="D5328" s="3" t="s">
        <v>2208</v>
      </c>
      <c r="E5328" s="11" t="s">
        <v>11</v>
      </c>
      <c r="F5328" s="10">
        <v>2.5300000000000002E-4</v>
      </c>
      <c r="G5328" s="12">
        <f t="shared" si="387"/>
        <v>73</v>
      </c>
      <c r="H5328" s="13">
        <f t="shared" si="388"/>
        <v>37</v>
      </c>
      <c r="I5328" s="12">
        <f t="shared" si="389"/>
        <v>36</v>
      </c>
      <c r="J5328" s="3" t="str">
        <f t="shared" si="386"/>
        <v>7120013</v>
      </c>
    </row>
    <row r="5329" spans="1:10" s="3" customFormat="1">
      <c r="A5329" s="3" t="s">
        <v>6269</v>
      </c>
      <c r="B5329" s="3" t="s">
        <v>2155</v>
      </c>
      <c r="C5329" s="8">
        <v>3</v>
      </c>
      <c r="D5329" s="3" t="s">
        <v>2990</v>
      </c>
      <c r="E5329" s="11" t="s">
        <v>1541</v>
      </c>
      <c r="F5329" s="10">
        <v>0</v>
      </c>
      <c r="G5329" s="12">
        <f t="shared" si="387"/>
        <v>0</v>
      </c>
      <c r="H5329" s="13">
        <f t="shared" si="388"/>
        <v>0</v>
      </c>
      <c r="I5329" s="12">
        <f t="shared" si="389"/>
        <v>0</v>
      </c>
      <c r="J5329" s="3" t="str">
        <f t="shared" si="386"/>
        <v>7130861</v>
      </c>
    </row>
    <row r="5330" spans="1:10" s="3" customFormat="1">
      <c r="B5330" s="3" t="s">
        <v>2155</v>
      </c>
      <c r="C5330" s="8">
        <v>3</v>
      </c>
      <c r="D5330" s="3" t="s">
        <v>2991</v>
      </c>
      <c r="E5330" s="11" t="s">
        <v>1542</v>
      </c>
      <c r="F5330" s="10">
        <v>1.155E-3</v>
      </c>
      <c r="G5330" s="12">
        <f t="shared" si="387"/>
        <v>332</v>
      </c>
      <c r="H5330" s="13">
        <f t="shared" si="388"/>
        <v>166</v>
      </c>
      <c r="I5330" s="12">
        <f t="shared" si="389"/>
        <v>166</v>
      </c>
      <c r="J5330" s="3" t="str">
        <f t="shared" si="386"/>
        <v>7130862</v>
      </c>
    </row>
    <row r="5331" spans="1:10" s="3" customFormat="1">
      <c r="B5331" s="3" t="s">
        <v>2155</v>
      </c>
      <c r="C5331" s="8">
        <v>3</v>
      </c>
      <c r="D5331" s="3" t="s">
        <v>2989</v>
      </c>
      <c r="E5331" s="11" t="s">
        <v>1543</v>
      </c>
      <c r="F5331" s="10">
        <v>2.8213999999999999E-2</v>
      </c>
      <c r="G5331" s="12">
        <f t="shared" si="387"/>
        <v>8118</v>
      </c>
      <c r="H5331" s="13">
        <f t="shared" si="388"/>
        <v>4059</v>
      </c>
      <c r="I5331" s="12">
        <f t="shared" si="389"/>
        <v>4059</v>
      </c>
      <c r="J5331" s="3" t="str">
        <f t="shared" si="386"/>
        <v>7130117</v>
      </c>
    </row>
    <row r="5332" spans="1:10" s="3" customFormat="1">
      <c r="B5332" s="3" t="s">
        <v>2155</v>
      </c>
      <c r="C5332" s="8">
        <v>3</v>
      </c>
      <c r="D5332" s="3" t="s">
        <v>2992</v>
      </c>
      <c r="E5332" s="11" t="s">
        <v>1544</v>
      </c>
      <c r="F5332" s="10">
        <v>2.12E-4</v>
      </c>
      <c r="G5332" s="12">
        <f t="shared" si="387"/>
        <v>61</v>
      </c>
      <c r="H5332" s="13">
        <f t="shared" si="388"/>
        <v>31</v>
      </c>
      <c r="I5332" s="12">
        <f t="shared" si="389"/>
        <v>30</v>
      </c>
      <c r="J5332" s="3" t="str">
        <f t="shared" si="386"/>
        <v>7130863</v>
      </c>
    </row>
    <row r="5333" spans="1:10" s="3" customFormat="1">
      <c r="B5333" s="3" t="s">
        <v>2155</v>
      </c>
      <c r="C5333" s="8">
        <v>3</v>
      </c>
      <c r="D5333" s="3" t="s">
        <v>2993</v>
      </c>
      <c r="E5333" s="11" t="s">
        <v>1545</v>
      </c>
      <c r="F5333" s="10">
        <v>6.0000000000000002E-5</v>
      </c>
      <c r="G5333" s="12">
        <f t="shared" si="387"/>
        <v>17</v>
      </c>
      <c r="H5333" s="13">
        <f t="shared" si="388"/>
        <v>9</v>
      </c>
      <c r="I5333" s="12">
        <f t="shared" si="389"/>
        <v>8</v>
      </c>
      <c r="J5333" s="3" t="str">
        <f t="shared" si="386"/>
        <v>7130864</v>
      </c>
    </row>
    <row r="5334" spans="1:10" s="3" customFormat="1">
      <c r="B5334" s="3" t="s">
        <v>2155</v>
      </c>
      <c r="C5334" s="8">
        <v>3</v>
      </c>
      <c r="D5334" s="3" t="s">
        <v>2994</v>
      </c>
      <c r="E5334" s="11" t="s">
        <v>1546</v>
      </c>
      <c r="F5334" s="10">
        <v>3.8000000000000002E-5</v>
      </c>
      <c r="G5334" s="12">
        <f t="shared" si="387"/>
        <v>11</v>
      </c>
      <c r="H5334" s="13">
        <f t="shared" si="388"/>
        <v>6</v>
      </c>
      <c r="I5334" s="12">
        <f t="shared" si="389"/>
        <v>5</v>
      </c>
      <c r="J5334" s="3" t="str">
        <f t="shared" si="386"/>
        <v>7130865</v>
      </c>
    </row>
    <row r="5335" spans="1:10" s="3" customFormat="1">
      <c r="B5335" s="3" t="s">
        <v>2155</v>
      </c>
      <c r="C5335" s="8">
        <v>3</v>
      </c>
      <c r="D5335" s="3" t="s">
        <v>2995</v>
      </c>
      <c r="E5335" s="11" t="s">
        <v>1547</v>
      </c>
      <c r="F5335" s="10">
        <v>1.66E-4</v>
      </c>
      <c r="G5335" s="12">
        <f t="shared" si="387"/>
        <v>48</v>
      </c>
      <c r="H5335" s="13">
        <f t="shared" si="388"/>
        <v>24</v>
      </c>
      <c r="I5335" s="12">
        <f t="shared" si="389"/>
        <v>24</v>
      </c>
      <c r="J5335" s="3" t="str">
        <f t="shared" si="386"/>
        <v>7130866</v>
      </c>
    </row>
    <row r="5336" spans="1:10" s="3" customFormat="1">
      <c r="B5336" s="3" t="s">
        <v>2155</v>
      </c>
      <c r="C5336" s="8">
        <v>3</v>
      </c>
      <c r="D5336" s="3" t="s">
        <v>2626</v>
      </c>
      <c r="E5336" s="11" t="s">
        <v>1548</v>
      </c>
      <c r="F5336" s="10">
        <v>0.27495399999999998</v>
      </c>
      <c r="G5336" s="12">
        <f t="shared" si="387"/>
        <v>79111</v>
      </c>
      <c r="H5336" s="13">
        <f t="shared" si="388"/>
        <v>39556</v>
      </c>
      <c r="I5336" s="12">
        <f t="shared" si="389"/>
        <v>39555</v>
      </c>
      <c r="J5336" s="3" t="str">
        <f t="shared" si="386"/>
        <v>7130103</v>
      </c>
    </row>
    <row r="5337" spans="1:10" s="3" customFormat="1">
      <c r="A5337" s="3" t="s">
        <v>6269</v>
      </c>
      <c r="B5337" s="3" t="s">
        <v>2155</v>
      </c>
      <c r="C5337" s="8">
        <v>3</v>
      </c>
      <c r="D5337" s="3" t="s">
        <v>2996</v>
      </c>
      <c r="E5337" s="11" t="s">
        <v>1549</v>
      </c>
      <c r="F5337" s="10">
        <v>0</v>
      </c>
      <c r="G5337" s="12">
        <f t="shared" si="387"/>
        <v>0</v>
      </c>
      <c r="H5337" s="13">
        <f t="shared" si="388"/>
        <v>0</v>
      </c>
      <c r="I5337" s="12">
        <f t="shared" si="389"/>
        <v>0</v>
      </c>
      <c r="J5337" s="3" t="str">
        <f t="shared" si="386"/>
        <v>7130867</v>
      </c>
    </row>
    <row r="5338" spans="1:10" s="3" customFormat="1">
      <c r="B5338" s="3" t="s">
        <v>2155</v>
      </c>
      <c r="C5338" s="8">
        <v>4</v>
      </c>
      <c r="D5338" s="3" t="s">
        <v>2759</v>
      </c>
      <c r="E5338" s="11" t="s">
        <v>1087</v>
      </c>
      <c r="F5338" s="10">
        <v>3.4699999999999998E-4</v>
      </c>
      <c r="G5338" s="9">
        <f t="shared" si="387"/>
        <v>100</v>
      </c>
      <c r="H5338" s="11">
        <f t="shared" si="388"/>
        <v>50</v>
      </c>
      <c r="I5338" s="9">
        <f t="shared" si="389"/>
        <v>50</v>
      </c>
      <c r="J5338" s="3" t="str">
        <f t="shared" si="386"/>
        <v>7147150</v>
      </c>
    </row>
    <row r="5339" spans="1:10" s="3" customFormat="1">
      <c r="B5339" s="3" t="s">
        <v>2155</v>
      </c>
      <c r="C5339" s="8">
        <v>4</v>
      </c>
      <c r="D5339" s="3" t="s">
        <v>2759</v>
      </c>
      <c r="E5339" s="11" t="s">
        <v>28</v>
      </c>
      <c r="F5339" s="11"/>
      <c r="G5339" s="14">
        <v>0.41884900000000003</v>
      </c>
      <c r="H5339" s="11"/>
      <c r="I5339" s="11"/>
      <c r="J5339" s="3" t="str">
        <f t="shared" si="386"/>
        <v>7147150</v>
      </c>
    </row>
    <row r="5340" spans="1:10" s="3" customFormat="1">
      <c r="B5340" s="3" t="s">
        <v>2155</v>
      </c>
      <c r="C5340" s="8">
        <v>4</v>
      </c>
      <c r="D5340" s="3" t="s">
        <v>2759</v>
      </c>
      <c r="E5340" s="11" t="s">
        <v>29</v>
      </c>
      <c r="F5340" s="11"/>
      <c r="G5340" s="15">
        <f>ROUND(G5338*G5339,0)</f>
        <v>42</v>
      </c>
      <c r="H5340" s="16">
        <f>ROUND(G5340/2,0)</f>
        <v>21</v>
      </c>
      <c r="I5340" s="15">
        <f>G5340-H5340</f>
        <v>21</v>
      </c>
      <c r="J5340" s="3" t="str">
        <f t="shared" si="386"/>
        <v>7147150</v>
      </c>
    </row>
    <row r="5341" spans="1:10" s="3" customFormat="1">
      <c r="B5341" s="3" t="s">
        <v>2155</v>
      </c>
      <c r="C5341" s="8">
        <v>4</v>
      </c>
      <c r="D5341" s="3" t="s">
        <v>2759</v>
      </c>
      <c r="E5341" s="11" t="s">
        <v>30</v>
      </c>
      <c r="F5341" s="11"/>
      <c r="G5341" s="12">
        <f>+G5338-G5340</f>
        <v>58</v>
      </c>
      <c r="H5341" s="13">
        <f>ROUND(G5341/2,0)</f>
        <v>29</v>
      </c>
      <c r="I5341" s="12">
        <f>G5341-H5341</f>
        <v>29</v>
      </c>
      <c r="J5341" s="3" t="str">
        <f t="shared" si="386"/>
        <v>7147150</v>
      </c>
    </row>
    <row r="5342" spans="1:10" s="3" customFormat="1">
      <c r="B5342" s="3" t="s">
        <v>2155</v>
      </c>
      <c r="C5342" s="8">
        <v>4</v>
      </c>
      <c r="D5342" s="3" t="s">
        <v>2998</v>
      </c>
      <c r="E5342" s="11" t="s">
        <v>1550</v>
      </c>
      <c r="F5342" s="10">
        <v>1.7888999999999999E-2</v>
      </c>
      <c r="G5342" s="9">
        <f>ROUND(G$3*F5342,0)</f>
        <v>5147</v>
      </c>
      <c r="H5342" s="11">
        <f>ROUND(G5342/2,0)</f>
        <v>2574</v>
      </c>
      <c r="I5342" s="9">
        <f>G5342-H5342</f>
        <v>2573</v>
      </c>
      <c r="J5342" s="3" t="str">
        <f t="shared" si="386"/>
        <v>7147200</v>
      </c>
    </row>
    <row r="5343" spans="1:10" s="3" customFormat="1">
      <c r="B5343" s="3" t="s">
        <v>2155</v>
      </c>
      <c r="C5343" s="8">
        <v>4</v>
      </c>
      <c r="D5343" s="3" t="s">
        <v>2998</v>
      </c>
      <c r="E5343" s="11" t="s">
        <v>28</v>
      </c>
      <c r="F5343" s="11"/>
      <c r="G5343" s="14">
        <v>0.36601699999999998</v>
      </c>
      <c r="H5343" s="11"/>
      <c r="I5343" s="11"/>
      <c r="J5343" s="3" t="str">
        <f t="shared" si="386"/>
        <v>7147200</v>
      </c>
    </row>
    <row r="5344" spans="1:10" s="3" customFormat="1">
      <c r="B5344" s="3" t="s">
        <v>2155</v>
      </c>
      <c r="C5344" s="8">
        <v>4</v>
      </c>
      <c r="D5344" s="3" t="s">
        <v>2998</v>
      </c>
      <c r="E5344" s="11" t="s">
        <v>29</v>
      </c>
      <c r="F5344" s="11"/>
      <c r="G5344" s="15">
        <f>ROUND(G5342*G5343,0)</f>
        <v>1884</v>
      </c>
      <c r="H5344" s="16">
        <f>ROUND(G5344/2,0)</f>
        <v>942</v>
      </c>
      <c r="I5344" s="15">
        <f>G5344-H5344</f>
        <v>942</v>
      </c>
      <c r="J5344" s="3" t="str">
        <f t="shared" si="386"/>
        <v>7147200</v>
      </c>
    </row>
    <row r="5345" spans="2:10" s="3" customFormat="1">
      <c r="B5345" s="3" t="s">
        <v>2155</v>
      </c>
      <c r="C5345" s="8">
        <v>4</v>
      </c>
      <c r="D5345" s="3" t="s">
        <v>2998</v>
      </c>
      <c r="E5345" s="11" t="s">
        <v>30</v>
      </c>
      <c r="F5345" s="11"/>
      <c r="G5345" s="12">
        <f>+G5342-G5344</f>
        <v>3263</v>
      </c>
      <c r="H5345" s="13">
        <f>ROUND(G5345/2,0)</f>
        <v>1632</v>
      </c>
      <c r="I5345" s="12">
        <f>G5345-H5345</f>
        <v>1631</v>
      </c>
      <c r="J5345" s="3" t="str">
        <f t="shared" si="386"/>
        <v>7147200</v>
      </c>
    </row>
    <row r="5346" spans="2:10" s="3" customFormat="1">
      <c r="B5346" s="3" t="s">
        <v>2155</v>
      </c>
      <c r="C5346" s="8">
        <v>4</v>
      </c>
      <c r="D5346" s="3" t="s">
        <v>2754</v>
      </c>
      <c r="E5346" s="11" t="s">
        <v>1091</v>
      </c>
      <c r="F5346" s="10">
        <v>9.4719999999999995E-3</v>
      </c>
      <c r="G5346" s="9">
        <f>ROUND(G$3*F5346,0)</f>
        <v>2725</v>
      </c>
      <c r="H5346" s="11">
        <f>ROUND(G5346/2,0)</f>
        <v>1363</v>
      </c>
      <c r="I5346" s="9">
        <f>G5346-H5346</f>
        <v>1362</v>
      </c>
      <c r="J5346" s="3" t="str">
        <f t="shared" si="386"/>
        <v>7144805</v>
      </c>
    </row>
    <row r="5347" spans="2:10" s="3" customFormat="1">
      <c r="B5347" s="3" t="s">
        <v>2155</v>
      </c>
      <c r="C5347" s="8">
        <v>4</v>
      </c>
      <c r="D5347" s="3" t="s">
        <v>2754</v>
      </c>
      <c r="E5347" s="11" t="s">
        <v>28</v>
      </c>
      <c r="F5347" s="11"/>
      <c r="G5347" s="14">
        <v>0.42578500000000002</v>
      </c>
      <c r="H5347" s="11"/>
      <c r="I5347" s="11"/>
      <c r="J5347" s="3" t="str">
        <f t="shared" si="386"/>
        <v>7144805</v>
      </c>
    </row>
    <row r="5348" spans="2:10" s="3" customFormat="1">
      <c r="B5348" s="3" t="s">
        <v>2155</v>
      </c>
      <c r="C5348" s="8">
        <v>4</v>
      </c>
      <c r="D5348" s="3" t="s">
        <v>2754</v>
      </c>
      <c r="E5348" s="11" t="s">
        <v>29</v>
      </c>
      <c r="F5348" s="11"/>
      <c r="G5348" s="15">
        <f>ROUND(G5346*G5347,0)</f>
        <v>1160</v>
      </c>
      <c r="H5348" s="16">
        <f>ROUND(G5348/2,0)</f>
        <v>580</v>
      </c>
      <c r="I5348" s="15">
        <f>G5348-H5348</f>
        <v>580</v>
      </c>
      <c r="J5348" s="3" t="str">
        <f t="shared" si="386"/>
        <v>7144805</v>
      </c>
    </row>
    <row r="5349" spans="2:10" s="3" customFormat="1">
      <c r="B5349" s="3" t="s">
        <v>2155</v>
      </c>
      <c r="C5349" s="8">
        <v>4</v>
      </c>
      <c r="D5349" s="3" t="s">
        <v>2754</v>
      </c>
      <c r="E5349" s="11" t="s">
        <v>30</v>
      </c>
      <c r="F5349" s="11"/>
      <c r="G5349" s="12">
        <f>+G5346-G5348</f>
        <v>1565</v>
      </c>
      <c r="H5349" s="13">
        <f>ROUND(G5349/2,0)</f>
        <v>783</v>
      </c>
      <c r="I5349" s="12">
        <f>G5349-H5349</f>
        <v>782</v>
      </c>
      <c r="J5349" s="3" t="str">
        <f t="shared" si="386"/>
        <v>7144805</v>
      </c>
    </row>
    <row r="5350" spans="2:10" s="3" customFormat="1">
      <c r="B5350" s="3" t="s">
        <v>2155</v>
      </c>
      <c r="C5350" s="8">
        <v>4</v>
      </c>
      <c r="D5350" s="3" t="s">
        <v>2997</v>
      </c>
      <c r="E5350" s="11" t="s">
        <v>1551</v>
      </c>
      <c r="F5350" s="10">
        <v>7.4999999999999997E-2</v>
      </c>
      <c r="G5350" s="9">
        <f>ROUND(G$3*F5350,0)</f>
        <v>21579</v>
      </c>
      <c r="H5350" s="11">
        <f>ROUND(G5350/2,0)</f>
        <v>10790</v>
      </c>
      <c r="I5350" s="9">
        <f>G5350-H5350</f>
        <v>10789</v>
      </c>
      <c r="J5350" s="3" t="str">
        <f t="shared" si="386"/>
        <v>7147175</v>
      </c>
    </row>
    <row r="5351" spans="2:10" s="3" customFormat="1">
      <c r="B5351" s="3" t="s">
        <v>2155</v>
      </c>
      <c r="C5351" s="8">
        <v>4</v>
      </c>
      <c r="D5351" s="3" t="s">
        <v>2997</v>
      </c>
      <c r="E5351" s="11" t="s">
        <v>28</v>
      </c>
      <c r="F5351" s="11"/>
      <c r="G5351" s="14">
        <v>0.38667800000000002</v>
      </c>
      <c r="H5351" s="11"/>
      <c r="I5351" s="11"/>
      <c r="J5351" s="3" t="str">
        <f t="shared" si="386"/>
        <v>7147175</v>
      </c>
    </row>
    <row r="5352" spans="2:10" s="3" customFormat="1">
      <c r="B5352" s="3" t="s">
        <v>2155</v>
      </c>
      <c r="C5352" s="8">
        <v>4</v>
      </c>
      <c r="D5352" s="3" t="s">
        <v>2997</v>
      </c>
      <c r="E5352" s="11" t="s">
        <v>29</v>
      </c>
      <c r="F5352" s="11"/>
      <c r="G5352" s="15">
        <f>ROUND(G5350*G5351,0)</f>
        <v>8344</v>
      </c>
      <c r="H5352" s="16">
        <f>ROUND(G5352/2,0)</f>
        <v>4172</v>
      </c>
      <c r="I5352" s="15">
        <f>G5352-H5352</f>
        <v>4172</v>
      </c>
      <c r="J5352" s="3" t="str">
        <f t="shared" si="386"/>
        <v>7147175</v>
      </c>
    </row>
    <row r="5353" spans="2:10" s="3" customFormat="1">
      <c r="B5353" s="3" t="s">
        <v>2155</v>
      </c>
      <c r="C5353" s="8">
        <v>4</v>
      </c>
      <c r="D5353" s="3" t="s">
        <v>2997</v>
      </c>
      <c r="E5353" s="11" t="s">
        <v>30</v>
      </c>
      <c r="F5353" s="11"/>
      <c r="G5353" s="12">
        <f>+G5350-G5352</f>
        <v>13235</v>
      </c>
      <c r="H5353" s="13">
        <f>ROUND(G5353/2,0)</f>
        <v>6618</v>
      </c>
      <c r="I5353" s="12">
        <f>G5353-H5353</f>
        <v>6617</v>
      </c>
      <c r="J5353" s="3" t="str">
        <f t="shared" si="386"/>
        <v>7147175</v>
      </c>
    </row>
    <row r="5354" spans="2:10" s="3" customFormat="1">
      <c r="B5354" s="3" t="s">
        <v>2155</v>
      </c>
      <c r="C5354" s="8">
        <v>4</v>
      </c>
      <c r="D5354" s="3" t="s">
        <v>2999</v>
      </c>
      <c r="E5354" s="11" t="s">
        <v>1552</v>
      </c>
      <c r="F5354" s="10">
        <v>0.300647</v>
      </c>
      <c r="G5354" s="9">
        <f>ROUND(G$3*F5354,0)</f>
        <v>86503</v>
      </c>
      <c r="H5354" s="11">
        <f>ROUND(G5354/2,0)</f>
        <v>43252</v>
      </c>
      <c r="I5354" s="9">
        <f>G5354-H5354</f>
        <v>43251</v>
      </c>
      <c r="J5354" s="3" t="str">
        <f t="shared" si="386"/>
        <v>7147205</v>
      </c>
    </row>
    <row r="5355" spans="2:10" s="3" customFormat="1">
      <c r="B5355" s="3" t="s">
        <v>2155</v>
      </c>
      <c r="C5355" s="8">
        <v>4</v>
      </c>
      <c r="D5355" s="3" t="s">
        <v>2999</v>
      </c>
      <c r="E5355" s="11" t="s">
        <v>28</v>
      </c>
      <c r="F5355" s="11"/>
      <c r="G5355" s="14">
        <v>0.39755499999999999</v>
      </c>
      <c r="H5355" s="11"/>
      <c r="I5355" s="11"/>
      <c r="J5355" s="3" t="str">
        <f t="shared" si="386"/>
        <v>7147205</v>
      </c>
    </row>
    <row r="5356" spans="2:10" s="3" customFormat="1">
      <c r="B5356" s="3" t="s">
        <v>2155</v>
      </c>
      <c r="C5356" s="8">
        <v>4</v>
      </c>
      <c r="D5356" s="3" t="s">
        <v>2999</v>
      </c>
      <c r="E5356" s="11" t="s">
        <v>29</v>
      </c>
      <c r="F5356" s="11"/>
      <c r="G5356" s="15">
        <f>ROUND(G5354*G5355,0)</f>
        <v>34390</v>
      </c>
      <c r="H5356" s="16">
        <f>ROUND(G5356/2,0)</f>
        <v>17195</v>
      </c>
      <c r="I5356" s="15">
        <f>G5356-H5356</f>
        <v>17195</v>
      </c>
      <c r="J5356" s="3" t="str">
        <f t="shared" si="386"/>
        <v>7147205</v>
      </c>
    </row>
    <row r="5357" spans="2:10" s="3" customFormat="1">
      <c r="B5357" s="3" t="s">
        <v>2155</v>
      </c>
      <c r="C5357" s="8">
        <v>4</v>
      </c>
      <c r="D5357" s="3" t="s">
        <v>2999</v>
      </c>
      <c r="E5357" s="11" t="s">
        <v>30</v>
      </c>
      <c r="F5357" s="11"/>
      <c r="G5357" s="12">
        <f>+G5354-G5356</f>
        <v>52113</v>
      </c>
      <c r="H5357" s="13">
        <f>ROUND(G5357/2,0)</f>
        <v>26057</v>
      </c>
      <c r="I5357" s="12">
        <f>G5357-H5357</f>
        <v>26056</v>
      </c>
      <c r="J5357" s="3" t="str">
        <f t="shared" si="386"/>
        <v>7147205</v>
      </c>
    </row>
    <row r="5358" spans="2:10" s="3" customFormat="1">
      <c r="B5358" s="3" t="s">
        <v>2155</v>
      </c>
      <c r="C5358" s="8">
        <v>4</v>
      </c>
      <c r="D5358" s="3" t="s">
        <v>2830</v>
      </c>
      <c r="E5358" s="11" t="s">
        <v>1203</v>
      </c>
      <c r="F5358" s="10">
        <v>3.3639999999999998E-3</v>
      </c>
      <c r="G5358" s="9">
        <f>ROUND(G$3*F5358,0)</f>
        <v>968</v>
      </c>
      <c r="H5358" s="11">
        <f>ROUND(G5358/2,0)</f>
        <v>484</v>
      </c>
      <c r="I5358" s="9">
        <f>G5358-H5358</f>
        <v>484</v>
      </c>
      <c r="J5358" s="3" t="str">
        <f t="shared" si="386"/>
        <v>7147215</v>
      </c>
    </row>
    <row r="5359" spans="2:10" s="3" customFormat="1">
      <c r="B5359" s="3" t="s">
        <v>2155</v>
      </c>
      <c r="C5359" s="8">
        <v>4</v>
      </c>
      <c r="D5359" s="3" t="s">
        <v>2830</v>
      </c>
      <c r="E5359" s="11" t="s">
        <v>28</v>
      </c>
      <c r="F5359" s="11"/>
      <c r="G5359" s="14">
        <v>0.49541800000000003</v>
      </c>
      <c r="H5359" s="11"/>
      <c r="I5359" s="11"/>
      <c r="J5359" s="3" t="str">
        <f t="shared" si="386"/>
        <v>7147215</v>
      </c>
    </row>
    <row r="5360" spans="2:10" s="3" customFormat="1">
      <c r="B5360" s="3" t="s">
        <v>2155</v>
      </c>
      <c r="C5360" s="8">
        <v>4</v>
      </c>
      <c r="D5360" s="3" t="s">
        <v>2830</v>
      </c>
      <c r="E5360" s="11" t="s">
        <v>29</v>
      </c>
      <c r="F5360" s="11"/>
      <c r="G5360" s="15">
        <f>ROUND(G5358*G5359,0)</f>
        <v>480</v>
      </c>
      <c r="H5360" s="16">
        <f t="shared" ref="H5360:H5369" si="390">ROUND(G5360/2,0)</f>
        <v>240</v>
      </c>
      <c r="I5360" s="15">
        <f t="shared" ref="I5360:I5369" si="391">G5360-H5360</f>
        <v>240</v>
      </c>
      <c r="J5360" s="3" t="str">
        <f t="shared" si="386"/>
        <v>7147215</v>
      </c>
    </row>
    <row r="5361" spans="1:10" s="3" customFormat="1">
      <c r="B5361" s="3" t="s">
        <v>2155</v>
      </c>
      <c r="C5361" s="8">
        <v>4</v>
      </c>
      <c r="D5361" s="3" t="s">
        <v>2830</v>
      </c>
      <c r="E5361" s="11" t="s">
        <v>30</v>
      </c>
      <c r="F5361" s="11"/>
      <c r="G5361" s="12">
        <f>+G5358-G5360</f>
        <v>488</v>
      </c>
      <c r="H5361" s="13">
        <f t="shared" si="390"/>
        <v>244</v>
      </c>
      <c r="I5361" s="12">
        <f t="shared" si="391"/>
        <v>244</v>
      </c>
      <c r="J5361" s="3" t="str">
        <f t="shared" si="386"/>
        <v>7147215</v>
      </c>
    </row>
    <row r="5362" spans="1:10" s="3" customFormat="1">
      <c r="B5362" s="3" t="s">
        <v>2155</v>
      </c>
      <c r="C5362" s="8">
        <v>5</v>
      </c>
      <c r="D5362" s="3" t="s">
        <v>2568</v>
      </c>
      <c r="E5362" s="11" t="s">
        <v>1553</v>
      </c>
      <c r="F5362" s="10">
        <v>4.5059999999999996E-3</v>
      </c>
      <c r="G5362" s="120">
        <f t="shared" ref="G5362:G5368" si="392">ROUND(G$3*F5362,0)</f>
        <v>1296</v>
      </c>
      <c r="H5362" s="120">
        <f t="shared" si="390"/>
        <v>648</v>
      </c>
      <c r="I5362" s="120">
        <f t="shared" si="391"/>
        <v>648</v>
      </c>
      <c r="J5362" s="3" t="str">
        <f t="shared" si="386"/>
        <v>7150203</v>
      </c>
    </row>
    <row r="5363" spans="1:10" s="3" customFormat="1">
      <c r="B5363" s="3" t="s">
        <v>2155</v>
      </c>
      <c r="C5363" s="8">
        <v>5</v>
      </c>
      <c r="D5363" s="3" t="s">
        <v>2920</v>
      </c>
      <c r="E5363" s="11" t="s">
        <v>1554</v>
      </c>
      <c r="F5363" s="10">
        <v>3.2899999999999997E-4</v>
      </c>
      <c r="G5363" s="120">
        <f t="shared" si="392"/>
        <v>95</v>
      </c>
      <c r="H5363" s="120">
        <f t="shared" si="390"/>
        <v>48</v>
      </c>
      <c r="I5363" s="120">
        <f t="shared" si="391"/>
        <v>47</v>
      </c>
      <c r="J5363" s="3" t="str">
        <f t="shared" si="386"/>
        <v>7150204</v>
      </c>
    </row>
    <row r="5364" spans="1:10" s="3" customFormat="1">
      <c r="B5364" s="3" t="s">
        <v>2155</v>
      </c>
      <c r="C5364" s="8">
        <v>5</v>
      </c>
      <c r="D5364" s="3" t="s">
        <v>5661</v>
      </c>
      <c r="E5364" s="11" t="s">
        <v>1555</v>
      </c>
      <c r="F5364" s="10">
        <v>3.6219000000000001E-2</v>
      </c>
      <c r="G5364" s="120">
        <f t="shared" si="392"/>
        <v>10421</v>
      </c>
      <c r="H5364" s="120">
        <f t="shared" si="390"/>
        <v>5211</v>
      </c>
      <c r="I5364" s="120">
        <f t="shared" si="391"/>
        <v>5210</v>
      </c>
      <c r="J5364" s="3" t="str">
        <f t="shared" si="386"/>
        <v>7150206</v>
      </c>
    </row>
    <row r="5365" spans="1:10" s="3" customFormat="1">
      <c r="A5365" s="3" t="s">
        <v>6269</v>
      </c>
      <c r="B5365" s="3" t="s">
        <v>2155</v>
      </c>
      <c r="C5365" s="8">
        <v>5</v>
      </c>
      <c r="D5365" s="3" t="s">
        <v>2290</v>
      </c>
      <c r="E5365" s="11" t="s">
        <v>1556</v>
      </c>
      <c r="F5365" s="10">
        <v>0</v>
      </c>
      <c r="G5365" s="120">
        <f t="shared" si="392"/>
        <v>0</v>
      </c>
      <c r="H5365" s="120">
        <f t="shared" si="390"/>
        <v>0</v>
      </c>
      <c r="I5365" s="120">
        <f t="shared" si="391"/>
        <v>0</v>
      </c>
      <c r="J5365" s="3" t="str">
        <f t="shared" si="386"/>
        <v>7150205</v>
      </c>
    </row>
    <row r="5366" spans="1:10" s="3" customFormat="1">
      <c r="B5366" s="3" t="s">
        <v>2155</v>
      </c>
      <c r="C5366" s="8">
        <v>6</v>
      </c>
      <c r="D5366" s="3" t="s">
        <v>2996</v>
      </c>
      <c r="E5366" s="11" t="s">
        <v>1557</v>
      </c>
      <c r="F5366" s="10">
        <v>1.2841E-2</v>
      </c>
      <c r="G5366" s="120">
        <f t="shared" si="392"/>
        <v>3695</v>
      </c>
      <c r="H5366" s="120">
        <f t="shared" si="390"/>
        <v>1848</v>
      </c>
      <c r="I5366" s="120">
        <f t="shared" si="391"/>
        <v>1847</v>
      </c>
      <c r="J5366" s="3" t="str">
        <f t="shared" si="386"/>
        <v>7160867</v>
      </c>
    </row>
    <row r="5367" spans="1:10" s="128" customFormat="1">
      <c r="B5367" s="128" t="s">
        <v>2155</v>
      </c>
      <c r="C5367" s="129">
        <v>6</v>
      </c>
      <c r="D5367" s="128" t="s">
        <v>6267</v>
      </c>
      <c r="E5367" s="131" t="s">
        <v>1558</v>
      </c>
      <c r="F5367" s="133">
        <v>3.578E-3</v>
      </c>
      <c r="G5367" s="137">
        <f t="shared" si="392"/>
        <v>1029</v>
      </c>
      <c r="H5367" s="137">
        <f t="shared" si="390"/>
        <v>515</v>
      </c>
      <c r="I5367" s="137">
        <f t="shared" si="391"/>
        <v>514</v>
      </c>
      <c r="J5367" s="128" t="str">
        <f t="shared" si="386"/>
        <v>716XXXX</v>
      </c>
    </row>
    <row r="5368" spans="1:10" s="3" customFormat="1">
      <c r="A5368" s="3" t="s">
        <v>6269</v>
      </c>
      <c r="B5368" s="3" t="s">
        <v>2155</v>
      </c>
      <c r="C5368" s="8">
        <v>6</v>
      </c>
      <c r="D5368" s="3" t="s">
        <v>6267</v>
      </c>
      <c r="E5368" s="11" t="s">
        <v>1559</v>
      </c>
      <c r="F5368" s="10">
        <v>0</v>
      </c>
      <c r="G5368" s="120">
        <f t="shared" si="392"/>
        <v>0</v>
      </c>
      <c r="H5368" s="120">
        <f t="shared" si="390"/>
        <v>0</v>
      </c>
      <c r="I5368" s="120">
        <f t="shared" si="391"/>
        <v>0</v>
      </c>
      <c r="J5368" s="3" t="str">
        <f t="shared" si="386"/>
        <v>716XXXX</v>
      </c>
    </row>
    <row r="5369" spans="1:10" s="3" customFormat="1">
      <c r="B5369" s="3" t="s">
        <v>2155</v>
      </c>
      <c r="C5369" s="8">
        <v>6</v>
      </c>
      <c r="D5369" s="3" t="s">
        <v>2995</v>
      </c>
      <c r="E5369" s="11" t="s">
        <v>1560</v>
      </c>
      <c r="F5369" s="10">
        <v>8.0989999999999673E-3</v>
      </c>
      <c r="G5369" s="12">
        <f>+G5284-SUM(G5285:G5286)-SUM(G5291:G5338)-G5342-G5346-G5350-G5354-G5358-SUM(G5362:G5368)</f>
        <v>3059925</v>
      </c>
      <c r="H5369" s="13">
        <f t="shared" si="390"/>
        <v>1529963</v>
      </c>
      <c r="I5369" s="12">
        <f t="shared" si="391"/>
        <v>1529962</v>
      </c>
      <c r="J5369" s="3" t="str">
        <f t="shared" si="386"/>
        <v>7160866</v>
      </c>
    </row>
    <row r="5370" spans="1:10" s="3" customFormat="1">
      <c r="B5370" s="3" t="s">
        <v>2155</v>
      </c>
      <c r="C5370" s="8">
        <v>0</v>
      </c>
      <c r="D5370" s="125" t="s">
        <v>2187</v>
      </c>
      <c r="E5370" s="28" t="s">
        <v>288</v>
      </c>
      <c r="F5370" s="10">
        <v>1</v>
      </c>
      <c r="G5370" s="12">
        <f>+G5285+SUM(G5288:G5337)+SUM(G5340:G5341)+SUM(G5344:G5345)+SUM(G5348:G5349)+SUM(G5352:G5353)+SUM(G5356:G5357)+SUM(G5360:G5369)</f>
        <v>3345317</v>
      </c>
      <c r="H5370" s="12">
        <f>+H5285+SUM(H5288:H5337)+SUM(H5340:H5341)+SUM(H5344:H5345)+SUM(H5348:H5349)+SUM(H5352:H5353)+SUM(H5356:H5357)+SUM(H5360:H5369)</f>
        <v>1672671</v>
      </c>
      <c r="I5370" s="12">
        <f>+I5285+SUM(I5288:I5337)+SUM(I5340:I5341)+SUM(I5344:I5345)+SUM(I5348:I5349)+SUM(I5352:I5353)+SUM(I5356:I5357)+SUM(I5360:I5369)</f>
        <v>1672646</v>
      </c>
      <c r="J5370" s="3" t="str">
        <f t="shared" si="386"/>
        <v>7100000</v>
      </c>
    </row>
    <row r="5371" spans="1:10" s="3" customFormat="1">
      <c r="B5371" s="3" t="s">
        <v>2155</v>
      </c>
      <c r="C5371" s="8">
        <v>0</v>
      </c>
      <c r="D5371" s="3" t="s">
        <v>2187</v>
      </c>
      <c r="E5371" s="18" t="s">
        <v>38</v>
      </c>
      <c r="G5371" s="19">
        <f>+G5285</f>
        <v>191</v>
      </c>
      <c r="H5371" s="19">
        <f>+H5285</f>
        <v>96</v>
      </c>
      <c r="I5371" s="19">
        <f>+I5285</f>
        <v>95</v>
      </c>
      <c r="J5371" s="3" t="str">
        <f t="shared" si="386"/>
        <v>7100000</v>
      </c>
    </row>
    <row r="5372" spans="1:10" s="3" customFormat="1">
      <c r="B5372" s="3" t="s">
        <v>2155</v>
      </c>
      <c r="C5372" s="8">
        <v>0</v>
      </c>
      <c r="D5372" s="3" t="s">
        <v>2187</v>
      </c>
      <c r="E5372" s="2" t="s">
        <v>39</v>
      </c>
      <c r="G5372" s="19">
        <f>+G5288</f>
        <v>26388</v>
      </c>
      <c r="H5372" s="19">
        <f>+H5288</f>
        <v>13194</v>
      </c>
      <c r="I5372" s="19">
        <f>+I5288</f>
        <v>13194</v>
      </c>
      <c r="J5372" s="3" t="str">
        <f t="shared" si="386"/>
        <v>7100000</v>
      </c>
    </row>
    <row r="5373" spans="1:10" s="3" customFormat="1">
      <c r="B5373" s="3" t="s">
        <v>2155</v>
      </c>
      <c r="C5373" s="8">
        <v>0</v>
      </c>
      <c r="D5373" s="3" t="s">
        <v>2187</v>
      </c>
      <c r="E5373" s="2" t="s">
        <v>40</v>
      </c>
      <c r="G5373" s="19">
        <f>+G5340+G5344+G5348+G5352+G5356+G5360</f>
        <v>46300</v>
      </c>
      <c r="H5373" s="19">
        <f>+H5340+H5344+H5348+H5352+H5356+H5360</f>
        <v>23150</v>
      </c>
      <c r="I5373" s="19">
        <f>+I5340+I5344+I5348+I5352+I5356+I5360</f>
        <v>23150</v>
      </c>
      <c r="J5373" s="3" t="str">
        <f t="shared" si="386"/>
        <v>7100000</v>
      </c>
    </row>
    <row r="5374" spans="1:10" s="3" customFormat="1">
      <c r="B5374" s="3" t="s">
        <v>2155</v>
      </c>
      <c r="C5374" s="8">
        <v>0</v>
      </c>
      <c r="D5374" s="125" t="s">
        <v>2187</v>
      </c>
      <c r="E5374" s="18" t="s">
        <v>41</v>
      </c>
      <c r="G5374" s="19">
        <f>+G5370-G5371-G5372-G5373</f>
        <v>3272438</v>
      </c>
      <c r="H5374" s="19">
        <f>+H5370-H5371-H5372-H5373</f>
        <v>1636231</v>
      </c>
      <c r="I5374" s="19">
        <f>+I5370-I5371-I5372-I5373</f>
        <v>1636207</v>
      </c>
      <c r="J5374" s="3" t="str">
        <f t="shared" si="386"/>
        <v>7100000</v>
      </c>
    </row>
    <row r="5375" spans="1:10" ht="15.75">
      <c r="B5375" s="3" t="s">
        <v>2186</v>
      </c>
      <c r="D5375" t="s">
        <v>2186</v>
      </c>
      <c r="E5375">
        <v>0</v>
      </c>
      <c r="G5375"/>
      <c r="H5375"/>
      <c r="I5375"/>
      <c r="J5375" s="3" t="str">
        <f t="shared" si="386"/>
        <v/>
      </c>
    </row>
    <row r="5376" spans="1:10" s="3" customFormat="1">
      <c r="C5376" s="1"/>
      <c r="D5376" s="3" t="s">
        <v>2186</v>
      </c>
      <c r="E5376" s="2" t="s">
        <v>1561</v>
      </c>
      <c r="J5376" s="3" t="str">
        <f t="shared" si="386"/>
        <v/>
      </c>
    </row>
    <row r="5377" spans="2:10" s="3" customFormat="1" ht="45">
      <c r="B5377" s="3" t="s">
        <v>2186</v>
      </c>
      <c r="C5377" s="1"/>
      <c r="D5377" s="3" t="s">
        <v>2186</v>
      </c>
      <c r="E5377" s="1">
        <v>0</v>
      </c>
      <c r="F5377" s="6" t="s">
        <v>1</v>
      </c>
      <c r="G5377" s="60">
        <f>'Allocation Worksheet'!H5377</f>
        <v>0</v>
      </c>
      <c r="H5377" s="60">
        <f>'Allocation Worksheet'!H5378</f>
        <v>0</v>
      </c>
      <c r="I5377" s="60">
        <f>'Allocation Worksheet'!H5379</f>
        <v>0</v>
      </c>
      <c r="J5377" s="3" t="str">
        <f t="shared" si="386"/>
        <v/>
      </c>
    </row>
    <row r="5378" spans="2:10" s="3" customFormat="1">
      <c r="C5378" s="7" t="s">
        <v>2087</v>
      </c>
      <c r="D5378" s="3" t="s">
        <v>2186</v>
      </c>
      <c r="E5378" s="7" t="s">
        <v>3</v>
      </c>
      <c r="F5378" s="10"/>
      <c r="G5378" s="9">
        <f>'Allocation Worksheet'!$D$75</f>
        <v>84568</v>
      </c>
      <c r="H5378" s="11"/>
      <c r="I5378" s="11"/>
      <c r="J5378" s="3" t="str">
        <f t="shared" si="386"/>
        <v>UT</v>
      </c>
    </row>
    <row r="5379" spans="2:10" s="3" customFormat="1">
      <c r="B5379" s="3" t="s">
        <v>2156</v>
      </c>
      <c r="C5379" s="8">
        <v>0</v>
      </c>
      <c r="D5379" s="3" t="s">
        <v>2187</v>
      </c>
      <c r="E5379" s="11" t="s">
        <v>4</v>
      </c>
      <c r="F5379" s="10">
        <v>1.1529999999999999E-3</v>
      </c>
      <c r="G5379" s="12">
        <f>ROUND(G$3*F5379,0)</f>
        <v>332</v>
      </c>
      <c r="H5379" s="13">
        <f>ROUND(G5379/2,0)</f>
        <v>166</v>
      </c>
      <c r="I5379" s="12">
        <f>G5379-H5379</f>
        <v>166</v>
      </c>
      <c r="J5379" s="3" t="str">
        <f t="shared" si="386"/>
        <v>7200000</v>
      </c>
    </row>
    <row r="5380" spans="2:10" s="3" customFormat="1">
      <c r="B5380" s="3" t="s">
        <v>2156</v>
      </c>
      <c r="C5380" s="8">
        <v>1</v>
      </c>
      <c r="D5380" s="3" t="s">
        <v>2187</v>
      </c>
      <c r="E5380" s="11" t="s">
        <v>1562</v>
      </c>
      <c r="F5380" s="10">
        <v>0.22503000000000001</v>
      </c>
      <c r="G5380" s="9">
        <f>ROUND(G$3*F5380,0)</f>
        <v>64746</v>
      </c>
      <c r="H5380" s="11">
        <f>ROUND(G5380/2,0)</f>
        <v>32373</v>
      </c>
      <c r="I5380" s="9">
        <f>G5380-H5380</f>
        <v>32373</v>
      </c>
      <c r="J5380" s="3" t="str">
        <f t="shared" ref="J5380:J5443" si="393">B5380&amp;C5380&amp;D5380</f>
        <v>7210000</v>
      </c>
    </row>
    <row r="5381" spans="2:10" s="3" customFormat="1">
      <c r="B5381" s="3" t="s">
        <v>2156</v>
      </c>
      <c r="C5381" s="8">
        <v>1</v>
      </c>
      <c r="D5381" s="3" t="s">
        <v>2187</v>
      </c>
      <c r="E5381" s="11" t="s">
        <v>6</v>
      </c>
      <c r="F5381" s="11"/>
      <c r="G5381" s="14">
        <v>0.20042199999999999</v>
      </c>
      <c r="H5381" s="11"/>
      <c r="I5381" s="11"/>
      <c r="J5381" s="3" t="str">
        <f t="shared" si="393"/>
        <v>7210000</v>
      </c>
    </row>
    <row r="5382" spans="2:10" s="3" customFormat="1">
      <c r="B5382" s="3" t="s">
        <v>2156</v>
      </c>
      <c r="C5382" s="8">
        <v>1</v>
      </c>
      <c r="D5382" s="3" t="s">
        <v>2187</v>
      </c>
      <c r="E5382" s="11" t="s">
        <v>7</v>
      </c>
      <c r="F5382" s="11"/>
      <c r="G5382" s="15">
        <f>ROUND(G5380*G5381,0)</f>
        <v>12977</v>
      </c>
      <c r="H5382" s="16">
        <f>ROUND(G5382/2,0)</f>
        <v>6489</v>
      </c>
      <c r="I5382" s="15">
        <f>G5382-H5382</f>
        <v>6488</v>
      </c>
      <c r="J5382" s="3" t="str">
        <f t="shared" si="393"/>
        <v>7210000</v>
      </c>
    </row>
    <row r="5383" spans="2:10" s="3" customFormat="1">
      <c r="B5383" s="3" t="s">
        <v>2156</v>
      </c>
      <c r="C5383" s="8">
        <v>1</v>
      </c>
      <c r="D5383" s="3" t="s">
        <v>2187</v>
      </c>
      <c r="E5383" s="11" t="s">
        <v>8</v>
      </c>
      <c r="F5383" s="11"/>
      <c r="G5383" s="12">
        <f>+G5380-G5382</f>
        <v>51769</v>
      </c>
      <c r="H5383" s="13">
        <f>ROUND(G5383/2,0)</f>
        <v>25885</v>
      </c>
      <c r="I5383" s="12">
        <f>G5383-H5383</f>
        <v>25884</v>
      </c>
      <c r="J5383" s="3" t="str">
        <f t="shared" si="393"/>
        <v>7210000</v>
      </c>
    </row>
    <row r="5384" spans="2:10" s="3" customFormat="1">
      <c r="B5384" s="3" t="s">
        <v>2156</v>
      </c>
      <c r="C5384" s="8">
        <v>2</v>
      </c>
      <c r="D5384" s="3" t="s">
        <v>2188</v>
      </c>
      <c r="E5384" s="11" t="s">
        <v>1563</v>
      </c>
      <c r="F5384" s="11"/>
      <c r="G5384" s="9"/>
      <c r="H5384" s="11"/>
      <c r="I5384" s="11"/>
      <c r="J5384" s="3" t="str">
        <f t="shared" si="393"/>
        <v>7220001</v>
      </c>
    </row>
    <row r="5385" spans="2:10" s="3" customFormat="1">
      <c r="B5385" s="3" t="s">
        <v>2156</v>
      </c>
      <c r="C5385" s="8">
        <v>2</v>
      </c>
      <c r="D5385" s="3" t="s">
        <v>2188</v>
      </c>
      <c r="E5385" s="11" t="s">
        <v>10</v>
      </c>
      <c r="F5385" s="10">
        <v>1.024E-3</v>
      </c>
      <c r="G5385" s="12">
        <f>ROUND(G$3*F5385,0)</f>
        <v>295</v>
      </c>
      <c r="H5385" s="13">
        <f>ROUND(G5385/2,0)</f>
        <v>148</v>
      </c>
      <c r="I5385" s="12">
        <f>G5385-H5385</f>
        <v>147</v>
      </c>
      <c r="J5385" s="3" t="str">
        <f t="shared" si="393"/>
        <v>7220001</v>
      </c>
    </row>
    <row r="5386" spans="2:10" s="3" customFormat="1">
      <c r="B5386" s="3" t="s">
        <v>2156</v>
      </c>
      <c r="C5386" s="8">
        <v>2</v>
      </c>
      <c r="D5386" s="3" t="s">
        <v>2188</v>
      </c>
      <c r="E5386" s="11" t="s">
        <v>11</v>
      </c>
      <c r="F5386" s="10">
        <v>4.5300000000000001E-4</v>
      </c>
      <c r="G5386" s="12">
        <f>ROUND(G$3*F5386,0)</f>
        <v>130</v>
      </c>
      <c r="H5386" s="13">
        <f>ROUND(G5386/2,0)</f>
        <v>65</v>
      </c>
      <c r="I5386" s="12">
        <f>G5386-H5386</f>
        <v>65</v>
      </c>
      <c r="J5386" s="3" t="str">
        <f t="shared" si="393"/>
        <v>7220001</v>
      </c>
    </row>
    <row r="5387" spans="2:10" s="3" customFormat="1">
      <c r="B5387" s="3" t="s">
        <v>2156</v>
      </c>
      <c r="C5387" s="8">
        <v>2</v>
      </c>
      <c r="D5387" s="3" t="s">
        <v>2189</v>
      </c>
      <c r="E5387" s="11" t="s">
        <v>291</v>
      </c>
      <c r="F5387" s="11"/>
      <c r="G5387" s="9"/>
      <c r="H5387" s="11"/>
      <c r="I5387" s="11"/>
      <c r="J5387" s="3" t="str">
        <f t="shared" si="393"/>
        <v>7220002</v>
      </c>
    </row>
    <row r="5388" spans="2:10" s="3" customFormat="1">
      <c r="B5388" s="3" t="s">
        <v>2156</v>
      </c>
      <c r="C5388" s="8">
        <v>2</v>
      </c>
      <c r="D5388" s="3" t="s">
        <v>2189</v>
      </c>
      <c r="E5388" s="11" t="s">
        <v>10</v>
      </c>
      <c r="F5388" s="10">
        <v>2.6830000000000001E-3</v>
      </c>
      <c r="G5388" s="12">
        <f>ROUND(G$3*F5388,0)</f>
        <v>772</v>
      </c>
      <c r="H5388" s="13">
        <f>ROUND(G5388/2,0)</f>
        <v>386</v>
      </c>
      <c r="I5388" s="12">
        <f>G5388-H5388</f>
        <v>386</v>
      </c>
      <c r="J5388" s="3" t="str">
        <f t="shared" si="393"/>
        <v>7220002</v>
      </c>
    </row>
    <row r="5389" spans="2:10" s="3" customFormat="1">
      <c r="B5389" s="3" t="s">
        <v>2156</v>
      </c>
      <c r="C5389" s="8">
        <v>2</v>
      </c>
      <c r="D5389" s="3" t="s">
        <v>2189</v>
      </c>
      <c r="E5389" s="11" t="s">
        <v>11</v>
      </c>
      <c r="F5389" s="10">
        <v>1.0349999999999999E-3</v>
      </c>
      <c r="G5389" s="12">
        <f>ROUND(G$3*F5389,0)</f>
        <v>298</v>
      </c>
      <c r="H5389" s="13">
        <f>ROUND(G5389/2,0)</f>
        <v>149</v>
      </c>
      <c r="I5389" s="12">
        <f>G5389-H5389</f>
        <v>149</v>
      </c>
      <c r="J5389" s="3" t="str">
        <f t="shared" si="393"/>
        <v>7220002</v>
      </c>
    </row>
    <row r="5390" spans="2:10" s="3" customFormat="1">
      <c r="B5390" s="3" t="s">
        <v>2156</v>
      </c>
      <c r="C5390" s="8">
        <v>2</v>
      </c>
      <c r="D5390" s="3" t="s">
        <v>2190</v>
      </c>
      <c r="E5390" s="11" t="s">
        <v>268</v>
      </c>
      <c r="F5390" s="11"/>
      <c r="G5390" s="9"/>
      <c r="H5390" s="11"/>
      <c r="I5390" s="11"/>
      <c r="J5390" s="3" t="str">
        <f t="shared" si="393"/>
        <v>7220003</v>
      </c>
    </row>
    <row r="5391" spans="2:10" s="3" customFormat="1">
      <c r="B5391" s="3" t="s">
        <v>2156</v>
      </c>
      <c r="C5391" s="8">
        <v>2</v>
      </c>
      <c r="D5391" s="3" t="s">
        <v>2190</v>
      </c>
      <c r="E5391" s="11" t="s">
        <v>10</v>
      </c>
      <c r="F5391" s="10">
        <v>3.5239999999999998E-3</v>
      </c>
      <c r="G5391" s="12">
        <f>ROUND(G$3*F5391,0)</f>
        <v>1014</v>
      </c>
      <c r="H5391" s="13">
        <f>ROUND(G5391/2,0)</f>
        <v>507</v>
      </c>
      <c r="I5391" s="12">
        <f>G5391-H5391</f>
        <v>507</v>
      </c>
      <c r="J5391" s="3" t="str">
        <f t="shared" si="393"/>
        <v>7220003</v>
      </c>
    </row>
    <row r="5392" spans="2:10" s="3" customFormat="1">
      <c r="B5392" s="3" t="s">
        <v>2156</v>
      </c>
      <c r="C5392" s="8">
        <v>2</v>
      </c>
      <c r="D5392" s="3" t="s">
        <v>2190</v>
      </c>
      <c r="E5392" s="11" t="s">
        <v>11</v>
      </c>
      <c r="F5392" s="10">
        <v>2.5110000000000002E-3</v>
      </c>
      <c r="G5392" s="12">
        <f>ROUND(G$3*F5392,0)</f>
        <v>722</v>
      </c>
      <c r="H5392" s="13">
        <f>ROUND(G5392/2,0)</f>
        <v>361</v>
      </c>
      <c r="I5392" s="12">
        <f>G5392-H5392</f>
        <v>361</v>
      </c>
      <c r="J5392" s="3" t="str">
        <f t="shared" si="393"/>
        <v>7220003</v>
      </c>
    </row>
    <row r="5393" spans="2:10" s="3" customFormat="1">
      <c r="B5393" s="3" t="s">
        <v>2156</v>
      </c>
      <c r="C5393" s="8">
        <v>2</v>
      </c>
      <c r="D5393" s="3" t="s">
        <v>2191</v>
      </c>
      <c r="E5393" s="11" t="s">
        <v>1564</v>
      </c>
      <c r="F5393" s="11"/>
      <c r="G5393" s="9"/>
      <c r="H5393" s="11"/>
      <c r="I5393" s="11"/>
      <c r="J5393" s="3" t="str">
        <f t="shared" si="393"/>
        <v>7220004</v>
      </c>
    </row>
    <row r="5394" spans="2:10" s="3" customFormat="1">
      <c r="B5394" s="3" t="s">
        <v>2156</v>
      </c>
      <c r="C5394" s="8">
        <v>2</v>
      </c>
      <c r="D5394" s="3" t="s">
        <v>2191</v>
      </c>
      <c r="E5394" s="11" t="s">
        <v>10</v>
      </c>
      <c r="F5394" s="10">
        <v>1.4009999999999999E-3</v>
      </c>
      <c r="G5394" s="12">
        <f>ROUND(G$3*F5394,0)</f>
        <v>403</v>
      </c>
      <c r="H5394" s="13">
        <f>ROUND(G5394/2,0)</f>
        <v>202</v>
      </c>
      <c r="I5394" s="12">
        <f>G5394-H5394</f>
        <v>201</v>
      </c>
      <c r="J5394" s="3" t="str">
        <f t="shared" si="393"/>
        <v>7220004</v>
      </c>
    </row>
    <row r="5395" spans="2:10" s="3" customFormat="1">
      <c r="B5395" s="3" t="s">
        <v>2156</v>
      </c>
      <c r="C5395" s="8">
        <v>2</v>
      </c>
      <c r="D5395" s="3" t="s">
        <v>2191</v>
      </c>
      <c r="E5395" s="11" t="s">
        <v>11</v>
      </c>
      <c r="F5395" s="10">
        <v>3.4499999999999998E-4</v>
      </c>
      <c r="G5395" s="12">
        <f>ROUND(G$3*F5395,0)</f>
        <v>99</v>
      </c>
      <c r="H5395" s="13">
        <f>ROUND(G5395/2,0)</f>
        <v>50</v>
      </c>
      <c r="I5395" s="12">
        <f>G5395-H5395</f>
        <v>49</v>
      </c>
      <c r="J5395" s="3" t="str">
        <f t="shared" si="393"/>
        <v>7220004</v>
      </c>
    </row>
    <row r="5396" spans="2:10" s="3" customFormat="1">
      <c r="B5396" s="3" t="s">
        <v>2156</v>
      </c>
      <c r="C5396" s="8">
        <v>2</v>
      </c>
      <c r="D5396" s="3" t="s">
        <v>2192</v>
      </c>
      <c r="E5396" s="11" t="s">
        <v>1565</v>
      </c>
      <c r="F5396" s="11"/>
      <c r="G5396" s="9"/>
      <c r="H5396" s="11"/>
      <c r="I5396" s="11"/>
      <c r="J5396" s="3" t="str">
        <f t="shared" si="393"/>
        <v>7220005</v>
      </c>
    </row>
    <row r="5397" spans="2:10" s="3" customFormat="1">
      <c r="B5397" s="3" t="s">
        <v>2156</v>
      </c>
      <c r="C5397" s="8">
        <v>2</v>
      </c>
      <c r="D5397" s="3" t="s">
        <v>2192</v>
      </c>
      <c r="E5397" s="11" t="s">
        <v>10</v>
      </c>
      <c r="F5397" s="10">
        <v>2.8449999999999999E-3</v>
      </c>
      <c r="G5397" s="12">
        <f>ROUND(G$3*F5397,0)</f>
        <v>819</v>
      </c>
      <c r="H5397" s="13">
        <f>ROUND(G5397/2,0)</f>
        <v>410</v>
      </c>
      <c r="I5397" s="12">
        <f>G5397-H5397</f>
        <v>409</v>
      </c>
      <c r="J5397" s="3" t="str">
        <f t="shared" si="393"/>
        <v>7220005</v>
      </c>
    </row>
    <row r="5398" spans="2:10" s="3" customFormat="1">
      <c r="B5398" s="3" t="s">
        <v>2156</v>
      </c>
      <c r="C5398" s="8">
        <v>2</v>
      </c>
      <c r="D5398" s="3" t="s">
        <v>2192</v>
      </c>
      <c r="E5398" s="11" t="s">
        <v>11</v>
      </c>
      <c r="F5398" s="10">
        <v>5.8200000000000005E-4</v>
      </c>
      <c r="G5398" s="12">
        <f>ROUND(G$3*F5398,0)</f>
        <v>167</v>
      </c>
      <c r="H5398" s="13">
        <f>ROUND(G5398/2,0)</f>
        <v>84</v>
      </c>
      <c r="I5398" s="12">
        <f>G5398-H5398</f>
        <v>83</v>
      </c>
      <c r="J5398" s="3" t="str">
        <f t="shared" si="393"/>
        <v>7220005</v>
      </c>
    </row>
    <row r="5399" spans="2:10" s="3" customFormat="1">
      <c r="B5399" s="3" t="s">
        <v>2156</v>
      </c>
      <c r="C5399" s="8">
        <v>3</v>
      </c>
      <c r="D5399" s="3" t="s">
        <v>3001</v>
      </c>
      <c r="E5399" s="11" t="s">
        <v>1566</v>
      </c>
      <c r="F5399" s="10">
        <v>1.6101000000000001E-2</v>
      </c>
      <c r="G5399" s="12">
        <f>ROUND(G$3*F5399,0)</f>
        <v>4633</v>
      </c>
      <c r="H5399" s="13">
        <f>ROUND(G5399/2,0)</f>
        <v>2317</v>
      </c>
      <c r="I5399" s="12">
        <f>G5399-H5399</f>
        <v>2316</v>
      </c>
      <c r="J5399" s="3" t="str">
        <f t="shared" si="393"/>
        <v>7230868</v>
      </c>
    </row>
    <row r="5400" spans="2:10" s="3" customFormat="1">
      <c r="B5400" s="3" t="s">
        <v>2156</v>
      </c>
      <c r="C5400" s="8">
        <v>3</v>
      </c>
      <c r="D5400" s="3" t="s">
        <v>3000</v>
      </c>
      <c r="E5400" s="11" t="s">
        <v>1567</v>
      </c>
      <c r="F5400" s="10">
        <v>6.0263999999999998E-2</v>
      </c>
      <c r="G5400" s="12">
        <f>ROUND(G$3*F5400,0)</f>
        <v>17339</v>
      </c>
      <c r="H5400" s="13">
        <f>ROUND(G5400/2,0)</f>
        <v>8670</v>
      </c>
      <c r="I5400" s="12">
        <f>G5400-H5400</f>
        <v>8669</v>
      </c>
      <c r="J5400" s="3" t="str">
        <f t="shared" si="393"/>
        <v>7230435</v>
      </c>
    </row>
    <row r="5401" spans="2:10" s="3" customFormat="1">
      <c r="B5401" s="3" t="s">
        <v>2156</v>
      </c>
      <c r="C5401" s="8">
        <v>4</v>
      </c>
      <c r="D5401" s="3" t="s">
        <v>3002</v>
      </c>
      <c r="E5401" s="11" t="s">
        <v>1568</v>
      </c>
      <c r="F5401" s="10">
        <v>0.12767300000000001</v>
      </c>
      <c r="G5401" s="9">
        <f>ROUND(G$3*F5401,0)</f>
        <v>36734</v>
      </c>
      <c r="H5401" s="11">
        <f>ROUND(G5401/2,0)</f>
        <v>18367</v>
      </c>
      <c r="I5401" s="9">
        <f>G5401-H5401</f>
        <v>18367</v>
      </c>
      <c r="J5401" s="3" t="str">
        <f t="shared" si="393"/>
        <v>7247230</v>
      </c>
    </row>
    <row r="5402" spans="2:10" s="3" customFormat="1">
      <c r="B5402" s="3" t="s">
        <v>2156</v>
      </c>
      <c r="C5402" s="8">
        <v>4</v>
      </c>
      <c r="D5402" s="3" t="s">
        <v>3002</v>
      </c>
      <c r="E5402" s="11" t="s">
        <v>28</v>
      </c>
      <c r="F5402" s="11"/>
      <c r="G5402" s="14">
        <v>0.36520999999999998</v>
      </c>
      <c r="H5402" s="11"/>
      <c r="I5402" s="11"/>
      <c r="J5402" s="3" t="str">
        <f t="shared" si="393"/>
        <v>7247230</v>
      </c>
    </row>
    <row r="5403" spans="2:10" s="3" customFormat="1">
      <c r="B5403" s="3" t="s">
        <v>2156</v>
      </c>
      <c r="C5403" s="8">
        <v>4</v>
      </c>
      <c r="D5403" s="3" t="s">
        <v>3002</v>
      </c>
      <c r="E5403" s="11" t="s">
        <v>29</v>
      </c>
      <c r="F5403" s="11"/>
      <c r="G5403" s="15">
        <f>ROUND(G5401*G5402,0)</f>
        <v>13416</v>
      </c>
      <c r="H5403" s="16">
        <f>ROUND(G5403/2,0)</f>
        <v>6708</v>
      </c>
      <c r="I5403" s="15">
        <f>G5403-H5403</f>
        <v>6708</v>
      </c>
      <c r="J5403" s="3" t="str">
        <f t="shared" si="393"/>
        <v>7247230</v>
      </c>
    </row>
    <row r="5404" spans="2:10" s="3" customFormat="1">
      <c r="B5404" s="3" t="s">
        <v>2156</v>
      </c>
      <c r="C5404" s="8">
        <v>4</v>
      </c>
      <c r="D5404" s="3" t="s">
        <v>3002</v>
      </c>
      <c r="E5404" s="11" t="s">
        <v>30</v>
      </c>
      <c r="F5404" s="11"/>
      <c r="G5404" s="12">
        <f>+G5401-G5403</f>
        <v>23318</v>
      </c>
      <c r="H5404" s="13">
        <f>ROUND(G5404/2,0)</f>
        <v>11659</v>
      </c>
      <c r="I5404" s="12">
        <f>G5404-H5404</f>
        <v>11659</v>
      </c>
      <c r="J5404" s="3" t="str">
        <f t="shared" si="393"/>
        <v>7247230</v>
      </c>
    </row>
    <row r="5405" spans="2:10" s="3" customFormat="1">
      <c r="B5405" s="3" t="s">
        <v>2156</v>
      </c>
      <c r="C5405" s="8">
        <v>4</v>
      </c>
      <c r="D5405" s="125" t="s">
        <v>5680</v>
      </c>
      <c r="E5405" s="11" t="s">
        <v>1569</v>
      </c>
      <c r="F5405" s="10">
        <v>0.52735100000000001</v>
      </c>
      <c r="G5405" s="9">
        <f>ROUND(G$3*F5405,0)</f>
        <v>151731</v>
      </c>
      <c r="H5405" s="11">
        <f>ROUND(G5405/2,0)</f>
        <v>75866</v>
      </c>
      <c r="I5405" s="9">
        <f>G5405-H5405</f>
        <v>75865</v>
      </c>
      <c r="J5405" s="3" t="str">
        <f t="shared" si="393"/>
        <v>7247255</v>
      </c>
    </row>
    <row r="5406" spans="2:10" s="3" customFormat="1">
      <c r="B5406" s="3" t="s">
        <v>2156</v>
      </c>
      <c r="C5406" s="8">
        <v>4</v>
      </c>
      <c r="D5406" s="125" t="s">
        <v>5680</v>
      </c>
      <c r="E5406" s="11" t="s">
        <v>28</v>
      </c>
      <c r="F5406" s="11"/>
      <c r="G5406" s="14">
        <v>0.42845100000000003</v>
      </c>
      <c r="H5406" s="11"/>
      <c r="I5406" s="11"/>
      <c r="J5406" s="3" t="str">
        <f t="shared" si="393"/>
        <v>7247255</v>
      </c>
    </row>
    <row r="5407" spans="2:10" s="3" customFormat="1">
      <c r="B5407" s="3" t="s">
        <v>2156</v>
      </c>
      <c r="C5407" s="8">
        <v>4</v>
      </c>
      <c r="D5407" s="125" t="s">
        <v>5680</v>
      </c>
      <c r="E5407" s="11" t="s">
        <v>29</v>
      </c>
      <c r="F5407" s="11"/>
      <c r="G5407" s="15">
        <f>ROUND(G5405*G5406,0)</f>
        <v>65009</v>
      </c>
      <c r="H5407" s="16">
        <f>ROUND(G5407/2,0)</f>
        <v>32505</v>
      </c>
      <c r="I5407" s="15">
        <f>G5407-H5407</f>
        <v>32504</v>
      </c>
      <c r="J5407" s="3" t="str">
        <f t="shared" si="393"/>
        <v>7247255</v>
      </c>
    </row>
    <row r="5408" spans="2:10" s="3" customFormat="1">
      <c r="B5408" s="3" t="s">
        <v>2156</v>
      </c>
      <c r="C5408" s="8">
        <v>4</v>
      </c>
      <c r="D5408" s="125" t="s">
        <v>5680</v>
      </c>
      <c r="E5408" s="11" t="s">
        <v>30</v>
      </c>
      <c r="F5408" s="11"/>
      <c r="G5408" s="12">
        <f>+G5405-G5407</f>
        <v>86722</v>
      </c>
      <c r="H5408" s="13">
        <f>ROUND(G5408/2,0)</f>
        <v>43361</v>
      </c>
      <c r="I5408" s="12">
        <f>G5408-H5408</f>
        <v>43361</v>
      </c>
      <c r="J5408" s="3" t="str">
        <f t="shared" si="393"/>
        <v>7247255</v>
      </c>
    </row>
    <row r="5409" spans="2:10" s="3" customFormat="1">
      <c r="B5409" s="3" t="s">
        <v>2156</v>
      </c>
      <c r="C5409" s="8">
        <v>5</v>
      </c>
      <c r="D5409" s="3" t="s">
        <v>5683</v>
      </c>
      <c r="E5409" s="11" t="s">
        <v>1570</v>
      </c>
      <c r="F5409" s="10">
        <v>2.1295000000000001E-2</v>
      </c>
      <c r="G5409" s="120">
        <f>ROUND(G$3*F5409,0)</f>
        <v>6127</v>
      </c>
      <c r="H5409" s="120">
        <f>ROUND(G5409/2,0)</f>
        <v>3064</v>
      </c>
      <c r="I5409" s="120">
        <f>G5409-H5409</f>
        <v>3063</v>
      </c>
      <c r="J5409" s="3" t="str">
        <f t="shared" si="393"/>
        <v>7250207</v>
      </c>
    </row>
    <row r="5410" spans="2:10" s="3" customFormat="1">
      <c r="B5410" s="3" t="s">
        <v>2156</v>
      </c>
      <c r="C5410" s="8">
        <v>6</v>
      </c>
      <c r="D5410" s="116" t="s">
        <v>3936</v>
      </c>
      <c r="E5410" s="11" t="s">
        <v>545</v>
      </c>
      <c r="F5410" s="10">
        <v>4.730000000000012E-3</v>
      </c>
      <c r="G5410" s="120">
        <f>+G5378-SUM(G5379:G5380)-SUM(G5385:G5401)-G5405-G5409</f>
        <v>-201793</v>
      </c>
      <c r="H5410" s="120">
        <f>ROUND(G5410/2,0)</f>
        <v>-100897</v>
      </c>
      <c r="I5410" s="120">
        <f>G5410-H5410</f>
        <v>-100896</v>
      </c>
      <c r="J5410" s="3" t="str">
        <f t="shared" si="393"/>
        <v>7261006</v>
      </c>
    </row>
    <row r="5411" spans="2:10" s="3" customFormat="1">
      <c r="B5411" s="3" t="s">
        <v>2156</v>
      </c>
      <c r="C5411" s="8">
        <v>0</v>
      </c>
      <c r="D5411" s="125" t="s">
        <v>2187</v>
      </c>
      <c r="E5411" s="28" t="s">
        <v>288</v>
      </c>
      <c r="F5411" s="10">
        <v>1</v>
      </c>
      <c r="G5411" s="12">
        <f>+G5379+SUM(G5382:G5400)+SUM(G5403:G5404)+SUM(G5407:G5410)</f>
        <v>84568</v>
      </c>
      <c r="H5411" s="12">
        <f>+H5379+SUM(H5382:H5400)+SUM(H5403:H5404)+SUM(H5407:H5410)</f>
        <v>42289</v>
      </c>
      <c r="I5411" s="12">
        <f>+I5379+SUM(I5382:I5400)+SUM(I5403:I5404)+SUM(I5407:I5410)</f>
        <v>42279</v>
      </c>
      <c r="J5411" s="3" t="str">
        <f t="shared" si="393"/>
        <v>7200000</v>
      </c>
    </row>
    <row r="5412" spans="2:10" s="3" customFormat="1">
      <c r="B5412" s="3" t="s">
        <v>2156</v>
      </c>
      <c r="C5412" s="8">
        <v>0</v>
      </c>
      <c r="D5412" s="3" t="s">
        <v>2187</v>
      </c>
      <c r="E5412" s="18" t="s">
        <v>38</v>
      </c>
      <c r="G5412" s="19">
        <f>+G5379</f>
        <v>332</v>
      </c>
      <c r="H5412" s="19">
        <f>+H5379</f>
        <v>166</v>
      </c>
      <c r="I5412" s="19">
        <f>+I5379</f>
        <v>166</v>
      </c>
      <c r="J5412" s="3" t="str">
        <f t="shared" si="393"/>
        <v>7200000</v>
      </c>
    </row>
    <row r="5413" spans="2:10" s="3" customFormat="1">
      <c r="B5413" s="3" t="s">
        <v>2156</v>
      </c>
      <c r="C5413" s="8">
        <v>0</v>
      </c>
      <c r="D5413" s="3" t="s">
        <v>2187</v>
      </c>
      <c r="E5413" s="2" t="s">
        <v>39</v>
      </c>
      <c r="G5413" s="19">
        <f>+G5382</f>
        <v>12977</v>
      </c>
      <c r="H5413" s="19">
        <f>+H5382</f>
        <v>6489</v>
      </c>
      <c r="I5413" s="19">
        <f>+I5382</f>
        <v>6488</v>
      </c>
      <c r="J5413" s="3" t="str">
        <f t="shared" si="393"/>
        <v>7200000</v>
      </c>
    </row>
    <row r="5414" spans="2:10" s="3" customFormat="1">
      <c r="B5414" s="3" t="s">
        <v>2156</v>
      </c>
      <c r="C5414" s="8">
        <v>0</v>
      </c>
      <c r="D5414" s="3" t="s">
        <v>2187</v>
      </c>
      <c r="E5414" s="2" t="s">
        <v>40</v>
      </c>
      <c r="G5414" s="19">
        <f>+G5403+G5407</f>
        <v>78425</v>
      </c>
      <c r="H5414" s="19">
        <f>+H5403+H5407</f>
        <v>39213</v>
      </c>
      <c r="I5414" s="19">
        <f>+I5403+I5407</f>
        <v>39212</v>
      </c>
      <c r="J5414" s="3" t="str">
        <f t="shared" si="393"/>
        <v>7200000</v>
      </c>
    </row>
    <row r="5415" spans="2:10" s="3" customFormat="1">
      <c r="B5415" s="3" t="s">
        <v>2156</v>
      </c>
      <c r="C5415" s="8">
        <v>0</v>
      </c>
      <c r="D5415" s="125" t="s">
        <v>2187</v>
      </c>
      <c r="E5415" s="18" t="s">
        <v>41</v>
      </c>
      <c r="G5415" s="19">
        <f>+G5411-G5412-G5413-G5414</f>
        <v>-7166</v>
      </c>
      <c r="H5415" s="19">
        <f>+H5411-H5412-H5413-H5414</f>
        <v>-3579</v>
      </c>
      <c r="I5415" s="19">
        <f>+I5411-I5412-I5413-I5414</f>
        <v>-3587</v>
      </c>
      <c r="J5415" s="3" t="str">
        <f t="shared" si="393"/>
        <v>7200000</v>
      </c>
    </row>
    <row r="5416" spans="2:10" ht="15.75">
      <c r="B5416" s="3" t="s">
        <v>2186</v>
      </c>
      <c r="D5416" t="s">
        <v>2186</v>
      </c>
      <c r="E5416">
        <v>0</v>
      </c>
      <c r="G5416"/>
      <c r="H5416"/>
      <c r="I5416"/>
      <c r="J5416" s="3" t="str">
        <f t="shared" si="393"/>
        <v/>
      </c>
    </row>
    <row r="5417" spans="2:10" s="3" customFormat="1">
      <c r="C5417" s="1"/>
      <c r="D5417" s="3" t="s">
        <v>2186</v>
      </c>
      <c r="E5417" s="2" t="s">
        <v>1571</v>
      </c>
      <c r="J5417" s="3" t="str">
        <f t="shared" si="393"/>
        <v/>
      </c>
    </row>
    <row r="5418" spans="2:10" s="3" customFormat="1" ht="45">
      <c r="B5418" s="3" t="s">
        <v>2186</v>
      </c>
      <c r="C5418" s="1"/>
      <c r="D5418" s="3" t="s">
        <v>2186</v>
      </c>
      <c r="E5418" s="1">
        <v>0</v>
      </c>
      <c r="F5418" s="6" t="s">
        <v>1</v>
      </c>
      <c r="G5418" s="60">
        <f>'Allocation Worksheet'!H5418</f>
        <v>0</v>
      </c>
      <c r="H5418" s="60">
        <f>'Allocation Worksheet'!H5419</f>
        <v>0</v>
      </c>
      <c r="I5418" s="60">
        <f>'Allocation Worksheet'!H5420</f>
        <v>0</v>
      </c>
      <c r="J5418" s="3" t="str">
        <f t="shared" si="393"/>
        <v/>
      </c>
    </row>
    <row r="5419" spans="2:10" s="3" customFormat="1">
      <c r="C5419" s="7" t="s">
        <v>2087</v>
      </c>
      <c r="D5419" s="3" t="s">
        <v>2186</v>
      </c>
      <c r="E5419" s="7" t="s">
        <v>3</v>
      </c>
      <c r="F5419" s="10"/>
      <c r="G5419" s="9">
        <f>'Allocation Worksheet'!$D$76</f>
        <v>384901</v>
      </c>
      <c r="H5419" s="11"/>
      <c r="I5419" s="11"/>
      <c r="J5419" s="3" t="str">
        <f t="shared" si="393"/>
        <v>UT</v>
      </c>
    </row>
    <row r="5420" spans="2:10" s="3" customFormat="1">
      <c r="B5420" s="3" t="s">
        <v>2157</v>
      </c>
      <c r="C5420" s="8">
        <v>0</v>
      </c>
      <c r="D5420" s="3" t="s">
        <v>2187</v>
      </c>
      <c r="E5420" s="11" t="s">
        <v>4</v>
      </c>
      <c r="F5420" s="10">
        <v>1.5299999999999999E-3</v>
      </c>
      <c r="G5420" s="12">
        <f>ROUND(G$3*F5420,0)</f>
        <v>440</v>
      </c>
      <c r="H5420" s="13">
        <f>ROUND(G5420/2,0)</f>
        <v>220</v>
      </c>
      <c r="I5420" s="12">
        <f>G5420-H5420</f>
        <v>220</v>
      </c>
      <c r="J5420" s="3" t="str">
        <f t="shared" si="393"/>
        <v>7300000</v>
      </c>
    </row>
    <row r="5421" spans="2:10" s="3" customFormat="1">
      <c r="B5421" s="3" t="s">
        <v>2157</v>
      </c>
      <c r="C5421" s="8">
        <v>1</v>
      </c>
      <c r="D5421" s="3" t="s">
        <v>2187</v>
      </c>
      <c r="E5421" s="11" t="s">
        <v>1572</v>
      </c>
      <c r="F5421" s="10">
        <v>0.18689600000000001</v>
      </c>
      <c r="G5421" s="9">
        <f>ROUND(G$3*F5421,0)</f>
        <v>53774</v>
      </c>
      <c r="H5421" s="11">
        <f>ROUND(G5421/2,0)</f>
        <v>26887</v>
      </c>
      <c r="I5421" s="9">
        <f>G5421-H5421</f>
        <v>26887</v>
      </c>
      <c r="J5421" s="3" t="str">
        <f t="shared" si="393"/>
        <v>7310000</v>
      </c>
    </row>
    <row r="5422" spans="2:10" s="3" customFormat="1">
      <c r="B5422" s="3" t="s">
        <v>2157</v>
      </c>
      <c r="C5422" s="8">
        <v>1</v>
      </c>
      <c r="D5422" s="3" t="s">
        <v>2187</v>
      </c>
      <c r="E5422" s="11" t="s">
        <v>6</v>
      </c>
      <c r="F5422" s="11"/>
      <c r="G5422" s="14">
        <v>0.219114</v>
      </c>
      <c r="H5422" s="11"/>
      <c r="I5422" s="11"/>
      <c r="J5422" s="3" t="str">
        <f t="shared" si="393"/>
        <v>7310000</v>
      </c>
    </row>
    <row r="5423" spans="2:10" s="3" customFormat="1">
      <c r="B5423" s="3" t="s">
        <v>2157</v>
      </c>
      <c r="C5423" s="8">
        <v>1</v>
      </c>
      <c r="D5423" s="3" t="s">
        <v>2187</v>
      </c>
      <c r="E5423" s="11" t="s">
        <v>7</v>
      </c>
      <c r="F5423" s="11"/>
      <c r="G5423" s="15">
        <f>ROUND(G5421*G5422,0)</f>
        <v>11783</v>
      </c>
      <c r="H5423" s="16">
        <f>ROUND(G5423/2,0)</f>
        <v>5892</v>
      </c>
      <c r="I5423" s="15">
        <f>G5423-H5423</f>
        <v>5891</v>
      </c>
      <c r="J5423" s="3" t="str">
        <f t="shared" si="393"/>
        <v>7310000</v>
      </c>
    </row>
    <row r="5424" spans="2:10" s="3" customFormat="1">
      <c r="B5424" s="3" t="s">
        <v>2157</v>
      </c>
      <c r="C5424" s="8">
        <v>1</v>
      </c>
      <c r="D5424" s="3" t="s">
        <v>2187</v>
      </c>
      <c r="E5424" s="11" t="s">
        <v>8</v>
      </c>
      <c r="F5424" s="11"/>
      <c r="G5424" s="12">
        <f>+G5421-G5423</f>
        <v>41991</v>
      </c>
      <c r="H5424" s="13">
        <f>ROUND(G5424/2,0)</f>
        <v>20996</v>
      </c>
      <c r="I5424" s="12">
        <f>G5424-H5424</f>
        <v>20995</v>
      </c>
      <c r="J5424" s="3" t="str">
        <f t="shared" si="393"/>
        <v>7310000</v>
      </c>
    </row>
    <row r="5425" spans="2:10" s="3" customFormat="1">
      <c r="B5425" s="3" t="s">
        <v>2157</v>
      </c>
      <c r="C5425" s="8">
        <v>2</v>
      </c>
      <c r="D5425" s="3" t="s">
        <v>2188</v>
      </c>
      <c r="E5425" s="11" t="s">
        <v>1573</v>
      </c>
      <c r="F5425" s="11"/>
      <c r="G5425" s="9"/>
      <c r="H5425" s="11"/>
      <c r="I5425" s="11"/>
      <c r="J5425" s="3" t="str">
        <f t="shared" si="393"/>
        <v>7320001</v>
      </c>
    </row>
    <row r="5426" spans="2:10" s="3" customFormat="1">
      <c r="B5426" s="3" t="s">
        <v>2157</v>
      </c>
      <c r="C5426" s="8">
        <v>2</v>
      </c>
      <c r="D5426" s="3" t="s">
        <v>2188</v>
      </c>
      <c r="E5426" s="11" t="s">
        <v>10</v>
      </c>
      <c r="F5426" s="10">
        <v>5.2519999999999997E-3</v>
      </c>
      <c r="G5426" s="12">
        <f>ROUND(G$3*F5426,0)</f>
        <v>1511</v>
      </c>
      <c r="H5426" s="13">
        <f>ROUND(G5426/2,0)</f>
        <v>756</v>
      </c>
      <c r="I5426" s="12">
        <f>G5426-H5426</f>
        <v>755</v>
      </c>
      <c r="J5426" s="3" t="str">
        <f t="shared" si="393"/>
        <v>7320001</v>
      </c>
    </row>
    <row r="5427" spans="2:10" s="3" customFormat="1">
      <c r="B5427" s="3" t="s">
        <v>2157</v>
      </c>
      <c r="C5427" s="8">
        <v>2</v>
      </c>
      <c r="D5427" s="3" t="s">
        <v>2188</v>
      </c>
      <c r="E5427" s="11" t="s">
        <v>11</v>
      </c>
      <c r="F5427" s="10">
        <v>5.2800000000000004E-4</v>
      </c>
      <c r="G5427" s="12">
        <f>ROUND(G$3*F5427,0)</f>
        <v>152</v>
      </c>
      <c r="H5427" s="13">
        <f>ROUND(G5427/2,0)</f>
        <v>76</v>
      </c>
      <c r="I5427" s="12">
        <f>G5427-H5427</f>
        <v>76</v>
      </c>
      <c r="J5427" s="3" t="str">
        <f t="shared" si="393"/>
        <v>7320001</v>
      </c>
    </row>
    <row r="5428" spans="2:10" s="3" customFormat="1">
      <c r="B5428" s="3" t="s">
        <v>2157</v>
      </c>
      <c r="C5428" s="8">
        <v>2</v>
      </c>
      <c r="D5428" s="3" t="s">
        <v>2189</v>
      </c>
      <c r="E5428" s="11" t="s">
        <v>670</v>
      </c>
      <c r="F5428" s="11"/>
      <c r="G5428" s="9"/>
      <c r="H5428" s="11"/>
      <c r="I5428" s="11"/>
      <c r="J5428" s="3" t="str">
        <f t="shared" si="393"/>
        <v>7320002</v>
      </c>
    </row>
    <row r="5429" spans="2:10" s="3" customFormat="1">
      <c r="B5429" s="3" t="s">
        <v>2157</v>
      </c>
      <c r="C5429" s="8">
        <v>2</v>
      </c>
      <c r="D5429" s="3" t="s">
        <v>2189</v>
      </c>
      <c r="E5429" s="11" t="s">
        <v>10</v>
      </c>
      <c r="F5429" s="10">
        <v>1.7520000000000001E-3</v>
      </c>
      <c r="G5429" s="12">
        <f>ROUND(G$3*F5429,0)</f>
        <v>504</v>
      </c>
      <c r="H5429" s="13">
        <f>ROUND(G5429/2,0)</f>
        <v>252</v>
      </c>
      <c r="I5429" s="12">
        <f>G5429-H5429</f>
        <v>252</v>
      </c>
      <c r="J5429" s="3" t="str">
        <f t="shared" si="393"/>
        <v>7320002</v>
      </c>
    </row>
    <row r="5430" spans="2:10" s="3" customFormat="1">
      <c r="B5430" s="3" t="s">
        <v>2157</v>
      </c>
      <c r="C5430" s="8">
        <v>2</v>
      </c>
      <c r="D5430" s="3" t="s">
        <v>2189</v>
      </c>
      <c r="E5430" s="11" t="s">
        <v>11</v>
      </c>
      <c r="F5430" s="10">
        <v>1.8469999999999999E-3</v>
      </c>
      <c r="G5430" s="12">
        <f>ROUND(G$3*F5430,0)</f>
        <v>531</v>
      </c>
      <c r="H5430" s="13">
        <f>ROUND(G5430/2,0)</f>
        <v>266</v>
      </c>
      <c r="I5430" s="12">
        <f>G5430-H5430</f>
        <v>265</v>
      </c>
      <c r="J5430" s="3" t="str">
        <f t="shared" si="393"/>
        <v>7320002</v>
      </c>
    </row>
    <row r="5431" spans="2:10" s="3" customFormat="1">
      <c r="B5431" s="3" t="s">
        <v>2157</v>
      </c>
      <c r="C5431" s="8">
        <v>2</v>
      </c>
      <c r="D5431" s="3" t="s">
        <v>2190</v>
      </c>
      <c r="E5431" s="11" t="s">
        <v>869</v>
      </c>
      <c r="F5431" s="11"/>
      <c r="G5431" s="9"/>
      <c r="H5431" s="11"/>
      <c r="I5431" s="11"/>
      <c r="J5431" s="3" t="str">
        <f t="shared" si="393"/>
        <v>7320003</v>
      </c>
    </row>
    <row r="5432" spans="2:10" s="3" customFormat="1">
      <c r="B5432" s="3" t="s">
        <v>2157</v>
      </c>
      <c r="C5432" s="8">
        <v>2</v>
      </c>
      <c r="D5432" s="3" t="s">
        <v>2190</v>
      </c>
      <c r="E5432" s="11" t="s">
        <v>10</v>
      </c>
      <c r="F5432" s="10">
        <v>2.7989999999999998E-3</v>
      </c>
      <c r="G5432" s="12">
        <f>ROUND(G$3*F5432,0)</f>
        <v>805</v>
      </c>
      <c r="H5432" s="13">
        <f>ROUND(G5432/2,0)</f>
        <v>403</v>
      </c>
      <c r="I5432" s="12">
        <f>G5432-H5432</f>
        <v>402</v>
      </c>
      <c r="J5432" s="3" t="str">
        <f t="shared" si="393"/>
        <v>7320003</v>
      </c>
    </row>
    <row r="5433" spans="2:10" s="3" customFormat="1">
      <c r="B5433" s="3" t="s">
        <v>2157</v>
      </c>
      <c r="C5433" s="8">
        <v>2</v>
      </c>
      <c r="D5433" s="3" t="s">
        <v>2190</v>
      </c>
      <c r="E5433" s="11" t="s">
        <v>11</v>
      </c>
      <c r="F5433" s="10">
        <v>2.2799999999999999E-3</v>
      </c>
      <c r="G5433" s="12">
        <f>ROUND(G$3*F5433,0)</f>
        <v>656</v>
      </c>
      <c r="H5433" s="13">
        <f>ROUND(G5433/2,0)</f>
        <v>328</v>
      </c>
      <c r="I5433" s="12">
        <f>G5433-H5433</f>
        <v>328</v>
      </c>
      <c r="J5433" s="3" t="str">
        <f t="shared" si="393"/>
        <v>7320003</v>
      </c>
    </row>
    <row r="5434" spans="2:10" s="3" customFormat="1">
      <c r="B5434" s="3" t="s">
        <v>2157</v>
      </c>
      <c r="C5434" s="8">
        <v>2</v>
      </c>
      <c r="D5434" s="3" t="s">
        <v>2191</v>
      </c>
      <c r="E5434" s="11" t="s">
        <v>1574</v>
      </c>
      <c r="F5434" s="11"/>
      <c r="G5434" s="9"/>
      <c r="H5434" s="11"/>
      <c r="I5434" s="11"/>
      <c r="J5434" s="3" t="str">
        <f t="shared" si="393"/>
        <v>7320004</v>
      </c>
    </row>
    <row r="5435" spans="2:10" s="3" customFormat="1">
      <c r="B5435" s="3" t="s">
        <v>2157</v>
      </c>
      <c r="C5435" s="8">
        <v>2</v>
      </c>
      <c r="D5435" s="3" t="s">
        <v>2191</v>
      </c>
      <c r="E5435" s="11" t="s">
        <v>10</v>
      </c>
      <c r="F5435" s="10">
        <v>4.2400000000000001E-4</v>
      </c>
      <c r="G5435" s="12">
        <f>ROUND(G$3*F5435,0)</f>
        <v>122</v>
      </c>
      <c r="H5435" s="13">
        <f>ROUND(G5435/2,0)</f>
        <v>61</v>
      </c>
      <c r="I5435" s="12">
        <f>G5435-H5435</f>
        <v>61</v>
      </c>
      <c r="J5435" s="3" t="str">
        <f t="shared" si="393"/>
        <v>7320004</v>
      </c>
    </row>
    <row r="5436" spans="2:10" s="3" customFormat="1">
      <c r="B5436" s="3" t="s">
        <v>2157</v>
      </c>
      <c r="C5436" s="8">
        <v>2</v>
      </c>
      <c r="D5436" s="3" t="s">
        <v>2191</v>
      </c>
      <c r="E5436" s="11" t="s">
        <v>11</v>
      </c>
      <c r="F5436" s="10">
        <v>1.56E-4</v>
      </c>
      <c r="G5436" s="12">
        <f>ROUND(G$3*F5436,0)</f>
        <v>45</v>
      </c>
      <c r="H5436" s="13">
        <f>ROUND(G5436/2,0)</f>
        <v>23</v>
      </c>
      <c r="I5436" s="12">
        <f>G5436-H5436</f>
        <v>22</v>
      </c>
      <c r="J5436" s="3" t="str">
        <f t="shared" si="393"/>
        <v>7320004</v>
      </c>
    </row>
    <row r="5437" spans="2:10" s="3" customFormat="1">
      <c r="B5437" s="3" t="s">
        <v>2157</v>
      </c>
      <c r="C5437" s="8">
        <v>2</v>
      </c>
      <c r="D5437" s="3" t="s">
        <v>2192</v>
      </c>
      <c r="E5437" s="11" t="s">
        <v>49</v>
      </c>
      <c r="F5437" s="11"/>
      <c r="G5437" s="9"/>
      <c r="H5437" s="11"/>
      <c r="I5437" s="11"/>
      <c r="J5437" s="3" t="str">
        <f t="shared" si="393"/>
        <v>7320005</v>
      </c>
    </row>
    <row r="5438" spans="2:10" s="3" customFormat="1">
      <c r="B5438" s="3" t="s">
        <v>2157</v>
      </c>
      <c r="C5438" s="8">
        <v>2</v>
      </c>
      <c r="D5438" s="3" t="s">
        <v>2192</v>
      </c>
      <c r="E5438" s="11" t="s">
        <v>10</v>
      </c>
      <c r="F5438" s="10">
        <v>2.6499999999999999E-4</v>
      </c>
      <c r="G5438" s="12">
        <f>ROUND(G$3*F5438,0)</f>
        <v>76</v>
      </c>
      <c r="H5438" s="13">
        <f>ROUND(G5438/2,0)</f>
        <v>38</v>
      </c>
      <c r="I5438" s="12">
        <f>G5438-H5438</f>
        <v>38</v>
      </c>
      <c r="J5438" s="3" t="str">
        <f t="shared" si="393"/>
        <v>7320005</v>
      </c>
    </row>
    <row r="5439" spans="2:10" s="3" customFormat="1">
      <c r="B5439" s="3" t="s">
        <v>2157</v>
      </c>
      <c r="C5439" s="8">
        <v>2</v>
      </c>
      <c r="D5439" s="3" t="s">
        <v>2192</v>
      </c>
      <c r="E5439" s="11" t="s">
        <v>11</v>
      </c>
      <c r="F5439" s="10">
        <v>2.1499999999999999E-4</v>
      </c>
      <c r="G5439" s="12">
        <f>ROUND(G$3*F5439,0)</f>
        <v>62</v>
      </c>
      <c r="H5439" s="13">
        <f>ROUND(G5439/2,0)</f>
        <v>31</v>
      </c>
      <c r="I5439" s="12">
        <f>G5439-H5439</f>
        <v>31</v>
      </c>
      <c r="J5439" s="3" t="str">
        <f t="shared" si="393"/>
        <v>7320005</v>
      </c>
    </row>
    <row r="5440" spans="2:10" s="3" customFormat="1">
      <c r="B5440" s="3" t="s">
        <v>2157</v>
      </c>
      <c r="C5440" s="8">
        <v>2</v>
      </c>
      <c r="D5440" s="3" t="s">
        <v>2193</v>
      </c>
      <c r="E5440" s="11" t="s">
        <v>181</v>
      </c>
      <c r="F5440" s="11"/>
      <c r="G5440" s="9"/>
      <c r="H5440" s="11"/>
      <c r="I5440" s="11"/>
      <c r="J5440" s="3" t="str">
        <f t="shared" si="393"/>
        <v>7320006</v>
      </c>
    </row>
    <row r="5441" spans="2:10" s="3" customFormat="1">
      <c r="B5441" s="3" t="s">
        <v>2157</v>
      </c>
      <c r="C5441" s="8">
        <v>2</v>
      </c>
      <c r="D5441" s="3" t="s">
        <v>2193</v>
      </c>
      <c r="E5441" s="11" t="s">
        <v>10</v>
      </c>
      <c r="F5441" s="10">
        <v>7.7899999999999996E-4</v>
      </c>
      <c r="G5441" s="12">
        <f>ROUND(G$3*F5441,0)</f>
        <v>224</v>
      </c>
      <c r="H5441" s="13">
        <f>ROUND(G5441/2,0)</f>
        <v>112</v>
      </c>
      <c r="I5441" s="12">
        <f>G5441-H5441</f>
        <v>112</v>
      </c>
      <c r="J5441" s="3" t="str">
        <f t="shared" si="393"/>
        <v>7320006</v>
      </c>
    </row>
    <row r="5442" spans="2:10" s="3" customFormat="1">
      <c r="B5442" s="3" t="s">
        <v>2157</v>
      </c>
      <c r="C5442" s="8">
        <v>2</v>
      </c>
      <c r="D5442" s="3" t="s">
        <v>2193</v>
      </c>
      <c r="E5442" s="11" t="s">
        <v>11</v>
      </c>
      <c r="F5442" s="10">
        <v>2.3699999999999999E-4</v>
      </c>
      <c r="G5442" s="12">
        <f>ROUND(G$3*F5442,0)</f>
        <v>68</v>
      </c>
      <c r="H5442" s="13">
        <f>ROUND(G5442/2,0)</f>
        <v>34</v>
      </c>
      <c r="I5442" s="12">
        <f>G5442-H5442</f>
        <v>34</v>
      </c>
      <c r="J5442" s="3" t="str">
        <f t="shared" si="393"/>
        <v>7320006</v>
      </c>
    </row>
    <row r="5443" spans="2:10" s="3" customFormat="1">
      <c r="B5443" s="3" t="s">
        <v>2157</v>
      </c>
      <c r="C5443" s="8">
        <v>2</v>
      </c>
      <c r="D5443" s="3" t="s">
        <v>2194</v>
      </c>
      <c r="E5443" s="11" t="s">
        <v>53</v>
      </c>
      <c r="F5443" s="11"/>
      <c r="G5443" s="9"/>
      <c r="H5443" s="11"/>
      <c r="I5443" s="11"/>
      <c r="J5443" s="3" t="str">
        <f t="shared" si="393"/>
        <v>7320007</v>
      </c>
    </row>
    <row r="5444" spans="2:10" s="3" customFormat="1">
      <c r="B5444" s="3" t="s">
        <v>2157</v>
      </c>
      <c r="C5444" s="8">
        <v>2</v>
      </c>
      <c r="D5444" s="3" t="s">
        <v>2194</v>
      </c>
      <c r="E5444" s="11" t="s">
        <v>10</v>
      </c>
      <c r="F5444" s="10">
        <v>9.5000000000000005E-5</v>
      </c>
      <c r="G5444" s="12">
        <f>ROUND(G$3*F5444,0)</f>
        <v>27</v>
      </c>
      <c r="H5444" s="13">
        <f>ROUND(G5444/2,0)</f>
        <v>14</v>
      </c>
      <c r="I5444" s="12">
        <f>G5444-H5444</f>
        <v>13</v>
      </c>
      <c r="J5444" s="3" t="str">
        <f t="shared" ref="J5444:J5507" si="394">B5444&amp;C5444&amp;D5444</f>
        <v>7320007</v>
      </c>
    </row>
    <row r="5445" spans="2:10" s="3" customFormat="1">
      <c r="B5445" s="3" t="s">
        <v>2157</v>
      </c>
      <c r="C5445" s="8">
        <v>2</v>
      </c>
      <c r="D5445" s="3" t="s">
        <v>2194</v>
      </c>
      <c r="E5445" s="11" t="s">
        <v>11</v>
      </c>
      <c r="F5445" s="10">
        <v>1.18E-4</v>
      </c>
      <c r="G5445" s="12">
        <f>ROUND(G$3*F5445,0)</f>
        <v>34</v>
      </c>
      <c r="H5445" s="13">
        <f>ROUND(G5445/2,0)</f>
        <v>17</v>
      </c>
      <c r="I5445" s="12">
        <f>G5445-H5445</f>
        <v>17</v>
      </c>
      <c r="J5445" s="3" t="str">
        <f t="shared" si="394"/>
        <v>7320007</v>
      </c>
    </row>
    <row r="5446" spans="2:10" s="3" customFormat="1">
      <c r="B5446" s="3" t="s">
        <v>2157</v>
      </c>
      <c r="C5446" s="8">
        <v>2</v>
      </c>
      <c r="D5446" s="3" t="s">
        <v>2195</v>
      </c>
      <c r="E5446" s="11" t="s">
        <v>1575</v>
      </c>
      <c r="F5446" s="11"/>
      <c r="G5446" s="9"/>
      <c r="H5446" s="11"/>
      <c r="I5446" s="11"/>
      <c r="J5446" s="3" t="str">
        <f t="shared" si="394"/>
        <v>7320008</v>
      </c>
    </row>
    <row r="5447" spans="2:10" s="3" customFormat="1">
      <c r="B5447" s="3" t="s">
        <v>2157</v>
      </c>
      <c r="C5447" s="8">
        <v>2</v>
      </c>
      <c r="D5447" s="3" t="s">
        <v>2195</v>
      </c>
      <c r="E5447" s="11" t="s">
        <v>10</v>
      </c>
      <c r="F5447" s="10">
        <v>4.993E-3</v>
      </c>
      <c r="G5447" s="12">
        <f>ROUND(G$3*F5447,0)</f>
        <v>1437</v>
      </c>
      <c r="H5447" s="13">
        <f>ROUND(G5447/2,0)</f>
        <v>719</v>
      </c>
      <c r="I5447" s="12">
        <f>G5447-H5447</f>
        <v>718</v>
      </c>
      <c r="J5447" s="3" t="str">
        <f t="shared" si="394"/>
        <v>7320008</v>
      </c>
    </row>
    <row r="5448" spans="2:10" s="3" customFormat="1">
      <c r="B5448" s="3" t="s">
        <v>2157</v>
      </c>
      <c r="C5448" s="8">
        <v>2</v>
      </c>
      <c r="D5448" s="3" t="s">
        <v>2195</v>
      </c>
      <c r="E5448" s="11" t="s">
        <v>11</v>
      </c>
      <c r="F5448" s="10">
        <v>3.5660000000000002E-3</v>
      </c>
      <c r="G5448" s="12">
        <f>ROUND(G$3*F5448,0)</f>
        <v>1026</v>
      </c>
      <c r="H5448" s="13">
        <f>ROUND(G5448/2,0)</f>
        <v>513</v>
      </c>
      <c r="I5448" s="12">
        <f>G5448-H5448</f>
        <v>513</v>
      </c>
      <c r="J5448" s="3" t="str">
        <f t="shared" si="394"/>
        <v>7320008</v>
      </c>
    </row>
    <row r="5449" spans="2:10" s="3" customFormat="1">
      <c r="B5449" s="3" t="s">
        <v>2157</v>
      </c>
      <c r="C5449" s="8">
        <v>2</v>
      </c>
      <c r="D5449" s="3" t="s">
        <v>2196</v>
      </c>
      <c r="E5449" s="11" t="s">
        <v>203</v>
      </c>
      <c r="F5449" s="11"/>
      <c r="G5449" s="9"/>
      <c r="H5449" s="11"/>
      <c r="I5449" s="11"/>
      <c r="J5449" s="3" t="str">
        <f t="shared" si="394"/>
        <v>7320009</v>
      </c>
    </row>
    <row r="5450" spans="2:10" s="3" customFormat="1">
      <c r="B5450" s="3" t="s">
        <v>2157</v>
      </c>
      <c r="C5450" s="8">
        <v>2</v>
      </c>
      <c r="D5450" s="3" t="s">
        <v>2196</v>
      </c>
      <c r="E5450" s="11" t="s">
        <v>10</v>
      </c>
      <c r="F5450" s="10">
        <v>2.4399999999999999E-4</v>
      </c>
      <c r="G5450" s="12">
        <f>ROUND(G$3*F5450,0)</f>
        <v>70</v>
      </c>
      <c r="H5450" s="13">
        <f>ROUND(G5450/2,0)</f>
        <v>35</v>
      </c>
      <c r="I5450" s="12">
        <f>G5450-H5450</f>
        <v>35</v>
      </c>
      <c r="J5450" s="3" t="str">
        <f t="shared" si="394"/>
        <v>7320009</v>
      </c>
    </row>
    <row r="5451" spans="2:10" s="3" customFormat="1">
      <c r="B5451" s="3" t="s">
        <v>2157</v>
      </c>
      <c r="C5451" s="8">
        <v>2</v>
      </c>
      <c r="D5451" s="3" t="s">
        <v>2196</v>
      </c>
      <c r="E5451" s="11" t="s">
        <v>11</v>
      </c>
      <c r="F5451" s="10">
        <v>9.5000000000000005E-5</v>
      </c>
      <c r="G5451" s="12">
        <f>ROUND(G$3*F5451,0)</f>
        <v>27</v>
      </c>
      <c r="H5451" s="13">
        <f>ROUND(G5451/2,0)</f>
        <v>14</v>
      </c>
      <c r="I5451" s="12">
        <f>G5451-H5451</f>
        <v>13</v>
      </c>
      <c r="J5451" s="3" t="str">
        <f t="shared" si="394"/>
        <v>7320009</v>
      </c>
    </row>
    <row r="5452" spans="2:10" s="3" customFormat="1">
      <c r="B5452" s="3" t="s">
        <v>2157</v>
      </c>
      <c r="C5452" s="8">
        <v>2</v>
      </c>
      <c r="D5452" s="3" t="s">
        <v>2197</v>
      </c>
      <c r="E5452" s="11" t="s">
        <v>873</v>
      </c>
      <c r="F5452" s="11"/>
      <c r="G5452" s="9"/>
      <c r="H5452" s="11"/>
      <c r="I5452" s="11"/>
      <c r="J5452" s="3" t="str">
        <f t="shared" si="394"/>
        <v>7320010</v>
      </c>
    </row>
    <row r="5453" spans="2:10" s="3" customFormat="1">
      <c r="B5453" s="3" t="s">
        <v>2157</v>
      </c>
      <c r="C5453" s="8">
        <v>2</v>
      </c>
      <c r="D5453" s="3" t="s">
        <v>2197</v>
      </c>
      <c r="E5453" s="11" t="s">
        <v>10</v>
      </c>
      <c r="F5453" s="10">
        <v>7.8399999999999997E-4</v>
      </c>
      <c r="G5453" s="12">
        <f>ROUND(G$3*F5453,0)</f>
        <v>226</v>
      </c>
      <c r="H5453" s="13">
        <f>ROUND(G5453/2,0)</f>
        <v>113</v>
      </c>
      <c r="I5453" s="12">
        <f>G5453-H5453</f>
        <v>113</v>
      </c>
      <c r="J5453" s="3" t="str">
        <f t="shared" si="394"/>
        <v>7320010</v>
      </c>
    </row>
    <row r="5454" spans="2:10" s="3" customFormat="1">
      <c r="B5454" s="3" t="s">
        <v>2157</v>
      </c>
      <c r="C5454" s="8">
        <v>2</v>
      </c>
      <c r="D5454" s="3" t="s">
        <v>2197</v>
      </c>
      <c r="E5454" s="11" t="s">
        <v>11</v>
      </c>
      <c r="F5454" s="10">
        <v>1.456E-3</v>
      </c>
      <c r="G5454" s="12">
        <f>ROUND(G$3*F5454,0)</f>
        <v>419</v>
      </c>
      <c r="H5454" s="13">
        <f>ROUND(G5454/2,0)</f>
        <v>210</v>
      </c>
      <c r="I5454" s="12">
        <f>G5454-H5454</f>
        <v>209</v>
      </c>
      <c r="J5454" s="3" t="str">
        <f t="shared" si="394"/>
        <v>7320010</v>
      </c>
    </row>
    <row r="5455" spans="2:10" s="3" customFormat="1">
      <c r="B5455" s="3" t="s">
        <v>2157</v>
      </c>
      <c r="C5455" s="8">
        <v>2</v>
      </c>
      <c r="D5455" s="3" t="s">
        <v>2198</v>
      </c>
      <c r="E5455" s="11" t="s">
        <v>149</v>
      </c>
      <c r="F5455" s="11"/>
      <c r="G5455" s="9"/>
      <c r="H5455" s="11"/>
      <c r="I5455" s="11"/>
      <c r="J5455" s="3" t="str">
        <f t="shared" si="394"/>
        <v>7320011</v>
      </c>
    </row>
    <row r="5456" spans="2:10" s="3" customFormat="1">
      <c r="B5456" s="3" t="s">
        <v>2157</v>
      </c>
      <c r="C5456" s="8">
        <v>2</v>
      </c>
      <c r="D5456" s="3" t="s">
        <v>2198</v>
      </c>
      <c r="E5456" s="11" t="s">
        <v>10</v>
      </c>
      <c r="F5456" s="10">
        <v>8.3799999999999999E-4</v>
      </c>
      <c r="G5456" s="12">
        <f>ROUND(G$3*F5456,0)</f>
        <v>241</v>
      </c>
      <c r="H5456" s="13">
        <f>ROUND(G5456/2,0)</f>
        <v>121</v>
      </c>
      <c r="I5456" s="12">
        <f>G5456-H5456</f>
        <v>120</v>
      </c>
      <c r="J5456" s="3" t="str">
        <f t="shared" si="394"/>
        <v>7320011</v>
      </c>
    </row>
    <row r="5457" spans="1:10" s="3" customFormat="1">
      <c r="B5457" s="3" t="s">
        <v>2157</v>
      </c>
      <c r="C5457" s="8">
        <v>2</v>
      </c>
      <c r="D5457" s="3" t="s">
        <v>2198</v>
      </c>
      <c r="E5457" s="11" t="s">
        <v>11</v>
      </c>
      <c r="F5457" s="10">
        <v>5.6099999999999998E-4</v>
      </c>
      <c r="G5457" s="12">
        <f>ROUND(G$3*F5457,0)</f>
        <v>161</v>
      </c>
      <c r="H5457" s="13">
        <f>ROUND(G5457/2,0)</f>
        <v>81</v>
      </c>
      <c r="I5457" s="12">
        <f>G5457-H5457</f>
        <v>80</v>
      </c>
      <c r="J5457" s="3" t="str">
        <f t="shared" si="394"/>
        <v>7320011</v>
      </c>
    </row>
    <row r="5458" spans="1:10" s="3" customFormat="1">
      <c r="B5458" s="3" t="s">
        <v>2157</v>
      </c>
      <c r="C5458" s="8">
        <v>2</v>
      </c>
      <c r="D5458" s="3" t="s">
        <v>2199</v>
      </c>
      <c r="E5458" s="11" t="s">
        <v>20</v>
      </c>
      <c r="F5458" s="11"/>
      <c r="G5458" s="9"/>
      <c r="H5458" s="11"/>
      <c r="I5458" s="11"/>
      <c r="J5458" s="3" t="str">
        <f t="shared" si="394"/>
        <v>7320012</v>
      </c>
    </row>
    <row r="5459" spans="1:10" s="3" customFormat="1">
      <c r="B5459" s="3" t="s">
        <v>2157</v>
      </c>
      <c r="C5459" s="8">
        <v>2</v>
      </c>
      <c r="D5459" s="3" t="s">
        <v>2199</v>
      </c>
      <c r="E5459" s="11" t="s">
        <v>10</v>
      </c>
      <c r="F5459" s="10">
        <v>8.3600000000000005E-4</v>
      </c>
      <c r="G5459" s="12">
        <f>ROUND(G$3*F5459,0)</f>
        <v>241</v>
      </c>
      <c r="H5459" s="13">
        <f>ROUND(G5459/2,0)</f>
        <v>121</v>
      </c>
      <c r="I5459" s="12">
        <f>G5459-H5459</f>
        <v>120</v>
      </c>
      <c r="J5459" s="3" t="str">
        <f t="shared" si="394"/>
        <v>7320012</v>
      </c>
    </row>
    <row r="5460" spans="1:10" s="3" customFormat="1">
      <c r="B5460" s="3" t="s">
        <v>2157</v>
      </c>
      <c r="C5460" s="8">
        <v>2</v>
      </c>
      <c r="D5460" s="3" t="s">
        <v>2199</v>
      </c>
      <c r="E5460" s="11" t="s">
        <v>11</v>
      </c>
      <c r="F5460" s="10">
        <v>2.9100000000000003E-4</v>
      </c>
      <c r="G5460" s="12">
        <f>ROUND(G$3*F5460,0)</f>
        <v>84</v>
      </c>
      <c r="H5460" s="13">
        <f>ROUND(G5460/2,0)</f>
        <v>42</v>
      </c>
      <c r="I5460" s="12">
        <f>G5460-H5460</f>
        <v>42</v>
      </c>
      <c r="J5460" s="3" t="str">
        <f t="shared" si="394"/>
        <v>7320012</v>
      </c>
    </row>
    <row r="5461" spans="1:10" s="3" customFormat="1">
      <c r="B5461" s="3" t="s">
        <v>2157</v>
      </c>
      <c r="C5461" s="8">
        <v>2</v>
      </c>
      <c r="D5461" s="3" t="s">
        <v>2208</v>
      </c>
      <c r="E5461" s="11" t="s">
        <v>169</v>
      </c>
      <c r="F5461" s="11"/>
      <c r="G5461" s="9"/>
      <c r="H5461" s="11"/>
      <c r="I5461" s="11"/>
      <c r="J5461" s="3" t="str">
        <f t="shared" si="394"/>
        <v>7320013</v>
      </c>
    </row>
    <row r="5462" spans="1:10" s="3" customFormat="1">
      <c r="B5462" s="3" t="s">
        <v>2157</v>
      </c>
      <c r="C5462" s="8">
        <v>2</v>
      </c>
      <c r="D5462" s="3" t="s">
        <v>2208</v>
      </c>
      <c r="E5462" s="11" t="s">
        <v>10</v>
      </c>
      <c r="F5462" s="10">
        <v>6.7699999999999998E-4</v>
      </c>
      <c r="G5462" s="12">
        <f>ROUND(G$3*F5462,0)</f>
        <v>195</v>
      </c>
      <c r="H5462" s="13">
        <f>ROUND(G5462/2,0)</f>
        <v>98</v>
      </c>
      <c r="I5462" s="12">
        <f>G5462-H5462</f>
        <v>97</v>
      </c>
      <c r="J5462" s="3" t="str">
        <f t="shared" si="394"/>
        <v>7320013</v>
      </c>
    </row>
    <row r="5463" spans="1:10" s="3" customFormat="1">
      <c r="B5463" s="3" t="s">
        <v>2157</v>
      </c>
      <c r="C5463" s="8">
        <v>2</v>
      </c>
      <c r="D5463" s="3" t="s">
        <v>2208</v>
      </c>
      <c r="E5463" s="11" t="s">
        <v>11</v>
      </c>
      <c r="F5463" s="10">
        <v>5.2300000000000003E-4</v>
      </c>
      <c r="G5463" s="12">
        <f>ROUND(G$3*F5463,0)</f>
        <v>150</v>
      </c>
      <c r="H5463" s="13">
        <f>ROUND(G5463/2,0)</f>
        <v>75</v>
      </c>
      <c r="I5463" s="12">
        <f>G5463-H5463</f>
        <v>75</v>
      </c>
      <c r="J5463" s="3" t="str">
        <f t="shared" si="394"/>
        <v>7320013</v>
      </c>
    </row>
    <row r="5464" spans="1:10" s="3" customFormat="1">
      <c r="B5464" s="3" t="s">
        <v>2157</v>
      </c>
      <c r="C5464" s="8">
        <v>2</v>
      </c>
      <c r="D5464" s="3" t="s">
        <v>2209</v>
      </c>
      <c r="E5464" s="11" t="s">
        <v>22</v>
      </c>
      <c r="F5464" s="11"/>
      <c r="G5464" s="9"/>
      <c r="H5464" s="11"/>
      <c r="I5464" s="11"/>
      <c r="J5464" s="3" t="str">
        <f t="shared" si="394"/>
        <v>7320014</v>
      </c>
    </row>
    <row r="5465" spans="1:10" s="3" customFormat="1">
      <c r="B5465" s="3" t="s">
        <v>2157</v>
      </c>
      <c r="C5465" s="8">
        <v>2</v>
      </c>
      <c r="D5465" s="3" t="s">
        <v>2209</v>
      </c>
      <c r="E5465" s="11" t="s">
        <v>10</v>
      </c>
      <c r="F5465" s="10">
        <v>2.3000000000000001E-4</v>
      </c>
      <c r="G5465" s="12">
        <f t="shared" ref="G5465:G5471" si="395">ROUND(G$3*F5465,0)</f>
        <v>66</v>
      </c>
      <c r="H5465" s="13">
        <f t="shared" ref="H5465:H5471" si="396">ROUND(G5465/2,0)</f>
        <v>33</v>
      </c>
      <c r="I5465" s="12">
        <f t="shared" ref="I5465:I5471" si="397">G5465-H5465</f>
        <v>33</v>
      </c>
      <c r="J5465" s="3" t="str">
        <f t="shared" si="394"/>
        <v>7320014</v>
      </c>
    </row>
    <row r="5466" spans="1:10" s="3" customFormat="1">
      <c r="B5466" s="3" t="s">
        <v>2157</v>
      </c>
      <c r="C5466" s="8">
        <v>2</v>
      </c>
      <c r="D5466" s="3" t="s">
        <v>2209</v>
      </c>
      <c r="E5466" s="11" t="s">
        <v>11</v>
      </c>
      <c r="F5466" s="10">
        <v>1.18E-4</v>
      </c>
      <c r="G5466" s="12">
        <f t="shared" si="395"/>
        <v>34</v>
      </c>
      <c r="H5466" s="13">
        <f t="shared" si="396"/>
        <v>17</v>
      </c>
      <c r="I5466" s="12">
        <f t="shared" si="397"/>
        <v>17</v>
      </c>
      <c r="J5466" s="3" t="str">
        <f t="shared" si="394"/>
        <v>7320014</v>
      </c>
    </row>
    <row r="5467" spans="1:10" s="3" customFormat="1">
      <c r="A5467" s="3" t="s">
        <v>6269</v>
      </c>
      <c r="B5467" s="3" t="s">
        <v>2157</v>
      </c>
      <c r="C5467" s="8">
        <v>3</v>
      </c>
      <c r="D5467" s="3" t="s">
        <v>2235</v>
      </c>
      <c r="E5467" s="11" t="s">
        <v>1576</v>
      </c>
      <c r="F5467" s="10">
        <v>0</v>
      </c>
      <c r="G5467" s="12">
        <f t="shared" si="395"/>
        <v>0</v>
      </c>
      <c r="H5467" s="13">
        <f t="shared" si="396"/>
        <v>0</v>
      </c>
      <c r="I5467" s="12">
        <f t="shared" si="397"/>
        <v>0</v>
      </c>
      <c r="J5467" s="3" t="str">
        <f t="shared" si="394"/>
        <v>7330703</v>
      </c>
    </row>
    <row r="5468" spans="1:10" s="3" customFormat="1">
      <c r="B5468" s="3" t="s">
        <v>2157</v>
      </c>
      <c r="C5468" s="8">
        <v>3</v>
      </c>
      <c r="D5468" s="3" t="s">
        <v>3004</v>
      </c>
      <c r="E5468" s="11" t="s">
        <v>1577</v>
      </c>
      <c r="F5468" s="10">
        <v>8.5000000000000006E-5</v>
      </c>
      <c r="G5468" s="12">
        <f t="shared" si="395"/>
        <v>24</v>
      </c>
      <c r="H5468" s="13">
        <f t="shared" si="396"/>
        <v>12</v>
      </c>
      <c r="I5468" s="12">
        <f t="shared" si="397"/>
        <v>12</v>
      </c>
      <c r="J5468" s="3" t="str">
        <f t="shared" si="394"/>
        <v>7330869</v>
      </c>
    </row>
    <row r="5469" spans="1:10" s="3" customFormat="1">
      <c r="B5469" s="3" t="s">
        <v>2157</v>
      </c>
      <c r="C5469" s="8">
        <v>3</v>
      </c>
      <c r="D5469" s="3" t="s">
        <v>2357</v>
      </c>
      <c r="E5469" s="11" t="s">
        <v>1578</v>
      </c>
      <c r="F5469" s="10">
        <v>1.2830000000000001E-3</v>
      </c>
      <c r="G5469" s="12">
        <f t="shared" si="395"/>
        <v>369</v>
      </c>
      <c r="H5469" s="13">
        <f t="shared" si="396"/>
        <v>185</v>
      </c>
      <c r="I5469" s="12">
        <f t="shared" si="397"/>
        <v>184</v>
      </c>
      <c r="J5469" s="3" t="str">
        <f t="shared" si="394"/>
        <v>7330583</v>
      </c>
    </row>
    <row r="5470" spans="1:10" s="3" customFormat="1">
      <c r="B5470" s="3" t="s">
        <v>2157</v>
      </c>
      <c r="C5470" s="8">
        <v>3</v>
      </c>
      <c r="D5470" s="3" t="s">
        <v>3003</v>
      </c>
      <c r="E5470" s="11" t="s">
        <v>1579</v>
      </c>
      <c r="F5470" s="10">
        <v>7.0604E-2</v>
      </c>
      <c r="G5470" s="12">
        <f t="shared" si="395"/>
        <v>20314</v>
      </c>
      <c r="H5470" s="13">
        <f t="shared" si="396"/>
        <v>10157</v>
      </c>
      <c r="I5470" s="12">
        <f t="shared" si="397"/>
        <v>10157</v>
      </c>
      <c r="J5470" s="3" t="str">
        <f t="shared" si="394"/>
        <v>7330308</v>
      </c>
    </row>
    <row r="5471" spans="1:10" s="3" customFormat="1">
      <c r="B5471" s="3" t="s">
        <v>2157</v>
      </c>
      <c r="C5471" s="8">
        <v>4</v>
      </c>
      <c r="D5471" s="3" t="s">
        <v>2359</v>
      </c>
      <c r="E5471" s="11" t="s">
        <v>362</v>
      </c>
      <c r="F5471" s="10">
        <v>3.1540000000000001E-3</v>
      </c>
      <c r="G5471" s="9">
        <f t="shared" si="395"/>
        <v>907</v>
      </c>
      <c r="H5471" s="11">
        <f t="shared" si="396"/>
        <v>454</v>
      </c>
      <c r="I5471" s="9">
        <f t="shared" si="397"/>
        <v>453</v>
      </c>
      <c r="J5471" s="3" t="str">
        <f t="shared" si="394"/>
        <v>7341655</v>
      </c>
    </row>
    <row r="5472" spans="1:10" s="3" customFormat="1">
      <c r="B5472" s="3" t="s">
        <v>2157</v>
      </c>
      <c r="C5472" s="8">
        <v>4</v>
      </c>
      <c r="D5472" s="3" t="s">
        <v>2359</v>
      </c>
      <c r="E5472" s="11" t="s">
        <v>28</v>
      </c>
      <c r="F5472" s="11"/>
      <c r="G5472" s="14">
        <v>0.52531300000000003</v>
      </c>
      <c r="H5472" s="11"/>
      <c r="I5472" s="11"/>
      <c r="J5472" s="3" t="str">
        <f t="shared" si="394"/>
        <v>7341655</v>
      </c>
    </row>
    <row r="5473" spans="2:10" s="3" customFormat="1">
      <c r="B5473" s="3" t="s">
        <v>2157</v>
      </c>
      <c r="C5473" s="8">
        <v>4</v>
      </c>
      <c r="D5473" s="3" t="s">
        <v>2359</v>
      </c>
      <c r="E5473" s="11" t="s">
        <v>29</v>
      </c>
      <c r="F5473" s="11"/>
      <c r="G5473" s="15">
        <f>ROUND(G5471*G5472,0)</f>
        <v>476</v>
      </c>
      <c r="H5473" s="16">
        <f>ROUND(G5473/2,0)</f>
        <v>238</v>
      </c>
      <c r="I5473" s="15">
        <f>G5473-H5473</f>
        <v>238</v>
      </c>
      <c r="J5473" s="3" t="str">
        <f t="shared" si="394"/>
        <v>7341655</v>
      </c>
    </row>
    <row r="5474" spans="2:10" s="3" customFormat="1">
      <c r="B5474" s="3" t="s">
        <v>2157</v>
      </c>
      <c r="C5474" s="8">
        <v>4</v>
      </c>
      <c r="D5474" s="3" t="s">
        <v>2359</v>
      </c>
      <c r="E5474" s="11" t="s">
        <v>30</v>
      </c>
      <c r="F5474" s="11"/>
      <c r="G5474" s="12">
        <f>+G5471-G5473</f>
        <v>431</v>
      </c>
      <c r="H5474" s="13">
        <f>ROUND(G5474/2,0)</f>
        <v>216</v>
      </c>
      <c r="I5474" s="12">
        <f>G5474-H5474</f>
        <v>215</v>
      </c>
      <c r="J5474" s="3" t="str">
        <f t="shared" si="394"/>
        <v>7341655</v>
      </c>
    </row>
    <row r="5475" spans="2:10" s="3" customFormat="1">
      <c r="B5475" s="3" t="s">
        <v>2157</v>
      </c>
      <c r="C5475" s="8">
        <v>4</v>
      </c>
      <c r="D5475" s="3" t="s">
        <v>3006</v>
      </c>
      <c r="E5475" s="11" t="s">
        <v>1580</v>
      </c>
      <c r="F5475" s="10">
        <v>0.17088999999999999</v>
      </c>
      <c r="G5475" s="9">
        <f>ROUND(G$3*F5475,0)</f>
        <v>49169</v>
      </c>
      <c r="H5475" s="11">
        <f>ROUND(G5475/2,0)</f>
        <v>24585</v>
      </c>
      <c r="I5475" s="9">
        <f>G5475-H5475</f>
        <v>24584</v>
      </c>
      <c r="J5475" s="3" t="str">
        <f t="shared" si="394"/>
        <v>7347350</v>
      </c>
    </row>
    <row r="5476" spans="2:10" s="3" customFormat="1">
      <c r="B5476" s="3" t="s">
        <v>2157</v>
      </c>
      <c r="C5476" s="8">
        <v>4</v>
      </c>
      <c r="D5476" s="3" t="s">
        <v>3006</v>
      </c>
      <c r="E5476" s="11" t="s">
        <v>28</v>
      </c>
      <c r="F5476" s="11"/>
      <c r="G5476" s="14">
        <v>0.52431000000000005</v>
      </c>
      <c r="H5476" s="11"/>
      <c r="I5476" s="11"/>
      <c r="J5476" s="3" t="str">
        <f t="shared" si="394"/>
        <v>7347350</v>
      </c>
    </row>
    <row r="5477" spans="2:10" s="3" customFormat="1">
      <c r="B5477" s="3" t="s">
        <v>2157</v>
      </c>
      <c r="C5477" s="8">
        <v>4</v>
      </c>
      <c r="D5477" s="3" t="s">
        <v>3006</v>
      </c>
      <c r="E5477" s="11" t="s">
        <v>29</v>
      </c>
      <c r="F5477" s="11"/>
      <c r="G5477" s="15">
        <f>ROUND(G5475*G5476,0)</f>
        <v>25780</v>
      </c>
      <c r="H5477" s="16">
        <f>ROUND(G5477/2,0)</f>
        <v>12890</v>
      </c>
      <c r="I5477" s="15">
        <f>G5477-H5477</f>
        <v>12890</v>
      </c>
      <c r="J5477" s="3" t="str">
        <f t="shared" si="394"/>
        <v>7347350</v>
      </c>
    </row>
    <row r="5478" spans="2:10" s="3" customFormat="1">
      <c r="B5478" s="3" t="s">
        <v>2157</v>
      </c>
      <c r="C5478" s="8">
        <v>4</v>
      </c>
      <c r="D5478" s="3" t="s">
        <v>3006</v>
      </c>
      <c r="E5478" s="11" t="s">
        <v>30</v>
      </c>
      <c r="F5478" s="11"/>
      <c r="G5478" s="12">
        <f>+G5475-G5477</f>
        <v>23389</v>
      </c>
      <c r="H5478" s="13">
        <f>ROUND(G5478/2,0)</f>
        <v>11695</v>
      </c>
      <c r="I5478" s="12">
        <f>G5478-H5478</f>
        <v>11694</v>
      </c>
      <c r="J5478" s="3" t="str">
        <f t="shared" si="394"/>
        <v>7347350</v>
      </c>
    </row>
    <row r="5479" spans="2:10" s="3" customFormat="1">
      <c r="B5479" s="3" t="s">
        <v>2157</v>
      </c>
      <c r="C5479" s="8">
        <v>4</v>
      </c>
      <c r="D5479" s="3" t="s">
        <v>3005</v>
      </c>
      <c r="E5479" s="11" t="s">
        <v>1581</v>
      </c>
      <c r="F5479" s="10">
        <v>0.19584799999999999</v>
      </c>
      <c r="G5479" s="9">
        <f>ROUND(G$3*F5479,0)</f>
        <v>56350</v>
      </c>
      <c r="H5479" s="11">
        <f>ROUND(G5479/2,0)</f>
        <v>28175</v>
      </c>
      <c r="I5479" s="9">
        <f>G5479-H5479</f>
        <v>28175</v>
      </c>
      <c r="J5479" s="3" t="str">
        <f t="shared" si="394"/>
        <v>7347285</v>
      </c>
    </row>
    <row r="5480" spans="2:10" s="3" customFormat="1">
      <c r="B5480" s="3" t="s">
        <v>2157</v>
      </c>
      <c r="C5480" s="8">
        <v>4</v>
      </c>
      <c r="D5480" s="3" t="s">
        <v>3005</v>
      </c>
      <c r="E5480" s="11" t="s">
        <v>28</v>
      </c>
      <c r="F5480" s="11"/>
      <c r="G5480" s="14">
        <v>0.463615</v>
      </c>
      <c r="H5480" s="11"/>
      <c r="I5480" s="11"/>
      <c r="J5480" s="3" t="str">
        <f t="shared" si="394"/>
        <v>7347285</v>
      </c>
    </row>
    <row r="5481" spans="2:10" s="3" customFormat="1">
      <c r="B5481" s="3" t="s">
        <v>2157</v>
      </c>
      <c r="C5481" s="8">
        <v>4</v>
      </c>
      <c r="D5481" s="3" t="s">
        <v>3005</v>
      </c>
      <c r="E5481" s="11" t="s">
        <v>29</v>
      </c>
      <c r="F5481" s="11"/>
      <c r="G5481" s="15">
        <f>ROUND(G5479*G5480,0)</f>
        <v>26125</v>
      </c>
      <c r="H5481" s="16">
        <f>ROUND(G5481/2,0)</f>
        <v>13063</v>
      </c>
      <c r="I5481" s="15">
        <f>G5481-H5481</f>
        <v>13062</v>
      </c>
      <c r="J5481" s="3" t="str">
        <f t="shared" si="394"/>
        <v>7347285</v>
      </c>
    </row>
    <row r="5482" spans="2:10" s="3" customFormat="1">
      <c r="B5482" s="3" t="s">
        <v>2157</v>
      </c>
      <c r="C5482" s="8">
        <v>4</v>
      </c>
      <c r="D5482" s="3" t="s">
        <v>3005</v>
      </c>
      <c r="E5482" s="11" t="s">
        <v>30</v>
      </c>
      <c r="F5482" s="11"/>
      <c r="G5482" s="12">
        <f>+G5479-G5481</f>
        <v>30225</v>
      </c>
      <c r="H5482" s="13">
        <f>ROUND(G5482/2,0)</f>
        <v>15113</v>
      </c>
      <c r="I5482" s="12">
        <f>G5482-H5482</f>
        <v>15112</v>
      </c>
      <c r="J5482" s="3" t="str">
        <f t="shared" si="394"/>
        <v>7347285</v>
      </c>
    </row>
    <row r="5483" spans="2:10" s="3" customFormat="1">
      <c r="B5483" s="3" t="s">
        <v>2157</v>
      </c>
      <c r="C5483" s="8">
        <v>4</v>
      </c>
      <c r="D5483" s="3" t="s">
        <v>3007</v>
      </c>
      <c r="E5483" s="11" t="s">
        <v>1582</v>
      </c>
      <c r="F5483" s="10">
        <v>0.25704100000000002</v>
      </c>
      <c r="G5483" s="9">
        <f>ROUND(G$3*F5483,0)</f>
        <v>73957</v>
      </c>
      <c r="H5483" s="11">
        <f>ROUND(G5483/2,0)</f>
        <v>36979</v>
      </c>
      <c r="I5483" s="9">
        <f>G5483-H5483</f>
        <v>36978</v>
      </c>
      <c r="J5483" s="3" t="str">
        <f t="shared" si="394"/>
        <v>7347365</v>
      </c>
    </row>
    <row r="5484" spans="2:10" s="3" customFormat="1">
      <c r="B5484" s="3" t="s">
        <v>2157</v>
      </c>
      <c r="C5484" s="8">
        <v>4</v>
      </c>
      <c r="D5484" s="3" t="s">
        <v>3007</v>
      </c>
      <c r="E5484" s="11" t="s">
        <v>28</v>
      </c>
      <c r="F5484" s="11"/>
      <c r="G5484" s="14">
        <v>0.39843899999999999</v>
      </c>
      <c r="H5484" s="11"/>
      <c r="I5484" s="11"/>
      <c r="J5484" s="3" t="str">
        <f t="shared" si="394"/>
        <v>7347365</v>
      </c>
    </row>
    <row r="5485" spans="2:10" s="3" customFormat="1">
      <c r="B5485" s="3" t="s">
        <v>2157</v>
      </c>
      <c r="C5485" s="8">
        <v>4</v>
      </c>
      <c r="D5485" s="3" t="s">
        <v>3007</v>
      </c>
      <c r="E5485" s="11" t="s">
        <v>29</v>
      </c>
      <c r="F5485" s="11"/>
      <c r="G5485" s="15">
        <f>ROUND(G5483*G5484,0)</f>
        <v>29467</v>
      </c>
      <c r="H5485" s="16">
        <f>ROUND(G5485/2,0)</f>
        <v>14734</v>
      </c>
      <c r="I5485" s="15">
        <f>G5485-H5485</f>
        <v>14733</v>
      </c>
      <c r="J5485" s="3" t="str">
        <f t="shared" si="394"/>
        <v>7347365</v>
      </c>
    </row>
    <row r="5486" spans="2:10" s="3" customFormat="1">
      <c r="B5486" s="3" t="s">
        <v>2157</v>
      </c>
      <c r="C5486" s="8">
        <v>4</v>
      </c>
      <c r="D5486" s="3" t="s">
        <v>3007</v>
      </c>
      <c r="E5486" s="11" t="s">
        <v>30</v>
      </c>
      <c r="F5486" s="11"/>
      <c r="G5486" s="12">
        <f>+G5483-G5485</f>
        <v>44490</v>
      </c>
      <c r="H5486" s="13">
        <f>ROUND(G5486/2,0)</f>
        <v>22245</v>
      </c>
      <c r="I5486" s="12">
        <f>G5486-H5486</f>
        <v>22245</v>
      </c>
      <c r="J5486" s="3" t="str">
        <f t="shared" si="394"/>
        <v>7347365</v>
      </c>
    </row>
    <row r="5487" spans="2:10" s="3" customFormat="1">
      <c r="B5487" s="3" t="s">
        <v>2157</v>
      </c>
      <c r="C5487" s="8" t="s">
        <v>3160</v>
      </c>
      <c r="D5487" s="3" t="s">
        <v>5712</v>
      </c>
      <c r="E5487" s="11" t="s">
        <v>1583</v>
      </c>
      <c r="F5487" s="10">
        <v>6.4055000000000001E-2</v>
      </c>
      <c r="G5487" s="9">
        <f>ROUND(G$3*F5487,0)</f>
        <v>18430</v>
      </c>
      <c r="H5487" s="11">
        <f>ROUND(G5487/2,0)</f>
        <v>9215</v>
      </c>
      <c r="I5487" s="9">
        <f>G5487-H5487</f>
        <v>9215</v>
      </c>
      <c r="J5487" s="3" t="str">
        <f t="shared" si="394"/>
        <v>7347360</v>
      </c>
    </row>
    <row r="5488" spans="2:10" s="3" customFormat="1">
      <c r="B5488" s="3" t="s">
        <v>2157</v>
      </c>
      <c r="C5488" s="8" t="s">
        <v>3160</v>
      </c>
      <c r="D5488" s="3" t="s">
        <v>5712</v>
      </c>
      <c r="E5488" s="11" t="s">
        <v>28</v>
      </c>
      <c r="F5488" s="11"/>
      <c r="G5488" s="14">
        <v>0.45826800000000001</v>
      </c>
      <c r="H5488" s="11"/>
      <c r="I5488" s="11"/>
      <c r="J5488" s="3" t="str">
        <f t="shared" si="394"/>
        <v>7347360</v>
      </c>
    </row>
    <row r="5489" spans="1:10" s="3" customFormat="1">
      <c r="B5489" s="3" t="s">
        <v>2157</v>
      </c>
      <c r="C5489" s="8" t="s">
        <v>3160</v>
      </c>
      <c r="D5489" s="3" t="s">
        <v>5712</v>
      </c>
      <c r="E5489" s="11" t="s">
        <v>29</v>
      </c>
      <c r="F5489" s="11"/>
      <c r="G5489" s="15">
        <f>ROUND(G5487*G5488,0)</f>
        <v>8446</v>
      </c>
      <c r="H5489" s="16">
        <f>ROUND(G5489/2,0)</f>
        <v>4223</v>
      </c>
      <c r="I5489" s="15">
        <f>G5489-H5489</f>
        <v>4223</v>
      </c>
      <c r="J5489" s="3" t="str">
        <f t="shared" si="394"/>
        <v>7347360</v>
      </c>
    </row>
    <row r="5490" spans="1:10" s="3" customFormat="1">
      <c r="B5490" s="3" t="s">
        <v>2157</v>
      </c>
      <c r="C5490" s="8" t="s">
        <v>3160</v>
      </c>
      <c r="D5490" s="3" t="s">
        <v>5712</v>
      </c>
      <c r="E5490" s="11" t="s">
        <v>30</v>
      </c>
      <c r="F5490" s="11"/>
      <c r="G5490" s="12">
        <f>+G5487-G5489</f>
        <v>9984</v>
      </c>
      <c r="H5490" s="13">
        <f>ROUND(G5490/2,0)</f>
        <v>4992</v>
      </c>
      <c r="I5490" s="12">
        <f>G5490-H5490</f>
        <v>4992</v>
      </c>
      <c r="J5490" s="3" t="str">
        <f t="shared" si="394"/>
        <v>7347360</v>
      </c>
    </row>
    <row r="5491" spans="1:10" s="128" customFormat="1">
      <c r="A5491" s="136"/>
      <c r="B5491" s="128" t="s">
        <v>2157</v>
      </c>
      <c r="C5491" s="129">
        <v>5</v>
      </c>
      <c r="D5491" s="128" t="s">
        <v>6267</v>
      </c>
      <c r="E5491" s="131" t="s">
        <v>1584</v>
      </c>
      <c r="F5491" s="133">
        <v>1.6654999999999864E-2</v>
      </c>
      <c r="G5491" s="137">
        <f>+G5419-SUM(G5420:G5421)-SUM(G5426:G5471)-G5475-G5479-G5483-G5487</f>
        <v>101973</v>
      </c>
      <c r="H5491" s="137">
        <f>ROUND(G5491/2,0)</f>
        <v>50987</v>
      </c>
      <c r="I5491" s="137">
        <f>G5491-H5491</f>
        <v>50986</v>
      </c>
      <c r="J5491" s="128" t="str">
        <f t="shared" si="394"/>
        <v>735XXXX</v>
      </c>
    </row>
    <row r="5492" spans="1:10" s="3" customFormat="1">
      <c r="A5492" s="3" t="s">
        <v>6269</v>
      </c>
      <c r="B5492" s="3" t="s">
        <v>2157</v>
      </c>
      <c r="C5492" s="8">
        <v>6</v>
      </c>
      <c r="D5492" s="3" t="s">
        <v>3008</v>
      </c>
      <c r="E5492" s="11" t="s">
        <v>1585</v>
      </c>
      <c r="F5492" s="10">
        <v>0</v>
      </c>
      <c r="G5492" s="12">
        <f>ROUND(G$3*F5492,0)</f>
        <v>0</v>
      </c>
      <c r="H5492" s="13">
        <f>ROUND(G5492/2,0)</f>
        <v>0</v>
      </c>
      <c r="I5492" s="12">
        <f>G5492-H5492</f>
        <v>0</v>
      </c>
      <c r="J5492" s="3" t="str">
        <f t="shared" si="394"/>
        <v>7361013</v>
      </c>
    </row>
    <row r="5493" spans="1:10" s="3" customFormat="1">
      <c r="B5493" s="3" t="s">
        <v>2157</v>
      </c>
      <c r="C5493" s="8">
        <v>0</v>
      </c>
      <c r="D5493" s="125" t="s">
        <v>2187</v>
      </c>
      <c r="E5493" s="28" t="s">
        <v>288</v>
      </c>
      <c r="F5493" s="10">
        <v>1</v>
      </c>
      <c r="G5493" s="12">
        <f>+G5420+SUM(G5423:G5470)+SUM(G5473:G5474)+SUM(G5477:G5478)+SUM(G5481:G5482)+SUM(G5485:G5486)+SUM(G5489:G5492)</f>
        <v>384901</v>
      </c>
      <c r="H5493" s="12">
        <f>+H5420+SUM(H5423:H5470)+SUM(H5473:H5474)+SUM(H5477:H5478)+SUM(H5481:H5482)+SUM(H5485:H5486)+SUM(H5489:H5492)</f>
        <v>192461</v>
      </c>
      <c r="I5493" s="12">
        <f>+I5420+SUM(I5423:I5470)+SUM(I5473:I5474)+SUM(I5477:I5478)+SUM(I5481:I5482)+SUM(I5485:I5486)+SUM(I5489:I5492)</f>
        <v>192440</v>
      </c>
      <c r="J5493" s="3" t="str">
        <f t="shared" si="394"/>
        <v>7300000</v>
      </c>
    </row>
    <row r="5494" spans="1:10" s="3" customFormat="1">
      <c r="B5494" s="3" t="s">
        <v>2157</v>
      </c>
      <c r="C5494" s="8">
        <v>0</v>
      </c>
      <c r="D5494" s="3" t="s">
        <v>2187</v>
      </c>
      <c r="E5494" s="18" t="s">
        <v>38</v>
      </c>
      <c r="G5494" s="19">
        <f>+G5420</f>
        <v>440</v>
      </c>
      <c r="H5494" s="19">
        <f>+H5420</f>
        <v>220</v>
      </c>
      <c r="I5494" s="19">
        <f>+I5420</f>
        <v>220</v>
      </c>
      <c r="J5494" s="3" t="str">
        <f t="shared" si="394"/>
        <v>7300000</v>
      </c>
    </row>
    <row r="5495" spans="1:10" s="3" customFormat="1">
      <c r="B5495" s="3" t="s">
        <v>2157</v>
      </c>
      <c r="C5495" s="8">
        <v>0</v>
      </c>
      <c r="D5495" s="3" t="s">
        <v>2187</v>
      </c>
      <c r="E5495" s="2" t="s">
        <v>39</v>
      </c>
      <c r="G5495" s="19">
        <f>+G5423</f>
        <v>11783</v>
      </c>
      <c r="H5495" s="19">
        <f>+H5423</f>
        <v>5892</v>
      </c>
      <c r="I5495" s="19">
        <f>+I5423</f>
        <v>5891</v>
      </c>
      <c r="J5495" s="3" t="str">
        <f t="shared" si="394"/>
        <v>7300000</v>
      </c>
    </row>
    <row r="5496" spans="1:10" s="3" customFormat="1">
      <c r="B5496" s="3" t="s">
        <v>2157</v>
      </c>
      <c r="C5496" s="8">
        <v>0</v>
      </c>
      <c r="D5496" s="3" t="s">
        <v>2187</v>
      </c>
      <c r="E5496" s="2" t="s">
        <v>40</v>
      </c>
      <c r="G5496" s="19">
        <f>+G5473+G5477+G5481+G5485+G5489</f>
        <v>90294</v>
      </c>
      <c r="H5496" s="19">
        <f>+H5473+H5477+H5481+H5485+H5489</f>
        <v>45148</v>
      </c>
      <c r="I5496" s="19">
        <f>+I5473+I5477+I5481+I5485+I5489</f>
        <v>45146</v>
      </c>
      <c r="J5496" s="3" t="str">
        <f t="shared" si="394"/>
        <v>7300000</v>
      </c>
    </row>
    <row r="5497" spans="1:10" s="3" customFormat="1">
      <c r="B5497" s="3" t="s">
        <v>2157</v>
      </c>
      <c r="C5497" s="8">
        <v>0</v>
      </c>
      <c r="D5497" s="125" t="s">
        <v>2187</v>
      </c>
      <c r="E5497" s="18" t="s">
        <v>41</v>
      </c>
      <c r="G5497" s="19">
        <f>+G5493-G5494-G5495-G5496</f>
        <v>282384</v>
      </c>
      <c r="H5497" s="19">
        <f>+H5493-H5494-H5495-H5496</f>
        <v>141201</v>
      </c>
      <c r="I5497" s="19">
        <f>+I5493-I5494-I5495-I5496</f>
        <v>141183</v>
      </c>
      <c r="J5497" s="3" t="str">
        <f t="shared" si="394"/>
        <v>7300000</v>
      </c>
    </row>
    <row r="5498" spans="1:10" ht="15.75">
      <c r="B5498" s="3" t="s">
        <v>2186</v>
      </c>
      <c r="D5498" t="s">
        <v>2186</v>
      </c>
      <c r="E5498">
        <v>0</v>
      </c>
      <c r="G5498"/>
      <c r="H5498"/>
      <c r="I5498"/>
      <c r="J5498" s="3" t="str">
        <f t="shared" si="394"/>
        <v/>
      </c>
    </row>
    <row r="5499" spans="1:10" s="3" customFormat="1">
      <c r="C5499" s="1"/>
      <c r="D5499" s="3" t="s">
        <v>2186</v>
      </c>
      <c r="E5499" s="2" t="s">
        <v>1586</v>
      </c>
      <c r="J5499" s="3" t="str">
        <f t="shared" si="394"/>
        <v/>
      </c>
    </row>
    <row r="5500" spans="1:10" s="3" customFormat="1" ht="45">
      <c r="B5500" s="3" t="s">
        <v>2186</v>
      </c>
      <c r="C5500" s="1"/>
      <c r="D5500" s="3" t="s">
        <v>2186</v>
      </c>
      <c r="E5500" s="1">
        <v>0</v>
      </c>
      <c r="F5500" s="6" t="s">
        <v>1</v>
      </c>
      <c r="G5500" s="60">
        <f>'Allocation Worksheet'!H5500</f>
        <v>0</v>
      </c>
      <c r="H5500" s="60">
        <f>'Allocation Worksheet'!H5501</f>
        <v>0</v>
      </c>
      <c r="I5500" s="60">
        <f>'Allocation Worksheet'!H5502</f>
        <v>0</v>
      </c>
      <c r="J5500" s="3" t="str">
        <f t="shared" si="394"/>
        <v/>
      </c>
    </row>
    <row r="5501" spans="1:10" s="3" customFormat="1">
      <c r="C5501" s="7" t="s">
        <v>2087</v>
      </c>
      <c r="D5501" s="3" t="s">
        <v>2186</v>
      </c>
      <c r="E5501" s="7" t="s">
        <v>3</v>
      </c>
      <c r="F5501" s="10"/>
      <c r="G5501" s="9">
        <f>'Allocation Worksheet'!$D$77</f>
        <v>279193</v>
      </c>
      <c r="H5501" s="11"/>
      <c r="I5501" s="11"/>
      <c r="J5501" s="3" t="str">
        <f t="shared" si="394"/>
        <v>UT</v>
      </c>
    </row>
    <row r="5502" spans="1:10" s="3" customFormat="1">
      <c r="B5502" s="3" t="s">
        <v>2158</v>
      </c>
      <c r="C5502" s="8">
        <v>0</v>
      </c>
      <c r="D5502" s="3" t="s">
        <v>2187</v>
      </c>
      <c r="E5502" s="11" t="s">
        <v>4</v>
      </c>
      <c r="F5502" s="10">
        <v>1.485E-3</v>
      </c>
      <c r="G5502" s="12">
        <f>ROUND(G$3*F5502,0)</f>
        <v>427</v>
      </c>
      <c r="H5502" s="13">
        <f>ROUND(G5502/2,0)</f>
        <v>214</v>
      </c>
      <c r="I5502" s="12">
        <f>G5502-H5502</f>
        <v>213</v>
      </c>
      <c r="J5502" s="3" t="str">
        <f t="shared" si="394"/>
        <v>7400000</v>
      </c>
    </row>
    <row r="5503" spans="1:10" s="3" customFormat="1">
      <c r="B5503" s="3" t="s">
        <v>2158</v>
      </c>
      <c r="C5503" s="8">
        <v>1</v>
      </c>
      <c r="D5503" s="3" t="s">
        <v>2187</v>
      </c>
      <c r="E5503" s="11" t="s">
        <v>1587</v>
      </c>
      <c r="F5503" s="10">
        <v>0.18720200000000001</v>
      </c>
      <c r="G5503" s="9">
        <f>ROUND(G$3*F5503,0)</f>
        <v>53862</v>
      </c>
      <c r="H5503" s="11">
        <f>ROUND(G5503/2,0)</f>
        <v>26931</v>
      </c>
      <c r="I5503" s="9">
        <f>G5503-H5503</f>
        <v>26931</v>
      </c>
      <c r="J5503" s="3" t="str">
        <f t="shared" si="394"/>
        <v>7410000</v>
      </c>
    </row>
    <row r="5504" spans="1:10" s="3" customFormat="1">
      <c r="B5504" s="3" t="s">
        <v>2158</v>
      </c>
      <c r="C5504" s="8">
        <v>1</v>
      </c>
      <c r="D5504" s="3" t="s">
        <v>2187</v>
      </c>
      <c r="E5504" s="11" t="s">
        <v>6</v>
      </c>
      <c r="F5504" s="11"/>
      <c r="G5504" s="14">
        <v>8.4342E-2</v>
      </c>
      <c r="H5504" s="11"/>
      <c r="I5504" s="11"/>
      <c r="J5504" s="3" t="str">
        <f t="shared" si="394"/>
        <v>7410000</v>
      </c>
    </row>
    <row r="5505" spans="1:10" s="3" customFormat="1">
      <c r="B5505" s="3" t="s">
        <v>2158</v>
      </c>
      <c r="C5505" s="8">
        <v>1</v>
      </c>
      <c r="D5505" s="3" t="s">
        <v>2187</v>
      </c>
      <c r="E5505" s="11" t="s">
        <v>7</v>
      </c>
      <c r="F5505" s="11"/>
      <c r="G5505" s="15">
        <f>ROUND(G5503*G5504,0)</f>
        <v>4543</v>
      </c>
      <c r="H5505" s="16">
        <f>ROUND(G5505/2,0)</f>
        <v>2272</v>
      </c>
      <c r="I5505" s="15">
        <f>G5505-H5505</f>
        <v>2271</v>
      </c>
      <c r="J5505" s="3" t="str">
        <f t="shared" si="394"/>
        <v>7410000</v>
      </c>
    </row>
    <row r="5506" spans="1:10" s="3" customFormat="1">
      <c r="B5506" s="3" t="s">
        <v>2158</v>
      </c>
      <c r="C5506" s="8">
        <v>1</v>
      </c>
      <c r="D5506" s="3" t="s">
        <v>2187</v>
      </c>
      <c r="E5506" s="11" t="s">
        <v>8</v>
      </c>
      <c r="F5506" s="11"/>
      <c r="G5506" s="12">
        <f>+G5503-G5505</f>
        <v>49319</v>
      </c>
      <c r="H5506" s="13">
        <f>ROUND(G5506/2,0)</f>
        <v>24660</v>
      </c>
      <c r="I5506" s="12">
        <f>G5506-H5506</f>
        <v>24659</v>
      </c>
      <c r="J5506" s="3" t="str">
        <f t="shared" si="394"/>
        <v>7410000</v>
      </c>
    </row>
    <row r="5507" spans="1:10" s="3" customFormat="1">
      <c r="B5507" s="3" t="s">
        <v>2158</v>
      </c>
      <c r="C5507" s="8">
        <v>2</v>
      </c>
      <c r="D5507" s="3" t="s">
        <v>2188</v>
      </c>
      <c r="E5507" s="11" t="s">
        <v>1588</v>
      </c>
      <c r="F5507" s="11"/>
      <c r="G5507" s="9"/>
      <c r="H5507" s="11"/>
      <c r="I5507" s="11"/>
      <c r="J5507" s="3" t="str">
        <f t="shared" si="394"/>
        <v>7420001</v>
      </c>
    </row>
    <row r="5508" spans="1:10" s="3" customFormat="1">
      <c r="B5508" s="3" t="s">
        <v>2158</v>
      </c>
      <c r="C5508" s="8">
        <v>2</v>
      </c>
      <c r="D5508" s="3" t="s">
        <v>2188</v>
      </c>
      <c r="E5508" s="11" t="s">
        <v>10</v>
      </c>
      <c r="F5508" s="10">
        <v>2.0860000000000002E-3</v>
      </c>
      <c r="G5508" s="12">
        <f>ROUND(G$3*F5508,0)</f>
        <v>600</v>
      </c>
      <c r="H5508" s="13">
        <f>ROUND(G5508/2,0)</f>
        <v>300</v>
      </c>
      <c r="I5508" s="12">
        <f>G5508-H5508</f>
        <v>300</v>
      </c>
      <c r="J5508" s="3" t="str">
        <f t="shared" ref="J5508:J5571" si="398">B5508&amp;C5508&amp;D5508</f>
        <v>7420001</v>
      </c>
    </row>
    <row r="5509" spans="1:10" s="3" customFormat="1">
      <c r="A5509" s="3" t="s">
        <v>6269</v>
      </c>
      <c r="B5509" s="3" t="s">
        <v>2158</v>
      </c>
      <c r="C5509" s="8">
        <v>2</v>
      </c>
      <c r="D5509" s="3" t="s">
        <v>2188</v>
      </c>
      <c r="E5509" s="11" t="s">
        <v>11</v>
      </c>
      <c r="F5509" s="10">
        <v>0</v>
      </c>
      <c r="G5509" s="12">
        <f>ROUND(G$3*F5509,0)</f>
        <v>0</v>
      </c>
      <c r="H5509" s="13">
        <f>ROUND(G5509/2,0)</f>
        <v>0</v>
      </c>
      <c r="I5509" s="12">
        <f>G5509-H5509</f>
        <v>0</v>
      </c>
      <c r="J5509" s="3" t="str">
        <f t="shared" si="398"/>
        <v>7420001</v>
      </c>
    </row>
    <row r="5510" spans="1:10" s="3" customFormat="1">
      <c r="B5510" s="3" t="s">
        <v>2158</v>
      </c>
      <c r="C5510" s="8">
        <v>2</v>
      </c>
      <c r="D5510" s="3" t="s">
        <v>2189</v>
      </c>
      <c r="E5510" s="11" t="s">
        <v>81</v>
      </c>
      <c r="F5510" s="11"/>
      <c r="G5510" s="9"/>
      <c r="H5510" s="11"/>
      <c r="I5510" s="11"/>
      <c r="J5510" s="3" t="str">
        <f t="shared" si="398"/>
        <v>7420002</v>
      </c>
    </row>
    <row r="5511" spans="1:10" s="3" customFormat="1">
      <c r="B5511" s="3" t="s">
        <v>2158</v>
      </c>
      <c r="C5511" s="8">
        <v>2</v>
      </c>
      <c r="D5511" s="3" t="s">
        <v>2189</v>
      </c>
      <c r="E5511" s="11" t="s">
        <v>10</v>
      </c>
      <c r="F5511" s="10">
        <v>4.64E-4</v>
      </c>
      <c r="G5511" s="12">
        <f>ROUND(G$3*F5511,0)</f>
        <v>134</v>
      </c>
      <c r="H5511" s="13">
        <f>ROUND(G5511/2,0)</f>
        <v>67</v>
      </c>
      <c r="I5511" s="12">
        <f>G5511-H5511</f>
        <v>67</v>
      </c>
      <c r="J5511" s="3" t="str">
        <f t="shared" si="398"/>
        <v>7420002</v>
      </c>
    </row>
    <row r="5512" spans="1:10" s="3" customFormat="1">
      <c r="B5512" s="3" t="s">
        <v>2158</v>
      </c>
      <c r="C5512" s="8">
        <v>2</v>
      </c>
      <c r="D5512" s="3" t="s">
        <v>2189</v>
      </c>
      <c r="E5512" s="11" t="s">
        <v>11</v>
      </c>
      <c r="F5512" s="10">
        <v>7.4999999999999993E-5</v>
      </c>
      <c r="G5512" s="12">
        <f>ROUND(G$3*F5512,0)</f>
        <v>22</v>
      </c>
      <c r="H5512" s="13">
        <f>ROUND(G5512/2,0)</f>
        <v>11</v>
      </c>
      <c r="I5512" s="12">
        <f>G5512-H5512</f>
        <v>11</v>
      </c>
      <c r="J5512" s="3" t="str">
        <f t="shared" si="398"/>
        <v>7420002</v>
      </c>
    </row>
    <row r="5513" spans="1:10" s="3" customFormat="1">
      <c r="B5513" s="3" t="s">
        <v>2158</v>
      </c>
      <c r="C5513" s="8">
        <v>2</v>
      </c>
      <c r="D5513" s="3" t="s">
        <v>2190</v>
      </c>
      <c r="E5513" s="11" t="s">
        <v>1589</v>
      </c>
      <c r="F5513" s="11"/>
      <c r="G5513" s="9"/>
      <c r="H5513" s="11"/>
      <c r="I5513" s="11"/>
      <c r="J5513" s="3" t="str">
        <f t="shared" si="398"/>
        <v>7420003</v>
      </c>
    </row>
    <row r="5514" spans="1:10" s="3" customFormat="1">
      <c r="B5514" s="3" t="s">
        <v>2158</v>
      </c>
      <c r="C5514" s="8">
        <v>2</v>
      </c>
      <c r="D5514" s="3" t="s">
        <v>2190</v>
      </c>
      <c r="E5514" s="11" t="s">
        <v>10</v>
      </c>
      <c r="F5514" s="10">
        <v>1.0449999999999999E-3</v>
      </c>
      <c r="G5514" s="12">
        <f>ROUND(G$3*F5514,0)</f>
        <v>301</v>
      </c>
      <c r="H5514" s="13">
        <f>ROUND(G5514/2,0)</f>
        <v>151</v>
      </c>
      <c r="I5514" s="12">
        <f>G5514-H5514</f>
        <v>150</v>
      </c>
      <c r="J5514" s="3" t="str">
        <f t="shared" si="398"/>
        <v>7420003</v>
      </c>
    </row>
    <row r="5515" spans="1:10" s="3" customFormat="1">
      <c r="B5515" s="3" t="s">
        <v>2158</v>
      </c>
      <c r="C5515" s="8">
        <v>2</v>
      </c>
      <c r="D5515" s="3" t="s">
        <v>2190</v>
      </c>
      <c r="E5515" s="11" t="s">
        <v>11</v>
      </c>
      <c r="F5515" s="10">
        <v>3.6900000000000002E-4</v>
      </c>
      <c r="G5515" s="12">
        <f>ROUND(G$3*F5515,0)</f>
        <v>106</v>
      </c>
      <c r="H5515" s="13">
        <f>ROUND(G5515/2,0)</f>
        <v>53</v>
      </c>
      <c r="I5515" s="12">
        <f>G5515-H5515</f>
        <v>53</v>
      </c>
      <c r="J5515" s="3" t="str">
        <f t="shared" si="398"/>
        <v>7420003</v>
      </c>
    </row>
    <row r="5516" spans="1:10" s="3" customFormat="1">
      <c r="B5516" s="3" t="s">
        <v>2158</v>
      </c>
      <c r="C5516" s="8">
        <v>2</v>
      </c>
      <c r="D5516" s="3" t="s">
        <v>2191</v>
      </c>
      <c r="E5516" s="11" t="s">
        <v>1590</v>
      </c>
      <c r="F5516" s="11"/>
      <c r="G5516" s="9"/>
      <c r="H5516" s="11"/>
      <c r="I5516" s="11"/>
      <c r="J5516" s="3" t="str">
        <f t="shared" si="398"/>
        <v>7420004</v>
      </c>
    </row>
    <row r="5517" spans="1:10" s="3" customFormat="1">
      <c r="B5517" s="3" t="s">
        <v>2158</v>
      </c>
      <c r="C5517" s="8">
        <v>2</v>
      </c>
      <c r="D5517" s="3" t="s">
        <v>2191</v>
      </c>
      <c r="E5517" s="11" t="s">
        <v>10</v>
      </c>
      <c r="F5517" s="10">
        <v>9.3700000000000001E-4</v>
      </c>
      <c r="G5517" s="12">
        <f>ROUND(G$3*F5517,0)</f>
        <v>270</v>
      </c>
      <c r="H5517" s="13">
        <f>ROUND(G5517/2,0)</f>
        <v>135</v>
      </c>
      <c r="I5517" s="12">
        <f>G5517-H5517</f>
        <v>135</v>
      </c>
      <c r="J5517" s="3" t="str">
        <f t="shared" si="398"/>
        <v>7420004</v>
      </c>
    </row>
    <row r="5518" spans="1:10" s="3" customFormat="1">
      <c r="B5518" s="3" t="s">
        <v>2158</v>
      </c>
      <c r="C5518" s="8">
        <v>2</v>
      </c>
      <c r="D5518" s="3" t="s">
        <v>2191</v>
      </c>
      <c r="E5518" s="11" t="s">
        <v>11</v>
      </c>
      <c r="F5518" s="10">
        <v>2.6800000000000001E-4</v>
      </c>
      <c r="G5518" s="12">
        <f>ROUND(G$3*F5518,0)</f>
        <v>77</v>
      </c>
      <c r="H5518" s="13">
        <f>ROUND(G5518/2,0)</f>
        <v>39</v>
      </c>
      <c r="I5518" s="12">
        <f>G5518-H5518</f>
        <v>38</v>
      </c>
      <c r="J5518" s="3" t="str">
        <f t="shared" si="398"/>
        <v>7420004</v>
      </c>
    </row>
    <row r="5519" spans="1:10" s="3" customFormat="1">
      <c r="B5519" s="3" t="s">
        <v>2158</v>
      </c>
      <c r="C5519" s="8">
        <v>2</v>
      </c>
      <c r="D5519" s="3" t="s">
        <v>2192</v>
      </c>
      <c r="E5519" s="11" t="s">
        <v>86</v>
      </c>
      <c r="F5519" s="11"/>
      <c r="G5519" s="9"/>
      <c r="H5519" s="11"/>
      <c r="I5519" s="11"/>
      <c r="J5519" s="3" t="str">
        <f t="shared" si="398"/>
        <v>7420005</v>
      </c>
    </row>
    <row r="5520" spans="1:10" s="3" customFormat="1">
      <c r="B5520" s="3" t="s">
        <v>2158</v>
      </c>
      <c r="C5520" s="8">
        <v>2</v>
      </c>
      <c r="D5520" s="3" t="s">
        <v>2192</v>
      </c>
      <c r="E5520" s="11" t="s">
        <v>10</v>
      </c>
      <c r="F5520" s="10">
        <v>9.2100000000000005E-4</v>
      </c>
      <c r="G5520" s="12">
        <f>ROUND(G$3*F5520,0)</f>
        <v>265</v>
      </c>
      <c r="H5520" s="13">
        <f>ROUND(G5520/2,0)</f>
        <v>133</v>
      </c>
      <c r="I5520" s="12">
        <f>G5520-H5520</f>
        <v>132</v>
      </c>
      <c r="J5520" s="3" t="str">
        <f t="shared" si="398"/>
        <v>7420005</v>
      </c>
    </row>
    <row r="5521" spans="1:10" s="3" customFormat="1">
      <c r="B5521" s="3" t="s">
        <v>2158</v>
      </c>
      <c r="C5521" s="8">
        <v>2</v>
      </c>
      <c r="D5521" s="3" t="s">
        <v>2192</v>
      </c>
      <c r="E5521" s="11" t="s">
        <v>11</v>
      </c>
      <c r="F5521" s="10">
        <v>3.8200000000000002E-4</v>
      </c>
      <c r="G5521" s="12">
        <f>ROUND(G$3*F5521,0)</f>
        <v>110</v>
      </c>
      <c r="H5521" s="13">
        <f>ROUND(G5521/2,0)</f>
        <v>55</v>
      </c>
      <c r="I5521" s="12">
        <f>G5521-H5521</f>
        <v>55</v>
      </c>
      <c r="J5521" s="3" t="str">
        <f t="shared" si="398"/>
        <v>7420005</v>
      </c>
    </row>
    <row r="5522" spans="1:10" s="3" customFormat="1">
      <c r="B5522" s="3" t="s">
        <v>2158</v>
      </c>
      <c r="C5522" s="8">
        <v>2</v>
      </c>
      <c r="D5522" s="3" t="s">
        <v>2193</v>
      </c>
      <c r="E5522" s="11" t="s">
        <v>1591</v>
      </c>
      <c r="F5522" s="11"/>
      <c r="G5522" s="9"/>
      <c r="H5522" s="11"/>
      <c r="I5522" s="11"/>
      <c r="J5522" s="3" t="str">
        <f t="shared" si="398"/>
        <v>7420006</v>
      </c>
    </row>
    <row r="5523" spans="1:10" s="3" customFormat="1">
      <c r="B5523" s="3" t="s">
        <v>2158</v>
      </c>
      <c r="C5523" s="8">
        <v>2</v>
      </c>
      <c r="D5523" s="3" t="s">
        <v>2193</v>
      </c>
      <c r="E5523" s="11" t="s">
        <v>10</v>
      </c>
      <c r="F5523" s="10">
        <v>5.7499999999999999E-4</v>
      </c>
      <c r="G5523" s="12">
        <f>ROUND(G$3*F5523,0)</f>
        <v>165</v>
      </c>
      <c r="H5523" s="13">
        <f>ROUND(G5523/2,0)</f>
        <v>83</v>
      </c>
      <c r="I5523" s="12">
        <f>G5523-H5523</f>
        <v>82</v>
      </c>
      <c r="J5523" s="3" t="str">
        <f t="shared" si="398"/>
        <v>7420006</v>
      </c>
    </row>
    <row r="5524" spans="1:10" s="3" customFormat="1">
      <c r="B5524" s="3" t="s">
        <v>2158</v>
      </c>
      <c r="C5524" s="8">
        <v>2</v>
      </c>
      <c r="D5524" s="3" t="s">
        <v>2193</v>
      </c>
      <c r="E5524" s="11" t="s">
        <v>11</v>
      </c>
      <c r="F5524" s="10">
        <v>2.12E-4</v>
      </c>
      <c r="G5524" s="12">
        <f>ROUND(G$3*F5524,0)</f>
        <v>61</v>
      </c>
      <c r="H5524" s="13">
        <f>ROUND(G5524/2,0)</f>
        <v>31</v>
      </c>
      <c r="I5524" s="12">
        <f>G5524-H5524</f>
        <v>30</v>
      </c>
      <c r="J5524" s="3" t="str">
        <f t="shared" si="398"/>
        <v>7420006</v>
      </c>
    </row>
    <row r="5525" spans="1:10" s="3" customFormat="1">
      <c r="B5525" s="3" t="s">
        <v>2158</v>
      </c>
      <c r="C5525" s="8">
        <v>2</v>
      </c>
      <c r="D5525" s="3" t="s">
        <v>2194</v>
      </c>
      <c r="E5525" s="11" t="s">
        <v>49</v>
      </c>
      <c r="F5525" s="11"/>
      <c r="G5525" s="9"/>
      <c r="H5525" s="11"/>
      <c r="I5525" s="11"/>
      <c r="J5525" s="3" t="str">
        <f t="shared" si="398"/>
        <v>7420007</v>
      </c>
    </row>
    <row r="5526" spans="1:10" s="3" customFormat="1">
      <c r="B5526" s="3" t="s">
        <v>2158</v>
      </c>
      <c r="C5526" s="8">
        <v>2</v>
      </c>
      <c r="D5526" s="3" t="s">
        <v>2194</v>
      </c>
      <c r="E5526" s="11" t="s">
        <v>10</v>
      </c>
      <c r="F5526" s="10">
        <v>3.6600000000000001E-4</v>
      </c>
      <c r="G5526" s="12">
        <f>ROUND(G$3*F5526,0)</f>
        <v>105</v>
      </c>
      <c r="H5526" s="13">
        <f>ROUND(G5526/2,0)</f>
        <v>53</v>
      </c>
      <c r="I5526" s="12">
        <f>G5526-H5526</f>
        <v>52</v>
      </c>
      <c r="J5526" s="3" t="str">
        <f t="shared" si="398"/>
        <v>7420007</v>
      </c>
    </row>
    <row r="5527" spans="1:10" s="3" customFormat="1">
      <c r="B5527" s="3" t="s">
        <v>2158</v>
      </c>
      <c r="C5527" s="8">
        <v>2</v>
      </c>
      <c r="D5527" s="3" t="s">
        <v>2194</v>
      </c>
      <c r="E5527" s="11" t="s">
        <v>11</v>
      </c>
      <c r="F5527" s="10">
        <v>1.11E-4</v>
      </c>
      <c r="G5527" s="12">
        <f>ROUND(G$3*F5527,0)</f>
        <v>32</v>
      </c>
      <c r="H5527" s="13">
        <f>ROUND(G5527/2,0)</f>
        <v>16</v>
      </c>
      <c r="I5527" s="12">
        <f>G5527-H5527</f>
        <v>16</v>
      </c>
      <c r="J5527" s="3" t="str">
        <f t="shared" si="398"/>
        <v>7420007</v>
      </c>
    </row>
    <row r="5528" spans="1:10" s="3" customFormat="1">
      <c r="B5528" s="3" t="s">
        <v>2158</v>
      </c>
      <c r="C5528" s="8">
        <v>2</v>
      </c>
      <c r="D5528" s="3" t="s">
        <v>2195</v>
      </c>
      <c r="E5528" s="11" t="s">
        <v>1592</v>
      </c>
      <c r="F5528" s="11"/>
      <c r="G5528" s="9"/>
      <c r="H5528" s="11"/>
      <c r="I5528" s="11"/>
      <c r="J5528" s="3" t="str">
        <f t="shared" si="398"/>
        <v>7420008</v>
      </c>
    </row>
    <row r="5529" spans="1:10" s="3" customFormat="1">
      <c r="B5529" s="3" t="s">
        <v>2158</v>
      </c>
      <c r="C5529" s="8">
        <v>2</v>
      </c>
      <c r="D5529" s="3" t="s">
        <v>2195</v>
      </c>
      <c r="E5529" s="11" t="s">
        <v>10</v>
      </c>
      <c r="F5529" s="10">
        <v>7.2760000000000003E-3</v>
      </c>
      <c r="G5529" s="12">
        <f>ROUND(G$3*F5529,0)</f>
        <v>2093</v>
      </c>
      <c r="H5529" s="13">
        <f>ROUND(G5529/2,0)</f>
        <v>1047</v>
      </c>
      <c r="I5529" s="12">
        <f>G5529-H5529</f>
        <v>1046</v>
      </c>
      <c r="J5529" s="3" t="str">
        <f t="shared" si="398"/>
        <v>7420008</v>
      </c>
    </row>
    <row r="5530" spans="1:10" s="3" customFormat="1">
      <c r="B5530" s="3" t="s">
        <v>2158</v>
      </c>
      <c r="C5530" s="8">
        <v>2</v>
      </c>
      <c r="D5530" s="3" t="s">
        <v>2195</v>
      </c>
      <c r="E5530" s="11" t="s">
        <v>11</v>
      </c>
      <c r="F5530" s="10">
        <v>4.3189999999999999E-3</v>
      </c>
      <c r="G5530" s="12">
        <f>ROUND(G$3*F5530,0)</f>
        <v>1243</v>
      </c>
      <c r="H5530" s="13">
        <f>ROUND(G5530/2,0)</f>
        <v>622</v>
      </c>
      <c r="I5530" s="12">
        <f>G5530-H5530</f>
        <v>621</v>
      </c>
      <c r="J5530" s="3" t="str">
        <f t="shared" si="398"/>
        <v>7420008</v>
      </c>
    </row>
    <row r="5531" spans="1:10" s="3" customFormat="1">
      <c r="B5531" s="3" t="s">
        <v>2158</v>
      </c>
      <c r="C5531" s="8">
        <v>2</v>
      </c>
      <c r="D5531" s="3" t="s">
        <v>2196</v>
      </c>
      <c r="E5531" s="11" t="s">
        <v>88</v>
      </c>
      <c r="F5531" s="11"/>
      <c r="G5531" s="9"/>
      <c r="H5531" s="11"/>
      <c r="I5531" s="11"/>
      <c r="J5531" s="3" t="str">
        <f t="shared" si="398"/>
        <v>7420009</v>
      </c>
    </row>
    <row r="5532" spans="1:10" s="3" customFormat="1">
      <c r="B5532" s="3" t="s">
        <v>2158</v>
      </c>
      <c r="C5532" s="8">
        <v>2</v>
      </c>
      <c r="D5532" s="3" t="s">
        <v>2196</v>
      </c>
      <c r="E5532" s="11" t="s">
        <v>10</v>
      </c>
      <c r="F5532" s="10">
        <v>2.575E-3</v>
      </c>
      <c r="G5532" s="12">
        <f t="shared" ref="G5532:G5540" si="399">ROUND(G$3*F5532,0)</f>
        <v>741</v>
      </c>
      <c r="H5532" s="13">
        <f t="shared" ref="H5532:H5540" si="400">ROUND(G5532/2,0)</f>
        <v>371</v>
      </c>
      <c r="I5532" s="12">
        <f t="shared" ref="I5532:I5540" si="401">G5532-H5532</f>
        <v>370</v>
      </c>
      <c r="J5532" s="3" t="str">
        <f t="shared" si="398"/>
        <v>7420009</v>
      </c>
    </row>
    <row r="5533" spans="1:10" s="3" customFormat="1">
      <c r="B5533" s="3" t="s">
        <v>2158</v>
      </c>
      <c r="C5533" s="8">
        <v>2</v>
      </c>
      <c r="D5533" s="3" t="s">
        <v>2196</v>
      </c>
      <c r="E5533" s="11" t="s">
        <v>11</v>
      </c>
      <c r="F5533" s="10">
        <v>3.496E-3</v>
      </c>
      <c r="G5533" s="12">
        <f t="shared" si="399"/>
        <v>1006</v>
      </c>
      <c r="H5533" s="13">
        <f t="shared" si="400"/>
        <v>503</v>
      </c>
      <c r="I5533" s="12">
        <f t="shared" si="401"/>
        <v>503</v>
      </c>
      <c r="J5533" s="3" t="str">
        <f t="shared" si="398"/>
        <v>7420009</v>
      </c>
    </row>
    <row r="5534" spans="1:10" s="3" customFormat="1">
      <c r="B5534" s="3" t="s">
        <v>2158</v>
      </c>
      <c r="C5534" s="8">
        <v>3</v>
      </c>
      <c r="D5534" s="3" t="s">
        <v>3010</v>
      </c>
      <c r="E5534" s="11" t="s">
        <v>1593</v>
      </c>
      <c r="F5534" s="10">
        <v>1.1000000000000001E-3</v>
      </c>
      <c r="G5534" s="12">
        <f t="shared" si="399"/>
        <v>316</v>
      </c>
      <c r="H5534" s="13">
        <f t="shared" si="400"/>
        <v>158</v>
      </c>
      <c r="I5534" s="12">
        <f t="shared" si="401"/>
        <v>158</v>
      </c>
      <c r="J5534" s="3" t="str">
        <f t="shared" si="398"/>
        <v>7430870</v>
      </c>
    </row>
    <row r="5535" spans="1:10" s="3" customFormat="1">
      <c r="B5535" s="3" t="s">
        <v>2158</v>
      </c>
      <c r="C5535" s="8">
        <v>3</v>
      </c>
      <c r="D5535" s="3" t="s">
        <v>3011</v>
      </c>
      <c r="E5535" s="11" t="s">
        <v>1594</v>
      </c>
      <c r="F5535" s="10">
        <v>2.2850000000000001E-3</v>
      </c>
      <c r="G5535" s="12">
        <f t="shared" si="399"/>
        <v>657</v>
      </c>
      <c r="H5535" s="13">
        <f t="shared" si="400"/>
        <v>329</v>
      </c>
      <c r="I5535" s="12">
        <f t="shared" si="401"/>
        <v>328</v>
      </c>
      <c r="J5535" s="3" t="str">
        <f t="shared" si="398"/>
        <v>7430871</v>
      </c>
    </row>
    <row r="5536" spans="1:10" s="3" customFormat="1">
      <c r="A5536" s="3" t="s">
        <v>6269</v>
      </c>
      <c r="B5536" s="3" t="s">
        <v>2158</v>
      </c>
      <c r="C5536" s="8">
        <v>3</v>
      </c>
      <c r="D5536" s="3" t="s">
        <v>3012</v>
      </c>
      <c r="E5536" s="11" t="s">
        <v>1595</v>
      </c>
      <c r="F5536" s="10">
        <v>0</v>
      </c>
      <c r="G5536" s="12">
        <f t="shared" si="399"/>
        <v>0</v>
      </c>
      <c r="H5536" s="13">
        <f t="shared" si="400"/>
        <v>0</v>
      </c>
      <c r="I5536" s="12">
        <f t="shared" si="401"/>
        <v>0</v>
      </c>
      <c r="J5536" s="3" t="str">
        <f t="shared" si="398"/>
        <v>7430872</v>
      </c>
    </row>
    <row r="5537" spans="1:10" s="3" customFormat="1">
      <c r="B5537" s="3" t="s">
        <v>2158</v>
      </c>
      <c r="C5537" s="8">
        <v>3</v>
      </c>
      <c r="D5537" s="3" t="s">
        <v>3013</v>
      </c>
      <c r="E5537" s="11" t="s">
        <v>1596</v>
      </c>
      <c r="F5537" s="10">
        <v>7.1939999999999999E-3</v>
      </c>
      <c r="G5537" s="12">
        <f t="shared" si="399"/>
        <v>2070</v>
      </c>
      <c r="H5537" s="13">
        <f t="shared" si="400"/>
        <v>1035</v>
      </c>
      <c r="I5537" s="12">
        <f t="shared" si="401"/>
        <v>1035</v>
      </c>
      <c r="J5537" s="3" t="str">
        <f t="shared" si="398"/>
        <v>7430873</v>
      </c>
    </row>
    <row r="5538" spans="1:10" s="3" customFormat="1">
      <c r="B5538" s="3" t="s">
        <v>2158</v>
      </c>
      <c r="C5538" s="8">
        <v>3</v>
      </c>
      <c r="D5538" s="3" t="s">
        <v>3009</v>
      </c>
      <c r="E5538" s="11" t="s">
        <v>1597</v>
      </c>
      <c r="F5538" s="10">
        <v>3.1960000000000001E-3</v>
      </c>
      <c r="G5538" s="12">
        <f t="shared" si="399"/>
        <v>920</v>
      </c>
      <c r="H5538" s="13">
        <f t="shared" si="400"/>
        <v>460</v>
      </c>
      <c r="I5538" s="12">
        <f t="shared" si="401"/>
        <v>460</v>
      </c>
      <c r="J5538" s="3" t="str">
        <f t="shared" si="398"/>
        <v>7430458</v>
      </c>
    </row>
    <row r="5539" spans="1:10" s="3" customFormat="1">
      <c r="B5539" s="3" t="s">
        <v>2158</v>
      </c>
      <c r="C5539" s="8">
        <v>3</v>
      </c>
      <c r="D5539" s="3" t="s">
        <v>3014</v>
      </c>
      <c r="E5539" s="11" t="s">
        <v>1598</v>
      </c>
      <c r="F5539" s="10">
        <v>9.2100000000000005E-4</v>
      </c>
      <c r="G5539" s="12">
        <f t="shared" si="399"/>
        <v>265</v>
      </c>
      <c r="H5539" s="13">
        <f t="shared" si="400"/>
        <v>133</v>
      </c>
      <c r="I5539" s="12">
        <f t="shared" si="401"/>
        <v>132</v>
      </c>
      <c r="J5539" s="3" t="str">
        <f t="shared" si="398"/>
        <v>7430874</v>
      </c>
    </row>
    <row r="5540" spans="1:10" s="3" customFormat="1">
      <c r="B5540" s="3" t="s">
        <v>2158</v>
      </c>
      <c r="C5540" s="8">
        <v>4</v>
      </c>
      <c r="D5540" s="3" t="s">
        <v>3015</v>
      </c>
      <c r="E5540" s="11" t="s">
        <v>1599</v>
      </c>
      <c r="F5540" s="10">
        <v>0.38153399999999998</v>
      </c>
      <c r="G5540" s="9">
        <f t="shared" si="399"/>
        <v>109776</v>
      </c>
      <c r="H5540" s="11">
        <f t="shared" si="400"/>
        <v>54888</v>
      </c>
      <c r="I5540" s="9">
        <f t="shared" si="401"/>
        <v>54888</v>
      </c>
      <c r="J5540" s="3" t="str">
        <f t="shared" si="398"/>
        <v>7447385</v>
      </c>
    </row>
    <row r="5541" spans="1:10" s="3" customFormat="1">
      <c r="B5541" s="3" t="s">
        <v>2158</v>
      </c>
      <c r="C5541" s="8">
        <v>4</v>
      </c>
      <c r="D5541" s="3" t="s">
        <v>3015</v>
      </c>
      <c r="E5541" s="11" t="s">
        <v>28</v>
      </c>
      <c r="F5541" s="11"/>
      <c r="G5541" s="14">
        <v>0.47156599999999999</v>
      </c>
      <c r="H5541" s="11"/>
      <c r="I5541" s="11"/>
      <c r="J5541" s="3" t="str">
        <f t="shared" si="398"/>
        <v>7447385</v>
      </c>
    </row>
    <row r="5542" spans="1:10" s="3" customFormat="1">
      <c r="B5542" s="3" t="s">
        <v>2158</v>
      </c>
      <c r="C5542" s="8">
        <v>4</v>
      </c>
      <c r="D5542" s="3" t="s">
        <v>3015</v>
      </c>
      <c r="E5542" s="11" t="s">
        <v>29</v>
      </c>
      <c r="F5542" s="11"/>
      <c r="G5542" s="15">
        <f>ROUND(G5540*G5541,0)</f>
        <v>51767</v>
      </c>
      <c r="H5542" s="16">
        <f>ROUND(G5542/2,0)</f>
        <v>25884</v>
      </c>
      <c r="I5542" s="15">
        <f>G5542-H5542</f>
        <v>25883</v>
      </c>
      <c r="J5542" s="3" t="str">
        <f t="shared" si="398"/>
        <v>7447385</v>
      </c>
    </row>
    <row r="5543" spans="1:10" s="3" customFormat="1">
      <c r="B5543" s="3" t="s">
        <v>2158</v>
      </c>
      <c r="C5543" s="8">
        <v>4</v>
      </c>
      <c r="D5543" s="3" t="s">
        <v>3015</v>
      </c>
      <c r="E5543" s="11" t="s">
        <v>30</v>
      </c>
      <c r="F5543" s="11"/>
      <c r="G5543" s="12">
        <f>+G5540-G5542</f>
        <v>58009</v>
      </c>
      <c r="H5543" s="13">
        <f>ROUND(G5543/2,0)</f>
        <v>29005</v>
      </c>
      <c r="I5543" s="12">
        <f>G5543-H5543</f>
        <v>29004</v>
      </c>
      <c r="J5543" s="3" t="str">
        <f t="shared" si="398"/>
        <v>7447385</v>
      </c>
    </row>
    <row r="5544" spans="1:10" s="3" customFormat="1">
      <c r="B5544" s="3" t="s">
        <v>2158</v>
      </c>
      <c r="C5544" s="8">
        <v>4</v>
      </c>
      <c r="D5544" s="3" t="s">
        <v>3016</v>
      </c>
      <c r="E5544" s="11" t="s">
        <v>1600</v>
      </c>
      <c r="F5544" s="10">
        <v>0.32007200000000002</v>
      </c>
      <c r="G5544" s="9">
        <f>ROUND(G$3*F5544,0)</f>
        <v>92092</v>
      </c>
      <c r="H5544" s="11">
        <f>ROUND(G5544/2,0)</f>
        <v>46046</v>
      </c>
      <c r="I5544" s="9">
        <f>G5544-H5544</f>
        <v>46046</v>
      </c>
      <c r="J5544" s="3" t="str">
        <f t="shared" si="398"/>
        <v>7447445</v>
      </c>
    </row>
    <row r="5545" spans="1:10" s="3" customFormat="1">
      <c r="B5545" s="3" t="s">
        <v>2158</v>
      </c>
      <c r="C5545" s="8">
        <v>4</v>
      </c>
      <c r="D5545" s="3" t="s">
        <v>3016</v>
      </c>
      <c r="E5545" s="11" t="s">
        <v>28</v>
      </c>
      <c r="F5545" s="11"/>
      <c r="G5545" s="14">
        <v>0.49704999999999999</v>
      </c>
      <c r="H5545" s="11"/>
      <c r="I5545" s="11"/>
      <c r="J5545" s="3" t="str">
        <f t="shared" si="398"/>
        <v>7447445</v>
      </c>
    </row>
    <row r="5546" spans="1:10" s="3" customFormat="1">
      <c r="B5546" s="3" t="s">
        <v>2158</v>
      </c>
      <c r="C5546" s="8">
        <v>4</v>
      </c>
      <c r="D5546" s="3" t="s">
        <v>3016</v>
      </c>
      <c r="E5546" s="11" t="s">
        <v>29</v>
      </c>
      <c r="F5546" s="11"/>
      <c r="G5546" s="15">
        <f>ROUND(G5544*G5545,0)</f>
        <v>45774</v>
      </c>
      <c r="H5546" s="16">
        <f t="shared" ref="H5546:H5551" si="402">ROUND(G5546/2,0)</f>
        <v>22887</v>
      </c>
      <c r="I5546" s="15">
        <f t="shared" ref="I5546:I5551" si="403">G5546-H5546</f>
        <v>22887</v>
      </c>
      <c r="J5546" s="3" t="str">
        <f t="shared" si="398"/>
        <v>7447445</v>
      </c>
    </row>
    <row r="5547" spans="1:10" s="3" customFormat="1">
      <c r="B5547" s="3" t="s">
        <v>2158</v>
      </c>
      <c r="C5547" s="8">
        <v>4</v>
      </c>
      <c r="D5547" s="3" t="s">
        <v>3016</v>
      </c>
      <c r="E5547" s="11" t="s">
        <v>30</v>
      </c>
      <c r="F5547" s="11"/>
      <c r="G5547" s="12">
        <f>+G5544-G5546</f>
        <v>46318</v>
      </c>
      <c r="H5547" s="13">
        <f t="shared" si="402"/>
        <v>23159</v>
      </c>
      <c r="I5547" s="12">
        <f t="shared" si="403"/>
        <v>23159</v>
      </c>
      <c r="J5547" s="3" t="str">
        <f t="shared" si="398"/>
        <v>7447445</v>
      </c>
    </row>
    <row r="5548" spans="1:10" s="128" customFormat="1">
      <c r="A5548" s="136"/>
      <c r="B5548" s="128" t="s">
        <v>2158</v>
      </c>
      <c r="C5548" s="129">
        <v>5</v>
      </c>
      <c r="D5548" s="130" t="s">
        <v>2279</v>
      </c>
      <c r="E5548" s="131" t="s">
        <v>1601</v>
      </c>
      <c r="F5548" s="133">
        <v>2.0326E-2</v>
      </c>
      <c r="G5548" s="137">
        <f>ROUND(G$3*F5548,0)</f>
        <v>5848</v>
      </c>
      <c r="H5548" s="137">
        <f t="shared" si="402"/>
        <v>2924</v>
      </c>
      <c r="I5548" s="137">
        <f t="shared" si="403"/>
        <v>2924</v>
      </c>
      <c r="J5548" s="128" t="str">
        <f t="shared" si="398"/>
        <v>7450301</v>
      </c>
    </row>
    <row r="5549" spans="1:10" s="3" customFormat="1">
      <c r="B5549" s="3" t="s">
        <v>2158</v>
      </c>
      <c r="C5549" s="8">
        <v>5</v>
      </c>
      <c r="D5549" s="3" t="s">
        <v>5741</v>
      </c>
      <c r="E5549" s="11" t="s">
        <v>1602</v>
      </c>
      <c r="F5549" s="10">
        <v>3.3008000000000003E-2</v>
      </c>
      <c r="G5549" s="120">
        <f>ROUND(G$3*F5549,0)</f>
        <v>9497</v>
      </c>
      <c r="H5549" s="120">
        <f t="shared" si="402"/>
        <v>4749</v>
      </c>
      <c r="I5549" s="120">
        <f t="shared" si="403"/>
        <v>4748</v>
      </c>
      <c r="J5549" s="3" t="str">
        <f t="shared" si="398"/>
        <v>7450294</v>
      </c>
    </row>
    <row r="5550" spans="1:10" s="3" customFormat="1">
      <c r="B5550" s="3" t="s">
        <v>2158</v>
      </c>
      <c r="C5550" s="8">
        <v>6</v>
      </c>
      <c r="D5550" s="3" t="s">
        <v>2227</v>
      </c>
      <c r="E5550" s="11" t="s">
        <v>1603</v>
      </c>
      <c r="F5550" s="10">
        <v>9.0259999999999993E-3</v>
      </c>
      <c r="G5550" s="120">
        <f>ROUND(G$3*F5550,0)</f>
        <v>2597</v>
      </c>
      <c r="H5550" s="120">
        <f t="shared" si="402"/>
        <v>1299</v>
      </c>
      <c r="I5550" s="120">
        <f t="shared" si="403"/>
        <v>1298</v>
      </c>
      <c r="J5550" s="3" t="str">
        <f t="shared" si="398"/>
        <v>7460960</v>
      </c>
    </row>
    <row r="5551" spans="1:10" s="3" customFormat="1">
      <c r="B5551" s="3" t="s">
        <v>2158</v>
      </c>
      <c r="C5551" s="8">
        <v>6</v>
      </c>
      <c r="D5551" s="116" t="s">
        <v>5746</v>
      </c>
      <c r="E5551" s="11" t="s">
        <v>1604</v>
      </c>
      <c r="F5551" s="10">
        <v>7.1740000000001247E-3</v>
      </c>
      <c r="G5551" s="120">
        <f>+G5501-SUM(G5502:G5503)-SUM(G5508:G5540)-G5544-SUM(G5548:G5550)</f>
        <v>-6465</v>
      </c>
      <c r="H5551" s="120">
        <f t="shared" si="402"/>
        <v>-3233</v>
      </c>
      <c r="I5551" s="120">
        <f t="shared" si="403"/>
        <v>-3232</v>
      </c>
      <c r="J5551" s="3" t="str">
        <f t="shared" si="398"/>
        <v>7461068</v>
      </c>
    </row>
    <row r="5552" spans="1:10" s="3" customFormat="1">
      <c r="B5552" s="3" t="s">
        <v>2158</v>
      </c>
      <c r="C5552" s="8">
        <v>0</v>
      </c>
      <c r="D5552" s="125" t="s">
        <v>2187</v>
      </c>
      <c r="E5552" s="28" t="s">
        <v>288</v>
      </c>
      <c r="F5552" s="10">
        <v>1</v>
      </c>
      <c r="G5552" s="12">
        <f>+G5502+SUM(G5505:G5539)+SUM(G5542:G5543)+SUM(G5546:G5551)</f>
        <v>279193</v>
      </c>
      <c r="H5552" s="12">
        <f>+H5502+SUM(H5505:H5539)+SUM(H5542:H5543)+SUM(H5546:H5551)</f>
        <v>139605</v>
      </c>
      <c r="I5552" s="12">
        <f>+I5502+SUM(I5505:I5539)+SUM(I5542:I5543)+SUM(I5546:I5551)</f>
        <v>139588</v>
      </c>
      <c r="J5552" s="3" t="str">
        <f t="shared" si="398"/>
        <v>7400000</v>
      </c>
    </row>
    <row r="5553" spans="2:10" s="3" customFormat="1">
      <c r="B5553" s="3" t="s">
        <v>2158</v>
      </c>
      <c r="C5553" s="8">
        <v>0</v>
      </c>
      <c r="D5553" s="3" t="s">
        <v>2187</v>
      </c>
      <c r="E5553" s="18" t="s">
        <v>38</v>
      </c>
      <c r="G5553" s="19">
        <f>+G5502</f>
        <v>427</v>
      </c>
      <c r="H5553" s="19">
        <f>+H5502</f>
        <v>214</v>
      </c>
      <c r="I5553" s="19">
        <f>+I5502</f>
        <v>213</v>
      </c>
      <c r="J5553" s="3" t="str">
        <f t="shared" si="398"/>
        <v>7400000</v>
      </c>
    </row>
    <row r="5554" spans="2:10" s="3" customFormat="1">
      <c r="B5554" s="3" t="s">
        <v>2158</v>
      </c>
      <c r="C5554" s="8">
        <v>0</v>
      </c>
      <c r="D5554" s="3" t="s">
        <v>2187</v>
      </c>
      <c r="E5554" s="2" t="s">
        <v>39</v>
      </c>
      <c r="G5554" s="19">
        <f>+G5505</f>
        <v>4543</v>
      </c>
      <c r="H5554" s="19">
        <f>+H5505</f>
        <v>2272</v>
      </c>
      <c r="I5554" s="19">
        <f>+I5505</f>
        <v>2271</v>
      </c>
      <c r="J5554" s="3" t="str">
        <f t="shared" si="398"/>
        <v>7400000</v>
      </c>
    </row>
    <row r="5555" spans="2:10" s="3" customFormat="1">
      <c r="B5555" s="3" t="s">
        <v>2158</v>
      </c>
      <c r="C5555" s="8">
        <v>0</v>
      </c>
      <c r="D5555" s="3" t="s">
        <v>2187</v>
      </c>
      <c r="E5555" s="2" t="s">
        <v>40</v>
      </c>
      <c r="G5555" s="19">
        <f>+G5542+G5546</f>
        <v>97541</v>
      </c>
      <c r="H5555" s="19">
        <f>+H5542+H5546</f>
        <v>48771</v>
      </c>
      <c r="I5555" s="19">
        <f>+I5542+I5546</f>
        <v>48770</v>
      </c>
      <c r="J5555" s="3" t="str">
        <f t="shared" si="398"/>
        <v>7400000</v>
      </c>
    </row>
    <row r="5556" spans="2:10" s="3" customFormat="1">
      <c r="B5556" s="3" t="s">
        <v>2158</v>
      </c>
      <c r="C5556" s="8">
        <v>0</v>
      </c>
      <c r="D5556" s="125" t="s">
        <v>2187</v>
      </c>
      <c r="E5556" s="18" t="s">
        <v>41</v>
      </c>
      <c r="G5556" s="19">
        <f>+G5552-G5553-G5554-G5555</f>
        <v>176682</v>
      </c>
      <c r="H5556" s="19">
        <f>+H5552-H5553-H5554-H5555</f>
        <v>88348</v>
      </c>
      <c r="I5556" s="19">
        <f>+I5552-I5553-I5554-I5555</f>
        <v>88334</v>
      </c>
      <c r="J5556" s="3" t="str">
        <f t="shared" si="398"/>
        <v>7400000</v>
      </c>
    </row>
    <row r="5557" spans="2:10" ht="15.75">
      <c r="B5557" s="3" t="s">
        <v>2186</v>
      </c>
      <c r="D5557" t="s">
        <v>2186</v>
      </c>
      <c r="E5557">
        <v>0</v>
      </c>
      <c r="G5557"/>
      <c r="H5557"/>
      <c r="I5557"/>
      <c r="J5557" s="3" t="str">
        <f t="shared" si="398"/>
        <v/>
      </c>
    </row>
    <row r="5558" spans="2:10" s="3" customFormat="1">
      <c r="C5558" s="1"/>
      <c r="D5558" s="3" t="s">
        <v>2186</v>
      </c>
      <c r="E5558" s="2" t="s">
        <v>1605</v>
      </c>
      <c r="J5558" s="3" t="str">
        <f t="shared" si="398"/>
        <v/>
      </c>
    </row>
    <row r="5559" spans="2:10" s="3" customFormat="1" ht="45">
      <c r="B5559" s="3" t="s">
        <v>2186</v>
      </c>
      <c r="C5559" s="1"/>
      <c r="D5559" s="3" t="s">
        <v>2186</v>
      </c>
      <c r="E5559" s="1">
        <v>0</v>
      </c>
      <c r="F5559" s="6" t="s">
        <v>1</v>
      </c>
      <c r="G5559" s="60">
        <f>'Allocation Worksheet'!H5559</f>
        <v>0</v>
      </c>
      <c r="H5559" s="60">
        <f>'Allocation Worksheet'!H5560</f>
        <v>0</v>
      </c>
      <c r="I5559" s="60">
        <f>'Allocation Worksheet'!H5561</f>
        <v>0</v>
      </c>
      <c r="J5559" s="3" t="str">
        <f t="shared" si="398"/>
        <v/>
      </c>
    </row>
    <row r="5560" spans="2:10" s="3" customFormat="1">
      <c r="C5560" s="7" t="s">
        <v>2087</v>
      </c>
      <c r="D5560" s="3" t="s">
        <v>2186</v>
      </c>
      <c r="E5560" s="7" t="s">
        <v>3</v>
      </c>
      <c r="F5560" s="10"/>
      <c r="G5560" s="9">
        <f>'Allocation Worksheet'!$D$78</f>
        <v>129159</v>
      </c>
      <c r="H5560" s="11"/>
      <c r="I5560" s="11"/>
      <c r="J5560" s="3" t="str">
        <f t="shared" si="398"/>
        <v>UT</v>
      </c>
    </row>
    <row r="5561" spans="2:10" s="3" customFormat="1">
      <c r="B5561" s="3" t="s">
        <v>2159</v>
      </c>
      <c r="C5561" s="8">
        <v>0</v>
      </c>
      <c r="D5561" s="3" t="s">
        <v>2187</v>
      </c>
      <c r="E5561" s="11" t="s">
        <v>4</v>
      </c>
      <c r="F5561" s="10">
        <v>1.101E-3</v>
      </c>
      <c r="G5561" s="12">
        <f>ROUND(G$3*F5561,0)</f>
        <v>317</v>
      </c>
      <c r="H5561" s="13">
        <f>ROUND(G5561/2,0)</f>
        <v>159</v>
      </c>
      <c r="I5561" s="12">
        <f>G5561-H5561</f>
        <v>158</v>
      </c>
      <c r="J5561" s="3" t="str">
        <f t="shared" si="398"/>
        <v>7500000</v>
      </c>
    </row>
    <row r="5562" spans="2:10" s="3" customFormat="1">
      <c r="B5562" s="3" t="s">
        <v>2159</v>
      </c>
      <c r="C5562" s="8">
        <v>1</v>
      </c>
      <c r="D5562" s="3" t="s">
        <v>2187</v>
      </c>
      <c r="E5562" s="11" t="s">
        <v>1606</v>
      </c>
      <c r="F5562" s="10">
        <v>0.214808</v>
      </c>
      <c r="G5562" s="9">
        <f>ROUND(G$3*F5562,0)</f>
        <v>61805</v>
      </c>
      <c r="H5562" s="11">
        <f>ROUND(G5562/2,0)</f>
        <v>30903</v>
      </c>
      <c r="I5562" s="9">
        <f>G5562-H5562</f>
        <v>30902</v>
      </c>
      <c r="J5562" s="3" t="str">
        <f t="shared" si="398"/>
        <v>7510000</v>
      </c>
    </row>
    <row r="5563" spans="2:10" s="3" customFormat="1">
      <c r="B5563" s="3" t="s">
        <v>2159</v>
      </c>
      <c r="C5563" s="8">
        <v>1</v>
      </c>
      <c r="D5563" s="3" t="s">
        <v>2187</v>
      </c>
      <c r="E5563" s="11" t="s">
        <v>6</v>
      </c>
      <c r="F5563" s="11"/>
      <c r="G5563" s="14">
        <v>0.37206899999999998</v>
      </c>
      <c r="H5563" s="11"/>
      <c r="I5563" s="11"/>
      <c r="J5563" s="3" t="str">
        <f t="shared" si="398"/>
        <v>7510000</v>
      </c>
    </row>
    <row r="5564" spans="2:10" s="3" customFormat="1">
      <c r="B5564" s="3" t="s">
        <v>2159</v>
      </c>
      <c r="C5564" s="8">
        <v>1</v>
      </c>
      <c r="D5564" s="3" t="s">
        <v>2187</v>
      </c>
      <c r="E5564" s="11" t="s">
        <v>7</v>
      </c>
      <c r="F5564" s="11"/>
      <c r="G5564" s="15">
        <f>ROUND(G5562*G5563,0)</f>
        <v>22996</v>
      </c>
      <c r="H5564" s="16">
        <f>ROUND(G5564/2,0)</f>
        <v>11498</v>
      </c>
      <c r="I5564" s="15">
        <f>G5564-H5564</f>
        <v>11498</v>
      </c>
      <c r="J5564" s="3" t="str">
        <f t="shared" si="398"/>
        <v>7510000</v>
      </c>
    </row>
    <row r="5565" spans="2:10" s="3" customFormat="1">
      <c r="B5565" s="3" t="s">
        <v>2159</v>
      </c>
      <c r="C5565" s="8">
        <v>1</v>
      </c>
      <c r="D5565" s="3" t="s">
        <v>2187</v>
      </c>
      <c r="E5565" s="11" t="s">
        <v>8</v>
      </c>
      <c r="F5565" s="11"/>
      <c r="G5565" s="12">
        <f>+G5562-G5564</f>
        <v>38809</v>
      </c>
      <c r="H5565" s="13">
        <f>ROUND(G5565/2,0)</f>
        <v>19405</v>
      </c>
      <c r="I5565" s="12">
        <f>G5565-H5565</f>
        <v>19404</v>
      </c>
      <c r="J5565" s="3" t="str">
        <f t="shared" si="398"/>
        <v>7510000</v>
      </c>
    </row>
    <row r="5566" spans="2:10" s="3" customFormat="1">
      <c r="B5566" s="3" t="s">
        <v>2159</v>
      </c>
      <c r="C5566" s="8">
        <v>2</v>
      </c>
      <c r="D5566" s="3" t="s">
        <v>2188</v>
      </c>
      <c r="E5566" s="11" t="s">
        <v>1607</v>
      </c>
      <c r="F5566" s="11"/>
      <c r="G5566" s="9"/>
      <c r="H5566" s="11"/>
      <c r="I5566" s="11"/>
      <c r="J5566" s="3" t="str">
        <f t="shared" si="398"/>
        <v>7520001</v>
      </c>
    </row>
    <row r="5567" spans="2:10" s="3" customFormat="1">
      <c r="B5567" s="3" t="s">
        <v>2159</v>
      </c>
      <c r="C5567" s="8">
        <v>2</v>
      </c>
      <c r="D5567" s="3" t="s">
        <v>2188</v>
      </c>
      <c r="E5567" s="11" t="s">
        <v>10</v>
      </c>
      <c r="F5567" s="10">
        <v>3.055E-3</v>
      </c>
      <c r="G5567" s="12">
        <f>ROUND(G$3*F5567,0)</f>
        <v>879</v>
      </c>
      <c r="H5567" s="13">
        <f>ROUND(G5567/2,0)</f>
        <v>440</v>
      </c>
      <c r="I5567" s="12">
        <f>G5567-H5567</f>
        <v>439</v>
      </c>
      <c r="J5567" s="3" t="str">
        <f t="shared" si="398"/>
        <v>7520001</v>
      </c>
    </row>
    <row r="5568" spans="2:10" s="3" customFormat="1">
      <c r="B5568" s="3" t="s">
        <v>2159</v>
      </c>
      <c r="C5568" s="8">
        <v>2</v>
      </c>
      <c r="D5568" s="3" t="s">
        <v>2188</v>
      </c>
      <c r="E5568" s="11" t="s">
        <v>11</v>
      </c>
      <c r="F5568" s="10">
        <v>2.307E-3</v>
      </c>
      <c r="G5568" s="12">
        <f>ROUND(G$3*F5568,0)</f>
        <v>664</v>
      </c>
      <c r="H5568" s="13">
        <f>ROUND(G5568/2,0)</f>
        <v>332</v>
      </c>
      <c r="I5568" s="12">
        <f>G5568-H5568</f>
        <v>332</v>
      </c>
      <c r="J5568" s="3" t="str">
        <f t="shared" si="398"/>
        <v>7520001</v>
      </c>
    </row>
    <row r="5569" spans="2:10" s="3" customFormat="1">
      <c r="B5569" s="3" t="s">
        <v>2159</v>
      </c>
      <c r="C5569" s="8">
        <v>2</v>
      </c>
      <c r="D5569" s="3" t="s">
        <v>2189</v>
      </c>
      <c r="E5569" s="11" t="s">
        <v>107</v>
      </c>
      <c r="F5569" s="11"/>
      <c r="G5569" s="9"/>
      <c r="H5569" s="11"/>
      <c r="I5569" s="11"/>
      <c r="J5569" s="3" t="str">
        <f t="shared" si="398"/>
        <v>7520002</v>
      </c>
    </row>
    <row r="5570" spans="2:10" s="3" customFormat="1">
      <c r="B5570" s="3" t="s">
        <v>2159</v>
      </c>
      <c r="C5570" s="8">
        <v>2</v>
      </c>
      <c r="D5570" s="3" t="s">
        <v>2189</v>
      </c>
      <c r="E5570" s="11" t="s">
        <v>10</v>
      </c>
      <c r="F5570" s="10">
        <v>1.828E-3</v>
      </c>
      <c r="G5570" s="12">
        <f>ROUND(G$3*F5570,0)</f>
        <v>526</v>
      </c>
      <c r="H5570" s="13">
        <f>ROUND(G5570/2,0)</f>
        <v>263</v>
      </c>
      <c r="I5570" s="12">
        <f>G5570-H5570</f>
        <v>263</v>
      </c>
      <c r="J5570" s="3" t="str">
        <f t="shared" si="398"/>
        <v>7520002</v>
      </c>
    </row>
    <row r="5571" spans="2:10" s="3" customFormat="1">
      <c r="B5571" s="3" t="s">
        <v>2159</v>
      </c>
      <c r="C5571" s="8">
        <v>2</v>
      </c>
      <c r="D5571" s="3" t="s">
        <v>2189</v>
      </c>
      <c r="E5571" s="11" t="s">
        <v>11</v>
      </c>
      <c r="F5571" s="10">
        <v>8.3299999999999997E-4</v>
      </c>
      <c r="G5571" s="12">
        <f>ROUND(G$3*F5571,0)</f>
        <v>240</v>
      </c>
      <c r="H5571" s="13">
        <f>ROUND(G5571/2,0)</f>
        <v>120</v>
      </c>
      <c r="I5571" s="12">
        <f>G5571-H5571</f>
        <v>120</v>
      </c>
      <c r="J5571" s="3" t="str">
        <f t="shared" si="398"/>
        <v>7520002</v>
      </c>
    </row>
    <row r="5572" spans="2:10" s="3" customFormat="1">
      <c r="B5572" s="3" t="s">
        <v>2159</v>
      </c>
      <c r="C5572" s="8">
        <v>2</v>
      </c>
      <c r="D5572" s="3" t="s">
        <v>2190</v>
      </c>
      <c r="E5572" s="11" t="s">
        <v>504</v>
      </c>
      <c r="F5572" s="11"/>
      <c r="G5572" s="9"/>
      <c r="H5572" s="11"/>
      <c r="I5572" s="11"/>
      <c r="J5572" s="3" t="str">
        <f t="shared" ref="J5572:J5635" si="404">B5572&amp;C5572&amp;D5572</f>
        <v>7520003</v>
      </c>
    </row>
    <row r="5573" spans="2:10" s="3" customFormat="1">
      <c r="B5573" s="3" t="s">
        <v>2159</v>
      </c>
      <c r="C5573" s="8">
        <v>2</v>
      </c>
      <c r="D5573" s="3" t="s">
        <v>2190</v>
      </c>
      <c r="E5573" s="11" t="s">
        <v>10</v>
      </c>
      <c r="F5573" s="10">
        <v>1.6720000000000001E-3</v>
      </c>
      <c r="G5573" s="12">
        <f>ROUND(G$3*F5573,0)</f>
        <v>481</v>
      </c>
      <c r="H5573" s="13">
        <f>ROUND(G5573/2,0)</f>
        <v>241</v>
      </c>
      <c r="I5573" s="12">
        <f>G5573-H5573</f>
        <v>240</v>
      </c>
      <c r="J5573" s="3" t="str">
        <f t="shared" si="404"/>
        <v>7520003</v>
      </c>
    </row>
    <row r="5574" spans="2:10" s="3" customFormat="1">
      <c r="B5574" s="3" t="s">
        <v>2159</v>
      </c>
      <c r="C5574" s="8">
        <v>2</v>
      </c>
      <c r="D5574" s="3" t="s">
        <v>2190</v>
      </c>
      <c r="E5574" s="11" t="s">
        <v>11</v>
      </c>
      <c r="F5574" s="10">
        <v>1.122E-3</v>
      </c>
      <c r="G5574" s="12">
        <f>ROUND(G$3*F5574,0)</f>
        <v>323</v>
      </c>
      <c r="H5574" s="13">
        <f>ROUND(G5574/2,0)</f>
        <v>162</v>
      </c>
      <c r="I5574" s="12">
        <f>G5574-H5574</f>
        <v>161</v>
      </c>
      <c r="J5574" s="3" t="str">
        <f t="shared" si="404"/>
        <v>7520003</v>
      </c>
    </row>
    <row r="5575" spans="2:10" s="3" customFormat="1">
      <c r="B5575" s="3" t="s">
        <v>2159</v>
      </c>
      <c r="C5575" s="8">
        <v>2</v>
      </c>
      <c r="D5575" s="3" t="s">
        <v>2191</v>
      </c>
      <c r="E5575" s="11" t="s">
        <v>49</v>
      </c>
      <c r="F5575" s="11"/>
      <c r="G5575" s="9"/>
      <c r="H5575" s="11"/>
      <c r="I5575" s="11"/>
      <c r="J5575" s="3" t="str">
        <f t="shared" si="404"/>
        <v>7520004</v>
      </c>
    </row>
    <row r="5576" spans="2:10" s="3" customFormat="1">
      <c r="B5576" s="3" t="s">
        <v>2159</v>
      </c>
      <c r="C5576" s="8">
        <v>2</v>
      </c>
      <c r="D5576" s="3" t="s">
        <v>2191</v>
      </c>
      <c r="E5576" s="11" t="s">
        <v>10</v>
      </c>
      <c r="F5576" s="10">
        <v>3.5300000000000002E-4</v>
      </c>
      <c r="G5576" s="12">
        <f>ROUND(G$3*F5576,0)</f>
        <v>102</v>
      </c>
      <c r="H5576" s="13">
        <f>ROUND(G5576/2,0)</f>
        <v>51</v>
      </c>
      <c r="I5576" s="12">
        <f>G5576-H5576</f>
        <v>51</v>
      </c>
      <c r="J5576" s="3" t="str">
        <f t="shared" si="404"/>
        <v>7520004</v>
      </c>
    </row>
    <row r="5577" spans="2:10" s="3" customFormat="1">
      <c r="B5577" s="3" t="s">
        <v>2159</v>
      </c>
      <c r="C5577" s="8">
        <v>2</v>
      </c>
      <c r="D5577" s="3" t="s">
        <v>2191</v>
      </c>
      <c r="E5577" s="11" t="s">
        <v>11</v>
      </c>
      <c r="F5577" s="10">
        <v>1.6200000000000001E-4</v>
      </c>
      <c r="G5577" s="12">
        <f>ROUND(G$3*F5577,0)</f>
        <v>47</v>
      </c>
      <c r="H5577" s="13">
        <f>ROUND(G5577/2,0)</f>
        <v>24</v>
      </c>
      <c r="I5577" s="12">
        <f>G5577-H5577</f>
        <v>23</v>
      </c>
      <c r="J5577" s="3" t="str">
        <f t="shared" si="404"/>
        <v>7520004</v>
      </c>
    </row>
    <row r="5578" spans="2:10" s="3" customFormat="1">
      <c r="B5578" s="3" t="s">
        <v>2159</v>
      </c>
      <c r="C5578" s="8">
        <v>2</v>
      </c>
      <c r="D5578" s="3" t="s">
        <v>2192</v>
      </c>
      <c r="E5578" s="11" t="s">
        <v>1608</v>
      </c>
      <c r="F5578" s="11"/>
      <c r="G5578" s="9"/>
      <c r="H5578" s="11"/>
      <c r="I5578" s="11"/>
      <c r="J5578" s="3" t="str">
        <f t="shared" si="404"/>
        <v>7520005</v>
      </c>
    </row>
    <row r="5579" spans="2:10" s="3" customFormat="1">
      <c r="B5579" s="3" t="s">
        <v>2159</v>
      </c>
      <c r="C5579" s="8">
        <v>2</v>
      </c>
      <c r="D5579" s="3" t="s">
        <v>2192</v>
      </c>
      <c r="E5579" s="11" t="s">
        <v>10</v>
      </c>
      <c r="F5579" s="10">
        <v>4.5899999999999999E-4</v>
      </c>
      <c r="G5579" s="12">
        <f>ROUND(G$3*F5579,0)</f>
        <v>132</v>
      </c>
      <c r="H5579" s="13">
        <f>ROUND(G5579/2,0)</f>
        <v>66</v>
      </c>
      <c r="I5579" s="12">
        <f>G5579-H5579</f>
        <v>66</v>
      </c>
      <c r="J5579" s="3" t="str">
        <f t="shared" si="404"/>
        <v>7520005</v>
      </c>
    </row>
    <row r="5580" spans="2:10" s="3" customFormat="1">
      <c r="B5580" s="3" t="s">
        <v>2159</v>
      </c>
      <c r="C5580" s="8">
        <v>2</v>
      </c>
      <c r="D5580" s="3" t="s">
        <v>2192</v>
      </c>
      <c r="E5580" s="11" t="s">
        <v>11</v>
      </c>
      <c r="F5580" s="10">
        <v>3.1799999999999998E-4</v>
      </c>
      <c r="G5580" s="12">
        <f>ROUND(G$3*F5580,0)</f>
        <v>91</v>
      </c>
      <c r="H5580" s="13">
        <f>ROUND(G5580/2,0)</f>
        <v>46</v>
      </c>
      <c r="I5580" s="12">
        <f>G5580-H5580</f>
        <v>45</v>
      </c>
      <c r="J5580" s="3" t="str">
        <f t="shared" si="404"/>
        <v>7520005</v>
      </c>
    </row>
    <row r="5581" spans="2:10" s="3" customFormat="1">
      <c r="B5581" s="3" t="s">
        <v>2159</v>
      </c>
      <c r="C5581" s="8">
        <v>2</v>
      </c>
      <c r="D5581" s="3" t="s">
        <v>2193</v>
      </c>
      <c r="E5581" s="11" t="s">
        <v>223</v>
      </c>
      <c r="F5581" s="11"/>
      <c r="G5581" s="9"/>
      <c r="H5581" s="11"/>
      <c r="I5581" s="11"/>
      <c r="J5581" s="3" t="str">
        <f t="shared" si="404"/>
        <v>7520006</v>
      </c>
    </row>
    <row r="5582" spans="2:10" s="3" customFormat="1">
      <c r="B5582" s="3" t="s">
        <v>2159</v>
      </c>
      <c r="C5582" s="8">
        <v>2</v>
      </c>
      <c r="D5582" s="3" t="s">
        <v>2193</v>
      </c>
      <c r="E5582" s="11" t="s">
        <v>10</v>
      </c>
      <c r="F5582" s="10">
        <v>2.1310000000000001E-3</v>
      </c>
      <c r="G5582" s="12">
        <f>ROUND(G$3*F5582,0)</f>
        <v>613</v>
      </c>
      <c r="H5582" s="13">
        <f>ROUND(G5582/2,0)</f>
        <v>307</v>
      </c>
      <c r="I5582" s="12">
        <f>G5582-H5582</f>
        <v>306</v>
      </c>
      <c r="J5582" s="3" t="str">
        <f t="shared" si="404"/>
        <v>7520006</v>
      </c>
    </row>
    <row r="5583" spans="2:10" s="3" customFormat="1">
      <c r="B5583" s="3" t="s">
        <v>2159</v>
      </c>
      <c r="C5583" s="8">
        <v>2</v>
      </c>
      <c r="D5583" s="3" t="s">
        <v>2193</v>
      </c>
      <c r="E5583" s="11" t="s">
        <v>11</v>
      </c>
      <c r="F5583" s="10">
        <v>3.408E-3</v>
      </c>
      <c r="G5583" s="12">
        <f>ROUND(G$3*F5583,0)</f>
        <v>981</v>
      </c>
      <c r="H5583" s="13">
        <f>ROUND(G5583/2,0)</f>
        <v>491</v>
      </c>
      <c r="I5583" s="12">
        <f>G5583-H5583</f>
        <v>490</v>
      </c>
      <c r="J5583" s="3" t="str">
        <f t="shared" si="404"/>
        <v>7520006</v>
      </c>
    </row>
    <row r="5584" spans="2:10" s="3" customFormat="1">
      <c r="B5584" s="3" t="s">
        <v>2159</v>
      </c>
      <c r="C5584" s="8">
        <v>2</v>
      </c>
      <c r="D5584" s="3" t="s">
        <v>2194</v>
      </c>
      <c r="E5584" s="11" t="s">
        <v>1609</v>
      </c>
      <c r="F5584" s="11"/>
      <c r="G5584" s="9"/>
      <c r="H5584" s="11"/>
      <c r="I5584" s="11"/>
      <c r="J5584" s="3" t="str">
        <f t="shared" si="404"/>
        <v>7520007</v>
      </c>
    </row>
    <row r="5585" spans="2:10" s="3" customFormat="1">
      <c r="B5585" s="3" t="s">
        <v>2159</v>
      </c>
      <c r="C5585" s="8">
        <v>2</v>
      </c>
      <c r="D5585" s="3" t="s">
        <v>2194</v>
      </c>
      <c r="E5585" s="11" t="s">
        <v>10</v>
      </c>
      <c r="F5585" s="10">
        <v>6.2379999999999996E-3</v>
      </c>
      <c r="G5585" s="12">
        <f>ROUND(G$3*F5585,0)</f>
        <v>1795</v>
      </c>
      <c r="H5585" s="13">
        <f>ROUND(G5585/2,0)</f>
        <v>898</v>
      </c>
      <c r="I5585" s="12">
        <f>G5585-H5585</f>
        <v>897</v>
      </c>
      <c r="J5585" s="3" t="str">
        <f t="shared" si="404"/>
        <v>7520007</v>
      </c>
    </row>
    <row r="5586" spans="2:10" s="3" customFormat="1">
      <c r="B5586" s="3" t="s">
        <v>2159</v>
      </c>
      <c r="C5586" s="8">
        <v>2</v>
      </c>
      <c r="D5586" s="3" t="s">
        <v>2194</v>
      </c>
      <c r="E5586" s="11" t="s">
        <v>11</v>
      </c>
      <c r="F5586" s="10">
        <v>3.9160000000000002E-3</v>
      </c>
      <c r="G5586" s="12">
        <f>ROUND(G$3*F5586,0)</f>
        <v>1127</v>
      </c>
      <c r="H5586" s="13">
        <f>ROUND(G5586/2,0)</f>
        <v>564</v>
      </c>
      <c r="I5586" s="12">
        <f>G5586-H5586</f>
        <v>563</v>
      </c>
      <c r="J5586" s="3" t="str">
        <f t="shared" si="404"/>
        <v>7520007</v>
      </c>
    </row>
    <row r="5587" spans="2:10" s="3" customFormat="1">
      <c r="B5587" s="3" t="s">
        <v>2159</v>
      </c>
      <c r="C5587" s="8">
        <v>2</v>
      </c>
      <c r="D5587" s="3" t="s">
        <v>2195</v>
      </c>
      <c r="E5587" s="11" t="s">
        <v>22</v>
      </c>
      <c r="F5587" s="11"/>
      <c r="G5587" s="9"/>
      <c r="H5587" s="11"/>
      <c r="I5587" s="11"/>
      <c r="J5587" s="3" t="str">
        <f t="shared" si="404"/>
        <v>7520008</v>
      </c>
    </row>
    <row r="5588" spans="2:10" s="3" customFormat="1">
      <c r="B5588" s="3" t="s">
        <v>2159</v>
      </c>
      <c r="C5588" s="8">
        <v>2</v>
      </c>
      <c r="D5588" s="3" t="s">
        <v>2195</v>
      </c>
      <c r="E5588" s="11" t="s">
        <v>10</v>
      </c>
      <c r="F5588" s="10">
        <v>4.6430000000000004E-3</v>
      </c>
      <c r="G5588" s="12">
        <f>ROUND(G$3*F5588,0)</f>
        <v>1336</v>
      </c>
      <c r="H5588" s="13">
        <f>ROUND(G5588/2,0)</f>
        <v>668</v>
      </c>
      <c r="I5588" s="12">
        <f>G5588-H5588</f>
        <v>668</v>
      </c>
      <c r="J5588" s="3" t="str">
        <f t="shared" si="404"/>
        <v>7520008</v>
      </c>
    </row>
    <row r="5589" spans="2:10" s="3" customFormat="1">
      <c r="B5589" s="3" t="s">
        <v>2159</v>
      </c>
      <c r="C5589" s="8">
        <v>2</v>
      </c>
      <c r="D5589" s="3" t="s">
        <v>2195</v>
      </c>
      <c r="E5589" s="11" t="s">
        <v>11</v>
      </c>
      <c r="F5589" s="10">
        <v>2.3709999999999998E-3</v>
      </c>
      <c r="G5589" s="12">
        <f>ROUND(G$3*F5589,0)</f>
        <v>682</v>
      </c>
      <c r="H5589" s="13">
        <f>ROUND(G5589/2,0)</f>
        <v>341</v>
      </c>
      <c r="I5589" s="12">
        <f>G5589-H5589</f>
        <v>341</v>
      </c>
      <c r="J5589" s="3" t="str">
        <f t="shared" si="404"/>
        <v>7520008</v>
      </c>
    </row>
    <row r="5590" spans="2:10" s="3" customFormat="1">
      <c r="B5590" s="3" t="s">
        <v>2159</v>
      </c>
      <c r="C5590" s="8">
        <v>2</v>
      </c>
      <c r="D5590" s="3" t="s">
        <v>2196</v>
      </c>
      <c r="E5590" s="11" t="s">
        <v>61</v>
      </c>
      <c r="F5590" s="11"/>
      <c r="G5590" s="9"/>
      <c r="H5590" s="11"/>
      <c r="I5590" s="11"/>
      <c r="J5590" s="3" t="str">
        <f t="shared" si="404"/>
        <v>7520009</v>
      </c>
    </row>
    <row r="5591" spans="2:10" s="3" customFormat="1">
      <c r="B5591" s="3" t="s">
        <v>2159</v>
      </c>
      <c r="C5591" s="8">
        <v>2</v>
      </c>
      <c r="D5591" s="3" t="s">
        <v>2196</v>
      </c>
      <c r="E5591" s="11" t="s">
        <v>10</v>
      </c>
      <c r="F5591" s="10">
        <v>1.6509999999999999E-3</v>
      </c>
      <c r="G5591" s="12">
        <f t="shared" ref="G5591:G5596" si="405">ROUND(G$3*F5591,0)</f>
        <v>475</v>
      </c>
      <c r="H5591" s="13">
        <f t="shared" ref="H5591:H5596" si="406">ROUND(G5591/2,0)</f>
        <v>238</v>
      </c>
      <c r="I5591" s="12">
        <f t="shared" ref="I5591:I5596" si="407">G5591-H5591</f>
        <v>237</v>
      </c>
      <c r="J5591" s="3" t="str">
        <f t="shared" si="404"/>
        <v>7520009</v>
      </c>
    </row>
    <row r="5592" spans="2:10" s="3" customFormat="1">
      <c r="B5592" s="3" t="s">
        <v>2159</v>
      </c>
      <c r="C5592" s="8">
        <v>2</v>
      </c>
      <c r="D5592" s="3" t="s">
        <v>2196</v>
      </c>
      <c r="E5592" s="11" t="s">
        <v>11</v>
      </c>
      <c r="F5592" s="10">
        <v>1.15E-3</v>
      </c>
      <c r="G5592" s="12">
        <f t="shared" si="405"/>
        <v>331</v>
      </c>
      <c r="H5592" s="13">
        <f t="shared" si="406"/>
        <v>166</v>
      </c>
      <c r="I5592" s="12">
        <f t="shared" si="407"/>
        <v>165</v>
      </c>
      <c r="J5592" s="3" t="str">
        <f t="shared" si="404"/>
        <v>7520009</v>
      </c>
    </row>
    <row r="5593" spans="2:10" s="3" customFormat="1">
      <c r="B5593" s="3" t="s">
        <v>2159</v>
      </c>
      <c r="C5593" s="8">
        <v>3</v>
      </c>
      <c r="D5593" s="3" t="s">
        <v>2286</v>
      </c>
      <c r="E5593" s="11" t="s">
        <v>1610</v>
      </c>
      <c r="F5593" s="10">
        <v>2.5360000000000001E-2</v>
      </c>
      <c r="G5593" s="12">
        <f t="shared" si="405"/>
        <v>7297</v>
      </c>
      <c r="H5593" s="13">
        <f t="shared" si="406"/>
        <v>3649</v>
      </c>
      <c r="I5593" s="12">
        <f t="shared" si="407"/>
        <v>3648</v>
      </c>
      <c r="J5593" s="3" t="str">
        <f t="shared" si="404"/>
        <v>7530875</v>
      </c>
    </row>
    <row r="5594" spans="2:10" s="3" customFormat="1">
      <c r="B5594" s="3" t="s">
        <v>2159</v>
      </c>
      <c r="C5594" s="8">
        <v>3</v>
      </c>
      <c r="D5594" s="3" t="s">
        <v>3017</v>
      </c>
      <c r="E5594" s="11" t="s">
        <v>1611</v>
      </c>
      <c r="F5594" s="10">
        <v>2.2841E-2</v>
      </c>
      <c r="G5594" s="12">
        <f t="shared" si="405"/>
        <v>6572</v>
      </c>
      <c r="H5594" s="13">
        <f t="shared" si="406"/>
        <v>3286</v>
      </c>
      <c r="I5594" s="12">
        <f t="shared" si="407"/>
        <v>3286</v>
      </c>
      <c r="J5594" s="3" t="str">
        <f t="shared" si="404"/>
        <v>7530449</v>
      </c>
    </row>
    <row r="5595" spans="2:10" s="3" customFormat="1">
      <c r="B5595" s="3" t="s">
        <v>2159</v>
      </c>
      <c r="C5595" s="8">
        <v>3</v>
      </c>
      <c r="D5595" s="3" t="s">
        <v>3018</v>
      </c>
      <c r="E5595" s="11" t="s">
        <v>1612</v>
      </c>
      <c r="F5595" s="10">
        <v>1.5016E-2</v>
      </c>
      <c r="G5595" s="12">
        <f t="shared" si="405"/>
        <v>4320</v>
      </c>
      <c r="H5595" s="13">
        <f t="shared" si="406"/>
        <v>2160</v>
      </c>
      <c r="I5595" s="12">
        <f t="shared" si="407"/>
        <v>2160</v>
      </c>
      <c r="J5595" s="3" t="str">
        <f t="shared" si="404"/>
        <v>7530876</v>
      </c>
    </row>
    <row r="5596" spans="2:10" s="3" customFormat="1">
      <c r="B5596" s="3" t="s">
        <v>2159</v>
      </c>
      <c r="C5596" s="8">
        <v>4</v>
      </c>
      <c r="D5596" s="3" t="s">
        <v>2458</v>
      </c>
      <c r="E5596" s="11" t="s">
        <v>557</v>
      </c>
      <c r="F5596" s="10">
        <v>1.3448999999999999E-2</v>
      </c>
      <c r="G5596" s="9">
        <f t="shared" si="405"/>
        <v>3870</v>
      </c>
      <c r="H5596" s="11">
        <f t="shared" si="406"/>
        <v>1935</v>
      </c>
      <c r="I5596" s="9">
        <f t="shared" si="407"/>
        <v>1935</v>
      </c>
      <c r="J5596" s="3" t="str">
        <f t="shared" si="404"/>
        <v>7545455</v>
      </c>
    </row>
    <row r="5597" spans="2:10" s="3" customFormat="1">
      <c r="B5597" s="3" t="s">
        <v>2159</v>
      </c>
      <c r="C5597" s="8">
        <v>4</v>
      </c>
      <c r="D5597" s="3" t="s">
        <v>2458</v>
      </c>
      <c r="E5597" s="11" t="s">
        <v>28</v>
      </c>
      <c r="F5597" s="11"/>
      <c r="G5597" s="14">
        <v>0.48539900000000002</v>
      </c>
      <c r="H5597" s="11"/>
      <c r="I5597" s="11"/>
      <c r="J5597" s="3" t="str">
        <f t="shared" si="404"/>
        <v>7545455</v>
      </c>
    </row>
    <row r="5598" spans="2:10" s="3" customFormat="1">
      <c r="B5598" s="3" t="s">
        <v>2159</v>
      </c>
      <c r="C5598" s="8">
        <v>4</v>
      </c>
      <c r="D5598" s="3" t="s">
        <v>2458</v>
      </c>
      <c r="E5598" s="11" t="s">
        <v>29</v>
      </c>
      <c r="F5598" s="11"/>
      <c r="G5598" s="15">
        <f>ROUND(G5596*G5597,0)</f>
        <v>1878</v>
      </c>
      <c r="H5598" s="16">
        <f>ROUND(G5598/2,0)</f>
        <v>939</v>
      </c>
      <c r="I5598" s="15">
        <f>G5598-H5598</f>
        <v>939</v>
      </c>
      <c r="J5598" s="3" t="str">
        <f t="shared" si="404"/>
        <v>7545455</v>
      </c>
    </row>
    <row r="5599" spans="2:10" s="3" customFormat="1">
      <c r="B5599" s="3" t="s">
        <v>2159</v>
      </c>
      <c r="C5599" s="8">
        <v>4</v>
      </c>
      <c r="D5599" s="3" t="s">
        <v>2458</v>
      </c>
      <c r="E5599" s="11" t="s">
        <v>30</v>
      </c>
      <c r="F5599" s="11"/>
      <c r="G5599" s="12">
        <f>+G5596-G5598</f>
        <v>1992</v>
      </c>
      <c r="H5599" s="13">
        <f>ROUND(G5599/2,0)</f>
        <v>996</v>
      </c>
      <c r="I5599" s="12">
        <f>G5599-H5599</f>
        <v>996</v>
      </c>
      <c r="J5599" s="3" t="str">
        <f t="shared" si="404"/>
        <v>7545455</v>
      </c>
    </row>
    <row r="5600" spans="2:10" s="3" customFormat="1">
      <c r="B5600" s="3" t="s">
        <v>2159</v>
      </c>
      <c r="C5600" s="8">
        <v>4</v>
      </c>
      <c r="D5600" s="3" t="s">
        <v>3020</v>
      </c>
      <c r="E5600" s="11" t="s">
        <v>1613</v>
      </c>
      <c r="F5600" s="10">
        <v>0.241651</v>
      </c>
      <c r="G5600" s="9">
        <f>ROUND(G$3*F5600,0)</f>
        <v>69529</v>
      </c>
      <c r="H5600" s="11">
        <f>ROUND(G5600/2,0)</f>
        <v>34765</v>
      </c>
      <c r="I5600" s="9">
        <f>G5600-H5600</f>
        <v>34764</v>
      </c>
      <c r="J5600" s="3" t="str">
        <f t="shared" si="404"/>
        <v>7547525</v>
      </c>
    </row>
    <row r="5601" spans="1:10" s="3" customFormat="1">
      <c r="B5601" s="3" t="s">
        <v>2159</v>
      </c>
      <c r="C5601" s="8">
        <v>4</v>
      </c>
      <c r="D5601" s="3" t="s">
        <v>3020</v>
      </c>
      <c r="E5601" s="11" t="s">
        <v>28</v>
      </c>
      <c r="F5601" s="11"/>
      <c r="G5601" s="14">
        <v>0.36119899999999999</v>
      </c>
      <c r="H5601" s="11"/>
      <c r="I5601" s="11"/>
      <c r="J5601" s="3" t="str">
        <f t="shared" si="404"/>
        <v>7547525</v>
      </c>
    </row>
    <row r="5602" spans="1:10" s="3" customFormat="1">
      <c r="B5602" s="3" t="s">
        <v>2159</v>
      </c>
      <c r="C5602" s="8">
        <v>4</v>
      </c>
      <c r="D5602" s="3" t="s">
        <v>3020</v>
      </c>
      <c r="E5602" s="11" t="s">
        <v>29</v>
      </c>
      <c r="F5602" s="11"/>
      <c r="G5602" s="15">
        <f>ROUND(G5600*G5601,0)</f>
        <v>25114</v>
      </c>
      <c r="H5602" s="16">
        <f>ROUND(G5602/2,0)</f>
        <v>12557</v>
      </c>
      <c r="I5602" s="15">
        <f>G5602-H5602</f>
        <v>12557</v>
      </c>
      <c r="J5602" s="3" t="str">
        <f t="shared" si="404"/>
        <v>7547525</v>
      </c>
    </row>
    <row r="5603" spans="1:10" s="3" customFormat="1">
      <c r="B5603" s="3" t="s">
        <v>2159</v>
      </c>
      <c r="C5603" s="8">
        <v>4</v>
      </c>
      <c r="D5603" s="3" t="s">
        <v>3020</v>
      </c>
      <c r="E5603" s="11" t="s">
        <v>30</v>
      </c>
      <c r="F5603" s="11"/>
      <c r="G5603" s="12">
        <f>+G5600-G5602</f>
        <v>44415</v>
      </c>
      <c r="H5603" s="13">
        <f>ROUND(G5603/2,0)</f>
        <v>22208</v>
      </c>
      <c r="I5603" s="12">
        <f>G5603-H5603</f>
        <v>22207</v>
      </c>
      <c r="J5603" s="3" t="str">
        <f t="shared" si="404"/>
        <v>7547525</v>
      </c>
    </row>
    <row r="5604" spans="1:10" s="3" customFormat="1">
      <c r="B5604" s="3" t="s">
        <v>2159</v>
      </c>
      <c r="C5604" s="8">
        <v>4</v>
      </c>
      <c r="D5604" s="3" t="s">
        <v>2950</v>
      </c>
      <c r="E5604" s="11" t="s">
        <v>1469</v>
      </c>
      <c r="F5604" s="10">
        <v>0.20136599999999999</v>
      </c>
      <c r="G5604" s="9">
        <f>ROUND(G$3*F5604,0)</f>
        <v>57938</v>
      </c>
      <c r="H5604" s="11">
        <f>ROUND(G5604/2,0)</f>
        <v>28969</v>
      </c>
      <c r="I5604" s="9">
        <f>G5604-H5604</f>
        <v>28969</v>
      </c>
      <c r="J5604" s="3" t="str">
        <f t="shared" si="404"/>
        <v>7547515</v>
      </c>
    </row>
    <row r="5605" spans="1:10" s="3" customFormat="1">
      <c r="B5605" s="3" t="s">
        <v>2159</v>
      </c>
      <c r="C5605" s="8">
        <v>4</v>
      </c>
      <c r="D5605" s="3" t="s">
        <v>2950</v>
      </c>
      <c r="E5605" s="11" t="s">
        <v>28</v>
      </c>
      <c r="F5605" s="11"/>
      <c r="G5605" s="14">
        <v>0.35518300000000003</v>
      </c>
      <c r="H5605" s="11"/>
      <c r="I5605" s="11"/>
      <c r="J5605" s="3" t="str">
        <f t="shared" si="404"/>
        <v>7547515</v>
      </c>
    </row>
    <row r="5606" spans="1:10" s="3" customFormat="1">
      <c r="B5606" s="3" t="s">
        <v>2159</v>
      </c>
      <c r="C5606" s="8">
        <v>4</v>
      </c>
      <c r="D5606" s="3" t="s">
        <v>2950</v>
      </c>
      <c r="E5606" s="11" t="s">
        <v>29</v>
      </c>
      <c r="F5606" s="11"/>
      <c r="G5606" s="15">
        <f>ROUND(G5604*G5605,0)</f>
        <v>20579</v>
      </c>
      <c r="H5606" s="16">
        <f>ROUND(G5606/2,0)</f>
        <v>10290</v>
      </c>
      <c r="I5606" s="15">
        <f>G5606-H5606</f>
        <v>10289</v>
      </c>
      <c r="J5606" s="3" t="str">
        <f t="shared" si="404"/>
        <v>7547515</v>
      </c>
    </row>
    <row r="5607" spans="1:10" s="3" customFormat="1">
      <c r="B5607" s="3" t="s">
        <v>2159</v>
      </c>
      <c r="C5607" s="8">
        <v>4</v>
      </c>
      <c r="D5607" s="3" t="s">
        <v>2950</v>
      </c>
      <c r="E5607" s="11" t="s">
        <v>30</v>
      </c>
      <c r="F5607" s="11"/>
      <c r="G5607" s="12">
        <f>+G5604-G5606</f>
        <v>37359</v>
      </c>
      <c r="H5607" s="13">
        <f>ROUND(G5607/2,0)</f>
        <v>18680</v>
      </c>
      <c r="I5607" s="12">
        <f>G5607-H5607</f>
        <v>18679</v>
      </c>
      <c r="J5607" s="3" t="str">
        <f t="shared" si="404"/>
        <v>7547515</v>
      </c>
    </row>
    <row r="5608" spans="1:10" s="3" customFormat="1">
      <c r="B5608" s="3" t="s">
        <v>2159</v>
      </c>
      <c r="C5608" s="8">
        <v>4</v>
      </c>
      <c r="D5608" s="3" t="s">
        <v>3019</v>
      </c>
      <c r="E5608" s="11" t="s">
        <v>1614</v>
      </c>
      <c r="F5608" s="10">
        <v>0.165301</v>
      </c>
      <c r="G5608" s="9">
        <f>ROUND(G$3*F5608,0)</f>
        <v>47561</v>
      </c>
      <c r="H5608" s="11">
        <f>ROUND(G5608/2,0)</f>
        <v>23781</v>
      </c>
      <c r="I5608" s="9">
        <f>G5608-H5608</f>
        <v>23780</v>
      </c>
      <c r="J5608" s="3" t="str">
        <f t="shared" si="404"/>
        <v>7547495</v>
      </c>
    </row>
    <row r="5609" spans="1:10" s="3" customFormat="1">
      <c r="B5609" s="3" t="s">
        <v>2159</v>
      </c>
      <c r="C5609" s="8">
        <v>4</v>
      </c>
      <c r="D5609" s="3" t="s">
        <v>3019</v>
      </c>
      <c r="E5609" s="11" t="s">
        <v>28</v>
      </c>
      <c r="F5609" s="11"/>
      <c r="G5609" s="14">
        <v>0.39850400000000002</v>
      </c>
      <c r="H5609" s="11"/>
      <c r="I5609" s="11"/>
      <c r="J5609" s="3" t="str">
        <f t="shared" si="404"/>
        <v>7547495</v>
      </c>
    </row>
    <row r="5610" spans="1:10" s="3" customFormat="1">
      <c r="B5610" s="3" t="s">
        <v>2159</v>
      </c>
      <c r="C5610" s="8">
        <v>4</v>
      </c>
      <c r="D5610" s="3" t="s">
        <v>3019</v>
      </c>
      <c r="E5610" s="11" t="s">
        <v>29</v>
      </c>
      <c r="F5610" s="11"/>
      <c r="G5610" s="15">
        <f>ROUND(G5608*G5609,0)</f>
        <v>18953</v>
      </c>
      <c r="H5610" s="16">
        <f t="shared" ref="H5610:H5615" si="408">ROUND(G5610/2,0)</f>
        <v>9477</v>
      </c>
      <c r="I5610" s="15">
        <f t="shared" ref="I5610:I5615" si="409">G5610-H5610</f>
        <v>9476</v>
      </c>
      <c r="J5610" s="3" t="str">
        <f t="shared" si="404"/>
        <v>7547495</v>
      </c>
    </row>
    <row r="5611" spans="1:10" s="3" customFormat="1">
      <c r="B5611" s="3" t="s">
        <v>2159</v>
      </c>
      <c r="C5611" s="8">
        <v>4</v>
      </c>
      <c r="D5611" s="3" t="s">
        <v>3019</v>
      </c>
      <c r="E5611" s="11" t="s">
        <v>30</v>
      </c>
      <c r="F5611" s="11"/>
      <c r="G5611" s="12">
        <f>+G5608-G5610</f>
        <v>28608</v>
      </c>
      <c r="H5611" s="13">
        <f t="shared" si="408"/>
        <v>14304</v>
      </c>
      <c r="I5611" s="12">
        <f t="shared" si="409"/>
        <v>14304</v>
      </c>
      <c r="J5611" s="3" t="str">
        <f t="shared" si="404"/>
        <v>7547495</v>
      </c>
    </row>
    <row r="5612" spans="1:10" s="3" customFormat="1">
      <c r="B5612" s="3" t="s">
        <v>2159</v>
      </c>
      <c r="C5612" s="8">
        <v>5</v>
      </c>
      <c r="D5612" s="3" t="s">
        <v>5766</v>
      </c>
      <c r="E5612" s="11" t="s">
        <v>1615</v>
      </c>
      <c r="F5612" s="10">
        <v>1.3343000000000001E-2</v>
      </c>
      <c r="G5612" s="120">
        <f>ROUND(G$3*F5612,0)</f>
        <v>3839</v>
      </c>
      <c r="H5612" s="120">
        <f t="shared" si="408"/>
        <v>1920</v>
      </c>
      <c r="I5612" s="120">
        <f t="shared" si="409"/>
        <v>1919</v>
      </c>
      <c r="J5612" s="3" t="str">
        <f t="shared" si="404"/>
        <v>7550213</v>
      </c>
    </row>
    <row r="5613" spans="1:10" s="3" customFormat="1">
      <c r="B5613" s="3" t="s">
        <v>2159</v>
      </c>
      <c r="C5613" s="8">
        <v>5</v>
      </c>
      <c r="D5613" s="3" t="s">
        <v>5768</v>
      </c>
      <c r="E5613" s="11" t="s">
        <v>1616</v>
      </c>
      <c r="F5613" s="10">
        <v>3.7871000000000002E-2</v>
      </c>
      <c r="G5613" s="120">
        <f>ROUND(G$3*F5613,0)</f>
        <v>10896</v>
      </c>
      <c r="H5613" s="120">
        <f t="shared" si="408"/>
        <v>5448</v>
      </c>
      <c r="I5613" s="120">
        <f t="shared" si="409"/>
        <v>5448</v>
      </c>
      <c r="J5613" s="3" t="str">
        <f t="shared" si="404"/>
        <v>7550214</v>
      </c>
    </row>
    <row r="5614" spans="1:10" s="3" customFormat="1">
      <c r="B5614" s="3" t="s">
        <v>2159</v>
      </c>
      <c r="C5614" s="8">
        <v>6</v>
      </c>
      <c r="D5614" s="3" t="s">
        <v>5530</v>
      </c>
      <c r="E5614" s="11" t="s">
        <v>1617</v>
      </c>
      <c r="F5614" s="10">
        <v>1.0276000000000174E-2</v>
      </c>
      <c r="G5614" s="120">
        <f>+G5560-SUM(G5561:G5562)-SUM(G5567:G5596)-G5600-G5604-G5608-SUM(G5612:G5613)</f>
        <v>-155610</v>
      </c>
      <c r="H5614" s="120">
        <f t="shared" si="408"/>
        <v>-77805</v>
      </c>
      <c r="I5614" s="120">
        <f t="shared" si="409"/>
        <v>-77805</v>
      </c>
      <c r="J5614" s="3" t="str">
        <f t="shared" si="404"/>
        <v>7560977</v>
      </c>
    </row>
    <row r="5615" spans="1:10" s="3" customFormat="1">
      <c r="A5615" s="3" t="s">
        <v>6269</v>
      </c>
      <c r="B5615" s="3" t="s">
        <v>2159</v>
      </c>
      <c r="C5615" s="8">
        <v>6</v>
      </c>
      <c r="D5615" s="3" t="s">
        <v>6267</v>
      </c>
      <c r="E5615" s="11" t="s">
        <v>1618</v>
      </c>
      <c r="F5615" s="10">
        <v>0</v>
      </c>
      <c r="G5615" s="120">
        <f>ROUND(G$3*F5615,0)</f>
        <v>0</v>
      </c>
      <c r="H5615" s="120">
        <f t="shared" si="408"/>
        <v>0</v>
      </c>
      <c r="I5615" s="120">
        <f t="shared" si="409"/>
        <v>0</v>
      </c>
      <c r="J5615" s="3" t="str">
        <f t="shared" si="404"/>
        <v>756XXXX</v>
      </c>
    </row>
    <row r="5616" spans="1:10" s="3" customFormat="1">
      <c r="B5616" s="3" t="s">
        <v>2159</v>
      </c>
      <c r="C5616" s="8">
        <v>0</v>
      </c>
      <c r="D5616" s="125" t="s">
        <v>2187</v>
      </c>
      <c r="E5616" s="28" t="s">
        <v>288</v>
      </c>
      <c r="F5616" s="10">
        <v>1</v>
      </c>
      <c r="G5616" s="12">
        <f>+G5561+SUM(G5564:G5595)+SUM(G5598:G5599)+SUM(G5602:G5603)+SUM(G5606:G5607)+SUM(G5610:G5615)</f>
        <v>129159</v>
      </c>
      <c r="H5616" s="12">
        <f>+H5561+SUM(H5564:H5595)+SUM(H5598:H5599)+SUM(H5602:H5603)+SUM(H5606:H5607)+SUM(H5610:H5615)</f>
        <v>64589</v>
      </c>
      <c r="I5616" s="12">
        <f>+I5561+SUM(I5564:I5595)+SUM(I5598:I5599)+SUM(I5602:I5603)+SUM(I5606:I5607)+SUM(I5610:I5615)</f>
        <v>64570</v>
      </c>
      <c r="J5616" s="3" t="str">
        <f t="shared" si="404"/>
        <v>7500000</v>
      </c>
    </row>
    <row r="5617" spans="2:10" s="3" customFormat="1">
      <c r="B5617" s="3" t="s">
        <v>2159</v>
      </c>
      <c r="C5617" s="8">
        <v>0</v>
      </c>
      <c r="D5617" s="3" t="s">
        <v>2187</v>
      </c>
      <c r="E5617" s="18" t="s">
        <v>38</v>
      </c>
      <c r="G5617" s="19">
        <f>+G5561</f>
        <v>317</v>
      </c>
      <c r="H5617" s="19">
        <f>+H5561</f>
        <v>159</v>
      </c>
      <c r="I5617" s="19">
        <f>+I5561</f>
        <v>158</v>
      </c>
      <c r="J5617" s="3" t="str">
        <f t="shared" si="404"/>
        <v>7500000</v>
      </c>
    </row>
    <row r="5618" spans="2:10" s="3" customFormat="1">
      <c r="B5618" s="3" t="s">
        <v>2159</v>
      </c>
      <c r="C5618" s="8">
        <v>0</v>
      </c>
      <c r="D5618" s="3" t="s">
        <v>2187</v>
      </c>
      <c r="E5618" s="2" t="s">
        <v>39</v>
      </c>
      <c r="G5618" s="19">
        <f>+G5564</f>
        <v>22996</v>
      </c>
      <c r="H5618" s="19">
        <f>+H5564</f>
        <v>11498</v>
      </c>
      <c r="I5618" s="19">
        <f>+I5564</f>
        <v>11498</v>
      </c>
      <c r="J5618" s="3" t="str">
        <f t="shared" si="404"/>
        <v>7500000</v>
      </c>
    </row>
    <row r="5619" spans="2:10" s="3" customFormat="1">
      <c r="B5619" s="3" t="s">
        <v>2159</v>
      </c>
      <c r="C5619" s="8">
        <v>0</v>
      </c>
      <c r="D5619" s="3" t="s">
        <v>2187</v>
      </c>
      <c r="E5619" s="2" t="s">
        <v>40</v>
      </c>
      <c r="G5619" s="19">
        <f>+G5598+G5602+G5606+G5610</f>
        <v>66524</v>
      </c>
      <c r="H5619" s="19">
        <f>+H5598+H5602+H5606+H5610</f>
        <v>33263</v>
      </c>
      <c r="I5619" s="19">
        <f>+I5598+I5602+I5606+I5610</f>
        <v>33261</v>
      </c>
      <c r="J5619" s="3" t="str">
        <f t="shared" si="404"/>
        <v>7500000</v>
      </c>
    </row>
    <row r="5620" spans="2:10" s="3" customFormat="1">
      <c r="B5620" s="3" t="s">
        <v>2159</v>
      </c>
      <c r="C5620" s="8">
        <v>0</v>
      </c>
      <c r="D5620" s="125" t="s">
        <v>2187</v>
      </c>
      <c r="E5620" s="18" t="s">
        <v>41</v>
      </c>
      <c r="G5620" s="19">
        <f>+G5616-G5617-G5618-G5619</f>
        <v>39322</v>
      </c>
      <c r="H5620" s="19">
        <f>+H5616-H5617-H5618-H5619</f>
        <v>19669</v>
      </c>
      <c r="I5620" s="19">
        <f>+I5616-I5617-I5618-I5619</f>
        <v>19653</v>
      </c>
      <c r="J5620" s="3" t="str">
        <f t="shared" si="404"/>
        <v>7500000</v>
      </c>
    </row>
    <row r="5621" spans="2:10" ht="15.75">
      <c r="B5621" s="3" t="s">
        <v>2186</v>
      </c>
      <c r="D5621" t="s">
        <v>2186</v>
      </c>
      <c r="E5621">
        <v>0</v>
      </c>
      <c r="G5621"/>
      <c r="H5621"/>
      <c r="I5621"/>
      <c r="J5621" s="3" t="str">
        <f t="shared" si="404"/>
        <v/>
      </c>
    </row>
    <row r="5622" spans="2:10" s="3" customFormat="1">
      <c r="C5622" s="1"/>
      <c r="D5622" s="3" t="s">
        <v>2186</v>
      </c>
      <c r="E5622" s="2" t="s">
        <v>1619</v>
      </c>
      <c r="J5622" s="3" t="str">
        <f t="shared" si="404"/>
        <v/>
      </c>
    </row>
    <row r="5623" spans="2:10" s="3" customFormat="1" ht="45">
      <c r="B5623" s="3" t="s">
        <v>2186</v>
      </c>
      <c r="C5623" s="1"/>
      <c r="D5623" s="3" t="s">
        <v>2186</v>
      </c>
      <c r="E5623" s="1">
        <v>0</v>
      </c>
      <c r="F5623" s="6" t="s">
        <v>1</v>
      </c>
      <c r="G5623" s="60">
        <f>'Allocation Worksheet'!H5623</f>
        <v>0</v>
      </c>
      <c r="H5623" s="60">
        <f>'Allocation Worksheet'!H5624</f>
        <v>0</v>
      </c>
      <c r="I5623" s="60">
        <f>'Allocation Worksheet'!H5625</f>
        <v>0</v>
      </c>
      <c r="J5623" s="3" t="str">
        <f t="shared" si="404"/>
        <v/>
      </c>
    </row>
    <row r="5624" spans="2:10" s="3" customFormat="1">
      <c r="C5624" s="7" t="s">
        <v>2087</v>
      </c>
      <c r="D5624" s="3" t="s">
        <v>2186</v>
      </c>
      <c r="E5624" s="7" t="s">
        <v>3</v>
      </c>
      <c r="F5624" s="10"/>
      <c r="G5624" s="9">
        <f>'Allocation Worksheet'!$D$79</f>
        <v>285076</v>
      </c>
      <c r="H5624" s="11"/>
      <c r="I5624" s="11"/>
      <c r="J5624" s="3" t="str">
        <f t="shared" si="404"/>
        <v>UT</v>
      </c>
    </row>
    <row r="5625" spans="2:10" s="3" customFormat="1">
      <c r="B5625" s="3" t="s">
        <v>2160</v>
      </c>
      <c r="C5625" s="8">
        <v>0</v>
      </c>
      <c r="D5625" s="3" t="s">
        <v>2187</v>
      </c>
      <c r="E5625" s="11" t="s">
        <v>4</v>
      </c>
      <c r="F5625" s="10">
        <v>1.4480000000000001E-3</v>
      </c>
      <c r="G5625" s="12">
        <f>ROUND(G$3*F5625,0)</f>
        <v>417</v>
      </c>
      <c r="H5625" s="13">
        <f>ROUND(G5625/2,0)</f>
        <v>209</v>
      </c>
      <c r="I5625" s="12">
        <f>G5625-H5625</f>
        <v>208</v>
      </c>
      <c r="J5625" s="3" t="str">
        <f t="shared" si="404"/>
        <v>7600000</v>
      </c>
    </row>
    <row r="5626" spans="2:10" s="3" customFormat="1">
      <c r="B5626" s="3" t="s">
        <v>2160</v>
      </c>
      <c r="C5626" s="8">
        <v>1</v>
      </c>
      <c r="D5626" s="3" t="s">
        <v>2187</v>
      </c>
      <c r="E5626" s="11" t="s">
        <v>1620</v>
      </c>
      <c r="F5626" s="10">
        <v>0.17381099999999999</v>
      </c>
      <c r="G5626" s="9">
        <f>ROUND(G$3*F5626,0)</f>
        <v>50009</v>
      </c>
      <c r="H5626" s="11">
        <f>ROUND(G5626/2,0)</f>
        <v>25005</v>
      </c>
      <c r="I5626" s="9">
        <f>G5626-H5626</f>
        <v>25004</v>
      </c>
      <c r="J5626" s="3" t="str">
        <f t="shared" si="404"/>
        <v>7610000</v>
      </c>
    </row>
    <row r="5627" spans="2:10" s="3" customFormat="1">
      <c r="B5627" s="3" t="s">
        <v>2160</v>
      </c>
      <c r="C5627" s="8">
        <v>1</v>
      </c>
      <c r="D5627" s="3" t="s">
        <v>2187</v>
      </c>
      <c r="E5627" s="11" t="s">
        <v>6</v>
      </c>
      <c r="F5627" s="11"/>
      <c r="G5627" s="14">
        <v>0.32412800000000003</v>
      </c>
      <c r="H5627" s="11"/>
      <c r="I5627" s="11"/>
      <c r="J5627" s="3" t="str">
        <f t="shared" si="404"/>
        <v>7610000</v>
      </c>
    </row>
    <row r="5628" spans="2:10" s="3" customFormat="1">
      <c r="B5628" s="3" t="s">
        <v>2160</v>
      </c>
      <c r="C5628" s="8">
        <v>1</v>
      </c>
      <c r="D5628" s="3" t="s">
        <v>2187</v>
      </c>
      <c r="E5628" s="11" t="s">
        <v>7</v>
      </c>
      <c r="F5628" s="11"/>
      <c r="G5628" s="15">
        <f>ROUND(G5626*G5627,0)</f>
        <v>16209</v>
      </c>
      <c r="H5628" s="16">
        <f>ROUND(G5628/2,0)</f>
        <v>8105</v>
      </c>
      <c r="I5628" s="15">
        <f>G5628-H5628</f>
        <v>8104</v>
      </c>
      <c r="J5628" s="3" t="str">
        <f t="shared" si="404"/>
        <v>7610000</v>
      </c>
    </row>
    <row r="5629" spans="2:10" s="3" customFormat="1">
      <c r="B5629" s="3" t="s">
        <v>2160</v>
      </c>
      <c r="C5629" s="8">
        <v>1</v>
      </c>
      <c r="D5629" s="3" t="s">
        <v>2187</v>
      </c>
      <c r="E5629" s="11" t="s">
        <v>8</v>
      </c>
      <c r="F5629" s="11"/>
      <c r="G5629" s="12">
        <f>+G5626-G5628</f>
        <v>33800</v>
      </c>
      <c r="H5629" s="13">
        <f>ROUND(G5629/2,0)</f>
        <v>16900</v>
      </c>
      <c r="I5629" s="12">
        <f>G5629-H5629</f>
        <v>16900</v>
      </c>
      <c r="J5629" s="3" t="str">
        <f t="shared" si="404"/>
        <v>7610000</v>
      </c>
    </row>
    <row r="5630" spans="2:10" s="3" customFormat="1">
      <c r="B5630" s="3" t="s">
        <v>2160</v>
      </c>
      <c r="C5630" s="8">
        <v>2</v>
      </c>
      <c r="D5630" s="3" t="s">
        <v>2188</v>
      </c>
      <c r="E5630" s="11" t="s">
        <v>1621</v>
      </c>
      <c r="F5630" s="11"/>
      <c r="G5630" s="9"/>
      <c r="H5630" s="11"/>
      <c r="I5630" s="11"/>
      <c r="J5630" s="3" t="str">
        <f t="shared" si="404"/>
        <v>7620001</v>
      </c>
    </row>
    <row r="5631" spans="2:10" s="3" customFormat="1">
      <c r="B5631" s="3" t="s">
        <v>2160</v>
      </c>
      <c r="C5631" s="8">
        <v>2</v>
      </c>
      <c r="D5631" s="3" t="s">
        <v>2188</v>
      </c>
      <c r="E5631" s="11" t="s">
        <v>10</v>
      </c>
      <c r="F5631" s="10">
        <v>2.3699999999999999E-4</v>
      </c>
      <c r="G5631" s="12">
        <f>ROUND(G$3*F5631,0)</f>
        <v>68</v>
      </c>
      <c r="H5631" s="13">
        <f>ROUND(G5631/2,0)</f>
        <v>34</v>
      </c>
      <c r="I5631" s="12">
        <f>G5631-H5631</f>
        <v>34</v>
      </c>
      <c r="J5631" s="3" t="str">
        <f t="shared" si="404"/>
        <v>7620001</v>
      </c>
    </row>
    <row r="5632" spans="2:10" s="3" customFormat="1">
      <c r="B5632" s="3" t="s">
        <v>2160</v>
      </c>
      <c r="C5632" s="8">
        <v>2</v>
      </c>
      <c r="D5632" s="3" t="s">
        <v>2188</v>
      </c>
      <c r="E5632" s="11" t="s">
        <v>11</v>
      </c>
      <c r="F5632" s="10">
        <v>3.0000000000000001E-6</v>
      </c>
      <c r="G5632" s="12">
        <f>ROUND(G$3*F5632,0)</f>
        <v>1</v>
      </c>
      <c r="H5632" s="13">
        <f>ROUND(G5632/2,0)</f>
        <v>1</v>
      </c>
      <c r="I5632" s="12">
        <f>G5632-H5632</f>
        <v>0</v>
      </c>
      <c r="J5632" s="3" t="str">
        <f t="shared" si="404"/>
        <v>7620001</v>
      </c>
    </row>
    <row r="5633" spans="2:10" s="3" customFormat="1">
      <c r="B5633" s="3" t="s">
        <v>2160</v>
      </c>
      <c r="C5633" s="8">
        <v>2</v>
      </c>
      <c r="D5633" s="3" t="s">
        <v>2189</v>
      </c>
      <c r="E5633" s="11" t="s">
        <v>1622</v>
      </c>
      <c r="F5633" s="11"/>
      <c r="G5633" s="9"/>
      <c r="H5633" s="11"/>
      <c r="I5633" s="11"/>
      <c r="J5633" s="3" t="str">
        <f t="shared" si="404"/>
        <v>7620002</v>
      </c>
    </row>
    <row r="5634" spans="2:10" s="3" customFormat="1">
      <c r="B5634" s="3" t="s">
        <v>2160</v>
      </c>
      <c r="C5634" s="8">
        <v>2</v>
      </c>
      <c r="D5634" s="3" t="s">
        <v>2189</v>
      </c>
      <c r="E5634" s="11" t="s">
        <v>10</v>
      </c>
      <c r="F5634" s="10">
        <v>1.5280000000000001E-3</v>
      </c>
      <c r="G5634" s="12">
        <f>ROUND(G$3*F5634,0)</f>
        <v>440</v>
      </c>
      <c r="H5634" s="13">
        <f>ROUND(G5634/2,0)</f>
        <v>220</v>
      </c>
      <c r="I5634" s="12">
        <f>G5634-H5634</f>
        <v>220</v>
      </c>
      <c r="J5634" s="3" t="str">
        <f t="shared" si="404"/>
        <v>7620002</v>
      </c>
    </row>
    <row r="5635" spans="2:10" s="3" customFormat="1">
      <c r="B5635" s="3" t="s">
        <v>2160</v>
      </c>
      <c r="C5635" s="8">
        <v>2</v>
      </c>
      <c r="D5635" s="3" t="s">
        <v>2189</v>
      </c>
      <c r="E5635" s="11" t="s">
        <v>11</v>
      </c>
      <c r="F5635" s="10">
        <v>8.2999999999999998E-5</v>
      </c>
      <c r="G5635" s="12">
        <f>ROUND(G$3*F5635,0)</f>
        <v>24</v>
      </c>
      <c r="H5635" s="13">
        <f>ROUND(G5635/2,0)</f>
        <v>12</v>
      </c>
      <c r="I5635" s="12">
        <f>G5635-H5635</f>
        <v>12</v>
      </c>
      <c r="J5635" s="3" t="str">
        <f t="shared" si="404"/>
        <v>7620002</v>
      </c>
    </row>
    <row r="5636" spans="2:10" s="3" customFormat="1">
      <c r="B5636" s="3" t="s">
        <v>2160</v>
      </c>
      <c r="C5636" s="8">
        <v>2</v>
      </c>
      <c r="D5636" s="3" t="s">
        <v>2190</v>
      </c>
      <c r="E5636" s="11" t="s">
        <v>49</v>
      </c>
      <c r="F5636" s="11"/>
      <c r="G5636" s="9"/>
      <c r="H5636" s="11"/>
      <c r="I5636" s="11"/>
      <c r="J5636" s="3" t="str">
        <f t="shared" ref="J5636:J5699" si="410">B5636&amp;C5636&amp;D5636</f>
        <v>7620003</v>
      </c>
    </row>
    <row r="5637" spans="2:10" s="3" customFormat="1">
      <c r="B5637" s="3" t="s">
        <v>2160</v>
      </c>
      <c r="C5637" s="8">
        <v>2</v>
      </c>
      <c r="D5637" s="3" t="s">
        <v>2190</v>
      </c>
      <c r="E5637" s="11" t="s">
        <v>10</v>
      </c>
      <c r="F5637" s="10">
        <v>5.5000000000000003E-4</v>
      </c>
      <c r="G5637" s="12">
        <f>ROUND(G$3*F5637,0)</f>
        <v>158</v>
      </c>
      <c r="H5637" s="13">
        <f>ROUND(G5637/2,0)</f>
        <v>79</v>
      </c>
      <c r="I5637" s="12">
        <f>G5637-H5637</f>
        <v>79</v>
      </c>
      <c r="J5637" s="3" t="str">
        <f t="shared" si="410"/>
        <v>7620003</v>
      </c>
    </row>
    <row r="5638" spans="2:10" s="3" customFormat="1">
      <c r="B5638" s="3" t="s">
        <v>2160</v>
      </c>
      <c r="C5638" s="8">
        <v>2</v>
      </c>
      <c r="D5638" s="3" t="s">
        <v>2190</v>
      </c>
      <c r="E5638" s="11" t="s">
        <v>11</v>
      </c>
      <c r="F5638" s="10">
        <v>2.5300000000000002E-4</v>
      </c>
      <c r="G5638" s="12">
        <f>ROUND(G$3*F5638,0)</f>
        <v>73</v>
      </c>
      <c r="H5638" s="13">
        <f>ROUND(G5638/2,0)</f>
        <v>37</v>
      </c>
      <c r="I5638" s="12">
        <f>G5638-H5638</f>
        <v>36</v>
      </c>
      <c r="J5638" s="3" t="str">
        <f t="shared" si="410"/>
        <v>7620003</v>
      </c>
    </row>
    <row r="5639" spans="2:10" s="3" customFormat="1">
      <c r="B5639" s="3" t="s">
        <v>2160</v>
      </c>
      <c r="C5639" s="8">
        <v>2</v>
      </c>
      <c r="D5639" s="3" t="s">
        <v>2191</v>
      </c>
      <c r="E5639" s="11" t="s">
        <v>1623</v>
      </c>
      <c r="F5639" s="11"/>
      <c r="G5639" s="9"/>
      <c r="H5639" s="11"/>
      <c r="I5639" s="11"/>
      <c r="J5639" s="3" t="str">
        <f t="shared" si="410"/>
        <v>7620004</v>
      </c>
    </row>
    <row r="5640" spans="2:10" s="3" customFormat="1">
      <c r="B5640" s="3" t="s">
        <v>2160</v>
      </c>
      <c r="C5640" s="8">
        <v>2</v>
      </c>
      <c r="D5640" s="3" t="s">
        <v>2191</v>
      </c>
      <c r="E5640" s="11" t="s">
        <v>10</v>
      </c>
      <c r="F5640" s="10">
        <v>3.3279999999999998E-3</v>
      </c>
      <c r="G5640" s="12">
        <f>ROUND(G$3*F5640,0)</f>
        <v>958</v>
      </c>
      <c r="H5640" s="13">
        <f>ROUND(G5640/2,0)</f>
        <v>479</v>
      </c>
      <c r="I5640" s="12">
        <f>G5640-H5640</f>
        <v>479</v>
      </c>
      <c r="J5640" s="3" t="str">
        <f t="shared" si="410"/>
        <v>7620004</v>
      </c>
    </row>
    <row r="5641" spans="2:10" s="3" customFormat="1">
      <c r="B5641" s="3" t="s">
        <v>2160</v>
      </c>
      <c r="C5641" s="8">
        <v>2</v>
      </c>
      <c r="D5641" s="3" t="s">
        <v>2191</v>
      </c>
      <c r="E5641" s="11" t="s">
        <v>11</v>
      </c>
      <c r="F5641" s="10">
        <v>2.823E-3</v>
      </c>
      <c r="G5641" s="12">
        <f>ROUND(G$3*F5641,0)</f>
        <v>812</v>
      </c>
      <c r="H5641" s="13">
        <f>ROUND(G5641/2,0)</f>
        <v>406</v>
      </c>
      <c r="I5641" s="12">
        <f>G5641-H5641</f>
        <v>406</v>
      </c>
      <c r="J5641" s="3" t="str">
        <f t="shared" si="410"/>
        <v>7620004</v>
      </c>
    </row>
    <row r="5642" spans="2:10" s="3" customFormat="1">
      <c r="B5642" s="3" t="s">
        <v>2160</v>
      </c>
      <c r="C5642" s="8">
        <v>2</v>
      </c>
      <c r="D5642" s="3" t="s">
        <v>2192</v>
      </c>
      <c r="E5642" s="11" t="s">
        <v>1624</v>
      </c>
      <c r="F5642" s="11"/>
      <c r="G5642" s="9"/>
      <c r="H5642" s="11"/>
      <c r="I5642" s="11"/>
      <c r="J5642" s="3" t="str">
        <f t="shared" si="410"/>
        <v>7620005</v>
      </c>
    </row>
    <row r="5643" spans="2:10" s="3" customFormat="1">
      <c r="B5643" s="3" t="s">
        <v>2160</v>
      </c>
      <c r="C5643" s="8">
        <v>2</v>
      </c>
      <c r="D5643" s="3" t="s">
        <v>2192</v>
      </c>
      <c r="E5643" s="11" t="s">
        <v>10</v>
      </c>
      <c r="F5643" s="10">
        <v>1.17E-3</v>
      </c>
      <c r="G5643" s="12">
        <f>ROUND(G$3*F5643,0)</f>
        <v>337</v>
      </c>
      <c r="H5643" s="13">
        <f>ROUND(G5643/2,0)</f>
        <v>169</v>
      </c>
      <c r="I5643" s="12">
        <f>G5643-H5643</f>
        <v>168</v>
      </c>
      <c r="J5643" s="3" t="str">
        <f t="shared" si="410"/>
        <v>7620005</v>
      </c>
    </row>
    <row r="5644" spans="2:10" s="3" customFormat="1">
      <c r="B5644" s="3" t="s">
        <v>2160</v>
      </c>
      <c r="C5644" s="8">
        <v>2</v>
      </c>
      <c r="D5644" s="3" t="s">
        <v>2192</v>
      </c>
      <c r="E5644" s="11" t="s">
        <v>11</v>
      </c>
      <c r="F5644" s="10">
        <v>1.9799999999999999E-4</v>
      </c>
      <c r="G5644" s="12">
        <f>ROUND(G$3*F5644,0)</f>
        <v>57</v>
      </c>
      <c r="H5644" s="13">
        <f>ROUND(G5644/2,0)</f>
        <v>29</v>
      </c>
      <c r="I5644" s="12">
        <f>G5644-H5644</f>
        <v>28</v>
      </c>
      <c r="J5644" s="3" t="str">
        <f t="shared" si="410"/>
        <v>7620005</v>
      </c>
    </row>
    <row r="5645" spans="2:10" s="3" customFormat="1">
      <c r="B5645" s="3" t="s">
        <v>2160</v>
      </c>
      <c r="C5645" s="8">
        <v>2</v>
      </c>
      <c r="D5645" s="3" t="s">
        <v>2193</v>
      </c>
      <c r="E5645" s="11" t="s">
        <v>1625</v>
      </c>
      <c r="F5645" s="11"/>
      <c r="G5645" s="9"/>
      <c r="H5645" s="11"/>
      <c r="I5645" s="11"/>
      <c r="J5645" s="3" t="str">
        <f t="shared" si="410"/>
        <v>7620006</v>
      </c>
    </row>
    <row r="5646" spans="2:10" s="3" customFormat="1">
      <c r="B5646" s="3" t="s">
        <v>2160</v>
      </c>
      <c r="C5646" s="8">
        <v>2</v>
      </c>
      <c r="D5646" s="3" t="s">
        <v>2193</v>
      </c>
      <c r="E5646" s="11" t="s">
        <v>10</v>
      </c>
      <c r="F5646" s="10">
        <v>8.2799999999999996E-4</v>
      </c>
      <c r="G5646" s="12">
        <f>ROUND(G$3*F5646,0)</f>
        <v>238</v>
      </c>
      <c r="H5646" s="13">
        <f>ROUND(G5646/2,0)</f>
        <v>119</v>
      </c>
      <c r="I5646" s="12">
        <f>G5646-H5646</f>
        <v>119</v>
      </c>
      <c r="J5646" s="3" t="str">
        <f t="shared" si="410"/>
        <v>7620006</v>
      </c>
    </row>
    <row r="5647" spans="2:10" s="3" customFormat="1">
      <c r="B5647" s="3" t="s">
        <v>2160</v>
      </c>
      <c r="C5647" s="8">
        <v>2</v>
      </c>
      <c r="D5647" s="3" t="s">
        <v>2193</v>
      </c>
      <c r="E5647" s="11" t="s">
        <v>11</v>
      </c>
      <c r="F5647" s="10">
        <v>6.7000000000000002E-5</v>
      </c>
      <c r="G5647" s="12">
        <f>ROUND(G$3*F5647,0)</f>
        <v>19</v>
      </c>
      <c r="H5647" s="13">
        <f>ROUND(G5647/2,0)</f>
        <v>10</v>
      </c>
      <c r="I5647" s="12">
        <f>G5647-H5647</f>
        <v>9</v>
      </c>
      <c r="J5647" s="3" t="str">
        <f t="shared" si="410"/>
        <v>7620006</v>
      </c>
    </row>
    <row r="5648" spans="2:10" s="3" customFormat="1">
      <c r="B5648" s="3" t="s">
        <v>2160</v>
      </c>
      <c r="C5648" s="8">
        <v>2</v>
      </c>
      <c r="D5648" s="3" t="s">
        <v>2194</v>
      </c>
      <c r="E5648" s="11" t="s">
        <v>57</v>
      </c>
      <c r="F5648" s="11"/>
      <c r="G5648" s="9"/>
      <c r="H5648" s="11"/>
      <c r="I5648" s="11"/>
      <c r="J5648" s="3" t="str">
        <f t="shared" si="410"/>
        <v>7620007</v>
      </c>
    </row>
    <row r="5649" spans="2:10" s="3" customFormat="1">
      <c r="B5649" s="3" t="s">
        <v>2160</v>
      </c>
      <c r="C5649" s="8">
        <v>2</v>
      </c>
      <c r="D5649" s="3" t="s">
        <v>2194</v>
      </c>
      <c r="E5649" s="11" t="s">
        <v>10</v>
      </c>
      <c r="F5649" s="10">
        <v>2.1099999999999999E-3</v>
      </c>
      <c r="G5649" s="12">
        <f>ROUND(G$3*F5649,0)</f>
        <v>607</v>
      </c>
      <c r="H5649" s="13">
        <f>ROUND(G5649/2,0)</f>
        <v>304</v>
      </c>
      <c r="I5649" s="12">
        <f>G5649-H5649</f>
        <v>303</v>
      </c>
      <c r="J5649" s="3" t="str">
        <f t="shared" si="410"/>
        <v>7620007</v>
      </c>
    </row>
    <row r="5650" spans="2:10" s="3" customFormat="1">
      <c r="B5650" s="3" t="s">
        <v>2160</v>
      </c>
      <c r="C5650" s="8">
        <v>2</v>
      </c>
      <c r="D5650" s="3" t="s">
        <v>2194</v>
      </c>
      <c r="E5650" s="11" t="s">
        <v>11</v>
      </c>
      <c r="F5650" s="10">
        <v>8.9499999999999996E-4</v>
      </c>
      <c r="G5650" s="12">
        <f>ROUND(G$3*F5650,0)</f>
        <v>258</v>
      </c>
      <c r="H5650" s="13">
        <f>ROUND(G5650/2,0)</f>
        <v>129</v>
      </c>
      <c r="I5650" s="12">
        <f>G5650-H5650</f>
        <v>129</v>
      </c>
      <c r="J5650" s="3" t="str">
        <f t="shared" si="410"/>
        <v>7620007</v>
      </c>
    </row>
    <row r="5651" spans="2:10" s="3" customFormat="1">
      <c r="B5651" s="3" t="s">
        <v>2160</v>
      </c>
      <c r="C5651" s="8">
        <v>2</v>
      </c>
      <c r="D5651" s="3" t="s">
        <v>2195</v>
      </c>
      <c r="E5651" s="11" t="s">
        <v>114</v>
      </c>
      <c r="F5651" s="11"/>
      <c r="G5651" s="9"/>
      <c r="H5651" s="11"/>
      <c r="I5651" s="11"/>
      <c r="J5651" s="3" t="str">
        <f t="shared" si="410"/>
        <v>7620008</v>
      </c>
    </row>
    <row r="5652" spans="2:10" s="3" customFormat="1">
      <c r="B5652" s="3" t="s">
        <v>2160</v>
      </c>
      <c r="C5652" s="8">
        <v>2</v>
      </c>
      <c r="D5652" s="3" t="s">
        <v>2195</v>
      </c>
      <c r="E5652" s="11" t="s">
        <v>10</v>
      </c>
      <c r="F5652" s="10">
        <v>1.0900000000000001E-4</v>
      </c>
      <c r="G5652" s="12">
        <f>ROUND(G$3*F5652,0)</f>
        <v>31</v>
      </c>
      <c r="H5652" s="13">
        <f>ROUND(G5652/2,0)</f>
        <v>16</v>
      </c>
      <c r="I5652" s="12">
        <f>G5652-H5652</f>
        <v>15</v>
      </c>
      <c r="J5652" s="3" t="str">
        <f t="shared" si="410"/>
        <v>7620008</v>
      </c>
    </row>
    <row r="5653" spans="2:10" s="3" customFormat="1">
      <c r="B5653" s="3" t="s">
        <v>2160</v>
      </c>
      <c r="C5653" s="8">
        <v>2</v>
      </c>
      <c r="D5653" s="3" t="s">
        <v>2195</v>
      </c>
      <c r="E5653" s="11" t="s">
        <v>11</v>
      </c>
      <c r="F5653" s="10">
        <v>7.7000000000000001E-5</v>
      </c>
      <c r="G5653" s="12">
        <f>ROUND(G$3*F5653,0)</f>
        <v>22</v>
      </c>
      <c r="H5653" s="13">
        <f>ROUND(G5653/2,0)</f>
        <v>11</v>
      </c>
      <c r="I5653" s="12">
        <f>G5653-H5653</f>
        <v>11</v>
      </c>
      <c r="J5653" s="3" t="str">
        <f t="shared" si="410"/>
        <v>7620008</v>
      </c>
    </row>
    <row r="5654" spans="2:10" s="3" customFormat="1">
      <c r="B5654" s="3" t="s">
        <v>2160</v>
      </c>
      <c r="C5654" s="8">
        <v>2</v>
      </c>
      <c r="D5654" s="3" t="s">
        <v>2196</v>
      </c>
      <c r="E5654" s="11" t="s">
        <v>404</v>
      </c>
      <c r="F5654" s="11"/>
      <c r="G5654" s="9"/>
      <c r="H5654" s="11"/>
      <c r="I5654" s="11"/>
      <c r="J5654" s="3" t="str">
        <f t="shared" si="410"/>
        <v>7620009</v>
      </c>
    </row>
    <row r="5655" spans="2:10" s="3" customFormat="1">
      <c r="B5655" s="3" t="s">
        <v>2160</v>
      </c>
      <c r="C5655" s="8">
        <v>2</v>
      </c>
      <c r="D5655" s="3" t="s">
        <v>2196</v>
      </c>
      <c r="E5655" s="11" t="s">
        <v>10</v>
      </c>
      <c r="F5655" s="10">
        <v>1.2880000000000001E-3</v>
      </c>
      <c r="G5655" s="12">
        <f>ROUND(G$3*F5655,0)</f>
        <v>371</v>
      </c>
      <c r="H5655" s="13">
        <f>ROUND(G5655/2,0)</f>
        <v>186</v>
      </c>
      <c r="I5655" s="12">
        <f>G5655-H5655</f>
        <v>185</v>
      </c>
      <c r="J5655" s="3" t="str">
        <f t="shared" si="410"/>
        <v>7620009</v>
      </c>
    </row>
    <row r="5656" spans="2:10" s="3" customFormat="1">
      <c r="B5656" s="3" t="s">
        <v>2160</v>
      </c>
      <c r="C5656" s="8">
        <v>2</v>
      </c>
      <c r="D5656" s="3" t="s">
        <v>2196</v>
      </c>
      <c r="E5656" s="11" t="s">
        <v>11</v>
      </c>
      <c r="F5656" s="10">
        <v>7.2900000000000005E-4</v>
      </c>
      <c r="G5656" s="12">
        <f>ROUND(G$3*F5656,0)</f>
        <v>210</v>
      </c>
      <c r="H5656" s="13">
        <f>ROUND(G5656/2,0)</f>
        <v>105</v>
      </c>
      <c r="I5656" s="12">
        <f>G5656-H5656</f>
        <v>105</v>
      </c>
      <c r="J5656" s="3" t="str">
        <f t="shared" si="410"/>
        <v>7620009</v>
      </c>
    </row>
    <row r="5657" spans="2:10" s="3" customFormat="1">
      <c r="B5657" s="3" t="s">
        <v>2160</v>
      </c>
      <c r="C5657" s="8">
        <v>2</v>
      </c>
      <c r="D5657" s="3" t="s">
        <v>2197</v>
      </c>
      <c r="E5657" s="11" t="s">
        <v>954</v>
      </c>
      <c r="F5657" s="11"/>
      <c r="G5657" s="9"/>
      <c r="H5657" s="11"/>
      <c r="I5657" s="11"/>
      <c r="J5657" s="3" t="str">
        <f t="shared" si="410"/>
        <v>7620010</v>
      </c>
    </row>
    <row r="5658" spans="2:10" s="3" customFormat="1">
      <c r="B5658" s="3" t="s">
        <v>2160</v>
      </c>
      <c r="C5658" s="8">
        <v>2</v>
      </c>
      <c r="D5658" s="3" t="s">
        <v>2197</v>
      </c>
      <c r="E5658" s="11" t="s">
        <v>10</v>
      </c>
      <c r="F5658" s="10">
        <v>6.9999999999999994E-5</v>
      </c>
      <c r="G5658" s="12">
        <f>ROUND(G$3*F5658,0)</f>
        <v>20</v>
      </c>
      <c r="H5658" s="13">
        <f>ROUND(G5658/2,0)</f>
        <v>10</v>
      </c>
      <c r="I5658" s="12">
        <f>G5658-H5658</f>
        <v>10</v>
      </c>
      <c r="J5658" s="3" t="str">
        <f t="shared" si="410"/>
        <v>7620010</v>
      </c>
    </row>
    <row r="5659" spans="2:10" s="3" customFormat="1">
      <c r="B5659" s="3" t="s">
        <v>2160</v>
      </c>
      <c r="C5659" s="8">
        <v>2</v>
      </c>
      <c r="D5659" s="3" t="s">
        <v>2197</v>
      </c>
      <c r="E5659" s="11" t="s">
        <v>11</v>
      </c>
      <c r="F5659" s="10">
        <v>2.1999999999999999E-5</v>
      </c>
      <c r="G5659" s="12">
        <f>ROUND(G$3*F5659,0)</f>
        <v>6</v>
      </c>
      <c r="H5659" s="13">
        <f>ROUND(G5659/2,0)</f>
        <v>3</v>
      </c>
      <c r="I5659" s="12">
        <f>G5659-H5659</f>
        <v>3</v>
      </c>
      <c r="J5659" s="3" t="str">
        <f t="shared" si="410"/>
        <v>7620010</v>
      </c>
    </row>
    <row r="5660" spans="2:10" s="3" customFormat="1">
      <c r="B5660" s="3" t="s">
        <v>2160</v>
      </c>
      <c r="C5660" s="8">
        <v>2</v>
      </c>
      <c r="D5660" s="3" t="s">
        <v>2198</v>
      </c>
      <c r="E5660" s="11" t="s">
        <v>1626</v>
      </c>
      <c r="F5660" s="11"/>
      <c r="G5660" s="9"/>
      <c r="H5660" s="11"/>
      <c r="I5660" s="11"/>
      <c r="J5660" s="3" t="str">
        <f t="shared" si="410"/>
        <v>7620011</v>
      </c>
    </row>
    <row r="5661" spans="2:10" s="3" customFormat="1">
      <c r="B5661" s="3" t="s">
        <v>2160</v>
      </c>
      <c r="C5661" s="8">
        <v>2</v>
      </c>
      <c r="D5661" s="3" t="s">
        <v>2198</v>
      </c>
      <c r="E5661" s="11" t="s">
        <v>10</v>
      </c>
      <c r="F5661" s="10">
        <v>4.3990000000000001E-3</v>
      </c>
      <c r="G5661" s="12">
        <f>ROUND(G$3*F5661,0)</f>
        <v>1266</v>
      </c>
      <c r="H5661" s="13">
        <f>ROUND(G5661/2,0)</f>
        <v>633</v>
      </c>
      <c r="I5661" s="12">
        <f>G5661-H5661</f>
        <v>633</v>
      </c>
      <c r="J5661" s="3" t="str">
        <f t="shared" si="410"/>
        <v>7620011</v>
      </c>
    </row>
    <row r="5662" spans="2:10" s="3" customFormat="1">
      <c r="B5662" s="3" t="s">
        <v>2160</v>
      </c>
      <c r="C5662" s="8">
        <v>2</v>
      </c>
      <c r="D5662" s="3" t="s">
        <v>2198</v>
      </c>
      <c r="E5662" s="11" t="s">
        <v>11</v>
      </c>
      <c r="F5662" s="10">
        <v>4.6829999999999997E-3</v>
      </c>
      <c r="G5662" s="12">
        <f>ROUND(G$3*F5662,0)</f>
        <v>1347</v>
      </c>
      <c r="H5662" s="13">
        <f>ROUND(G5662/2,0)</f>
        <v>674</v>
      </c>
      <c r="I5662" s="12">
        <f>G5662-H5662</f>
        <v>673</v>
      </c>
      <c r="J5662" s="3" t="str">
        <f t="shared" si="410"/>
        <v>7620011</v>
      </c>
    </row>
    <row r="5663" spans="2:10" s="3" customFormat="1">
      <c r="B5663" s="3" t="s">
        <v>2160</v>
      </c>
      <c r="C5663" s="8">
        <v>2</v>
      </c>
      <c r="D5663" s="3" t="s">
        <v>2199</v>
      </c>
      <c r="E5663" s="11" t="s">
        <v>115</v>
      </c>
      <c r="F5663" s="11"/>
      <c r="G5663" s="9"/>
      <c r="H5663" s="11"/>
      <c r="I5663" s="11"/>
      <c r="J5663" s="3" t="str">
        <f t="shared" si="410"/>
        <v>7620012</v>
      </c>
    </row>
    <row r="5664" spans="2:10" s="3" customFormat="1">
      <c r="B5664" s="3" t="s">
        <v>2160</v>
      </c>
      <c r="C5664" s="8">
        <v>2</v>
      </c>
      <c r="D5664" s="3" t="s">
        <v>2199</v>
      </c>
      <c r="E5664" s="11" t="s">
        <v>10</v>
      </c>
      <c r="F5664" s="10">
        <v>7.5799999999999999E-4</v>
      </c>
      <c r="G5664" s="12">
        <f t="shared" ref="G5664:G5673" si="411">ROUND(G$3*F5664,0)</f>
        <v>218</v>
      </c>
      <c r="H5664" s="13">
        <f t="shared" ref="H5664:H5673" si="412">ROUND(G5664/2,0)</f>
        <v>109</v>
      </c>
      <c r="I5664" s="12">
        <f t="shared" ref="I5664:I5673" si="413">G5664-H5664</f>
        <v>109</v>
      </c>
      <c r="J5664" s="3" t="str">
        <f t="shared" si="410"/>
        <v>7620012</v>
      </c>
    </row>
    <row r="5665" spans="2:10" s="3" customFormat="1">
      <c r="B5665" s="3" t="s">
        <v>2160</v>
      </c>
      <c r="C5665" s="8">
        <v>2</v>
      </c>
      <c r="D5665" s="3" t="s">
        <v>2199</v>
      </c>
      <c r="E5665" s="11" t="s">
        <v>11</v>
      </c>
      <c r="F5665" s="10">
        <v>1.15E-4</v>
      </c>
      <c r="G5665" s="12">
        <f t="shared" si="411"/>
        <v>33</v>
      </c>
      <c r="H5665" s="13">
        <f t="shared" si="412"/>
        <v>17</v>
      </c>
      <c r="I5665" s="12">
        <f t="shared" si="413"/>
        <v>16</v>
      </c>
      <c r="J5665" s="3" t="str">
        <f t="shared" si="410"/>
        <v>7620012</v>
      </c>
    </row>
    <row r="5666" spans="2:10" s="3" customFormat="1">
      <c r="B5666" s="3" t="s">
        <v>2160</v>
      </c>
      <c r="C5666" s="8">
        <v>3</v>
      </c>
      <c r="D5666" s="3" t="s">
        <v>3021</v>
      </c>
      <c r="E5666" s="11" t="s">
        <v>1627</v>
      </c>
      <c r="F5666" s="10">
        <v>4.9103000000000001E-2</v>
      </c>
      <c r="G5666" s="12">
        <f t="shared" si="411"/>
        <v>14128</v>
      </c>
      <c r="H5666" s="13">
        <f t="shared" si="412"/>
        <v>7064</v>
      </c>
      <c r="I5666" s="12">
        <f t="shared" si="413"/>
        <v>7064</v>
      </c>
      <c r="J5666" s="3" t="str">
        <f t="shared" si="410"/>
        <v>7630429</v>
      </c>
    </row>
    <row r="5667" spans="2:10" s="3" customFormat="1">
      <c r="B5667" s="3" t="s">
        <v>2160</v>
      </c>
      <c r="C5667" s="8">
        <v>3</v>
      </c>
      <c r="D5667" s="3" t="s">
        <v>2365</v>
      </c>
      <c r="E5667" s="11" t="s">
        <v>381</v>
      </c>
      <c r="F5667" s="10">
        <v>1.5959000000000001E-2</v>
      </c>
      <c r="G5667" s="12">
        <f t="shared" si="411"/>
        <v>4592</v>
      </c>
      <c r="H5667" s="13">
        <f t="shared" si="412"/>
        <v>2296</v>
      </c>
      <c r="I5667" s="12">
        <f t="shared" si="413"/>
        <v>2296</v>
      </c>
      <c r="J5667" s="3" t="str">
        <f t="shared" si="410"/>
        <v>7630586</v>
      </c>
    </row>
    <row r="5668" spans="2:10" s="3" customFormat="1">
      <c r="B5668" s="3" t="s">
        <v>2160</v>
      </c>
      <c r="C5668" s="8">
        <v>3</v>
      </c>
      <c r="D5668" s="3" t="s">
        <v>2816</v>
      </c>
      <c r="E5668" s="11" t="s">
        <v>1628</v>
      </c>
      <c r="F5668" s="10">
        <v>1.256E-3</v>
      </c>
      <c r="G5668" s="12">
        <f t="shared" si="411"/>
        <v>361</v>
      </c>
      <c r="H5668" s="13">
        <f t="shared" si="412"/>
        <v>181</v>
      </c>
      <c r="I5668" s="12">
        <f t="shared" si="413"/>
        <v>180</v>
      </c>
      <c r="J5668" s="3" t="str">
        <f t="shared" si="410"/>
        <v>7630877</v>
      </c>
    </row>
    <row r="5669" spans="2:10" s="3" customFormat="1">
      <c r="B5669" s="3" t="s">
        <v>2160</v>
      </c>
      <c r="C5669" s="8">
        <v>3</v>
      </c>
      <c r="D5669" s="3" t="s">
        <v>3022</v>
      </c>
      <c r="E5669" s="11" t="s">
        <v>1629</v>
      </c>
      <c r="F5669" s="10">
        <v>2.545E-3</v>
      </c>
      <c r="G5669" s="12">
        <f t="shared" si="411"/>
        <v>732</v>
      </c>
      <c r="H5669" s="13">
        <f t="shared" si="412"/>
        <v>366</v>
      </c>
      <c r="I5669" s="12">
        <f t="shared" si="413"/>
        <v>366</v>
      </c>
      <c r="J5669" s="3" t="str">
        <f t="shared" si="410"/>
        <v>7630878</v>
      </c>
    </row>
    <row r="5670" spans="2:10" s="3" customFormat="1">
      <c r="B5670" s="3" t="s">
        <v>2160</v>
      </c>
      <c r="C5670" s="8">
        <v>3</v>
      </c>
      <c r="D5670" s="3" t="s">
        <v>2369</v>
      </c>
      <c r="E5670" s="11" t="s">
        <v>386</v>
      </c>
      <c r="F5670" s="10">
        <v>1.3619999999999999E-3</v>
      </c>
      <c r="G5670" s="12">
        <f t="shared" si="411"/>
        <v>392</v>
      </c>
      <c r="H5670" s="13">
        <f t="shared" si="412"/>
        <v>196</v>
      </c>
      <c r="I5670" s="12">
        <f t="shared" si="413"/>
        <v>196</v>
      </c>
      <c r="J5670" s="3" t="str">
        <f t="shared" si="410"/>
        <v>7630879</v>
      </c>
    </row>
    <row r="5671" spans="2:10" s="3" customFormat="1">
      <c r="B5671" s="3" t="s">
        <v>2160</v>
      </c>
      <c r="C5671" s="8">
        <v>3</v>
      </c>
      <c r="D5671" s="3" t="s">
        <v>3023</v>
      </c>
      <c r="E5671" s="11" t="s">
        <v>1630</v>
      </c>
      <c r="F5671" s="10">
        <v>1.077E-3</v>
      </c>
      <c r="G5671" s="12">
        <f t="shared" si="411"/>
        <v>310</v>
      </c>
      <c r="H5671" s="13">
        <f t="shared" si="412"/>
        <v>155</v>
      </c>
      <c r="I5671" s="12">
        <f t="shared" si="413"/>
        <v>155</v>
      </c>
      <c r="J5671" s="3" t="str">
        <f t="shared" si="410"/>
        <v>7630880</v>
      </c>
    </row>
    <row r="5672" spans="2:10" s="3" customFormat="1">
      <c r="B5672" s="3" t="s">
        <v>2160</v>
      </c>
      <c r="C5672" s="8">
        <v>3</v>
      </c>
      <c r="D5672" s="3" t="s">
        <v>3024</v>
      </c>
      <c r="E5672" s="11" t="s">
        <v>1631</v>
      </c>
      <c r="F5672" s="10">
        <v>5.4149999999999997E-3</v>
      </c>
      <c r="G5672" s="12">
        <f t="shared" si="411"/>
        <v>1558</v>
      </c>
      <c r="H5672" s="13">
        <f t="shared" si="412"/>
        <v>779</v>
      </c>
      <c r="I5672" s="12">
        <f t="shared" si="413"/>
        <v>779</v>
      </c>
      <c r="J5672" s="3" t="str">
        <f t="shared" si="410"/>
        <v>7630881</v>
      </c>
    </row>
    <row r="5673" spans="2:10" s="3" customFormat="1">
      <c r="B5673" s="3" t="s">
        <v>2160</v>
      </c>
      <c r="C5673" s="8">
        <v>4</v>
      </c>
      <c r="D5673" s="3" t="s">
        <v>2371</v>
      </c>
      <c r="E5673" s="11" t="s">
        <v>389</v>
      </c>
      <c r="F5673" s="10">
        <v>3.2154000000000002E-2</v>
      </c>
      <c r="G5673" s="9">
        <f t="shared" si="411"/>
        <v>9251</v>
      </c>
      <c r="H5673" s="11">
        <f t="shared" si="412"/>
        <v>4626</v>
      </c>
      <c r="I5673" s="9">
        <f t="shared" si="413"/>
        <v>4625</v>
      </c>
      <c r="J5673" s="3" t="str">
        <f t="shared" si="410"/>
        <v>7641835</v>
      </c>
    </row>
    <row r="5674" spans="2:10" s="3" customFormat="1">
      <c r="B5674" s="3" t="s">
        <v>2160</v>
      </c>
      <c r="C5674" s="8">
        <v>4</v>
      </c>
      <c r="D5674" s="3" t="s">
        <v>2371</v>
      </c>
      <c r="E5674" s="11" t="s">
        <v>28</v>
      </c>
      <c r="F5674" s="11"/>
      <c r="G5674" s="14">
        <v>0.43275000000000002</v>
      </c>
      <c r="H5674" s="11"/>
      <c r="I5674" s="11"/>
      <c r="J5674" s="3" t="str">
        <f t="shared" si="410"/>
        <v>7641835</v>
      </c>
    </row>
    <row r="5675" spans="2:10" s="3" customFormat="1">
      <c r="B5675" s="3" t="s">
        <v>2160</v>
      </c>
      <c r="C5675" s="8">
        <v>4</v>
      </c>
      <c r="D5675" s="3" t="s">
        <v>2371</v>
      </c>
      <c r="E5675" s="11" t="s">
        <v>29</v>
      </c>
      <c r="F5675" s="11"/>
      <c r="G5675" s="15">
        <f>ROUND(G5673*G5674,0)</f>
        <v>4003</v>
      </c>
      <c r="H5675" s="16">
        <f>ROUND(G5675/2,0)</f>
        <v>2002</v>
      </c>
      <c r="I5675" s="15">
        <f>G5675-H5675</f>
        <v>2001</v>
      </c>
      <c r="J5675" s="3" t="str">
        <f t="shared" si="410"/>
        <v>7641835</v>
      </c>
    </row>
    <row r="5676" spans="2:10" s="3" customFormat="1">
      <c r="B5676" s="3" t="s">
        <v>2160</v>
      </c>
      <c r="C5676" s="8">
        <v>4</v>
      </c>
      <c r="D5676" s="3" t="s">
        <v>2371</v>
      </c>
      <c r="E5676" s="11" t="s">
        <v>30</v>
      </c>
      <c r="F5676" s="11"/>
      <c r="G5676" s="12">
        <f>+G5673-G5675</f>
        <v>5248</v>
      </c>
      <c r="H5676" s="13">
        <f>ROUND(G5676/2,0)</f>
        <v>2624</v>
      </c>
      <c r="I5676" s="12">
        <f>G5676-H5676</f>
        <v>2624</v>
      </c>
      <c r="J5676" s="3" t="str">
        <f t="shared" si="410"/>
        <v>7641835</v>
      </c>
    </row>
    <row r="5677" spans="2:10" s="3" customFormat="1">
      <c r="B5677" s="3" t="s">
        <v>2160</v>
      </c>
      <c r="C5677" s="8">
        <v>4</v>
      </c>
      <c r="D5677" s="3" t="s">
        <v>3025</v>
      </c>
      <c r="E5677" s="11" t="s">
        <v>1632</v>
      </c>
      <c r="F5677" s="10">
        <v>0.17158599999999999</v>
      </c>
      <c r="G5677" s="9">
        <f>ROUND(G$3*F5677,0)</f>
        <v>49369</v>
      </c>
      <c r="H5677" s="11">
        <f>ROUND(G5677/2,0)</f>
        <v>24685</v>
      </c>
      <c r="I5677" s="9">
        <f>G5677-H5677</f>
        <v>24684</v>
      </c>
      <c r="J5677" s="3" t="str">
        <f t="shared" si="410"/>
        <v>7647605</v>
      </c>
    </row>
    <row r="5678" spans="2:10" s="3" customFormat="1">
      <c r="B5678" s="3" t="s">
        <v>2160</v>
      </c>
      <c r="C5678" s="8">
        <v>4</v>
      </c>
      <c r="D5678" s="3" t="s">
        <v>3025</v>
      </c>
      <c r="E5678" s="11" t="s">
        <v>28</v>
      </c>
      <c r="F5678" s="11"/>
      <c r="G5678" s="14">
        <v>0.53579699999999997</v>
      </c>
      <c r="H5678" s="11"/>
      <c r="I5678" s="11"/>
      <c r="J5678" s="3" t="str">
        <f t="shared" si="410"/>
        <v>7647605</v>
      </c>
    </row>
    <row r="5679" spans="2:10" s="3" customFormat="1">
      <c r="B5679" s="3" t="s">
        <v>2160</v>
      </c>
      <c r="C5679" s="8">
        <v>4</v>
      </c>
      <c r="D5679" s="3" t="s">
        <v>3025</v>
      </c>
      <c r="E5679" s="11" t="s">
        <v>29</v>
      </c>
      <c r="F5679" s="11"/>
      <c r="G5679" s="15">
        <f>ROUND(G5677*G5678,0)</f>
        <v>26452</v>
      </c>
      <c r="H5679" s="16">
        <f>ROUND(G5679/2,0)</f>
        <v>13226</v>
      </c>
      <c r="I5679" s="15">
        <f>G5679-H5679</f>
        <v>13226</v>
      </c>
      <c r="J5679" s="3" t="str">
        <f t="shared" si="410"/>
        <v>7647605</v>
      </c>
    </row>
    <row r="5680" spans="2:10" s="3" customFormat="1">
      <c r="B5680" s="3" t="s">
        <v>2160</v>
      </c>
      <c r="C5680" s="8">
        <v>4</v>
      </c>
      <c r="D5680" s="3" t="s">
        <v>3025</v>
      </c>
      <c r="E5680" s="11" t="s">
        <v>30</v>
      </c>
      <c r="F5680" s="11"/>
      <c r="G5680" s="12">
        <f>+G5677-G5679</f>
        <v>22917</v>
      </c>
      <c r="H5680" s="13">
        <f>ROUND(G5680/2,0)</f>
        <v>11459</v>
      </c>
      <c r="I5680" s="12">
        <f>G5680-H5680</f>
        <v>11458</v>
      </c>
      <c r="J5680" s="3" t="str">
        <f t="shared" si="410"/>
        <v>7647605</v>
      </c>
    </row>
    <row r="5681" spans="2:10" s="3" customFormat="1">
      <c r="B5681" s="3" t="s">
        <v>2160</v>
      </c>
      <c r="C5681" s="8">
        <v>4</v>
      </c>
      <c r="D5681" s="3" t="s">
        <v>2372</v>
      </c>
      <c r="E5681" s="11" t="s">
        <v>392</v>
      </c>
      <c r="F5681" s="10">
        <v>3.1296999999999998E-2</v>
      </c>
      <c r="G5681" s="9">
        <f>ROUND(G$3*F5681,0)</f>
        <v>9005</v>
      </c>
      <c r="H5681" s="11">
        <f>ROUND(G5681/2,0)</f>
        <v>4503</v>
      </c>
      <c r="I5681" s="9">
        <f>G5681-H5681</f>
        <v>4502</v>
      </c>
      <c r="J5681" s="3" t="str">
        <f t="shared" si="410"/>
        <v>7647610</v>
      </c>
    </row>
    <row r="5682" spans="2:10" s="3" customFormat="1">
      <c r="B5682" s="3" t="s">
        <v>2160</v>
      </c>
      <c r="C5682" s="8">
        <v>4</v>
      </c>
      <c r="D5682" s="3" t="s">
        <v>2372</v>
      </c>
      <c r="E5682" s="11" t="s">
        <v>28</v>
      </c>
      <c r="F5682" s="11"/>
      <c r="G5682" s="14">
        <v>0.59032099999999998</v>
      </c>
      <c r="H5682" s="11"/>
      <c r="I5682" s="11"/>
      <c r="J5682" s="3" t="str">
        <f t="shared" si="410"/>
        <v>7647610</v>
      </c>
    </row>
    <row r="5683" spans="2:10" s="3" customFormat="1">
      <c r="B5683" s="3" t="s">
        <v>2160</v>
      </c>
      <c r="C5683" s="8">
        <v>4</v>
      </c>
      <c r="D5683" s="3" t="s">
        <v>2372</v>
      </c>
      <c r="E5683" s="11" t="s">
        <v>29</v>
      </c>
      <c r="F5683" s="11"/>
      <c r="G5683" s="15">
        <f>ROUND(G5681*G5682,0)</f>
        <v>5316</v>
      </c>
      <c r="H5683" s="16">
        <f>ROUND(G5683/2,0)</f>
        <v>2658</v>
      </c>
      <c r="I5683" s="15">
        <f>G5683-H5683</f>
        <v>2658</v>
      </c>
      <c r="J5683" s="3" t="str">
        <f t="shared" si="410"/>
        <v>7647610</v>
      </c>
    </row>
    <row r="5684" spans="2:10" s="3" customFormat="1">
      <c r="B5684" s="3" t="s">
        <v>2160</v>
      </c>
      <c r="C5684" s="8">
        <v>4</v>
      </c>
      <c r="D5684" s="3" t="s">
        <v>2372</v>
      </c>
      <c r="E5684" s="11" t="s">
        <v>30</v>
      </c>
      <c r="F5684" s="11"/>
      <c r="G5684" s="12">
        <f>+G5681-G5683</f>
        <v>3689</v>
      </c>
      <c r="H5684" s="13">
        <f>ROUND(G5684/2,0)</f>
        <v>1845</v>
      </c>
      <c r="I5684" s="12">
        <f>G5684-H5684</f>
        <v>1844</v>
      </c>
      <c r="J5684" s="3" t="str">
        <f t="shared" si="410"/>
        <v>7647610</v>
      </c>
    </row>
    <row r="5685" spans="2:10" s="3" customFormat="1">
      <c r="B5685" s="3" t="s">
        <v>2160</v>
      </c>
      <c r="C5685" s="8">
        <v>4</v>
      </c>
      <c r="D5685" s="3" t="s">
        <v>3026</v>
      </c>
      <c r="E5685" s="11" t="s">
        <v>1633</v>
      </c>
      <c r="F5685" s="10">
        <v>0.342418</v>
      </c>
      <c r="G5685" s="9">
        <f>ROUND(G$3*F5685,0)</f>
        <v>98522</v>
      </c>
      <c r="H5685" s="11">
        <f>ROUND(G5685/2,0)</f>
        <v>49261</v>
      </c>
      <c r="I5685" s="9">
        <f>G5685-H5685</f>
        <v>49261</v>
      </c>
      <c r="J5685" s="3" t="str">
        <f t="shared" si="410"/>
        <v>7647615</v>
      </c>
    </row>
    <row r="5686" spans="2:10" s="3" customFormat="1">
      <c r="B5686" s="3" t="s">
        <v>2160</v>
      </c>
      <c r="C5686" s="8">
        <v>4</v>
      </c>
      <c r="D5686" s="3" t="s">
        <v>3026</v>
      </c>
      <c r="E5686" s="11" t="s">
        <v>28</v>
      </c>
      <c r="F5686" s="11"/>
      <c r="G5686" s="14">
        <v>0.45450400000000002</v>
      </c>
      <c r="H5686" s="11"/>
      <c r="I5686" s="11"/>
      <c r="J5686" s="3" t="str">
        <f t="shared" si="410"/>
        <v>7647615</v>
      </c>
    </row>
    <row r="5687" spans="2:10" s="3" customFormat="1">
      <c r="B5687" s="3" t="s">
        <v>2160</v>
      </c>
      <c r="C5687" s="8">
        <v>4</v>
      </c>
      <c r="D5687" s="3" t="s">
        <v>3026</v>
      </c>
      <c r="E5687" s="11" t="s">
        <v>29</v>
      </c>
      <c r="F5687" s="11"/>
      <c r="G5687" s="15">
        <f>ROUND(G5685*G5686,0)</f>
        <v>44779</v>
      </c>
      <c r="H5687" s="16">
        <f>ROUND(G5687/2,0)</f>
        <v>22390</v>
      </c>
      <c r="I5687" s="15">
        <f>G5687-H5687</f>
        <v>22389</v>
      </c>
      <c r="J5687" s="3" t="str">
        <f t="shared" si="410"/>
        <v>7647615</v>
      </c>
    </row>
    <row r="5688" spans="2:10" s="3" customFormat="1">
      <c r="B5688" s="3" t="s">
        <v>2160</v>
      </c>
      <c r="C5688" s="8">
        <v>4</v>
      </c>
      <c r="D5688" s="3" t="s">
        <v>3026</v>
      </c>
      <c r="E5688" s="11" t="s">
        <v>30</v>
      </c>
      <c r="F5688" s="11"/>
      <c r="G5688" s="12">
        <f>+G5685-G5687</f>
        <v>53743</v>
      </c>
      <c r="H5688" s="13">
        <f>ROUND(G5688/2,0)</f>
        <v>26872</v>
      </c>
      <c r="I5688" s="12">
        <f>G5688-H5688</f>
        <v>26871</v>
      </c>
      <c r="J5688" s="3" t="str">
        <f t="shared" si="410"/>
        <v>7647615</v>
      </c>
    </row>
    <row r="5689" spans="2:10" s="3" customFormat="1">
      <c r="B5689" s="3" t="s">
        <v>2160</v>
      </c>
      <c r="C5689" s="8">
        <v>4</v>
      </c>
      <c r="D5689" s="3" t="s">
        <v>2693</v>
      </c>
      <c r="E5689" s="11" t="s">
        <v>993</v>
      </c>
      <c r="F5689" s="10">
        <v>0.12951299999999999</v>
      </c>
      <c r="G5689" s="9">
        <f>ROUND(G$3*F5689,0)</f>
        <v>37264</v>
      </c>
      <c r="H5689" s="11">
        <f>ROUND(G5689/2,0)</f>
        <v>18632</v>
      </c>
      <c r="I5689" s="9">
        <f>G5689-H5689</f>
        <v>18632</v>
      </c>
      <c r="J5689" s="3" t="str">
        <f t="shared" si="410"/>
        <v>7644515</v>
      </c>
    </row>
    <row r="5690" spans="2:10" s="3" customFormat="1">
      <c r="B5690" s="3" t="s">
        <v>2160</v>
      </c>
      <c r="C5690" s="8">
        <v>4</v>
      </c>
      <c r="D5690" s="3" t="s">
        <v>2693</v>
      </c>
      <c r="E5690" s="11" t="s">
        <v>28</v>
      </c>
      <c r="F5690" s="11"/>
      <c r="G5690" s="14">
        <v>0.449793</v>
      </c>
      <c r="H5690" s="11"/>
      <c r="I5690" s="11"/>
      <c r="J5690" s="3" t="str">
        <f t="shared" si="410"/>
        <v>7644515</v>
      </c>
    </row>
    <row r="5691" spans="2:10" s="3" customFormat="1">
      <c r="B5691" s="3" t="s">
        <v>2160</v>
      </c>
      <c r="C5691" s="8">
        <v>4</v>
      </c>
      <c r="D5691" s="3" t="s">
        <v>2693</v>
      </c>
      <c r="E5691" s="11" t="s">
        <v>29</v>
      </c>
      <c r="F5691" s="11"/>
      <c r="G5691" s="15">
        <f>ROUND(G5689*G5690,0)</f>
        <v>16761</v>
      </c>
      <c r="H5691" s="16">
        <f>ROUND(G5691/2,0)</f>
        <v>8381</v>
      </c>
      <c r="I5691" s="15">
        <f>G5691-H5691</f>
        <v>8380</v>
      </c>
      <c r="J5691" s="3" t="str">
        <f t="shared" si="410"/>
        <v>7644515</v>
      </c>
    </row>
    <row r="5692" spans="2:10" s="3" customFormat="1">
      <c r="B5692" s="3" t="s">
        <v>2160</v>
      </c>
      <c r="C5692" s="8">
        <v>4</v>
      </c>
      <c r="D5692" s="3" t="s">
        <v>2693</v>
      </c>
      <c r="E5692" s="11" t="s">
        <v>30</v>
      </c>
      <c r="F5692" s="11"/>
      <c r="G5692" s="12">
        <f>+G5689-G5691</f>
        <v>20503</v>
      </c>
      <c r="H5692" s="13">
        <f>ROUND(G5692/2,0)</f>
        <v>10252</v>
      </c>
      <c r="I5692" s="12">
        <f>G5692-H5692</f>
        <v>10251</v>
      </c>
      <c r="J5692" s="3" t="str">
        <f t="shared" si="410"/>
        <v>7644515</v>
      </c>
    </row>
    <row r="5693" spans="2:10" s="3" customFormat="1">
      <c r="B5693" s="3" t="s">
        <v>2160</v>
      </c>
      <c r="C5693" s="8">
        <v>5</v>
      </c>
      <c r="D5693" s="116" t="s">
        <v>5803</v>
      </c>
      <c r="E5693" s="11" t="s">
        <v>1634</v>
      </c>
      <c r="F5693" s="10">
        <v>9.0310000000000008E-3</v>
      </c>
      <c r="G5693" s="120">
        <f>ROUND(G$3*F5693,0)</f>
        <v>2598</v>
      </c>
      <c r="H5693" s="120">
        <f>ROUND(G5693/2,0)</f>
        <v>1299</v>
      </c>
      <c r="I5693" s="120">
        <f>G5693-H5693</f>
        <v>1299</v>
      </c>
      <c r="J5693" s="3" t="str">
        <f t="shared" si="410"/>
        <v>7650215</v>
      </c>
    </row>
    <row r="5694" spans="2:10" s="3" customFormat="1">
      <c r="B5694" s="3" t="s">
        <v>2160</v>
      </c>
      <c r="C5694" s="8">
        <v>5</v>
      </c>
      <c r="D5694" s="3" t="s">
        <v>3027</v>
      </c>
      <c r="E5694" s="11" t="s">
        <v>1635</v>
      </c>
      <c r="F5694" s="10">
        <v>9.6000000000000002E-5</v>
      </c>
      <c r="G5694" s="120">
        <f>ROUND(G$3*F5694,0)</f>
        <v>28</v>
      </c>
      <c r="H5694" s="120">
        <f>ROUND(G5694/2,0)</f>
        <v>14</v>
      </c>
      <c r="I5694" s="120">
        <f>G5694-H5694</f>
        <v>14</v>
      </c>
      <c r="J5694" s="3" t="str">
        <f t="shared" si="410"/>
        <v>7650216</v>
      </c>
    </row>
    <row r="5695" spans="2:10" s="3" customFormat="1">
      <c r="B5695" s="3" t="s">
        <v>2160</v>
      </c>
      <c r="C5695" s="8">
        <v>6</v>
      </c>
      <c r="D5695" s="3" t="s">
        <v>3708</v>
      </c>
      <c r="E5695" s="11" t="s">
        <v>397</v>
      </c>
      <c r="F5695" s="10">
        <v>5.6059999999999999E-3</v>
      </c>
      <c r="G5695" s="120">
        <f>+G5624-SUM(G5625:G5626)-SUM(G5631:G5673)-G5677-G5681-G5685-G5689-SUM(G5693:G5694)</f>
        <v>-1034</v>
      </c>
      <c r="H5695" s="120">
        <f>ROUND(G5695/2,0)</f>
        <v>-517</v>
      </c>
      <c r="I5695" s="120">
        <f>G5695-H5695</f>
        <v>-517</v>
      </c>
      <c r="J5695" s="3" t="str">
        <f t="shared" si="410"/>
        <v>7660994</v>
      </c>
    </row>
    <row r="5696" spans="2:10" s="3" customFormat="1">
      <c r="B5696" s="3" t="s">
        <v>2160</v>
      </c>
      <c r="C5696" s="8">
        <v>0</v>
      </c>
      <c r="D5696" s="125" t="s">
        <v>2187</v>
      </c>
      <c r="E5696" s="28" t="s">
        <v>288</v>
      </c>
      <c r="F5696" s="10">
        <v>1</v>
      </c>
      <c r="G5696" s="12">
        <f>+G5625+SUM(G5628:G5672)+SUM(G5675:G5676)+SUM(G5679:G5680)+SUM(G5683:G5684)+SUM(G5687:G5688)+SUM(G5691:G5695)</f>
        <v>285076</v>
      </c>
      <c r="H5696" s="12">
        <f>+H5625+SUM(H5628:H5672)+SUM(H5675:H5676)+SUM(H5679:H5680)+SUM(H5683:H5684)+SUM(H5687:H5688)+SUM(H5691:H5695)</f>
        <v>142548</v>
      </c>
      <c r="I5696" s="12">
        <f>+I5625+SUM(I5628:I5672)+SUM(I5675:I5676)+SUM(I5679:I5680)+SUM(I5683:I5684)+SUM(I5687:I5688)+SUM(I5691:I5695)</f>
        <v>142528</v>
      </c>
      <c r="J5696" s="3" t="str">
        <f t="shared" si="410"/>
        <v>7600000</v>
      </c>
    </row>
    <row r="5697" spans="2:10" s="3" customFormat="1">
      <c r="B5697" s="3" t="s">
        <v>2160</v>
      </c>
      <c r="C5697" s="8">
        <v>0</v>
      </c>
      <c r="D5697" s="3" t="s">
        <v>2187</v>
      </c>
      <c r="E5697" s="18" t="s">
        <v>38</v>
      </c>
      <c r="G5697" s="19">
        <f>+G5625</f>
        <v>417</v>
      </c>
      <c r="H5697" s="19">
        <f>+H5625</f>
        <v>209</v>
      </c>
      <c r="I5697" s="19">
        <f>+I5625</f>
        <v>208</v>
      </c>
      <c r="J5697" s="3" t="str">
        <f t="shared" si="410"/>
        <v>7600000</v>
      </c>
    </row>
    <row r="5698" spans="2:10" s="3" customFormat="1">
      <c r="B5698" s="3" t="s">
        <v>2160</v>
      </c>
      <c r="C5698" s="8">
        <v>0</v>
      </c>
      <c r="D5698" s="3" t="s">
        <v>2187</v>
      </c>
      <c r="E5698" s="2" t="s">
        <v>39</v>
      </c>
      <c r="G5698" s="19">
        <f>+G5628</f>
        <v>16209</v>
      </c>
      <c r="H5698" s="19">
        <f>+H5628</f>
        <v>8105</v>
      </c>
      <c r="I5698" s="19">
        <f>+I5628</f>
        <v>8104</v>
      </c>
      <c r="J5698" s="3" t="str">
        <f t="shared" si="410"/>
        <v>7600000</v>
      </c>
    </row>
    <row r="5699" spans="2:10" s="3" customFormat="1">
      <c r="B5699" s="3" t="s">
        <v>2160</v>
      </c>
      <c r="C5699" s="8">
        <v>0</v>
      </c>
      <c r="D5699" s="3" t="s">
        <v>2187</v>
      </c>
      <c r="E5699" s="2" t="s">
        <v>40</v>
      </c>
      <c r="G5699" s="19">
        <f>+G5675+G5679+G5683+G5687+G5691</f>
        <v>97311</v>
      </c>
      <c r="H5699" s="19">
        <f>+H5675+H5679+H5683+H5687+H5691</f>
        <v>48657</v>
      </c>
      <c r="I5699" s="19">
        <f>+I5675+I5679+I5683+I5687+I5691</f>
        <v>48654</v>
      </c>
      <c r="J5699" s="3" t="str">
        <f t="shared" si="410"/>
        <v>7600000</v>
      </c>
    </row>
    <row r="5700" spans="2:10" s="3" customFormat="1">
      <c r="B5700" s="3" t="s">
        <v>2160</v>
      </c>
      <c r="C5700" s="8">
        <v>0</v>
      </c>
      <c r="D5700" s="125" t="s">
        <v>2187</v>
      </c>
      <c r="E5700" s="18" t="s">
        <v>41</v>
      </c>
      <c r="G5700" s="19">
        <f>+G5696-G5697-G5698-G5699</f>
        <v>171139</v>
      </c>
      <c r="H5700" s="19">
        <f>+H5696-H5697-H5698-H5699</f>
        <v>85577</v>
      </c>
      <c r="I5700" s="19">
        <f>+I5696-I5697-I5698-I5699</f>
        <v>85562</v>
      </c>
      <c r="J5700" s="3" t="str">
        <f t="shared" ref="J5700:J5763" si="414">B5700&amp;C5700&amp;D5700</f>
        <v>7600000</v>
      </c>
    </row>
    <row r="5701" spans="2:10" ht="15.75">
      <c r="B5701" s="3" t="s">
        <v>2186</v>
      </c>
      <c r="D5701" t="s">
        <v>2186</v>
      </c>
      <c r="E5701">
        <v>0</v>
      </c>
      <c r="G5701"/>
      <c r="H5701"/>
      <c r="I5701"/>
      <c r="J5701" s="3" t="str">
        <f t="shared" si="414"/>
        <v/>
      </c>
    </row>
    <row r="5702" spans="2:10" s="3" customFormat="1">
      <c r="C5702" s="1"/>
      <c r="D5702" s="3" t="s">
        <v>2186</v>
      </c>
      <c r="E5702" s="2" t="s">
        <v>1636</v>
      </c>
      <c r="J5702" s="3" t="str">
        <f t="shared" si="414"/>
        <v/>
      </c>
    </row>
    <row r="5703" spans="2:10" s="3" customFormat="1" ht="45">
      <c r="B5703" s="3" t="s">
        <v>2186</v>
      </c>
      <c r="C5703" s="1"/>
      <c r="D5703" s="3" t="s">
        <v>2186</v>
      </c>
      <c r="E5703" s="1">
        <v>0</v>
      </c>
      <c r="F5703" s="6" t="s">
        <v>1</v>
      </c>
      <c r="G5703" s="60">
        <f>'Allocation Worksheet'!H5703</f>
        <v>0</v>
      </c>
      <c r="H5703" s="60">
        <f>'Allocation Worksheet'!H5704</f>
        <v>0</v>
      </c>
      <c r="I5703" s="60">
        <f>'Allocation Worksheet'!H5705</f>
        <v>0</v>
      </c>
      <c r="J5703" s="3" t="str">
        <f t="shared" si="414"/>
        <v/>
      </c>
    </row>
    <row r="5704" spans="2:10" s="3" customFormat="1">
      <c r="C5704" s="7" t="s">
        <v>2087</v>
      </c>
      <c r="D5704" s="3" t="s">
        <v>2186</v>
      </c>
      <c r="E5704" s="7" t="s">
        <v>3</v>
      </c>
      <c r="F5704" s="10"/>
      <c r="G5704" s="9">
        <f>'Allocation Worksheet'!$D$80</f>
        <v>178606</v>
      </c>
      <c r="H5704" s="11"/>
      <c r="I5704" s="11"/>
      <c r="J5704" s="3" t="str">
        <f t="shared" si="414"/>
        <v>UT</v>
      </c>
    </row>
    <row r="5705" spans="2:10" s="3" customFormat="1">
      <c r="B5705" s="3" t="s">
        <v>2161</v>
      </c>
      <c r="C5705" s="8">
        <v>0</v>
      </c>
      <c r="D5705" s="3" t="s">
        <v>2187</v>
      </c>
      <c r="E5705" s="11" t="s">
        <v>4</v>
      </c>
      <c r="F5705" s="10">
        <v>1.0820000000000001E-3</v>
      </c>
      <c r="G5705" s="12">
        <f>ROUND(G$3*F5705,0)</f>
        <v>311</v>
      </c>
      <c r="H5705" s="13">
        <f>ROUND(G5705/2,0)</f>
        <v>156</v>
      </c>
      <c r="I5705" s="12">
        <f>G5705-H5705</f>
        <v>155</v>
      </c>
      <c r="J5705" s="3" t="str">
        <f t="shared" si="414"/>
        <v>7700000</v>
      </c>
    </row>
    <row r="5706" spans="2:10" s="3" customFormat="1">
      <c r="B5706" s="3" t="s">
        <v>2161</v>
      </c>
      <c r="C5706" s="8">
        <v>1</v>
      </c>
      <c r="D5706" s="3" t="s">
        <v>2187</v>
      </c>
      <c r="E5706" s="11" t="s">
        <v>1637</v>
      </c>
      <c r="F5706" s="10">
        <v>0.22498699999999999</v>
      </c>
      <c r="G5706" s="9">
        <f>ROUND(G$3*F5706,0)</f>
        <v>64734</v>
      </c>
      <c r="H5706" s="11">
        <f>ROUND(G5706/2,0)</f>
        <v>32367</v>
      </c>
      <c r="I5706" s="9">
        <f>G5706-H5706</f>
        <v>32367</v>
      </c>
      <c r="J5706" s="3" t="str">
        <f t="shared" si="414"/>
        <v>7710000</v>
      </c>
    </row>
    <row r="5707" spans="2:10" s="3" customFormat="1">
      <c r="B5707" s="3" t="s">
        <v>2161</v>
      </c>
      <c r="C5707" s="8">
        <v>1</v>
      </c>
      <c r="D5707" s="3" t="s">
        <v>2187</v>
      </c>
      <c r="E5707" s="11" t="s">
        <v>6</v>
      </c>
      <c r="F5707" s="11"/>
      <c r="G5707" s="14">
        <v>0.14630899999999999</v>
      </c>
      <c r="H5707" s="11"/>
      <c r="I5707" s="11"/>
      <c r="J5707" s="3" t="str">
        <f t="shared" si="414"/>
        <v>7710000</v>
      </c>
    </row>
    <row r="5708" spans="2:10" s="3" customFormat="1">
      <c r="B5708" s="3" t="s">
        <v>2161</v>
      </c>
      <c r="C5708" s="8">
        <v>1</v>
      </c>
      <c r="D5708" s="3" t="s">
        <v>2187</v>
      </c>
      <c r="E5708" s="11" t="s">
        <v>7</v>
      </c>
      <c r="F5708" s="11"/>
      <c r="G5708" s="15">
        <f>ROUND(G5706*G5707,0)</f>
        <v>9471</v>
      </c>
      <c r="H5708" s="16">
        <f>ROUND(G5708/2,0)</f>
        <v>4736</v>
      </c>
      <c r="I5708" s="15">
        <f>G5708-H5708</f>
        <v>4735</v>
      </c>
      <c r="J5708" s="3" t="str">
        <f t="shared" si="414"/>
        <v>7710000</v>
      </c>
    </row>
    <row r="5709" spans="2:10" s="3" customFormat="1">
      <c r="B5709" s="3" t="s">
        <v>2161</v>
      </c>
      <c r="C5709" s="8">
        <v>1</v>
      </c>
      <c r="D5709" s="3" t="s">
        <v>2187</v>
      </c>
      <c r="E5709" s="11" t="s">
        <v>8</v>
      </c>
      <c r="F5709" s="11"/>
      <c r="G5709" s="12">
        <f>+G5706-G5708</f>
        <v>55263</v>
      </c>
      <c r="H5709" s="13">
        <f>ROUND(G5709/2,0)</f>
        <v>27632</v>
      </c>
      <c r="I5709" s="12">
        <f>G5709-H5709</f>
        <v>27631</v>
      </c>
      <c r="J5709" s="3" t="str">
        <f t="shared" si="414"/>
        <v>7710000</v>
      </c>
    </row>
    <row r="5710" spans="2:10" s="3" customFormat="1">
      <c r="B5710" s="3" t="s">
        <v>2161</v>
      </c>
      <c r="C5710" s="8">
        <v>2</v>
      </c>
      <c r="D5710" s="3" t="s">
        <v>2188</v>
      </c>
      <c r="E5710" s="11" t="s">
        <v>249</v>
      </c>
      <c r="F5710" s="11"/>
      <c r="G5710" s="9"/>
      <c r="H5710" s="11"/>
      <c r="I5710" s="11"/>
      <c r="J5710" s="3" t="str">
        <f t="shared" si="414"/>
        <v>7720001</v>
      </c>
    </row>
    <row r="5711" spans="2:10" s="3" customFormat="1">
      <c r="B5711" s="3" t="s">
        <v>2161</v>
      </c>
      <c r="C5711" s="8">
        <v>2</v>
      </c>
      <c r="D5711" s="3" t="s">
        <v>2188</v>
      </c>
      <c r="E5711" s="11" t="s">
        <v>10</v>
      </c>
      <c r="F5711" s="10">
        <v>4.5899999999999999E-4</v>
      </c>
      <c r="G5711" s="12">
        <f>ROUND(G$3*F5711,0)</f>
        <v>132</v>
      </c>
      <c r="H5711" s="13">
        <f>ROUND(G5711/2,0)</f>
        <v>66</v>
      </c>
      <c r="I5711" s="12">
        <f>G5711-H5711</f>
        <v>66</v>
      </c>
      <c r="J5711" s="3" t="str">
        <f t="shared" si="414"/>
        <v>7720001</v>
      </c>
    </row>
    <row r="5712" spans="2:10" s="3" customFormat="1">
      <c r="B5712" s="3" t="s">
        <v>2161</v>
      </c>
      <c r="C5712" s="8">
        <v>2</v>
      </c>
      <c r="D5712" s="3" t="s">
        <v>2188</v>
      </c>
      <c r="E5712" s="11" t="s">
        <v>11</v>
      </c>
      <c r="F5712" s="10">
        <v>1.4799999999999999E-4</v>
      </c>
      <c r="G5712" s="12">
        <f>ROUND(G$3*F5712,0)</f>
        <v>43</v>
      </c>
      <c r="H5712" s="13">
        <f>ROUND(G5712/2,0)</f>
        <v>22</v>
      </c>
      <c r="I5712" s="12">
        <f>G5712-H5712</f>
        <v>21</v>
      </c>
      <c r="J5712" s="3" t="str">
        <f t="shared" si="414"/>
        <v>7720001</v>
      </c>
    </row>
    <row r="5713" spans="2:10" s="3" customFormat="1">
      <c r="B5713" s="3" t="s">
        <v>2161</v>
      </c>
      <c r="C5713" s="8">
        <v>2</v>
      </c>
      <c r="D5713" s="3" t="s">
        <v>2189</v>
      </c>
      <c r="E5713" s="11" t="s">
        <v>1638</v>
      </c>
      <c r="F5713" s="11"/>
      <c r="G5713" s="9"/>
      <c r="H5713" s="11"/>
      <c r="I5713" s="11"/>
      <c r="J5713" s="3" t="str">
        <f t="shared" si="414"/>
        <v>7720002</v>
      </c>
    </row>
    <row r="5714" spans="2:10" s="3" customFormat="1">
      <c r="B5714" s="3" t="s">
        <v>2161</v>
      </c>
      <c r="C5714" s="8">
        <v>2</v>
      </c>
      <c r="D5714" s="3" t="s">
        <v>2189</v>
      </c>
      <c r="E5714" s="11" t="s">
        <v>10</v>
      </c>
      <c r="F5714" s="10">
        <v>4.5360000000000001E-3</v>
      </c>
      <c r="G5714" s="12">
        <f>ROUND(G$3*F5714,0)</f>
        <v>1305</v>
      </c>
      <c r="H5714" s="13">
        <f>ROUND(G5714/2,0)</f>
        <v>653</v>
      </c>
      <c r="I5714" s="12">
        <f>G5714-H5714</f>
        <v>652</v>
      </c>
      <c r="J5714" s="3" t="str">
        <f t="shared" si="414"/>
        <v>7720002</v>
      </c>
    </row>
    <row r="5715" spans="2:10" s="3" customFormat="1">
      <c r="B5715" s="3" t="s">
        <v>2161</v>
      </c>
      <c r="C5715" s="8">
        <v>2</v>
      </c>
      <c r="D5715" s="3" t="s">
        <v>2189</v>
      </c>
      <c r="E5715" s="11" t="s">
        <v>11</v>
      </c>
      <c r="F5715" s="10">
        <v>2.209E-3</v>
      </c>
      <c r="G5715" s="12">
        <f>ROUND(G$3*F5715,0)</f>
        <v>636</v>
      </c>
      <c r="H5715" s="13">
        <f>ROUND(G5715/2,0)</f>
        <v>318</v>
      </c>
      <c r="I5715" s="12">
        <f>G5715-H5715</f>
        <v>318</v>
      </c>
      <c r="J5715" s="3" t="str">
        <f t="shared" si="414"/>
        <v>7720002</v>
      </c>
    </row>
    <row r="5716" spans="2:10" s="3" customFormat="1">
      <c r="B5716" s="3" t="s">
        <v>2161</v>
      </c>
      <c r="C5716" s="8">
        <v>2</v>
      </c>
      <c r="D5716" s="3" t="s">
        <v>2190</v>
      </c>
      <c r="E5716" s="11" t="s">
        <v>1639</v>
      </c>
      <c r="F5716" s="11"/>
      <c r="G5716" s="9"/>
      <c r="H5716" s="11"/>
      <c r="I5716" s="11"/>
      <c r="J5716" s="3" t="str">
        <f t="shared" si="414"/>
        <v>7720003</v>
      </c>
    </row>
    <row r="5717" spans="2:10" s="3" customFormat="1">
      <c r="B5717" s="3" t="s">
        <v>2161</v>
      </c>
      <c r="C5717" s="8">
        <v>2</v>
      </c>
      <c r="D5717" s="3" t="s">
        <v>2190</v>
      </c>
      <c r="E5717" s="11" t="s">
        <v>10</v>
      </c>
      <c r="F5717" s="10">
        <v>1.1379999999999999E-3</v>
      </c>
      <c r="G5717" s="12">
        <f>ROUND(G$3*F5717,0)</f>
        <v>327</v>
      </c>
      <c r="H5717" s="13">
        <f>ROUND(G5717/2,0)</f>
        <v>164</v>
      </c>
      <c r="I5717" s="12">
        <f>G5717-H5717</f>
        <v>163</v>
      </c>
      <c r="J5717" s="3" t="str">
        <f t="shared" si="414"/>
        <v>7720003</v>
      </c>
    </row>
    <row r="5718" spans="2:10" s="3" customFormat="1">
      <c r="B5718" s="3" t="s">
        <v>2161</v>
      </c>
      <c r="C5718" s="8">
        <v>2</v>
      </c>
      <c r="D5718" s="3" t="s">
        <v>2190</v>
      </c>
      <c r="E5718" s="11" t="s">
        <v>11</v>
      </c>
      <c r="F5718" s="10">
        <v>7.3499999999999998E-4</v>
      </c>
      <c r="G5718" s="12">
        <f>ROUND(G$3*F5718,0)</f>
        <v>211</v>
      </c>
      <c r="H5718" s="13">
        <f>ROUND(G5718/2,0)</f>
        <v>106</v>
      </c>
      <c r="I5718" s="12">
        <f>G5718-H5718</f>
        <v>105</v>
      </c>
      <c r="J5718" s="3" t="str">
        <f t="shared" si="414"/>
        <v>7720003</v>
      </c>
    </row>
    <row r="5719" spans="2:10" s="3" customFormat="1">
      <c r="B5719" s="3" t="s">
        <v>2161</v>
      </c>
      <c r="C5719" s="8">
        <v>2</v>
      </c>
      <c r="D5719" s="3" t="s">
        <v>2191</v>
      </c>
      <c r="E5719" s="11" t="s">
        <v>1640</v>
      </c>
      <c r="F5719" s="11"/>
      <c r="G5719" s="9"/>
      <c r="H5719" s="11"/>
      <c r="I5719" s="11"/>
      <c r="J5719" s="3" t="str">
        <f t="shared" si="414"/>
        <v>7720004</v>
      </c>
    </row>
    <row r="5720" spans="2:10" s="3" customFormat="1">
      <c r="B5720" s="3" t="s">
        <v>2161</v>
      </c>
      <c r="C5720" s="8">
        <v>2</v>
      </c>
      <c r="D5720" s="3" t="s">
        <v>2191</v>
      </c>
      <c r="E5720" s="11" t="s">
        <v>10</v>
      </c>
      <c r="F5720" s="10">
        <v>1.1329999999999999E-3</v>
      </c>
      <c r="G5720" s="12">
        <f>ROUND(G$3*F5720,0)</f>
        <v>326</v>
      </c>
      <c r="H5720" s="13">
        <f>ROUND(G5720/2,0)</f>
        <v>163</v>
      </c>
      <c r="I5720" s="12">
        <f>G5720-H5720</f>
        <v>163</v>
      </c>
      <c r="J5720" s="3" t="str">
        <f t="shared" si="414"/>
        <v>7720004</v>
      </c>
    </row>
    <row r="5721" spans="2:10" s="3" customFormat="1">
      <c r="B5721" s="3" t="s">
        <v>2161</v>
      </c>
      <c r="C5721" s="8">
        <v>2</v>
      </c>
      <c r="D5721" s="3" t="s">
        <v>2191</v>
      </c>
      <c r="E5721" s="11" t="s">
        <v>11</v>
      </c>
      <c r="F5721" s="10">
        <v>5.7700000000000004E-4</v>
      </c>
      <c r="G5721" s="12">
        <f>ROUND(G$3*F5721,0)</f>
        <v>166</v>
      </c>
      <c r="H5721" s="13">
        <f>ROUND(G5721/2,0)</f>
        <v>83</v>
      </c>
      <c r="I5721" s="12">
        <f>G5721-H5721</f>
        <v>83</v>
      </c>
      <c r="J5721" s="3" t="str">
        <f t="shared" si="414"/>
        <v>7720004</v>
      </c>
    </row>
    <row r="5722" spans="2:10" s="3" customFormat="1">
      <c r="B5722" s="3" t="s">
        <v>2161</v>
      </c>
      <c r="C5722" s="8">
        <v>2</v>
      </c>
      <c r="D5722" s="3" t="s">
        <v>2192</v>
      </c>
      <c r="E5722" s="11" t="s">
        <v>1641</v>
      </c>
      <c r="F5722" s="11"/>
      <c r="G5722" s="9"/>
      <c r="H5722" s="11"/>
      <c r="I5722" s="11"/>
      <c r="J5722" s="3" t="str">
        <f t="shared" si="414"/>
        <v>7720005</v>
      </c>
    </row>
    <row r="5723" spans="2:10" s="3" customFormat="1">
      <c r="B5723" s="3" t="s">
        <v>2161</v>
      </c>
      <c r="C5723" s="8">
        <v>2</v>
      </c>
      <c r="D5723" s="3" t="s">
        <v>2192</v>
      </c>
      <c r="E5723" s="11" t="s">
        <v>10</v>
      </c>
      <c r="F5723" s="10">
        <v>3.2560000000000002E-3</v>
      </c>
      <c r="G5723" s="12">
        <f>ROUND(G$3*F5723,0)</f>
        <v>937</v>
      </c>
      <c r="H5723" s="13">
        <f>ROUND(G5723/2,0)</f>
        <v>469</v>
      </c>
      <c r="I5723" s="12">
        <f>G5723-H5723</f>
        <v>468</v>
      </c>
      <c r="J5723" s="3" t="str">
        <f t="shared" si="414"/>
        <v>7720005</v>
      </c>
    </row>
    <row r="5724" spans="2:10" s="3" customFormat="1">
      <c r="B5724" s="3" t="s">
        <v>2161</v>
      </c>
      <c r="C5724" s="8">
        <v>2</v>
      </c>
      <c r="D5724" s="3" t="s">
        <v>2192</v>
      </c>
      <c r="E5724" s="11" t="s">
        <v>11</v>
      </c>
      <c r="F5724" s="10">
        <v>1.745E-3</v>
      </c>
      <c r="G5724" s="12">
        <f>ROUND(G$3*F5724,0)</f>
        <v>502</v>
      </c>
      <c r="H5724" s="13">
        <f>ROUND(G5724/2,0)</f>
        <v>251</v>
      </c>
      <c r="I5724" s="12">
        <f>G5724-H5724</f>
        <v>251</v>
      </c>
      <c r="J5724" s="3" t="str">
        <f t="shared" si="414"/>
        <v>7720005</v>
      </c>
    </row>
    <row r="5725" spans="2:10" s="3" customFormat="1">
      <c r="B5725" s="3" t="s">
        <v>2161</v>
      </c>
      <c r="C5725" s="8">
        <v>2</v>
      </c>
      <c r="D5725" s="3" t="s">
        <v>2193</v>
      </c>
      <c r="E5725" s="11" t="s">
        <v>401</v>
      </c>
      <c r="F5725" s="11"/>
      <c r="G5725" s="9"/>
      <c r="H5725" s="11"/>
      <c r="I5725" s="11"/>
      <c r="J5725" s="3" t="str">
        <f t="shared" si="414"/>
        <v>7720006</v>
      </c>
    </row>
    <row r="5726" spans="2:10" s="3" customFormat="1">
      <c r="B5726" s="3" t="s">
        <v>2161</v>
      </c>
      <c r="C5726" s="8">
        <v>2</v>
      </c>
      <c r="D5726" s="3" t="s">
        <v>2193</v>
      </c>
      <c r="E5726" s="11" t="s">
        <v>10</v>
      </c>
      <c r="F5726" s="10">
        <v>5.4450000000000002E-3</v>
      </c>
      <c r="G5726" s="12">
        <f>ROUND(G$3*F5726,0)</f>
        <v>1567</v>
      </c>
      <c r="H5726" s="13">
        <f>ROUND(G5726/2,0)</f>
        <v>784</v>
      </c>
      <c r="I5726" s="12">
        <f>G5726-H5726</f>
        <v>783</v>
      </c>
      <c r="J5726" s="3" t="str">
        <f t="shared" si="414"/>
        <v>7720006</v>
      </c>
    </row>
    <row r="5727" spans="2:10" s="3" customFormat="1">
      <c r="B5727" s="3" t="s">
        <v>2161</v>
      </c>
      <c r="C5727" s="8">
        <v>2</v>
      </c>
      <c r="D5727" s="3" t="s">
        <v>2193</v>
      </c>
      <c r="E5727" s="11" t="s">
        <v>11</v>
      </c>
      <c r="F5727" s="10">
        <v>2.3930000000000002E-3</v>
      </c>
      <c r="G5727" s="12">
        <f>ROUND(G$3*F5727,0)</f>
        <v>689</v>
      </c>
      <c r="H5727" s="13">
        <f>ROUND(G5727/2,0)</f>
        <v>345</v>
      </c>
      <c r="I5727" s="12">
        <f>G5727-H5727</f>
        <v>344</v>
      </c>
      <c r="J5727" s="3" t="str">
        <f t="shared" si="414"/>
        <v>7720006</v>
      </c>
    </row>
    <row r="5728" spans="2:10" s="3" customFormat="1">
      <c r="B5728" s="3" t="s">
        <v>2161</v>
      </c>
      <c r="C5728" s="8">
        <v>2</v>
      </c>
      <c r="D5728" s="3" t="s">
        <v>2194</v>
      </c>
      <c r="E5728" s="11" t="s">
        <v>49</v>
      </c>
      <c r="F5728" s="11"/>
      <c r="G5728" s="9"/>
      <c r="H5728" s="11"/>
      <c r="I5728" s="11"/>
      <c r="J5728" s="3" t="str">
        <f t="shared" si="414"/>
        <v>7720007</v>
      </c>
    </row>
    <row r="5729" spans="1:10" s="3" customFormat="1">
      <c r="B5729" s="3" t="s">
        <v>2161</v>
      </c>
      <c r="C5729" s="8">
        <v>2</v>
      </c>
      <c r="D5729" s="3" t="s">
        <v>2194</v>
      </c>
      <c r="E5729" s="11" t="s">
        <v>10</v>
      </c>
      <c r="F5729" s="10">
        <v>1.9750000000000002E-3</v>
      </c>
      <c r="G5729" s="12">
        <f>ROUND(G$3*F5729,0)</f>
        <v>568</v>
      </c>
      <c r="H5729" s="13">
        <f>ROUND(G5729/2,0)</f>
        <v>284</v>
      </c>
      <c r="I5729" s="12">
        <f>G5729-H5729</f>
        <v>284</v>
      </c>
      <c r="J5729" s="3" t="str">
        <f t="shared" si="414"/>
        <v>7720007</v>
      </c>
    </row>
    <row r="5730" spans="1:10" s="3" customFormat="1">
      <c r="B5730" s="3" t="s">
        <v>2161</v>
      </c>
      <c r="C5730" s="8">
        <v>2</v>
      </c>
      <c r="D5730" s="3" t="s">
        <v>2194</v>
      </c>
      <c r="E5730" s="11" t="s">
        <v>11</v>
      </c>
      <c r="F5730" s="10">
        <v>8.1099999999999998E-4</v>
      </c>
      <c r="G5730" s="12">
        <f>ROUND(G$3*F5730,0)</f>
        <v>233</v>
      </c>
      <c r="H5730" s="13">
        <f>ROUND(G5730/2,0)</f>
        <v>117</v>
      </c>
      <c r="I5730" s="12">
        <f>G5730-H5730</f>
        <v>116</v>
      </c>
      <c r="J5730" s="3" t="str">
        <f t="shared" si="414"/>
        <v>7720007</v>
      </c>
    </row>
    <row r="5731" spans="1:10" s="3" customFormat="1">
      <c r="B5731" s="3" t="s">
        <v>2161</v>
      </c>
      <c r="C5731" s="8">
        <v>2</v>
      </c>
      <c r="D5731" s="3" t="s">
        <v>2195</v>
      </c>
      <c r="E5731" s="11" t="s">
        <v>14</v>
      </c>
      <c r="F5731" s="11"/>
      <c r="G5731" s="9"/>
      <c r="H5731" s="11"/>
      <c r="I5731" s="11"/>
      <c r="J5731" s="3" t="str">
        <f t="shared" si="414"/>
        <v>7720008</v>
      </c>
    </row>
    <row r="5732" spans="1:10" s="3" customFormat="1">
      <c r="B5732" s="3" t="s">
        <v>2161</v>
      </c>
      <c r="C5732" s="8">
        <v>2</v>
      </c>
      <c r="D5732" s="3" t="s">
        <v>2195</v>
      </c>
      <c r="E5732" s="11" t="s">
        <v>10</v>
      </c>
      <c r="F5732" s="10">
        <v>1.22E-4</v>
      </c>
      <c r="G5732" s="12">
        <f>ROUND(G$3*F5732,0)</f>
        <v>35</v>
      </c>
      <c r="H5732" s="13">
        <f>ROUND(G5732/2,0)</f>
        <v>18</v>
      </c>
      <c r="I5732" s="12">
        <f>G5732-H5732</f>
        <v>17</v>
      </c>
      <c r="J5732" s="3" t="str">
        <f t="shared" si="414"/>
        <v>7720008</v>
      </c>
    </row>
    <row r="5733" spans="1:10" s="3" customFormat="1">
      <c r="B5733" s="3" t="s">
        <v>2161</v>
      </c>
      <c r="C5733" s="8">
        <v>2</v>
      </c>
      <c r="D5733" s="3" t="s">
        <v>2195</v>
      </c>
      <c r="E5733" s="11" t="s">
        <v>11</v>
      </c>
      <c r="F5733" s="10">
        <v>2.0000000000000002E-5</v>
      </c>
      <c r="G5733" s="12">
        <f>ROUND(G$3*F5733,0)</f>
        <v>6</v>
      </c>
      <c r="H5733" s="13">
        <f>ROUND(G5733/2,0)</f>
        <v>3</v>
      </c>
      <c r="I5733" s="12">
        <f>G5733-H5733</f>
        <v>3</v>
      </c>
      <c r="J5733" s="3" t="str">
        <f t="shared" si="414"/>
        <v>7720008</v>
      </c>
    </row>
    <row r="5734" spans="1:10" s="3" customFormat="1">
      <c r="B5734" s="3" t="s">
        <v>2161</v>
      </c>
      <c r="C5734" s="8">
        <v>2</v>
      </c>
      <c r="D5734" s="3" t="s">
        <v>2196</v>
      </c>
      <c r="E5734" s="11" t="s">
        <v>1642</v>
      </c>
      <c r="F5734" s="11"/>
      <c r="G5734" s="9"/>
      <c r="H5734" s="11"/>
      <c r="I5734" s="11"/>
      <c r="J5734" s="3" t="str">
        <f t="shared" si="414"/>
        <v>7720009</v>
      </c>
    </row>
    <row r="5735" spans="1:10" s="3" customFormat="1">
      <c r="B5735" s="3" t="s">
        <v>2161</v>
      </c>
      <c r="C5735" s="8">
        <v>2</v>
      </c>
      <c r="D5735" s="3" t="s">
        <v>2196</v>
      </c>
      <c r="E5735" s="11" t="s">
        <v>10</v>
      </c>
      <c r="F5735" s="10">
        <v>4.0000000000000001E-3</v>
      </c>
      <c r="G5735" s="12">
        <f t="shared" ref="G5735:G5744" si="415">ROUND(G$3*F5735,0)</f>
        <v>1151</v>
      </c>
      <c r="H5735" s="13">
        <f t="shared" ref="H5735:H5744" si="416">ROUND(G5735/2,0)</f>
        <v>576</v>
      </c>
      <c r="I5735" s="12">
        <f t="shared" ref="I5735:I5744" si="417">G5735-H5735</f>
        <v>575</v>
      </c>
      <c r="J5735" s="3" t="str">
        <f t="shared" si="414"/>
        <v>7720009</v>
      </c>
    </row>
    <row r="5736" spans="1:10" s="3" customFormat="1">
      <c r="B5736" s="3" t="s">
        <v>2161</v>
      </c>
      <c r="C5736" s="8">
        <v>2</v>
      </c>
      <c r="D5736" s="3" t="s">
        <v>2196</v>
      </c>
      <c r="E5736" s="11" t="s">
        <v>11</v>
      </c>
      <c r="F5736" s="10">
        <v>1.3519999999999999E-3</v>
      </c>
      <c r="G5736" s="12">
        <f t="shared" si="415"/>
        <v>389</v>
      </c>
      <c r="H5736" s="13">
        <f t="shared" si="416"/>
        <v>195</v>
      </c>
      <c r="I5736" s="12">
        <f t="shared" si="417"/>
        <v>194</v>
      </c>
      <c r="J5736" s="3" t="str">
        <f t="shared" si="414"/>
        <v>7720009</v>
      </c>
    </row>
    <row r="5737" spans="1:10" s="3" customFormat="1">
      <c r="B5737" s="3" t="s">
        <v>2161</v>
      </c>
      <c r="C5737" s="8">
        <v>3</v>
      </c>
      <c r="D5737" s="3" t="s">
        <v>3029</v>
      </c>
      <c r="E5737" s="11" t="s">
        <v>1643</v>
      </c>
      <c r="F5737" s="10">
        <v>6.02E-4</v>
      </c>
      <c r="G5737" s="12">
        <f t="shared" si="415"/>
        <v>173</v>
      </c>
      <c r="H5737" s="13">
        <f t="shared" si="416"/>
        <v>87</v>
      </c>
      <c r="I5737" s="12">
        <f t="shared" si="417"/>
        <v>86</v>
      </c>
      <c r="J5737" s="3" t="str">
        <f t="shared" si="414"/>
        <v>7730882</v>
      </c>
    </row>
    <row r="5738" spans="1:10" s="3" customFormat="1">
      <c r="A5738" s="3" t="s">
        <v>6269</v>
      </c>
      <c r="B5738" s="3" t="s">
        <v>2161</v>
      </c>
      <c r="C5738" s="8">
        <v>3</v>
      </c>
      <c r="D5738" s="3" t="s">
        <v>3030</v>
      </c>
      <c r="E5738" s="11" t="s">
        <v>1644</v>
      </c>
      <c r="F5738" s="10">
        <v>0</v>
      </c>
      <c r="G5738" s="12">
        <f t="shared" si="415"/>
        <v>0</v>
      </c>
      <c r="H5738" s="13">
        <f t="shared" si="416"/>
        <v>0</v>
      </c>
      <c r="I5738" s="12">
        <f t="shared" si="417"/>
        <v>0</v>
      </c>
      <c r="J5738" s="3" t="str">
        <f t="shared" si="414"/>
        <v>7730883</v>
      </c>
    </row>
    <row r="5739" spans="1:10" s="3" customFormat="1">
      <c r="B5739" s="3" t="s">
        <v>2161</v>
      </c>
      <c r="C5739" s="8">
        <v>3</v>
      </c>
      <c r="D5739" s="3" t="s">
        <v>3031</v>
      </c>
      <c r="E5739" s="11" t="s">
        <v>1645</v>
      </c>
      <c r="F5739" s="10">
        <v>6.6490000000000004E-3</v>
      </c>
      <c r="G5739" s="12">
        <f t="shared" si="415"/>
        <v>1913</v>
      </c>
      <c r="H5739" s="13">
        <f t="shared" si="416"/>
        <v>957</v>
      </c>
      <c r="I5739" s="12">
        <f t="shared" si="417"/>
        <v>956</v>
      </c>
      <c r="J5739" s="3" t="str">
        <f t="shared" si="414"/>
        <v>7730884</v>
      </c>
    </row>
    <row r="5740" spans="1:10" s="3" customFormat="1">
      <c r="B5740" s="3" t="s">
        <v>2161</v>
      </c>
      <c r="C5740" s="8">
        <v>3</v>
      </c>
      <c r="D5740" s="3" t="s">
        <v>3032</v>
      </c>
      <c r="E5740" s="11" t="s">
        <v>1646</v>
      </c>
      <c r="F5740" s="10">
        <v>1.9589999999999998E-3</v>
      </c>
      <c r="G5740" s="12">
        <f t="shared" si="415"/>
        <v>564</v>
      </c>
      <c r="H5740" s="13">
        <f t="shared" si="416"/>
        <v>282</v>
      </c>
      <c r="I5740" s="12">
        <f t="shared" si="417"/>
        <v>282</v>
      </c>
      <c r="J5740" s="3" t="str">
        <f t="shared" si="414"/>
        <v>7730885</v>
      </c>
    </row>
    <row r="5741" spans="1:10" s="3" customFormat="1">
      <c r="B5741" s="3" t="s">
        <v>2161</v>
      </c>
      <c r="C5741" s="8">
        <v>3</v>
      </c>
      <c r="D5741" s="3" t="s">
        <v>3033</v>
      </c>
      <c r="E5741" s="11" t="s">
        <v>1647</v>
      </c>
      <c r="F5741" s="10">
        <v>1.72E-3</v>
      </c>
      <c r="G5741" s="12">
        <f t="shared" si="415"/>
        <v>495</v>
      </c>
      <c r="H5741" s="13">
        <f t="shared" si="416"/>
        <v>248</v>
      </c>
      <c r="I5741" s="12">
        <f t="shared" si="417"/>
        <v>247</v>
      </c>
      <c r="J5741" s="3" t="str">
        <f t="shared" si="414"/>
        <v>7730886</v>
      </c>
    </row>
    <row r="5742" spans="1:10" s="3" customFormat="1">
      <c r="B5742" s="3" t="s">
        <v>2161</v>
      </c>
      <c r="C5742" s="8">
        <v>3</v>
      </c>
      <c r="D5742" s="3" t="s">
        <v>3034</v>
      </c>
      <c r="E5742" s="11" t="s">
        <v>1648</v>
      </c>
      <c r="F5742" s="10">
        <v>1.0562999999999999E-2</v>
      </c>
      <c r="G5742" s="12">
        <f t="shared" si="415"/>
        <v>3039</v>
      </c>
      <c r="H5742" s="13">
        <f t="shared" si="416"/>
        <v>1520</v>
      </c>
      <c r="I5742" s="12">
        <f t="shared" si="417"/>
        <v>1519</v>
      </c>
      <c r="J5742" s="3" t="str">
        <f t="shared" si="414"/>
        <v>7730887</v>
      </c>
    </row>
    <row r="5743" spans="1:10" s="3" customFormat="1">
      <c r="B5743" s="3" t="s">
        <v>2161</v>
      </c>
      <c r="C5743" s="8">
        <v>3</v>
      </c>
      <c r="D5743" s="3" t="s">
        <v>3028</v>
      </c>
      <c r="E5743" s="11" t="s">
        <v>1649</v>
      </c>
      <c r="F5743" s="10">
        <v>1.6782999999999999E-2</v>
      </c>
      <c r="G5743" s="12">
        <f t="shared" si="415"/>
        <v>4829</v>
      </c>
      <c r="H5743" s="13">
        <f t="shared" si="416"/>
        <v>2415</v>
      </c>
      <c r="I5743" s="12">
        <f t="shared" si="417"/>
        <v>2414</v>
      </c>
      <c r="J5743" s="3" t="str">
        <f t="shared" si="414"/>
        <v>7730438</v>
      </c>
    </row>
    <row r="5744" spans="1:10" s="3" customFormat="1">
      <c r="B5744" s="3" t="s">
        <v>2161</v>
      </c>
      <c r="C5744" s="8">
        <v>4</v>
      </c>
      <c r="D5744" s="3" t="s">
        <v>3035</v>
      </c>
      <c r="E5744" s="11" t="s">
        <v>1650</v>
      </c>
      <c r="F5744" s="10">
        <v>0.240096</v>
      </c>
      <c r="G5744" s="9">
        <f t="shared" si="415"/>
        <v>69081</v>
      </c>
      <c r="H5744" s="11">
        <f t="shared" si="416"/>
        <v>34541</v>
      </c>
      <c r="I5744" s="9">
        <f t="shared" si="417"/>
        <v>34540</v>
      </c>
      <c r="J5744" s="3" t="str">
        <f t="shared" si="414"/>
        <v>7747645</v>
      </c>
    </row>
    <row r="5745" spans="1:10" s="3" customFormat="1">
      <c r="B5745" s="3" t="s">
        <v>2161</v>
      </c>
      <c r="C5745" s="8">
        <v>4</v>
      </c>
      <c r="D5745" s="3" t="s">
        <v>3035</v>
      </c>
      <c r="E5745" s="11" t="s">
        <v>28</v>
      </c>
      <c r="F5745" s="11"/>
      <c r="G5745" s="14">
        <v>0.41499799999999998</v>
      </c>
      <c r="H5745" s="11"/>
      <c r="I5745" s="11"/>
      <c r="J5745" s="3" t="str">
        <f t="shared" si="414"/>
        <v>7747645</v>
      </c>
    </row>
    <row r="5746" spans="1:10" s="3" customFormat="1">
      <c r="B5746" s="3" t="s">
        <v>2161</v>
      </c>
      <c r="C5746" s="8">
        <v>4</v>
      </c>
      <c r="D5746" s="3" t="s">
        <v>3035</v>
      </c>
      <c r="E5746" s="11" t="s">
        <v>29</v>
      </c>
      <c r="F5746" s="11"/>
      <c r="G5746" s="15">
        <f>ROUND(G5744*G5745,0)</f>
        <v>28668</v>
      </c>
      <c r="H5746" s="16">
        <f>ROUND(G5746/2,0)</f>
        <v>14334</v>
      </c>
      <c r="I5746" s="15">
        <f>G5746-H5746</f>
        <v>14334</v>
      </c>
      <c r="J5746" s="3" t="str">
        <f t="shared" si="414"/>
        <v>7747645</v>
      </c>
    </row>
    <row r="5747" spans="1:10" s="3" customFormat="1">
      <c r="B5747" s="3" t="s">
        <v>2161</v>
      </c>
      <c r="C5747" s="8">
        <v>4</v>
      </c>
      <c r="D5747" s="3" t="s">
        <v>3035</v>
      </c>
      <c r="E5747" s="11" t="s">
        <v>30</v>
      </c>
      <c r="F5747" s="11"/>
      <c r="G5747" s="12">
        <f>+G5744-G5746</f>
        <v>40413</v>
      </c>
      <c r="H5747" s="13">
        <f>ROUND(G5747/2,0)</f>
        <v>20207</v>
      </c>
      <c r="I5747" s="12">
        <f>G5747-H5747</f>
        <v>20206</v>
      </c>
      <c r="J5747" s="3" t="str">
        <f t="shared" si="414"/>
        <v>7747645</v>
      </c>
    </row>
    <row r="5748" spans="1:10" s="3" customFormat="1">
      <c r="B5748" s="3" t="s">
        <v>2161</v>
      </c>
      <c r="C5748" s="8">
        <v>4</v>
      </c>
      <c r="D5748" s="3" t="s">
        <v>3036</v>
      </c>
      <c r="E5748" s="11" t="s">
        <v>1651</v>
      </c>
      <c r="F5748" s="10">
        <v>0.42809799999999998</v>
      </c>
      <c r="G5748" s="9">
        <f>ROUND(G$3*F5748,0)</f>
        <v>123174</v>
      </c>
      <c r="H5748" s="11">
        <f>ROUND(G5748/2,0)</f>
        <v>61587</v>
      </c>
      <c r="I5748" s="9">
        <f>G5748-H5748</f>
        <v>61587</v>
      </c>
      <c r="J5748" s="3" t="str">
        <f t="shared" si="414"/>
        <v>7747715</v>
      </c>
    </row>
    <row r="5749" spans="1:10" s="3" customFormat="1">
      <c r="B5749" s="3" t="s">
        <v>2161</v>
      </c>
      <c r="C5749" s="8">
        <v>4</v>
      </c>
      <c r="D5749" s="3" t="s">
        <v>3036</v>
      </c>
      <c r="E5749" s="11" t="s">
        <v>28</v>
      </c>
      <c r="F5749" s="11"/>
      <c r="G5749" s="14">
        <v>0.40147300000000002</v>
      </c>
      <c r="H5749" s="11"/>
      <c r="I5749" s="11"/>
      <c r="J5749" s="3" t="str">
        <f t="shared" si="414"/>
        <v>7747715</v>
      </c>
    </row>
    <row r="5750" spans="1:10" s="3" customFormat="1">
      <c r="B5750" s="3" t="s">
        <v>2161</v>
      </c>
      <c r="C5750" s="8">
        <v>4</v>
      </c>
      <c r="D5750" s="3" t="s">
        <v>3036</v>
      </c>
      <c r="E5750" s="11" t="s">
        <v>29</v>
      </c>
      <c r="F5750" s="11"/>
      <c r="G5750" s="15">
        <f>ROUND(G5748*G5749,0)</f>
        <v>49451</v>
      </c>
      <c r="H5750" s="16">
        <f>ROUND(G5750/2,0)</f>
        <v>24726</v>
      </c>
      <c r="I5750" s="15">
        <f>G5750-H5750</f>
        <v>24725</v>
      </c>
      <c r="J5750" s="3" t="str">
        <f t="shared" si="414"/>
        <v>7747715</v>
      </c>
    </row>
    <row r="5751" spans="1:10" s="3" customFormat="1">
      <c r="B5751" s="3" t="s">
        <v>2161</v>
      </c>
      <c r="C5751" s="8">
        <v>4</v>
      </c>
      <c r="D5751" s="3" t="s">
        <v>3036</v>
      </c>
      <c r="E5751" s="11" t="s">
        <v>30</v>
      </c>
      <c r="F5751" s="11"/>
      <c r="G5751" s="12">
        <f>+G5748-G5750</f>
        <v>73723</v>
      </c>
      <c r="H5751" s="13">
        <f>ROUND(G5751/2,0)</f>
        <v>36862</v>
      </c>
      <c r="I5751" s="12">
        <f>G5751-H5751</f>
        <v>36861</v>
      </c>
      <c r="J5751" s="3" t="str">
        <f t="shared" si="414"/>
        <v>7747715</v>
      </c>
    </row>
    <row r="5752" spans="1:10" s="3" customFormat="1">
      <c r="B5752" s="3" t="s">
        <v>2161</v>
      </c>
      <c r="C5752" s="8">
        <v>5</v>
      </c>
      <c r="D5752" s="3" t="s">
        <v>5827</v>
      </c>
      <c r="E5752" s="11" t="s">
        <v>1652</v>
      </c>
      <c r="F5752" s="10">
        <v>3.5407000000000001E-2</v>
      </c>
      <c r="G5752" s="120">
        <f>+G5704-SUM(G5705:G5706)-SUM(G5711:G5744)-G5748</f>
        <v>-98930</v>
      </c>
      <c r="H5752" s="120">
        <f>ROUND(G5752/2,0)</f>
        <v>-49465</v>
      </c>
      <c r="I5752" s="120">
        <f>G5752-H5752</f>
        <v>-49465</v>
      </c>
      <c r="J5752" s="3" t="str">
        <f t="shared" si="414"/>
        <v>7750217</v>
      </c>
    </row>
    <row r="5753" spans="1:10" s="3" customFormat="1">
      <c r="A5753" s="3" t="s">
        <v>6269</v>
      </c>
      <c r="B5753" s="3" t="s">
        <v>2161</v>
      </c>
      <c r="C5753" s="8">
        <v>6</v>
      </c>
      <c r="D5753" s="3" t="s">
        <v>6267</v>
      </c>
      <c r="E5753" s="11" t="s">
        <v>1653</v>
      </c>
      <c r="F5753" s="10">
        <v>0</v>
      </c>
      <c r="G5753" s="120">
        <f>ROUND(G$3*F5753,0)</f>
        <v>0</v>
      </c>
      <c r="H5753" s="120">
        <f>ROUND(G5753/2,0)</f>
        <v>0</v>
      </c>
      <c r="I5753" s="120">
        <f>G5753-H5753</f>
        <v>0</v>
      </c>
      <c r="J5753" s="3" t="str">
        <f t="shared" si="414"/>
        <v>776XXXX</v>
      </c>
    </row>
    <row r="5754" spans="1:10" s="3" customFormat="1">
      <c r="B5754" s="3" t="s">
        <v>2161</v>
      </c>
      <c r="C5754" s="8">
        <v>0</v>
      </c>
      <c r="D5754" s="125" t="s">
        <v>2187</v>
      </c>
      <c r="E5754" s="28" t="s">
        <v>288</v>
      </c>
      <c r="F5754" s="10">
        <v>1</v>
      </c>
      <c r="G5754" s="12">
        <f>+G5705+SUM(G5708:G5743)+SUM(G5746:G5747)+SUM(G5750:G5753)</f>
        <v>178606</v>
      </c>
      <c r="H5754" s="12">
        <f>+H5705+SUM(H5708:H5743)+SUM(H5746:H5747)+SUM(H5750:H5753)</f>
        <v>89314</v>
      </c>
      <c r="I5754" s="12">
        <f>+I5705+SUM(I5708:I5743)+SUM(I5746:I5747)+SUM(I5750:I5753)</f>
        <v>89292</v>
      </c>
      <c r="J5754" s="3" t="str">
        <f t="shared" si="414"/>
        <v>7700000</v>
      </c>
    </row>
    <row r="5755" spans="1:10" s="3" customFormat="1">
      <c r="B5755" s="3" t="s">
        <v>2161</v>
      </c>
      <c r="C5755" s="8">
        <v>0</v>
      </c>
      <c r="D5755" s="3" t="s">
        <v>2187</v>
      </c>
      <c r="E5755" s="18" t="s">
        <v>38</v>
      </c>
      <c r="G5755" s="19">
        <f>+G5705</f>
        <v>311</v>
      </c>
      <c r="H5755" s="19">
        <f>+H5705</f>
        <v>156</v>
      </c>
      <c r="I5755" s="19">
        <f>+I5705</f>
        <v>155</v>
      </c>
      <c r="J5755" s="3" t="str">
        <f t="shared" si="414"/>
        <v>7700000</v>
      </c>
    </row>
    <row r="5756" spans="1:10" s="3" customFormat="1">
      <c r="B5756" s="3" t="s">
        <v>2161</v>
      </c>
      <c r="C5756" s="8">
        <v>0</v>
      </c>
      <c r="D5756" s="3" t="s">
        <v>2187</v>
      </c>
      <c r="E5756" s="2" t="s">
        <v>39</v>
      </c>
      <c r="G5756" s="19">
        <f>+G5708</f>
        <v>9471</v>
      </c>
      <c r="H5756" s="19">
        <f>+H5708</f>
        <v>4736</v>
      </c>
      <c r="I5756" s="19">
        <f>+I5708</f>
        <v>4735</v>
      </c>
      <c r="J5756" s="3" t="str">
        <f t="shared" si="414"/>
        <v>7700000</v>
      </c>
    </row>
    <row r="5757" spans="1:10" s="3" customFormat="1">
      <c r="B5757" s="3" t="s">
        <v>2161</v>
      </c>
      <c r="C5757" s="8">
        <v>0</v>
      </c>
      <c r="D5757" s="3" t="s">
        <v>2187</v>
      </c>
      <c r="E5757" s="2" t="s">
        <v>40</v>
      </c>
      <c r="G5757" s="19">
        <f>+G5746+G5750</f>
        <v>78119</v>
      </c>
      <c r="H5757" s="19">
        <f>+H5746+H5750</f>
        <v>39060</v>
      </c>
      <c r="I5757" s="19">
        <f>+I5746+I5750</f>
        <v>39059</v>
      </c>
      <c r="J5757" s="3" t="str">
        <f t="shared" si="414"/>
        <v>7700000</v>
      </c>
    </row>
    <row r="5758" spans="1:10" s="3" customFormat="1">
      <c r="B5758" s="3" t="s">
        <v>2161</v>
      </c>
      <c r="C5758" s="8">
        <v>0</v>
      </c>
      <c r="D5758" s="125" t="s">
        <v>2187</v>
      </c>
      <c r="E5758" s="18" t="s">
        <v>41</v>
      </c>
      <c r="G5758" s="19">
        <f>+G5754-G5755-G5756-G5757</f>
        <v>90705</v>
      </c>
      <c r="H5758" s="19">
        <f>+H5754-H5755-H5756-H5757</f>
        <v>45362</v>
      </c>
      <c r="I5758" s="19">
        <f>+I5754-I5755-I5756-I5757</f>
        <v>45343</v>
      </c>
      <c r="J5758" s="3" t="str">
        <f t="shared" si="414"/>
        <v>7700000</v>
      </c>
    </row>
    <row r="5759" spans="1:10" ht="15.75">
      <c r="B5759" s="3" t="s">
        <v>2186</v>
      </c>
      <c r="D5759" t="s">
        <v>2186</v>
      </c>
      <c r="E5759">
        <v>0</v>
      </c>
      <c r="G5759"/>
      <c r="H5759"/>
      <c r="I5759"/>
      <c r="J5759" s="3" t="str">
        <f t="shared" si="414"/>
        <v/>
      </c>
    </row>
    <row r="5760" spans="1:10" s="3" customFormat="1">
      <c r="C5760" s="1"/>
      <c r="D5760" s="3" t="s">
        <v>2186</v>
      </c>
      <c r="E5760" s="2" t="s">
        <v>1654</v>
      </c>
      <c r="J5760" s="3" t="str">
        <f t="shared" si="414"/>
        <v/>
      </c>
    </row>
    <row r="5761" spans="1:10" s="3" customFormat="1" ht="45">
      <c r="B5761" s="3" t="s">
        <v>2186</v>
      </c>
      <c r="C5761" s="1"/>
      <c r="D5761" s="3" t="s">
        <v>2186</v>
      </c>
      <c r="E5761" s="1">
        <v>0</v>
      </c>
      <c r="F5761" s="6" t="s">
        <v>1</v>
      </c>
      <c r="G5761" s="60">
        <f>'Allocation Worksheet'!H5761</f>
        <v>0</v>
      </c>
      <c r="H5761" s="60">
        <f>'Allocation Worksheet'!H5762</f>
        <v>0</v>
      </c>
      <c r="I5761" s="60">
        <f>'Allocation Worksheet'!H5763</f>
        <v>0</v>
      </c>
      <c r="J5761" s="3" t="str">
        <f t="shared" si="414"/>
        <v/>
      </c>
    </row>
    <row r="5762" spans="1:10" s="3" customFormat="1">
      <c r="C5762" s="7" t="s">
        <v>2087</v>
      </c>
      <c r="D5762" s="3" t="s">
        <v>2186</v>
      </c>
      <c r="E5762" s="7" t="s">
        <v>3</v>
      </c>
      <c r="F5762" s="10"/>
      <c r="G5762" s="9">
        <f>'Allocation Worksheet'!$D$81</f>
        <v>11712</v>
      </c>
      <c r="H5762" s="11"/>
      <c r="I5762" s="11"/>
      <c r="J5762" s="3" t="str">
        <f t="shared" si="414"/>
        <v>UT</v>
      </c>
    </row>
    <row r="5763" spans="1:10" s="3" customFormat="1">
      <c r="B5763" s="3" t="s">
        <v>2162</v>
      </c>
      <c r="C5763" s="8">
        <v>0</v>
      </c>
      <c r="D5763" s="3" t="s">
        <v>2187</v>
      </c>
      <c r="E5763" s="11" t="s">
        <v>4</v>
      </c>
      <c r="F5763" s="10">
        <v>1.3240000000000001E-3</v>
      </c>
      <c r="G5763" s="12">
        <f>ROUND(G$3*F5763,0)</f>
        <v>381</v>
      </c>
      <c r="H5763" s="13">
        <f>ROUND(G5763/2,0)</f>
        <v>191</v>
      </c>
      <c r="I5763" s="12">
        <f>G5763-H5763</f>
        <v>190</v>
      </c>
      <c r="J5763" s="3" t="str">
        <f t="shared" si="414"/>
        <v>7800000</v>
      </c>
    </row>
    <row r="5764" spans="1:10" s="3" customFormat="1">
      <c r="B5764" s="3" t="s">
        <v>2162</v>
      </c>
      <c r="C5764" s="8">
        <v>1</v>
      </c>
      <c r="D5764" s="3" t="s">
        <v>2187</v>
      </c>
      <c r="E5764" s="11" t="s">
        <v>1655</v>
      </c>
      <c r="F5764" s="10">
        <v>0.30919600000000003</v>
      </c>
      <c r="G5764" s="9">
        <f>ROUND(G$3*F5764,0)</f>
        <v>88963</v>
      </c>
      <c r="H5764" s="11">
        <f>ROUND(G5764/2,0)</f>
        <v>44482</v>
      </c>
      <c r="I5764" s="9">
        <f>G5764-H5764</f>
        <v>44481</v>
      </c>
      <c r="J5764" s="3" t="str">
        <f t="shared" ref="J5764:J5827" si="418">B5764&amp;C5764&amp;D5764</f>
        <v>7810000</v>
      </c>
    </row>
    <row r="5765" spans="1:10" s="3" customFormat="1">
      <c r="B5765" s="3" t="s">
        <v>2162</v>
      </c>
      <c r="C5765" s="8">
        <v>1</v>
      </c>
      <c r="D5765" s="3" t="s">
        <v>2187</v>
      </c>
      <c r="E5765" s="11" t="s">
        <v>6</v>
      </c>
      <c r="F5765" s="11"/>
      <c r="G5765" s="14">
        <v>0.12692100000000001</v>
      </c>
      <c r="H5765" s="11"/>
      <c r="I5765" s="11"/>
      <c r="J5765" s="3" t="str">
        <f t="shared" si="418"/>
        <v>7810000</v>
      </c>
    </row>
    <row r="5766" spans="1:10" s="3" customFormat="1">
      <c r="B5766" s="3" t="s">
        <v>2162</v>
      </c>
      <c r="C5766" s="8">
        <v>1</v>
      </c>
      <c r="D5766" s="3" t="s">
        <v>2187</v>
      </c>
      <c r="E5766" s="11" t="s">
        <v>7</v>
      </c>
      <c r="F5766" s="11"/>
      <c r="G5766" s="15">
        <f>ROUND(G5764*G5765,0)</f>
        <v>11291</v>
      </c>
      <c r="H5766" s="16">
        <f>ROUND(G5766/2,0)</f>
        <v>5646</v>
      </c>
      <c r="I5766" s="15">
        <f>G5766-H5766</f>
        <v>5645</v>
      </c>
      <c r="J5766" s="3" t="str">
        <f t="shared" si="418"/>
        <v>7810000</v>
      </c>
    </row>
    <row r="5767" spans="1:10" s="3" customFormat="1">
      <c r="B5767" s="3" t="s">
        <v>2162</v>
      </c>
      <c r="C5767" s="8">
        <v>1</v>
      </c>
      <c r="D5767" s="3" t="s">
        <v>2187</v>
      </c>
      <c r="E5767" s="11" t="s">
        <v>8</v>
      </c>
      <c r="F5767" s="11"/>
      <c r="G5767" s="12">
        <f>+G5764-G5766</f>
        <v>77672</v>
      </c>
      <c r="H5767" s="13">
        <f>ROUND(G5767/2,0)</f>
        <v>38836</v>
      </c>
      <c r="I5767" s="12">
        <f>G5767-H5767</f>
        <v>38836</v>
      </c>
      <c r="J5767" s="3" t="str">
        <f t="shared" si="418"/>
        <v>7810000</v>
      </c>
    </row>
    <row r="5768" spans="1:10" s="3" customFormat="1">
      <c r="B5768" s="3" t="s">
        <v>2162</v>
      </c>
      <c r="C5768" s="8">
        <v>2</v>
      </c>
      <c r="D5768" s="3" t="s">
        <v>2188</v>
      </c>
      <c r="E5768" s="11" t="s">
        <v>1656</v>
      </c>
      <c r="F5768" s="11"/>
      <c r="G5768" s="9"/>
      <c r="H5768" s="11"/>
      <c r="I5768" s="11"/>
      <c r="J5768" s="3" t="str">
        <f t="shared" si="418"/>
        <v>7820001</v>
      </c>
    </row>
    <row r="5769" spans="1:10" s="3" customFormat="1">
      <c r="B5769" s="3" t="s">
        <v>2162</v>
      </c>
      <c r="C5769" s="8">
        <v>2</v>
      </c>
      <c r="D5769" s="3" t="s">
        <v>2188</v>
      </c>
      <c r="E5769" s="11" t="s">
        <v>10</v>
      </c>
      <c r="F5769" s="10">
        <v>1.635E-3</v>
      </c>
      <c r="G5769" s="12">
        <f>ROUND(G$3*F5769,0)</f>
        <v>470</v>
      </c>
      <c r="H5769" s="13">
        <f>ROUND(G5769/2,0)</f>
        <v>235</v>
      </c>
      <c r="I5769" s="12">
        <f>G5769-H5769</f>
        <v>235</v>
      </c>
      <c r="J5769" s="3" t="str">
        <f t="shared" si="418"/>
        <v>7820001</v>
      </c>
    </row>
    <row r="5770" spans="1:10" s="3" customFormat="1">
      <c r="B5770" s="3" t="s">
        <v>2162</v>
      </c>
      <c r="C5770" s="8">
        <v>2</v>
      </c>
      <c r="D5770" s="3" t="s">
        <v>2188</v>
      </c>
      <c r="E5770" s="11" t="s">
        <v>11</v>
      </c>
      <c r="F5770" s="10">
        <v>5.4500000000000002E-4</v>
      </c>
      <c r="G5770" s="12">
        <f>ROUND(G$3*F5770,0)</f>
        <v>157</v>
      </c>
      <c r="H5770" s="13">
        <f>ROUND(G5770/2,0)</f>
        <v>79</v>
      </c>
      <c r="I5770" s="12">
        <f>G5770-H5770</f>
        <v>78</v>
      </c>
      <c r="J5770" s="3" t="str">
        <f t="shared" si="418"/>
        <v>7820001</v>
      </c>
    </row>
    <row r="5771" spans="1:10" s="3" customFormat="1">
      <c r="B5771" s="3" t="s">
        <v>2162</v>
      </c>
      <c r="C5771" s="8">
        <v>2</v>
      </c>
      <c r="D5771" s="3" t="s">
        <v>2189</v>
      </c>
      <c r="E5771" s="11" t="s">
        <v>1657</v>
      </c>
      <c r="F5771" s="11"/>
      <c r="G5771" s="9"/>
      <c r="H5771" s="11"/>
      <c r="I5771" s="11"/>
      <c r="J5771" s="3" t="str">
        <f t="shared" si="418"/>
        <v>7820002</v>
      </c>
    </row>
    <row r="5772" spans="1:10" s="3" customFormat="1">
      <c r="A5772" s="3" t="s">
        <v>6269</v>
      </c>
      <c r="B5772" s="3" t="s">
        <v>2162</v>
      </c>
      <c r="C5772" s="8">
        <v>2</v>
      </c>
      <c r="D5772" s="3" t="s">
        <v>2189</v>
      </c>
      <c r="E5772" s="11" t="s">
        <v>10</v>
      </c>
      <c r="F5772" s="10">
        <v>0</v>
      </c>
      <c r="G5772" s="12">
        <f>ROUND(G$3*F5772,0)</f>
        <v>0</v>
      </c>
      <c r="H5772" s="13">
        <f>ROUND(G5772/2,0)</f>
        <v>0</v>
      </c>
      <c r="I5772" s="12">
        <f>G5772-H5772</f>
        <v>0</v>
      </c>
      <c r="J5772" s="3" t="str">
        <f t="shared" si="418"/>
        <v>7820002</v>
      </c>
    </row>
    <row r="5773" spans="1:10" s="3" customFormat="1">
      <c r="A5773" s="3" t="s">
        <v>6269</v>
      </c>
      <c r="B5773" s="3" t="s">
        <v>2162</v>
      </c>
      <c r="C5773" s="8">
        <v>2</v>
      </c>
      <c r="D5773" s="3" t="s">
        <v>2189</v>
      </c>
      <c r="E5773" s="11" t="s">
        <v>11</v>
      </c>
      <c r="F5773" s="10">
        <v>0</v>
      </c>
      <c r="G5773" s="12">
        <f>ROUND(G$3*F5773,0)</f>
        <v>0</v>
      </c>
      <c r="H5773" s="13">
        <f>ROUND(G5773/2,0)</f>
        <v>0</v>
      </c>
      <c r="I5773" s="12">
        <f>G5773-H5773</f>
        <v>0</v>
      </c>
      <c r="J5773" s="3" t="str">
        <f t="shared" si="418"/>
        <v>7820002</v>
      </c>
    </row>
    <row r="5774" spans="1:10" s="3" customFormat="1">
      <c r="B5774" s="3" t="s">
        <v>2162</v>
      </c>
      <c r="C5774" s="8">
        <v>2</v>
      </c>
      <c r="D5774" s="3" t="s">
        <v>2190</v>
      </c>
      <c r="E5774" s="11" t="s">
        <v>14</v>
      </c>
      <c r="F5774" s="11"/>
      <c r="G5774" s="9"/>
      <c r="H5774" s="11"/>
      <c r="I5774" s="11"/>
      <c r="J5774" s="3" t="str">
        <f t="shared" si="418"/>
        <v>7820003</v>
      </c>
    </row>
    <row r="5775" spans="1:10" s="3" customFormat="1">
      <c r="B5775" s="3" t="s">
        <v>2162</v>
      </c>
      <c r="C5775" s="8">
        <v>2</v>
      </c>
      <c r="D5775" s="3" t="s">
        <v>2190</v>
      </c>
      <c r="E5775" s="11" t="s">
        <v>10</v>
      </c>
      <c r="F5775" s="10">
        <v>5.0610000000000004E-3</v>
      </c>
      <c r="G5775" s="12">
        <f>ROUND(G$3*F5775,0)</f>
        <v>1456</v>
      </c>
      <c r="H5775" s="13">
        <f>ROUND(G5775/2,0)</f>
        <v>728</v>
      </c>
      <c r="I5775" s="12">
        <f>G5775-H5775</f>
        <v>728</v>
      </c>
      <c r="J5775" s="3" t="str">
        <f t="shared" si="418"/>
        <v>7820003</v>
      </c>
    </row>
    <row r="5776" spans="1:10" s="3" customFormat="1">
      <c r="B5776" s="3" t="s">
        <v>2162</v>
      </c>
      <c r="C5776" s="8">
        <v>2</v>
      </c>
      <c r="D5776" s="3" t="s">
        <v>2190</v>
      </c>
      <c r="E5776" s="11" t="s">
        <v>11</v>
      </c>
      <c r="F5776" s="10">
        <v>7.0100000000000002E-4</v>
      </c>
      <c r="G5776" s="12">
        <f>ROUND(G$3*F5776,0)</f>
        <v>202</v>
      </c>
      <c r="H5776" s="13">
        <f>ROUND(G5776/2,0)</f>
        <v>101</v>
      </c>
      <c r="I5776" s="12">
        <f>G5776-H5776</f>
        <v>101</v>
      </c>
      <c r="J5776" s="3" t="str">
        <f t="shared" si="418"/>
        <v>7820003</v>
      </c>
    </row>
    <row r="5777" spans="1:10" s="3" customFormat="1">
      <c r="B5777" s="3" t="s">
        <v>2162</v>
      </c>
      <c r="C5777" s="8">
        <v>2</v>
      </c>
      <c r="D5777" s="3" t="s">
        <v>2191</v>
      </c>
      <c r="E5777" s="11" t="s">
        <v>57</v>
      </c>
      <c r="F5777" s="11"/>
      <c r="G5777" s="9"/>
      <c r="H5777" s="11"/>
      <c r="I5777" s="11"/>
      <c r="J5777" s="3" t="str">
        <f t="shared" si="418"/>
        <v>7820004</v>
      </c>
    </row>
    <row r="5778" spans="1:10" s="3" customFormat="1">
      <c r="B5778" s="3" t="s">
        <v>2162</v>
      </c>
      <c r="C5778" s="8">
        <v>2</v>
      </c>
      <c r="D5778" s="3" t="s">
        <v>2191</v>
      </c>
      <c r="E5778" s="11" t="s">
        <v>10</v>
      </c>
      <c r="F5778" s="10">
        <v>4.6700000000000002E-4</v>
      </c>
      <c r="G5778" s="12">
        <f>ROUND(G$3*F5778,0)</f>
        <v>134</v>
      </c>
      <c r="H5778" s="13">
        <f>ROUND(G5778/2,0)</f>
        <v>67</v>
      </c>
      <c r="I5778" s="12">
        <f>G5778-H5778</f>
        <v>67</v>
      </c>
      <c r="J5778" s="3" t="str">
        <f t="shared" si="418"/>
        <v>7820004</v>
      </c>
    </row>
    <row r="5779" spans="1:10" s="3" customFormat="1">
      <c r="B5779" s="3" t="s">
        <v>2162</v>
      </c>
      <c r="C5779" s="8">
        <v>2</v>
      </c>
      <c r="D5779" s="3" t="s">
        <v>2191</v>
      </c>
      <c r="E5779" s="11" t="s">
        <v>11</v>
      </c>
      <c r="F5779" s="10">
        <v>1.56E-4</v>
      </c>
      <c r="G5779" s="12">
        <f>ROUND(G$3*F5779,0)</f>
        <v>45</v>
      </c>
      <c r="H5779" s="13">
        <f>ROUND(G5779/2,0)</f>
        <v>23</v>
      </c>
      <c r="I5779" s="12">
        <f>G5779-H5779</f>
        <v>22</v>
      </c>
      <c r="J5779" s="3" t="str">
        <f t="shared" si="418"/>
        <v>7820004</v>
      </c>
    </row>
    <row r="5780" spans="1:10" s="3" customFormat="1">
      <c r="B5780" s="3" t="s">
        <v>2162</v>
      </c>
      <c r="C5780" s="8">
        <v>2</v>
      </c>
      <c r="D5780" s="3" t="s">
        <v>2192</v>
      </c>
      <c r="E5780" s="11" t="s">
        <v>252</v>
      </c>
      <c r="F5780" s="11"/>
      <c r="G5780" s="9"/>
      <c r="H5780" s="11"/>
      <c r="I5780" s="11"/>
      <c r="J5780" s="3" t="str">
        <f t="shared" si="418"/>
        <v>7820005</v>
      </c>
    </row>
    <row r="5781" spans="1:10" s="3" customFormat="1">
      <c r="B5781" s="3" t="s">
        <v>2162</v>
      </c>
      <c r="C5781" s="8">
        <v>2</v>
      </c>
      <c r="D5781" s="3" t="s">
        <v>2192</v>
      </c>
      <c r="E5781" s="11" t="s">
        <v>10</v>
      </c>
      <c r="F5781" s="10">
        <v>7.4749999999999999E-3</v>
      </c>
      <c r="G5781" s="12">
        <f t="shared" ref="G5781:G5788" si="419">ROUND(G$3*F5781,0)</f>
        <v>2151</v>
      </c>
      <c r="H5781" s="13">
        <f t="shared" ref="H5781:H5788" si="420">ROUND(G5781/2,0)</f>
        <v>1076</v>
      </c>
      <c r="I5781" s="12">
        <f t="shared" ref="I5781:I5788" si="421">G5781-H5781</f>
        <v>1075</v>
      </c>
      <c r="J5781" s="3" t="str">
        <f t="shared" si="418"/>
        <v>7820005</v>
      </c>
    </row>
    <row r="5782" spans="1:10" s="3" customFormat="1">
      <c r="B5782" s="3" t="s">
        <v>2162</v>
      </c>
      <c r="C5782" s="8">
        <v>2</v>
      </c>
      <c r="D5782" s="3" t="s">
        <v>2192</v>
      </c>
      <c r="E5782" s="11" t="s">
        <v>11</v>
      </c>
      <c r="F5782" s="10">
        <v>2.8029999999999999E-3</v>
      </c>
      <c r="G5782" s="12">
        <f t="shared" si="419"/>
        <v>806</v>
      </c>
      <c r="H5782" s="13">
        <f t="shared" si="420"/>
        <v>403</v>
      </c>
      <c r="I5782" s="12">
        <f t="shared" si="421"/>
        <v>403</v>
      </c>
      <c r="J5782" s="3" t="str">
        <f t="shared" si="418"/>
        <v>7820005</v>
      </c>
    </row>
    <row r="5783" spans="1:10" s="3" customFormat="1">
      <c r="A5783" s="3" t="s">
        <v>6269</v>
      </c>
      <c r="B5783" s="3" t="s">
        <v>2162</v>
      </c>
      <c r="C5783" s="8">
        <v>2</v>
      </c>
      <c r="D5783" s="3" t="s">
        <v>2193</v>
      </c>
      <c r="E5783" s="11" t="s">
        <v>115</v>
      </c>
      <c r="F5783" s="10">
        <v>0</v>
      </c>
      <c r="G5783" s="12">
        <f t="shared" si="419"/>
        <v>0</v>
      </c>
      <c r="H5783" s="13">
        <f t="shared" si="420"/>
        <v>0</v>
      </c>
      <c r="I5783" s="12">
        <f t="shared" si="421"/>
        <v>0</v>
      </c>
      <c r="J5783" s="3" t="str">
        <f t="shared" si="418"/>
        <v>7820006</v>
      </c>
    </row>
    <row r="5784" spans="1:10" s="3" customFormat="1">
      <c r="B5784" s="3" t="s">
        <v>2162</v>
      </c>
      <c r="C5784" s="8">
        <v>2</v>
      </c>
      <c r="D5784" s="3" t="s">
        <v>2193</v>
      </c>
      <c r="E5784" s="11" t="s">
        <v>10</v>
      </c>
      <c r="F5784" s="10">
        <v>3.1100000000000002E-4</v>
      </c>
      <c r="G5784" s="12">
        <f t="shared" si="419"/>
        <v>89</v>
      </c>
      <c r="H5784" s="13">
        <f t="shared" si="420"/>
        <v>45</v>
      </c>
      <c r="I5784" s="12">
        <f t="shared" si="421"/>
        <v>44</v>
      </c>
      <c r="J5784" s="3" t="str">
        <f t="shared" si="418"/>
        <v>7820006</v>
      </c>
    </row>
    <row r="5785" spans="1:10" s="3" customFormat="1">
      <c r="B5785" s="3" t="s">
        <v>2162</v>
      </c>
      <c r="C5785" s="8">
        <v>2</v>
      </c>
      <c r="D5785" s="3" t="s">
        <v>2193</v>
      </c>
      <c r="E5785" s="11" t="s">
        <v>11</v>
      </c>
      <c r="F5785" s="10">
        <v>7.7999999999999999E-5</v>
      </c>
      <c r="G5785" s="12">
        <f t="shared" si="419"/>
        <v>22</v>
      </c>
      <c r="H5785" s="13">
        <f t="shared" si="420"/>
        <v>11</v>
      </c>
      <c r="I5785" s="12">
        <f t="shared" si="421"/>
        <v>11</v>
      </c>
      <c r="J5785" s="3" t="str">
        <f t="shared" si="418"/>
        <v>7820006</v>
      </c>
    </row>
    <row r="5786" spans="1:10" s="3" customFormat="1">
      <c r="B5786" s="3" t="s">
        <v>2162</v>
      </c>
      <c r="C5786" s="8">
        <v>3</v>
      </c>
      <c r="D5786" s="3" t="s">
        <v>3037</v>
      </c>
      <c r="E5786" s="11" t="s">
        <v>1658</v>
      </c>
      <c r="F5786" s="10">
        <v>1.4482999999999999E-2</v>
      </c>
      <c r="G5786" s="12">
        <f t="shared" si="419"/>
        <v>4167</v>
      </c>
      <c r="H5786" s="13">
        <f t="shared" si="420"/>
        <v>2084</v>
      </c>
      <c r="I5786" s="12">
        <f t="shared" si="421"/>
        <v>2083</v>
      </c>
      <c r="J5786" s="3" t="str">
        <f t="shared" si="418"/>
        <v>7830888</v>
      </c>
    </row>
    <row r="5787" spans="1:10" s="3" customFormat="1">
      <c r="B5787" s="3" t="s">
        <v>2162</v>
      </c>
      <c r="C5787" s="8">
        <v>3</v>
      </c>
      <c r="D5787" s="3" t="s">
        <v>3038</v>
      </c>
      <c r="E5787" s="11" t="s">
        <v>1659</v>
      </c>
      <c r="F5787" s="10">
        <v>5.9487999999999999E-2</v>
      </c>
      <c r="G5787" s="12">
        <f t="shared" si="419"/>
        <v>17116</v>
      </c>
      <c r="H5787" s="13">
        <f t="shared" si="420"/>
        <v>8558</v>
      </c>
      <c r="I5787" s="12">
        <f t="shared" si="421"/>
        <v>8558</v>
      </c>
      <c r="J5787" s="3" t="str">
        <f t="shared" si="418"/>
        <v>7830889</v>
      </c>
    </row>
    <row r="5788" spans="1:10" s="3" customFormat="1">
      <c r="B5788" s="3" t="s">
        <v>2162</v>
      </c>
      <c r="C5788" s="8">
        <v>4</v>
      </c>
      <c r="D5788" s="3" t="s">
        <v>3039</v>
      </c>
      <c r="E5788" s="11" t="s">
        <v>1660</v>
      </c>
      <c r="F5788" s="10">
        <v>0.57035000000000002</v>
      </c>
      <c r="G5788" s="9">
        <f t="shared" si="419"/>
        <v>164103</v>
      </c>
      <c r="H5788" s="11">
        <f t="shared" si="420"/>
        <v>82052</v>
      </c>
      <c r="I5788" s="9">
        <f t="shared" si="421"/>
        <v>82051</v>
      </c>
      <c r="J5788" s="3" t="str">
        <f t="shared" si="418"/>
        <v>7847775</v>
      </c>
    </row>
    <row r="5789" spans="1:10" s="3" customFormat="1">
      <c r="B5789" s="3" t="s">
        <v>2162</v>
      </c>
      <c r="C5789" s="8">
        <v>4</v>
      </c>
      <c r="D5789" s="3" t="s">
        <v>3039</v>
      </c>
      <c r="E5789" s="11" t="s">
        <v>28</v>
      </c>
      <c r="F5789" s="11"/>
      <c r="G5789" s="14">
        <v>0.58365699999999998</v>
      </c>
      <c r="H5789" s="11"/>
      <c r="I5789" s="11"/>
      <c r="J5789" s="3" t="str">
        <f t="shared" si="418"/>
        <v>7847775</v>
      </c>
    </row>
    <row r="5790" spans="1:10" s="3" customFormat="1">
      <c r="B5790" s="3" t="s">
        <v>2162</v>
      </c>
      <c r="C5790" s="8">
        <v>4</v>
      </c>
      <c r="D5790" s="3" t="s">
        <v>3039</v>
      </c>
      <c r="E5790" s="11" t="s">
        <v>29</v>
      </c>
      <c r="F5790" s="11"/>
      <c r="G5790" s="15">
        <f>ROUND(G5788*G5789,0)</f>
        <v>95780</v>
      </c>
      <c r="H5790" s="16">
        <f>ROUND(G5790/2,0)</f>
        <v>47890</v>
      </c>
      <c r="I5790" s="15">
        <f>G5790-H5790</f>
        <v>47890</v>
      </c>
      <c r="J5790" s="3" t="str">
        <f t="shared" si="418"/>
        <v>7847775</v>
      </c>
    </row>
    <row r="5791" spans="1:10" s="3" customFormat="1">
      <c r="B5791" s="3" t="s">
        <v>2162</v>
      </c>
      <c r="C5791" s="8">
        <v>4</v>
      </c>
      <c r="D5791" s="3" t="s">
        <v>3039</v>
      </c>
      <c r="E5791" s="11" t="s">
        <v>30</v>
      </c>
      <c r="F5791" s="11"/>
      <c r="G5791" s="12">
        <f>+G5788-G5790</f>
        <v>68323</v>
      </c>
      <c r="H5791" s="13">
        <f>ROUND(G5791/2,0)</f>
        <v>34162</v>
      </c>
      <c r="I5791" s="12">
        <f>G5791-H5791</f>
        <v>34161</v>
      </c>
      <c r="J5791" s="3" t="str">
        <f t="shared" si="418"/>
        <v>7847775</v>
      </c>
    </row>
    <row r="5792" spans="1:10" s="3" customFormat="1">
      <c r="B5792" s="3" t="s">
        <v>2162</v>
      </c>
      <c r="C5792" s="8">
        <v>5</v>
      </c>
      <c r="D5792" s="3" t="s">
        <v>5845</v>
      </c>
      <c r="E5792" s="11" t="s">
        <v>1661</v>
      </c>
      <c r="F5792" s="10">
        <v>2.1335E-2</v>
      </c>
      <c r="G5792" s="120">
        <f>ROUND(G$3*F5792,0)</f>
        <v>6139</v>
      </c>
      <c r="H5792" s="120">
        <f>ROUND(G5792/2,0)</f>
        <v>3070</v>
      </c>
      <c r="I5792" s="120">
        <f>G5792-H5792</f>
        <v>3069</v>
      </c>
      <c r="J5792" s="3" t="str">
        <f t="shared" si="418"/>
        <v>7850218</v>
      </c>
    </row>
    <row r="5793" spans="2:10" s="3" customFormat="1">
      <c r="B5793" s="3" t="s">
        <v>2162</v>
      </c>
      <c r="C5793" s="8">
        <v>6</v>
      </c>
      <c r="D5793" s="116" t="s">
        <v>3936</v>
      </c>
      <c r="E5793" s="11" t="s">
        <v>545</v>
      </c>
      <c r="F5793" s="10">
        <v>4.5919999999999295E-3</v>
      </c>
      <c r="G5793" s="120">
        <f>+G5762-SUM(G5763:G5764)-SUM(G5769:G5788)-G5792</f>
        <v>-274689</v>
      </c>
      <c r="H5793" s="120">
        <f>ROUND(G5793/2,0)</f>
        <v>-137345</v>
      </c>
      <c r="I5793" s="120">
        <f>G5793-H5793</f>
        <v>-137344</v>
      </c>
      <c r="J5793" s="3" t="str">
        <f t="shared" si="418"/>
        <v>7861006</v>
      </c>
    </row>
    <row r="5794" spans="2:10" s="3" customFormat="1">
      <c r="B5794" s="3" t="s">
        <v>2162</v>
      </c>
      <c r="C5794" s="8">
        <v>0</v>
      </c>
      <c r="D5794" s="125" t="s">
        <v>2187</v>
      </c>
      <c r="E5794" s="28" t="s">
        <v>288</v>
      </c>
      <c r="F5794" s="10">
        <v>1</v>
      </c>
      <c r="G5794" s="12">
        <f>+G5763+SUM(G5766:G5787)+SUM(G5790:G5793)</f>
        <v>11712</v>
      </c>
      <c r="H5794" s="12">
        <f>+H5763+SUM(H5766:H5787)+SUM(H5790:H5793)</f>
        <v>5860</v>
      </c>
      <c r="I5794" s="12">
        <f>+I5763+SUM(I5766:I5787)+SUM(I5790:I5793)</f>
        <v>5852</v>
      </c>
      <c r="J5794" s="3" t="str">
        <f t="shared" si="418"/>
        <v>7800000</v>
      </c>
    </row>
    <row r="5795" spans="2:10" s="3" customFormat="1">
      <c r="B5795" s="3" t="s">
        <v>2162</v>
      </c>
      <c r="C5795" s="8">
        <v>0</v>
      </c>
      <c r="D5795" s="3" t="s">
        <v>2187</v>
      </c>
      <c r="E5795" s="18" t="s">
        <v>38</v>
      </c>
      <c r="G5795" s="19">
        <f>+G5763</f>
        <v>381</v>
      </c>
      <c r="H5795" s="19">
        <f>+H5763</f>
        <v>191</v>
      </c>
      <c r="I5795" s="19">
        <f>+I5763</f>
        <v>190</v>
      </c>
      <c r="J5795" s="3" t="str">
        <f t="shared" si="418"/>
        <v>7800000</v>
      </c>
    </row>
    <row r="5796" spans="2:10" s="3" customFormat="1">
      <c r="B5796" s="3" t="s">
        <v>2162</v>
      </c>
      <c r="C5796" s="8">
        <v>0</v>
      </c>
      <c r="D5796" s="3" t="s">
        <v>2187</v>
      </c>
      <c r="E5796" s="2" t="s">
        <v>39</v>
      </c>
      <c r="G5796" s="19">
        <f>+G5766</f>
        <v>11291</v>
      </c>
      <c r="H5796" s="19">
        <f>+H5766</f>
        <v>5646</v>
      </c>
      <c r="I5796" s="19">
        <f>+I5766</f>
        <v>5645</v>
      </c>
      <c r="J5796" s="3" t="str">
        <f t="shared" si="418"/>
        <v>7800000</v>
      </c>
    </row>
    <row r="5797" spans="2:10" s="3" customFormat="1">
      <c r="B5797" s="3" t="s">
        <v>2162</v>
      </c>
      <c r="C5797" s="8">
        <v>0</v>
      </c>
      <c r="D5797" s="3" t="s">
        <v>2187</v>
      </c>
      <c r="E5797" s="2" t="s">
        <v>40</v>
      </c>
      <c r="G5797" s="19">
        <f>+G5790</f>
        <v>95780</v>
      </c>
      <c r="H5797" s="19">
        <f>+H5790</f>
        <v>47890</v>
      </c>
      <c r="I5797" s="19">
        <f>+I5790</f>
        <v>47890</v>
      </c>
      <c r="J5797" s="3" t="str">
        <f t="shared" si="418"/>
        <v>7800000</v>
      </c>
    </row>
    <row r="5798" spans="2:10" s="3" customFormat="1">
      <c r="B5798" s="3" t="s">
        <v>2162</v>
      </c>
      <c r="C5798" s="8">
        <v>0</v>
      </c>
      <c r="D5798" s="125" t="s">
        <v>2187</v>
      </c>
      <c r="E5798" s="18" t="s">
        <v>41</v>
      </c>
      <c r="G5798" s="19">
        <f>+G5794-G5795-G5796-G5797</f>
        <v>-95740</v>
      </c>
      <c r="H5798" s="19">
        <f>+H5794-H5795-H5796-H5797</f>
        <v>-47867</v>
      </c>
      <c r="I5798" s="19">
        <f>+I5794-I5795-I5796-I5797</f>
        <v>-47873</v>
      </c>
      <c r="J5798" s="3" t="str">
        <f t="shared" si="418"/>
        <v>7800000</v>
      </c>
    </row>
    <row r="5799" spans="2:10" ht="15.75">
      <c r="B5799" s="3" t="s">
        <v>2186</v>
      </c>
      <c r="D5799" t="s">
        <v>2186</v>
      </c>
      <c r="E5799">
        <v>0</v>
      </c>
      <c r="G5799"/>
      <c r="H5799"/>
      <c r="I5799"/>
      <c r="J5799" s="3" t="str">
        <f t="shared" si="418"/>
        <v/>
      </c>
    </row>
    <row r="5800" spans="2:10" s="3" customFormat="1">
      <c r="C5800" s="1"/>
      <c r="D5800" s="3" t="s">
        <v>2186</v>
      </c>
      <c r="E5800" s="2" t="s">
        <v>1662</v>
      </c>
      <c r="J5800" s="3" t="str">
        <f t="shared" si="418"/>
        <v/>
      </c>
    </row>
    <row r="5801" spans="2:10" s="3" customFormat="1" ht="45">
      <c r="B5801" s="3" t="s">
        <v>2186</v>
      </c>
      <c r="C5801" s="1"/>
      <c r="D5801" s="3" t="s">
        <v>2186</v>
      </c>
      <c r="E5801" s="1">
        <v>0</v>
      </c>
      <c r="F5801" s="6" t="s">
        <v>1</v>
      </c>
      <c r="G5801" s="60">
        <f>'Allocation Worksheet'!H5801</f>
        <v>0</v>
      </c>
      <c r="H5801" s="60">
        <f>'Allocation Worksheet'!H5802</f>
        <v>0</v>
      </c>
      <c r="I5801" s="60">
        <f>'Allocation Worksheet'!H5803</f>
        <v>0</v>
      </c>
      <c r="J5801" s="3" t="str">
        <f t="shared" si="418"/>
        <v/>
      </c>
    </row>
    <row r="5802" spans="2:10" s="3" customFormat="1">
      <c r="C5802" s="7" t="s">
        <v>2087</v>
      </c>
      <c r="D5802" s="3" t="s">
        <v>2186</v>
      </c>
      <c r="E5802" s="7" t="s">
        <v>3</v>
      </c>
      <c r="F5802" s="10"/>
      <c r="G5802" s="9">
        <f>'Allocation Worksheet'!$D$82</f>
        <v>1315248</v>
      </c>
      <c r="H5802" s="11"/>
      <c r="I5802" s="11"/>
      <c r="J5802" s="3" t="str">
        <f t="shared" si="418"/>
        <v>UT</v>
      </c>
    </row>
    <row r="5803" spans="2:10" s="3" customFormat="1">
      <c r="B5803" s="3" t="s">
        <v>2163</v>
      </c>
      <c r="C5803" s="8">
        <v>0</v>
      </c>
      <c r="D5803" s="3" t="s">
        <v>2187</v>
      </c>
      <c r="E5803" s="11" t="s">
        <v>4</v>
      </c>
      <c r="F5803" s="10">
        <v>1.2080000000000001E-3</v>
      </c>
      <c r="G5803" s="12">
        <f>ROUND(G$3*F5803,0)</f>
        <v>348</v>
      </c>
      <c r="H5803" s="13">
        <f>ROUND(G5803/2,0)</f>
        <v>174</v>
      </c>
      <c r="I5803" s="12">
        <f>G5803-H5803</f>
        <v>174</v>
      </c>
      <c r="J5803" s="3" t="str">
        <f t="shared" si="418"/>
        <v>7900000</v>
      </c>
    </row>
    <row r="5804" spans="2:10" s="3" customFormat="1">
      <c r="B5804" s="3" t="s">
        <v>2163</v>
      </c>
      <c r="C5804" s="8">
        <v>1</v>
      </c>
      <c r="D5804" s="3" t="s">
        <v>2187</v>
      </c>
      <c r="E5804" s="11" t="s">
        <v>1663</v>
      </c>
      <c r="F5804" s="10">
        <v>0.14877599999999999</v>
      </c>
      <c r="G5804" s="9">
        <f>ROUND(G$3*F5804,0)</f>
        <v>42806</v>
      </c>
      <c r="H5804" s="11">
        <f>ROUND(G5804/2,0)</f>
        <v>21403</v>
      </c>
      <c r="I5804" s="9">
        <f>G5804-H5804</f>
        <v>21403</v>
      </c>
      <c r="J5804" s="3" t="str">
        <f t="shared" si="418"/>
        <v>7910000</v>
      </c>
    </row>
    <row r="5805" spans="2:10" s="3" customFormat="1">
      <c r="B5805" s="3" t="s">
        <v>2163</v>
      </c>
      <c r="C5805" s="8">
        <v>1</v>
      </c>
      <c r="D5805" s="3" t="s">
        <v>2187</v>
      </c>
      <c r="E5805" s="11" t="s">
        <v>6</v>
      </c>
      <c r="F5805" s="11"/>
      <c r="G5805" s="14">
        <v>0.28932400000000003</v>
      </c>
      <c r="H5805" s="11"/>
      <c r="I5805" s="11"/>
      <c r="J5805" s="3" t="str">
        <f t="shared" si="418"/>
        <v>7910000</v>
      </c>
    </row>
    <row r="5806" spans="2:10" s="3" customFormat="1">
      <c r="B5806" s="3" t="s">
        <v>2163</v>
      </c>
      <c r="C5806" s="8">
        <v>1</v>
      </c>
      <c r="D5806" s="3" t="s">
        <v>2187</v>
      </c>
      <c r="E5806" s="11" t="s">
        <v>7</v>
      </c>
      <c r="F5806" s="11"/>
      <c r="G5806" s="15">
        <f>ROUND(G5804*G5805,0)</f>
        <v>12385</v>
      </c>
      <c r="H5806" s="16">
        <f>ROUND(G5806/2,0)</f>
        <v>6193</v>
      </c>
      <c r="I5806" s="15">
        <f>G5806-H5806</f>
        <v>6192</v>
      </c>
      <c r="J5806" s="3" t="str">
        <f t="shared" si="418"/>
        <v>7910000</v>
      </c>
    </row>
    <row r="5807" spans="2:10" s="3" customFormat="1">
      <c r="B5807" s="3" t="s">
        <v>2163</v>
      </c>
      <c r="C5807" s="8">
        <v>1</v>
      </c>
      <c r="D5807" s="3" t="s">
        <v>2187</v>
      </c>
      <c r="E5807" s="11" t="s">
        <v>8</v>
      </c>
      <c r="F5807" s="11"/>
      <c r="G5807" s="12">
        <f>+G5804-G5806</f>
        <v>30421</v>
      </c>
      <c r="H5807" s="13">
        <f>ROUND(G5807/2,0)</f>
        <v>15211</v>
      </c>
      <c r="I5807" s="12">
        <f>G5807-H5807</f>
        <v>15210</v>
      </c>
      <c r="J5807" s="3" t="str">
        <f t="shared" si="418"/>
        <v>7910000</v>
      </c>
    </row>
    <row r="5808" spans="2:10" s="3" customFormat="1">
      <c r="B5808" s="3" t="s">
        <v>2163</v>
      </c>
      <c r="C5808" s="8">
        <v>2</v>
      </c>
      <c r="D5808" s="3" t="s">
        <v>2188</v>
      </c>
      <c r="E5808" s="11" t="s">
        <v>371</v>
      </c>
      <c r="F5808" s="11"/>
      <c r="G5808" s="9"/>
      <c r="H5808" s="11"/>
      <c r="I5808" s="11"/>
      <c r="J5808" s="3" t="str">
        <f t="shared" si="418"/>
        <v>7920001</v>
      </c>
    </row>
    <row r="5809" spans="2:10" s="3" customFormat="1">
      <c r="B5809" s="3" t="s">
        <v>2163</v>
      </c>
      <c r="C5809" s="8">
        <v>2</v>
      </c>
      <c r="D5809" s="3" t="s">
        <v>2188</v>
      </c>
      <c r="E5809" s="11" t="s">
        <v>10</v>
      </c>
      <c r="F5809" s="10">
        <v>5.28E-3</v>
      </c>
      <c r="G5809" s="12">
        <f>ROUND(G$3*F5809,0)</f>
        <v>1519</v>
      </c>
      <c r="H5809" s="13">
        <f>ROUND(G5809/2,0)</f>
        <v>760</v>
      </c>
      <c r="I5809" s="12">
        <f>G5809-H5809</f>
        <v>759</v>
      </c>
      <c r="J5809" s="3" t="str">
        <f t="shared" si="418"/>
        <v>7920001</v>
      </c>
    </row>
    <row r="5810" spans="2:10" s="3" customFormat="1">
      <c r="B5810" s="3" t="s">
        <v>2163</v>
      </c>
      <c r="C5810" s="8">
        <v>2</v>
      </c>
      <c r="D5810" s="3" t="s">
        <v>2188</v>
      </c>
      <c r="E5810" s="11" t="s">
        <v>11</v>
      </c>
      <c r="F5810" s="10">
        <v>6.5200000000000002E-4</v>
      </c>
      <c r="G5810" s="12"/>
      <c r="H5810" s="13">
        <f>ROUND(G5810/2,0)</f>
        <v>0</v>
      </c>
      <c r="I5810" s="12">
        <f>G5810-H5810</f>
        <v>0</v>
      </c>
      <c r="J5810" s="3" t="str">
        <f t="shared" si="418"/>
        <v>7920001</v>
      </c>
    </row>
    <row r="5811" spans="2:10" s="3" customFormat="1">
      <c r="B5811" s="3" t="s">
        <v>2163</v>
      </c>
      <c r="C5811" s="8">
        <v>2</v>
      </c>
      <c r="D5811" s="3" t="s">
        <v>2189</v>
      </c>
      <c r="E5811" s="11" t="s">
        <v>49</v>
      </c>
      <c r="F5811" s="11"/>
      <c r="G5811" s="9"/>
      <c r="H5811" s="11"/>
      <c r="I5811" s="11"/>
      <c r="J5811" s="3" t="str">
        <f t="shared" si="418"/>
        <v>7920002</v>
      </c>
    </row>
    <row r="5812" spans="2:10" s="3" customFormat="1">
      <c r="B5812" s="3" t="s">
        <v>2163</v>
      </c>
      <c r="C5812" s="8">
        <v>2</v>
      </c>
      <c r="D5812" s="3" t="s">
        <v>2189</v>
      </c>
      <c r="E5812" s="11" t="s">
        <v>10</v>
      </c>
      <c r="F5812" s="10">
        <v>2.41E-4</v>
      </c>
      <c r="G5812" s="12">
        <f>ROUND(G$3*F5812,0)</f>
        <v>69</v>
      </c>
      <c r="H5812" s="13">
        <f>ROUND(G5812/2,0)</f>
        <v>35</v>
      </c>
      <c r="I5812" s="12">
        <f>G5812-H5812</f>
        <v>34</v>
      </c>
      <c r="J5812" s="3" t="str">
        <f t="shared" si="418"/>
        <v>7920002</v>
      </c>
    </row>
    <row r="5813" spans="2:10" s="3" customFormat="1">
      <c r="B5813" s="3" t="s">
        <v>2163</v>
      </c>
      <c r="C5813" s="8">
        <v>2</v>
      </c>
      <c r="D5813" s="3" t="s">
        <v>2189</v>
      </c>
      <c r="E5813" s="11" t="s">
        <v>11</v>
      </c>
      <c r="F5813" s="10">
        <v>1.64E-4</v>
      </c>
      <c r="G5813" s="12">
        <f>ROUND(G$3*F5813,0)</f>
        <v>47</v>
      </c>
      <c r="H5813" s="13">
        <f>ROUND(G5813/2,0)</f>
        <v>24</v>
      </c>
      <c r="I5813" s="12">
        <f>G5813-H5813</f>
        <v>23</v>
      </c>
      <c r="J5813" s="3" t="str">
        <f t="shared" si="418"/>
        <v>7920002</v>
      </c>
    </row>
    <row r="5814" spans="2:10" s="3" customFormat="1">
      <c r="B5814" s="3" t="s">
        <v>2163</v>
      </c>
      <c r="C5814" s="8">
        <v>2</v>
      </c>
      <c r="D5814" s="3" t="s">
        <v>2190</v>
      </c>
      <c r="E5814" s="11" t="s">
        <v>1664</v>
      </c>
      <c r="F5814" s="11"/>
      <c r="G5814" s="9"/>
      <c r="H5814" s="11"/>
      <c r="I5814" s="11"/>
      <c r="J5814" s="3" t="str">
        <f t="shared" si="418"/>
        <v>7920003</v>
      </c>
    </row>
    <row r="5815" spans="2:10" s="3" customFormat="1">
      <c r="B5815" s="3" t="s">
        <v>2163</v>
      </c>
      <c r="C5815" s="8">
        <v>2</v>
      </c>
      <c r="D5815" s="3" t="s">
        <v>2190</v>
      </c>
      <c r="E5815" s="11" t="s">
        <v>10</v>
      </c>
      <c r="F5815" s="10">
        <v>3.5199999999999999E-4</v>
      </c>
      <c r="G5815" s="12">
        <f>ROUND(G$3*F5815,0)</f>
        <v>101</v>
      </c>
      <c r="H5815" s="13">
        <f>ROUND(G5815/2,0)</f>
        <v>51</v>
      </c>
      <c r="I5815" s="12">
        <f>G5815-H5815</f>
        <v>50</v>
      </c>
      <c r="J5815" s="3" t="str">
        <f t="shared" si="418"/>
        <v>7920003</v>
      </c>
    </row>
    <row r="5816" spans="2:10" s="3" customFormat="1">
      <c r="B5816" s="3" t="s">
        <v>2163</v>
      </c>
      <c r="C5816" s="8">
        <v>2</v>
      </c>
      <c r="D5816" s="3" t="s">
        <v>2190</v>
      </c>
      <c r="E5816" s="11" t="s">
        <v>11</v>
      </c>
      <c r="F5816" s="10">
        <v>6.4400000000000004E-4</v>
      </c>
      <c r="G5816" s="12">
        <f>ROUND(G$3*F5816,0)</f>
        <v>185</v>
      </c>
      <c r="H5816" s="13">
        <f>ROUND(G5816/2,0)</f>
        <v>93</v>
      </c>
      <c r="I5816" s="12">
        <f>G5816-H5816</f>
        <v>92</v>
      </c>
      <c r="J5816" s="3" t="str">
        <f t="shared" si="418"/>
        <v>7920003</v>
      </c>
    </row>
    <row r="5817" spans="2:10" s="3" customFormat="1">
      <c r="B5817" s="3" t="s">
        <v>2163</v>
      </c>
      <c r="C5817" s="8">
        <v>2</v>
      </c>
      <c r="D5817" s="3" t="s">
        <v>2191</v>
      </c>
      <c r="E5817" s="11" t="s">
        <v>56</v>
      </c>
      <c r="F5817" s="11"/>
      <c r="G5817" s="9"/>
      <c r="H5817" s="11"/>
      <c r="I5817" s="11"/>
      <c r="J5817" s="3" t="str">
        <f t="shared" si="418"/>
        <v>7920004</v>
      </c>
    </row>
    <row r="5818" spans="2:10" s="3" customFormat="1">
      <c r="B5818" s="3" t="s">
        <v>2163</v>
      </c>
      <c r="C5818" s="8">
        <v>2</v>
      </c>
      <c r="D5818" s="3" t="s">
        <v>2191</v>
      </c>
      <c r="E5818" s="11" t="s">
        <v>10</v>
      </c>
      <c r="F5818" s="10">
        <v>2.7399999999999999E-4</v>
      </c>
      <c r="G5818" s="12">
        <f>ROUND(G$3*F5818,0)</f>
        <v>79</v>
      </c>
      <c r="H5818" s="13">
        <f>ROUND(G5818/2,0)</f>
        <v>40</v>
      </c>
      <c r="I5818" s="12">
        <f>G5818-H5818</f>
        <v>39</v>
      </c>
      <c r="J5818" s="3" t="str">
        <f t="shared" si="418"/>
        <v>7920004</v>
      </c>
    </row>
    <row r="5819" spans="2:10" s="3" customFormat="1">
      <c r="B5819" s="3" t="s">
        <v>2163</v>
      </c>
      <c r="C5819" s="8">
        <v>2</v>
      </c>
      <c r="D5819" s="3" t="s">
        <v>2191</v>
      </c>
      <c r="E5819" s="11" t="s">
        <v>11</v>
      </c>
      <c r="F5819" s="10">
        <v>2.33E-4</v>
      </c>
      <c r="G5819" s="12">
        <f>ROUND(G$3*F5819,0)</f>
        <v>67</v>
      </c>
      <c r="H5819" s="13">
        <f>ROUND(G5819/2,0)</f>
        <v>34</v>
      </c>
      <c r="I5819" s="12">
        <f>G5819-H5819</f>
        <v>33</v>
      </c>
      <c r="J5819" s="3" t="str">
        <f t="shared" si="418"/>
        <v>7920004</v>
      </c>
    </row>
    <row r="5820" spans="2:10" s="3" customFormat="1">
      <c r="B5820" s="3" t="s">
        <v>2163</v>
      </c>
      <c r="C5820" s="8">
        <v>2</v>
      </c>
      <c r="D5820" s="3" t="s">
        <v>2192</v>
      </c>
      <c r="E5820" s="11" t="s">
        <v>1333</v>
      </c>
      <c r="F5820" s="11"/>
      <c r="G5820" s="9"/>
      <c r="H5820" s="11"/>
      <c r="I5820" s="11"/>
      <c r="J5820" s="3" t="str">
        <f t="shared" si="418"/>
        <v>7920005</v>
      </c>
    </row>
    <row r="5821" spans="2:10" s="3" customFormat="1">
      <c r="B5821" s="3" t="s">
        <v>2163</v>
      </c>
      <c r="C5821" s="8">
        <v>2</v>
      </c>
      <c r="D5821" s="3" t="s">
        <v>2192</v>
      </c>
      <c r="E5821" s="11" t="s">
        <v>10</v>
      </c>
      <c r="F5821" s="10">
        <v>9.810000000000001E-4</v>
      </c>
      <c r="G5821" s="12">
        <f>ROUND(G$3*F5821,0)</f>
        <v>282</v>
      </c>
      <c r="H5821" s="13">
        <f>ROUND(G5821/2,0)</f>
        <v>141</v>
      </c>
      <c r="I5821" s="12">
        <f>G5821-H5821</f>
        <v>141</v>
      </c>
      <c r="J5821" s="3" t="str">
        <f t="shared" si="418"/>
        <v>7920005</v>
      </c>
    </row>
    <row r="5822" spans="2:10" s="3" customFormat="1">
      <c r="B5822" s="3" t="s">
        <v>2163</v>
      </c>
      <c r="C5822" s="8">
        <v>2</v>
      </c>
      <c r="D5822" s="3" t="s">
        <v>2192</v>
      </c>
      <c r="E5822" s="11" t="s">
        <v>11</v>
      </c>
      <c r="F5822" s="10">
        <v>5.4500000000000002E-4</v>
      </c>
      <c r="G5822" s="12">
        <f>ROUND(G$3*F5822,0)</f>
        <v>157</v>
      </c>
      <c r="H5822" s="13">
        <f>ROUND(G5822/2,0)</f>
        <v>79</v>
      </c>
      <c r="I5822" s="12">
        <f>G5822-H5822</f>
        <v>78</v>
      </c>
      <c r="J5822" s="3" t="str">
        <f t="shared" si="418"/>
        <v>7920005</v>
      </c>
    </row>
    <row r="5823" spans="2:10" s="3" customFormat="1">
      <c r="B5823" s="3" t="s">
        <v>2163</v>
      </c>
      <c r="C5823" s="8">
        <v>2</v>
      </c>
      <c r="D5823" s="3" t="s">
        <v>2193</v>
      </c>
      <c r="E5823" s="11" t="s">
        <v>1665</v>
      </c>
      <c r="F5823" s="11"/>
      <c r="G5823" s="9"/>
      <c r="H5823" s="11"/>
      <c r="I5823" s="11"/>
      <c r="J5823" s="3" t="str">
        <f t="shared" si="418"/>
        <v>7920006</v>
      </c>
    </row>
    <row r="5824" spans="2:10" s="3" customFormat="1">
      <c r="B5824" s="3" t="s">
        <v>2163</v>
      </c>
      <c r="C5824" s="8">
        <v>2</v>
      </c>
      <c r="D5824" s="3" t="s">
        <v>2193</v>
      </c>
      <c r="E5824" s="11" t="s">
        <v>10</v>
      </c>
      <c r="F5824" s="10">
        <v>1.3300000000000001E-4</v>
      </c>
      <c r="G5824" s="12">
        <f>ROUND(G$3*F5824,0)</f>
        <v>38</v>
      </c>
      <c r="H5824" s="13">
        <f>ROUND(G5824/2,0)</f>
        <v>19</v>
      </c>
      <c r="I5824" s="12">
        <f>G5824-H5824</f>
        <v>19</v>
      </c>
      <c r="J5824" s="3" t="str">
        <f t="shared" si="418"/>
        <v>7920006</v>
      </c>
    </row>
    <row r="5825" spans="1:10" s="3" customFormat="1">
      <c r="B5825" s="3" t="s">
        <v>2163</v>
      </c>
      <c r="C5825" s="8">
        <v>2</v>
      </c>
      <c r="D5825" s="3" t="s">
        <v>2193</v>
      </c>
      <c r="E5825" s="11" t="s">
        <v>11</v>
      </c>
      <c r="F5825" s="10">
        <v>2.8899999999999998E-4</v>
      </c>
      <c r="G5825" s="12">
        <f>ROUND(G$3*F5825,0)</f>
        <v>83</v>
      </c>
      <c r="H5825" s="13">
        <f>ROUND(G5825/2,0)</f>
        <v>42</v>
      </c>
      <c r="I5825" s="12">
        <f>G5825-H5825</f>
        <v>41</v>
      </c>
      <c r="J5825" s="3" t="str">
        <f t="shared" si="418"/>
        <v>7920006</v>
      </c>
    </row>
    <row r="5826" spans="1:10" s="3" customFormat="1">
      <c r="B5826" s="3" t="s">
        <v>2163</v>
      </c>
      <c r="C5826" s="8">
        <v>2</v>
      </c>
      <c r="D5826" s="3" t="s">
        <v>2194</v>
      </c>
      <c r="E5826" s="11" t="s">
        <v>873</v>
      </c>
      <c r="F5826" s="11"/>
      <c r="G5826" s="9"/>
      <c r="H5826" s="11"/>
      <c r="I5826" s="11"/>
      <c r="J5826" s="3" t="str">
        <f t="shared" si="418"/>
        <v>7920007</v>
      </c>
    </row>
    <row r="5827" spans="1:10" s="3" customFormat="1">
      <c r="B5827" s="3" t="s">
        <v>2163</v>
      </c>
      <c r="C5827" s="8">
        <v>2</v>
      </c>
      <c r="D5827" s="3" t="s">
        <v>2194</v>
      </c>
      <c r="E5827" s="11" t="s">
        <v>10</v>
      </c>
      <c r="F5827" s="10">
        <v>1.56E-4</v>
      </c>
      <c r="G5827" s="12">
        <f>ROUND(G$3*F5827,0)</f>
        <v>45</v>
      </c>
      <c r="H5827" s="13">
        <f>ROUND(G5827/2,0)</f>
        <v>23</v>
      </c>
      <c r="I5827" s="12">
        <f>G5827-H5827</f>
        <v>22</v>
      </c>
      <c r="J5827" s="3" t="str">
        <f t="shared" si="418"/>
        <v>7920007</v>
      </c>
    </row>
    <row r="5828" spans="1:10" s="3" customFormat="1">
      <c r="B5828" s="3" t="s">
        <v>2163</v>
      </c>
      <c r="C5828" s="8">
        <v>2</v>
      </c>
      <c r="D5828" s="3" t="s">
        <v>2194</v>
      </c>
      <c r="E5828" s="11" t="s">
        <v>11</v>
      </c>
      <c r="F5828" s="10">
        <v>2.8600000000000001E-4</v>
      </c>
      <c r="G5828" s="12">
        <f>ROUND(G$3*F5828,0)</f>
        <v>82</v>
      </c>
      <c r="H5828" s="13">
        <f>ROUND(G5828/2,0)</f>
        <v>41</v>
      </c>
      <c r="I5828" s="12">
        <f>G5828-H5828</f>
        <v>41</v>
      </c>
      <c r="J5828" s="3" t="str">
        <f t="shared" ref="J5828:J5891" si="422">B5828&amp;C5828&amp;D5828</f>
        <v>7920007</v>
      </c>
    </row>
    <row r="5829" spans="1:10" s="3" customFormat="1">
      <c r="B5829" s="3" t="s">
        <v>2163</v>
      </c>
      <c r="C5829" s="8">
        <v>2</v>
      </c>
      <c r="D5829" s="3" t="s">
        <v>2195</v>
      </c>
      <c r="E5829" s="11" t="s">
        <v>183</v>
      </c>
      <c r="F5829" s="11"/>
      <c r="G5829" s="9"/>
      <c r="H5829" s="11"/>
      <c r="I5829" s="11"/>
      <c r="J5829" s="3" t="str">
        <f t="shared" si="422"/>
        <v>7920008</v>
      </c>
    </row>
    <row r="5830" spans="1:10" s="3" customFormat="1">
      <c r="B5830" s="3" t="s">
        <v>2163</v>
      </c>
      <c r="C5830" s="8">
        <v>2</v>
      </c>
      <c r="D5830" s="3" t="s">
        <v>2195</v>
      </c>
      <c r="E5830" s="11" t="s">
        <v>10</v>
      </c>
      <c r="F5830" s="10">
        <v>6.3500000000000004E-4</v>
      </c>
      <c r="G5830" s="12">
        <f>ROUND(G$3*F5830,0)</f>
        <v>183</v>
      </c>
      <c r="H5830" s="13">
        <f>ROUND(G5830/2,0)</f>
        <v>92</v>
      </c>
      <c r="I5830" s="12">
        <f>G5830-H5830</f>
        <v>91</v>
      </c>
      <c r="J5830" s="3" t="str">
        <f t="shared" si="422"/>
        <v>7920008</v>
      </c>
    </row>
    <row r="5831" spans="1:10" s="3" customFormat="1">
      <c r="B5831" s="3" t="s">
        <v>2163</v>
      </c>
      <c r="C5831" s="8">
        <v>2</v>
      </c>
      <c r="D5831" s="3" t="s">
        <v>2195</v>
      </c>
      <c r="E5831" s="11" t="s">
        <v>11</v>
      </c>
      <c r="F5831" s="10">
        <v>6.9399999999999996E-4</v>
      </c>
      <c r="G5831" s="12">
        <f>ROUND(G$3*F5831,0)</f>
        <v>200</v>
      </c>
      <c r="H5831" s="13">
        <f>ROUND(G5831/2,0)</f>
        <v>100</v>
      </c>
      <c r="I5831" s="12">
        <f>G5831-H5831</f>
        <v>100</v>
      </c>
      <c r="J5831" s="3" t="str">
        <f t="shared" si="422"/>
        <v>7920008</v>
      </c>
    </row>
    <row r="5832" spans="1:10" s="3" customFormat="1">
      <c r="B5832" s="3" t="s">
        <v>2163</v>
      </c>
      <c r="C5832" s="8">
        <v>2</v>
      </c>
      <c r="D5832" s="3" t="s">
        <v>2196</v>
      </c>
      <c r="E5832" s="11" t="s">
        <v>20</v>
      </c>
      <c r="F5832" s="11"/>
      <c r="G5832" s="9"/>
      <c r="H5832" s="11"/>
      <c r="I5832" s="11"/>
      <c r="J5832" s="3" t="str">
        <f t="shared" si="422"/>
        <v>7920009</v>
      </c>
    </row>
    <row r="5833" spans="1:10" s="3" customFormat="1">
      <c r="B5833" s="3" t="s">
        <v>2163</v>
      </c>
      <c r="C5833" s="8">
        <v>2</v>
      </c>
      <c r="D5833" s="3" t="s">
        <v>2196</v>
      </c>
      <c r="E5833" s="11" t="s">
        <v>10</v>
      </c>
      <c r="F5833" s="10">
        <v>1.06E-4</v>
      </c>
      <c r="G5833" s="12">
        <f>ROUND(G$3*F5833,0)</f>
        <v>30</v>
      </c>
      <c r="H5833" s="13">
        <f>ROUND(G5833/2,0)</f>
        <v>15</v>
      </c>
      <c r="I5833" s="12">
        <f>G5833-H5833</f>
        <v>15</v>
      </c>
      <c r="J5833" s="3" t="str">
        <f t="shared" si="422"/>
        <v>7920009</v>
      </c>
    </row>
    <row r="5834" spans="1:10" s="3" customFormat="1">
      <c r="A5834" s="3" t="s">
        <v>6269</v>
      </c>
      <c r="B5834" s="3" t="s">
        <v>2163</v>
      </c>
      <c r="C5834" s="8">
        <v>2</v>
      </c>
      <c r="D5834" s="3" t="s">
        <v>2196</v>
      </c>
      <c r="E5834" s="11" t="s">
        <v>11</v>
      </c>
      <c r="F5834" s="10">
        <v>0</v>
      </c>
      <c r="G5834" s="12">
        <f>ROUND(G$3*F5834,0)</f>
        <v>0</v>
      </c>
      <c r="H5834" s="13">
        <f>ROUND(G5834/2,0)</f>
        <v>0</v>
      </c>
      <c r="I5834" s="12">
        <f>G5834-H5834</f>
        <v>0</v>
      </c>
      <c r="J5834" s="3" t="str">
        <f t="shared" si="422"/>
        <v>7920009</v>
      </c>
    </row>
    <row r="5835" spans="1:10" s="3" customFormat="1">
      <c r="B5835" s="3" t="s">
        <v>2163</v>
      </c>
      <c r="C5835" s="8">
        <v>2</v>
      </c>
      <c r="D5835" s="3" t="s">
        <v>2197</v>
      </c>
      <c r="E5835" s="11" t="s">
        <v>21</v>
      </c>
      <c r="F5835" s="11"/>
      <c r="G5835" s="9"/>
      <c r="H5835" s="11"/>
      <c r="I5835" s="11"/>
      <c r="J5835" s="3" t="str">
        <f t="shared" si="422"/>
        <v>7920010</v>
      </c>
    </row>
    <row r="5836" spans="1:10" s="3" customFormat="1">
      <c r="B5836" s="3" t="s">
        <v>2163</v>
      </c>
      <c r="C5836" s="8">
        <v>2</v>
      </c>
      <c r="D5836" s="3" t="s">
        <v>2197</v>
      </c>
      <c r="E5836" s="11" t="s">
        <v>10</v>
      </c>
      <c r="F5836" s="10">
        <v>8.6499999999999999E-4</v>
      </c>
      <c r="G5836" s="12">
        <f>ROUND(G$3*F5836,0)</f>
        <v>249</v>
      </c>
      <c r="H5836" s="13">
        <f>ROUND(G5836/2,0)</f>
        <v>125</v>
      </c>
      <c r="I5836" s="12">
        <f>G5836-H5836</f>
        <v>124</v>
      </c>
      <c r="J5836" s="3" t="str">
        <f t="shared" si="422"/>
        <v>7920010</v>
      </c>
    </row>
    <row r="5837" spans="1:10" s="3" customFormat="1">
      <c r="B5837" s="3" t="s">
        <v>2163</v>
      </c>
      <c r="C5837" s="8">
        <v>2</v>
      </c>
      <c r="D5837" s="3" t="s">
        <v>2197</v>
      </c>
      <c r="E5837" s="11" t="s">
        <v>11</v>
      </c>
      <c r="F5837" s="10">
        <v>4.06E-4</v>
      </c>
      <c r="G5837" s="12">
        <f>ROUND(G$3*F5837,0)</f>
        <v>117</v>
      </c>
      <c r="H5837" s="13">
        <f>ROUND(G5837/2,0)</f>
        <v>59</v>
      </c>
      <c r="I5837" s="12">
        <f>G5837-H5837</f>
        <v>58</v>
      </c>
      <c r="J5837" s="3" t="str">
        <f t="shared" si="422"/>
        <v>7920010</v>
      </c>
    </row>
    <row r="5838" spans="1:10" s="3" customFormat="1">
      <c r="B5838" s="3" t="s">
        <v>2163</v>
      </c>
      <c r="C5838" s="8">
        <v>2</v>
      </c>
      <c r="D5838" s="3" t="s">
        <v>2198</v>
      </c>
      <c r="E5838" s="11" t="s">
        <v>22</v>
      </c>
      <c r="F5838" s="11"/>
      <c r="G5838" s="9"/>
      <c r="H5838" s="11"/>
      <c r="I5838" s="11"/>
      <c r="J5838" s="3" t="str">
        <f t="shared" si="422"/>
        <v>7920011</v>
      </c>
    </row>
    <row r="5839" spans="1:10" s="3" customFormat="1">
      <c r="B5839" s="3" t="s">
        <v>2163</v>
      </c>
      <c r="C5839" s="8">
        <v>2</v>
      </c>
      <c r="D5839" s="3" t="s">
        <v>2198</v>
      </c>
      <c r="E5839" s="11" t="s">
        <v>10</v>
      </c>
      <c r="F5839" s="10">
        <v>2.5399999999999999E-4</v>
      </c>
      <c r="G5839" s="12">
        <f>ROUND(G$3*F5839,0)</f>
        <v>73</v>
      </c>
      <c r="H5839" s="13">
        <f>ROUND(G5839/2,0)</f>
        <v>37</v>
      </c>
      <c r="I5839" s="12">
        <f>G5839-H5839</f>
        <v>36</v>
      </c>
      <c r="J5839" s="3" t="str">
        <f t="shared" si="422"/>
        <v>7920011</v>
      </c>
    </row>
    <row r="5840" spans="1:10" s="3" customFormat="1">
      <c r="B5840" s="3" t="s">
        <v>2163</v>
      </c>
      <c r="C5840" s="8">
        <v>2</v>
      </c>
      <c r="D5840" s="3" t="s">
        <v>2198</v>
      </c>
      <c r="E5840" s="11" t="s">
        <v>11</v>
      </c>
      <c r="F5840" s="10">
        <v>2.0599999999999999E-4</v>
      </c>
      <c r="G5840" s="12">
        <f>ROUND(G$3*F5840,0)</f>
        <v>59</v>
      </c>
      <c r="H5840" s="13">
        <f>ROUND(G5840/2,0)</f>
        <v>30</v>
      </c>
      <c r="I5840" s="12">
        <f>G5840-H5840</f>
        <v>29</v>
      </c>
      <c r="J5840" s="3" t="str">
        <f t="shared" si="422"/>
        <v>7920011</v>
      </c>
    </row>
    <row r="5841" spans="2:10" s="3" customFormat="1">
      <c r="B5841" s="3" t="s">
        <v>2163</v>
      </c>
      <c r="C5841" s="8">
        <v>2</v>
      </c>
      <c r="D5841" s="3" t="s">
        <v>2199</v>
      </c>
      <c r="E5841" s="11" t="s">
        <v>61</v>
      </c>
      <c r="F5841" s="11"/>
      <c r="G5841" s="9"/>
      <c r="H5841" s="11"/>
      <c r="I5841" s="11"/>
      <c r="J5841" s="3" t="str">
        <f t="shared" si="422"/>
        <v>7920012</v>
      </c>
    </row>
    <row r="5842" spans="2:10" s="3" customFormat="1">
      <c r="B5842" s="3" t="s">
        <v>2163</v>
      </c>
      <c r="C5842" s="8">
        <v>2</v>
      </c>
      <c r="D5842" s="3" t="s">
        <v>2199</v>
      </c>
      <c r="E5842" s="11" t="s">
        <v>10</v>
      </c>
      <c r="F5842" s="10">
        <v>4.3600000000000003E-4</v>
      </c>
      <c r="G5842" s="12">
        <f>ROUND(G$3*F5842,0)</f>
        <v>125</v>
      </c>
      <c r="H5842" s="13">
        <f>ROUND(G5842/2,0)</f>
        <v>63</v>
      </c>
      <c r="I5842" s="12">
        <f>G5842-H5842</f>
        <v>62</v>
      </c>
      <c r="J5842" s="3" t="str">
        <f t="shared" si="422"/>
        <v>7920012</v>
      </c>
    </row>
    <row r="5843" spans="2:10" s="3" customFormat="1">
      <c r="B5843" s="3" t="s">
        <v>2163</v>
      </c>
      <c r="C5843" s="8">
        <v>2</v>
      </c>
      <c r="D5843" s="3" t="s">
        <v>2199</v>
      </c>
      <c r="E5843" s="11" t="s">
        <v>11</v>
      </c>
      <c r="F5843" s="10">
        <v>3.7100000000000002E-4</v>
      </c>
      <c r="G5843" s="12">
        <f>ROUND(G$3*F5843,0)</f>
        <v>107</v>
      </c>
      <c r="H5843" s="13">
        <f>ROUND(G5843/2,0)</f>
        <v>54</v>
      </c>
      <c r="I5843" s="12">
        <f>G5843-H5843</f>
        <v>53</v>
      </c>
      <c r="J5843" s="3" t="str">
        <f t="shared" si="422"/>
        <v>7920012</v>
      </c>
    </row>
    <row r="5844" spans="2:10" s="3" customFormat="1">
      <c r="B5844" s="3" t="s">
        <v>2163</v>
      </c>
      <c r="C5844" s="8">
        <v>2</v>
      </c>
      <c r="D5844" s="3" t="s">
        <v>2208</v>
      </c>
      <c r="E5844" s="11" t="s">
        <v>1666</v>
      </c>
      <c r="F5844" s="11"/>
      <c r="G5844" s="9"/>
      <c r="H5844" s="11"/>
      <c r="I5844" s="11"/>
      <c r="J5844" s="3" t="str">
        <f t="shared" si="422"/>
        <v>7920013</v>
      </c>
    </row>
    <row r="5845" spans="2:10" s="3" customFormat="1">
      <c r="B5845" s="3" t="s">
        <v>2163</v>
      </c>
      <c r="C5845" s="8">
        <v>2</v>
      </c>
      <c r="D5845" s="3" t="s">
        <v>2208</v>
      </c>
      <c r="E5845" s="11" t="s">
        <v>10</v>
      </c>
      <c r="F5845" s="10">
        <v>1.9980000000000002E-3</v>
      </c>
      <c r="G5845" s="12">
        <f t="shared" ref="G5845:G5854" si="423">ROUND(G$3*F5845,0)</f>
        <v>575</v>
      </c>
      <c r="H5845" s="13">
        <f t="shared" ref="H5845:H5854" si="424">ROUND(G5845/2,0)</f>
        <v>288</v>
      </c>
      <c r="I5845" s="12">
        <f t="shared" ref="I5845:I5854" si="425">G5845-H5845</f>
        <v>287</v>
      </c>
      <c r="J5845" s="3" t="str">
        <f t="shared" si="422"/>
        <v>7920013</v>
      </c>
    </row>
    <row r="5846" spans="2:10" s="3" customFormat="1">
      <c r="B5846" s="3" t="s">
        <v>2163</v>
      </c>
      <c r="C5846" s="8">
        <v>2</v>
      </c>
      <c r="D5846" s="3" t="s">
        <v>2208</v>
      </c>
      <c r="E5846" s="11" t="s">
        <v>11</v>
      </c>
      <c r="F5846" s="10">
        <v>9.19E-4</v>
      </c>
      <c r="G5846" s="12">
        <f t="shared" si="423"/>
        <v>264</v>
      </c>
      <c r="H5846" s="13">
        <f t="shared" si="424"/>
        <v>132</v>
      </c>
      <c r="I5846" s="12">
        <f t="shared" si="425"/>
        <v>132</v>
      </c>
      <c r="J5846" s="3" t="str">
        <f t="shared" si="422"/>
        <v>7920013</v>
      </c>
    </row>
    <row r="5847" spans="2:10" s="3" customFormat="1">
      <c r="B5847" s="3" t="s">
        <v>2163</v>
      </c>
      <c r="C5847" s="8">
        <v>3</v>
      </c>
      <c r="D5847" s="3" t="s">
        <v>2817</v>
      </c>
      <c r="E5847" s="11" t="s">
        <v>1667</v>
      </c>
      <c r="F5847" s="10">
        <v>1.9699999999999999E-4</v>
      </c>
      <c r="G5847" s="12">
        <f t="shared" si="423"/>
        <v>57</v>
      </c>
      <c r="H5847" s="13">
        <f t="shared" si="424"/>
        <v>29</v>
      </c>
      <c r="I5847" s="12">
        <f t="shared" si="425"/>
        <v>28</v>
      </c>
      <c r="J5847" s="3" t="str">
        <f t="shared" si="422"/>
        <v>7930890</v>
      </c>
    </row>
    <row r="5848" spans="2:10" s="3" customFormat="1">
      <c r="B5848" s="3" t="s">
        <v>2163</v>
      </c>
      <c r="C5848" s="8">
        <v>3</v>
      </c>
      <c r="D5848" s="3" t="s">
        <v>3040</v>
      </c>
      <c r="E5848" s="11" t="s">
        <v>1668</v>
      </c>
      <c r="F5848" s="10">
        <v>2.5700000000000001E-4</v>
      </c>
      <c r="G5848" s="12">
        <f t="shared" si="423"/>
        <v>74</v>
      </c>
      <c r="H5848" s="13">
        <f t="shared" si="424"/>
        <v>37</v>
      </c>
      <c r="I5848" s="12">
        <f t="shared" si="425"/>
        <v>37</v>
      </c>
      <c r="J5848" s="3" t="str">
        <f t="shared" si="422"/>
        <v>7930891</v>
      </c>
    </row>
    <row r="5849" spans="2:10" s="3" customFormat="1">
      <c r="B5849" s="3" t="s">
        <v>2163</v>
      </c>
      <c r="C5849" s="8">
        <v>3</v>
      </c>
      <c r="D5849" s="3" t="s">
        <v>2945</v>
      </c>
      <c r="E5849" s="11" t="s">
        <v>1669</v>
      </c>
      <c r="F5849" s="10">
        <v>8.0900000000000004E-4</v>
      </c>
      <c r="G5849" s="12">
        <f t="shared" si="423"/>
        <v>233</v>
      </c>
      <c r="H5849" s="13">
        <f t="shared" si="424"/>
        <v>117</v>
      </c>
      <c r="I5849" s="12">
        <f t="shared" si="425"/>
        <v>116</v>
      </c>
      <c r="J5849" s="3" t="str">
        <f t="shared" si="422"/>
        <v>7930957</v>
      </c>
    </row>
    <row r="5850" spans="2:10" s="3" customFormat="1">
      <c r="B5850" s="3" t="s">
        <v>2163</v>
      </c>
      <c r="C5850" s="8">
        <v>3</v>
      </c>
      <c r="D5850" s="3" t="s">
        <v>2639</v>
      </c>
      <c r="E5850" s="11" t="s">
        <v>1670</v>
      </c>
      <c r="F5850" s="10">
        <v>0.15193000000000001</v>
      </c>
      <c r="G5850" s="12">
        <f t="shared" si="423"/>
        <v>43714</v>
      </c>
      <c r="H5850" s="13">
        <f t="shared" si="424"/>
        <v>21857</v>
      </c>
      <c r="I5850" s="12">
        <f t="shared" si="425"/>
        <v>21857</v>
      </c>
      <c r="J5850" s="3" t="str">
        <f t="shared" si="422"/>
        <v>7930109</v>
      </c>
    </row>
    <row r="5851" spans="2:10" s="3" customFormat="1">
      <c r="B5851" s="3" t="s">
        <v>2163</v>
      </c>
      <c r="C5851" s="8">
        <v>3</v>
      </c>
      <c r="D5851" s="3" t="s">
        <v>2244</v>
      </c>
      <c r="E5851" s="11" t="s">
        <v>120</v>
      </c>
      <c r="F5851" s="10">
        <v>1.0369999999999999E-3</v>
      </c>
      <c r="G5851" s="12">
        <f t="shared" si="423"/>
        <v>298</v>
      </c>
      <c r="H5851" s="13">
        <f t="shared" si="424"/>
        <v>149</v>
      </c>
      <c r="I5851" s="12">
        <f t="shared" si="425"/>
        <v>149</v>
      </c>
      <c r="J5851" s="3" t="str">
        <f t="shared" si="422"/>
        <v>7930534</v>
      </c>
    </row>
    <row r="5852" spans="2:10" s="3" customFormat="1">
      <c r="B5852" s="3" t="s">
        <v>2163</v>
      </c>
      <c r="C5852" s="8">
        <v>3</v>
      </c>
      <c r="D5852" s="3" t="s">
        <v>2919</v>
      </c>
      <c r="E5852" s="11" t="s">
        <v>1671</v>
      </c>
      <c r="F5852" s="10">
        <v>8.61E-4</v>
      </c>
      <c r="G5852" s="12">
        <f t="shared" si="423"/>
        <v>248</v>
      </c>
      <c r="H5852" s="13">
        <f t="shared" si="424"/>
        <v>124</v>
      </c>
      <c r="I5852" s="12">
        <f t="shared" si="425"/>
        <v>124</v>
      </c>
      <c r="J5852" s="3" t="str">
        <f t="shared" si="422"/>
        <v>7930964</v>
      </c>
    </row>
    <row r="5853" spans="2:10" s="3" customFormat="1">
      <c r="B5853" s="3" t="s">
        <v>2163</v>
      </c>
      <c r="C5853" s="8">
        <v>3</v>
      </c>
      <c r="D5853" s="3" t="s">
        <v>2608</v>
      </c>
      <c r="E5853" s="11" t="s">
        <v>1672</v>
      </c>
      <c r="F5853" s="10">
        <v>3.7690000000000002E-3</v>
      </c>
      <c r="G5853" s="12">
        <f t="shared" si="423"/>
        <v>1084</v>
      </c>
      <c r="H5853" s="13">
        <f t="shared" si="424"/>
        <v>542</v>
      </c>
      <c r="I5853" s="12">
        <f t="shared" si="425"/>
        <v>542</v>
      </c>
      <c r="J5853" s="3" t="str">
        <f t="shared" si="422"/>
        <v>7930302</v>
      </c>
    </row>
    <row r="5854" spans="2:10" s="3" customFormat="1">
      <c r="B5854" s="3" t="s">
        <v>2163</v>
      </c>
      <c r="C5854" s="8">
        <v>4</v>
      </c>
      <c r="D5854" s="3" t="s">
        <v>2246</v>
      </c>
      <c r="E5854" s="11" t="s">
        <v>122</v>
      </c>
      <c r="F5854" s="10">
        <v>1.7049000000000002E-2</v>
      </c>
      <c r="G5854" s="9">
        <f t="shared" si="423"/>
        <v>4905</v>
      </c>
      <c r="H5854" s="11">
        <f t="shared" si="424"/>
        <v>2453</v>
      </c>
      <c r="I5854" s="9">
        <f t="shared" si="425"/>
        <v>2452</v>
      </c>
      <c r="J5854" s="3" t="str">
        <f t="shared" si="422"/>
        <v>7940395</v>
      </c>
    </row>
    <row r="5855" spans="2:10" s="3" customFormat="1">
      <c r="B5855" s="3" t="s">
        <v>2163</v>
      </c>
      <c r="C5855" s="8">
        <v>4</v>
      </c>
      <c r="D5855" s="3" t="s">
        <v>2246</v>
      </c>
      <c r="E5855" s="11" t="s">
        <v>28</v>
      </c>
      <c r="F5855" s="11"/>
      <c r="G5855" s="14">
        <v>0.45708799999999999</v>
      </c>
      <c r="H5855" s="11"/>
      <c r="I5855" s="11"/>
      <c r="J5855" s="3" t="str">
        <f t="shared" si="422"/>
        <v>7940395</v>
      </c>
    </row>
    <row r="5856" spans="2:10" s="3" customFormat="1">
      <c r="B5856" s="3" t="s">
        <v>2163</v>
      </c>
      <c r="C5856" s="8">
        <v>4</v>
      </c>
      <c r="D5856" s="3" t="s">
        <v>2246</v>
      </c>
      <c r="E5856" s="11" t="s">
        <v>29</v>
      </c>
      <c r="F5856" s="11"/>
      <c r="G5856" s="15">
        <f>ROUND(G5854*G5855,0)</f>
        <v>2242</v>
      </c>
      <c r="H5856" s="16">
        <f>ROUND(G5856/2,0)</f>
        <v>1121</v>
      </c>
      <c r="I5856" s="15">
        <f>G5856-H5856</f>
        <v>1121</v>
      </c>
      <c r="J5856" s="3" t="str">
        <f t="shared" si="422"/>
        <v>7940395</v>
      </c>
    </row>
    <row r="5857" spans="2:10" s="3" customFormat="1">
      <c r="B5857" s="3" t="s">
        <v>2163</v>
      </c>
      <c r="C5857" s="8">
        <v>4</v>
      </c>
      <c r="D5857" s="3" t="s">
        <v>2246</v>
      </c>
      <c r="E5857" s="11" t="s">
        <v>30</v>
      </c>
      <c r="F5857" s="11"/>
      <c r="G5857" s="12">
        <f>+G5854-G5856</f>
        <v>2663</v>
      </c>
      <c r="H5857" s="13">
        <f>ROUND(G5857/2,0)</f>
        <v>1332</v>
      </c>
      <c r="I5857" s="12">
        <f>G5857-H5857</f>
        <v>1331</v>
      </c>
      <c r="J5857" s="3" t="str">
        <f t="shared" si="422"/>
        <v>7940395</v>
      </c>
    </row>
    <row r="5858" spans="2:10" s="3" customFormat="1">
      <c r="B5858" s="3" t="s">
        <v>2163</v>
      </c>
      <c r="C5858" s="8">
        <v>4</v>
      </c>
      <c r="D5858" s="3" t="s">
        <v>3041</v>
      </c>
      <c r="E5858" s="11" t="s">
        <v>1673</v>
      </c>
      <c r="F5858" s="10">
        <v>0.20152500000000001</v>
      </c>
      <c r="G5858" s="9">
        <f>ROUND(G$3*F5858,0)</f>
        <v>57983</v>
      </c>
      <c r="H5858" s="11">
        <f>ROUND(G5858/2,0)</f>
        <v>28992</v>
      </c>
      <c r="I5858" s="9">
        <f>G5858-H5858</f>
        <v>28991</v>
      </c>
      <c r="J5858" s="3" t="str">
        <f t="shared" si="422"/>
        <v>7947855</v>
      </c>
    </row>
    <row r="5859" spans="2:10" s="3" customFormat="1">
      <c r="B5859" s="3" t="s">
        <v>2163</v>
      </c>
      <c r="C5859" s="8">
        <v>4</v>
      </c>
      <c r="D5859" s="3" t="s">
        <v>3041</v>
      </c>
      <c r="E5859" s="11" t="s">
        <v>28</v>
      </c>
      <c r="F5859" s="11"/>
      <c r="G5859" s="14">
        <v>0.51582799999999995</v>
      </c>
      <c r="H5859" s="11"/>
      <c r="I5859" s="11"/>
      <c r="J5859" s="3" t="str">
        <f t="shared" si="422"/>
        <v>7947855</v>
      </c>
    </row>
    <row r="5860" spans="2:10" s="3" customFormat="1">
      <c r="B5860" s="3" t="s">
        <v>2163</v>
      </c>
      <c r="C5860" s="8">
        <v>4</v>
      </c>
      <c r="D5860" s="3" t="s">
        <v>3041</v>
      </c>
      <c r="E5860" s="11" t="s">
        <v>29</v>
      </c>
      <c r="F5860" s="11"/>
      <c r="G5860" s="15">
        <f>ROUND(G5858*G5859,0)</f>
        <v>29909</v>
      </c>
      <c r="H5860" s="16">
        <f>ROUND(G5860/2,0)</f>
        <v>14955</v>
      </c>
      <c r="I5860" s="15">
        <f>G5860-H5860</f>
        <v>14954</v>
      </c>
      <c r="J5860" s="3" t="str">
        <f t="shared" si="422"/>
        <v>7947855</v>
      </c>
    </row>
    <row r="5861" spans="2:10" s="3" customFormat="1">
      <c r="B5861" s="3" t="s">
        <v>2163</v>
      </c>
      <c r="C5861" s="8">
        <v>4</v>
      </c>
      <c r="D5861" s="3" t="s">
        <v>3041</v>
      </c>
      <c r="E5861" s="11" t="s">
        <v>30</v>
      </c>
      <c r="F5861" s="11"/>
      <c r="G5861" s="12">
        <f>+G5858-G5860</f>
        <v>28074</v>
      </c>
      <c r="H5861" s="13">
        <f>ROUND(G5861/2,0)</f>
        <v>14037</v>
      </c>
      <c r="I5861" s="12">
        <f>G5861-H5861</f>
        <v>14037</v>
      </c>
      <c r="J5861" s="3" t="str">
        <f t="shared" si="422"/>
        <v>7947855</v>
      </c>
    </row>
    <row r="5862" spans="2:10" s="3" customFormat="1">
      <c r="B5862" s="3" t="s">
        <v>2163</v>
      </c>
      <c r="C5862" s="8">
        <v>4</v>
      </c>
      <c r="D5862" s="3" t="s">
        <v>3042</v>
      </c>
      <c r="E5862" s="11" t="s">
        <v>1674</v>
      </c>
      <c r="F5862" s="10">
        <v>0.41173799999999999</v>
      </c>
      <c r="G5862" s="9">
        <f>ROUND(G$3*F5862,0)</f>
        <v>118466</v>
      </c>
      <c r="H5862" s="11">
        <f>ROUND(G5862/2,0)</f>
        <v>59233</v>
      </c>
      <c r="I5862" s="9">
        <f>G5862-H5862</f>
        <v>59233</v>
      </c>
      <c r="J5862" s="3" t="str">
        <f t="shared" si="422"/>
        <v>7947865</v>
      </c>
    </row>
    <row r="5863" spans="2:10" s="3" customFormat="1">
      <c r="B5863" s="3" t="s">
        <v>2163</v>
      </c>
      <c r="C5863" s="8">
        <v>4</v>
      </c>
      <c r="D5863" s="3" t="s">
        <v>3042</v>
      </c>
      <c r="E5863" s="11" t="s">
        <v>28</v>
      </c>
      <c r="F5863" s="11"/>
      <c r="G5863" s="14">
        <v>0.48616999999999999</v>
      </c>
      <c r="H5863" s="11"/>
      <c r="I5863" s="11"/>
      <c r="J5863" s="3" t="str">
        <f t="shared" si="422"/>
        <v>7947865</v>
      </c>
    </row>
    <row r="5864" spans="2:10" s="3" customFormat="1">
      <c r="B5864" s="3" t="s">
        <v>2163</v>
      </c>
      <c r="C5864" s="8">
        <v>4</v>
      </c>
      <c r="D5864" s="3" t="s">
        <v>3042</v>
      </c>
      <c r="E5864" s="11" t="s">
        <v>29</v>
      </c>
      <c r="F5864" s="11"/>
      <c r="G5864" s="15">
        <f>ROUND(G5862*G5863,0)</f>
        <v>57595</v>
      </c>
      <c r="H5864" s="16">
        <f>ROUND(G5864/2,0)</f>
        <v>28798</v>
      </c>
      <c r="I5864" s="15">
        <f>G5864-H5864</f>
        <v>28797</v>
      </c>
      <c r="J5864" s="3" t="str">
        <f t="shared" si="422"/>
        <v>7947865</v>
      </c>
    </row>
    <row r="5865" spans="2:10" s="3" customFormat="1">
      <c r="B5865" s="3" t="s">
        <v>2163</v>
      </c>
      <c r="C5865" s="8">
        <v>4</v>
      </c>
      <c r="D5865" s="3" t="s">
        <v>3042</v>
      </c>
      <c r="E5865" s="11" t="s">
        <v>30</v>
      </c>
      <c r="F5865" s="11"/>
      <c r="G5865" s="12">
        <f>+G5862-G5864</f>
        <v>60871</v>
      </c>
      <c r="H5865" s="13">
        <f>ROUND(G5865/2,0)</f>
        <v>30436</v>
      </c>
      <c r="I5865" s="12">
        <f>G5865-H5865</f>
        <v>30435</v>
      </c>
      <c r="J5865" s="3" t="str">
        <f t="shared" si="422"/>
        <v>7947865</v>
      </c>
    </row>
    <row r="5866" spans="2:10" s="3" customFormat="1">
      <c r="B5866" s="3" t="s">
        <v>2163</v>
      </c>
      <c r="C5866" s="8">
        <v>4</v>
      </c>
      <c r="D5866" s="3" t="s">
        <v>3043</v>
      </c>
      <c r="E5866" s="11" t="s">
        <v>1675</v>
      </c>
      <c r="F5866" s="10">
        <v>8.881E-3</v>
      </c>
      <c r="G5866" s="9">
        <f>ROUND(G$3*F5866,0)</f>
        <v>2555</v>
      </c>
      <c r="H5866" s="11">
        <f>ROUND(G5866/2,0)</f>
        <v>1278</v>
      </c>
      <c r="I5866" s="9">
        <f>G5866-H5866</f>
        <v>1277</v>
      </c>
      <c r="J5866" s="3" t="str">
        <f t="shared" si="422"/>
        <v>7947875</v>
      </c>
    </row>
    <row r="5867" spans="2:10" s="3" customFormat="1">
      <c r="B5867" s="3" t="s">
        <v>2163</v>
      </c>
      <c r="C5867" s="8">
        <v>4</v>
      </c>
      <c r="D5867" s="3" t="s">
        <v>3043</v>
      </c>
      <c r="E5867" s="11" t="s">
        <v>28</v>
      </c>
      <c r="F5867" s="11"/>
      <c r="G5867" s="14">
        <v>0.60087599999999997</v>
      </c>
      <c r="H5867" s="11"/>
      <c r="I5867" s="11"/>
      <c r="J5867" s="3" t="str">
        <f t="shared" si="422"/>
        <v>7947875</v>
      </c>
    </row>
    <row r="5868" spans="2:10" s="3" customFormat="1">
      <c r="B5868" s="3" t="s">
        <v>2163</v>
      </c>
      <c r="C5868" s="8">
        <v>4</v>
      </c>
      <c r="D5868" s="3" t="s">
        <v>3043</v>
      </c>
      <c r="E5868" s="11" t="s">
        <v>29</v>
      </c>
      <c r="F5868" s="11"/>
      <c r="G5868" s="15">
        <f>ROUND(G5866*G5867,0)</f>
        <v>1535</v>
      </c>
      <c r="H5868" s="16">
        <f t="shared" ref="H5868:H5874" si="426">ROUND(G5868/2,0)</f>
        <v>768</v>
      </c>
      <c r="I5868" s="15">
        <f t="shared" ref="I5868:I5874" si="427">G5868-H5868</f>
        <v>767</v>
      </c>
      <c r="J5868" s="3" t="str">
        <f t="shared" si="422"/>
        <v>7947875</v>
      </c>
    </row>
    <row r="5869" spans="2:10" s="3" customFormat="1">
      <c r="B5869" s="3" t="s">
        <v>2163</v>
      </c>
      <c r="C5869" s="8">
        <v>4</v>
      </c>
      <c r="D5869" s="3" t="s">
        <v>3043</v>
      </c>
      <c r="E5869" s="11" t="s">
        <v>30</v>
      </c>
      <c r="F5869" s="11"/>
      <c r="G5869" s="12">
        <f>+G5866-G5868</f>
        <v>1020</v>
      </c>
      <c r="H5869" s="13">
        <f t="shared" si="426"/>
        <v>510</v>
      </c>
      <c r="I5869" s="12">
        <f t="shared" si="427"/>
        <v>510</v>
      </c>
      <c r="J5869" s="3" t="str">
        <f t="shared" si="422"/>
        <v>7947875</v>
      </c>
    </row>
    <row r="5870" spans="2:10" s="3" customFormat="1">
      <c r="B5870" s="3" t="s">
        <v>2163</v>
      </c>
      <c r="C5870" s="8" t="s">
        <v>3166</v>
      </c>
      <c r="D5870" s="3" t="s">
        <v>2196</v>
      </c>
      <c r="E5870" s="11" t="s">
        <v>128</v>
      </c>
      <c r="F5870" s="10">
        <v>1.3899999999999999E-4</v>
      </c>
      <c r="G5870" s="12">
        <f>ROUND(G$3*F5870,0)</f>
        <v>40</v>
      </c>
      <c r="H5870" s="13">
        <f t="shared" si="426"/>
        <v>20</v>
      </c>
      <c r="I5870" s="12">
        <f t="shared" si="427"/>
        <v>20</v>
      </c>
      <c r="J5870" s="3" t="str">
        <f t="shared" si="422"/>
        <v>7950009</v>
      </c>
    </row>
    <row r="5871" spans="2:10" s="3" customFormat="1">
      <c r="B5871" s="3" t="s">
        <v>2163</v>
      </c>
      <c r="C5871" s="8">
        <v>5</v>
      </c>
      <c r="D5871" s="3" t="s">
        <v>5877</v>
      </c>
      <c r="E5871" s="11" t="s">
        <v>1676</v>
      </c>
      <c r="F5871" s="10">
        <v>2.6286E-2</v>
      </c>
      <c r="G5871" s="120">
        <f>ROUND(G$3*F5871,0)</f>
        <v>7563</v>
      </c>
      <c r="H5871" s="120">
        <f t="shared" si="426"/>
        <v>3782</v>
      </c>
      <c r="I5871" s="120">
        <f t="shared" si="427"/>
        <v>3781</v>
      </c>
      <c r="J5871" s="3" t="str">
        <f t="shared" si="422"/>
        <v>7950280</v>
      </c>
    </row>
    <row r="5872" spans="2:10" s="3" customFormat="1">
      <c r="B5872" s="3" t="s">
        <v>2163</v>
      </c>
      <c r="C5872" s="8">
        <v>5</v>
      </c>
      <c r="D5872" s="3" t="s">
        <v>5875</v>
      </c>
      <c r="E5872" s="11" t="s">
        <v>1677</v>
      </c>
      <c r="F5872" s="10">
        <v>3.1100000000000002E-4</v>
      </c>
      <c r="G5872" s="120">
        <f>ROUND(G$3*F5872,0)</f>
        <v>89</v>
      </c>
      <c r="H5872" s="120">
        <f t="shared" si="426"/>
        <v>45</v>
      </c>
      <c r="I5872" s="120">
        <f t="shared" si="427"/>
        <v>44</v>
      </c>
      <c r="J5872" s="3" t="str">
        <f t="shared" si="422"/>
        <v>7950221</v>
      </c>
    </row>
    <row r="5873" spans="1:10" s="3" customFormat="1">
      <c r="B5873" s="3" t="s">
        <v>2163</v>
      </c>
      <c r="C5873" s="8">
        <v>6</v>
      </c>
      <c r="D5873" s="3" t="s">
        <v>3001</v>
      </c>
      <c r="E5873" s="11" t="s">
        <v>1678</v>
      </c>
      <c r="F5873" s="10">
        <v>8.1069999999999996E-3</v>
      </c>
      <c r="G5873" s="120">
        <f>+G5802-SUM(G5803:G5804)-SUM(G5809:G5854)-G5858-G5862-G5866-SUM(G5870:G5872)</f>
        <v>1030049</v>
      </c>
      <c r="H5873" s="120">
        <f t="shared" si="426"/>
        <v>515025</v>
      </c>
      <c r="I5873" s="120">
        <f t="shared" si="427"/>
        <v>515024</v>
      </c>
      <c r="J5873" s="3" t="str">
        <f t="shared" si="422"/>
        <v>7960868</v>
      </c>
    </row>
    <row r="5874" spans="1:10" s="3" customFormat="1">
      <c r="A5874" s="3" t="s">
        <v>6269</v>
      </c>
      <c r="B5874" s="3" t="s">
        <v>2163</v>
      </c>
      <c r="C5874" s="8">
        <v>6</v>
      </c>
      <c r="D5874" s="3" t="s">
        <v>6267</v>
      </c>
      <c r="E5874" s="11" t="s">
        <v>287</v>
      </c>
      <c r="F5874" s="10">
        <v>0</v>
      </c>
      <c r="G5874" s="120">
        <f>ROUND(G$3*F5874,0)</f>
        <v>0</v>
      </c>
      <c r="H5874" s="120">
        <f t="shared" si="426"/>
        <v>0</v>
      </c>
      <c r="I5874" s="120">
        <f t="shared" si="427"/>
        <v>0</v>
      </c>
      <c r="J5874" s="3" t="str">
        <f t="shared" si="422"/>
        <v>796XXXX</v>
      </c>
    </row>
    <row r="5875" spans="1:10" s="3" customFormat="1">
      <c r="B5875" s="3" t="s">
        <v>2163</v>
      </c>
      <c r="C5875" s="8">
        <v>0</v>
      </c>
      <c r="D5875" s="125" t="s">
        <v>2187</v>
      </c>
      <c r="E5875" s="28" t="s">
        <v>288</v>
      </c>
      <c r="F5875" s="10">
        <v>1.0000000000000002</v>
      </c>
      <c r="G5875" s="12">
        <f>+G5803+SUM(G5806:G5853)+SUM(G5856:G5857)+SUM(G5860:G5861)+SUM(G5864:G5865)+SUM(G5868:G5874)</f>
        <v>1315248</v>
      </c>
      <c r="H5875" s="12">
        <f>+H5803+SUM(H5806:H5853)+SUM(H5856:H5857)+SUM(H5860:H5861)+SUM(H5864:H5865)+SUM(H5868:H5874)</f>
        <v>657639</v>
      </c>
      <c r="I5875" s="12">
        <f>+I5803+SUM(I5806:I5853)+SUM(I5856:I5857)+SUM(I5860:I5861)+SUM(I5864:I5865)+SUM(I5868:I5874)</f>
        <v>657609</v>
      </c>
      <c r="J5875" s="3" t="str">
        <f t="shared" si="422"/>
        <v>7900000</v>
      </c>
    </row>
    <row r="5876" spans="1:10" s="3" customFormat="1">
      <c r="B5876" s="3" t="s">
        <v>2163</v>
      </c>
      <c r="C5876" s="8">
        <v>0</v>
      </c>
      <c r="D5876" s="3" t="s">
        <v>2187</v>
      </c>
      <c r="E5876" s="18" t="s">
        <v>38</v>
      </c>
      <c r="G5876" s="19">
        <f>+G5803</f>
        <v>348</v>
      </c>
      <c r="H5876" s="19">
        <f>+H5803</f>
        <v>174</v>
      </c>
      <c r="I5876" s="19">
        <f>+I5803</f>
        <v>174</v>
      </c>
      <c r="J5876" s="3" t="str">
        <f t="shared" si="422"/>
        <v>7900000</v>
      </c>
    </row>
    <row r="5877" spans="1:10" s="3" customFormat="1">
      <c r="B5877" s="3" t="s">
        <v>2163</v>
      </c>
      <c r="C5877" s="8">
        <v>0</v>
      </c>
      <c r="D5877" s="3" t="s">
        <v>2187</v>
      </c>
      <c r="E5877" s="2" t="s">
        <v>39</v>
      </c>
      <c r="G5877" s="19">
        <f>+G5806</f>
        <v>12385</v>
      </c>
      <c r="H5877" s="19">
        <f>+H5806</f>
        <v>6193</v>
      </c>
      <c r="I5877" s="19">
        <f>+I5806</f>
        <v>6192</v>
      </c>
      <c r="J5877" s="3" t="str">
        <f t="shared" si="422"/>
        <v>7900000</v>
      </c>
    </row>
    <row r="5878" spans="1:10" s="3" customFormat="1">
      <c r="B5878" s="3" t="s">
        <v>2163</v>
      </c>
      <c r="C5878" s="8">
        <v>0</v>
      </c>
      <c r="D5878" s="3" t="s">
        <v>2187</v>
      </c>
      <c r="E5878" s="2" t="s">
        <v>40</v>
      </c>
      <c r="G5878" s="19">
        <f>+G5856+G5860+G5864+G5868</f>
        <v>91281</v>
      </c>
      <c r="H5878" s="19">
        <f>+H5856+H5860+H5864+H5868</f>
        <v>45642</v>
      </c>
      <c r="I5878" s="19">
        <f>+I5856+I5860+I5864+I5868</f>
        <v>45639</v>
      </c>
      <c r="J5878" s="3" t="str">
        <f t="shared" si="422"/>
        <v>7900000</v>
      </c>
    </row>
    <row r="5879" spans="1:10" s="3" customFormat="1">
      <c r="B5879" s="3" t="s">
        <v>2163</v>
      </c>
      <c r="C5879" s="8">
        <v>0</v>
      </c>
      <c r="D5879" s="125" t="s">
        <v>2187</v>
      </c>
      <c r="E5879" s="18" t="s">
        <v>41</v>
      </c>
      <c r="G5879" s="19">
        <f>+G5875-G5876-G5877-G5878</f>
        <v>1211234</v>
      </c>
      <c r="H5879" s="19">
        <f>+H5875-H5876-H5877-H5878</f>
        <v>605630</v>
      </c>
      <c r="I5879" s="19">
        <f>+I5875-I5876-I5877-I5878</f>
        <v>605604</v>
      </c>
      <c r="J5879" s="3" t="str">
        <f t="shared" si="422"/>
        <v>7900000</v>
      </c>
    </row>
    <row r="5880" spans="1:10" ht="15.75">
      <c r="B5880" s="3" t="s">
        <v>2186</v>
      </c>
      <c r="D5880" t="s">
        <v>2186</v>
      </c>
      <c r="E5880">
        <v>0</v>
      </c>
      <c r="G5880"/>
      <c r="H5880"/>
      <c r="I5880"/>
      <c r="J5880" s="3" t="str">
        <f t="shared" si="422"/>
        <v/>
      </c>
    </row>
    <row r="5881" spans="1:10" s="3" customFormat="1">
      <c r="C5881" s="1"/>
      <c r="D5881" s="3" t="s">
        <v>2186</v>
      </c>
      <c r="E5881" s="2" t="s">
        <v>1679</v>
      </c>
      <c r="J5881" s="3" t="str">
        <f t="shared" si="422"/>
        <v/>
      </c>
    </row>
    <row r="5882" spans="1:10" s="3" customFormat="1" ht="45">
      <c r="B5882" s="3" t="s">
        <v>2186</v>
      </c>
      <c r="C5882" s="1"/>
      <c r="D5882" s="3" t="s">
        <v>2186</v>
      </c>
      <c r="E5882" s="1">
        <v>0</v>
      </c>
      <c r="F5882" s="6" t="s">
        <v>1</v>
      </c>
      <c r="G5882" s="60">
        <f>'Allocation Worksheet'!H5882</f>
        <v>0</v>
      </c>
      <c r="H5882" s="60">
        <f>'Allocation Worksheet'!H5883</f>
        <v>0</v>
      </c>
      <c r="I5882" s="60">
        <f>'Allocation Worksheet'!H5884</f>
        <v>0</v>
      </c>
      <c r="J5882" s="3" t="str">
        <f t="shared" si="422"/>
        <v/>
      </c>
    </row>
    <row r="5883" spans="1:10" s="3" customFormat="1">
      <c r="C5883" s="7" t="s">
        <v>2087</v>
      </c>
      <c r="D5883" s="3" t="s">
        <v>2186</v>
      </c>
      <c r="E5883" s="7" t="s">
        <v>3</v>
      </c>
      <c r="F5883" s="10"/>
      <c r="G5883" s="9">
        <f>'Allocation Worksheet'!$D$83</f>
        <v>165221</v>
      </c>
      <c r="H5883" s="11"/>
      <c r="I5883" s="11"/>
      <c r="J5883" s="3" t="str">
        <f t="shared" si="422"/>
        <v>UT</v>
      </c>
    </row>
    <row r="5884" spans="1:10" s="3" customFormat="1">
      <c r="B5884" s="3" t="s">
        <v>2164</v>
      </c>
      <c r="C5884" s="8">
        <v>0</v>
      </c>
      <c r="D5884" s="3" t="s">
        <v>2187</v>
      </c>
      <c r="E5884" s="11" t="s">
        <v>4</v>
      </c>
      <c r="F5884" s="10">
        <v>1.2359999999999999E-3</v>
      </c>
      <c r="G5884" s="12">
        <f>ROUND(G$3*F5884,0)</f>
        <v>356</v>
      </c>
      <c r="H5884" s="13">
        <f>ROUND(G5884/2,0)</f>
        <v>178</v>
      </c>
      <c r="I5884" s="12">
        <f>G5884-H5884</f>
        <v>178</v>
      </c>
      <c r="J5884" s="3" t="str">
        <f t="shared" si="422"/>
        <v>8000000</v>
      </c>
    </row>
    <row r="5885" spans="1:10" s="3" customFormat="1">
      <c r="B5885" s="3" t="s">
        <v>2164</v>
      </c>
      <c r="C5885" s="8">
        <v>1</v>
      </c>
      <c r="D5885" s="3" t="s">
        <v>2187</v>
      </c>
      <c r="E5885" s="11" t="s">
        <v>1680</v>
      </c>
      <c r="F5885" s="10">
        <v>0.18529000000000001</v>
      </c>
      <c r="G5885" s="9">
        <f>ROUND(G$3*F5885,0)</f>
        <v>53312</v>
      </c>
      <c r="H5885" s="11">
        <f>ROUND(G5885/2,0)</f>
        <v>26656</v>
      </c>
      <c r="I5885" s="9">
        <f>G5885-H5885</f>
        <v>26656</v>
      </c>
      <c r="J5885" s="3" t="str">
        <f t="shared" si="422"/>
        <v>8010000</v>
      </c>
    </row>
    <row r="5886" spans="1:10" s="3" customFormat="1">
      <c r="B5886" s="3" t="s">
        <v>2164</v>
      </c>
      <c r="C5886" s="8">
        <v>1</v>
      </c>
      <c r="D5886" s="3" t="s">
        <v>2187</v>
      </c>
      <c r="E5886" s="11" t="s">
        <v>6</v>
      </c>
      <c r="F5886" s="11"/>
      <c r="G5886" s="14">
        <v>7.0050000000000001E-2</v>
      </c>
      <c r="H5886" s="11"/>
      <c r="I5886" s="11"/>
      <c r="J5886" s="3" t="str">
        <f t="shared" si="422"/>
        <v>8010000</v>
      </c>
    </row>
    <row r="5887" spans="1:10" s="3" customFormat="1">
      <c r="B5887" s="3" t="s">
        <v>2164</v>
      </c>
      <c r="C5887" s="8">
        <v>1</v>
      </c>
      <c r="D5887" s="3" t="s">
        <v>2187</v>
      </c>
      <c r="E5887" s="11" t="s">
        <v>7</v>
      </c>
      <c r="F5887" s="11"/>
      <c r="G5887" s="15">
        <f>ROUND(G5885*G5886,0)</f>
        <v>3735</v>
      </c>
      <c r="H5887" s="16">
        <f>ROUND(G5887/2,0)</f>
        <v>1868</v>
      </c>
      <c r="I5887" s="15">
        <f>G5887-H5887</f>
        <v>1867</v>
      </c>
      <c r="J5887" s="3" t="str">
        <f t="shared" si="422"/>
        <v>8010000</v>
      </c>
    </row>
    <row r="5888" spans="1:10" s="3" customFormat="1">
      <c r="B5888" s="3" t="s">
        <v>2164</v>
      </c>
      <c r="C5888" s="8">
        <v>1</v>
      </c>
      <c r="D5888" s="3" t="s">
        <v>2187</v>
      </c>
      <c r="E5888" s="11" t="s">
        <v>8</v>
      </c>
      <c r="F5888" s="11"/>
      <c r="G5888" s="12">
        <f>+G5885-G5887</f>
        <v>49577</v>
      </c>
      <c r="H5888" s="13">
        <f>ROUND(G5888/2,0)</f>
        <v>24789</v>
      </c>
      <c r="I5888" s="12">
        <f>G5888-H5888</f>
        <v>24788</v>
      </c>
      <c r="J5888" s="3" t="str">
        <f t="shared" si="422"/>
        <v>8010000</v>
      </c>
    </row>
    <row r="5889" spans="2:10" s="3" customFormat="1">
      <c r="B5889" s="3" t="s">
        <v>2164</v>
      </c>
      <c r="C5889" s="8">
        <v>2</v>
      </c>
      <c r="D5889" s="3" t="s">
        <v>2188</v>
      </c>
      <c r="E5889" s="11" t="s">
        <v>1681</v>
      </c>
      <c r="F5889" s="11"/>
      <c r="G5889" s="9"/>
      <c r="H5889" s="11"/>
      <c r="I5889" s="11"/>
      <c r="J5889" s="3" t="str">
        <f t="shared" si="422"/>
        <v>8020001</v>
      </c>
    </row>
    <row r="5890" spans="2:10" s="3" customFormat="1">
      <c r="B5890" s="3" t="s">
        <v>2164</v>
      </c>
      <c r="C5890" s="8">
        <v>2</v>
      </c>
      <c r="D5890" s="3" t="s">
        <v>2188</v>
      </c>
      <c r="E5890" s="11" t="s">
        <v>10</v>
      </c>
      <c r="F5890" s="10">
        <v>6.0289999999999996E-3</v>
      </c>
      <c r="G5890" s="12">
        <f>ROUND(G$3*F5890,0)</f>
        <v>1735</v>
      </c>
      <c r="H5890" s="13">
        <f>ROUND(G5890/2,0)</f>
        <v>868</v>
      </c>
      <c r="I5890" s="12">
        <f>G5890-H5890</f>
        <v>867</v>
      </c>
      <c r="J5890" s="3" t="str">
        <f t="shared" si="422"/>
        <v>8020001</v>
      </c>
    </row>
    <row r="5891" spans="2:10" s="3" customFormat="1">
      <c r="B5891" s="3" t="s">
        <v>2164</v>
      </c>
      <c r="C5891" s="8">
        <v>2</v>
      </c>
      <c r="D5891" s="3" t="s">
        <v>2188</v>
      </c>
      <c r="E5891" s="11" t="s">
        <v>11</v>
      </c>
      <c r="F5891" s="10">
        <v>7.0000000000000001E-3</v>
      </c>
      <c r="G5891" s="12">
        <f>ROUND(G$3*F5891,0)</f>
        <v>2014</v>
      </c>
      <c r="H5891" s="13">
        <f>ROUND(G5891/2,0)</f>
        <v>1007</v>
      </c>
      <c r="I5891" s="12">
        <f>G5891-H5891</f>
        <v>1007</v>
      </c>
      <c r="J5891" s="3" t="str">
        <f t="shared" si="422"/>
        <v>8020001</v>
      </c>
    </row>
    <row r="5892" spans="2:10" s="3" customFormat="1">
      <c r="B5892" s="3" t="s">
        <v>2164</v>
      </c>
      <c r="C5892" s="8">
        <v>2</v>
      </c>
      <c r="D5892" s="3" t="s">
        <v>2189</v>
      </c>
      <c r="E5892" s="11" t="s">
        <v>14</v>
      </c>
      <c r="F5892" s="11"/>
      <c r="G5892" s="9"/>
      <c r="H5892" s="11"/>
      <c r="I5892" s="11"/>
      <c r="J5892" s="3" t="str">
        <f t="shared" ref="J5892:J5955" si="428">B5892&amp;C5892&amp;D5892</f>
        <v>8020002</v>
      </c>
    </row>
    <row r="5893" spans="2:10" s="3" customFormat="1">
      <c r="B5893" s="3" t="s">
        <v>2164</v>
      </c>
      <c r="C5893" s="8">
        <v>2</v>
      </c>
      <c r="D5893" s="3" t="s">
        <v>2189</v>
      </c>
      <c r="E5893" s="11" t="s">
        <v>10</v>
      </c>
      <c r="F5893" s="10">
        <v>2.3939999999999999E-3</v>
      </c>
      <c r="G5893" s="12">
        <f>ROUND(G$3*F5893,0)</f>
        <v>689</v>
      </c>
      <c r="H5893" s="13">
        <f>ROUND(G5893/2,0)</f>
        <v>345</v>
      </c>
      <c r="I5893" s="12">
        <f>G5893-H5893</f>
        <v>344</v>
      </c>
      <c r="J5893" s="3" t="str">
        <f t="shared" si="428"/>
        <v>8020002</v>
      </c>
    </row>
    <row r="5894" spans="2:10" s="3" customFormat="1">
      <c r="B5894" s="3" t="s">
        <v>2164</v>
      </c>
      <c r="C5894" s="8">
        <v>2</v>
      </c>
      <c r="D5894" s="3" t="s">
        <v>2189</v>
      </c>
      <c r="E5894" s="11" t="s">
        <v>11</v>
      </c>
      <c r="F5894" s="10">
        <v>4.6299999999999998E-4</v>
      </c>
      <c r="G5894" s="12">
        <f>ROUND(G$3*F5894,0)</f>
        <v>133</v>
      </c>
      <c r="H5894" s="13">
        <f>ROUND(G5894/2,0)</f>
        <v>67</v>
      </c>
      <c r="I5894" s="12">
        <f>G5894-H5894</f>
        <v>66</v>
      </c>
      <c r="J5894" s="3" t="str">
        <f t="shared" si="428"/>
        <v>8020002</v>
      </c>
    </row>
    <row r="5895" spans="2:10" s="3" customFormat="1">
      <c r="B5895" s="3" t="s">
        <v>2164</v>
      </c>
      <c r="C5895" s="8">
        <v>2</v>
      </c>
      <c r="D5895" s="3" t="s">
        <v>2190</v>
      </c>
      <c r="E5895" s="11" t="s">
        <v>181</v>
      </c>
      <c r="F5895" s="11"/>
      <c r="G5895" s="9"/>
      <c r="H5895" s="11"/>
      <c r="I5895" s="11"/>
      <c r="J5895" s="3" t="str">
        <f t="shared" si="428"/>
        <v>8020003</v>
      </c>
    </row>
    <row r="5896" spans="2:10" s="3" customFormat="1">
      <c r="B5896" s="3" t="s">
        <v>2164</v>
      </c>
      <c r="C5896" s="8">
        <v>2</v>
      </c>
      <c r="D5896" s="3" t="s">
        <v>2190</v>
      </c>
      <c r="E5896" s="11" t="s">
        <v>10</v>
      </c>
      <c r="F5896" s="10">
        <v>1.704E-3</v>
      </c>
      <c r="G5896" s="12">
        <f>ROUND(G$3*F5896,0)</f>
        <v>490</v>
      </c>
      <c r="H5896" s="13">
        <f>ROUND(G5896/2,0)</f>
        <v>245</v>
      </c>
      <c r="I5896" s="12">
        <f>G5896-H5896</f>
        <v>245</v>
      </c>
      <c r="J5896" s="3" t="str">
        <f t="shared" si="428"/>
        <v>8020003</v>
      </c>
    </row>
    <row r="5897" spans="2:10" s="3" customFormat="1">
      <c r="B5897" s="3" t="s">
        <v>2164</v>
      </c>
      <c r="C5897" s="8">
        <v>2</v>
      </c>
      <c r="D5897" s="3" t="s">
        <v>2190</v>
      </c>
      <c r="E5897" s="11" t="s">
        <v>11</v>
      </c>
      <c r="F5897" s="10">
        <v>2.333E-3</v>
      </c>
      <c r="G5897" s="12">
        <f>ROUND(G$3*F5897,0)</f>
        <v>671</v>
      </c>
      <c r="H5897" s="13">
        <f>ROUND(G5897/2,0)</f>
        <v>336</v>
      </c>
      <c r="I5897" s="12">
        <f>G5897-H5897</f>
        <v>335</v>
      </c>
      <c r="J5897" s="3" t="str">
        <f t="shared" si="428"/>
        <v>8020003</v>
      </c>
    </row>
    <row r="5898" spans="2:10" s="3" customFormat="1">
      <c r="B5898" s="3" t="s">
        <v>2164</v>
      </c>
      <c r="C5898" s="8">
        <v>2</v>
      </c>
      <c r="D5898" s="3" t="s">
        <v>2191</v>
      </c>
      <c r="E5898" s="11" t="s">
        <v>52</v>
      </c>
      <c r="F5898" s="11"/>
      <c r="G5898" s="9"/>
      <c r="H5898" s="11"/>
      <c r="I5898" s="11"/>
      <c r="J5898" s="3" t="str">
        <f t="shared" si="428"/>
        <v>8020004</v>
      </c>
    </row>
    <row r="5899" spans="2:10" s="3" customFormat="1">
      <c r="B5899" s="3" t="s">
        <v>2164</v>
      </c>
      <c r="C5899" s="8">
        <v>2</v>
      </c>
      <c r="D5899" s="3" t="s">
        <v>2191</v>
      </c>
      <c r="E5899" s="11" t="s">
        <v>10</v>
      </c>
      <c r="F5899" s="10">
        <v>1.3179999999999999E-3</v>
      </c>
      <c r="G5899" s="12">
        <f>ROUND(G$3*F5899,0)</f>
        <v>379</v>
      </c>
      <c r="H5899" s="13">
        <f>ROUND(G5899/2,0)</f>
        <v>190</v>
      </c>
      <c r="I5899" s="12">
        <f>G5899-H5899</f>
        <v>189</v>
      </c>
      <c r="J5899" s="3" t="str">
        <f t="shared" si="428"/>
        <v>8020004</v>
      </c>
    </row>
    <row r="5900" spans="2:10" s="3" customFormat="1">
      <c r="B5900" s="3" t="s">
        <v>2164</v>
      </c>
      <c r="C5900" s="8">
        <v>2</v>
      </c>
      <c r="D5900" s="3" t="s">
        <v>2191</v>
      </c>
      <c r="E5900" s="11" t="s">
        <v>11</v>
      </c>
      <c r="F5900" s="10">
        <v>2.9840000000000001E-3</v>
      </c>
      <c r="G5900" s="12">
        <f>ROUND(G$3*F5900,0)</f>
        <v>859</v>
      </c>
      <c r="H5900" s="13">
        <f>ROUND(G5900/2,0)</f>
        <v>430</v>
      </c>
      <c r="I5900" s="12">
        <f>G5900-H5900</f>
        <v>429</v>
      </c>
      <c r="J5900" s="3" t="str">
        <f t="shared" si="428"/>
        <v>8020004</v>
      </c>
    </row>
    <row r="5901" spans="2:10" s="3" customFormat="1">
      <c r="B5901" s="3" t="s">
        <v>2164</v>
      </c>
      <c r="C5901" s="8">
        <v>2</v>
      </c>
      <c r="D5901" s="3" t="s">
        <v>2192</v>
      </c>
      <c r="E5901" s="11" t="s">
        <v>744</v>
      </c>
      <c r="F5901" s="11"/>
      <c r="G5901" s="9"/>
      <c r="H5901" s="11"/>
      <c r="I5901" s="11"/>
      <c r="J5901" s="3" t="str">
        <f t="shared" si="428"/>
        <v>8020005</v>
      </c>
    </row>
    <row r="5902" spans="2:10" s="3" customFormat="1">
      <c r="B5902" s="3" t="s">
        <v>2164</v>
      </c>
      <c r="C5902" s="8">
        <v>2</v>
      </c>
      <c r="D5902" s="3" t="s">
        <v>2192</v>
      </c>
      <c r="E5902" s="11" t="s">
        <v>10</v>
      </c>
      <c r="F5902" s="10">
        <v>1.1249999999999999E-3</v>
      </c>
      <c r="G5902" s="12">
        <f>ROUND(G$3*F5902,0)</f>
        <v>324</v>
      </c>
      <c r="H5902" s="13">
        <f>ROUND(G5902/2,0)</f>
        <v>162</v>
      </c>
      <c r="I5902" s="12">
        <f>G5902-H5902</f>
        <v>162</v>
      </c>
      <c r="J5902" s="3" t="str">
        <f t="shared" si="428"/>
        <v>8020005</v>
      </c>
    </row>
    <row r="5903" spans="2:10" s="3" customFormat="1">
      <c r="B5903" s="3" t="s">
        <v>2164</v>
      </c>
      <c r="C5903" s="8">
        <v>2</v>
      </c>
      <c r="D5903" s="3" t="s">
        <v>2192</v>
      </c>
      <c r="E5903" s="11" t="s">
        <v>11</v>
      </c>
      <c r="F5903" s="10">
        <v>6.1799999999999995E-4</v>
      </c>
      <c r="G5903" s="12">
        <f>ROUND(G$3*F5903,0)</f>
        <v>178</v>
      </c>
      <c r="H5903" s="13">
        <f>ROUND(G5903/2,0)</f>
        <v>89</v>
      </c>
      <c r="I5903" s="12">
        <f>G5903-H5903</f>
        <v>89</v>
      </c>
      <c r="J5903" s="3" t="str">
        <f t="shared" si="428"/>
        <v>8020005</v>
      </c>
    </row>
    <row r="5904" spans="2:10" s="3" customFormat="1">
      <c r="B5904" s="3" t="s">
        <v>2164</v>
      </c>
      <c r="C5904" s="8">
        <v>2</v>
      </c>
      <c r="D5904" s="3" t="s">
        <v>2193</v>
      </c>
      <c r="E5904" s="11" t="s">
        <v>1682</v>
      </c>
      <c r="F5904" s="11"/>
      <c r="G5904" s="9"/>
      <c r="H5904" s="11"/>
      <c r="I5904" s="11"/>
      <c r="J5904" s="3" t="str">
        <f t="shared" si="428"/>
        <v>8020006</v>
      </c>
    </row>
    <row r="5905" spans="1:10" s="3" customFormat="1">
      <c r="B5905" s="3" t="s">
        <v>2164</v>
      </c>
      <c r="C5905" s="8">
        <v>2</v>
      </c>
      <c r="D5905" s="3" t="s">
        <v>2193</v>
      </c>
      <c r="E5905" s="11" t="s">
        <v>10</v>
      </c>
      <c r="F5905" s="10">
        <v>3.0119999999999999E-3</v>
      </c>
      <c r="G5905" s="12">
        <f t="shared" ref="G5905:G5912" si="429">ROUND(G$3*F5905,0)</f>
        <v>867</v>
      </c>
      <c r="H5905" s="13">
        <f t="shared" ref="H5905:H5912" si="430">ROUND(G5905/2,0)</f>
        <v>434</v>
      </c>
      <c r="I5905" s="12">
        <f t="shared" ref="I5905:I5912" si="431">G5905-H5905</f>
        <v>433</v>
      </c>
      <c r="J5905" s="3" t="str">
        <f t="shared" si="428"/>
        <v>8020006</v>
      </c>
    </row>
    <row r="5906" spans="1:10" s="3" customFormat="1">
      <c r="B5906" s="3" t="s">
        <v>2164</v>
      </c>
      <c r="C5906" s="8">
        <v>2</v>
      </c>
      <c r="D5906" s="3" t="s">
        <v>2193</v>
      </c>
      <c r="E5906" s="11" t="s">
        <v>11</v>
      </c>
      <c r="F5906" s="10">
        <v>1.2800000000000001E-3</v>
      </c>
      <c r="G5906" s="12">
        <f t="shared" si="429"/>
        <v>368</v>
      </c>
      <c r="H5906" s="13">
        <f t="shared" si="430"/>
        <v>184</v>
      </c>
      <c r="I5906" s="12">
        <f t="shared" si="431"/>
        <v>184</v>
      </c>
      <c r="J5906" s="3" t="str">
        <f t="shared" si="428"/>
        <v>8020006</v>
      </c>
    </row>
    <row r="5907" spans="1:10" s="3" customFormat="1">
      <c r="A5907" s="3" t="s">
        <v>6269</v>
      </c>
      <c r="B5907" s="3" t="s">
        <v>2164</v>
      </c>
      <c r="C5907" s="8">
        <v>3</v>
      </c>
      <c r="D5907" s="3" t="s">
        <v>2773</v>
      </c>
      <c r="E5907" s="11" t="s">
        <v>1130</v>
      </c>
      <c r="F5907" s="10">
        <v>0</v>
      </c>
      <c r="G5907" s="12">
        <f t="shared" si="429"/>
        <v>0</v>
      </c>
      <c r="H5907" s="13">
        <f t="shared" si="430"/>
        <v>0</v>
      </c>
      <c r="I5907" s="12">
        <f t="shared" si="431"/>
        <v>0</v>
      </c>
      <c r="J5907" s="3" t="str">
        <f t="shared" si="428"/>
        <v>8030320</v>
      </c>
    </row>
    <row r="5908" spans="1:10" s="3" customFormat="1">
      <c r="B5908" s="3" t="s">
        <v>2164</v>
      </c>
      <c r="C5908" s="8">
        <v>3</v>
      </c>
      <c r="D5908" s="3" t="s">
        <v>3045</v>
      </c>
      <c r="E5908" s="11" t="s">
        <v>1683</v>
      </c>
      <c r="F5908" s="10">
        <v>1.3619999999999999E-3</v>
      </c>
      <c r="G5908" s="12">
        <f t="shared" si="429"/>
        <v>392</v>
      </c>
      <c r="H5908" s="13">
        <f t="shared" si="430"/>
        <v>196</v>
      </c>
      <c r="I5908" s="12">
        <f t="shared" si="431"/>
        <v>196</v>
      </c>
      <c r="J5908" s="3" t="str">
        <f t="shared" si="428"/>
        <v>8030892</v>
      </c>
    </row>
    <row r="5909" spans="1:10" s="3" customFormat="1">
      <c r="B5909" s="3" t="s">
        <v>2164</v>
      </c>
      <c r="C5909" s="8">
        <v>3</v>
      </c>
      <c r="D5909" s="3" t="s">
        <v>3046</v>
      </c>
      <c r="E5909" s="11" t="s">
        <v>1684</v>
      </c>
      <c r="F5909" s="10">
        <v>8.7699999999999996E-4</v>
      </c>
      <c r="G5909" s="12">
        <f t="shared" si="429"/>
        <v>252</v>
      </c>
      <c r="H5909" s="13">
        <f t="shared" si="430"/>
        <v>126</v>
      </c>
      <c r="I5909" s="12">
        <f t="shared" si="431"/>
        <v>126</v>
      </c>
      <c r="J5909" s="3" t="str">
        <f t="shared" si="428"/>
        <v>8030893</v>
      </c>
    </row>
    <row r="5910" spans="1:10" s="3" customFormat="1">
      <c r="B5910" s="3" t="s">
        <v>2164</v>
      </c>
      <c r="C5910" s="8">
        <v>3</v>
      </c>
      <c r="D5910" s="3" t="s">
        <v>3044</v>
      </c>
      <c r="E5910" s="11" t="s">
        <v>1685</v>
      </c>
      <c r="F5910" s="10">
        <v>9.1991000000000003E-2</v>
      </c>
      <c r="G5910" s="12">
        <f t="shared" si="429"/>
        <v>26468</v>
      </c>
      <c r="H5910" s="13">
        <f t="shared" si="430"/>
        <v>13234</v>
      </c>
      <c r="I5910" s="12">
        <f t="shared" si="431"/>
        <v>13234</v>
      </c>
      <c r="J5910" s="3" t="str">
        <f t="shared" si="428"/>
        <v>8030428</v>
      </c>
    </row>
    <row r="5911" spans="1:10" s="3" customFormat="1">
      <c r="B5911" s="3" t="s">
        <v>2164</v>
      </c>
      <c r="C5911" s="8">
        <v>3</v>
      </c>
      <c r="D5911" s="3" t="s">
        <v>2818</v>
      </c>
      <c r="E5911" s="11" t="s">
        <v>1686</v>
      </c>
      <c r="F5911" s="10">
        <v>4.5620000000000001E-3</v>
      </c>
      <c r="G5911" s="12">
        <f t="shared" si="429"/>
        <v>1313</v>
      </c>
      <c r="H5911" s="13">
        <f t="shared" si="430"/>
        <v>657</v>
      </c>
      <c r="I5911" s="12">
        <f t="shared" si="431"/>
        <v>656</v>
      </c>
      <c r="J5911" s="3" t="str">
        <f t="shared" si="428"/>
        <v>8030894</v>
      </c>
    </row>
    <row r="5912" spans="1:10" s="128" customFormat="1">
      <c r="B5912" s="128" t="s">
        <v>2164</v>
      </c>
      <c r="C5912" s="129">
        <v>4</v>
      </c>
      <c r="D5912" s="128" t="s">
        <v>5900</v>
      </c>
      <c r="E5912" s="131" t="s">
        <v>1687</v>
      </c>
      <c r="F5912" s="133">
        <v>0.220968</v>
      </c>
      <c r="G5912" s="132">
        <f t="shared" si="429"/>
        <v>63578</v>
      </c>
      <c r="H5912" s="131">
        <f t="shared" si="430"/>
        <v>31789</v>
      </c>
      <c r="I5912" s="132">
        <f t="shared" si="431"/>
        <v>31789</v>
      </c>
      <c r="J5912" s="128" t="str">
        <f t="shared" si="428"/>
        <v>8047935</v>
      </c>
    </row>
    <row r="5913" spans="1:10" s="3" customFormat="1">
      <c r="B5913" s="3" t="s">
        <v>2164</v>
      </c>
      <c r="C5913" s="8">
        <v>4</v>
      </c>
      <c r="D5913" s="128" t="s">
        <v>5900</v>
      </c>
      <c r="E5913" s="11" t="s">
        <v>28</v>
      </c>
      <c r="F5913" s="11"/>
      <c r="G5913" s="14">
        <v>0.43543100000000001</v>
      </c>
      <c r="H5913" s="11"/>
      <c r="I5913" s="11"/>
      <c r="J5913" s="3" t="str">
        <f t="shared" si="428"/>
        <v>8047935</v>
      </c>
    </row>
    <row r="5914" spans="1:10" s="3" customFormat="1">
      <c r="B5914" s="3" t="s">
        <v>2164</v>
      </c>
      <c r="C5914" s="8">
        <v>4</v>
      </c>
      <c r="D5914" s="128" t="s">
        <v>5900</v>
      </c>
      <c r="E5914" s="11" t="s">
        <v>29</v>
      </c>
      <c r="F5914" s="11"/>
      <c r="G5914" s="15">
        <f>ROUND(G5912*G5913,0)</f>
        <v>27684</v>
      </c>
      <c r="H5914" s="16">
        <f>ROUND(G5914/2,0)</f>
        <v>13842</v>
      </c>
      <c r="I5914" s="15">
        <f>G5914-H5914</f>
        <v>13842</v>
      </c>
      <c r="J5914" s="3" t="str">
        <f t="shared" si="428"/>
        <v>8047935</v>
      </c>
    </row>
    <row r="5915" spans="1:10" s="3" customFormat="1">
      <c r="B5915" s="3" t="s">
        <v>2164</v>
      </c>
      <c r="C5915" s="8">
        <v>4</v>
      </c>
      <c r="D5915" s="128" t="s">
        <v>5900</v>
      </c>
      <c r="E5915" s="11" t="s">
        <v>30</v>
      </c>
      <c r="F5915" s="11"/>
      <c r="G5915" s="12">
        <f>+G5912-G5914</f>
        <v>35894</v>
      </c>
      <c r="H5915" s="13">
        <f>ROUND(G5915/2,0)</f>
        <v>17947</v>
      </c>
      <c r="I5915" s="12">
        <f>G5915-H5915</f>
        <v>17947</v>
      </c>
      <c r="J5915" s="3" t="str">
        <f t="shared" si="428"/>
        <v>8047935</v>
      </c>
    </row>
    <row r="5916" spans="1:10" s="3" customFormat="1">
      <c r="B5916" s="3" t="s">
        <v>2164</v>
      </c>
      <c r="C5916" s="8">
        <v>4</v>
      </c>
      <c r="D5916" s="3" t="s">
        <v>3047</v>
      </c>
      <c r="E5916" s="11" t="s">
        <v>1688</v>
      </c>
      <c r="F5916" s="10">
        <v>0.41634599999999999</v>
      </c>
      <c r="G5916" s="9">
        <f>ROUND(G$3*F5916,0)</f>
        <v>119792</v>
      </c>
      <c r="H5916" s="11">
        <f>ROUND(G5916/2,0)</f>
        <v>59896</v>
      </c>
      <c r="I5916" s="9">
        <f>G5916-H5916</f>
        <v>59896</v>
      </c>
      <c r="J5916" s="3" t="str">
        <f t="shared" si="428"/>
        <v>8047945</v>
      </c>
    </row>
    <row r="5917" spans="1:10" s="3" customFormat="1">
      <c r="B5917" s="3" t="s">
        <v>2164</v>
      </c>
      <c r="C5917" s="8">
        <v>4</v>
      </c>
      <c r="D5917" s="3" t="s">
        <v>3047</v>
      </c>
      <c r="E5917" s="11" t="s">
        <v>28</v>
      </c>
      <c r="F5917" s="11"/>
      <c r="G5917" s="14">
        <v>0.48242400000000002</v>
      </c>
      <c r="H5917" s="11"/>
      <c r="I5917" s="11"/>
      <c r="J5917" s="3" t="str">
        <f t="shared" si="428"/>
        <v>8047945</v>
      </c>
    </row>
    <row r="5918" spans="1:10" s="3" customFormat="1">
      <c r="B5918" s="3" t="s">
        <v>2164</v>
      </c>
      <c r="C5918" s="8">
        <v>4</v>
      </c>
      <c r="D5918" s="3" t="s">
        <v>3047</v>
      </c>
      <c r="E5918" s="11" t="s">
        <v>29</v>
      </c>
      <c r="F5918" s="11"/>
      <c r="G5918" s="15">
        <f>ROUND(G5916*G5917,0)</f>
        <v>57791</v>
      </c>
      <c r="H5918" s="16">
        <f>ROUND(G5918/2,0)</f>
        <v>28896</v>
      </c>
      <c r="I5918" s="15">
        <f>G5918-H5918</f>
        <v>28895</v>
      </c>
      <c r="J5918" s="3" t="str">
        <f t="shared" si="428"/>
        <v>8047945</v>
      </c>
    </row>
    <row r="5919" spans="1:10" s="3" customFormat="1">
      <c r="B5919" s="3" t="s">
        <v>2164</v>
      </c>
      <c r="C5919" s="8">
        <v>4</v>
      </c>
      <c r="D5919" s="3" t="s">
        <v>3047</v>
      </c>
      <c r="E5919" s="11" t="s">
        <v>30</v>
      </c>
      <c r="F5919" s="11"/>
      <c r="G5919" s="12">
        <f>+G5916-G5918</f>
        <v>62001</v>
      </c>
      <c r="H5919" s="13">
        <f>ROUND(G5919/2,0)</f>
        <v>31001</v>
      </c>
      <c r="I5919" s="12">
        <f>G5919-H5919</f>
        <v>31000</v>
      </c>
      <c r="J5919" s="3" t="str">
        <f t="shared" si="428"/>
        <v>8047945</v>
      </c>
    </row>
    <row r="5920" spans="1:10" s="3" customFormat="1">
      <c r="B5920" s="3" t="s">
        <v>2164</v>
      </c>
      <c r="C5920" s="8">
        <v>5</v>
      </c>
      <c r="D5920" s="3" t="s">
        <v>5904</v>
      </c>
      <c r="E5920" s="11" t="s">
        <v>1689</v>
      </c>
      <c r="F5920" s="10">
        <v>4.0856999999999997E-2</v>
      </c>
      <c r="G5920" s="120">
        <f>ROUND(G$3*F5920,0)</f>
        <v>11755</v>
      </c>
      <c r="H5920" s="120">
        <f>ROUND(G5920/2,0)</f>
        <v>5878</v>
      </c>
      <c r="I5920" s="120">
        <f>G5920-H5920</f>
        <v>5877</v>
      </c>
      <c r="J5920" s="3" t="str">
        <f t="shared" si="428"/>
        <v>8050222</v>
      </c>
    </row>
    <row r="5921" spans="2:10" s="3" customFormat="1">
      <c r="B5921" s="3" t="s">
        <v>2164</v>
      </c>
      <c r="C5921" s="8">
        <v>6</v>
      </c>
      <c r="D5921" s="3" t="s">
        <v>3048</v>
      </c>
      <c r="E5921" s="11" t="s">
        <v>1690</v>
      </c>
      <c r="F5921" s="10">
        <v>6.2510000000000066E-3</v>
      </c>
      <c r="G5921" s="12">
        <f>+G5883-SUM(G5884:G5885)-SUM(G5890:G5912)-G5916-G5920</f>
        <v>-120704</v>
      </c>
      <c r="H5921" s="13">
        <f>ROUND(G5921/2,0)</f>
        <v>-60352</v>
      </c>
      <c r="I5921" s="12">
        <f>G5921-H5921</f>
        <v>-60352</v>
      </c>
      <c r="J5921" s="3" t="str">
        <f t="shared" si="428"/>
        <v>8061037</v>
      </c>
    </row>
    <row r="5922" spans="2:10" s="3" customFormat="1">
      <c r="B5922" s="3" t="s">
        <v>2164</v>
      </c>
      <c r="C5922" s="8">
        <v>0</v>
      </c>
      <c r="D5922" s="125" t="s">
        <v>2187</v>
      </c>
      <c r="E5922" s="28" t="s">
        <v>288</v>
      </c>
      <c r="F5922" s="10">
        <v>1</v>
      </c>
      <c r="G5922" s="12">
        <f>+G5884+SUM(G5887:G5911)+SUM(G5914:G5915)+SUM(G5918:G5921)</f>
        <v>165221</v>
      </c>
      <c r="H5922" s="12">
        <f>+H5884+SUM(H5887:H5911)+SUM(H5914:H5915)+SUM(H5918:H5921)</f>
        <v>82617</v>
      </c>
      <c r="I5922" s="12">
        <f>+I5884+SUM(I5887:I5911)+SUM(I5914:I5915)+SUM(I5918:I5921)</f>
        <v>82604</v>
      </c>
      <c r="J5922" s="3" t="str">
        <f t="shared" si="428"/>
        <v>8000000</v>
      </c>
    </row>
    <row r="5923" spans="2:10" s="3" customFormat="1">
      <c r="B5923" s="3" t="s">
        <v>2164</v>
      </c>
      <c r="C5923" s="8">
        <v>0</v>
      </c>
      <c r="D5923" s="3" t="s">
        <v>2187</v>
      </c>
      <c r="E5923" s="18" t="s">
        <v>38</v>
      </c>
      <c r="G5923" s="19">
        <f>+G5884</f>
        <v>356</v>
      </c>
      <c r="H5923" s="19">
        <f>+H5884</f>
        <v>178</v>
      </c>
      <c r="I5923" s="19">
        <f>+I5884</f>
        <v>178</v>
      </c>
      <c r="J5923" s="3" t="str">
        <f t="shared" si="428"/>
        <v>8000000</v>
      </c>
    </row>
    <row r="5924" spans="2:10" s="3" customFormat="1">
      <c r="B5924" s="3" t="s">
        <v>2164</v>
      </c>
      <c r="C5924" s="8">
        <v>0</v>
      </c>
      <c r="D5924" s="3" t="s">
        <v>2187</v>
      </c>
      <c r="E5924" s="2" t="s">
        <v>39</v>
      </c>
      <c r="G5924" s="19">
        <f>+G5887</f>
        <v>3735</v>
      </c>
      <c r="H5924" s="19">
        <f>+H5887</f>
        <v>1868</v>
      </c>
      <c r="I5924" s="19">
        <f>+I5887</f>
        <v>1867</v>
      </c>
      <c r="J5924" s="3" t="str">
        <f t="shared" si="428"/>
        <v>8000000</v>
      </c>
    </row>
    <row r="5925" spans="2:10" s="3" customFormat="1">
      <c r="B5925" s="3" t="s">
        <v>2164</v>
      </c>
      <c r="C5925" s="8">
        <v>0</v>
      </c>
      <c r="D5925" s="3" t="s">
        <v>2187</v>
      </c>
      <c r="E5925" s="2" t="s">
        <v>40</v>
      </c>
      <c r="G5925" s="19">
        <f>+G5914+G5918</f>
        <v>85475</v>
      </c>
      <c r="H5925" s="19">
        <f>+H5914+H5918</f>
        <v>42738</v>
      </c>
      <c r="I5925" s="19">
        <f>+I5914+I5918</f>
        <v>42737</v>
      </c>
      <c r="J5925" s="3" t="str">
        <f t="shared" si="428"/>
        <v>8000000</v>
      </c>
    </row>
    <row r="5926" spans="2:10" s="3" customFormat="1">
      <c r="B5926" s="3" t="s">
        <v>2164</v>
      </c>
      <c r="C5926" s="8">
        <v>0</v>
      </c>
      <c r="D5926" s="125" t="s">
        <v>2187</v>
      </c>
      <c r="E5926" s="18" t="s">
        <v>41</v>
      </c>
      <c r="G5926" s="19">
        <f>+G5922-G5923-G5924-G5925</f>
        <v>75655</v>
      </c>
      <c r="H5926" s="19">
        <f>+H5922-H5923-H5924-H5925</f>
        <v>37833</v>
      </c>
      <c r="I5926" s="19">
        <f>+I5922-I5923-I5924-I5925</f>
        <v>37822</v>
      </c>
      <c r="J5926" s="3" t="str">
        <f t="shared" si="428"/>
        <v>8000000</v>
      </c>
    </row>
    <row r="5927" spans="2:10" ht="15.75">
      <c r="B5927" s="3" t="s">
        <v>2186</v>
      </c>
      <c r="D5927" t="s">
        <v>2186</v>
      </c>
      <c r="E5927">
        <v>0</v>
      </c>
      <c r="G5927"/>
      <c r="H5927"/>
      <c r="I5927"/>
      <c r="J5927" s="3" t="str">
        <f t="shared" si="428"/>
        <v/>
      </c>
    </row>
    <row r="5928" spans="2:10" s="3" customFormat="1">
      <c r="C5928" s="1"/>
      <c r="D5928" s="3" t="s">
        <v>2186</v>
      </c>
      <c r="E5928" s="2" t="s">
        <v>1691</v>
      </c>
      <c r="J5928" s="3" t="str">
        <f t="shared" si="428"/>
        <v/>
      </c>
    </row>
    <row r="5929" spans="2:10" s="3" customFormat="1" ht="45">
      <c r="B5929" s="3" t="s">
        <v>2186</v>
      </c>
      <c r="C5929" s="1"/>
      <c r="D5929" s="3" t="s">
        <v>2186</v>
      </c>
      <c r="E5929" s="1">
        <v>0</v>
      </c>
      <c r="F5929" s="6" t="s">
        <v>1</v>
      </c>
      <c r="G5929" s="60">
        <f>'Allocation Worksheet'!H5929</f>
        <v>0</v>
      </c>
      <c r="H5929" s="60">
        <f>'Allocation Worksheet'!H5930</f>
        <v>0</v>
      </c>
      <c r="I5929" s="60">
        <f>'Allocation Worksheet'!H5931</f>
        <v>0</v>
      </c>
      <c r="J5929" s="3" t="str">
        <f t="shared" si="428"/>
        <v/>
      </c>
    </row>
    <row r="5930" spans="2:10" s="3" customFormat="1">
      <c r="C5930" s="7" t="s">
        <v>2087</v>
      </c>
      <c r="D5930" s="3" t="s">
        <v>2186</v>
      </c>
      <c r="E5930" s="7" t="s">
        <v>3</v>
      </c>
      <c r="F5930" s="10"/>
      <c r="G5930" s="9">
        <f>'Allocation Worksheet'!$D$84</f>
        <v>45289</v>
      </c>
      <c r="H5930" s="11"/>
      <c r="I5930" s="11"/>
      <c r="J5930" s="3" t="str">
        <f t="shared" si="428"/>
        <v>UT</v>
      </c>
    </row>
    <row r="5931" spans="2:10" s="3" customFormat="1">
      <c r="B5931" s="3" t="s">
        <v>2165</v>
      </c>
      <c r="C5931" s="8">
        <v>0</v>
      </c>
      <c r="D5931" s="3" t="s">
        <v>2187</v>
      </c>
      <c r="E5931" s="11" t="s">
        <v>4</v>
      </c>
      <c r="F5931" s="10">
        <v>1.127E-3</v>
      </c>
      <c r="G5931" s="12">
        <f>ROUND(G$3*F5931,0)</f>
        <v>324</v>
      </c>
      <c r="H5931" s="13">
        <f>ROUND(G5931/2,0)</f>
        <v>162</v>
      </c>
      <c r="I5931" s="12">
        <f>G5931-H5931</f>
        <v>162</v>
      </c>
      <c r="J5931" s="3" t="str">
        <f t="shared" si="428"/>
        <v>8100000</v>
      </c>
    </row>
    <row r="5932" spans="2:10" s="3" customFormat="1">
      <c r="B5932" s="3" t="s">
        <v>2165</v>
      </c>
      <c r="C5932" s="8">
        <v>1</v>
      </c>
      <c r="D5932" s="3" t="s">
        <v>2187</v>
      </c>
      <c r="E5932" s="11" t="s">
        <v>1692</v>
      </c>
      <c r="F5932" s="10">
        <v>0.22220400000000001</v>
      </c>
      <c r="G5932" s="9">
        <f>ROUND(G$3*F5932,0)</f>
        <v>63933</v>
      </c>
      <c r="H5932" s="11">
        <f>ROUND(G5932/2,0)</f>
        <v>31967</v>
      </c>
      <c r="I5932" s="9">
        <f>G5932-H5932</f>
        <v>31966</v>
      </c>
      <c r="J5932" s="3" t="str">
        <f t="shared" si="428"/>
        <v>8110000</v>
      </c>
    </row>
    <row r="5933" spans="2:10" s="3" customFormat="1">
      <c r="B5933" s="3" t="s">
        <v>2165</v>
      </c>
      <c r="C5933" s="8">
        <v>1</v>
      </c>
      <c r="D5933" s="3" t="s">
        <v>2187</v>
      </c>
      <c r="E5933" s="11" t="s">
        <v>6</v>
      </c>
      <c r="F5933" s="11"/>
      <c r="G5933" s="14">
        <v>0.29985800000000001</v>
      </c>
      <c r="H5933" s="11"/>
      <c r="I5933" s="11"/>
      <c r="J5933" s="3" t="str">
        <f t="shared" si="428"/>
        <v>8110000</v>
      </c>
    </row>
    <row r="5934" spans="2:10" s="3" customFormat="1">
      <c r="B5934" s="3" t="s">
        <v>2165</v>
      </c>
      <c r="C5934" s="8">
        <v>1</v>
      </c>
      <c r="D5934" s="3" t="s">
        <v>2187</v>
      </c>
      <c r="E5934" s="11" t="s">
        <v>7</v>
      </c>
      <c r="F5934" s="11"/>
      <c r="G5934" s="15">
        <f>ROUND(G5932*G5933,0)</f>
        <v>19171</v>
      </c>
      <c r="H5934" s="16">
        <f>ROUND(G5934/2,0)</f>
        <v>9586</v>
      </c>
      <c r="I5934" s="15">
        <f>G5934-H5934</f>
        <v>9585</v>
      </c>
      <c r="J5934" s="3" t="str">
        <f t="shared" si="428"/>
        <v>8110000</v>
      </c>
    </row>
    <row r="5935" spans="2:10" s="3" customFormat="1">
      <c r="B5935" s="3" t="s">
        <v>2165</v>
      </c>
      <c r="C5935" s="8">
        <v>1</v>
      </c>
      <c r="D5935" s="3" t="s">
        <v>2187</v>
      </c>
      <c r="E5935" s="11" t="s">
        <v>8</v>
      </c>
      <c r="F5935" s="11"/>
      <c r="G5935" s="12">
        <f>+G5932-G5934</f>
        <v>44762</v>
      </c>
      <c r="H5935" s="13">
        <f>ROUND(G5935/2,0)</f>
        <v>22381</v>
      </c>
      <c r="I5935" s="12">
        <f>G5935-H5935</f>
        <v>22381</v>
      </c>
      <c r="J5935" s="3" t="str">
        <f t="shared" si="428"/>
        <v>8110000</v>
      </c>
    </row>
    <row r="5936" spans="2:10" s="3" customFormat="1">
      <c r="B5936" s="3" t="s">
        <v>2165</v>
      </c>
      <c r="C5936" s="8">
        <v>2</v>
      </c>
      <c r="D5936" s="3" t="s">
        <v>2188</v>
      </c>
      <c r="E5936" s="11" t="s">
        <v>1693</v>
      </c>
      <c r="F5936" s="11"/>
      <c r="G5936" s="9"/>
      <c r="H5936" s="11"/>
      <c r="I5936" s="11"/>
      <c r="J5936" s="3" t="str">
        <f t="shared" si="428"/>
        <v>8120001</v>
      </c>
    </row>
    <row r="5937" spans="2:10" s="3" customFormat="1">
      <c r="B5937" s="3" t="s">
        <v>2165</v>
      </c>
      <c r="C5937" s="8">
        <v>2</v>
      </c>
      <c r="D5937" s="3" t="s">
        <v>2188</v>
      </c>
      <c r="E5937" s="11" t="s">
        <v>10</v>
      </c>
      <c r="F5937" s="10">
        <v>3.6200000000000002E-4</v>
      </c>
      <c r="G5937" s="12">
        <f>ROUND(G$3*F5937,0)</f>
        <v>104</v>
      </c>
      <c r="H5937" s="13">
        <f>ROUND(G5937/2,0)</f>
        <v>52</v>
      </c>
      <c r="I5937" s="12">
        <f>G5937-H5937</f>
        <v>52</v>
      </c>
      <c r="J5937" s="3" t="str">
        <f t="shared" si="428"/>
        <v>8120001</v>
      </c>
    </row>
    <row r="5938" spans="2:10" s="3" customFormat="1">
      <c r="B5938" s="3" t="s">
        <v>2165</v>
      </c>
      <c r="C5938" s="8">
        <v>2</v>
      </c>
      <c r="D5938" s="3" t="s">
        <v>2188</v>
      </c>
      <c r="E5938" s="11" t="s">
        <v>11</v>
      </c>
      <c r="F5938" s="10">
        <v>1.6100000000000001E-4</v>
      </c>
      <c r="G5938" s="12">
        <f>ROUND(G$3*F5938,0)</f>
        <v>46</v>
      </c>
      <c r="H5938" s="13">
        <f>ROUND(G5938/2,0)</f>
        <v>23</v>
      </c>
      <c r="I5938" s="12">
        <f>G5938-H5938</f>
        <v>23</v>
      </c>
      <c r="J5938" s="3" t="str">
        <f t="shared" si="428"/>
        <v>8120001</v>
      </c>
    </row>
    <row r="5939" spans="2:10" s="3" customFormat="1">
      <c r="B5939" s="3" t="s">
        <v>2165</v>
      </c>
      <c r="C5939" s="8">
        <v>2</v>
      </c>
      <c r="D5939" s="3" t="s">
        <v>2189</v>
      </c>
      <c r="E5939" s="11" t="s">
        <v>107</v>
      </c>
      <c r="F5939" s="11"/>
      <c r="G5939" s="9"/>
      <c r="H5939" s="11"/>
      <c r="I5939" s="11"/>
      <c r="J5939" s="3" t="str">
        <f t="shared" si="428"/>
        <v>8120002</v>
      </c>
    </row>
    <row r="5940" spans="2:10" s="3" customFormat="1">
      <c r="B5940" s="3" t="s">
        <v>2165</v>
      </c>
      <c r="C5940" s="8">
        <v>2</v>
      </c>
      <c r="D5940" s="3" t="s">
        <v>2189</v>
      </c>
      <c r="E5940" s="11" t="s">
        <v>10</v>
      </c>
      <c r="F5940" s="10">
        <v>1.5900000000000001E-3</v>
      </c>
      <c r="G5940" s="12">
        <f>ROUND(G$3*F5940,0)</f>
        <v>457</v>
      </c>
      <c r="H5940" s="13">
        <f>ROUND(G5940/2,0)</f>
        <v>229</v>
      </c>
      <c r="I5940" s="12">
        <f>G5940-H5940</f>
        <v>228</v>
      </c>
      <c r="J5940" s="3" t="str">
        <f t="shared" si="428"/>
        <v>8120002</v>
      </c>
    </row>
    <row r="5941" spans="2:10" s="3" customFormat="1">
      <c r="B5941" s="3" t="s">
        <v>2165</v>
      </c>
      <c r="C5941" s="8">
        <v>2</v>
      </c>
      <c r="D5941" s="3" t="s">
        <v>2189</v>
      </c>
      <c r="E5941" s="11" t="s">
        <v>11</v>
      </c>
      <c r="F5941" s="10">
        <v>1.3680000000000001E-3</v>
      </c>
      <c r="G5941" s="12">
        <f>ROUND(G$3*F5941,0)</f>
        <v>394</v>
      </c>
      <c r="H5941" s="13">
        <f>ROUND(G5941/2,0)</f>
        <v>197</v>
      </c>
      <c r="I5941" s="12">
        <f>G5941-H5941</f>
        <v>197</v>
      </c>
      <c r="J5941" s="3" t="str">
        <f t="shared" si="428"/>
        <v>8120002</v>
      </c>
    </row>
    <row r="5942" spans="2:10" s="3" customFormat="1">
      <c r="B5942" s="3" t="s">
        <v>2165</v>
      </c>
      <c r="C5942" s="8">
        <v>2</v>
      </c>
      <c r="D5942" s="3" t="s">
        <v>2190</v>
      </c>
      <c r="E5942" s="11" t="s">
        <v>1440</v>
      </c>
      <c r="F5942" s="11"/>
      <c r="G5942" s="9"/>
      <c r="H5942" s="11"/>
      <c r="I5942" s="11"/>
      <c r="J5942" s="3" t="str">
        <f t="shared" si="428"/>
        <v>8120003</v>
      </c>
    </row>
    <row r="5943" spans="2:10" s="3" customFormat="1">
      <c r="B5943" s="3" t="s">
        <v>2165</v>
      </c>
      <c r="C5943" s="8">
        <v>2</v>
      </c>
      <c r="D5943" s="3" t="s">
        <v>2190</v>
      </c>
      <c r="E5943" s="11" t="s">
        <v>10</v>
      </c>
      <c r="F5943" s="10">
        <v>7.6499999999999995E-4</v>
      </c>
      <c r="G5943" s="12">
        <f>ROUND(G$3*F5943,0)</f>
        <v>220</v>
      </c>
      <c r="H5943" s="13">
        <f>ROUND(G5943/2,0)</f>
        <v>110</v>
      </c>
      <c r="I5943" s="12">
        <f>G5943-H5943</f>
        <v>110</v>
      </c>
      <c r="J5943" s="3" t="str">
        <f t="shared" si="428"/>
        <v>8120003</v>
      </c>
    </row>
    <row r="5944" spans="2:10" s="3" customFormat="1">
      <c r="B5944" s="3" t="s">
        <v>2165</v>
      </c>
      <c r="C5944" s="8">
        <v>2</v>
      </c>
      <c r="D5944" s="3" t="s">
        <v>2190</v>
      </c>
      <c r="E5944" s="11" t="s">
        <v>11</v>
      </c>
      <c r="F5944" s="10">
        <v>5.2300000000000003E-4</v>
      </c>
      <c r="G5944" s="12">
        <f>ROUND(G$3*F5944,0)</f>
        <v>150</v>
      </c>
      <c r="H5944" s="13">
        <f>ROUND(G5944/2,0)</f>
        <v>75</v>
      </c>
      <c r="I5944" s="12">
        <f>G5944-H5944</f>
        <v>75</v>
      </c>
      <c r="J5944" s="3" t="str">
        <f t="shared" si="428"/>
        <v>8120003</v>
      </c>
    </row>
    <row r="5945" spans="2:10" s="3" customFormat="1">
      <c r="B5945" s="3" t="s">
        <v>2165</v>
      </c>
      <c r="C5945" s="8">
        <v>2</v>
      </c>
      <c r="D5945" s="3" t="s">
        <v>2191</v>
      </c>
      <c r="E5945" s="11" t="s">
        <v>86</v>
      </c>
      <c r="F5945" s="11"/>
      <c r="G5945" s="9"/>
      <c r="H5945" s="11"/>
      <c r="I5945" s="11"/>
      <c r="J5945" s="3" t="str">
        <f t="shared" si="428"/>
        <v>8120004</v>
      </c>
    </row>
    <row r="5946" spans="2:10" s="3" customFormat="1">
      <c r="B5946" s="3" t="s">
        <v>2165</v>
      </c>
      <c r="C5946" s="8">
        <v>2</v>
      </c>
      <c r="D5946" s="3" t="s">
        <v>2191</v>
      </c>
      <c r="E5946" s="11" t="s">
        <v>10</v>
      </c>
      <c r="F5946" s="10">
        <v>3.0590000000000001E-3</v>
      </c>
      <c r="G5946" s="12">
        <f>ROUND(G$3*F5946,0)</f>
        <v>880</v>
      </c>
      <c r="H5946" s="13">
        <f>ROUND(G5946/2,0)</f>
        <v>440</v>
      </c>
      <c r="I5946" s="12">
        <f>G5946-H5946</f>
        <v>440</v>
      </c>
      <c r="J5946" s="3" t="str">
        <f t="shared" si="428"/>
        <v>8120004</v>
      </c>
    </row>
    <row r="5947" spans="2:10" s="3" customFormat="1">
      <c r="B5947" s="3" t="s">
        <v>2165</v>
      </c>
      <c r="C5947" s="8">
        <v>2</v>
      </c>
      <c r="D5947" s="3" t="s">
        <v>2191</v>
      </c>
      <c r="E5947" s="11" t="s">
        <v>11</v>
      </c>
      <c r="F5947" s="10">
        <v>2.5149999999999999E-3</v>
      </c>
      <c r="G5947" s="12">
        <f>ROUND(G$3*F5947,0)</f>
        <v>724</v>
      </c>
      <c r="H5947" s="13">
        <f>ROUND(G5947/2,0)</f>
        <v>362</v>
      </c>
      <c r="I5947" s="12">
        <f>G5947-H5947</f>
        <v>362</v>
      </c>
      <c r="J5947" s="3" t="str">
        <f t="shared" si="428"/>
        <v>8120004</v>
      </c>
    </row>
    <row r="5948" spans="2:10" s="3" customFormat="1">
      <c r="B5948" s="3" t="s">
        <v>2165</v>
      </c>
      <c r="C5948" s="8">
        <v>2</v>
      </c>
      <c r="D5948" s="3" t="s">
        <v>2192</v>
      </c>
      <c r="E5948" s="11" t="s">
        <v>181</v>
      </c>
      <c r="F5948" s="11"/>
      <c r="G5948" s="9"/>
      <c r="H5948" s="11"/>
      <c r="I5948" s="11"/>
      <c r="J5948" s="3" t="str">
        <f t="shared" si="428"/>
        <v>8120005</v>
      </c>
    </row>
    <row r="5949" spans="2:10" s="3" customFormat="1">
      <c r="B5949" s="3" t="s">
        <v>2165</v>
      </c>
      <c r="C5949" s="8">
        <v>2</v>
      </c>
      <c r="D5949" s="3" t="s">
        <v>2192</v>
      </c>
      <c r="E5949" s="11" t="s">
        <v>10</v>
      </c>
      <c r="F5949" s="10">
        <v>9.2599999999999996E-4</v>
      </c>
      <c r="G5949" s="12">
        <f>ROUND(G$3*F5949,0)</f>
        <v>266</v>
      </c>
      <c r="H5949" s="13">
        <f>ROUND(G5949/2,0)</f>
        <v>133</v>
      </c>
      <c r="I5949" s="12">
        <f>G5949-H5949</f>
        <v>133</v>
      </c>
      <c r="J5949" s="3" t="str">
        <f t="shared" si="428"/>
        <v>8120005</v>
      </c>
    </row>
    <row r="5950" spans="2:10" s="3" customFormat="1">
      <c r="B5950" s="3" t="s">
        <v>2165</v>
      </c>
      <c r="C5950" s="8">
        <v>2</v>
      </c>
      <c r="D5950" s="3" t="s">
        <v>2192</v>
      </c>
      <c r="E5950" s="11" t="s">
        <v>11</v>
      </c>
      <c r="F5950" s="10">
        <v>8.8500000000000004E-4</v>
      </c>
      <c r="G5950" s="12">
        <f>ROUND(G$3*F5950,0)</f>
        <v>255</v>
      </c>
      <c r="H5950" s="13">
        <f>ROUND(G5950/2,0)</f>
        <v>128</v>
      </c>
      <c r="I5950" s="12">
        <f>G5950-H5950</f>
        <v>127</v>
      </c>
      <c r="J5950" s="3" t="str">
        <f t="shared" si="428"/>
        <v>8120005</v>
      </c>
    </row>
    <row r="5951" spans="2:10" s="3" customFormat="1">
      <c r="B5951" s="3" t="s">
        <v>2165</v>
      </c>
      <c r="C5951" s="8">
        <v>2</v>
      </c>
      <c r="D5951" s="3" t="s">
        <v>2193</v>
      </c>
      <c r="E5951" s="11" t="s">
        <v>20</v>
      </c>
      <c r="F5951" s="11"/>
      <c r="G5951" s="9"/>
      <c r="H5951" s="11"/>
      <c r="I5951" s="11"/>
      <c r="J5951" s="3" t="str">
        <f t="shared" si="428"/>
        <v>8120006</v>
      </c>
    </row>
    <row r="5952" spans="2:10" s="3" customFormat="1">
      <c r="B5952" s="3" t="s">
        <v>2165</v>
      </c>
      <c r="C5952" s="8">
        <v>2</v>
      </c>
      <c r="D5952" s="3" t="s">
        <v>2193</v>
      </c>
      <c r="E5952" s="11" t="s">
        <v>10</v>
      </c>
      <c r="F5952" s="10">
        <v>1.57E-3</v>
      </c>
      <c r="G5952" s="12">
        <f>ROUND(G$3*F5952,0)</f>
        <v>452</v>
      </c>
      <c r="H5952" s="13">
        <f>ROUND(G5952/2,0)</f>
        <v>226</v>
      </c>
      <c r="I5952" s="12">
        <f>G5952-H5952</f>
        <v>226</v>
      </c>
      <c r="J5952" s="3" t="str">
        <f t="shared" si="428"/>
        <v>8120006</v>
      </c>
    </row>
    <row r="5953" spans="1:10" s="3" customFormat="1">
      <c r="B5953" s="3" t="s">
        <v>2165</v>
      </c>
      <c r="C5953" s="8">
        <v>2</v>
      </c>
      <c r="D5953" s="3" t="s">
        <v>2193</v>
      </c>
      <c r="E5953" s="11" t="s">
        <v>11</v>
      </c>
      <c r="F5953" s="10">
        <v>1.248E-3</v>
      </c>
      <c r="G5953" s="12">
        <f>ROUND(G$3*F5953,0)</f>
        <v>359</v>
      </c>
      <c r="H5953" s="13">
        <f>ROUND(G5953/2,0)</f>
        <v>180</v>
      </c>
      <c r="I5953" s="12">
        <f>G5953-H5953</f>
        <v>179</v>
      </c>
      <c r="J5953" s="3" t="str">
        <f t="shared" si="428"/>
        <v>8120006</v>
      </c>
    </row>
    <row r="5954" spans="1:10" s="3" customFormat="1">
      <c r="B5954" s="3" t="s">
        <v>2165</v>
      </c>
      <c r="C5954" s="8">
        <v>3</v>
      </c>
      <c r="D5954" s="3" t="s">
        <v>3049</v>
      </c>
      <c r="E5954" s="11" t="s">
        <v>1694</v>
      </c>
      <c r="F5954" s="10">
        <v>4.4090999999999998E-2</v>
      </c>
      <c r="G5954" s="12">
        <f>ROUND(G$3*F5954,0)</f>
        <v>12686</v>
      </c>
      <c r="H5954" s="13">
        <f>ROUND(G5954/2,0)</f>
        <v>6343</v>
      </c>
      <c r="I5954" s="12">
        <f>G5954-H5954</f>
        <v>6343</v>
      </c>
      <c r="J5954" s="3" t="str">
        <f t="shared" si="428"/>
        <v>8130895</v>
      </c>
    </row>
    <row r="5955" spans="1:10" s="3" customFormat="1">
      <c r="B5955" s="3" t="s">
        <v>2165</v>
      </c>
      <c r="C5955" s="8">
        <v>3</v>
      </c>
      <c r="D5955" s="116" t="s">
        <v>3050</v>
      </c>
      <c r="E5955" s="11" t="s">
        <v>1695</v>
      </c>
      <c r="F5955" s="10">
        <v>8.7939999999999997E-3</v>
      </c>
      <c r="G5955" s="12">
        <f>ROUND(G$3*F5955,0)</f>
        <v>2530</v>
      </c>
      <c r="H5955" s="13">
        <f>ROUND(G5955/2,0)</f>
        <v>1265</v>
      </c>
      <c r="I5955" s="12">
        <f>G5955-H5955</f>
        <v>1265</v>
      </c>
      <c r="J5955" s="3" t="str">
        <f t="shared" si="428"/>
        <v>8130896</v>
      </c>
    </row>
    <row r="5956" spans="1:10" s="3" customFormat="1">
      <c r="B5956" s="3" t="s">
        <v>2165</v>
      </c>
      <c r="C5956" s="8">
        <v>4</v>
      </c>
      <c r="D5956" s="3" t="s">
        <v>2451</v>
      </c>
      <c r="E5956" s="11" t="s">
        <v>542</v>
      </c>
      <c r="F5956" s="10">
        <v>0.67699699999999996</v>
      </c>
      <c r="G5956" s="9">
        <f>ROUND(G$3*F5956,0)</f>
        <v>194788</v>
      </c>
      <c r="H5956" s="11">
        <f>ROUND(G5956/2,0)</f>
        <v>97394</v>
      </c>
      <c r="I5956" s="9">
        <f>G5956-H5956</f>
        <v>97394</v>
      </c>
      <c r="J5956" s="3" t="str">
        <f t="shared" ref="J5956:J6019" si="432">B5956&amp;C5956&amp;D5956</f>
        <v>8147950</v>
      </c>
    </row>
    <row r="5957" spans="1:10" s="3" customFormat="1">
      <c r="B5957" s="3" t="s">
        <v>2165</v>
      </c>
      <c r="C5957" s="8">
        <v>4</v>
      </c>
      <c r="D5957" s="3" t="s">
        <v>2451</v>
      </c>
      <c r="E5957" s="11" t="s">
        <v>28</v>
      </c>
      <c r="F5957" s="11"/>
      <c r="G5957" s="14">
        <v>0.39346700000000001</v>
      </c>
      <c r="H5957" s="11"/>
      <c r="I5957" s="11"/>
      <c r="J5957" s="3" t="str">
        <f t="shared" si="432"/>
        <v>8147950</v>
      </c>
    </row>
    <row r="5958" spans="1:10" s="3" customFormat="1">
      <c r="B5958" s="3" t="s">
        <v>2165</v>
      </c>
      <c r="C5958" s="8">
        <v>4</v>
      </c>
      <c r="D5958" s="3" t="s">
        <v>2451</v>
      </c>
      <c r="E5958" s="11" t="s">
        <v>29</v>
      </c>
      <c r="F5958" s="11"/>
      <c r="G5958" s="15">
        <f>ROUND(G5956*G5957,0)</f>
        <v>76643</v>
      </c>
      <c r="H5958" s="16">
        <f>ROUND(G5958/2,0)</f>
        <v>38322</v>
      </c>
      <c r="I5958" s="15">
        <f>G5958-H5958</f>
        <v>38321</v>
      </c>
      <c r="J5958" s="3" t="str">
        <f t="shared" si="432"/>
        <v>8147950</v>
      </c>
    </row>
    <row r="5959" spans="1:10" s="3" customFormat="1">
      <c r="B5959" s="3" t="s">
        <v>2165</v>
      </c>
      <c r="C5959" s="8">
        <v>4</v>
      </c>
      <c r="D5959" s="3" t="s">
        <v>2451</v>
      </c>
      <c r="E5959" s="11" t="s">
        <v>30</v>
      </c>
      <c r="F5959" s="11"/>
      <c r="G5959" s="12">
        <f>+G5956-G5958</f>
        <v>118145</v>
      </c>
      <c r="H5959" s="13">
        <f>ROUND(G5959/2,0)</f>
        <v>59073</v>
      </c>
      <c r="I5959" s="12">
        <f>G5959-H5959</f>
        <v>59072</v>
      </c>
      <c r="J5959" s="3" t="str">
        <f t="shared" si="432"/>
        <v>8147950</v>
      </c>
    </row>
    <row r="5960" spans="1:10" s="3" customFormat="1">
      <c r="B5960" s="3" t="s">
        <v>2165</v>
      </c>
      <c r="C5960" s="8">
        <v>5</v>
      </c>
      <c r="D5960" s="3" t="s">
        <v>5917</v>
      </c>
      <c r="E5960" s="11" t="s">
        <v>1696</v>
      </c>
      <c r="F5960" s="10">
        <v>3.1815000000000003E-2</v>
      </c>
      <c r="G5960" s="120">
        <f>+G5930-SUM(G5931:G5932)-SUM(G5937:G5956)</f>
        <v>-233279</v>
      </c>
      <c r="H5960" s="120">
        <f>ROUND(G5960/2,0)</f>
        <v>-116640</v>
      </c>
      <c r="I5960" s="120">
        <f>G5960-H5960</f>
        <v>-116639</v>
      </c>
      <c r="J5960" s="3" t="str">
        <f t="shared" si="432"/>
        <v>8150223</v>
      </c>
    </row>
    <row r="5961" spans="1:10" s="3" customFormat="1">
      <c r="A5961" s="3" t="s">
        <v>6269</v>
      </c>
      <c r="B5961" s="3" t="s">
        <v>2165</v>
      </c>
      <c r="C5961" s="8">
        <v>6</v>
      </c>
      <c r="D5961" s="3" t="s">
        <v>5919</v>
      </c>
      <c r="E5961" s="11" t="s">
        <v>1697</v>
      </c>
      <c r="F5961" s="10">
        <v>0</v>
      </c>
      <c r="G5961" s="120">
        <f>ROUND(G$3*F5961,0)</f>
        <v>0</v>
      </c>
      <c r="H5961" s="120">
        <f>ROUND(G5961/2,0)</f>
        <v>0</v>
      </c>
      <c r="I5961" s="120">
        <f>G5961-H5961</f>
        <v>0</v>
      </c>
      <c r="J5961" s="3" t="str">
        <f t="shared" si="432"/>
        <v>8161074</v>
      </c>
    </row>
    <row r="5962" spans="1:10" s="3" customFormat="1">
      <c r="B5962" s="3" t="s">
        <v>2165</v>
      </c>
      <c r="C5962" s="8">
        <v>0</v>
      </c>
      <c r="D5962" s="125" t="s">
        <v>2187</v>
      </c>
      <c r="E5962" s="28" t="s">
        <v>288</v>
      </c>
      <c r="F5962" s="10">
        <v>1</v>
      </c>
      <c r="G5962" s="12">
        <f>+G5931+SUM(G5934:G5955)+SUM(G5958:G5961)</f>
        <v>45289</v>
      </c>
      <c r="H5962" s="12">
        <f>+H5931+SUM(H5934:H5955)+SUM(H5958:H5961)</f>
        <v>22647</v>
      </c>
      <c r="I5962" s="12">
        <f>+I5931+SUM(I5934:I5955)+SUM(I5958:I5961)</f>
        <v>22642</v>
      </c>
      <c r="J5962" s="3" t="str">
        <f t="shared" si="432"/>
        <v>8100000</v>
      </c>
    </row>
    <row r="5963" spans="1:10" s="3" customFormat="1">
      <c r="B5963" s="3" t="s">
        <v>2165</v>
      </c>
      <c r="C5963" s="8">
        <v>0</v>
      </c>
      <c r="D5963" s="3" t="s">
        <v>2187</v>
      </c>
      <c r="E5963" s="18" t="s">
        <v>38</v>
      </c>
      <c r="G5963" s="19">
        <f>+G5931</f>
        <v>324</v>
      </c>
      <c r="H5963" s="19">
        <f>+H5931</f>
        <v>162</v>
      </c>
      <c r="I5963" s="19">
        <f>+I5931</f>
        <v>162</v>
      </c>
      <c r="J5963" s="3" t="str">
        <f t="shared" si="432"/>
        <v>8100000</v>
      </c>
    </row>
    <row r="5964" spans="1:10" s="3" customFormat="1">
      <c r="B5964" s="3" t="s">
        <v>2165</v>
      </c>
      <c r="C5964" s="8">
        <v>0</v>
      </c>
      <c r="D5964" s="3" t="s">
        <v>2187</v>
      </c>
      <c r="E5964" s="2" t="s">
        <v>39</v>
      </c>
      <c r="G5964" s="19">
        <f>+G5934</f>
        <v>19171</v>
      </c>
      <c r="H5964" s="19">
        <f>+H5934</f>
        <v>9586</v>
      </c>
      <c r="I5964" s="19">
        <f>+I5934</f>
        <v>9585</v>
      </c>
      <c r="J5964" s="3" t="str">
        <f t="shared" si="432"/>
        <v>8100000</v>
      </c>
    </row>
    <row r="5965" spans="1:10" s="3" customFormat="1">
      <c r="B5965" s="3" t="s">
        <v>2165</v>
      </c>
      <c r="C5965" s="8">
        <v>0</v>
      </c>
      <c r="D5965" s="3" t="s">
        <v>2187</v>
      </c>
      <c r="E5965" s="2" t="s">
        <v>40</v>
      </c>
      <c r="G5965" s="19">
        <f>+G5958</f>
        <v>76643</v>
      </c>
      <c r="H5965" s="19">
        <f>+H5958</f>
        <v>38322</v>
      </c>
      <c r="I5965" s="19">
        <f>+I5958</f>
        <v>38321</v>
      </c>
      <c r="J5965" s="3" t="str">
        <f t="shared" si="432"/>
        <v>8100000</v>
      </c>
    </row>
    <row r="5966" spans="1:10" s="3" customFormat="1">
      <c r="B5966" s="3" t="s">
        <v>2165</v>
      </c>
      <c r="C5966" s="8">
        <v>0</v>
      </c>
      <c r="D5966" s="125" t="s">
        <v>2187</v>
      </c>
      <c r="E5966" s="18" t="s">
        <v>41</v>
      </c>
      <c r="G5966" s="19">
        <f>+G5962-G5963-G5964-G5965</f>
        <v>-50849</v>
      </c>
      <c r="H5966" s="19">
        <f>+H5962-H5963-H5964-H5965</f>
        <v>-25423</v>
      </c>
      <c r="I5966" s="19">
        <f>+I5962-I5963-I5964-I5965</f>
        <v>-25426</v>
      </c>
      <c r="J5966" s="3" t="str">
        <f t="shared" si="432"/>
        <v>8100000</v>
      </c>
    </row>
    <row r="5967" spans="1:10" ht="15.75">
      <c r="B5967" s="3" t="s">
        <v>2186</v>
      </c>
      <c r="D5967" t="s">
        <v>2186</v>
      </c>
      <c r="E5967">
        <v>0</v>
      </c>
      <c r="G5967"/>
      <c r="H5967"/>
      <c r="I5967"/>
      <c r="J5967" s="3" t="str">
        <f t="shared" si="432"/>
        <v/>
      </c>
    </row>
    <row r="5968" spans="1:10" s="3" customFormat="1">
      <c r="C5968" s="1"/>
      <c r="D5968" s="3" t="s">
        <v>2186</v>
      </c>
      <c r="E5968" s="2" t="s">
        <v>1698</v>
      </c>
      <c r="J5968" s="3" t="str">
        <f t="shared" si="432"/>
        <v/>
      </c>
    </row>
    <row r="5969" spans="2:10" s="3" customFormat="1" ht="45">
      <c r="B5969" s="3" t="s">
        <v>2186</v>
      </c>
      <c r="C5969" s="1"/>
      <c r="D5969" s="3" t="s">
        <v>2186</v>
      </c>
      <c r="E5969" s="1">
        <v>0</v>
      </c>
      <c r="F5969" s="6" t="s">
        <v>1</v>
      </c>
      <c r="G5969" s="60">
        <f>'Allocation Worksheet'!H5969</f>
        <v>0</v>
      </c>
      <c r="H5969" s="60">
        <f>'Allocation Worksheet'!H5970</f>
        <v>0</v>
      </c>
      <c r="I5969" s="60">
        <f>'Allocation Worksheet'!H5971</f>
        <v>0</v>
      </c>
      <c r="J5969" s="3" t="str">
        <f t="shared" si="432"/>
        <v/>
      </c>
    </row>
    <row r="5970" spans="2:10" s="3" customFormat="1">
      <c r="C5970" s="7" t="s">
        <v>2087</v>
      </c>
      <c r="D5970" s="3" t="s">
        <v>2186</v>
      </c>
      <c r="E5970" s="7" t="s">
        <v>3</v>
      </c>
      <c r="F5970" s="10"/>
      <c r="G5970" s="9">
        <f>'Allocation Worksheet'!$D$85</f>
        <v>2433962</v>
      </c>
      <c r="H5970" s="11"/>
      <c r="I5970" s="11"/>
      <c r="J5970" s="3" t="str">
        <f t="shared" si="432"/>
        <v>UT</v>
      </c>
    </row>
    <row r="5971" spans="2:10" s="3" customFormat="1">
      <c r="B5971" s="3" t="s">
        <v>2166</v>
      </c>
      <c r="C5971" s="8">
        <v>0</v>
      </c>
      <c r="D5971" s="3" t="s">
        <v>2187</v>
      </c>
      <c r="E5971" s="11" t="s">
        <v>4</v>
      </c>
      <c r="F5971" s="10">
        <v>9.6199999999999996E-4</v>
      </c>
      <c r="G5971" s="12">
        <f>ROUND(G$3*F5971,0)</f>
        <v>277</v>
      </c>
      <c r="H5971" s="13">
        <f>ROUND(G5971/2,0)</f>
        <v>139</v>
      </c>
      <c r="I5971" s="12">
        <f>G5971-H5971</f>
        <v>138</v>
      </c>
      <c r="J5971" s="3" t="str">
        <f t="shared" si="432"/>
        <v>8200000</v>
      </c>
    </row>
    <row r="5972" spans="2:10" s="3" customFormat="1">
      <c r="B5972" s="3" t="s">
        <v>2166</v>
      </c>
      <c r="C5972" s="8">
        <v>1</v>
      </c>
      <c r="D5972" s="3" t="s">
        <v>2187</v>
      </c>
      <c r="E5972" s="11" t="s">
        <v>1699</v>
      </c>
      <c r="F5972" s="10">
        <v>0.23031599999999999</v>
      </c>
      <c r="G5972" s="9">
        <f>ROUND(G$3*F5972,0)</f>
        <v>66267</v>
      </c>
      <c r="H5972" s="11">
        <f>ROUND(G5972/2,0)</f>
        <v>33134</v>
      </c>
      <c r="I5972" s="9">
        <f>G5972-H5972</f>
        <v>33133</v>
      </c>
      <c r="J5972" s="3" t="str">
        <f t="shared" si="432"/>
        <v>8210000</v>
      </c>
    </row>
    <row r="5973" spans="2:10" s="3" customFormat="1">
      <c r="B5973" s="3" t="s">
        <v>2166</v>
      </c>
      <c r="C5973" s="8">
        <v>1</v>
      </c>
      <c r="D5973" s="3" t="s">
        <v>2187</v>
      </c>
      <c r="E5973" s="11" t="s">
        <v>6</v>
      </c>
      <c r="F5973" s="11"/>
      <c r="G5973" s="14">
        <v>0.250915</v>
      </c>
      <c r="H5973" s="11"/>
      <c r="I5973" s="11"/>
      <c r="J5973" s="3" t="str">
        <f t="shared" si="432"/>
        <v>8210000</v>
      </c>
    </row>
    <row r="5974" spans="2:10" s="3" customFormat="1">
      <c r="B5974" s="3" t="s">
        <v>2166</v>
      </c>
      <c r="C5974" s="8">
        <v>1</v>
      </c>
      <c r="D5974" s="3" t="s">
        <v>2187</v>
      </c>
      <c r="E5974" s="11" t="s">
        <v>7</v>
      </c>
      <c r="F5974" s="11"/>
      <c r="G5974" s="15">
        <f>ROUND(G5972*G5973,0)</f>
        <v>16627</v>
      </c>
      <c r="H5974" s="16">
        <f>ROUND(G5974/2,0)</f>
        <v>8314</v>
      </c>
      <c r="I5974" s="15">
        <f>G5974-H5974</f>
        <v>8313</v>
      </c>
      <c r="J5974" s="3" t="str">
        <f t="shared" si="432"/>
        <v>8210000</v>
      </c>
    </row>
    <row r="5975" spans="2:10" s="3" customFormat="1">
      <c r="B5975" s="3" t="s">
        <v>2166</v>
      </c>
      <c r="C5975" s="8">
        <v>1</v>
      </c>
      <c r="D5975" s="3" t="s">
        <v>2187</v>
      </c>
      <c r="E5975" s="11" t="s">
        <v>8</v>
      </c>
      <c r="F5975" s="11"/>
      <c r="G5975" s="12">
        <f>+G5972-G5974</f>
        <v>49640</v>
      </c>
      <c r="H5975" s="13">
        <f>ROUND(G5975/2,0)</f>
        <v>24820</v>
      </c>
      <c r="I5975" s="12">
        <f>G5975-H5975</f>
        <v>24820</v>
      </c>
      <c r="J5975" s="3" t="str">
        <f t="shared" si="432"/>
        <v>8210000</v>
      </c>
    </row>
    <row r="5976" spans="2:10" s="3" customFormat="1">
      <c r="B5976" s="3" t="s">
        <v>2166</v>
      </c>
      <c r="C5976" s="8">
        <v>2</v>
      </c>
      <c r="D5976" s="3" t="s">
        <v>2188</v>
      </c>
      <c r="E5976" s="11" t="s">
        <v>1700</v>
      </c>
      <c r="F5976" s="11"/>
      <c r="G5976" s="9"/>
      <c r="H5976" s="11"/>
      <c r="I5976" s="11"/>
      <c r="J5976" s="3" t="str">
        <f t="shared" si="432"/>
        <v>8220001</v>
      </c>
    </row>
    <row r="5977" spans="2:10" s="3" customFormat="1">
      <c r="B5977" s="3" t="s">
        <v>2166</v>
      </c>
      <c r="C5977" s="8">
        <v>2</v>
      </c>
      <c r="D5977" s="3" t="s">
        <v>2188</v>
      </c>
      <c r="E5977" s="11" t="s">
        <v>10</v>
      </c>
      <c r="F5977" s="10">
        <v>3.1000000000000001E-5</v>
      </c>
      <c r="G5977" s="9">
        <f>ROUND(G$3*F5977,0)</f>
        <v>9</v>
      </c>
      <c r="H5977" s="11">
        <f>ROUND(G5977/2,0)</f>
        <v>5</v>
      </c>
      <c r="I5977" s="9">
        <f>G5977-H5977</f>
        <v>4</v>
      </c>
      <c r="J5977" s="3" t="str">
        <f t="shared" si="432"/>
        <v>8220001</v>
      </c>
    </row>
    <row r="5978" spans="2:10" s="3" customFormat="1">
      <c r="B5978" s="3" t="s">
        <v>2166</v>
      </c>
      <c r="C5978" s="8">
        <v>2</v>
      </c>
      <c r="D5978" s="3" t="s">
        <v>2188</v>
      </c>
      <c r="E5978" s="11" t="s">
        <v>11</v>
      </c>
      <c r="F5978" s="10">
        <v>2.43E-4</v>
      </c>
      <c r="G5978" s="9">
        <f>ROUND(G$3*F5978,0)</f>
        <v>70</v>
      </c>
      <c r="H5978" s="11">
        <f>ROUND(G5978/2,0)</f>
        <v>35</v>
      </c>
      <c r="I5978" s="9">
        <f>G5978-H5978</f>
        <v>35</v>
      </c>
      <c r="J5978" s="3" t="str">
        <f t="shared" si="432"/>
        <v>8220001</v>
      </c>
    </row>
    <row r="5979" spans="2:10" s="3" customFormat="1">
      <c r="B5979" s="3" t="s">
        <v>2166</v>
      </c>
      <c r="C5979" s="8">
        <v>2</v>
      </c>
      <c r="D5979" s="3" t="s">
        <v>2189</v>
      </c>
      <c r="E5979" s="11" t="s">
        <v>107</v>
      </c>
      <c r="F5979" s="11"/>
      <c r="G5979" s="9"/>
      <c r="H5979" s="11"/>
      <c r="I5979" s="11"/>
      <c r="J5979" s="3" t="str">
        <f t="shared" si="432"/>
        <v>8220002</v>
      </c>
    </row>
    <row r="5980" spans="2:10" s="3" customFormat="1">
      <c r="B5980" s="3" t="s">
        <v>2166</v>
      </c>
      <c r="C5980" s="8">
        <v>2</v>
      </c>
      <c r="D5980" s="3" t="s">
        <v>2189</v>
      </c>
      <c r="E5980" s="11" t="s">
        <v>10</v>
      </c>
      <c r="F5980" s="10">
        <v>3.2239999999999999E-3</v>
      </c>
      <c r="G5980" s="12">
        <f>ROUND(G$3*F5980,0)</f>
        <v>928</v>
      </c>
      <c r="H5980" s="13">
        <f>ROUND(G5980/2,0)</f>
        <v>464</v>
      </c>
      <c r="I5980" s="12">
        <f>G5980-H5980</f>
        <v>464</v>
      </c>
      <c r="J5980" s="3" t="str">
        <f t="shared" si="432"/>
        <v>8220002</v>
      </c>
    </row>
    <row r="5981" spans="2:10" s="3" customFormat="1">
      <c r="B5981" s="3" t="s">
        <v>2166</v>
      </c>
      <c r="C5981" s="8">
        <v>2</v>
      </c>
      <c r="D5981" s="3" t="s">
        <v>2189</v>
      </c>
      <c r="E5981" s="11" t="s">
        <v>11</v>
      </c>
      <c r="F5981" s="10">
        <v>4.95E-4</v>
      </c>
      <c r="G5981" s="12">
        <f>ROUND(G$3*F5981,0)</f>
        <v>142</v>
      </c>
      <c r="H5981" s="13">
        <f>ROUND(G5981/2,0)</f>
        <v>71</v>
      </c>
      <c r="I5981" s="12">
        <f>G5981-H5981</f>
        <v>71</v>
      </c>
      <c r="J5981" s="3" t="str">
        <f t="shared" si="432"/>
        <v>8220002</v>
      </c>
    </row>
    <row r="5982" spans="2:10" s="3" customFormat="1">
      <c r="B5982" s="3" t="s">
        <v>2166</v>
      </c>
      <c r="C5982" s="8">
        <v>2</v>
      </c>
      <c r="D5982" s="3" t="s">
        <v>2190</v>
      </c>
      <c r="E5982" s="11" t="s">
        <v>85</v>
      </c>
      <c r="F5982" s="11"/>
      <c r="G5982" s="9"/>
      <c r="H5982" s="11"/>
      <c r="I5982" s="11"/>
      <c r="J5982" s="3" t="str">
        <f t="shared" si="432"/>
        <v>8220003</v>
      </c>
    </row>
    <row r="5983" spans="2:10" s="3" customFormat="1">
      <c r="B5983" s="3" t="s">
        <v>2166</v>
      </c>
      <c r="C5983" s="8">
        <v>2</v>
      </c>
      <c r="D5983" s="3" t="s">
        <v>2190</v>
      </c>
      <c r="E5983" s="11" t="s">
        <v>10</v>
      </c>
      <c r="F5983" s="10">
        <v>6.0499999999999996E-4</v>
      </c>
      <c r="G5983" s="12">
        <f>ROUND(G$3*F5983,0)</f>
        <v>174</v>
      </c>
      <c r="H5983" s="13">
        <f>ROUND(G5983/2,0)</f>
        <v>87</v>
      </c>
      <c r="I5983" s="12">
        <f>G5983-H5983</f>
        <v>87</v>
      </c>
      <c r="J5983" s="3" t="str">
        <f t="shared" si="432"/>
        <v>8220003</v>
      </c>
    </row>
    <row r="5984" spans="2:10" s="3" customFormat="1">
      <c r="B5984" s="3" t="s">
        <v>2166</v>
      </c>
      <c r="C5984" s="8">
        <v>2</v>
      </c>
      <c r="D5984" s="3" t="s">
        <v>2190</v>
      </c>
      <c r="E5984" s="11" t="s">
        <v>11</v>
      </c>
      <c r="F5984" s="10">
        <v>1.5699999999999999E-4</v>
      </c>
      <c r="G5984" s="12">
        <f>ROUND(G$3*F5984,0)</f>
        <v>45</v>
      </c>
      <c r="H5984" s="13">
        <f>ROUND(G5984/2,0)</f>
        <v>23</v>
      </c>
      <c r="I5984" s="12">
        <f>G5984-H5984</f>
        <v>22</v>
      </c>
      <c r="J5984" s="3" t="str">
        <f t="shared" si="432"/>
        <v>8220003</v>
      </c>
    </row>
    <row r="5985" spans="2:10" s="3" customFormat="1">
      <c r="B5985" s="3" t="s">
        <v>2166</v>
      </c>
      <c r="C5985" s="8">
        <v>2</v>
      </c>
      <c r="D5985" s="3" t="s">
        <v>2192</v>
      </c>
      <c r="E5985" s="11" t="s">
        <v>1701</v>
      </c>
      <c r="F5985" s="11"/>
      <c r="G5985" s="9"/>
      <c r="H5985" s="11"/>
      <c r="I5985" s="11"/>
      <c r="J5985" s="3" t="str">
        <f t="shared" si="432"/>
        <v>8220005</v>
      </c>
    </row>
    <row r="5986" spans="2:10" s="3" customFormat="1">
      <c r="B5986" s="3" t="s">
        <v>2166</v>
      </c>
      <c r="C5986" s="8">
        <v>2</v>
      </c>
      <c r="D5986" s="3" t="s">
        <v>2192</v>
      </c>
      <c r="E5986" s="11" t="s">
        <v>10</v>
      </c>
      <c r="F5986" s="10">
        <v>3.0690000000000001E-3</v>
      </c>
      <c r="G5986" s="12">
        <f>ROUND(G$3*F5986,0)</f>
        <v>883</v>
      </c>
      <c r="H5986" s="13">
        <f>ROUND(G5986/2,0)</f>
        <v>442</v>
      </c>
      <c r="I5986" s="12">
        <f>G5986-H5986</f>
        <v>441</v>
      </c>
      <c r="J5986" s="3" t="str">
        <f t="shared" si="432"/>
        <v>8220005</v>
      </c>
    </row>
    <row r="5987" spans="2:10" s="3" customFormat="1">
      <c r="B5987" s="3" t="s">
        <v>2166</v>
      </c>
      <c r="C5987" s="8">
        <v>2</v>
      </c>
      <c r="D5987" s="3" t="s">
        <v>2192</v>
      </c>
      <c r="E5987" s="11" t="s">
        <v>11</v>
      </c>
      <c r="F5987" s="10">
        <v>3.1199999999999999E-4</v>
      </c>
      <c r="G5987" s="12">
        <f>ROUND(G$3*F5987,0)</f>
        <v>90</v>
      </c>
      <c r="H5987" s="13">
        <f>ROUND(G5987/2,0)</f>
        <v>45</v>
      </c>
      <c r="I5987" s="12">
        <f>G5987-H5987</f>
        <v>45</v>
      </c>
      <c r="J5987" s="3" t="str">
        <f t="shared" si="432"/>
        <v>8220005</v>
      </c>
    </row>
    <row r="5988" spans="2:10" s="3" customFormat="1">
      <c r="B5988" s="3" t="s">
        <v>2166</v>
      </c>
      <c r="C5988" s="8">
        <v>2</v>
      </c>
      <c r="D5988" s="3" t="s">
        <v>2191</v>
      </c>
      <c r="E5988" s="11" t="s">
        <v>56</v>
      </c>
      <c r="F5988" s="11"/>
      <c r="G5988" s="9"/>
      <c r="H5988" s="11"/>
      <c r="I5988" s="11"/>
      <c r="J5988" s="3" t="str">
        <f t="shared" si="432"/>
        <v>8220004</v>
      </c>
    </row>
    <row r="5989" spans="2:10" s="3" customFormat="1">
      <c r="B5989" s="3" t="s">
        <v>2166</v>
      </c>
      <c r="C5989" s="8">
        <v>2</v>
      </c>
      <c r="D5989" s="3" t="s">
        <v>2191</v>
      </c>
      <c r="E5989" s="11" t="s">
        <v>10</v>
      </c>
      <c r="F5989" s="10">
        <v>8.1700000000000002E-4</v>
      </c>
      <c r="G5989" s="12">
        <f>ROUND(G$3*F5989,0)</f>
        <v>235</v>
      </c>
      <c r="H5989" s="13">
        <f>ROUND(G5989/2,0)</f>
        <v>118</v>
      </c>
      <c r="I5989" s="12">
        <f>G5989-H5989</f>
        <v>117</v>
      </c>
      <c r="J5989" s="3" t="str">
        <f t="shared" si="432"/>
        <v>8220004</v>
      </c>
    </row>
    <row r="5990" spans="2:10" s="3" customFormat="1">
      <c r="B5990" s="3" t="s">
        <v>2166</v>
      </c>
      <c r="C5990" s="8">
        <v>2</v>
      </c>
      <c r="D5990" s="3" t="s">
        <v>2191</v>
      </c>
      <c r="E5990" s="11" t="s">
        <v>11</v>
      </c>
      <c r="F5990" s="10">
        <v>1.2E-4</v>
      </c>
      <c r="G5990" s="12">
        <f>ROUND(G$3*F5990,0)</f>
        <v>35</v>
      </c>
      <c r="H5990" s="13">
        <f>ROUND(G5990/2,0)</f>
        <v>18</v>
      </c>
      <c r="I5990" s="12">
        <f>G5990-H5990</f>
        <v>17</v>
      </c>
      <c r="J5990" s="3" t="str">
        <f t="shared" si="432"/>
        <v>8220004</v>
      </c>
    </row>
    <row r="5991" spans="2:10" s="3" customFormat="1">
      <c r="B5991" s="3" t="s">
        <v>2166</v>
      </c>
      <c r="C5991" s="8">
        <v>2</v>
      </c>
      <c r="D5991" s="3" t="s">
        <v>2193</v>
      </c>
      <c r="E5991" s="11" t="s">
        <v>1702</v>
      </c>
      <c r="F5991" s="11"/>
      <c r="G5991" s="9"/>
      <c r="H5991" s="11"/>
      <c r="I5991" s="11"/>
      <c r="J5991" s="3" t="str">
        <f t="shared" si="432"/>
        <v>8220006</v>
      </c>
    </row>
    <row r="5992" spans="2:10" s="3" customFormat="1">
      <c r="B5992" s="3" t="s">
        <v>2166</v>
      </c>
      <c r="C5992" s="8">
        <v>2</v>
      </c>
      <c r="D5992" s="3" t="s">
        <v>2193</v>
      </c>
      <c r="E5992" s="11" t="s">
        <v>10</v>
      </c>
      <c r="F5992" s="10">
        <v>6.4359999999999999E-3</v>
      </c>
      <c r="G5992" s="12">
        <f>ROUND(G$3*F5992,0)</f>
        <v>1852</v>
      </c>
      <c r="H5992" s="13">
        <f>ROUND(G5992/2,0)</f>
        <v>926</v>
      </c>
      <c r="I5992" s="12">
        <f>G5992-H5992</f>
        <v>926</v>
      </c>
      <c r="J5992" s="3" t="str">
        <f t="shared" si="432"/>
        <v>8220006</v>
      </c>
    </row>
    <row r="5993" spans="2:10" s="3" customFormat="1">
      <c r="B5993" s="3" t="s">
        <v>2166</v>
      </c>
      <c r="C5993" s="8">
        <v>2</v>
      </c>
      <c r="D5993" s="3" t="s">
        <v>2193</v>
      </c>
      <c r="E5993" s="11" t="s">
        <v>11</v>
      </c>
      <c r="F5993" s="10">
        <v>5.3000000000000001E-5</v>
      </c>
      <c r="G5993" s="12">
        <f>ROUND(G$3*F5993,0)</f>
        <v>15</v>
      </c>
      <c r="H5993" s="13">
        <f>ROUND(G5993/2,0)</f>
        <v>8</v>
      </c>
      <c r="I5993" s="12">
        <f>G5993-H5993</f>
        <v>7</v>
      </c>
      <c r="J5993" s="3" t="str">
        <f t="shared" si="432"/>
        <v>8220006</v>
      </c>
    </row>
    <row r="5994" spans="2:10" s="3" customFormat="1">
      <c r="B5994" s="3" t="s">
        <v>2166</v>
      </c>
      <c r="C5994" s="8">
        <v>2</v>
      </c>
      <c r="D5994" s="3" t="s">
        <v>2194</v>
      </c>
      <c r="E5994" s="11" t="s">
        <v>954</v>
      </c>
      <c r="F5994" s="11"/>
      <c r="G5994" s="9"/>
      <c r="H5994" s="11"/>
      <c r="I5994" s="11"/>
      <c r="J5994" s="3" t="str">
        <f t="shared" si="432"/>
        <v>8220007</v>
      </c>
    </row>
    <row r="5995" spans="2:10" s="3" customFormat="1">
      <c r="B5995" s="3" t="s">
        <v>2166</v>
      </c>
      <c r="C5995" s="8">
        <v>2</v>
      </c>
      <c r="D5995" s="3" t="s">
        <v>2194</v>
      </c>
      <c r="E5995" s="11" t="s">
        <v>10</v>
      </c>
      <c r="F5995" s="10">
        <v>2.0869999999999999E-3</v>
      </c>
      <c r="G5995" s="12">
        <f>ROUND(G$3*F5995,0)</f>
        <v>600</v>
      </c>
      <c r="H5995" s="13">
        <f>ROUND(G5995/2,0)</f>
        <v>300</v>
      </c>
      <c r="I5995" s="12">
        <f>G5995-H5995</f>
        <v>300</v>
      </c>
      <c r="J5995" s="3" t="str">
        <f t="shared" si="432"/>
        <v>8220007</v>
      </c>
    </row>
    <row r="5996" spans="2:10" s="3" customFormat="1">
      <c r="B5996" s="3" t="s">
        <v>2166</v>
      </c>
      <c r="C5996" s="8">
        <v>2</v>
      </c>
      <c r="D5996" s="3" t="s">
        <v>2194</v>
      </c>
      <c r="E5996" s="11" t="s">
        <v>11</v>
      </c>
      <c r="F5996" s="10">
        <v>4.9700000000000005E-4</v>
      </c>
      <c r="G5996" s="12">
        <f>ROUND(G$3*F5996,0)</f>
        <v>143</v>
      </c>
      <c r="H5996" s="13">
        <f>ROUND(G5996/2,0)</f>
        <v>72</v>
      </c>
      <c r="I5996" s="12">
        <f>G5996-H5996</f>
        <v>71</v>
      </c>
      <c r="J5996" s="3" t="str">
        <f t="shared" si="432"/>
        <v>8220007</v>
      </c>
    </row>
    <row r="5997" spans="2:10" s="3" customFormat="1">
      <c r="B5997" s="3" t="s">
        <v>2166</v>
      </c>
      <c r="C5997" s="8">
        <v>2</v>
      </c>
      <c r="D5997" s="3" t="s">
        <v>2195</v>
      </c>
      <c r="E5997" s="11" t="s">
        <v>20</v>
      </c>
      <c r="F5997" s="11"/>
      <c r="G5997" s="9"/>
      <c r="H5997" s="11"/>
      <c r="I5997" s="11"/>
      <c r="J5997" s="3" t="str">
        <f t="shared" si="432"/>
        <v>8220008</v>
      </c>
    </row>
    <row r="5998" spans="2:10" s="3" customFormat="1">
      <c r="B5998" s="3" t="s">
        <v>2166</v>
      </c>
      <c r="C5998" s="8">
        <v>2</v>
      </c>
      <c r="D5998" s="3" t="s">
        <v>2195</v>
      </c>
      <c r="E5998" s="11" t="s">
        <v>10</v>
      </c>
      <c r="F5998" s="10">
        <v>1.3100000000000001E-4</v>
      </c>
      <c r="G5998" s="12">
        <f>ROUND(G$3*F5998,0)</f>
        <v>38</v>
      </c>
      <c r="H5998" s="13">
        <f>ROUND(G5998/2,0)</f>
        <v>19</v>
      </c>
      <c r="I5998" s="12">
        <f>G5998-H5998</f>
        <v>19</v>
      </c>
      <c r="J5998" s="3" t="str">
        <f t="shared" si="432"/>
        <v>8220008</v>
      </c>
    </row>
    <row r="5999" spans="2:10" s="3" customFormat="1">
      <c r="B5999" s="3" t="s">
        <v>2166</v>
      </c>
      <c r="C5999" s="8">
        <v>2</v>
      </c>
      <c r="D5999" s="3" t="s">
        <v>2195</v>
      </c>
      <c r="E5999" s="11" t="s">
        <v>11</v>
      </c>
      <c r="F5999" s="10">
        <v>7.7999999999999999E-5</v>
      </c>
      <c r="G5999" s="12">
        <f>ROUND(G$3*F5999,0)</f>
        <v>22</v>
      </c>
      <c r="H5999" s="13">
        <f>ROUND(G5999/2,0)</f>
        <v>11</v>
      </c>
      <c r="I5999" s="12">
        <f>G5999-H5999</f>
        <v>11</v>
      </c>
      <c r="J5999" s="3" t="str">
        <f t="shared" si="432"/>
        <v>8220008</v>
      </c>
    </row>
    <row r="6000" spans="2:10" s="3" customFormat="1">
      <c r="B6000" s="3" t="s">
        <v>2166</v>
      </c>
      <c r="C6000" s="8">
        <v>3</v>
      </c>
      <c r="D6000" s="3" t="s">
        <v>3051</v>
      </c>
      <c r="E6000" s="11" t="s">
        <v>1703</v>
      </c>
      <c r="F6000" s="10">
        <v>2.5000000000000001E-4</v>
      </c>
      <c r="G6000" s="12">
        <f>ROUND(G$3*F6000,0)</f>
        <v>72</v>
      </c>
      <c r="H6000" s="13">
        <f>ROUND(G6000/2,0)</f>
        <v>36</v>
      </c>
      <c r="I6000" s="12">
        <f>G6000-H6000</f>
        <v>36</v>
      </c>
      <c r="J6000" s="3" t="str">
        <f t="shared" si="432"/>
        <v>8230958</v>
      </c>
    </row>
    <row r="6001" spans="1:10" s="3" customFormat="1">
      <c r="B6001" s="3" t="s">
        <v>2166</v>
      </c>
      <c r="C6001" s="8">
        <v>3</v>
      </c>
      <c r="D6001" s="3" t="s">
        <v>2904</v>
      </c>
      <c r="E6001" s="11" t="s">
        <v>1704</v>
      </c>
      <c r="F6001" s="10">
        <v>0.24037800000000001</v>
      </c>
      <c r="G6001" s="12">
        <f>ROUND(G$3*F6001,0)</f>
        <v>69162</v>
      </c>
      <c r="H6001" s="13">
        <f>ROUND(G6001/2,0)</f>
        <v>34581</v>
      </c>
      <c r="I6001" s="12">
        <f>G6001-H6001</f>
        <v>34581</v>
      </c>
      <c r="J6001" s="3" t="str">
        <f t="shared" si="432"/>
        <v>8230102</v>
      </c>
    </row>
    <row r="6002" spans="1:10" s="3" customFormat="1">
      <c r="B6002" s="3" t="s">
        <v>2166</v>
      </c>
      <c r="C6002" s="8">
        <v>4</v>
      </c>
      <c r="D6002" s="3" t="s">
        <v>3052</v>
      </c>
      <c r="E6002" s="11" t="s">
        <v>1705</v>
      </c>
      <c r="F6002" s="10">
        <v>0.47154000000000001</v>
      </c>
      <c r="G6002" s="9">
        <f>ROUND(G$3*F6002,0)</f>
        <v>135673</v>
      </c>
      <c r="H6002" s="11">
        <f>ROUND(G6002/2,0)</f>
        <v>67837</v>
      </c>
      <c r="I6002" s="9">
        <f>G6002-H6002</f>
        <v>67836</v>
      </c>
      <c r="J6002" s="3" t="str">
        <f t="shared" si="432"/>
        <v>8247995</v>
      </c>
    </row>
    <row r="6003" spans="1:10" s="3" customFormat="1">
      <c r="B6003" s="3" t="s">
        <v>2166</v>
      </c>
      <c r="C6003" s="8">
        <v>4</v>
      </c>
      <c r="D6003" s="3" t="s">
        <v>3052</v>
      </c>
      <c r="E6003" s="11" t="s">
        <v>28</v>
      </c>
      <c r="F6003" s="11"/>
      <c r="G6003" s="14">
        <v>0.59133599999999997</v>
      </c>
      <c r="H6003" s="11"/>
      <c r="I6003" s="11"/>
      <c r="J6003" s="3" t="str">
        <f t="shared" si="432"/>
        <v>8247995</v>
      </c>
    </row>
    <row r="6004" spans="1:10" s="3" customFormat="1">
      <c r="B6004" s="3" t="s">
        <v>2166</v>
      </c>
      <c r="C6004" s="8">
        <v>4</v>
      </c>
      <c r="D6004" s="3" t="s">
        <v>3052</v>
      </c>
      <c r="E6004" s="11" t="s">
        <v>29</v>
      </c>
      <c r="F6004" s="11"/>
      <c r="G6004" s="15">
        <f>ROUND(G6002*G6003,0)</f>
        <v>80228</v>
      </c>
      <c r="H6004" s="16">
        <f>ROUND(G6004/2,0)</f>
        <v>40114</v>
      </c>
      <c r="I6004" s="15">
        <f>G6004-H6004</f>
        <v>40114</v>
      </c>
      <c r="J6004" s="3" t="str">
        <f t="shared" si="432"/>
        <v>8247995</v>
      </c>
    </row>
    <row r="6005" spans="1:10" s="3" customFormat="1">
      <c r="B6005" s="3" t="s">
        <v>2166</v>
      </c>
      <c r="C6005" s="8">
        <v>4</v>
      </c>
      <c r="D6005" s="3" t="s">
        <v>3052</v>
      </c>
      <c r="E6005" s="11" t="s">
        <v>30</v>
      </c>
      <c r="F6005" s="11"/>
      <c r="G6005" s="12">
        <f>+G6002-G6004</f>
        <v>55445</v>
      </c>
      <c r="H6005" s="13">
        <f>ROUND(G6005/2,0)</f>
        <v>27723</v>
      </c>
      <c r="I6005" s="12">
        <f>G6005-H6005</f>
        <v>27722</v>
      </c>
      <c r="J6005" s="3" t="str">
        <f t="shared" si="432"/>
        <v>8247995</v>
      </c>
    </row>
    <row r="6006" spans="1:10" s="3" customFormat="1">
      <c r="B6006" s="3" t="s">
        <v>2166</v>
      </c>
      <c r="C6006" s="8">
        <v>5</v>
      </c>
      <c r="D6006" s="3" t="s">
        <v>5934</v>
      </c>
      <c r="E6006" s="11" t="s">
        <v>1706</v>
      </c>
      <c r="F6006" s="10">
        <v>3.8199000000000094E-2</v>
      </c>
      <c r="G6006" s="120">
        <f>+G5970-SUM(G5971:G5972)-SUM(G5977:G6002)</f>
        <v>2157230</v>
      </c>
      <c r="H6006" s="120">
        <f>ROUND(G6006/2,0)</f>
        <v>1078615</v>
      </c>
      <c r="I6006" s="120">
        <f>G6006-H6006</f>
        <v>1078615</v>
      </c>
      <c r="J6006" s="3" t="str">
        <f t="shared" si="432"/>
        <v>8250265</v>
      </c>
    </row>
    <row r="6007" spans="1:10" s="3" customFormat="1">
      <c r="A6007" s="3" t="s">
        <v>6269</v>
      </c>
      <c r="B6007" s="3" t="s">
        <v>2166</v>
      </c>
      <c r="C6007" s="8">
        <v>6</v>
      </c>
      <c r="D6007" s="3" t="s">
        <v>6267</v>
      </c>
      <c r="E6007" s="11" t="s">
        <v>1707</v>
      </c>
      <c r="F6007" s="10">
        <v>0</v>
      </c>
      <c r="G6007" s="120">
        <f>ROUND(G$3*F6007,0)</f>
        <v>0</v>
      </c>
      <c r="H6007" s="120">
        <f>ROUND(G6007/2,0)</f>
        <v>0</v>
      </c>
      <c r="I6007" s="120">
        <f>G6007-H6007</f>
        <v>0</v>
      </c>
      <c r="J6007" s="3" t="str">
        <f t="shared" si="432"/>
        <v>826XXXX</v>
      </c>
    </row>
    <row r="6008" spans="1:10" s="3" customFormat="1">
      <c r="B6008" s="3" t="s">
        <v>2166</v>
      </c>
      <c r="C6008" s="8">
        <v>0</v>
      </c>
      <c r="D6008" s="125" t="s">
        <v>2187</v>
      </c>
      <c r="E6008" s="28" t="s">
        <v>288</v>
      </c>
      <c r="F6008" s="10">
        <v>1</v>
      </c>
      <c r="G6008" s="12">
        <f>+G5971+SUM(G5974:G6001)+SUM(G6004:G6007)</f>
        <v>2433962</v>
      </c>
      <c r="H6008" s="12">
        <f>+H5971+SUM(H5974:H6001)+SUM(H6004:H6007)</f>
        <v>1216986</v>
      </c>
      <c r="I6008" s="12">
        <f>+I5971+SUM(I5974:I6001)+SUM(I6004:I6007)</f>
        <v>1216976</v>
      </c>
      <c r="J6008" s="3" t="str">
        <f t="shared" si="432"/>
        <v>8200000</v>
      </c>
    </row>
    <row r="6009" spans="1:10" s="3" customFormat="1">
      <c r="B6009" s="3" t="s">
        <v>2166</v>
      </c>
      <c r="C6009" s="8">
        <v>0</v>
      </c>
      <c r="D6009" s="3" t="s">
        <v>2187</v>
      </c>
      <c r="E6009" s="18" t="s">
        <v>38</v>
      </c>
      <c r="G6009" s="19">
        <f>+G5971</f>
        <v>277</v>
      </c>
      <c r="H6009" s="19">
        <f>+H5971</f>
        <v>139</v>
      </c>
      <c r="I6009" s="19">
        <f>+I5971</f>
        <v>138</v>
      </c>
      <c r="J6009" s="3" t="str">
        <f t="shared" si="432"/>
        <v>8200000</v>
      </c>
    </row>
    <row r="6010" spans="1:10" s="3" customFormat="1">
      <c r="B6010" s="3" t="s">
        <v>2166</v>
      </c>
      <c r="C6010" s="8">
        <v>0</v>
      </c>
      <c r="D6010" s="3" t="s">
        <v>2187</v>
      </c>
      <c r="E6010" s="2" t="s">
        <v>39</v>
      </c>
      <c r="G6010" s="19">
        <f>+G5974</f>
        <v>16627</v>
      </c>
      <c r="H6010" s="19">
        <f>+H5974</f>
        <v>8314</v>
      </c>
      <c r="I6010" s="19">
        <f>+I5974</f>
        <v>8313</v>
      </c>
      <c r="J6010" s="3" t="str">
        <f t="shared" si="432"/>
        <v>8200000</v>
      </c>
    </row>
    <row r="6011" spans="1:10" s="3" customFormat="1">
      <c r="B6011" s="3" t="s">
        <v>2166</v>
      </c>
      <c r="C6011" s="8">
        <v>0</v>
      </c>
      <c r="D6011" s="3" t="s">
        <v>2187</v>
      </c>
      <c r="E6011" s="2" t="s">
        <v>40</v>
      </c>
      <c r="G6011" s="19">
        <f>+G6004</f>
        <v>80228</v>
      </c>
      <c r="H6011" s="19">
        <f>+H6004</f>
        <v>40114</v>
      </c>
      <c r="I6011" s="19">
        <f>+I6004</f>
        <v>40114</v>
      </c>
      <c r="J6011" s="3" t="str">
        <f t="shared" si="432"/>
        <v>8200000</v>
      </c>
    </row>
    <row r="6012" spans="1:10" s="3" customFormat="1">
      <c r="B6012" s="3" t="s">
        <v>2166</v>
      </c>
      <c r="C6012" s="8">
        <v>0</v>
      </c>
      <c r="D6012" s="125" t="s">
        <v>2187</v>
      </c>
      <c r="E6012" s="18" t="s">
        <v>41</v>
      </c>
      <c r="G6012" s="19">
        <f>+G6008-G6009-G6010-G6011</f>
        <v>2336830</v>
      </c>
      <c r="H6012" s="19">
        <f>+H6008-H6009-H6010-H6011</f>
        <v>1168419</v>
      </c>
      <c r="I6012" s="19">
        <f>+I6008-I6009-I6010-I6011</f>
        <v>1168411</v>
      </c>
      <c r="J6012" s="3" t="str">
        <f t="shared" si="432"/>
        <v>8200000</v>
      </c>
    </row>
    <row r="6013" spans="1:10" ht="15.75">
      <c r="B6013" s="3" t="s">
        <v>2186</v>
      </c>
      <c r="D6013" t="s">
        <v>2186</v>
      </c>
      <c r="E6013">
        <v>0</v>
      </c>
      <c r="G6013"/>
      <c r="H6013"/>
      <c r="I6013"/>
      <c r="J6013" s="3" t="str">
        <f t="shared" si="432"/>
        <v/>
      </c>
    </row>
    <row r="6014" spans="1:10" s="3" customFormat="1">
      <c r="C6014" s="1"/>
      <c r="D6014" s="3" t="s">
        <v>2186</v>
      </c>
      <c r="E6014" s="2" t="s">
        <v>1708</v>
      </c>
      <c r="J6014" s="3" t="str">
        <f t="shared" si="432"/>
        <v/>
      </c>
    </row>
    <row r="6015" spans="1:10" s="3" customFormat="1" ht="45">
      <c r="B6015" s="3" t="s">
        <v>2186</v>
      </c>
      <c r="C6015" s="1"/>
      <c r="D6015" s="3" t="s">
        <v>2186</v>
      </c>
      <c r="E6015" s="1">
        <v>0</v>
      </c>
      <c r="F6015" s="6" t="s">
        <v>1</v>
      </c>
      <c r="G6015" s="60">
        <f>'Allocation Worksheet'!H6015</f>
        <v>0</v>
      </c>
      <c r="H6015" s="60">
        <f>'Allocation Worksheet'!H6016</f>
        <v>0</v>
      </c>
      <c r="I6015" s="60">
        <f>'Allocation Worksheet'!H6017</f>
        <v>0</v>
      </c>
      <c r="J6015" s="3" t="str">
        <f t="shared" si="432"/>
        <v/>
      </c>
    </row>
    <row r="6016" spans="1:10" s="3" customFormat="1">
      <c r="C6016" s="7" t="s">
        <v>2087</v>
      </c>
      <c r="D6016" s="3" t="s">
        <v>2186</v>
      </c>
      <c r="E6016" s="7" t="s">
        <v>3</v>
      </c>
      <c r="F6016" s="10"/>
      <c r="G6016" s="9">
        <f>'Allocation Worksheet'!$D$86</f>
        <v>180347</v>
      </c>
      <c r="H6016" s="11"/>
      <c r="I6016" s="11"/>
      <c r="J6016" s="3" t="str">
        <f t="shared" si="432"/>
        <v>UT</v>
      </c>
    </row>
    <row r="6017" spans="2:10" s="3" customFormat="1">
      <c r="B6017" s="3" t="s">
        <v>2167</v>
      </c>
      <c r="C6017" s="8">
        <v>0</v>
      </c>
      <c r="D6017" s="3" t="s">
        <v>2187</v>
      </c>
      <c r="E6017" s="11" t="s">
        <v>4</v>
      </c>
      <c r="F6017" s="10">
        <v>1.157E-3</v>
      </c>
      <c r="G6017" s="12">
        <f>ROUND(G$3*F6017,0)</f>
        <v>333</v>
      </c>
      <c r="H6017" s="13">
        <f>ROUND(G6017/2,0)</f>
        <v>167</v>
      </c>
      <c r="I6017" s="12">
        <f>G6017-H6017</f>
        <v>166</v>
      </c>
      <c r="J6017" s="3" t="str">
        <f t="shared" si="432"/>
        <v>8300000</v>
      </c>
    </row>
    <row r="6018" spans="2:10" s="3" customFormat="1">
      <c r="B6018" s="3" t="s">
        <v>2167</v>
      </c>
      <c r="C6018" s="8">
        <v>1</v>
      </c>
      <c r="D6018" s="3" t="s">
        <v>2187</v>
      </c>
      <c r="E6018" s="11" t="s">
        <v>1709</v>
      </c>
      <c r="F6018" s="10">
        <v>0.26108700000000001</v>
      </c>
      <c r="G6018" s="9">
        <f>ROUND(G$3*F6018,0)</f>
        <v>75121</v>
      </c>
      <c r="H6018" s="11">
        <f>ROUND(G6018/2,0)</f>
        <v>37561</v>
      </c>
      <c r="I6018" s="9">
        <f>G6018-H6018</f>
        <v>37560</v>
      </c>
      <c r="J6018" s="3" t="str">
        <f t="shared" si="432"/>
        <v>8310000</v>
      </c>
    </row>
    <row r="6019" spans="2:10" s="3" customFormat="1">
      <c r="B6019" s="3" t="s">
        <v>2167</v>
      </c>
      <c r="C6019" s="8">
        <v>1</v>
      </c>
      <c r="D6019" s="3" t="s">
        <v>2187</v>
      </c>
      <c r="E6019" s="11" t="s">
        <v>6</v>
      </c>
      <c r="F6019" s="11"/>
      <c r="G6019" s="14">
        <v>7.6754000000000003E-2</v>
      </c>
      <c r="H6019" s="11"/>
      <c r="I6019" s="11"/>
      <c r="J6019" s="3" t="str">
        <f t="shared" si="432"/>
        <v>8310000</v>
      </c>
    </row>
    <row r="6020" spans="2:10" s="3" customFormat="1">
      <c r="B6020" s="3" t="s">
        <v>2167</v>
      </c>
      <c r="C6020" s="8">
        <v>1</v>
      </c>
      <c r="D6020" s="3" t="s">
        <v>2187</v>
      </c>
      <c r="E6020" s="11" t="s">
        <v>7</v>
      </c>
      <c r="F6020" s="11"/>
      <c r="G6020" s="15">
        <f>ROUND(G6018*G6019,0)</f>
        <v>5766</v>
      </c>
      <c r="H6020" s="16">
        <f>ROUND(G6020/2,0)</f>
        <v>2883</v>
      </c>
      <c r="I6020" s="15">
        <f>G6020-H6020</f>
        <v>2883</v>
      </c>
      <c r="J6020" s="3" t="str">
        <f t="shared" ref="J6020:J6083" si="433">B6020&amp;C6020&amp;D6020</f>
        <v>8310000</v>
      </c>
    </row>
    <row r="6021" spans="2:10" s="3" customFormat="1">
      <c r="B6021" s="3" t="s">
        <v>2167</v>
      </c>
      <c r="C6021" s="8">
        <v>1</v>
      </c>
      <c r="D6021" s="3" t="s">
        <v>2187</v>
      </c>
      <c r="E6021" s="11" t="s">
        <v>8</v>
      </c>
      <c r="F6021" s="11"/>
      <c r="G6021" s="12">
        <f>+G6018-G6020</f>
        <v>69355</v>
      </c>
      <c r="H6021" s="13">
        <f>ROUND(G6021/2,0)</f>
        <v>34678</v>
      </c>
      <c r="I6021" s="12">
        <f>G6021-H6021</f>
        <v>34677</v>
      </c>
      <c r="J6021" s="3" t="str">
        <f t="shared" si="433"/>
        <v>8310000</v>
      </c>
    </row>
    <row r="6022" spans="2:10" s="3" customFormat="1">
      <c r="B6022" s="3" t="s">
        <v>2167</v>
      </c>
      <c r="C6022" s="8">
        <v>2</v>
      </c>
      <c r="D6022" s="3" t="s">
        <v>2188</v>
      </c>
      <c r="E6022" s="11" t="s">
        <v>147</v>
      </c>
      <c r="F6022" s="11"/>
      <c r="G6022" s="9"/>
      <c r="H6022" s="11"/>
      <c r="I6022" s="11"/>
      <c r="J6022" s="3" t="str">
        <f t="shared" si="433"/>
        <v>8320001</v>
      </c>
    </row>
    <row r="6023" spans="2:10" s="3" customFormat="1">
      <c r="B6023" s="3" t="s">
        <v>2167</v>
      </c>
      <c r="C6023" s="8">
        <v>2</v>
      </c>
      <c r="D6023" s="3" t="s">
        <v>2188</v>
      </c>
      <c r="E6023" s="11" t="s">
        <v>10</v>
      </c>
      <c r="F6023" s="10">
        <v>8.8830000000000003E-3</v>
      </c>
      <c r="G6023" s="12">
        <f>ROUND(G$3*F6023,0)</f>
        <v>2556</v>
      </c>
      <c r="H6023" s="13">
        <f>ROUND(G6023/2,0)</f>
        <v>1278</v>
      </c>
      <c r="I6023" s="12">
        <f>G6023-H6023</f>
        <v>1278</v>
      </c>
      <c r="J6023" s="3" t="str">
        <f t="shared" si="433"/>
        <v>8320001</v>
      </c>
    </row>
    <row r="6024" spans="2:10" s="3" customFormat="1">
      <c r="B6024" s="3" t="s">
        <v>2167</v>
      </c>
      <c r="C6024" s="8">
        <v>2</v>
      </c>
      <c r="D6024" s="3" t="s">
        <v>2188</v>
      </c>
      <c r="E6024" s="11" t="s">
        <v>11</v>
      </c>
      <c r="F6024" s="10">
        <v>2.2439999999999999E-3</v>
      </c>
      <c r="G6024" s="12">
        <f>ROUND(G$3*F6024,0)</f>
        <v>646</v>
      </c>
      <c r="H6024" s="13">
        <f>ROUND(G6024/2,0)</f>
        <v>323</v>
      </c>
      <c r="I6024" s="12">
        <f>G6024-H6024</f>
        <v>323</v>
      </c>
      <c r="J6024" s="3" t="str">
        <f t="shared" si="433"/>
        <v>8320001</v>
      </c>
    </row>
    <row r="6025" spans="2:10" s="3" customFormat="1">
      <c r="B6025" s="3" t="s">
        <v>2167</v>
      </c>
      <c r="C6025" s="8">
        <v>2</v>
      </c>
      <c r="D6025" s="3" t="s">
        <v>2189</v>
      </c>
      <c r="E6025" s="11" t="s">
        <v>1710</v>
      </c>
      <c r="F6025" s="11"/>
      <c r="G6025" s="9"/>
      <c r="H6025" s="11"/>
      <c r="I6025" s="11"/>
      <c r="J6025" s="3" t="str">
        <f t="shared" si="433"/>
        <v>8320002</v>
      </c>
    </row>
    <row r="6026" spans="2:10" s="3" customFormat="1">
      <c r="B6026" s="3" t="s">
        <v>2167</v>
      </c>
      <c r="C6026" s="8">
        <v>2</v>
      </c>
      <c r="D6026" s="3" t="s">
        <v>2189</v>
      </c>
      <c r="E6026" s="11" t="s">
        <v>10</v>
      </c>
      <c r="F6026" s="10">
        <v>2.6679999999999998E-3</v>
      </c>
      <c r="G6026" s="12">
        <f>ROUND(G$3*F6026,0)</f>
        <v>768</v>
      </c>
      <c r="H6026" s="13">
        <f>ROUND(G6026/2,0)</f>
        <v>384</v>
      </c>
      <c r="I6026" s="12">
        <f>G6026-H6026</f>
        <v>384</v>
      </c>
      <c r="J6026" s="3" t="str">
        <f t="shared" si="433"/>
        <v>8320002</v>
      </c>
    </row>
    <row r="6027" spans="2:10" s="3" customFormat="1">
      <c r="B6027" s="3" t="s">
        <v>2167</v>
      </c>
      <c r="C6027" s="8">
        <v>2</v>
      </c>
      <c r="D6027" s="3" t="s">
        <v>2189</v>
      </c>
      <c r="E6027" s="11" t="s">
        <v>11</v>
      </c>
      <c r="F6027" s="10">
        <v>1.769E-3</v>
      </c>
      <c r="G6027" s="12">
        <f>ROUND(G$3*F6027,0)</f>
        <v>509</v>
      </c>
      <c r="H6027" s="13">
        <f>ROUND(G6027/2,0)</f>
        <v>255</v>
      </c>
      <c r="I6027" s="12">
        <f>G6027-H6027</f>
        <v>254</v>
      </c>
      <c r="J6027" s="3" t="str">
        <f t="shared" si="433"/>
        <v>8320002</v>
      </c>
    </row>
    <row r="6028" spans="2:10" s="3" customFormat="1">
      <c r="B6028" s="3" t="s">
        <v>2167</v>
      </c>
      <c r="C6028" s="8">
        <v>2</v>
      </c>
      <c r="D6028" s="3" t="s">
        <v>2190</v>
      </c>
      <c r="E6028" s="11" t="s">
        <v>1711</v>
      </c>
      <c r="F6028" s="11"/>
      <c r="G6028" s="9"/>
      <c r="H6028" s="11"/>
      <c r="I6028" s="11"/>
      <c r="J6028" s="3" t="str">
        <f t="shared" si="433"/>
        <v>8320003</v>
      </c>
    </row>
    <row r="6029" spans="2:10" s="3" customFormat="1">
      <c r="B6029" s="3" t="s">
        <v>2167</v>
      </c>
      <c r="C6029" s="8">
        <v>2</v>
      </c>
      <c r="D6029" s="3" t="s">
        <v>2190</v>
      </c>
      <c r="E6029" s="11" t="s">
        <v>10</v>
      </c>
      <c r="F6029" s="10">
        <v>3.1129999999999999E-3</v>
      </c>
      <c r="G6029" s="12">
        <f>ROUND(G$3*F6029,0)</f>
        <v>896</v>
      </c>
      <c r="H6029" s="13">
        <f>ROUND(G6029/2,0)</f>
        <v>448</v>
      </c>
      <c r="I6029" s="12">
        <f>G6029-H6029</f>
        <v>448</v>
      </c>
      <c r="J6029" s="3" t="str">
        <f t="shared" si="433"/>
        <v>8320003</v>
      </c>
    </row>
    <row r="6030" spans="2:10" s="3" customFormat="1">
      <c r="B6030" s="3" t="s">
        <v>2167</v>
      </c>
      <c r="C6030" s="8">
        <v>2</v>
      </c>
      <c r="D6030" s="3" t="s">
        <v>2190</v>
      </c>
      <c r="E6030" s="11" t="s">
        <v>11</v>
      </c>
      <c r="F6030" s="10">
        <v>2.5569999999999998E-3</v>
      </c>
      <c r="G6030" s="12">
        <f>ROUND(G$3*F6030,0)</f>
        <v>736</v>
      </c>
      <c r="H6030" s="13">
        <f>ROUND(G6030/2,0)</f>
        <v>368</v>
      </c>
      <c r="I6030" s="12">
        <f>G6030-H6030</f>
        <v>368</v>
      </c>
      <c r="J6030" s="3" t="str">
        <f t="shared" si="433"/>
        <v>8320003</v>
      </c>
    </row>
    <row r="6031" spans="2:10" s="3" customFormat="1">
      <c r="B6031" s="3" t="s">
        <v>2167</v>
      </c>
      <c r="C6031" s="8">
        <v>2</v>
      </c>
      <c r="D6031" s="3" t="s">
        <v>2191</v>
      </c>
      <c r="E6031" s="11" t="s">
        <v>528</v>
      </c>
      <c r="F6031" s="11"/>
      <c r="G6031" s="9"/>
      <c r="H6031" s="11"/>
      <c r="I6031" s="11"/>
      <c r="J6031" s="3" t="str">
        <f t="shared" si="433"/>
        <v>8320004</v>
      </c>
    </row>
    <row r="6032" spans="2:10" s="3" customFormat="1">
      <c r="B6032" s="3" t="s">
        <v>2167</v>
      </c>
      <c r="C6032" s="8">
        <v>2</v>
      </c>
      <c r="D6032" s="3" t="s">
        <v>2191</v>
      </c>
      <c r="E6032" s="11" t="s">
        <v>10</v>
      </c>
      <c r="F6032" s="10">
        <v>4.1029999999999999E-3</v>
      </c>
      <c r="G6032" s="12">
        <f>ROUND(G$3*F6032,0)</f>
        <v>1181</v>
      </c>
      <c r="H6032" s="13">
        <f>ROUND(G6032/2,0)</f>
        <v>591</v>
      </c>
      <c r="I6032" s="12">
        <f>G6032-H6032</f>
        <v>590</v>
      </c>
      <c r="J6032" s="3" t="str">
        <f t="shared" si="433"/>
        <v>8320004</v>
      </c>
    </row>
    <row r="6033" spans="2:10" s="3" customFormat="1">
      <c r="B6033" s="3" t="s">
        <v>2167</v>
      </c>
      <c r="C6033" s="8">
        <v>2</v>
      </c>
      <c r="D6033" s="3" t="s">
        <v>2191</v>
      </c>
      <c r="E6033" s="11" t="s">
        <v>11</v>
      </c>
      <c r="F6033" s="10">
        <v>3.274E-3</v>
      </c>
      <c r="G6033" s="12">
        <f>ROUND(G$3*F6033,0)</f>
        <v>942</v>
      </c>
      <c r="H6033" s="13">
        <f>ROUND(G6033/2,0)</f>
        <v>471</v>
      </c>
      <c r="I6033" s="12">
        <f>G6033-H6033</f>
        <v>471</v>
      </c>
      <c r="J6033" s="3" t="str">
        <f t="shared" si="433"/>
        <v>8320004</v>
      </c>
    </row>
    <row r="6034" spans="2:10" s="3" customFormat="1">
      <c r="B6034" s="3" t="s">
        <v>2167</v>
      </c>
      <c r="C6034" s="8">
        <v>2</v>
      </c>
      <c r="D6034" s="3" t="s">
        <v>2192</v>
      </c>
      <c r="E6034" s="11" t="s">
        <v>1712</v>
      </c>
      <c r="F6034" s="11"/>
      <c r="G6034" s="9"/>
      <c r="H6034" s="11"/>
      <c r="I6034" s="11"/>
      <c r="J6034" s="3" t="str">
        <f t="shared" si="433"/>
        <v>8320005</v>
      </c>
    </row>
    <row r="6035" spans="2:10" s="3" customFormat="1">
      <c r="B6035" s="3" t="s">
        <v>2167</v>
      </c>
      <c r="C6035" s="8">
        <v>2</v>
      </c>
      <c r="D6035" s="3" t="s">
        <v>2192</v>
      </c>
      <c r="E6035" s="11" t="s">
        <v>10</v>
      </c>
      <c r="F6035" s="10">
        <v>5.8600000000000004E-4</v>
      </c>
      <c r="G6035" s="12">
        <f t="shared" ref="G6035:G6044" si="434">ROUND(G$3*F6035,0)</f>
        <v>169</v>
      </c>
      <c r="H6035" s="13">
        <f t="shared" ref="H6035:H6044" si="435">ROUND(G6035/2,0)</f>
        <v>85</v>
      </c>
      <c r="I6035" s="12">
        <f t="shared" ref="I6035:I6044" si="436">G6035-H6035</f>
        <v>84</v>
      </c>
      <c r="J6035" s="3" t="str">
        <f t="shared" si="433"/>
        <v>8320005</v>
      </c>
    </row>
    <row r="6036" spans="2:10" s="3" customFormat="1">
      <c r="B6036" s="3" t="s">
        <v>2167</v>
      </c>
      <c r="C6036" s="8">
        <v>2</v>
      </c>
      <c r="D6036" s="3" t="s">
        <v>2192</v>
      </c>
      <c r="E6036" s="11" t="s">
        <v>11</v>
      </c>
      <c r="F6036" s="10">
        <v>1.21E-4</v>
      </c>
      <c r="G6036" s="12">
        <f t="shared" si="434"/>
        <v>35</v>
      </c>
      <c r="H6036" s="13">
        <f t="shared" si="435"/>
        <v>18</v>
      </c>
      <c r="I6036" s="12">
        <f t="shared" si="436"/>
        <v>17</v>
      </c>
      <c r="J6036" s="3" t="str">
        <f t="shared" si="433"/>
        <v>8320005</v>
      </c>
    </row>
    <row r="6037" spans="2:10" s="3" customFormat="1">
      <c r="B6037" s="3" t="s">
        <v>2167</v>
      </c>
      <c r="C6037" s="8">
        <v>3</v>
      </c>
      <c r="D6037" s="3" t="s">
        <v>3054</v>
      </c>
      <c r="E6037" s="11" t="s">
        <v>1713</v>
      </c>
      <c r="F6037" s="10">
        <v>1.0697999999999999E-2</v>
      </c>
      <c r="G6037" s="12">
        <f t="shared" si="434"/>
        <v>3078</v>
      </c>
      <c r="H6037" s="13">
        <f t="shared" si="435"/>
        <v>1539</v>
      </c>
      <c r="I6037" s="12">
        <f t="shared" si="436"/>
        <v>1539</v>
      </c>
      <c r="J6037" s="3" t="str">
        <f t="shared" si="433"/>
        <v>8330897</v>
      </c>
    </row>
    <row r="6038" spans="2:10" s="3" customFormat="1">
      <c r="B6038" s="3" t="s">
        <v>2167</v>
      </c>
      <c r="C6038" s="8">
        <v>3</v>
      </c>
      <c r="D6038" s="3" t="s">
        <v>3053</v>
      </c>
      <c r="E6038" s="11" t="s">
        <v>1714</v>
      </c>
      <c r="F6038" s="10">
        <v>2.5776E-2</v>
      </c>
      <c r="G6038" s="12">
        <f t="shared" si="434"/>
        <v>7416</v>
      </c>
      <c r="H6038" s="13">
        <f t="shared" si="435"/>
        <v>3708</v>
      </c>
      <c r="I6038" s="12">
        <f t="shared" si="436"/>
        <v>3708</v>
      </c>
      <c r="J6038" s="3" t="str">
        <f t="shared" si="433"/>
        <v>8330427</v>
      </c>
    </row>
    <row r="6039" spans="2:10" s="3" customFormat="1">
      <c r="B6039" s="3" t="s">
        <v>2167</v>
      </c>
      <c r="C6039" s="8">
        <v>3</v>
      </c>
      <c r="D6039" s="3" t="s">
        <v>3055</v>
      </c>
      <c r="E6039" s="11" t="s">
        <v>1715</v>
      </c>
      <c r="F6039" s="10">
        <v>4.5329999999999997E-3</v>
      </c>
      <c r="G6039" s="12">
        <f t="shared" si="434"/>
        <v>1304</v>
      </c>
      <c r="H6039" s="13">
        <f t="shared" si="435"/>
        <v>652</v>
      </c>
      <c r="I6039" s="12">
        <f t="shared" si="436"/>
        <v>652</v>
      </c>
      <c r="J6039" s="3" t="str">
        <f t="shared" si="433"/>
        <v>8330898</v>
      </c>
    </row>
    <row r="6040" spans="2:10" s="3" customFormat="1">
      <c r="B6040" s="3" t="s">
        <v>2167</v>
      </c>
      <c r="C6040" s="8">
        <v>3</v>
      </c>
      <c r="D6040" s="3" t="s">
        <v>3056</v>
      </c>
      <c r="E6040" s="11" t="s">
        <v>1716</v>
      </c>
      <c r="F6040" s="10">
        <v>3.1779999999999998E-3</v>
      </c>
      <c r="G6040" s="12">
        <f t="shared" si="434"/>
        <v>914</v>
      </c>
      <c r="H6040" s="13">
        <f t="shared" si="435"/>
        <v>457</v>
      </c>
      <c r="I6040" s="12">
        <f t="shared" si="436"/>
        <v>457</v>
      </c>
      <c r="J6040" s="3" t="str">
        <f t="shared" si="433"/>
        <v>8330899</v>
      </c>
    </row>
    <row r="6041" spans="2:10" s="3" customFormat="1">
      <c r="B6041" s="3" t="s">
        <v>2167</v>
      </c>
      <c r="C6041" s="8">
        <v>3</v>
      </c>
      <c r="D6041" s="3" t="s">
        <v>3057</v>
      </c>
      <c r="E6041" s="11" t="s">
        <v>1717</v>
      </c>
      <c r="F6041" s="10">
        <v>6.8199999999999999E-4</v>
      </c>
      <c r="G6041" s="12">
        <f t="shared" si="434"/>
        <v>196</v>
      </c>
      <c r="H6041" s="13">
        <f t="shared" si="435"/>
        <v>98</v>
      </c>
      <c r="I6041" s="12">
        <f t="shared" si="436"/>
        <v>98</v>
      </c>
      <c r="J6041" s="3" t="str">
        <f t="shared" si="433"/>
        <v>8330900</v>
      </c>
    </row>
    <row r="6042" spans="2:10" s="3" customFormat="1">
      <c r="B6042" s="3" t="s">
        <v>2167</v>
      </c>
      <c r="C6042" s="8">
        <v>3</v>
      </c>
      <c r="D6042" s="3" t="s">
        <v>2740</v>
      </c>
      <c r="E6042" s="11" t="s">
        <v>1718</v>
      </c>
      <c r="F6042" s="10">
        <v>2.3349999999999998E-3</v>
      </c>
      <c r="G6042" s="12">
        <f t="shared" si="434"/>
        <v>672</v>
      </c>
      <c r="H6042" s="13">
        <f t="shared" si="435"/>
        <v>336</v>
      </c>
      <c r="I6042" s="12">
        <f t="shared" si="436"/>
        <v>336</v>
      </c>
      <c r="J6042" s="3" t="str">
        <f t="shared" si="433"/>
        <v>8330901</v>
      </c>
    </row>
    <row r="6043" spans="2:10" s="3" customFormat="1">
      <c r="B6043" s="3" t="s">
        <v>2167</v>
      </c>
      <c r="C6043" s="8">
        <v>3</v>
      </c>
      <c r="D6043" s="3" t="s">
        <v>3058</v>
      </c>
      <c r="E6043" s="11" t="s">
        <v>1719</v>
      </c>
      <c r="F6043" s="10">
        <v>1.4859999999999999E-3</v>
      </c>
      <c r="G6043" s="12">
        <f t="shared" si="434"/>
        <v>428</v>
      </c>
      <c r="H6043" s="13">
        <f t="shared" si="435"/>
        <v>214</v>
      </c>
      <c r="I6043" s="12">
        <f t="shared" si="436"/>
        <v>214</v>
      </c>
      <c r="J6043" s="3" t="str">
        <f t="shared" si="433"/>
        <v>8330902</v>
      </c>
    </row>
    <row r="6044" spans="2:10" s="3" customFormat="1">
      <c r="B6044" s="3" t="s">
        <v>2167</v>
      </c>
      <c r="C6044" s="8">
        <v>4</v>
      </c>
      <c r="D6044" s="3" t="s">
        <v>3059</v>
      </c>
      <c r="E6044" s="11" t="s">
        <v>1720</v>
      </c>
      <c r="F6044" s="10">
        <v>0.33277099999999998</v>
      </c>
      <c r="G6044" s="9">
        <f t="shared" si="434"/>
        <v>95746</v>
      </c>
      <c r="H6044" s="11">
        <f t="shared" si="435"/>
        <v>47873</v>
      </c>
      <c r="I6044" s="9">
        <f t="shared" si="436"/>
        <v>47873</v>
      </c>
      <c r="J6044" s="3" t="str">
        <f t="shared" si="433"/>
        <v>8348010</v>
      </c>
    </row>
    <row r="6045" spans="2:10" s="3" customFormat="1">
      <c r="B6045" s="3" t="s">
        <v>2167</v>
      </c>
      <c r="C6045" s="8">
        <v>4</v>
      </c>
      <c r="D6045" s="3" t="s">
        <v>3059</v>
      </c>
      <c r="E6045" s="11" t="s">
        <v>28</v>
      </c>
      <c r="F6045" s="11"/>
      <c r="G6045" s="14">
        <v>0.46354600000000001</v>
      </c>
      <c r="H6045" s="11"/>
      <c r="I6045" s="11"/>
      <c r="J6045" s="3" t="str">
        <f t="shared" si="433"/>
        <v>8348010</v>
      </c>
    </row>
    <row r="6046" spans="2:10" s="3" customFormat="1">
      <c r="B6046" s="3" t="s">
        <v>2167</v>
      </c>
      <c r="C6046" s="8">
        <v>4</v>
      </c>
      <c r="D6046" s="3" t="s">
        <v>3059</v>
      </c>
      <c r="E6046" s="11" t="s">
        <v>29</v>
      </c>
      <c r="F6046" s="11"/>
      <c r="G6046" s="15">
        <f>ROUND(G6044*G6045,0)</f>
        <v>44383</v>
      </c>
      <c r="H6046" s="16">
        <f>ROUND(G6046/2,0)</f>
        <v>22192</v>
      </c>
      <c r="I6046" s="15">
        <f>G6046-H6046</f>
        <v>22191</v>
      </c>
      <c r="J6046" s="3" t="str">
        <f t="shared" si="433"/>
        <v>8348010</v>
      </c>
    </row>
    <row r="6047" spans="2:10" s="3" customFormat="1">
      <c r="B6047" s="3" t="s">
        <v>2167</v>
      </c>
      <c r="C6047" s="8">
        <v>4</v>
      </c>
      <c r="D6047" s="3" t="s">
        <v>3059</v>
      </c>
      <c r="E6047" s="11" t="s">
        <v>30</v>
      </c>
      <c r="F6047" s="11"/>
      <c r="G6047" s="12">
        <f>+G6044-G6046</f>
        <v>51363</v>
      </c>
      <c r="H6047" s="13">
        <f>ROUND(G6047/2,0)</f>
        <v>25682</v>
      </c>
      <c r="I6047" s="12">
        <f>G6047-H6047</f>
        <v>25681</v>
      </c>
      <c r="J6047" s="3" t="str">
        <f t="shared" si="433"/>
        <v>8348010</v>
      </c>
    </row>
    <row r="6048" spans="2:10" s="3" customFormat="1">
      <c r="B6048" s="3" t="s">
        <v>2167</v>
      </c>
      <c r="C6048" s="8">
        <v>4</v>
      </c>
      <c r="D6048" s="3" t="s">
        <v>3060</v>
      </c>
      <c r="E6048" s="11" t="s">
        <v>1721</v>
      </c>
      <c r="F6048" s="10">
        <v>0.29403299999999999</v>
      </c>
      <c r="G6048" s="9">
        <f>ROUND(G$3*F6048,0)</f>
        <v>84600</v>
      </c>
      <c r="H6048" s="11">
        <f>ROUND(G6048/2,0)</f>
        <v>42300</v>
      </c>
      <c r="I6048" s="9">
        <f>G6048-H6048</f>
        <v>42300</v>
      </c>
      <c r="J6048" s="3" t="str">
        <f t="shared" si="433"/>
        <v>8348020</v>
      </c>
    </row>
    <row r="6049" spans="1:10" s="3" customFormat="1">
      <c r="B6049" s="3" t="s">
        <v>2167</v>
      </c>
      <c r="C6049" s="8">
        <v>4</v>
      </c>
      <c r="D6049" s="3" t="s">
        <v>3060</v>
      </c>
      <c r="E6049" s="11" t="s">
        <v>28</v>
      </c>
      <c r="F6049" s="11"/>
      <c r="G6049" s="14">
        <v>0.41342299999999998</v>
      </c>
      <c r="H6049" s="11"/>
      <c r="I6049" s="11"/>
      <c r="J6049" s="3" t="str">
        <f t="shared" si="433"/>
        <v>8348020</v>
      </c>
    </row>
    <row r="6050" spans="1:10" s="3" customFormat="1">
      <c r="B6050" s="3" t="s">
        <v>2167</v>
      </c>
      <c r="C6050" s="8">
        <v>4</v>
      </c>
      <c r="D6050" s="3" t="s">
        <v>3060</v>
      </c>
      <c r="E6050" s="11" t="s">
        <v>29</v>
      </c>
      <c r="F6050" s="11"/>
      <c r="G6050" s="15">
        <f>ROUND(G6048*G6049,0)</f>
        <v>34976</v>
      </c>
      <c r="H6050" s="16">
        <f>ROUND(G6050/2,0)</f>
        <v>17488</v>
      </c>
      <c r="I6050" s="15">
        <f>G6050-H6050</f>
        <v>17488</v>
      </c>
      <c r="J6050" s="3" t="str">
        <f t="shared" si="433"/>
        <v>8348020</v>
      </c>
    </row>
    <row r="6051" spans="1:10" s="3" customFormat="1">
      <c r="B6051" s="3" t="s">
        <v>2167</v>
      </c>
      <c r="C6051" s="8">
        <v>4</v>
      </c>
      <c r="D6051" s="3" t="s">
        <v>3060</v>
      </c>
      <c r="E6051" s="11" t="s">
        <v>30</v>
      </c>
      <c r="F6051" s="11"/>
      <c r="G6051" s="12">
        <f>+G6048-G6050</f>
        <v>49624</v>
      </c>
      <c r="H6051" s="13">
        <f>ROUND(G6051/2,0)</f>
        <v>24812</v>
      </c>
      <c r="I6051" s="12">
        <f>G6051-H6051</f>
        <v>24812</v>
      </c>
      <c r="J6051" s="3" t="str">
        <f t="shared" si="433"/>
        <v>8348020</v>
      </c>
    </row>
    <row r="6052" spans="1:10" s="3" customFormat="1">
      <c r="B6052" s="3" t="s">
        <v>2167</v>
      </c>
      <c r="C6052" s="8">
        <v>5</v>
      </c>
      <c r="D6052" s="3" t="s">
        <v>3061</v>
      </c>
      <c r="E6052" s="11" t="s">
        <v>1722</v>
      </c>
      <c r="F6052" s="10">
        <v>2.3730000000000001E-2</v>
      </c>
      <c r="G6052" s="120">
        <f>ROUND(G$3*F6052,0)</f>
        <v>6828</v>
      </c>
      <c r="H6052" s="120">
        <f>ROUND(G6052/2,0)</f>
        <v>3414</v>
      </c>
      <c r="I6052" s="120">
        <f>G6052-H6052</f>
        <v>3414</v>
      </c>
      <c r="J6052" s="3" t="str">
        <f t="shared" si="433"/>
        <v>8350227</v>
      </c>
    </row>
    <row r="6053" spans="1:10" s="3" customFormat="1">
      <c r="B6053" s="3" t="s">
        <v>2167</v>
      </c>
      <c r="C6053" s="8">
        <v>5</v>
      </c>
      <c r="D6053" s="3" t="s">
        <v>5963</v>
      </c>
      <c r="E6053" s="11" t="s">
        <v>1723</v>
      </c>
      <c r="F6053" s="10">
        <v>9.216000000000002E-3</v>
      </c>
      <c r="G6053" s="120">
        <f>+G6016-SUM(G6017:G6018)-SUM(G6023:G6044)-G6048-G6052</f>
        <v>-104727</v>
      </c>
      <c r="H6053" s="120">
        <f>ROUND(G6053/2,0)</f>
        <v>-52364</v>
      </c>
      <c r="I6053" s="120">
        <f>G6053-H6053</f>
        <v>-52363</v>
      </c>
      <c r="J6053" s="3" t="str">
        <f t="shared" si="433"/>
        <v>8350228</v>
      </c>
    </row>
    <row r="6054" spans="1:10" s="3" customFormat="1">
      <c r="A6054" s="3" t="s">
        <v>6269</v>
      </c>
      <c r="B6054" s="3" t="s">
        <v>2167</v>
      </c>
      <c r="C6054" s="8">
        <v>6</v>
      </c>
      <c r="D6054" s="3" t="s">
        <v>5965</v>
      </c>
      <c r="E6054" s="11" t="s">
        <v>1724</v>
      </c>
      <c r="F6054" s="10">
        <v>0</v>
      </c>
      <c r="G6054" s="120">
        <f>ROUND(G$3*F6054,0)</f>
        <v>0</v>
      </c>
      <c r="H6054" s="120">
        <f>ROUND(G6054/2,0)</f>
        <v>0</v>
      </c>
      <c r="I6054" s="120">
        <f>G6054-H6054</f>
        <v>0</v>
      </c>
      <c r="J6054" s="3" t="str">
        <f t="shared" si="433"/>
        <v>8361073</v>
      </c>
    </row>
    <row r="6055" spans="1:10" s="3" customFormat="1">
      <c r="B6055" s="3" t="s">
        <v>2167</v>
      </c>
      <c r="C6055" s="8">
        <v>0</v>
      </c>
      <c r="D6055" s="125" t="s">
        <v>2187</v>
      </c>
      <c r="E6055" s="28" t="s">
        <v>288</v>
      </c>
      <c r="F6055" s="10">
        <v>1</v>
      </c>
      <c r="G6055" s="12">
        <f>+G6017+SUM(G6020:G6043)+SUM(G6046:G6047)+SUM(G6050:G6054)</f>
        <v>180347</v>
      </c>
      <c r="H6055" s="12">
        <f>+H6017+SUM(H6020:H6043)+SUM(H6046:H6047)+SUM(H6050:H6054)</f>
        <v>90177</v>
      </c>
      <c r="I6055" s="12">
        <f>+I6017+SUM(I6020:I6043)+SUM(I6046:I6047)+SUM(I6050:I6054)</f>
        <v>90170</v>
      </c>
      <c r="J6055" s="3" t="str">
        <f t="shared" si="433"/>
        <v>8300000</v>
      </c>
    </row>
    <row r="6056" spans="1:10" s="3" customFormat="1">
      <c r="B6056" s="3" t="s">
        <v>2167</v>
      </c>
      <c r="C6056" s="8">
        <v>0</v>
      </c>
      <c r="D6056" s="3" t="s">
        <v>2187</v>
      </c>
      <c r="E6056" s="18" t="s">
        <v>38</v>
      </c>
      <c r="G6056" s="19">
        <f>+G6017</f>
        <v>333</v>
      </c>
      <c r="H6056" s="19">
        <f>+H6017</f>
        <v>167</v>
      </c>
      <c r="I6056" s="19">
        <f>+I6017</f>
        <v>166</v>
      </c>
      <c r="J6056" s="3" t="str">
        <f t="shared" si="433"/>
        <v>8300000</v>
      </c>
    </row>
    <row r="6057" spans="1:10" s="3" customFormat="1">
      <c r="B6057" s="3" t="s">
        <v>2167</v>
      </c>
      <c r="C6057" s="8">
        <v>0</v>
      </c>
      <c r="D6057" s="3" t="s">
        <v>2187</v>
      </c>
      <c r="E6057" s="2" t="s">
        <v>39</v>
      </c>
      <c r="G6057" s="19">
        <f>+G6020</f>
        <v>5766</v>
      </c>
      <c r="H6057" s="19">
        <f>+H6020</f>
        <v>2883</v>
      </c>
      <c r="I6057" s="19">
        <f>+I6020</f>
        <v>2883</v>
      </c>
      <c r="J6057" s="3" t="str">
        <f t="shared" si="433"/>
        <v>8300000</v>
      </c>
    </row>
    <row r="6058" spans="1:10" s="3" customFormat="1">
      <c r="B6058" s="3" t="s">
        <v>2167</v>
      </c>
      <c r="C6058" s="8">
        <v>0</v>
      </c>
      <c r="D6058" s="3" t="s">
        <v>2187</v>
      </c>
      <c r="E6058" s="2" t="s">
        <v>40</v>
      </c>
      <c r="G6058" s="19">
        <f>+G6046+G6050</f>
        <v>79359</v>
      </c>
      <c r="H6058" s="19">
        <f>+H6046+H6050</f>
        <v>39680</v>
      </c>
      <c r="I6058" s="19">
        <f>+I6046+I6050</f>
        <v>39679</v>
      </c>
      <c r="J6058" s="3" t="str">
        <f t="shared" si="433"/>
        <v>8300000</v>
      </c>
    </row>
    <row r="6059" spans="1:10" s="3" customFormat="1">
      <c r="B6059" s="3" t="s">
        <v>2167</v>
      </c>
      <c r="C6059" s="8">
        <v>0</v>
      </c>
      <c r="D6059" s="125" t="s">
        <v>2187</v>
      </c>
      <c r="E6059" s="18" t="s">
        <v>41</v>
      </c>
      <c r="G6059" s="19">
        <f>+G6055-G6056-G6057-G6058</f>
        <v>94889</v>
      </c>
      <c r="H6059" s="19">
        <f>+H6055-H6056-H6057-H6058</f>
        <v>47447</v>
      </c>
      <c r="I6059" s="19">
        <f>+I6055-I6056-I6057-I6058</f>
        <v>47442</v>
      </c>
      <c r="J6059" s="3" t="str">
        <f t="shared" si="433"/>
        <v>8300000</v>
      </c>
    </row>
    <row r="6060" spans="1:10" ht="15.75">
      <c r="B6060" s="3" t="s">
        <v>2186</v>
      </c>
      <c r="D6060" t="s">
        <v>2186</v>
      </c>
      <c r="E6060">
        <v>0</v>
      </c>
      <c r="G6060"/>
      <c r="H6060"/>
      <c r="I6060"/>
      <c r="J6060" s="3" t="str">
        <f t="shared" si="433"/>
        <v/>
      </c>
    </row>
    <row r="6061" spans="1:10" s="3" customFormat="1">
      <c r="C6061" s="1"/>
      <c r="D6061" s="3" t="s">
        <v>2186</v>
      </c>
      <c r="E6061" s="2" t="s">
        <v>1725</v>
      </c>
      <c r="J6061" s="3" t="str">
        <f t="shared" si="433"/>
        <v/>
      </c>
    </row>
    <row r="6062" spans="1:10" s="3" customFormat="1" ht="45">
      <c r="B6062" s="3" t="s">
        <v>2186</v>
      </c>
      <c r="C6062" s="1"/>
      <c r="D6062" s="3" t="s">
        <v>2186</v>
      </c>
      <c r="E6062" s="1">
        <v>0</v>
      </c>
      <c r="F6062" s="6" t="s">
        <v>1</v>
      </c>
      <c r="G6062" s="60">
        <f>'Allocation Worksheet'!H6062</f>
        <v>0</v>
      </c>
      <c r="H6062" s="60">
        <f>'Allocation Worksheet'!H6063</f>
        <v>0</v>
      </c>
      <c r="I6062" s="60">
        <f>'Allocation Worksheet'!H6064</f>
        <v>0</v>
      </c>
      <c r="J6062" s="3" t="str">
        <f t="shared" si="433"/>
        <v/>
      </c>
    </row>
    <row r="6063" spans="1:10" s="3" customFormat="1">
      <c r="C6063" s="7" t="s">
        <v>2087</v>
      </c>
      <c r="D6063" s="3" t="s">
        <v>2186</v>
      </c>
      <c r="E6063" s="7" t="s">
        <v>3</v>
      </c>
      <c r="F6063" s="10"/>
      <c r="G6063" s="9">
        <f>'Allocation Worksheet'!$D$87</f>
        <v>793500</v>
      </c>
      <c r="H6063" s="11"/>
      <c r="I6063" s="11"/>
      <c r="J6063" s="3" t="str">
        <f t="shared" si="433"/>
        <v>UT</v>
      </c>
    </row>
    <row r="6064" spans="1:10" s="3" customFormat="1">
      <c r="B6064" s="3" t="s">
        <v>2168</v>
      </c>
      <c r="C6064" s="8">
        <v>0</v>
      </c>
      <c r="D6064" s="3" t="s">
        <v>2187</v>
      </c>
      <c r="E6064" s="11" t="s">
        <v>4</v>
      </c>
      <c r="F6064" s="10">
        <v>8.43E-4</v>
      </c>
      <c r="G6064" s="12">
        <f>ROUND(G$3*F6064,0)</f>
        <v>243</v>
      </c>
      <c r="H6064" s="13">
        <f>ROUND(G6064/2,0)</f>
        <v>122</v>
      </c>
      <c r="I6064" s="12">
        <f>G6064-H6064</f>
        <v>121</v>
      </c>
      <c r="J6064" s="3" t="str">
        <f t="shared" si="433"/>
        <v>8400000</v>
      </c>
    </row>
    <row r="6065" spans="1:10" s="3" customFormat="1">
      <c r="B6065" s="3" t="s">
        <v>2168</v>
      </c>
      <c r="C6065" s="8">
        <v>1</v>
      </c>
      <c r="D6065" s="3" t="s">
        <v>2187</v>
      </c>
      <c r="E6065" s="11" t="s">
        <v>1726</v>
      </c>
      <c r="F6065" s="10">
        <v>0.20152</v>
      </c>
      <c r="G6065" s="9">
        <f>ROUND(G$3*F6065,0)</f>
        <v>57982</v>
      </c>
      <c r="H6065" s="11">
        <f>ROUND(G6065/2,0)</f>
        <v>28991</v>
      </c>
      <c r="I6065" s="9">
        <f>G6065-H6065</f>
        <v>28991</v>
      </c>
      <c r="J6065" s="3" t="str">
        <f t="shared" si="433"/>
        <v>8410000</v>
      </c>
    </row>
    <row r="6066" spans="1:10" s="3" customFormat="1">
      <c r="B6066" s="3" t="s">
        <v>2168</v>
      </c>
      <c r="C6066" s="8">
        <v>1</v>
      </c>
      <c r="D6066" s="3" t="s">
        <v>2187</v>
      </c>
      <c r="E6066" s="11" t="s">
        <v>6</v>
      </c>
      <c r="F6066" s="11"/>
      <c r="G6066" s="14">
        <v>0.192386</v>
      </c>
      <c r="H6066" s="11"/>
      <c r="I6066" s="11"/>
      <c r="J6066" s="3" t="str">
        <f t="shared" si="433"/>
        <v>8410000</v>
      </c>
    </row>
    <row r="6067" spans="1:10" s="3" customFormat="1">
      <c r="B6067" s="3" t="s">
        <v>2168</v>
      </c>
      <c r="C6067" s="8">
        <v>1</v>
      </c>
      <c r="D6067" s="3" t="s">
        <v>2187</v>
      </c>
      <c r="E6067" s="11" t="s">
        <v>7</v>
      </c>
      <c r="F6067" s="11"/>
      <c r="G6067" s="15">
        <f>ROUND(G6065*G6066,0)</f>
        <v>11155</v>
      </c>
      <c r="H6067" s="16">
        <f>ROUND(G6067/2,0)</f>
        <v>5578</v>
      </c>
      <c r="I6067" s="15">
        <f>G6067-H6067</f>
        <v>5577</v>
      </c>
      <c r="J6067" s="3" t="str">
        <f t="shared" si="433"/>
        <v>8410000</v>
      </c>
    </row>
    <row r="6068" spans="1:10" s="3" customFormat="1">
      <c r="B6068" s="3" t="s">
        <v>2168</v>
      </c>
      <c r="C6068" s="8">
        <v>1</v>
      </c>
      <c r="D6068" s="3" t="s">
        <v>2187</v>
      </c>
      <c r="E6068" s="11" t="s">
        <v>8</v>
      </c>
      <c r="F6068" s="11"/>
      <c r="G6068" s="12">
        <f>+G6065-G6067</f>
        <v>46827</v>
      </c>
      <c r="H6068" s="13">
        <f>ROUND(G6068/2,0)</f>
        <v>23414</v>
      </c>
      <c r="I6068" s="12">
        <f>G6068-H6068</f>
        <v>23413</v>
      </c>
      <c r="J6068" s="3" t="str">
        <f t="shared" si="433"/>
        <v>8410000</v>
      </c>
    </row>
    <row r="6069" spans="1:10" s="3" customFormat="1">
      <c r="B6069" s="3" t="s">
        <v>2168</v>
      </c>
      <c r="C6069" s="8">
        <v>2</v>
      </c>
      <c r="D6069" s="3" t="s">
        <v>2188</v>
      </c>
      <c r="E6069" s="11" t="s">
        <v>1727</v>
      </c>
      <c r="F6069" s="11"/>
      <c r="G6069" s="9"/>
      <c r="H6069" s="11"/>
      <c r="I6069" s="11"/>
      <c r="J6069" s="3" t="str">
        <f t="shared" si="433"/>
        <v>8420001</v>
      </c>
    </row>
    <row r="6070" spans="1:10" s="3" customFormat="1">
      <c r="B6070" s="3" t="s">
        <v>2168</v>
      </c>
      <c r="C6070" s="8">
        <v>2</v>
      </c>
      <c r="D6070" s="3" t="s">
        <v>2188</v>
      </c>
      <c r="E6070" s="11" t="s">
        <v>10</v>
      </c>
      <c r="F6070" s="10">
        <v>2.12E-4</v>
      </c>
      <c r="G6070" s="12">
        <f>ROUND(G$3*F6070,0)</f>
        <v>61</v>
      </c>
      <c r="H6070" s="13">
        <f>ROUND(G6070/2,0)</f>
        <v>31</v>
      </c>
      <c r="I6070" s="12">
        <f>G6070-H6070</f>
        <v>30</v>
      </c>
      <c r="J6070" s="3" t="str">
        <f t="shared" si="433"/>
        <v>8420001</v>
      </c>
    </row>
    <row r="6071" spans="1:10" s="3" customFormat="1">
      <c r="B6071" s="3" t="s">
        <v>2168</v>
      </c>
      <c r="C6071" s="8">
        <v>2</v>
      </c>
      <c r="D6071" s="3" t="s">
        <v>2188</v>
      </c>
      <c r="E6071" s="11" t="s">
        <v>11</v>
      </c>
      <c r="F6071" s="10">
        <v>1.22E-4</v>
      </c>
      <c r="G6071" s="12">
        <f>ROUND(G$3*F6071,0)</f>
        <v>35</v>
      </c>
      <c r="H6071" s="13">
        <f>ROUND(G6071/2,0)</f>
        <v>18</v>
      </c>
      <c r="I6071" s="12">
        <f>G6071-H6071</f>
        <v>17</v>
      </c>
      <c r="J6071" s="3" t="str">
        <f t="shared" si="433"/>
        <v>8420001</v>
      </c>
    </row>
    <row r="6072" spans="1:10" s="3" customFormat="1">
      <c r="B6072" s="3" t="s">
        <v>2168</v>
      </c>
      <c r="C6072" s="8">
        <v>2</v>
      </c>
      <c r="D6072" s="3" t="s">
        <v>2189</v>
      </c>
      <c r="E6072" s="11" t="s">
        <v>86</v>
      </c>
      <c r="F6072" s="11"/>
      <c r="G6072" s="9"/>
      <c r="H6072" s="11"/>
      <c r="I6072" s="11"/>
      <c r="J6072" s="3" t="str">
        <f t="shared" si="433"/>
        <v>8420002</v>
      </c>
    </row>
    <row r="6073" spans="1:10" s="3" customFormat="1">
      <c r="B6073" s="3" t="s">
        <v>2168</v>
      </c>
      <c r="C6073" s="8">
        <v>2</v>
      </c>
      <c r="D6073" s="3" t="s">
        <v>2189</v>
      </c>
      <c r="E6073" s="11" t="s">
        <v>10</v>
      </c>
      <c r="F6073" s="10">
        <v>5.744E-3</v>
      </c>
      <c r="G6073" s="12">
        <f>ROUND(G$3*F6073,0)</f>
        <v>1653</v>
      </c>
      <c r="H6073" s="13">
        <f>ROUND(G6073/2,0)</f>
        <v>827</v>
      </c>
      <c r="I6073" s="12">
        <f>G6073-H6073</f>
        <v>826</v>
      </c>
      <c r="J6073" s="3" t="str">
        <f t="shared" si="433"/>
        <v>8420002</v>
      </c>
    </row>
    <row r="6074" spans="1:10" s="3" customFormat="1">
      <c r="A6074" s="3" t="s">
        <v>6269</v>
      </c>
      <c r="B6074" s="3" t="s">
        <v>2168</v>
      </c>
      <c r="C6074" s="8">
        <v>2</v>
      </c>
      <c r="D6074" s="3" t="s">
        <v>2189</v>
      </c>
      <c r="E6074" s="11" t="s">
        <v>11</v>
      </c>
      <c r="F6074" s="10">
        <v>0</v>
      </c>
      <c r="G6074" s="12">
        <f>ROUND(G$3*F6074,0)</f>
        <v>0</v>
      </c>
      <c r="H6074" s="13">
        <f>ROUND(G6074/2,0)</f>
        <v>0</v>
      </c>
      <c r="I6074" s="12">
        <f>G6074-H6074</f>
        <v>0</v>
      </c>
      <c r="J6074" s="3" t="str">
        <f t="shared" si="433"/>
        <v>8420002</v>
      </c>
    </row>
    <row r="6075" spans="1:10" s="3" customFormat="1">
      <c r="B6075" s="3" t="s">
        <v>2168</v>
      </c>
      <c r="C6075" s="8">
        <v>2</v>
      </c>
      <c r="D6075" s="3" t="s">
        <v>2190</v>
      </c>
      <c r="E6075" s="11" t="s">
        <v>776</v>
      </c>
      <c r="F6075" s="11"/>
      <c r="G6075" s="9"/>
      <c r="H6075" s="11"/>
      <c r="I6075" s="11"/>
      <c r="J6075" s="3" t="str">
        <f t="shared" si="433"/>
        <v>8420003</v>
      </c>
    </row>
    <row r="6076" spans="1:10" s="3" customFormat="1">
      <c r="B6076" s="3" t="s">
        <v>2168</v>
      </c>
      <c r="C6076" s="8">
        <v>2</v>
      </c>
      <c r="D6076" s="3" t="s">
        <v>2190</v>
      </c>
      <c r="E6076" s="11" t="s">
        <v>10</v>
      </c>
      <c r="F6076" s="10">
        <v>1.4799999999999999E-4</v>
      </c>
      <c r="G6076" s="12">
        <f>ROUND(G$3*F6076,0)</f>
        <v>43</v>
      </c>
      <c r="H6076" s="13">
        <f>ROUND(G6076/2,0)</f>
        <v>22</v>
      </c>
      <c r="I6076" s="12">
        <f>G6076-H6076</f>
        <v>21</v>
      </c>
      <c r="J6076" s="3" t="str">
        <f t="shared" si="433"/>
        <v>8420003</v>
      </c>
    </row>
    <row r="6077" spans="1:10" s="3" customFormat="1">
      <c r="A6077" s="3" t="s">
        <v>6269</v>
      </c>
      <c r="B6077" s="3" t="s">
        <v>2168</v>
      </c>
      <c r="C6077" s="8">
        <v>2</v>
      </c>
      <c r="D6077" s="3" t="s">
        <v>2190</v>
      </c>
      <c r="E6077" s="11" t="s">
        <v>11</v>
      </c>
      <c r="F6077" s="10">
        <v>0</v>
      </c>
      <c r="G6077" s="12">
        <f>ROUND(G$3*F6077,0)</f>
        <v>0</v>
      </c>
      <c r="H6077" s="13">
        <f>ROUND(G6077/2,0)</f>
        <v>0</v>
      </c>
      <c r="I6077" s="12">
        <f>G6077-H6077</f>
        <v>0</v>
      </c>
      <c r="J6077" s="3" t="str">
        <f t="shared" si="433"/>
        <v>8420003</v>
      </c>
    </row>
    <row r="6078" spans="1:10" s="3" customFormat="1">
      <c r="B6078" s="3" t="s">
        <v>2168</v>
      </c>
      <c r="C6078" s="8">
        <v>2</v>
      </c>
      <c r="D6078" s="3" t="s">
        <v>2191</v>
      </c>
      <c r="E6078" s="11" t="s">
        <v>1728</v>
      </c>
      <c r="F6078" s="11"/>
      <c r="G6078" s="9"/>
      <c r="H6078" s="11"/>
      <c r="I6078" s="11"/>
      <c r="J6078" s="3" t="str">
        <f t="shared" si="433"/>
        <v>8420004</v>
      </c>
    </row>
    <row r="6079" spans="1:10" s="3" customFormat="1">
      <c r="B6079" s="3" t="s">
        <v>2168</v>
      </c>
      <c r="C6079" s="8">
        <v>2</v>
      </c>
      <c r="D6079" s="3" t="s">
        <v>2191</v>
      </c>
      <c r="E6079" s="11" t="s">
        <v>10</v>
      </c>
      <c r="F6079" s="10">
        <v>1.931E-3</v>
      </c>
      <c r="G6079" s="12">
        <f>ROUND(G$3*F6079,0)</f>
        <v>556</v>
      </c>
      <c r="H6079" s="13">
        <f>ROUND(G6079/2,0)</f>
        <v>278</v>
      </c>
      <c r="I6079" s="12">
        <f>G6079-H6079</f>
        <v>278</v>
      </c>
      <c r="J6079" s="3" t="str">
        <f t="shared" si="433"/>
        <v>8420004</v>
      </c>
    </row>
    <row r="6080" spans="1:10" s="3" customFormat="1">
      <c r="B6080" s="3" t="s">
        <v>2168</v>
      </c>
      <c r="C6080" s="8">
        <v>2</v>
      </c>
      <c r="D6080" s="3" t="s">
        <v>2191</v>
      </c>
      <c r="E6080" s="11" t="s">
        <v>11</v>
      </c>
      <c r="F6080" s="10">
        <v>1.225E-3</v>
      </c>
      <c r="G6080" s="12">
        <f>ROUND(G$3*F6080,0)</f>
        <v>352</v>
      </c>
      <c r="H6080" s="13">
        <f>ROUND(G6080/2,0)</f>
        <v>176</v>
      </c>
      <c r="I6080" s="12">
        <f>G6080-H6080</f>
        <v>176</v>
      </c>
      <c r="J6080" s="3" t="str">
        <f t="shared" si="433"/>
        <v>8420004</v>
      </c>
    </row>
    <row r="6081" spans="1:10" s="3" customFormat="1">
      <c r="B6081" s="3" t="s">
        <v>2168</v>
      </c>
      <c r="C6081" s="8">
        <v>2</v>
      </c>
      <c r="D6081" s="3" t="s">
        <v>2192</v>
      </c>
      <c r="E6081" s="11" t="s">
        <v>1729</v>
      </c>
      <c r="F6081" s="11"/>
      <c r="G6081" s="9"/>
      <c r="H6081" s="11"/>
      <c r="I6081" s="11"/>
      <c r="J6081" s="3" t="str">
        <f t="shared" si="433"/>
        <v>8420005</v>
      </c>
    </row>
    <row r="6082" spans="1:10" s="3" customFormat="1">
      <c r="B6082" s="3" t="s">
        <v>2168</v>
      </c>
      <c r="C6082" s="8">
        <v>2</v>
      </c>
      <c r="D6082" s="3" t="s">
        <v>2192</v>
      </c>
      <c r="E6082" s="11" t="s">
        <v>10</v>
      </c>
      <c r="F6082" s="10">
        <v>5.3899999999999998E-4</v>
      </c>
      <c r="G6082" s="12">
        <f>ROUND(G$3*F6082,0)</f>
        <v>155</v>
      </c>
      <c r="H6082" s="13">
        <f>ROUND(G6082/2,0)</f>
        <v>78</v>
      </c>
      <c r="I6082" s="12">
        <f>G6082-H6082</f>
        <v>77</v>
      </c>
      <c r="J6082" s="3" t="str">
        <f t="shared" si="433"/>
        <v>8420005</v>
      </c>
    </row>
    <row r="6083" spans="1:10" s="3" customFormat="1">
      <c r="A6083" s="3" t="s">
        <v>6269</v>
      </c>
      <c r="B6083" s="3" t="s">
        <v>2168</v>
      </c>
      <c r="C6083" s="8">
        <v>2</v>
      </c>
      <c r="D6083" s="3" t="s">
        <v>2192</v>
      </c>
      <c r="E6083" s="11" t="s">
        <v>11</v>
      </c>
      <c r="F6083" s="10">
        <v>0</v>
      </c>
      <c r="G6083" s="12">
        <f>ROUND(G$3*F6083,0)</f>
        <v>0</v>
      </c>
      <c r="H6083" s="13">
        <f>ROUND(G6083/2,0)</f>
        <v>0</v>
      </c>
      <c r="I6083" s="12">
        <f>G6083-H6083</f>
        <v>0</v>
      </c>
      <c r="J6083" s="3" t="str">
        <f t="shared" si="433"/>
        <v>8420005</v>
      </c>
    </row>
    <row r="6084" spans="1:10" s="3" customFormat="1">
      <c r="B6084" s="3" t="s">
        <v>2168</v>
      </c>
      <c r="C6084" s="8">
        <v>2</v>
      </c>
      <c r="D6084" s="3" t="s">
        <v>2193</v>
      </c>
      <c r="E6084" s="11" t="s">
        <v>1730</v>
      </c>
      <c r="F6084" s="11"/>
      <c r="G6084" s="9"/>
      <c r="H6084" s="11"/>
      <c r="I6084" s="11"/>
      <c r="J6084" s="3" t="str">
        <f t="shared" ref="J6084:J6147" si="437">B6084&amp;C6084&amp;D6084</f>
        <v>8420006</v>
      </c>
    </row>
    <row r="6085" spans="1:10" s="3" customFormat="1">
      <c r="B6085" s="3" t="s">
        <v>2168</v>
      </c>
      <c r="C6085" s="8">
        <v>2</v>
      </c>
      <c r="D6085" s="3" t="s">
        <v>2193</v>
      </c>
      <c r="E6085" s="11" t="s">
        <v>10</v>
      </c>
      <c r="F6085" s="10">
        <v>4.66E-4</v>
      </c>
      <c r="G6085" s="12">
        <f>ROUND(G$3*F6085,0)</f>
        <v>134</v>
      </c>
      <c r="H6085" s="13">
        <f>ROUND(G6085/2,0)</f>
        <v>67</v>
      </c>
      <c r="I6085" s="12">
        <f>G6085-H6085</f>
        <v>67</v>
      </c>
      <c r="J6085" s="3" t="str">
        <f t="shared" si="437"/>
        <v>8420006</v>
      </c>
    </row>
    <row r="6086" spans="1:10" s="3" customFormat="1">
      <c r="B6086" s="3" t="s">
        <v>2168</v>
      </c>
      <c r="C6086" s="8">
        <v>2</v>
      </c>
      <c r="D6086" s="3" t="s">
        <v>2193</v>
      </c>
      <c r="E6086" s="11" t="s">
        <v>11</v>
      </c>
      <c r="F6086" s="10">
        <v>1.75E-4</v>
      </c>
      <c r="G6086" s="12">
        <f>ROUND(G$3*F6086,0)</f>
        <v>50</v>
      </c>
      <c r="H6086" s="13">
        <f>ROUND(G6086/2,0)</f>
        <v>25</v>
      </c>
      <c r="I6086" s="12">
        <f>G6086-H6086</f>
        <v>25</v>
      </c>
      <c r="J6086" s="3" t="str">
        <f t="shared" si="437"/>
        <v>8420006</v>
      </c>
    </row>
    <row r="6087" spans="1:10" s="3" customFormat="1">
      <c r="B6087" s="3" t="s">
        <v>2168</v>
      </c>
      <c r="C6087" s="8">
        <v>2</v>
      </c>
      <c r="D6087" s="3" t="s">
        <v>2194</v>
      </c>
      <c r="E6087" s="11" t="s">
        <v>1527</v>
      </c>
      <c r="F6087" s="11"/>
      <c r="G6087" s="9"/>
      <c r="H6087" s="11"/>
      <c r="I6087" s="11"/>
      <c r="J6087" s="3" t="str">
        <f t="shared" si="437"/>
        <v>8420007</v>
      </c>
    </row>
    <row r="6088" spans="1:10" s="3" customFormat="1">
      <c r="B6088" s="3" t="s">
        <v>2168</v>
      </c>
      <c r="C6088" s="8">
        <v>2</v>
      </c>
      <c r="D6088" s="3" t="s">
        <v>2194</v>
      </c>
      <c r="E6088" s="11" t="s">
        <v>10</v>
      </c>
      <c r="F6088" s="10">
        <v>5.2899999999999996E-4</v>
      </c>
      <c r="G6088" s="12">
        <f>ROUND(G$3*F6088,0)</f>
        <v>152</v>
      </c>
      <c r="H6088" s="13">
        <f>ROUND(G6088/2,0)</f>
        <v>76</v>
      </c>
      <c r="I6088" s="12">
        <f>G6088-H6088</f>
        <v>76</v>
      </c>
      <c r="J6088" s="3" t="str">
        <f t="shared" si="437"/>
        <v>8420007</v>
      </c>
    </row>
    <row r="6089" spans="1:10" s="3" customFormat="1">
      <c r="B6089" s="3" t="s">
        <v>2168</v>
      </c>
      <c r="C6089" s="8">
        <v>2</v>
      </c>
      <c r="D6089" s="3" t="s">
        <v>2194</v>
      </c>
      <c r="E6089" s="11" t="s">
        <v>11</v>
      </c>
      <c r="F6089" s="10">
        <v>8.92E-4</v>
      </c>
      <c r="G6089" s="12">
        <f>ROUND(G$3*F6089,0)</f>
        <v>257</v>
      </c>
      <c r="H6089" s="13">
        <f>ROUND(G6089/2,0)</f>
        <v>129</v>
      </c>
      <c r="I6089" s="12">
        <f>G6089-H6089</f>
        <v>128</v>
      </c>
      <c r="J6089" s="3" t="str">
        <f t="shared" si="437"/>
        <v>8420007</v>
      </c>
    </row>
    <row r="6090" spans="1:10" s="3" customFormat="1">
      <c r="B6090" s="3" t="s">
        <v>2168</v>
      </c>
      <c r="C6090" s="8">
        <v>2</v>
      </c>
      <c r="D6090" s="3" t="s">
        <v>2195</v>
      </c>
      <c r="E6090" s="11" t="s">
        <v>1731</v>
      </c>
      <c r="F6090" s="11"/>
      <c r="G6090" s="9"/>
      <c r="H6090" s="11"/>
      <c r="I6090" s="11"/>
      <c r="J6090" s="3" t="str">
        <f t="shared" si="437"/>
        <v>8420008</v>
      </c>
    </row>
    <row r="6091" spans="1:10" s="3" customFormat="1">
      <c r="B6091" s="3" t="s">
        <v>2168</v>
      </c>
      <c r="C6091" s="8">
        <v>2</v>
      </c>
      <c r="D6091" s="3" t="s">
        <v>2195</v>
      </c>
      <c r="E6091" s="11" t="s">
        <v>10</v>
      </c>
      <c r="F6091" s="10">
        <v>4.44E-4</v>
      </c>
      <c r="G6091" s="12">
        <f>ROUND(G$3*F6091,0)</f>
        <v>128</v>
      </c>
      <c r="H6091" s="13">
        <f>ROUND(G6091/2,0)</f>
        <v>64</v>
      </c>
      <c r="I6091" s="12">
        <f>G6091-H6091</f>
        <v>64</v>
      </c>
      <c r="J6091" s="3" t="str">
        <f t="shared" si="437"/>
        <v>8420008</v>
      </c>
    </row>
    <row r="6092" spans="1:10" s="3" customFormat="1">
      <c r="B6092" s="3" t="s">
        <v>2168</v>
      </c>
      <c r="C6092" s="8">
        <v>2</v>
      </c>
      <c r="D6092" s="3" t="s">
        <v>2195</v>
      </c>
      <c r="E6092" s="11" t="s">
        <v>11</v>
      </c>
      <c r="F6092" s="10">
        <v>1.92E-4</v>
      </c>
      <c r="G6092" s="12">
        <f>ROUND(G$3*F6092,0)</f>
        <v>55</v>
      </c>
      <c r="H6092" s="13">
        <f>ROUND(G6092/2,0)</f>
        <v>28</v>
      </c>
      <c r="I6092" s="12">
        <f>G6092-H6092</f>
        <v>27</v>
      </c>
      <c r="J6092" s="3" t="str">
        <f t="shared" si="437"/>
        <v>8420008</v>
      </c>
    </row>
    <row r="6093" spans="1:10" s="3" customFormat="1">
      <c r="B6093" s="3" t="s">
        <v>2168</v>
      </c>
      <c r="C6093" s="8">
        <v>2</v>
      </c>
      <c r="D6093" s="3" t="s">
        <v>2196</v>
      </c>
      <c r="E6093" s="11" t="s">
        <v>1732</v>
      </c>
      <c r="F6093" s="11"/>
      <c r="G6093" s="9"/>
      <c r="H6093" s="11"/>
      <c r="I6093" s="11"/>
      <c r="J6093" s="3" t="str">
        <f t="shared" si="437"/>
        <v>8420009</v>
      </c>
    </row>
    <row r="6094" spans="1:10" s="3" customFormat="1">
      <c r="B6094" s="3" t="s">
        <v>2168</v>
      </c>
      <c r="C6094" s="8">
        <v>2</v>
      </c>
      <c r="D6094" s="3" t="s">
        <v>2196</v>
      </c>
      <c r="E6094" s="11" t="s">
        <v>10</v>
      </c>
      <c r="F6094" s="10">
        <v>1.075E-3</v>
      </c>
      <c r="G6094" s="12">
        <f>ROUND(G$3*F6094,0)</f>
        <v>309</v>
      </c>
      <c r="H6094" s="13">
        <f>ROUND(G6094/2,0)</f>
        <v>155</v>
      </c>
      <c r="I6094" s="12">
        <f>G6094-H6094</f>
        <v>154</v>
      </c>
      <c r="J6094" s="3" t="str">
        <f t="shared" si="437"/>
        <v>8420009</v>
      </c>
    </row>
    <row r="6095" spans="1:10" s="3" customFormat="1">
      <c r="B6095" s="3" t="s">
        <v>2168</v>
      </c>
      <c r="C6095" s="8">
        <v>2</v>
      </c>
      <c r="D6095" s="3" t="s">
        <v>2196</v>
      </c>
      <c r="E6095" s="11" t="s">
        <v>11</v>
      </c>
      <c r="F6095" s="10">
        <v>6.0800000000000003E-4</v>
      </c>
      <c r="G6095" s="12">
        <f>ROUND(G$3*F6095,0)</f>
        <v>175</v>
      </c>
      <c r="H6095" s="13">
        <f>ROUND(G6095/2,0)</f>
        <v>88</v>
      </c>
      <c r="I6095" s="12">
        <f>G6095-H6095</f>
        <v>87</v>
      </c>
      <c r="J6095" s="3" t="str">
        <f t="shared" si="437"/>
        <v>8420009</v>
      </c>
    </row>
    <row r="6096" spans="1:10" s="3" customFormat="1">
      <c r="B6096" s="3" t="s">
        <v>2168</v>
      </c>
      <c r="C6096" s="8">
        <v>2</v>
      </c>
      <c r="D6096" s="3" t="s">
        <v>2197</v>
      </c>
      <c r="E6096" s="11" t="s">
        <v>1733</v>
      </c>
      <c r="F6096" s="11"/>
      <c r="G6096" s="9"/>
      <c r="H6096" s="11"/>
      <c r="I6096" s="11"/>
      <c r="J6096" s="3" t="str">
        <f t="shared" si="437"/>
        <v>8420010</v>
      </c>
    </row>
    <row r="6097" spans="1:10" s="3" customFormat="1">
      <c r="B6097" s="3" t="s">
        <v>2168</v>
      </c>
      <c r="C6097" s="8">
        <v>2</v>
      </c>
      <c r="D6097" s="3" t="s">
        <v>2197</v>
      </c>
      <c r="E6097" s="11" t="s">
        <v>10</v>
      </c>
      <c r="F6097" s="10">
        <v>1.18E-4</v>
      </c>
      <c r="G6097" s="12">
        <f>ROUND(G$3*F6097,0)</f>
        <v>34</v>
      </c>
      <c r="H6097" s="13">
        <f>ROUND(G6097/2,0)</f>
        <v>17</v>
      </c>
      <c r="I6097" s="12">
        <f>G6097-H6097</f>
        <v>17</v>
      </c>
      <c r="J6097" s="3" t="str">
        <f t="shared" si="437"/>
        <v>8420010</v>
      </c>
    </row>
    <row r="6098" spans="1:10" s="3" customFormat="1">
      <c r="A6098" s="3" t="s">
        <v>6269</v>
      </c>
      <c r="B6098" s="3" t="s">
        <v>2168</v>
      </c>
      <c r="C6098" s="8">
        <v>2</v>
      </c>
      <c r="D6098" s="3" t="s">
        <v>2197</v>
      </c>
      <c r="E6098" s="11" t="s">
        <v>11</v>
      </c>
      <c r="F6098" s="10">
        <v>0</v>
      </c>
      <c r="G6098" s="12">
        <f>ROUND(G$3*F6098,0)</f>
        <v>0</v>
      </c>
      <c r="H6098" s="13">
        <f>ROUND(G6098/2,0)</f>
        <v>0</v>
      </c>
      <c r="I6098" s="12">
        <f>G6098-H6098</f>
        <v>0</v>
      </c>
      <c r="J6098" s="3" t="str">
        <f t="shared" si="437"/>
        <v>8420010</v>
      </c>
    </row>
    <row r="6099" spans="1:10" s="3" customFormat="1">
      <c r="B6099" s="3" t="s">
        <v>2168</v>
      </c>
      <c r="C6099" s="8">
        <v>2</v>
      </c>
      <c r="D6099" s="3" t="s">
        <v>2198</v>
      </c>
      <c r="E6099" s="11" t="s">
        <v>1734</v>
      </c>
      <c r="F6099" s="11"/>
      <c r="G6099" s="9"/>
      <c r="H6099" s="11"/>
      <c r="I6099" s="11"/>
      <c r="J6099" s="3" t="str">
        <f t="shared" si="437"/>
        <v>8420011</v>
      </c>
    </row>
    <row r="6100" spans="1:10" s="3" customFormat="1">
      <c r="B6100" s="3" t="s">
        <v>2168</v>
      </c>
      <c r="C6100" s="8">
        <v>2</v>
      </c>
      <c r="D6100" s="3" t="s">
        <v>2198</v>
      </c>
      <c r="E6100" s="11" t="s">
        <v>10</v>
      </c>
      <c r="F6100" s="10">
        <v>6.2000000000000003E-5</v>
      </c>
      <c r="G6100" s="12">
        <f>ROUND(G$3*F6100,0)</f>
        <v>18</v>
      </c>
      <c r="H6100" s="13">
        <f>ROUND(G6100/2,0)</f>
        <v>9</v>
      </c>
      <c r="I6100" s="12">
        <f>G6100-H6100</f>
        <v>9</v>
      </c>
      <c r="J6100" s="3" t="str">
        <f t="shared" si="437"/>
        <v>8420011</v>
      </c>
    </row>
    <row r="6101" spans="1:10" s="3" customFormat="1">
      <c r="A6101" s="3" t="s">
        <v>6269</v>
      </c>
      <c r="B6101" s="3" t="s">
        <v>2168</v>
      </c>
      <c r="C6101" s="8">
        <v>2</v>
      </c>
      <c r="D6101" s="3" t="s">
        <v>2198</v>
      </c>
      <c r="E6101" s="11" t="s">
        <v>11</v>
      </c>
      <c r="F6101" s="10">
        <v>0</v>
      </c>
      <c r="G6101" s="12">
        <f>ROUND(G$3*F6101,0)</f>
        <v>0</v>
      </c>
      <c r="H6101" s="13">
        <f>ROUND(G6101/2,0)</f>
        <v>0</v>
      </c>
      <c r="I6101" s="12">
        <f>G6101-H6101</f>
        <v>0</v>
      </c>
      <c r="J6101" s="3" t="str">
        <f t="shared" si="437"/>
        <v>8420011</v>
      </c>
    </row>
    <row r="6102" spans="1:10" s="3" customFormat="1">
      <c r="B6102" s="3" t="s">
        <v>2168</v>
      </c>
      <c r="C6102" s="8">
        <v>2</v>
      </c>
      <c r="D6102" s="3" t="s">
        <v>2199</v>
      </c>
      <c r="E6102" s="11" t="s">
        <v>149</v>
      </c>
      <c r="F6102" s="11"/>
      <c r="G6102" s="9"/>
      <c r="H6102" s="11"/>
      <c r="I6102" s="11"/>
      <c r="J6102" s="3" t="str">
        <f t="shared" si="437"/>
        <v>8420012</v>
      </c>
    </row>
    <row r="6103" spans="1:10" s="3" customFormat="1">
      <c r="B6103" s="3" t="s">
        <v>2168</v>
      </c>
      <c r="C6103" s="8">
        <v>2</v>
      </c>
      <c r="D6103" s="3" t="s">
        <v>2199</v>
      </c>
      <c r="E6103" s="11" t="s">
        <v>10</v>
      </c>
      <c r="F6103" s="10">
        <v>1.771E-3</v>
      </c>
      <c r="G6103" s="12">
        <f t="shared" ref="G6103:G6109" si="438">ROUND(G$3*F6103,0)</f>
        <v>510</v>
      </c>
      <c r="H6103" s="13">
        <f t="shared" ref="H6103:H6109" si="439">ROUND(G6103/2,0)</f>
        <v>255</v>
      </c>
      <c r="I6103" s="12">
        <f t="shared" ref="I6103:I6109" si="440">G6103-H6103</f>
        <v>255</v>
      </c>
      <c r="J6103" s="3" t="str">
        <f t="shared" si="437"/>
        <v>8420012</v>
      </c>
    </row>
    <row r="6104" spans="1:10" s="3" customFormat="1">
      <c r="A6104" s="3" t="s">
        <v>6269</v>
      </c>
      <c r="B6104" s="3" t="s">
        <v>2168</v>
      </c>
      <c r="C6104" s="8">
        <v>2</v>
      </c>
      <c r="D6104" s="3" t="s">
        <v>2199</v>
      </c>
      <c r="E6104" s="11" t="s">
        <v>11</v>
      </c>
      <c r="F6104" s="10">
        <v>0</v>
      </c>
      <c r="G6104" s="12">
        <f t="shared" si="438"/>
        <v>0</v>
      </c>
      <c r="H6104" s="13">
        <f t="shared" si="439"/>
        <v>0</v>
      </c>
      <c r="I6104" s="12">
        <f t="shared" si="440"/>
        <v>0</v>
      </c>
      <c r="J6104" s="3" t="str">
        <f t="shared" si="437"/>
        <v>8420012</v>
      </c>
    </row>
    <row r="6105" spans="1:10" s="3" customFormat="1">
      <c r="B6105" s="3" t="s">
        <v>2168</v>
      </c>
      <c r="C6105" s="8">
        <v>3</v>
      </c>
      <c r="D6105" s="3" t="s">
        <v>3062</v>
      </c>
      <c r="E6105" s="11" t="s">
        <v>1735</v>
      </c>
      <c r="F6105" s="10">
        <v>9.9999999999999995E-7</v>
      </c>
      <c r="G6105" s="12">
        <f t="shared" si="438"/>
        <v>0</v>
      </c>
      <c r="H6105" s="13">
        <f t="shared" si="439"/>
        <v>0</v>
      </c>
      <c r="I6105" s="12">
        <f t="shared" si="440"/>
        <v>0</v>
      </c>
      <c r="J6105" s="3" t="str">
        <f t="shared" si="437"/>
        <v>8430903</v>
      </c>
    </row>
    <row r="6106" spans="1:10" s="3" customFormat="1">
      <c r="B6106" s="3" t="s">
        <v>2168</v>
      </c>
      <c r="C6106" s="8">
        <v>3</v>
      </c>
      <c r="D6106" s="3" t="s">
        <v>3063</v>
      </c>
      <c r="E6106" s="11" t="s">
        <v>1736</v>
      </c>
      <c r="F6106" s="10">
        <v>9.5000000000000005E-5</v>
      </c>
      <c r="G6106" s="12">
        <f t="shared" si="438"/>
        <v>27</v>
      </c>
      <c r="H6106" s="13">
        <f t="shared" si="439"/>
        <v>14</v>
      </c>
      <c r="I6106" s="12">
        <f t="shared" si="440"/>
        <v>13</v>
      </c>
      <c r="J6106" s="3" t="str">
        <f t="shared" si="437"/>
        <v>8430904</v>
      </c>
    </row>
    <row r="6107" spans="1:10" s="3" customFormat="1">
      <c r="B6107" s="3" t="s">
        <v>2168</v>
      </c>
      <c r="C6107" s="8">
        <v>3</v>
      </c>
      <c r="D6107" s="3" t="s">
        <v>2256</v>
      </c>
      <c r="E6107" s="11" t="s">
        <v>1737</v>
      </c>
      <c r="F6107" s="10">
        <v>0.20457900000000001</v>
      </c>
      <c r="G6107" s="12">
        <f t="shared" si="438"/>
        <v>58862</v>
      </c>
      <c r="H6107" s="13">
        <f t="shared" si="439"/>
        <v>29431</v>
      </c>
      <c r="I6107" s="12">
        <f t="shared" si="440"/>
        <v>29431</v>
      </c>
      <c r="J6107" s="3" t="str">
        <f t="shared" si="437"/>
        <v>8430106</v>
      </c>
    </row>
    <row r="6108" spans="1:10" s="3" customFormat="1">
      <c r="B6108" s="3" t="s">
        <v>2168</v>
      </c>
      <c r="C6108" s="8">
        <v>3</v>
      </c>
      <c r="D6108" s="116" t="s">
        <v>3064</v>
      </c>
      <c r="E6108" s="11" t="s">
        <v>1738</v>
      </c>
      <c r="F6108" s="10">
        <v>5.1120000000000002E-3</v>
      </c>
      <c r="G6108" s="12">
        <f t="shared" si="438"/>
        <v>1471</v>
      </c>
      <c r="H6108" s="13">
        <f t="shared" si="439"/>
        <v>736</v>
      </c>
      <c r="I6108" s="12">
        <f t="shared" si="440"/>
        <v>735</v>
      </c>
      <c r="J6108" s="3" t="str">
        <f t="shared" si="437"/>
        <v>8430905</v>
      </c>
    </row>
    <row r="6109" spans="1:10" s="3" customFormat="1">
      <c r="B6109" s="3" t="s">
        <v>2168</v>
      </c>
      <c r="C6109" s="8">
        <v>4</v>
      </c>
      <c r="D6109" s="3" t="s">
        <v>3065</v>
      </c>
      <c r="E6109" s="11" t="s">
        <v>1739</v>
      </c>
      <c r="F6109" s="10">
        <v>0.47371200000000002</v>
      </c>
      <c r="G6109" s="9">
        <f t="shared" si="438"/>
        <v>136298</v>
      </c>
      <c r="H6109" s="11">
        <f t="shared" si="439"/>
        <v>68149</v>
      </c>
      <c r="I6109" s="9">
        <f t="shared" si="440"/>
        <v>68149</v>
      </c>
      <c r="J6109" s="3" t="str">
        <f t="shared" si="437"/>
        <v>8448030</v>
      </c>
    </row>
    <row r="6110" spans="1:10" s="3" customFormat="1">
      <c r="B6110" s="3" t="s">
        <v>2168</v>
      </c>
      <c r="C6110" s="8">
        <v>4</v>
      </c>
      <c r="D6110" s="3" t="s">
        <v>3065</v>
      </c>
      <c r="E6110" s="11" t="s">
        <v>28</v>
      </c>
      <c r="F6110" s="11"/>
      <c r="G6110" s="14">
        <v>0.47839900000000002</v>
      </c>
      <c r="H6110" s="11"/>
      <c r="I6110" s="11"/>
      <c r="J6110" s="3" t="str">
        <f t="shared" si="437"/>
        <v>8448030</v>
      </c>
    </row>
    <row r="6111" spans="1:10" s="3" customFormat="1">
      <c r="B6111" s="3" t="s">
        <v>2168</v>
      </c>
      <c r="C6111" s="8">
        <v>4</v>
      </c>
      <c r="D6111" s="3" t="s">
        <v>3065</v>
      </c>
      <c r="E6111" s="11" t="s">
        <v>29</v>
      </c>
      <c r="F6111" s="11"/>
      <c r="G6111" s="15">
        <f>ROUND(G6109*G6110,0)</f>
        <v>65205</v>
      </c>
      <c r="H6111" s="16">
        <f t="shared" ref="H6111:H6121" si="441">ROUND(G6111/2,0)</f>
        <v>32603</v>
      </c>
      <c r="I6111" s="15">
        <f t="shared" ref="I6111:I6121" si="442">G6111-H6111</f>
        <v>32602</v>
      </c>
      <c r="J6111" s="3" t="str">
        <f t="shared" si="437"/>
        <v>8448030</v>
      </c>
    </row>
    <row r="6112" spans="1:10" s="3" customFormat="1">
      <c r="B6112" s="3" t="s">
        <v>2168</v>
      </c>
      <c r="C6112" s="8">
        <v>4</v>
      </c>
      <c r="D6112" s="3" t="s">
        <v>3065</v>
      </c>
      <c r="E6112" s="11" t="s">
        <v>30</v>
      </c>
      <c r="F6112" s="11"/>
      <c r="G6112" s="12">
        <f>+G6109-G6111</f>
        <v>71093</v>
      </c>
      <c r="H6112" s="13">
        <f t="shared" si="441"/>
        <v>35547</v>
      </c>
      <c r="I6112" s="12">
        <f t="shared" si="442"/>
        <v>35546</v>
      </c>
      <c r="J6112" s="3" t="str">
        <f t="shared" si="437"/>
        <v>8448030</v>
      </c>
    </row>
    <row r="6113" spans="1:10" s="3" customFormat="1">
      <c r="B6113" s="3" t="s">
        <v>2168</v>
      </c>
      <c r="C6113" s="8">
        <v>5</v>
      </c>
      <c r="D6113" s="3" t="s">
        <v>5985</v>
      </c>
      <c r="E6113" s="11" t="s">
        <v>1740</v>
      </c>
      <c r="F6113" s="10">
        <v>4.0315999999999998E-2</v>
      </c>
      <c r="G6113" s="120">
        <f t="shared" ref="G6113:G6120" si="443">ROUND(G$3*F6113,0)</f>
        <v>11600</v>
      </c>
      <c r="H6113" s="120">
        <f t="shared" si="441"/>
        <v>5800</v>
      </c>
      <c r="I6113" s="120">
        <f t="shared" si="442"/>
        <v>5800</v>
      </c>
      <c r="J6113" s="3" t="str">
        <f t="shared" si="437"/>
        <v>8450229</v>
      </c>
    </row>
    <row r="6114" spans="1:10" s="3" customFormat="1">
      <c r="A6114" s="3" t="s">
        <v>6269</v>
      </c>
      <c r="B6114" s="3" t="s">
        <v>2168</v>
      </c>
      <c r="C6114" s="8">
        <v>6</v>
      </c>
      <c r="D6114" s="3" t="s">
        <v>6267</v>
      </c>
      <c r="E6114" s="11" t="s">
        <v>264</v>
      </c>
      <c r="F6114" s="10">
        <v>0</v>
      </c>
      <c r="G6114" s="120">
        <f t="shared" si="443"/>
        <v>0</v>
      </c>
      <c r="H6114" s="120">
        <f t="shared" si="441"/>
        <v>0</v>
      </c>
      <c r="I6114" s="120">
        <f t="shared" si="442"/>
        <v>0</v>
      </c>
      <c r="J6114" s="3" t="str">
        <f t="shared" si="437"/>
        <v>846XXXX</v>
      </c>
    </row>
    <row r="6115" spans="1:10" s="3" customFormat="1">
      <c r="B6115" s="3" t="s">
        <v>2168</v>
      </c>
      <c r="C6115" s="8">
        <v>6</v>
      </c>
      <c r="D6115" s="3" t="s">
        <v>3051</v>
      </c>
      <c r="E6115" s="11" t="s">
        <v>1741</v>
      </c>
      <c r="F6115" s="10">
        <v>3.4889999999999999E-3</v>
      </c>
      <c r="G6115" s="120">
        <f t="shared" si="443"/>
        <v>1004</v>
      </c>
      <c r="H6115" s="120">
        <f t="shared" si="441"/>
        <v>502</v>
      </c>
      <c r="I6115" s="120">
        <f t="shared" si="442"/>
        <v>502</v>
      </c>
      <c r="J6115" s="3" t="str">
        <f t="shared" si="437"/>
        <v>8460958</v>
      </c>
    </row>
    <row r="6116" spans="1:10" s="128" customFormat="1">
      <c r="B6116" s="128" t="s">
        <v>2168</v>
      </c>
      <c r="C6116" s="129">
        <v>6</v>
      </c>
      <c r="D6116" s="128" t="s">
        <v>6267</v>
      </c>
      <c r="E6116" s="131" t="s">
        <v>1742</v>
      </c>
      <c r="F6116" s="133">
        <v>1.6992E-2</v>
      </c>
      <c r="G6116" s="137">
        <f t="shared" si="443"/>
        <v>4889</v>
      </c>
      <c r="H6116" s="137">
        <f t="shared" si="441"/>
        <v>2445</v>
      </c>
      <c r="I6116" s="137">
        <f t="shared" si="442"/>
        <v>2444</v>
      </c>
      <c r="J6116" s="128" t="str">
        <f t="shared" si="437"/>
        <v>846XXXX</v>
      </c>
    </row>
    <row r="6117" spans="1:10" s="3" customFormat="1">
      <c r="B6117" s="3" t="s">
        <v>2168</v>
      </c>
      <c r="C6117" s="8">
        <v>6</v>
      </c>
      <c r="D6117" s="3" t="s">
        <v>5996</v>
      </c>
      <c r="E6117" s="11" t="s">
        <v>1743</v>
      </c>
      <c r="F6117" s="10">
        <v>2.5579999999999999E-3</v>
      </c>
      <c r="G6117" s="120">
        <f t="shared" si="443"/>
        <v>736</v>
      </c>
      <c r="H6117" s="120">
        <f t="shared" si="441"/>
        <v>368</v>
      </c>
      <c r="I6117" s="120">
        <f t="shared" si="442"/>
        <v>368</v>
      </c>
      <c r="J6117" s="3" t="str">
        <f t="shared" si="437"/>
        <v>8460981</v>
      </c>
    </row>
    <row r="6118" spans="1:10" s="3" customFormat="1">
      <c r="B6118" s="3" t="s">
        <v>2168</v>
      </c>
      <c r="C6118" s="8">
        <v>6</v>
      </c>
      <c r="D6118" s="3" t="s">
        <v>5998</v>
      </c>
      <c r="E6118" s="11" t="s">
        <v>1744</v>
      </c>
      <c r="F6118" s="10">
        <v>7.6400000000000003E-4</v>
      </c>
      <c r="G6118" s="120">
        <f t="shared" si="443"/>
        <v>220</v>
      </c>
      <c r="H6118" s="120">
        <f t="shared" si="441"/>
        <v>110</v>
      </c>
      <c r="I6118" s="120">
        <f t="shared" si="442"/>
        <v>110</v>
      </c>
      <c r="J6118" s="3" t="str">
        <f t="shared" si="437"/>
        <v>8461005</v>
      </c>
    </row>
    <row r="6119" spans="1:10" s="3" customFormat="1">
      <c r="B6119" s="3" t="s">
        <v>2168</v>
      </c>
      <c r="C6119" s="8">
        <v>6</v>
      </c>
      <c r="D6119" s="3" t="s">
        <v>6000</v>
      </c>
      <c r="E6119" s="11" t="s">
        <v>1745</v>
      </c>
      <c r="F6119" s="10">
        <v>2.99E-4</v>
      </c>
      <c r="G6119" s="120">
        <f t="shared" si="443"/>
        <v>86</v>
      </c>
      <c r="H6119" s="120">
        <f t="shared" si="441"/>
        <v>43</v>
      </c>
      <c r="I6119" s="120">
        <f t="shared" si="442"/>
        <v>43</v>
      </c>
      <c r="J6119" s="3" t="str">
        <f t="shared" si="437"/>
        <v>8461023</v>
      </c>
    </row>
    <row r="6120" spans="1:10" s="3" customFormat="1">
      <c r="B6120" s="3" t="s">
        <v>2168</v>
      </c>
      <c r="C6120" s="8">
        <v>6</v>
      </c>
      <c r="D6120" s="3" t="s">
        <v>4421</v>
      </c>
      <c r="E6120" s="11" t="s">
        <v>1746</v>
      </c>
      <c r="F6120" s="10">
        <v>2.8449999999999999E-3</v>
      </c>
      <c r="G6120" s="120">
        <f t="shared" si="443"/>
        <v>819</v>
      </c>
      <c r="H6120" s="120">
        <f t="shared" si="441"/>
        <v>410</v>
      </c>
      <c r="I6120" s="120">
        <f t="shared" si="442"/>
        <v>409</v>
      </c>
      <c r="J6120" s="3" t="str">
        <f t="shared" si="437"/>
        <v>8461086</v>
      </c>
    </row>
    <row r="6121" spans="1:10" s="3" customFormat="1">
      <c r="B6121" s="3" t="s">
        <v>2168</v>
      </c>
      <c r="C6121" s="8">
        <v>6</v>
      </c>
      <c r="D6121" s="3" t="s">
        <v>3011</v>
      </c>
      <c r="E6121" s="11" t="s">
        <v>1747</v>
      </c>
      <c r="F6121" s="10">
        <v>3.0622E-2</v>
      </c>
      <c r="G6121" s="12">
        <f>+G6063-SUM(G6064:G6065)-SUM(G6070:G6109)-SUM(G6113:G6120)</f>
        <v>514586</v>
      </c>
      <c r="H6121" s="13">
        <f t="shared" si="441"/>
        <v>257293</v>
      </c>
      <c r="I6121" s="12">
        <f t="shared" si="442"/>
        <v>257293</v>
      </c>
      <c r="J6121" s="3" t="str">
        <f t="shared" si="437"/>
        <v>8460871</v>
      </c>
    </row>
    <row r="6122" spans="1:10" s="3" customFormat="1">
      <c r="B6122" s="3" t="s">
        <v>2168</v>
      </c>
      <c r="C6122" s="8">
        <v>0</v>
      </c>
      <c r="D6122" s="125" t="s">
        <v>2187</v>
      </c>
      <c r="E6122" s="28" t="s">
        <v>288</v>
      </c>
      <c r="F6122" s="10">
        <v>1</v>
      </c>
      <c r="G6122" s="12">
        <f>+G6064+SUM(G6067:G6108)+SUM(G6111:G6121)</f>
        <v>793500</v>
      </c>
      <c r="H6122" s="12">
        <f>+H6064+SUM(H6067:H6108)+SUM(H6111:H6121)</f>
        <v>396759</v>
      </c>
      <c r="I6122" s="12">
        <f>+I6064+SUM(I6067:I6108)+SUM(I6111:I6121)</f>
        <v>396741</v>
      </c>
      <c r="J6122" s="3" t="str">
        <f t="shared" si="437"/>
        <v>8400000</v>
      </c>
    </row>
    <row r="6123" spans="1:10" s="3" customFormat="1">
      <c r="B6123" s="3" t="s">
        <v>2168</v>
      </c>
      <c r="C6123" s="8">
        <v>0</v>
      </c>
      <c r="D6123" s="3" t="s">
        <v>2187</v>
      </c>
      <c r="E6123" s="18" t="s">
        <v>38</v>
      </c>
      <c r="G6123" s="19">
        <f>+G6064</f>
        <v>243</v>
      </c>
      <c r="H6123" s="19">
        <f>+H6064</f>
        <v>122</v>
      </c>
      <c r="I6123" s="19">
        <f>+I6064</f>
        <v>121</v>
      </c>
      <c r="J6123" s="3" t="str">
        <f t="shared" si="437"/>
        <v>8400000</v>
      </c>
    </row>
    <row r="6124" spans="1:10" s="3" customFormat="1">
      <c r="B6124" s="3" t="s">
        <v>2168</v>
      </c>
      <c r="C6124" s="8">
        <v>0</v>
      </c>
      <c r="D6124" s="3" t="s">
        <v>2187</v>
      </c>
      <c r="E6124" s="2" t="s">
        <v>39</v>
      </c>
      <c r="G6124" s="19">
        <f>+G6067</f>
        <v>11155</v>
      </c>
      <c r="H6124" s="19">
        <f>+H6067</f>
        <v>5578</v>
      </c>
      <c r="I6124" s="19">
        <f>+I6067</f>
        <v>5577</v>
      </c>
      <c r="J6124" s="3" t="str">
        <f t="shared" si="437"/>
        <v>8400000</v>
      </c>
    </row>
    <row r="6125" spans="1:10" s="3" customFormat="1">
      <c r="B6125" s="3" t="s">
        <v>2168</v>
      </c>
      <c r="C6125" s="8">
        <v>0</v>
      </c>
      <c r="D6125" s="3" t="s">
        <v>2187</v>
      </c>
      <c r="E6125" s="2" t="s">
        <v>40</v>
      </c>
      <c r="G6125" s="19">
        <f>+G6111</f>
        <v>65205</v>
      </c>
      <c r="H6125" s="19">
        <f>+H6111</f>
        <v>32603</v>
      </c>
      <c r="I6125" s="19">
        <f>+I6111</f>
        <v>32602</v>
      </c>
      <c r="J6125" s="3" t="str">
        <f t="shared" si="437"/>
        <v>8400000</v>
      </c>
    </row>
    <row r="6126" spans="1:10" s="3" customFormat="1">
      <c r="B6126" s="3" t="s">
        <v>2168</v>
      </c>
      <c r="C6126" s="8">
        <v>0</v>
      </c>
      <c r="D6126" s="125" t="s">
        <v>2187</v>
      </c>
      <c r="E6126" s="18" t="s">
        <v>41</v>
      </c>
      <c r="G6126" s="19">
        <f>+G6122-G6123-G6124-G6125</f>
        <v>716897</v>
      </c>
      <c r="H6126" s="19">
        <f>+H6122-H6123-H6124-H6125</f>
        <v>358456</v>
      </c>
      <c r="I6126" s="19">
        <f>+I6122-I6123-I6124-I6125</f>
        <v>358441</v>
      </c>
      <c r="J6126" s="3" t="str">
        <f t="shared" si="437"/>
        <v>8400000</v>
      </c>
    </row>
    <row r="6127" spans="1:10" ht="15.75">
      <c r="B6127" s="3" t="s">
        <v>2186</v>
      </c>
      <c r="D6127" t="s">
        <v>2186</v>
      </c>
      <c r="E6127">
        <v>0</v>
      </c>
      <c r="G6127"/>
      <c r="H6127"/>
      <c r="I6127"/>
      <c r="J6127" s="3" t="str">
        <f t="shared" si="437"/>
        <v/>
      </c>
    </row>
    <row r="6128" spans="1:10" s="3" customFormat="1">
      <c r="C6128" s="1"/>
      <c r="D6128" s="3" t="s">
        <v>2186</v>
      </c>
      <c r="E6128" s="2" t="s">
        <v>1748</v>
      </c>
      <c r="J6128" s="3" t="str">
        <f t="shared" si="437"/>
        <v/>
      </c>
    </row>
    <row r="6129" spans="2:10" s="3" customFormat="1" ht="45">
      <c r="B6129" s="3" t="s">
        <v>2186</v>
      </c>
      <c r="C6129" s="1"/>
      <c r="D6129" s="3" t="s">
        <v>2186</v>
      </c>
      <c r="E6129" s="1">
        <v>0</v>
      </c>
      <c r="F6129" s="6" t="s">
        <v>1</v>
      </c>
      <c r="G6129" s="60">
        <f>'Allocation Worksheet'!H6129</f>
        <v>0</v>
      </c>
      <c r="H6129" s="60">
        <f>'Allocation Worksheet'!H6130</f>
        <v>0</v>
      </c>
      <c r="I6129" s="60">
        <f>'Allocation Worksheet'!H6131</f>
        <v>0</v>
      </c>
      <c r="J6129" s="3" t="str">
        <f t="shared" si="437"/>
        <v/>
      </c>
    </row>
    <row r="6130" spans="2:10" s="3" customFormat="1">
      <c r="C6130" s="7" t="s">
        <v>2087</v>
      </c>
      <c r="D6130" s="3" t="s">
        <v>2186</v>
      </c>
      <c r="E6130" s="7" t="s">
        <v>3</v>
      </c>
      <c r="F6130" s="10"/>
      <c r="G6130" s="9">
        <f>'Allocation Worksheet'!$D$88</f>
        <v>349169</v>
      </c>
      <c r="H6130" s="11"/>
      <c r="I6130" s="11"/>
      <c r="J6130" s="3" t="str">
        <f t="shared" si="437"/>
        <v>UT</v>
      </c>
    </row>
    <row r="6131" spans="2:10" s="3" customFormat="1">
      <c r="B6131" s="3" t="s">
        <v>2169</v>
      </c>
      <c r="C6131" s="8">
        <v>0</v>
      </c>
      <c r="D6131" s="3" t="s">
        <v>2187</v>
      </c>
      <c r="E6131" s="11" t="s">
        <v>4</v>
      </c>
      <c r="F6131" s="10">
        <v>1.253E-3</v>
      </c>
      <c r="G6131" s="12">
        <f>ROUND(G$3*F6131,0)</f>
        <v>361</v>
      </c>
      <c r="H6131" s="13">
        <f>ROUND(G6131/2,0)</f>
        <v>181</v>
      </c>
      <c r="I6131" s="12">
        <f>G6131-H6131</f>
        <v>180</v>
      </c>
      <c r="J6131" s="3" t="str">
        <f t="shared" si="437"/>
        <v>8500000</v>
      </c>
    </row>
    <row r="6132" spans="2:10" s="3" customFormat="1">
      <c r="B6132" s="3" t="s">
        <v>2169</v>
      </c>
      <c r="C6132" s="8">
        <v>1</v>
      </c>
      <c r="D6132" s="3" t="s">
        <v>2187</v>
      </c>
      <c r="E6132" s="11" t="s">
        <v>1749</v>
      </c>
      <c r="F6132" s="10">
        <v>0.21440999999999999</v>
      </c>
      <c r="G6132" s="9">
        <f>ROUND(G$3*F6132,0)</f>
        <v>61691</v>
      </c>
      <c r="H6132" s="11">
        <f>ROUND(G6132/2,0)</f>
        <v>30846</v>
      </c>
      <c r="I6132" s="9">
        <f>G6132-H6132</f>
        <v>30845</v>
      </c>
      <c r="J6132" s="3" t="str">
        <f t="shared" si="437"/>
        <v>8510000</v>
      </c>
    </row>
    <row r="6133" spans="2:10" s="3" customFormat="1">
      <c r="B6133" s="3" t="s">
        <v>2169</v>
      </c>
      <c r="C6133" s="8">
        <v>1</v>
      </c>
      <c r="D6133" s="3" t="s">
        <v>2187</v>
      </c>
      <c r="E6133" s="11" t="s">
        <v>6</v>
      </c>
      <c r="F6133" s="11"/>
      <c r="G6133" s="14">
        <v>0.336231</v>
      </c>
      <c r="H6133" s="11"/>
      <c r="I6133" s="11"/>
      <c r="J6133" s="3" t="str">
        <f t="shared" si="437"/>
        <v>8510000</v>
      </c>
    </row>
    <row r="6134" spans="2:10" s="3" customFormat="1">
      <c r="B6134" s="3" t="s">
        <v>2169</v>
      </c>
      <c r="C6134" s="8">
        <v>1</v>
      </c>
      <c r="D6134" s="3" t="s">
        <v>2187</v>
      </c>
      <c r="E6134" s="11" t="s">
        <v>7</v>
      </c>
      <c r="F6134" s="11"/>
      <c r="G6134" s="15">
        <f>ROUND(G6132*G6133,0)</f>
        <v>20742</v>
      </c>
      <c r="H6134" s="16">
        <f>ROUND(G6134/2,0)</f>
        <v>10371</v>
      </c>
      <c r="I6134" s="15">
        <f>G6134-H6134</f>
        <v>10371</v>
      </c>
      <c r="J6134" s="3" t="str">
        <f t="shared" si="437"/>
        <v>8510000</v>
      </c>
    </row>
    <row r="6135" spans="2:10" s="3" customFormat="1">
      <c r="B6135" s="3" t="s">
        <v>2169</v>
      </c>
      <c r="C6135" s="8">
        <v>1</v>
      </c>
      <c r="D6135" s="3" t="s">
        <v>2187</v>
      </c>
      <c r="E6135" s="11" t="s">
        <v>8</v>
      </c>
      <c r="F6135" s="11"/>
      <c r="G6135" s="12">
        <f>+G6132-G6134</f>
        <v>40949</v>
      </c>
      <c r="H6135" s="13">
        <f>ROUND(G6135/2,0)</f>
        <v>20475</v>
      </c>
      <c r="I6135" s="12">
        <f>G6135-H6135</f>
        <v>20474</v>
      </c>
      <c r="J6135" s="3" t="str">
        <f t="shared" si="437"/>
        <v>8510000</v>
      </c>
    </row>
    <row r="6136" spans="2:10" s="3" customFormat="1">
      <c r="B6136" s="3" t="s">
        <v>2169</v>
      </c>
      <c r="C6136" s="8">
        <v>2</v>
      </c>
      <c r="D6136" s="3" t="s">
        <v>2188</v>
      </c>
      <c r="E6136" s="11" t="s">
        <v>1750</v>
      </c>
      <c r="F6136" s="11"/>
      <c r="G6136" s="9"/>
      <c r="H6136" s="11"/>
      <c r="I6136" s="11"/>
      <c r="J6136" s="3" t="str">
        <f t="shared" si="437"/>
        <v>8520001</v>
      </c>
    </row>
    <row r="6137" spans="2:10" s="3" customFormat="1">
      <c r="B6137" s="3" t="s">
        <v>2169</v>
      </c>
      <c r="C6137" s="8">
        <v>2</v>
      </c>
      <c r="D6137" s="3" t="s">
        <v>2188</v>
      </c>
      <c r="E6137" s="11" t="s">
        <v>10</v>
      </c>
      <c r="F6137" s="10">
        <v>7.6940000000000003E-3</v>
      </c>
      <c r="G6137" s="12">
        <f>ROUND(G$3*F6137,0)</f>
        <v>2214</v>
      </c>
      <c r="H6137" s="13">
        <f>ROUND(G6137/2,0)</f>
        <v>1107</v>
      </c>
      <c r="I6137" s="12">
        <f>G6137-H6137</f>
        <v>1107</v>
      </c>
      <c r="J6137" s="3" t="str">
        <f t="shared" si="437"/>
        <v>8520001</v>
      </c>
    </row>
    <row r="6138" spans="2:10" s="3" customFormat="1">
      <c r="B6138" s="3" t="s">
        <v>2169</v>
      </c>
      <c r="C6138" s="8">
        <v>2</v>
      </c>
      <c r="D6138" s="3" t="s">
        <v>2188</v>
      </c>
      <c r="E6138" s="11" t="s">
        <v>11</v>
      </c>
      <c r="F6138" s="10">
        <v>1.034E-3</v>
      </c>
      <c r="G6138" s="12">
        <f>ROUND(G$3*F6138,0)</f>
        <v>298</v>
      </c>
      <c r="H6138" s="13">
        <f>ROUND(G6138/2,0)</f>
        <v>149</v>
      </c>
      <c r="I6138" s="12">
        <f>G6138-H6138</f>
        <v>149</v>
      </c>
      <c r="J6138" s="3" t="str">
        <f t="shared" si="437"/>
        <v>8520001</v>
      </c>
    </row>
    <row r="6139" spans="2:10" s="3" customFormat="1">
      <c r="B6139" s="3" t="s">
        <v>2169</v>
      </c>
      <c r="C6139" s="8">
        <v>2</v>
      </c>
      <c r="D6139" s="3" t="s">
        <v>2189</v>
      </c>
      <c r="E6139" s="11" t="s">
        <v>1751</v>
      </c>
      <c r="F6139" s="11"/>
      <c r="G6139" s="9"/>
      <c r="H6139" s="11"/>
      <c r="I6139" s="11"/>
      <c r="J6139" s="3" t="str">
        <f t="shared" si="437"/>
        <v>8520002</v>
      </c>
    </row>
    <row r="6140" spans="2:10" s="3" customFormat="1">
      <c r="B6140" s="3" t="s">
        <v>2169</v>
      </c>
      <c r="C6140" s="8">
        <v>2</v>
      </c>
      <c r="D6140" s="3" t="s">
        <v>2189</v>
      </c>
      <c r="E6140" s="11" t="s">
        <v>10</v>
      </c>
      <c r="F6140" s="10">
        <v>9.7900000000000005E-4</v>
      </c>
      <c r="G6140" s="12">
        <f>ROUND(G$3*F6140,0)</f>
        <v>282</v>
      </c>
      <c r="H6140" s="13">
        <f>ROUND(G6140/2,0)</f>
        <v>141</v>
      </c>
      <c r="I6140" s="12">
        <f>G6140-H6140</f>
        <v>141</v>
      </c>
      <c r="J6140" s="3" t="str">
        <f t="shared" si="437"/>
        <v>8520002</v>
      </c>
    </row>
    <row r="6141" spans="2:10" s="3" customFormat="1">
      <c r="B6141" s="3" t="s">
        <v>2169</v>
      </c>
      <c r="C6141" s="8">
        <v>2</v>
      </c>
      <c r="D6141" s="3" t="s">
        <v>2189</v>
      </c>
      <c r="E6141" s="11" t="s">
        <v>11</v>
      </c>
      <c r="F6141" s="10">
        <v>1.7099999999999999E-3</v>
      </c>
      <c r="G6141" s="12">
        <f>ROUND(G$3*F6141,0)</f>
        <v>492</v>
      </c>
      <c r="H6141" s="13">
        <f>ROUND(G6141/2,0)</f>
        <v>246</v>
      </c>
      <c r="I6141" s="12">
        <f>G6141-H6141</f>
        <v>246</v>
      </c>
      <c r="J6141" s="3" t="str">
        <f t="shared" si="437"/>
        <v>8520002</v>
      </c>
    </row>
    <row r="6142" spans="2:10" s="3" customFormat="1">
      <c r="B6142" s="3" t="s">
        <v>2169</v>
      </c>
      <c r="C6142" s="8">
        <v>2</v>
      </c>
      <c r="D6142" s="3" t="s">
        <v>2190</v>
      </c>
      <c r="E6142" s="11" t="s">
        <v>181</v>
      </c>
      <c r="F6142" s="11"/>
      <c r="G6142" s="9"/>
      <c r="H6142" s="11"/>
      <c r="I6142" s="11"/>
      <c r="J6142" s="3" t="str">
        <f t="shared" si="437"/>
        <v>8520003</v>
      </c>
    </row>
    <row r="6143" spans="2:10" s="3" customFormat="1">
      <c r="B6143" s="3" t="s">
        <v>2169</v>
      </c>
      <c r="C6143" s="8">
        <v>2</v>
      </c>
      <c r="D6143" s="3" t="s">
        <v>2190</v>
      </c>
      <c r="E6143" s="11" t="s">
        <v>10</v>
      </c>
      <c r="F6143" s="10">
        <v>7.3099999999999999E-4</v>
      </c>
      <c r="G6143" s="12">
        <f>ROUND(G$3*F6143,0)</f>
        <v>210</v>
      </c>
      <c r="H6143" s="13">
        <f>ROUND(G6143/2,0)</f>
        <v>105</v>
      </c>
      <c r="I6143" s="12">
        <f>G6143-H6143</f>
        <v>105</v>
      </c>
      <c r="J6143" s="3" t="str">
        <f t="shared" si="437"/>
        <v>8520003</v>
      </c>
    </row>
    <row r="6144" spans="2:10" s="3" customFormat="1">
      <c r="B6144" s="3" t="s">
        <v>2169</v>
      </c>
      <c r="C6144" s="8">
        <v>2</v>
      </c>
      <c r="D6144" s="3" t="s">
        <v>2190</v>
      </c>
      <c r="E6144" s="11" t="s">
        <v>11</v>
      </c>
      <c r="F6144" s="10">
        <v>6.8900000000000005E-4</v>
      </c>
      <c r="G6144" s="12">
        <f>ROUND(G$3*F6144,0)</f>
        <v>198</v>
      </c>
      <c r="H6144" s="13">
        <f>ROUND(G6144/2,0)</f>
        <v>99</v>
      </c>
      <c r="I6144" s="12">
        <f>G6144-H6144</f>
        <v>99</v>
      </c>
      <c r="J6144" s="3" t="str">
        <f t="shared" si="437"/>
        <v>8520003</v>
      </c>
    </row>
    <row r="6145" spans="2:10" s="3" customFormat="1">
      <c r="B6145" s="3" t="s">
        <v>2169</v>
      </c>
      <c r="C6145" s="8">
        <v>2</v>
      </c>
      <c r="D6145" s="3" t="s">
        <v>2191</v>
      </c>
      <c r="E6145" s="11" t="s">
        <v>203</v>
      </c>
      <c r="F6145" s="11"/>
      <c r="G6145" s="9"/>
      <c r="H6145" s="11"/>
      <c r="I6145" s="11"/>
      <c r="J6145" s="3" t="str">
        <f t="shared" si="437"/>
        <v>8520004</v>
      </c>
    </row>
    <row r="6146" spans="2:10" s="3" customFormat="1">
      <c r="B6146" s="3" t="s">
        <v>2169</v>
      </c>
      <c r="C6146" s="8">
        <v>2</v>
      </c>
      <c r="D6146" s="3" t="s">
        <v>2191</v>
      </c>
      <c r="E6146" s="11" t="s">
        <v>10</v>
      </c>
      <c r="F6146" s="10">
        <v>8.5140000000000007E-3</v>
      </c>
      <c r="G6146" s="12">
        <f>ROUND(G$3*F6146,0)</f>
        <v>2450</v>
      </c>
      <c r="H6146" s="13">
        <f>ROUND(G6146/2,0)</f>
        <v>1225</v>
      </c>
      <c r="I6146" s="12">
        <f>G6146-H6146</f>
        <v>1225</v>
      </c>
      <c r="J6146" s="3" t="str">
        <f t="shared" si="437"/>
        <v>8520004</v>
      </c>
    </row>
    <row r="6147" spans="2:10" s="3" customFormat="1">
      <c r="B6147" s="3" t="s">
        <v>2169</v>
      </c>
      <c r="C6147" s="8">
        <v>2</v>
      </c>
      <c r="D6147" s="3" t="s">
        <v>2191</v>
      </c>
      <c r="E6147" s="11" t="s">
        <v>11</v>
      </c>
      <c r="F6147" s="10">
        <v>1.9E-3</v>
      </c>
      <c r="G6147" s="12">
        <f>ROUND(G$3*F6147,0)</f>
        <v>547</v>
      </c>
      <c r="H6147" s="13">
        <f>ROUND(G6147/2,0)</f>
        <v>274</v>
      </c>
      <c r="I6147" s="12">
        <f>G6147-H6147</f>
        <v>273</v>
      </c>
      <c r="J6147" s="3" t="str">
        <f t="shared" si="437"/>
        <v>8520004</v>
      </c>
    </row>
    <row r="6148" spans="2:10" s="3" customFormat="1">
      <c r="B6148" s="3" t="s">
        <v>2169</v>
      </c>
      <c r="C6148" s="8">
        <v>2</v>
      </c>
      <c r="D6148" s="3" t="s">
        <v>2192</v>
      </c>
      <c r="E6148" s="11" t="s">
        <v>1752</v>
      </c>
      <c r="F6148" s="11"/>
      <c r="G6148" s="9"/>
      <c r="H6148" s="11"/>
      <c r="I6148" s="11"/>
      <c r="J6148" s="3" t="str">
        <f t="shared" ref="J6148:J6211" si="444">B6148&amp;C6148&amp;D6148</f>
        <v>8520005</v>
      </c>
    </row>
    <row r="6149" spans="2:10" s="3" customFormat="1">
      <c r="B6149" s="3" t="s">
        <v>2169</v>
      </c>
      <c r="C6149" s="8">
        <v>2</v>
      </c>
      <c r="D6149" s="3" t="s">
        <v>2192</v>
      </c>
      <c r="E6149" s="11" t="s">
        <v>10</v>
      </c>
      <c r="F6149" s="10">
        <v>1.5920000000000001E-3</v>
      </c>
      <c r="G6149" s="12">
        <f>ROUND(G$3*F6149,0)</f>
        <v>458</v>
      </c>
      <c r="H6149" s="13">
        <f>ROUND(G6149/2,0)</f>
        <v>229</v>
      </c>
      <c r="I6149" s="12">
        <f>G6149-H6149</f>
        <v>229</v>
      </c>
      <c r="J6149" s="3" t="str">
        <f t="shared" si="444"/>
        <v>8520005</v>
      </c>
    </row>
    <row r="6150" spans="2:10" s="3" customFormat="1">
      <c r="B6150" s="3" t="s">
        <v>2169</v>
      </c>
      <c r="C6150" s="8">
        <v>2</v>
      </c>
      <c r="D6150" s="3" t="s">
        <v>2192</v>
      </c>
      <c r="E6150" s="11" t="s">
        <v>11</v>
      </c>
      <c r="F6150" s="10">
        <v>5.53E-4</v>
      </c>
      <c r="G6150" s="12">
        <f>ROUND(G$3*F6150,0)</f>
        <v>159</v>
      </c>
      <c r="H6150" s="13">
        <f>ROUND(G6150/2,0)</f>
        <v>80</v>
      </c>
      <c r="I6150" s="12">
        <f>G6150-H6150</f>
        <v>79</v>
      </c>
      <c r="J6150" s="3" t="str">
        <f t="shared" si="444"/>
        <v>8520005</v>
      </c>
    </row>
    <row r="6151" spans="2:10" s="3" customFormat="1">
      <c r="B6151" s="3" t="s">
        <v>2169</v>
      </c>
      <c r="C6151" s="8">
        <v>2</v>
      </c>
      <c r="D6151" s="3" t="s">
        <v>2193</v>
      </c>
      <c r="E6151" s="11" t="s">
        <v>57</v>
      </c>
      <c r="F6151" s="11"/>
      <c r="G6151" s="9"/>
      <c r="H6151" s="11"/>
      <c r="I6151" s="11"/>
      <c r="J6151" s="3" t="str">
        <f t="shared" si="444"/>
        <v>8520006</v>
      </c>
    </row>
    <row r="6152" spans="2:10" s="3" customFormat="1">
      <c r="B6152" s="3" t="s">
        <v>2169</v>
      </c>
      <c r="C6152" s="8">
        <v>2</v>
      </c>
      <c r="D6152" s="3" t="s">
        <v>2193</v>
      </c>
      <c r="E6152" s="11" t="s">
        <v>10</v>
      </c>
      <c r="F6152" s="10">
        <v>6.0920000000000002E-3</v>
      </c>
      <c r="G6152" s="12">
        <f>ROUND(G$3*F6152,0)</f>
        <v>1753</v>
      </c>
      <c r="H6152" s="13">
        <f>ROUND(G6152/2,0)</f>
        <v>877</v>
      </c>
      <c r="I6152" s="12">
        <f>G6152-H6152</f>
        <v>876</v>
      </c>
      <c r="J6152" s="3" t="str">
        <f t="shared" si="444"/>
        <v>8520006</v>
      </c>
    </row>
    <row r="6153" spans="2:10" s="3" customFormat="1">
      <c r="B6153" s="3" t="s">
        <v>2169</v>
      </c>
      <c r="C6153" s="8">
        <v>2</v>
      </c>
      <c r="D6153" s="3" t="s">
        <v>2193</v>
      </c>
      <c r="E6153" s="11" t="s">
        <v>11</v>
      </c>
      <c r="F6153" s="10">
        <v>4.8390000000000004E-3</v>
      </c>
      <c r="G6153" s="12">
        <f>ROUND(G$3*F6153,0)</f>
        <v>1392</v>
      </c>
      <c r="H6153" s="13">
        <f>ROUND(G6153/2,0)</f>
        <v>696</v>
      </c>
      <c r="I6153" s="12">
        <f>G6153-H6153</f>
        <v>696</v>
      </c>
      <c r="J6153" s="3" t="str">
        <f t="shared" si="444"/>
        <v>8520006</v>
      </c>
    </row>
    <row r="6154" spans="2:10" s="3" customFormat="1">
      <c r="B6154" s="3" t="s">
        <v>2169</v>
      </c>
      <c r="C6154" s="8">
        <v>2</v>
      </c>
      <c r="D6154" s="3" t="s">
        <v>2194</v>
      </c>
      <c r="E6154" s="11" t="s">
        <v>1753</v>
      </c>
      <c r="F6154" s="11"/>
      <c r="G6154" s="9"/>
      <c r="H6154" s="11"/>
      <c r="I6154" s="11"/>
      <c r="J6154" s="3" t="str">
        <f t="shared" si="444"/>
        <v>8520007</v>
      </c>
    </row>
    <row r="6155" spans="2:10" s="3" customFormat="1">
      <c r="B6155" s="3" t="s">
        <v>2169</v>
      </c>
      <c r="C6155" s="8">
        <v>2</v>
      </c>
      <c r="D6155" s="3" t="s">
        <v>2194</v>
      </c>
      <c r="E6155" s="11" t="s">
        <v>10</v>
      </c>
      <c r="F6155" s="10">
        <v>2.3000000000000001E-4</v>
      </c>
      <c r="G6155" s="12">
        <f t="shared" ref="G6155:G6162" si="445">ROUND(G$3*F6155,0)</f>
        <v>66</v>
      </c>
      <c r="H6155" s="13">
        <f t="shared" ref="H6155:H6162" si="446">ROUND(G6155/2,0)</f>
        <v>33</v>
      </c>
      <c r="I6155" s="12">
        <f t="shared" ref="I6155:I6162" si="447">G6155-H6155</f>
        <v>33</v>
      </c>
      <c r="J6155" s="3" t="str">
        <f t="shared" si="444"/>
        <v>8520007</v>
      </c>
    </row>
    <row r="6156" spans="2:10" s="3" customFormat="1">
      <c r="B6156" s="3" t="s">
        <v>2169</v>
      </c>
      <c r="C6156" s="8">
        <v>2</v>
      </c>
      <c r="D6156" s="3" t="s">
        <v>2194</v>
      </c>
      <c r="E6156" s="11" t="s">
        <v>11</v>
      </c>
      <c r="F6156" s="10">
        <v>1.25E-4</v>
      </c>
      <c r="G6156" s="12">
        <f t="shared" si="445"/>
        <v>36</v>
      </c>
      <c r="H6156" s="13">
        <f t="shared" si="446"/>
        <v>18</v>
      </c>
      <c r="I6156" s="12">
        <f t="shared" si="447"/>
        <v>18</v>
      </c>
      <c r="J6156" s="3" t="str">
        <f t="shared" si="444"/>
        <v>8520007</v>
      </c>
    </row>
    <row r="6157" spans="2:10" s="3" customFormat="1">
      <c r="B6157" s="3" t="s">
        <v>2169</v>
      </c>
      <c r="C6157" s="8">
        <v>3</v>
      </c>
      <c r="D6157" s="3" t="s">
        <v>3068</v>
      </c>
      <c r="E6157" s="11" t="s">
        <v>1754</v>
      </c>
      <c r="F6157" s="10">
        <v>1.3129999999999999E-3</v>
      </c>
      <c r="G6157" s="12">
        <f t="shared" si="445"/>
        <v>378</v>
      </c>
      <c r="H6157" s="13">
        <f t="shared" si="446"/>
        <v>189</v>
      </c>
      <c r="I6157" s="12">
        <f t="shared" si="447"/>
        <v>189</v>
      </c>
      <c r="J6157" s="3" t="str">
        <f t="shared" si="444"/>
        <v>8530906</v>
      </c>
    </row>
    <row r="6158" spans="2:10" s="3" customFormat="1">
      <c r="B6158" s="3" t="s">
        <v>2169</v>
      </c>
      <c r="C6158" s="8">
        <v>3</v>
      </c>
      <c r="D6158" s="3" t="s">
        <v>3069</v>
      </c>
      <c r="E6158" s="11" t="s">
        <v>1755</v>
      </c>
      <c r="F6158" s="10">
        <v>9.9200000000000004E-4</v>
      </c>
      <c r="G6158" s="12">
        <f t="shared" si="445"/>
        <v>285</v>
      </c>
      <c r="H6158" s="13">
        <f t="shared" si="446"/>
        <v>143</v>
      </c>
      <c r="I6158" s="12">
        <f t="shared" si="447"/>
        <v>142</v>
      </c>
      <c r="J6158" s="3" t="str">
        <f t="shared" si="444"/>
        <v>8530907</v>
      </c>
    </row>
    <row r="6159" spans="2:10" s="3" customFormat="1">
      <c r="B6159" s="3" t="s">
        <v>2169</v>
      </c>
      <c r="C6159" s="8">
        <v>3</v>
      </c>
      <c r="D6159" s="116" t="s">
        <v>3067</v>
      </c>
      <c r="E6159" s="11" t="s">
        <v>1756</v>
      </c>
      <c r="F6159" s="10">
        <v>2.5801999999999999E-2</v>
      </c>
      <c r="G6159" s="12">
        <f t="shared" si="445"/>
        <v>7424</v>
      </c>
      <c r="H6159" s="13">
        <f t="shared" si="446"/>
        <v>3712</v>
      </c>
      <c r="I6159" s="12">
        <f t="shared" si="447"/>
        <v>3712</v>
      </c>
      <c r="J6159" s="3" t="str">
        <f t="shared" si="444"/>
        <v>8530511</v>
      </c>
    </row>
    <row r="6160" spans="2:10" s="3" customFormat="1">
      <c r="B6160" s="3" t="s">
        <v>2169</v>
      </c>
      <c r="C6160" s="8">
        <v>3</v>
      </c>
      <c r="D6160" s="3" t="s">
        <v>3070</v>
      </c>
      <c r="E6160" s="11" t="s">
        <v>1757</v>
      </c>
      <c r="F6160" s="10">
        <v>5.9000000000000003E-4</v>
      </c>
      <c r="G6160" s="12">
        <f t="shared" si="445"/>
        <v>170</v>
      </c>
      <c r="H6160" s="13">
        <f t="shared" si="446"/>
        <v>85</v>
      </c>
      <c r="I6160" s="12">
        <f t="shared" si="447"/>
        <v>85</v>
      </c>
      <c r="J6160" s="3" t="str">
        <f t="shared" si="444"/>
        <v>8530908</v>
      </c>
    </row>
    <row r="6161" spans="2:10" s="3" customFormat="1">
      <c r="B6161" s="3" t="s">
        <v>2169</v>
      </c>
      <c r="C6161" s="8">
        <v>3</v>
      </c>
      <c r="D6161" s="3" t="s">
        <v>3066</v>
      </c>
      <c r="E6161" s="11" t="s">
        <v>1758</v>
      </c>
      <c r="F6161" s="10">
        <v>7.4989E-2</v>
      </c>
      <c r="G6161" s="12">
        <f t="shared" si="445"/>
        <v>21576</v>
      </c>
      <c r="H6161" s="13">
        <f t="shared" si="446"/>
        <v>10788</v>
      </c>
      <c r="I6161" s="12">
        <f t="shared" si="447"/>
        <v>10788</v>
      </c>
      <c r="J6161" s="3" t="str">
        <f t="shared" si="444"/>
        <v>8530313</v>
      </c>
    </row>
    <row r="6162" spans="2:10" s="3" customFormat="1">
      <c r="B6162" s="3" t="s">
        <v>2169</v>
      </c>
      <c r="C6162" s="8">
        <v>4</v>
      </c>
      <c r="D6162" s="3" t="s">
        <v>3072</v>
      </c>
      <c r="E6162" s="11" t="s">
        <v>1759</v>
      </c>
      <c r="F6162" s="10">
        <v>0.299896</v>
      </c>
      <c r="G6162" s="9">
        <f t="shared" si="445"/>
        <v>86287</v>
      </c>
      <c r="H6162" s="11">
        <f t="shared" si="446"/>
        <v>43144</v>
      </c>
      <c r="I6162" s="9">
        <f t="shared" si="447"/>
        <v>43143</v>
      </c>
      <c r="J6162" s="3" t="str">
        <f t="shared" si="444"/>
        <v>8548050</v>
      </c>
    </row>
    <row r="6163" spans="2:10" s="3" customFormat="1">
      <c r="B6163" s="3" t="s">
        <v>2169</v>
      </c>
      <c r="C6163" s="8">
        <v>4</v>
      </c>
      <c r="D6163" s="3" t="s">
        <v>3072</v>
      </c>
      <c r="E6163" s="11" t="s">
        <v>28</v>
      </c>
      <c r="F6163" s="11"/>
      <c r="G6163" s="14">
        <v>0.50551199999999996</v>
      </c>
      <c r="H6163" s="11"/>
      <c r="I6163" s="11"/>
      <c r="J6163" s="3" t="str">
        <f t="shared" si="444"/>
        <v>8548050</v>
      </c>
    </row>
    <row r="6164" spans="2:10" s="3" customFormat="1">
      <c r="B6164" s="3" t="s">
        <v>2169</v>
      </c>
      <c r="C6164" s="8">
        <v>4</v>
      </c>
      <c r="D6164" s="3" t="s">
        <v>3072</v>
      </c>
      <c r="E6164" s="11" t="s">
        <v>29</v>
      </c>
      <c r="F6164" s="11"/>
      <c r="G6164" s="15">
        <f>ROUND(G6162*G6163,0)</f>
        <v>43619</v>
      </c>
      <c r="H6164" s="16">
        <f>ROUND(G6164/2,0)</f>
        <v>21810</v>
      </c>
      <c r="I6164" s="15">
        <f>G6164-H6164</f>
        <v>21809</v>
      </c>
      <c r="J6164" s="3" t="str">
        <f t="shared" si="444"/>
        <v>8548050</v>
      </c>
    </row>
    <row r="6165" spans="2:10" s="3" customFormat="1">
      <c r="B6165" s="3" t="s">
        <v>2169</v>
      </c>
      <c r="C6165" s="8">
        <v>4</v>
      </c>
      <c r="D6165" s="3" t="s">
        <v>3072</v>
      </c>
      <c r="E6165" s="11" t="s">
        <v>30</v>
      </c>
      <c r="F6165" s="11"/>
      <c r="G6165" s="12">
        <f>+G6162-G6164</f>
        <v>42668</v>
      </c>
      <c r="H6165" s="13">
        <f>ROUND(G6165/2,0)</f>
        <v>21334</v>
      </c>
      <c r="I6165" s="12">
        <f>G6165-H6165</f>
        <v>21334</v>
      </c>
      <c r="J6165" s="3" t="str">
        <f t="shared" si="444"/>
        <v>8548050</v>
      </c>
    </row>
    <row r="6166" spans="2:10" s="3" customFormat="1">
      <c r="B6166" s="3" t="s">
        <v>2169</v>
      </c>
      <c r="C6166" s="8">
        <v>4</v>
      </c>
      <c r="D6166" s="3" t="s">
        <v>3071</v>
      </c>
      <c r="E6166" s="11" t="s">
        <v>1760</v>
      </c>
      <c r="F6166" s="10">
        <v>0.266567</v>
      </c>
      <c r="G6166" s="9">
        <f>ROUND(G$3*F6166,0)</f>
        <v>76697</v>
      </c>
      <c r="H6166" s="11">
        <f>ROUND(G6166/2,0)</f>
        <v>38349</v>
      </c>
      <c r="I6166" s="9">
        <f>G6166-H6166</f>
        <v>38348</v>
      </c>
      <c r="J6166" s="3" t="str">
        <f t="shared" si="444"/>
        <v>8548045</v>
      </c>
    </row>
    <row r="6167" spans="2:10" s="3" customFormat="1">
      <c r="B6167" s="3" t="s">
        <v>2169</v>
      </c>
      <c r="C6167" s="8">
        <v>4</v>
      </c>
      <c r="D6167" s="3" t="s">
        <v>3071</v>
      </c>
      <c r="E6167" s="11" t="s">
        <v>28</v>
      </c>
      <c r="F6167" s="11"/>
      <c r="G6167" s="14">
        <v>0.44625799999999999</v>
      </c>
      <c r="H6167" s="11"/>
      <c r="I6167" s="11"/>
      <c r="J6167" s="3" t="str">
        <f t="shared" si="444"/>
        <v>8548045</v>
      </c>
    </row>
    <row r="6168" spans="2:10" s="3" customFormat="1">
      <c r="B6168" s="3" t="s">
        <v>2169</v>
      </c>
      <c r="C6168" s="8">
        <v>4</v>
      </c>
      <c r="D6168" s="3" t="s">
        <v>3071</v>
      </c>
      <c r="E6168" s="11" t="s">
        <v>29</v>
      </c>
      <c r="F6168" s="11"/>
      <c r="G6168" s="15">
        <f>ROUND(G6166*G6167,0)</f>
        <v>34227</v>
      </c>
      <c r="H6168" s="16">
        <f>ROUND(G6168/2,0)</f>
        <v>17114</v>
      </c>
      <c r="I6168" s="15">
        <f>G6168-H6168</f>
        <v>17113</v>
      </c>
      <c r="J6168" s="3" t="str">
        <f t="shared" si="444"/>
        <v>8548045</v>
      </c>
    </row>
    <row r="6169" spans="2:10" s="3" customFormat="1">
      <c r="B6169" s="3" t="s">
        <v>2169</v>
      </c>
      <c r="C6169" s="8">
        <v>4</v>
      </c>
      <c r="D6169" s="3" t="s">
        <v>3071</v>
      </c>
      <c r="E6169" s="11" t="s">
        <v>30</v>
      </c>
      <c r="F6169" s="11"/>
      <c r="G6169" s="12">
        <f>+G6166-G6168</f>
        <v>42470</v>
      </c>
      <c r="H6169" s="13">
        <f>ROUND(G6169/2,0)</f>
        <v>21235</v>
      </c>
      <c r="I6169" s="12">
        <f>G6169-H6169</f>
        <v>21235</v>
      </c>
      <c r="J6169" s="3" t="str">
        <f t="shared" si="444"/>
        <v>8548045</v>
      </c>
    </row>
    <row r="6170" spans="2:10" s="3" customFormat="1">
      <c r="B6170" s="3" t="s">
        <v>2169</v>
      </c>
      <c r="C6170" s="8">
        <v>4</v>
      </c>
      <c r="D6170" s="3" t="s">
        <v>3073</v>
      </c>
      <c r="E6170" s="11" t="s">
        <v>1761</v>
      </c>
      <c r="F6170" s="10">
        <v>6.5846000000000002E-2</v>
      </c>
      <c r="G6170" s="9">
        <f>ROUND(G$3*F6170,0)</f>
        <v>18945</v>
      </c>
      <c r="H6170" s="11">
        <f>ROUND(G6170/2,0)</f>
        <v>9473</v>
      </c>
      <c r="I6170" s="9">
        <f>G6170-H6170</f>
        <v>9472</v>
      </c>
      <c r="J6170" s="3" t="str">
        <f t="shared" si="444"/>
        <v>8548060</v>
      </c>
    </row>
    <row r="6171" spans="2:10" s="3" customFormat="1">
      <c r="B6171" s="3" t="s">
        <v>2169</v>
      </c>
      <c r="C6171" s="8">
        <v>4</v>
      </c>
      <c r="D6171" s="3" t="s">
        <v>3073</v>
      </c>
      <c r="E6171" s="11" t="s">
        <v>28</v>
      </c>
      <c r="F6171" s="11"/>
      <c r="G6171" s="14">
        <v>0.53324499999999997</v>
      </c>
      <c r="H6171" s="11"/>
      <c r="I6171" s="11"/>
      <c r="J6171" s="3" t="str">
        <f t="shared" si="444"/>
        <v>8548060</v>
      </c>
    </row>
    <row r="6172" spans="2:10" s="3" customFormat="1">
      <c r="B6172" s="3" t="s">
        <v>2169</v>
      </c>
      <c r="C6172" s="8">
        <v>4</v>
      </c>
      <c r="D6172" s="3" t="s">
        <v>3073</v>
      </c>
      <c r="E6172" s="11" t="s">
        <v>29</v>
      </c>
      <c r="F6172" s="11"/>
      <c r="G6172" s="15">
        <f>ROUND(G6170*G6171,0)</f>
        <v>10102</v>
      </c>
      <c r="H6172" s="16">
        <f t="shared" ref="H6172:H6177" si="448">ROUND(G6172/2,0)</f>
        <v>5051</v>
      </c>
      <c r="I6172" s="15">
        <f t="shared" ref="I6172:I6177" si="449">G6172-H6172</f>
        <v>5051</v>
      </c>
      <c r="J6172" s="3" t="str">
        <f t="shared" si="444"/>
        <v>8548060</v>
      </c>
    </row>
    <row r="6173" spans="2:10" s="3" customFormat="1">
      <c r="B6173" s="3" t="s">
        <v>2169</v>
      </c>
      <c r="C6173" s="8">
        <v>4</v>
      </c>
      <c r="D6173" s="3" t="s">
        <v>3073</v>
      </c>
      <c r="E6173" s="11" t="s">
        <v>30</v>
      </c>
      <c r="F6173" s="11"/>
      <c r="G6173" s="12">
        <f>+G6170-G6172</f>
        <v>8843</v>
      </c>
      <c r="H6173" s="13">
        <f t="shared" si="448"/>
        <v>4422</v>
      </c>
      <c r="I6173" s="12">
        <f t="shared" si="449"/>
        <v>4421</v>
      </c>
      <c r="J6173" s="3" t="str">
        <f t="shared" si="444"/>
        <v>8548060</v>
      </c>
    </row>
    <row r="6174" spans="2:10" s="3" customFormat="1">
      <c r="B6174" s="3" t="s">
        <v>2169</v>
      </c>
      <c r="C6174" s="8">
        <v>5</v>
      </c>
      <c r="D6174" s="3" t="s">
        <v>6031</v>
      </c>
      <c r="E6174" s="11" t="s">
        <v>1762</v>
      </c>
      <c r="F6174" s="10">
        <v>3.0170000000000002E-3</v>
      </c>
      <c r="G6174" s="120">
        <f>ROUND(G$3*F6174,0)</f>
        <v>868</v>
      </c>
      <c r="H6174" s="120">
        <f t="shared" si="448"/>
        <v>434</v>
      </c>
      <c r="I6174" s="120">
        <f t="shared" si="449"/>
        <v>434</v>
      </c>
      <c r="J6174" s="3" t="str">
        <f t="shared" si="444"/>
        <v>8550230</v>
      </c>
    </row>
    <row r="6175" spans="2:10" s="3" customFormat="1">
      <c r="B6175" s="3" t="s">
        <v>2169</v>
      </c>
      <c r="C6175" s="8">
        <v>5</v>
      </c>
      <c r="D6175" s="3" t="s">
        <v>3074</v>
      </c>
      <c r="E6175" s="11" t="s">
        <v>1763</v>
      </c>
      <c r="F6175" s="10">
        <v>1.673E-3</v>
      </c>
      <c r="G6175" s="120">
        <f>ROUND(G$3*F6175,0)</f>
        <v>481</v>
      </c>
      <c r="H6175" s="120">
        <f t="shared" si="448"/>
        <v>241</v>
      </c>
      <c r="I6175" s="120">
        <f t="shared" si="449"/>
        <v>240</v>
      </c>
      <c r="J6175" s="3" t="str">
        <f t="shared" si="444"/>
        <v>8550231</v>
      </c>
    </row>
    <row r="6176" spans="2:10" s="3" customFormat="1">
      <c r="B6176" s="3" t="s">
        <v>2169</v>
      </c>
      <c r="C6176" s="8">
        <v>5</v>
      </c>
      <c r="D6176" s="3" t="s">
        <v>3075</v>
      </c>
      <c r="E6176" s="11" t="s">
        <v>1764</v>
      </c>
      <c r="F6176" s="10">
        <v>6.9700000000000317E-3</v>
      </c>
      <c r="G6176" s="120">
        <f>+G6130-SUM(G6131:G6132)-SUM(G6137:G6162)-G6166-G6170-SUM(G6174:G6175)</f>
        <v>63451</v>
      </c>
      <c r="H6176" s="120">
        <f t="shared" si="448"/>
        <v>31726</v>
      </c>
      <c r="I6176" s="120">
        <f t="shared" si="449"/>
        <v>31725</v>
      </c>
      <c r="J6176" s="3" t="str">
        <f t="shared" si="444"/>
        <v>8550232</v>
      </c>
    </row>
    <row r="6177" spans="1:10" s="3" customFormat="1">
      <c r="A6177" s="3" t="s">
        <v>6269</v>
      </c>
      <c r="B6177" s="3" t="s">
        <v>2169</v>
      </c>
      <c r="C6177" s="8">
        <v>6</v>
      </c>
      <c r="D6177" s="3" t="s">
        <v>6267</v>
      </c>
      <c r="E6177" s="11" t="s">
        <v>1765</v>
      </c>
      <c r="F6177" s="10">
        <v>0</v>
      </c>
      <c r="G6177" s="120">
        <f>ROUND(G$3*F6177,0)</f>
        <v>0</v>
      </c>
      <c r="H6177" s="120">
        <f t="shared" si="448"/>
        <v>0</v>
      </c>
      <c r="I6177" s="120">
        <f t="shared" si="449"/>
        <v>0</v>
      </c>
      <c r="J6177" s="3" t="str">
        <f t="shared" si="444"/>
        <v>856XXXX</v>
      </c>
    </row>
    <row r="6178" spans="1:10" s="3" customFormat="1">
      <c r="B6178" s="3" t="s">
        <v>2169</v>
      </c>
      <c r="C6178" s="8">
        <v>0</v>
      </c>
      <c r="D6178" s="125" t="s">
        <v>2187</v>
      </c>
      <c r="E6178" s="28" t="s">
        <v>288</v>
      </c>
      <c r="F6178" s="10">
        <v>1</v>
      </c>
      <c r="G6178" s="12">
        <f>+G6131+SUM(G6134:G6161)+SUM(G6164:G6165)+SUM(G6168:G6169)+SUM(G6172:G6177)</f>
        <v>349169</v>
      </c>
      <c r="H6178" s="12">
        <f>+H6131+SUM(H6134:H6161)+SUM(H6164:H6165)+SUM(H6168:H6169)+SUM(H6172:H6177)</f>
        <v>174590</v>
      </c>
      <c r="I6178" s="12">
        <f>+I6131+SUM(I6134:I6161)+SUM(I6164:I6165)+SUM(I6168:I6169)+SUM(I6172:I6177)</f>
        <v>174579</v>
      </c>
      <c r="J6178" s="3" t="str">
        <f t="shared" si="444"/>
        <v>8500000</v>
      </c>
    </row>
    <row r="6179" spans="1:10" s="3" customFormat="1">
      <c r="B6179" s="3" t="s">
        <v>2169</v>
      </c>
      <c r="C6179" s="8">
        <v>0</v>
      </c>
      <c r="D6179" s="3" t="s">
        <v>2187</v>
      </c>
      <c r="E6179" s="18" t="s">
        <v>38</v>
      </c>
      <c r="G6179" s="19">
        <f>+G6131</f>
        <v>361</v>
      </c>
      <c r="H6179" s="19">
        <f>+H6131</f>
        <v>181</v>
      </c>
      <c r="I6179" s="19">
        <f>+I6131</f>
        <v>180</v>
      </c>
      <c r="J6179" s="3" t="str">
        <f t="shared" si="444"/>
        <v>8500000</v>
      </c>
    </row>
    <row r="6180" spans="1:10" s="3" customFormat="1">
      <c r="B6180" s="3" t="s">
        <v>2169</v>
      </c>
      <c r="C6180" s="8">
        <v>0</v>
      </c>
      <c r="D6180" s="3" t="s">
        <v>2187</v>
      </c>
      <c r="E6180" s="2" t="s">
        <v>39</v>
      </c>
      <c r="G6180" s="19">
        <f>+G6134</f>
        <v>20742</v>
      </c>
      <c r="H6180" s="19">
        <f>+H6134</f>
        <v>10371</v>
      </c>
      <c r="I6180" s="19">
        <f>+I6134</f>
        <v>10371</v>
      </c>
      <c r="J6180" s="3" t="str">
        <f t="shared" si="444"/>
        <v>8500000</v>
      </c>
    </row>
    <row r="6181" spans="1:10" s="3" customFormat="1">
      <c r="B6181" s="3" t="s">
        <v>2169</v>
      </c>
      <c r="C6181" s="8">
        <v>0</v>
      </c>
      <c r="D6181" s="3" t="s">
        <v>2187</v>
      </c>
      <c r="E6181" s="2" t="s">
        <v>40</v>
      </c>
      <c r="G6181" s="19">
        <f>+G6164+G6168+G6172</f>
        <v>87948</v>
      </c>
      <c r="H6181" s="19">
        <f>+H6164+H6168+H6172</f>
        <v>43975</v>
      </c>
      <c r="I6181" s="19">
        <f>+I6164+I6168+I6172</f>
        <v>43973</v>
      </c>
      <c r="J6181" s="3" t="str">
        <f t="shared" si="444"/>
        <v>8500000</v>
      </c>
    </row>
    <row r="6182" spans="1:10" s="3" customFormat="1">
      <c r="B6182" s="3" t="s">
        <v>2169</v>
      </c>
      <c r="C6182" s="8">
        <v>0</v>
      </c>
      <c r="D6182" s="125" t="s">
        <v>2187</v>
      </c>
      <c r="E6182" s="18" t="s">
        <v>41</v>
      </c>
      <c r="G6182" s="19">
        <f>+G6178-G6179-G6180-G6181</f>
        <v>240118</v>
      </c>
      <c r="H6182" s="19">
        <f>+H6178-H6179-H6180-H6181</f>
        <v>120063</v>
      </c>
      <c r="I6182" s="19">
        <f>+I6178-I6179-I6180-I6181</f>
        <v>120055</v>
      </c>
      <c r="J6182" s="3" t="str">
        <f t="shared" si="444"/>
        <v>8500000</v>
      </c>
    </row>
    <row r="6183" spans="1:10" ht="15.75">
      <c r="B6183" s="3" t="s">
        <v>2186</v>
      </c>
      <c r="D6183" t="s">
        <v>2186</v>
      </c>
      <c r="E6183">
        <v>0</v>
      </c>
      <c r="G6183"/>
      <c r="H6183"/>
      <c r="I6183"/>
      <c r="J6183" s="3" t="str">
        <f t="shared" si="444"/>
        <v/>
      </c>
    </row>
    <row r="6184" spans="1:10" s="3" customFormat="1">
      <c r="C6184" s="41"/>
      <c r="D6184" s="3" t="s">
        <v>2186</v>
      </c>
      <c r="E6184" s="2" t="s">
        <v>1766</v>
      </c>
      <c r="J6184" s="3" t="str">
        <f t="shared" si="444"/>
        <v/>
      </c>
    </row>
    <row r="6185" spans="1:10" s="3" customFormat="1" ht="45">
      <c r="B6185" s="3" t="s">
        <v>2186</v>
      </c>
      <c r="C6185" s="1"/>
      <c r="D6185" s="3" t="s">
        <v>2186</v>
      </c>
      <c r="E6185" s="1">
        <v>0</v>
      </c>
      <c r="F6185" s="6" t="s">
        <v>1</v>
      </c>
      <c r="G6185" s="60">
        <f>'Allocation Worksheet'!H6185</f>
        <v>0</v>
      </c>
      <c r="H6185" s="60">
        <f>'Allocation Worksheet'!H6186</f>
        <v>0</v>
      </c>
      <c r="I6185" s="60">
        <f>'Allocation Worksheet'!H6187</f>
        <v>0</v>
      </c>
      <c r="J6185" s="3" t="str">
        <f t="shared" si="444"/>
        <v/>
      </c>
    </row>
    <row r="6186" spans="1:10" s="3" customFormat="1">
      <c r="C6186" s="7" t="s">
        <v>2087</v>
      </c>
      <c r="D6186" s="3" t="s">
        <v>2186</v>
      </c>
      <c r="E6186" s="7" t="s">
        <v>3</v>
      </c>
      <c r="F6186" s="10"/>
      <c r="G6186" s="9">
        <f>'Allocation Worksheet'!$D$89</f>
        <v>57220</v>
      </c>
      <c r="H6186" s="11"/>
      <c r="I6186" s="11"/>
      <c r="J6186" s="3" t="str">
        <f t="shared" si="444"/>
        <v>UT</v>
      </c>
    </row>
    <row r="6187" spans="1:10" s="3" customFormat="1">
      <c r="B6187" s="3" t="s">
        <v>2170</v>
      </c>
      <c r="C6187" s="8">
        <v>0</v>
      </c>
      <c r="D6187" s="3" t="s">
        <v>2187</v>
      </c>
      <c r="E6187" s="11" t="s">
        <v>4</v>
      </c>
      <c r="F6187" s="10">
        <v>1.3699999999999999E-3</v>
      </c>
      <c r="G6187" s="12">
        <f>ROUND(G$3*F6187,0)</f>
        <v>394</v>
      </c>
      <c r="H6187" s="13">
        <f>ROUND(G6187/2,0)</f>
        <v>197</v>
      </c>
      <c r="I6187" s="12">
        <f>G6187-H6187</f>
        <v>197</v>
      </c>
      <c r="J6187" s="3" t="str">
        <f t="shared" si="444"/>
        <v>8600000</v>
      </c>
    </row>
    <row r="6188" spans="1:10" s="3" customFormat="1">
      <c r="B6188" s="3" t="s">
        <v>2170</v>
      </c>
      <c r="C6188" s="8">
        <v>1</v>
      </c>
      <c r="D6188" s="3" t="s">
        <v>2187</v>
      </c>
      <c r="E6188" s="11" t="s">
        <v>1767</v>
      </c>
      <c r="F6188" s="10">
        <v>0.313029</v>
      </c>
      <c r="G6188" s="9">
        <f>ROUND(G$3*F6188,0)</f>
        <v>90066</v>
      </c>
      <c r="H6188" s="11">
        <f>ROUND(G6188/2,0)</f>
        <v>45033</v>
      </c>
      <c r="I6188" s="9">
        <f>G6188-H6188</f>
        <v>45033</v>
      </c>
      <c r="J6188" s="3" t="str">
        <f t="shared" si="444"/>
        <v>8610000</v>
      </c>
    </row>
    <row r="6189" spans="1:10" s="3" customFormat="1">
      <c r="B6189" s="3" t="s">
        <v>2170</v>
      </c>
      <c r="C6189" s="8">
        <v>1</v>
      </c>
      <c r="D6189" s="3" t="s">
        <v>2187</v>
      </c>
      <c r="E6189" s="11" t="s">
        <v>6</v>
      </c>
      <c r="F6189" s="11"/>
      <c r="G6189" s="14">
        <v>9.2796000000000003E-2</v>
      </c>
      <c r="H6189" s="11"/>
      <c r="I6189" s="11"/>
      <c r="J6189" s="3" t="str">
        <f t="shared" si="444"/>
        <v>8610000</v>
      </c>
    </row>
    <row r="6190" spans="1:10" s="3" customFormat="1">
      <c r="B6190" s="3" t="s">
        <v>2170</v>
      </c>
      <c r="C6190" s="8">
        <v>1</v>
      </c>
      <c r="D6190" s="3" t="s">
        <v>2187</v>
      </c>
      <c r="E6190" s="11" t="s">
        <v>7</v>
      </c>
      <c r="F6190" s="11"/>
      <c r="G6190" s="15">
        <f>ROUND(G6188*G6189,0)</f>
        <v>8358</v>
      </c>
      <c r="H6190" s="16">
        <f>ROUND(G6190/2,0)</f>
        <v>4179</v>
      </c>
      <c r="I6190" s="15">
        <f>G6190-H6190</f>
        <v>4179</v>
      </c>
      <c r="J6190" s="3" t="str">
        <f t="shared" si="444"/>
        <v>8610000</v>
      </c>
    </row>
    <row r="6191" spans="1:10" s="3" customFormat="1">
      <c r="B6191" s="3" t="s">
        <v>2170</v>
      </c>
      <c r="C6191" s="8">
        <v>1</v>
      </c>
      <c r="D6191" s="3" t="s">
        <v>2187</v>
      </c>
      <c r="E6191" s="11" t="s">
        <v>8</v>
      </c>
      <c r="F6191" s="11"/>
      <c r="G6191" s="12">
        <f>+G6188-G6190</f>
        <v>81708</v>
      </c>
      <c r="H6191" s="13">
        <f>ROUND(G6191/2,0)</f>
        <v>40854</v>
      </c>
      <c r="I6191" s="12">
        <f>G6191-H6191</f>
        <v>40854</v>
      </c>
      <c r="J6191" s="3" t="str">
        <f t="shared" si="444"/>
        <v>8610000</v>
      </c>
    </row>
    <row r="6192" spans="1:10" s="3" customFormat="1">
      <c r="B6192" s="3" t="s">
        <v>2170</v>
      </c>
      <c r="C6192" s="8">
        <v>2</v>
      </c>
      <c r="D6192" s="3" t="s">
        <v>2188</v>
      </c>
      <c r="E6192" s="11" t="s">
        <v>46</v>
      </c>
      <c r="F6192" s="11"/>
      <c r="G6192" s="9"/>
      <c r="H6192" s="11"/>
      <c r="I6192" s="11"/>
      <c r="J6192" s="3" t="str">
        <f t="shared" si="444"/>
        <v>8620001</v>
      </c>
    </row>
    <row r="6193" spans="2:10" s="3" customFormat="1">
      <c r="B6193" s="3" t="s">
        <v>2170</v>
      </c>
      <c r="C6193" s="8">
        <v>2</v>
      </c>
      <c r="D6193" s="3" t="s">
        <v>2188</v>
      </c>
      <c r="E6193" s="11" t="s">
        <v>10</v>
      </c>
      <c r="F6193" s="10">
        <v>1.768E-3</v>
      </c>
      <c r="G6193" s="12">
        <f>ROUND(G$3*F6193,0)</f>
        <v>509</v>
      </c>
      <c r="H6193" s="13">
        <f>ROUND(G6193/2,0)</f>
        <v>255</v>
      </c>
      <c r="I6193" s="12">
        <f>G6193-H6193</f>
        <v>254</v>
      </c>
      <c r="J6193" s="3" t="str">
        <f t="shared" si="444"/>
        <v>8620001</v>
      </c>
    </row>
    <row r="6194" spans="2:10" s="3" customFormat="1">
      <c r="B6194" s="3" t="s">
        <v>2170</v>
      </c>
      <c r="C6194" s="8">
        <v>2</v>
      </c>
      <c r="D6194" s="3" t="s">
        <v>2188</v>
      </c>
      <c r="E6194" s="11" t="s">
        <v>11</v>
      </c>
      <c r="F6194" s="10">
        <v>3.5E-4</v>
      </c>
      <c r="G6194" s="12">
        <f>ROUND(G$3*F6194,0)</f>
        <v>101</v>
      </c>
      <c r="H6194" s="13">
        <f>ROUND(G6194/2,0)</f>
        <v>51</v>
      </c>
      <c r="I6194" s="12">
        <f>G6194-H6194</f>
        <v>50</v>
      </c>
      <c r="J6194" s="3" t="str">
        <f t="shared" si="444"/>
        <v>8620001</v>
      </c>
    </row>
    <row r="6195" spans="2:10" s="3" customFormat="1">
      <c r="B6195" s="3" t="s">
        <v>2170</v>
      </c>
      <c r="C6195" s="8">
        <v>2</v>
      </c>
      <c r="D6195" s="3" t="s">
        <v>2189</v>
      </c>
      <c r="E6195" s="11" t="s">
        <v>835</v>
      </c>
      <c r="F6195" s="11"/>
      <c r="G6195" s="9"/>
      <c r="H6195" s="11"/>
      <c r="I6195" s="11"/>
      <c r="J6195" s="3" t="str">
        <f t="shared" si="444"/>
        <v>8620002</v>
      </c>
    </row>
    <row r="6196" spans="2:10" s="3" customFormat="1">
      <c r="B6196" s="3" t="s">
        <v>2170</v>
      </c>
      <c r="C6196" s="8">
        <v>2</v>
      </c>
      <c r="D6196" s="3" t="s">
        <v>2189</v>
      </c>
      <c r="E6196" s="11" t="s">
        <v>10</v>
      </c>
      <c r="F6196" s="10">
        <v>8.4400000000000002E-4</v>
      </c>
      <c r="G6196" s="12">
        <f>ROUND(G$3*F6196,0)</f>
        <v>243</v>
      </c>
      <c r="H6196" s="13">
        <f>ROUND(G6196/2,0)</f>
        <v>122</v>
      </c>
      <c r="I6196" s="12">
        <f>G6196-H6196</f>
        <v>121</v>
      </c>
      <c r="J6196" s="3" t="str">
        <f t="shared" si="444"/>
        <v>8620002</v>
      </c>
    </row>
    <row r="6197" spans="2:10" s="3" customFormat="1">
      <c r="B6197" s="3" t="s">
        <v>2170</v>
      </c>
      <c r="C6197" s="8">
        <v>2</v>
      </c>
      <c r="D6197" s="3" t="s">
        <v>2189</v>
      </c>
      <c r="E6197" s="11" t="s">
        <v>11</v>
      </c>
      <c r="F6197" s="10">
        <v>3.5E-4</v>
      </c>
      <c r="G6197" s="12">
        <f>ROUND(G$3*F6197,0)</f>
        <v>101</v>
      </c>
      <c r="H6197" s="13">
        <f>ROUND(G6197/2,0)</f>
        <v>51</v>
      </c>
      <c r="I6197" s="12">
        <f>G6197-H6197</f>
        <v>50</v>
      </c>
      <c r="J6197" s="3" t="str">
        <f t="shared" si="444"/>
        <v>8620002</v>
      </c>
    </row>
    <row r="6198" spans="2:10" s="3" customFormat="1">
      <c r="B6198" s="3" t="s">
        <v>2170</v>
      </c>
      <c r="C6198" s="8">
        <v>2</v>
      </c>
      <c r="D6198" s="3" t="s">
        <v>2190</v>
      </c>
      <c r="E6198" s="11" t="s">
        <v>1768</v>
      </c>
      <c r="F6198" s="11"/>
      <c r="G6198" s="9"/>
      <c r="H6198" s="11"/>
      <c r="I6198" s="11"/>
      <c r="J6198" s="3" t="str">
        <f t="shared" si="444"/>
        <v>8620003</v>
      </c>
    </row>
    <row r="6199" spans="2:10" s="3" customFormat="1">
      <c r="B6199" s="3" t="s">
        <v>2170</v>
      </c>
      <c r="C6199" s="8">
        <v>2</v>
      </c>
      <c r="D6199" s="3" t="s">
        <v>2190</v>
      </c>
      <c r="E6199" s="11" t="s">
        <v>10</v>
      </c>
      <c r="F6199" s="10">
        <v>3.5999999999999999E-3</v>
      </c>
      <c r="G6199" s="12">
        <f>ROUND(G$3*F6199,0)</f>
        <v>1036</v>
      </c>
      <c r="H6199" s="13">
        <f>ROUND(G6199/2,0)</f>
        <v>518</v>
      </c>
      <c r="I6199" s="12">
        <f>G6199-H6199</f>
        <v>518</v>
      </c>
      <c r="J6199" s="3" t="str">
        <f t="shared" si="444"/>
        <v>8620003</v>
      </c>
    </row>
    <row r="6200" spans="2:10" s="3" customFormat="1">
      <c r="B6200" s="3" t="s">
        <v>2170</v>
      </c>
      <c r="C6200" s="8">
        <v>2</v>
      </c>
      <c r="D6200" s="3" t="s">
        <v>2190</v>
      </c>
      <c r="E6200" s="11" t="s">
        <v>11</v>
      </c>
      <c r="F6200" s="10">
        <v>2.0869999999999999E-3</v>
      </c>
      <c r="G6200" s="12">
        <f>ROUND(G$3*F6200,0)</f>
        <v>600</v>
      </c>
      <c r="H6200" s="13">
        <f>ROUND(G6200/2,0)</f>
        <v>300</v>
      </c>
      <c r="I6200" s="12">
        <f>G6200-H6200</f>
        <v>300</v>
      </c>
      <c r="J6200" s="3" t="str">
        <f t="shared" si="444"/>
        <v>8620003</v>
      </c>
    </row>
    <row r="6201" spans="2:10" s="3" customFormat="1">
      <c r="B6201" s="3" t="s">
        <v>2170</v>
      </c>
      <c r="C6201" s="8">
        <v>2</v>
      </c>
      <c r="D6201" s="3" t="s">
        <v>2191</v>
      </c>
      <c r="E6201" s="11" t="s">
        <v>181</v>
      </c>
      <c r="F6201" s="11"/>
      <c r="G6201" s="9"/>
      <c r="H6201" s="11"/>
      <c r="I6201" s="11"/>
      <c r="J6201" s="3" t="str">
        <f t="shared" si="444"/>
        <v>8620004</v>
      </c>
    </row>
    <row r="6202" spans="2:10" s="3" customFormat="1">
      <c r="B6202" s="3" t="s">
        <v>2170</v>
      </c>
      <c r="C6202" s="8">
        <v>2</v>
      </c>
      <c r="D6202" s="3" t="s">
        <v>2191</v>
      </c>
      <c r="E6202" s="11" t="s">
        <v>10</v>
      </c>
      <c r="F6202" s="10">
        <v>6.2760000000000003E-3</v>
      </c>
      <c r="G6202" s="12">
        <f>ROUND(G$3*F6202,0)</f>
        <v>1806</v>
      </c>
      <c r="H6202" s="13">
        <f>ROUND(G6202/2,0)</f>
        <v>903</v>
      </c>
      <c r="I6202" s="12">
        <f>G6202-H6202</f>
        <v>903</v>
      </c>
      <c r="J6202" s="3" t="str">
        <f t="shared" si="444"/>
        <v>8620004</v>
      </c>
    </row>
    <row r="6203" spans="2:10" s="3" customFormat="1">
      <c r="B6203" s="3" t="s">
        <v>2170</v>
      </c>
      <c r="C6203" s="8">
        <v>2</v>
      </c>
      <c r="D6203" s="3" t="s">
        <v>2191</v>
      </c>
      <c r="E6203" s="11" t="s">
        <v>11</v>
      </c>
      <c r="F6203" s="10">
        <v>1.3060000000000001E-3</v>
      </c>
      <c r="G6203" s="12">
        <f>ROUND(G$3*F6203,0)</f>
        <v>376</v>
      </c>
      <c r="H6203" s="13">
        <f>ROUND(G6203/2,0)</f>
        <v>188</v>
      </c>
      <c r="I6203" s="12">
        <f>G6203-H6203</f>
        <v>188</v>
      </c>
      <c r="J6203" s="3" t="str">
        <f t="shared" si="444"/>
        <v>8620004</v>
      </c>
    </row>
    <row r="6204" spans="2:10" s="3" customFormat="1">
      <c r="B6204" s="3" t="s">
        <v>2170</v>
      </c>
      <c r="C6204" s="8">
        <v>2</v>
      </c>
      <c r="D6204" s="3" t="s">
        <v>2192</v>
      </c>
      <c r="E6204" s="11" t="s">
        <v>1769</v>
      </c>
      <c r="F6204" s="11"/>
      <c r="G6204" s="9"/>
      <c r="H6204" s="11"/>
      <c r="I6204" s="11"/>
      <c r="J6204" s="3" t="str">
        <f t="shared" si="444"/>
        <v>8620005</v>
      </c>
    </row>
    <row r="6205" spans="2:10" s="3" customFormat="1">
      <c r="B6205" s="3" t="s">
        <v>2170</v>
      </c>
      <c r="C6205" s="8">
        <v>2</v>
      </c>
      <c r="D6205" s="3" t="s">
        <v>2192</v>
      </c>
      <c r="E6205" s="11" t="s">
        <v>10</v>
      </c>
      <c r="F6205" s="10">
        <v>2.405E-3</v>
      </c>
      <c r="G6205" s="12">
        <f>ROUND(G$3*F6205,0)</f>
        <v>692</v>
      </c>
      <c r="H6205" s="13">
        <f>ROUND(G6205/2,0)</f>
        <v>346</v>
      </c>
      <c r="I6205" s="12">
        <f>G6205-H6205</f>
        <v>346</v>
      </c>
      <c r="J6205" s="3" t="str">
        <f t="shared" si="444"/>
        <v>8620005</v>
      </c>
    </row>
    <row r="6206" spans="2:10" s="3" customFormat="1">
      <c r="B6206" s="3" t="s">
        <v>2170</v>
      </c>
      <c r="C6206" s="8">
        <v>2</v>
      </c>
      <c r="D6206" s="3" t="s">
        <v>2192</v>
      </c>
      <c r="E6206" s="11" t="s">
        <v>11</v>
      </c>
      <c r="F6206" s="10">
        <v>7.3300000000000004E-4</v>
      </c>
      <c r="G6206" s="12">
        <f>ROUND(G$3*F6206,0)</f>
        <v>211</v>
      </c>
      <c r="H6206" s="13">
        <f>ROUND(G6206/2,0)</f>
        <v>106</v>
      </c>
      <c r="I6206" s="12">
        <f>G6206-H6206</f>
        <v>105</v>
      </c>
      <c r="J6206" s="3" t="str">
        <f t="shared" si="444"/>
        <v>8620005</v>
      </c>
    </row>
    <row r="6207" spans="2:10" s="3" customFormat="1">
      <c r="B6207" s="3" t="s">
        <v>2170</v>
      </c>
      <c r="C6207" s="8">
        <v>2</v>
      </c>
      <c r="D6207" s="3" t="s">
        <v>2193</v>
      </c>
      <c r="E6207" s="11" t="s">
        <v>1770</v>
      </c>
      <c r="F6207" s="11"/>
      <c r="G6207" s="9"/>
      <c r="H6207" s="11"/>
      <c r="I6207" s="11"/>
      <c r="J6207" s="3" t="str">
        <f t="shared" si="444"/>
        <v>8620006</v>
      </c>
    </row>
    <row r="6208" spans="2:10" s="3" customFormat="1">
      <c r="B6208" s="3" t="s">
        <v>2170</v>
      </c>
      <c r="C6208" s="8">
        <v>2</v>
      </c>
      <c r="D6208" s="3" t="s">
        <v>2193</v>
      </c>
      <c r="E6208" s="11" t="s">
        <v>10</v>
      </c>
      <c r="F6208" s="10">
        <v>1.529E-3</v>
      </c>
      <c r="G6208" s="12">
        <f>ROUND(G$3*F6208,0)</f>
        <v>440</v>
      </c>
      <c r="H6208" s="13">
        <f>ROUND(G6208/2,0)</f>
        <v>220</v>
      </c>
      <c r="I6208" s="12">
        <f>G6208-H6208</f>
        <v>220</v>
      </c>
      <c r="J6208" s="3" t="str">
        <f t="shared" si="444"/>
        <v>8620006</v>
      </c>
    </row>
    <row r="6209" spans="2:10" s="3" customFormat="1">
      <c r="B6209" s="3" t="s">
        <v>2170</v>
      </c>
      <c r="C6209" s="8">
        <v>2</v>
      </c>
      <c r="D6209" s="3" t="s">
        <v>2193</v>
      </c>
      <c r="E6209" s="11" t="s">
        <v>11</v>
      </c>
      <c r="F6209" s="10">
        <v>9.0799999999999995E-4</v>
      </c>
      <c r="G6209" s="12">
        <f>ROUND(G$3*F6209,0)</f>
        <v>261</v>
      </c>
      <c r="H6209" s="13">
        <f>ROUND(G6209/2,0)</f>
        <v>131</v>
      </c>
      <c r="I6209" s="12">
        <f>G6209-H6209</f>
        <v>130</v>
      </c>
      <c r="J6209" s="3" t="str">
        <f t="shared" si="444"/>
        <v>8620006</v>
      </c>
    </row>
    <row r="6210" spans="2:10" s="3" customFormat="1">
      <c r="B6210" s="3" t="s">
        <v>2170</v>
      </c>
      <c r="C6210" s="8">
        <v>2</v>
      </c>
      <c r="D6210" s="3" t="s">
        <v>2194</v>
      </c>
      <c r="E6210" s="11" t="s">
        <v>858</v>
      </c>
      <c r="F6210" s="11"/>
      <c r="G6210" s="9"/>
      <c r="H6210" s="11"/>
      <c r="I6210" s="11"/>
      <c r="J6210" s="3" t="str">
        <f t="shared" si="444"/>
        <v>8620007</v>
      </c>
    </row>
    <row r="6211" spans="2:10" s="3" customFormat="1">
      <c r="B6211" s="3" t="s">
        <v>2170</v>
      </c>
      <c r="C6211" s="8">
        <v>2</v>
      </c>
      <c r="D6211" s="3" t="s">
        <v>2194</v>
      </c>
      <c r="E6211" s="11" t="s">
        <v>10</v>
      </c>
      <c r="F6211" s="10">
        <v>3.8200000000000002E-4</v>
      </c>
      <c r="G6211" s="12">
        <f>ROUND(G$3*F6211,0)</f>
        <v>110</v>
      </c>
      <c r="H6211" s="13">
        <f>ROUND(G6211/2,0)</f>
        <v>55</v>
      </c>
      <c r="I6211" s="12">
        <f>G6211-H6211</f>
        <v>55</v>
      </c>
      <c r="J6211" s="3" t="str">
        <f t="shared" si="444"/>
        <v>8620007</v>
      </c>
    </row>
    <row r="6212" spans="2:10" s="3" customFormat="1">
      <c r="B6212" s="3" t="s">
        <v>2170</v>
      </c>
      <c r="C6212" s="8">
        <v>2</v>
      </c>
      <c r="D6212" s="3" t="s">
        <v>2194</v>
      </c>
      <c r="E6212" s="11" t="s">
        <v>11</v>
      </c>
      <c r="F6212" s="10">
        <v>1.4300000000000001E-4</v>
      </c>
      <c r="G6212" s="12">
        <f>ROUND(G$3*F6212,0)</f>
        <v>41</v>
      </c>
      <c r="H6212" s="13">
        <f>ROUND(G6212/2,0)</f>
        <v>21</v>
      </c>
      <c r="I6212" s="12">
        <f>G6212-H6212</f>
        <v>20</v>
      </c>
      <c r="J6212" s="3" t="str">
        <f t="shared" ref="J6212:J6275" si="450">B6212&amp;C6212&amp;D6212</f>
        <v>8620007</v>
      </c>
    </row>
    <row r="6213" spans="2:10" s="3" customFormat="1">
      <c r="B6213" s="3" t="s">
        <v>2170</v>
      </c>
      <c r="C6213" s="8">
        <v>2</v>
      </c>
      <c r="D6213" s="3" t="s">
        <v>2195</v>
      </c>
      <c r="E6213" s="11" t="s">
        <v>113</v>
      </c>
      <c r="F6213" s="11"/>
      <c r="G6213" s="9"/>
      <c r="H6213" s="11"/>
      <c r="I6213" s="11"/>
      <c r="J6213" s="3" t="str">
        <f t="shared" si="450"/>
        <v>8620008</v>
      </c>
    </row>
    <row r="6214" spans="2:10" s="3" customFormat="1">
      <c r="B6214" s="3" t="s">
        <v>2170</v>
      </c>
      <c r="C6214" s="8">
        <v>2</v>
      </c>
      <c r="D6214" s="3" t="s">
        <v>2195</v>
      </c>
      <c r="E6214" s="11" t="s">
        <v>10</v>
      </c>
      <c r="F6214" s="10">
        <v>1.338E-3</v>
      </c>
      <c r="G6214" s="12">
        <f>ROUND(G$3*F6214,0)</f>
        <v>385</v>
      </c>
      <c r="H6214" s="13">
        <f>ROUND(G6214/2,0)</f>
        <v>193</v>
      </c>
      <c r="I6214" s="12">
        <f>G6214-H6214</f>
        <v>192</v>
      </c>
      <c r="J6214" s="3" t="str">
        <f t="shared" si="450"/>
        <v>8620008</v>
      </c>
    </row>
    <row r="6215" spans="2:10" s="3" customFormat="1">
      <c r="B6215" s="3" t="s">
        <v>2170</v>
      </c>
      <c r="C6215" s="8">
        <v>2</v>
      </c>
      <c r="D6215" s="3" t="s">
        <v>2195</v>
      </c>
      <c r="E6215" s="11" t="s">
        <v>11</v>
      </c>
      <c r="F6215" s="10">
        <v>4.1399999999999998E-4</v>
      </c>
      <c r="G6215" s="12">
        <f>ROUND(G$3*F6215,0)</f>
        <v>119</v>
      </c>
      <c r="H6215" s="13">
        <f>ROUND(G6215/2,0)</f>
        <v>60</v>
      </c>
      <c r="I6215" s="12">
        <f>G6215-H6215</f>
        <v>59</v>
      </c>
      <c r="J6215" s="3" t="str">
        <f t="shared" si="450"/>
        <v>8620008</v>
      </c>
    </row>
    <row r="6216" spans="2:10" s="3" customFormat="1">
      <c r="B6216" s="3" t="s">
        <v>2170</v>
      </c>
      <c r="C6216" s="8">
        <v>2</v>
      </c>
      <c r="D6216" s="3" t="s">
        <v>2196</v>
      </c>
      <c r="E6216" s="11" t="s">
        <v>744</v>
      </c>
      <c r="F6216" s="11"/>
      <c r="G6216" s="9"/>
      <c r="H6216" s="11"/>
      <c r="I6216" s="11"/>
      <c r="J6216" s="3" t="str">
        <f t="shared" si="450"/>
        <v>8620009</v>
      </c>
    </row>
    <row r="6217" spans="2:10" s="3" customFormat="1">
      <c r="B6217" s="3" t="s">
        <v>2170</v>
      </c>
      <c r="C6217" s="8">
        <v>2</v>
      </c>
      <c r="D6217" s="3" t="s">
        <v>2196</v>
      </c>
      <c r="E6217" s="11" t="s">
        <v>10</v>
      </c>
      <c r="F6217" s="10">
        <v>3.8200000000000002E-4</v>
      </c>
      <c r="G6217" s="12">
        <f>ROUND(G$3*F6217,0)</f>
        <v>110</v>
      </c>
      <c r="H6217" s="13">
        <f>ROUND(G6217/2,0)</f>
        <v>55</v>
      </c>
      <c r="I6217" s="12">
        <f>G6217-H6217</f>
        <v>55</v>
      </c>
      <c r="J6217" s="3" t="str">
        <f t="shared" si="450"/>
        <v>8620009</v>
      </c>
    </row>
    <row r="6218" spans="2:10" s="3" customFormat="1">
      <c r="B6218" s="3" t="s">
        <v>2170</v>
      </c>
      <c r="C6218" s="8">
        <v>2</v>
      </c>
      <c r="D6218" s="3" t="s">
        <v>2196</v>
      </c>
      <c r="E6218" s="11" t="s">
        <v>11</v>
      </c>
      <c r="F6218" s="10">
        <v>2.8699999999999998E-4</v>
      </c>
      <c r="G6218" s="12">
        <f>ROUND(G$3*F6218,0)</f>
        <v>83</v>
      </c>
      <c r="H6218" s="13">
        <f>ROUND(G6218/2,0)</f>
        <v>42</v>
      </c>
      <c r="I6218" s="12">
        <f>G6218-H6218</f>
        <v>41</v>
      </c>
      <c r="J6218" s="3" t="str">
        <f t="shared" si="450"/>
        <v>8620009</v>
      </c>
    </row>
    <row r="6219" spans="2:10" s="3" customFormat="1">
      <c r="B6219" s="3" t="s">
        <v>2170</v>
      </c>
      <c r="C6219" s="8">
        <v>2</v>
      </c>
      <c r="D6219" s="3" t="s">
        <v>2197</v>
      </c>
      <c r="E6219" s="11" t="s">
        <v>1626</v>
      </c>
      <c r="F6219" s="11"/>
      <c r="G6219" s="9"/>
      <c r="H6219" s="11"/>
      <c r="I6219" s="11"/>
      <c r="J6219" s="3" t="str">
        <f t="shared" si="450"/>
        <v>8620010</v>
      </c>
    </row>
    <row r="6220" spans="2:10" s="3" customFormat="1">
      <c r="B6220" s="3" t="s">
        <v>2170</v>
      </c>
      <c r="C6220" s="8">
        <v>2</v>
      </c>
      <c r="D6220" s="3" t="s">
        <v>2197</v>
      </c>
      <c r="E6220" s="11" t="s">
        <v>10</v>
      </c>
      <c r="F6220" s="10">
        <v>6.0499999999999996E-4</v>
      </c>
      <c r="G6220" s="12">
        <f>ROUND(G$3*F6220,0)</f>
        <v>174</v>
      </c>
      <c r="H6220" s="13">
        <f>ROUND(G6220/2,0)</f>
        <v>87</v>
      </c>
      <c r="I6220" s="12">
        <f>G6220-H6220</f>
        <v>87</v>
      </c>
      <c r="J6220" s="3" t="str">
        <f t="shared" si="450"/>
        <v>8620010</v>
      </c>
    </row>
    <row r="6221" spans="2:10" s="3" customFormat="1">
      <c r="B6221" s="3" t="s">
        <v>2170</v>
      </c>
      <c r="C6221" s="8">
        <v>2</v>
      </c>
      <c r="D6221" s="3" t="s">
        <v>2197</v>
      </c>
      <c r="E6221" s="11" t="s">
        <v>11</v>
      </c>
      <c r="F6221" s="10">
        <v>3.0299999999999999E-4</v>
      </c>
      <c r="G6221" s="12">
        <f>ROUND(G$3*F6221,0)</f>
        <v>87</v>
      </c>
      <c r="H6221" s="13">
        <f>ROUND(G6221/2,0)</f>
        <v>44</v>
      </c>
      <c r="I6221" s="12">
        <f>G6221-H6221</f>
        <v>43</v>
      </c>
      <c r="J6221" s="3" t="str">
        <f t="shared" si="450"/>
        <v>8620010</v>
      </c>
    </row>
    <row r="6222" spans="2:10" s="3" customFormat="1">
      <c r="B6222" s="3" t="s">
        <v>2170</v>
      </c>
      <c r="C6222" s="8">
        <v>2</v>
      </c>
      <c r="D6222" s="3" t="s">
        <v>2198</v>
      </c>
      <c r="E6222" s="11" t="s">
        <v>272</v>
      </c>
      <c r="F6222" s="11"/>
      <c r="G6222" s="9"/>
      <c r="H6222" s="11"/>
      <c r="I6222" s="11"/>
      <c r="J6222" s="3" t="str">
        <f t="shared" si="450"/>
        <v>8620011</v>
      </c>
    </row>
    <row r="6223" spans="2:10" s="3" customFormat="1">
      <c r="B6223" s="3" t="s">
        <v>2170</v>
      </c>
      <c r="C6223" s="8">
        <v>2</v>
      </c>
      <c r="D6223" s="3" t="s">
        <v>2198</v>
      </c>
      <c r="E6223" s="11" t="s">
        <v>10</v>
      </c>
      <c r="F6223" s="10">
        <v>4.6200000000000001E-4</v>
      </c>
      <c r="G6223" s="12">
        <f>ROUND(G$3*F6223,0)</f>
        <v>133</v>
      </c>
      <c r="H6223" s="13">
        <f>ROUND(G6223/2,0)</f>
        <v>67</v>
      </c>
      <c r="I6223" s="12">
        <f>G6223-H6223</f>
        <v>66</v>
      </c>
      <c r="J6223" s="3" t="str">
        <f t="shared" si="450"/>
        <v>8620011</v>
      </c>
    </row>
    <row r="6224" spans="2:10" s="3" customFormat="1">
      <c r="B6224" s="3" t="s">
        <v>2170</v>
      </c>
      <c r="C6224" s="8">
        <v>2</v>
      </c>
      <c r="D6224" s="3" t="s">
        <v>2198</v>
      </c>
      <c r="E6224" s="11" t="s">
        <v>11</v>
      </c>
      <c r="F6224" s="10">
        <v>2.8699999999999998E-4</v>
      </c>
      <c r="G6224" s="12">
        <f>ROUND(G$3*F6224,0)</f>
        <v>83</v>
      </c>
      <c r="H6224" s="13">
        <f>ROUND(G6224/2,0)</f>
        <v>42</v>
      </c>
      <c r="I6224" s="12">
        <f>G6224-H6224</f>
        <v>41</v>
      </c>
      <c r="J6224" s="3" t="str">
        <f t="shared" si="450"/>
        <v>8620011</v>
      </c>
    </row>
    <row r="6225" spans="1:10" s="3" customFormat="1">
      <c r="B6225" s="3" t="s">
        <v>2170</v>
      </c>
      <c r="C6225" s="8">
        <v>2</v>
      </c>
      <c r="D6225" s="3" t="s">
        <v>2199</v>
      </c>
      <c r="E6225" s="11" t="s">
        <v>22</v>
      </c>
      <c r="F6225" s="11"/>
      <c r="G6225" s="9"/>
      <c r="H6225" s="11"/>
      <c r="I6225" s="11"/>
      <c r="J6225" s="3" t="str">
        <f t="shared" si="450"/>
        <v>8620012</v>
      </c>
    </row>
    <row r="6226" spans="1:10" s="3" customFormat="1">
      <c r="B6226" s="3" t="s">
        <v>2170</v>
      </c>
      <c r="C6226" s="8">
        <v>2</v>
      </c>
      <c r="D6226" s="3" t="s">
        <v>2199</v>
      </c>
      <c r="E6226" s="11" t="s">
        <v>10</v>
      </c>
      <c r="F6226" s="10">
        <v>1.27E-4</v>
      </c>
      <c r="G6226" s="12">
        <f t="shared" ref="G6226:G6232" si="451">ROUND(G$3*F6226,0)</f>
        <v>37</v>
      </c>
      <c r="H6226" s="13">
        <f t="shared" ref="H6226:H6232" si="452">ROUND(G6226/2,0)</f>
        <v>19</v>
      </c>
      <c r="I6226" s="12">
        <f t="shared" ref="I6226:I6232" si="453">G6226-H6226</f>
        <v>18</v>
      </c>
      <c r="J6226" s="3" t="str">
        <f t="shared" si="450"/>
        <v>8620012</v>
      </c>
    </row>
    <row r="6227" spans="1:10" s="3" customFormat="1">
      <c r="A6227" s="3" t="s">
        <v>6269</v>
      </c>
      <c r="B6227" s="3" t="s">
        <v>2170</v>
      </c>
      <c r="C6227" s="8">
        <v>2</v>
      </c>
      <c r="D6227" s="3" t="s">
        <v>2199</v>
      </c>
      <c r="E6227" s="11" t="s">
        <v>11</v>
      </c>
      <c r="F6227" s="10">
        <v>0</v>
      </c>
      <c r="G6227" s="12">
        <f t="shared" si="451"/>
        <v>0</v>
      </c>
      <c r="H6227" s="13">
        <f t="shared" si="452"/>
        <v>0</v>
      </c>
      <c r="I6227" s="12">
        <f t="shared" si="453"/>
        <v>0</v>
      </c>
      <c r="J6227" s="3" t="str">
        <f t="shared" si="450"/>
        <v>8620012</v>
      </c>
    </row>
    <row r="6228" spans="1:10" s="3" customFormat="1">
      <c r="A6228" s="3" t="s">
        <v>6269</v>
      </c>
      <c r="B6228" s="3" t="s">
        <v>2170</v>
      </c>
      <c r="C6228" s="8">
        <v>3</v>
      </c>
      <c r="D6228" s="3" t="s">
        <v>3076</v>
      </c>
      <c r="E6228" s="11" t="s">
        <v>1771</v>
      </c>
      <c r="F6228" s="10">
        <v>0</v>
      </c>
      <c r="G6228" s="12">
        <f t="shared" si="451"/>
        <v>0</v>
      </c>
      <c r="H6228" s="13">
        <f t="shared" si="452"/>
        <v>0</v>
      </c>
      <c r="I6228" s="12">
        <f t="shared" si="453"/>
        <v>0</v>
      </c>
      <c r="J6228" s="3" t="str">
        <f t="shared" si="450"/>
        <v>8630909</v>
      </c>
    </row>
    <row r="6229" spans="1:10" s="3" customFormat="1">
      <c r="B6229" s="3" t="s">
        <v>2170</v>
      </c>
      <c r="C6229" s="8">
        <v>3</v>
      </c>
      <c r="D6229" s="116" t="s">
        <v>3077</v>
      </c>
      <c r="E6229" s="11" t="s">
        <v>1772</v>
      </c>
      <c r="F6229" s="10">
        <v>2.8699999999999998E-4</v>
      </c>
      <c r="G6229" s="12">
        <f t="shared" si="451"/>
        <v>83</v>
      </c>
      <c r="H6229" s="13">
        <f t="shared" si="452"/>
        <v>42</v>
      </c>
      <c r="I6229" s="12">
        <f t="shared" si="453"/>
        <v>41</v>
      </c>
      <c r="J6229" s="3" t="str">
        <f t="shared" si="450"/>
        <v>8630910</v>
      </c>
    </row>
    <row r="6230" spans="1:10" s="3" customFormat="1">
      <c r="B6230" s="3" t="s">
        <v>2170</v>
      </c>
      <c r="C6230" s="8">
        <v>3</v>
      </c>
      <c r="D6230" s="3" t="s">
        <v>3078</v>
      </c>
      <c r="E6230" s="11" t="s">
        <v>1773</v>
      </c>
      <c r="F6230" s="10">
        <v>1.0349999999999999E-3</v>
      </c>
      <c r="G6230" s="12">
        <f t="shared" si="451"/>
        <v>298</v>
      </c>
      <c r="H6230" s="13">
        <f t="shared" si="452"/>
        <v>149</v>
      </c>
      <c r="I6230" s="12">
        <f t="shared" si="453"/>
        <v>149</v>
      </c>
      <c r="J6230" s="3" t="str">
        <f t="shared" si="450"/>
        <v>8630911</v>
      </c>
    </row>
    <row r="6231" spans="1:10" s="3" customFormat="1">
      <c r="B6231" s="3" t="s">
        <v>2170</v>
      </c>
      <c r="C6231" s="8">
        <v>3</v>
      </c>
      <c r="D6231" s="3" t="s">
        <v>3079</v>
      </c>
      <c r="E6231" s="11" t="s">
        <v>1774</v>
      </c>
      <c r="F6231" s="10">
        <v>2.31E-3</v>
      </c>
      <c r="G6231" s="12">
        <f t="shared" si="451"/>
        <v>665</v>
      </c>
      <c r="H6231" s="13">
        <f t="shared" si="452"/>
        <v>333</v>
      </c>
      <c r="I6231" s="12">
        <f t="shared" si="453"/>
        <v>332</v>
      </c>
      <c r="J6231" s="3" t="str">
        <f t="shared" si="450"/>
        <v>8630912</v>
      </c>
    </row>
    <row r="6232" spans="1:10" s="3" customFormat="1">
      <c r="B6232" s="3" t="s">
        <v>2170</v>
      </c>
      <c r="C6232" s="8">
        <v>4</v>
      </c>
      <c r="D6232" s="3" t="s">
        <v>2246</v>
      </c>
      <c r="E6232" s="11" t="s">
        <v>122</v>
      </c>
      <c r="F6232" s="10">
        <v>0.10784199999999999</v>
      </c>
      <c r="G6232" s="9">
        <f t="shared" si="451"/>
        <v>31029</v>
      </c>
      <c r="H6232" s="11">
        <f t="shared" si="452"/>
        <v>15515</v>
      </c>
      <c r="I6232" s="9">
        <f t="shared" si="453"/>
        <v>15514</v>
      </c>
      <c r="J6232" s="3" t="str">
        <f t="shared" si="450"/>
        <v>8640395</v>
      </c>
    </row>
    <row r="6233" spans="1:10" s="3" customFormat="1">
      <c r="B6233" s="3" t="s">
        <v>2170</v>
      </c>
      <c r="C6233" s="8">
        <v>4</v>
      </c>
      <c r="D6233" s="3" t="s">
        <v>2246</v>
      </c>
      <c r="E6233" s="11" t="s">
        <v>28</v>
      </c>
      <c r="F6233" s="11"/>
      <c r="G6233" s="14">
        <v>0.45683600000000002</v>
      </c>
      <c r="H6233" s="11"/>
      <c r="I6233" s="11"/>
      <c r="J6233" s="3" t="str">
        <f t="shared" si="450"/>
        <v>8640395</v>
      </c>
    </row>
    <row r="6234" spans="1:10" s="3" customFormat="1">
      <c r="B6234" s="3" t="s">
        <v>2170</v>
      </c>
      <c r="C6234" s="8">
        <v>4</v>
      </c>
      <c r="D6234" s="3" t="s">
        <v>2246</v>
      </c>
      <c r="E6234" s="11" t="s">
        <v>29</v>
      </c>
      <c r="F6234" s="11"/>
      <c r="G6234" s="15">
        <f>ROUND(G6232*G6233,0)</f>
        <v>14175</v>
      </c>
      <c r="H6234" s="16">
        <f>ROUND(G6234/2,0)</f>
        <v>7088</v>
      </c>
      <c r="I6234" s="15">
        <f>G6234-H6234</f>
        <v>7087</v>
      </c>
      <c r="J6234" s="3" t="str">
        <f t="shared" si="450"/>
        <v>8640395</v>
      </c>
    </row>
    <row r="6235" spans="1:10" s="3" customFormat="1">
      <c r="B6235" s="3" t="s">
        <v>2170</v>
      </c>
      <c r="C6235" s="8">
        <v>4</v>
      </c>
      <c r="D6235" s="3" t="s">
        <v>2246</v>
      </c>
      <c r="E6235" s="11" t="s">
        <v>30</v>
      </c>
      <c r="F6235" s="11"/>
      <c r="G6235" s="12">
        <f>+G6232-G6234</f>
        <v>16854</v>
      </c>
      <c r="H6235" s="13">
        <f>ROUND(G6235/2,0)</f>
        <v>8427</v>
      </c>
      <c r="I6235" s="12">
        <f>G6235-H6235</f>
        <v>8427</v>
      </c>
      <c r="J6235" s="3" t="str">
        <f t="shared" si="450"/>
        <v>8640395</v>
      </c>
    </row>
    <row r="6236" spans="1:10" s="3" customFormat="1">
      <c r="B6236" s="3" t="s">
        <v>2170</v>
      </c>
      <c r="C6236" s="8">
        <v>4</v>
      </c>
      <c r="D6236" s="3" t="s">
        <v>2439</v>
      </c>
      <c r="E6236" s="11" t="s">
        <v>517</v>
      </c>
      <c r="F6236" s="10">
        <v>6.4577999999999997E-2</v>
      </c>
      <c r="G6236" s="9">
        <f>ROUND(G$3*F6236,0)</f>
        <v>18581</v>
      </c>
      <c r="H6236" s="11">
        <f>ROUND(G6236/2,0)</f>
        <v>9291</v>
      </c>
      <c r="I6236" s="9">
        <f>G6236-H6236</f>
        <v>9290</v>
      </c>
      <c r="J6236" s="3" t="str">
        <f t="shared" si="450"/>
        <v>8642440</v>
      </c>
    </row>
    <row r="6237" spans="1:10" s="3" customFormat="1">
      <c r="B6237" s="3" t="s">
        <v>2170</v>
      </c>
      <c r="C6237" s="8">
        <v>4</v>
      </c>
      <c r="D6237" s="3" t="s">
        <v>2439</v>
      </c>
      <c r="E6237" s="11" t="s">
        <v>28</v>
      </c>
      <c r="F6237" s="11"/>
      <c r="G6237" s="14">
        <v>0.45909</v>
      </c>
      <c r="H6237" s="11"/>
      <c r="I6237" s="11"/>
      <c r="J6237" s="3" t="str">
        <f t="shared" si="450"/>
        <v>8642440</v>
      </c>
    </row>
    <row r="6238" spans="1:10" s="3" customFormat="1">
      <c r="B6238" s="3" t="s">
        <v>2170</v>
      </c>
      <c r="C6238" s="8">
        <v>4</v>
      </c>
      <c r="D6238" s="3" t="s">
        <v>2439</v>
      </c>
      <c r="E6238" s="11" t="s">
        <v>29</v>
      </c>
      <c r="F6238" s="11"/>
      <c r="G6238" s="15">
        <f>ROUND(G6236*G6237,0)</f>
        <v>8530</v>
      </c>
      <c r="H6238" s="16">
        <f>ROUND(G6238/2,0)</f>
        <v>4265</v>
      </c>
      <c r="I6238" s="15">
        <f>G6238-H6238</f>
        <v>4265</v>
      </c>
      <c r="J6238" s="3" t="str">
        <f t="shared" si="450"/>
        <v>8642440</v>
      </c>
    </row>
    <row r="6239" spans="1:10" s="3" customFormat="1">
      <c r="B6239" s="3" t="s">
        <v>2170</v>
      </c>
      <c r="C6239" s="8">
        <v>4</v>
      </c>
      <c r="D6239" s="3" t="s">
        <v>2439</v>
      </c>
      <c r="E6239" s="11" t="s">
        <v>30</v>
      </c>
      <c r="F6239" s="11"/>
      <c r="G6239" s="12">
        <f>+G6236-G6238</f>
        <v>10051</v>
      </c>
      <c r="H6239" s="13">
        <f>ROUND(G6239/2,0)</f>
        <v>5026</v>
      </c>
      <c r="I6239" s="12">
        <f>G6239-H6239</f>
        <v>5025</v>
      </c>
      <c r="J6239" s="3" t="str">
        <f t="shared" si="450"/>
        <v>8642440</v>
      </c>
    </row>
    <row r="6240" spans="1:10" s="3" customFormat="1">
      <c r="B6240" s="3" t="s">
        <v>2170</v>
      </c>
      <c r="C6240" s="8">
        <v>4</v>
      </c>
      <c r="D6240" s="116" t="s">
        <v>3080</v>
      </c>
      <c r="E6240" s="11" t="s">
        <v>1775</v>
      </c>
      <c r="F6240" s="10">
        <v>0.464231</v>
      </c>
      <c r="G6240" s="9">
        <f>ROUND(G$3*F6240,0)</f>
        <v>133570</v>
      </c>
      <c r="H6240" s="11">
        <f>ROUND(G6240/2,0)</f>
        <v>66785</v>
      </c>
      <c r="I6240" s="9">
        <f>G6240-H6240</f>
        <v>66785</v>
      </c>
      <c r="J6240" s="3" t="str">
        <f t="shared" si="450"/>
        <v>8648115</v>
      </c>
    </row>
    <row r="6241" spans="2:10" s="3" customFormat="1">
      <c r="B6241" s="3" t="s">
        <v>2170</v>
      </c>
      <c r="C6241" s="8">
        <v>4</v>
      </c>
      <c r="D6241" s="116" t="s">
        <v>3080</v>
      </c>
      <c r="E6241" s="11" t="s">
        <v>28</v>
      </c>
      <c r="F6241" s="11"/>
      <c r="G6241" s="14">
        <v>0.47661399999999998</v>
      </c>
      <c r="H6241" s="11"/>
      <c r="I6241" s="11"/>
      <c r="J6241" s="3" t="str">
        <f t="shared" si="450"/>
        <v>8648115</v>
      </c>
    </row>
    <row r="6242" spans="2:10" s="3" customFormat="1">
      <c r="B6242" s="3" t="s">
        <v>2170</v>
      </c>
      <c r="C6242" s="8">
        <v>4</v>
      </c>
      <c r="D6242" s="116" t="s">
        <v>3080</v>
      </c>
      <c r="E6242" s="11" t="s">
        <v>29</v>
      </c>
      <c r="F6242" s="11"/>
      <c r="G6242" s="15">
        <f>ROUND(G6240*G6241,0)</f>
        <v>63661</v>
      </c>
      <c r="H6242" s="16">
        <f>ROUND(G6242/2,0)</f>
        <v>31831</v>
      </c>
      <c r="I6242" s="15">
        <f>G6242-H6242</f>
        <v>31830</v>
      </c>
      <c r="J6242" s="3" t="str">
        <f t="shared" si="450"/>
        <v>8648115</v>
      </c>
    </row>
    <row r="6243" spans="2:10" s="3" customFormat="1">
      <c r="B6243" s="3" t="s">
        <v>2170</v>
      </c>
      <c r="C6243" s="8">
        <v>4</v>
      </c>
      <c r="D6243" s="116" t="s">
        <v>3080</v>
      </c>
      <c r="E6243" s="11" t="s">
        <v>30</v>
      </c>
      <c r="F6243" s="11"/>
      <c r="G6243" s="12">
        <f>+G6240-G6242</f>
        <v>69909</v>
      </c>
      <c r="H6243" s="13">
        <f>ROUND(G6243/2,0)</f>
        <v>34955</v>
      </c>
      <c r="I6243" s="12">
        <f>G6243-H6243</f>
        <v>34954</v>
      </c>
      <c r="J6243" s="3" t="str">
        <f t="shared" si="450"/>
        <v>8648115</v>
      </c>
    </row>
    <row r="6244" spans="2:10" s="3" customFormat="1">
      <c r="B6244" s="3" t="s">
        <v>2170</v>
      </c>
      <c r="C6244" s="8">
        <v>5</v>
      </c>
      <c r="D6244" s="3" t="s">
        <v>6059</v>
      </c>
      <c r="E6244" s="11" t="s">
        <v>1776</v>
      </c>
      <c r="F6244" s="10">
        <v>1.5449999999999999E-3</v>
      </c>
      <c r="G6244" s="120">
        <f>ROUND(G$3*F6244,0)</f>
        <v>445</v>
      </c>
      <c r="H6244" s="120">
        <f>ROUND(G6244/2,0)</f>
        <v>223</v>
      </c>
      <c r="I6244" s="120">
        <f>G6244-H6244</f>
        <v>222</v>
      </c>
      <c r="J6244" s="3" t="str">
        <f t="shared" si="450"/>
        <v>8650233</v>
      </c>
    </row>
    <row r="6245" spans="2:10" s="3" customFormat="1">
      <c r="B6245" s="3" t="s">
        <v>2170</v>
      </c>
      <c r="C6245" s="8">
        <v>5</v>
      </c>
      <c r="D6245" s="3" t="s">
        <v>6061</v>
      </c>
      <c r="E6245" s="11" t="s">
        <v>1777</v>
      </c>
      <c r="F6245" s="10">
        <v>2.3579999999999999E-3</v>
      </c>
      <c r="G6245" s="120">
        <f>ROUND(G$3*F6245,0)</f>
        <v>678</v>
      </c>
      <c r="H6245" s="120">
        <f>ROUND(G6245/2,0)</f>
        <v>339</v>
      </c>
      <c r="I6245" s="120">
        <f>G6245-H6245</f>
        <v>339</v>
      </c>
      <c r="J6245" s="3" t="str">
        <f t="shared" si="450"/>
        <v>8650234</v>
      </c>
    </row>
    <row r="6246" spans="2:10" s="3" customFormat="1">
      <c r="B6246" s="3" t="s">
        <v>2170</v>
      </c>
      <c r="C6246" s="8">
        <v>6</v>
      </c>
      <c r="D6246" s="3" t="s">
        <v>3081</v>
      </c>
      <c r="E6246" s="11" t="s">
        <v>1778</v>
      </c>
      <c r="F6246" s="10">
        <v>1.4529000000000014E-2</v>
      </c>
      <c r="G6246" s="12">
        <f>+G6186-SUM(G6187:G6188)-SUM(G6193:G6232)-G6236-G6240-SUM(G6244:G6245)</f>
        <v>-226327</v>
      </c>
      <c r="H6246" s="13">
        <f>ROUND(G6246/2,0)</f>
        <v>-113164</v>
      </c>
      <c r="I6246" s="12">
        <f>G6246-H6246</f>
        <v>-113163</v>
      </c>
      <c r="J6246" s="3" t="str">
        <f t="shared" si="450"/>
        <v>8661033</v>
      </c>
    </row>
    <row r="6247" spans="2:10" s="3" customFormat="1">
      <c r="B6247" s="3" t="s">
        <v>2170</v>
      </c>
      <c r="C6247" s="8">
        <v>0</v>
      </c>
      <c r="D6247" s="125" t="s">
        <v>2187</v>
      </c>
      <c r="E6247" s="28" t="s">
        <v>288</v>
      </c>
      <c r="F6247" s="10">
        <v>1</v>
      </c>
      <c r="G6247" s="12">
        <f>+G6187+SUM(G6190:G6231)+SUM(G6234:G6235)+SUM(G6238:G6239)+SUM(G6242:G6246)</f>
        <v>57220</v>
      </c>
      <c r="H6247" s="12">
        <f>+H6187+SUM(H6190:H6231)+SUM(H6234:H6235)+SUM(H6238:H6239)+SUM(H6242:H6246)</f>
        <v>28620</v>
      </c>
      <c r="I6247" s="12">
        <f>+I6187+SUM(I6190:I6231)+SUM(I6234:I6235)+SUM(I6238:I6239)+SUM(I6242:I6246)</f>
        <v>28600</v>
      </c>
      <c r="J6247" s="3" t="str">
        <f t="shared" si="450"/>
        <v>8600000</v>
      </c>
    </row>
    <row r="6248" spans="2:10" s="3" customFormat="1">
      <c r="B6248" s="3" t="s">
        <v>2170</v>
      </c>
      <c r="C6248" s="8">
        <v>0</v>
      </c>
      <c r="D6248" s="3" t="s">
        <v>2187</v>
      </c>
      <c r="E6248" s="18" t="s">
        <v>38</v>
      </c>
      <c r="G6248" s="19">
        <f>+G6187</f>
        <v>394</v>
      </c>
      <c r="H6248" s="19">
        <f>+H6187</f>
        <v>197</v>
      </c>
      <c r="I6248" s="19">
        <f>+I6187</f>
        <v>197</v>
      </c>
      <c r="J6248" s="3" t="str">
        <f t="shared" si="450"/>
        <v>8600000</v>
      </c>
    </row>
    <row r="6249" spans="2:10" s="3" customFormat="1">
      <c r="B6249" s="3" t="s">
        <v>2170</v>
      </c>
      <c r="C6249" s="8">
        <v>0</v>
      </c>
      <c r="D6249" s="3" t="s">
        <v>2187</v>
      </c>
      <c r="E6249" s="2" t="s">
        <v>39</v>
      </c>
      <c r="G6249" s="19">
        <f>+G6190</f>
        <v>8358</v>
      </c>
      <c r="H6249" s="19">
        <f>+H6190</f>
        <v>4179</v>
      </c>
      <c r="I6249" s="19">
        <f>+I6190</f>
        <v>4179</v>
      </c>
      <c r="J6249" s="3" t="str">
        <f t="shared" si="450"/>
        <v>8600000</v>
      </c>
    </row>
    <row r="6250" spans="2:10" s="3" customFormat="1">
      <c r="B6250" s="3" t="s">
        <v>2170</v>
      </c>
      <c r="C6250" s="8">
        <v>0</v>
      </c>
      <c r="D6250" s="3" t="s">
        <v>2187</v>
      </c>
      <c r="E6250" s="2" t="s">
        <v>40</v>
      </c>
      <c r="G6250" s="19">
        <f>+G6234+G6238+G6242</f>
        <v>86366</v>
      </c>
      <c r="H6250" s="19">
        <f>+H6234+H6238+H6242</f>
        <v>43184</v>
      </c>
      <c r="I6250" s="19">
        <f>+I6234+I6238+I6242</f>
        <v>43182</v>
      </c>
      <c r="J6250" s="3" t="str">
        <f t="shared" si="450"/>
        <v>8600000</v>
      </c>
    </row>
    <row r="6251" spans="2:10" s="3" customFormat="1">
      <c r="B6251" s="3" t="s">
        <v>2170</v>
      </c>
      <c r="C6251" s="8">
        <v>0</v>
      </c>
      <c r="D6251" s="125" t="s">
        <v>2187</v>
      </c>
      <c r="E6251" s="18" t="s">
        <v>41</v>
      </c>
      <c r="G6251" s="19">
        <f>+G6247-G6248-G6249-G6250</f>
        <v>-37898</v>
      </c>
      <c r="H6251" s="19">
        <f>+H6247-H6248-H6249-H6250</f>
        <v>-18940</v>
      </c>
      <c r="I6251" s="19">
        <f>+I6247-I6248-I6249-I6250</f>
        <v>-18958</v>
      </c>
      <c r="J6251" s="3" t="str">
        <f t="shared" si="450"/>
        <v>8600000</v>
      </c>
    </row>
    <row r="6252" spans="2:10" ht="15.75">
      <c r="B6252" s="3" t="s">
        <v>2186</v>
      </c>
      <c r="D6252" t="s">
        <v>2186</v>
      </c>
      <c r="E6252">
        <v>0</v>
      </c>
      <c r="G6252"/>
      <c r="H6252"/>
      <c r="I6252"/>
      <c r="J6252" s="3" t="str">
        <f t="shared" si="450"/>
        <v/>
      </c>
    </row>
    <row r="6253" spans="2:10" s="3" customFormat="1">
      <c r="C6253" s="1"/>
      <c r="D6253" s="3" t="s">
        <v>2186</v>
      </c>
      <c r="E6253" s="2" t="s">
        <v>1779</v>
      </c>
      <c r="J6253" s="3" t="str">
        <f t="shared" si="450"/>
        <v/>
      </c>
    </row>
    <row r="6254" spans="2:10" s="3" customFormat="1" ht="45">
      <c r="B6254" s="3" t="s">
        <v>2186</v>
      </c>
      <c r="C6254" s="1"/>
      <c r="D6254" s="3" t="s">
        <v>2186</v>
      </c>
      <c r="E6254" s="1">
        <v>0</v>
      </c>
      <c r="F6254" s="6" t="s">
        <v>1</v>
      </c>
      <c r="G6254" s="60">
        <f>'Allocation Worksheet'!H6254</f>
        <v>0</v>
      </c>
      <c r="H6254" s="60">
        <f>'Allocation Worksheet'!H6255</f>
        <v>0</v>
      </c>
      <c r="I6254" s="60">
        <f>'Allocation Worksheet'!H6256</f>
        <v>0</v>
      </c>
      <c r="J6254" s="3" t="str">
        <f t="shared" si="450"/>
        <v/>
      </c>
    </row>
    <row r="6255" spans="2:10" s="3" customFormat="1">
      <c r="C6255" s="7" t="s">
        <v>2087</v>
      </c>
      <c r="D6255" s="3" t="s">
        <v>2186</v>
      </c>
      <c r="E6255" s="7" t="s">
        <v>3</v>
      </c>
      <c r="F6255" s="10"/>
      <c r="G6255" s="9">
        <f>'Allocation Worksheet'!$D$90</f>
        <v>275697</v>
      </c>
      <c r="H6255" s="11"/>
      <c r="I6255" s="11"/>
      <c r="J6255" s="3" t="str">
        <f t="shared" si="450"/>
        <v>UT</v>
      </c>
    </row>
    <row r="6256" spans="2:10" s="3" customFormat="1">
      <c r="B6256" s="3" t="s">
        <v>2171</v>
      </c>
      <c r="C6256" s="8">
        <v>0</v>
      </c>
      <c r="D6256" s="3" t="s">
        <v>2187</v>
      </c>
      <c r="E6256" s="11" t="s">
        <v>4</v>
      </c>
      <c r="F6256" s="10">
        <v>1.3389999999999999E-3</v>
      </c>
      <c r="G6256" s="12">
        <f>ROUND(G$3*F6256,0)</f>
        <v>385</v>
      </c>
      <c r="H6256" s="13">
        <f>ROUND(G6256/2,0)</f>
        <v>193</v>
      </c>
      <c r="I6256" s="12">
        <f>G6256-H6256</f>
        <v>192</v>
      </c>
      <c r="J6256" s="3" t="str">
        <f t="shared" si="450"/>
        <v>8700000</v>
      </c>
    </row>
    <row r="6257" spans="2:10" s="3" customFormat="1">
      <c r="B6257" s="3" t="s">
        <v>2171</v>
      </c>
      <c r="C6257" s="8">
        <v>1</v>
      </c>
      <c r="D6257" s="3" t="s">
        <v>2187</v>
      </c>
      <c r="E6257" s="11" t="s">
        <v>1780</v>
      </c>
      <c r="F6257" s="10">
        <v>0.22764699999999999</v>
      </c>
      <c r="G6257" s="9">
        <f>ROUND(G$3*F6257,0)</f>
        <v>65499</v>
      </c>
      <c r="H6257" s="11">
        <f>ROUND(G6257/2,0)</f>
        <v>32750</v>
      </c>
      <c r="I6257" s="9">
        <f>G6257-H6257</f>
        <v>32749</v>
      </c>
      <c r="J6257" s="3" t="str">
        <f t="shared" si="450"/>
        <v>8710000</v>
      </c>
    </row>
    <row r="6258" spans="2:10" s="3" customFormat="1">
      <c r="B6258" s="3" t="s">
        <v>2171</v>
      </c>
      <c r="C6258" s="8">
        <v>1</v>
      </c>
      <c r="D6258" s="3" t="s">
        <v>2187</v>
      </c>
      <c r="E6258" s="11" t="s">
        <v>6</v>
      </c>
      <c r="F6258" s="11"/>
      <c r="G6258" s="14">
        <v>0.11051999999999999</v>
      </c>
      <c r="H6258" s="11"/>
      <c r="I6258" s="11"/>
      <c r="J6258" s="3" t="str">
        <f t="shared" si="450"/>
        <v>8710000</v>
      </c>
    </row>
    <row r="6259" spans="2:10" s="3" customFormat="1">
      <c r="B6259" s="3" t="s">
        <v>2171</v>
      </c>
      <c r="C6259" s="8">
        <v>1</v>
      </c>
      <c r="D6259" s="3" t="s">
        <v>2187</v>
      </c>
      <c r="E6259" s="11" t="s">
        <v>7</v>
      </c>
      <c r="F6259" s="11"/>
      <c r="G6259" s="15">
        <f>ROUND(G6257*G6258,0)</f>
        <v>7239</v>
      </c>
      <c r="H6259" s="16">
        <f>ROUND(G6259/2,0)</f>
        <v>3620</v>
      </c>
      <c r="I6259" s="15">
        <f>G6259-H6259</f>
        <v>3619</v>
      </c>
      <c r="J6259" s="3" t="str">
        <f t="shared" si="450"/>
        <v>8710000</v>
      </c>
    </row>
    <row r="6260" spans="2:10" s="3" customFormat="1">
      <c r="B6260" s="3" t="s">
        <v>2171</v>
      </c>
      <c r="C6260" s="8">
        <v>1</v>
      </c>
      <c r="D6260" s="3" t="s">
        <v>2187</v>
      </c>
      <c r="E6260" s="11" t="s">
        <v>8</v>
      </c>
      <c r="F6260" s="11"/>
      <c r="G6260" s="12">
        <f>+G6257-G6259</f>
        <v>58260</v>
      </c>
      <c r="H6260" s="13">
        <f>ROUND(G6260/2,0)</f>
        <v>29130</v>
      </c>
      <c r="I6260" s="12">
        <f>G6260-H6260</f>
        <v>29130</v>
      </c>
      <c r="J6260" s="3" t="str">
        <f t="shared" si="450"/>
        <v>8710000</v>
      </c>
    </row>
    <row r="6261" spans="2:10" s="3" customFormat="1">
      <c r="B6261" s="3" t="s">
        <v>2171</v>
      </c>
      <c r="C6261" s="8">
        <v>2</v>
      </c>
      <c r="D6261" s="3" t="s">
        <v>2188</v>
      </c>
      <c r="E6261" s="11" t="s">
        <v>1122</v>
      </c>
      <c r="F6261" s="11"/>
      <c r="G6261" s="9"/>
      <c r="H6261" s="11"/>
      <c r="I6261" s="11"/>
      <c r="J6261" s="3" t="str">
        <f t="shared" si="450"/>
        <v>8720001</v>
      </c>
    </row>
    <row r="6262" spans="2:10" s="3" customFormat="1">
      <c r="B6262" s="3" t="s">
        <v>2171</v>
      </c>
      <c r="C6262" s="8">
        <v>2</v>
      </c>
      <c r="D6262" s="3" t="s">
        <v>2188</v>
      </c>
      <c r="E6262" s="11" t="s">
        <v>10</v>
      </c>
      <c r="F6262" s="10">
        <v>4.5600000000000003E-4</v>
      </c>
      <c r="G6262" s="12">
        <f>ROUND(G$3*F6262,0)</f>
        <v>131</v>
      </c>
      <c r="H6262" s="13">
        <f>ROUND(G6262/2,0)</f>
        <v>66</v>
      </c>
      <c r="I6262" s="12">
        <f>G6262-H6262</f>
        <v>65</v>
      </c>
      <c r="J6262" s="3" t="str">
        <f t="shared" si="450"/>
        <v>8720001</v>
      </c>
    </row>
    <row r="6263" spans="2:10" s="3" customFormat="1">
      <c r="B6263" s="3" t="s">
        <v>2171</v>
      </c>
      <c r="C6263" s="8">
        <v>2</v>
      </c>
      <c r="D6263" s="3" t="s">
        <v>2188</v>
      </c>
      <c r="E6263" s="11" t="s">
        <v>11</v>
      </c>
      <c r="F6263" s="10">
        <v>3.3399999999999999E-4</v>
      </c>
      <c r="G6263" s="12">
        <f>ROUND(G$3*F6263,0)</f>
        <v>96</v>
      </c>
      <c r="H6263" s="13">
        <f>ROUND(G6263/2,0)</f>
        <v>48</v>
      </c>
      <c r="I6263" s="12">
        <f>G6263-H6263</f>
        <v>48</v>
      </c>
      <c r="J6263" s="3" t="str">
        <f t="shared" si="450"/>
        <v>8720001</v>
      </c>
    </row>
    <row r="6264" spans="2:10" s="3" customFormat="1">
      <c r="B6264" s="3" t="s">
        <v>2171</v>
      </c>
      <c r="C6264" s="8">
        <v>2</v>
      </c>
      <c r="D6264" s="3" t="s">
        <v>2189</v>
      </c>
      <c r="E6264" s="11" t="s">
        <v>1781</v>
      </c>
      <c r="F6264" s="11"/>
      <c r="G6264" s="9"/>
      <c r="H6264" s="11"/>
      <c r="I6264" s="11"/>
      <c r="J6264" s="3" t="str">
        <f t="shared" si="450"/>
        <v>8720002</v>
      </c>
    </row>
    <row r="6265" spans="2:10" s="3" customFormat="1">
      <c r="B6265" s="3" t="s">
        <v>2171</v>
      </c>
      <c r="C6265" s="8">
        <v>2</v>
      </c>
      <c r="D6265" s="3" t="s">
        <v>2189</v>
      </c>
      <c r="E6265" s="11" t="s">
        <v>10</v>
      </c>
      <c r="F6265" s="10">
        <v>6.2009999999999999E-3</v>
      </c>
      <c r="G6265" s="12">
        <f>ROUND(G$3*F6265,0)</f>
        <v>1784</v>
      </c>
      <c r="H6265" s="13">
        <f>ROUND(G6265/2,0)</f>
        <v>892</v>
      </c>
      <c r="I6265" s="12">
        <f>G6265-H6265</f>
        <v>892</v>
      </c>
      <c r="J6265" s="3" t="str">
        <f t="shared" si="450"/>
        <v>8720002</v>
      </c>
    </row>
    <row r="6266" spans="2:10" s="3" customFormat="1">
      <c r="B6266" s="3" t="s">
        <v>2171</v>
      </c>
      <c r="C6266" s="8">
        <v>2</v>
      </c>
      <c r="D6266" s="3" t="s">
        <v>2189</v>
      </c>
      <c r="E6266" s="11" t="s">
        <v>11</v>
      </c>
      <c r="F6266" s="10">
        <v>4.5019999999999999E-3</v>
      </c>
      <c r="G6266" s="12">
        <f>ROUND(G$3*F6266,0)</f>
        <v>1295</v>
      </c>
      <c r="H6266" s="13">
        <f>ROUND(G6266/2,0)</f>
        <v>648</v>
      </c>
      <c r="I6266" s="12">
        <f>G6266-H6266</f>
        <v>647</v>
      </c>
      <c r="J6266" s="3" t="str">
        <f t="shared" si="450"/>
        <v>8720002</v>
      </c>
    </row>
    <row r="6267" spans="2:10" s="3" customFormat="1">
      <c r="B6267" s="3" t="s">
        <v>2171</v>
      </c>
      <c r="C6267" s="8">
        <v>2</v>
      </c>
      <c r="D6267" s="3" t="s">
        <v>2190</v>
      </c>
      <c r="E6267" s="11" t="s">
        <v>885</v>
      </c>
      <c r="F6267" s="11"/>
      <c r="G6267" s="9"/>
      <c r="H6267" s="11"/>
      <c r="I6267" s="11"/>
      <c r="J6267" s="3" t="str">
        <f t="shared" si="450"/>
        <v>8720003</v>
      </c>
    </row>
    <row r="6268" spans="2:10" s="3" customFormat="1">
      <c r="B6268" s="3" t="s">
        <v>2171</v>
      </c>
      <c r="C6268" s="8">
        <v>2</v>
      </c>
      <c r="D6268" s="3" t="s">
        <v>2190</v>
      </c>
      <c r="E6268" s="11" t="s">
        <v>10</v>
      </c>
      <c r="F6268" s="10">
        <v>1.75E-4</v>
      </c>
      <c r="G6268" s="12">
        <f>ROUND(G$3*F6268,0)</f>
        <v>50</v>
      </c>
      <c r="H6268" s="13">
        <f>ROUND(G6268/2,0)</f>
        <v>25</v>
      </c>
      <c r="I6268" s="12">
        <f>G6268-H6268</f>
        <v>25</v>
      </c>
      <c r="J6268" s="3" t="str">
        <f t="shared" si="450"/>
        <v>8720003</v>
      </c>
    </row>
    <row r="6269" spans="2:10" s="3" customFormat="1">
      <c r="B6269" s="3" t="s">
        <v>2171</v>
      </c>
      <c r="C6269" s="8">
        <v>2</v>
      </c>
      <c r="D6269" s="3" t="s">
        <v>2190</v>
      </c>
      <c r="E6269" s="11" t="s">
        <v>11</v>
      </c>
      <c r="F6269" s="10">
        <v>6.0000000000000002E-5</v>
      </c>
      <c r="G6269" s="12">
        <f>ROUND(G$3*F6269,0)</f>
        <v>17</v>
      </c>
      <c r="H6269" s="13">
        <f>ROUND(G6269/2,0)</f>
        <v>9</v>
      </c>
      <c r="I6269" s="12">
        <f>G6269-H6269</f>
        <v>8</v>
      </c>
      <c r="J6269" s="3" t="str">
        <f t="shared" si="450"/>
        <v>8720003</v>
      </c>
    </row>
    <row r="6270" spans="2:10" s="3" customFormat="1">
      <c r="B6270" s="3" t="s">
        <v>2171</v>
      </c>
      <c r="C6270" s="8">
        <v>2</v>
      </c>
      <c r="D6270" s="3" t="s">
        <v>2191</v>
      </c>
      <c r="E6270" s="11" t="s">
        <v>1782</v>
      </c>
      <c r="F6270" s="11"/>
      <c r="G6270" s="9"/>
      <c r="H6270" s="11"/>
      <c r="I6270" s="11"/>
      <c r="J6270" s="3" t="str">
        <f t="shared" si="450"/>
        <v>8720004</v>
      </c>
    </row>
    <row r="6271" spans="2:10" s="3" customFormat="1">
      <c r="B6271" s="3" t="s">
        <v>2171</v>
      </c>
      <c r="C6271" s="8">
        <v>2</v>
      </c>
      <c r="D6271" s="3" t="s">
        <v>2191</v>
      </c>
      <c r="E6271" s="11" t="s">
        <v>10</v>
      </c>
      <c r="F6271" s="10">
        <v>2.036E-3</v>
      </c>
      <c r="G6271" s="12">
        <f>ROUND(G$3*F6271,0)</f>
        <v>586</v>
      </c>
      <c r="H6271" s="13">
        <f>ROUND(G6271/2,0)</f>
        <v>293</v>
      </c>
      <c r="I6271" s="12">
        <f>G6271-H6271</f>
        <v>293</v>
      </c>
      <c r="J6271" s="3" t="str">
        <f t="shared" si="450"/>
        <v>8720004</v>
      </c>
    </row>
    <row r="6272" spans="2:10" s="3" customFormat="1">
      <c r="B6272" s="3" t="s">
        <v>2171</v>
      </c>
      <c r="C6272" s="8">
        <v>2</v>
      </c>
      <c r="D6272" s="3" t="s">
        <v>2191</v>
      </c>
      <c r="E6272" s="11" t="s">
        <v>11</v>
      </c>
      <c r="F6272" s="10">
        <v>4.3600000000000003E-4</v>
      </c>
      <c r="G6272" s="12">
        <f>ROUND(G$3*F6272,0)</f>
        <v>125</v>
      </c>
      <c r="H6272" s="13">
        <f>ROUND(G6272/2,0)</f>
        <v>63</v>
      </c>
      <c r="I6272" s="12">
        <f>G6272-H6272</f>
        <v>62</v>
      </c>
      <c r="J6272" s="3" t="str">
        <f t="shared" si="450"/>
        <v>8720004</v>
      </c>
    </row>
    <row r="6273" spans="2:10" s="3" customFormat="1">
      <c r="B6273" s="3" t="s">
        <v>2171</v>
      </c>
      <c r="C6273" s="8">
        <v>2</v>
      </c>
      <c r="D6273" s="3" t="s">
        <v>2192</v>
      </c>
      <c r="E6273" s="11" t="s">
        <v>1783</v>
      </c>
      <c r="F6273" s="11"/>
      <c r="G6273" s="9"/>
      <c r="H6273" s="11"/>
      <c r="I6273" s="11"/>
      <c r="J6273" s="3" t="str">
        <f t="shared" si="450"/>
        <v>8720005</v>
      </c>
    </row>
    <row r="6274" spans="2:10" s="3" customFormat="1">
      <c r="B6274" s="3" t="s">
        <v>2171</v>
      </c>
      <c r="C6274" s="8">
        <v>2</v>
      </c>
      <c r="D6274" s="3" t="s">
        <v>2192</v>
      </c>
      <c r="E6274" s="11" t="s">
        <v>10</v>
      </c>
      <c r="F6274" s="10">
        <v>1.7819999999999999E-3</v>
      </c>
      <c r="G6274" s="12">
        <f>ROUND(G$3*F6274,0)</f>
        <v>513</v>
      </c>
      <c r="H6274" s="13">
        <f>ROUND(G6274/2,0)</f>
        <v>257</v>
      </c>
      <c r="I6274" s="12">
        <f>G6274-H6274</f>
        <v>256</v>
      </c>
      <c r="J6274" s="3" t="str">
        <f t="shared" si="450"/>
        <v>8720005</v>
      </c>
    </row>
    <row r="6275" spans="2:10" s="3" customFormat="1">
      <c r="B6275" s="3" t="s">
        <v>2171</v>
      </c>
      <c r="C6275" s="8">
        <v>2</v>
      </c>
      <c r="D6275" s="3" t="s">
        <v>2192</v>
      </c>
      <c r="E6275" s="11" t="s">
        <v>11</v>
      </c>
      <c r="F6275" s="10">
        <v>1.3780000000000001E-3</v>
      </c>
      <c r="G6275" s="12">
        <f>ROUND(G$3*F6275,0)</f>
        <v>396</v>
      </c>
      <c r="H6275" s="13">
        <f>ROUND(G6275/2,0)</f>
        <v>198</v>
      </c>
      <c r="I6275" s="12">
        <f>G6275-H6275</f>
        <v>198</v>
      </c>
      <c r="J6275" s="3" t="str">
        <f t="shared" si="450"/>
        <v>8720005</v>
      </c>
    </row>
    <row r="6276" spans="2:10" s="3" customFormat="1">
      <c r="B6276" s="3" t="s">
        <v>2171</v>
      </c>
      <c r="C6276" s="8">
        <v>2</v>
      </c>
      <c r="D6276" s="3" t="s">
        <v>2193</v>
      </c>
      <c r="E6276" s="11" t="s">
        <v>1784</v>
      </c>
      <c r="F6276" s="11"/>
      <c r="G6276" s="9"/>
      <c r="H6276" s="11"/>
      <c r="I6276" s="11"/>
      <c r="J6276" s="3" t="str">
        <f t="shared" ref="J6276:J6339" si="454">B6276&amp;C6276&amp;D6276</f>
        <v>8720006</v>
      </c>
    </row>
    <row r="6277" spans="2:10" s="3" customFormat="1">
      <c r="B6277" s="3" t="s">
        <v>2171</v>
      </c>
      <c r="C6277" s="8">
        <v>2</v>
      </c>
      <c r="D6277" s="3" t="s">
        <v>2193</v>
      </c>
      <c r="E6277" s="11" t="s">
        <v>10</v>
      </c>
      <c r="F6277" s="10">
        <v>2.5999999999999998E-5</v>
      </c>
      <c r="G6277" s="12">
        <f>ROUND(G$3*F6277,0)</f>
        <v>7</v>
      </c>
      <c r="H6277" s="13">
        <f>ROUND(G6277/2,0)</f>
        <v>4</v>
      </c>
      <c r="I6277" s="12">
        <f>G6277-H6277</f>
        <v>3</v>
      </c>
      <c r="J6277" s="3" t="str">
        <f t="shared" si="454"/>
        <v>8720006</v>
      </c>
    </row>
    <row r="6278" spans="2:10" s="3" customFormat="1">
      <c r="B6278" s="3" t="s">
        <v>2171</v>
      </c>
      <c r="C6278" s="8">
        <v>2</v>
      </c>
      <c r="D6278" s="3" t="s">
        <v>2193</v>
      </c>
      <c r="E6278" s="11" t="s">
        <v>11</v>
      </c>
      <c r="F6278" s="10">
        <v>1.7E-5</v>
      </c>
      <c r="G6278" s="12">
        <f>ROUND(G$3*F6278,0)</f>
        <v>5</v>
      </c>
      <c r="H6278" s="13">
        <f>ROUND(G6278/2,0)</f>
        <v>3</v>
      </c>
      <c r="I6278" s="12">
        <f>G6278-H6278</f>
        <v>2</v>
      </c>
      <c r="J6278" s="3" t="str">
        <f t="shared" si="454"/>
        <v>8720006</v>
      </c>
    </row>
    <row r="6279" spans="2:10" s="3" customFormat="1">
      <c r="B6279" s="3" t="s">
        <v>2171</v>
      </c>
      <c r="C6279" s="8">
        <v>2</v>
      </c>
      <c r="D6279" s="3" t="s">
        <v>2194</v>
      </c>
      <c r="E6279" s="11" t="s">
        <v>88</v>
      </c>
      <c r="F6279" s="11"/>
      <c r="G6279" s="9"/>
      <c r="H6279" s="11"/>
      <c r="I6279" s="11"/>
      <c r="J6279" s="3" t="str">
        <f t="shared" si="454"/>
        <v>8720007</v>
      </c>
    </row>
    <row r="6280" spans="2:10" s="3" customFormat="1">
      <c r="B6280" s="3" t="s">
        <v>2171</v>
      </c>
      <c r="C6280" s="8">
        <v>2</v>
      </c>
      <c r="D6280" s="3" t="s">
        <v>2194</v>
      </c>
      <c r="E6280" s="11" t="s">
        <v>10</v>
      </c>
      <c r="F6280" s="10">
        <v>4.8960000000000002E-3</v>
      </c>
      <c r="G6280" s="12">
        <f>ROUND(G$3*F6280,0)</f>
        <v>1409</v>
      </c>
      <c r="H6280" s="13">
        <f>ROUND(G6280/2,0)</f>
        <v>705</v>
      </c>
      <c r="I6280" s="12">
        <f>G6280-H6280</f>
        <v>704</v>
      </c>
      <c r="J6280" s="3" t="str">
        <f t="shared" si="454"/>
        <v>8720007</v>
      </c>
    </row>
    <row r="6281" spans="2:10" s="3" customFormat="1">
      <c r="B6281" s="3" t="s">
        <v>2171</v>
      </c>
      <c r="C6281" s="8">
        <v>2</v>
      </c>
      <c r="D6281" s="3" t="s">
        <v>2194</v>
      </c>
      <c r="E6281" s="11" t="s">
        <v>11</v>
      </c>
      <c r="F6281" s="10">
        <v>7.1999999999999998E-3</v>
      </c>
      <c r="G6281" s="12">
        <f>ROUND(G$3*F6281,0)</f>
        <v>2072</v>
      </c>
      <c r="H6281" s="13">
        <f>ROUND(G6281/2,0)</f>
        <v>1036</v>
      </c>
      <c r="I6281" s="12">
        <f>G6281-H6281</f>
        <v>1036</v>
      </c>
      <c r="J6281" s="3" t="str">
        <f t="shared" si="454"/>
        <v>8720007</v>
      </c>
    </row>
    <row r="6282" spans="2:10" s="3" customFormat="1">
      <c r="B6282" s="3" t="s">
        <v>2171</v>
      </c>
      <c r="C6282" s="8">
        <v>2</v>
      </c>
      <c r="D6282" s="3" t="s">
        <v>2195</v>
      </c>
      <c r="E6282" s="11" t="s">
        <v>224</v>
      </c>
      <c r="F6282" s="11"/>
      <c r="G6282" s="9"/>
      <c r="H6282" s="11"/>
      <c r="I6282" s="11"/>
      <c r="J6282" s="3" t="str">
        <f t="shared" si="454"/>
        <v>8720008</v>
      </c>
    </row>
    <row r="6283" spans="2:10" s="3" customFormat="1">
      <c r="B6283" s="3" t="s">
        <v>2171</v>
      </c>
      <c r="C6283" s="8">
        <v>2</v>
      </c>
      <c r="D6283" s="3" t="s">
        <v>2195</v>
      </c>
      <c r="E6283" s="11" t="s">
        <v>10</v>
      </c>
      <c r="F6283" s="10">
        <v>2.8400000000000002E-4</v>
      </c>
      <c r="G6283" s="12">
        <f>ROUND(G$3*F6283,0)</f>
        <v>82</v>
      </c>
      <c r="H6283" s="13">
        <f>ROUND(G6283/2,0)</f>
        <v>41</v>
      </c>
      <c r="I6283" s="12">
        <f>G6283-H6283</f>
        <v>41</v>
      </c>
      <c r="J6283" s="3" t="str">
        <f t="shared" si="454"/>
        <v>8720008</v>
      </c>
    </row>
    <row r="6284" spans="2:10" s="3" customFormat="1">
      <c r="B6284" s="3" t="s">
        <v>2171</v>
      </c>
      <c r="C6284" s="8">
        <v>2</v>
      </c>
      <c r="D6284" s="3" t="s">
        <v>2195</v>
      </c>
      <c r="E6284" s="11" t="s">
        <v>11</v>
      </c>
      <c r="F6284" s="10">
        <v>1.3200000000000001E-4</v>
      </c>
      <c r="G6284" s="12">
        <f>ROUND(G$3*F6284,0)</f>
        <v>38</v>
      </c>
      <c r="H6284" s="13">
        <f>ROUND(G6284/2,0)</f>
        <v>19</v>
      </c>
      <c r="I6284" s="12">
        <f>G6284-H6284</f>
        <v>19</v>
      </c>
      <c r="J6284" s="3" t="str">
        <f t="shared" si="454"/>
        <v>8720008</v>
      </c>
    </row>
    <row r="6285" spans="2:10" s="3" customFormat="1">
      <c r="B6285" s="3" t="s">
        <v>2171</v>
      </c>
      <c r="C6285" s="8">
        <v>2</v>
      </c>
      <c r="D6285" s="3" t="s">
        <v>2196</v>
      </c>
      <c r="E6285" s="11" t="s">
        <v>1702</v>
      </c>
      <c r="F6285" s="11"/>
      <c r="G6285" s="9"/>
      <c r="H6285" s="11"/>
      <c r="I6285" s="11"/>
      <c r="J6285" s="3" t="str">
        <f t="shared" si="454"/>
        <v>8720009</v>
      </c>
    </row>
    <row r="6286" spans="2:10" s="3" customFormat="1">
      <c r="B6286" s="3" t="s">
        <v>2171</v>
      </c>
      <c r="C6286" s="8">
        <v>2</v>
      </c>
      <c r="D6286" s="3" t="s">
        <v>2196</v>
      </c>
      <c r="E6286" s="11" t="s">
        <v>10</v>
      </c>
      <c r="F6286" s="10">
        <v>1.686E-3</v>
      </c>
      <c r="G6286" s="12">
        <f>ROUND(G$3*F6286,0)</f>
        <v>485</v>
      </c>
      <c r="H6286" s="13">
        <f>ROUND(G6286/2,0)</f>
        <v>243</v>
      </c>
      <c r="I6286" s="12">
        <f>G6286-H6286</f>
        <v>242</v>
      </c>
      <c r="J6286" s="3" t="str">
        <f t="shared" si="454"/>
        <v>8720009</v>
      </c>
    </row>
    <row r="6287" spans="2:10" s="3" customFormat="1">
      <c r="B6287" s="3" t="s">
        <v>2171</v>
      </c>
      <c r="C6287" s="8">
        <v>2</v>
      </c>
      <c r="D6287" s="3" t="s">
        <v>2196</v>
      </c>
      <c r="E6287" s="11" t="s">
        <v>11</v>
      </c>
      <c r="F6287" s="10">
        <v>6.5499999999999998E-4</v>
      </c>
      <c r="G6287" s="12">
        <f>ROUND(G$3*F6287,0)</f>
        <v>188</v>
      </c>
      <c r="H6287" s="13">
        <f>ROUND(G6287/2,0)</f>
        <v>94</v>
      </c>
      <c r="I6287" s="12">
        <f>G6287-H6287</f>
        <v>94</v>
      </c>
      <c r="J6287" s="3" t="str">
        <f t="shared" si="454"/>
        <v>8720009</v>
      </c>
    </row>
    <row r="6288" spans="2:10" s="3" customFormat="1">
      <c r="B6288" s="3" t="s">
        <v>2171</v>
      </c>
      <c r="C6288" s="8">
        <v>2</v>
      </c>
      <c r="D6288" s="3" t="s">
        <v>2197</v>
      </c>
      <c r="E6288" s="11" t="s">
        <v>1785</v>
      </c>
      <c r="F6288" s="11"/>
      <c r="G6288" s="9"/>
      <c r="H6288" s="11"/>
      <c r="I6288" s="11"/>
      <c r="J6288" s="3" t="str">
        <f t="shared" si="454"/>
        <v>8720010</v>
      </c>
    </row>
    <row r="6289" spans="1:10" s="3" customFormat="1">
      <c r="B6289" s="3" t="s">
        <v>2171</v>
      </c>
      <c r="C6289" s="8">
        <v>2</v>
      </c>
      <c r="D6289" s="3" t="s">
        <v>2197</v>
      </c>
      <c r="E6289" s="11" t="s">
        <v>10</v>
      </c>
      <c r="F6289" s="10">
        <v>8.6899999999999998E-4</v>
      </c>
      <c r="G6289" s="12">
        <f t="shared" ref="G6289:G6297" si="455">ROUND(G$3*F6289,0)</f>
        <v>250</v>
      </c>
      <c r="H6289" s="13">
        <f t="shared" ref="H6289:H6297" si="456">ROUND(G6289/2,0)</f>
        <v>125</v>
      </c>
      <c r="I6289" s="12">
        <f t="shared" ref="I6289:I6297" si="457">G6289-H6289</f>
        <v>125</v>
      </c>
      <c r="J6289" s="3" t="str">
        <f t="shared" si="454"/>
        <v>8720010</v>
      </c>
    </row>
    <row r="6290" spans="1:10" s="3" customFormat="1">
      <c r="B6290" s="3" t="s">
        <v>2171</v>
      </c>
      <c r="C6290" s="8">
        <v>2</v>
      </c>
      <c r="D6290" s="3" t="s">
        <v>2197</v>
      </c>
      <c r="E6290" s="11" t="s">
        <v>11</v>
      </c>
      <c r="F6290" s="10">
        <v>7.9299999999999998E-4</v>
      </c>
      <c r="G6290" s="12">
        <f t="shared" si="455"/>
        <v>228</v>
      </c>
      <c r="H6290" s="13">
        <f t="shared" si="456"/>
        <v>114</v>
      </c>
      <c r="I6290" s="12">
        <f t="shared" si="457"/>
        <v>114</v>
      </c>
      <c r="J6290" s="3" t="str">
        <f t="shared" si="454"/>
        <v>8720010</v>
      </c>
    </row>
    <row r="6291" spans="1:10" s="3" customFormat="1">
      <c r="B6291" s="3" t="s">
        <v>2171</v>
      </c>
      <c r="C6291" s="8">
        <v>3</v>
      </c>
      <c r="D6291" s="3" t="s">
        <v>3082</v>
      </c>
      <c r="E6291" s="11" t="s">
        <v>1786</v>
      </c>
      <c r="F6291" s="10">
        <v>1.6226999999999998E-2</v>
      </c>
      <c r="G6291" s="12">
        <f t="shared" si="455"/>
        <v>4669</v>
      </c>
      <c r="H6291" s="13">
        <f t="shared" si="456"/>
        <v>2335</v>
      </c>
      <c r="I6291" s="12">
        <f t="shared" si="457"/>
        <v>2334</v>
      </c>
      <c r="J6291" s="3" t="str">
        <f t="shared" si="454"/>
        <v>8730423</v>
      </c>
    </row>
    <row r="6292" spans="1:10" s="3" customFormat="1">
      <c r="B6292" s="3" t="s">
        <v>2171</v>
      </c>
      <c r="C6292" s="8">
        <v>3</v>
      </c>
      <c r="D6292" s="3" t="s">
        <v>3083</v>
      </c>
      <c r="E6292" s="11" t="s">
        <v>1787</v>
      </c>
      <c r="F6292" s="10">
        <v>3.4123000000000001E-2</v>
      </c>
      <c r="G6292" s="12">
        <f t="shared" si="455"/>
        <v>9818</v>
      </c>
      <c r="H6292" s="13">
        <f t="shared" si="456"/>
        <v>4909</v>
      </c>
      <c r="I6292" s="12">
        <f t="shared" si="457"/>
        <v>4909</v>
      </c>
      <c r="J6292" s="3" t="str">
        <f t="shared" si="454"/>
        <v>8730913</v>
      </c>
    </row>
    <row r="6293" spans="1:10" s="3" customFormat="1">
      <c r="B6293" s="3" t="s">
        <v>2171</v>
      </c>
      <c r="C6293" s="8">
        <v>3</v>
      </c>
      <c r="D6293" s="3" t="s">
        <v>3084</v>
      </c>
      <c r="E6293" s="11" t="s">
        <v>1788</v>
      </c>
      <c r="F6293" s="10">
        <v>8.9300000000000002E-4</v>
      </c>
      <c r="G6293" s="12">
        <f t="shared" si="455"/>
        <v>257</v>
      </c>
      <c r="H6293" s="13">
        <f t="shared" si="456"/>
        <v>129</v>
      </c>
      <c r="I6293" s="12">
        <f t="shared" si="457"/>
        <v>128</v>
      </c>
      <c r="J6293" s="3" t="str">
        <f t="shared" si="454"/>
        <v>8730914</v>
      </c>
    </row>
    <row r="6294" spans="1:10" s="3" customFormat="1">
      <c r="A6294" s="3" t="s">
        <v>6269</v>
      </c>
      <c r="B6294" s="3" t="s">
        <v>2171</v>
      </c>
      <c r="C6294" s="8">
        <v>3</v>
      </c>
      <c r="D6294" s="3" t="s">
        <v>3085</v>
      </c>
      <c r="E6294" s="11" t="s">
        <v>1789</v>
      </c>
      <c r="F6294" s="10">
        <v>0</v>
      </c>
      <c r="G6294" s="12">
        <f t="shared" si="455"/>
        <v>0</v>
      </c>
      <c r="H6294" s="13">
        <f t="shared" si="456"/>
        <v>0</v>
      </c>
      <c r="I6294" s="12">
        <f t="shared" si="457"/>
        <v>0</v>
      </c>
      <c r="J6294" s="3" t="str">
        <f t="shared" si="454"/>
        <v>8730915</v>
      </c>
    </row>
    <row r="6295" spans="1:10" s="3" customFormat="1">
      <c r="B6295" s="3" t="s">
        <v>2171</v>
      </c>
      <c r="C6295" s="8">
        <v>3</v>
      </c>
      <c r="D6295" s="3" t="s">
        <v>3086</v>
      </c>
      <c r="E6295" s="11" t="s">
        <v>1790</v>
      </c>
      <c r="F6295" s="10">
        <v>1.944E-3</v>
      </c>
      <c r="G6295" s="12">
        <f t="shared" si="455"/>
        <v>559</v>
      </c>
      <c r="H6295" s="13">
        <f t="shared" si="456"/>
        <v>280</v>
      </c>
      <c r="I6295" s="12">
        <f t="shared" si="457"/>
        <v>279</v>
      </c>
      <c r="J6295" s="3" t="str">
        <f t="shared" si="454"/>
        <v>8730916</v>
      </c>
    </row>
    <row r="6296" spans="1:10" s="3" customFormat="1">
      <c r="B6296" s="3" t="s">
        <v>2171</v>
      </c>
      <c r="C6296" s="8">
        <v>3</v>
      </c>
      <c r="D6296" s="3" t="s">
        <v>3087</v>
      </c>
      <c r="E6296" s="11" t="s">
        <v>1791</v>
      </c>
      <c r="F6296" s="10">
        <v>1.75E-4</v>
      </c>
      <c r="G6296" s="12">
        <f t="shared" si="455"/>
        <v>50</v>
      </c>
      <c r="H6296" s="13">
        <f t="shared" si="456"/>
        <v>25</v>
      </c>
      <c r="I6296" s="12">
        <f t="shared" si="457"/>
        <v>25</v>
      </c>
      <c r="J6296" s="3" t="str">
        <f t="shared" si="454"/>
        <v>8730917</v>
      </c>
    </row>
    <row r="6297" spans="1:10" s="3" customFormat="1">
      <c r="B6297" s="3" t="s">
        <v>2171</v>
      </c>
      <c r="C6297" s="8">
        <v>4</v>
      </c>
      <c r="D6297" s="3" t="s">
        <v>3088</v>
      </c>
      <c r="E6297" s="11" t="s">
        <v>1792</v>
      </c>
      <c r="F6297" s="10">
        <v>0.63734100000000005</v>
      </c>
      <c r="G6297" s="9">
        <f t="shared" si="455"/>
        <v>183378</v>
      </c>
      <c r="H6297" s="11">
        <f t="shared" si="456"/>
        <v>91689</v>
      </c>
      <c r="I6297" s="9">
        <f t="shared" si="457"/>
        <v>91689</v>
      </c>
      <c r="J6297" s="3" t="str">
        <f t="shared" si="454"/>
        <v>8748130</v>
      </c>
    </row>
    <row r="6298" spans="1:10" s="3" customFormat="1">
      <c r="B6298" s="3" t="s">
        <v>2171</v>
      </c>
      <c r="C6298" s="8">
        <v>4</v>
      </c>
      <c r="D6298" s="3" t="s">
        <v>3088</v>
      </c>
      <c r="E6298" s="11" t="s">
        <v>28</v>
      </c>
      <c r="F6298" s="11"/>
      <c r="G6298" s="14">
        <v>0.48412500000000003</v>
      </c>
      <c r="H6298" s="11"/>
      <c r="I6298" s="11"/>
      <c r="J6298" s="3" t="str">
        <f t="shared" si="454"/>
        <v>8748130</v>
      </c>
    </row>
    <row r="6299" spans="1:10" s="3" customFormat="1">
      <c r="B6299" s="3" t="s">
        <v>2171</v>
      </c>
      <c r="C6299" s="8">
        <v>4</v>
      </c>
      <c r="D6299" s="3" t="s">
        <v>3088</v>
      </c>
      <c r="E6299" s="11" t="s">
        <v>29</v>
      </c>
      <c r="F6299" s="11"/>
      <c r="G6299" s="15">
        <f>ROUND(G6297*G6298,0)</f>
        <v>88778</v>
      </c>
      <c r="H6299" s="16">
        <f>ROUND(G6299/2,0)</f>
        <v>44389</v>
      </c>
      <c r="I6299" s="15">
        <f>G6299-H6299</f>
        <v>44389</v>
      </c>
      <c r="J6299" s="3" t="str">
        <f t="shared" si="454"/>
        <v>8748130</v>
      </c>
    </row>
    <row r="6300" spans="1:10" s="3" customFormat="1">
      <c r="B6300" s="3" t="s">
        <v>2171</v>
      </c>
      <c r="C6300" s="8">
        <v>4</v>
      </c>
      <c r="D6300" s="3" t="s">
        <v>3088</v>
      </c>
      <c r="E6300" s="11" t="s">
        <v>30</v>
      </c>
      <c r="F6300" s="11"/>
      <c r="G6300" s="12">
        <f>+G6297-G6299</f>
        <v>94600</v>
      </c>
      <c r="H6300" s="13">
        <f>ROUND(G6300/2,0)</f>
        <v>47300</v>
      </c>
      <c r="I6300" s="12">
        <f>G6300-H6300</f>
        <v>47300</v>
      </c>
      <c r="J6300" s="3" t="str">
        <f t="shared" si="454"/>
        <v>8748130</v>
      </c>
    </row>
    <row r="6301" spans="1:10" s="3" customFormat="1">
      <c r="B6301" s="3" t="s">
        <v>2171</v>
      </c>
      <c r="C6301" s="8">
        <v>5</v>
      </c>
      <c r="D6301" s="3" t="s">
        <v>6091</v>
      </c>
      <c r="E6301" s="11" t="s">
        <v>1793</v>
      </c>
      <c r="F6301" s="10">
        <v>1.1464E-2</v>
      </c>
      <c r="G6301" s="120">
        <f>ROUND(G$3*F6301,0)</f>
        <v>3298</v>
      </c>
      <c r="H6301" s="120">
        <f>ROUND(G6301/2,0)</f>
        <v>1649</v>
      </c>
      <c r="I6301" s="120">
        <f>G6301-H6301</f>
        <v>1649</v>
      </c>
      <c r="J6301" s="3" t="str">
        <f t="shared" si="454"/>
        <v>8750236</v>
      </c>
    </row>
    <row r="6302" spans="1:10" s="3" customFormat="1">
      <c r="B6302" s="3" t="s">
        <v>2171</v>
      </c>
      <c r="C6302" s="8">
        <v>5</v>
      </c>
      <c r="D6302" s="116" t="s">
        <v>2224</v>
      </c>
      <c r="E6302" s="11" t="s">
        <v>1794</v>
      </c>
      <c r="F6302" s="10">
        <v>2.4358999999999999E-2</v>
      </c>
      <c r="G6302" s="120">
        <f>ROUND(G$3*F6302,0)</f>
        <v>7009</v>
      </c>
      <c r="H6302" s="120">
        <f>ROUND(G6302/2,0)</f>
        <v>3505</v>
      </c>
      <c r="I6302" s="120">
        <f>G6302-H6302</f>
        <v>3504</v>
      </c>
      <c r="J6302" s="3" t="str">
        <f t="shared" si="454"/>
        <v>8750235</v>
      </c>
    </row>
    <row r="6303" spans="1:10" s="3" customFormat="1">
      <c r="B6303" s="3" t="s">
        <v>2171</v>
      </c>
      <c r="C6303" s="8">
        <v>6</v>
      </c>
      <c r="D6303" s="3" t="s">
        <v>6093</v>
      </c>
      <c r="E6303" s="11" t="s">
        <v>1795</v>
      </c>
      <c r="F6303" s="10">
        <v>1.0569999999999857E-2</v>
      </c>
      <c r="G6303" s="120">
        <f>+G6255-SUM(G6256:G6257)-SUM(G6262:G6297)-SUM(G6301:G6302)</f>
        <v>-8982</v>
      </c>
      <c r="H6303" s="120">
        <f>ROUND(G6303/2,0)</f>
        <v>-4491</v>
      </c>
      <c r="I6303" s="120">
        <f>G6303-H6303</f>
        <v>-4491</v>
      </c>
      <c r="J6303" s="3" t="str">
        <f t="shared" si="454"/>
        <v>8761032</v>
      </c>
    </row>
    <row r="6304" spans="1:10" s="3" customFormat="1">
      <c r="B6304" s="3" t="s">
        <v>2171</v>
      </c>
      <c r="C6304" s="8">
        <v>0</v>
      </c>
      <c r="D6304" s="125" t="s">
        <v>2187</v>
      </c>
      <c r="E6304" s="28" t="s">
        <v>288</v>
      </c>
      <c r="F6304" s="10">
        <v>1</v>
      </c>
      <c r="G6304" s="12">
        <f>+G6256+SUM(G6259:G6296)+SUM(G6299:G6303)</f>
        <v>275697</v>
      </c>
      <c r="H6304" s="12">
        <f>+H6256+SUM(H6259:H6296)+SUM(H6299:H6303)</f>
        <v>137856</v>
      </c>
      <c r="I6304" s="12">
        <f>+I6256+SUM(I6259:I6296)+SUM(I6299:I6303)</f>
        <v>137841</v>
      </c>
      <c r="J6304" s="3" t="str">
        <f t="shared" si="454"/>
        <v>8700000</v>
      </c>
    </row>
    <row r="6305" spans="1:10" s="3" customFormat="1">
      <c r="B6305" s="3" t="s">
        <v>2171</v>
      </c>
      <c r="C6305" s="8">
        <v>0</v>
      </c>
      <c r="D6305" s="3" t="s">
        <v>2187</v>
      </c>
      <c r="E6305" s="18" t="s">
        <v>38</v>
      </c>
      <c r="G6305" s="19">
        <f>+G6256</f>
        <v>385</v>
      </c>
      <c r="H6305" s="19">
        <f>+H6256</f>
        <v>193</v>
      </c>
      <c r="I6305" s="19">
        <f>+I6256</f>
        <v>192</v>
      </c>
      <c r="J6305" s="3" t="str">
        <f t="shared" si="454"/>
        <v>8700000</v>
      </c>
    </row>
    <row r="6306" spans="1:10" s="3" customFormat="1">
      <c r="B6306" s="3" t="s">
        <v>2171</v>
      </c>
      <c r="C6306" s="8">
        <v>0</v>
      </c>
      <c r="D6306" s="3" t="s">
        <v>2187</v>
      </c>
      <c r="E6306" s="2" t="s">
        <v>39</v>
      </c>
      <c r="G6306" s="19">
        <f>+G6259</f>
        <v>7239</v>
      </c>
      <c r="H6306" s="19">
        <f>+H6259</f>
        <v>3620</v>
      </c>
      <c r="I6306" s="19">
        <f>+I6259</f>
        <v>3619</v>
      </c>
      <c r="J6306" s="3" t="str">
        <f t="shared" si="454"/>
        <v>8700000</v>
      </c>
    </row>
    <row r="6307" spans="1:10" s="3" customFormat="1">
      <c r="B6307" s="3" t="s">
        <v>2171</v>
      </c>
      <c r="C6307" s="8">
        <v>0</v>
      </c>
      <c r="D6307" s="3" t="s">
        <v>2187</v>
      </c>
      <c r="E6307" s="2" t="s">
        <v>40</v>
      </c>
      <c r="G6307" s="19">
        <f>+G6299</f>
        <v>88778</v>
      </c>
      <c r="H6307" s="19">
        <f>+H6299</f>
        <v>44389</v>
      </c>
      <c r="I6307" s="19">
        <f>+I6299</f>
        <v>44389</v>
      </c>
      <c r="J6307" s="3" t="str">
        <f t="shared" si="454"/>
        <v>8700000</v>
      </c>
    </row>
    <row r="6308" spans="1:10" s="3" customFormat="1">
      <c r="B6308" s="3" t="s">
        <v>2171</v>
      </c>
      <c r="C6308" s="8">
        <v>0</v>
      </c>
      <c r="D6308" s="125" t="s">
        <v>2187</v>
      </c>
      <c r="E6308" s="18" t="s">
        <v>41</v>
      </c>
      <c r="G6308" s="19">
        <f>+G6304-G6305-G6306-G6307</f>
        <v>179295</v>
      </c>
      <c r="H6308" s="19">
        <f>+H6304-H6305-H6306-H6307</f>
        <v>89654</v>
      </c>
      <c r="I6308" s="19">
        <f>+I6304-I6305-I6306-I6307</f>
        <v>89641</v>
      </c>
      <c r="J6308" s="3" t="str">
        <f t="shared" si="454"/>
        <v>8700000</v>
      </c>
    </row>
    <row r="6309" spans="1:10" ht="15.75">
      <c r="B6309" s="3" t="s">
        <v>2186</v>
      </c>
      <c r="D6309" t="s">
        <v>2186</v>
      </c>
      <c r="E6309">
        <v>0</v>
      </c>
      <c r="G6309"/>
      <c r="H6309"/>
      <c r="I6309"/>
      <c r="J6309" s="3" t="str">
        <f t="shared" si="454"/>
        <v/>
      </c>
    </row>
    <row r="6310" spans="1:10" s="3" customFormat="1">
      <c r="C6310" s="1"/>
      <c r="D6310" s="3" t="s">
        <v>2186</v>
      </c>
      <c r="E6310" s="2" t="s">
        <v>1796</v>
      </c>
      <c r="J6310" s="3" t="str">
        <f t="shared" si="454"/>
        <v/>
      </c>
    </row>
    <row r="6311" spans="1:10" s="3" customFormat="1" ht="45">
      <c r="B6311" s="3" t="s">
        <v>2186</v>
      </c>
      <c r="C6311" s="1"/>
      <c r="D6311" s="3" t="s">
        <v>2186</v>
      </c>
      <c r="E6311" s="1">
        <v>0</v>
      </c>
      <c r="F6311" s="6" t="s">
        <v>1</v>
      </c>
      <c r="G6311" s="60">
        <f>'Allocation Worksheet'!H6311</f>
        <v>0</v>
      </c>
      <c r="H6311" s="60">
        <f>'Allocation Worksheet'!H6312</f>
        <v>0</v>
      </c>
      <c r="I6311" s="60">
        <f>'Allocation Worksheet'!H6313</f>
        <v>0</v>
      </c>
      <c r="J6311" s="3" t="str">
        <f t="shared" si="454"/>
        <v/>
      </c>
    </row>
    <row r="6312" spans="1:10" s="3" customFormat="1">
      <c r="C6312" s="7" t="s">
        <v>2087</v>
      </c>
      <c r="D6312" s="3" t="s">
        <v>2186</v>
      </c>
      <c r="E6312" s="7" t="s">
        <v>3</v>
      </c>
      <c r="F6312" s="10"/>
      <c r="G6312" s="9">
        <f>'Allocation Worksheet'!$D$91</f>
        <v>176760</v>
      </c>
      <c r="H6312" s="11"/>
      <c r="I6312" s="11"/>
      <c r="J6312" s="3" t="str">
        <f t="shared" si="454"/>
        <v>UT</v>
      </c>
    </row>
    <row r="6313" spans="1:10" s="3" customFormat="1">
      <c r="B6313" s="3" t="s">
        <v>2172</v>
      </c>
      <c r="C6313" s="8">
        <v>0</v>
      </c>
      <c r="D6313" s="3" t="s">
        <v>2187</v>
      </c>
      <c r="E6313" s="11" t="s">
        <v>4</v>
      </c>
      <c r="F6313" s="10">
        <v>1.217E-3</v>
      </c>
      <c r="G6313" s="12">
        <f>ROUND(G$3*F6313,0)</f>
        <v>350</v>
      </c>
      <c r="H6313" s="13">
        <f>ROUND(G6313/2,0)</f>
        <v>175</v>
      </c>
      <c r="I6313" s="12">
        <f>G6313-H6313</f>
        <v>175</v>
      </c>
      <c r="J6313" s="3" t="str">
        <f t="shared" si="454"/>
        <v>8800000</v>
      </c>
    </row>
    <row r="6314" spans="1:10" s="3" customFormat="1">
      <c r="B6314" s="3" t="s">
        <v>2172</v>
      </c>
      <c r="C6314" s="8">
        <v>1</v>
      </c>
      <c r="D6314" s="3" t="s">
        <v>2187</v>
      </c>
      <c r="E6314" s="11" t="s">
        <v>1797</v>
      </c>
      <c r="F6314" s="10">
        <v>0.25672099999999998</v>
      </c>
      <c r="G6314" s="9">
        <f>ROUND(G$3*F6314,0)</f>
        <v>73865</v>
      </c>
      <c r="H6314" s="11">
        <f>ROUND(G6314/2,0)</f>
        <v>36933</v>
      </c>
      <c r="I6314" s="9">
        <f>G6314-H6314</f>
        <v>36932</v>
      </c>
      <c r="J6314" s="3" t="str">
        <f t="shared" si="454"/>
        <v>8810000</v>
      </c>
    </row>
    <row r="6315" spans="1:10" s="3" customFormat="1">
      <c r="B6315" s="3" t="s">
        <v>2172</v>
      </c>
      <c r="C6315" s="8">
        <v>1</v>
      </c>
      <c r="D6315" s="3" t="s">
        <v>2187</v>
      </c>
      <c r="E6315" s="11" t="s">
        <v>6</v>
      </c>
      <c r="F6315" s="11"/>
      <c r="G6315" s="14">
        <v>0.220443</v>
      </c>
      <c r="H6315" s="11"/>
      <c r="I6315" s="11"/>
      <c r="J6315" s="3" t="str">
        <f t="shared" si="454"/>
        <v>8810000</v>
      </c>
    </row>
    <row r="6316" spans="1:10" s="3" customFormat="1">
      <c r="B6316" s="3" t="s">
        <v>2172</v>
      </c>
      <c r="C6316" s="8">
        <v>1</v>
      </c>
      <c r="D6316" s="3" t="s">
        <v>2187</v>
      </c>
      <c r="E6316" s="11" t="s">
        <v>7</v>
      </c>
      <c r="F6316" s="11"/>
      <c r="G6316" s="15">
        <f>ROUND(G6314*G6315,0)</f>
        <v>16283</v>
      </c>
      <c r="H6316" s="16">
        <f>ROUND(G6316/2,0)</f>
        <v>8142</v>
      </c>
      <c r="I6316" s="15">
        <f>G6316-H6316</f>
        <v>8141</v>
      </c>
      <c r="J6316" s="3" t="str">
        <f t="shared" si="454"/>
        <v>8810000</v>
      </c>
    </row>
    <row r="6317" spans="1:10" s="3" customFormat="1">
      <c r="B6317" s="3" t="s">
        <v>2172</v>
      </c>
      <c r="C6317" s="8">
        <v>1</v>
      </c>
      <c r="D6317" s="3" t="s">
        <v>2187</v>
      </c>
      <c r="E6317" s="11" t="s">
        <v>8</v>
      </c>
      <c r="F6317" s="11"/>
      <c r="G6317" s="12">
        <f>+G6314-G6316</f>
        <v>57582</v>
      </c>
      <c r="H6317" s="13">
        <f>ROUND(G6317/2,0)</f>
        <v>28791</v>
      </c>
      <c r="I6317" s="12">
        <f>G6317-H6317</f>
        <v>28791</v>
      </c>
      <c r="J6317" s="3" t="str">
        <f t="shared" si="454"/>
        <v>8810000</v>
      </c>
    </row>
    <row r="6318" spans="1:10" s="3" customFormat="1">
      <c r="B6318" s="3" t="s">
        <v>2172</v>
      </c>
      <c r="C6318" s="8">
        <v>2</v>
      </c>
      <c r="D6318" s="3" t="s">
        <v>2188</v>
      </c>
      <c r="E6318" s="11" t="s">
        <v>671</v>
      </c>
      <c r="F6318" s="11"/>
      <c r="G6318" s="9"/>
      <c r="H6318" s="11"/>
      <c r="I6318" s="11"/>
      <c r="J6318" s="3" t="str">
        <f t="shared" si="454"/>
        <v>8820001</v>
      </c>
    </row>
    <row r="6319" spans="1:10" s="3" customFormat="1">
      <c r="B6319" s="3" t="s">
        <v>2172</v>
      </c>
      <c r="C6319" s="8">
        <v>2</v>
      </c>
      <c r="D6319" s="3" t="s">
        <v>2188</v>
      </c>
      <c r="E6319" s="11" t="s">
        <v>10</v>
      </c>
      <c r="F6319" s="10">
        <v>6.7500000000000004E-4</v>
      </c>
      <c r="G6319" s="12">
        <f>ROUND(G$3*F6319,0)</f>
        <v>194</v>
      </c>
      <c r="H6319" s="13">
        <f>ROUND(G6319/2,0)</f>
        <v>97</v>
      </c>
      <c r="I6319" s="12">
        <f>G6319-H6319</f>
        <v>97</v>
      </c>
      <c r="J6319" s="3" t="str">
        <f t="shared" si="454"/>
        <v>8820001</v>
      </c>
    </row>
    <row r="6320" spans="1:10" s="3" customFormat="1">
      <c r="A6320" s="3" t="s">
        <v>6269</v>
      </c>
      <c r="B6320" s="3" t="s">
        <v>2172</v>
      </c>
      <c r="C6320" s="8">
        <v>2</v>
      </c>
      <c r="D6320" s="3" t="s">
        <v>2188</v>
      </c>
      <c r="E6320" s="11" t="s">
        <v>11</v>
      </c>
      <c r="F6320" s="10">
        <v>0</v>
      </c>
      <c r="G6320" s="12">
        <f>ROUND(G$3*F6320,0)</f>
        <v>0</v>
      </c>
      <c r="H6320" s="13">
        <f>ROUND(G6320/2,0)</f>
        <v>0</v>
      </c>
      <c r="I6320" s="12">
        <f>G6320-H6320</f>
        <v>0</v>
      </c>
      <c r="J6320" s="3" t="str">
        <f t="shared" si="454"/>
        <v>8820001</v>
      </c>
    </row>
    <row r="6321" spans="1:10" s="3" customFormat="1">
      <c r="B6321" s="3" t="s">
        <v>2172</v>
      </c>
      <c r="C6321" s="8">
        <v>2</v>
      </c>
      <c r="D6321" s="3" t="s">
        <v>2189</v>
      </c>
      <c r="E6321" s="11" t="s">
        <v>372</v>
      </c>
      <c r="F6321" s="11"/>
      <c r="G6321" s="9"/>
      <c r="H6321" s="11"/>
      <c r="I6321" s="11"/>
      <c r="J6321" s="3" t="str">
        <f t="shared" si="454"/>
        <v>8820002</v>
      </c>
    </row>
    <row r="6322" spans="1:10" s="3" customFormat="1">
      <c r="B6322" s="3" t="s">
        <v>2172</v>
      </c>
      <c r="C6322" s="8">
        <v>2</v>
      </c>
      <c r="D6322" s="3" t="s">
        <v>2189</v>
      </c>
      <c r="E6322" s="11" t="s">
        <v>10</v>
      </c>
      <c r="F6322" s="10">
        <v>9.9500000000000001E-4</v>
      </c>
      <c r="G6322" s="12">
        <f>ROUND(G$3*F6322,0)</f>
        <v>286</v>
      </c>
      <c r="H6322" s="13">
        <f>ROUND(G6322/2,0)</f>
        <v>143</v>
      </c>
      <c r="I6322" s="12">
        <f>G6322-H6322</f>
        <v>143</v>
      </c>
      <c r="J6322" s="3" t="str">
        <f t="shared" si="454"/>
        <v>8820002</v>
      </c>
    </row>
    <row r="6323" spans="1:10" s="3" customFormat="1">
      <c r="B6323" s="3" t="s">
        <v>2172</v>
      </c>
      <c r="C6323" s="8">
        <v>2</v>
      </c>
      <c r="D6323" s="3" t="s">
        <v>2189</v>
      </c>
      <c r="E6323" s="11" t="s">
        <v>11</v>
      </c>
      <c r="F6323" s="10">
        <v>6.7000000000000002E-4</v>
      </c>
      <c r="G6323" s="12">
        <f>ROUND(G$3*F6323,0)</f>
        <v>193</v>
      </c>
      <c r="H6323" s="13">
        <f>ROUND(G6323/2,0)</f>
        <v>97</v>
      </c>
      <c r="I6323" s="12">
        <f>G6323-H6323</f>
        <v>96</v>
      </c>
      <c r="J6323" s="3" t="str">
        <f t="shared" si="454"/>
        <v>8820002</v>
      </c>
    </row>
    <row r="6324" spans="1:10" s="3" customFormat="1">
      <c r="B6324" s="3" t="s">
        <v>2172</v>
      </c>
      <c r="C6324" s="8">
        <v>2</v>
      </c>
      <c r="D6324" s="3" t="s">
        <v>2190</v>
      </c>
      <c r="E6324" s="11" t="s">
        <v>1798</v>
      </c>
      <c r="F6324" s="11"/>
      <c r="G6324" s="9"/>
      <c r="H6324" s="11"/>
      <c r="I6324" s="11"/>
      <c r="J6324" s="3" t="str">
        <f t="shared" si="454"/>
        <v>8820003</v>
      </c>
    </row>
    <row r="6325" spans="1:10" s="3" customFormat="1">
      <c r="B6325" s="3" t="s">
        <v>2172</v>
      </c>
      <c r="C6325" s="8">
        <v>2</v>
      </c>
      <c r="D6325" s="3" t="s">
        <v>2190</v>
      </c>
      <c r="E6325" s="11" t="s">
        <v>10</v>
      </c>
      <c r="F6325" s="10">
        <v>7.4200000000000004E-4</v>
      </c>
      <c r="G6325" s="12">
        <f>ROUND(G$3*F6325,0)</f>
        <v>213</v>
      </c>
      <c r="H6325" s="13">
        <f>ROUND(G6325/2,0)</f>
        <v>107</v>
      </c>
      <c r="I6325" s="12">
        <f>G6325-H6325</f>
        <v>106</v>
      </c>
      <c r="J6325" s="3" t="str">
        <f t="shared" si="454"/>
        <v>8820003</v>
      </c>
    </row>
    <row r="6326" spans="1:10" s="3" customFormat="1">
      <c r="B6326" s="3" t="s">
        <v>2172</v>
      </c>
      <c r="C6326" s="8">
        <v>2</v>
      </c>
      <c r="D6326" s="3" t="s">
        <v>2190</v>
      </c>
      <c r="E6326" s="11" t="s">
        <v>11</v>
      </c>
      <c r="F6326" s="10">
        <v>9.5399999999999999E-4</v>
      </c>
      <c r="G6326" s="12">
        <f>ROUND(G$3*F6326,0)</f>
        <v>274</v>
      </c>
      <c r="H6326" s="13">
        <f>ROUND(G6326/2,0)</f>
        <v>137</v>
      </c>
      <c r="I6326" s="12">
        <f>G6326-H6326</f>
        <v>137</v>
      </c>
      <c r="J6326" s="3" t="str">
        <f t="shared" si="454"/>
        <v>8820003</v>
      </c>
    </row>
    <row r="6327" spans="1:10" s="3" customFormat="1">
      <c r="B6327" s="3" t="s">
        <v>2172</v>
      </c>
      <c r="C6327" s="8">
        <v>2</v>
      </c>
      <c r="D6327" s="3" t="s">
        <v>2191</v>
      </c>
      <c r="E6327" s="11" t="s">
        <v>777</v>
      </c>
      <c r="F6327" s="11"/>
      <c r="G6327" s="9"/>
      <c r="H6327" s="11"/>
      <c r="I6327" s="11"/>
      <c r="J6327" s="3" t="str">
        <f t="shared" si="454"/>
        <v>8820004</v>
      </c>
    </row>
    <row r="6328" spans="1:10" s="3" customFormat="1">
      <c r="B6328" s="3" t="s">
        <v>2172</v>
      </c>
      <c r="C6328" s="8">
        <v>2</v>
      </c>
      <c r="D6328" s="3" t="s">
        <v>2191</v>
      </c>
      <c r="E6328" s="11" t="s">
        <v>10</v>
      </c>
      <c r="F6328" s="10">
        <v>1.3899999999999999E-4</v>
      </c>
      <c r="G6328" s="12">
        <f>ROUND(G$3*F6328,0)</f>
        <v>40</v>
      </c>
      <c r="H6328" s="13">
        <f>ROUND(G6328/2,0)</f>
        <v>20</v>
      </c>
      <c r="I6328" s="12">
        <f>G6328-H6328</f>
        <v>20</v>
      </c>
      <c r="J6328" s="3" t="str">
        <f t="shared" si="454"/>
        <v>8820004</v>
      </c>
    </row>
    <row r="6329" spans="1:10" s="3" customFormat="1">
      <c r="A6329" s="3" t="s">
        <v>6269</v>
      </c>
      <c r="B6329" s="3" t="s">
        <v>2172</v>
      </c>
      <c r="C6329" s="8">
        <v>2</v>
      </c>
      <c r="D6329" s="3" t="s">
        <v>2191</v>
      </c>
      <c r="E6329" s="11" t="s">
        <v>11</v>
      </c>
      <c r="F6329" s="10">
        <v>0</v>
      </c>
      <c r="G6329" s="12">
        <f>ROUND(G$3*F6329,0)</f>
        <v>0</v>
      </c>
      <c r="H6329" s="13">
        <f>ROUND(G6329/2,0)</f>
        <v>0</v>
      </c>
      <c r="I6329" s="12">
        <f>G6329-H6329</f>
        <v>0</v>
      </c>
      <c r="J6329" s="3" t="str">
        <f t="shared" si="454"/>
        <v>8820004</v>
      </c>
    </row>
    <row r="6330" spans="1:10" s="3" customFormat="1">
      <c r="B6330" s="3" t="s">
        <v>2172</v>
      </c>
      <c r="C6330" s="8">
        <v>2</v>
      </c>
      <c r="D6330" s="3" t="s">
        <v>2192</v>
      </c>
      <c r="E6330" s="11" t="s">
        <v>49</v>
      </c>
      <c r="F6330" s="11"/>
      <c r="G6330" s="9"/>
      <c r="H6330" s="11"/>
      <c r="I6330" s="11"/>
      <c r="J6330" s="3" t="str">
        <f t="shared" si="454"/>
        <v>8820005</v>
      </c>
    </row>
    <row r="6331" spans="1:10" s="3" customFormat="1">
      <c r="B6331" s="3" t="s">
        <v>2172</v>
      </c>
      <c r="C6331" s="8">
        <v>2</v>
      </c>
      <c r="D6331" s="3" t="s">
        <v>2192</v>
      </c>
      <c r="E6331" s="11" t="s">
        <v>10</v>
      </c>
      <c r="F6331" s="10">
        <v>7.3200000000000001E-4</v>
      </c>
      <c r="G6331" s="12">
        <f>ROUND(G$3*F6331,0)</f>
        <v>211</v>
      </c>
      <c r="H6331" s="13">
        <f>ROUND(G6331/2,0)</f>
        <v>106</v>
      </c>
      <c r="I6331" s="12">
        <f>G6331-H6331</f>
        <v>105</v>
      </c>
      <c r="J6331" s="3" t="str">
        <f t="shared" si="454"/>
        <v>8820005</v>
      </c>
    </row>
    <row r="6332" spans="1:10" s="3" customFormat="1">
      <c r="B6332" s="3" t="s">
        <v>2172</v>
      </c>
      <c r="C6332" s="8">
        <v>2</v>
      </c>
      <c r="D6332" s="3" t="s">
        <v>2192</v>
      </c>
      <c r="E6332" s="11" t="s">
        <v>11</v>
      </c>
      <c r="F6332" s="10">
        <v>5.31E-4</v>
      </c>
      <c r="G6332" s="12">
        <f>ROUND(G$3*F6332,0)</f>
        <v>153</v>
      </c>
      <c r="H6332" s="13">
        <f>ROUND(G6332/2,0)</f>
        <v>77</v>
      </c>
      <c r="I6332" s="12">
        <f>G6332-H6332</f>
        <v>76</v>
      </c>
      <c r="J6332" s="3" t="str">
        <f t="shared" si="454"/>
        <v>8820005</v>
      </c>
    </row>
    <row r="6333" spans="1:10" s="3" customFormat="1">
      <c r="B6333" s="3" t="s">
        <v>2172</v>
      </c>
      <c r="C6333" s="8">
        <v>2</v>
      </c>
      <c r="D6333" s="3" t="s">
        <v>2193</v>
      </c>
      <c r="E6333" s="11" t="s">
        <v>14</v>
      </c>
      <c r="F6333" s="11"/>
      <c r="G6333" s="9"/>
      <c r="H6333" s="11"/>
      <c r="I6333" s="11"/>
      <c r="J6333" s="3" t="str">
        <f t="shared" si="454"/>
        <v>8820006</v>
      </c>
    </row>
    <row r="6334" spans="1:10" s="3" customFormat="1">
      <c r="B6334" s="3" t="s">
        <v>2172</v>
      </c>
      <c r="C6334" s="8">
        <v>2</v>
      </c>
      <c r="D6334" s="3" t="s">
        <v>2193</v>
      </c>
      <c r="E6334" s="11" t="s">
        <v>10</v>
      </c>
      <c r="F6334" s="10">
        <v>4.64E-4</v>
      </c>
      <c r="G6334" s="12">
        <f>ROUND(G$3*F6334,0)</f>
        <v>134</v>
      </c>
      <c r="H6334" s="13">
        <f>ROUND(G6334/2,0)</f>
        <v>67</v>
      </c>
      <c r="I6334" s="12">
        <f>G6334-H6334</f>
        <v>67</v>
      </c>
      <c r="J6334" s="3" t="str">
        <f t="shared" si="454"/>
        <v>8820006</v>
      </c>
    </row>
    <row r="6335" spans="1:10" s="3" customFormat="1">
      <c r="B6335" s="3" t="s">
        <v>2172</v>
      </c>
      <c r="C6335" s="8">
        <v>2</v>
      </c>
      <c r="D6335" s="3" t="s">
        <v>2193</v>
      </c>
      <c r="E6335" s="11" t="s">
        <v>11</v>
      </c>
      <c r="F6335" s="10">
        <v>9.2999999999999997E-5</v>
      </c>
      <c r="G6335" s="12">
        <f>ROUND(G$3*F6335,0)</f>
        <v>27</v>
      </c>
      <c r="H6335" s="13">
        <f>ROUND(G6335/2,0)</f>
        <v>14</v>
      </c>
      <c r="I6335" s="12">
        <f>G6335-H6335</f>
        <v>13</v>
      </c>
      <c r="J6335" s="3" t="str">
        <f t="shared" si="454"/>
        <v>8820006</v>
      </c>
    </row>
    <row r="6336" spans="1:10" s="3" customFormat="1">
      <c r="B6336" s="3" t="s">
        <v>2172</v>
      </c>
      <c r="C6336" s="8">
        <v>2</v>
      </c>
      <c r="D6336" s="3" t="s">
        <v>2194</v>
      </c>
      <c r="E6336" s="11" t="s">
        <v>52</v>
      </c>
      <c r="F6336" s="11"/>
      <c r="G6336" s="9"/>
      <c r="H6336" s="11"/>
      <c r="I6336" s="11"/>
      <c r="J6336" s="3" t="str">
        <f t="shared" si="454"/>
        <v>8820007</v>
      </c>
    </row>
    <row r="6337" spans="2:10" s="3" customFormat="1">
      <c r="B6337" s="3" t="s">
        <v>2172</v>
      </c>
      <c r="C6337" s="8">
        <v>2</v>
      </c>
      <c r="D6337" s="3" t="s">
        <v>2194</v>
      </c>
      <c r="E6337" s="11" t="s">
        <v>10</v>
      </c>
      <c r="F6337" s="10">
        <v>8.8199999999999997E-4</v>
      </c>
      <c r="G6337" s="12">
        <f>ROUND(G$3*F6337,0)</f>
        <v>254</v>
      </c>
      <c r="H6337" s="13">
        <f>ROUND(G6337/2,0)</f>
        <v>127</v>
      </c>
      <c r="I6337" s="12">
        <f>G6337-H6337</f>
        <v>127</v>
      </c>
      <c r="J6337" s="3" t="str">
        <f t="shared" si="454"/>
        <v>8820007</v>
      </c>
    </row>
    <row r="6338" spans="2:10" s="3" customFormat="1">
      <c r="B6338" s="3" t="s">
        <v>2172</v>
      </c>
      <c r="C6338" s="8">
        <v>2</v>
      </c>
      <c r="D6338" s="3" t="s">
        <v>2194</v>
      </c>
      <c r="E6338" s="11" t="s">
        <v>11</v>
      </c>
      <c r="F6338" s="10">
        <v>7.3200000000000001E-4</v>
      </c>
      <c r="G6338" s="12">
        <f>ROUND(G$3*F6338,0)</f>
        <v>211</v>
      </c>
      <c r="H6338" s="13">
        <f>ROUND(G6338/2,0)</f>
        <v>106</v>
      </c>
      <c r="I6338" s="12">
        <f>G6338-H6338</f>
        <v>105</v>
      </c>
      <c r="J6338" s="3" t="str">
        <f t="shared" si="454"/>
        <v>8820007</v>
      </c>
    </row>
    <row r="6339" spans="2:10" s="3" customFormat="1">
      <c r="B6339" s="3" t="s">
        <v>2172</v>
      </c>
      <c r="C6339" s="8">
        <v>2</v>
      </c>
      <c r="D6339" s="3" t="s">
        <v>2195</v>
      </c>
      <c r="E6339" s="11" t="s">
        <v>16</v>
      </c>
      <c r="F6339" s="11"/>
      <c r="G6339" s="9"/>
      <c r="H6339" s="11"/>
      <c r="I6339" s="11"/>
      <c r="J6339" s="3" t="str">
        <f t="shared" si="454"/>
        <v>8820008</v>
      </c>
    </row>
    <row r="6340" spans="2:10" s="3" customFormat="1">
      <c r="B6340" s="3" t="s">
        <v>2172</v>
      </c>
      <c r="C6340" s="8">
        <v>2</v>
      </c>
      <c r="D6340" s="3" t="s">
        <v>2195</v>
      </c>
      <c r="E6340" s="11" t="s">
        <v>10</v>
      </c>
      <c r="F6340" s="10">
        <v>2.9290000000000002E-3</v>
      </c>
      <c r="G6340" s="12">
        <f>ROUND(G$3*F6340,0)</f>
        <v>843</v>
      </c>
      <c r="H6340" s="13">
        <f>ROUND(G6340/2,0)</f>
        <v>422</v>
      </c>
      <c r="I6340" s="12">
        <f>G6340-H6340</f>
        <v>421</v>
      </c>
      <c r="J6340" s="3" t="str">
        <f t="shared" ref="J6340:J6403" si="458">B6340&amp;C6340&amp;D6340</f>
        <v>8820008</v>
      </c>
    </row>
    <row r="6341" spans="2:10" s="3" customFormat="1">
      <c r="B6341" s="3" t="s">
        <v>2172</v>
      </c>
      <c r="C6341" s="8">
        <v>2</v>
      </c>
      <c r="D6341" s="3" t="s">
        <v>2195</v>
      </c>
      <c r="E6341" s="11" t="s">
        <v>11</v>
      </c>
      <c r="F6341" s="10">
        <v>6.1399999999999996E-4</v>
      </c>
      <c r="G6341" s="12">
        <f>ROUND(G$3*F6341,0)</f>
        <v>177</v>
      </c>
      <c r="H6341" s="13">
        <f>ROUND(G6341/2,0)</f>
        <v>89</v>
      </c>
      <c r="I6341" s="12">
        <f>G6341-H6341</f>
        <v>88</v>
      </c>
      <c r="J6341" s="3" t="str">
        <f t="shared" si="458"/>
        <v>8820008</v>
      </c>
    </row>
    <row r="6342" spans="2:10" s="3" customFormat="1">
      <c r="B6342" s="3" t="s">
        <v>2172</v>
      </c>
      <c r="C6342" s="8">
        <v>2</v>
      </c>
      <c r="D6342" s="3" t="s">
        <v>2196</v>
      </c>
      <c r="E6342" s="11" t="s">
        <v>1799</v>
      </c>
      <c r="F6342" s="11"/>
      <c r="G6342" s="9"/>
      <c r="H6342" s="11"/>
      <c r="I6342" s="11"/>
      <c r="J6342" s="3" t="str">
        <f t="shared" si="458"/>
        <v>8820009</v>
      </c>
    </row>
    <row r="6343" spans="2:10" s="3" customFormat="1">
      <c r="B6343" s="3" t="s">
        <v>2172</v>
      </c>
      <c r="C6343" s="8">
        <v>2</v>
      </c>
      <c r="D6343" s="3" t="s">
        <v>2196</v>
      </c>
      <c r="E6343" s="11" t="s">
        <v>10</v>
      </c>
      <c r="F6343" s="10">
        <v>3.5599999999999998E-4</v>
      </c>
      <c r="G6343" s="12">
        <f>ROUND(G$3*F6343,0)</f>
        <v>102</v>
      </c>
      <c r="H6343" s="13">
        <f>ROUND(G6343/2,0)</f>
        <v>51</v>
      </c>
      <c r="I6343" s="12">
        <f>G6343-H6343</f>
        <v>51</v>
      </c>
      <c r="J6343" s="3" t="str">
        <f t="shared" si="458"/>
        <v>8820009</v>
      </c>
    </row>
    <row r="6344" spans="2:10" s="3" customFormat="1">
      <c r="B6344" s="3" t="s">
        <v>2172</v>
      </c>
      <c r="C6344" s="8">
        <v>2</v>
      </c>
      <c r="D6344" s="3" t="s">
        <v>2196</v>
      </c>
      <c r="E6344" s="11" t="s">
        <v>11</v>
      </c>
      <c r="F6344" s="10">
        <v>3.0400000000000002E-4</v>
      </c>
      <c r="G6344" s="12">
        <f>ROUND(G$3*F6344,0)</f>
        <v>87</v>
      </c>
      <c r="H6344" s="13">
        <f>ROUND(G6344/2,0)</f>
        <v>44</v>
      </c>
      <c r="I6344" s="12">
        <f>G6344-H6344</f>
        <v>43</v>
      </c>
      <c r="J6344" s="3" t="str">
        <f t="shared" si="458"/>
        <v>8820009</v>
      </c>
    </row>
    <row r="6345" spans="2:10" s="3" customFormat="1">
      <c r="B6345" s="3" t="s">
        <v>2172</v>
      </c>
      <c r="C6345" s="8">
        <v>2</v>
      </c>
      <c r="D6345" s="3" t="s">
        <v>2197</v>
      </c>
      <c r="E6345" s="11" t="s">
        <v>795</v>
      </c>
      <c r="F6345" s="11"/>
      <c r="G6345" s="9"/>
      <c r="H6345" s="11"/>
      <c r="I6345" s="11"/>
      <c r="J6345" s="3" t="str">
        <f t="shared" si="458"/>
        <v>8820010</v>
      </c>
    </row>
    <row r="6346" spans="2:10" s="3" customFormat="1">
      <c r="B6346" s="3" t="s">
        <v>2172</v>
      </c>
      <c r="C6346" s="8">
        <v>2</v>
      </c>
      <c r="D6346" s="3" t="s">
        <v>2197</v>
      </c>
      <c r="E6346" s="11" t="s">
        <v>10</v>
      </c>
      <c r="F6346" s="10">
        <v>1.165E-3</v>
      </c>
      <c r="G6346" s="12">
        <f>ROUND(G$3*F6346,0)</f>
        <v>335</v>
      </c>
      <c r="H6346" s="13">
        <f>ROUND(G6346/2,0)</f>
        <v>168</v>
      </c>
      <c r="I6346" s="12">
        <f>G6346-H6346</f>
        <v>167</v>
      </c>
      <c r="J6346" s="3" t="str">
        <f t="shared" si="458"/>
        <v>8820010</v>
      </c>
    </row>
    <row r="6347" spans="2:10" s="3" customFormat="1">
      <c r="B6347" s="3" t="s">
        <v>2172</v>
      </c>
      <c r="C6347" s="8">
        <v>2</v>
      </c>
      <c r="D6347" s="3" t="s">
        <v>2197</v>
      </c>
      <c r="E6347" s="11" t="s">
        <v>11</v>
      </c>
      <c r="F6347" s="10">
        <v>5.4699999999999996E-4</v>
      </c>
      <c r="G6347" s="12">
        <f>ROUND(G$3*F6347,0)</f>
        <v>157</v>
      </c>
      <c r="H6347" s="13">
        <f>ROUND(G6347/2,0)</f>
        <v>79</v>
      </c>
      <c r="I6347" s="12">
        <f>G6347-H6347</f>
        <v>78</v>
      </c>
      <c r="J6347" s="3" t="str">
        <f t="shared" si="458"/>
        <v>8820010</v>
      </c>
    </row>
    <row r="6348" spans="2:10" s="3" customFormat="1">
      <c r="B6348" s="3" t="s">
        <v>2172</v>
      </c>
      <c r="C6348" s="8">
        <v>2</v>
      </c>
      <c r="D6348" s="3" t="s">
        <v>2198</v>
      </c>
      <c r="E6348" s="11" t="s">
        <v>252</v>
      </c>
      <c r="F6348" s="11"/>
      <c r="G6348" s="9"/>
      <c r="H6348" s="11"/>
      <c r="I6348" s="11"/>
      <c r="J6348" s="3" t="str">
        <f t="shared" si="458"/>
        <v>8820011</v>
      </c>
    </row>
    <row r="6349" spans="2:10" s="3" customFormat="1">
      <c r="B6349" s="3" t="s">
        <v>2172</v>
      </c>
      <c r="C6349" s="8">
        <v>2</v>
      </c>
      <c r="D6349" s="3" t="s">
        <v>2198</v>
      </c>
      <c r="E6349" s="11" t="s">
        <v>10</v>
      </c>
      <c r="F6349" s="10">
        <v>6.0300000000000002E-4</v>
      </c>
      <c r="G6349" s="12">
        <f>ROUND(G$3*F6349,0)</f>
        <v>173</v>
      </c>
      <c r="H6349" s="13">
        <f>ROUND(G6349/2,0)</f>
        <v>87</v>
      </c>
      <c r="I6349" s="12">
        <f>G6349-H6349</f>
        <v>86</v>
      </c>
      <c r="J6349" s="3" t="str">
        <f t="shared" si="458"/>
        <v>8820011</v>
      </c>
    </row>
    <row r="6350" spans="2:10" s="3" customFormat="1">
      <c r="B6350" s="3" t="s">
        <v>2172</v>
      </c>
      <c r="C6350" s="8">
        <v>2</v>
      </c>
      <c r="D6350" s="3" t="s">
        <v>2198</v>
      </c>
      <c r="E6350" s="11" t="s">
        <v>11</v>
      </c>
      <c r="F6350" s="10">
        <v>6.3400000000000001E-4</v>
      </c>
      <c r="G6350" s="12">
        <f>ROUND(G$3*F6350,0)</f>
        <v>182</v>
      </c>
      <c r="H6350" s="13">
        <f>ROUND(G6350/2,0)</f>
        <v>91</v>
      </c>
      <c r="I6350" s="12">
        <f>G6350-H6350</f>
        <v>91</v>
      </c>
      <c r="J6350" s="3" t="str">
        <f t="shared" si="458"/>
        <v>8820011</v>
      </c>
    </row>
    <row r="6351" spans="2:10" s="3" customFormat="1">
      <c r="B6351" s="3" t="s">
        <v>2172</v>
      </c>
      <c r="C6351" s="8">
        <v>2</v>
      </c>
      <c r="D6351" s="3" t="s">
        <v>2199</v>
      </c>
      <c r="E6351" s="11" t="s">
        <v>673</v>
      </c>
      <c r="F6351" s="11"/>
      <c r="G6351" s="9"/>
      <c r="H6351" s="11"/>
      <c r="I6351" s="11"/>
      <c r="J6351" s="3" t="str">
        <f t="shared" si="458"/>
        <v>8820012</v>
      </c>
    </row>
    <row r="6352" spans="2:10" s="3" customFormat="1">
      <c r="B6352" s="3" t="s">
        <v>2172</v>
      </c>
      <c r="C6352" s="8">
        <v>2</v>
      </c>
      <c r="D6352" s="3" t="s">
        <v>2199</v>
      </c>
      <c r="E6352" s="11" t="s">
        <v>10</v>
      </c>
      <c r="F6352" s="10">
        <v>7.27E-4</v>
      </c>
      <c r="G6352" s="12">
        <f>ROUND(G$3*F6352,0)</f>
        <v>209</v>
      </c>
      <c r="H6352" s="13">
        <f>ROUND(G6352/2,0)</f>
        <v>105</v>
      </c>
      <c r="I6352" s="12">
        <f>G6352-H6352</f>
        <v>104</v>
      </c>
      <c r="J6352" s="3" t="str">
        <f t="shared" si="458"/>
        <v>8820012</v>
      </c>
    </row>
    <row r="6353" spans="1:11" s="3" customFormat="1">
      <c r="A6353" s="3" t="s">
        <v>6269</v>
      </c>
      <c r="B6353" s="3" t="s">
        <v>2172</v>
      </c>
      <c r="C6353" s="8">
        <v>2</v>
      </c>
      <c r="D6353" s="3" t="s">
        <v>2199</v>
      </c>
      <c r="E6353" s="11" t="s">
        <v>11</v>
      </c>
      <c r="F6353" s="10">
        <v>0</v>
      </c>
      <c r="G6353" s="12">
        <f>ROUND(G$3*F6353,0)</f>
        <v>0</v>
      </c>
      <c r="H6353" s="13">
        <f>ROUND(G6353/2,0)</f>
        <v>0</v>
      </c>
      <c r="I6353" s="12">
        <f>G6353-H6353</f>
        <v>0</v>
      </c>
      <c r="J6353" s="3" t="str">
        <f t="shared" si="458"/>
        <v>8820012</v>
      </c>
    </row>
    <row r="6354" spans="1:11" s="3" customFormat="1">
      <c r="B6354" s="3" t="s">
        <v>2172</v>
      </c>
      <c r="C6354" s="8">
        <v>2</v>
      </c>
      <c r="D6354" s="3" t="s">
        <v>2208</v>
      </c>
      <c r="E6354" s="11" t="s">
        <v>22</v>
      </c>
      <c r="F6354" s="11"/>
      <c r="G6354" s="9"/>
      <c r="H6354" s="11"/>
      <c r="I6354" s="11"/>
      <c r="J6354" s="3" t="str">
        <f t="shared" si="458"/>
        <v>8820013</v>
      </c>
    </row>
    <row r="6355" spans="1:11" s="3" customFormat="1">
      <c r="B6355" s="3" t="s">
        <v>2172</v>
      </c>
      <c r="C6355" s="8">
        <v>2</v>
      </c>
      <c r="D6355" s="3" t="s">
        <v>2208</v>
      </c>
      <c r="E6355" s="11" t="s">
        <v>10</v>
      </c>
      <c r="F6355" s="10">
        <v>5.3930000000000002E-3</v>
      </c>
      <c r="G6355" s="12">
        <f t="shared" ref="G6355:G6365" si="459">ROUND(G$3*F6355,0)</f>
        <v>1552</v>
      </c>
      <c r="H6355" s="13">
        <f t="shared" ref="H6355:H6365" si="460">ROUND(G6355/2,0)</f>
        <v>776</v>
      </c>
      <c r="I6355" s="12">
        <f t="shared" ref="I6355:I6365" si="461">G6355-H6355</f>
        <v>776</v>
      </c>
      <c r="J6355" s="3" t="str">
        <f t="shared" si="458"/>
        <v>8820013</v>
      </c>
    </row>
    <row r="6356" spans="1:11" s="3" customFormat="1">
      <c r="B6356" s="3" t="s">
        <v>2172</v>
      </c>
      <c r="C6356" s="8">
        <v>2</v>
      </c>
      <c r="D6356" s="3" t="s">
        <v>2208</v>
      </c>
      <c r="E6356" s="11" t="s">
        <v>11</v>
      </c>
      <c r="F6356" s="10">
        <v>2.748E-3</v>
      </c>
      <c r="G6356" s="12">
        <f t="shared" si="459"/>
        <v>791</v>
      </c>
      <c r="H6356" s="13">
        <f t="shared" si="460"/>
        <v>396</v>
      </c>
      <c r="I6356" s="12">
        <f t="shared" si="461"/>
        <v>395</v>
      </c>
      <c r="J6356" s="3" t="str">
        <f t="shared" si="458"/>
        <v>8820013</v>
      </c>
    </row>
    <row r="6357" spans="1:11" s="3" customFormat="1">
      <c r="B6357" s="3" t="s">
        <v>2172</v>
      </c>
      <c r="C6357" s="8">
        <v>3</v>
      </c>
      <c r="D6357" s="3" t="s">
        <v>3090</v>
      </c>
      <c r="E6357" s="11" t="s">
        <v>1800</v>
      </c>
      <c r="F6357" s="10">
        <v>5.7200000000000003E-4</v>
      </c>
      <c r="G6357" s="12">
        <f t="shared" si="459"/>
        <v>165</v>
      </c>
      <c r="H6357" s="13">
        <f t="shared" si="460"/>
        <v>83</v>
      </c>
      <c r="I6357" s="12">
        <f t="shared" si="461"/>
        <v>82</v>
      </c>
      <c r="J6357" s="3" t="str">
        <f t="shared" si="458"/>
        <v>8830918</v>
      </c>
    </row>
    <row r="6358" spans="1:11" s="3" customFormat="1">
      <c r="A6358" s="3" t="s">
        <v>6269</v>
      </c>
      <c r="B6358" s="3" t="s">
        <v>2172</v>
      </c>
      <c r="C6358" s="8">
        <v>3</v>
      </c>
      <c r="D6358" s="3" t="s">
        <v>6271</v>
      </c>
      <c r="E6358" s="11" t="s">
        <v>1801</v>
      </c>
      <c r="F6358" s="10">
        <v>0</v>
      </c>
      <c r="G6358" s="12">
        <f t="shared" si="459"/>
        <v>0</v>
      </c>
      <c r="H6358" s="13">
        <f t="shared" si="460"/>
        <v>0</v>
      </c>
      <c r="I6358" s="12">
        <f t="shared" si="461"/>
        <v>0</v>
      </c>
      <c r="J6358" s="3" t="str">
        <f t="shared" si="458"/>
        <v>883xxxx</v>
      </c>
    </row>
    <row r="6359" spans="1:11" s="128" customFormat="1">
      <c r="B6359" s="128" t="s">
        <v>2172</v>
      </c>
      <c r="C6359" s="129">
        <v>3</v>
      </c>
      <c r="D6359" s="128" t="s">
        <v>6271</v>
      </c>
      <c r="E6359" s="131" t="s">
        <v>1802</v>
      </c>
      <c r="F6359" s="133">
        <v>1.0000000000000001E-5</v>
      </c>
      <c r="G6359" s="134">
        <f t="shared" si="459"/>
        <v>3</v>
      </c>
      <c r="H6359" s="135">
        <f t="shared" si="460"/>
        <v>2</v>
      </c>
      <c r="I6359" s="134">
        <f t="shared" si="461"/>
        <v>1</v>
      </c>
      <c r="J6359" s="128" t="str">
        <f t="shared" si="458"/>
        <v>883xxxx</v>
      </c>
      <c r="K6359" s="128" t="s">
        <v>6379</v>
      </c>
    </row>
    <row r="6360" spans="1:11" s="3" customFormat="1">
      <c r="B6360" s="3" t="s">
        <v>2172</v>
      </c>
      <c r="C6360" s="8">
        <v>3</v>
      </c>
      <c r="D6360" s="3" t="s">
        <v>3091</v>
      </c>
      <c r="E6360" s="11" t="s">
        <v>1803</v>
      </c>
      <c r="F6360" s="10">
        <v>2.0999999999999999E-5</v>
      </c>
      <c r="G6360" s="12">
        <f t="shared" si="459"/>
        <v>6</v>
      </c>
      <c r="H6360" s="13">
        <f t="shared" si="460"/>
        <v>3</v>
      </c>
      <c r="I6360" s="12">
        <f t="shared" si="461"/>
        <v>3</v>
      </c>
      <c r="J6360" s="3" t="str">
        <f t="shared" si="458"/>
        <v>8830921</v>
      </c>
    </row>
    <row r="6361" spans="1:11" s="3" customFormat="1">
      <c r="B6361" s="3" t="s">
        <v>2172</v>
      </c>
      <c r="C6361" s="8">
        <v>3</v>
      </c>
      <c r="D6361" s="3" t="s">
        <v>2401</v>
      </c>
      <c r="E6361" s="11" t="s">
        <v>1804</v>
      </c>
      <c r="F6361" s="10">
        <v>4.3300000000000001E-4</v>
      </c>
      <c r="G6361" s="12">
        <f t="shared" si="459"/>
        <v>125</v>
      </c>
      <c r="H6361" s="13">
        <f t="shared" si="460"/>
        <v>63</v>
      </c>
      <c r="I6361" s="12">
        <f t="shared" si="461"/>
        <v>62</v>
      </c>
      <c r="J6361" s="3" t="str">
        <f t="shared" si="458"/>
        <v>8830922</v>
      </c>
    </row>
    <row r="6362" spans="1:11" s="3" customFormat="1">
      <c r="B6362" s="3" t="s">
        <v>2172</v>
      </c>
      <c r="C6362" s="8">
        <v>3</v>
      </c>
      <c r="D6362" s="3" t="s">
        <v>3092</v>
      </c>
      <c r="E6362" s="11" t="s">
        <v>1805</v>
      </c>
      <c r="F6362" s="10">
        <v>4.3620000000000004E-3</v>
      </c>
      <c r="G6362" s="12">
        <f t="shared" si="459"/>
        <v>1255</v>
      </c>
      <c r="H6362" s="13">
        <f t="shared" si="460"/>
        <v>628</v>
      </c>
      <c r="I6362" s="12">
        <f t="shared" si="461"/>
        <v>627</v>
      </c>
      <c r="J6362" s="3" t="str">
        <f t="shared" si="458"/>
        <v>8830923</v>
      </c>
    </row>
    <row r="6363" spans="1:11" s="3" customFormat="1">
      <c r="B6363" s="3" t="s">
        <v>2172</v>
      </c>
      <c r="C6363" s="8">
        <v>3</v>
      </c>
      <c r="D6363" s="3" t="s">
        <v>3089</v>
      </c>
      <c r="E6363" s="11" t="s">
        <v>1806</v>
      </c>
      <c r="F6363" s="10">
        <v>7.5005000000000002E-2</v>
      </c>
      <c r="G6363" s="12">
        <f t="shared" si="459"/>
        <v>21581</v>
      </c>
      <c r="H6363" s="13">
        <f t="shared" si="460"/>
        <v>10791</v>
      </c>
      <c r="I6363" s="12">
        <f t="shared" si="461"/>
        <v>10790</v>
      </c>
      <c r="J6363" s="3" t="str">
        <f t="shared" si="458"/>
        <v>8830431</v>
      </c>
    </row>
    <row r="6364" spans="1:11" s="3" customFormat="1">
      <c r="B6364" s="3" t="s">
        <v>2172</v>
      </c>
      <c r="C6364" s="8">
        <v>3</v>
      </c>
      <c r="D6364" s="3" t="s">
        <v>3093</v>
      </c>
      <c r="E6364" s="11" t="s">
        <v>1807</v>
      </c>
      <c r="F6364" s="10">
        <v>7.1199999999999996E-4</v>
      </c>
      <c r="G6364" s="12">
        <f t="shared" si="459"/>
        <v>205</v>
      </c>
      <c r="H6364" s="13">
        <f t="shared" si="460"/>
        <v>103</v>
      </c>
      <c r="I6364" s="12">
        <f t="shared" si="461"/>
        <v>102</v>
      </c>
      <c r="J6364" s="3" t="str">
        <f t="shared" si="458"/>
        <v>8830924</v>
      </c>
    </row>
    <row r="6365" spans="1:11" s="3" customFormat="1">
      <c r="B6365" s="3" t="s">
        <v>2172</v>
      </c>
      <c r="C6365" s="8">
        <v>4</v>
      </c>
      <c r="D6365" s="3" t="s">
        <v>3095</v>
      </c>
      <c r="E6365" s="11" t="s">
        <v>1808</v>
      </c>
      <c r="F6365" s="10">
        <v>0.122225</v>
      </c>
      <c r="G6365" s="9">
        <f t="shared" si="459"/>
        <v>35167</v>
      </c>
      <c r="H6365" s="11">
        <f t="shared" si="460"/>
        <v>17584</v>
      </c>
      <c r="I6365" s="9">
        <f t="shared" si="461"/>
        <v>17583</v>
      </c>
      <c r="J6365" s="3" t="str">
        <f t="shared" si="458"/>
        <v>8848215</v>
      </c>
    </row>
    <row r="6366" spans="1:11" s="3" customFormat="1">
      <c r="B6366" s="3" t="s">
        <v>2172</v>
      </c>
      <c r="C6366" s="8">
        <v>4</v>
      </c>
      <c r="D6366" s="3" t="s">
        <v>3095</v>
      </c>
      <c r="E6366" s="11" t="s">
        <v>28</v>
      </c>
      <c r="F6366" s="11"/>
      <c r="G6366" s="14">
        <v>0.36418400000000001</v>
      </c>
      <c r="H6366" s="11"/>
      <c r="I6366" s="11"/>
      <c r="J6366" s="3" t="str">
        <f t="shared" si="458"/>
        <v>8848215</v>
      </c>
    </row>
    <row r="6367" spans="1:11" s="3" customFormat="1">
      <c r="B6367" s="3" t="s">
        <v>2172</v>
      </c>
      <c r="C6367" s="8">
        <v>4</v>
      </c>
      <c r="D6367" s="3" t="s">
        <v>3095</v>
      </c>
      <c r="E6367" s="11" t="s">
        <v>29</v>
      </c>
      <c r="F6367" s="11"/>
      <c r="G6367" s="15">
        <f>ROUND(G6365*G6366,0)</f>
        <v>12807</v>
      </c>
      <c r="H6367" s="16">
        <f>ROUND(G6367/2,0)</f>
        <v>6404</v>
      </c>
      <c r="I6367" s="15">
        <f>G6367-H6367</f>
        <v>6403</v>
      </c>
      <c r="J6367" s="3" t="str">
        <f t="shared" si="458"/>
        <v>8848215</v>
      </c>
    </row>
    <row r="6368" spans="1:11" s="3" customFormat="1">
      <c r="B6368" s="3" t="s">
        <v>2172</v>
      </c>
      <c r="C6368" s="8">
        <v>4</v>
      </c>
      <c r="D6368" s="3" t="s">
        <v>3095</v>
      </c>
      <c r="E6368" s="11" t="s">
        <v>30</v>
      </c>
      <c r="F6368" s="11"/>
      <c r="G6368" s="12">
        <f>+G6365-G6367</f>
        <v>22360</v>
      </c>
      <c r="H6368" s="13">
        <f>ROUND(G6368/2,0)</f>
        <v>11180</v>
      </c>
      <c r="I6368" s="12">
        <f>G6368-H6368</f>
        <v>11180</v>
      </c>
      <c r="J6368" s="3" t="str">
        <f t="shared" si="458"/>
        <v>8848215</v>
      </c>
    </row>
    <row r="6369" spans="2:10" s="3" customFormat="1">
      <c r="B6369" s="3" t="s">
        <v>2172</v>
      </c>
      <c r="C6369" s="8">
        <v>4</v>
      </c>
      <c r="D6369" s="3" t="s">
        <v>3094</v>
      </c>
      <c r="E6369" s="11" t="s">
        <v>1809</v>
      </c>
      <c r="F6369" s="10">
        <v>0.35965200000000003</v>
      </c>
      <c r="G6369" s="9">
        <f>ROUND(G$3*F6369,0)</f>
        <v>103480</v>
      </c>
      <c r="H6369" s="11">
        <f>ROUND(G6369/2,0)</f>
        <v>51740</v>
      </c>
      <c r="I6369" s="9">
        <f>G6369-H6369</f>
        <v>51740</v>
      </c>
      <c r="J6369" s="3" t="str">
        <f t="shared" si="458"/>
        <v>8848205</v>
      </c>
    </row>
    <row r="6370" spans="2:10" s="3" customFormat="1">
      <c r="B6370" s="3" t="s">
        <v>2172</v>
      </c>
      <c r="C6370" s="8">
        <v>4</v>
      </c>
      <c r="D6370" s="3" t="s">
        <v>3094</v>
      </c>
      <c r="E6370" s="11" t="s">
        <v>28</v>
      </c>
      <c r="F6370" s="11"/>
      <c r="G6370" s="14">
        <v>0.389629</v>
      </c>
      <c r="H6370" s="11"/>
      <c r="I6370" s="11"/>
      <c r="J6370" s="3" t="str">
        <f t="shared" si="458"/>
        <v>8848205</v>
      </c>
    </row>
    <row r="6371" spans="2:10" s="3" customFormat="1">
      <c r="B6371" s="3" t="s">
        <v>2172</v>
      </c>
      <c r="C6371" s="8">
        <v>4</v>
      </c>
      <c r="D6371" s="3" t="s">
        <v>3094</v>
      </c>
      <c r="E6371" s="11" t="s">
        <v>29</v>
      </c>
      <c r="F6371" s="11"/>
      <c r="G6371" s="15">
        <f>ROUND(G6369*G6370,0)</f>
        <v>40319</v>
      </c>
      <c r="H6371" s="16">
        <f>ROUND(G6371/2,0)</f>
        <v>20160</v>
      </c>
      <c r="I6371" s="15">
        <f>G6371-H6371</f>
        <v>20159</v>
      </c>
      <c r="J6371" s="3" t="str">
        <f t="shared" si="458"/>
        <v>8848205</v>
      </c>
    </row>
    <row r="6372" spans="2:10" s="3" customFormat="1">
      <c r="B6372" s="3" t="s">
        <v>2172</v>
      </c>
      <c r="C6372" s="8">
        <v>4</v>
      </c>
      <c r="D6372" s="3" t="s">
        <v>3094</v>
      </c>
      <c r="E6372" s="11" t="s">
        <v>30</v>
      </c>
      <c r="F6372" s="11"/>
      <c r="G6372" s="12">
        <f>+G6369-G6371</f>
        <v>63161</v>
      </c>
      <c r="H6372" s="13">
        <f>ROUND(G6372/2,0)</f>
        <v>31581</v>
      </c>
      <c r="I6372" s="12">
        <f>G6372-H6372</f>
        <v>31580</v>
      </c>
      <c r="J6372" s="3" t="str">
        <f t="shared" si="458"/>
        <v>8848205</v>
      </c>
    </row>
    <row r="6373" spans="2:10" s="3" customFormat="1">
      <c r="B6373" s="3" t="s">
        <v>2172</v>
      </c>
      <c r="C6373" s="8">
        <v>4</v>
      </c>
      <c r="D6373" s="3" t="s">
        <v>3096</v>
      </c>
      <c r="E6373" s="11" t="s">
        <v>1810</v>
      </c>
      <c r="F6373" s="10">
        <v>0.11051</v>
      </c>
      <c r="G6373" s="9">
        <f>ROUND(G$3*F6373,0)</f>
        <v>31796</v>
      </c>
      <c r="H6373" s="11">
        <f>ROUND(G6373/2,0)</f>
        <v>15898</v>
      </c>
      <c r="I6373" s="9">
        <f>G6373-H6373</f>
        <v>15898</v>
      </c>
      <c r="J6373" s="3" t="str">
        <f t="shared" si="458"/>
        <v>8848220</v>
      </c>
    </row>
    <row r="6374" spans="2:10" s="3" customFormat="1">
      <c r="B6374" s="3" t="s">
        <v>2172</v>
      </c>
      <c r="C6374" s="8">
        <v>4</v>
      </c>
      <c r="D6374" s="3" t="s">
        <v>3096</v>
      </c>
      <c r="E6374" s="11" t="s">
        <v>28</v>
      </c>
      <c r="F6374" s="11"/>
      <c r="G6374" s="14">
        <v>0.41133399999999998</v>
      </c>
      <c r="H6374" s="11"/>
      <c r="I6374" s="11"/>
      <c r="J6374" s="3" t="str">
        <f t="shared" si="458"/>
        <v>8848220</v>
      </c>
    </row>
    <row r="6375" spans="2:10" s="3" customFormat="1">
      <c r="B6375" s="3" t="s">
        <v>2172</v>
      </c>
      <c r="C6375" s="8">
        <v>4</v>
      </c>
      <c r="D6375" s="3" t="s">
        <v>3096</v>
      </c>
      <c r="E6375" s="11" t="s">
        <v>29</v>
      </c>
      <c r="F6375" s="11"/>
      <c r="G6375" s="15">
        <f>ROUND(G6373*G6374,0)</f>
        <v>13079</v>
      </c>
      <c r="H6375" s="16">
        <f t="shared" ref="H6375:H6380" si="462">ROUND(G6375/2,0)</f>
        <v>6540</v>
      </c>
      <c r="I6375" s="15">
        <f t="shared" ref="I6375:I6380" si="463">G6375-H6375</f>
        <v>6539</v>
      </c>
      <c r="J6375" s="3" t="str">
        <f t="shared" si="458"/>
        <v>8848220</v>
      </c>
    </row>
    <row r="6376" spans="2:10" s="3" customFormat="1">
      <c r="B6376" s="3" t="s">
        <v>2172</v>
      </c>
      <c r="C6376" s="8">
        <v>4</v>
      </c>
      <c r="D6376" s="3" t="s">
        <v>3096</v>
      </c>
      <c r="E6376" s="11" t="s">
        <v>30</v>
      </c>
      <c r="F6376" s="11"/>
      <c r="G6376" s="12">
        <f>+G6373-G6375</f>
        <v>18717</v>
      </c>
      <c r="H6376" s="13">
        <f t="shared" si="462"/>
        <v>9359</v>
      </c>
      <c r="I6376" s="12">
        <f t="shared" si="463"/>
        <v>9358</v>
      </c>
      <c r="J6376" s="3" t="str">
        <f t="shared" si="458"/>
        <v>8848220</v>
      </c>
    </row>
    <row r="6377" spans="2:10" s="3" customFormat="1">
      <c r="B6377" s="3" t="s">
        <v>2172</v>
      </c>
      <c r="C6377" s="8">
        <v>5</v>
      </c>
      <c r="D6377" s="3" t="s">
        <v>3097</v>
      </c>
      <c r="E6377" s="11" t="s">
        <v>1811</v>
      </c>
      <c r="F6377" s="10">
        <v>1.091E-2</v>
      </c>
      <c r="G6377" s="120">
        <f>ROUND(G$3*F6377,0)</f>
        <v>3139</v>
      </c>
      <c r="H6377" s="120">
        <f t="shared" si="462"/>
        <v>1570</v>
      </c>
      <c r="I6377" s="120">
        <f t="shared" si="463"/>
        <v>1569</v>
      </c>
      <c r="J6377" s="3" t="str">
        <f t="shared" si="458"/>
        <v>8850237</v>
      </c>
    </row>
    <row r="6378" spans="2:10" s="3" customFormat="1">
      <c r="B6378" s="3" t="s">
        <v>2172</v>
      </c>
      <c r="C6378" s="8">
        <v>6</v>
      </c>
      <c r="D6378" s="3" t="s">
        <v>4412</v>
      </c>
      <c r="E6378" s="11" t="s">
        <v>1812</v>
      </c>
      <c r="F6378" s="10">
        <v>3.8699999999999997E-4</v>
      </c>
      <c r="G6378" s="120">
        <f>ROUND(G$3*F6378,0)</f>
        <v>111</v>
      </c>
      <c r="H6378" s="120">
        <f t="shared" si="462"/>
        <v>56</v>
      </c>
      <c r="I6378" s="120">
        <f t="shared" si="463"/>
        <v>55</v>
      </c>
      <c r="J6378" s="3" t="str">
        <f t="shared" si="458"/>
        <v>8861083</v>
      </c>
    </row>
    <row r="6379" spans="2:10" s="3" customFormat="1">
      <c r="B6379" s="3" t="s">
        <v>2172</v>
      </c>
      <c r="C6379" s="8">
        <v>6</v>
      </c>
      <c r="D6379" s="3" t="s">
        <v>6119</v>
      </c>
      <c r="E6379" s="11" t="s">
        <v>1813</v>
      </c>
      <c r="F6379" s="10">
        <v>4.45E-3</v>
      </c>
      <c r="G6379" s="120">
        <f>ROUND(G$3*F6379,0)</f>
        <v>1280</v>
      </c>
      <c r="H6379" s="120">
        <f t="shared" si="462"/>
        <v>640</v>
      </c>
      <c r="I6379" s="120">
        <f t="shared" si="463"/>
        <v>640</v>
      </c>
      <c r="J6379" s="3" t="str">
        <f t="shared" si="458"/>
        <v>8861025</v>
      </c>
    </row>
    <row r="6380" spans="2:10" s="128" customFormat="1">
      <c r="B6380" s="128" t="s">
        <v>2172</v>
      </c>
      <c r="C6380" s="129">
        <v>6</v>
      </c>
      <c r="D6380" s="128" t="s">
        <v>6271</v>
      </c>
      <c r="E6380" s="131" t="s">
        <v>1814</v>
      </c>
      <c r="F6380" s="133">
        <v>2.9183999999999766E-2</v>
      </c>
      <c r="G6380" s="134">
        <f>+G6312-SUM(G6313:G6314)-SUM(G6319:G6365)-G6369-G6373-SUM(G6377:G6379)</f>
        <v>-102566</v>
      </c>
      <c r="H6380" s="135">
        <f t="shared" si="462"/>
        <v>-51283</v>
      </c>
      <c r="I6380" s="134">
        <f t="shared" si="463"/>
        <v>-51283</v>
      </c>
      <c r="J6380" s="128" t="str">
        <f t="shared" si="458"/>
        <v>886xxxx</v>
      </c>
    </row>
    <row r="6381" spans="2:10" s="3" customFormat="1">
      <c r="B6381" s="3" t="s">
        <v>2172</v>
      </c>
      <c r="C6381" s="8">
        <v>0</v>
      </c>
      <c r="D6381" s="125" t="s">
        <v>2187</v>
      </c>
      <c r="E6381" s="28" t="s">
        <v>288</v>
      </c>
      <c r="F6381" s="10">
        <v>1</v>
      </c>
      <c r="G6381" s="12">
        <f>+G6313+SUM(G6316:G6364)+SUM(G6367:G6368)+SUM(G6371:G6372)+SUM(G6375:G6380)</f>
        <v>176760</v>
      </c>
      <c r="H6381" s="12">
        <f>+H6313+SUM(H6316:H6364)+SUM(H6367:H6368)+SUM(H6371:H6372)+SUM(H6375:H6380)</f>
        <v>88394</v>
      </c>
      <c r="I6381" s="12">
        <f>+I6313+SUM(I6316:I6364)+SUM(I6367:I6368)+SUM(I6371:I6372)+SUM(I6375:I6380)</f>
        <v>88366</v>
      </c>
      <c r="J6381" s="3" t="str">
        <f t="shared" si="458"/>
        <v>8800000</v>
      </c>
    </row>
    <row r="6382" spans="2:10" s="3" customFormat="1">
      <c r="B6382" s="3" t="s">
        <v>2172</v>
      </c>
      <c r="C6382" s="8">
        <v>0</v>
      </c>
      <c r="D6382" s="3" t="s">
        <v>2187</v>
      </c>
      <c r="E6382" s="18" t="s">
        <v>38</v>
      </c>
      <c r="G6382" s="19">
        <f>+G6313</f>
        <v>350</v>
      </c>
      <c r="H6382" s="19">
        <f>+H6313</f>
        <v>175</v>
      </c>
      <c r="I6382" s="19">
        <f>+I6313</f>
        <v>175</v>
      </c>
      <c r="J6382" s="3" t="str">
        <f t="shared" si="458"/>
        <v>8800000</v>
      </c>
    </row>
    <row r="6383" spans="2:10" s="3" customFormat="1">
      <c r="B6383" s="3" t="s">
        <v>2172</v>
      </c>
      <c r="C6383" s="8">
        <v>0</v>
      </c>
      <c r="D6383" s="3" t="s">
        <v>2187</v>
      </c>
      <c r="E6383" s="2" t="s">
        <v>39</v>
      </c>
      <c r="G6383" s="19">
        <f>+G6316</f>
        <v>16283</v>
      </c>
      <c r="H6383" s="19">
        <f>+H6316</f>
        <v>8142</v>
      </c>
      <c r="I6383" s="19">
        <f>+I6316</f>
        <v>8141</v>
      </c>
      <c r="J6383" s="3" t="str">
        <f t="shared" si="458"/>
        <v>8800000</v>
      </c>
    </row>
    <row r="6384" spans="2:10" s="3" customFormat="1">
      <c r="B6384" s="3" t="s">
        <v>2172</v>
      </c>
      <c r="C6384" s="8">
        <v>0</v>
      </c>
      <c r="D6384" s="3" t="s">
        <v>2187</v>
      </c>
      <c r="E6384" s="2" t="s">
        <v>40</v>
      </c>
      <c r="G6384" s="19">
        <f>+G6367+G6371+G6375</f>
        <v>66205</v>
      </c>
      <c r="H6384" s="19">
        <f>+H6367+H6371+H6375</f>
        <v>33104</v>
      </c>
      <c r="I6384" s="19">
        <f>+I6367+I6371+I6375</f>
        <v>33101</v>
      </c>
      <c r="J6384" s="3" t="str">
        <f t="shared" si="458"/>
        <v>8800000</v>
      </c>
    </row>
    <row r="6385" spans="2:10" s="3" customFormat="1">
      <c r="B6385" s="3" t="s">
        <v>2172</v>
      </c>
      <c r="C6385" s="8">
        <v>0</v>
      </c>
      <c r="D6385" s="125" t="s">
        <v>2187</v>
      </c>
      <c r="E6385" s="18" t="s">
        <v>41</v>
      </c>
      <c r="G6385" s="19">
        <f>+G6381-G6382-G6383-G6384</f>
        <v>93922</v>
      </c>
      <c r="H6385" s="19">
        <f>+H6381-H6382-H6383-H6384</f>
        <v>46973</v>
      </c>
      <c r="I6385" s="19">
        <f>+I6381-I6382-I6383-I6384</f>
        <v>46949</v>
      </c>
      <c r="J6385" s="3" t="str">
        <f t="shared" si="458"/>
        <v>8800000</v>
      </c>
    </row>
    <row r="6386" spans="2:10" ht="15.75">
      <c r="B6386" s="3" t="s">
        <v>2186</v>
      </c>
      <c r="D6386" t="s">
        <v>2186</v>
      </c>
      <c r="E6386">
        <v>0</v>
      </c>
      <c r="G6386"/>
      <c r="H6386"/>
      <c r="I6386"/>
      <c r="J6386" s="3" t="str">
        <f t="shared" si="458"/>
        <v/>
      </c>
    </row>
    <row r="6387" spans="2:10" s="3" customFormat="1">
      <c r="C6387" s="1"/>
      <c r="D6387" s="3" t="s">
        <v>2186</v>
      </c>
      <c r="E6387" s="2" t="s">
        <v>1815</v>
      </c>
      <c r="J6387" s="3" t="str">
        <f t="shared" si="458"/>
        <v/>
      </c>
    </row>
    <row r="6388" spans="2:10" s="3" customFormat="1" ht="45">
      <c r="B6388" s="3" t="s">
        <v>2186</v>
      </c>
      <c r="C6388" s="1"/>
      <c r="D6388" s="3" t="s">
        <v>2186</v>
      </c>
      <c r="E6388" s="1">
        <v>0</v>
      </c>
      <c r="F6388" s="6" t="s">
        <v>1</v>
      </c>
      <c r="G6388" s="60">
        <f>'Allocation Worksheet'!H6388</f>
        <v>0</v>
      </c>
      <c r="H6388" s="60">
        <f>'Allocation Worksheet'!H6389</f>
        <v>0</v>
      </c>
      <c r="I6388" s="60">
        <f>'Allocation Worksheet'!H6390</f>
        <v>0</v>
      </c>
      <c r="J6388" s="3" t="str">
        <f t="shared" si="458"/>
        <v/>
      </c>
    </row>
    <row r="6389" spans="2:10" s="3" customFormat="1">
      <c r="C6389" s="7" t="s">
        <v>2087</v>
      </c>
      <c r="D6389" s="3" t="s">
        <v>2186</v>
      </c>
      <c r="E6389" s="7" t="s">
        <v>3</v>
      </c>
      <c r="F6389" s="10"/>
      <c r="G6389" s="9">
        <f>'Allocation Worksheet'!$D$92</f>
        <v>975274</v>
      </c>
      <c r="H6389" s="11"/>
      <c r="I6389" s="11"/>
      <c r="J6389" s="3" t="str">
        <f t="shared" si="458"/>
        <v>UT</v>
      </c>
    </row>
    <row r="6390" spans="2:10" s="3" customFormat="1">
      <c r="B6390" s="3" t="s">
        <v>2173</v>
      </c>
      <c r="C6390" s="8">
        <v>0</v>
      </c>
      <c r="D6390" s="3" t="s">
        <v>2187</v>
      </c>
      <c r="E6390" s="11" t="s">
        <v>4</v>
      </c>
      <c r="F6390" s="10">
        <v>9.3899999999999995E-4</v>
      </c>
      <c r="G6390" s="12">
        <f>ROUND(G$3*F6390,0)</f>
        <v>270</v>
      </c>
      <c r="H6390" s="13">
        <f>ROUND(G6390/2,0)</f>
        <v>135</v>
      </c>
      <c r="I6390" s="12">
        <f>G6390-H6390</f>
        <v>135</v>
      </c>
      <c r="J6390" s="3" t="str">
        <f t="shared" si="458"/>
        <v>8900000</v>
      </c>
    </row>
    <row r="6391" spans="2:10" s="3" customFormat="1">
      <c r="B6391" s="3" t="s">
        <v>2173</v>
      </c>
      <c r="C6391" s="8">
        <v>1</v>
      </c>
      <c r="D6391" s="3" t="s">
        <v>2187</v>
      </c>
      <c r="E6391" s="11" t="s">
        <v>1816</v>
      </c>
      <c r="F6391" s="10">
        <v>0.193577</v>
      </c>
      <c r="G6391" s="9">
        <f>ROUND(G$3*F6391,0)</f>
        <v>55697</v>
      </c>
      <c r="H6391" s="11">
        <f>ROUND(G6391/2,0)</f>
        <v>27849</v>
      </c>
      <c r="I6391" s="9">
        <f>G6391-H6391</f>
        <v>27848</v>
      </c>
      <c r="J6391" s="3" t="str">
        <f t="shared" si="458"/>
        <v>8910000</v>
      </c>
    </row>
    <row r="6392" spans="2:10" s="3" customFormat="1">
      <c r="B6392" s="3" t="s">
        <v>2173</v>
      </c>
      <c r="C6392" s="8">
        <v>1</v>
      </c>
      <c r="D6392" s="3" t="s">
        <v>2187</v>
      </c>
      <c r="E6392" s="11" t="s">
        <v>6</v>
      </c>
      <c r="F6392" s="11"/>
      <c r="G6392" s="14">
        <v>0.113464</v>
      </c>
      <c r="H6392" s="11"/>
      <c r="I6392" s="11"/>
      <c r="J6392" s="3" t="str">
        <f t="shared" si="458"/>
        <v>8910000</v>
      </c>
    </row>
    <row r="6393" spans="2:10" s="3" customFormat="1">
      <c r="B6393" s="3" t="s">
        <v>2173</v>
      </c>
      <c r="C6393" s="8">
        <v>1</v>
      </c>
      <c r="D6393" s="3" t="s">
        <v>2187</v>
      </c>
      <c r="E6393" s="11" t="s">
        <v>7</v>
      </c>
      <c r="F6393" s="11"/>
      <c r="G6393" s="15">
        <f>ROUND(G6391*G6392,0)</f>
        <v>6320</v>
      </c>
      <c r="H6393" s="16">
        <f>ROUND(G6393/2,0)</f>
        <v>3160</v>
      </c>
      <c r="I6393" s="15">
        <f>G6393-H6393</f>
        <v>3160</v>
      </c>
      <c r="J6393" s="3" t="str">
        <f t="shared" si="458"/>
        <v>8910000</v>
      </c>
    </row>
    <row r="6394" spans="2:10" s="3" customFormat="1">
      <c r="B6394" s="3" t="s">
        <v>2173</v>
      </c>
      <c r="C6394" s="8">
        <v>1</v>
      </c>
      <c r="D6394" s="3" t="s">
        <v>2187</v>
      </c>
      <c r="E6394" s="11" t="s">
        <v>8</v>
      </c>
      <c r="F6394" s="11"/>
      <c r="G6394" s="12">
        <f>+G6391-G6393</f>
        <v>49377</v>
      </c>
      <c r="H6394" s="13">
        <f>ROUND(G6394/2,0)</f>
        <v>24689</v>
      </c>
      <c r="I6394" s="12">
        <f>G6394-H6394</f>
        <v>24688</v>
      </c>
      <c r="J6394" s="3" t="str">
        <f t="shared" si="458"/>
        <v>8910000</v>
      </c>
    </row>
    <row r="6395" spans="2:10" s="3" customFormat="1">
      <c r="B6395" s="3" t="s">
        <v>2173</v>
      </c>
      <c r="C6395" s="8">
        <v>2</v>
      </c>
      <c r="D6395" s="3" t="s">
        <v>2188</v>
      </c>
      <c r="E6395" s="11" t="s">
        <v>1817</v>
      </c>
      <c r="F6395" s="11"/>
      <c r="G6395" s="9"/>
      <c r="H6395" s="11"/>
      <c r="I6395" s="11"/>
      <c r="J6395" s="3" t="str">
        <f t="shared" si="458"/>
        <v>8920001</v>
      </c>
    </row>
    <row r="6396" spans="2:10" s="3" customFormat="1">
      <c r="B6396" s="3" t="s">
        <v>2173</v>
      </c>
      <c r="C6396" s="8">
        <v>2</v>
      </c>
      <c r="D6396" s="3" t="s">
        <v>2188</v>
      </c>
      <c r="E6396" s="11" t="s">
        <v>10</v>
      </c>
      <c r="F6396" s="10">
        <v>9.4499999999999998E-4</v>
      </c>
      <c r="G6396" s="12">
        <f>ROUND(G$3*F6396,0)</f>
        <v>272</v>
      </c>
      <c r="H6396" s="13">
        <f>ROUND(G6396/2,0)</f>
        <v>136</v>
      </c>
      <c r="I6396" s="12">
        <f>G6396-H6396</f>
        <v>136</v>
      </c>
      <c r="J6396" s="3" t="str">
        <f t="shared" si="458"/>
        <v>8920001</v>
      </c>
    </row>
    <row r="6397" spans="2:10" s="3" customFormat="1">
      <c r="B6397" s="3" t="s">
        <v>2173</v>
      </c>
      <c r="C6397" s="8">
        <v>2</v>
      </c>
      <c r="D6397" s="3" t="s">
        <v>2188</v>
      </c>
      <c r="E6397" s="11" t="s">
        <v>11</v>
      </c>
      <c r="F6397" s="10">
        <v>4.1399999999999998E-4</v>
      </c>
      <c r="G6397" s="12">
        <f>ROUND(G$3*F6397,0)</f>
        <v>119</v>
      </c>
      <c r="H6397" s="13">
        <f>ROUND(G6397/2,0)</f>
        <v>60</v>
      </c>
      <c r="I6397" s="12">
        <f>G6397-H6397</f>
        <v>59</v>
      </c>
      <c r="J6397" s="3" t="str">
        <f t="shared" si="458"/>
        <v>8920001</v>
      </c>
    </row>
    <row r="6398" spans="2:10" s="3" customFormat="1">
      <c r="B6398" s="3" t="s">
        <v>2173</v>
      </c>
      <c r="C6398" s="8">
        <v>2</v>
      </c>
      <c r="D6398" s="3" t="s">
        <v>2189</v>
      </c>
      <c r="E6398" s="11" t="s">
        <v>1818</v>
      </c>
      <c r="F6398" s="11"/>
      <c r="G6398" s="9"/>
      <c r="H6398" s="11"/>
      <c r="I6398" s="11"/>
      <c r="J6398" s="3" t="str">
        <f t="shared" si="458"/>
        <v>8920002</v>
      </c>
    </row>
    <row r="6399" spans="2:10" s="3" customFormat="1">
      <c r="B6399" s="3" t="s">
        <v>2173</v>
      </c>
      <c r="C6399" s="8">
        <v>2</v>
      </c>
      <c r="D6399" s="3" t="s">
        <v>2189</v>
      </c>
      <c r="E6399" s="11" t="s">
        <v>10</v>
      </c>
      <c r="F6399" s="10">
        <v>2.5999999999999998E-5</v>
      </c>
      <c r="G6399" s="12">
        <f>ROUND(G$3*F6399,0)</f>
        <v>7</v>
      </c>
      <c r="H6399" s="13">
        <f>ROUND(G6399/2,0)</f>
        <v>4</v>
      </c>
      <c r="I6399" s="12">
        <f>G6399-H6399</f>
        <v>3</v>
      </c>
      <c r="J6399" s="3" t="str">
        <f t="shared" si="458"/>
        <v>8920002</v>
      </c>
    </row>
    <row r="6400" spans="2:10" s="3" customFormat="1">
      <c r="B6400" s="3" t="s">
        <v>2173</v>
      </c>
      <c r="C6400" s="8">
        <v>2</v>
      </c>
      <c r="D6400" s="3" t="s">
        <v>2189</v>
      </c>
      <c r="E6400" s="11" t="s">
        <v>11</v>
      </c>
      <c r="F6400" s="10">
        <v>7.7999999999999999E-5</v>
      </c>
      <c r="G6400" s="12">
        <f>ROUND(G$3*F6400,0)</f>
        <v>22</v>
      </c>
      <c r="H6400" s="13">
        <f>ROUND(G6400/2,0)</f>
        <v>11</v>
      </c>
      <c r="I6400" s="12">
        <f>G6400-H6400</f>
        <v>11</v>
      </c>
      <c r="J6400" s="3" t="str">
        <f t="shared" si="458"/>
        <v>8920002</v>
      </c>
    </row>
    <row r="6401" spans="2:10" s="3" customFormat="1">
      <c r="B6401" s="3" t="s">
        <v>2173</v>
      </c>
      <c r="C6401" s="8">
        <v>2</v>
      </c>
      <c r="D6401" s="3" t="s">
        <v>2190</v>
      </c>
      <c r="E6401" s="11" t="s">
        <v>107</v>
      </c>
      <c r="F6401" s="11"/>
      <c r="G6401" s="9"/>
      <c r="H6401" s="11"/>
      <c r="I6401" s="11"/>
      <c r="J6401" s="3" t="str">
        <f t="shared" si="458"/>
        <v>8920003</v>
      </c>
    </row>
    <row r="6402" spans="2:10" s="3" customFormat="1">
      <c r="B6402" s="3" t="s">
        <v>2173</v>
      </c>
      <c r="C6402" s="8">
        <v>2</v>
      </c>
      <c r="D6402" s="3" t="s">
        <v>2190</v>
      </c>
      <c r="E6402" s="11" t="s">
        <v>10</v>
      </c>
      <c r="F6402" s="10">
        <v>5.9100000000000005E-4</v>
      </c>
      <c r="G6402" s="12">
        <f>ROUND(G$3*F6402,0)</f>
        <v>170</v>
      </c>
      <c r="H6402" s="13">
        <f>ROUND(G6402/2,0)</f>
        <v>85</v>
      </c>
      <c r="I6402" s="12">
        <f>G6402-H6402</f>
        <v>85</v>
      </c>
      <c r="J6402" s="3" t="str">
        <f t="shared" si="458"/>
        <v>8920003</v>
      </c>
    </row>
    <row r="6403" spans="2:10" s="3" customFormat="1">
      <c r="B6403" s="3" t="s">
        <v>2173</v>
      </c>
      <c r="C6403" s="8">
        <v>2</v>
      </c>
      <c r="D6403" s="3" t="s">
        <v>2190</v>
      </c>
      <c r="E6403" s="11" t="s">
        <v>11</v>
      </c>
      <c r="F6403" s="10">
        <v>6.78E-4</v>
      </c>
      <c r="G6403" s="12">
        <f>ROUND(G$3*F6403,0)</f>
        <v>195</v>
      </c>
      <c r="H6403" s="13">
        <f>ROUND(G6403/2,0)</f>
        <v>98</v>
      </c>
      <c r="I6403" s="12">
        <f>G6403-H6403</f>
        <v>97</v>
      </c>
      <c r="J6403" s="3" t="str">
        <f t="shared" si="458"/>
        <v>8920003</v>
      </c>
    </row>
    <row r="6404" spans="2:10" s="3" customFormat="1">
      <c r="B6404" s="3" t="s">
        <v>2173</v>
      </c>
      <c r="C6404" s="8">
        <v>2</v>
      </c>
      <c r="D6404" s="3" t="s">
        <v>2191</v>
      </c>
      <c r="E6404" s="11" t="s">
        <v>81</v>
      </c>
      <c r="F6404" s="11"/>
      <c r="G6404" s="9"/>
      <c r="H6404" s="11"/>
      <c r="I6404" s="11"/>
      <c r="J6404" s="3" t="str">
        <f t="shared" ref="J6404:J6467" si="464">B6404&amp;C6404&amp;D6404</f>
        <v>8920004</v>
      </c>
    </row>
    <row r="6405" spans="2:10" s="3" customFormat="1">
      <c r="B6405" s="3" t="s">
        <v>2173</v>
      </c>
      <c r="C6405" s="8">
        <v>2</v>
      </c>
      <c r="D6405" s="3" t="s">
        <v>2191</v>
      </c>
      <c r="E6405" s="11" t="s">
        <v>10</v>
      </c>
      <c r="F6405" s="10">
        <v>1.01E-4</v>
      </c>
      <c r="G6405" s="12">
        <f>ROUND(G$3*F6405,0)</f>
        <v>29</v>
      </c>
      <c r="H6405" s="13">
        <f>ROUND(G6405/2,0)</f>
        <v>15</v>
      </c>
      <c r="I6405" s="12">
        <f>G6405-H6405</f>
        <v>14</v>
      </c>
      <c r="J6405" s="3" t="str">
        <f t="shared" si="464"/>
        <v>8920004</v>
      </c>
    </row>
    <row r="6406" spans="2:10" s="3" customFormat="1">
      <c r="B6406" s="3" t="s">
        <v>2173</v>
      </c>
      <c r="C6406" s="8">
        <v>2</v>
      </c>
      <c r="D6406" s="3" t="s">
        <v>2191</v>
      </c>
      <c r="E6406" s="11" t="s">
        <v>11</v>
      </c>
      <c r="F6406" s="10">
        <v>2.2100000000000001E-4</v>
      </c>
      <c r="G6406" s="12">
        <f>ROUND(G$3*F6406,0)</f>
        <v>64</v>
      </c>
      <c r="H6406" s="13">
        <f>ROUND(G6406/2,0)</f>
        <v>32</v>
      </c>
      <c r="I6406" s="12">
        <f>G6406-H6406</f>
        <v>32</v>
      </c>
      <c r="J6406" s="3" t="str">
        <f t="shared" si="464"/>
        <v>8920004</v>
      </c>
    </row>
    <row r="6407" spans="2:10" s="3" customFormat="1">
      <c r="B6407" s="3" t="s">
        <v>2173</v>
      </c>
      <c r="C6407" s="8">
        <v>2</v>
      </c>
      <c r="D6407" s="3" t="s">
        <v>2192</v>
      </c>
      <c r="E6407" s="11" t="s">
        <v>1819</v>
      </c>
      <c r="F6407" s="11"/>
      <c r="G6407" s="9"/>
      <c r="H6407" s="11"/>
      <c r="I6407" s="11"/>
      <c r="J6407" s="3" t="str">
        <f t="shared" si="464"/>
        <v>8920005</v>
      </c>
    </row>
    <row r="6408" spans="2:10" s="3" customFormat="1">
      <c r="B6408" s="3" t="s">
        <v>2173</v>
      </c>
      <c r="C6408" s="8">
        <v>2</v>
      </c>
      <c r="D6408" s="3" t="s">
        <v>2192</v>
      </c>
      <c r="E6408" s="11" t="s">
        <v>10</v>
      </c>
      <c r="F6408" s="10">
        <v>7.2999999999999999E-5</v>
      </c>
      <c r="G6408" s="12">
        <f>ROUND(G$3*F6408,0)</f>
        <v>21</v>
      </c>
      <c r="H6408" s="13">
        <f>ROUND(G6408/2,0)</f>
        <v>11</v>
      </c>
      <c r="I6408" s="12">
        <f>G6408-H6408</f>
        <v>10</v>
      </c>
      <c r="J6408" s="3" t="str">
        <f t="shared" si="464"/>
        <v>8920005</v>
      </c>
    </row>
    <row r="6409" spans="2:10" s="3" customFormat="1">
      <c r="B6409" s="3" t="s">
        <v>2173</v>
      </c>
      <c r="C6409" s="8">
        <v>2</v>
      </c>
      <c r="D6409" s="3" t="s">
        <v>2192</v>
      </c>
      <c r="E6409" s="11" t="s">
        <v>11</v>
      </c>
      <c r="F6409" s="10">
        <v>3.8999999999999999E-5</v>
      </c>
      <c r="G6409" s="12">
        <f>ROUND(G$3*F6409,0)</f>
        <v>11</v>
      </c>
      <c r="H6409" s="13">
        <f>ROUND(G6409/2,0)</f>
        <v>6</v>
      </c>
      <c r="I6409" s="12">
        <f>G6409-H6409</f>
        <v>5</v>
      </c>
      <c r="J6409" s="3" t="str">
        <f t="shared" si="464"/>
        <v>8920005</v>
      </c>
    </row>
    <row r="6410" spans="2:10" s="3" customFormat="1">
      <c r="B6410" s="3" t="s">
        <v>2173</v>
      </c>
      <c r="C6410" s="8">
        <v>2</v>
      </c>
      <c r="D6410" s="3" t="s">
        <v>2193</v>
      </c>
      <c r="E6410" s="11" t="s">
        <v>372</v>
      </c>
      <c r="F6410" s="11"/>
      <c r="G6410" s="9"/>
      <c r="H6410" s="11"/>
      <c r="I6410" s="11"/>
      <c r="J6410" s="3" t="str">
        <f t="shared" si="464"/>
        <v>8920006</v>
      </c>
    </row>
    <row r="6411" spans="2:10" s="3" customFormat="1">
      <c r="B6411" s="3" t="s">
        <v>2173</v>
      </c>
      <c r="C6411" s="8">
        <v>2</v>
      </c>
      <c r="D6411" s="3" t="s">
        <v>2193</v>
      </c>
      <c r="E6411" s="11" t="s">
        <v>10</v>
      </c>
      <c r="F6411" s="10">
        <v>6.3999999999999997E-5</v>
      </c>
      <c r="G6411" s="12">
        <f>ROUND(G$3*F6411,0)</f>
        <v>18</v>
      </c>
      <c r="H6411" s="13">
        <f>ROUND(G6411/2,0)</f>
        <v>9</v>
      </c>
      <c r="I6411" s="12">
        <f>G6411-H6411</f>
        <v>9</v>
      </c>
      <c r="J6411" s="3" t="str">
        <f t="shared" si="464"/>
        <v>8920006</v>
      </c>
    </row>
    <row r="6412" spans="2:10" s="3" customFormat="1">
      <c r="B6412" s="3" t="s">
        <v>2173</v>
      </c>
      <c r="C6412" s="8">
        <v>2</v>
      </c>
      <c r="D6412" s="3" t="s">
        <v>2193</v>
      </c>
      <c r="E6412" s="11" t="s">
        <v>11</v>
      </c>
      <c r="F6412" s="10">
        <v>2.0699999999999999E-4</v>
      </c>
      <c r="G6412" s="12">
        <f>ROUND(G$3*F6412,0)</f>
        <v>60</v>
      </c>
      <c r="H6412" s="13">
        <f>ROUND(G6412/2,0)</f>
        <v>30</v>
      </c>
      <c r="I6412" s="12">
        <f>G6412-H6412</f>
        <v>30</v>
      </c>
      <c r="J6412" s="3" t="str">
        <f t="shared" si="464"/>
        <v>8920006</v>
      </c>
    </row>
    <row r="6413" spans="2:10" s="3" customFormat="1">
      <c r="B6413" s="3" t="s">
        <v>2173</v>
      </c>
      <c r="C6413" s="8">
        <v>2</v>
      </c>
      <c r="D6413" s="3" t="s">
        <v>2194</v>
      </c>
      <c r="E6413" s="11" t="s">
        <v>855</v>
      </c>
      <c r="F6413" s="11"/>
      <c r="G6413" s="9"/>
      <c r="H6413" s="11"/>
      <c r="I6413" s="11"/>
      <c r="J6413" s="3" t="str">
        <f t="shared" si="464"/>
        <v>8920007</v>
      </c>
    </row>
    <row r="6414" spans="2:10" s="3" customFormat="1">
      <c r="B6414" s="3" t="s">
        <v>2173</v>
      </c>
      <c r="C6414" s="8">
        <v>2</v>
      </c>
      <c r="D6414" s="3" t="s">
        <v>2194</v>
      </c>
      <c r="E6414" s="11" t="s">
        <v>10</v>
      </c>
      <c r="F6414" s="10">
        <v>4.7699999999999999E-4</v>
      </c>
      <c r="G6414" s="12">
        <f>ROUND(G$3*F6414,0)</f>
        <v>137</v>
      </c>
      <c r="H6414" s="13">
        <f>ROUND(G6414/2,0)</f>
        <v>69</v>
      </c>
      <c r="I6414" s="12">
        <f>G6414-H6414</f>
        <v>68</v>
      </c>
      <c r="J6414" s="3" t="str">
        <f t="shared" si="464"/>
        <v>8920007</v>
      </c>
    </row>
    <row r="6415" spans="2:10" s="3" customFormat="1">
      <c r="B6415" s="3" t="s">
        <v>2173</v>
      </c>
      <c r="C6415" s="8">
        <v>2</v>
      </c>
      <c r="D6415" s="3" t="s">
        <v>2194</v>
      </c>
      <c r="E6415" s="11" t="s">
        <v>11</v>
      </c>
      <c r="F6415" s="10">
        <v>3.6999999999999999E-4</v>
      </c>
      <c r="G6415" s="12">
        <f>ROUND(G$3*F6415,0)</f>
        <v>106</v>
      </c>
      <c r="H6415" s="13">
        <f>ROUND(G6415/2,0)</f>
        <v>53</v>
      </c>
      <c r="I6415" s="12">
        <f>G6415-H6415</f>
        <v>53</v>
      </c>
      <c r="J6415" s="3" t="str">
        <f t="shared" si="464"/>
        <v>8920007</v>
      </c>
    </row>
    <row r="6416" spans="2:10" s="3" customFormat="1">
      <c r="B6416" s="3" t="s">
        <v>2173</v>
      </c>
      <c r="C6416" s="8">
        <v>2</v>
      </c>
      <c r="D6416" s="3" t="s">
        <v>2195</v>
      </c>
      <c r="E6416" s="11" t="s">
        <v>86</v>
      </c>
      <c r="F6416" s="11"/>
      <c r="G6416" s="9"/>
      <c r="H6416" s="11"/>
      <c r="I6416" s="11"/>
      <c r="J6416" s="3" t="str">
        <f t="shared" si="464"/>
        <v>8920008</v>
      </c>
    </row>
    <row r="6417" spans="2:10" s="3" customFormat="1">
      <c r="B6417" s="3" t="s">
        <v>2173</v>
      </c>
      <c r="C6417" s="8">
        <v>2</v>
      </c>
      <c r="D6417" s="3" t="s">
        <v>2195</v>
      </c>
      <c r="E6417" s="11" t="s">
        <v>10</v>
      </c>
      <c r="F6417" s="10">
        <v>5.0000000000000004E-6</v>
      </c>
      <c r="G6417" s="12">
        <f>ROUND(G$3*F6417,0)</f>
        <v>1</v>
      </c>
      <c r="H6417" s="13">
        <f>ROUND(G6417/2,0)</f>
        <v>1</v>
      </c>
      <c r="I6417" s="12">
        <f>G6417-H6417</f>
        <v>0</v>
      </c>
      <c r="J6417" s="3" t="str">
        <f t="shared" si="464"/>
        <v>8920008</v>
      </c>
    </row>
    <row r="6418" spans="2:10" s="3" customFormat="1">
      <c r="B6418" s="3" t="s">
        <v>2173</v>
      </c>
      <c r="C6418" s="8">
        <v>2</v>
      </c>
      <c r="D6418" s="3" t="s">
        <v>2195</v>
      </c>
      <c r="E6418" s="11" t="s">
        <v>11</v>
      </c>
      <c r="F6418" s="10">
        <v>3.9999999999999998E-6</v>
      </c>
      <c r="G6418" s="12">
        <f>ROUND(G$3*F6418,0)</f>
        <v>1</v>
      </c>
      <c r="H6418" s="13">
        <f>ROUND(G6418/2,0)</f>
        <v>1</v>
      </c>
      <c r="I6418" s="12">
        <f>G6418-H6418</f>
        <v>0</v>
      </c>
      <c r="J6418" s="3" t="str">
        <f t="shared" si="464"/>
        <v>8920008</v>
      </c>
    </row>
    <row r="6419" spans="2:10" s="3" customFormat="1">
      <c r="B6419" s="3" t="s">
        <v>2173</v>
      </c>
      <c r="C6419" s="8">
        <v>2</v>
      </c>
      <c r="D6419" s="3" t="s">
        <v>2196</v>
      </c>
      <c r="E6419" s="11" t="s">
        <v>49</v>
      </c>
      <c r="F6419" s="11"/>
      <c r="G6419" s="9"/>
      <c r="H6419" s="11"/>
      <c r="I6419" s="11"/>
      <c r="J6419" s="3" t="str">
        <f t="shared" si="464"/>
        <v>8920009</v>
      </c>
    </row>
    <row r="6420" spans="2:10" s="3" customFormat="1">
      <c r="B6420" s="3" t="s">
        <v>2173</v>
      </c>
      <c r="C6420" s="8">
        <v>2</v>
      </c>
      <c r="D6420" s="3" t="s">
        <v>2196</v>
      </c>
      <c r="E6420" s="11" t="s">
        <v>10</v>
      </c>
      <c r="F6420" s="10">
        <v>8.8900000000000003E-4</v>
      </c>
      <c r="G6420" s="12">
        <f>ROUND(G$3*F6420,0)</f>
        <v>256</v>
      </c>
      <c r="H6420" s="13">
        <f>ROUND(G6420/2,0)</f>
        <v>128</v>
      </c>
      <c r="I6420" s="12">
        <f>G6420-H6420</f>
        <v>128</v>
      </c>
      <c r="J6420" s="3" t="str">
        <f t="shared" si="464"/>
        <v>8920009</v>
      </c>
    </row>
    <row r="6421" spans="2:10" s="3" customFormat="1">
      <c r="B6421" s="3" t="s">
        <v>2173</v>
      </c>
      <c r="C6421" s="8">
        <v>2</v>
      </c>
      <c r="D6421" s="3" t="s">
        <v>2196</v>
      </c>
      <c r="E6421" s="11" t="s">
        <v>11</v>
      </c>
      <c r="F6421" s="10">
        <v>2.2000000000000001E-4</v>
      </c>
      <c r="G6421" s="12">
        <f>ROUND(G$3*F6421,0)</f>
        <v>63</v>
      </c>
      <c r="H6421" s="13">
        <f>ROUND(G6421/2,0)</f>
        <v>32</v>
      </c>
      <c r="I6421" s="12">
        <f>G6421-H6421</f>
        <v>31</v>
      </c>
      <c r="J6421" s="3" t="str">
        <f t="shared" si="464"/>
        <v>8920009</v>
      </c>
    </row>
    <row r="6422" spans="2:10" s="3" customFormat="1">
      <c r="B6422" s="3" t="s">
        <v>2173</v>
      </c>
      <c r="C6422" s="8">
        <v>2</v>
      </c>
      <c r="D6422" s="3" t="s">
        <v>2197</v>
      </c>
      <c r="E6422" s="11" t="s">
        <v>14</v>
      </c>
      <c r="F6422" s="11"/>
      <c r="G6422" s="9"/>
      <c r="H6422" s="11"/>
      <c r="I6422" s="11"/>
      <c r="J6422" s="3" t="str">
        <f t="shared" si="464"/>
        <v>8920010</v>
      </c>
    </row>
    <row r="6423" spans="2:10" s="3" customFormat="1">
      <c r="B6423" s="3" t="s">
        <v>2173</v>
      </c>
      <c r="C6423" s="8">
        <v>2</v>
      </c>
      <c r="D6423" s="3" t="s">
        <v>2197</v>
      </c>
      <c r="E6423" s="11" t="s">
        <v>10</v>
      </c>
      <c r="F6423" s="10">
        <v>5.7499999999999999E-4</v>
      </c>
      <c r="G6423" s="12">
        <f>ROUND(G$3*F6423,0)</f>
        <v>165</v>
      </c>
      <c r="H6423" s="13">
        <f>ROUND(G6423/2,0)</f>
        <v>83</v>
      </c>
      <c r="I6423" s="12">
        <f>G6423-H6423</f>
        <v>82</v>
      </c>
      <c r="J6423" s="3" t="str">
        <f t="shared" si="464"/>
        <v>8920010</v>
      </c>
    </row>
    <row r="6424" spans="2:10" s="3" customFormat="1">
      <c r="B6424" s="3" t="s">
        <v>2173</v>
      </c>
      <c r="C6424" s="8">
        <v>2</v>
      </c>
      <c r="D6424" s="3" t="s">
        <v>2197</v>
      </c>
      <c r="E6424" s="11" t="s">
        <v>11</v>
      </c>
      <c r="F6424" s="10">
        <v>1.64E-4</v>
      </c>
      <c r="G6424" s="12">
        <f>ROUND(G$3*F6424,0)</f>
        <v>47</v>
      </c>
      <c r="H6424" s="13">
        <f>ROUND(G6424/2,0)</f>
        <v>24</v>
      </c>
      <c r="I6424" s="12">
        <f>G6424-H6424</f>
        <v>23</v>
      </c>
      <c r="J6424" s="3" t="str">
        <f t="shared" si="464"/>
        <v>8920010</v>
      </c>
    </row>
    <row r="6425" spans="2:10" s="3" customFormat="1">
      <c r="B6425" s="3" t="s">
        <v>2173</v>
      </c>
      <c r="C6425" s="8">
        <v>2</v>
      </c>
      <c r="D6425" s="3" t="s">
        <v>2198</v>
      </c>
      <c r="E6425" s="11" t="s">
        <v>1820</v>
      </c>
      <c r="F6425" s="11"/>
      <c r="G6425" s="9"/>
      <c r="H6425" s="11"/>
      <c r="I6425" s="11"/>
      <c r="J6425" s="3" t="str">
        <f t="shared" si="464"/>
        <v>8920011</v>
      </c>
    </row>
    <row r="6426" spans="2:10" s="3" customFormat="1">
      <c r="B6426" s="3" t="s">
        <v>2173</v>
      </c>
      <c r="C6426" s="8">
        <v>2</v>
      </c>
      <c r="D6426" s="3" t="s">
        <v>2198</v>
      </c>
      <c r="E6426" s="11" t="s">
        <v>10</v>
      </c>
      <c r="F6426" s="10">
        <v>2.33E-4</v>
      </c>
      <c r="G6426" s="12">
        <f>ROUND(G$3*F6426,0)</f>
        <v>67</v>
      </c>
      <c r="H6426" s="13">
        <f>ROUND(G6426/2,0)</f>
        <v>34</v>
      </c>
      <c r="I6426" s="12">
        <f>G6426-H6426</f>
        <v>33</v>
      </c>
      <c r="J6426" s="3" t="str">
        <f t="shared" si="464"/>
        <v>8920011</v>
      </c>
    </row>
    <row r="6427" spans="2:10" s="3" customFormat="1">
      <c r="B6427" s="3" t="s">
        <v>2173</v>
      </c>
      <c r="C6427" s="8">
        <v>2</v>
      </c>
      <c r="D6427" s="3" t="s">
        <v>2198</v>
      </c>
      <c r="E6427" s="11" t="s">
        <v>11</v>
      </c>
      <c r="F6427" s="10">
        <v>1.9599999999999999E-4</v>
      </c>
      <c r="G6427" s="12">
        <f>ROUND(G$3*F6427,0)</f>
        <v>56</v>
      </c>
      <c r="H6427" s="13">
        <f>ROUND(G6427/2,0)</f>
        <v>28</v>
      </c>
      <c r="I6427" s="12">
        <f>G6427-H6427</f>
        <v>28</v>
      </c>
      <c r="J6427" s="3" t="str">
        <f t="shared" si="464"/>
        <v>8920011</v>
      </c>
    </row>
    <row r="6428" spans="2:10" s="3" customFormat="1">
      <c r="B6428" s="3" t="s">
        <v>2173</v>
      </c>
      <c r="C6428" s="8">
        <v>2</v>
      </c>
      <c r="D6428" s="3" t="s">
        <v>2199</v>
      </c>
      <c r="E6428" s="11" t="s">
        <v>56</v>
      </c>
      <c r="F6428" s="11"/>
      <c r="G6428" s="9"/>
      <c r="H6428" s="11"/>
      <c r="I6428" s="11"/>
      <c r="J6428" s="3" t="str">
        <f t="shared" si="464"/>
        <v>8920012</v>
      </c>
    </row>
    <row r="6429" spans="2:10" s="3" customFormat="1">
      <c r="B6429" s="3" t="s">
        <v>2173</v>
      </c>
      <c r="C6429" s="8">
        <v>2</v>
      </c>
      <c r="D6429" s="3" t="s">
        <v>2199</v>
      </c>
      <c r="E6429" s="11" t="s">
        <v>10</v>
      </c>
      <c r="F6429" s="10">
        <v>8.8999999999999995E-5</v>
      </c>
      <c r="G6429" s="12">
        <f>ROUND(G$3*F6429,0)</f>
        <v>26</v>
      </c>
      <c r="H6429" s="13">
        <f>ROUND(G6429/2,0)</f>
        <v>13</v>
      </c>
      <c r="I6429" s="12">
        <f>G6429-H6429</f>
        <v>13</v>
      </c>
      <c r="J6429" s="3" t="str">
        <f t="shared" si="464"/>
        <v>8920012</v>
      </c>
    </row>
    <row r="6430" spans="2:10" s="3" customFormat="1">
      <c r="B6430" s="3" t="s">
        <v>2173</v>
      </c>
      <c r="C6430" s="8">
        <v>2</v>
      </c>
      <c r="D6430" s="3" t="s">
        <v>2199</v>
      </c>
      <c r="E6430" s="11" t="s">
        <v>11</v>
      </c>
      <c r="F6430" s="10">
        <v>1.8000000000000001E-4</v>
      </c>
      <c r="G6430" s="12">
        <f>ROUND(G$3*F6430,0)</f>
        <v>52</v>
      </c>
      <c r="H6430" s="13">
        <f>ROUND(G6430/2,0)</f>
        <v>26</v>
      </c>
      <c r="I6430" s="12">
        <f>G6430-H6430</f>
        <v>26</v>
      </c>
      <c r="J6430" s="3" t="str">
        <f t="shared" si="464"/>
        <v>8920012</v>
      </c>
    </row>
    <row r="6431" spans="2:10" s="3" customFormat="1">
      <c r="B6431" s="3" t="s">
        <v>2173</v>
      </c>
      <c r="C6431" s="8">
        <v>2</v>
      </c>
      <c r="D6431" s="3" t="s">
        <v>2208</v>
      </c>
      <c r="E6431" s="11" t="s">
        <v>22</v>
      </c>
      <c r="F6431" s="11"/>
      <c r="G6431" s="9"/>
      <c r="H6431" s="11"/>
      <c r="I6431" s="11"/>
      <c r="J6431" s="3" t="str">
        <f t="shared" si="464"/>
        <v>8920013</v>
      </c>
    </row>
    <row r="6432" spans="2:10" s="3" customFormat="1">
      <c r="B6432" s="3" t="s">
        <v>2173</v>
      </c>
      <c r="C6432" s="8">
        <v>2</v>
      </c>
      <c r="D6432" s="3" t="s">
        <v>2208</v>
      </c>
      <c r="E6432" s="11" t="s">
        <v>10</v>
      </c>
      <c r="F6432" s="10">
        <v>1E-4</v>
      </c>
      <c r="G6432" s="12">
        <f>ROUND(G$3*F6432,0)</f>
        <v>29</v>
      </c>
      <c r="H6432" s="13">
        <f>ROUND(G6432/2,0)</f>
        <v>15</v>
      </c>
      <c r="I6432" s="12">
        <f>G6432-H6432</f>
        <v>14</v>
      </c>
      <c r="J6432" s="3" t="str">
        <f t="shared" si="464"/>
        <v>8920013</v>
      </c>
    </row>
    <row r="6433" spans="1:10" s="3" customFormat="1">
      <c r="B6433" s="3" t="s">
        <v>2173</v>
      </c>
      <c r="C6433" s="8">
        <v>2</v>
      </c>
      <c r="D6433" s="3" t="s">
        <v>2208</v>
      </c>
      <c r="E6433" s="11" t="s">
        <v>11</v>
      </c>
      <c r="F6433" s="10">
        <v>1.7899999999999999E-4</v>
      </c>
      <c r="G6433" s="12">
        <f>ROUND(G$3*F6433,0)</f>
        <v>52</v>
      </c>
      <c r="H6433" s="13">
        <f>ROUND(G6433/2,0)</f>
        <v>26</v>
      </c>
      <c r="I6433" s="12">
        <f>G6433-H6433</f>
        <v>26</v>
      </c>
      <c r="J6433" s="3" t="str">
        <f t="shared" si="464"/>
        <v>8920013</v>
      </c>
    </row>
    <row r="6434" spans="1:10" s="3" customFormat="1">
      <c r="B6434" s="3" t="s">
        <v>2173</v>
      </c>
      <c r="C6434" s="8">
        <v>2</v>
      </c>
      <c r="D6434" s="3" t="s">
        <v>2209</v>
      </c>
      <c r="E6434" s="11" t="s">
        <v>61</v>
      </c>
      <c r="F6434" s="11"/>
      <c r="G6434" s="9"/>
      <c r="H6434" s="11"/>
      <c r="I6434" s="11"/>
      <c r="J6434" s="3" t="str">
        <f t="shared" si="464"/>
        <v>8920014</v>
      </c>
    </row>
    <row r="6435" spans="1:10" s="3" customFormat="1">
      <c r="B6435" s="3" t="s">
        <v>2173</v>
      </c>
      <c r="C6435" s="8">
        <v>2</v>
      </c>
      <c r="D6435" s="3" t="s">
        <v>2209</v>
      </c>
      <c r="E6435" s="11" t="s">
        <v>10</v>
      </c>
      <c r="F6435" s="10">
        <v>1.0315E-2</v>
      </c>
      <c r="G6435" s="12">
        <f>ROUND(G$3*F6435,0)</f>
        <v>2968</v>
      </c>
      <c r="H6435" s="13">
        <f>ROUND(G6435/2,0)</f>
        <v>1484</v>
      </c>
      <c r="I6435" s="12">
        <f>G6435-H6435</f>
        <v>1484</v>
      </c>
      <c r="J6435" s="3" t="str">
        <f t="shared" si="464"/>
        <v>8920014</v>
      </c>
    </row>
    <row r="6436" spans="1:10" s="3" customFormat="1">
      <c r="B6436" s="3" t="s">
        <v>2173</v>
      </c>
      <c r="C6436" s="8">
        <v>2</v>
      </c>
      <c r="D6436" s="3" t="s">
        <v>2209</v>
      </c>
      <c r="E6436" s="11" t="s">
        <v>11</v>
      </c>
      <c r="F6436" s="10">
        <v>9.5399999999999999E-4</v>
      </c>
      <c r="G6436" s="12">
        <f>ROUND(G$3*F6436,0)</f>
        <v>274</v>
      </c>
      <c r="H6436" s="13">
        <f>ROUND(G6436/2,0)</f>
        <v>137</v>
      </c>
      <c r="I6436" s="12">
        <f>G6436-H6436</f>
        <v>137</v>
      </c>
      <c r="J6436" s="3" t="str">
        <f t="shared" si="464"/>
        <v>8920014</v>
      </c>
    </row>
    <row r="6437" spans="1:10" s="3" customFormat="1">
      <c r="B6437" s="3" t="s">
        <v>2173</v>
      </c>
      <c r="C6437" s="8">
        <v>2</v>
      </c>
      <c r="D6437" s="3" t="s">
        <v>2204</v>
      </c>
      <c r="E6437" s="11" t="s">
        <v>692</v>
      </c>
      <c r="F6437" s="11"/>
      <c r="G6437" s="9"/>
      <c r="H6437" s="11"/>
      <c r="I6437" s="11"/>
      <c r="J6437" s="3" t="str">
        <f t="shared" si="464"/>
        <v>8920015</v>
      </c>
    </row>
    <row r="6438" spans="1:10" s="3" customFormat="1">
      <c r="B6438" s="3" t="s">
        <v>2173</v>
      </c>
      <c r="C6438" s="8">
        <v>2</v>
      </c>
      <c r="D6438" s="3" t="s">
        <v>2204</v>
      </c>
      <c r="E6438" s="11" t="s">
        <v>10</v>
      </c>
      <c r="F6438" s="10">
        <v>2.4699999999999999E-4</v>
      </c>
      <c r="G6438" s="12">
        <f t="shared" ref="G6438:G6454" si="465">ROUND(G$3*F6438,0)</f>
        <v>71</v>
      </c>
      <c r="H6438" s="13">
        <f t="shared" ref="H6438:H6454" si="466">ROUND(G6438/2,0)</f>
        <v>36</v>
      </c>
      <c r="I6438" s="12">
        <f t="shared" ref="I6438:I6454" si="467">G6438-H6438</f>
        <v>35</v>
      </c>
      <c r="J6438" s="3" t="str">
        <f t="shared" si="464"/>
        <v>8920015</v>
      </c>
    </row>
    <row r="6439" spans="1:10" s="3" customFormat="1">
      <c r="B6439" s="3" t="s">
        <v>2173</v>
      </c>
      <c r="C6439" s="8">
        <v>2</v>
      </c>
      <c r="D6439" s="3" t="s">
        <v>2204</v>
      </c>
      <c r="E6439" s="11" t="s">
        <v>11</v>
      </c>
      <c r="F6439" s="10">
        <v>2.31E-4</v>
      </c>
      <c r="G6439" s="12">
        <f t="shared" si="465"/>
        <v>66</v>
      </c>
      <c r="H6439" s="13">
        <f t="shared" si="466"/>
        <v>33</v>
      </c>
      <c r="I6439" s="12">
        <f t="shared" si="467"/>
        <v>33</v>
      </c>
      <c r="J6439" s="3" t="str">
        <f t="shared" si="464"/>
        <v>8920015</v>
      </c>
    </row>
    <row r="6440" spans="1:10" s="3" customFormat="1">
      <c r="A6440" s="3" t="s">
        <v>6269</v>
      </c>
      <c r="B6440" s="3" t="s">
        <v>2173</v>
      </c>
      <c r="C6440" s="8">
        <v>3</v>
      </c>
      <c r="D6440" s="3" t="s">
        <v>3098</v>
      </c>
      <c r="E6440" s="11" t="s">
        <v>1821</v>
      </c>
      <c r="F6440" s="10">
        <v>0</v>
      </c>
      <c r="G6440" s="12">
        <f t="shared" si="465"/>
        <v>0</v>
      </c>
      <c r="H6440" s="13">
        <f t="shared" si="466"/>
        <v>0</v>
      </c>
      <c r="I6440" s="12">
        <f t="shared" si="467"/>
        <v>0</v>
      </c>
      <c r="J6440" s="3" t="str">
        <f t="shared" si="464"/>
        <v>8930925</v>
      </c>
    </row>
    <row r="6441" spans="1:10" s="3" customFormat="1">
      <c r="B6441" s="3" t="s">
        <v>2173</v>
      </c>
      <c r="C6441" s="8">
        <v>3</v>
      </c>
      <c r="D6441" s="3" t="s">
        <v>3099</v>
      </c>
      <c r="E6441" s="11" t="s">
        <v>1822</v>
      </c>
      <c r="F6441" s="10">
        <v>3.1050000000000001E-3</v>
      </c>
      <c r="G6441" s="12">
        <f t="shared" si="465"/>
        <v>893</v>
      </c>
      <c r="H6441" s="13">
        <f t="shared" si="466"/>
        <v>447</v>
      </c>
      <c r="I6441" s="12">
        <f t="shared" si="467"/>
        <v>446</v>
      </c>
      <c r="J6441" s="3" t="str">
        <f t="shared" si="464"/>
        <v>8930926</v>
      </c>
    </row>
    <row r="6442" spans="1:10" s="3" customFormat="1">
      <c r="B6442" s="3" t="s">
        <v>2173</v>
      </c>
      <c r="C6442" s="8">
        <v>3</v>
      </c>
      <c r="D6442" s="3" t="s">
        <v>3100</v>
      </c>
      <c r="E6442" s="11" t="s">
        <v>1823</v>
      </c>
      <c r="F6442" s="10">
        <v>4.4079999999999996E-3</v>
      </c>
      <c r="G6442" s="12">
        <f t="shared" si="465"/>
        <v>1268</v>
      </c>
      <c r="H6442" s="13">
        <f t="shared" si="466"/>
        <v>634</v>
      </c>
      <c r="I6442" s="12">
        <f t="shared" si="467"/>
        <v>634</v>
      </c>
      <c r="J6442" s="3" t="str">
        <f t="shared" si="464"/>
        <v>8930927</v>
      </c>
    </row>
    <row r="6443" spans="1:10" s="3" customFormat="1">
      <c r="B6443" s="3" t="s">
        <v>2173</v>
      </c>
      <c r="C6443" s="8">
        <v>3</v>
      </c>
      <c r="D6443" s="3" t="s">
        <v>3101</v>
      </c>
      <c r="E6443" s="11" t="s">
        <v>1824</v>
      </c>
      <c r="F6443" s="10">
        <v>3.6699999999999998E-4</v>
      </c>
      <c r="G6443" s="12">
        <f t="shared" si="465"/>
        <v>106</v>
      </c>
      <c r="H6443" s="13">
        <f t="shared" si="466"/>
        <v>53</v>
      </c>
      <c r="I6443" s="12">
        <f t="shared" si="467"/>
        <v>53</v>
      </c>
      <c r="J6443" s="3" t="str">
        <f t="shared" si="464"/>
        <v>8930928</v>
      </c>
    </row>
    <row r="6444" spans="1:10" s="3" customFormat="1">
      <c r="B6444" s="3" t="s">
        <v>2173</v>
      </c>
      <c r="C6444" s="8">
        <v>3</v>
      </c>
      <c r="D6444" s="116" t="s">
        <v>3102</v>
      </c>
      <c r="E6444" s="11" t="s">
        <v>1825</v>
      </c>
      <c r="F6444" s="10">
        <v>3.7599999999999998E-4</v>
      </c>
      <c r="G6444" s="12">
        <f t="shared" si="465"/>
        <v>108</v>
      </c>
      <c r="H6444" s="13">
        <f t="shared" si="466"/>
        <v>54</v>
      </c>
      <c r="I6444" s="12">
        <f t="shared" si="467"/>
        <v>54</v>
      </c>
      <c r="J6444" s="3" t="str">
        <f t="shared" si="464"/>
        <v>8930929</v>
      </c>
    </row>
    <row r="6445" spans="1:10" s="3" customFormat="1">
      <c r="B6445" s="3" t="s">
        <v>2173</v>
      </c>
      <c r="C6445" s="8">
        <v>3</v>
      </c>
      <c r="D6445" s="3" t="s">
        <v>3103</v>
      </c>
      <c r="E6445" s="11" t="s">
        <v>1826</v>
      </c>
      <c r="F6445" s="10">
        <v>3.1999999999999999E-5</v>
      </c>
      <c r="G6445" s="12">
        <f t="shared" si="465"/>
        <v>9</v>
      </c>
      <c r="H6445" s="13">
        <f t="shared" si="466"/>
        <v>5</v>
      </c>
      <c r="I6445" s="12">
        <f t="shared" si="467"/>
        <v>4</v>
      </c>
      <c r="J6445" s="3" t="str">
        <f t="shared" si="464"/>
        <v>8930930</v>
      </c>
    </row>
    <row r="6446" spans="1:10" s="3" customFormat="1">
      <c r="A6446" s="3" t="s">
        <v>6269</v>
      </c>
      <c r="B6446" s="3" t="s">
        <v>2173</v>
      </c>
      <c r="C6446" s="8">
        <v>3</v>
      </c>
      <c r="D6446" s="3" t="s">
        <v>3104</v>
      </c>
      <c r="E6446" s="11" t="s">
        <v>1827</v>
      </c>
      <c r="F6446" s="10">
        <v>0</v>
      </c>
      <c r="G6446" s="12">
        <f t="shared" si="465"/>
        <v>0</v>
      </c>
      <c r="H6446" s="13">
        <f t="shared" si="466"/>
        <v>0</v>
      </c>
      <c r="I6446" s="12">
        <f t="shared" si="467"/>
        <v>0</v>
      </c>
      <c r="J6446" s="3" t="str">
        <f t="shared" si="464"/>
        <v>8930931</v>
      </c>
    </row>
    <row r="6447" spans="1:10" s="3" customFormat="1">
      <c r="A6447" s="3" t="s">
        <v>6269</v>
      </c>
      <c r="B6447" s="3" t="s">
        <v>2173</v>
      </c>
      <c r="C6447" s="8">
        <v>3</v>
      </c>
      <c r="D6447" s="3" t="s">
        <v>2473</v>
      </c>
      <c r="E6447" s="11" t="s">
        <v>1828</v>
      </c>
      <c r="F6447" s="10">
        <v>0</v>
      </c>
      <c r="G6447" s="12">
        <f t="shared" si="465"/>
        <v>0</v>
      </c>
      <c r="H6447" s="13">
        <f t="shared" si="466"/>
        <v>0</v>
      </c>
      <c r="I6447" s="12">
        <f t="shared" si="467"/>
        <v>0</v>
      </c>
      <c r="J6447" s="3" t="str">
        <f t="shared" si="464"/>
        <v>8930932</v>
      </c>
    </row>
    <row r="6448" spans="1:10" s="3" customFormat="1">
      <c r="B6448" s="3" t="s">
        <v>2173</v>
      </c>
      <c r="C6448" s="8">
        <v>3</v>
      </c>
      <c r="D6448" s="3" t="s">
        <v>3105</v>
      </c>
      <c r="E6448" s="11" t="s">
        <v>1829</v>
      </c>
      <c r="F6448" s="10">
        <v>1.524E-3</v>
      </c>
      <c r="G6448" s="12">
        <f t="shared" si="465"/>
        <v>438</v>
      </c>
      <c r="H6448" s="13">
        <f t="shared" si="466"/>
        <v>219</v>
      </c>
      <c r="I6448" s="12">
        <f t="shared" si="467"/>
        <v>219</v>
      </c>
      <c r="J6448" s="3" t="str">
        <f t="shared" si="464"/>
        <v>8930933</v>
      </c>
    </row>
    <row r="6449" spans="1:10" s="3" customFormat="1">
      <c r="B6449" s="3" t="s">
        <v>2173</v>
      </c>
      <c r="C6449" s="8">
        <v>3</v>
      </c>
      <c r="D6449" s="3" t="s">
        <v>3106</v>
      </c>
      <c r="E6449" s="11" t="s">
        <v>1830</v>
      </c>
      <c r="F6449" s="10">
        <v>3.4E-5</v>
      </c>
      <c r="G6449" s="12">
        <f t="shared" si="465"/>
        <v>10</v>
      </c>
      <c r="H6449" s="13">
        <f t="shared" si="466"/>
        <v>5</v>
      </c>
      <c r="I6449" s="12">
        <f t="shared" si="467"/>
        <v>5</v>
      </c>
      <c r="J6449" s="3" t="str">
        <f t="shared" si="464"/>
        <v>8930934</v>
      </c>
    </row>
    <row r="6450" spans="1:10" s="3" customFormat="1">
      <c r="B6450" s="3" t="s">
        <v>2173</v>
      </c>
      <c r="C6450" s="8">
        <v>3</v>
      </c>
      <c r="D6450" s="3" t="s">
        <v>2296</v>
      </c>
      <c r="E6450" s="11" t="s">
        <v>1831</v>
      </c>
      <c r="F6450" s="10">
        <v>5.0000000000000004E-6</v>
      </c>
      <c r="G6450" s="12">
        <f t="shared" si="465"/>
        <v>1</v>
      </c>
      <c r="H6450" s="13">
        <f t="shared" si="466"/>
        <v>1</v>
      </c>
      <c r="I6450" s="12">
        <f t="shared" si="467"/>
        <v>0</v>
      </c>
      <c r="J6450" s="3" t="str">
        <f t="shared" si="464"/>
        <v>8930935</v>
      </c>
    </row>
    <row r="6451" spans="1:10" s="3" customFormat="1">
      <c r="B6451" s="3" t="s">
        <v>2173</v>
      </c>
      <c r="C6451" s="8">
        <v>3</v>
      </c>
      <c r="D6451" s="3" t="s">
        <v>2239</v>
      </c>
      <c r="E6451" s="11" t="s">
        <v>1832</v>
      </c>
      <c r="F6451" s="10">
        <v>0.196908</v>
      </c>
      <c r="G6451" s="12">
        <f t="shared" si="465"/>
        <v>56655</v>
      </c>
      <c r="H6451" s="13">
        <f t="shared" si="466"/>
        <v>28328</v>
      </c>
      <c r="I6451" s="12">
        <f t="shared" si="467"/>
        <v>28327</v>
      </c>
      <c r="J6451" s="3" t="str">
        <f t="shared" si="464"/>
        <v>8930111</v>
      </c>
    </row>
    <row r="6452" spans="1:10" s="3" customFormat="1">
      <c r="B6452" s="3" t="s">
        <v>2173</v>
      </c>
      <c r="C6452" s="8">
        <v>3</v>
      </c>
      <c r="D6452" s="3" t="s">
        <v>2667</v>
      </c>
      <c r="E6452" s="11" t="s">
        <v>1833</v>
      </c>
      <c r="F6452" s="10">
        <v>6.0000000000000002E-6</v>
      </c>
      <c r="G6452" s="12">
        <f t="shared" si="465"/>
        <v>2</v>
      </c>
      <c r="H6452" s="13">
        <f t="shared" si="466"/>
        <v>1</v>
      </c>
      <c r="I6452" s="12">
        <f t="shared" si="467"/>
        <v>1</v>
      </c>
      <c r="J6452" s="3" t="str">
        <f t="shared" si="464"/>
        <v>8930936</v>
      </c>
    </row>
    <row r="6453" spans="1:10" s="3" customFormat="1">
      <c r="A6453" s="3" t="s">
        <v>6269</v>
      </c>
      <c r="B6453" s="3" t="s">
        <v>2173</v>
      </c>
      <c r="C6453" s="8">
        <v>3</v>
      </c>
      <c r="D6453" s="3" t="s">
        <v>3107</v>
      </c>
      <c r="E6453" s="11" t="s">
        <v>1834</v>
      </c>
      <c r="F6453" s="10">
        <v>0</v>
      </c>
      <c r="G6453" s="12">
        <f t="shared" si="465"/>
        <v>0</v>
      </c>
      <c r="H6453" s="13">
        <f t="shared" si="466"/>
        <v>0</v>
      </c>
      <c r="I6453" s="12">
        <f t="shared" si="467"/>
        <v>0</v>
      </c>
      <c r="J6453" s="3" t="str">
        <f t="shared" si="464"/>
        <v>8930937</v>
      </c>
    </row>
    <row r="6454" spans="1:10" s="3" customFormat="1">
      <c r="B6454" s="3" t="s">
        <v>2173</v>
      </c>
      <c r="C6454" s="8">
        <v>4</v>
      </c>
      <c r="D6454" s="3" t="s">
        <v>3109</v>
      </c>
      <c r="E6454" s="11" t="s">
        <v>1835</v>
      </c>
      <c r="F6454" s="10">
        <v>5.0383999999999998E-2</v>
      </c>
      <c r="G6454" s="9">
        <f t="shared" si="465"/>
        <v>14497</v>
      </c>
      <c r="H6454" s="11">
        <f t="shared" si="466"/>
        <v>7249</v>
      </c>
      <c r="I6454" s="9">
        <f t="shared" si="467"/>
        <v>7248</v>
      </c>
      <c r="J6454" s="3" t="str">
        <f t="shared" si="464"/>
        <v>8948360</v>
      </c>
    </row>
    <row r="6455" spans="1:10" s="3" customFormat="1">
      <c r="B6455" s="3" t="s">
        <v>2173</v>
      </c>
      <c r="C6455" s="8">
        <v>4</v>
      </c>
      <c r="D6455" s="3" t="s">
        <v>3109</v>
      </c>
      <c r="E6455" s="11" t="s">
        <v>28</v>
      </c>
      <c r="F6455" s="10"/>
      <c r="G6455" s="14">
        <v>0.34016200000000002</v>
      </c>
      <c r="H6455" s="11"/>
      <c r="I6455" s="11"/>
      <c r="J6455" s="3" t="str">
        <f t="shared" si="464"/>
        <v>8948360</v>
      </c>
    </row>
    <row r="6456" spans="1:10" s="3" customFormat="1">
      <c r="B6456" s="3" t="s">
        <v>2173</v>
      </c>
      <c r="C6456" s="8">
        <v>4</v>
      </c>
      <c r="D6456" s="3" t="s">
        <v>3109</v>
      </c>
      <c r="E6456" s="11" t="s">
        <v>29</v>
      </c>
      <c r="F6456" s="11"/>
      <c r="G6456" s="15">
        <f>ROUND(G6454*G6455,0)</f>
        <v>4931</v>
      </c>
      <c r="H6456" s="16">
        <f>ROUND(G6456/2,0)</f>
        <v>2466</v>
      </c>
      <c r="I6456" s="15">
        <f>G6456-H6456</f>
        <v>2465</v>
      </c>
      <c r="J6456" s="3" t="str">
        <f t="shared" si="464"/>
        <v>8948360</v>
      </c>
    </row>
    <row r="6457" spans="1:10" s="3" customFormat="1">
      <c r="B6457" s="3" t="s">
        <v>2173</v>
      </c>
      <c r="C6457" s="8">
        <v>4</v>
      </c>
      <c r="D6457" s="3" t="s">
        <v>3109</v>
      </c>
      <c r="E6457" s="11" t="s">
        <v>30</v>
      </c>
      <c r="F6457" s="11"/>
      <c r="G6457" s="12">
        <f>+G6454-G6456</f>
        <v>9566</v>
      </c>
      <c r="H6457" s="13">
        <f>ROUND(G6457/2,0)</f>
        <v>4783</v>
      </c>
      <c r="I6457" s="12">
        <f>G6457-H6457</f>
        <v>4783</v>
      </c>
      <c r="J6457" s="3" t="str">
        <f t="shared" si="464"/>
        <v>8948360</v>
      </c>
    </row>
    <row r="6458" spans="1:10" s="3" customFormat="1">
      <c r="B6458" s="3" t="s">
        <v>2173</v>
      </c>
      <c r="C6458" s="8">
        <v>4</v>
      </c>
      <c r="D6458" s="3" t="s">
        <v>2588</v>
      </c>
      <c r="E6458" s="11" t="s">
        <v>764</v>
      </c>
      <c r="F6458" s="10">
        <v>2.2197000000000001E-2</v>
      </c>
      <c r="G6458" s="9">
        <f>ROUND(G$3*F6458,0)</f>
        <v>6387</v>
      </c>
      <c r="H6458" s="11">
        <f>ROUND(G6458/2,0)</f>
        <v>3194</v>
      </c>
      <c r="I6458" s="9">
        <f>G6458-H6458</f>
        <v>3193</v>
      </c>
      <c r="J6458" s="3" t="str">
        <f t="shared" si="464"/>
        <v>8948305</v>
      </c>
    </row>
    <row r="6459" spans="1:10" s="3" customFormat="1">
      <c r="B6459" s="3" t="s">
        <v>2173</v>
      </c>
      <c r="C6459" s="8">
        <v>4</v>
      </c>
      <c r="D6459" s="3" t="s">
        <v>2588</v>
      </c>
      <c r="E6459" s="11" t="s">
        <v>28</v>
      </c>
      <c r="F6459" s="11"/>
      <c r="G6459" s="14">
        <v>0.434776</v>
      </c>
      <c r="H6459" s="11"/>
      <c r="I6459" s="11"/>
      <c r="J6459" s="3" t="str">
        <f t="shared" si="464"/>
        <v>8948305</v>
      </c>
    </row>
    <row r="6460" spans="1:10" s="3" customFormat="1">
      <c r="B6460" s="3" t="s">
        <v>2173</v>
      </c>
      <c r="C6460" s="8">
        <v>4</v>
      </c>
      <c r="D6460" s="3" t="s">
        <v>2588</v>
      </c>
      <c r="E6460" s="11" t="s">
        <v>29</v>
      </c>
      <c r="F6460" s="11"/>
      <c r="G6460" s="15">
        <f>ROUND(G6458*G6459,0)</f>
        <v>2777</v>
      </c>
      <c r="H6460" s="16">
        <f>ROUND(G6460/2,0)</f>
        <v>1389</v>
      </c>
      <c r="I6460" s="15">
        <f>G6460-H6460</f>
        <v>1388</v>
      </c>
      <c r="J6460" s="3" t="str">
        <f t="shared" si="464"/>
        <v>8948305</v>
      </c>
    </row>
    <row r="6461" spans="1:10" s="3" customFormat="1">
      <c r="B6461" s="3" t="s">
        <v>2173</v>
      </c>
      <c r="C6461" s="8">
        <v>4</v>
      </c>
      <c r="D6461" s="3" t="s">
        <v>2588</v>
      </c>
      <c r="E6461" s="11" t="s">
        <v>30</v>
      </c>
      <c r="F6461" s="11"/>
      <c r="G6461" s="12">
        <f>+G6458-G6460</f>
        <v>3610</v>
      </c>
      <c r="H6461" s="13">
        <f>ROUND(G6461/2,0)</f>
        <v>1805</v>
      </c>
      <c r="I6461" s="12">
        <f>G6461-H6461</f>
        <v>1805</v>
      </c>
      <c r="J6461" s="3" t="str">
        <f t="shared" si="464"/>
        <v>8948305</v>
      </c>
    </row>
    <row r="6462" spans="1:10" s="3" customFormat="1">
      <c r="B6462" s="3" t="s">
        <v>2173</v>
      </c>
      <c r="C6462" s="8">
        <v>4</v>
      </c>
      <c r="D6462" s="3" t="s">
        <v>3110</v>
      </c>
      <c r="E6462" s="11" t="s">
        <v>1836</v>
      </c>
      <c r="F6462" s="10">
        <v>2.3667000000000001E-2</v>
      </c>
      <c r="G6462" s="9">
        <f>ROUND(G$3*F6462,0)</f>
        <v>6810</v>
      </c>
      <c r="H6462" s="11">
        <f>ROUND(G6462/2,0)</f>
        <v>3405</v>
      </c>
      <c r="I6462" s="9">
        <f>G6462-H6462</f>
        <v>3405</v>
      </c>
      <c r="J6462" s="3" t="str">
        <f t="shared" si="464"/>
        <v>8948375</v>
      </c>
    </row>
    <row r="6463" spans="1:10" s="3" customFormat="1">
      <c r="B6463" s="3" t="s">
        <v>2173</v>
      </c>
      <c r="C6463" s="8">
        <v>4</v>
      </c>
      <c r="D6463" s="3" t="s">
        <v>3110</v>
      </c>
      <c r="E6463" s="11" t="s">
        <v>28</v>
      </c>
      <c r="F6463" s="11"/>
      <c r="G6463" s="14">
        <v>0.41495500000000002</v>
      </c>
      <c r="H6463" s="11"/>
      <c r="I6463" s="11"/>
      <c r="J6463" s="3" t="str">
        <f t="shared" si="464"/>
        <v>8948375</v>
      </c>
    </row>
    <row r="6464" spans="1:10" s="3" customFormat="1">
      <c r="B6464" s="3" t="s">
        <v>2173</v>
      </c>
      <c r="C6464" s="8">
        <v>4</v>
      </c>
      <c r="D6464" s="3" t="s">
        <v>3110</v>
      </c>
      <c r="E6464" s="11" t="s">
        <v>29</v>
      </c>
      <c r="F6464" s="11"/>
      <c r="G6464" s="15">
        <f>ROUND(G6462*G6463,0)</f>
        <v>2826</v>
      </c>
      <c r="H6464" s="16">
        <f>ROUND(G6464/2,0)</f>
        <v>1413</v>
      </c>
      <c r="I6464" s="15">
        <f>G6464-H6464</f>
        <v>1413</v>
      </c>
      <c r="J6464" s="3" t="str">
        <f t="shared" si="464"/>
        <v>8948375</v>
      </c>
    </row>
    <row r="6465" spans="2:10" s="3" customFormat="1">
      <c r="B6465" s="3" t="s">
        <v>2173</v>
      </c>
      <c r="C6465" s="8">
        <v>4</v>
      </c>
      <c r="D6465" s="3" t="s">
        <v>3110</v>
      </c>
      <c r="E6465" s="11" t="s">
        <v>30</v>
      </c>
      <c r="F6465" s="11"/>
      <c r="G6465" s="12">
        <f>+G6462-G6464</f>
        <v>3984</v>
      </c>
      <c r="H6465" s="13">
        <f>ROUND(G6465/2,0)</f>
        <v>1992</v>
      </c>
      <c r="I6465" s="12">
        <f>G6465-H6465</f>
        <v>1992</v>
      </c>
      <c r="J6465" s="3" t="str">
        <f t="shared" si="464"/>
        <v>8948375</v>
      </c>
    </row>
    <row r="6466" spans="2:10" s="3" customFormat="1">
      <c r="B6466" s="3" t="s">
        <v>2173</v>
      </c>
      <c r="C6466" s="8">
        <v>4</v>
      </c>
      <c r="D6466" s="3" t="s">
        <v>3111</v>
      </c>
      <c r="E6466" s="11" t="s">
        <v>1837</v>
      </c>
      <c r="F6466" s="10">
        <v>0.36707200000000001</v>
      </c>
      <c r="G6466" s="9">
        <f>ROUND(G$3*F6466,0)</f>
        <v>105615</v>
      </c>
      <c r="H6466" s="11">
        <f>ROUND(G6466/2,0)</f>
        <v>52808</v>
      </c>
      <c r="I6466" s="9">
        <f>G6466-H6466</f>
        <v>52807</v>
      </c>
      <c r="J6466" s="3" t="str">
        <f t="shared" si="464"/>
        <v>8948385</v>
      </c>
    </row>
    <row r="6467" spans="2:10" s="3" customFormat="1">
      <c r="B6467" s="3" t="s">
        <v>2173</v>
      </c>
      <c r="C6467" s="8">
        <v>4</v>
      </c>
      <c r="D6467" s="3" t="s">
        <v>3111</v>
      </c>
      <c r="E6467" s="11" t="s">
        <v>28</v>
      </c>
      <c r="F6467" s="11"/>
      <c r="G6467" s="14">
        <v>0.59304100000000004</v>
      </c>
      <c r="H6467" s="11"/>
      <c r="I6467" s="11"/>
      <c r="J6467" s="3" t="str">
        <f t="shared" si="464"/>
        <v>8948385</v>
      </c>
    </row>
    <row r="6468" spans="2:10" s="3" customFormat="1">
      <c r="B6468" s="3" t="s">
        <v>2173</v>
      </c>
      <c r="C6468" s="8">
        <v>4</v>
      </c>
      <c r="D6468" s="3" t="s">
        <v>3111</v>
      </c>
      <c r="E6468" s="11" t="s">
        <v>29</v>
      </c>
      <c r="F6468" s="11"/>
      <c r="G6468" s="15">
        <f>ROUND(G6466*G6467,0)</f>
        <v>62634</v>
      </c>
      <c r="H6468" s="16">
        <f>ROUND(G6468/2,0)</f>
        <v>31317</v>
      </c>
      <c r="I6468" s="15">
        <f>G6468-H6468</f>
        <v>31317</v>
      </c>
      <c r="J6468" s="3" t="str">
        <f t="shared" ref="J6468:J6531" si="468">B6468&amp;C6468&amp;D6468</f>
        <v>8948385</v>
      </c>
    </row>
    <row r="6469" spans="2:10" s="3" customFormat="1">
      <c r="B6469" s="3" t="s">
        <v>2173</v>
      </c>
      <c r="C6469" s="8">
        <v>4</v>
      </c>
      <c r="D6469" s="3" t="s">
        <v>3111</v>
      </c>
      <c r="E6469" s="11" t="s">
        <v>30</v>
      </c>
      <c r="F6469" s="11"/>
      <c r="G6469" s="12">
        <f>+G6466-G6468</f>
        <v>42981</v>
      </c>
      <c r="H6469" s="13">
        <f>ROUND(G6469/2,0)</f>
        <v>21491</v>
      </c>
      <c r="I6469" s="12">
        <f>G6469-H6469</f>
        <v>21490</v>
      </c>
      <c r="J6469" s="3" t="str">
        <f t="shared" si="468"/>
        <v>8948385</v>
      </c>
    </row>
    <row r="6470" spans="2:10" s="3" customFormat="1">
      <c r="B6470" s="3" t="s">
        <v>2173</v>
      </c>
      <c r="C6470" s="8">
        <v>4</v>
      </c>
      <c r="D6470" s="3" t="s">
        <v>3108</v>
      </c>
      <c r="E6470" s="11" t="s">
        <v>1838</v>
      </c>
      <c r="F6470" s="10">
        <v>3.1468000000000003E-2</v>
      </c>
      <c r="G6470" s="9">
        <f>ROUND(G$3*F6470,0)</f>
        <v>9054</v>
      </c>
      <c r="H6470" s="11">
        <f>ROUND(G6470/2,0)</f>
        <v>4527</v>
      </c>
      <c r="I6470" s="9">
        <f>G6470-H6470</f>
        <v>4527</v>
      </c>
      <c r="J6470" s="3" t="str">
        <f t="shared" si="468"/>
        <v>8948355</v>
      </c>
    </row>
    <row r="6471" spans="2:10" s="3" customFormat="1">
      <c r="B6471" s="3" t="s">
        <v>2173</v>
      </c>
      <c r="C6471" s="8">
        <v>4</v>
      </c>
      <c r="D6471" s="3" t="s">
        <v>3108</v>
      </c>
      <c r="E6471" s="11" t="s">
        <v>28</v>
      </c>
      <c r="F6471" s="11"/>
      <c r="G6471" s="14">
        <v>0.40614</v>
      </c>
      <c r="H6471" s="11"/>
      <c r="I6471" s="11"/>
      <c r="J6471" s="3" t="str">
        <f t="shared" si="468"/>
        <v>8948355</v>
      </c>
    </row>
    <row r="6472" spans="2:10" s="3" customFormat="1">
      <c r="B6472" s="3" t="s">
        <v>2173</v>
      </c>
      <c r="C6472" s="8">
        <v>4</v>
      </c>
      <c r="D6472" s="3" t="s">
        <v>3108</v>
      </c>
      <c r="E6472" s="11" t="s">
        <v>29</v>
      </c>
      <c r="F6472" s="11"/>
      <c r="G6472" s="15">
        <f>ROUND(G6470*G6471,0)</f>
        <v>3677</v>
      </c>
      <c r="H6472" s="16">
        <f t="shared" ref="H6472:H6481" si="469">ROUND(G6472/2,0)</f>
        <v>1839</v>
      </c>
      <c r="I6472" s="15">
        <f t="shared" ref="I6472:I6481" si="470">G6472-H6472</f>
        <v>1838</v>
      </c>
      <c r="J6472" s="3" t="str">
        <f t="shared" si="468"/>
        <v>8948355</v>
      </c>
    </row>
    <row r="6473" spans="2:10" s="3" customFormat="1">
      <c r="B6473" s="3" t="s">
        <v>2173</v>
      </c>
      <c r="C6473" s="8">
        <v>4</v>
      </c>
      <c r="D6473" s="3" t="s">
        <v>3108</v>
      </c>
      <c r="E6473" s="11" t="s">
        <v>30</v>
      </c>
      <c r="F6473" s="11"/>
      <c r="G6473" s="12">
        <f>+G6470-G6472</f>
        <v>5377</v>
      </c>
      <c r="H6473" s="13">
        <f t="shared" si="469"/>
        <v>2689</v>
      </c>
      <c r="I6473" s="12">
        <f t="shared" si="470"/>
        <v>2688</v>
      </c>
      <c r="J6473" s="3" t="str">
        <f t="shared" si="468"/>
        <v>8948355</v>
      </c>
    </row>
    <row r="6474" spans="2:10" s="3" customFormat="1">
      <c r="B6474" s="3" t="s">
        <v>2173</v>
      </c>
      <c r="C6474" s="8">
        <v>5</v>
      </c>
      <c r="D6474" s="3" t="s">
        <v>6167</v>
      </c>
      <c r="E6474" s="11" t="s">
        <v>1839</v>
      </c>
      <c r="F6474" s="10">
        <v>1.523E-3</v>
      </c>
      <c r="G6474" s="120">
        <f t="shared" ref="G6474:G6479" si="471">ROUND(G$3*F6474,0)</f>
        <v>438</v>
      </c>
      <c r="H6474" s="120">
        <f t="shared" si="469"/>
        <v>219</v>
      </c>
      <c r="I6474" s="120">
        <f t="shared" si="470"/>
        <v>219</v>
      </c>
      <c r="J6474" s="3" t="str">
        <f t="shared" si="468"/>
        <v>8950238</v>
      </c>
    </row>
    <row r="6475" spans="2:10" s="3" customFormat="1">
      <c r="B6475" s="3" t="s">
        <v>2173</v>
      </c>
      <c r="C6475" s="8">
        <v>5</v>
      </c>
      <c r="D6475" s="3" t="s">
        <v>6169</v>
      </c>
      <c r="E6475" s="11" t="s">
        <v>1840</v>
      </c>
      <c r="F6475" s="10">
        <v>2.699E-3</v>
      </c>
      <c r="G6475" s="120">
        <f t="shared" si="471"/>
        <v>777</v>
      </c>
      <c r="H6475" s="120">
        <f t="shared" si="469"/>
        <v>389</v>
      </c>
      <c r="I6475" s="120">
        <f t="shared" si="470"/>
        <v>388</v>
      </c>
      <c r="J6475" s="3" t="str">
        <f t="shared" si="468"/>
        <v>8950239</v>
      </c>
    </row>
    <row r="6476" spans="2:10" s="3" customFormat="1">
      <c r="B6476" s="3" t="s">
        <v>2173</v>
      </c>
      <c r="C6476" s="8">
        <v>5</v>
      </c>
      <c r="D6476" s="3" t="s">
        <v>3112</v>
      </c>
      <c r="E6476" s="11" t="s">
        <v>1841</v>
      </c>
      <c r="F6476" s="10">
        <v>8.2000000000000001E-5</v>
      </c>
      <c r="G6476" s="120">
        <f t="shared" si="471"/>
        <v>24</v>
      </c>
      <c r="H6476" s="120">
        <f t="shared" si="469"/>
        <v>12</v>
      </c>
      <c r="I6476" s="120">
        <f t="shared" si="470"/>
        <v>12</v>
      </c>
      <c r="J6476" s="3" t="str">
        <f t="shared" si="468"/>
        <v>8950240</v>
      </c>
    </row>
    <row r="6477" spans="2:10" s="3" customFormat="1">
      <c r="B6477" s="3" t="s">
        <v>2173</v>
      </c>
      <c r="C6477" s="8">
        <v>5</v>
      </c>
      <c r="D6477" s="3" t="s">
        <v>3113</v>
      </c>
      <c r="E6477" s="11" t="s">
        <v>1842</v>
      </c>
      <c r="F6477" s="10">
        <v>1.276E-3</v>
      </c>
      <c r="G6477" s="120">
        <f t="shared" si="471"/>
        <v>367</v>
      </c>
      <c r="H6477" s="120">
        <f t="shared" si="469"/>
        <v>184</v>
      </c>
      <c r="I6477" s="120">
        <f t="shared" si="470"/>
        <v>183</v>
      </c>
      <c r="J6477" s="3" t="str">
        <f t="shared" si="468"/>
        <v>8950241</v>
      </c>
    </row>
    <row r="6478" spans="2:10" s="3" customFormat="1">
      <c r="B6478" s="3" t="s">
        <v>2173</v>
      </c>
      <c r="C6478" s="8">
        <v>5</v>
      </c>
      <c r="D6478" s="3" t="s">
        <v>6173</v>
      </c>
      <c r="E6478" s="11" t="s">
        <v>1843</v>
      </c>
      <c r="F6478" s="10">
        <v>3.1675000000000002E-2</v>
      </c>
      <c r="G6478" s="120">
        <f t="shared" si="471"/>
        <v>9114</v>
      </c>
      <c r="H6478" s="120">
        <f t="shared" si="469"/>
        <v>4557</v>
      </c>
      <c r="I6478" s="120">
        <f t="shared" si="470"/>
        <v>4557</v>
      </c>
      <c r="J6478" s="3" t="str">
        <f t="shared" si="468"/>
        <v>8950242</v>
      </c>
    </row>
    <row r="6479" spans="2:10" s="3" customFormat="1">
      <c r="B6479" s="3" t="s">
        <v>2173</v>
      </c>
      <c r="C6479" s="8">
        <v>5</v>
      </c>
      <c r="D6479" s="3" t="s">
        <v>6175</v>
      </c>
      <c r="E6479" s="11" t="s">
        <v>1844</v>
      </c>
      <c r="F6479" s="10">
        <v>1.4369999999999999E-3</v>
      </c>
      <c r="G6479" s="120">
        <f t="shared" si="471"/>
        <v>413</v>
      </c>
      <c r="H6479" s="120">
        <f t="shared" si="469"/>
        <v>207</v>
      </c>
      <c r="I6479" s="120">
        <f t="shared" si="470"/>
        <v>206</v>
      </c>
      <c r="J6479" s="3" t="str">
        <f t="shared" si="468"/>
        <v>8950243</v>
      </c>
    </row>
    <row r="6480" spans="2:10" s="3" customFormat="1">
      <c r="B6480" s="3" t="s">
        <v>2173</v>
      </c>
      <c r="C6480" s="8">
        <v>6</v>
      </c>
      <c r="D6480" s="3" t="s">
        <v>3076</v>
      </c>
      <c r="E6480" s="11" t="s">
        <v>1845</v>
      </c>
      <c r="F6480" s="10">
        <v>4.6373999999999693E-2</v>
      </c>
      <c r="G6480" s="12">
        <f>+G6389-SUM(G6390:G6391)-SUM(G6396:G6454)-G6458-G6462-G6466-G6470-SUM(G6474:G6479)</f>
        <v>700896</v>
      </c>
      <c r="H6480" s="13">
        <f t="shared" si="469"/>
        <v>350448</v>
      </c>
      <c r="I6480" s="12">
        <f t="shared" si="470"/>
        <v>350448</v>
      </c>
      <c r="J6480" s="3" t="str">
        <f t="shared" si="468"/>
        <v>8960909</v>
      </c>
    </row>
    <row r="6481" spans="1:10" s="3" customFormat="1">
      <c r="A6481" s="3" t="s">
        <v>6269</v>
      </c>
      <c r="B6481" s="3" t="s">
        <v>2173</v>
      </c>
      <c r="C6481" s="8">
        <v>6</v>
      </c>
      <c r="D6481" s="3" t="s">
        <v>5919</v>
      </c>
      <c r="E6481" s="11" t="s">
        <v>1697</v>
      </c>
      <c r="F6481" s="10">
        <v>0</v>
      </c>
      <c r="G6481" s="120">
        <f>ROUND(G$3*F6481,0)</f>
        <v>0</v>
      </c>
      <c r="H6481" s="120">
        <f t="shared" si="469"/>
        <v>0</v>
      </c>
      <c r="I6481" s="120">
        <f t="shared" si="470"/>
        <v>0</v>
      </c>
      <c r="J6481" s="3" t="str">
        <f t="shared" si="468"/>
        <v>8961074</v>
      </c>
    </row>
    <row r="6482" spans="1:10" s="3" customFormat="1">
      <c r="B6482" s="3" t="s">
        <v>2173</v>
      </c>
      <c r="C6482" s="8">
        <v>0</v>
      </c>
      <c r="D6482" s="125" t="s">
        <v>2187</v>
      </c>
      <c r="E6482" s="28" t="s">
        <v>288</v>
      </c>
      <c r="F6482" s="10">
        <v>1</v>
      </c>
      <c r="G6482" s="12">
        <f>+G6390+SUM(G6393:G6453)+SUM(G6456:G6457)+SUM(G6460:G6461)+SUM(G6464:G6465)+SUM(G6468:G6469)+SUM(G6472:G6481)</f>
        <v>975274</v>
      </c>
      <c r="H6482" s="12">
        <f>+H6390+SUM(H6393:H6453)+SUM(H6456:H6457)+SUM(H6460:H6461)+SUM(H6464:H6465)+SUM(H6468:H6469)+SUM(H6472:H6481)</f>
        <v>487651</v>
      </c>
      <c r="I6482" s="12">
        <f>+I6390+SUM(I6393:I6453)+SUM(I6456:I6457)+SUM(I6460:I6461)+SUM(I6464:I6465)+SUM(I6468:I6469)+SUM(I6472:I6481)</f>
        <v>487623</v>
      </c>
      <c r="J6482" s="3" t="str">
        <f t="shared" si="468"/>
        <v>8900000</v>
      </c>
    </row>
    <row r="6483" spans="1:10" s="3" customFormat="1">
      <c r="B6483" s="3" t="s">
        <v>2173</v>
      </c>
      <c r="C6483" s="8">
        <v>0</v>
      </c>
      <c r="D6483" s="3" t="s">
        <v>2187</v>
      </c>
      <c r="E6483" s="18" t="s">
        <v>38</v>
      </c>
      <c r="G6483" s="19">
        <f>+G6390</f>
        <v>270</v>
      </c>
      <c r="H6483" s="19">
        <f>+H6390</f>
        <v>135</v>
      </c>
      <c r="I6483" s="19">
        <f>+I6390</f>
        <v>135</v>
      </c>
      <c r="J6483" s="3" t="str">
        <f t="shared" si="468"/>
        <v>8900000</v>
      </c>
    </row>
    <row r="6484" spans="1:10" s="3" customFormat="1">
      <c r="B6484" s="3" t="s">
        <v>2173</v>
      </c>
      <c r="C6484" s="8">
        <v>0</v>
      </c>
      <c r="D6484" s="3" t="s">
        <v>2187</v>
      </c>
      <c r="E6484" s="2" t="s">
        <v>39</v>
      </c>
      <c r="G6484" s="19">
        <f>+G6393</f>
        <v>6320</v>
      </c>
      <c r="H6484" s="19">
        <f>+H6393</f>
        <v>3160</v>
      </c>
      <c r="I6484" s="19">
        <f>+I6393</f>
        <v>3160</v>
      </c>
      <c r="J6484" s="3" t="str">
        <f t="shared" si="468"/>
        <v>8900000</v>
      </c>
    </row>
    <row r="6485" spans="1:10" s="3" customFormat="1">
      <c r="B6485" s="3" t="s">
        <v>2173</v>
      </c>
      <c r="C6485" s="8">
        <v>0</v>
      </c>
      <c r="D6485" s="3" t="s">
        <v>2187</v>
      </c>
      <c r="E6485" s="2" t="s">
        <v>40</v>
      </c>
      <c r="G6485" s="19">
        <f>+G6456+G6460+G6464+G6468+G6472</f>
        <v>76845</v>
      </c>
      <c r="H6485" s="19">
        <f>+H6456+H6460+H6464+H6468+H6472</f>
        <v>38424</v>
      </c>
      <c r="I6485" s="19">
        <f>+I6456+I6460+I6464+I6468+I6472</f>
        <v>38421</v>
      </c>
      <c r="J6485" s="3" t="str">
        <f t="shared" si="468"/>
        <v>8900000</v>
      </c>
    </row>
    <row r="6486" spans="1:10" s="3" customFormat="1">
      <c r="B6486" s="3" t="s">
        <v>2173</v>
      </c>
      <c r="C6486" s="8">
        <v>0</v>
      </c>
      <c r="D6486" s="125" t="s">
        <v>2187</v>
      </c>
      <c r="E6486" s="18" t="s">
        <v>41</v>
      </c>
      <c r="G6486" s="19">
        <f>+G6482-G6483-G6484-G6485</f>
        <v>891839</v>
      </c>
      <c r="H6486" s="19">
        <f>+H6482-H6483-H6484-H6485</f>
        <v>445932</v>
      </c>
      <c r="I6486" s="19">
        <f>+I6482-I6483-I6484-I6485</f>
        <v>445907</v>
      </c>
      <c r="J6486" s="3" t="str">
        <f t="shared" si="468"/>
        <v>8900000</v>
      </c>
    </row>
    <row r="6487" spans="1:10" ht="15.75">
      <c r="B6487" s="3" t="s">
        <v>2186</v>
      </c>
      <c r="D6487" t="s">
        <v>2186</v>
      </c>
      <c r="E6487">
        <v>0</v>
      </c>
      <c r="G6487"/>
      <c r="H6487"/>
      <c r="I6487"/>
      <c r="J6487" s="3" t="str">
        <f t="shared" si="468"/>
        <v/>
      </c>
    </row>
    <row r="6488" spans="1:10" s="3" customFormat="1">
      <c r="C6488" s="2"/>
      <c r="D6488" s="3" t="s">
        <v>2186</v>
      </c>
      <c r="E6488" s="2" t="s">
        <v>1846</v>
      </c>
      <c r="J6488" s="3" t="str">
        <f t="shared" si="468"/>
        <v/>
      </c>
    </row>
    <row r="6489" spans="1:10" s="3" customFormat="1" ht="45">
      <c r="B6489" s="3" t="s">
        <v>2186</v>
      </c>
      <c r="C6489" s="1"/>
      <c r="D6489" s="3" t="s">
        <v>2186</v>
      </c>
      <c r="E6489" s="3">
        <v>0</v>
      </c>
      <c r="F6489" s="6" t="s">
        <v>1</v>
      </c>
      <c r="G6489" s="60">
        <f>'Allocation Worksheet'!H6489</f>
        <v>0</v>
      </c>
      <c r="H6489" s="60">
        <f>'Allocation Worksheet'!H6490</f>
        <v>0</v>
      </c>
      <c r="I6489" s="60">
        <f>'Allocation Worksheet'!H6491</f>
        <v>0</v>
      </c>
      <c r="J6489" s="3" t="str">
        <f t="shared" si="468"/>
        <v/>
      </c>
    </row>
    <row r="6490" spans="1:10" s="3" customFormat="1">
      <c r="C6490" s="7" t="s">
        <v>2087</v>
      </c>
      <c r="D6490" s="3" t="s">
        <v>2186</v>
      </c>
      <c r="E6490" s="7" t="s">
        <v>3</v>
      </c>
      <c r="F6490" s="10"/>
      <c r="G6490" s="9">
        <f>'Allocation Worksheet'!$D$93</f>
        <v>481081</v>
      </c>
      <c r="H6490" s="11"/>
      <c r="I6490" s="11"/>
      <c r="J6490" s="3" t="str">
        <f t="shared" si="468"/>
        <v>UT</v>
      </c>
    </row>
    <row r="6491" spans="1:10" s="3" customFormat="1">
      <c r="B6491" s="3" t="s">
        <v>2174</v>
      </c>
      <c r="C6491" s="8">
        <v>0</v>
      </c>
      <c r="D6491" s="3" t="s">
        <v>2187</v>
      </c>
      <c r="E6491" s="11" t="s">
        <v>4</v>
      </c>
      <c r="F6491" s="10">
        <v>1.121E-3</v>
      </c>
      <c r="G6491" s="12">
        <f>ROUND(G$3*F6491,0)</f>
        <v>323</v>
      </c>
      <c r="H6491" s="13">
        <f>ROUND(G6491/2,0)</f>
        <v>162</v>
      </c>
      <c r="I6491" s="12">
        <f>G6491-H6491</f>
        <v>161</v>
      </c>
      <c r="J6491" s="3" t="str">
        <f t="shared" si="468"/>
        <v>9000000</v>
      </c>
    </row>
    <row r="6492" spans="1:10" s="3" customFormat="1">
      <c r="B6492" s="3" t="s">
        <v>2174</v>
      </c>
      <c r="C6492" s="8">
        <v>1</v>
      </c>
      <c r="D6492" s="3" t="s">
        <v>2187</v>
      </c>
      <c r="E6492" s="11" t="s">
        <v>1847</v>
      </c>
      <c r="F6492" s="10">
        <v>0.201131</v>
      </c>
      <c r="G6492" s="9">
        <f>ROUND(G$3*F6492,0)</f>
        <v>57870</v>
      </c>
      <c r="H6492" s="11">
        <f>ROUND(G6492/2,0)</f>
        <v>28935</v>
      </c>
      <c r="I6492" s="9">
        <f>G6492-H6492</f>
        <v>28935</v>
      </c>
      <c r="J6492" s="3" t="str">
        <f t="shared" si="468"/>
        <v>9010000</v>
      </c>
    </row>
    <row r="6493" spans="1:10" s="3" customFormat="1">
      <c r="B6493" s="3" t="s">
        <v>2174</v>
      </c>
      <c r="C6493" s="8">
        <v>1</v>
      </c>
      <c r="D6493" s="3" t="s">
        <v>2187</v>
      </c>
      <c r="E6493" s="11" t="s">
        <v>6</v>
      </c>
      <c r="F6493" s="11"/>
      <c r="G6493" s="14">
        <v>0.16194800000000001</v>
      </c>
      <c r="H6493" s="11"/>
      <c r="I6493" s="11"/>
      <c r="J6493" s="3" t="str">
        <f t="shared" si="468"/>
        <v>9010000</v>
      </c>
    </row>
    <row r="6494" spans="1:10" s="3" customFormat="1">
      <c r="B6494" s="3" t="s">
        <v>2174</v>
      </c>
      <c r="C6494" s="8">
        <v>1</v>
      </c>
      <c r="D6494" s="3" t="s">
        <v>2187</v>
      </c>
      <c r="E6494" s="11" t="s">
        <v>7</v>
      </c>
      <c r="F6494" s="11"/>
      <c r="G6494" s="15">
        <f>ROUND(G6492*G6493,0)</f>
        <v>9372</v>
      </c>
      <c r="H6494" s="16">
        <f>ROUND(G6494/2,0)</f>
        <v>4686</v>
      </c>
      <c r="I6494" s="15">
        <f>G6494-H6494</f>
        <v>4686</v>
      </c>
      <c r="J6494" s="3" t="str">
        <f t="shared" si="468"/>
        <v>9010000</v>
      </c>
    </row>
    <row r="6495" spans="1:10" s="3" customFormat="1">
      <c r="B6495" s="3" t="s">
        <v>2174</v>
      </c>
      <c r="C6495" s="8">
        <v>1</v>
      </c>
      <c r="D6495" s="3" t="s">
        <v>2187</v>
      </c>
      <c r="E6495" s="11" t="s">
        <v>8</v>
      </c>
      <c r="F6495" s="11"/>
      <c r="G6495" s="12">
        <f>+G6492-G6494</f>
        <v>48498</v>
      </c>
      <c r="H6495" s="13">
        <f>ROUND(G6495/2,0)</f>
        <v>24249</v>
      </c>
      <c r="I6495" s="12">
        <f>G6495-H6495</f>
        <v>24249</v>
      </c>
      <c r="J6495" s="3" t="str">
        <f t="shared" si="468"/>
        <v>9010000</v>
      </c>
    </row>
    <row r="6496" spans="1:10" s="3" customFormat="1">
      <c r="B6496" s="3" t="s">
        <v>2174</v>
      </c>
      <c r="C6496" s="8">
        <v>2</v>
      </c>
      <c r="D6496" s="3" t="s">
        <v>2188</v>
      </c>
      <c r="E6496" s="11" t="s">
        <v>1750</v>
      </c>
      <c r="F6496" s="11"/>
      <c r="G6496" s="9"/>
      <c r="H6496" s="11"/>
      <c r="I6496" s="11"/>
      <c r="J6496" s="3" t="str">
        <f t="shared" si="468"/>
        <v>9020001</v>
      </c>
    </row>
    <row r="6497" spans="2:10" s="3" customFormat="1">
      <c r="B6497" s="3" t="s">
        <v>2174</v>
      </c>
      <c r="C6497" s="8">
        <v>2</v>
      </c>
      <c r="D6497" s="3" t="s">
        <v>2188</v>
      </c>
      <c r="E6497" s="11" t="s">
        <v>10</v>
      </c>
      <c r="F6497" s="10">
        <v>1.3100000000000001E-4</v>
      </c>
      <c r="G6497" s="12">
        <f>ROUND(G$3*F6497,0)</f>
        <v>38</v>
      </c>
      <c r="H6497" s="13">
        <f>ROUND(G6497/2,0)</f>
        <v>19</v>
      </c>
      <c r="I6497" s="12">
        <f>G6497-H6497</f>
        <v>19</v>
      </c>
      <c r="J6497" s="3" t="str">
        <f t="shared" si="468"/>
        <v>9020001</v>
      </c>
    </row>
    <row r="6498" spans="2:10" s="3" customFormat="1">
      <c r="B6498" s="3" t="s">
        <v>2174</v>
      </c>
      <c r="C6498" s="8">
        <v>2</v>
      </c>
      <c r="D6498" s="3" t="s">
        <v>2188</v>
      </c>
      <c r="E6498" s="11" t="s">
        <v>11</v>
      </c>
      <c r="F6498" s="10">
        <v>2.24E-4</v>
      </c>
      <c r="G6498" s="12">
        <f>ROUND(G$3*F6498,0)</f>
        <v>64</v>
      </c>
      <c r="H6498" s="13">
        <f>ROUND(G6498/2,0)</f>
        <v>32</v>
      </c>
      <c r="I6498" s="12">
        <f>G6498-H6498</f>
        <v>32</v>
      </c>
      <c r="J6498" s="3" t="str">
        <f t="shared" si="468"/>
        <v>9020001</v>
      </c>
    </row>
    <row r="6499" spans="2:10" s="3" customFormat="1">
      <c r="B6499" s="3" t="s">
        <v>2174</v>
      </c>
      <c r="C6499" s="8">
        <v>2</v>
      </c>
      <c r="D6499" s="3" t="s">
        <v>2189</v>
      </c>
      <c r="E6499" s="11" t="s">
        <v>86</v>
      </c>
      <c r="F6499" s="11"/>
      <c r="G6499" s="9"/>
      <c r="H6499" s="11"/>
      <c r="I6499" s="11"/>
      <c r="J6499" s="3" t="str">
        <f t="shared" si="468"/>
        <v>9020002</v>
      </c>
    </row>
    <row r="6500" spans="2:10" s="3" customFormat="1">
      <c r="B6500" s="3" t="s">
        <v>2174</v>
      </c>
      <c r="C6500" s="8">
        <v>2</v>
      </c>
      <c r="D6500" s="3" t="s">
        <v>2189</v>
      </c>
      <c r="E6500" s="11" t="s">
        <v>10</v>
      </c>
      <c r="F6500" s="10">
        <v>2.745E-3</v>
      </c>
      <c r="G6500" s="12">
        <f>ROUND(G$3*F6500,0)</f>
        <v>790</v>
      </c>
      <c r="H6500" s="13">
        <f>ROUND(G6500/2,0)</f>
        <v>395</v>
      </c>
      <c r="I6500" s="12">
        <f>G6500-H6500</f>
        <v>395</v>
      </c>
      <c r="J6500" s="3" t="str">
        <f t="shared" si="468"/>
        <v>9020002</v>
      </c>
    </row>
    <row r="6501" spans="2:10" s="3" customFormat="1">
      <c r="B6501" s="3" t="s">
        <v>2174</v>
      </c>
      <c r="C6501" s="8">
        <v>2</v>
      </c>
      <c r="D6501" s="3" t="s">
        <v>2189</v>
      </c>
      <c r="E6501" s="11" t="s">
        <v>11</v>
      </c>
      <c r="F6501" s="10">
        <v>9.7599999999999998E-4</v>
      </c>
      <c r="G6501" s="12">
        <f>ROUND(G$3*F6501,0)</f>
        <v>281</v>
      </c>
      <c r="H6501" s="13">
        <f>ROUND(G6501/2,0)</f>
        <v>141</v>
      </c>
      <c r="I6501" s="12">
        <f>G6501-H6501</f>
        <v>140</v>
      </c>
      <c r="J6501" s="3" t="str">
        <f t="shared" si="468"/>
        <v>9020002</v>
      </c>
    </row>
    <row r="6502" spans="2:10" s="3" customFormat="1">
      <c r="B6502" s="3" t="s">
        <v>2174</v>
      </c>
      <c r="C6502" s="8">
        <v>2</v>
      </c>
      <c r="D6502" s="3" t="s">
        <v>2190</v>
      </c>
      <c r="E6502" s="11" t="s">
        <v>49</v>
      </c>
      <c r="F6502" s="11"/>
      <c r="G6502" s="9"/>
      <c r="H6502" s="11"/>
      <c r="I6502" s="11"/>
      <c r="J6502" s="3" t="str">
        <f t="shared" si="468"/>
        <v>9020003</v>
      </c>
    </row>
    <row r="6503" spans="2:10" s="3" customFormat="1">
      <c r="B6503" s="3" t="s">
        <v>2174</v>
      </c>
      <c r="C6503" s="8">
        <v>2</v>
      </c>
      <c r="D6503" s="3" t="s">
        <v>2190</v>
      </c>
      <c r="E6503" s="11" t="s">
        <v>10</v>
      </c>
      <c r="F6503" s="10">
        <v>1.9900000000000001E-4</v>
      </c>
      <c r="G6503" s="12">
        <f>ROUND(G$3*F6503,0)</f>
        <v>57</v>
      </c>
      <c r="H6503" s="13">
        <f>ROUND(G6503/2,0)</f>
        <v>29</v>
      </c>
      <c r="I6503" s="12">
        <f>G6503-H6503</f>
        <v>28</v>
      </c>
      <c r="J6503" s="3" t="str">
        <f t="shared" si="468"/>
        <v>9020003</v>
      </c>
    </row>
    <row r="6504" spans="2:10" s="3" customFormat="1">
      <c r="B6504" s="3" t="s">
        <v>2174</v>
      </c>
      <c r="C6504" s="8">
        <v>2</v>
      </c>
      <c r="D6504" s="3" t="s">
        <v>2190</v>
      </c>
      <c r="E6504" s="11" t="s">
        <v>11</v>
      </c>
      <c r="F6504" s="10">
        <v>1.17E-4</v>
      </c>
      <c r="G6504" s="12">
        <f>ROUND(G$3*F6504,0)</f>
        <v>34</v>
      </c>
      <c r="H6504" s="13">
        <f>ROUND(G6504/2,0)</f>
        <v>17</v>
      </c>
      <c r="I6504" s="12">
        <f>G6504-H6504</f>
        <v>17</v>
      </c>
      <c r="J6504" s="3" t="str">
        <f t="shared" si="468"/>
        <v>9020003</v>
      </c>
    </row>
    <row r="6505" spans="2:10" s="3" customFormat="1">
      <c r="B6505" s="3" t="s">
        <v>2174</v>
      </c>
      <c r="C6505" s="8">
        <v>2</v>
      </c>
      <c r="D6505" s="3" t="s">
        <v>2191</v>
      </c>
      <c r="E6505" s="11" t="s">
        <v>14</v>
      </c>
      <c r="F6505" s="11"/>
      <c r="G6505" s="9"/>
      <c r="H6505" s="11"/>
      <c r="I6505" s="11"/>
      <c r="J6505" s="3" t="str">
        <f t="shared" si="468"/>
        <v>9020004</v>
      </c>
    </row>
    <row r="6506" spans="2:10" s="3" customFormat="1">
      <c r="B6506" s="3" t="s">
        <v>2174</v>
      </c>
      <c r="C6506" s="8">
        <v>2</v>
      </c>
      <c r="D6506" s="3" t="s">
        <v>2191</v>
      </c>
      <c r="E6506" s="11" t="s">
        <v>10</v>
      </c>
      <c r="F6506" s="10">
        <v>3.6900000000000002E-4</v>
      </c>
      <c r="G6506" s="12">
        <f>ROUND(G$3*F6506,0)</f>
        <v>106</v>
      </c>
      <c r="H6506" s="13">
        <f>ROUND(G6506/2,0)</f>
        <v>53</v>
      </c>
      <c r="I6506" s="12">
        <f>G6506-H6506</f>
        <v>53</v>
      </c>
      <c r="J6506" s="3" t="str">
        <f t="shared" si="468"/>
        <v>9020004</v>
      </c>
    </row>
    <row r="6507" spans="2:10" s="3" customFormat="1">
      <c r="B6507" s="3" t="s">
        <v>2174</v>
      </c>
      <c r="C6507" s="8">
        <v>2</v>
      </c>
      <c r="D6507" s="3" t="s">
        <v>2191</v>
      </c>
      <c r="E6507" s="11" t="s">
        <v>11</v>
      </c>
      <c r="F6507" s="10">
        <v>1.1400000000000001E-4</v>
      </c>
      <c r="G6507" s="12">
        <f>ROUND(G$3*F6507,0)</f>
        <v>33</v>
      </c>
      <c r="H6507" s="13">
        <f>ROUND(G6507/2,0)</f>
        <v>17</v>
      </c>
      <c r="I6507" s="12">
        <f>G6507-H6507</f>
        <v>16</v>
      </c>
      <c r="J6507" s="3" t="str">
        <f t="shared" si="468"/>
        <v>9020004</v>
      </c>
    </row>
    <row r="6508" spans="2:10" s="3" customFormat="1">
      <c r="B6508" s="3" t="s">
        <v>2174</v>
      </c>
      <c r="C6508" s="8">
        <v>2</v>
      </c>
      <c r="D6508" s="3" t="s">
        <v>2192</v>
      </c>
      <c r="E6508" s="11" t="s">
        <v>794</v>
      </c>
      <c r="F6508" s="11"/>
      <c r="G6508" s="9"/>
      <c r="H6508" s="11"/>
      <c r="I6508" s="11"/>
      <c r="J6508" s="3" t="str">
        <f t="shared" si="468"/>
        <v>9020005</v>
      </c>
    </row>
    <row r="6509" spans="2:10" s="3" customFormat="1">
      <c r="B6509" s="3" t="s">
        <v>2174</v>
      </c>
      <c r="C6509" s="8">
        <v>2</v>
      </c>
      <c r="D6509" s="3" t="s">
        <v>2192</v>
      </c>
      <c r="E6509" s="11" t="s">
        <v>10</v>
      </c>
      <c r="F6509" s="10">
        <v>1.3010000000000001E-3</v>
      </c>
      <c r="G6509" s="12">
        <f>ROUND(G$3*F6509,0)</f>
        <v>374</v>
      </c>
      <c r="H6509" s="13">
        <f>ROUND(G6509/2,0)</f>
        <v>187</v>
      </c>
      <c r="I6509" s="12">
        <f>G6509-H6509</f>
        <v>187</v>
      </c>
      <c r="J6509" s="3" t="str">
        <f t="shared" si="468"/>
        <v>9020005</v>
      </c>
    </row>
    <row r="6510" spans="2:10" s="3" customFormat="1">
      <c r="B6510" s="3" t="s">
        <v>2174</v>
      </c>
      <c r="C6510" s="8">
        <v>2</v>
      </c>
      <c r="D6510" s="3" t="s">
        <v>2192</v>
      </c>
      <c r="E6510" s="11" t="s">
        <v>11</v>
      </c>
      <c r="F6510" s="10">
        <v>4.0299999999999998E-4</v>
      </c>
      <c r="G6510" s="12">
        <f>ROUND(G$3*F6510,0)</f>
        <v>116</v>
      </c>
      <c r="H6510" s="13">
        <f>ROUND(G6510/2,0)</f>
        <v>58</v>
      </c>
      <c r="I6510" s="12">
        <f>G6510-H6510</f>
        <v>58</v>
      </c>
      <c r="J6510" s="3" t="str">
        <f t="shared" si="468"/>
        <v>9020005</v>
      </c>
    </row>
    <row r="6511" spans="2:10" s="3" customFormat="1">
      <c r="B6511" s="3" t="s">
        <v>2174</v>
      </c>
      <c r="C6511" s="8">
        <v>2</v>
      </c>
      <c r="D6511" s="3" t="s">
        <v>2193</v>
      </c>
      <c r="E6511" s="11" t="s">
        <v>181</v>
      </c>
      <c r="F6511" s="11"/>
      <c r="G6511" s="9"/>
      <c r="H6511" s="11"/>
      <c r="I6511" s="11"/>
      <c r="J6511" s="3" t="str">
        <f t="shared" si="468"/>
        <v>9020006</v>
      </c>
    </row>
    <row r="6512" spans="2:10" s="3" customFormat="1">
      <c r="B6512" s="3" t="s">
        <v>2174</v>
      </c>
      <c r="C6512" s="8">
        <v>2</v>
      </c>
      <c r="D6512" s="3" t="s">
        <v>2193</v>
      </c>
      <c r="E6512" s="11" t="s">
        <v>10</v>
      </c>
      <c r="F6512" s="10">
        <v>4.8899999999999996E-4</v>
      </c>
      <c r="G6512" s="12">
        <f>ROUND(G$3*F6512,0)</f>
        <v>141</v>
      </c>
      <c r="H6512" s="13">
        <f>ROUND(G6512/2,0)</f>
        <v>71</v>
      </c>
      <c r="I6512" s="12">
        <f>G6512-H6512</f>
        <v>70</v>
      </c>
      <c r="J6512" s="3" t="str">
        <f t="shared" si="468"/>
        <v>9020006</v>
      </c>
    </row>
    <row r="6513" spans="2:10" s="3" customFormat="1">
      <c r="B6513" s="3" t="s">
        <v>2174</v>
      </c>
      <c r="C6513" s="8">
        <v>2</v>
      </c>
      <c r="D6513" s="3" t="s">
        <v>2193</v>
      </c>
      <c r="E6513" s="11" t="s">
        <v>11</v>
      </c>
      <c r="F6513" s="10">
        <v>3.3199999999999999E-4</v>
      </c>
      <c r="G6513" s="12">
        <f>ROUND(G$3*F6513,0)</f>
        <v>96</v>
      </c>
      <c r="H6513" s="13">
        <f>ROUND(G6513/2,0)</f>
        <v>48</v>
      </c>
      <c r="I6513" s="12">
        <f>G6513-H6513</f>
        <v>48</v>
      </c>
      <c r="J6513" s="3" t="str">
        <f t="shared" si="468"/>
        <v>9020006</v>
      </c>
    </row>
    <row r="6514" spans="2:10" s="3" customFormat="1">
      <c r="B6514" s="3" t="s">
        <v>2174</v>
      </c>
      <c r="C6514" s="8">
        <v>2</v>
      </c>
      <c r="D6514" s="3" t="s">
        <v>2194</v>
      </c>
      <c r="E6514" s="11" t="s">
        <v>1848</v>
      </c>
      <c r="F6514" s="11"/>
      <c r="G6514" s="9"/>
      <c r="H6514" s="11"/>
      <c r="I6514" s="11"/>
      <c r="J6514" s="3" t="str">
        <f t="shared" si="468"/>
        <v>9020007</v>
      </c>
    </row>
    <row r="6515" spans="2:10" s="3" customFormat="1">
      <c r="B6515" s="3" t="s">
        <v>2174</v>
      </c>
      <c r="C6515" s="8">
        <v>2</v>
      </c>
      <c r="D6515" s="3" t="s">
        <v>2194</v>
      </c>
      <c r="E6515" s="11" t="s">
        <v>10</v>
      </c>
      <c r="F6515" s="10">
        <v>6.0999999999999999E-5</v>
      </c>
      <c r="G6515" s="12">
        <f>ROUND(G$3*F6515,0)</f>
        <v>18</v>
      </c>
      <c r="H6515" s="13">
        <f>ROUND(G6515/2,0)</f>
        <v>9</v>
      </c>
      <c r="I6515" s="12">
        <f>G6515-H6515</f>
        <v>9</v>
      </c>
      <c r="J6515" s="3" t="str">
        <f t="shared" si="468"/>
        <v>9020007</v>
      </c>
    </row>
    <row r="6516" spans="2:10" s="3" customFormat="1">
      <c r="B6516" s="3" t="s">
        <v>2174</v>
      </c>
      <c r="C6516" s="8">
        <v>2</v>
      </c>
      <c r="D6516" s="3" t="s">
        <v>2194</v>
      </c>
      <c r="E6516" s="11" t="s">
        <v>11</v>
      </c>
      <c r="F6516" s="10">
        <v>4.3999999999999999E-5</v>
      </c>
      <c r="G6516" s="12">
        <f>ROUND(G$3*F6516,0)</f>
        <v>13</v>
      </c>
      <c r="H6516" s="13">
        <f>ROUND(G6516/2,0)</f>
        <v>7</v>
      </c>
      <c r="I6516" s="12">
        <f>G6516-H6516</f>
        <v>6</v>
      </c>
      <c r="J6516" s="3" t="str">
        <f t="shared" si="468"/>
        <v>9020007</v>
      </c>
    </row>
    <row r="6517" spans="2:10" s="3" customFormat="1">
      <c r="B6517" s="3" t="s">
        <v>2174</v>
      </c>
      <c r="C6517" s="8">
        <v>2</v>
      </c>
      <c r="D6517" s="3" t="s">
        <v>2195</v>
      </c>
      <c r="E6517" s="11" t="s">
        <v>89</v>
      </c>
      <c r="F6517" s="11"/>
      <c r="G6517" s="9"/>
      <c r="H6517" s="11"/>
      <c r="I6517" s="11"/>
      <c r="J6517" s="3" t="str">
        <f t="shared" si="468"/>
        <v>9020008</v>
      </c>
    </row>
    <row r="6518" spans="2:10" s="3" customFormat="1">
      <c r="B6518" s="3" t="s">
        <v>2174</v>
      </c>
      <c r="C6518" s="8">
        <v>2</v>
      </c>
      <c r="D6518" s="3" t="s">
        <v>2195</v>
      </c>
      <c r="E6518" s="11" t="s">
        <v>10</v>
      </c>
      <c r="F6518" s="10">
        <v>4.64E-4</v>
      </c>
      <c r="G6518" s="12">
        <f>ROUND(G$3*F6518,0)</f>
        <v>134</v>
      </c>
      <c r="H6518" s="13">
        <f>ROUND(G6518/2,0)</f>
        <v>67</v>
      </c>
      <c r="I6518" s="12">
        <f>G6518-H6518</f>
        <v>67</v>
      </c>
      <c r="J6518" s="3" t="str">
        <f t="shared" si="468"/>
        <v>9020008</v>
      </c>
    </row>
    <row r="6519" spans="2:10" s="3" customFormat="1">
      <c r="B6519" s="3" t="s">
        <v>2174</v>
      </c>
      <c r="C6519" s="8">
        <v>2</v>
      </c>
      <c r="D6519" s="3" t="s">
        <v>2195</v>
      </c>
      <c r="E6519" s="11" t="s">
        <v>11</v>
      </c>
      <c r="F6519" s="10">
        <v>3.4E-5</v>
      </c>
      <c r="G6519" s="12">
        <f>ROUND(G$3*F6519,0)</f>
        <v>10</v>
      </c>
      <c r="H6519" s="13">
        <f>ROUND(G6519/2,0)</f>
        <v>5</v>
      </c>
      <c r="I6519" s="12">
        <f>G6519-H6519</f>
        <v>5</v>
      </c>
      <c r="J6519" s="3" t="str">
        <f t="shared" si="468"/>
        <v>9020008</v>
      </c>
    </row>
    <row r="6520" spans="2:10" s="3" customFormat="1">
      <c r="B6520" s="3" t="s">
        <v>2174</v>
      </c>
      <c r="C6520" s="8">
        <v>2</v>
      </c>
      <c r="D6520" s="3" t="s">
        <v>2196</v>
      </c>
      <c r="E6520" s="11" t="s">
        <v>20</v>
      </c>
      <c r="F6520" s="11"/>
      <c r="G6520" s="9"/>
      <c r="H6520" s="11"/>
      <c r="I6520" s="11"/>
      <c r="J6520" s="3" t="str">
        <f t="shared" si="468"/>
        <v>9020009</v>
      </c>
    </row>
    <row r="6521" spans="2:10" s="3" customFormat="1">
      <c r="B6521" s="3" t="s">
        <v>2174</v>
      </c>
      <c r="C6521" s="8">
        <v>2</v>
      </c>
      <c r="D6521" s="3" t="s">
        <v>2196</v>
      </c>
      <c r="E6521" s="11" t="s">
        <v>10</v>
      </c>
      <c r="F6521" s="10">
        <v>4.3399999999999998E-4</v>
      </c>
      <c r="G6521" s="12">
        <f t="shared" ref="G6521:G6530" si="472">ROUND(G$3*F6521,0)</f>
        <v>125</v>
      </c>
      <c r="H6521" s="13">
        <f t="shared" ref="H6521:H6530" si="473">ROUND(G6521/2,0)</f>
        <v>63</v>
      </c>
      <c r="I6521" s="12">
        <f t="shared" ref="I6521:I6530" si="474">G6521-H6521</f>
        <v>62</v>
      </c>
      <c r="J6521" s="3" t="str">
        <f t="shared" si="468"/>
        <v>9020009</v>
      </c>
    </row>
    <row r="6522" spans="2:10" s="3" customFormat="1">
      <c r="B6522" s="3" t="s">
        <v>2174</v>
      </c>
      <c r="C6522" s="8">
        <v>2</v>
      </c>
      <c r="D6522" s="3" t="s">
        <v>2196</v>
      </c>
      <c r="E6522" s="11" t="s">
        <v>11</v>
      </c>
      <c r="F6522" s="10">
        <v>2.31E-4</v>
      </c>
      <c r="G6522" s="12">
        <f t="shared" si="472"/>
        <v>66</v>
      </c>
      <c r="H6522" s="13">
        <f t="shared" si="473"/>
        <v>33</v>
      </c>
      <c r="I6522" s="12">
        <f t="shared" si="474"/>
        <v>33</v>
      </c>
      <c r="J6522" s="3" t="str">
        <f t="shared" si="468"/>
        <v>9020009</v>
      </c>
    </row>
    <row r="6523" spans="2:10" s="3" customFormat="1">
      <c r="B6523" s="3" t="s">
        <v>2174</v>
      </c>
      <c r="C6523" s="8">
        <v>3</v>
      </c>
      <c r="D6523" s="3" t="s">
        <v>3114</v>
      </c>
      <c r="E6523" s="11" t="s">
        <v>1849</v>
      </c>
      <c r="F6523" s="10">
        <v>0.149226</v>
      </c>
      <c r="G6523" s="12">
        <f t="shared" si="472"/>
        <v>42936</v>
      </c>
      <c r="H6523" s="13">
        <f t="shared" si="473"/>
        <v>21468</v>
      </c>
      <c r="I6523" s="12">
        <f t="shared" si="474"/>
        <v>21468</v>
      </c>
      <c r="J6523" s="3" t="str">
        <f t="shared" si="468"/>
        <v>9030408</v>
      </c>
    </row>
    <row r="6524" spans="2:10" s="3" customFormat="1">
      <c r="B6524" s="3" t="s">
        <v>2174</v>
      </c>
      <c r="C6524" s="8">
        <v>3</v>
      </c>
      <c r="D6524" s="3" t="s">
        <v>2601</v>
      </c>
      <c r="E6524" s="11" t="s">
        <v>799</v>
      </c>
      <c r="F6524" s="10">
        <v>1.722E-3</v>
      </c>
      <c r="G6524" s="12">
        <f t="shared" si="472"/>
        <v>495</v>
      </c>
      <c r="H6524" s="13">
        <f t="shared" si="473"/>
        <v>248</v>
      </c>
      <c r="I6524" s="12">
        <f t="shared" si="474"/>
        <v>247</v>
      </c>
      <c r="J6524" s="3" t="str">
        <f t="shared" si="468"/>
        <v>9030684</v>
      </c>
    </row>
    <row r="6525" spans="2:10" s="3" customFormat="1">
      <c r="B6525" s="3" t="s">
        <v>2174</v>
      </c>
      <c r="C6525" s="8">
        <v>3</v>
      </c>
      <c r="D6525" s="3" t="s">
        <v>2819</v>
      </c>
      <c r="E6525" s="11" t="s">
        <v>1850</v>
      </c>
      <c r="F6525" s="10">
        <v>1.9189999999999999E-3</v>
      </c>
      <c r="G6525" s="12">
        <f t="shared" si="472"/>
        <v>552</v>
      </c>
      <c r="H6525" s="13">
        <f t="shared" si="473"/>
        <v>276</v>
      </c>
      <c r="I6525" s="12">
        <f t="shared" si="474"/>
        <v>276</v>
      </c>
      <c r="J6525" s="3" t="str">
        <f t="shared" si="468"/>
        <v>9030938</v>
      </c>
    </row>
    <row r="6526" spans="2:10" s="3" customFormat="1">
      <c r="B6526" s="3" t="s">
        <v>2174</v>
      </c>
      <c r="C6526" s="8">
        <v>3</v>
      </c>
      <c r="D6526" s="3" t="s">
        <v>2820</v>
      </c>
      <c r="E6526" s="11" t="s">
        <v>1851</v>
      </c>
      <c r="F6526" s="10">
        <v>3.6939999999999998E-3</v>
      </c>
      <c r="G6526" s="12">
        <f t="shared" si="472"/>
        <v>1063</v>
      </c>
      <c r="H6526" s="13">
        <f t="shared" si="473"/>
        <v>532</v>
      </c>
      <c r="I6526" s="12">
        <f t="shared" si="474"/>
        <v>531</v>
      </c>
      <c r="J6526" s="3" t="str">
        <f t="shared" si="468"/>
        <v>9030939</v>
      </c>
    </row>
    <row r="6527" spans="2:10" s="3" customFormat="1">
      <c r="B6527" s="3" t="s">
        <v>2174</v>
      </c>
      <c r="C6527" s="8">
        <v>3</v>
      </c>
      <c r="D6527" s="3" t="s">
        <v>2617</v>
      </c>
      <c r="E6527" s="11" t="s">
        <v>1852</v>
      </c>
      <c r="F6527" s="10">
        <v>5.9690000000000003E-3</v>
      </c>
      <c r="G6527" s="12">
        <f t="shared" si="472"/>
        <v>1717</v>
      </c>
      <c r="H6527" s="13">
        <f t="shared" si="473"/>
        <v>859</v>
      </c>
      <c r="I6527" s="12">
        <f t="shared" si="474"/>
        <v>858</v>
      </c>
      <c r="J6527" s="3" t="str">
        <f t="shared" si="468"/>
        <v>9030940</v>
      </c>
    </row>
    <row r="6528" spans="2:10" s="3" customFormat="1">
      <c r="B6528" s="3" t="s">
        <v>2174</v>
      </c>
      <c r="C6528" s="8">
        <v>3</v>
      </c>
      <c r="D6528" s="3" t="s">
        <v>3115</v>
      </c>
      <c r="E6528" s="11" t="s">
        <v>1853</v>
      </c>
      <c r="F6528" s="10">
        <v>3.9999999999999998E-6</v>
      </c>
      <c r="G6528" s="12">
        <f t="shared" si="472"/>
        <v>1</v>
      </c>
      <c r="H6528" s="13">
        <f t="shared" si="473"/>
        <v>1</v>
      </c>
      <c r="I6528" s="12">
        <f t="shared" si="474"/>
        <v>0</v>
      </c>
      <c r="J6528" s="3" t="str">
        <f t="shared" si="468"/>
        <v>9030941</v>
      </c>
    </row>
    <row r="6529" spans="1:10" s="3" customFormat="1">
      <c r="B6529" s="3" t="s">
        <v>2174</v>
      </c>
      <c r="C6529" s="8">
        <v>3</v>
      </c>
      <c r="D6529" s="3" t="s">
        <v>2218</v>
      </c>
      <c r="E6529" s="11" t="s">
        <v>69</v>
      </c>
      <c r="F6529" s="10">
        <v>1.7279999999999999E-3</v>
      </c>
      <c r="G6529" s="12">
        <f t="shared" si="472"/>
        <v>497</v>
      </c>
      <c r="H6529" s="13">
        <f t="shared" si="473"/>
        <v>249</v>
      </c>
      <c r="I6529" s="12">
        <f t="shared" si="474"/>
        <v>248</v>
      </c>
      <c r="J6529" s="3" t="str">
        <f t="shared" si="468"/>
        <v>9030476</v>
      </c>
    </row>
    <row r="6530" spans="1:10" s="3" customFormat="1">
      <c r="B6530" s="3" t="s">
        <v>2174</v>
      </c>
      <c r="C6530" s="8">
        <v>4</v>
      </c>
      <c r="D6530" s="3" t="s">
        <v>3117</v>
      </c>
      <c r="E6530" s="11" t="s">
        <v>1854</v>
      </c>
      <c r="F6530" s="10">
        <v>0.34828599999999998</v>
      </c>
      <c r="G6530" s="9">
        <f t="shared" si="472"/>
        <v>100210</v>
      </c>
      <c r="H6530" s="11">
        <f t="shared" si="473"/>
        <v>50105</v>
      </c>
      <c r="I6530" s="9">
        <f t="shared" si="474"/>
        <v>50105</v>
      </c>
      <c r="J6530" s="3" t="str">
        <f t="shared" si="468"/>
        <v>9048445</v>
      </c>
    </row>
    <row r="6531" spans="1:10" s="3" customFormat="1">
      <c r="B6531" s="3" t="s">
        <v>2174</v>
      </c>
      <c r="C6531" s="8">
        <v>4</v>
      </c>
      <c r="D6531" s="3" t="s">
        <v>3117</v>
      </c>
      <c r="E6531" s="11" t="s">
        <v>28</v>
      </c>
      <c r="F6531" s="11"/>
      <c r="G6531" s="14">
        <v>0.434307</v>
      </c>
      <c r="H6531" s="11"/>
      <c r="I6531" s="11"/>
      <c r="J6531" s="3" t="str">
        <f t="shared" si="468"/>
        <v>9048445</v>
      </c>
    </row>
    <row r="6532" spans="1:10" s="3" customFormat="1">
      <c r="B6532" s="3" t="s">
        <v>2174</v>
      </c>
      <c r="C6532" s="8">
        <v>4</v>
      </c>
      <c r="D6532" s="3" t="s">
        <v>3117</v>
      </c>
      <c r="E6532" s="11" t="s">
        <v>29</v>
      </c>
      <c r="F6532" s="11"/>
      <c r="G6532" s="15">
        <f>ROUND(G6530*G6531,0)</f>
        <v>43522</v>
      </c>
      <c r="H6532" s="16">
        <f>ROUND(G6532/2,0)</f>
        <v>21761</v>
      </c>
      <c r="I6532" s="15">
        <f>G6532-H6532</f>
        <v>21761</v>
      </c>
      <c r="J6532" s="3" t="str">
        <f t="shared" ref="J6532:J6595" si="475">B6532&amp;C6532&amp;D6532</f>
        <v>9048445</v>
      </c>
    </row>
    <row r="6533" spans="1:10" s="3" customFormat="1">
      <c r="B6533" s="3" t="s">
        <v>2174</v>
      </c>
      <c r="C6533" s="8">
        <v>4</v>
      </c>
      <c r="D6533" s="3" t="s">
        <v>3117</v>
      </c>
      <c r="E6533" s="11" t="s">
        <v>30</v>
      </c>
      <c r="F6533" s="11"/>
      <c r="G6533" s="12">
        <f>+G6530-G6532</f>
        <v>56688</v>
      </c>
      <c r="H6533" s="13">
        <f>ROUND(G6533/2,0)</f>
        <v>28344</v>
      </c>
      <c r="I6533" s="12">
        <f>G6533-H6533</f>
        <v>28344</v>
      </c>
      <c r="J6533" s="3" t="str">
        <f t="shared" si="475"/>
        <v>9048445</v>
      </c>
    </row>
    <row r="6534" spans="1:10" s="128" customFormat="1">
      <c r="B6534" s="128" t="s">
        <v>2174</v>
      </c>
      <c r="C6534" s="129">
        <v>4</v>
      </c>
      <c r="D6534" s="128" t="s">
        <v>6198</v>
      </c>
      <c r="E6534" s="131" t="s">
        <v>1855</v>
      </c>
      <c r="F6534" s="133">
        <v>0.18484900000000001</v>
      </c>
      <c r="G6534" s="132">
        <f>ROUND(G$3*F6534,0)</f>
        <v>53185</v>
      </c>
      <c r="H6534" s="131">
        <f>ROUND(G6534/2,0)</f>
        <v>26593</v>
      </c>
      <c r="I6534" s="132">
        <f>G6534-H6534</f>
        <v>26592</v>
      </c>
      <c r="J6534" s="128" t="str">
        <f t="shared" si="475"/>
        <v>9048435</v>
      </c>
    </row>
    <row r="6535" spans="1:10" s="3" customFormat="1">
      <c r="B6535" s="3" t="s">
        <v>2174</v>
      </c>
      <c r="C6535" s="8">
        <v>4</v>
      </c>
      <c r="D6535" s="128" t="s">
        <v>6198</v>
      </c>
      <c r="E6535" s="11" t="s">
        <v>28</v>
      </c>
      <c r="F6535" s="11"/>
      <c r="G6535" s="14">
        <v>0.48863099999999998</v>
      </c>
      <c r="H6535" s="11"/>
      <c r="I6535" s="11"/>
      <c r="J6535" s="3" t="str">
        <f t="shared" si="475"/>
        <v>9048435</v>
      </c>
    </row>
    <row r="6536" spans="1:10" s="3" customFormat="1">
      <c r="B6536" s="3" t="s">
        <v>2174</v>
      </c>
      <c r="C6536" s="8">
        <v>4</v>
      </c>
      <c r="D6536" s="128" t="s">
        <v>6198</v>
      </c>
      <c r="E6536" s="11" t="s">
        <v>29</v>
      </c>
      <c r="F6536" s="11"/>
      <c r="G6536" s="15">
        <f>ROUND(G6534*G6535,0)</f>
        <v>25988</v>
      </c>
      <c r="H6536" s="16">
        <f>ROUND(G6536/2,0)</f>
        <v>12994</v>
      </c>
      <c r="I6536" s="15">
        <f>G6536-H6536</f>
        <v>12994</v>
      </c>
      <c r="J6536" s="3" t="str">
        <f t="shared" si="475"/>
        <v>9048435</v>
      </c>
    </row>
    <row r="6537" spans="1:10" s="3" customFormat="1">
      <c r="B6537" s="3" t="s">
        <v>2174</v>
      </c>
      <c r="C6537" s="8">
        <v>4</v>
      </c>
      <c r="D6537" s="128" t="s">
        <v>6198</v>
      </c>
      <c r="E6537" s="11" t="s">
        <v>30</v>
      </c>
      <c r="F6537" s="11"/>
      <c r="G6537" s="12">
        <f>+G6534-G6536</f>
        <v>27197</v>
      </c>
      <c r="H6537" s="13">
        <f>ROUND(G6537/2,0)</f>
        <v>13599</v>
      </c>
      <c r="I6537" s="12">
        <f>G6537-H6537</f>
        <v>13598</v>
      </c>
      <c r="J6537" s="3" t="str">
        <f t="shared" si="475"/>
        <v>9048435</v>
      </c>
    </row>
    <row r="6538" spans="1:10" s="3" customFormat="1">
      <c r="B6538" s="3" t="s">
        <v>2174</v>
      </c>
      <c r="C6538" s="8">
        <v>4</v>
      </c>
      <c r="D6538" s="3" t="s">
        <v>3116</v>
      </c>
      <c r="E6538" s="11" t="s">
        <v>1856</v>
      </c>
      <c r="F6538" s="10">
        <v>5.2875999999999999E-2</v>
      </c>
      <c r="G6538" s="9">
        <f>ROUND(G$3*F6538,0)</f>
        <v>15214</v>
      </c>
      <c r="H6538" s="11">
        <f>ROUND(G6538/2,0)</f>
        <v>7607</v>
      </c>
      <c r="I6538" s="9">
        <f>G6538-H6538</f>
        <v>7607</v>
      </c>
      <c r="J6538" s="3" t="str">
        <f t="shared" si="475"/>
        <v>9048425</v>
      </c>
    </row>
    <row r="6539" spans="1:10" s="3" customFormat="1">
      <c r="B6539" s="3" t="s">
        <v>2174</v>
      </c>
      <c r="C6539" s="8">
        <v>4</v>
      </c>
      <c r="D6539" s="3" t="s">
        <v>3116</v>
      </c>
      <c r="E6539" s="11" t="s">
        <v>28</v>
      </c>
      <c r="F6539" s="11"/>
      <c r="G6539" s="14">
        <v>0.52107999999999999</v>
      </c>
      <c r="H6539" s="11"/>
      <c r="I6539" s="11"/>
      <c r="J6539" s="3" t="str">
        <f t="shared" si="475"/>
        <v>9048425</v>
      </c>
    </row>
    <row r="6540" spans="1:10" s="3" customFormat="1">
      <c r="B6540" s="3" t="s">
        <v>2174</v>
      </c>
      <c r="C6540" s="8">
        <v>4</v>
      </c>
      <c r="D6540" s="3" t="s">
        <v>3116</v>
      </c>
      <c r="E6540" s="11" t="s">
        <v>29</v>
      </c>
      <c r="F6540" s="11"/>
      <c r="G6540" s="15">
        <f>ROUND(G6538*G6539,0)</f>
        <v>7928</v>
      </c>
      <c r="H6540" s="16">
        <f>ROUND(G6540/2,0)</f>
        <v>3964</v>
      </c>
      <c r="I6540" s="15">
        <f>G6540-H6540</f>
        <v>3964</v>
      </c>
      <c r="J6540" s="3" t="str">
        <f t="shared" si="475"/>
        <v>9048425</v>
      </c>
    </row>
    <row r="6541" spans="1:10" s="3" customFormat="1">
      <c r="B6541" s="3" t="s">
        <v>2174</v>
      </c>
      <c r="C6541" s="8">
        <v>4</v>
      </c>
      <c r="D6541" s="3" t="s">
        <v>3116</v>
      </c>
      <c r="E6541" s="11" t="s">
        <v>30</v>
      </c>
      <c r="F6541" s="11"/>
      <c r="G6541" s="12">
        <f>+G6538-G6540</f>
        <v>7286</v>
      </c>
      <c r="H6541" s="13">
        <f>ROUND(G6541/2,0)</f>
        <v>3643</v>
      </c>
      <c r="I6541" s="12">
        <f>G6541-H6541</f>
        <v>3643</v>
      </c>
      <c r="J6541" s="3" t="str">
        <f t="shared" si="475"/>
        <v>9048425</v>
      </c>
    </row>
    <row r="6542" spans="1:10" s="128" customFormat="1">
      <c r="B6542" s="128" t="s">
        <v>2174</v>
      </c>
      <c r="C6542" s="129">
        <v>5</v>
      </c>
      <c r="D6542" s="128" t="s">
        <v>6267</v>
      </c>
      <c r="E6542" s="131" t="s">
        <v>806</v>
      </c>
      <c r="F6542" s="133">
        <v>1.8000000000000001E-4</v>
      </c>
      <c r="G6542" s="137">
        <f>ROUND(G$3*F6542,0)</f>
        <v>52</v>
      </c>
      <c r="H6542" s="137">
        <f>ROUND(G6542/2,0)</f>
        <v>26</v>
      </c>
      <c r="I6542" s="137">
        <f>G6542-H6542</f>
        <v>26</v>
      </c>
      <c r="J6542" s="128" t="str">
        <f t="shared" si="475"/>
        <v>905XXXX</v>
      </c>
    </row>
    <row r="6543" spans="1:10" s="3" customFormat="1">
      <c r="B6543" s="3" t="s">
        <v>2174</v>
      </c>
      <c r="C6543" s="8">
        <v>5</v>
      </c>
      <c r="D6543" s="3" t="s">
        <v>6203</v>
      </c>
      <c r="E6543" s="11" t="s">
        <v>1857</v>
      </c>
      <c r="F6543" s="10">
        <v>3.8626999999999967E-2</v>
      </c>
      <c r="G6543" s="120">
        <f>+G6490-SUM(G6491:G6492)-SUM(G6497:G6530)-G6534-G6538-G6542</f>
        <v>204470</v>
      </c>
      <c r="H6543" s="120">
        <f>ROUND(G6543/2,0)</f>
        <v>102235</v>
      </c>
      <c r="I6543" s="120">
        <f>G6543-H6543</f>
        <v>102235</v>
      </c>
      <c r="J6543" s="3" t="str">
        <f t="shared" si="475"/>
        <v>9050244</v>
      </c>
    </row>
    <row r="6544" spans="1:10" s="3" customFormat="1">
      <c r="A6544" s="3" t="s">
        <v>6269</v>
      </c>
      <c r="B6544" s="3" t="s">
        <v>2174</v>
      </c>
      <c r="C6544" s="8">
        <v>6</v>
      </c>
      <c r="D6544" s="3" t="s">
        <v>6267</v>
      </c>
      <c r="E6544" s="11" t="s">
        <v>144</v>
      </c>
      <c r="F6544" s="10">
        <v>0</v>
      </c>
      <c r="G6544" s="120">
        <f>ROUND(G$3*F6544,0)</f>
        <v>0</v>
      </c>
      <c r="H6544" s="120">
        <f>ROUND(G6544/2,0)</f>
        <v>0</v>
      </c>
      <c r="I6544" s="120">
        <f>G6544-H6544</f>
        <v>0</v>
      </c>
      <c r="J6544" s="3" t="str">
        <f t="shared" si="475"/>
        <v>906XXXX</v>
      </c>
    </row>
    <row r="6545" spans="2:10" s="3" customFormat="1">
      <c r="B6545" s="3" t="s">
        <v>2174</v>
      </c>
      <c r="C6545" s="8">
        <v>0</v>
      </c>
      <c r="D6545" s="125" t="s">
        <v>2187</v>
      </c>
      <c r="E6545" s="28" t="s">
        <v>288</v>
      </c>
      <c r="F6545" s="10">
        <v>1</v>
      </c>
      <c r="G6545" s="12">
        <f>+G6491+SUM(G6494:G6529)+SUM(G6532:G6533)+SUM(G6536:G6537)+SUM(G6540:G6544)</f>
        <v>481081</v>
      </c>
      <c r="H6545" s="12">
        <f>+H6491+SUM(H6494:H6529)+SUM(H6532:H6533)+SUM(H6536:H6537)+SUM(H6540:H6544)</f>
        <v>240547</v>
      </c>
      <c r="I6545" s="12">
        <f>+I6491+SUM(I6494:I6529)+SUM(I6532:I6533)+SUM(I6536:I6537)+SUM(I6540:I6544)</f>
        <v>240534</v>
      </c>
      <c r="J6545" s="3" t="str">
        <f t="shared" si="475"/>
        <v>9000000</v>
      </c>
    </row>
    <row r="6546" spans="2:10" s="3" customFormat="1">
      <c r="B6546" s="3" t="s">
        <v>2174</v>
      </c>
      <c r="C6546" s="8">
        <v>0</v>
      </c>
      <c r="D6546" s="3" t="s">
        <v>2187</v>
      </c>
      <c r="E6546" s="18" t="s">
        <v>38</v>
      </c>
      <c r="G6546" s="19">
        <f>+G6491</f>
        <v>323</v>
      </c>
      <c r="H6546" s="19">
        <f>+H6491</f>
        <v>162</v>
      </c>
      <c r="I6546" s="19">
        <f>+I6491</f>
        <v>161</v>
      </c>
      <c r="J6546" s="3" t="str">
        <f t="shared" si="475"/>
        <v>9000000</v>
      </c>
    </row>
    <row r="6547" spans="2:10" s="3" customFormat="1">
      <c r="B6547" s="3" t="s">
        <v>2174</v>
      </c>
      <c r="C6547" s="8">
        <v>0</v>
      </c>
      <c r="D6547" s="3" t="s">
        <v>2187</v>
      </c>
      <c r="E6547" s="2" t="s">
        <v>39</v>
      </c>
      <c r="G6547" s="19">
        <f>+G6494</f>
        <v>9372</v>
      </c>
      <c r="H6547" s="19">
        <f>+H6494</f>
        <v>4686</v>
      </c>
      <c r="I6547" s="19">
        <f>+I6494</f>
        <v>4686</v>
      </c>
      <c r="J6547" s="3" t="str">
        <f t="shared" si="475"/>
        <v>9000000</v>
      </c>
    </row>
    <row r="6548" spans="2:10" s="3" customFormat="1">
      <c r="B6548" s="3" t="s">
        <v>2174</v>
      </c>
      <c r="C6548" s="8">
        <v>0</v>
      </c>
      <c r="D6548" s="3" t="s">
        <v>2187</v>
      </c>
      <c r="E6548" s="2" t="s">
        <v>40</v>
      </c>
      <c r="G6548" s="19">
        <f>+G6532+G6536+G6540</f>
        <v>77438</v>
      </c>
      <c r="H6548" s="19">
        <f>+H6532+H6536+H6540</f>
        <v>38719</v>
      </c>
      <c r="I6548" s="19">
        <f>+I6532+I6536+I6540</f>
        <v>38719</v>
      </c>
      <c r="J6548" s="3" t="str">
        <f t="shared" si="475"/>
        <v>9000000</v>
      </c>
    </row>
    <row r="6549" spans="2:10" s="3" customFormat="1">
      <c r="B6549" s="3" t="s">
        <v>2174</v>
      </c>
      <c r="C6549" s="8">
        <v>0</v>
      </c>
      <c r="D6549" s="125" t="s">
        <v>2187</v>
      </c>
      <c r="E6549" s="18" t="s">
        <v>41</v>
      </c>
      <c r="G6549" s="19">
        <f>+G6545-G6546-G6547-G6548</f>
        <v>393948</v>
      </c>
      <c r="H6549" s="19">
        <f>+H6545-H6546-H6547-H6548</f>
        <v>196980</v>
      </c>
      <c r="I6549" s="19">
        <f>+I6545-I6546-I6547-I6548</f>
        <v>196968</v>
      </c>
      <c r="J6549" s="3" t="str">
        <f t="shared" si="475"/>
        <v>9000000</v>
      </c>
    </row>
    <row r="6550" spans="2:10" ht="15.75">
      <c r="B6550" s="3" t="s">
        <v>2186</v>
      </c>
      <c r="D6550" t="s">
        <v>2186</v>
      </c>
      <c r="E6550">
        <v>0</v>
      </c>
      <c r="G6550"/>
      <c r="H6550"/>
      <c r="I6550"/>
      <c r="J6550" s="3" t="str">
        <f t="shared" si="475"/>
        <v/>
      </c>
    </row>
    <row r="6551" spans="2:10" s="3" customFormat="1">
      <c r="C6551" s="1"/>
      <c r="D6551" s="3" t="s">
        <v>2186</v>
      </c>
      <c r="E6551" s="2" t="s">
        <v>1858</v>
      </c>
      <c r="J6551" s="3" t="str">
        <f t="shared" si="475"/>
        <v/>
      </c>
    </row>
    <row r="6552" spans="2:10" s="3" customFormat="1" ht="45">
      <c r="B6552" s="3" t="s">
        <v>2186</v>
      </c>
      <c r="C6552" s="1"/>
      <c r="D6552" s="3" t="s">
        <v>2186</v>
      </c>
      <c r="E6552" s="1">
        <v>0</v>
      </c>
      <c r="F6552" s="6" t="s">
        <v>1</v>
      </c>
      <c r="G6552" s="60">
        <f>'Allocation Worksheet'!H6552</f>
        <v>0</v>
      </c>
      <c r="H6552" s="60">
        <f>'Allocation Worksheet'!H6553</f>
        <v>0</v>
      </c>
      <c r="I6552" s="60">
        <f>'Allocation Worksheet'!H6554</f>
        <v>0</v>
      </c>
      <c r="J6552" s="3" t="str">
        <f t="shared" si="475"/>
        <v/>
      </c>
    </row>
    <row r="6553" spans="2:10" s="3" customFormat="1">
      <c r="C6553" s="7" t="s">
        <v>2087</v>
      </c>
      <c r="D6553" s="3" t="s">
        <v>2186</v>
      </c>
      <c r="E6553" s="7" t="s">
        <v>3</v>
      </c>
      <c r="F6553" s="10"/>
      <c r="G6553" s="9">
        <f>'Allocation Worksheet'!$D$94</f>
        <v>442143</v>
      </c>
      <c r="H6553" s="11"/>
      <c r="I6553" s="11"/>
      <c r="J6553" s="3" t="str">
        <f t="shared" si="475"/>
        <v>UT</v>
      </c>
    </row>
    <row r="6554" spans="2:10" s="3" customFormat="1">
      <c r="B6554" s="3" t="s">
        <v>2175</v>
      </c>
      <c r="C6554" s="8">
        <v>0</v>
      </c>
      <c r="D6554" s="3" t="s">
        <v>2187</v>
      </c>
      <c r="E6554" s="11" t="s">
        <v>4</v>
      </c>
      <c r="F6554" s="10">
        <v>1.261E-3</v>
      </c>
      <c r="G6554" s="12">
        <f>ROUND(G$3*F6554,0)</f>
        <v>363</v>
      </c>
      <c r="H6554" s="13">
        <f>ROUND(G6554/2,0)</f>
        <v>182</v>
      </c>
      <c r="I6554" s="12">
        <f>G6554-H6554</f>
        <v>181</v>
      </c>
      <c r="J6554" s="3" t="str">
        <f t="shared" si="475"/>
        <v>9100000</v>
      </c>
    </row>
    <row r="6555" spans="2:10" s="3" customFormat="1">
      <c r="B6555" s="3" t="s">
        <v>2175</v>
      </c>
      <c r="C6555" s="8">
        <v>1</v>
      </c>
      <c r="D6555" s="3" t="s">
        <v>2187</v>
      </c>
      <c r="E6555" s="11" t="s">
        <v>1859</v>
      </c>
      <c r="F6555" s="10">
        <v>0.17491399999999999</v>
      </c>
      <c r="G6555" s="9">
        <f>ROUND(G$3*F6555,0)</f>
        <v>50327</v>
      </c>
      <c r="H6555" s="11">
        <f>ROUND(G6555/2,0)</f>
        <v>25164</v>
      </c>
      <c r="I6555" s="9">
        <f>G6555-H6555</f>
        <v>25163</v>
      </c>
      <c r="J6555" s="3" t="str">
        <f t="shared" si="475"/>
        <v>9110000</v>
      </c>
    </row>
    <row r="6556" spans="2:10" s="3" customFormat="1">
      <c r="B6556" s="3" t="s">
        <v>2175</v>
      </c>
      <c r="C6556" s="8">
        <v>1</v>
      </c>
      <c r="D6556" s="3" t="s">
        <v>2187</v>
      </c>
      <c r="E6556" s="11" t="s">
        <v>6</v>
      </c>
      <c r="F6556" s="11"/>
      <c r="G6556" s="14">
        <v>7.7237E-2</v>
      </c>
      <c r="H6556" s="11"/>
      <c r="I6556" s="11"/>
      <c r="J6556" s="3" t="str">
        <f t="shared" si="475"/>
        <v>9110000</v>
      </c>
    </row>
    <row r="6557" spans="2:10" s="3" customFormat="1">
      <c r="B6557" s="3" t="s">
        <v>2175</v>
      </c>
      <c r="C6557" s="8">
        <v>1</v>
      </c>
      <c r="D6557" s="3" t="s">
        <v>2187</v>
      </c>
      <c r="E6557" s="11" t="s">
        <v>7</v>
      </c>
      <c r="F6557" s="11"/>
      <c r="G6557" s="15">
        <f>ROUND(G6555*G6556,0)</f>
        <v>3887</v>
      </c>
      <c r="H6557" s="16">
        <f>ROUND(G6557/2,0)</f>
        <v>1944</v>
      </c>
      <c r="I6557" s="15">
        <f>G6557-H6557</f>
        <v>1943</v>
      </c>
      <c r="J6557" s="3" t="str">
        <f t="shared" si="475"/>
        <v>9110000</v>
      </c>
    </row>
    <row r="6558" spans="2:10" s="3" customFormat="1">
      <c r="B6558" s="3" t="s">
        <v>2175</v>
      </c>
      <c r="C6558" s="8">
        <v>1</v>
      </c>
      <c r="D6558" s="3" t="s">
        <v>2187</v>
      </c>
      <c r="E6558" s="11" t="s">
        <v>8</v>
      </c>
      <c r="F6558" s="11"/>
      <c r="G6558" s="12">
        <f>+G6555-G6557</f>
        <v>46440</v>
      </c>
      <c r="H6558" s="13">
        <f>ROUND(G6558/2,0)</f>
        <v>23220</v>
      </c>
      <c r="I6558" s="12">
        <f>G6558-H6558</f>
        <v>23220</v>
      </c>
      <c r="J6558" s="3" t="str">
        <f t="shared" si="475"/>
        <v>9110000</v>
      </c>
    </row>
    <row r="6559" spans="2:10" s="3" customFormat="1">
      <c r="B6559" s="3" t="s">
        <v>2175</v>
      </c>
      <c r="C6559" s="8">
        <v>2</v>
      </c>
      <c r="D6559" s="3" t="s">
        <v>2188</v>
      </c>
      <c r="E6559" s="11" t="s">
        <v>1860</v>
      </c>
      <c r="F6559" s="11"/>
      <c r="G6559" s="9"/>
      <c r="H6559" s="11"/>
      <c r="I6559" s="11"/>
      <c r="J6559" s="3" t="str">
        <f t="shared" si="475"/>
        <v>9120001</v>
      </c>
    </row>
    <row r="6560" spans="2:10" s="3" customFormat="1">
      <c r="B6560" s="3" t="s">
        <v>2175</v>
      </c>
      <c r="C6560" s="8">
        <v>2</v>
      </c>
      <c r="D6560" s="3" t="s">
        <v>2188</v>
      </c>
      <c r="E6560" s="11" t="s">
        <v>10</v>
      </c>
      <c r="F6560" s="10">
        <v>2.1599999999999999E-4</v>
      </c>
      <c r="G6560" s="12">
        <f>ROUND(G$3*F6560,0)</f>
        <v>62</v>
      </c>
      <c r="H6560" s="13">
        <f>ROUND(G6560/2,0)</f>
        <v>31</v>
      </c>
      <c r="I6560" s="12">
        <f>G6560-H6560</f>
        <v>31</v>
      </c>
      <c r="J6560" s="3" t="str">
        <f t="shared" si="475"/>
        <v>9120001</v>
      </c>
    </row>
    <row r="6561" spans="1:10" s="3" customFormat="1">
      <c r="B6561" s="3" t="s">
        <v>2175</v>
      </c>
      <c r="C6561" s="8">
        <v>2</v>
      </c>
      <c r="D6561" s="3" t="s">
        <v>2188</v>
      </c>
      <c r="E6561" s="11" t="s">
        <v>11</v>
      </c>
      <c r="F6561" s="10">
        <v>3.4600000000000001E-4</v>
      </c>
      <c r="G6561" s="12">
        <f>ROUND(G$3*F6561,0)</f>
        <v>100</v>
      </c>
      <c r="H6561" s="13">
        <f>ROUND(G6561/2,0)</f>
        <v>50</v>
      </c>
      <c r="I6561" s="12">
        <f>G6561-H6561</f>
        <v>50</v>
      </c>
      <c r="J6561" s="3" t="str">
        <f t="shared" si="475"/>
        <v>9120001</v>
      </c>
    </row>
    <row r="6562" spans="1:10" s="3" customFormat="1">
      <c r="B6562" s="3" t="s">
        <v>2175</v>
      </c>
      <c r="C6562" s="8">
        <v>2</v>
      </c>
      <c r="D6562" s="3" t="s">
        <v>2189</v>
      </c>
      <c r="E6562" s="11" t="s">
        <v>249</v>
      </c>
      <c r="F6562" s="11"/>
      <c r="G6562" s="9"/>
      <c r="H6562" s="11"/>
      <c r="I6562" s="11"/>
      <c r="J6562" s="3" t="str">
        <f t="shared" si="475"/>
        <v>9120002</v>
      </c>
    </row>
    <row r="6563" spans="1:10" s="3" customFormat="1">
      <c r="B6563" s="3" t="s">
        <v>2175</v>
      </c>
      <c r="C6563" s="8">
        <v>2</v>
      </c>
      <c r="D6563" s="3" t="s">
        <v>2189</v>
      </c>
      <c r="E6563" s="11" t="s">
        <v>10</v>
      </c>
      <c r="F6563" s="10">
        <v>2.5399999999999999E-4</v>
      </c>
      <c r="G6563" s="12">
        <f>ROUND(G$3*F6563,0)</f>
        <v>73</v>
      </c>
      <c r="H6563" s="13">
        <f>ROUND(G6563/2,0)</f>
        <v>37</v>
      </c>
      <c r="I6563" s="12">
        <f>G6563-H6563</f>
        <v>36</v>
      </c>
      <c r="J6563" s="3" t="str">
        <f t="shared" si="475"/>
        <v>9120002</v>
      </c>
    </row>
    <row r="6564" spans="1:10" s="3" customFormat="1">
      <c r="B6564" s="3" t="s">
        <v>2175</v>
      </c>
      <c r="C6564" s="8">
        <v>2</v>
      </c>
      <c r="D6564" s="3" t="s">
        <v>2189</v>
      </c>
      <c r="E6564" s="11" t="s">
        <v>11</v>
      </c>
      <c r="F6564" s="10">
        <v>1.05E-4</v>
      </c>
      <c r="G6564" s="12">
        <f>ROUND(G$3*F6564,0)</f>
        <v>30</v>
      </c>
      <c r="H6564" s="13">
        <f>ROUND(G6564/2,0)</f>
        <v>15</v>
      </c>
      <c r="I6564" s="12">
        <f>G6564-H6564</f>
        <v>15</v>
      </c>
      <c r="J6564" s="3" t="str">
        <f t="shared" si="475"/>
        <v>9120002</v>
      </c>
    </row>
    <row r="6565" spans="1:10" s="3" customFormat="1">
      <c r="B6565" s="3" t="s">
        <v>2175</v>
      </c>
      <c r="C6565" s="8">
        <v>2</v>
      </c>
      <c r="D6565" s="3" t="s">
        <v>2190</v>
      </c>
      <c r="E6565" s="11" t="s">
        <v>776</v>
      </c>
      <c r="F6565" s="11"/>
      <c r="G6565" s="9"/>
      <c r="H6565" s="11"/>
      <c r="I6565" s="11"/>
      <c r="J6565" s="3" t="str">
        <f t="shared" si="475"/>
        <v>9120003</v>
      </c>
    </row>
    <row r="6566" spans="1:10" s="3" customFormat="1">
      <c r="B6566" s="3" t="s">
        <v>2175</v>
      </c>
      <c r="C6566" s="8">
        <v>2</v>
      </c>
      <c r="D6566" s="3" t="s">
        <v>2190</v>
      </c>
      <c r="E6566" s="11" t="s">
        <v>10</v>
      </c>
      <c r="F6566" s="10">
        <v>1.3749999999999999E-3</v>
      </c>
      <c r="G6566" s="12">
        <f>ROUND(G$3*F6566,0)</f>
        <v>396</v>
      </c>
      <c r="H6566" s="13">
        <f>ROUND(G6566/2,0)</f>
        <v>198</v>
      </c>
      <c r="I6566" s="12">
        <f>G6566-H6566</f>
        <v>198</v>
      </c>
      <c r="J6566" s="3" t="str">
        <f t="shared" si="475"/>
        <v>9120003</v>
      </c>
    </row>
    <row r="6567" spans="1:10" s="3" customFormat="1">
      <c r="B6567" s="3" t="s">
        <v>2175</v>
      </c>
      <c r="C6567" s="8">
        <v>2</v>
      </c>
      <c r="D6567" s="3" t="s">
        <v>2190</v>
      </c>
      <c r="E6567" s="11" t="s">
        <v>11</v>
      </c>
      <c r="F6567" s="10">
        <v>1.0549999999999999E-3</v>
      </c>
      <c r="G6567" s="12">
        <f>ROUND(G$3*F6567,0)</f>
        <v>304</v>
      </c>
      <c r="H6567" s="13">
        <f>ROUND(G6567/2,0)</f>
        <v>152</v>
      </c>
      <c r="I6567" s="12">
        <f>G6567-H6567</f>
        <v>152</v>
      </c>
      <c r="J6567" s="3" t="str">
        <f t="shared" si="475"/>
        <v>9120003</v>
      </c>
    </row>
    <row r="6568" spans="1:10" s="3" customFormat="1">
      <c r="B6568" s="3" t="s">
        <v>2175</v>
      </c>
      <c r="C6568" s="8">
        <v>2</v>
      </c>
      <c r="D6568" s="3" t="s">
        <v>2191</v>
      </c>
      <c r="E6568" s="11" t="s">
        <v>49</v>
      </c>
      <c r="F6568" s="11"/>
      <c r="G6568" s="9"/>
      <c r="H6568" s="11"/>
      <c r="I6568" s="11"/>
      <c r="J6568" s="3" t="str">
        <f t="shared" si="475"/>
        <v>9120004</v>
      </c>
    </row>
    <row r="6569" spans="1:10" s="3" customFormat="1">
      <c r="B6569" s="3" t="s">
        <v>2175</v>
      </c>
      <c r="C6569" s="8">
        <v>2</v>
      </c>
      <c r="D6569" s="3" t="s">
        <v>2191</v>
      </c>
      <c r="E6569" s="11" t="s">
        <v>10</v>
      </c>
      <c r="F6569" s="10">
        <v>3.6999999999999998E-5</v>
      </c>
      <c r="G6569" s="12">
        <f>ROUND(G$3*F6569,0)</f>
        <v>11</v>
      </c>
      <c r="H6569" s="13">
        <f>ROUND(G6569/2,0)</f>
        <v>6</v>
      </c>
      <c r="I6569" s="12">
        <f>G6569-H6569</f>
        <v>5</v>
      </c>
      <c r="J6569" s="3" t="str">
        <f t="shared" si="475"/>
        <v>9120004</v>
      </c>
    </row>
    <row r="6570" spans="1:10" s="3" customFormat="1">
      <c r="B6570" s="3" t="s">
        <v>2175</v>
      </c>
      <c r="C6570" s="8">
        <v>2</v>
      </c>
      <c r="D6570" s="3" t="s">
        <v>2191</v>
      </c>
      <c r="E6570" s="11" t="s">
        <v>11</v>
      </c>
      <c r="F6570" s="10">
        <v>7.9999999999999996E-6</v>
      </c>
      <c r="G6570" s="12">
        <f>ROUND(G$3*F6570,0)</f>
        <v>2</v>
      </c>
      <c r="H6570" s="13">
        <f>ROUND(G6570/2,0)</f>
        <v>1</v>
      </c>
      <c r="I6570" s="12">
        <f>G6570-H6570</f>
        <v>1</v>
      </c>
      <c r="J6570" s="3" t="str">
        <f t="shared" si="475"/>
        <v>9120004</v>
      </c>
    </row>
    <row r="6571" spans="1:10" s="3" customFormat="1">
      <c r="B6571" s="3" t="s">
        <v>2175</v>
      </c>
      <c r="C6571" s="8">
        <v>2</v>
      </c>
      <c r="D6571" s="3" t="s">
        <v>2192</v>
      </c>
      <c r="E6571" s="11" t="s">
        <v>181</v>
      </c>
      <c r="F6571" s="11"/>
      <c r="G6571" s="9"/>
      <c r="H6571" s="11"/>
      <c r="I6571" s="11"/>
      <c r="J6571" s="3" t="str">
        <f t="shared" si="475"/>
        <v>9120005</v>
      </c>
    </row>
    <row r="6572" spans="1:10" s="3" customFormat="1">
      <c r="A6572" s="3" t="s">
        <v>6269</v>
      </c>
      <c r="B6572" s="3" t="s">
        <v>2175</v>
      </c>
      <c r="C6572" s="8">
        <v>2</v>
      </c>
      <c r="D6572" s="3" t="s">
        <v>2192</v>
      </c>
      <c r="E6572" s="11" t="s">
        <v>10</v>
      </c>
      <c r="F6572" s="10">
        <v>0</v>
      </c>
      <c r="G6572" s="12">
        <f>ROUND(G$3*F6572,0)</f>
        <v>0</v>
      </c>
      <c r="H6572" s="13">
        <f>ROUND(G6572/2,0)</f>
        <v>0</v>
      </c>
      <c r="I6572" s="12">
        <f>G6572-H6572</f>
        <v>0</v>
      </c>
      <c r="J6572" s="3" t="str">
        <f t="shared" si="475"/>
        <v>9120005</v>
      </c>
    </row>
    <row r="6573" spans="1:10" s="3" customFormat="1">
      <c r="A6573" s="3" t="s">
        <v>6269</v>
      </c>
      <c r="B6573" s="3" t="s">
        <v>2175</v>
      </c>
      <c r="C6573" s="8">
        <v>2</v>
      </c>
      <c r="D6573" s="3" t="s">
        <v>2192</v>
      </c>
      <c r="E6573" s="11" t="s">
        <v>11</v>
      </c>
      <c r="F6573" s="10">
        <v>0</v>
      </c>
      <c r="G6573" s="12">
        <f>ROUND(G$3*F6573,0)</f>
        <v>0</v>
      </c>
      <c r="H6573" s="13">
        <f>ROUND(G6573/2,0)</f>
        <v>0</v>
      </c>
      <c r="I6573" s="12">
        <f>G6573-H6573</f>
        <v>0</v>
      </c>
      <c r="J6573" s="3" t="str">
        <f t="shared" si="475"/>
        <v>9120005</v>
      </c>
    </row>
    <row r="6574" spans="1:10" s="3" customFormat="1">
      <c r="B6574" s="3" t="s">
        <v>2175</v>
      </c>
      <c r="C6574" s="8">
        <v>2</v>
      </c>
      <c r="D6574" s="3" t="s">
        <v>2193</v>
      </c>
      <c r="E6574" s="11" t="s">
        <v>714</v>
      </c>
      <c r="F6574" s="11"/>
      <c r="G6574" s="9"/>
      <c r="H6574" s="11"/>
      <c r="I6574" s="11"/>
      <c r="J6574" s="3" t="str">
        <f t="shared" si="475"/>
        <v>9120006</v>
      </c>
    </row>
    <row r="6575" spans="1:10" s="3" customFormat="1">
      <c r="B6575" s="3" t="s">
        <v>2175</v>
      </c>
      <c r="C6575" s="8">
        <v>2</v>
      </c>
      <c r="D6575" s="3" t="s">
        <v>2193</v>
      </c>
      <c r="E6575" s="11" t="s">
        <v>10</v>
      </c>
      <c r="F6575" s="10">
        <v>3.1100000000000002E-4</v>
      </c>
      <c r="G6575" s="12">
        <f>ROUND(G$3*F6575,0)</f>
        <v>89</v>
      </c>
      <c r="H6575" s="13">
        <f>ROUND(G6575/2,0)</f>
        <v>45</v>
      </c>
      <c r="I6575" s="12">
        <f>G6575-H6575</f>
        <v>44</v>
      </c>
      <c r="J6575" s="3" t="str">
        <f t="shared" si="475"/>
        <v>9120006</v>
      </c>
    </row>
    <row r="6576" spans="1:10" s="3" customFormat="1">
      <c r="B6576" s="3" t="s">
        <v>2175</v>
      </c>
      <c r="C6576" s="8">
        <v>2</v>
      </c>
      <c r="D6576" s="3" t="s">
        <v>2193</v>
      </c>
      <c r="E6576" s="11" t="s">
        <v>11</v>
      </c>
      <c r="F6576" s="10">
        <v>8.2000000000000001E-5</v>
      </c>
      <c r="G6576" s="12">
        <f>ROUND(G$3*F6576,0)</f>
        <v>24</v>
      </c>
      <c r="H6576" s="13">
        <f>ROUND(G6576/2,0)</f>
        <v>12</v>
      </c>
      <c r="I6576" s="12">
        <f>G6576-H6576</f>
        <v>12</v>
      </c>
      <c r="J6576" s="3" t="str">
        <f t="shared" si="475"/>
        <v>9120006</v>
      </c>
    </row>
    <row r="6577" spans="2:10" s="3" customFormat="1">
      <c r="B6577" s="3" t="s">
        <v>2175</v>
      </c>
      <c r="C6577" s="8">
        <v>2</v>
      </c>
      <c r="D6577" s="3" t="s">
        <v>2194</v>
      </c>
      <c r="E6577" s="11" t="s">
        <v>1861</v>
      </c>
      <c r="F6577" s="11"/>
      <c r="G6577" s="12"/>
      <c r="H6577" s="13"/>
      <c r="I6577" s="12"/>
      <c r="J6577" s="3" t="str">
        <f t="shared" si="475"/>
        <v>9120007</v>
      </c>
    </row>
    <row r="6578" spans="2:10" s="3" customFormat="1">
      <c r="B6578" s="3" t="s">
        <v>2175</v>
      </c>
      <c r="C6578" s="8">
        <v>2</v>
      </c>
      <c r="D6578" s="3" t="s">
        <v>2194</v>
      </c>
      <c r="E6578" s="11" t="s">
        <v>10</v>
      </c>
      <c r="F6578" s="10">
        <v>6.8199999999999999E-4</v>
      </c>
      <c r="G6578" s="12">
        <f>ROUND(G$3*F6578,0)</f>
        <v>196</v>
      </c>
      <c r="H6578" s="13">
        <f>ROUND(G6578/2,0)</f>
        <v>98</v>
      </c>
      <c r="I6578" s="12">
        <f>G6578-H6578</f>
        <v>98</v>
      </c>
      <c r="J6578" s="3" t="str">
        <f t="shared" si="475"/>
        <v>9120007</v>
      </c>
    </row>
    <row r="6579" spans="2:10" s="3" customFormat="1">
      <c r="B6579" s="3" t="s">
        <v>2175</v>
      </c>
      <c r="C6579" s="8">
        <v>2</v>
      </c>
      <c r="D6579" s="3" t="s">
        <v>2194</v>
      </c>
      <c r="E6579" s="11" t="s">
        <v>11</v>
      </c>
      <c r="F6579" s="10">
        <v>3.3799999999999998E-4</v>
      </c>
      <c r="G6579" s="12">
        <f>ROUND(G$3*F6579,0)</f>
        <v>97</v>
      </c>
      <c r="H6579" s="13">
        <f>ROUND(G6579/2,0)</f>
        <v>49</v>
      </c>
      <c r="I6579" s="12">
        <f>G6579-H6579</f>
        <v>48</v>
      </c>
      <c r="J6579" s="3" t="str">
        <f t="shared" si="475"/>
        <v>9120007</v>
      </c>
    </row>
    <row r="6580" spans="2:10" s="3" customFormat="1">
      <c r="B6580" s="3" t="s">
        <v>2175</v>
      </c>
      <c r="C6580" s="8">
        <v>2</v>
      </c>
      <c r="D6580" s="3" t="s">
        <v>2195</v>
      </c>
      <c r="E6580" s="11" t="s">
        <v>744</v>
      </c>
      <c r="F6580" s="11"/>
      <c r="G6580" s="9"/>
      <c r="H6580" s="11"/>
      <c r="I6580" s="11"/>
      <c r="J6580" s="3" t="str">
        <f t="shared" si="475"/>
        <v>9120008</v>
      </c>
    </row>
    <row r="6581" spans="2:10" s="3" customFormat="1">
      <c r="B6581" s="3" t="s">
        <v>2175</v>
      </c>
      <c r="C6581" s="8">
        <v>2</v>
      </c>
      <c r="D6581" s="3" t="s">
        <v>2195</v>
      </c>
      <c r="E6581" s="11" t="s">
        <v>10</v>
      </c>
      <c r="F6581" s="10">
        <v>3.4400000000000001E-4</v>
      </c>
      <c r="G6581" s="12">
        <f>ROUND(G$3*F6581,0)</f>
        <v>99</v>
      </c>
      <c r="H6581" s="13">
        <f>ROUND(G6581/2,0)</f>
        <v>50</v>
      </c>
      <c r="I6581" s="12">
        <f>G6581-H6581</f>
        <v>49</v>
      </c>
      <c r="J6581" s="3" t="str">
        <f t="shared" si="475"/>
        <v>9120008</v>
      </c>
    </row>
    <row r="6582" spans="2:10" s="3" customFormat="1">
      <c r="B6582" s="3" t="s">
        <v>2175</v>
      </c>
      <c r="C6582" s="8">
        <v>2</v>
      </c>
      <c r="D6582" s="3" t="s">
        <v>2195</v>
      </c>
      <c r="E6582" s="11" t="s">
        <v>11</v>
      </c>
      <c r="F6582" s="10">
        <v>5.5900000000000004E-4</v>
      </c>
      <c r="G6582" s="12">
        <f>ROUND(G$3*F6582,0)</f>
        <v>161</v>
      </c>
      <c r="H6582" s="13">
        <f>ROUND(G6582/2,0)</f>
        <v>81</v>
      </c>
      <c r="I6582" s="12">
        <f>G6582-H6582</f>
        <v>80</v>
      </c>
      <c r="J6582" s="3" t="str">
        <f t="shared" si="475"/>
        <v>9120008</v>
      </c>
    </row>
    <row r="6583" spans="2:10" s="3" customFormat="1">
      <c r="B6583" s="3" t="s">
        <v>2175</v>
      </c>
      <c r="C6583" s="8">
        <v>2</v>
      </c>
      <c r="D6583" s="3" t="s">
        <v>2196</v>
      </c>
      <c r="E6583" s="11" t="s">
        <v>1862</v>
      </c>
      <c r="F6583" s="11"/>
      <c r="G6583" s="9"/>
      <c r="H6583" s="11"/>
      <c r="I6583" s="11"/>
      <c r="J6583" s="3" t="str">
        <f t="shared" si="475"/>
        <v>9120009</v>
      </c>
    </row>
    <row r="6584" spans="2:10" s="3" customFormat="1">
      <c r="B6584" s="3" t="s">
        <v>2175</v>
      </c>
      <c r="C6584" s="8">
        <v>2</v>
      </c>
      <c r="D6584" s="3" t="s">
        <v>2196</v>
      </c>
      <c r="E6584" s="11" t="s">
        <v>10</v>
      </c>
      <c r="F6584" s="10">
        <v>3.852E-3</v>
      </c>
      <c r="G6584" s="12">
        <f>ROUND(G$3*F6584,0)</f>
        <v>1108</v>
      </c>
      <c r="H6584" s="13">
        <f>ROUND(G6584/2,0)</f>
        <v>554</v>
      </c>
      <c r="I6584" s="12">
        <f>G6584-H6584</f>
        <v>554</v>
      </c>
      <c r="J6584" s="3" t="str">
        <f t="shared" si="475"/>
        <v>9120009</v>
      </c>
    </row>
    <row r="6585" spans="2:10" s="3" customFormat="1">
      <c r="B6585" s="3" t="s">
        <v>2175</v>
      </c>
      <c r="C6585" s="8">
        <v>2</v>
      </c>
      <c r="D6585" s="3" t="s">
        <v>2196</v>
      </c>
      <c r="E6585" s="11" t="s">
        <v>11</v>
      </c>
      <c r="F6585" s="10">
        <v>2.0010000000000002E-3</v>
      </c>
      <c r="G6585" s="12">
        <f>ROUND(G$3*F6585,0)</f>
        <v>576</v>
      </c>
      <c r="H6585" s="13">
        <f>ROUND(G6585/2,0)</f>
        <v>288</v>
      </c>
      <c r="I6585" s="12">
        <f>G6585-H6585</f>
        <v>288</v>
      </c>
      <c r="J6585" s="3" t="str">
        <f t="shared" si="475"/>
        <v>9120009</v>
      </c>
    </row>
    <row r="6586" spans="2:10" s="3" customFormat="1">
      <c r="B6586" s="3" t="s">
        <v>2175</v>
      </c>
      <c r="C6586" s="8">
        <v>2</v>
      </c>
      <c r="D6586" s="3" t="s">
        <v>2197</v>
      </c>
      <c r="E6586" s="11" t="s">
        <v>1863</v>
      </c>
      <c r="F6586" s="11"/>
      <c r="G6586" s="9"/>
      <c r="H6586" s="11"/>
      <c r="I6586" s="11"/>
      <c r="J6586" s="3" t="str">
        <f t="shared" si="475"/>
        <v>9120010</v>
      </c>
    </row>
    <row r="6587" spans="2:10" s="3" customFormat="1">
      <c r="B6587" s="3" t="s">
        <v>2175</v>
      </c>
      <c r="C6587" s="8">
        <v>2</v>
      </c>
      <c r="D6587" s="3" t="s">
        <v>2197</v>
      </c>
      <c r="E6587" s="11" t="s">
        <v>10</v>
      </c>
      <c r="F6587" s="10">
        <v>2.2900000000000001E-4</v>
      </c>
      <c r="G6587" s="12">
        <f>ROUND(G$3*F6587,0)</f>
        <v>66</v>
      </c>
      <c r="H6587" s="13">
        <f>ROUND(G6587/2,0)</f>
        <v>33</v>
      </c>
      <c r="I6587" s="12">
        <f>G6587-H6587</f>
        <v>33</v>
      </c>
      <c r="J6587" s="3" t="str">
        <f t="shared" si="475"/>
        <v>9120010</v>
      </c>
    </row>
    <row r="6588" spans="2:10" s="3" customFormat="1">
      <c r="B6588" s="3" t="s">
        <v>2175</v>
      </c>
      <c r="C6588" s="8">
        <v>2</v>
      </c>
      <c r="D6588" s="3" t="s">
        <v>2197</v>
      </c>
      <c r="E6588" s="11" t="s">
        <v>11</v>
      </c>
      <c r="F6588" s="10">
        <v>1.9599999999999999E-4</v>
      </c>
      <c r="G6588" s="12">
        <f>ROUND(G$3*F6588,0)</f>
        <v>56</v>
      </c>
      <c r="H6588" s="13">
        <f>ROUND(G6588/2,0)</f>
        <v>28</v>
      </c>
      <c r="I6588" s="12">
        <f>G6588-H6588</f>
        <v>28</v>
      </c>
      <c r="J6588" s="3" t="str">
        <f t="shared" si="475"/>
        <v>9120010</v>
      </c>
    </row>
    <row r="6589" spans="2:10" s="3" customFormat="1">
      <c r="B6589" s="3" t="s">
        <v>2175</v>
      </c>
      <c r="C6589" s="8">
        <v>2</v>
      </c>
      <c r="D6589" s="3" t="s">
        <v>2198</v>
      </c>
      <c r="E6589" s="11" t="s">
        <v>20</v>
      </c>
      <c r="F6589" s="11"/>
      <c r="G6589" s="9"/>
      <c r="H6589" s="11"/>
      <c r="I6589" s="11"/>
      <c r="J6589" s="3" t="str">
        <f t="shared" si="475"/>
        <v>9120011</v>
      </c>
    </row>
    <row r="6590" spans="2:10" s="3" customFormat="1">
      <c r="B6590" s="3" t="s">
        <v>2175</v>
      </c>
      <c r="C6590" s="8">
        <v>2</v>
      </c>
      <c r="D6590" s="3" t="s">
        <v>2198</v>
      </c>
      <c r="E6590" s="11" t="s">
        <v>10</v>
      </c>
      <c r="F6590" s="10">
        <v>1.49E-3</v>
      </c>
      <c r="G6590" s="12">
        <f>ROUND(G$3*F6590,0)</f>
        <v>429</v>
      </c>
      <c r="H6590" s="13">
        <f>ROUND(G6590/2,0)</f>
        <v>215</v>
      </c>
      <c r="I6590" s="12">
        <f>G6590-H6590</f>
        <v>214</v>
      </c>
      <c r="J6590" s="3" t="str">
        <f t="shared" si="475"/>
        <v>9120011</v>
      </c>
    </row>
    <row r="6591" spans="2:10" s="3" customFormat="1">
      <c r="B6591" s="3" t="s">
        <v>2175</v>
      </c>
      <c r="C6591" s="8">
        <v>2</v>
      </c>
      <c r="D6591" s="3" t="s">
        <v>2198</v>
      </c>
      <c r="E6591" s="11" t="s">
        <v>11</v>
      </c>
      <c r="F6591" s="10">
        <v>7.0500000000000001E-4</v>
      </c>
      <c r="G6591" s="12">
        <f>ROUND(G$3*F6591,0)</f>
        <v>203</v>
      </c>
      <c r="H6591" s="13">
        <f>ROUND(G6591/2,0)</f>
        <v>102</v>
      </c>
      <c r="I6591" s="12">
        <f>G6591-H6591</f>
        <v>101</v>
      </c>
      <c r="J6591" s="3" t="str">
        <f t="shared" si="475"/>
        <v>9120011</v>
      </c>
    </row>
    <row r="6592" spans="2:10" s="3" customFormat="1">
      <c r="B6592" s="3" t="s">
        <v>2175</v>
      </c>
      <c r="C6592" s="8">
        <v>2</v>
      </c>
      <c r="D6592" s="3" t="s">
        <v>2199</v>
      </c>
      <c r="E6592" s="11" t="s">
        <v>1864</v>
      </c>
      <c r="F6592" s="11"/>
      <c r="G6592" s="9"/>
      <c r="H6592" s="11"/>
      <c r="I6592" s="11"/>
      <c r="J6592" s="3" t="str">
        <f t="shared" si="475"/>
        <v>9120012</v>
      </c>
    </row>
    <row r="6593" spans="2:10" s="3" customFormat="1">
      <c r="B6593" s="3" t="s">
        <v>2175</v>
      </c>
      <c r="C6593" s="8">
        <v>2</v>
      </c>
      <c r="D6593" s="3" t="s">
        <v>2199</v>
      </c>
      <c r="E6593" s="11" t="s">
        <v>10</v>
      </c>
      <c r="F6593" s="10">
        <v>3.5500000000000001E-4</v>
      </c>
      <c r="G6593" s="12">
        <f t="shared" ref="G6593:G6602" si="476">ROUND(G$3*F6593,0)</f>
        <v>102</v>
      </c>
      <c r="H6593" s="13">
        <f t="shared" ref="H6593:H6602" si="477">ROUND(G6593/2,0)</f>
        <v>51</v>
      </c>
      <c r="I6593" s="12">
        <f t="shared" ref="I6593:I6602" si="478">G6593-H6593</f>
        <v>51</v>
      </c>
      <c r="J6593" s="3" t="str">
        <f t="shared" si="475"/>
        <v>9120012</v>
      </c>
    </row>
    <row r="6594" spans="2:10" s="3" customFormat="1">
      <c r="B6594" s="3" t="s">
        <v>2175</v>
      </c>
      <c r="C6594" s="8">
        <v>2</v>
      </c>
      <c r="D6594" s="3" t="s">
        <v>2199</v>
      </c>
      <c r="E6594" s="11" t="s">
        <v>11</v>
      </c>
      <c r="F6594" s="10">
        <v>2.2900000000000001E-4</v>
      </c>
      <c r="G6594" s="12">
        <f t="shared" si="476"/>
        <v>66</v>
      </c>
      <c r="H6594" s="13">
        <f t="shared" si="477"/>
        <v>33</v>
      </c>
      <c r="I6594" s="12">
        <f t="shared" si="478"/>
        <v>33</v>
      </c>
      <c r="J6594" s="3" t="str">
        <f t="shared" si="475"/>
        <v>9120012</v>
      </c>
    </row>
    <row r="6595" spans="2:10" s="3" customFormat="1">
      <c r="B6595" s="3" t="s">
        <v>2175</v>
      </c>
      <c r="C6595" s="8">
        <v>3</v>
      </c>
      <c r="D6595" s="3" t="s">
        <v>3119</v>
      </c>
      <c r="E6595" s="11" t="s">
        <v>1865</v>
      </c>
      <c r="F6595" s="10">
        <v>2.111E-3</v>
      </c>
      <c r="G6595" s="12">
        <f t="shared" si="476"/>
        <v>607</v>
      </c>
      <c r="H6595" s="13">
        <f t="shared" si="477"/>
        <v>304</v>
      </c>
      <c r="I6595" s="12">
        <f t="shared" si="478"/>
        <v>303</v>
      </c>
      <c r="J6595" s="3" t="str">
        <f t="shared" si="475"/>
        <v>9130942</v>
      </c>
    </row>
    <row r="6596" spans="2:10" s="3" customFormat="1">
      <c r="B6596" s="3" t="s">
        <v>2175</v>
      </c>
      <c r="C6596" s="8">
        <v>3</v>
      </c>
      <c r="D6596" s="3" t="s">
        <v>3120</v>
      </c>
      <c r="E6596" s="11" t="s">
        <v>1866</v>
      </c>
      <c r="F6596" s="10">
        <v>3.4999999999999997E-5</v>
      </c>
      <c r="G6596" s="12">
        <f t="shared" si="476"/>
        <v>10</v>
      </c>
      <c r="H6596" s="13">
        <f t="shared" si="477"/>
        <v>5</v>
      </c>
      <c r="I6596" s="12">
        <f t="shared" si="478"/>
        <v>5</v>
      </c>
      <c r="J6596" s="3" t="str">
        <f t="shared" ref="J6596:J6659" si="479">B6596&amp;C6596&amp;D6596</f>
        <v>9130943</v>
      </c>
    </row>
    <row r="6597" spans="2:10" s="3" customFormat="1">
      <c r="B6597" s="3" t="s">
        <v>2175</v>
      </c>
      <c r="C6597" s="8">
        <v>3</v>
      </c>
      <c r="D6597" s="3" t="s">
        <v>3121</v>
      </c>
      <c r="E6597" s="11" t="s">
        <v>1867</v>
      </c>
      <c r="F6597" s="10">
        <v>2.5349999999999999E-3</v>
      </c>
      <c r="G6597" s="12">
        <f t="shared" si="476"/>
        <v>729</v>
      </c>
      <c r="H6597" s="13">
        <f t="shared" si="477"/>
        <v>365</v>
      </c>
      <c r="I6597" s="12">
        <f t="shared" si="478"/>
        <v>364</v>
      </c>
      <c r="J6597" s="3" t="str">
        <f t="shared" si="479"/>
        <v>9130944</v>
      </c>
    </row>
    <row r="6598" spans="2:10" s="3" customFormat="1">
      <c r="B6598" s="3" t="s">
        <v>2175</v>
      </c>
      <c r="C6598" s="8">
        <v>3</v>
      </c>
      <c r="D6598" s="3" t="s">
        <v>2297</v>
      </c>
      <c r="E6598" s="11" t="s">
        <v>1868</v>
      </c>
      <c r="F6598" s="10">
        <v>3.0980000000000001E-3</v>
      </c>
      <c r="G6598" s="12">
        <f t="shared" si="476"/>
        <v>891</v>
      </c>
      <c r="H6598" s="13">
        <f t="shared" si="477"/>
        <v>446</v>
      </c>
      <c r="I6598" s="12">
        <f t="shared" si="478"/>
        <v>445</v>
      </c>
      <c r="J6598" s="3" t="str">
        <f t="shared" si="479"/>
        <v>9130945</v>
      </c>
    </row>
    <row r="6599" spans="2:10" s="3" customFormat="1">
      <c r="B6599" s="3" t="s">
        <v>2175</v>
      </c>
      <c r="C6599" s="8">
        <v>3</v>
      </c>
      <c r="D6599" s="3" t="s">
        <v>3118</v>
      </c>
      <c r="E6599" s="11" t="s">
        <v>1869</v>
      </c>
      <c r="F6599" s="10">
        <v>7.5796000000000002E-2</v>
      </c>
      <c r="G6599" s="12">
        <f t="shared" si="476"/>
        <v>21808</v>
      </c>
      <c r="H6599" s="13">
        <f t="shared" si="477"/>
        <v>10904</v>
      </c>
      <c r="I6599" s="12">
        <f t="shared" si="478"/>
        <v>10904</v>
      </c>
      <c r="J6599" s="3" t="str">
        <f t="shared" si="479"/>
        <v>9130433</v>
      </c>
    </row>
    <row r="6600" spans="2:10" s="3" customFormat="1">
      <c r="B6600" s="3" t="s">
        <v>2175</v>
      </c>
      <c r="C6600" s="8">
        <v>3</v>
      </c>
      <c r="D6600" s="3" t="s">
        <v>3122</v>
      </c>
      <c r="E6600" s="11" t="s">
        <v>1870</v>
      </c>
      <c r="F6600" s="10">
        <v>1.5250000000000001E-3</v>
      </c>
      <c r="G6600" s="12">
        <f t="shared" si="476"/>
        <v>439</v>
      </c>
      <c r="H6600" s="13">
        <f t="shared" si="477"/>
        <v>220</v>
      </c>
      <c r="I6600" s="12">
        <f t="shared" si="478"/>
        <v>219</v>
      </c>
      <c r="J6600" s="3" t="str">
        <f t="shared" si="479"/>
        <v>9130946</v>
      </c>
    </row>
    <row r="6601" spans="2:10" s="3" customFormat="1">
      <c r="B6601" s="3" t="s">
        <v>2175</v>
      </c>
      <c r="C6601" s="8">
        <v>3</v>
      </c>
      <c r="D6601" s="3" t="s">
        <v>3123</v>
      </c>
      <c r="E6601" s="11" t="s">
        <v>1871</v>
      </c>
      <c r="F6601" s="10">
        <v>7.8040000000000002E-3</v>
      </c>
      <c r="G6601" s="12">
        <f t="shared" si="476"/>
        <v>2245</v>
      </c>
      <c r="H6601" s="13">
        <f t="shared" si="477"/>
        <v>1123</v>
      </c>
      <c r="I6601" s="12">
        <f t="shared" si="478"/>
        <v>1122</v>
      </c>
      <c r="J6601" s="3" t="str">
        <f t="shared" si="479"/>
        <v>9130947</v>
      </c>
    </row>
    <row r="6602" spans="2:10" s="3" customFormat="1">
      <c r="B6602" s="3" t="s">
        <v>2175</v>
      </c>
      <c r="C6602" s="8">
        <v>4</v>
      </c>
      <c r="D6602" s="3" t="s">
        <v>3125</v>
      </c>
      <c r="E6602" s="11" t="s">
        <v>1872</v>
      </c>
      <c r="F6602" s="10">
        <v>7.0579000000000003E-2</v>
      </c>
      <c r="G6602" s="9">
        <f t="shared" si="476"/>
        <v>20307</v>
      </c>
      <c r="H6602" s="11">
        <f t="shared" si="477"/>
        <v>10154</v>
      </c>
      <c r="I6602" s="9">
        <f t="shared" si="478"/>
        <v>10153</v>
      </c>
      <c r="J6602" s="3" t="str">
        <f t="shared" si="479"/>
        <v>9148525</v>
      </c>
    </row>
    <row r="6603" spans="2:10" s="3" customFormat="1">
      <c r="B6603" s="3" t="s">
        <v>2175</v>
      </c>
      <c r="C6603" s="8">
        <v>4</v>
      </c>
      <c r="D6603" s="3" t="s">
        <v>3125</v>
      </c>
      <c r="E6603" s="11" t="s">
        <v>28</v>
      </c>
      <c r="F6603" s="11"/>
      <c r="G6603" s="14">
        <v>0.44338</v>
      </c>
      <c r="H6603" s="11"/>
      <c r="I6603" s="11"/>
      <c r="J6603" s="3" t="str">
        <f t="shared" si="479"/>
        <v>9148525</v>
      </c>
    </row>
    <row r="6604" spans="2:10" s="3" customFormat="1">
      <c r="B6604" s="3" t="s">
        <v>2175</v>
      </c>
      <c r="C6604" s="8">
        <v>4</v>
      </c>
      <c r="D6604" s="3" t="s">
        <v>3125</v>
      </c>
      <c r="E6604" s="11" t="s">
        <v>29</v>
      </c>
      <c r="F6604" s="11"/>
      <c r="G6604" s="15">
        <f>ROUND(G6602*G6603,0)</f>
        <v>9004</v>
      </c>
      <c r="H6604" s="16">
        <f>ROUND(G6604/2,0)</f>
        <v>4502</v>
      </c>
      <c r="I6604" s="15">
        <f>G6604-H6604</f>
        <v>4502</v>
      </c>
      <c r="J6604" s="3" t="str">
        <f t="shared" si="479"/>
        <v>9148525</v>
      </c>
    </row>
    <row r="6605" spans="2:10" s="3" customFormat="1">
      <c r="B6605" s="3" t="s">
        <v>2175</v>
      </c>
      <c r="C6605" s="8">
        <v>4</v>
      </c>
      <c r="D6605" s="3" t="s">
        <v>3125</v>
      </c>
      <c r="E6605" s="11" t="s">
        <v>30</v>
      </c>
      <c r="F6605" s="11"/>
      <c r="G6605" s="12">
        <f>+G6602-G6604</f>
        <v>11303</v>
      </c>
      <c r="H6605" s="13">
        <f>ROUND(G6605/2,0)</f>
        <v>5652</v>
      </c>
      <c r="I6605" s="12">
        <f>G6605-H6605</f>
        <v>5651</v>
      </c>
      <c r="J6605" s="3" t="str">
        <f t="shared" si="479"/>
        <v>9148525</v>
      </c>
    </row>
    <row r="6606" spans="2:10" s="3" customFormat="1">
      <c r="B6606" s="3" t="s">
        <v>2175</v>
      </c>
      <c r="C6606" s="8">
        <v>4</v>
      </c>
      <c r="D6606" s="3" t="s">
        <v>3124</v>
      </c>
      <c r="E6606" s="11" t="s">
        <v>1873</v>
      </c>
      <c r="F6606" s="10">
        <v>8.4162000000000001E-2</v>
      </c>
      <c r="G6606" s="9">
        <f>ROUND(G$3*F6606,0)</f>
        <v>24215</v>
      </c>
      <c r="H6606" s="11">
        <f>ROUND(G6606/2,0)</f>
        <v>12108</v>
      </c>
      <c r="I6606" s="9">
        <f>G6606-H6606</f>
        <v>12107</v>
      </c>
      <c r="J6606" s="3" t="str">
        <f t="shared" si="479"/>
        <v>9148515</v>
      </c>
    </row>
    <row r="6607" spans="2:10" s="3" customFormat="1">
      <c r="B6607" s="3" t="s">
        <v>2175</v>
      </c>
      <c r="C6607" s="8">
        <v>4</v>
      </c>
      <c r="D6607" s="3" t="s">
        <v>3124</v>
      </c>
      <c r="E6607" s="11" t="s">
        <v>28</v>
      </c>
      <c r="F6607" s="11"/>
      <c r="G6607" s="14">
        <v>0.44906800000000002</v>
      </c>
      <c r="H6607" s="11"/>
      <c r="I6607" s="11"/>
      <c r="J6607" s="3" t="str">
        <f t="shared" si="479"/>
        <v>9148515</v>
      </c>
    </row>
    <row r="6608" spans="2:10" s="3" customFormat="1">
      <c r="B6608" s="3" t="s">
        <v>2175</v>
      </c>
      <c r="C6608" s="8">
        <v>4</v>
      </c>
      <c r="D6608" s="3" t="s">
        <v>3124</v>
      </c>
      <c r="E6608" s="11" t="s">
        <v>29</v>
      </c>
      <c r="F6608" s="11"/>
      <c r="G6608" s="15">
        <f>ROUND(G6606*G6607,0)</f>
        <v>10874</v>
      </c>
      <c r="H6608" s="16">
        <f>ROUND(G6608/2,0)</f>
        <v>5437</v>
      </c>
      <c r="I6608" s="15">
        <f>G6608-H6608</f>
        <v>5437</v>
      </c>
      <c r="J6608" s="3" t="str">
        <f t="shared" si="479"/>
        <v>9148515</v>
      </c>
    </row>
    <row r="6609" spans="2:10" s="3" customFormat="1">
      <c r="B6609" s="3" t="s">
        <v>2175</v>
      </c>
      <c r="C6609" s="8">
        <v>4</v>
      </c>
      <c r="D6609" s="3" t="s">
        <v>3124</v>
      </c>
      <c r="E6609" s="11" t="s">
        <v>30</v>
      </c>
      <c r="F6609" s="11"/>
      <c r="G6609" s="12">
        <f>+G6606-G6608</f>
        <v>13341</v>
      </c>
      <c r="H6609" s="13">
        <f>ROUND(G6609/2,0)</f>
        <v>6671</v>
      </c>
      <c r="I6609" s="12">
        <f>G6609-H6609</f>
        <v>6670</v>
      </c>
      <c r="J6609" s="3" t="str">
        <f t="shared" si="479"/>
        <v>9148515</v>
      </c>
    </row>
    <row r="6610" spans="2:10" s="3" customFormat="1">
      <c r="B6610" s="3" t="s">
        <v>2175</v>
      </c>
      <c r="C6610" s="8">
        <v>4</v>
      </c>
      <c r="D6610" s="3" t="s">
        <v>2284</v>
      </c>
      <c r="E6610" s="11" t="s">
        <v>212</v>
      </c>
      <c r="F6610" s="10">
        <v>7.0429999999999998E-3</v>
      </c>
      <c r="G6610" s="9">
        <f>ROUND(G$3*F6610,0)</f>
        <v>2026</v>
      </c>
      <c r="H6610" s="11">
        <f>ROUND(G6610/2,0)</f>
        <v>1013</v>
      </c>
      <c r="I6610" s="9">
        <f>G6610-H6610</f>
        <v>1013</v>
      </c>
      <c r="J6610" s="3" t="str">
        <f t="shared" si="479"/>
        <v>9140775</v>
      </c>
    </row>
    <row r="6611" spans="2:10" s="3" customFormat="1">
      <c r="B6611" s="3" t="s">
        <v>2175</v>
      </c>
      <c r="C6611" s="8">
        <v>4</v>
      </c>
      <c r="D6611" s="3" t="s">
        <v>2284</v>
      </c>
      <c r="E6611" s="11" t="s">
        <v>28</v>
      </c>
      <c r="F6611" s="11"/>
      <c r="G6611" s="14">
        <v>0.42050199999999999</v>
      </c>
      <c r="H6611" s="11"/>
      <c r="I6611" s="11"/>
      <c r="J6611" s="3" t="str">
        <f t="shared" si="479"/>
        <v>9140775</v>
      </c>
    </row>
    <row r="6612" spans="2:10" s="3" customFormat="1">
      <c r="B6612" s="3" t="s">
        <v>2175</v>
      </c>
      <c r="C6612" s="8">
        <v>4</v>
      </c>
      <c r="D6612" s="3" t="s">
        <v>2284</v>
      </c>
      <c r="E6612" s="11" t="s">
        <v>29</v>
      </c>
      <c r="F6612" s="11"/>
      <c r="G6612" s="15">
        <f>ROUND(G6610*G6611,0)</f>
        <v>852</v>
      </c>
      <c r="H6612" s="16">
        <f>ROUND(G6612/2,0)</f>
        <v>426</v>
      </c>
      <c r="I6612" s="15">
        <f>G6612-H6612</f>
        <v>426</v>
      </c>
      <c r="J6612" s="3" t="str">
        <f t="shared" si="479"/>
        <v>9140775</v>
      </c>
    </row>
    <row r="6613" spans="2:10" s="3" customFormat="1">
      <c r="B6613" s="3" t="s">
        <v>2175</v>
      </c>
      <c r="C6613" s="8">
        <v>4</v>
      </c>
      <c r="D6613" s="3" t="s">
        <v>2284</v>
      </c>
      <c r="E6613" s="11" t="s">
        <v>30</v>
      </c>
      <c r="F6613" s="11"/>
      <c r="G6613" s="12">
        <f>+G6610-G6612</f>
        <v>1174</v>
      </c>
      <c r="H6613" s="13">
        <f>ROUND(G6613/2,0)</f>
        <v>587</v>
      </c>
      <c r="I6613" s="12">
        <f>G6613-H6613</f>
        <v>587</v>
      </c>
      <c r="J6613" s="3" t="str">
        <f t="shared" si="479"/>
        <v>9140775</v>
      </c>
    </row>
    <row r="6614" spans="2:10" s="3" customFormat="1">
      <c r="B6614" s="3" t="s">
        <v>2175</v>
      </c>
      <c r="C6614" s="8">
        <v>4</v>
      </c>
      <c r="D6614" s="3" t="s">
        <v>2248</v>
      </c>
      <c r="E6614" s="11" t="s">
        <v>848</v>
      </c>
      <c r="F6614" s="10">
        <v>0.31158200000000003</v>
      </c>
      <c r="G6614" s="9">
        <f>ROUND(G$3*F6614,0)</f>
        <v>89649</v>
      </c>
      <c r="H6614" s="11">
        <f>ROUND(G6614/2,0)</f>
        <v>44825</v>
      </c>
      <c r="I6614" s="9">
        <f>G6614-H6614</f>
        <v>44824</v>
      </c>
      <c r="J6614" s="3" t="str">
        <f t="shared" si="479"/>
        <v>9148535</v>
      </c>
    </row>
    <row r="6615" spans="2:10" s="3" customFormat="1">
      <c r="B6615" s="3" t="s">
        <v>2175</v>
      </c>
      <c r="C6615" s="8">
        <v>4</v>
      </c>
      <c r="D6615" s="3" t="s">
        <v>2248</v>
      </c>
      <c r="E6615" s="11" t="s">
        <v>28</v>
      </c>
      <c r="F6615" s="11"/>
      <c r="G6615" s="14">
        <v>0.55134700000000003</v>
      </c>
      <c r="H6615" s="11"/>
      <c r="I6615" s="11"/>
      <c r="J6615" s="3" t="str">
        <f t="shared" si="479"/>
        <v>9148535</v>
      </c>
    </row>
    <row r="6616" spans="2:10" s="3" customFormat="1">
      <c r="B6616" s="3" t="s">
        <v>2175</v>
      </c>
      <c r="C6616" s="8">
        <v>4</v>
      </c>
      <c r="D6616" s="3" t="s">
        <v>2248</v>
      </c>
      <c r="E6616" s="11" t="s">
        <v>29</v>
      </c>
      <c r="F6616" s="11"/>
      <c r="G6616" s="15">
        <f>ROUND(G6614*G6615,0)</f>
        <v>49428</v>
      </c>
      <c r="H6616" s="16">
        <f>ROUND(G6616/2,0)</f>
        <v>24714</v>
      </c>
      <c r="I6616" s="15">
        <f>G6616-H6616</f>
        <v>24714</v>
      </c>
      <c r="J6616" s="3" t="str">
        <f t="shared" si="479"/>
        <v>9148535</v>
      </c>
    </row>
    <row r="6617" spans="2:10" s="3" customFormat="1">
      <c r="B6617" s="3" t="s">
        <v>2175</v>
      </c>
      <c r="C6617" s="8">
        <v>4</v>
      </c>
      <c r="D6617" s="3" t="s">
        <v>2248</v>
      </c>
      <c r="E6617" s="11" t="s">
        <v>30</v>
      </c>
      <c r="F6617" s="11"/>
      <c r="G6617" s="12">
        <f>+G6614-G6616</f>
        <v>40221</v>
      </c>
      <c r="H6617" s="13">
        <f>ROUND(G6617/2,0)</f>
        <v>20111</v>
      </c>
      <c r="I6617" s="12">
        <f>G6617-H6617</f>
        <v>20110</v>
      </c>
      <c r="J6617" s="3" t="str">
        <f t="shared" si="479"/>
        <v>9148535</v>
      </c>
    </row>
    <row r="6618" spans="2:10" s="3" customFormat="1">
      <c r="B6618" s="3" t="s">
        <v>2175</v>
      </c>
      <c r="C6618" s="8">
        <v>4</v>
      </c>
      <c r="D6618" s="116" t="s">
        <v>2278</v>
      </c>
      <c r="E6618" s="11" t="s">
        <v>1874</v>
      </c>
      <c r="F6618" s="10">
        <v>0.214952</v>
      </c>
      <c r="G6618" s="9">
        <f>ROUND(G$3*F6618,0)</f>
        <v>61847</v>
      </c>
      <c r="H6618" s="11">
        <f>ROUND(G6618/2,0)</f>
        <v>30924</v>
      </c>
      <c r="I6618" s="9">
        <f>G6618-H6618</f>
        <v>30923</v>
      </c>
      <c r="J6618" s="3" t="str">
        <f t="shared" si="479"/>
        <v>9148565</v>
      </c>
    </row>
    <row r="6619" spans="2:10" s="3" customFormat="1">
      <c r="B6619" s="3" t="s">
        <v>2175</v>
      </c>
      <c r="C6619" s="8">
        <v>4</v>
      </c>
      <c r="D6619" s="116" t="s">
        <v>2278</v>
      </c>
      <c r="E6619" s="11" t="s">
        <v>28</v>
      </c>
      <c r="F6619" s="11"/>
      <c r="G6619" s="14">
        <v>0.49474200000000002</v>
      </c>
      <c r="H6619" s="11"/>
      <c r="I6619" s="11"/>
      <c r="J6619" s="3" t="str">
        <f t="shared" si="479"/>
        <v>9148565</v>
      </c>
    </row>
    <row r="6620" spans="2:10" s="3" customFormat="1">
      <c r="B6620" s="3" t="s">
        <v>2175</v>
      </c>
      <c r="C6620" s="8">
        <v>4</v>
      </c>
      <c r="D6620" s="116" t="s">
        <v>2278</v>
      </c>
      <c r="E6620" s="11" t="s">
        <v>29</v>
      </c>
      <c r="F6620" s="11"/>
      <c r="G6620" s="15">
        <f>ROUND(G6618*G6619,0)</f>
        <v>30598</v>
      </c>
      <c r="H6620" s="16">
        <f t="shared" ref="H6620:H6626" si="480">ROUND(G6620/2,0)</f>
        <v>15299</v>
      </c>
      <c r="I6620" s="15">
        <f t="shared" ref="I6620:I6626" si="481">G6620-H6620</f>
        <v>15299</v>
      </c>
      <c r="J6620" s="3" t="str">
        <f t="shared" si="479"/>
        <v>9148565</v>
      </c>
    </row>
    <row r="6621" spans="2:10" s="3" customFormat="1">
      <c r="B6621" s="3" t="s">
        <v>2175</v>
      </c>
      <c r="C6621" s="8">
        <v>4</v>
      </c>
      <c r="D6621" s="116" t="s">
        <v>2278</v>
      </c>
      <c r="E6621" s="11" t="s">
        <v>30</v>
      </c>
      <c r="F6621" s="11"/>
      <c r="G6621" s="12">
        <f>+G6618-G6620</f>
        <v>31249</v>
      </c>
      <c r="H6621" s="13">
        <f t="shared" si="480"/>
        <v>15625</v>
      </c>
      <c r="I6621" s="12">
        <f t="shared" si="481"/>
        <v>15624</v>
      </c>
      <c r="J6621" s="3" t="str">
        <f t="shared" si="479"/>
        <v>9148565</v>
      </c>
    </row>
    <row r="6622" spans="2:10" s="3" customFormat="1">
      <c r="B6622" s="3" t="s">
        <v>2175</v>
      </c>
      <c r="C6622" s="8">
        <v>5</v>
      </c>
      <c r="D6622" s="3" t="s">
        <v>3126</v>
      </c>
      <c r="E6622" s="11" t="s">
        <v>1875</v>
      </c>
      <c r="F6622" s="10">
        <v>3.4689999999999999E-3</v>
      </c>
      <c r="G6622" s="120">
        <f>ROUND(G$3*F6622,0)</f>
        <v>998</v>
      </c>
      <c r="H6622" s="120">
        <f t="shared" si="480"/>
        <v>499</v>
      </c>
      <c r="I6622" s="120">
        <f t="shared" si="481"/>
        <v>499</v>
      </c>
      <c r="J6622" s="3" t="str">
        <f t="shared" si="479"/>
        <v>9150245</v>
      </c>
    </row>
    <row r="6623" spans="2:10" s="3" customFormat="1">
      <c r="B6623" s="3" t="s">
        <v>2175</v>
      </c>
      <c r="C6623" s="8">
        <v>5</v>
      </c>
      <c r="D6623" s="3" t="s">
        <v>3127</v>
      </c>
      <c r="E6623" s="11" t="s">
        <v>1876</v>
      </c>
      <c r="F6623" s="10">
        <v>3.0279999999999999E-3</v>
      </c>
      <c r="G6623" s="120">
        <f>ROUND(G$3*F6623,0)</f>
        <v>871</v>
      </c>
      <c r="H6623" s="120">
        <f t="shared" si="480"/>
        <v>436</v>
      </c>
      <c r="I6623" s="120">
        <f t="shared" si="481"/>
        <v>435</v>
      </c>
      <c r="J6623" s="3" t="str">
        <f t="shared" si="479"/>
        <v>9150246</v>
      </c>
    </row>
    <row r="6624" spans="2:10" s="3" customFormat="1">
      <c r="B6624" s="3" t="s">
        <v>2175</v>
      </c>
      <c r="C6624" s="8">
        <v>5</v>
      </c>
      <c r="D6624" s="3" t="s">
        <v>3128</v>
      </c>
      <c r="E6624" s="11" t="s">
        <v>1877</v>
      </c>
      <c r="F6624" s="10">
        <v>1.1906999999999999E-2</v>
      </c>
      <c r="G6624" s="120">
        <f>ROUND(G$3*F6624,0)</f>
        <v>3426</v>
      </c>
      <c r="H6624" s="120">
        <f t="shared" si="480"/>
        <v>1713</v>
      </c>
      <c r="I6624" s="120">
        <f t="shared" si="481"/>
        <v>1713</v>
      </c>
      <c r="J6624" s="3" t="str">
        <f t="shared" si="479"/>
        <v>9150247</v>
      </c>
    </row>
    <row r="6625" spans="1:10" s="3" customFormat="1">
      <c r="B6625" s="3" t="s">
        <v>2175</v>
      </c>
      <c r="C6625" s="8">
        <v>5</v>
      </c>
      <c r="D6625" s="3" t="s">
        <v>3129</v>
      </c>
      <c r="E6625" s="11" t="s">
        <v>1878</v>
      </c>
      <c r="F6625" s="10">
        <v>9.4299999999999384E-3</v>
      </c>
      <c r="G6625" s="120">
        <f>+G6553-SUM(G6554:G6555)-SUM(G6560:G6602)-G6606-G6610-G6614-G6618-SUM(G6622:G6624)</f>
        <v>157135</v>
      </c>
      <c r="H6625" s="120">
        <f t="shared" si="480"/>
        <v>78568</v>
      </c>
      <c r="I6625" s="120">
        <f t="shared" si="481"/>
        <v>78567</v>
      </c>
      <c r="J6625" s="3" t="str">
        <f t="shared" si="479"/>
        <v>9150248</v>
      </c>
    </row>
    <row r="6626" spans="1:10" s="3" customFormat="1">
      <c r="A6626" s="3" t="s">
        <v>6269</v>
      </c>
      <c r="B6626" s="3" t="s">
        <v>2175</v>
      </c>
      <c r="C6626" s="8">
        <v>6</v>
      </c>
      <c r="D6626" s="3" t="s">
        <v>3281</v>
      </c>
      <c r="E6626" s="11" t="s">
        <v>131</v>
      </c>
      <c r="F6626" s="10">
        <v>0</v>
      </c>
      <c r="G6626" s="120">
        <f>ROUND(G$3*F6626,0)</f>
        <v>0</v>
      </c>
      <c r="H6626" s="120">
        <f t="shared" si="480"/>
        <v>0</v>
      </c>
      <c r="I6626" s="120">
        <f t="shared" si="481"/>
        <v>0</v>
      </c>
      <c r="J6626" s="3" t="str">
        <f t="shared" si="479"/>
        <v>9161062</v>
      </c>
    </row>
    <row r="6627" spans="1:10" s="3" customFormat="1">
      <c r="B6627" s="3" t="s">
        <v>2175</v>
      </c>
      <c r="C6627" s="8">
        <v>0</v>
      </c>
      <c r="D6627" s="125" t="s">
        <v>2187</v>
      </c>
      <c r="E6627" s="28" t="s">
        <v>288</v>
      </c>
      <c r="F6627" s="10">
        <v>1</v>
      </c>
      <c r="G6627" s="12">
        <f>+G6554+SUM(G6557:G6601)+SUM(G6604:G6605)+SUM(G6608:G6609)+SUM(G6612:G6613)+SUM(G6616:G6617)+SUM(G6620:G6626)</f>
        <v>442143</v>
      </c>
      <c r="H6627" s="12">
        <f>+H6554+SUM(H6557:H6601)+SUM(H6604:H6605)+SUM(H6608:H6609)+SUM(H6612:H6613)+SUM(H6616:H6617)+SUM(H6620:H6626)</f>
        <v>221082</v>
      </c>
      <c r="I6627" s="12">
        <f>+I6554+SUM(I6557:I6601)+SUM(I6604:I6605)+SUM(I6608:I6609)+SUM(I6612:I6613)+SUM(I6616:I6617)+SUM(I6620:I6626)</f>
        <v>221061</v>
      </c>
      <c r="J6627" s="3" t="str">
        <f t="shared" si="479"/>
        <v>9100000</v>
      </c>
    </row>
    <row r="6628" spans="1:10" s="3" customFormat="1">
      <c r="B6628" s="3" t="s">
        <v>2175</v>
      </c>
      <c r="C6628" s="8">
        <v>0</v>
      </c>
      <c r="D6628" s="3" t="s">
        <v>2187</v>
      </c>
      <c r="E6628" s="18" t="s">
        <v>38</v>
      </c>
      <c r="G6628" s="19">
        <f>+G6554</f>
        <v>363</v>
      </c>
      <c r="H6628" s="19">
        <f>+H6554</f>
        <v>182</v>
      </c>
      <c r="I6628" s="19">
        <f>+I6554</f>
        <v>181</v>
      </c>
      <c r="J6628" s="3" t="str">
        <f t="shared" si="479"/>
        <v>9100000</v>
      </c>
    </row>
    <row r="6629" spans="1:10" s="3" customFormat="1">
      <c r="B6629" s="3" t="s">
        <v>2175</v>
      </c>
      <c r="C6629" s="8">
        <v>0</v>
      </c>
      <c r="D6629" s="3" t="s">
        <v>2187</v>
      </c>
      <c r="E6629" s="2" t="s">
        <v>39</v>
      </c>
      <c r="G6629" s="19">
        <f>+G6557</f>
        <v>3887</v>
      </c>
      <c r="H6629" s="19">
        <f>+H6557</f>
        <v>1944</v>
      </c>
      <c r="I6629" s="19">
        <f>+I6557</f>
        <v>1943</v>
      </c>
      <c r="J6629" s="3" t="str">
        <f t="shared" si="479"/>
        <v>9100000</v>
      </c>
    </row>
    <row r="6630" spans="1:10" s="3" customFormat="1">
      <c r="B6630" s="3" t="s">
        <v>2175</v>
      </c>
      <c r="C6630" s="8">
        <v>0</v>
      </c>
      <c r="D6630" s="3" t="s">
        <v>2187</v>
      </c>
      <c r="E6630" s="2" t="s">
        <v>40</v>
      </c>
      <c r="G6630" s="19">
        <f>+G6604+G6608+G6612+G6616+G6620</f>
        <v>100756</v>
      </c>
      <c r="H6630" s="19">
        <f>+H6604+H6608+H6612+H6616+H6620</f>
        <v>50378</v>
      </c>
      <c r="I6630" s="19">
        <f>+I6604+I6608+I6612+I6616+I6620</f>
        <v>50378</v>
      </c>
      <c r="J6630" s="3" t="str">
        <f t="shared" si="479"/>
        <v>9100000</v>
      </c>
    </row>
    <row r="6631" spans="1:10" s="3" customFormat="1">
      <c r="B6631" s="3" t="s">
        <v>2175</v>
      </c>
      <c r="C6631" s="8">
        <v>0</v>
      </c>
      <c r="D6631" s="125" t="s">
        <v>2187</v>
      </c>
      <c r="E6631" s="18" t="s">
        <v>41</v>
      </c>
      <c r="G6631" s="19">
        <f>+G6627-G6628-G6629-G6630</f>
        <v>337137</v>
      </c>
      <c r="H6631" s="19">
        <f>+H6627-H6628-H6629-H6630</f>
        <v>168578</v>
      </c>
      <c r="I6631" s="19">
        <f>+I6627-I6628-I6629-I6630</f>
        <v>168559</v>
      </c>
      <c r="J6631" s="3" t="str">
        <f t="shared" si="479"/>
        <v>9100000</v>
      </c>
    </row>
    <row r="6632" spans="1:10" ht="15.75">
      <c r="B6632" s="3" t="s">
        <v>2186</v>
      </c>
      <c r="D6632" t="s">
        <v>2186</v>
      </c>
      <c r="E6632">
        <v>0</v>
      </c>
      <c r="G6632"/>
      <c r="H6632"/>
      <c r="I6632"/>
      <c r="J6632" s="3" t="str">
        <f t="shared" si="479"/>
        <v/>
      </c>
    </row>
    <row r="6633" spans="1:10" s="3" customFormat="1">
      <c r="C6633" s="1"/>
      <c r="D6633" s="3" t="s">
        <v>2186</v>
      </c>
      <c r="E6633" s="2" t="s">
        <v>1879</v>
      </c>
      <c r="J6633" s="3" t="str">
        <f t="shared" si="479"/>
        <v/>
      </c>
    </row>
    <row r="6634" spans="1:10" s="3" customFormat="1" ht="45">
      <c r="B6634" s="3" t="s">
        <v>2186</v>
      </c>
      <c r="C6634" s="1"/>
      <c r="D6634" s="3" t="s">
        <v>2186</v>
      </c>
      <c r="E6634" s="1">
        <v>0</v>
      </c>
      <c r="F6634" s="6" t="s">
        <v>1</v>
      </c>
      <c r="G6634" s="60">
        <f>'Allocation Worksheet'!H6634</f>
        <v>0</v>
      </c>
      <c r="H6634" s="60">
        <f>'Allocation Worksheet'!H6635</f>
        <v>0</v>
      </c>
      <c r="I6634" s="60">
        <f>'Allocation Worksheet'!H6636</f>
        <v>0</v>
      </c>
      <c r="J6634" s="3" t="str">
        <f t="shared" si="479"/>
        <v/>
      </c>
    </row>
    <row r="6635" spans="1:10" s="3" customFormat="1">
      <c r="C6635" s="7" t="s">
        <v>2087</v>
      </c>
      <c r="D6635" s="3" t="s">
        <v>2186</v>
      </c>
      <c r="E6635" s="7" t="s">
        <v>3</v>
      </c>
      <c r="F6635" s="10"/>
      <c r="G6635" s="9">
        <f>'Allocation Worksheet'!$D$95</f>
        <v>538427</v>
      </c>
      <c r="H6635" s="11"/>
      <c r="I6635" s="11"/>
      <c r="J6635" s="3" t="str">
        <f t="shared" si="479"/>
        <v>UT</v>
      </c>
    </row>
    <row r="6636" spans="1:10" s="3" customFormat="1">
      <c r="B6636" s="3" t="s">
        <v>2176</v>
      </c>
      <c r="C6636" s="8">
        <v>0</v>
      </c>
      <c r="D6636" s="3" t="s">
        <v>2187</v>
      </c>
      <c r="E6636" s="11" t="s">
        <v>4</v>
      </c>
      <c r="F6636" s="10">
        <v>1.2999999999999999E-3</v>
      </c>
      <c r="G6636" s="12">
        <f>ROUND(G$3*F6636,0)</f>
        <v>374</v>
      </c>
      <c r="H6636" s="13">
        <f>ROUND(G6636/2,0)</f>
        <v>187</v>
      </c>
      <c r="I6636" s="12">
        <f>G6636-H6636</f>
        <v>187</v>
      </c>
      <c r="J6636" s="3" t="str">
        <f t="shared" si="479"/>
        <v>9200000</v>
      </c>
    </row>
    <row r="6637" spans="1:10" s="3" customFormat="1">
      <c r="B6637" s="3" t="s">
        <v>2176</v>
      </c>
      <c r="C6637" s="8">
        <v>1</v>
      </c>
      <c r="D6637" s="3" t="s">
        <v>2187</v>
      </c>
      <c r="E6637" s="11" t="s">
        <v>1880</v>
      </c>
      <c r="F6637" s="10">
        <v>0.196682</v>
      </c>
      <c r="G6637" s="9">
        <f>ROUND(G$3*F6637,0)</f>
        <v>56590</v>
      </c>
      <c r="H6637" s="11">
        <f>ROUND(G6637/2,0)</f>
        <v>28295</v>
      </c>
      <c r="I6637" s="9">
        <f>G6637-H6637</f>
        <v>28295</v>
      </c>
      <c r="J6637" s="3" t="str">
        <f t="shared" si="479"/>
        <v>9210000</v>
      </c>
    </row>
    <row r="6638" spans="1:10" s="3" customFormat="1">
      <c r="B6638" s="3" t="s">
        <v>2176</v>
      </c>
      <c r="C6638" s="8">
        <v>1</v>
      </c>
      <c r="D6638" s="3" t="s">
        <v>2187</v>
      </c>
      <c r="E6638" s="11" t="s">
        <v>6</v>
      </c>
      <c r="F6638" s="11"/>
      <c r="G6638" s="14">
        <v>0.10637099999999999</v>
      </c>
      <c r="H6638" s="11"/>
      <c r="I6638" s="11"/>
      <c r="J6638" s="3" t="str">
        <f t="shared" si="479"/>
        <v>9210000</v>
      </c>
    </row>
    <row r="6639" spans="1:10" s="3" customFormat="1">
      <c r="B6639" s="3" t="s">
        <v>2176</v>
      </c>
      <c r="C6639" s="8">
        <v>1</v>
      </c>
      <c r="D6639" s="3" t="s">
        <v>2187</v>
      </c>
      <c r="E6639" s="11" t="s">
        <v>7</v>
      </c>
      <c r="F6639" s="11"/>
      <c r="G6639" s="15">
        <f>ROUND(G6637*G6638,0)</f>
        <v>6020</v>
      </c>
      <c r="H6639" s="16">
        <f>ROUND(G6639/2,0)</f>
        <v>3010</v>
      </c>
      <c r="I6639" s="15">
        <f>G6639-H6639</f>
        <v>3010</v>
      </c>
      <c r="J6639" s="3" t="str">
        <f t="shared" si="479"/>
        <v>9210000</v>
      </c>
    </row>
    <row r="6640" spans="1:10" s="3" customFormat="1">
      <c r="B6640" s="3" t="s">
        <v>2176</v>
      </c>
      <c r="C6640" s="8">
        <v>1</v>
      </c>
      <c r="D6640" s="3" t="s">
        <v>2187</v>
      </c>
      <c r="E6640" s="11" t="s">
        <v>8</v>
      </c>
      <c r="F6640" s="11"/>
      <c r="G6640" s="12">
        <f>+G6637-G6639</f>
        <v>50570</v>
      </c>
      <c r="H6640" s="13">
        <f>ROUND(G6640/2,0)</f>
        <v>25285</v>
      </c>
      <c r="I6640" s="12">
        <f>G6640-H6640</f>
        <v>25285</v>
      </c>
      <c r="J6640" s="3" t="str">
        <f t="shared" si="479"/>
        <v>9210000</v>
      </c>
    </row>
    <row r="6641" spans="2:10" s="3" customFormat="1">
      <c r="B6641" s="3" t="s">
        <v>2176</v>
      </c>
      <c r="C6641" s="8">
        <v>2</v>
      </c>
      <c r="D6641" s="3" t="s">
        <v>2188</v>
      </c>
      <c r="E6641" s="11" t="s">
        <v>451</v>
      </c>
      <c r="F6641" s="11"/>
      <c r="G6641" s="9"/>
      <c r="H6641" s="11"/>
      <c r="I6641" s="11"/>
      <c r="J6641" s="3" t="str">
        <f t="shared" si="479"/>
        <v>9220001</v>
      </c>
    </row>
    <row r="6642" spans="2:10" s="3" customFormat="1">
      <c r="B6642" s="3" t="s">
        <v>2176</v>
      </c>
      <c r="C6642" s="8">
        <v>2</v>
      </c>
      <c r="D6642" s="3" t="s">
        <v>2188</v>
      </c>
      <c r="E6642" s="11" t="s">
        <v>10</v>
      </c>
      <c r="F6642" s="10">
        <v>2.2759999999999998E-3</v>
      </c>
      <c r="G6642" s="12">
        <f>ROUND(G$3*F6642,0)</f>
        <v>655</v>
      </c>
      <c r="H6642" s="13">
        <f>ROUND(G6642/2,0)</f>
        <v>328</v>
      </c>
      <c r="I6642" s="12">
        <f>G6642-H6642</f>
        <v>327</v>
      </c>
      <c r="J6642" s="3" t="str">
        <f t="shared" si="479"/>
        <v>9220001</v>
      </c>
    </row>
    <row r="6643" spans="2:10" s="3" customFormat="1">
      <c r="B6643" s="3" t="s">
        <v>2176</v>
      </c>
      <c r="C6643" s="8">
        <v>2</v>
      </c>
      <c r="D6643" s="3" t="s">
        <v>2188</v>
      </c>
      <c r="E6643" s="11" t="s">
        <v>11</v>
      </c>
      <c r="F6643" s="10">
        <v>1.9100000000000001E-4</v>
      </c>
      <c r="G6643" s="12">
        <f>ROUND(G$3*F6643,0)</f>
        <v>55</v>
      </c>
      <c r="H6643" s="13">
        <f>ROUND(G6643/2,0)</f>
        <v>28</v>
      </c>
      <c r="I6643" s="12">
        <f>G6643-H6643</f>
        <v>27</v>
      </c>
      <c r="J6643" s="3" t="str">
        <f t="shared" si="479"/>
        <v>9220001</v>
      </c>
    </row>
    <row r="6644" spans="2:10" s="3" customFormat="1">
      <c r="B6644" s="3" t="s">
        <v>2176</v>
      </c>
      <c r="C6644" s="8">
        <v>2</v>
      </c>
      <c r="D6644" s="3" t="s">
        <v>2189</v>
      </c>
      <c r="E6644" s="11" t="s">
        <v>429</v>
      </c>
      <c r="F6644" s="11"/>
      <c r="G6644" s="9"/>
      <c r="H6644" s="11"/>
      <c r="I6644" s="11"/>
      <c r="J6644" s="3" t="str">
        <f t="shared" si="479"/>
        <v>9220002</v>
      </c>
    </row>
    <row r="6645" spans="2:10" s="3" customFormat="1">
      <c r="B6645" s="3" t="s">
        <v>2176</v>
      </c>
      <c r="C6645" s="8">
        <v>2</v>
      </c>
      <c r="D6645" s="3" t="s">
        <v>2189</v>
      </c>
      <c r="E6645" s="11" t="s">
        <v>10</v>
      </c>
      <c r="F6645" s="10">
        <v>2.9619999999999998E-3</v>
      </c>
      <c r="G6645" s="12">
        <f>ROUND(G$3*F6645,0)</f>
        <v>852</v>
      </c>
      <c r="H6645" s="13">
        <f>ROUND(G6645/2,0)</f>
        <v>426</v>
      </c>
      <c r="I6645" s="12">
        <f>G6645-H6645</f>
        <v>426</v>
      </c>
      <c r="J6645" s="3" t="str">
        <f t="shared" si="479"/>
        <v>9220002</v>
      </c>
    </row>
    <row r="6646" spans="2:10" s="3" customFormat="1">
      <c r="B6646" s="3" t="s">
        <v>2176</v>
      </c>
      <c r="C6646" s="8">
        <v>2</v>
      </c>
      <c r="D6646" s="3" t="s">
        <v>2189</v>
      </c>
      <c r="E6646" s="11" t="s">
        <v>11</v>
      </c>
      <c r="F6646" s="10">
        <v>5.4199999999999995E-4</v>
      </c>
      <c r="G6646" s="12">
        <f>ROUND(G$3*F6646,0)</f>
        <v>156</v>
      </c>
      <c r="H6646" s="13">
        <f>ROUND(G6646/2,0)</f>
        <v>78</v>
      </c>
      <c r="I6646" s="12">
        <f>G6646-H6646</f>
        <v>78</v>
      </c>
      <c r="J6646" s="3" t="str">
        <f t="shared" si="479"/>
        <v>9220002</v>
      </c>
    </row>
    <row r="6647" spans="2:10" s="3" customFormat="1">
      <c r="B6647" s="3" t="s">
        <v>2176</v>
      </c>
      <c r="C6647" s="8">
        <v>2</v>
      </c>
      <c r="D6647" s="3" t="s">
        <v>2190</v>
      </c>
      <c r="E6647" s="11" t="s">
        <v>1881</v>
      </c>
      <c r="F6647" s="11"/>
      <c r="G6647" s="9"/>
      <c r="H6647" s="11"/>
      <c r="I6647" s="11"/>
      <c r="J6647" s="3" t="str">
        <f t="shared" si="479"/>
        <v>9220003</v>
      </c>
    </row>
    <row r="6648" spans="2:10" s="3" customFormat="1">
      <c r="B6648" s="3" t="s">
        <v>2176</v>
      </c>
      <c r="C6648" s="8">
        <v>2</v>
      </c>
      <c r="D6648" s="3" t="s">
        <v>2190</v>
      </c>
      <c r="E6648" s="11" t="s">
        <v>10</v>
      </c>
      <c r="F6648" s="10">
        <v>1.0319999999999999E-3</v>
      </c>
      <c r="G6648" s="12">
        <f>ROUND(G$3*F6648,0)</f>
        <v>297</v>
      </c>
      <c r="H6648" s="13">
        <f>ROUND(G6648/2,0)</f>
        <v>149</v>
      </c>
      <c r="I6648" s="12">
        <f>G6648-H6648</f>
        <v>148</v>
      </c>
      <c r="J6648" s="3" t="str">
        <f t="shared" si="479"/>
        <v>9220003</v>
      </c>
    </row>
    <row r="6649" spans="2:10" s="3" customFormat="1">
      <c r="B6649" s="3" t="s">
        <v>2176</v>
      </c>
      <c r="C6649" s="8">
        <v>2</v>
      </c>
      <c r="D6649" s="3" t="s">
        <v>2190</v>
      </c>
      <c r="E6649" s="11" t="s">
        <v>11</v>
      </c>
      <c r="F6649" s="10">
        <v>3.7399999999999998E-4</v>
      </c>
      <c r="G6649" s="12">
        <f>ROUND(G$3*F6649,0)</f>
        <v>108</v>
      </c>
      <c r="H6649" s="13">
        <f>ROUND(G6649/2,0)</f>
        <v>54</v>
      </c>
      <c r="I6649" s="12">
        <f>G6649-H6649</f>
        <v>54</v>
      </c>
      <c r="J6649" s="3" t="str">
        <f t="shared" si="479"/>
        <v>9220003</v>
      </c>
    </row>
    <row r="6650" spans="2:10" s="3" customFormat="1">
      <c r="B6650" s="3" t="s">
        <v>2176</v>
      </c>
      <c r="C6650" s="8">
        <v>2</v>
      </c>
      <c r="D6650" s="3" t="s">
        <v>2191</v>
      </c>
      <c r="E6650" s="11" t="s">
        <v>14</v>
      </c>
      <c r="F6650" s="11"/>
      <c r="G6650" s="9"/>
      <c r="H6650" s="11"/>
      <c r="I6650" s="11"/>
      <c r="J6650" s="3" t="str">
        <f t="shared" si="479"/>
        <v>9220004</v>
      </c>
    </row>
    <row r="6651" spans="2:10" s="3" customFormat="1">
      <c r="B6651" s="3" t="s">
        <v>2176</v>
      </c>
      <c r="C6651" s="8">
        <v>2</v>
      </c>
      <c r="D6651" s="3" t="s">
        <v>2191</v>
      </c>
      <c r="E6651" s="11" t="s">
        <v>10</v>
      </c>
      <c r="F6651" s="10">
        <v>2.2390000000000001E-3</v>
      </c>
      <c r="G6651" s="12">
        <f>ROUND(G$3*F6651,0)</f>
        <v>644</v>
      </c>
      <c r="H6651" s="13">
        <f>ROUND(G6651/2,0)</f>
        <v>322</v>
      </c>
      <c r="I6651" s="12">
        <f>G6651-H6651</f>
        <v>322</v>
      </c>
      <c r="J6651" s="3" t="str">
        <f t="shared" si="479"/>
        <v>9220004</v>
      </c>
    </row>
    <row r="6652" spans="2:10" s="3" customFormat="1">
      <c r="B6652" s="3" t="s">
        <v>2176</v>
      </c>
      <c r="C6652" s="8">
        <v>2</v>
      </c>
      <c r="D6652" s="3" t="s">
        <v>2191</v>
      </c>
      <c r="E6652" s="11" t="s">
        <v>11</v>
      </c>
      <c r="F6652" s="10">
        <v>1.3029999999999999E-3</v>
      </c>
      <c r="G6652" s="12">
        <f>ROUND(G$3*F6652,0)</f>
        <v>375</v>
      </c>
      <c r="H6652" s="13">
        <f>ROUND(G6652/2,0)</f>
        <v>188</v>
      </c>
      <c r="I6652" s="12">
        <f>G6652-H6652</f>
        <v>187</v>
      </c>
      <c r="J6652" s="3" t="str">
        <f t="shared" si="479"/>
        <v>9220004</v>
      </c>
    </row>
    <row r="6653" spans="2:10" s="3" customFormat="1">
      <c r="B6653" s="3" t="s">
        <v>2176</v>
      </c>
      <c r="C6653" s="8">
        <v>2</v>
      </c>
      <c r="D6653" s="3" t="s">
        <v>2192</v>
      </c>
      <c r="E6653" s="11" t="s">
        <v>114</v>
      </c>
      <c r="F6653" s="11"/>
      <c r="G6653" s="9"/>
      <c r="H6653" s="11"/>
      <c r="I6653" s="11"/>
      <c r="J6653" s="3" t="str">
        <f t="shared" si="479"/>
        <v>9220005</v>
      </c>
    </row>
    <row r="6654" spans="2:10" s="3" customFormat="1">
      <c r="B6654" s="3" t="s">
        <v>2176</v>
      </c>
      <c r="C6654" s="8">
        <v>2</v>
      </c>
      <c r="D6654" s="3" t="s">
        <v>2192</v>
      </c>
      <c r="E6654" s="11" t="s">
        <v>10</v>
      </c>
      <c r="F6654" s="10">
        <v>1.444E-3</v>
      </c>
      <c r="G6654" s="12">
        <f>ROUND(G$3*F6654,0)</f>
        <v>415</v>
      </c>
      <c r="H6654" s="13">
        <f>ROUND(G6654/2,0)</f>
        <v>208</v>
      </c>
      <c r="I6654" s="12">
        <f>G6654-H6654</f>
        <v>207</v>
      </c>
      <c r="J6654" s="3" t="str">
        <f t="shared" si="479"/>
        <v>9220005</v>
      </c>
    </row>
    <row r="6655" spans="2:10" s="3" customFormat="1">
      <c r="B6655" s="3" t="s">
        <v>2176</v>
      </c>
      <c r="C6655" s="8">
        <v>2</v>
      </c>
      <c r="D6655" s="3" t="s">
        <v>2192</v>
      </c>
      <c r="E6655" s="11" t="s">
        <v>11</v>
      </c>
      <c r="F6655" s="10">
        <v>2.23E-4</v>
      </c>
      <c r="G6655" s="12">
        <f>ROUND(G$3*F6655,0)</f>
        <v>64</v>
      </c>
      <c r="H6655" s="13">
        <f>ROUND(G6655/2,0)</f>
        <v>32</v>
      </c>
      <c r="I6655" s="12">
        <f>G6655-H6655</f>
        <v>32</v>
      </c>
      <c r="J6655" s="3" t="str">
        <f t="shared" si="479"/>
        <v>9220005</v>
      </c>
    </row>
    <row r="6656" spans="2:10" s="3" customFormat="1">
      <c r="B6656" s="3" t="s">
        <v>2176</v>
      </c>
      <c r="C6656" s="8">
        <v>2</v>
      </c>
      <c r="D6656" s="3" t="s">
        <v>2193</v>
      </c>
      <c r="E6656" s="11" t="s">
        <v>625</v>
      </c>
      <c r="F6656" s="11"/>
      <c r="G6656" s="9"/>
      <c r="H6656" s="11"/>
      <c r="I6656" s="11"/>
      <c r="J6656" s="3" t="str">
        <f t="shared" si="479"/>
        <v>9220006</v>
      </c>
    </row>
    <row r="6657" spans="1:10" s="3" customFormat="1">
      <c r="B6657" s="3" t="s">
        <v>2176</v>
      </c>
      <c r="C6657" s="8">
        <v>2</v>
      </c>
      <c r="D6657" s="3" t="s">
        <v>2193</v>
      </c>
      <c r="E6657" s="11" t="s">
        <v>10</v>
      </c>
      <c r="F6657" s="10">
        <v>1.5939999999999999E-3</v>
      </c>
      <c r="G6657" s="12">
        <f>ROUND(G$3*F6657,0)</f>
        <v>459</v>
      </c>
      <c r="H6657" s="13">
        <f>ROUND(G6657/2,0)</f>
        <v>230</v>
      </c>
      <c r="I6657" s="12">
        <f>G6657-H6657</f>
        <v>229</v>
      </c>
      <c r="J6657" s="3" t="str">
        <f t="shared" si="479"/>
        <v>9220006</v>
      </c>
    </row>
    <row r="6658" spans="1:10" s="3" customFormat="1">
      <c r="B6658" s="3" t="s">
        <v>2176</v>
      </c>
      <c r="C6658" s="8">
        <v>2</v>
      </c>
      <c r="D6658" s="3" t="s">
        <v>2193</v>
      </c>
      <c r="E6658" s="11" t="s">
        <v>11</v>
      </c>
      <c r="F6658" s="10">
        <v>8.3799999999999999E-4</v>
      </c>
      <c r="G6658" s="12">
        <f>ROUND(G$3*F6658,0)</f>
        <v>241</v>
      </c>
      <c r="H6658" s="13">
        <f>ROUND(G6658/2,0)</f>
        <v>121</v>
      </c>
      <c r="I6658" s="12">
        <f>G6658-H6658</f>
        <v>120</v>
      </c>
      <c r="J6658" s="3" t="str">
        <f t="shared" si="479"/>
        <v>9220006</v>
      </c>
    </row>
    <row r="6659" spans="1:10" s="3" customFormat="1">
      <c r="B6659" s="3" t="s">
        <v>2176</v>
      </c>
      <c r="C6659" s="8">
        <v>2</v>
      </c>
      <c r="D6659" s="3" t="s">
        <v>2194</v>
      </c>
      <c r="E6659" s="11" t="s">
        <v>1882</v>
      </c>
      <c r="F6659" s="11"/>
      <c r="G6659" s="9"/>
      <c r="H6659" s="11"/>
      <c r="I6659" s="11"/>
      <c r="J6659" s="3" t="str">
        <f t="shared" si="479"/>
        <v>9220007</v>
      </c>
    </row>
    <row r="6660" spans="1:10" s="3" customFormat="1">
      <c r="B6660" s="3" t="s">
        <v>2176</v>
      </c>
      <c r="C6660" s="8">
        <v>2</v>
      </c>
      <c r="D6660" s="3" t="s">
        <v>2194</v>
      </c>
      <c r="E6660" s="11" t="s">
        <v>10</v>
      </c>
      <c r="F6660" s="10">
        <v>1.4339999999999999E-3</v>
      </c>
      <c r="G6660" s="12">
        <f>ROUND(G$3*F6660,0)</f>
        <v>413</v>
      </c>
      <c r="H6660" s="13">
        <f>ROUND(G6660/2,0)</f>
        <v>207</v>
      </c>
      <c r="I6660" s="12">
        <f>G6660-H6660</f>
        <v>206</v>
      </c>
      <c r="J6660" s="3" t="str">
        <f t="shared" ref="J6660:J6692" si="482">B6660&amp;C6660&amp;D6660</f>
        <v>9220007</v>
      </c>
    </row>
    <row r="6661" spans="1:10" s="3" customFormat="1">
      <c r="B6661" s="3" t="s">
        <v>2176</v>
      </c>
      <c r="C6661" s="8">
        <v>2</v>
      </c>
      <c r="D6661" s="3" t="s">
        <v>2194</v>
      </c>
      <c r="E6661" s="11" t="s">
        <v>11</v>
      </c>
      <c r="F6661" s="10">
        <v>2.4000000000000001E-4</v>
      </c>
      <c r="G6661" s="12">
        <f>ROUND(G$3*F6661,0)</f>
        <v>69</v>
      </c>
      <c r="H6661" s="13">
        <f>ROUND(G6661/2,0)</f>
        <v>35</v>
      </c>
      <c r="I6661" s="12">
        <f>G6661-H6661</f>
        <v>34</v>
      </c>
      <c r="J6661" s="3" t="str">
        <f t="shared" si="482"/>
        <v>9220007</v>
      </c>
    </row>
    <row r="6662" spans="1:10" s="3" customFormat="1">
      <c r="B6662" s="3" t="s">
        <v>2176</v>
      </c>
      <c r="C6662" s="8">
        <v>2</v>
      </c>
      <c r="D6662" s="3" t="s">
        <v>2195</v>
      </c>
      <c r="E6662" s="11" t="s">
        <v>20</v>
      </c>
      <c r="F6662" s="11"/>
      <c r="G6662" s="9"/>
      <c r="H6662" s="11"/>
      <c r="I6662" s="11"/>
      <c r="J6662" s="3" t="str">
        <f t="shared" si="482"/>
        <v>9220008</v>
      </c>
    </row>
    <row r="6663" spans="1:10" s="3" customFormat="1">
      <c r="B6663" s="3" t="s">
        <v>2176</v>
      </c>
      <c r="C6663" s="8">
        <v>2</v>
      </c>
      <c r="D6663" s="3" t="s">
        <v>2195</v>
      </c>
      <c r="E6663" s="11" t="s">
        <v>10</v>
      </c>
      <c r="F6663" s="10">
        <v>7.8300000000000002E-3</v>
      </c>
      <c r="G6663" s="12">
        <f>ROUND(G$3*F6663,0)</f>
        <v>2253</v>
      </c>
      <c r="H6663" s="13">
        <f>ROUND(G6663/2,0)</f>
        <v>1127</v>
      </c>
      <c r="I6663" s="12">
        <f>G6663-H6663</f>
        <v>1126</v>
      </c>
      <c r="J6663" s="3" t="str">
        <f t="shared" si="482"/>
        <v>9220008</v>
      </c>
    </row>
    <row r="6664" spans="1:10" s="3" customFormat="1">
      <c r="B6664" s="3" t="s">
        <v>2176</v>
      </c>
      <c r="C6664" s="8">
        <v>2</v>
      </c>
      <c r="D6664" s="3" t="s">
        <v>2195</v>
      </c>
      <c r="E6664" s="11" t="s">
        <v>11</v>
      </c>
      <c r="F6664" s="10">
        <v>1.114E-3</v>
      </c>
      <c r="G6664" s="12">
        <f>ROUND(G$3*F6664,0)</f>
        <v>321</v>
      </c>
      <c r="H6664" s="13">
        <f>ROUND(G6664/2,0)</f>
        <v>161</v>
      </c>
      <c r="I6664" s="12">
        <f>G6664-H6664</f>
        <v>160</v>
      </c>
      <c r="J6664" s="3" t="str">
        <f t="shared" si="482"/>
        <v>9220008</v>
      </c>
    </row>
    <row r="6665" spans="1:10" s="3" customFormat="1">
      <c r="B6665" s="3" t="s">
        <v>2176</v>
      </c>
      <c r="C6665" s="8">
        <v>2</v>
      </c>
      <c r="D6665" s="3" t="s">
        <v>2196</v>
      </c>
      <c r="E6665" s="11" t="s">
        <v>22</v>
      </c>
      <c r="F6665" s="11"/>
      <c r="G6665" s="9"/>
      <c r="H6665" s="11"/>
      <c r="I6665" s="11"/>
      <c r="J6665" s="3" t="str">
        <f t="shared" si="482"/>
        <v>9220009</v>
      </c>
    </row>
    <row r="6666" spans="1:10" s="3" customFormat="1">
      <c r="B6666" s="3" t="s">
        <v>2176</v>
      </c>
      <c r="C6666" s="8">
        <v>2</v>
      </c>
      <c r="D6666" s="3" t="s">
        <v>2196</v>
      </c>
      <c r="E6666" s="11" t="s">
        <v>10</v>
      </c>
      <c r="F6666" s="10">
        <v>9.9700000000000006E-4</v>
      </c>
      <c r="G6666" s="12">
        <f t="shared" ref="G6666:G6672" si="483">ROUND(G$3*F6666,0)</f>
        <v>287</v>
      </c>
      <c r="H6666" s="13">
        <f t="shared" ref="H6666:H6672" si="484">ROUND(G6666/2,0)</f>
        <v>144</v>
      </c>
      <c r="I6666" s="12">
        <f t="shared" ref="I6666:I6672" si="485">G6666-H6666</f>
        <v>143</v>
      </c>
      <c r="J6666" s="3" t="str">
        <f t="shared" si="482"/>
        <v>9220009</v>
      </c>
    </row>
    <row r="6667" spans="1:10" s="3" customFormat="1">
      <c r="B6667" s="3" t="s">
        <v>2176</v>
      </c>
      <c r="C6667" s="8">
        <v>2</v>
      </c>
      <c r="D6667" s="3" t="s">
        <v>2196</v>
      </c>
      <c r="E6667" s="11" t="s">
        <v>11</v>
      </c>
      <c r="F6667" s="10">
        <v>4.1800000000000002E-4</v>
      </c>
      <c r="G6667" s="12">
        <f t="shared" si="483"/>
        <v>120</v>
      </c>
      <c r="H6667" s="13">
        <f t="shared" si="484"/>
        <v>60</v>
      </c>
      <c r="I6667" s="12">
        <f t="shared" si="485"/>
        <v>60</v>
      </c>
      <c r="J6667" s="3" t="str">
        <f t="shared" si="482"/>
        <v>9220009</v>
      </c>
    </row>
    <row r="6668" spans="1:10" s="3" customFormat="1">
      <c r="B6668" s="3" t="s">
        <v>2176</v>
      </c>
      <c r="C6668" s="8">
        <v>3</v>
      </c>
      <c r="D6668" s="3" t="s">
        <v>3131</v>
      </c>
      <c r="E6668" s="11" t="s">
        <v>1883</v>
      </c>
      <c r="F6668" s="10">
        <v>2.2360000000000001E-3</v>
      </c>
      <c r="G6668" s="12">
        <f t="shared" si="483"/>
        <v>643</v>
      </c>
      <c r="H6668" s="13">
        <f t="shared" si="484"/>
        <v>322</v>
      </c>
      <c r="I6668" s="12">
        <f t="shared" si="485"/>
        <v>321</v>
      </c>
      <c r="J6668" s="3" t="str">
        <f t="shared" si="482"/>
        <v>9230948</v>
      </c>
    </row>
    <row r="6669" spans="1:10" s="3" customFormat="1">
      <c r="B6669" s="3" t="s">
        <v>2176</v>
      </c>
      <c r="C6669" s="8">
        <v>3</v>
      </c>
      <c r="D6669" s="3" t="s">
        <v>3130</v>
      </c>
      <c r="E6669" s="11" t="s">
        <v>1884</v>
      </c>
      <c r="F6669" s="10">
        <v>2.9215000000000001E-2</v>
      </c>
      <c r="G6669" s="12">
        <f t="shared" si="483"/>
        <v>8406</v>
      </c>
      <c r="H6669" s="13">
        <f t="shared" si="484"/>
        <v>4203</v>
      </c>
      <c r="I6669" s="12">
        <f t="shared" si="485"/>
        <v>4203</v>
      </c>
      <c r="J6669" s="3" t="str">
        <f t="shared" si="482"/>
        <v>9230432</v>
      </c>
    </row>
    <row r="6670" spans="1:10" s="3" customFormat="1">
      <c r="A6670" s="3" t="s">
        <v>6269</v>
      </c>
      <c r="B6670" s="3" t="s">
        <v>2176</v>
      </c>
      <c r="C6670" s="8">
        <v>3</v>
      </c>
      <c r="D6670" s="3" t="s">
        <v>3132</v>
      </c>
      <c r="E6670" s="11" t="s">
        <v>1885</v>
      </c>
      <c r="F6670" s="10">
        <v>0</v>
      </c>
      <c r="G6670" s="12">
        <f t="shared" si="483"/>
        <v>0</v>
      </c>
      <c r="H6670" s="13">
        <f t="shared" si="484"/>
        <v>0</v>
      </c>
      <c r="I6670" s="12">
        <f t="shared" si="485"/>
        <v>0</v>
      </c>
      <c r="J6670" s="3" t="str">
        <f t="shared" si="482"/>
        <v>9230949</v>
      </c>
    </row>
    <row r="6671" spans="1:10" s="3" customFormat="1">
      <c r="B6671" s="3" t="s">
        <v>2176</v>
      </c>
      <c r="C6671" s="8">
        <v>3</v>
      </c>
      <c r="D6671" s="3" t="s">
        <v>3133</v>
      </c>
      <c r="E6671" s="11" t="s">
        <v>1886</v>
      </c>
      <c r="F6671" s="10">
        <v>7.7029999999999998E-3</v>
      </c>
      <c r="G6671" s="12">
        <f t="shared" si="483"/>
        <v>2216</v>
      </c>
      <c r="H6671" s="13">
        <f t="shared" si="484"/>
        <v>1108</v>
      </c>
      <c r="I6671" s="12">
        <f t="shared" si="485"/>
        <v>1108</v>
      </c>
      <c r="J6671" s="3" t="str">
        <f t="shared" si="482"/>
        <v>9230950</v>
      </c>
    </row>
    <row r="6672" spans="1:10" s="3" customFormat="1">
      <c r="B6672" s="3" t="s">
        <v>2176</v>
      </c>
      <c r="C6672" s="8">
        <v>4</v>
      </c>
      <c r="D6672" s="3" t="s">
        <v>2893</v>
      </c>
      <c r="E6672" s="11" t="s">
        <v>1325</v>
      </c>
      <c r="F6672" s="10">
        <v>4.3331000000000001E-2</v>
      </c>
      <c r="G6672" s="9">
        <f t="shared" si="483"/>
        <v>12467</v>
      </c>
      <c r="H6672" s="11">
        <f t="shared" si="484"/>
        <v>6234</v>
      </c>
      <c r="I6672" s="9">
        <f t="shared" si="485"/>
        <v>6233</v>
      </c>
      <c r="J6672" s="3" t="str">
        <f t="shared" si="482"/>
        <v>9248625</v>
      </c>
    </row>
    <row r="6673" spans="1:10" s="3" customFormat="1">
      <c r="B6673" s="3" t="s">
        <v>2176</v>
      </c>
      <c r="C6673" s="8">
        <v>4</v>
      </c>
      <c r="D6673" s="3" t="s">
        <v>2893</v>
      </c>
      <c r="E6673" s="11" t="s">
        <v>28</v>
      </c>
      <c r="F6673" s="11"/>
      <c r="G6673" s="14">
        <v>0.47218100000000002</v>
      </c>
      <c r="H6673" s="11"/>
      <c r="I6673" s="11"/>
      <c r="J6673" s="3" t="str">
        <f t="shared" si="482"/>
        <v>9248625</v>
      </c>
    </row>
    <row r="6674" spans="1:10" s="3" customFormat="1" ht="12.75" customHeight="1">
      <c r="B6674" s="3" t="s">
        <v>2176</v>
      </c>
      <c r="C6674" s="8">
        <v>4</v>
      </c>
      <c r="D6674" s="3" t="s">
        <v>2893</v>
      </c>
      <c r="E6674" s="11" t="s">
        <v>29</v>
      </c>
      <c r="F6674" s="11"/>
      <c r="G6674" s="15">
        <f>ROUND(G6672*G6673,0)</f>
        <v>5887</v>
      </c>
      <c r="H6674" s="16">
        <f>ROUND(G6674/2,0)</f>
        <v>2944</v>
      </c>
      <c r="I6674" s="15">
        <f>G6674-H6674</f>
        <v>2943</v>
      </c>
      <c r="J6674" s="3" t="str">
        <f t="shared" si="482"/>
        <v>9248625</v>
      </c>
    </row>
    <row r="6675" spans="1:10" s="3" customFormat="1">
      <c r="B6675" s="3" t="s">
        <v>2176</v>
      </c>
      <c r="C6675" s="8">
        <v>4</v>
      </c>
      <c r="D6675" s="3" t="s">
        <v>2893</v>
      </c>
      <c r="E6675" s="11" t="s">
        <v>30</v>
      </c>
      <c r="F6675" s="11"/>
      <c r="G6675" s="12">
        <f>+G6672-G6674</f>
        <v>6580</v>
      </c>
      <c r="H6675" s="13">
        <f>ROUND(G6675/2,0)</f>
        <v>3290</v>
      </c>
      <c r="I6675" s="12">
        <f>G6675-H6675</f>
        <v>3290</v>
      </c>
      <c r="J6675" s="3" t="str">
        <f t="shared" si="482"/>
        <v>9248625</v>
      </c>
    </row>
    <row r="6676" spans="1:10" s="3" customFormat="1">
      <c r="B6676" s="3" t="s">
        <v>2176</v>
      </c>
      <c r="C6676" s="8">
        <v>4</v>
      </c>
      <c r="D6676" s="3" t="s">
        <v>2683</v>
      </c>
      <c r="E6676" s="11" t="s">
        <v>972</v>
      </c>
      <c r="F6676" s="10">
        <v>6.8290000000000003E-2</v>
      </c>
      <c r="G6676" s="9">
        <f>ROUND(G$3*F6676,0)</f>
        <v>19649</v>
      </c>
      <c r="H6676" s="11">
        <f>ROUND(G6676/2,0)</f>
        <v>9825</v>
      </c>
      <c r="I6676" s="9">
        <f>G6676-H6676</f>
        <v>9824</v>
      </c>
      <c r="J6676" s="3" t="str">
        <f t="shared" si="482"/>
        <v>9244455</v>
      </c>
    </row>
    <row r="6677" spans="1:10" s="3" customFormat="1">
      <c r="B6677" s="3" t="s">
        <v>2176</v>
      </c>
      <c r="C6677" s="8">
        <v>4</v>
      </c>
      <c r="D6677" s="3" t="s">
        <v>2683</v>
      </c>
      <c r="E6677" s="11" t="s">
        <v>28</v>
      </c>
      <c r="F6677" s="11"/>
      <c r="G6677" s="14">
        <v>0.39480199999999999</v>
      </c>
      <c r="H6677" s="11"/>
      <c r="I6677" s="11"/>
      <c r="J6677" s="3" t="str">
        <f t="shared" si="482"/>
        <v>9244455</v>
      </c>
    </row>
    <row r="6678" spans="1:10" s="3" customFormat="1">
      <c r="B6678" s="3" t="s">
        <v>2176</v>
      </c>
      <c r="C6678" s="8">
        <v>4</v>
      </c>
      <c r="D6678" s="3" t="s">
        <v>2683</v>
      </c>
      <c r="E6678" s="11" t="s">
        <v>29</v>
      </c>
      <c r="F6678" s="11"/>
      <c r="G6678" s="15">
        <f>ROUND(G6676*G6677,0)</f>
        <v>7757</v>
      </c>
      <c r="H6678" s="16">
        <f>ROUND(G6678/2,0)</f>
        <v>3879</v>
      </c>
      <c r="I6678" s="15">
        <f>G6678-H6678</f>
        <v>3878</v>
      </c>
      <c r="J6678" s="3" t="str">
        <f t="shared" si="482"/>
        <v>9244455</v>
      </c>
    </row>
    <row r="6679" spans="1:10" s="3" customFormat="1">
      <c r="B6679" s="3" t="s">
        <v>2176</v>
      </c>
      <c r="C6679" s="8">
        <v>4</v>
      </c>
      <c r="D6679" s="3" t="s">
        <v>2683</v>
      </c>
      <c r="E6679" s="11" t="s">
        <v>30</v>
      </c>
      <c r="F6679" s="11"/>
      <c r="G6679" s="12">
        <f>+G6676-G6678</f>
        <v>11892</v>
      </c>
      <c r="H6679" s="13">
        <f>ROUND(G6679/2,0)</f>
        <v>5946</v>
      </c>
      <c r="I6679" s="12">
        <f>G6679-H6679</f>
        <v>5946</v>
      </c>
      <c r="J6679" s="3" t="str">
        <f t="shared" si="482"/>
        <v>9244455</v>
      </c>
    </row>
    <row r="6680" spans="1:10" s="3" customFormat="1">
      <c r="B6680" s="3" t="s">
        <v>2176</v>
      </c>
      <c r="C6680" s="8">
        <v>4</v>
      </c>
      <c r="D6680" s="3" t="s">
        <v>3134</v>
      </c>
      <c r="E6680" s="11" t="s">
        <v>1887</v>
      </c>
      <c r="F6680" s="10">
        <v>0.60919400000000001</v>
      </c>
      <c r="G6680" s="9">
        <f>ROUND(G$3*F6680,0)</f>
        <v>175279</v>
      </c>
      <c r="H6680" s="11">
        <f>ROUND(G6680/2,0)</f>
        <v>87640</v>
      </c>
      <c r="I6680" s="9">
        <f>G6680-H6680</f>
        <v>87639</v>
      </c>
      <c r="J6680" s="3" t="str">
        <f t="shared" si="482"/>
        <v>9248665</v>
      </c>
    </row>
    <row r="6681" spans="1:10" s="3" customFormat="1">
      <c r="B6681" s="3" t="s">
        <v>2176</v>
      </c>
      <c r="C6681" s="8">
        <v>4</v>
      </c>
      <c r="D6681" s="3" t="s">
        <v>3134</v>
      </c>
      <c r="E6681" s="11" t="s">
        <v>28</v>
      </c>
      <c r="F6681" s="11"/>
      <c r="G6681" s="14">
        <v>0.48405900000000002</v>
      </c>
      <c r="H6681" s="11"/>
      <c r="I6681" s="11"/>
      <c r="J6681" s="3" t="str">
        <f t="shared" si="482"/>
        <v>9248665</v>
      </c>
    </row>
    <row r="6682" spans="1:10" s="3" customFormat="1">
      <c r="B6682" s="3" t="s">
        <v>2176</v>
      </c>
      <c r="C6682" s="8">
        <v>4</v>
      </c>
      <c r="D6682" s="3" t="s">
        <v>3134</v>
      </c>
      <c r="E6682" s="11" t="s">
        <v>29</v>
      </c>
      <c r="F6682" s="11"/>
      <c r="G6682" s="15">
        <f>ROUND(G6680*G6681,0)</f>
        <v>84845</v>
      </c>
      <c r="H6682" s="16">
        <f t="shared" ref="H6682:H6687" si="486">ROUND(G6682/2,0)</f>
        <v>42423</v>
      </c>
      <c r="I6682" s="15">
        <f t="shared" ref="I6682:I6687" si="487">G6682-H6682</f>
        <v>42422</v>
      </c>
      <c r="J6682" s="3" t="str">
        <f t="shared" si="482"/>
        <v>9248665</v>
      </c>
    </row>
    <row r="6683" spans="1:10" s="3" customFormat="1">
      <c r="B6683" s="3" t="s">
        <v>2176</v>
      </c>
      <c r="C6683" s="8">
        <v>4</v>
      </c>
      <c r="D6683" s="3" t="s">
        <v>3134</v>
      </c>
      <c r="E6683" s="11" t="s">
        <v>30</v>
      </c>
      <c r="F6683" s="11"/>
      <c r="G6683" s="12">
        <f>+G6680-G6682</f>
        <v>90434</v>
      </c>
      <c r="H6683" s="13">
        <f t="shared" si="486"/>
        <v>45217</v>
      </c>
      <c r="I6683" s="12">
        <f t="shared" si="487"/>
        <v>45217</v>
      </c>
      <c r="J6683" s="3" t="str">
        <f t="shared" si="482"/>
        <v>9248665</v>
      </c>
    </row>
    <row r="6684" spans="1:10" s="3" customFormat="1">
      <c r="B6684" s="3" t="s">
        <v>2176</v>
      </c>
      <c r="C6684" s="8">
        <v>5</v>
      </c>
      <c r="D6684" s="3" t="s">
        <v>3135</v>
      </c>
      <c r="E6684" s="11" t="s">
        <v>1888</v>
      </c>
      <c r="F6684" s="10">
        <v>1.1919999999999999E-3</v>
      </c>
      <c r="G6684" s="120">
        <f>ROUND(G$3*F6684,0)</f>
        <v>343</v>
      </c>
      <c r="H6684" s="120">
        <f t="shared" si="486"/>
        <v>172</v>
      </c>
      <c r="I6684" s="120">
        <f t="shared" si="487"/>
        <v>171</v>
      </c>
      <c r="J6684" s="3" t="str">
        <f t="shared" si="482"/>
        <v>9250249</v>
      </c>
    </row>
    <row r="6685" spans="1:10" s="3" customFormat="1">
      <c r="B6685" s="3" t="s">
        <v>2176</v>
      </c>
      <c r="C6685" s="8">
        <v>5</v>
      </c>
      <c r="D6685" s="3" t="s">
        <v>3136</v>
      </c>
      <c r="E6685" s="11" t="s">
        <v>1889</v>
      </c>
      <c r="F6685" s="10">
        <v>1.167E-2</v>
      </c>
      <c r="G6685" s="120">
        <f>ROUND(G$3*F6685,0)</f>
        <v>3358</v>
      </c>
      <c r="H6685" s="120">
        <f t="shared" si="486"/>
        <v>1679</v>
      </c>
      <c r="I6685" s="120">
        <f t="shared" si="487"/>
        <v>1679</v>
      </c>
      <c r="J6685" s="3" t="str">
        <f t="shared" si="482"/>
        <v>9250250</v>
      </c>
    </row>
    <row r="6686" spans="1:10" s="3" customFormat="1">
      <c r="B6686" s="3" t="s">
        <v>2176</v>
      </c>
      <c r="C6686" s="8">
        <v>5</v>
      </c>
      <c r="D6686" s="124" t="s">
        <v>6261</v>
      </c>
      <c r="E6686" s="11" t="s">
        <v>1890</v>
      </c>
      <c r="F6686" s="10">
        <v>2.1359999999999999E-3</v>
      </c>
      <c r="G6686" s="120">
        <f>+G6635-SUM(G6636:G6637)-SUM(G6642:G6672)-G6676-G6680-SUM(G6684:G6685)</f>
        <v>251318</v>
      </c>
      <c r="H6686" s="120">
        <f t="shared" si="486"/>
        <v>125659</v>
      </c>
      <c r="I6686" s="120">
        <f t="shared" si="487"/>
        <v>125659</v>
      </c>
      <c r="J6686" s="3" t="str">
        <f t="shared" si="482"/>
        <v>9250251</v>
      </c>
    </row>
    <row r="6687" spans="1:10" s="3" customFormat="1">
      <c r="A6687" s="3" t="s">
        <v>6269</v>
      </c>
      <c r="B6687" s="3" t="s">
        <v>2176</v>
      </c>
      <c r="C6687" s="8">
        <v>6</v>
      </c>
      <c r="D6687" s="3" t="s">
        <v>6267</v>
      </c>
      <c r="E6687" s="11" t="s">
        <v>1891</v>
      </c>
      <c r="F6687" s="10">
        <v>0</v>
      </c>
      <c r="G6687" s="120">
        <f>ROUND(G$3*F6687,0)</f>
        <v>0</v>
      </c>
      <c r="H6687" s="120">
        <f t="shared" si="486"/>
        <v>0</v>
      </c>
      <c r="I6687" s="120">
        <f t="shared" si="487"/>
        <v>0</v>
      </c>
      <c r="J6687" s="3" t="str">
        <f t="shared" si="482"/>
        <v>926XXXX</v>
      </c>
    </row>
    <row r="6688" spans="1:10" s="3" customFormat="1">
      <c r="B6688" s="3" t="s">
        <v>2176</v>
      </c>
      <c r="C6688" s="8">
        <v>0</v>
      </c>
      <c r="D6688" s="125" t="s">
        <v>2187</v>
      </c>
      <c r="E6688" s="28" t="s">
        <v>288</v>
      </c>
      <c r="F6688" s="10">
        <v>1</v>
      </c>
      <c r="G6688" s="12">
        <f>+G6636+SUM(G6639:G6671)+SUM(G6674:G6675)+SUM(G6678:G6679)+SUM(G6682:G6687)</f>
        <v>538427</v>
      </c>
      <c r="H6688" s="12">
        <f>+H6636+SUM(H6639:H6671)+SUM(H6674:H6675)+SUM(H6678:H6679)+SUM(H6682:H6687)</f>
        <v>269222</v>
      </c>
      <c r="I6688" s="12">
        <f>+I6636+SUM(I6639:I6671)+SUM(I6674:I6675)+SUM(I6678:I6679)+SUM(I6682:I6687)</f>
        <v>269205</v>
      </c>
      <c r="J6688" s="3" t="str">
        <f t="shared" si="482"/>
        <v>9200000</v>
      </c>
    </row>
    <row r="6689" spans="2:10" s="3" customFormat="1">
      <c r="B6689" s="3" t="s">
        <v>2176</v>
      </c>
      <c r="C6689" s="8">
        <v>0</v>
      </c>
      <c r="D6689" s="3" t="s">
        <v>2187</v>
      </c>
      <c r="E6689" s="18" t="s">
        <v>38</v>
      </c>
      <c r="G6689" s="19">
        <f>+G6636</f>
        <v>374</v>
      </c>
      <c r="H6689" s="19">
        <f>+H6636</f>
        <v>187</v>
      </c>
      <c r="I6689" s="19">
        <f>+I6636</f>
        <v>187</v>
      </c>
      <c r="J6689" s="3" t="str">
        <f t="shared" si="482"/>
        <v>9200000</v>
      </c>
    </row>
    <row r="6690" spans="2:10" s="3" customFormat="1">
      <c r="B6690" s="3" t="s">
        <v>2176</v>
      </c>
      <c r="C6690" s="8">
        <v>0</v>
      </c>
      <c r="D6690" s="3" t="s">
        <v>2187</v>
      </c>
      <c r="E6690" s="2" t="s">
        <v>39</v>
      </c>
      <c r="G6690" s="19">
        <f>+G6639</f>
        <v>6020</v>
      </c>
      <c r="H6690" s="19">
        <f>+H6639</f>
        <v>3010</v>
      </c>
      <c r="I6690" s="19">
        <f>+I6639</f>
        <v>3010</v>
      </c>
      <c r="J6690" s="3" t="str">
        <f t="shared" si="482"/>
        <v>9200000</v>
      </c>
    </row>
    <row r="6691" spans="2:10" s="3" customFormat="1">
      <c r="B6691" s="3" t="s">
        <v>2176</v>
      </c>
      <c r="C6691" s="8">
        <v>0</v>
      </c>
      <c r="D6691" s="3" t="s">
        <v>2187</v>
      </c>
      <c r="E6691" s="2" t="s">
        <v>40</v>
      </c>
      <c r="G6691" s="19">
        <f>+G6674+G6678+G6682</f>
        <v>98489</v>
      </c>
      <c r="H6691" s="19">
        <f>+H6674+H6678+H6682</f>
        <v>49246</v>
      </c>
      <c r="I6691" s="19">
        <f>+I6674+I6678+I6682</f>
        <v>49243</v>
      </c>
      <c r="J6691" s="3" t="str">
        <f t="shared" si="482"/>
        <v>9200000</v>
      </c>
    </row>
    <row r="6692" spans="2:10" s="3" customFormat="1">
      <c r="B6692" s="3" t="s">
        <v>2176</v>
      </c>
      <c r="C6692" s="8">
        <v>0</v>
      </c>
      <c r="D6692" s="125" t="s">
        <v>2187</v>
      </c>
      <c r="E6692" s="18" t="s">
        <v>41</v>
      </c>
      <c r="G6692" s="19">
        <f>+G6688-G6689-G6690-G6691</f>
        <v>433544</v>
      </c>
      <c r="H6692" s="19">
        <f>+H6688-H6689-H6690-H6691</f>
        <v>216779</v>
      </c>
      <c r="I6692" s="19">
        <f>+I6688-I6689-I6690-I6691</f>
        <v>216765</v>
      </c>
      <c r="J6692" s="3" t="str">
        <f t="shared" si="482"/>
        <v>9200000</v>
      </c>
    </row>
  </sheetData>
  <autoFilter ref="B1:J6692" xr:uid="{757D45FB-AB04-43D0-9E4E-1022050BD308}"/>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0">
    <pageSetUpPr fitToPage="1"/>
  </sheetPr>
  <dimension ref="A1:WVB71"/>
  <sheetViews>
    <sheetView topLeftCell="A32" zoomScaleNormal="100" zoomScaleSheetLayoutView="80" workbookViewId="0">
      <selection activeCell="D53" activeCellId="3" sqref="D7:F7 D45:F45 D49:F49 D53:F53"/>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3" width="9.140625" style="3" hidden="1"/>
    <col min="184" max="184" width="11" style="3" hidden="1"/>
    <col min="185" max="185" width="54.42578125" style="3" hidden="1"/>
    <col min="186" max="246" width="9.140625" style="3" hidden="1"/>
    <col min="247" max="247" width="16.28515625" style="3" hidden="1"/>
    <col min="248" max="248" width="21" style="3" hidden="1"/>
    <col min="249" max="249" width="16" style="3" hidden="1"/>
    <col min="250" max="250" width="18.140625" style="3" hidden="1"/>
    <col min="251" max="439" width="9.140625" style="3" hidden="1"/>
    <col min="440" max="440" width="11" style="3" hidden="1"/>
    <col min="441" max="441" width="54.42578125" style="3" hidden="1"/>
    <col min="442" max="502" width="9.140625" style="3" hidden="1"/>
    <col min="503" max="503" width="16.28515625" style="3" hidden="1"/>
    <col min="504" max="504" width="21" style="3" hidden="1"/>
    <col min="505" max="505" width="16" style="3" hidden="1"/>
    <col min="506" max="506" width="18.140625" style="3" hidden="1"/>
    <col min="507" max="695" width="9.140625" style="3" hidden="1"/>
    <col min="696" max="696" width="11" style="3" hidden="1"/>
    <col min="697" max="697" width="54.42578125" style="3" hidden="1"/>
    <col min="698" max="758" width="9.140625" style="3" hidden="1"/>
    <col min="759" max="759" width="16.28515625" style="3" hidden="1"/>
    <col min="760" max="760" width="21" style="3" hidden="1"/>
    <col min="761" max="761" width="16" style="3" hidden="1"/>
    <col min="762" max="762" width="18.140625" style="3" hidden="1"/>
    <col min="763" max="951" width="9.140625" style="3" hidden="1"/>
    <col min="952" max="952" width="11" style="3" hidden="1"/>
    <col min="953" max="953" width="54.42578125" style="3" hidden="1"/>
    <col min="954" max="1014" width="9.140625" style="3" hidden="1"/>
    <col min="1015" max="1015" width="16.28515625" style="3" hidden="1"/>
    <col min="1016" max="1016" width="21" style="3" hidden="1"/>
    <col min="1017" max="1017" width="16" style="3" hidden="1"/>
    <col min="1018" max="1018" width="18.140625" style="3" hidden="1"/>
    <col min="1019" max="1207" width="9.140625" style="3" hidden="1"/>
    <col min="1208" max="1208" width="11" style="3" hidden="1"/>
    <col min="1209" max="1209" width="54.42578125" style="3" hidden="1"/>
    <col min="1210" max="1270" width="9.140625" style="3" hidden="1"/>
    <col min="1271" max="1271" width="16.28515625" style="3" hidden="1"/>
    <col min="1272" max="1272" width="21" style="3" hidden="1"/>
    <col min="1273" max="1273" width="16" style="3" hidden="1"/>
    <col min="1274" max="1274" width="18.140625" style="3" hidden="1"/>
    <col min="1275" max="1463" width="9.140625" style="3" hidden="1"/>
    <col min="1464" max="1464" width="11" style="3" hidden="1"/>
    <col min="1465" max="1465" width="54.42578125" style="3" hidden="1"/>
    <col min="1466" max="1526" width="9.140625" style="3" hidden="1"/>
    <col min="1527" max="1527" width="16.28515625" style="3" hidden="1"/>
    <col min="1528" max="1528" width="21" style="3" hidden="1"/>
    <col min="1529" max="1529" width="16" style="3" hidden="1"/>
    <col min="1530" max="1530" width="18.140625" style="3" hidden="1"/>
    <col min="1531" max="1719" width="9.140625" style="3" hidden="1"/>
    <col min="1720" max="1720" width="11" style="3" hidden="1"/>
    <col min="1721" max="1721" width="54.42578125" style="3" hidden="1"/>
    <col min="1722" max="1782" width="9.140625" style="3" hidden="1"/>
    <col min="1783" max="1783" width="16.28515625" style="3" hidden="1"/>
    <col min="1784" max="1784" width="21" style="3" hidden="1"/>
    <col min="1785" max="1785" width="16" style="3" hidden="1"/>
    <col min="1786" max="1786" width="18.140625" style="3" hidden="1"/>
    <col min="1787" max="1975" width="9.140625" style="3" hidden="1"/>
    <col min="1976" max="1976" width="11" style="3" hidden="1"/>
    <col min="1977" max="1977" width="54.42578125" style="3" hidden="1"/>
    <col min="1978" max="2038" width="9.140625" style="3" hidden="1"/>
    <col min="2039" max="2039" width="16.28515625" style="3" hidden="1"/>
    <col min="2040" max="2040" width="21" style="3" hidden="1"/>
    <col min="2041" max="2041" width="16" style="3" hidden="1"/>
    <col min="2042" max="2042" width="18.140625" style="3" hidden="1"/>
    <col min="2043" max="2231" width="9.140625" style="3" hidden="1"/>
    <col min="2232" max="2232" width="11" style="3" hidden="1"/>
    <col min="2233" max="2233" width="54.42578125" style="3" hidden="1"/>
    <col min="2234" max="2294" width="9.140625" style="3" hidden="1"/>
    <col min="2295" max="2295" width="16.28515625" style="3" hidden="1"/>
    <col min="2296" max="2296" width="21" style="3" hidden="1"/>
    <col min="2297" max="2297" width="16" style="3" hidden="1"/>
    <col min="2298" max="2298" width="18.140625" style="3" hidden="1"/>
    <col min="2299" max="2487" width="9.140625" style="3" hidden="1"/>
    <col min="2488" max="2488" width="11" style="3" hidden="1"/>
    <col min="2489" max="2489" width="54.42578125" style="3" hidden="1"/>
    <col min="2490" max="2550" width="9.140625" style="3" hidden="1"/>
    <col min="2551" max="2551" width="16.28515625" style="3" hidden="1"/>
    <col min="2552" max="2552" width="21" style="3" hidden="1"/>
    <col min="2553" max="2553" width="16" style="3" hidden="1"/>
    <col min="2554" max="2554" width="18.140625" style="3" hidden="1"/>
    <col min="2555" max="2743" width="9.140625" style="3" hidden="1"/>
    <col min="2744" max="2744" width="11" style="3" hidden="1"/>
    <col min="2745" max="2745" width="54.42578125" style="3" hidden="1"/>
    <col min="2746" max="2806" width="9.140625" style="3" hidden="1"/>
    <col min="2807" max="2807" width="16.28515625" style="3" hidden="1"/>
    <col min="2808" max="2808" width="21" style="3" hidden="1"/>
    <col min="2809" max="2809" width="16" style="3" hidden="1"/>
    <col min="2810" max="2810" width="18.140625" style="3" hidden="1"/>
    <col min="2811" max="2999" width="9.140625" style="3" hidden="1"/>
    <col min="3000" max="3000" width="11" style="3" hidden="1"/>
    <col min="3001" max="3001" width="54.42578125" style="3" hidden="1"/>
    <col min="3002" max="3062" width="9.140625" style="3" hidden="1"/>
    <col min="3063" max="3063" width="16.28515625" style="3" hidden="1"/>
    <col min="3064" max="3064" width="21" style="3" hidden="1"/>
    <col min="3065" max="3065" width="16" style="3" hidden="1"/>
    <col min="3066" max="3066" width="18.140625" style="3" hidden="1"/>
    <col min="3067" max="3255" width="9.140625" style="3" hidden="1"/>
    <col min="3256" max="3256" width="11" style="3" hidden="1"/>
    <col min="3257" max="3257" width="54.42578125" style="3" hidden="1"/>
    <col min="3258" max="3318" width="9.140625" style="3" hidden="1"/>
    <col min="3319" max="3319" width="16.28515625" style="3" hidden="1"/>
    <col min="3320" max="3320" width="21" style="3" hidden="1"/>
    <col min="3321" max="3321" width="16" style="3" hidden="1"/>
    <col min="3322" max="3322" width="18.140625" style="3" hidden="1"/>
    <col min="3323" max="3511" width="9.140625" style="3" hidden="1"/>
    <col min="3512" max="3512" width="11" style="3" hidden="1"/>
    <col min="3513" max="3513" width="54.42578125" style="3" hidden="1"/>
    <col min="3514" max="3574" width="9.140625" style="3" hidden="1"/>
    <col min="3575" max="3575" width="16.28515625" style="3" hidden="1"/>
    <col min="3576" max="3576" width="21" style="3" hidden="1"/>
    <col min="3577" max="3577" width="16" style="3" hidden="1"/>
    <col min="3578" max="3578" width="18.140625" style="3" hidden="1"/>
    <col min="3579" max="3767" width="9.140625" style="3" hidden="1"/>
    <col min="3768" max="3768" width="11" style="3" hidden="1"/>
    <col min="3769" max="3769" width="54.42578125" style="3" hidden="1"/>
    <col min="3770" max="3830" width="9.140625" style="3" hidden="1"/>
    <col min="3831" max="3831" width="16.28515625" style="3" hidden="1"/>
    <col min="3832" max="3832" width="21" style="3" hidden="1"/>
    <col min="3833" max="3833" width="16" style="3" hidden="1"/>
    <col min="3834" max="3834" width="18.140625" style="3" hidden="1"/>
    <col min="3835" max="4023" width="9.140625" style="3" hidden="1"/>
    <col min="4024" max="4024" width="11" style="3" hidden="1"/>
    <col min="4025" max="4025" width="54.42578125" style="3" hidden="1"/>
    <col min="4026" max="4086" width="9.140625" style="3" hidden="1"/>
    <col min="4087" max="4087" width="16.28515625" style="3" hidden="1"/>
    <col min="4088" max="4088" width="21" style="3" hidden="1"/>
    <col min="4089" max="4089" width="16" style="3" hidden="1"/>
    <col min="4090" max="4090" width="18.140625" style="3" hidden="1"/>
    <col min="4091" max="4279" width="9.140625" style="3" hidden="1"/>
    <col min="4280" max="4280" width="11" style="3" hidden="1"/>
    <col min="4281" max="4281" width="54.42578125" style="3" hidden="1"/>
    <col min="4282" max="4342" width="9.140625" style="3" hidden="1"/>
    <col min="4343" max="4343" width="16.28515625" style="3" hidden="1"/>
    <col min="4344" max="4344" width="21" style="3" hidden="1"/>
    <col min="4345" max="4345" width="16" style="3" hidden="1"/>
    <col min="4346" max="4346" width="18.140625" style="3" hidden="1"/>
    <col min="4347" max="4535" width="9.140625" style="3" hidden="1"/>
    <col min="4536" max="4536" width="11" style="3" hidden="1"/>
    <col min="4537" max="4537" width="54.42578125" style="3" hidden="1"/>
    <col min="4538" max="4598" width="9.140625" style="3" hidden="1"/>
    <col min="4599" max="4599" width="16.28515625" style="3" hidden="1"/>
    <col min="4600" max="4600" width="21" style="3" hidden="1"/>
    <col min="4601" max="4601" width="16" style="3" hidden="1"/>
    <col min="4602" max="4602" width="18.140625" style="3" hidden="1"/>
    <col min="4603" max="4791" width="9.140625" style="3" hidden="1"/>
    <col min="4792" max="4792" width="11" style="3" hidden="1"/>
    <col min="4793" max="4793" width="54.42578125" style="3" hidden="1"/>
    <col min="4794" max="4854" width="9.140625" style="3" hidden="1"/>
    <col min="4855" max="4855" width="16.28515625" style="3" hidden="1"/>
    <col min="4856" max="4856" width="21" style="3" hidden="1"/>
    <col min="4857" max="4857" width="16" style="3" hidden="1"/>
    <col min="4858" max="4858" width="18.140625" style="3" hidden="1"/>
    <col min="4859" max="5047" width="9.140625" style="3" hidden="1"/>
    <col min="5048" max="5048" width="11" style="3" hidden="1"/>
    <col min="5049" max="5049" width="54.42578125" style="3" hidden="1"/>
    <col min="5050" max="5110" width="9.140625" style="3" hidden="1"/>
    <col min="5111" max="5111" width="16.28515625" style="3" hidden="1"/>
    <col min="5112" max="5112" width="21" style="3" hidden="1"/>
    <col min="5113" max="5113" width="16" style="3" hidden="1"/>
    <col min="5114" max="5114" width="18.140625" style="3" hidden="1"/>
    <col min="5115" max="5303" width="9.140625" style="3" hidden="1"/>
    <col min="5304" max="5304" width="11" style="3" hidden="1"/>
    <col min="5305" max="5305" width="54.42578125" style="3" hidden="1"/>
    <col min="5306" max="5366" width="9.140625" style="3" hidden="1"/>
    <col min="5367" max="5367" width="16.28515625" style="3" hidden="1"/>
    <col min="5368" max="5368" width="21" style="3" hidden="1"/>
    <col min="5369" max="5369" width="16" style="3" hidden="1"/>
    <col min="5370" max="5370" width="18.140625" style="3" hidden="1"/>
    <col min="5371" max="5559" width="9.140625" style="3" hidden="1"/>
    <col min="5560" max="5560" width="11" style="3" hidden="1"/>
    <col min="5561" max="5561" width="54.42578125" style="3" hidden="1"/>
    <col min="5562" max="5622" width="9.140625" style="3" hidden="1"/>
    <col min="5623" max="5623" width="16.28515625" style="3" hidden="1"/>
    <col min="5624" max="5624" width="21" style="3" hidden="1"/>
    <col min="5625" max="5625" width="16" style="3" hidden="1"/>
    <col min="5626" max="5626" width="18.140625" style="3" hidden="1"/>
    <col min="5627" max="5815" width="9.140625" style="3" hidden="1"/>
    <col min="5816" max="5816" width="11" style="3" hidden="1"/>
    <col min="5817" max="5817" width="54.42578125" style="3" hidden="1"/>
    <col min="5818" max="5878" width="9.140625" style="3" hidden="1"/>
    <col min="5879" max="5879" width="16.28515625" style="3" hidden="1"/>
    <col min="5880" max="5880" width="21" style="3" hidden="1"/>
    <col min="5881" max="5881" width="16" style="3" hidden="1"/>
    <col min="5882" max="5882" width="18.140625" style="3" hidden="1"/>
    <col min="5883" max="6071" width="9.140625" style="3" hidden="1"/>
    <col min="6072" max="6072" width="11" style="3" hidden="1"/>
    <col min="6073" max="6073" width="54.42578125" style="3" hidden="1"/>
    <col min="6074" max="6134" width="9.140625" style="3" hidden="1"/>
    <col min="6135" max="6135" width="16.28515625" style="3" hidden="1"/>
    <col min="6136" max="6136" width="21" style="3" hidden="1"/>
    <col min="6137" max="6137" width="16" style="3" hidden="1"/>
    <col min="6138" max="6138" width="18.140625" style="3" hidden="1"/>
    <col min="6139" max="6327" width="9.140625" style="3" hidden="1"/>
    <col min="6328" max="6328" width="11" style="3" hidden="1"/>
    <col min="6329" max="6329" width="54.42578125" style="3" hidden="1"/>
    <col min="6330" max="6390" width="9.140625" style="3" hidden="1"/>
    <col min="6391" max="6391" width="16.28515625" style="3" hidden="1"/>
    <col min="6392" max="6392" width="21" style="3" hidden="1"/>
    <col min="6393" max="6393" width="16" style="3" hidden="1"/>
    <col min="6394" max="6394" width="18.140625" style="3" hidden="1"/>
    <col min="6395" max="6583" width="9.140625" style="3" hidden="1"/>
    <col min="6584" max="6584" width="11" style="3" hidden="1"/>
    <col min="6585" max="6585" width="54.42578125" style="3" hidden="1"/>
    <col min="6586" max="6646" width="9.140625" style="3" hidden="1"/>
    <col min="6647" max="6647" width="16.28515625" style="3" hidden="1"/>
    <col min="6648" max="6648" width="21" style="3" hidden="1"/>
    <col min="6649" max="6649" width="16" style="3" hidden="1"/>
    <col min="6650" max="6650" width="18.140625" style="3" hidden="1"/>
    <col min="6651" max="6839" width="9.140625" style="3" hidden="1"/>
    <col min="6840" max="6840" width="11" style="3" hidden="1"/>
    <col min="6841" max="6841" width="54.42578125" style="3" hidden="1"/>
    <col min="6842" max="6902" width="9.140625" style="3" hidden="1"/>
    <col min="6903" max="6903" width="16.28515625" style="3" hidden="1"/>
    <col min="6904" max="6904" width="21" style="3" hidden="1"/>
    <col min="6905" max="6905" width="16" style="3" hidden="1"/>
    <col min="6906" max="6906" width="18.140625" style="3" hidden="1"/>
    <col min="6907" max="7095" width="9.140625" style="3" hidden="1"/>
    <col min="7096" max="7096" width="11" style="3" hidden="1"/>
    <col min="7097" max="7097" width="54.42578125" style="3" hidden="1"/>
    <col min="7098" max="7158" width="9.140625" style="3" hidden="1"/>
    <col min="7159" max="7159" width="16.28515625" style="3" hidden="1"/>
    <col min="7160" max="7160" width="21" style="3" hidden="1"/>
    <col min="7161" max="7161" width="16" style="3" hidden="1"/>
    <col min="7162" max="7162" width="18.140625" style="3" hidden="1"/>
    <col min="7163" max="7351" width="9.140625" style="3" hidden="1"/>
    <col min="7352" max="7352" width="11" style="3" hidden="1"/>
    <col min="7353" max="7353" width="54.42578125" style="3" hidden="1"/>
    <col min="7354" max="7414" width="9.140625" style="3" hidden="1"/>
    <col min="7415" max="7415" width="16.28515625" style="3" hidden="1"/>
    <col min="7416" max="7416" width="21" style="3" hidden="1"/>
    <col min="7417" max="7417" width="16" style="3" hidden="1"/>
    <col min="7418" max="7418" width="18.140625" style="3" hidden="1"/>
    <col min="7419" max="7607" width="9.140625" style="3" hidden="1"/>
    <col min="7608" max="7608" width="11" style="3" hidden="1"/>
    <col min="7609" max="7609" width="54.42578125" style="3" hidden="1"/>
    <col min="7610" max="7670" width="9.140625" style="3" hidden="1"/>
    <col min="7671" max="7671" width="16.28515625" style="3" hidden="1"/>
    <col min="7672" max="7672" width="21" style="3" hidden="1"/>
    <col min="7673" max="7673" width="16" style="3" hidden="1"/>
    <col min="7674" max="7674" width="18.140625" style="3" hidden="1"/>
    <col min="7675" max="7863" width="9.140625" style="3" hidden="1"/>
    <col min="7864" max="7864" width="11" style="3" hidden="1"/>
    <col min="7865" max="7865" width="54.42578125" style="3" hidden="1"/>
    <col min="7866" max="7926" width="9.140625" style="3" hidden="1"/>
    <col min="7927" max="7927" width="16.28515625" style="3" hidden="1"/>
    <col min="7928" max="7928" width="21" style="3" hidden="1"/>
    <col min="7929" max="7929" width="16" style="3" hidden="1"/>
    <col min="7930" max="7930" width="18.140625" style="3" hidden="1"/>
    <col min="7931" max="8119" width="9.140625" style="3" hidden="1"/>
    <col min="8120" max="8120" width="11" style="3" hidden="1"/>
    <col min="8121" max="8121" width="54.42578125" style="3" hidden="1"/>
    <col min="8122" max="8182" width="9.140625" style="3" hidden="1"/>
    <col min="8183" max="8183" width="16.28515625" style="3" hidden="1"/>
    <col min="8184" max="8184" width="21" style="3" hidden="1"/>
    <col min="8185" max="8185" width="16" style="3" hidden="1"/>
    <col min="8186" max="8186" width="18.140625" style="3" hidden="1"/>
    <col min="8187" max="8375" width="9.140625" style="3" hidden="1"/>
    <col min="8376" max="8376" width="11" style="3" hidden="1"/>
    <col min="8377" max="8377" width="54.42578125" style="3" hidden="1"/>
    <col min="8378" max="8438" width="9.140625" style="3" hidden="1"/>
    <col min="8439" max="8439" width="16.28515625" style="3" hidden="1"/>
    <col min="8440" max="8440" width="21" style="3" hidden="1"/>
    <col min="8441" max="8441" width="16" style="3" hidden="1"/>
    <col min="8442" max="8442" width="18.140625" style="3" hidden="1"/>
    <col min="8443" max="8631" width="9.140625" style="3" hidden="1"/>
    <col min="8632" max="8632" width="11" style="3" hidden="1"/>
    <col min="8633" max="8633" width="54.42578125" style="3" hidden="1"/>
    <col min="8634" max="8694" width="9.140625" style="3" hidden="1"/>
    <col min="8695" max="8695" width="16.28515625" style="3" hidden="1"/>
    <col min="8696" max="8696" width="21" style="3" hidden="1"/>
    <col min="8697" max="8697" width="16" style="3" hidden="1"/>
    <col min="8698" max="8698" width="18.140625" style="3" hidden="1"/>
    <col min="8699" max="8887" width="9.140625" style="3" hidden="1"/>
    <col min="8888" max="8888" width="11" style="3" hidden="1"/>
    <col min="8889" max="8889" width="54.42578125" style="3" hidden="1"/>
    <col min="8890" max="8950" width="9.140625" style="3" hidden="1"/>
    <col min="8951" max="8951" width="16.28515625" style="3" hidden="1"/>
    <col min="8952" max="8952" width="21" style="3" hidden="1"/>
    <col min="8953" max="8953" width="16" style="3" hidden="1"/>
    <col min="8954" max="8954" width="18.140625" style="3" hidden="1"/>
    <col min="8955" max="9143" width="9.140625" style="3" hidden="1"/>
    <col min="9144" max="9144" width="11" style="3" hidden="1"/>
    <col min="9145" max="9145" width="54.42578125" style="3" hidden="1"/>
    <col min="9146" max="9206" width="9.140625" style="3" hidden="1"/>
    <col min="9207" max="9207" width="16.28515625" style="3" hidden="1"/>
    <col min="9208" max="9208" width="21" style="3" hidden="1"/>
    <col min="9209" max="9209" width="16" style="3" hidden="1"/>
    <col min="9210" max="9210" width="18.140625" style="3" hidden="1"/>
    <col min="9211" max="9399" width="9.140625" style="3" hidden="1"/>
    <col min="9400" max="9400" width="11" style="3" hidden="1"/>
    <col min="9401" max="9401" width="54.42578125" style="3" hidden="1"/>
    <col min="9402" max="9462" width="9.140625" style="3" hidden="1"/>
    <col min="9463" max="9463" width="16.28515625" style="3" hidden="1"/>
    <col min="9464" max="9464" width="21" style="3" hidden="1"/>
    <col min="9465" max="9465" width="16" style="3" hidden="1"/>
    <col min="9466" max="9466" width="18.140625" style="3" hidden="1"/>
    <col min="9467" max="9655" width="9.140625" style="3" hidden="1"/>
    <col min="9656" max="9656" width="11" style="3" hidden="1"/>
    <col min="9657" max="9657" width="54.42578125" style="3" hidden="1"/>
    <col min="9658" max="9718" width="9.140625" style="3" hidden="1"/>
    <col min="9719" max="9719" width="16.28515625" style="3" hidden="1"/>
    <col min="9720" max="9720" width="21" style="3" hidden="1"/>
    <col min="9721" max="9721" width="16" style="3" hidden="1"/>
    <col min="9722" max="9722" width="18.140625" style="3" hidden="1"/>
    <col min="9723" max="9911" width="9.140625" style="3" hidden="1"/>
    <col min="9912" max="9912" width="11" style="3" hidden="1"/>
    <col min="9913" max="9913" width="54.42578125" style="3" hidden="1"/>
    <col min="9914" max="9974" width="9.140625" style="3" hidden="1"/>
    <col min="9975" max="9975" width="16.28515625" style="3" hidden="1"/>
    <col min="9976" max="9976" width="21" style="3" hidden="1"/>
    <col min="9977" max="9977" width="16" style="3" hidden="1"/>
    <col min="9978" max="9978" width="18.140625" style="3" hidden="1"/>
    <col min="9979" max="10167" width="9.140625" style="3" hidden="1"/>
    <col min="10168" max="10168" width="11" style="3" hidden="1"/>
    <col min="10169" max="10169" width="54.42578125" style="3" hidden="1"/>
    <col min="10170" max="10230" width="9.140625" style="3" hidden="1"/>
    <col min="10231" max="10231" width="16.28515625" style="3" hidden="1"/>
    <col min="10232" max="10232" width="21" style="3" hidden="1"/>
    <col min="10233" max="10233" width="16" style="3" hidden="1"/>
    <col min="10234" max="10234" width="18.140625" style="3" hidden="1"/>
    <col min="10235" max="10423" width="9.140625" style="3" hidden="1"/>
    <col min="10424" max="10424" width="11" style="3" hidden="1"/>
    <col min="10425" max="10425" width="54.42578125" style="3" hidden="1"/>
    <col min="10426" max="10486" width="9.140625" style="3" hidden="1"/>
    <col min="10487" max="10487" width="16.28515625" style="3" hidden="1"/>
    <col min="10488" max="10488" width="21" style="3" hidden="1"/>
    <col min="10489" max="10489" width="16" style="3" hidden="1"/>
    <col min="10490" max="10490" width="18.140625" style="3" hidden="1"/>
    <col min="10491" max="10679" width="9.140625" style="3" hidden="1"/>
    <col min="10680" max="10680" width="11" style="3" hidden="1"/>
    <col min="10681" max="10681" width="54.42578125" style="3" hidden="1"/>
    <col min="10682" max="10742" width="9.140625" style="3" hidden="1"/>
    <col min="10743" max="10743" width="16.28515625" style="3" hidden="1"/>
    <col min="10744" max="10744" width="21" style="3" hidden="1"/>
    <col min="10745" max="10745" width="16" style="3" hidden="1"/>
    <col min="10746" max="10746" width="18.140625" style="3" hidden="1"/>
    <col min="10747" max="10935" width="9.140625" style="3" hidden="1"/>
    <col min="10936" max="10936" width="11" style="3" hidden="1"/>
    <col min="10937" max="10937" width="54.42578125" style="3" hidden="1"/>
    <col min="10938" max="10998" width="9.140625" style="3" hidden="1"/>
    <col min="10999" max="10999" width="16.28515625" style="3" hidden="1"/>
    <col min="11000" max="11000" width="21" style="3" hidden="1"/>
    <col min="11001" max="11001" width="16" style="3" hidden="1"/>
    <col min="11002" max="11002" width="18.140625" style="3" hidden="1"/>
    <col min="11003" max="11191" width="9.140625" style="3" hidden="1"/>
    <col min="11192" max="11192" width="11" style="3" hidden="1"/>
    <col min="11193" max="11193" width="54.42578125" style="3" hidden="1"/>
    <col min="11194" max="11254" width="9.140625" style="3" hidden="1"/>
    <col min="11255" max="11255" width="16.28515625" style="3" hidden="1"/>
    <col min="11256" max="11256" width="21" style="3" hidden="1"/>
    <col min="11257" max="11257" width="16" style="3" hidden="1"/>
    <col min="11258" max="11258" width="18.140625" style="3" hidden="1"/>
    <col min="11259" max="11447" width="9.140625" style="3" hidden="1"/>
    <col min="11448" max="11448" width="11" style="3" hidden="1"/>
    <col min="11449" max="11449" width="54.42578125" style="3" hidden="1"/>
    <col min="11450" max="11510" width="9.140625" style="3" hidden="1"/>
    <col min="11511" max="11511" width="16.28515625" style="3" hidden="1"/>
    <col min="11512" max="11512" width="21" style="3" hidden="1"/>
    <col min="11513" max="11513" width="16" style="3" hidden="1"/>
    <col min="11514" max="11514" width="18.140625" style="3" hidden="1"/>
    <col min="11515" max="11703" width="9.140625" style="3" hidden="1"/>
    <col min="11704" max="11704" width="11" style="3" hidden="1"/>
    <col min="11705" max="11705" width="54.42578125" style="3" hidden="1"/>
    <col min="11706" max="11766" width="9.140625" style="3" hidden="1"/>
    <col min="11767" max="11767" width="16.28515625" style="3" hidden="1"/>
    <col min="11768" max="11768" width="21" style="3" hidden="1"/>
    <col min="11769" max="11769" width="16" style="3" hidden="1"/>
    <col min="11770" max="11770" width="18.140625" style="3" hidden="1"/>
    <col min="11771" max="11959" width="9.140625" style="3" hidden="1"/>
    <col min="11960" max="11960" width="11" style="3" hidden="1"/>
    <col min="11961" max="11961" width="54.42578125" style="3" hidden="1"/>
    <col min="11962" max="12022" width="9.140625" style="3" hidden="1"/>
    <col min="12023" max="12023" width="16.28515625" style="3" hidden="1"/>
    <col min="12024" max="12024" width="21" style="3" hidden="1"/>
    <col min="12025" max="12025" width="16" style="3" hidden="1"/>
    <col min="12026" max="12026" width="18.140625" style="3" hidden="1"/>
    <col min="12027" max="12215" width="9.140625" style="3" hidden="1"/>
    <col min="12216" max="12216" width="11" style="3" hidden="1"/>
    <col min="12217" max="12217" width="54.42578125" style="3" hidden="1"/>
    <col min="12218" max="12278" width="9.140625" style="3" hidden="1"/>
    <col min="12279" max="12279" width="16.28515625" style="3" hidden="1"/>
    <col min="12280" max="12280" width="21" style="3" hidden="1"/>
    <col min="12281" max="12281" width="16" style="3" hidden="1"/>
    <col min="12282" max="12282" width="18.140625" style="3" hidden="1"/>
    <col min="12283" max="12471" width="9.140625" style="3" hidden="1"/>
    <col min="12472" max="12472" width="11" style="3" hidden="1"/>
    <col min="12473" max="12473" width="54.42578125" style="3" hidden="1"/>
    <col min="12474" max="12534" width="9.140625" style="3" hidden="1"/>
    <col min="12535" max="12535" width="16.28515625" style="3" hidden="1"/>
    <col min="12536" max="12536" width="21" style="3" hidden="1"/>
    <col min="12537" max="12537" width="16" style="3" hidden="1"/>
    <col min="12538" max="12538" width="18.140625" style="3" hidden="1"/>
    <col min="12539" max="12727" width="9.140625" style="3" hidden="1"/>
    <col min="12728" max="12728" width="11" style="3" hidden="1"/>
    <col min="12729" max="12729" width="54.42578125" style="3" hidden="1"/>
    <col min="12730" max="12790" width="9.140625" style="3" hidden="1"/>
    <col min="12791" max="12791" width="16.28515625" style="3" hidden="1"/>
    <col min="12792" max="12792" width="21" style="3" hidden="1"/>
    <col min="12793" max="12793" width="16" style="3" hidden="1"/>
    <col min="12794" max="12794" width="18.140625" style="3" hidden="1"/>
    <col min="12795" max="12983" width="9.140625" style="3" hidden="1"/>
    <col min="12984" max="12984" width="11" style="3" hidden="1"/>
    <col min="12985" max="12985" width="54.42578125" style="3" hidden="1"/>
    <col min="12986" max="13046" width="9.140625" style="3" hidden="1"/>
    <col min="13047" max="13047" width="16.28515625" style="3" hidden="1"/>
    <col min="13048" max="13048" width="21" style="3" hidden="1"/>
    <col min="13049" max="13049" width="16" style="3" hidden="1"/>
    <col min="13050" max="13050" width="18.140625" style="3" hidden="1"/>
    <col min="13051" max="13239" width="9.140625" style="3" hidden="1"/>
    <col min="13240" max="13240" width="11" style="3" hidden="1"/>
    <col min="13241" max="13241" width="54.42578125" style="3" hidden="1"/>
    <col min="13242" max="13302" width="9.140625" style="3" hidden="1"/>
    <col min="13303" max="13303" width="16.28515625" style="3" hidden="1"/>
    <col min="13304" max="13304" width="21" style="3" hidden="1"/>
    <col min="13305" max="13305" width="16" style="3" hidden="1"/>
    <col min="13306" max="13306" width="18.140625" style="3" hidden="1"/>
    <col min="13307" max="13495" width="9.140625" style="3" hidden="1"/>
    <col min="13496" max="13496" width="11" style="3" hidden="1"/>
    <col min="13497" max="13497" width="54.42578125" style="3" hidden="1"/>
    <col min="13498" max="13558" width="9.140625" style="3" hidden="1"/>
    <col min="13559" max="13559" width="16.28515625" style="3" hidden="1"/>
    <col min="13560" max="13560" width="21" style="3" hidden="1"/>
    <col min="13561" max="13561" width="16" style="3" hidden="1"/>
    <col min="13562" max="13562" width="18.140625" style="3" hidden="1"/>
    <col min="13563" max="13751" width="9.140625" style="3" hidden="1"/>
    <col min="13752" max="13752" width="11" style="3" hidden="1"/>
    <col min="13753" max="13753" width="54.42578125" style="3" hidden="1"/>
    <col min="13754" max="13814" width="9.140625" style="3" hidden="1"/>
    <col min="13815" max="13815" width="16.28515625" style="3" hidden="1"/>
    <col min="13816" max="13816" width="21" style="3" hidden="1"/>
    <col min="13817" max="13817" width="16" style="3" hidden="1"/>
    <col min="13818" max="13818" width="18.140625" style="3" hidden="1"/>
    <col min="13819" max="14007" width="9.140625" style="3" hidden="1"/>
    <col min="14008" max="14008" width="11" style="3" hidden="1"/>
    <col min="14009" max="14009" width="54.42578125" style="3" hidden="1"/>
    <col min="14010" max="14070" width="9.140625" style="3" hidden="1"/>
    <col min="14071" max="14071" width="16.28515625" style="3" hidden="1"/>
    <col min="14072" max="14072" width="21" style="3" hidden="1"/>
    <col min="14073" max="14073" width="16" style="3" hidden="1"/>
    <col min="14074" max="14074" width="18.140625" style="3" hidden="1"/>
    <col min="14075" max="14263" width="9.140625" style="3" hidden="1"/>
    <col min="14264" max="14264" width="11" style="3" hidden="1"/>
    <col min="14265" max="14265" width="54.42578125" style="3" hidden="1"/>
    <col min="14266" max="14326" width="9.140625" style="3" hidden="1"/>
    <col min="14327" max="14327" width="16.28515625" style="3" hidden="1"/>
    <col min="14328" max="14328" width="21" style="3" hidden="1"/>
    <col min="14329" max="14329" width="16" style="3" hidden="1"/>
    <col min="14330" max="14330" width="18.140625" style="3" hidden="1"/>
    <col min="14331" max="14519" width="9.140625" style="3" hidden="1"/>
    <col min="14520" max="14520" width="11" style="3" hidden="1"/>
    <col min="14521" max="14521" width="54.42578125" style="3" hidden="1"/>
    <col min="14522" max="14582" width="9.140625" style="3" hidden="1"/>
    <col min="14583" max="14583" width="16.28515625" style="3" hidden="1"/>
    <col min="14584" max="14584" width="21" style="3" hidden="1"/>
    <col min="14585" max="14585" width="16" style="3" hidden="1"/>
    <col min="14586" max="14586" width="18.140625" style="3" hidden="1"/>
    <col min="14587" max="14775" width="9.140625" style="3" hidden="1"/>
    <col min="14776" max="14776" width="11" style="3" hidden="1"/>
    <col min="14777" max="14777" width="54.42578125" style="3" hidden="1"/>
    <col min="14778" max="14838" width="9.140625" style="3" hidden="1"/>
    <col min="14839" max="14839" width="16.28515625" style="3" hidden="1"/>
    <col min="14840" max="14840" width="21" style="3" hidden="1"/>
    <col min="14841" max="14841" width="16" style="3" hidden="1"/>
    <col min="14842" max="14842" width="18.140625" style="3" hidden="1"/>
    <col min="14843" max="15031" width="9.140625" style="3" hidden="1"/>
    <col min="15032" max="15032" width="11" style="3" hidden="1"/>
    <col min="15033" max="15033" width="54.42578125" style="3" hidden="1"/>
    <col min="15034" max="15094" width="9.140625" style="3" hidden="1"/>
    <col min="15095" max="15095" width="16.28515625" style="3" hidden="1"/>
    <col min="15096" max="15096" width="21" style="3" hidden="1"/>
    <col min="15097" max="15097" width="16" style="3" hidden="1"/>
    <col min="15098" max="15098" width="18.140625" style="3" hidden="1"/>
    <col min="15099" max="15287" width="9.140625" style="3" hidden="1"/>
    <col min="15288" max="15288" width="11" style="3" hidden="1"/>
    <col min="15289" max="15289" width="54.42578125" style="3" hidden="1"/>
    <col min="15290" max="15350" width="9.140625" style="3" hidden="1"/>
    <col min="15351" max="15351" width="16.28515625" style="3" hidden="1"/>
    <col min="15352" max="15352" width="21" style="3" hidden="1"/>
    <col min="15353" max="15353" width="16" style="3" hidden="1"/>
    <col min="15354" max="15354" width="18.140625" style="3" hidden="1"/>
    <col min="15355" max="15543" width="9.140625" style="3" hidden="1"/>
    <col min="15544" max="15544" width="11" style="3" hidden="1"/>
    <col min="15545" max="15545" width="54.42578125" style="3" hidden="1"/>
    <col min="15546" max="15606" width="9.140625" style="3" hidden="1"/>
    <col min="15607" max="15607" width="16.28515625" style="3" hidden="1"/>
    <col min="15608" max="15608" width="21" style="3" hidden="1"/>
    <col min="15609" max="15609" width="16" style="3" hidden="1"/>
    <col min="15610" max="15610" width="18.140625" style="3" hidden="1"/>
    <col min="15611" max="15799" width="9.140625" style="3" hidden="1"/>
    <col min="15800" max="15800" width="11" style="3" hidden="1"/>
    <col min="15801" max="15801" width="54.42578125" style="3" hidden="1"/>
    <col min="15802" max="15862" width="9.140625" style="3" hidden="1"/>
    <col min="15863" max="15863" width="16.28515625" style="3" hidden="1"/>
    <col min="15864" max="15864" width="21" style="3" hidden="1"/>
    <col min="15865" max="15865" width="16" style="3" hidden="1"/>
    <col min="15866" max="15866" width="18.140625" style="3" hidden="1"/>
    <col min="15867" max="16055" width="9.140625" style="3" hidden="1"/>
    <col min="16056" max="16056" width="11" style="3" hidden="1"/>
    <col min="16057" max="16057" width="54.42578125" style="3" hidden="1"/>
    <col min="16058"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1337</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Worksheet'!$D$62</f>
        <v>352394</v>
      </c>
      <c r="E3" s="11"/>
      <c r="F3" s="11"/>
    </row>
    <row r="4" spans="1:6">
      <c r="A4" s="8">
        <v>0</v>
      </c>
      <c r="B4" s="11" t="s">
        <v>4</v>
      </c>
      <c r="C4" s="10">
        <v>1.508E-3</v>
      </c>
      <c r="D4" s="12">
        <f>ROUND(D$3*C4,0)</f>
        <v>531</v>
      </c>
      <c r="E4" s="13">
        <f>ROUND(D4/2,0)</f>
        <v>266</v>
      </c>
      <c r="F4" s="12">
        <f>D4-E4</f>
        <v>265</v>
      </c>
    </row>
    <row r="5" spans="1:6">
      <c r="A5" s="8">
        <v>1</v>
      </c>
      <c r="B5" s="11" t="s">
        <v>1338</v>
      </c>
      <c r="C5" s="10">
        <v>0.213057</v>
      </c>
      <c r="D5" s="9">
        <f>ROUND(D$3*C5,0)</f>
        <v>75080</v>
      </c>
      <c r="E5" s="11">
        <f>ROUND(D5/2,0)</f>
        <v>37540</v>
      </c>
      <c r="F5" s="9">
        <f>D5-E5</f>
        <v>37540</v>
      </c>
    </row>
    <row r="6" spans="1:6">
      <c r="A6" s="8"/>
      <c r="B6" s="11" t="s">
        <v>6</v>
      </c>
      <c r="C6" s="11"/>
      <c r="D6" s="14">
        <v>0.124043</v>
      </c>
      <c r="E6" s="11"/>
      <c r="F6" s="11"/>
    </row>
    <row r="7" spans="1:6">
      <c r="A7" s="8"/>
      <c r="B7" s="11" t="s">
        <v>7</v>
      </c>
      <c r="C7" s="11"/>
      <c r="D7" s="225">
        <f>ROUND(D5*D6,0)</f>
        <v>9313</v>
      </c>
      <c r="E7" s="226">
        <f>ROUND(D7/2,0)</f>
        <v>4657</v>
      </c>
      <c r="F7" s="225">
        <f>D7-E7</f>
        <v>4656</v>
      </c>
    </row>
    <row r="8" spans="1:6">
      <c r="A8" s="8"/>
      <c r="B8" s="11" t="s">
        <v>8</v>
      </c>
      <c r="C8" s="11"/>
      <c r="D8" s="12">
        <f>+D5-D7</f>
        <v>65767</v>
      </c>
      <c r="E8" s="13">
        <f>ROUND(D8/2,0)</f>
        <v>32884</v>
      </c>
      <c r="F8" s="12">
        <f>D8-E8</f>
        <v>32883</v>
      </c>
    </row>
    <row r="9" spans="1:6">
      <c r="A9" s="8">
        <v>2</v>
      </c>
      <c r="B9" s="11" t="s">
        <v>1339</v>
      </c>
      <c r="C9" s="11"/>
      <c r="D9" s="9"/>
      <c r="E9" s="11"/>
      <c r="F9" s="11"/>
    </row>
    <row r="10" spans="1:6">
      <c r="A10" s="8"/>
      <c r="B10" s="11" t="s">
        <v>10</v>
      </c>
      <c r="C10" s="10">
        <v>7.5000000000000002E-4</v>
      </c>
      <c r="D10" s="12">
        <f>ROUND(D$3*C10,0)</f>
        <v>264</v>
      </c>
      <c r="E10" s="13">
        <f>ROUND(D10/2,0)</f>
        <v>132</v>
      </c>
      <c r="F10" s="12">
        <f>D10-E10</f>
        <v>132</v>
      </c>
    </row>
    <row r="11" spans="1:6">
      <c r="A11" s="8"/>
      <c r="B11" s="11" t="s">
        <v>11</v>
      </c>
      <c r="C11" s="10">
        <v>0</v>
      </c>
      <c r="D11" s="12">
        <f>ROUND(D$3*C11,0)</f>
        <v>0</v>
      </c>
      <c r="E11" s="13">
        <f>ROUND(D11/2,0)</f>
        <v>0</v>
      </c>
      <c r="F11" s="12">
        <f>D11-E11</f>
        <v>0</v>
      </c>
    </row>
    <row r="12" spans="1:6">
      <c r="A12" s="8">
        <v>2</v>
      </c>
      <c r="B12" s="11" t="s">
        <v>984</v>
      </c>
      <c r="C12" s="11"/>
      <c r="D12" s="9"/>
      <c r="E12" s="11"/>
      <c r="F12" s="11"/>
    </row>
    <row r="13" spans="1:6">
      <c r="A13" s="8"/>
      <c r="B13" s="11" t="s">
        <v>10</v>
      </c>
      <c r="C13" s="10">
        <v>1.6799999999999999E-4</v>
      </c>
      <c r="D13" s="12">
        <f>ROUND(D$3*C13,0)</f>
        <v>59</v>
      </c>
      <c r="E13" s="13">
        <f>ROUND(D13/2,0)</f>
        <v>30</v>
      </c>
      <c r="F13" s="12">
        <f>D13-E13</f>
        <v>29</v>
      </c>
    </row>
    <row r="14" spans="1:6">
      <c r="A14" s="8"/>
      <c r="B14" s="11" t="s">
        <v>11</v>
      </c>
      <c r="C14" s="10">
        <v>0</v>
      </c>
      <c r="D14" s="12">
        <f>ROUND(D$3*C14,0)</f>
        <v>0</v>
      </c>
      <c r="E14" s="13">
        <f>ROUND(D14/2,0)</f>
        <v>0</v>
      </c>
      <c r="F14" s="12">
        <f>D14-E14</f>
        <v>0</v>
      </c>
    </row>
    <row r="15" spans="1:6">
      <c r="A15" s="8">
        <v>2</v>
      </c>
      <c r="B15" s="11" t="s">
        <v>49</v>
      </c>
      <c r="C15" s="11"/>
      <c r="D15" s="9"/>
      <c r="E15" s="11"/>
      <c r="F15" s="11"/>
    </row>
    <row r="16" spans="1:6">
      <c r="A16" s="8"/>
      <c r="B16" s="11" t="s">
        <v>10</v>
      </c>
      <c r="C16" s="10">
        <v>3.1599999999999998E-4</v>
      </c>
      <c r="D16" s="12">
        <f>ROUND(D$3*C16,0)</f>
        <v>111</v>
      </c>
      <c r="E16" s="13">
        <f>ROUND(D16/2,0)</f>
        <v>56</v>
      </c>
      <c r="F16" s="12">
        <f>D16-E16</f>
        <v>55</v>
      </c>
    </row>
    <row r="17" spans="1:6">
      <c r="A17" s="8"/>
      <c r="B17" s="11" t="s">
        <v>11</v>
      </c>
      <c r="C17" s="10">
        <v>0</v>
      </c>
      <c r="D17" s="12">
        <f>ROUND(D$3*C17,0)</f>
        <v>0</v>
      </c>
      <c r="E17" s="13">
        <f>ROUND(D17/2,0)</f>
        <v>0</v>
      </c>
      <c r="F17" s="12">
        <f>D17-E17</f>
        <v>0</v>
      </c>
    </row>
    <row r="18" spans="1:6">
      <c r="A18" s="8">
        <v>2</v>
      </c>
      <c r="B18" s="11" t="s">
        <v>1340</v>
      </c>
      <c r="C18" s="11"/>
      <c r="D18" s="9"/>
      <c r="E18" s="11"/>
      <c r="F18" s="11"/>
    </row>
    <row r="19" spans="1:6">
      <c r="A19" s="8"/>
      <c r="B19" s="11" t="s">
        <v>10</v>
      </c>
      <c r="C19" s="10">
        <v>2.7399999999999999E-4</v>
      </c>
      <c r="D19" s="12">
        <f>ROUND(D$3*C19,0)</f>
        <v>97</v>
      </c>
      <c r="E19" s="13">
        <f>ROUND(D19/2,0)</f>
        <v>49</v>
      </c>
      <c r="F19" s="12">
        <f>D19-E19</f>
        <v>48</v>
      </c>
    </row>
    <row r="20" spans="1:6">
      <c r="A20" s="8"/>
      <c r="B20" s="11" t="s">
        <v>11</v>
      </c>
      <c r="C20" s="10">
        <v>0</v>
      </c>
      <c r="D20" s="12">
        <f>ROUND(D$3*C20,0)</f>
        <v>0</v>
      </c>
      <c r="E20" s="13">
        <f>ROUND(D20/2,0)</f>
        <v>0</v>
      </c>
      <c r="F20" s="12">
        <f>D20-E20</f>
        <v>0</v>
      </c>
    </row>
    <row r="21" spans="1:6">
      <c r="A21" s="8">
        <v>2</v>
      </c>
      <c r="B21" s="11" t="s">
        <v>1341</v>
      </c>
      <c r="C21" s="11"/>
      <c r="D21" s="9"/>
      <c r="E21" s="11"/>
      <c r="F21" s="11"/>
    </row>
    <row r="22" spans="1:6">
      <c r="A22" s="8"/>
      <c r="B22" s="11" t="s">
        <v>10</v>
      </c>
      <c r="C22" s="10">
        <v>1.27E-4</v>
      </c>
      <c r="D22" s="12">
        <f>ROUND(D$3*C22,0)</f>
        <v>45</v>
      </c>
      <c r="E22" s="13">
        <f>ROUND(D22/2,0)</f>
        <v>23</v>
      </c>
      <c r="F22" s="12">
        <f>D22-E22</f>
        <v>22</v>
      </c>
    </row>
    <row r="23" spans="1:6">
      <c r="A23" s="8"/>
      <c r="B23" s="11" t="s">
        <v>11</v>
      </c>
      <c r="C23" s="10">
        <v>0</v>
      </c>
      <c r="D23" s="12">
        <f>ROUND(D$3*C23,0)</f>
        <v>0</v>
      </c>
      <c r="E23" s="13">
        <f>ROUND(D23/2,0)</f>
        <v>0</v>
      </c>
      <c r="F23" s="12">
        <f>D23-E23</f>
        <v>0</v>
      </c>
    </row>
    <row r="24" spans="1:6">
      <c r="A24" s="8">
        <v>2</v>
      </c>
      <c r="B24" s="11" t="s">
        <v>1342</v>
      </c>
      <c r="C24" s="11"/>
      <c r="D24" s="9"/>
      <c r="E24" s="11"/>
      <c r="F24" s="11"/>
    </row>
    <row r="25" spans="1:6">
      <c r="A25" s="8"/>
      <c r="B25" s="11" t="s">
        <v>10</v>
      </c>
      <c r="C25" s="10">
        <v>5.2800000000000004E-4</v>
      </c>
      <c r="D25" s="12">
        <f>ROUND(D$3*C25,0)</f>
        <v>186</v>
      </c>
      <c r="E25" s="13">
        <f>ROUND(D25/2,0)</f>
        <v>93</v>
      </c>
      <c r="F25" s="12">
        <f>D25-E25</f>
        <v>93</v>
      </c>
    </row>
    <row r="26" spans="1:6">
      <c r="A26" s="8"/>
      <c r="B26" s="11" t="s">
        <v>11</v>
      </c>
      <c r="C26" s="10">
        <v>0</v>
      </c>
      <c r="D26" s="12">
        <f>ROUND(D$3*C26,0)</f>
        <v>0</v>
      </c>
      <c r="E26" s="13">
        <f>ROUND(D26/2,0)</f>
        <v>0</v>
      </c>
      <c r="F26" s="12">
        <f>D26-E26</f>
        <v>0</v>
      </c>
    </row>
    <row r="27" spans="1:6">
      <c r="A27" s="8">
        <v>2</v>
      </c>
      <c r="B27" s="11" t="s">
        <v>1343</v>
      </c>
      <c r="C27" s="11"/>
      <c r="D27" s="9"/>
      <c r="E27" s="11"/>
      <c r="F27" s="11"/>
    </row>
    <row r="28" spans="1:6">
      <c r="A28" s="8"/>
      <c r="B28" s="11" t="s">
        <v>10</v>
      </c>
      <c r="C28" s="10">
        <v>2.2009999999999998E-3</v>
      </c>
      <c r="D28" s="12">
        <f>ROUND(D$3*C28,0)</f>
        <v>776</v>
      </c>
      <c r="E28" s="13">
        <f>ROUND(D28/2,0)</f>
        <v>388</v>
      </c>
      <c r="F28" s="12">
        <f>D28-E28</f>
        <v>388</v>
      </c>
    </row>
    <row r="29" spans="1:6">
      <c r="A29" s="8"/>
      <c r="B29" s="11" t="s">
        <v>11</v>
      </c>
      <c r="C29" s="10">
        <v>0</v>
      </c>
      <c r="D29" s="12">
        <f>ROUND(D$3*C29,0)</f>
        <v>0</v>
      </c>
      <c r="E29" s="13">
        <f>ROUND(D29/2,0)</f>
        <v>0</v>
      </c>
      <c r="F29" s="12">
        <f>D29-E29</f>
        <v>0</v>
      </c>
    </row>
    <row r="30" spans="1:6">
      <c r="A30" s="8">
        <v>2</v>
      </c>
      <c r="B30" s="11" t="s">
        <v>1344</v>
      </c>
      <c r="C30" s="11"/>
      <c r="D30" s="9"/>
      <c r="E30" s="11"/>
      <c r="F30" s="11"/>
    </row>
    <row r="31" spans="1:6">
      <c r="A31" s="8"/>
      <c r="B31" s="11" t="s">
        <v>10</v>
      </c>
      <c r="C31" s="10">
        <v>9.41E-4</v>
      </c>
      <c r="D31" s="12">
        <f>ROUND(D$3*C31,0)</f>
        <v>332</v>
      </c>
      <c r="E31" s="13">
        <f>ROUND(D31/2,0)</f>
        <v>166</v>
      </c>
      <c r="F31" s="12">
        <f>D31-E31</f>
        <v>166</v>
      </c>
    </row>
    <row r="32" spans="1:6">
      <c r="A32" s="8"/>
      <c r="B32" s="11" t="s">
        <v>11</v>
      </c>
      <c r="C32" s="10">
        <v>0</v>
      </c>
      <c r="D32" s="12">
        <f>ROUND(D$3*C32,0)</f>
        <v>0</v>
      </c>
      <c r="E32" s="13">
        <f>ROUND(D32/2,0)</f>
        <v>0</v>
      </c>
      <c r="F32" s="12">
        <f>D32-E32</f>
        <v>0</v>
      </c>
    </row>
    <row r="33" spans="1:6">
      <c r="A33" s="8">
        <v>2</v>
      </c>
      <c r="B33" s="11" t="s">
        <v>1345</v>
      </c>
      <c r="C33" s="11"/>
      <c r="D33" s="9"/>
      <c r="E33" s="11"/>
      <c r="F33" s="11"/>
    </row>
    <row r="34" spans="1:6">
      <c r="A34" s="8"/>
      <c r="B34" s="11" t="s">
        <v>10</v>
      </c>
      <c r="C34" s="10">
        <v>3.0299999999999999E-4</v>
      </c>
      <c r="D34" s="12">
        <f>ROUND(D$3*C34,0)</f>
        <v>107</v>
      </c>
      <c r="E34" s="13">
        <f>ROUND(D34/2,0)</f>
        <v>54</v>
      </c>
      <c r="F34" s="12">
        <f>D34-E34</f>
        <v>53</v>
      </c>
    </row>
    <row r="35" spans="1:6">
      <c r="A35" s="8"/>
      <c r="B35" s="11" t="s">
        <v>11</v>
      </c>
      <c r="C35" s="10">
        <v>0</v>
      </c>
      <c r="D35" s="12">
        <f>ROUND(D$3*C35,0)</f>
        <v>0</v>
      </c>
      <c r="E35" s="13">
        <f>ROUND(D35/2,0)</f>
        <v>0</v>
      </c>
      <c r="F35" s="12">
        <f>D35-E35</f>
        <v>0</v>
      </c>
    </row>
    <row r="36" spans="1:6">
      <c r="A36" s="8">
        <v>2</v>
      </c>
      <c r="B36" s="11" t="s">
        <v>1346</v>
      </c>
      <c r="C36" s="11"/>
      <c r="D36" s="9"/>
      <c r="E36" s="11"/>
      <c r="F36" s="11"/>
    </row>
    <row r="37" spans="1:6">
      <c r="A37" s="8"/>
      <c r="B37" s="11" t="s">
        <v>10</v>
      </c>
      <c r="C37" s="10">
        <v>4.2400000000000001E-4</v>
      </c>
      <c r="D37" s="12">
        <f t="shared" ref="D37:D43" si="0">ROUND(D$3*C37,0)</f>
        <v>149</v>
      </c>
      <c r="E37" s="13">
        <f t="shared" ref="E37:E43" si="1">ROUND(D37/2,0)</f>
        <v>75</v>
      </c>
      <c r="F37" s="12">
        <f t="shared" ref="F37:F43" si="2">D37-E37</f>
        <v>74</v>
      </c>
    </row>
    <row r="38" spans="1:6">
      <c r="A38" s="8"/>
      <c r="B38" s="11" t="s">
        <v>11</v>
      </c>
      <c r="C38" s="10">
        <v>0</v>
      </c>
      <c r="D38" s="12">
        <f t="shared" si="0"/>
        <v>0</v>
      </c>
      <c r="E38" s="13">
        <f t="shared" si="1"/>
        <v>0</v>
      </c>
      <c r="F38" s="12">
        <f t="shared" si="2"/>
        <v>0</v>
      </c>
    </row>
    <row r="39" spans="1:6">
      <c r="A39" s="8">
        <v>3</v>
      </c>
      <c r="B39" s="11" t="s">
        <v>1347</v>
      </c>
      <c r="C39" s="10">
        <v>3.264E-3</v>
      </c>
      <c r="D39" s="12">
        <f t="shared" si="0"/>
        <v>1150</v>
      </c>
      <c r="E39" s="13">
        <f t="shared" si="1"/>
        <v>575</v>
      </c>
      <c r="F39" s="12">
        <f t="shared" si="2"/>
        <v>575</v>
      </c>
    </row>
    <row r="40" spans="1:6">
      <c r="A40" s="8">
        <v>3</v>
      </c>
      <c r="B40" s="11" t="s">
        <v>1348</v>
      </c>
      <c r="C40" s="10">
        <v>3.2008000000000002E-2</v>
      </c>
      <c r="D40" s="12">
        <f t="shared" si="0"/>
        <v>11279</v>
      </c>
      <c r="E40" s="13">
        <f t="shared" si="1"/>
        <v>5640</v>
      </c>
      <c r="F40" s="12">
        <f t="shared" si="2"/>
        <v>5639</v>
      </c>
    </row>
    <row r="41" spans="1:6">
      <c r="A41" s="8">
        <v>3</v>
      </c>
      <c r="B41" s="11" t="s">
        <v>1349</v>
      </c>
      <c r="C41" s="10">
        <v>1.4107E-2</v>
      </c>
      <c r="D41" s="12">
        <f t="shared" si="0"/>
        <v>4971</v>
      </c>
      <c r="E41" s="13">
        <f t="shared" si="1"/>
        <v>2486</v>
      </c>
      <c r="F41" s="12">
        <f t="shared" si="2"/>
        <v>2485</v>
      </c>
    </row>
    <row r="42" spans="1:6">
      <c r="A42" s="8">
        <v>3</v>
      </c>
      <c r="B42" s="11" t="s">
        <v>1350</v>
      </c>
      <c r="C42" s="10">
        <v>3.8839999999999999E-3</v>
      </c>
      <c r="D42" s="12">
        <f t="shared" si="0"/>
        <v>1369</v>
      </c>
      <c r="E42" s="13">
        <f t="shared" si="1"/>
        <v>685</v>
      </c>
      <c r="F42" s="12">
        <f t="shared" si="2"/>
        <v>684</v>
      </c>
    </row>
    <row r="43" spans="1:6">
      <c r="A43" s="8">
        <v>4</v>
      </c>
      <c r="B43" s="11" t="s">
        <v>1351</v>
      </c>
      <c r="C43" s="10">
        <v>0.41665799999999997</v>
      </c>
      <c r="D43" s="9">
        <f t="shared" si="0"/>
        <v>146828</v>
      </c>
      <c r="E43" s="11">
        <f t="shared" si="1"/>
        <v>73414</v>
      </c>
      <c r="F43" s="9">
        <f t="shared" si="2"/>
        <v>73414</v>
      </c>
    </row>
    <row r="44" spans="1:6">
      <c r="A44" s="8"/>
      <c r="B44" s="11" t="s">
        <v>28</v>
      </c>
      <c r="C44" s="11"/>
      <c r="D44" s="14">
        <v>0.36108800000000002</v>
      </c>
      <c r="E44" s="11"/>
      <c r="F44" s="11"/>
    </row>
    <row r="45" spans="1:6">
      <c r="A45" s="8"/>
      <c r="B45" s="11" t="s">
        <v>29</v>
      </c>
      <c r="C45" s="11"/>
      <c r="D45" s="225">
        <f>ROUND(D43*D44,0)</f>
        <v>53018</v>
      </c>
      <c r="E45" s="226">
        <f>ROUND(D45/2,0)</f>
        <v>26509</v>
      </c>
      <c r="F45" s="225">
        <f>D45-E45</f>
        <v>26509</v>
      </c>
    </row>
    <row r="46" spans="1:6">
      <c r="A46" s="8"/>
      <c r="B46" s="11" t="s">
        <v>30</v>
      </c>
      <c r="C46" s="11"/>
      <c r="D46" s="12">
        <f>+D43-D45</f>
        <v>93810</v>
      </c>
      <c r="E46" s="13">
        <f>ROUND(D46/2,0)</f>
        <v>46905</v>
      </c>
      <c r="F46" s="12">
        <f>D46-E46</f>
        <v>46905</v>
      </c>
    </row>
    <row r="47" spans="1:6">
      <c r="A47" s="8">
        <v>4</v>
      </c>
      <c r="B47" s="11" t="s">
        <v>1352</v>
      </c>
      <c r="C47" s="10">
        <v>0.18687500000000001</v>
      </c>
      <c r="D47" s="9">
        <f>ROUND(D$3*C47,0)</f>
        <v>65854</v>
      </c>
      <c r="E47" s="11">
        <f>ROUND(D47/2,0)</f>
        <v>32927</v>
      </c>
      <c r="F47" s="9">
        <f>D47-E47</f>
        <v>32927</v>
      </c>
    </row>
    <row r="48" spans="1:6">
      <c r="A48" s="8"/>
      <c r="B48" s="11" t="s">
        <v>28</v>
      </c>
      <c r="C48" s="11"/>
      <c r="D48" s="14">
        <v>0.47829500000000003</v>
      </c>
      <c r="E48" s="11"/>
      <c r="F48" s="11"/>
    </row>
    <row r="49" spans="1:8">
      <c r="A49" s="8"/>
      <c r="B49" s="11" t="s">
        <v>29</v>
      </c>
      <c r="C49" s="11"/>
      <c r="D49" s="225">
        <f>ROUND(D47*D48,0)</f>
        <v>31498</v>
      </c>
      <c r="E49" s="226">
        <f>ROUND(D49/2,0)</f>
        <v>15749</v>
      </c>
      <c r="F49" s="225">
        <f>D49-E49</f>
        <v>15749</v>
      </c>
    </row>
    <row r="50" spans="1:8">
      <c r="A50" s="8"/>
      <c r="B50" s="11" t="s">
        <v>30</v>
      </c>
      <c r="C50" s="11"/>
      <c r="D50" s="12">
        <f>+D47-D49</f>
        <v>34356</v>
      </c>
      <c r="E50" s="13">
        <f>ROUND(D50/2,0)</f>
        <v>17178</v>
      </c>
      <c r="F50" s="12">
        <f>D50-E50</f>
        <v>17178</v>
      </c>
    </row>
    <row r="51" spans="1:8">
      <c r="A51" s="8">
        <v>4</v>
      </c>
      <c r="B51" s="11" t="s">
        <v>1353</v>
      </c>
      <c r="C51" s="10">
        <v>8.4295999999999996E-2</v>
      </c>
      <c r="D51" s="9">
        <f>ROUND(D$3*C51,0)</f>
        <v>29705</v>
      </c>
      <c r="E51" s="11">
        <f>ROUND(D51/2,0)</f>
        <v>14853</v>
      </c>
      <c r="F51" s="9">
        <f>D51-E51</f>
        <v>14852</v>
      </c>
    </row>
    <row r="52" spans="1:8">
      <c r="A52" s="8"/>
      <c r="B52" s="11" t="s">
        <v>28</v>
      </c>
      <c r="C52" s="11"/>
      <c r="D52" s="14">
        <v>0.38762000000000002</v>
      </c>
      <c r="E52" s="11"/>
      <c r="F52" s="11"/>
    </row>
    <row r="53" spans="1:8">
      <c r="A53" s="8"/>
      <c r="B53" s="11" t="s">
        <v>29</v>
      </c>
      <c r="C53" s="11"/>
      <c r="D53" s="225">
        <f>ROUND(D51*D52,0)</f>
        <v>11514</v>
      </c>
      <c r="E53" s="226">
        <f t="shared" ref="E53:E59" si="3">ROUND(D53/2,0)</f>
        <v>5757</v>
      </c>
      <c r="F53" s="225">
        <f t="shared" ref="F53:F59" si="4">D53-E53</f>
        <v>5757</v>
      </c>
    </row>
    <row r="54" spans="1:8">
      <c r="A54" s="8"/>
      <c r="B54" s="11" t="s">
        <v>30</v>
      </c>
      <c r="C54" s="11"/>
      <c r="D54" s="12">
        <f>+D51-D53</f>
        <v>18191</v>
      </c>
      <c r="E54" s="13">
        <f t="shared" si="3"/>
        <v>9096</v>
      </c>
      <c r="F54" s="12">
        <f t="shared" si="4"/>
        <v>9095</v>
      </c>
    </row>
    <row r="55" spans="1:8">
      <c r="A55" s="8">
        <v>5</v>
      </c>
      <c r="B55" s="11" t="s">
        <v>1354</v>
      </c>
      <c r="C55" s="10">
        <v>2.1259999999999999E-3</v>
      </c>
      <c r="D55" s="12">
        <f>ROUND(D$3*C55,0)</f>
        <v>749</v>
      </c>
      <c r="E55" s="13">
        <f t="shared" si="3"/>
        <v>375</v>
      </c>
      <c r="F55" s="12">
        <f t="shared" si="4"/>
        <v>374</v>
      </c>
    </row>
    <row r="56" spans="1:8">
      <c r="A56" s="8">
        <v>5</v>
      </c>
      <c r="B56" s="11" t="s">
        <v>1355</v>
      </c>
      <c r="C56" s="10">
        <v>9.0720000000000002E-3</v>
      </c>
      <c r="D56" s="12">
        <f>ROUND(D$3*C56,0)</f>
        <v>3197</v>
      </c>
      <c r="E56" s="13">
        <f t="shared" si="3"/>
        <v>1599</v>
      </c>
      <c r="F56" s="12">
        <f t="shared" si="4"/>
        <v>1598</v>
      </c>
    </row>
    <row r="57" spans="1:8">
      <c r="A57" s="8">
        <v>5</v>
      </c>
      <c r="B57" s="11" t="s">
        <v>1356</v>
      </c>
      <c r="C57" s="10">
        <v>3.039E-3</v>
      </c>
      <c r="D57" s="12">
        <f>ROUND(D$3*C57,0)</f>
        <v>1071</v>
      </c>
      <c r="E57" s="13">
        <f t="shared" si="3"/>
        <v>536</v>
      </c>
      <c r="F57" s="12">
        <f t="shared" si="4"/>
        <v>535</v>
      </c>
    </row>
    <row r="58" spans="1:8">
      <c r="A58" s="8">
        <v>6</v>
      </c>
      <c r="B58" s="11" t="s">
        <v>1357</v>
      </c>
      <c r="C58" s="10">
        <v>1.1257E-2</v>
      </c>
      <c r="D58" s="12">
        <f>ROUND(D$3*C58,0)</f>
        <v>3967</v>
      </c>
      <c r="E58" s="13">
        <f t="shared" si="3"/>
        <v>1984</v>
      </c>
      <c r="F58" s="12">
        <f t="shared" si="4"/>
        <v>1983</v>
      </c>
    </row>
    <row r="59" spans="1:8">
      <c r="A59" s="8">
        <v>6</v>
      </c>
      <c r="B59" s="11" t="s">
        <v>1358</v>
      </c>
      <c r="C59" s="10">
        <v>1.2817000000000078E-2</v>
      </c>
      <c r="D59" s="12">
        <f>+D3-SUM(D4:D5)-SUM(D10:D43)-D47-D51-SUM(D55:D58)</f>
        <v>4517</v>
      </c>
      <c r="E59" s="13">
        <f t="shared" si="3"/>
        <v>2259</v>
      </c>
      <c r="F59" s="12">
        <f t="shared" si="4"/>
        <v>2258</v>
      </c>
    </row>
    <row r="60" spans="1:8">
      <c r="A60" s="8"/>
      <c r="B60" s="28" t="s">
        <v>288</v>
      </c>
      <c r="C60" s="10">
        <v>1</v>
      </c>
      <c r="D60" s="12">
        <f>+D4+SUM(D7:D42)+SUM(D45:D46)+SUM(D49:D50)+SUM(D53:D59)</f>
        <v>352394</v>
      </c>
      <c r="E60" s="12">
        <f>+E4+SUM(E7:E42)+SUM(E45:E46)+SUM(E49:E50)+SUM(E53:E59)</f>
        <v>176206</v>
      </c>
      <c r="F60" s="12">
        <f>+F4+SUM(F7:F42)+SUM(F45:F46)+SUM(F49:F50)+SUM(F53:F59)</f>
        <v>176188</v>
      </c>
    </row>
    <row r="61" spans="1:8">
      <c r="B61" s="18" t="s">
        <v>38</v>
      </c>
      <c r="D61" s="19">
        <f>+D4</f>
        <v>531</v>
      </c>
      <c r="E61" s="19">
        <f>+E4</f>
        <v>266</v>
      </c>
      <c r="F61" s="19">
        <f>+F4</f>
        <v>265</v>
      </c>
    </row>
    <row r="62" spans="1:8">
      <c r="B62" s="2" t="s">
        <v>39</v>
      </c>
      <c r="D62" s="19">
        <f>+D7</f>
        <v>9313</v>
      </c>
      <c r="E62" s="19">
        <f>+E7</f>
        <v>4657</v>
      </c>
      <c r="F62" s="19">
        <f>+F7</f>
        <v>4656</v>
      </c>
    </row>
    <row r="63" spans="1:8">
      <c r="B63" s="2" t="s">
        <v>40</v>
      </c>
      <c r="D63" s="19">
        <f>+D45+D49+D53</f>
        <v>96030</v>
      </c>
      <c r="E63" s="19">
        <f>+E45+E49+E53</f>
        <v>48015</v>
      </c>
      <c r="F63" s="19">
        <f>+F45+F49+F53</f>
        <v>48015</v>
      </c>
      <c r="H63" s="3">
        <v>1</v>
      </c>
    </row>
    <row r="64" spans="1:8">
      <c r="B64" s="18" t="s">
        <v>41</v>
      </c>
      <c r="D64" s="19">
        <f>+D60-D61-D62-D63</f>
        <v>246520</v>
      </c>
      <c r="E64" s="19">
        <f>+E60-E61-E62-E63</f>
        <v>123268</v>
      </c>
      <c r="F64" s="19">
        <f>+F60-F61-F62-F63</f>
        <v>123252</v>
      </c>
      <c r="H64" s="3">
        <v>2</v>
      </c>
    </row>
    <row r="66" spans="1:4" hidden="1">
      <c r="B66" s="3" t="s">
        <v>42</v>
      </c>
      <c r="C66" s="4">
        <v>-1.9999999999222029E-6</v>
      </c>
      <c r="D66" s="3">
        <f>+D59-ROUND(D3*C59,0)</f>
        <v>0</v>
      </c>
    </row>
    <row r="71" spans="1:4">
      <c r="A71" s="1" t="s">
        <v>590</v>
      </c>
    </row>
  </sheetData>
  <pageMargins left="0.7" right="0.7" top="0.75" bottom="0.75" header="0.3" footer="0.3"/>
  <pageSetup scale="64"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1">
    <pageSetUpPr fitToPage="1"/>
  </sheetPr>
  <dimension ref="A1:WVB71"/>
  <sheetViews>
    <sheetView topLeftCell="A35" zoomScaleNormal="100" zoomScaleSheetLayoutView="80" workbookViewId="0">
      <selection activeCell="D56" activeCellId="2" sqref="D7:F7 D52:F52 D56:F56"/>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5.425781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5.425781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5.425781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5.425781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5.425781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5.425781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5.425781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5.425781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5.425781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5.425781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5.425781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5.425781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5.425781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5.425781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5.425781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5.425781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5.425781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5.425781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5.425781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5.425781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5.425781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5.425781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5.425781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5.425781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5.425781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5.425781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5.425781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5.425781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5.425781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5.425781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5.425781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5.425781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5.425781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5.425781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5.425781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5.425781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5.425781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5.425781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5.425781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5.425781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5.425781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5.425781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5.425781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5.425781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5.425781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5.425781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5.425781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5.425781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5.425781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5.425781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5.425781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5.425781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5.425781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5.425781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5.425781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5.425781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5.425781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5.425781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5.425781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5.425781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5.425781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5.425781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5.425781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1892</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Worksheet'!$D$63</f>
        <v>202322</v>
      </c>
      <c r="E3" s="11"/>
      <c r="F3" s="11"/>
    </row>
    <row r="4" spans="1:6">
      <c r="A4" s="8">
        <v>0</v>
      </c>
      <c r="B4" s="11" t="s">
        <v>4</v>
      </c>
      <c r="C4" s="10">
        <v>9.8200000000000002E-4</v>
      </c>
      <c r="D4" s="12">
        <f>ROUND(D$3*C4,0)</f>
        <v>199</v>
      </c>
      <c r="E4" s="13">
        <f>ROUND(D4/2,0)</f>
        <v>100</v>
      </c>
      <c r="F4" s="12">
        <f>D4-E4</f>
        <v>99</v>
      </c>
    </row>
    <row r="5" spans="1:6">
      <c r="A5" s="8">
        <v>1</v>
      </c>
      <c r="B5" s="11" t="s">
        <v>1359</v>
      </c>
      <c r="C5" s="10">
        <v>0.209061</v>
      </c>
      <c r="D5" s="9">
        <f>ROUND(D$3*C5,0)</f>
        <v>42298</v>
      </c>
      <c r="E5" s="11">
        <f>ROUND(D5/2,0)</f>
        <v>21149</v>
      </c>
      <c r="F5" s="9">
        <f>D5-E5</f>
        <v>21149</v>
      </c>
    </row>
    <row r="6" spans="1:6">
      <c r="A6" s="8"/>
      <c r="B6" s="11" t="s">
        <v>6</v>
      </c>
      <c r="C6" s="11"/>
      <c r="D6" s="14">
        <v>0.133632</v>
      </c>
      <c r="E6" s="11"/>
      <c r="F6" s="11"/>
    </row>
    <row r="7" spans="1:6">
      <c r="A7" s="8"/>
      <c r="B7" s="11" t="s">
        <v>7</v>
      </c>
      <c r="C7" s="11"/>
      <c r="D7" s="225">
        <f>ROUND(D5*D6,0)</f>
        <v>5652</v>
      </c>
      <c r="E7" s="226">
        <f>ROUND(D7/2,0)</f>
        <v>2826</v>
      </c>
      <c r="F7" s="225">
        <f>D7-E7</f>
        <v>2826</v>
      </c>
    </row>
    <row r="8" spans="1:6">
      <c r="A8" s="8"/>
      <c r="B8" s="11" t="s">
        <v>8</v>
      </c>
      <c r="C8" s="11"/>
      <c r="D8" s="12">
        <f>+D5-D7</f>
        <v>36646</v>
      </c>
      <c r="E8" s="13">
        <f>ROUND(D8/2,0)</f>
        <v>18323</v>
      </c>
      <c r="F8" s="12">
        <f>D8-E8</f>
        <v>18323</v>
      </c>
    </row>
    <row r="9" spans="1:6">
      <c r="A9" s="8">
        <v>2</v>
      </c>
      <c r="B9" s="11" t="s">
        <v>81</v>
      </c>
      <c r="C9" s="11"/>
      <c r="D9" s="9"/>
      <c r="E9" s="11"/>
      <c r="F9" s="11"/>
    </row>
    <row r="10" spans="1:6">
      <c r="A10" s="8"/>
      <c r="B10" s="11" t="s">
        <v>10</v>
      </c>
      <c r="C10" s="10">
        <v>1.194E-3</v>
      </c>
      <c r="D10" s="12">
        <f>ROUND(D$3*C10,0)</f>
        <v>242</v>
      </c>
      <c r="E10" s="13">
        <f>ROUND(D10/2,0)</f>
        <v>121</v>
      </c>
      <c r="F10" s="12">
        <f>D10-E10</f>
        <v>121</v>
      </c>
    </row>
    <row r="11" spans="1:6">
      <c r="A11" s="8"/>
      <c r="B11" s="11" t="s">
        <v>11</v>
      </c>
      <c r="C11" s="10">
        <v>8.5099999999999998E-4</v>
      </c>
      <c r="D11" s="12">
        <f>ROUND(D$3*C11,0)</f>
        <v>172</v>
      </c>
      <c r="E11" s="13">
        <f>ROUND(D11/2,0)</f>
        <v>86</v>
      </c>
      <c r="F11" s="12">
        <f>D11-E11</f>
        <v>86</v>
      </c>
    </row>
    <row r="12" spans="1:6">
      <c r="A12" s="8">
        <v>2</v>
      </c>
      <c r="B12" s="11" t="s">
        <v>372</v>
      </c>
      <c r="C12" s="11"/>
      <c r="D12" s="9"/>
      <c r="E12" s="11"/>
      <c r="F12" s="11"/>
    </row>
    <row r="13" spans="1:6">
      <c r="A13" s="8"/>
      <c r="B13" s="11" t="s">
        <v>10</v>
      </c>
      <c r="C13" s="10">
        <v>8.1000000000000004E-5</v>
      </c>
      <c r="D13" s="12">
        <f>ROUND(D$3*C13,0)</f>
        <v>16</v>
      </c>
      <c r="E13" s="13">
        <f>ROUND(D13/2,0)</f>
        <v>8</v>
      </c>
      <c r="F13" s="12">
        <f>D13-E13</f>
        <v>8</v>
      </c>
    </row>
    <row r="14" spans="1:6">
      <c r="A14" s="8"/>
      <c r="B14" s="11" t="s">
        <v>11</v>
      </c>
      <c r="C14" s="10">
        <v>3.6000000000000001E-5</v>
      </c>
      <c r="D14" s="12">
        <f>ROUND(D$3*C14,0)</f>
        <v>7</v>
      </c>
      <c r="E14" s="13">
        <f>ROUND(D14/2,0)</f>
        <v>4</v>
      </c>
      <c r="F14" s="12">
        <f>D14-E14</f>
        <v>3</v>
      </c>
    </row>
    <row r="15" spans="1:6">
      <c r="A15" s="8">
        <v>2</v>
      </c>
      <c r="B15" s="11" t="s">
        <v>86</v>
      </c>
      <c r="C15" s="11"/>
      <c r="D15" s="9"/>
      <c r="E15" s="11"/>
      <c r="F15" s="11"/>
    </row>
    <row r="16" spans="1:6">
      <c r="A16" s="8"/>
      <c r="B16" s="11" t="s">
        <v>10</v>
      </c>
      <c r="C16" s="10">
        <v>8.1099999999999998E-4</v>
      </c>
      <c r="D16" s="12">
        <f>ROUND(D$3*C16,0)</f>
        <v>164</v>
      </c>
      <c r="E16" s="13">
        <f>ROUND(D16/2,0)</f>
        <v>82</v>
      </c>
      <c r="F16" s="12">
        <f>D16-E16</f>
        <v>82</v>
      </c>
    </row>
    <row r="17" spans="1:6">
      <c r="A17" s="8"/>
      <c r="B17" s="11" t="s">
        <v>11</v>
      </c>
      <c r="C17" s="10">
        <v>1.35E-4</v>
      </c>
      <c r="D17" s="12">
        <f>ROUND(D$3*C17,0)</f>
        <v>27</v>
      </c>
      <c r="E17" s="13">
        <f>ROUND(D17/2,0)</f>
        <v>14</v>
      </c>
      <c r="F17" s="12">
        <f>D17-E17</f>
        <v>13</v>
      </c>
    </row>
    <row r="18" spans="1:6">
      <c r="A18" s="8">
        <v>2</v>
      </c>
      <c r="B18" s="11" t="s">
        <v>49</v>
      </c>
      <c r="C18" s="11"/>
      <c r="D18" s="9"/>
      <c r="E18" s="11"/>
      <c r="F18" s="11"/>
    </row>
    <row r="19" spans="1:6">
      <c r="A19" s="8"/>
      <c r="B19" s="11" t="s">
        <v>10</v>
      </c>
      <c r="C19" s="10">
        <v>1.22E-4</v>
      </c>
      <c r="D19" s="12">
        <f>ROUND(D$3*C19,0)</f>
        <v>25</v>
      </c>
      <c r="E19" s="13">
        <f>ROUND(D19/2,0)</f>
        <v>13</v>
      </c>
      <c r="F19" s="12">
        <f>D19-E19</f>
        <v>12</v>
      </c>
    </row>
    <row r="20" spans="1:6">
      <c r="A20" s="8"/>
      <c r="B20" s="11" t="s">
        <v>11</v>
      </c>
      <c r="C20" s="10">
        <v>2.3E-5</v>
      </c>
      <c r="D20" s="12">
        <f>ROUND(D$3*C20,0)</f>
        <v>5</v>
      </c>
      <c r="E20" s="13">
        <f>ROUND(D20/2,0)</f>
        <v>3</v>
      </c>
      <c r="F20" s="12">
        <f>D20-E20</f>
        <v>2</v>
      </c>
    </row>
    <row r="21" spans="1:6">
      <c r="A21" s="8">
        <v>2</v>
      </c>
      <c r="B21" s="11" t="s">
        <v>14</v>
      </c>
      <c r="C21" s="11"/>
      <c r="D21" s="9"/>
      <c r="E21" s="11"/>
      <c r="F21" s="11"/>
    </row>
    <row r="22" spans="1:6">
      <c r="A22" s="8"/>
      <c r="B22" s="11" t="s">
        <v>10</v>
      </c>
      <c r="C22" s="10">
        <v>1.64E-3</v>
      </c>
      <c r="D22" s="12">
        <f>ROUND(D$3*C22,0)</f>
        <v>332</v>
      </c>
      <c r="E22" s="13">
        <f>ROUND(D22/2,0)</f>
        <v>166</v>
      </c>
      <c r="F22" s="12">
        <f>D22-E22</f>
        <v>166</v>
      </c>
    </row>
    <row r="23" spans="1:6">
      <c r="A23" s="8"/>
      <c r="B23" s="11" t="s">
        <v>11</v>
      </c>
      <c r="C23" s="10">
        <v>7.3899999999999997E-4</v>
      </c>
      <c r="D23" s="12">
        <f>ROUND(D$3*C23,0)</f>
        <v>150</v>
      </c>
      <c r="E23" s="13">
        <f>ROUND(D23/2,0)</f>
        <v>75</v>
      </c>
      <c r="F23" s="12">
        <f>D23-E23</f>
        <v>75</v>
      </c>
    </row>
    <row r="24" spans="1:6">
      <c r="A24" s="8">
        <v>2</v>
      </c>
      <c r="B24" s="11" t="s">
        <v>291</v>
      </c>
      <c r="C24" s="11"/>
      <c r="D24" s="9"/>
      <c r="E24" s="11"/>
      <c r="F24" s="11"/>
    </row>
    <row r="25" spans="1:6">
      <c r="A25" s="8"/>
      <c r="B25" s="11" t="s">
        <v>10</v>
      </c>
      <c r="C25" s="10">
        <v>5.0000000000000004E-6</v>
      </c>
      <c r="D25" s="12">
        <f>ROUND(D$3*C25,0)</f>
        <v>1</v>
      </c>
      <c r="E25" s="13">
        <f>ROUND(D25/2,0)</f>
        <v>1</v>
      </c>
      <c r="F25" s="12">
        <f>D25-E25</f>
        <v>0</v>
      </c>
    </row>
    <row r="26" spans="1:6">
      <c r="A26" s="8"/>
      <c r="B26" s="11" t="s">
        <v>11</v>
      </c>
      <c r="C26" s="10">
        <v>5.0000000000000004E-6</v>
      </c>
      <c r="D26" s="12">
        <f>ROUND(D$3*C26,0)</f>
        <v>1</v>
      </c>
      <c r="E26" s="13">
        <f>ROUND(D26/2,0)</f>
        <v>1</v>
      </c>
      <c r="F26" s="12">
        <f>D26-E26</f>
        <v>0</v>
      </c>
    </row>
    <row r="27" spans="1:6">
      <c r="A27" s="8">
        <v>2</v>
      </c>
      <c r="B27" s="11" t="s">
        <v>50</v>
      </c>
      <c r="C27" s="11"/>
      <c r="D27" s="9"/>
      <c r="E27" s="11"/>
      <c r="F27" s="11"/>
    </row>
    <row r="28" spans="1:6">
      <c r="A28" s="8"/>
      <c r="B28" s="11" t="s">
        <v>10</v>
      </c>
      <c r="C28" s="10">
        <v>2.6999999999999999E-5</v>
      </c>
      <c r="D28" s="12">
        <f>ROUND(D$3*C28,0)</f>
        <v>5</v>
      </c>
      <c r="E28" s="13">
        <f>ROUND(D28/2,0)</f>
        <v>3</v>
      </c>
      <c r="F28" s="12">
        <f>D28-E28</f>
        <v>2</v>
      </c>
    </row>
    <row r="29" spans="1:6">
      <c r="A29" s="8"/>
      <c r="B29" s="11" t="s">
        <v>11</v>
      </c>
      <c r="C29" s="10">
        <v>9.0000000000000002E-6</v>
      </c>
      <c r="D29" s="12">
        <f>ROUND(D$3*C29,0)</f>
        <v>2</v>
      </c>
      <c r="E29" s="13">
        <f>ROUND(D29/2,0)</f>
        <v>1</v>
      </c>
      <c r="F29" s="12">
        <f>D29-E29</f>
        <v>1</v>
      </c>
    </row>
    <row r="30" spans="1:6">
      <c r="A30" s="8">
        <v>2</v>
      </c>
      <c r="B30" s="11" t="s">
        <v>53</v>
      </c>
      <c r="C30" s="11"/>
      <c r="D30" s="9"/>
      <c r="E30" s="11"/>
      <c r="F30" s="11"/>
    </row>
    <row r="31" spans="1:6">
      <c r="A31" s="8"/>
      <c r="B31" s="11" t="s">
        <v>10</v>
      </c>
      <c r="C31" s="10">
        <v>1.41E-3</v>
      </c>
      <c r="D31" s="12">
        <f>ROUND(D$3*C31,0)</f>
        <v>285</v>
      </c>
      <c r="E31" s="13">
        <f>ROUND(D31/2,0)</f>
        <v>143</v>
      </c>
      <c r="F31" s="12">
        <f>D31-E31</f>
        <v>142</v>
      </c>
    </row>
    <row r="32" spans="1:6">
      <c r="A32" s="8"/>
      <c r="B32" s="11" t="s">
        <v>11</v>
      </c>
      <c r="C32" s="10">
        <v>5.5400000000000002E-4</v>
      </c>
      <c r="D32" s="12">
        <f>ROUND(D$3*C32,0)</f>
        <v>112</v>
      </c>
      <c r="E32" s="13">
        <f>ROUND(D32/2,0)</f>
        <v>56</v>
      </c>
      <c r="F32" s="12">
        <f>D32-E32</f>
        <v>56</v>
      </c>
    </row>
    <row r="33" spans="1:6">
      <c r="A33" s="8">
        <v>2</v>
      </c>
      <c r="B33" s="11" t="s">
        <v>568</v>
      </c>
      <c r="C33" s="11"/>
      <c r="D33" s="9"/>
      <c r="E33" s="11"/>
      <c r="F33" s="11"/>
    </row>
    <row r="34" spans="1:6">
      <c r="A34" s="8"/>
      <c r="B34" s="11" t="s">
        <v>10</v>
      </c>
      <c r="C34" s="10">
        <v>2.1599999999999999E-4</v>
      </c>
      <c r="D34" s="12">
        <f>ROUND(D$3*C34,0)</f>
        <v>44</v>
      </c>
      <c r="E34" s="13">
        <f>ROUND(D34/2,0)</f>
        <v>22</v>
      </c>
      <c r="F34" s="12">
        <f>D34-E34</f>
        <v>22</v>
      </c>
    </row>
    <row r="35" spans="1:6">
      <c r="A35" s="8"/>
      <c r="B35" s="11" t="s">
        <v>11</v>
      </c>
      <c r="C35" s="10">
        <v>4.1E-5</v>
      </c>
      <c r="D35" s="12">
        <f>ROUND(D$3*C35,0)</f>
        <v>8</v>
      </c>
      <c r="E35" s="13">
        <f>ROUND(D35/2,0)</f>
        <v>4</v>
      </c>
      <c r="F35" s="12">
        <f>D35-E35</f>
        <v>4</v>
      </c>
    </row>
    <row r="36" spans="1:6">
      <c r="A36" s="8">
        <v>2</v>
      </c>
      <c r="B36" s="11" t="s">
        <v>691</v>
      </c>
      <c r="C36" s="11"/>
      <c r="D36" s="9"/>
      <c r="E36" s="11"/>
      <c r="F36" s="11"/>
    </row>
    <row r="37" spans="1:6">
      <c r="A37" s="8"/>
      <c r="B37" s="11" t="s">
        <v>10</v>
      </c>
      <c r="C37" s="10">
        <v>1.8000000000000001E-4</v>
      </c>
      <c r="D37" s="12">
        <f>ROUND(D$3*C37,0)</f>
        <v>36</v>
      </c>
      <c r="E37" s="13">
        <f>ROUND(D37/2,0)</f>
        <v>18</v>
      </c>
      <c r="F37" s="12">
        <f>D37-E37</f>
        <v>18</v>
      </c>
    </row>
    <row r="38" spans="1:6">
      <c r="A38" s="8"/>
      <c r="B38" s="11" t="s">
        <v>11</v>
      </c>
      <c r="C38" s="10">
        <v>3.1999999999999999E-5</v>
      </c>
      <c r="D38" s="12">
        <f>ROUND(D$3*C38,0)</f>
        <v>6</v>
      </c>
      <c r="E38" s="13">
        <f>ROUND(D38/2,0)</f>
        <v>3</v>
      </c>
      <c r="F38" s="12">
        <f>D38-E38</f>
        <v>3</v>
      </c>
    </row>
    <row r="39" spans="1:6">
      <c r="A39" s="8">
        <v>2</v>
      </c>
      <c r="B39" s="11" t="s">
        <v>627</v>
      </c>
      <c r="C39" s="11"/>
      <c r="D39" s="9"/>
      <c r="E39" s="11"/>
      <c r="F39" s="11"/>
    </row>
    <row r="40" spans="1:6">
      <c r="A40" s="8"/>
      <c r="B40" s="11" t="s">
        <v>10</v>
      </c>
      <c r="C40" s="10">
        <v>4.3199999999999998E-4</v>
      </c>
      <c r="D40" s="12">
        <f>ROUND(D$3*C40,0)</f>
        <v>87</v>
      </c>
      <c r="E40" s="13">
        <f>ROUND(D40/2,0)</f>
        <v>44</v>
      </c>
      <c r="F40" s="12">
        <f>D40-E40</f>
        <v>43</v>
      </c>
    </row>
    <row r="41" spans="1:6">
      <c r="A41" s="8"/>
      <c r="B41" s="11" t="s">
        <v>11</v>
      </c>
      <c r="C41" s="10">
        <v>1.9799999999999999E-4</v>
      </c>
      <c r="D41" s="12">
        <f>ROUND(D$3*C41,0)</f>
        <v>40</v>
      </c>
      <c r="E41" s="13">
        <f>ROUND(D41/2,0)</f>
        <v>20</v>
      </c>
      <c r="F41" s="12">
        <f>D41-E41</f>
        <v>20</v>
      </c>
    </row>
    <row r="42" spans="1:6">
      <c r="A42" s="8">
        <v>2</v>
      </c>
      <c r="B42" s="11" t="s">
        <v>22</v>
      </c>
      <c r="C42" s="11"/>
      <c r="D42" s="9"/>
      <c r="E42" s="11"/>
      <c r="F42" s="11"/>
    </row>
    <row r="43" spans="1:6">
      <c r="A43" s="8"/>
      <c r="B43" s="11" t="s">
        <v>10</v>
      </c>
      <c r="C43" s="10">
        <v>1.9661999999999999E-2</v>
      </c>
      <c r="D43" s="12">
        <f>ROUND(D$3*C43,0)</f>
        <v>3978</v>
      </c>
      <c r="E43" s="13">
        <f>ROUND(D43/2,0)</f>
        <v>1989</v>
      </c>
      <c r="F43" s="12">
        <f>D43-E43</f>
        <v>1989</v>
      </c>
    </row>
    <row r="44" spans="1:6">
      <c r="A44" s="8"/>
      <c r="B44" s="11" t="s">
        <v>11</v>
      </c>
      <c r="C44" s="10">
        <v>1.0130999999999999E-2</v>
      </c>
      <c r="D44" s="12">
        <f>ROUND(D$3*C44,0)</f>
        <v>2050</v>
      </c>
      <c r="E44" s="13">
        <f>ROUND(D44/2,0)</f>
        <v>1025</v>
      </c>
      <c r="F44" s="12">
        <f>D44-E44</f>
        <v>1025</v>
      </c>
    </row>
    <row r="45" spans="1:6">
      <c r="A45" s="8">
        <v>2</v>
      </c>
      <c r="B45" s="11" t="s">
        <v>61</v>
      </c>
      <c r="C45" s="11"/>
      <c r="D45" s="9"/>
      <c r="E45" s="11"/>
      <c r="F45" s="11"/>
    </row>
    <row r="46" spans="1:6">
      <c r="A46" s="8"/>
      <c r="B46" s="11" t="s">
        <v>10</v>
      </c>
      <c r="C46" s="10">
        <v>1.26E-4</v>
      </c>
      <c r="D46" s="12">
        <f>ROUND(D$3*C46,0)</f>
        <v>25</v>
      </c>
      <c r="E46" s="13">
        <f>ROUND(D46/2,0)</f>
        <v>13</v>
      </c>
      <c r="F46" s="12">
        <f>D46-E46</f>
        <v>12</v>
      </c>
    </row>
    <row r="47" spans="1:6">
      <c r="A47" s="8"/>
      <c r="B47" s="11" t="s">
        <v>11</v>
      </c>
      <c r="C47" s="10">
        <v>8.1000000000000004E-5</v>
      </c>
      <c r="D47" s="12">
        <f>ROUND(D$3*C47,0)</f>
        <v>16</v>
      </c>
      <c r="E47" s="13">
        <f>ROUND(D47/2,0)</f>
        <v>8</v>
      </c>
      <c r="F47" s="12">
        <f>D47-E47</f>
        <v>8</v>
      </c>
    </row>
    <row r="48" spans="1:6">
      <c r="A48" s="8">
        <v>3</v>
      </c>
      <c r="B48" s="11" t="s">
        <v>1364</v>
      </c>
      <c r="C48" s="10">
        <v>0</v>
      </c>
      <c r="D48" s="12">
        <f>ROUND(D$3*C48,0)</f>
        <v>0</v>
      </c>
      <c r="E48" s="13">
        <f>ROUND(D48/2,0)</f>
        <v>0</v>
      </c>
      <c r="F48" s="12">
        <f>D48-E48</f>
        <v>0</v>
      </c>
    </row>
    <row r="49" spans="1:8">
      <c r="A49" s="8">
        <v>3</v>
      </c>
      <c r="B49" s="11" t="s">
        <v>1363</v>
      </c>
      <c r="C49" s="10">
        <v>6.2480000000000001E-3</v>
      </c>
      <c r="D49" s="12">
        <f>ROUND(D$3*C49,0)</f>
        <v>1264</v>
      </c>
      <c r="E49" s="13">
        <f>ROUND(D49/2,0)</f>
        <v>632</v>
      </c>
      <c r="F49" s="12">
        <f>D49-E49</f>
        <v>632</v>
      </c>
    </row>
    <row r="50" spans="1:8">
      <c r="A50" s="8">
        <v>4</v>
      </c>
      <c r="B50" s="11" t="s">
        <v>1362</v>
      </c>
      <c r="C50" s="10">
        <v>3.4800999999999999E-2</v>
      </c>
      <c r="D50" s="9">
        <f>ROUND(D$3*C50,0)</f>
        <v>7041</v>
      </c>
      <c r="E50" s="11">
        <f>ROUND(D50/2,0)</f>
        <v>3521</v>
      </c>
      <c r="F50" s="9">
        <f>D50-E50</f>
        <v>3520</v>
      </c>
    </row>
    <row r="51" spans="1:8">
      <c r="A51" s="8"/>
      <c r="B51" s="11" t="s">
        <v>28</v>
      </c>
      <c r="C51" s="11"/>
      <c r="D51" s="14">
        <v>0.333783</v>
      </c>
      <c r="E51" s="11"/>
      <c r="F51" s="11"/>
    </row>
    <row r="52" spans="1:8">
      <c r="A52" s="8"/>
      <c r="B52" s="11" t="s">
        <v>29</v>
      </c>
      <c r="C52" s="11"/>
      <c r="D52" s="225">
        <f>ROUND(D50*D51,0)</f>
        <v>2350</v>
      </c>
      <c r="E52" s="226">
        <f>ROUND(D52/2,0)</f>
        <v>1175</v>
      </c>
      <c r="F52" s="225">
        <f>D52-E52</f>
        <v>1175</v>
      </c>
    </row>
    <row r="53" spans="1:8">
      <c r="A53" s="8"/>
      <c r="B53" s="11" t="s">
        <v>30</v>
      </c>
      <c r="C53" s="11"/>
      <c r="D53" s="12">
        <f>+D50-D52</f>
        <v>4691</v>
      </c>
      <c r="E53" s="13">
        <f>ROUND(D53/2,0)</f>
        <v>2346</v>
      </c>
      <c r="F53" s="12">
        <f>D53-E53</f>
        <v>2345</v>
      </c>
    </row>
    <row r="54" spans="1:8">
      <c r="A54" s="8">
        <v>4</v>
      </c>
      <c r="B54" s="11" t="s">
        <v>1360</v>
      </c>
      <c r="C54" s="10">
        <v>0.67374599999999996</v>
      </c>
      <c r="D54" s="9">
        <f>ROUND(D$3*C54,0)</f>
        <v>136314</v>
      </c>
      <c r="E54" s="11">
        <f>ROUND(D54/2,0)</f>
        <v>68157</v>
      </c>
      <c r="F54" s="9">
        <f>D54-E54</f>
        <v>68157</v>
      </c>
    </row>
    <row r="55" spans="1:8">
      <c r="A55" s="8"/>
      <c r="B55" s="11" t="s">
        <v>28</v>
      </c>
      <c r="C55" s="11"/>
      <c r="D55" s="14">
        <v>0.38364799999999999</v>
      </c>
      <c r="E55" s="11"/>
      <c r="F55" s="11"/>
    </row>
    <row r="56" spans="1:8">
      <c r="A56" s="8"/>
      <c r="B56" s="11" t="s">
        <v>29</v>
      </c>
      <c r="C56" s="11"/>
      <c r="D56" s="225">
        <f>ROUND(D54*D55,0)</f>
        <v>52297</v>
      </c>
      <c r="E56" s="226">
        <f>ROUND(D56/2,0)</f>
        <v>26149</v>
      </c>
      <c r="F56" s="225">
        <f>D56-E56</f>
        <v>26148</v>
      </c>
    </row>
    <row r="57" spans="1:8">
      <c r="A57" s="8"/>
      <c r="B57" s="11" t="s">
        <v>30</v>
      </c>
      <c r="C57" s="11"/>
      <c r="D57" s="12">
        <f>+D54-D56</f>
        <v>84017</v>
      </c>
      <c r="E57" s="13">
        <f>ROUND(D57/2,0)</f>
        <v>42009</v>
      </c>
      <c r="F57" s="12">
        <f>D57-E57</f>
        <v>42008</v>
      </c>
    </row>
    <row r="58" spans="1:8">
      <c r="A58" s="8">
        <v>5</v>
      </c>
      <c r="B58" s="11" t="s">
        <v>1361</v>
      </c>
      <c r="C58" s="10">
        <v>3.6421000000000037E-2</v>
      </c>
      <c r="D58" s="12">
        <f>+D3-SUM(D4:D5)-SUM(D10:D50)-D54</f>
        <v>7370</v>
      </c>
      <c r="E58" s="13">
        <f>ROUND(D58/2,0)</f>
        <v>3685</v>
      </c>
      <c r="F58" s="12">
        <f>D58-E58</f>
        <v>3685</v>
      </c>
    </row>
    <row r="59" spans="1:8">
      <c r="A59" s="8">
        <v>6</v>
      </c>
      <c r="B59" s="11" t="s">
        <v>264</v>
      </c>
      <c r="C59" s="10">
        <v>0</v>
      </c>
      <c r="D59" s="12">
        <f>ROUND(D$3*C59,0)</f>
        <v>0</v>
      </c>
      <c r="E59" s="13">
        <f>ROUND(D59/2,0)</f>
        <v>0</v>
      </c>
      <c r="F59" s="12">
        <f>D59-E59</f>
        <v>0</v>
      </c>
    </row>
    <row r="60" spans="1:8">
      <c r="A60" s="8"/>
      <c r="B60" s="28" t="s">
        <v>288</v>
      </c>
      <c r="C60" s="10">
        <v>1</v>
      </c>
      <c r="D60" s="43">
        <f>+D4+SUM(D7:D49)+SUM(D52:D53)+SUM(D56:D59)</f>
        <v>202322</v>
      </c>
      <c r="E60" s="43">
        <f>+E4+SUM(E7:E49)+SUM(E52:E53)+SUM(E56:E59)</f>
        <v>101168</v>
      </c>
      <c r="F60" s="43">
        <f>+F4+SUM(F7:F49)+SUM(F52:F53)+SUM(F56:F59)</f>
        <v>101154</v>
      </c>
    </row>
    <row r="61" spans="1:8">
      <c r="B61" s="18" t="s">
        <v>38</v>
      </c>
      <c r="D61" s="19">
        <f>+D4</f>
        <v>199</v>
      </c>
      <c r="E61" s="19">
        <f>+E4</f>
        <v>100</v>
      </c>
      <c r="F61" s="19">
        <f>+F4</f>
        <v>99</v>
      </c>
    </row>
    <row r="62" spans="1:8">
      <c r="B62" s="2" t="s">
        <v>39</v>
      </c>
      <c r="D62" s="19">
        <f>+D7</f>
        <v>5652</v>
      </c>
      <c r="E62" s="19">
        <f>+E7</f>
        <v>2826</v>
      </c>
      <c r="F62" s="19">
        <f>+F7</f>
        <v>2826</v>
      </c>
    </row>
    <row r="63" spans="1:8">
      <c r="B63" s="2" t="s">
        <v>40</v>
      </c>
      <c r="D63" s="19">
        <f>+D52+D56</f>
        <v>54647</v>
      </c>
      <c r="E63" s="19">
        <f>+E52+E56</f>
        <v>27324</v>
      </c>
      <c r="F63" s="19">
        <f>+F52+F56</f>
        <v>27323</v>
      </c>
      <c r="H63" s="3">
        <v>1</v>
      </c>
    </row>
    <row r="64" spans="1:8">
      <c r="B64" s="18" t="s">
        <v>41</v>
      </c>
      <c r="D64" s="19">
        <f>+D60-D61-D62-D63</f>
        <v>141824</v>
      </c>
      <c r="E64" s="19">
        <f>+E60-E61-E62-E63</f>
        <v>70918</v>
      </c>
      <c r="F64" s="19">
        <f>+F60-F61-F62-F63</f>
        <v>70906</v>
      </c>
      <c r="H64" s="3">
        <v>2</v>
      </c>
    </row>
    <row r="66" spans="1:4" hidden="1">
      <c r="B66" s="3" t="s">
        <v>42</v>
      </c>
      <c r="C66" s="4">
        <v>-1.9999999999603668E-6</v>
      </c>
      <c r="D66" s="3">
        <f>+D58-ROUND(D3*C58,0)</f>
        <v>1</v>
      </c>
    </row>
    <row r="71" spans="1:4">
      <c r="A71" s="1" t="s">
        <v>590</v>
      </c>
    </row>
  </sheetData>
  <pageMargins left="0.7" right="0.7" top="0.75" bottom="0.75" header="0.3" footer="0.3"/>
  <pageSetup scale="64"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2">
    <pageSetUpPr fitToPage="1"/>
  </sheetPr>
  <dimension ref="A1:WVB79"/>
  <sheetViews>
    <sheetView topLeftCell="A47" zoomScaleNormal="100" zoomScaleSheetLayoutView="80" workbookViewId="0">
      <selection activeCell="D68" activeCellId="4" sqref="D7:F7 D56:F56 D60:F60 D64:F64 D68:F68"/>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5.710937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5.710937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5.710937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5.710937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5.710937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5.710937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5.710937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5.710937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5.710937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5.710937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5.710937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5.710937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5.710937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5.710937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5.710937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5.710937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5.710937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5.710937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5.710937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5.710937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5.710937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5.710937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5.710937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5.710937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5.710937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5.710937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5.710937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5.710937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5.710937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5.710937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5.710937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5.710937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5.710937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5.710937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5.710937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5.710937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5.710937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5.710937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5.710937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5.710937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5.710937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5.710937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5.710937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5.710937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5.710937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5.710937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5.710937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5.710937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5.710937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5.710937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5.710937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5.710937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5.710937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5.710937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5.710937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5.710937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5.710937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5.710937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5.710937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5.710937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5.710937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5.710937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5.710937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1365</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Worksheet'!$D$64</f>
        <v>87404</v>
      </c>
      <c r="E3" s="11"/>
      <c r="F3" s="11"/>
    </row>
    <row r="4" spans="1:6">
      <c r="A4" s="8">
        <v>0</v>
      </c>
      <c r="B4" s="11" t="s">
        <v>4</v>
      </c>
      <c r="C4" s="10">
        <v>1.178E-3</v>
      </c>
      <c r="D4" s="12">
        <f>ROUND(D$3*C4,0)</f>
        <v>103</v>
      </c>
      <c r="E4" s="13">
        <f>ROUND(D4/2,0)</f>
        <v>52</v>
      </c>
      <c r="F4" s="12">
        <f>D4-E4</f>
        <v>51</v>
      </c>
    </row>
    <row r="5" spans="1:6">
      <c r="A5" s="8">
        <v>1</v>
      </c>
      <c r="B5" s="11" t="s">
        <v>1366</v>
      </c>
      <c r="C5" s="10">
        <v>0.239431</v>
      </c>
      <c r="D5" s="9">
        <f>ROUND(D$3*C5,0)</f>
        <v>20927</v>
      </c>
      <c r="E5" s="11">
        <f>ROUND(D5/2,0)</f>
        <v>10464</v>
      </c>
      <c r="F5" s="9">
        <f>D5-E5</f>
        <v>10463</v>
      </c>
    </row>
    <row r="6" spans="1:6">
      <c r="A6" s="8"/>
      <c r="B6" s="11" t="s">
        <v>6</v>
      </c>
      <c r="C6" s="11"/>
      <c r="D6" s="14">
        <v>0.12388299999999999</v>
      </c>
      <c r="E6" s="11"/>
      <c r="F6" s="11"/>
    </row>
    <row r="7" spans="1:6">
      <c r="A7" s="8"/>
      <c r="B7" s="11" t="s">
        <v>7</v>
      </c>
      <c r="C7" s="11"/>
      <c r="D7" s="225">
        <f>ROUND(D5*D6,0)</f>
        <v>2592</v>
      </c>
      <c r="E7" s="226">
        <f>ROUND(D7/2,0)</f>
        <v>1296</v>
      </c>
      <c r="F7" s="225">
        <f>D7-E7</f>
        <v>1296</v>
      </c>
    </row>
    <row r="8" spans="1:6">
      <c r="A8" s="8"/>
      <c r="B8" s="11" t="s">
        <v>8</v>
      </c>
      <c r="C8" s="11"/>
      <c r="D8" s="12">
        <f>+D5-D7</f>
        <v>18335</v>
      </c>
      <c r="E8" s="13">
        <f>ROUND(D8/2,0)</f>
        <v>9168</v>
      </c>
      <c r="F8" s="12">
        <f>D8-E8</f>
        <v>9167</v>
      </c>
    </row>
    <row r="9" spans="1:6">
      <c r="A9" s="8">
        <v>2</v>
      </c>
      <c r="B9" s="11" t="s">
        <v>46</v>
      </c>
      <c r="C9" s="11"/>
      <c r="D9" s="9"/>
      <c r="E9" s="11"/>
      <c r="F9" s="11"/>
    </row>
    <row r="10" spans="1:6">
      <c r="A10" s="8"/>
      <c r="B10" s="11" t="s">
        <v>10</v>
      </c>
      <c r="C10" s="10">
        <v>1.1471E-2</v>
      </c>
      <c r="D10" s="12">
        <f>ROUND(D$3*C10,0)</f>
        <v>1003</v>
      </c>
      <c r="E10" s="13">
        <f>ROUND(D10/2,0)</f>
        <v>502</v>
      </c>
      <c r="F10" s="12">
        <f>D10-E10</f>
        <v>501</v>
      </c>
    </row>
    <row r="11" spans="1:6">
      <c r="A11" s="8"/>
      <c r="B11" s="11" t="s">
        <v>11</v>
      </c>
      <c r="C11" s="10">
        <v>5.3810000000000004E-3</v>
      </c>
      <c r="D11" s="12">
        <f>ROUND(D$3*C11,0)</f>
        <v>470</v>
      </c>
      <c r="E11" s="13">
        <f>ROUND(D11/2,0)</f>
        <v>235</v>
      </c>
      <c r="F11" s="12">
        <f>D11-E11</f>
        <v>235</v>
      </c>
    </row>
    <row r="12" spans="1:6">
      <c r="A12" s="8">
        <v>2</v>
      </c>
      <c r="B12" s="11" t="s">
        <v>1367</v>
      </c>
      <c r="C12" s="11"/>
      <c r="D12" s="9"/>
      <c r="E12" s="11"/>
      <c r="F12" s="11"/>
    </row>
    <row r="13" spans="1:6">
      <c r="A13" s="8"/>
      <c r="B13" s="11" t="s">
        <v>10</v>
      </c>
      <c r="C13" s="10">
        <v>1.0640000000000001E-3</v>
      </c>
      <c r="D13" s="12">
        <f>ROUND(D$3*C13,0)</f>
        <v>93</v>
      </c>
      <c r="E13" s="13">
        <f>ROUND(D13/2,0)</f>
        <v>47</v>
      </c>
      <c r="F13" s="12">
        <f>D13-E13</f>
        <v>46</v>
      </c>
    </row>
    <row r="14" spans="1:6">
      <c r="A14" s="8"/>
      <c r="B14" s="11" t="s">
        <v>11</v>
      </c>
      <c r="C14" s="10">
        <v>8.7600000000000004E-4</v>
      </c>
      <c r="D14" s="12">
        <f>ROUND(D$3*C14,0)</f>
        <v>77</v>
      </c>
      <c r="E14" s="13">
        <f>ROUND(D14/2,0)</f>
        <v>39</v>
      </c>
      <c r="F14" s="12">
        <f>D14-E14</f>
        <v>38</v>
      </c>
    </row>
    <row r="15" spans="1:6">
      <c r="A15" s="8">
        <v>2</v>
      </c>
      <c r="B15" s="11" t="s">
        <v>855</v>
      </c>
      <c r="C15" s="11"/>
      <c r="D15" s="9"/>
      <c r="E15" s="11"/>
      <c r="F15" s="11"/>
    </row>
    <row r="16" spans="1:6">
      <c r="A16" s="8"/>
      <c r="B16" s="11" t="s">
        <v>10</v>
      </c>
      <c r="C16" s="10">
        <v>1.0640000000000001E-3</v>
      </c>
      <c r="D16" s="12">
        <f>ROUND(D$3*C16,0)</f>
        <v>93</v>
      </c>
      <c r="E16" s="13">
        <f>ROUND(D16/2,0)</f>
        <v>47</v>
      </c>
      <c r="F16" s="12">
        <f>D16-E16</f>
        <v>46</v>
      </c>
    </row>
    <row r="17" spans="1:6">
      <c r="A17" s="8"/>
      <c r="B17" s="11" t="s">
        <v>11</v>
      </c>
      <c r="C17" s="10">
        <v>7.3999999999999999E-4</v>
      </c>
      <c r="D17" s="12">
        <f>ROUND(D$3*C17,0)</f>
        <v>65</v>
      </c>
      <c r="E17" s="13">
        <f>ROUND(D17/2,0)</f>
        <v>33</v>
      </c>
      <c r="F17" s="12">
        <f>D17-E17</f>
        <v>32</v>
      </c>
    </row>
    <row r="18" spans="1:6">
      <c r="A18" s="8">
        <v>2</v>
      </c>
      <c r="B18" s="11" t="s">
        <v>777</v>
      </c>
      <c r="C18" s="11"/>
      <c r="D18" s="9"/>
      <c r="E18" s="11"/>
      <c r="F18" s="11"/>
    </row>
    <row r="19" spans="1:6">
      <c r="A19" s="8"/>
      <c r="B19" s="11" t="s">
        <v>10</v>
      </c>
      <c r="C19" s="10">
        <v>3.1000000000000001E-5</v>
      </c>
      <c r="D19" s="12">
        <f>ROUND(D$3*C19,0)</f>
        <v>3</v>
      </c>
      <c r="E19" s="13">
        <f>ROUND(D19/2,0)</f>
        <v>2</v>
      </c>
      <c r="F19" s="12">
        <f>D19-E19</f>
        <v>1</v>
      </c>
    </row>
    <row r="20" spans="1:6">
      <c r="A20" s="8"/>
      <c r="B20" s="11" t="s">
        <v>11</v>
      </c>
      <c r="C20" s="10">
        <v>1.0000000000000001E-5</v>
      </c>
      <c r="D20" s="12">
        <f>ROUND(D$3*C20,0)</f>
        <v>1</v>
      </c>
      <c r="E20" s="13">
        <f>ROUND(D20/2,0)</f>
        <v>1</v>
      </c>
      <c r="F20" s="12">
        <f>D20-E20</f>
        <v>0</v>
      </c>
    </row>
    <row r="21" spans="1:6">
      <c r="A21" s="8">
        <v>2</v>
      </c>
      <c r="B21" s="11" t="s">
        <v>49</v>
      </c>
      <c r="C21" s="11"/>
      <c r="D21" s="9"/>
      <c r="E21" s="11"/>
      <c r="F21" s="11"/>
    </row>
    <row r="22" spans="1:6">
      <c r="A22" s="8"/>
      <c r="B22" s="11" t="s">
        <v>10</v>
      </c>
      <c r="C22" s="10">
        <v>0</v>
      </c>
      <c r="D22" s="12">
        <f>ROUND(D$3*C22,0)</f>
        <v>0</v>
      </c>
      <c r="E22" s="13">
        <f>ROUND(D22/2,0)</f>
        <v>0</v>
      </c>
      <c r="F22" s="12">
        <f>D22-E22</f>
        <v>0</v>
      </c>
    </row>
    <row r="23" spans="1:6">
      <c r="A23" s="8"/>
      <c r="B23" s="11" t="s">
        <v>11</v>
      </c>
      <c r="C23" s="10">
        <v>0</v>
      </c>
      <c r="D23" s="12">
        <f>ROUND(D$3*C23,0)</f>
        <v>0</v>
      </c>
      <c r="E23" s="13">
        <f>ROUND(D23/2,0)</f>
        <v>0</v>
      </c>
      <c r="F23" s="12">
        <f>D23-E23</f>
        <v>0</v>
      </c>
    </row>
    <row r="24" spans="1:6">
      <c r="A24" s="8">
        <v>2</v>
      </c>
      <c r="B24" s="11" t="s">
        <v>181</v>
      </c>
      <c r="C24" s="11"/>
      <c r="D24" s="9"/>
      <c r="E24" s="11"/>
      <c r="F24" s="11"/>
    </row>
    <row r="25" spans="1:6">
      <c r="A25" s="8"/>
      <c r="B25" s="11" t="s">
        <v>10</v>
      </c>
      <c r="C25" s="10">
        <v>3.5500000000000001E-4</v>
      </c>
      <c r="D25" s="12">
        <f>ROUND(D$3*C25,0)</f>
        <v>31</v>
      </c>
      <c r="E25" s="13">
        <f>ROUND(D25/2,0)</f>
        <v>16</v>
      </c>
      <c r="F25" s="12">
        <f>D25-E25</f>
        <v>15</v>
      </c>
    </row>
    <row r="26" spans="1:6">
      <c r="A26" s="8"/>
      <c r="B26" s="11" t="s">
        <v>11</v>
      </c>
      <c r="C26" s="10">
        <v>2.0900000000000001E-4</v>
      </c>
      <c r="D26" s="12">
        <f>ROUND(D$3*C26,0)</f>
        <v>18</v>
      </c>
      <c r="E26" s="13">
        <f>ROUND(D26/2,0)</f>
        <v>9</v>
      </c>
      <c r="F26" s="12">
        <f>D26-E26</f>
        <v>9</v>
      </c>
    </row>
    <row r="27" spans="1:6">
      <c r="A27" s="8">
        <v>2</v>
      </c>
      <c r="B27" s="11" t="s">
        <v>857</v>
      </c>
      <c r="C27" s="11"/>
      <c r="D27" s="9"/>
      <c r="E27" s="11"/>
      <c r="F27" s="11"/>
    </row>
    <row r="28" spans="1:6">
      <c r="A28" s="8"/>
      <c r="B28" s="11" t="s">
        <v>10</v>
      </c>
      <c r="C28" s="10">
        <v>5.8399999999999999E-4</v>
      </c>
      <c r="D28" s="12">
        <f>ROUND(D$3*C28,0)</f>
        <v>51</v>
      </c>
      <c r="E28" s="13">
        <f>ROUND(D28/2,0)</f>
        <v>26</v>
      </c>
      <c r="F28" s="12">
        <f>D28-E28</f>
        <v>25</v>
      </c>
    </row>
    <row r="29" spans="1:6">
      <c r="A29" s="8"/>
      <c r="B29" s="11" t="s">
        <v>11</v>
      </c>
      <c r="C29" s="10">
        <v>2.61E-4</v>
      </c>
      <c r="D29" s="12">
        <f>ROUND(D$3*C29,0)</f>
        <v>23</v>
      </c>
      <c r="E29" s="13">
        <f>ROUND(D29/2,0)</f>
        <v>12</v>
      </c>
      <c r="F29" s="12">
        <f>D29-E29</f>
        <v>11</v>
      </c>
    </row>
    <row r="30" spans="1:6">
      <c r="A30" s="8">
        <v>2</v>
      </c>
      <c r="B30" s="11" t="s">
        <v>1368</v>
      </c>
      <c r="C30" s="11"/>
      <c r="D30" s="9"/>
      <c r="E30" s="11"/>
      <c r="F30" s="11"/>
    </row>
    <row r="31" spans="1:6">
      <c r="A31" s="8"/>
      <c r="B31" s="11" t="s">
        <v>10</v>
      </c>
      <c r="C31" s="10">
        <v>5.2099999999999998E-4</v>
      </c>
      <c r="D31" s="12">
        <f>ROUND(D$3*C31,0)</f>
        <v>46</v>
      </c>
      <c r="E31" s="13">
        <f>ROUND(D31/2,0)</f>
        <v>23</v>
      </c>
      <c r="F31" s="12">
        <f>D31-E31</f>
        <v>23</v>
      </c>
    </row>
    <row r="32" spans="1:6">
      <c r="A32" s="8"/>
      <c r="B32" s="11" t="s">
        <v>11</v>
      </c>
      <c r="C32" s="10">
        <v>2.5000000000000001E-4</v>
      </c>
      <c r="D32" s="12">
        <f>ROUND(D$3*C32,0)</f>
        <v>22</v>
      </c>
      <c r="E32" s="13">
        <f>ROUND(D32/2,0)</f>
        <v>11</v>
      </c>
      <c r="F32" s="12">
        <f>D32-E32</f>
        <v>11</v>
      </c>
    </row>
    <row r="33" spans="1:6">
      <c r="A33" s="8">
        <v>2</v>
      </c>
      <c r="B33" s="11" t="s">
        <v>1369</v>
      </c>
      <c r="C33" s="11"/>
      <c r="D33" s="9"/>
      <c r="E33" s="11"/>
      <c r="F33" s="11"/>
    </row>
    <row r="34" spans="1:6">
      <c r="A34" s="8"/>
      <c r="B34" s="11" t="s">
        <v>10</v>
      </c>
      <c r="C34" s="10">
        <v>0</v>
      </c>
      <c r="D34" s="12">
        <f>ROUND(D$3*C34,0)</f>
        <v>0</v>
      </c>
      <c r="E34" s="13">
        <f>ROUND(D34/2,0)</f>
        <v>0</v>
      </c>
      <c r="F34" s="12">
        <f>D34-E34</f>
        <v>0</v>
      </c>
    </row>
    <row r="35" spans="1:6">
      <c r="A35" s="8"/>
      <c r="B35" s="11" t="s">
        <v>11</v>
      </c>
      <c r="C35" s="10">
        <v>0</v>
      </c>
      <c r="D35" s="12">
        <f>ROUND(D$3*C35,0)</f>
        <v>0</v>
      </c>
      <c r="E35" s="13">
        <f>ROUND(D35/2,0)</f>
        <v>0</v>
      </c>
      <c r="F35" s="12">
        <f>D35-E35</f>
        <v>0</v>
      </c>
    </row>
    <row r="36" spans="1:6">
      <c r="A36" s="8">
        <v>2</v>
      </c>
      <c r="B36" s="11" t="s">
        <v>149</v>
      </c>
      <c r="C36" s="11"/>
      <c r="D36" s="9"/>
      <c r="E36" s="11"/>
      <c r="F36" s="11"/>
    </row>
    <row r="37" spans="1:6">
      <c r="A37" s="8"/>
      <c r="B37" s="11" t="s">
        <v>10</v>
      </c>
      <c r="C37" s="10">
        <v>0</v>
      </c>
      <c r="D37" s="12">
        <f>ROUND(D$3*C37,0)</f>
        <v>0</v>
      </c>
      <c r="E37" s="13">
        <f>ROUND(D37/2,0)</f>
        <v>0</v>
      </c>
      <c r="F37" s="12">
        <f>D37-E37</f>
        <v>0</v>
      </c>
    </row>
    <row r="38" spans="1:6">
      <c r="A38" s="8"/>
      <c r="B38" s="11" t="s">
        <v>11</v>
      </c>
      <c r="C38" s="10">
        <v>0</v>
      </c>
      <c r="D38" s="12">
        <f>ROUND(D$3*C38,0)</f>
        <v>0</v>
      </c>
      <c r="E38" s="13">
        <f>ROUND(D38/2,0)</f>
        <v>0</v>
      </c>
      <c r="F38" s="12">
        <f>D38-E38</f>
        <v>0</v>
      </c>
    </row>
    <row r="39" spans="1:6">
      <c r="A39" s="8">
        <v>2</v>
      </c>
      <c r="B39" s="11" t="s">
        <v>20</v>
      </c>
      <c r="C39" s="11"/>
      <c r="D39" s="9"/>
      <c r="E39" s="11"/>
      <c r="F39" s="11"/>
    </row>
    <row r="40" spans="1:6">
      <c r="A40" s="8"/>
      <c r="B40" s="11" t="s">
        <v>10</v>
      </c>
      <c r="C40" s="10">
        <v>0</v>
      </c>
      <c r="D40" s="12">
        <f>ROUND(D$3*C40,0)</f>
        <v>0</v>
      </c>
      <c r="E40" s="13">
        <f>ROUND(D40/2,0)</f>
        <v>0</v>
      </c>
      <c r="F40" s="12">
        <f>D40-E40</f>
        <v>0</v>
      </c>
    </row>
    <row r="41" spans="1:6">
      <c r="A41" s="8"/>
      <c r="B41" s="11" t="s">
        <v>11</v>
      </c>
      <c r="C41" s="10">
        <v>0</v>
      </c>
      <c r="D41" s="12">
        <f>ROUND(D$3*C41,0)</f>
        <v>0</v>
      </c>
      <c r="E41" s="13">
        <f>ROUND(D41/2,0)</f>
        <v>0</v>
      </c>
      <c r="F41" s="12">
        <f>D41-E41</f>
        <v>0</v>
      </c>
    </row>
    <row r="42" spans="1:6">
      <c r="A42" s="8">
        <v>2</v>
      </c>
      <c r="B42" s="11" t="s">
        <v>21</v>
      </c>
      <c r="C42" s="11"/>
      <c r="D42" s="9"/>
      <c r="E42" s="11"/>
      <c r="F42" s="11"/>
    </row>
    <row r="43" spans="1:6">
      <c r="A43" s="8"/>
      <c r="B43" s="11" t="s">
        <v>10</v>
      </c>
      <c r="C43" s="10">
        <v>2.92E-4</v>
      </c>
      <c r="D43" s="12">
        <f>ROUND(D$3*C43,0)</f>
        <v>26</v>
      </c>
      <c r="E43" s="13">
        <f>ROUND(D43/2,0)</f>
        <v>13</v>
      </c>
      <c r="F43" s="12">
        <f>D43-E43</f>
        <v>13</v>
      </c>
    </row>
    <row r="44" spans="1:6">
      <c r="A44" s="8"/>
      <c r="B44" s="11" t="s">
        <v>11</v>
      </c>
      <c r="C44" s="10">
        <v>4.6900000000000002E-4</v>
      </c>
      <c r="D44" s="12">
        <f>ROUND(D$3*C44,0)</f>
        <v>41</v>
      </c>
      <c r="E44" s="13">
        <f>ROUND(D44/2,0)</f>
        <v>21</v>
      </c>
      <c r="F44" s="12">
        <f>D44-E44</f>
        <v>20</v>
      </c>
    </row>
    <row r="45" spans="1:6">
      <c r="A45" s="8">
        <v>2</v>
      </c>
      <c r="B45" s="11" t="s">
        <v>22</v>
      </c>
      <c r="C45" s="11"/>
      <c r="D45" s="9"/>
      <c r="E45" s="11"/>
      <c r="F45" s="11"/>
    </row>
    <row r="46" spans="1:6">
      <c r="A46" s="8"/>
      <c r="B46" s="11" t="s">
        <v>10</v>
      </c>
      <c r="C46" s="10">
        <v>1.5430000000000001E-3</v>
      </c>
      <c r="D46" s="12">
        <f t="shared" ref="D46:D54" si="0">ROUND(D$3*C46,0)</f>
        <v>135</v>
      </c>
      <c r="E46" s="13">
        <f t="shared" ref="E46:E54" si="1">ROUND(D46/2,0)</f>
        <v>68</v>
      </c>
      <c r="F46" s="12">
        <f t="shared" ref="F46:F54" si="2">D46-E46</f>
        <v>67</v>
      </c>
    </row>
    <row r="47" spans="1:6">
      <c r="A47" s="8"/>
      <c r="B47" s="11" t="s">
        <v>11</v>
      </c>
      <c r="C47" s="10">
        <v>9.3800000000000003E-4</v>
      </c>
      <c r="D47" s="12">
        <f t="shared" si="0"/>
        <v>82</v>
      </c>
      <c r="E47" s="13">
        <f t="shared" si="1"/>
        <v>41</v>
      </c>
      <c r="F47" s="12">
        <f t="shared" si="2"/>
        <v>41</v>
      </c>
    </row>
    <row r="48" spans="1:6">
      <c r="A48" s="8">
        <v>3</v>
      </c>
      <c r="B48" s="11" t="s">
        <v>1370</v>
      </c>
      <c r="C48" s="10">
        <v>7.5100000000000004E-4</v>
      </c>
      <c r="D48" s="12">
        <f t="shared" si="0"/>
        <v>66</v>
      </c>
      <c r="E48" s="13">
        <f t="shared" si="1"/>
        <v>33</v>
      </c>
      <c r="F48" s="12">
        <f t="shared" si="2"/>
        <v>33</v>
      </c>
    </row>
    <row r="49" spans="1:6">
      <c r="A49" s="8">
        <v>3</v>
      </c>
      <c r="B49" s="11" t="s">
        <v>1371</v>
      </c>
      <c r="C49" s="10">
        <v>0</v>
      </c>
      <c r="D49" s="12">
        <f t="shared" si="0"/>
        <v>0</v>
      </c>
      <c r="E49" s="13">
        <f t="shared" si="1"/>
        <v>0</v>
      </c>
      <c r="F49" s="12">
        <f t="shared" si="2"/>
        <v>0</v>
      </c>
    </row>
    <row r="50" spans="1:6">
      <c r="A50" s="8">
        <v>3</v>
      </c>
      <c r="B50" s="11" t="s">
        <v>1372</v>
      </c>
      <c r="C50" s="10">
        <v>3.1000000000000001E-5</v>
      </c>
      <c r="D50" s="12">
        <f t="shared" si="0"/>
        <v>3</v>
      </c>
      <c r="E50" s="13">
        <f t="shared" si="1"/>
        <v>2</v>
      </c>
      <c r="F50" s="12">
        <f t="shared" si="2"/>
        <v>1</v>
      </c>
    </row>
    <row r="51" spans="1:6">
      <c r="A51" s="8">
        <v>3</v>
      </c>
      <c r="B51" s="11" t="s">
        <v>1373</v>
      </c>
      <c r="C51" s="10">
        <v>0</v>
      </c>
      <c r="D51" s="12">
        <f t="shared" si="0"/>
        <v>0</v>
      </c>
      <c r="E51" s="13">
        <f t="shared" si="1"/>
        <v>0</v>
      </c>
      <c r="F51" s="12">
        <f t="shared" si="2"/>
        <v>0</v>
      </c>
    </row>
    <row r="52" spans="1:6">
      <c r="A52" s="8">
        <v>3</v>
      </c>
      <c r="B52" s="11" t="s">
        <v>1374</v>
      </c>
      <c r="C52" s="10">
        <v>4.5997000000000003E-2</v>
      </c>
      <c r="D52" s="12">
        <f t="shared" si="0"/>
        <v>4020</v>
      </c>
      <c r="E52" s="13">
        <f t="shared" si="1"/>
        <v>2010</v>
      </c>
      <c r="F52" s="12">
        <f t="shared" si="2"/>
        <v>2010</v>
      </c>
    </row>
    <row r="53" spans="1:6">
      <c r="A53" s="8">
        <v>3</v>
      </c>
      <c r="B53" s="11" t="s">
        <v>1375</v>
      </c>
      <c r="C53" s="10">
        <v>2.555E-3</v>
      </c>
      <c r="D53" s="12">
        <f t="shared" si="0"/>
        <v>223</v>
      </c>
      <c r="E53" s="13">
        <f t="shared" si="1"/>
        <v>112</v>
      </c>
      <c r="F53" s="12">
        <f t="shared" si="2"/>
        <v>111</v>
      </c>
    </row>
    <row r="54" spans="1:6">
      <c r="A54" s="8">
        <v>4</v>
      </c>
      <c r="B54" s="11" t="s">
        <v>261</v>
      </c>
      <c r="C54" s="10">
        <v>0</v>
      </c>
      <c r="D54" s="9">
        <f t="shared" si="0"/>
        <v>0</v>
      </c>
      <c r="E54" s="11">
        <f t="shared" si="1"/>
        <v>0</v>
      </c>
      <c r="F54" s="9">
        <f t="shared" si="2"/>
        <v>0</v>
      </c>
    </row>
    <row r="55" spans="1:6">
      <c r="A55" s="8"/>
      <c r="B55" s="11" t="s">
        <v>28</v>
      </c>
      <c r="C55" s="11"/>
      <c r="D55" s="14">
        <v>0.37726100000000001</v>
      </c>
      <c r="E55" s="11"/>
      <c r="F55" s="11"/>
    </row>
    <row r="56" spans="1:6">
      <c r="A56" s="8"/>
      <c r="B56" s="11" t="s">
        <v>29</v>
      </c>
      <c r="C56" s="11"/>
      <c r="D56" s="225">
        <f>ROUND(D54*D55,0)</f>
        <v>0</v>
      </c>
      <c r="E56" s="226">
        <f>ROUND(D56/2,0)</f>
        <v>0</v>
      </c>
      <c r="F56" s="225">
        <f>D56-E56</f>
        <v>0</v>
      </c>
    </row>
    <row r="57" spans="1:6">
      <c r="A57" s="8"/>
      <c r="B57" s="11" t="s">
        <v>30</v>
      </c>
      <c r="C57" s="11"/>
      <c r="D57" s="12">
        <f>+D54-D56</f>
        <v>0</v>
      </c>
      <c r="E57" s="13">
        <f>ROUND(D57/2,0)</f>
        <v>0</v>
      </c>
      <c r="F57" s="12">
        <f>D57-E57</f>
        <v>0</v>
      </c>
    </row>
    <row r="58" spans="1:6">
      <c r="A58" s="8">
        <v>4</v>
      </c>
      <c r="B58" s="11" t="s">
        <v>1376</v>
      </c>
      <c r="C58" s="10">
        <v>0.32885999999999999</v>
      </c>
      <c r="D58" s="9">
        <f>ROUND(D$3*C58,0)</f>
        <v>28744</v>
      </c>
      <c r="E58" s="11">
        <f>ROUND(D58/2,0)</f>
        <v>14372</v>
      </c>
      <c r="F58" s="9">
        <f>D58-E58</f>
        <v>14372</v>
      </c>
    </row>
    <row r="59" spans="1:6">
      <c r="A59" s="8"/>
      <c r="B59" s="11" t="s">
        <v>28</v>
      </c>
      <c r="C59" s="11"/>
      <c r="D59" s="14">
        <v>0.44236199999999998</v>
      </c>
      <c r="E59" s="11"/>
      <c r="F59" s="11"/>
    </row>
    <row r="60" spans="1:6">
      <c r="A60" s="8"/>
      <c r="B60" s="11" t="s">
        <v>29</v>
      </c>
      <c r="C60" s="11"/>
      <c r="D60" s="225">
        <f>ROUND(D58*D59,0)</f>
        <v>12715</v>
      </c>
      <c r="E60" s="226">
        <f>ROUND(D60/2,0)</f>
        <v>6358</v>
      </c>
      <c r="F60" s="225">
        <f>D60-E60</f>
        <v>6357</v>
      </c>
    </row>
    <row r="61" spans="1:6">
      <c r="A61" s="8"/>
      <c r="B61" s="11" t="s">
        <v>30</v>
      </c>
      <c r="C61" s="11"/>
      <c r="D61" s="12">
        <f>+D58-D60</f>
        <v>16029</v>
      </c>
      <c r="E61" s="13">
        <f>ROUND(D61/2,0)</f>
        <v>8015</v>
      </c>
      <c r="F61" s="12">
        <f>D61-E61</f>
        <v>8014</v>
      </c>
    </row>
    <row r="62" spans="1:6">
      <c r="A62" s="8">
        <v>4</v>
      </c>
      <c r="B62" s="11" t="s">
        <v>1377</v>
      </c>
      <c r="C62" s="10">
        <v>0.123683</v>
      </c>
      <c r="D62" s="9">
        <f>ROUND(D$3*C62,0)</f>
        <v>10810</v>
      </c>
      <c r="E62" s="11">
        <f>ROUND(D62/2,0)</f>
        <v>5405</v>
      </c>
      <c r="F62" s="9">
        <f>D62-E62</f>
        <v>5405</v>
      </c>
    </row>
    <row r="63" spans="1:6">
      <c r="A63" s="8"/>
      <c r="B63" s="11" t="s">
        <v>28</v>
      </c>
      <c r="C63" s="11"/>
      <c r="D63" s="14">
        <v>0.34189399999999998</v>
      </c>
      <c r="E63" s="11"/>
      <c r="F63" s="11"/>
    </row>
    <row r="64" spans="1:6">
      <c r="A64" s="8"/>
      <c r="B64" s="11" t="s">
        <v>29</v>
      </c>
      <c r="C64" s="11"/>
      <c r="D64" s="225">
        <f>ROUND(D62*D63,0)</f>
        <v>3696</v>
      </c>
      <c r="E64" s="226">
        <f>ROUND(D64/2,0)</f>
        <v>1848</v>
      </c>
      <c r="F64" s="225">
        <f>D64-E64</f>
        <v>1848</v>
      </c>
    </row>
    <row r="65" spans="1:8">
      <c r="A65" s="8"/>
      <c r="B65" s="11" t="s">
        <v>30</v>
      </c>
      <c r="C65" s="11"/>
      <c r="D65" s="12">
        <f>+D62-D64</f>
        <v>7114</v>
      </c>
      <c r="E65" s="13">
        <f>ROUND(D65/2,0)</f>
        <v>3557</v>
      </c>
      <c r="F65" s="12">
        <f>D65-E65</f>
        <v>3557</v>
      </c>
    </row>
    <row r="66" spans="1:8">
      <c r="A66" s="8">
        <v>4</v>
      </c>
      <c r="B66" s="11" t="s">
        <v>1378</v>
      </c>
      <c r="C66" s="10">
        <v>0.20768900000000001</v>
      </c>
      <c r="D66" s="9">
        <f>ROUND(D$3*C66,0)</f>
        <v>18153</v>
      </c>
      <c r="E66" s="11">
        <f>ROUND(D66/2,0)</f>
        <v>9077</v>
      </c>
      <c r="F66" s="9">
        <f>D66-E66</f>
        <v>9076</v>
      </c>
    </row>
    <row r="67" spans="1:8">
      <c r="A67" s="8"/>
      <c r="B67" s="11" t="s">
        <v>28</v>
      </c>
      <c r="C67" s="11"/>
      <c r="D67" s="14">
        <v>0.34189399999999998</v>
      </c>
      <c r="E67" s="11"/>
      <c r="F67" s="11"/>
    </row>
    <row r="68" spans="1:8">
      <c r="A68" s="8"/>
      <c r="B68" s="11" t="s">
        <v>29</v>
      </c>
      <c r="C68" s="11"/>
      <c r="D68" s="225">
        <f>ROUND(D66*D67,0)</f>
        <v>6206</v>
      </c>
      <c r="E68" s="226">
        <f>ROUND(D68/2,0)</f>
        <v>3103</v>
      </c>
      <c r="F68" s="225">
        <f>D68-E68</f>
        <v>3103</v>
      </c>
    </row>
    <row r="69" spans="1:8">
      <c r="A69" s="8"/>
      <c r="B69" s="11" t="s">
        <v>30</v>
      </c>
      <c r="C69" s="11"/>
      <c r="D69" s="12">
        <f>+D66-D68</f>
        <v>11947</v>
      </c>
      <c r="E69" s="13">
        <f>ROUND(D69/2,0)</f>
        <v>5974</v>
      </c>
      <c r="F69" s="12">
        <f>D69-E69</f>
        <v>5973</v>
      </c>
    </row>
    <row r="70" spans="1:8">
      <c r="A70" s="8">
        <v>5</v>
      </c>
      <c r="B70" s="11" t="s">
        <v>1379</v>
      </c>
      <c r="C70" s="10">
        <v>0</v>
      </c>
      <c r="D70" s="12">
        <f>ROUND(D$3*C70,0)</f>
        <v>0</v>
      </c>
      <c r="E70" s="13">
        <f>ROUND(D70/2,0)</f>
        <v>0</v>
      </c>
      <c r="F70" s="12">
        <f>D70-E70</f>
        <v>0</v>
      </c>
    </row>
    <row r="71" spans="1:8">
      <c r="A71" s="8" t="s">
        <v>590</v>
      </c>
      <c r="B71" s="11" t="s">
        <v>1380</v>
      </c>
      <c r="C71" s="10">
        <v>2.3765999999999954E-2</v>
      </c>
      <c r="D71" s="12">
        <f>+D3-SUM(D4:D5)-SUM(D10:D54)-D58-D62-D66</f>
        <v>2075</v>
      </c>
      <c r="E71" s="13">
        <f>ROUND(D71/2,0)</f>
        <v>1038</v>
      </c>
      <c r="F71" s="12">
        <f>D71-E71</f>
        <v>1037</v>
      </c>
    </row>
    <row r="72" spans="1:8">
      <c r="A72" s="8">
        <v>6</v>
      </c>
      <c r="B72" s="11" t="s">
        <v>1381</v>
      </c>
      <c r="C72" s="10">
        <v>0</v>
      </c>
      <c r="D72" s="12">
        <f>ROUND(D$3*C72,0)</f>
        <v>0</v>
      </c>
      <c r="E72" s="13">
        <f>ROUND(D72/2,0)</f>
        <v>0</v>
      </c>
      <c r="F72" s="12">
        <f>D72-E72</f>
        <v>0</v>
      </c>
    </row>
    <row r="73" spans="1:8">
      <c r="A73" s="8"/>
      <c r="B73" s="28" t="s">
        <v>288</v>
      </c>
      <c r="C73" s="10">
        <v>1</v>
      </c>
      <c r="D73" s="12">
        <f>+D4+SUM(D7:D53)+SUM(D56:D57)+SUM(D60:D61)+SUM(D64:D65)+SUM(D68:D72)</f>
        <v>87404</v>
      </c>
      <c r="E73" s="12">
        <f>+E4+SUM(E7:E53)+SUM(E56:E57)+SUM(E60:E61)+SUM(E64:E65)+SUM(E68:E72)</f>
        <v>43712</v>
      </c>
      <c r="F73" s="12">
        <f>+F4+SUM(F7:F53)+SUM(F56:F57)+SUM(F60:F61)+SUM(F64:F65)+SUM(F68:F72)</f>
        <v>43692</v>
      </c>
    </row>
    <row r="74" spans="1:8">
      <c r="B74" s="18" t="s">
        <v>38</v>
      </c>
      <c r="D74" s="19">
        <f>+D4</f>
        <v>103</v>
      </c>
      <c r="E74" s="19">
        <f>+E4</f>
        <v>52</v>
      </c>
      <c r="F74" s="19">
        <f>+F4</f>
        <v>51</v>
      </c>
    </row>
    <row r="75" spans="1:8">
      <c r="B75" s="2" t="s">
        <v>39</v>
      </c>
      <c r="D75" s="19">
        <f>+D7</f>
        <v>2592</v>
      </c>
      <c r="E75" s="19">
        <f>+E7</f>
        <v>1296</v>
      </c>
      <c r="F75" s="19">
        <f>+F7</f>
        <v>1296</v>
      </c>
    </row>
    <row r="76" spans="1:8">
      <c r="B76" s="2" t="s">
        <v>40</v>
      </c>
      <c r="D76" s="19">
        <f>+D56+D60+D64+D68</f>
        <v>22617</v>
      </c>
      <c r="E76" s="19">
        <f>+E56+E60+E64+E68</f>
        <v>11309</v>
      </c>
      <c r="F76" s="19">
        <f>+F56+F60+F64+F68</f>
        <v>11308</v>
      </c>
      <c r="H76" s="3">
        <v>1</v>
      </c>
    </row>
    <row r="77" spans="1:8">
      <c r="B77" s="18" t="s">
        <v>41</v>
      </c>
      <c r="D77" s="19">
        <f>+D73-D74-D75-D76</f>
        <v>62092</v>
      </c>
      <c r="E77" s="19">
        <f>+E73-E74-E75-E76</f>
        <v>31055</v>
      </c>
      <c r="F77" s="19">
        <f>+F73-F74-F75-F76</f>
        <v>31037</v>
      </c>
      <c r="H77" s="3">
        <v>2</v>
      </c>
    </row>
    <row r="79" spans="1:8" hidden="1">
      <c r="B79" s="3" t="s">
        <v>42</v>
      </c>
      <c r="C79" s="4">
        <v>9.9999999995242783E-7</v>
      </c>
      <c r="D79" s="3">
        <f>+D71-ROUND(D3*C71,0)</f>
        <v>-2</v>
      </c>
    </row>
  </sheetData>
  <pageMargins left="0.7" right="0.7" top="0.75" bottom="0.75" header="0.3" footer="0.3"/>
  <pageSetup scale="5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3">
    <pageSetUpPr fitToPage="1"/>
  </sheetPr>
  <dimension ref="A1:WVB71"/>
  <sheetViews>
    <sheetView topLeftCell="A22" zoomScaleNormal="100" zoomScaleSheetLayoutView="80" workbookViewId="0">
      <selection activeCell="D43" activeCellId="3" sqref="D7:F7 D35:F35 D39:F39 D43:F43"/>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28515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28515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28515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28515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28515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28515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28515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28515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28515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28515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28515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28515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28515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28515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28515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28515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28515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28515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28515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28515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28515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28515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28515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28515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28515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28515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28515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28515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28515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28515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28515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28515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28515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28515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28515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28515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28515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28515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28515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28515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28515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28515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28515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28515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28515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28515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28515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28515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28515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28515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28515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28515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28515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28515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28515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28515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28515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28515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28515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28515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28515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28515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28515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1382</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Worksheet'!$D$65</f>
        <v>156077</v>
      </c>
      <c r="E3" s="11"/>
      <c r="F3" s="11"/>
    </row>
    <row r="4" spans="1:6">
      <c r="A4" s="8">
        <v>0</v>
      </c>
      <c r="B4" s="11" t="s">
        <v>4</v>
      </c>
      <c r="C4" s="10">
        <v>1.034E-3</v>
      </c>
      <c r="D4" s="12">
        <f>ROUND(D$3*C4,0)</f>
        <v>161</v>
      </c>
      <c r="E4" s="13">
        <f>ROUND(D4/2,0)</f>
        <v>81</v>
      </c>
      <c r="F4" s="12">
        <f>D4-E4</f>
        <v>80</v>
      </c>
    </row>
    <row r="5" spans="1:6">
      <c r="A5" s="8">
        <v>1</v>
      </c>
      <c r="B5" s="11" t="s">
        <v>1383</v>
      </c>
      <c r="C5" s="10">
        <v>0.2021</v>
      </c>
      <c r="D5" s="9">
        <f>ROUND(D$3*C5,0)</f>
        <v>31543</v>
      </c>
      <c r="E5" s="11">
        <f>ROUND(D5/2,0)</f>
        <v>15772</v>
      </c>
      <c r="F5" s="9">
        <f>D5-E5</f>
        <v>15771</v>
      </c>
    </row>
    <row r="6" spans="1:6">
      <c r="A6" s="8"/>
      <c r="B6" s="11" t="s">
        <v>6</v>
      </c>
      <c r="C6" s="11"/>
      <c r="D6" s="14">
        <v>0.16716900000000001</v>
      </c>
      <c r="E6" s="11"/>
      <c r="F6" s="11"/>
    </row>
    <row r="7" spans="1:6">
      <c r="A7" s="8"/>
      <c r="B7" s="11" t="s">
        <v>7</v>
      </c>
      <c r="C7" s="11"/>
      <c r="D7" s="225">
        <f>ROUND(D5*D6,0)</f>
        <v>5273</v>
      </c>
      <c r="E7" s="226">
        <f>ROUND(D7/2,0)</f>
        <v>2637</v>
      </c>
      <c r="F7" s="225">
        <f>D7-E7</f>
        <v>2636</v>
      </c>
    </row>
    <row r="8" spans="1:6">
      <c r="A8" s="8"/>
      <c r="B8" s="11" t="s">
        <v>8</v>
      </c>
      <c r="C8" s="11"/>
      <c r="D8" s="12">
        <f>+D5-D7</f>
        <v>26270</v>
      </c>
      <c r="E8" s="13">
        <f>ROUND(D8/2,0)</f>
        <v>13135</v>
      </c>
      <c r="F8" s="12">
        <f>D8-E8</f>
        <v>13135</v>
      </c>
    </row>
    <row r="9" spans="1:6">
      <c r="A9" s="8">
        <v>2</v>
      </c>
      <c r="B9" s="11" t="s">
        <v>1122</v>
      </c>
      <c r="C9" s="11"/>
      <c r="D9" s="9"/>
      <c r="E9" s="11"/>
      <c r="F9" s="11"/>
    </row>
    <row r="10" spans="1:6">
      <c r="A10" s="8"/>
      <c r="B10" s="11" t="s">
        <v>10</v>
      </c>
      <c r="C10" s="10">
        <v>5.6099999999999998E-4</v>
      </c>
      <c r="D10" s="12">
        <f>ROUND(D$3*C10,0)</f>
        <v>88</v>
      </c>
      <c r="E10" s="13">
        <f>ROUND(D10/2,0)</f>
        <v>44</v>
      </c>
      <c r="F10" s="12">
        <f>D10-E10</f>
        <v>44</v>
      </c>
    </row>
    <row r="11" spans="1:6">
      <c r="A11" s="8"/>
      <c r="B11" s="11" t="s">
        <v>11</v>
      </c>
      <c r="C11" s="10">
        <v>0</v>
      </c>
      <c r="D11" s="12">
        <f>ROUND(D$3*C11,0)</f>
        <v>0</v>
      </c>
      <c r="E11" s="13">
        <f>ROUND(D11/2,0)</f>
        <v>0</v>
      </c>
      <c r="F11" s="12">
        <f>D11-E11</f>
        <v>0</v>
      </c>
    </row>
    <row r="12" spans="1:6">
      <c r="A12" s="8">
        <v>2</v>
      </c>
      <c r="B12" s="11" t="s">
        <v>895</v>
      </c>
      <c r="C12" s="11"/>
      <c r="D12" s="9"/>
      <c r="E12" s="11"/>
      <c r="F12" s="11"/>
    </row>
    <row r="13" spans="1:6">
      <c r="A13" s="8"/>
      <c r="B13" s="11" t="s">
        <v>10</v>
      </c>
      <c r="C13" s="10">
        <v>3.3300000000000002E-4</v>
      </c>
      <c r="D13" s="12">
        <f>ROUND(D$3*C13,0)</f>
        <v>52</v>
      </c>
      <c r="E13" s="13">
        <f>ROUND(D13/2,0)</f>
        <v>26</v>
      </c>
      <c r="F13" s="12">
        <f>D13-E13</f>
        <v>26</v>
      </c>
    </row>
    <row r="14" spans="1:6">
      <c r="A14" s="8"/>
      <c r="B14" s="11" t="s">
        <v>11</v>
      </c>
      <c r="C14" s="10">
        <v>0</v>
      </c>
      <c r="D14" s="12">
        <f>ROUND(D$3*C14,0)</f>
        <v>0</v>
      </c>
      <c r="E14" s="13">
        <f>ROUND(D14/2,0)</f>
        <v>0</v>
      </c>
      <c r="F14" s="12">
        <f>D14-E14</f>
        <v>0</v>
      </c>
    </row>
    <row r="15" spans="1:6">
      <c r="A15" s="8">
        <v>2</v>
      </c>
      <c r="B15" s="11" t="s">
        <v>1384</v>
      </c>
      <c r="C15" s="11"/>
      <c r="D15" s="9"/>
      <c r="E15" s="11"/>
      <c r="F15" s="11"/>
    </row>
    <row r="16" spans="1:6">
      <c r="A16" s="8"/>
      <c r="B16" s="11" t="s">
        <v>10</v>
      </c>
      <c r="C16" s="10">
        <v>6.7699999999999998E-4</v>
      </c>
      <c r="D16" s="12">
        <f>ROUND(D$3*C16,0)</f>
        <v>106</v>
      </c>
      <c r="E16" s="13">
        <f>ROUND(D16/2,0)</f>
        <v>53</v>
      </c>
      <c r="F16" s="12">
        <f>D16-E16</f>
        <v>53</v>
      </c>
    </row>
    <row r="17" spans="1:6">
      <c r="A17" s="8"/>
      <c r="B17" s="11" t="s">
        <v>11</v>
      </c>
      <c r="C17" s="10">
        <v>1.9900000000000001E-4</v>
      </c>
      <c r="D17" s="12">
        <f>ROUND(D$3*C17,0)</f>
        <v>31</v>
      </c>
      <c r="E17" s="13">
        <f>ROUND(D17/2,0)</f>
        <v>16</v>
      </c>
      <c r="F17" s="12">
        <f>D17-E17</f>
        <v>15</v>
      </c>
    </row>
    <row r="18" spans="1:6">
      <c r="A18" s="8">
        <v>2</v>
      </c>
      <c r="B18" s="11" t="s">
        <v>1385</v>
      </c>
      <c r="C18" s="11"/>
      <c r="D18" s="9"/>
      <c r="E18" s="11"/>
      <c r="F18" s="11"/>
    </row>
    <row r="19" spans="1:6">
      <c r="A19" s="8"/>
      <c r="B19" s="11" t="s">
        <v>10</v>
      </c>
      <c r="C19" s="10">
        <v>6.1899999999999998E-4</v>
      </c>
      <c r="D19" s="12">
        <f>ROUND(D$3*C19,0)</f>
        <v>97</v>
      </c>
      <c r="E19" s="13">
        <f>ROUND(D19/2,0)</f>
        <v>49</v>
      </c>
      <c r="F19" s="12">
        <f>D19-E19</f>
        <v>48</v>
      </c>
    </row>
    <row r="20" spans="1:6">
      <c r="A20" s="8"/>
      <c r="B20" s="11" t="s">
        <v>11</v>
      </c>
      <c r="C20" s="10">
        <v>0</v>
      </c>
      <c r="D20" s="12">
        <f>ROUND(D$3*C20,0)</f>
        <v>0</v>
      </c>
      <c r="E20" s="13">
        <f>ROUND(D20/2,0)</f>
        <v>0</v>
      </c>
      <c r="F20" s="12">
        <f>D20-E20</f>
        <v>0</v>
      </c>
    </row>
    <row r="21" spans="1:6">
      <c r="A21" s="8">
        <v>2</v>
      </c>
      <c r="B21" s="11" t="s">
        <v>1386</v>
      </c>
      <c r="C21" s="11"/>
      <c r="D21" s="9"/>
      <c r="E21" s="11"/>
      <c r="F21" s="11"/>
    </row>
    <row r="22" spans="1:6">
      <c r="A22" s="8"/>
      <c r="B22" s="11" t="s">
        <v>10</v>
      </c>
      <c r="C22" s="10">
        <v>2.92E-4</v>
      </c>
      <c r="D22" s="12">
        <f>ROUND(D$3*C22,0)</f>
        <v>46</v>
      </c>
      <c r="E22" s="13">
        <f>ROUND(D22/2,0)</f>
        <v>23</v>
      </c>
      <c r="F22" s="12">
        <f>D22-E22</f>
        <v>23</v>
      </c>
    </row>
    <row r="23" spans="1:6">
      <c r="A23" s="8"/>
      <c r="B23" s="11" t="s">
        <v>11</v>
      </c>
      <c r="C23" s="10">
        <v>0</v>
      </c>
      <c r="D23" s="12">
        <f>ROUND(D$3*C23,0)</f>
        <v>0</v>
      </c>
      <c r="E23" s="13">
        <f>ROUND(D23/2,0)</f>
        <v>0</v>
      </c>
      <c r="F23" s="12">
        <f>D23-E23</f>
        <v>0</v>
      </c>
    </row>
    <row r="24" spans="1:6">
      <c r="A24" s="8">
        <v>2</v>
      </c>
      <c r="B24" s="11" t="s">
        <v>378</v>
      </c>
      <c r="C24" s="11"/>
      <c r="D24" s="9"/>
      <c r="E24" s="11"/>
      <c r="F24" s="11"/>
    </row>
    <row r="25" spans="1:6">
      <c r="A25" s="8"/>
      <c r="B25" s="11" t="s">
        <v>10</v>
      </c>
      <c r="C25" s="10">
        <v>4.7239999999999999E-3</v>
      </c>
      <c r="D25" s="12">
        <f>ROUND(D$3*C25,0)</f>
        <v>737</v>
      </c>
      <c r="E25" s="13">
        <f>ROUND(D25/2,0)</f>
        <v>369</v>
      </c>
      <c r="F25" s="12">
        <f>D25-E25</f>
        <v>368</v>
      </c>
    </row>
    <row r="26" spans="1:6">
      <c r="A26" s="8"/>
      <c r="B26" s="11" t="s">
        <v>11</v>
      </c>
      <c r="C26" s="10">
        <v>2.9799999999999998E-4</v>
      </c>
      <c r="D26" s="12">
        <f>ROUND(D$3*C26,0)</f>
        <v>47</v>
      </c>
      <c r="E26" s="13">
        <f>ROUND(D26/2,0)</f>
        <v>24</v>
      </c>
      <c r="F26" s="12">
        <f>D26-E26</f>
        <v>23</v>
      </c>
    </row>
    <row r="27" spans="1:6">
      <c r="A27" s="8">
        <v>2</v>
      </c>
      <c r="B27" s="11" t="s">
        <v>20</v>
      </c>
      <c r="C27" s="11"/>
      <c r="D27" s="9"/>
      <c r="E27" s="11"/>
      <c r="F27" s="11"/>
    </row>
    <row r="28" spans="1:6">
      <c r="A28" s="8"/>
      <c r="B28" s="11" t="s">
        <v>10</v>
      </c>
      <c r="C28" s="10">
        <v>6.3100000000000005E-4</v>
      </c>
      <c r="D28" s="12">
        <f t="shared" ref="D28:D33" si="0">ROUND(D$3*C28,0)</f>
        <v>98</v>
      </c>
      <c r="E28" s="13">
        <f t="shared" ref="E28:E33" si="1">ROUND(D28/2,0)</f>
        <v>49</v>
      </c>
      <c r="F28" s="12">
        <f t="shared" ref="F28:F33" si="2">D28-E28</f>
        <v>49</v>
      </c>
    </row>
    <row r="29" spans="1:6">
      <c r="A29" s="8"/>
      <c r="B29" s="11" t="s">
        <v>11</v>
      </c>
      <c r="C29" s="10">
        <v>1.46E-4</v>
      </c>
      <c r="D29" s="12">
        <f t="shared" si="0"/>
        <v>23</v>
      </c>
      <c r="E29" s="13">
        <f t="shared" si="1"/>
        <v>12</v>
      </c>
      <c r="F29" s="12">
        <f t="shared" si="2"/>
        <v>11</v>
      </c>
    </row>
    <row r="30" spans="1:6">
      <c r="A30" s="8">
        <v>3</v>
      </c>
      <c r="B30" s="11" t="s">
        <v>1387</v>
      </c>
      <c r="C30" s="10">
        <v>2.6655999999999999E-2</v>
      </c>
      <c r="D30" s="12">
        <f t="shared" si="0"/>
        <v>4160</v>
      </c>
      <c r="E30" s="13">
        <f t="shared" si="1"/>
        <v>2080</v>
      </c>
      <c r="F30" s="12">
        <f t="shared" si="2"/>
        <v>2080</v>
      </c>
    </row>
    <row r="31" spans="1:6">
      <c r="A31" s="8">
        <v>3</v>
      </c>
      <c r="B31" s="11" t="s">
        <v>1388</v>
      </c>
      <c r="C31" s="10">
        <v>8.1789000000000001E-2</v>
      </c>
      <c r="D31" s="12">
        <f t="shared" si="0"/>
        <v>12765</v>
      </c>
      <c r="E31" s="13">
        <f t="shared" si="1"/>
        <v>6383</v>
      </c>
      <c r="F31" s="12">
        <f t="shared" si="2"/>
        <v>6382</v>
      </c>
    </row>
    <row r="32" spans="1:6">
      <c r="A32" s="8">
        <v>3</v>
      </c>
      <c r="B32" s="11" t="s">
        <v>1389</v>
      </c>
      <c r="C32" s="10">
        <v>6.1370000000000001E-3</v>
      </c>
      <c r="D32" s="12">
        <f t="shared" si="0"/>
        <v>958</v>
      </c>
      <c r="E32" s="13">
        <f t="shared" si="1"/>
        <v>479</v>
      </c>
      <c r="F32" s="12">
        <f t="shared" si="2"/>
        <v>479</v>
      </c>
    </row>
    <row r="33" spans="1:6">
      <c r="A33" s="8">
        <v>4</v>
      </c>
      <c r="B33" s="11" t="s">
        <v>1390</v>
      </c>
      <c r="C33" s="10">
        <v>4.3041000000000003E-2</v>
      </c>
      <c r="D33" s="9">
        <f t="shared" si="0"/>
        <v>6718</v>
      </c>
      <c r="E33" s="11">
        <f t="shared" si="1"/>
        <v>3359</v>
      </c>
      <c r="F33" s="9">
        <f t="shared" si="2"/>
        <v>3359</v>
      </c>
    </row>
    <row r="34" spans="1:6">
      <c r="A34" s="8"/>
      <c r="B34" s="11" t="s">
        <v>28</v>
      </c>
      <c r="C34" s="11"/>
      <c r="D34" s="14">
        <v>0.75700199999999995</v>
      </c>
      <c r="E34" s="11"/>
      <c r="F34" s="11"/>
    </row>
    <row r="35" spans="1:6">
      <c r="A35" s="8"/>
      <c r="B35" s="11" t="s">
        <v>29</v>
      </c>
      <c r="C35" s="11"/>
      <c r="D35" s="225">
        <f>ROUND(D33*D34,0)</f>
        <v>5086</v>
      </c>
      <c r="E35" s="226">
        <f>ROUND(D35/2,0)</f>
        <v>2543</v>
      </c>
      <c r="F35" s="225">
        <f>D35-E35</f>
        <v>2543</v>
      </c>
    </row>
    <row r="36" spans="1:6">
      <c r="A36" s="8"/>
      <c r="B36" s="11" t="s">
        <v>30</v>
      </c>
      <c r="C36" s="11"/>
      <c r="D36" s="12">
        <f>+D33-D35</f>
        <v>1632</v>
      </c>
      <c r="E36" s="13">
        <f>ROUND(D36/2,0)</f>
        <v>816</v>
      </c>
      <c r="F36" s="12">
        <f>D36-E36</f>
        <v>816</v>
      </c>
    </row>
    <row r="37" spans="1:6">
      <c r="A37" s="8">
        <v>4</v>
      </c>
      <c r="B37" s="11" t="s">
        <v>1391</v>
      </c>
      <c r="C37" s="10">
        <v>0.239482</v>
      </c>
      <c r="D37" s="9">
        <f>ROUND(D$3*C37,0)</f>
        <v>37378</v>
      </c>
      <c r="E37" s="11">
        <f>ROUND(D37/2,0)</f>
        <v>18689</v>
      </c>
      <c r="F37" s="9">
        <f>D37-E37</f>
        <v>18689</v>
      </c>
    </row>
    <row r="38" spans="1:6">
      <c r="A38" s="8"/>
      <c r="B38" s="11" t="s">
        <v>28</v>
      </c>
      <c r="C38" s="11"/>
      <c r="D38" s="14">
        <v>0.430176</v>
      </c>
      <c r="E38" s="11"/>
      <c r="F38" s="11"/>
    </row>
    <row r="39" spans="1:6">
      <c r="A39" s="8"/>
      <c r="B39" s="11" t="s">
        <v>29</v>
      </c>
      <c r="C39" s="11"/>
      <c r="D39" s="225">
        <f>ROUND(D37*D38,0)</f>
        <v>16079</v>
      </c>
      <c r="E39" s="226">
        <f>ROUND(D39/2,0)</f>
        <v>8040</v>
      </c>
      <c r="F39" s="225">
        <f>D39-E39</f>
        <v>8039</v>
      </c>
    </row>
    <row r="40" spans="1:6">
      <c r="A40" s="8"/>
      <c r="B40" s="11" t="s">
        <v>30</v>
      </c>
      <c r="C40" s="11"/>
      <c r="D40" s="12">
        <f>+D37-D39</f>
        <v>21299</v>
      </c>
      <c r="E40" s="13">
        <f>ROUND(D40/2,0)</f>
        <v>10650</v>
      </c>
      <c r="F40" s="12">
        <f>D40-E40</f>
        <v>10649</v>
      </c>
    </row>
    <row r="41" spans="1:6">
      <c r="A41" s="8">
        <v>4</v>
      </c>
      <c r="B41" s="11" t="s">
        <v>1392</v>
      </c>
      <c r="C41" s="10">
        <v>0.35776599999999997</v>
      </c>
      <c r="D41" s="9">
        <f>ROUND(D$3*C41,0)</f>
        <v>55839</v>
      </c>
      <c r="E41" s="11">
        <f>ROUND(D41/2,0)</f>
        <v>27920</v>
      </c>
      <c r="F41" s="9">
        <f>D41-E41</f>
        <v>27919</v>
      </c>
    </row>
    <row r="42" spans="1:6">
      <c r="A42" s="8"/>
      <c r="B42" s="11" t="s">
        <v>28</v>
      </c>
      <c r="C42" s="11"/>
      <c r="D42" s="14">
        <v>0.39270100000000002</v>
      </c>
      <c r="E42" s="11"/>
      <c r="F42" s="11"/>
    </row>
    <row r="43" spans="1:6">
      <c r="A43" s="8"/>
      <c r="B43" s="11" t="s">
        <v>29</v>
      </c>
      <c r="C43" s="11"/>
      <c r="D43" s="225">
        <f>ROUND(D41*D42,0)</f>
        <v>21928</v>
      </c>
      <c r="E43" s="226">
        <f t="shared" ref="E43:E48" si="3">ROUND(D43/2,0)</f>
        <v>10964</v>
      </c>
      <c r="F43" s="225">
        <f t="shared" ref="F43:F48" si="4">D43-E43</f>
        <v>10964</v>
      </c>
    </row>
    <row r="44" spans="1:6">
      <c r="A44" s="8"/>
      <c r="B44" s="11" t="s">
        <v>30</v>
      </c>
      <c r="C44" s="11"/>
      <c r="D44" s="12">
        <f>+D41-D43</f>
        <v>33911</v>
      </c>
      <c r="E44" s="13">
        <f t="shared" si="3"/>
        <v>16956</v>
      </c>
      <c r="F44" s="12">
        <f t="shared" si="4"/>
        <v>16955</v>
      </c>
    </row>
    <row r="45" spans="1:6">
      <c r="A45" s="8">
        <v>5</v>
      </c>
      <c r="B45" s="11" t="s">
        <v>1393</v>
      </c>
      <c r="C45" s="10">
        <v>1.3960000000000001E-3</v>
      </c>
      <c r="D45" s="12">
        <f>ROUND(D$3*C45,0)</f>
        <v>218</v>
      </c>
      <c r="E45" s="13">
        <f t="shared" si="3"/>
        <v>109</v>
      </c>
      <c r="F45" s="12">
        <f t="shared" si="4"/>
        <v>109</v>
      </c>
    </row>
    <row r="46" spans="1:6">
      <c r="A46" s="8">
        <v>5</v>
      </c>
      <c r="B46" s="11" t="s">
        <v>1394</v>
      </c>
      <c r="C46" s="10">
        <v>2.8232E-2</v>
      </c>
      <c r="D46" s="12">
        <f>ROUND(D$3*C46,0)</f>
        <v>4406</v>
      </c>
      <c r="E46" s="13">
        <f t="shared" si="3"/>
        <v>2203</v>
      </c>
      <c r="F46" s="12">
        <f t="shared" si="4"/>
        <v>2203</v>
      </c>
    </row>
    <row r="47" spans="1:6">
      <c r="A47" s="8">
        <v>6</v>
      </c>
      <c r="B47" s="11" t="s">
        <v>1395</v>
      </c>
      <c r="C47" s="10">
        <v>3.8869999999999738E-3</v>
      </c>
      <c r="D47" s="12">
        <f>+D3-SUM(D4:D5)-SUM(D10:D33)-D37-D41-SUM(D45:D46)</f>
        <v>606</v>
      </c>
      <c r="E47" s="13">
        <f t="shared" si="3"/>
        <v>303</v>
      </c>
      <c r="F47" s="12">
        <f t="shared" si="4"/>
        <v>303</v>
      </c>
    </row>
    <row r="48" spans="1:6">
      <c r="A48" s="8">
        <v>6</v>
      </c>
      <c r="B48" s="11" t="s">
        <v>1396</v>
      </c>
      <c r="C48" s="10">
        <v>0</v>
      </c>
      <c r="D48" s="12">
        <f>ROUND(D$3*C48,0)</f>
        <v>0</v>
      </c>
      <c r="E48" s="13">
        <f t="shared" si="3"/>
        <v>0</v>
      </c>
      <c r="F48" s="12">
        <f t="shared" si="4"/>
        <v>0</v>
      </c>
    </row>
    <row r="49" spans="1:8">
      <c r="A49" s="8"/>
      <c r="B49" s="28" t="s">
        <v>288</v>
      </c>
      <c r="C49" s="10">
        <v>1</v>
      </c>
      <c r="D49" s="12">
        <f>+D4+SUM(D7:D32)+SUM(D35:D36)+SUM(D39:D40)+SUM(D43:D48)</f>
        <v>156077</v>
      </c>
      <c r="E49" s="12">
        <f>+E4+SUM(E7:E32)+SUM(E35:E36)+SUM(E39:E40)+SUM(E43:E48)</f>
        <v>78044</v>
      </c>
      <c r="F49" s="12">
        <f>+F4+SUM(F7:F32)+SUM(F35:F36)+SUM(F39:F40)+SUM(F43:F48)</f>
        <v>78033</v>
      </c>
    </row>
    <row r="50" spans="1:8">
      <c r="B50" s="18" t="s">
        <v>38</v>
      </c>
      <c r="D50" s="19">
        <f>+D4</f>
        <v>161</v>
      </c>
      <c r="E50" s="19">
        <f>+E4</f>
        <v>81</v>
      </c>
      <c r="F50" s="19">
        <f>+F4</f>
        <v>80</v>
      </c>
    </row>
    <row r="51" spans="1:8">
      <c r="B51" s="2" t="s">
        <v>39</v>
      </c>
      <c r="D51" s="19">
        <f>+D7</f>
        <v>5273</v>
      </c>
      <c r="E51" s="19">
        <f>+E7</f>
        <v>2637</v>
      </c>
      <c r="F51" s="19">
        <f>+F7</f>
        <v>2636</v>
      </c>
    </row>
    <row r="52" spans="1:8">
      <c r="B52" s="2" t="s">
        <v>40</v>
      </c>
      <c r="D52" s="19">
        <f>+D35+D39+D43</f>
        <v>43093</v>
      </c>
      <c r="E52" s="19">
        <f>+E35+E39+E43</f>
        <v>21547</v>
      </c>
      <c r="F52" s="19">
        <f>+F35+F39+F43</f>
        <v>21546</v>
      </c>
      <c r="H52" s="3">
        <v>1</v>
      </c>
    </row>
    <row r="53" spans="1:8">
      <c r="B53" s="18" t="s">
        <v>41</v>
      </c>
      <c r="D53" s="19">
        <f>+D49-D50-D51-D52</f>
        <v>107550</v>
      </c>
      <c r="E53" s="19">
        <f>+E49-E50-E51-E52</f>
        <v>53779</v>
      </c>
      <c r="F53" s="19">
        <f>+F49-F50-F51-F52</f>
        <v>53771</v>
      </c>
      <c r="H53" s="3">
        <v>2</v>
      </c>
    </row>
    <row r="55" spans="1:8" hidden="1">
      <c r="B55" s="3" t="s">
        <v>42</v>
      </c>
      <c r="C55" s="4">
        <v>-2.0000000000262863E-6</v>
      </c>
      <c r="D55" s="3">
        <f>+D47-ROUND(D3*C47,0)</f>
        <v>-1</v>
      </c>
    </row>
    <row r="71" spans="1:1">
      <c r="A71" s="1" t="s">
        <v>590</v>
      </c>
    </row>
  </sheetData>
  <pageMargins left="0.7" right="0.7" top="0.75" bottom="0.75" header="0.3" footer="0.3"/>
  <pageSetup scale="64"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4">
    <pageSetUpPr fitToPage="1"/>
  </sheetPr>
  <dimension ref="A1:WVB71"/>
  <sheetViews>
    <sheetView topLeftCell="A20" zoomScaleNormal="100" zoomScaleSheetLayoutView="80" workbookViewId="0">
      <selection activeCell="D41" activeCellId="1" sqref="D7:F7 D41:F41"/>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3.140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3.140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3.140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3.140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3.140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3.140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3.140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3.140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3.140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3.140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3.140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3.140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3.140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3.140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3.140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3.140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3.140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3.140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3.140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3.140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3.140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3.140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3.140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3.140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3.140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3.140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3.140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3.140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3.140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3.140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3.140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3.140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3.140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3.140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3.140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3.140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3.140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3.140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3.140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3.140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3.140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3.140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3.140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3.140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3.140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3.140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3.140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3.140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3.140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3.140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3.140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3.140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3.140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3.140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3.140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3.140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3.140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3.140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3.140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3.140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3.140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3.140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3.140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1397</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Worksheet'!$D$66</f>
        <v>170346</v>
      </c>
      <c r="E3" s="11"/>
      <c r="F3" s="11"/>
    </row>
    <row r="4" spans="1:6">
      <c r="A4" s="8">
        <v>0</v>
      </c>
      <c r="B4" s="11" t="s">
        <v>4</v>
      </c>
      <c r="C4" s="10">
        <v>1.3320000000000001E-3</v>
      </c>
      <c r="D4" s="12">
        <f>ROUND(D$3*C4,0)</f>
        <v>227</v>
      </c>
      <c r="E4" s="13">
        <f>ROUND(D4/2,0)</f>
        <v>114</v>
      </c>
      <c r="F4" s="12">
        <f>D4-E4</f>
        <v>113</v>
      </c>
    </row>
    <row r="5" spans="1:6">
      <c r="A5" s="8">
        <v>1</v>
      </c>
      <c r="B5" s="11" t="s">
        <v>1398</v>
      </c>
      <c r="C5" s="10">
        <v>0.33315</v>
      </c>
      <c r="D5" s="9">
        <f>ROUND(D$3*C5,0)</f>
        <v>56751</v>
      </c>
      <c r="E5" s="11">
        <f>ROUND(D5/2,0)</f>
        <v>28376</v>
      </c>
      <c r="F5" s="9">
        <f>D5-E5</f>
        <v>28375</v>
      </c>
    </row>
    <row r="6" spans="1:6">
      <c r="A6" s="8"/>
      <c r="B6" s="11" t="s">
        <v>6</v>
      </c>
      <c r="C6" s="11"/>
      <c r="D6" s="14">
        <v>0.16600999999999999</v>
      </c>
      <c r="E6" s="11"/>
      <c r="F6" s="11"/>
    </row>
    <row r="7" spans="1:6">
      <c r="A7" s="8"/>
      <c r="B7" s="11" t="s">
        <v>7</v>
      </c>
      <c r="C7" s="11"/>
      <c r="D7" s="225">
        <f>ROUND(D5*D6,0)</f>
        <v>9421</v>
      </c>
      <c r="E7" s="226">
        <f>ROUND(D7/2,0)</f>
        <v>4711</v>
      </c>
      <c r="F7" s="225">
        <f>D7-E7</f>
        <v>4710</v>
      </c>
    </row>
    <row r="8" spans="1:6">
      <c r="A8" s="8"/>
      <c r="B8" s="11" t="s">
        <v>8</v>
      </c>
      <c r="C8" s="11"/>
      <c r="D8" s="12">
        <f>+D5-D7</f>
        <v>47330</v>
      </c>
      <c r="E8" s="13">
        <f>ROUND(D8/2,0)</f>
        <v>23665</v>
      </c>
      <c r="F8" s="12">
        <f>D8-E8</f>
        <v>23665</v>
      </c>
    </row>
    <row r="9" spans="1:6">
      <c r="A9" s="8">
        <v>2</v>
      </c>
      <c r="B9" s="11" t="s">
        <v>81</v>
      </c>
      <c r="C9" s="11"/>
      <c r="D9" s="9"/>
      <c r="E9" s="11"/>
      <c r="F9" s="11"/>
    </row>
    <row r="10" spans="1:6">
      <c r="A10" s="8"/>
      <c r="B10" s="11" t="s">
        <v>10</v>
      </c>
      <c r="C10" s="10">
        <v>7.9699999999999997E-4</v>
      </c>
      <c r="D10" s="12">
        <f>ROUND(D$3*C10,0)</f>
        <v>136</v>
      </c>
      <c r="E10" s="13">
        <f>ROUND(D10/2,0)</f>
        <v>68</v>
      </c>
      <c r="F10" s="12">
        <f>D10-E10</f>
        <v>68</v>
      </c>
    </row>
    <row r="11" spans="1:6">
      <c r="A11" s="8"/>
      <c r="B11" s="11" t="s">
        <v>11</v>
      </c>
      <c r="C11" s="10">
        <v>0</v>
      </c>
      <c r="D11" s="12">
        <f>ROUND(D$3*C11,0)</f>
        <v>0</v>
      </c>
      <c r="E11" s="13">
        <f>ROUND(D11/2,0)</f>
        <v>0</v>
      </c>
      <c r="F11" s="12">
        <f>D11-E11</f>
        <v>0</v>
      </c>
    </row>
    <row r="12" spans="1:6">
      <c r="A12" s="8">
        <v>2</v>
      </c>
      <c r="B12" s="11" t="s">
        <v>14</v>
      </c>
      <c r="C12" s="11"/>
      <c r="D12" s="9"/>
      <c r="E12" s="11"/>
      <c r="F12" s="11"/>
    </row>
    <row r="13" spans="1:6">
      <c r="A13" s="8"/>
      <c r="B13" s="11" t="s">
        <v>10</v>
      </c>
      <c r="C13" s="10">
        <v>5.5960000000000003E-3</v>
      </c>
      <c r="D13" s="12">
        <f>ROUND(D$3*C13,0)</f>
        <v>953</v>
      </c>
      <c r="E13" s="13">
        <f>ROUND(D13/2,0)</f>
        <v>477</v>
      </c>
      <c r="F13" s="12">
        <f>D13-E13</f>
        <v>476</v>
      </c>
    </row>
    <row r="14" spans="1:6">
      <c r="A14" s="8"/>
      <c r="B14" s="11" t="s">
        <v>11</v>
      </c>
      <c r="C14" s="10">
        <v>0</v>
      </c>
      <c r="D14" s="12">
        <f>ROUND(D$3*C14,0)</f>
        <v>0</v>
      </c>
      <c r="E14" s="13">
        <f>ROUND(D14/2,0)</f>
        <v>0</v>
      </c>
      <c r="F14" s="12">
        <f>D14-E14</f>
        <v>0</v>
      </c>
    </row>
    <row r="15" spans="1:6">
      <c r="A15" s="8">
        <v>2</v>
      </c>
      <c r="B15" s="11" t="s">
        <v>1399</v>
      </c>
      <c r="C15" s="11"/>
      <c r="D15" s="9"/>
      <c r="E15" s="11"/>
      <c r="F15" s="11"/>
    </row>
    <row r="16" spans="1:6">
      <c r="A16" s="8"/>
      <c r="B16" s="11" t="s">
        <v>10</v>
      </c>
      <c r="C16" s="10">
        <v>2.41E-4</v>
      </c>
      <c r="D16" s="12">
        <f>ROUND(D$3*C16,0)</f>
        <v>41</v>
      </c>
      <c r="E16" s="13">
        <f>ROUND(D16/2,0)</f>
        <v>21</v>
      </c>
      <c r="F16" s="12">
        <f>D16-E16</f>
        <v>20</v>
      </c>
    </row>
    <row r="17" spans="1:6">
      <c r="A17" s="8"/>
      <c r="B17" s="11" t="s">
        <v>11</v>
      </c>
      <c r="C17" s="10">
        <v>1.07E-4</v>
      </c>
      <c r="D17" s="12">
        <f>ROUND(D$3*C17,0)</f>
        <v>18</v>
      </c>
      <c r="E17" s="13">
        <f>ROUND(D17/2,0)</f>
        <v>9</v>
      </c>
      <c r="F17" s="12">
        <f>D17-E17</f>
        <v>9</v>
      </c>
    </row>
    <row r="18" spans="1:6">
      <c r="A18" s="8">
        <v>2</v>
      </c>
      <c r="B18" s="11" t="s">
        <v>335</v>
      </c>
      <c r="C18" s="11"/>
      <c r="D18" s="9"/>
      <c r="E18" s="11"/>
      <c r="F18" s="11"/>
    </row>
    <row r="19" spans="1:6">
      <c r="A19" s="8"/>
      <c r="B19" s="11" t="s">
        <v>10</v>
      </c>
      <c r="C19" s="10">
        <v>8.3500000000000002E-4</v>
      </c>
      <c r="D19" s="12">
        <f>ROUND(D$3*C19,0)</f>
        <v>142</v>
      </c>
      <c r="E19" s="13">
        <f>ROUND(D19/2,0)</f>
        <v>71</v>
      </c>
      <c r="F19" s="12">
        <f>D19-E19</f>
        <v>71</v>
      </c>
    </row>
    <row r="20" spans="1:6">
      <c r="A20" s="8"/>
      <c r="B20" s="11" t="s">
        <v>11</v>
      </c>
      <c r="C20" s="10">
        <v>0</v>
      </c>
      <c r="D20" s="12">
        <f>ROUND(D$3*C20,0)</f>
        <v>0</v>
      </c>
      <c r="E20" s="13">
        <f>ROUND(D20/2,0)</f>
        <v>0</v>
      </c>
      <c r="F20" s="12">
        <f>D20-E20</f>
        <v>0</v>
      </c>
    </row>
    <row r="21" spans="1:6">
      <c r="A21" s="8">
        <v>2</v>
      </c>
      <c r="B21" s="11" t="s">
        <v>52</v>
      </c>
      <c r="C21" s="11"/>
      <c r="D21" s="9"/>
      <c r="E21" s="11"/>
      <c r="F21" s="11"/>
    </row>
    <row r="22" spans="1:6">
      <c r="A22" s="8"/>
      <c r="B22" s="11" t="s">
        <v>10</v>
      </c>
      <c r="C22" s="10">
        <v>1.268E-3</v>
      </c>
      <c r="D22" s="12">
        <f>ROUND(D$3*C22,0)</f>
        <v>216</v>
      </c>
      <c r="E22" s="13">
        <f>ROUND(D22/2,0)</f>
        <v>108</v>
      </c>
      <c r="F22" s="12">
        <f>D22-E22</f>
        <v>108</v>
      </c>
    </row>
    <row r="23" spans="1:6">
      <c r="A23" s="8"/>
      <c r="B23" s="11" t="s">
        <v>11</v>
      </c>
      <c r="C23" s="10">
        <v>0</v>
      </c>
      <c r="D23" s="12">
        <f>ROUND(D$3*C23,0)</f>
        <v>0</v>
      </c>
      <c r="E23" s="13">
        <f>ROUND(D23/2,0)</f>
        <v>0</v>
      </c>
      <c r="F23" s="12">
        <f>D23-E23</f>
        <v>0</v>
      </c>
    </row>
    <row r="24" spans="1:6">
      <c r="A24" s="8">
        <v>2</v>
      </c>
      <c r="B24" s="11" t="s">
        <v>53</v>
      </c>
      <c r="C24" s="11"/>
      <c r="D24" s="9"/>
      <c r="E24" s="11"/>
      <c r="F24" s="11"/>
    </row>
    <row r="25" spans="1:6">
      <c r="A25" s="8"/>
      <c r="B25" s="11" t="s">
        <v>10</v>
      </c>
      <c r="C25" s="10">
        <v>1.145E-3</v>
      </c>
      <c r="D25" s="12">
        <f>ROUND(D$3*C25,0)</f>
        <v>195</v>
      </c>
      <c r="E25" s="13">
        <f>ROUND(D25/2,0)</f>
        <v>98</v>
      </c>
      <c r="F25" s="12">
        <f>D25-E25</f>
        <v>97</v>
      </c>
    </row>
    <row r="26" spans="1:6">
      <c r="A26" s="8"/>
      <c r="B26" s="11" t="s">
        <v>11</v>
      </c>
      <c r="C26" s="10">
        <v>0</v>
      </c>
      <c r="D26" s="12">
        <f>ROUND(D$3*C26,0)</f>
        <v>0</v>
      </c>
      <c r="E26" s="13">
        <f>ROUND(D26/2,0)</f>
        <v>0</v>
      </c>
      <c r="F26" s="12">
        <f>D26-E26</f>
        <v>0</v>
      </c>
    </row>
    <row r="27" spans="1:6">
      <c r="A27" s="8">
        <v>2</v>
      </c>
      <c r="B27" s="11" t="s">
        <v>16</v>
      </c>
      <c r="C27" s="11"/>
      <c r="D27" s="9"/>
      <c r="E27" s="11"/>
      <c r="F27" s="11"/>
    </row>
    <row r="28" spans="1:6">
      <c r="A28" s="8"/>
      <c r="B28" s="11" t="s">
        <v>10</v>
      </c>
      <c r="C28" s="10">
        <v>1.6850000000000001E-3</v>
      </c>
      <c r="D28" s="12">
        <f>ROUND(D$3*C28,0)</f>
        <v>287</v>
      </c>
      <c r="E28" s="13">
        <f>ROUND(D28/2,0)</f>
        <v>144</v>
      </c>
      <c r="F28" s="12">
        <f>D28-E28</f>
        <v>143</v>
      </c>
    </row>
    <row r="29" spans="1:6">
      <c r="A29" s="8"/>
      <c r="B29" s="11" t="s">
        <v>11</v>
      </c>
      <c r="C29" s="10">
        <v>1.1659999999999999E-3</v>
      </c>
      <c r="D29" s="12">
        <f>ROUND(D$3*C29,0)</f>
        <v>199</v>
      </c>
      <c r="E29" s="13">
        <f>ROUND(D29/2,0)</f>
        <v>100</v>
      </c>
      <c r="F29" s="12">
        <f>D29-E29</f>
        <v>99</v>
      </c>
    </row>
    <row r="30" spans="1:6">
      <c r="A30" s="8">
        <v>2</v>
      </c>
      <c r="B30" s="11" t="s">
        <v>292</v>
      </c>
      <c r="C30" s="11"/>
      <c r="D30" s="9"/>
      <c r="E30" s="11"/>
      <c r="F30" s="11"/>
    </row>
    <row r="31" spans="1:6">
      <c r="A31" s="8"/>
      <c r="B31" s="11" t="s">
        <v>10</v>
      </c>
      <c r="C31" s="10">
        <v>7.1699999999999997E-4</v>
      </c>
      <c r="D31" s="12">
        <f>ROUND(D$3*C31,0)</f>
        <v>122</v>
      </c>
      <c r="E31" s="13">
        <f>ROUND(D31/2,0)</f>
        <v>61</v>
      </c>
      <c r="F31" s="12">
        <f>D31-E31</f>
        <v>61</v>
      </c>
    </row>
    <row r="32" spans="1:6">
      <c r="A32" s="8"/>
      <c r="B32" s="11" t="s">
        <v>11</v>
      </c>
      <c r="C32" s="10">
        <v>0</v>
      </c>
      <c r="D32" s="12">
        <f>ROUND(D$3*C32,0)</f>
        <v>0</v>
      </c>
      <c r="E32" s="13">
        <f>ROUND(D32/2,0)</f>
        <v>0</v>
      </c>
      <c r="F32" s="12">
        <f>D32-E32</f>
        <v>0</v>
      </c>
    </row>
    <row r="33" spans="1:6">
      <c r="A33" s="8">
        <v>2</v>
      </c>
      <c r="B33" s="11" t="s">
        <v>22</v>
      </c>
      <c r="C33" s="11"/>
      <c r="D33" s="9"/>
      <c r="E33" s="11"/>
      <c r="F33" s="11"/>
    </row>
    <row r="34" spans="1:6">
      <c r="A34" s="8"/>
      <c r="B34" s="11" t="s">
        <v>10</v>
      </c>
      <c r="C34" s="10">
        <v>2.3700000000000001E-3</v>
      </c>
      <c r="D34" s="12">
        <f t="shared" ref="D34:D39" si="0">ROUND(D$3*C34,0)</f>
        <v>404</v>
      </c>
      <c r="E34" s="13">
        <f t="shared" ref="E34:E39" si="1">ROUND(D34/2,0)</f>
        <v>202</v>
      </c>
      <c r="F34" s="12">
        <f t="shared" ref="F34:F39" si="2">D34-E34</f>
        <v>202</v>
      </c>
    </row>
    <row r="35" spans="1:6">
      <c r="A35" s="8"/>
      <c r="B35" s="11" t="s">
        <v>11</v>
      </c>
      <c r="C35" s="10">
        <v>1.5299999999999999E-3</v>
      </c>
      <c r="D35" s="12">
        <f t="shared" si="0"/>
        <v>261</v>
      </c>
      <c r="E35" s="13">
        <f t="shared" si="1"/>
        <v>131</v>
      </c>
      <c r="F35" s="12">
        <f t="shared" si="2"/>
        <v>130</v>
      </c>
    </row>
    <row r="36" spans="1:6">
      <c r="A36" s="8">
        <v>3</v>
      </c>
      <c r="B36" s="11" t="s">
        <v>1400</v>
      </c>
      <c r="C36" s="10">
        <v>1.7259E-2</v>
      </c>
      <c r="D36" s="12">
        <f t="shared" si="0"/>
        <v>2940</v>
      </c>
      <c r="E36" s="13">
        <f t="shared" si="1"/>
        <v>1470</v>
      </c>
      <c r="F36" s="12">
        <f t="shared" si="2"/>
        <v>1470</v>
      </c>
    </row>
    <row r="37" spans="1:6">
      <c r="A37" s="8">
        <v>3</v>
      </c>
      <c r="B37" s="11" t="s">
        <v>1401</v>
      </c>
      <c r="C37" s="10">
        <v>0</v>
      </c>
      <c r="D37" s="12">
        <f t="shared" si="0"/>
        <v>0</v>
      </c>
      <c r="E37" s="13">
        <f t="shared" si="1"/>
        <v>0</v>
      </c>
      <c r="F37" s="12">
        <f t="shared" si="2"/>
        <v>0</v>
      </c>
    </row>
    <row r="38" spans="1:6">
      <c r="A38" s="8">
        <v>3</v>
      </c>
      <c r="B38" s="11" t="s">
        <v>1402</v>
      </c>
      <c r="C38" s="10">
        <v>0</v>
      </c>
      <c r="D38" s="12">
        <f t="shared" si="0"/>
        <v>0</v>
      </c>
      <c r="E38" s="13">
        <f t="shared" si="1"/>
        <v>0</v>
      </c>
      <c r="F38" s="12">
        <f t="shared" si="2"/>
        <v>0</v>
      </c>
    </row>
    <row r="39" spans="1:6">
      <c r="A39" s="8">
        <v>4</v>
      </c>
      <c r="B39" s="11" t="s">
        <v>1403</v>
      </c>
      <c r="C39" s="10">
        <v>0.58847400000000005</v>
      </c>
      <c r="D39" s="9">
        <f t="shared" si="0"/>
        <v>100244</v>
      </c>
      <c r="E39" s="11">
        <f t="shared" si="1"/>
        <v>50122</v>
      </c>
      <c r="F39" s="9">
        <f t="shared" si="2"/>
        <v>50122</v>
      </c>
    </row>
    <row r="40" spans="1:6">
      <c r="A40" s="8"/>
      <c r="B40" s="11" t="s">
        <v>28</v>
      </c>
      <c r="C40" s="11"/>
      <c r="D40" s="14">
        <v>0.42811399999999999</v>
      </c>
      <c r="E40" s="11"/>
      <c r="F40" s="11"/>
    </row>
    <row r="41" spans="1:6">
      <c r="A41" s="8"/>
      <c r="B41" s="11" t="s">
        <v>29</v>
      </c>
      <c r="C41" s="11"/>
      <c r="D41" s="225">
        <f>ROUND(D39*D40,0)</f>
        <v>42916</v>
      </c>
      <c r="E41" s="226">
        <f t="shared" ref="E41:E46" si="3">ROUND(D41/2,0)</f>
        <v>21458</v>
      </c>
      <c r="F41" s="225">
        <f t="shared" ref="F41:F46" si="4">D41-E41</f>
        <v>21458</v>
      </c>
    </row>
    <row r="42" spans="1:6">
      <c r="A42" s="8"/>
      <c r="B42" s="11" t="s">
        <v>30</v>
      </c>
      <c r="C42" s="11"/>
      <c r="D42" s="12">
        <f>+D39-D41</f>
        <v>57328</v>
      </c>
      <c r="E42" s="13">
        <f t="shared" si="3"/>
        <v>28664</v>
      </c>
      <c r="F42" s="12">
        <f t="shared" si="4"/>
        <v>28664</v>
      </c>
    </row>
    <row r="43" spans="1:6">
      <c r="A43" s="8">
        <v>5</v>
      </c>
      <c r="B43" s="11" t="s">
        <v>1404</v>
      </c>
      <c r="C43" s="10">
        <v>2.5353000000000001E-2</v>
      </c>
      <c r="D43" s="12">
        <f>ROUND(D$3*C43,0)</f>
        <v>4319</v>
      </c>
      <c r="E43" s="13">
        <f t="shared" si="3"/>
        <v>2160</v>
      </c>
      <c r="F43" s="12">
        <f t="shared" si="4"/>
        <v>2159</v>
      </c>
    </row>
    <row r="44" spans="1:6">
      <c r="A44" s="8">
        <v>6</v>
      </c>
      <c r="B44" s="11" t="s">
        <v>1405</v>
      </c>
      <c r="C44" s="10">
        <v>1.3161000000000001E-2</v>
      </c>
      <c r="D44" s="12">
        <f>ROUND(D$3*C44,0)</f>
        <v>2242</v>
      </c>
      <c r="E44" s="13">
        <f t="shared" si="3"/>
        <v>1121</v>
      </c>
      <c r="F44" s="12">
        <f t="shared" si="4"/>
        <v>1121</v>
      </c>
    </row>
    <row r="45" spans="1:6">
      <c r="A45" s="8">
        <v>6</v>
      </c>
      <c r="B45" s="11" t="s">
        <v>1406</v>
      </c>
      <c r="C45" s="10">
        <v>3.8140000000000001E-3</v>
      </c>
      <c r="D45" s="12">
        <f>+D3-SUM(D4:D5)-SUM(D10:D39)-SUM(D43:D44)</f>
        <v>649</v>
      </c>
      <c r="E45" s="13">
        <f t="shared" si="3"/>
        <v>325</v>
      </c>
      <c r="F45" s="12">
        <f t="shared" si="4"/>
        <v>324</v>
      </c>
    </row>
    <row r="46" spans="1:6">
      <c r="A46" s="8">
        <v>6</v>
      </c>
      <c r="B46" s="11" t="s">
        <v>1407</v>
      </c>
      <c r="C46" s="10">
        <v>0</v>
      </c>
      <c r="D46" s="12">
        <f>ROUND(D$3*C46,0)</f>
        <v>0</v>
      </c>
      <c r="E46" s="13">
        <f t="shared" si="3"/>
        <v>0</v>
      </c>
      <c r="F46" s="12">
        <f t="shared" si="4"/>
        <v>0</v>
      </c>
    </row>
    <row r="47" spans="1:6">
      <c r="A47" s="8"/>
      <c r="B47" s="28" t="s">
        <v>288</v>
      </c>
      <c r="C47" s="10">
        <v>1</v>
      </c>
      <c r="D47" s="12">
        <f>+D4+SUM(D7:D38)+SUM(D41:D46)</f>
        <v>170346</v>
      </c>
      <c r="E47" s="12">
        <f>+E4+SUM(E7:E38)+SUM(E41:E46)</f>
        <v>85178</v>
      </c>
      <c r="F47" s="12">
        <f>+F4+SUM(F7:F38)+SUM(F41:F46)</f>
        <v>85168</v>
      </c>
    </row>
    <row r="48" spans="1:6">
      <c r="B48" s="18" t="s">
        <v>38</v>
      </c>
      <c r="D48" s="19">
        <f>+D4</f>
        <v>227</v>
      </c>
      <c r="E48" s="19">
        <f>+E4</f>
        <v>114</v>
      </c>
      <c r="F48" s="19">
        <f>+F4</f>
        <v>113</v>
      </c>
    </row>
    <row r="49" spans="2:8">
      <c r="B49" s="2" t="s">
        <v>39</v>
      </c>
      <c r="D49" s="19">
        <f>+D7</f>
        <v>9421</v>
      </c>
      <c r="E49" s="19">
        <f>+E7</f>
        <v>4711</v>
      </c>
      <c r="F49" s="19">
        <f>+F7</f>
        <v>4710</v>
      </c>
    </row>
    <row r="50" spans="2:8">
      <c r="B50" s="2" t="s">
        <v>40</v>
      </c>
      <c r="D50" s="19">
        <f>+D41</f>
        <v>42916</v>
      </c>
      <c r="E50" s="19">
        <f>+E41</f>
        <v>21458</v>
      </c>
      <c r="F50" s="19">
        <f>+F41</f>
        <v>21458</v>
      </c>
      <c r="H50" s="3">
        <v>1</v>
      </c>
    </row>
    <row r="51" spans="2:8">
      <c r="B51" s="18" t="s">
        <v>41</v>
      </c>
      <c r="D51" s="19">
        <f>+D47-D48-D49-D50</f>
        <v>117782</v>
      </c>
      <c r="E51" s="19">
        <f>+E47-E48-E49-E50</f>
        <v>58895</v>
      </c>
      <c r="F51" s="19">
        <f>+F47-F48-F49-F50</f>
        <v>58887</v>
      </c>
      <c r="H51" s="3">
        <v>2</v>
      </c>
    </row>
    <row r="53" spans="2:8" hidden="1">
      <c r="B53" s="3" t="s">
        <v>42</v>
      </c>
      <c r="C53" s="4">
        <v>0</v>
      </c>
      <c r="D53" s="3">
        <f>+D45-ROUND(D3*C45,0)</f>
        <v>-1</v>
      </c>
    </row>
    <row r="71" spans="1:1">
      <c r="A71" s="1" t="s">
        <v>590</v>
      </c>
    </row>
  </sheetData>
  <pageMargins left="0.7" right="0.7" top="0.75" bottom="0.75" header="0.3" footer="0.3"/>
  <pageSetup scale="64"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pageSetUpPr fitToPage="1"/>
  </sheetPr>
  <dimension ref="A1:WVB99"/>
  <sheetViews>
    <sheetView topLeftCell="A65" zoomScaleNormal="100" zoomScaleSheetLayoutView="70" workbookViewId="0">
      <selection activeCell="D86" activeCellId="8" sqref="D7:F7 D58:F58 D62:F62 D66:F66 D70:F70 D74:F74 D78:F78 D82:F82 D86:F86"/>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3.140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3.140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3.140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3.140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3.140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3.140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3.140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3.140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3.140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3.140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3.140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3.140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3.140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3.140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3.140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3.140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3.140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3.140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3.140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3.140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3.140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3.140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3.140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3.140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3.140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3.140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3.140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3.140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3.140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3.140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3.140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3.140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3.140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3.140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3.140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3.140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3.140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3.140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3.140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3.140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3.140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3.140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3.140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3.140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3.140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3.140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3.140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3.140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3.140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3.140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3.140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3.140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3.140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3.140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3.140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3.140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3.140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3.140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3.140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3.140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3.140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3.140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3.140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1408</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Worksheet'!$D$67</f>
        <v>1875386</v>
      </c>
      <c r="E3" s="11"/>
      <c r="F3" s="11"/>
    </row>
    <row r="4" spans="1:6">
      <c r="A4" s="8">
        <v>0</v>
      </c>
      <c r="B4" s="11" t="s">
        <v>4</v>
      </c>
      <c r="C4" s="10">
        <v>1.005E-3</v>
      </c>
      <c r="D4" s="12">
        <f>ROUND(D$3*C4,0)</f>
        <v>1885</v>
      </c>
      <c r="E4" s="13">
        <f>ROUND(D4/2,0)</f>
        <v>943</v>
      </c>
      <c r="F4" s="12">
        <f>D4-E4</f>
        <v>942</v>
      </c>
    </row>
    <row r="5" spans="1:6">
      <c r="A5" s="8">
        <v>1</v>
      </c>
      <c r="B5" s="11" t="s">
        <v>1409</v>
      </c>
      <c r="C5" s="10">
        <v>0.14858399999999999</v>
      </c>
      <c r="D5" s="9">
        <f>ROUND(D$3*C5,0)</f>
        <v>278652</v>
      </c>
      <c r="E5" s="11">
        <f>ROUND(D5/2,0)</f>
        <v>139326</v>
      </c>
      <c r="F5" s="9">
        <f>D5-E5</f>
        <v>139326</v>
      </c>
    </row>
    <row r="6" spans="1:6">
      <c r="A6" s="8"/>
      <c r="B6" s="11" t="s">
        <v>6</v>
      </c>
      <c r="C6" s="11"/>
      <c r="D6" s="14">
        <v>0.20021600000000001</v>
      </c>
      <c r="E6" s="11"/>
      <c r="F6" s="11"/>
    </row>
    <row r="7" spans="1:6">
      <c r="A7" s="8"/>
      <c r="B7" s="11" t="s">
        <v>7</v>
      </c>
      <c r="C7" s="11"/>
      <c r="D7" s="225">
        <f>ROUND(D5*D6,0)</f>
        <v>55791</v>
      </c>
      <c r="E7" s="226">
        <f>ROUND(D7/2,0)</f>
        <v>27896</v>
      </c>
      <c r="F7" s="225">
        <f>D7-E7</f>
        <v>27895</v>
      </c>
    </row>
    <row r="8" spans="1:6">
      <c r="A8" s="8"/>
      <c r="B8" s="11" t="s">
        <v>8</v>
      </c>
      <c r="C8" s="11"/>
      <c r="D8" s="12">
        <f>+D5-D7</f>
        <v>222861</v>
      </c>
      <c r="E8" s="13">
        <f>ROUND(D8/2,0)</f>
        <v>111431</v>
      </c>
      <c r="F8" s="12">
        <f>D8-E8</f>
        <v>111430</v>
      </c>
    </row>
    <row r="9" spans="1:6">
      <c r="A9" s="8">
        <v>2</v>
      </c>
      <c r="B9" s="11" t="s">
        <v>200</v>
      </c>
      <c r="C9" s="11"/>
      <c r="D9" s="9"/>
      <c r="E9" s="11"/>
      <c r="F9" s="11"/>
    </row>
    <row r="10" spans="1:6">
      <c r="A10" s="8"/>
      <c r="B10" s="11" t="s">
        <v>10</v>
      </c>
      <c r="C10" s="10">
        <v>5.7399999999999997E-4</v>
      </c>
      <c r="D10" s="12">
        <f>ROUND(D$3*C10,0)</f>
        <v>1076</v>
      </c>
      <c r="E10" s="13">
        <f>ROUND(D10/2,0)</f>
        <v>538</v>
      </c>
      <c r="F10" s="12">
        <f>D10-E10</f>
        <v>538</v>
      </c>
    </row>
    <row r="11" spans="1:6">
      <c r="A11" s="8"/>
      <c r="B11" s="11" t="s">
        <v>11</v>
      </c>
      <c r="C11" s="10">
        <v>9.5000000000000005E-5</v>
      </c>
      <c r="D11" s="12">
        <f>ROUND(D$3*C11,0)</f>
        <v>178</v>
      </c>
      <c r="E11" s="13">
        <f>ROUND(D11/2,0)</f>
        <v>89</v>
      </c>
      <c r="F11" s="12">
        <f>D11-E11</f>
        <v>89</v>
      </c>
    </row>
    <row r="12" spans="1:6">
      <c r="A12" s="8">
        <v>2</v>
      </c>
      <c r="B12" s="11" t="s">
        <v>107</v>
      </c>
      <c r="C12" s="11"/>
      <c r="D12" s="9"/>
      <c r="E12" s="11"/>
      <c r="F12" s="11"/>
    </row>
    <row r="13" spans="1:6">
      <c r="A13" s="8"/>
      <c r="B13" s="11" t="s">
        <v>10</v>
      </c>
      <c r="C13" s="10">
        <v>1.9959999999999999E-3</v>
      </c>
      <c r="D13" s="12">
        <f>ROUND(D$3*C13,0)</f>
        <v>3743</v>
      </c>
      <c r="E13" s="13">
        <f>ROUND(D13/2,0)</f>
        <v>1872</v>
      </c>
      <c r="F13" s="12">
        <f>D13-E13</f>
        <v>1871</v>
      </c>
    </row>
    <row r="14" spans="1:6">
      <c r="A14" s="8"/>
      <c r="B14" s="11" t="s">
        <v>11</v>
      </c>
      <c r="C14" s="10">
        <v>8.0599999999999997E-4</v>
      </c>
      <c r="D14" s="12">
        <f>ROUND(D$3*C14,0)</f>
        <v>1512</v>
      </c>
      <c r="E14" s="13">
        <f>ROUND(D14/2,0)</f>
        <v>756</v>
      </c>
      <c r="F14" s="12">
        <f>D14-E14</f>
        <v>756</v>
      </c>
    </row>
    <row r="15" spans="1:6">
      <c r="A15" s="8">
        <v>2</v>
      </c>
      <c r="B15" s="11" t="s">
        <v>49</v>
      </c>
      <c r="C15" s="11"/>
      <c r="D15" s="9"/>
      <c r="E15" s="11"/>
      <c r="F15" s="11"/>
    </row>
    <row r="16" spans="1:6">
      <c r="A16" s="8"/>
      <c r="B16" s="11" t="s">
        <v>10</v>
      </c>
      <c r="C16" s="10">
        <v>1.4300000000000001E-4</v>
      </c>
      <c r="D16" s="12">
        <f>ROUND(D$3*C16,0)</f>
        <v>268</v>
      </c>
      <c r="E16" s="13">
        <f>ROUND(D16/2,0)</f>
        <v>134</v>
      </c>
      <c r="F16" s="12">
        <f>D16-E16</f>
        <v>134</v>
      </c>
    </row>
    <row r="17" spans="1:6">
      <c r="A17" s="8"/>
      <c r="B17" s="11" t="s">
        <v>11</v>
      </c>
      <c r="C17" s="10">
        <v>2.13E-4</v>
      </c>
      <c r="D17" s="12">
        <f>ROUND(D$3*C17,0)</f>
        <v>399</v>
      </c>
      <c r="E17" s="13">
        <f>ROUND(D17/2,0)</f>
        <v>200</v>
      </c>
      <c r="F17" s="12">
        <f>D17-E17</f>
        <v>199</v>
      </c>
    </row>
    <row r="18" spans="1:6">
      <c r="A18" s="8">
        <v>2</v>
      </c>
      <c r="B18" s="11" t="s">
        <v>181</v>
      </c>
      <c r="C18" s="11"/>
      <c r="D18" s="9"/>
      <c r="E18" s="11"/>
      <c r="F18" s="11"/>
    </row>
    <row r="19" spans="1:6">
      <c r="A19" s="8"/>
      <c r="B19" s="11" t="s">
        <v>10</v>
      </c>
      <c r="C19" s="10">
        <v>6.5499999999999998E-4</v>
      </c>
      <c r="D19" s="12">
        <f>ROUND(D$3*C19,0)</f>
        <v>1228</v>
      </c>
      <c r="E19" s="13">
        <f>ROUND(D19/2,0)</f>
        <v>614</v>
      </c>
      <c r="F19" s="12">
        <f>D19-E19</f>
        <v>614</v>
      </c>
    </row>
    <row r="20" spans="1:6">
      <c r="A20" s="8"/>
      <c r="B20" s="11" t="s">
        <v>11</v>
      </c>
      <c r="C20" s="10">
        <v>1.4710000000000001E-3</v>
      </c>
      <c r="D20" s="12">
        <f>ROUND(D$3*C20,0)</f>
        <v>2759</v>
      </c>
      <c r="E20" s="13">
        <f>ROUND(D20/2,0)</f>
        <v>1380</v>
      </c>
      <c r="F20" s="12">
        <f>D20-E20</f>
        <v>1379</v>
      </c>
    </row>
    <row r="21" spans="1:6">
      <c r="A21" s="8">
        <v>2</v>
      </c>
      <c r="B21" s="11" t="s">
        <v>691</v>
      </c>
      <c r="C21" s="11"/>
      <c r="D21" s="9"/>
      <c r="E21" s="11"/>
      <c r="F21" s="11"/>
    </row>
    <row r="22" spans="1:6">
      <c r="A22" s="8"/>
      <c r="B22" s="11" t="s">
        <v>10</v>
      </c>
      <c r="C22" s="10">
        <v>2.1499999999999999E-4</v>
      </c>
      <c r="D22" s="12">
        <f>ROUND(D$3*C22,0)</f>
        <v>403</v>
      </c>
      <c r="E22" s="13">
        <f>ROUND(D22/2,0)</f>
        <v>202</v>
      </c>
      <c r="F22" s="12">
        <f>D22-E22</f>
        <v>201</v>
      </c>
    </row>
    <row r="23" spans="1:6">
      <c r="A23" s="8"/>
      <c r="B23" s="11" t="s">
        <v>11</v>
      </c>
      <c r="C23" s="10">
        <v>9.7999999999999997E-5</v>
      </c>
      <c r="D23" s="12">
        <f>ROUND(D$3*C23,0)</f>
        <v>184</v>
      </c>
      <c r="E23" s="13">
        <f>ROUND(D23/2,0)</f>
        <v>92</v>
      </c>
      <c r="F23" s="12">
        <f>D23-E23</f>
        <v>92</v>
      </c>
    </row>
    <row r="24" spans="1:6">
      <c r="A24" s="8">
        <v>2</v>
      </c>
      <c r="B24" s="11" t="s">
        <v>113</v>
      </c>
      <c r="C24" s="11"/>
      <c r="D24" s="9"/>
      <c r="E24" s="11"/>
      <c r="F24" s="11"/>
    </row>
    <row r="25" spans="1:6">
      <c r="A25" s="8"/>
      <c r="B25" s="11" t="s">
        <v>10</v>
      </c>
      <c r="C25" s="10">
        <v>2.4699999999999999E-4</v>
      </c>
      <c r="D25" s="12">
        <f>ROUND(D$3*C25,0)</f>
        <v>463</v>
      </c>
      <c r="E25" s="13">
        <f>ROUND(D25/2,0)</f>
        <v>232</v>
      </c>
      <c r="F25" s="12">
        <f>D25-E25</f>
        <v>231</v>
      </c>
    </row>
    <row r="26" spans="1:6">
      <c r="A26" s="8"/>
      <c r="B26" s="11" t="s">
        <v>11</v>
      </c>
      <c r="C26" s="10">
        <v>7.8999999999999996E-5</v>
      </c>
      <c r="D26" s="12">
        <f>ROUND(D$3*C26,0)</f>
        <v>148</v>
      </c>
      <c r="E26" s="13">
        <f>ROUND(D26/2,0)</f>
        <v>74</v>
      </c>
      <c r="F26" s="12">
        <f>D26-E26</f>
        <v>74</v>
      </c>
    </row>
    <row r="27" spans="1:6">
      <c r="A27" s="8">
        <v>2</v>
      </c>
      <c r="B27" s="11" t="s">
        <v>57</v>
      </c>
      <c r="C27" s="11"/>
      <c r="D27" s="9"/>
      <c r="E27" s="11"/>
      <c r="F27" s="11"/>
    </row>
    <row r="28" spans="1:6">
      <c r="A28" s="8"/>
      <c r="B28" s="11" t="s">
        <v>10</v>
      </c>
      <c r="C28" s="10">
        <v>1.304E-3</v>
      </c>
      <c r="D28" s="12">
        <f>ROUND(D$3*C28,0)</f>
        <v>2446</v>
      </c>
      <c r="E28" s="13">
        <f>ROUND(D28/2,0)</f>
        <v>1223</v>
      </c>
      <c r="F28" s="12">
        <f>D28-E28</f>
        <v>1223</v>
      </c>
    </row>
    <row r="29" spans="1:6">
      <c r="A29" s="8"/>
      <c r="B29" s="11" t="s">
        <v>11</v>
      </c>
      <c r="C29" s="10">
        <v>3.2400000000000001E-4</v>
      </c>
      <c r="D29" s="12">
        <f>ROUND(D$3*C29,0)</f>
        <v>608</v>
      </c>
      <c r="E29" s="13">
        <f>ROUND(D29/2,0)</f>
        <v>304</v>
      </c>
      <c r="F29" s="12">
        <f>D29-E29</f>
        <v>304</v>
      </c>
    </row>
    <row r="30" spans="1:6">
      <c r="A30" s="8">
        <v>2</v>
      </c>
      <c r="B30" s="11" t="s">
        <v>1410</v>
      </c>
      <c r="C30" s="11"/>
      <c r="D30" s="9"/>
      <c r="E30" s="11"/>
      <c r="F30" s="11"/>
    </row>
    <row r="31" spans="1:6">
      <c r="A31" s="8"/>
      <c r="B31" s="11" t="s">
        <v>10</v>
      </c>
      <c r="C31" s="10">
        <v>1.0451E-2</v>
      </c>
      <c r="D31" s="12">
        <f>ROUND(D$3*C31,0)</f>
        <v>19600</v>
      </c>
      <c r="E31" s="13">
        <f>ROUND(D31/2,0)</f>
        <v>9800</v>
      </c>
      <c r="F31" s="12">
        <f>D31-E31</f>
        <v>9800</v>
      </c>
    </row>
    <row r="32" spans="1:6">
      <c r="A32" s="8"/>
      <c r="B32" s="11" t="s">
        <v>11</v>
      </c>
      <c r="C32" s="10">
        <v>4.37E-4</v>
      </c>
      <c r="D32" s="12">
        <f>ROUND(D$3*C32,0)</f>
        <v>820</v>
      </c>
      <c r="E32" s="13">
        <f>ROUND(D32/2,0)</f>
        <v>410</v>
      </c>
      <c r="F32" s="12">
        <f>D32-E32</f>
        <v>410</v>
      </c>
    </row>
    <row r="33" spans="1:6">
      <c r="A33" s="8">
        <v>2</v>
      </c>
      <c r="B33" s="11" t="s">
        <v>1411</v>
      </c>
      <c r="C33" s="11"/>
      <c r="D33" s="9"/>
      <c r="E33" s="11"/>
      <c r="F33" s="11"/>
    </row>
    <row r="34" spans="1:6">
      <c r="A34" s="8"/>
      <c r="B34" s="11" t="s">
        <v>10</v>
      </c>
      <c r="C34" s="10">
        <v>5.6300000000000002E-4</v>
      </c>
      <c r="D34" s="12">
        <f>ROUND(D$3*C34,0)</f>
        <v>1056</v>
      </c>
      <c r="E34" s="13">
        <f>ROUND(D34/2,0)</f>
        <v>528</v>
      </c>
      <c r="F34" s="12">
        <f>D34-E34</f>
        <v>528</v>
      </c>
    </row>
    <row r="35" spans="1:6">
      <c r="A35" s="8"/>
      <c r="B35" s="11" t="s">
        <v>11</v>
      </c>
      <c r="C35" s="10">
        <v>4.0200000000000001E-4</v>
      </c>
      <c r="D35" s="12">
        <f>ROUND(D$3*C35,0)</f>
        <v>754</v>
      </c>
      <c r="E35" s="13">
        <f>ROUND(D35/2,0)</f>
        <v>377</v>
      </c>
      <c r="F35" s="12">
        <f>D35-E35</f>
        <v>377</v>
      </c>
    </row>
    <row r="36" spans="1:6">
      <c r="A36" s="8">
        <v>2</v>
      </c>
      <c r="B36" s="11" t="s">
        <v>20</v>
      </c>
      <c r="C36" s="11"/>
      <c r="D36" s="9"/>
      <c r="E36" s="11"/>
      <c r="F36" s="11"/>
    </row>
    <row r="37" spans="1:6">
      <c r="A37" s="8"/>
      <c r="B37" s="11" t="s">
        <v>10</v>
      </c>
      <c r="C37" s="10">
        <v>5.3300000000000005E-4</v>
      </c>
      <c r="D37" s="12">
        <f>ROUND(D$3*C37,0)</f>
        <v>1000</v>
      </c>
      <c r="E37" s="13">
        <f>ROUND(D37/2,0)</f>
        <v>500</v>
      </c>
      <c r="F37" s="12">
        <f>D37-E37</f>
        <v>500</v>
      </c>
    </row>
    <row r="38" spans="1:6">
      <c r="A38" s="8"/>
      <c r="B38" s="11" t="s">
        <v>11</v>
      </c>
      <c r="C38" s="10">
        <v>4.1800000000000002E-4</v>
      </c>
      <c r="D38" s="12">
        <f>ROUND(D$3*C38,0)</f>
        <v>784</v>
      </c>
      <c r="E38" s="13">
        <f>ROUND(D38/2,0)</f>
        <v>392</v>
      </c>
      <c r="F38" s="12">
        <f>D38-E38</f>
        <v>392</v>
      </c>
    </row>
    <row r="39" spans="1:6">
      <c r="A39" s="8">
        <v>2</v>
      </c>
      <c r="B39" s="11" t="s">
        <v>22</v>
      </c>
      <c r="C39" s="11"/>
      <c r="D39" s="9"/>
      <c r="E39" s="11"/>
      <c r="F39" s="11"/>
    </row>
    <row r="40" spans="1:6">
      <c r="A40" s="8"/>
      <c r="B40" s="11" t="s">
        <v>10</v>
      </c>
      <c r="C40" s="10">
        <v>9.2599999999999996E-4</v>
      </c>
      <c r="D40" s="12">
        <f>ROUND(D$3*C40,0)</f>
        <v>1737</v>
      </c>
      <c r="E40" s="13">
        <f>ROUND(D40/2,0)</f>
        <v>869</v>
      </c>
      <c r="F40" s="12">
        <f>D40-E40</f>
        <v>868</v>
      </c>
    </row>
    <row r="41" spans="1:6">
      <c r="A41" s="8"/>
      <c r="B41" s="11" t="s">
        <v>11</v>
      </c>
      <c r="C41" s="10">
        <v>6.1600000000000001E-4</v>
      </c>
      <c r="D41" s="12">
        <f>ROUND(D$3*C41,0)</f>
        <v>1155</v>
      </c>
      <c r="E41" s="13">
        <f>ROUND(D41/2,0)</f>
        <v>578</v>
      </c>
      <c r="F41" s="12">
        <f>D41-E41</f>
        <v>577</v>
      </c>
    </row>
    <row r="42" spans="1:6">
      <c r="A42" s="8">
        <v>2</v>
      </c>
      <c r="B42" s="11" t="s">
        <v>1412</v>
      </c>
      <c r="C42" s="11"/>
      <c r="D42" s="9"/>
      <c r="E42" s="11"/>
      <c r="F42" s="11"/>
    </row>
    <row r="43" spans="1:6">
      <c r="A43" s="8"/>
      <c r="B43" s="11" t="s">
        <v>10</v>
      </c>
      <c r="C43" s="10">
        <v>3.0699999999999998E-4</v>
      </c>
      <c r="D43" s="12">
        <f t="shared" ref="D43:D56" si="0">ROUND(D$3*C43,0)</f>
        <v>576</v>
      </c>
      <c r="E43" s="13">
        <f t="shared" ref="E43:E56" si="1">ROUND(D43/2,0)</f>
        <v>288</v>
      </c>
      <c r="F43" s="12">
        <f t="shared" ref="F43:F56" si="2">D43-E43</f>
        <v>288</v>
      </c>
    </row>
    <row r="44" spans="1:6">
      <c r="A44" s="8"/>
      <c r="B44" s="11" t="s">
        <v>11</v>
      </c>
      <c r="C44" s="10">
        <v>2.1999999999999999E-5</v>
      </c>
      <c r="D44" s="12">
        <f t="shared" si="0"/>
        <v>41</v>
      </c>
      <c r="E44" s="13">
        <f t="shared" si="1"/>
        <v>21</v>
      </c>
      <c r="F44" s="12">
        <f t="shared" si="2"/>
        <v>20</v>
      </c>
    </row>
    <row r="45" spans="1:6">
      <c r="A45" s="8">
        <v>3</v>
      </c>
      <c r="B45" s="11" t="s">
        <v>1413</v>
      </c>
      <c r="C45" s="10">
        <v>7.2000000000000002E-5</v>
      </c>
      <c r="D45" s="12">
        <f t="shared" si="0"/>
        <v>135</v>
      </c>
      <c r="E45" s="13">
        <f t="shared" si="1"/>
        <v>68</v>
      </c>
      <c r="F45" s="12">
        <f t="shared" si="2"/>
        <v>67</v>
      </c>
    </row>
    <row r="46" spans="1:6">
      <c r="A46" s="8">
        <v>3</v>
      </c>
      <c r="B46" s="11" t="s">
        <v>1414</v>
      </c>
      <c r="C46" s="10">
        <v>4.5199999999999998E-4</v>
      </c>
      <c r="D46" s="12">
        <f t="shared" si="0"/>
        <v>848</v>
      </c>
      <c r="E46" s="13">
        <f t="shared" si="1"/>
        <v>424</v>
      </c>
      <c r="F46" s="12">
        <f t="shared" si="2"/>
        <v>424</v>
      </c>
    </row>
    <row r="47" spans="1:6">
      <c r="A47" s="8">
        <v>3</v>
      </c>
      <c r="B47" s="11" t="s">
        <v>1415</v>
      </c>
      <c r="C47" s="10">
        <v>3.1342000000000002E-2</v>
      </c>
      <c r="D47" s="12">
        <f t="shared" si="0"/>
        <v>58778</v>
      </c>
      <c r="E47" s="13">
        <f t="shared" si="1"/>
        <v>29389</v>
      </c>
      <c r="F47" s="12">
        <f t="shared" si="2"/>
        <v>29389</v>
      </c>
    </row>
    <row r="48" spans="1:6">
      <c r="A48" s="8">
        <v>3</v>
      </c>
      <c r="B48" s="11" t="s">
        <v>1416</v>
      </c>
      <c r="C48" s="10">
        <v>0</v>
      </c>
      <c r="D48" s="12">
        <f t="shared" si="0"/>
        <v>0</v>
      </c>
      <c r="E48" s="13">
        <f t="shared" si="1"/>
        <v>0</v>
      </c>
      <c r="F48" s="12">
        <f t="shared" si="2"/>
        <v>0</v>
      </c>
    </row>
    <row r="49" spans="1:6">
      <c r="A49" s="8">
        <v>3</v>
      </c>
      <c r="B49" s="11" t="s">
        <v>1417</v>
      </c>
      <c r="C49" s="10">
        <v>3.5929999999999998E-3</v>
      </c>
      <c r="D49" s="12">
        <f t="shared" si="0"/>
        <v>6738</v>
      </c>
      <c r="E49" s="13">
        <f t="shared" si="1"/>
        <v>3369</v>
      </c>
      <c r="F49" s="12">
        <f t="shared" si="2"/>
        <v>3369</v>
      </c>
    </row>
    <row r="50" spans="1:6">
      <c r="A50" s="8">
        <v>3</v>
      </c>
      <c r="B50" s="11" t="s">
        <v>1418</v>
      </c>
      <c r="C50" s="10">
        <v>4.3509999999999998E-3</v>
      </c>
      <c r="D50" s="12">
        <f t="shared" si="0"/>
        <v>8160</v>
      </c>
      <c r="E50" s="13">
        <f t="shared" si="1"/>
        <v>4080</v>
      </c>
      <c r="F50" s="12">
        <f t="shared" si="2"/>
        <v>4080</v>
      </c>
    </row>
    <row r="51" spans="1:6">
      <c r="A51" s="8">
        <v>3</v>
      </c>
      <c r="B51" s="11" t="s">
        <v>1419</v>
      </c>
      <c r="C51" s="10">
        <v>5.0000000000000002E-5</v>
      </c>
      <c r="D51" s="12">
        <f t="shared" si="0"/>
        <v>94</v>
      </c>
      <c r="E51" s="13">
        <f t="shared" si="1"/>
        <v>47</v>
      </c>
      <c r="F51" s="12">
        <f t="shared" si="2"/>
        <v>47</v>
      </c>
    </row>
    <row r="52" spans="1:6">
      <c r="A52" s="8">
        <v>3</v>
      </c>
      <c r="B52" s="11" t="s">
        <v>1420</v>
      </c>
      <c r="C52" s="10">
        <v>8.2200000000000003E-4</v>
      </c>
      <c r="D52" s="12">
        <f t="shared" si="0"/>
        <v>1542</v>
      </c>
      <c r="E52" s="13">
        <f t="shared" si="1"/>
        <v>771</v>
      </c>
      <c r="F52" s="12">
        <f t="shared" si="2"/>
        <v>771</v>
      </c>
    </row>
    <row r="53" spans="1:6">
      <c r="A53" s="8">
        <v>3</v>
      </c>
      <c r="B53" s="11" t="s">
        <v>1421</v>
      </c>
      <c r="C53" s="10">
        <v>0.102383</v>
      </c>
      <c r="D53" s="12">
        <f t="shared" si="0"/>
        <v>192008</v>
      </c>
      <c r="E53" s="13">
        <f t="shared" si="1"/>
        <v>96004</v>
      </c>
      <c r="F53" s="12">
        <f t="shared" si="2"/>
        <v>96004</v>
      </c>
    </row>
    <row r="54" spans="1:6">
      <c r="A54" s="8">
        <v>3</v>
      </c>
      <c r="B54" s="11" t="s">
        <v>1422</v>
      </c>
      <c r="C54" s="10">
        <v>7.3049999999999999E-3</v>
      </c>
      <c r="D54" s="12">
        <f t="shared" si="0"/>
        <v>13700</v>
      </c>
      <c r="E54" s="13">
        <f t="shared" si="1"/>
        <v>6850</v>
      </c>
      <c r="F54" s="12">
        <f t="shared" si="2"/>
        <v>6850</v>
      </c>
    </row>
    <row r="55" spans="1:6">
      <c r="A55" s="8">
        <v>3</v>
      </c>
      <c r="B55" s="11" t="s">
        <v>1423</v>
      </c>
      <c r="C55" s="10">
        <v>6.8657999999999997E-2</v>
      </c>
      <c r="D55" s="12">
        <f t="shared" si="0"/>
        <v>128760</v>
      </c>
      <c r="E55" s="13">
        <f t="shared" si="1"/>
        <v>64380</v>
      </c>
      <c r="F55" s="12">
        <f t="shared" si="2"/>
        <v>64380</v>
      </c>
    </row>
    <row r="56" spans="1:6">
      <c r="A56" s="8">
        <v>4</v>
      </c>
      <c r="B56" s="11" t="s">
        <v>1424</v>
      </c>
      <c r="C56" s="10">
        <v>1.9955000000000001E-2</v>
      </c>
      <c r="D56" s="9">
        <f t="shared" si="0"/>
        <v>37423</v>
      </c>
      <c r="E56" s="11">
        <f t="shared" si="1"/>
        <v>18712</v>
      </c>
      <c r="F56" s="9">
        <f t="shared" si="2"/>
        <v>18711</v>
      </c>
    </row>
    <row r="57" spans="1:6">
      <c r="A57" s="8"/>
      <c r="B57" s="11" t="s">
        <v>28</v>
      </c>
      <c r="C57" s="11"/>
      <c r="D57" s="14">
        <v>0.35018500000000002</v>
      </c>
      <c r="E57" s="11"/>
      <c r="F57" s="11"/>
    </row>
    <row r="58" spans="1:6">
      <c r="A58" s="8"/>
      <c r="B58" s="11" t="s">
        <v>29</v>
      </c>
      <c r="C58" s="11"/>
      <c r="D58" s="225">
        <f>ROUND(D56*D57,0)</f>
        <v>13105</v>
      </c>
      <c r="E58" s="226">
        <f>ROUND(D58/2,0)</f>
        <v>6553</v>
      </c>
      <c r="F58" s="225">
        <f>D58-E58</f>
        <v>6552</v>
      </c>
    </row>
    <row r="59" spans="1:6">
      <c r="A59" s="8"/>
      <c r="B59" s="11" t="s">
        <v>30</v>
      </c>
      <c r="C59" s="11"/>
      <c r="D59" s="12">
        <f>+D56-D58</f>
        <v>24318</v>
      </c>
      <c r="E59" s="13">
        <f>ROUND(D59/2,0)</f>
        <v>12159</v>
      </c>
      <c r="F59" s="12">
        <f>D59-E59</f>
        <v>12159</v>
      </c>
    </row>
    <row r="60" spans="1:6">
      <c r="A60" s="8">
        <v>4</v>
      </c>
      <c r="B60" s="11" t="s">
        <v>1425</v>
      </c>
      <c r="C60" s="10">
        <v>0.113042</v>
      </c>
      <c r="D60" s="9">
        <f>ROUND(D$3*C60,0)</f>
        <v>211997</v>
      </c>
      <c r="E60" s="11">
        <f>ROUND(D60/2,0)</f>
        <v>105999</v>
      </c>
      <c r="F60" s="9">
        <f>D60-E60</f>
        <v>105998</v>
      </c>
    </row>
    <row r="61" spans="1:6">
      <c r="A61" s="8"/>
      <c r="B61" s="11" t="s">
        <v>28</v>
      </c>
      <c r="C61" s="11"/>
      <c r="D61" s="14">
        <v>0.49673299999999998</v>
      </c>
      <c r="E61" s="11"/>
      <c r="F61" s="11"/>
    </row>
    <row r="62" spans="1:6">
      <c r="A62" s="8"/>
      <c r="B62" s="11" t="s">
        <v>29</v>
      </c>
      <c r="C62" s="11"/>
      <c r="D62" s="225">
        <f>ROUND(D60*D61,0)</f>
        <v>105306</v>
      </c>
      <c r="E62" s="226">
        <f>ROUND(D62/2,0)</f>
        <v>52653</v>
      </c>
      <c r="F62" s="225">
        <f>D62-E62</f>
        <v>52653</v>
      </c>
    </row>
    <row r="63" spans="1:6">
      <c r="A63" s="8"/>
      <c r="B63" s="11" t="s">
        <v>30</v>
      </c>
      <c r="C63" s="11"/>
      <c r="D63" s="12">
        <f>+D60-D62</f>
        <v>106691</v>
      </c>
      <c r="E63" s="13">
        <f>ROUND(D63/2,0)</f>
        <v>53346</v>
      </c>
      <c r="F63" s="12">
        <f>D63-E63</f>
        <v>53345</v>
      </c>
    </row>
    <row r="64" spans="1:6">
      <c r="A64" s="8">
        <v>4</v>
      </c>
      <c r="B64" s="11" t="s">
        <v>1426</v>
      </c>
      <c r="C64" s="10">
        <v>9.3906000000000003E-2</v>
      </c>
      <c r="D64" s="9">
        <f>ROUND(D$3*C64,0)</f>
        <v>176110</v>
      </c>
      <c r="E64" s="11">
        <f>ROUND(D64/2,0)</f>
        <v>88055</v>
      </c>
      <c r="F64" s="9">
        <f>D64-E64</f>
        <v>88055</v>
      </c>
    </row>
    <row r="65" spans="1:6">
      <c r="A65" s="8"/>
      <c r="B65" s="11" t="s">
        <v>28</v>
      </c>
      <c r="C65" s="11"/>
      <c r="D65" s="14">
        <v>0.46632099999999999</v>
      </c>
      <c r="E65" s="11"/>
      <c r="F65" s="11"/>
    </row>
    <row r="66" spans="1:6">
      <c r="A66" s="8"/>
      <c r="B66" s="11" t="s">
        <v>29</v>
      </c>
      <c r="C66" s="11"/>
      <c r="D66" s="225">
        <f>ROUND(D64*D65,0)</f>
        <v>82124</v>
      </c>
      <c r="E66" s="226">
        <f>ROUND(D66/2,0)</f>
        <v>41062</v>
      </c>
      <c r="F66" s="225">
        <f>D66-E66</f>
        <v>41062</v>
      </c>
    </row>
    <row r="67" spans="1:6">
      <c r="A67" s="8"/>
      <c r="B67" s="11" t="s">
        <v>30</v>
      </c>
      <c r="C67" s="11"/>
      <c r="D67" s="12">
        <f>+D64-D66</f>
        <v>93986</v>
      </c>
      <c r="E67" s="13">
        <f>ROUND(D67/2,0)</f>
        <v>46993</v>
      </c>
      <c r="F67" s="12">
        <f>D67-E67</f>
        <v>46993</v>
      </c>
    </row>
    <row r="68" spans="1:6">
      <c r="A68" s="8">
        <v>4</v>
      </c>
      <c r="B68" s="11" t="s">
        <v>1089</v>
      </c>
      <c r="C68" s="10">
        <v>5.7470000000000004E-3</v>
      </c>
      <c r="D68" s="9">
        <f>ROUND(D$3*C68,0)</f>
        <v>10778</v>
      </c>
      <c r="E68" s="11">
        <f>ROUND(D68/2,0)</f>
        <v>5389</v>
      </c>
      <c r="F68" s="9">
        <f>D68-E68</f>
        <v>5389</v>
      </c>
    </row>
    <row r="69" spans="1:6">
      <c r="A69" s="8"/>
      <c r="B69" s="11" t="s">
        <v>28</v>
      </c>
      <c r="C69" s="11"/>
      <c r="D69" s="14">
        <v>0.524814</v>
      </c>
      <c r="E69" s="11"/>
      <c r="F69" s="11"/>
    </row>
    <row r="70" spans="1:6">
      <c r="A70" s="8"/>
      <c r="B70" s="11" t="s">
        <v>29</v>
      </c>
      <c r="C70" s="11"/>
      <c r="D70" s="225">
        <f>ROUND(D68*D69,0)</f>
        <v>5656</v>
      </c>
      <c r="E70" s="226">
        <f>ROUND(D70/2,0)</f>
        <v>2828</v>
      </c>
      <c r="F70" s="225">
        <f>D70-E70</f>
        <v>2828</v>
      </c>
    </row>
    <row r="71" spans="1:6">
      <c r="A71" s="8" t="s">
        <v>590</v>
      </c>
      <c r="B71" s="11" t="s">
        <v>30</v>
      </c>
      <c r="C71" s="11"/>
      <c r="D71" s="12">
        <f>+D68-D70</f>
        <v>5122</v>
      </c>
      <c r="E71" s="13">
        <f>ROUND(D71/2,0)</f>
        <v>2561</v>
      </c>
      <c r="F71" s="12">
        <f>D71-E71</f>
        <v>2561</v>
      </c>
    </row>
    <row r="72" spans="1:6">
      <c r="A72" s="8">
        <v>4</v>
      </c>
      <c r="B72" s="11" t="s">
        <v>1427</v>
      </c>
      <c r="C72" s="10">
        <v>0.18590100000000001</v>
      </c>
      <c r="D72" s="9">
        <f>ROUND(D$3*C72,0)</f>
        <v>348636</v>
      </c>
      <c r="E72" s="11">
        <f>ROUND(D72/2,0)</f>
        <v>174318</v>
      </c>
      <c r="F72" s="9">
        <f>D72-E72</f>
        <v>174318</v>
      </c>
    </row>
    <row r="73" spans="1:6">
      <c r="A73" s="8"/>
      <c r="B73" s="11" t="s">
        <v>28</v>
      </c>
      <c r="C73" s="11"/>
      <c r="D73" s="14">
        <v>0.43910700000000003</v>
      </c>
      <c r="E73" s="11"/>
      <c r="F73" s="11"/>
    </row>
    <row r="74" spans="1:6">
      <c r="A74" s="8"/>
      <c r="B74" s="11" t="s">
        <v>29</v>
      </c>
      <c r="C74" s="11"/>
      <c r="D74" s="225">
        <f>ROUND(D72*D73,0)</f>
        <v>153089</v>
      </c>
      <c r="E74" s="226">
        <f>ROUND(D74/2,0)</f>
        <v>76545</v>
      </c>
      <c r="F74" s="225">
        <f>D74-E74</f>
        <v>76544</v>
      </c>
    </row>
    <row r="75" spans="1:6">
      <c r="A75" s="8"/>
      <c r="B75" s="11" t="s">
        <v>30</v>
      </c>
      <c r="C75" s="11"/>
      <c r="D75" s="12">
        <f>+D72-D74</f>
        <v>195547</v>
      </c>
      <c r="E75" s="13">
        <f>ROUND(D75/2,0)</f>
        <v>97774</v>
      </c>
      <c r="F75" s="12">
        <f>D75-E75</f>
        <v>97773</v>
      </c>
    </row>
    <row r="76" spans="1:6">
      <c r="A76" s="8">
        <v>4</v>
      </c>
      <c r="B76" s="11" t="s">
        <v>1428</v>
      </c>
      <c r="C76" s="10">
        <v>1.5051E-2</v>
      </c>
      <c r="D76" s="9">
        <f>ROUND(D$3*C76,0)</f>
        <v>28226</v>
      </c>
      <c r="E76" s="11">
        <f>ROUND(D76/2,0)</f>
        <v>14113</v>
      </c>
      <c r="F76" s="9">
        <f>D76-E76</f>
        <v>14113</v>
      </c>
    </row>
    <row r="77" spans="1:6">
      <c r="A77" s="8"/>
      <c r="B77" s="11" t="s">
        <v>28</v>
      </c>
      <c r="C77" s="11"/>
      <c r="D77" s="14">
        <v>0.42299100000000001</v>
      </c>
      <c r="E77" s="11"/>
      <c r="F77" s="11"/>
    </row>
    <row r="78" spans="1:6">
      <c r="A78" s="8"/>
      <c r="B78" s="11" t="s">
        <v>29</v>
      </c>
      <c r="C78" s="11"/>
      <c r="D78" s="225">
        <f>ROUND(D76*D77,0)</f>
        <v>11939</v>
      </c>
      <c r="E78" s="226">
        <f>ROUND(D78/2,0)</f>
        <v>5970</v>
      </c>
      <c r="F78" s="225">
        <f>D78-E78</f>
        <v>5969</v>
      </c>
    </row>
    <row r="79" spans="1:6">
      <c r="A79" s="8"/>
      <c r="B79" s="11" t="s">
        <v>30</v>
      </c>
      <c r="C79" s="11"/>
      <c r="D79" s="12">
        <f>+D76-D78</f>
        <v>16287</v>
      </c>
      <c r="E79" s="13">
        <f>ROUND(D79/2,0)</f>
        <v>8144</v>
      </c>
      <c r="F79" s="12">
        <f>D79-E79</f>
        <v>8143</v>
      </c>
    </row>
    <row r="80" spans="1:6">
      <c r="A80" s="8">
        <v>4</v>
      </c>
      <c r="B80" s="11" t="s">
        <v>560</v>
      </c>
      <c r="C80" s="10">
        <v>2.4167999999999999E-2</v>
      </c>
      <c r="D80" s="9">
        <f>ROUND(D$3*C80,0)</f>
        <v>45324</v>
      </c>
      <c r="E80" s="11">
        <f>ROUND(D80/2,0)</f>
        <v>22662</v>
      </c>
      <c r="F80" s="9">
        <f>D80-E80</f>
        <v>22662</v>
      </c>
    </row>
    <row r="81" spans="1:8">
      <c r="A81" s="8"/>
      <c r="B81" s="11" t="s">
        <v>28</v>
      </c>
      <c r="C81" s="11"/>
      <c r="D81" s="14">
        <v>0.46884199999999998</v>
      </c>
      <c r="E81" s="11"/>
      <c r="F81" s="11"/>
    </row>
    <row r="82" spans="1:8">
      <c r="A82" s="8"/>
      <c r="B82" s="11" t="s">
        <v>29</v>
      </c>
      <c r="C82" s="11"/>
      <c r="D82" s="225">
        <f>ROUND(D80*D81,0)</f>
        <v>21250</v>
      </c>
      <c r="E82" s="226">
        <f>ROUND(D82/2,0)</f>
        <v>10625</v>
      </c>
      <c r="F82" s="225">
        <f>D82-E82</f>
        <v>10625</v>
      </c>
    </row>
    <row r="83" spans="1:8">
      <c r="A83" s="8"/>
      <c r="B83" s="11" t="s">
        <v>30</v>
      </c>
      <c r="C83" s="11"/>
      <c r="D83" s="12">
        <f>+D80-D82</f>
        <v>24074</v>
      </c>
      <c r="E83" s="13">
        <f>ROUND(D83/2,0)</f>
        <v>12037</v>
      </c>
      <c r="F83" s="12">
        <f>D83-E83</f>
        <v>12037</v>
      </c>
    </row>
    <row r="84" spans="1:8">
      <c r="A84" s="8">
        <v>4</v>
      </c>
      <c r="B84" s="11" t="s">
        <v>1429</v>
      </c>
      <c r="C84" s="10">
        <v>0.113556</v>
      </c>
      <c r="D84" s="9">
        <f>ROUND(D$3*C84,0)</f>
        <v>212961</v>
      </c>
      <c r="E84" s="11">
        <f>ROUND(D84/2,0)</f>
        <v>106481</v>
      </c>
      <c r="F84" s="9">
        <f>D84-E84</f>
        <v>106480</v>
      </c>
    </row>
    <row r="85" spans="1:8">
      <c r="A85" s="8"/>
      <c r="B85" s="11" t="s">
        <v>28</v>
      </c>
      <c r="C85" s="11"/>
      <c r="D85" s="14">
        <v>0.44247300000000001</v>
      </c>
      <c r="E85" s="11"/>
      <c r="F85" s="11"/>
    </row>
    <row r="86" spans="1:8">
      <c r="A86" s="8"/>
      <c r="B86" s="11" t="s">
        <v>29</v>
      </c>
      <c r="C86" s="11"/>
      <c r="D86" s="225">
        <f>ROUND(D84*D85,0)</f>
        <v>94229</v>
      </c>
      <c r="E86" s="226">
        <f t="shared" ref="E86:E92" si="3">ROUND(D86/2,0)</f>
        <v>47115</v>
      </c>
      <c r="F86" s="225">
        <f t="shared" ref="F86:F92" si="4">D86-E86</f>
        <v>47114</v>
      </c>
    </row>
    <row r="87" spans="1:8">
      <c r="A87" s="8"/>
      <c r="B87" s="11" t="s">
        <v>30</v>
      </c>
      <c r="C87" s="11"/>
      <c r="D87" s="12">
        <f>+D84-D86</f>
        <v>118732</v>
      </c>
      <c r="E87" s="13">
        <f t="shared" si="3"/>
        <v>59366</v>
      </c>
      <c r="F87" s="12">
        <f t="shared" si="4"/>
        <v>59366</v>
      </c>
    </row>
    <row r="88" spans="1:8">
      <c r="A88" s="8">
        <v>5</v>
      </c>
      <c r="B88" s="11" t="s">
        <v>1430</v>
      </c>
      <c r="C88" s="10">
        <v>2.9888999999999999E-2</v>
      </c>
      <c r="D88" s="12">
        <f>ROUND(D$3*C88,0)</f>
        <v>56053</v>
      </c>
      <c r="E88" s="13">
        <f t="shared" si="3"/>
        <v>28027</v>
      </c>
      <c r="F88" s="12">
        <f t="shared" si="4"/>
        <v>28026</v>
      </c>
    </row>
    <row r="89" spans="1:8">
      <c r="A89" s="8">
        <v>5</v>
      </c>
      <c r="B89" s="11" t="s">
        <v>1431</v>
      </c>
      <c r="C89" s="10">
        <v>4.084E-3</v>
      </c>
      <c r="D89" s="12">
        <f>ROUND(D$3*C89,0)</f>
        <v>7659</v>
      </c>
      <c r="E89" s="13">
        <f t="shared" si="3"/>
        <v>3830</v>
      </c>
      <c r="F89" s="12">
        <f t="shared" si="4"/>
        <v>3829</v>
      </c>
    </row>
    <row r="90" spans="1:8">
      <c r="A90" s="8">
        <v>6</v>
      </c>
      <c r="B90" s="11" t="s">
        <v>1432</v>
      </c>
      <c r="C90" s="10">
        <v>3.0950000000000001E-3</v>
      </c>
      <c r="D90" s="12">
        <f>ROUND(D$3*C90,0)</f>
        <v>5804</v>
      </c>
      <c r="E90" s="13">
        <f t="shared" si="3"/>
        <v>2902</v>
      </c>
      <c r="F90" s="12">
        <f t="shared" si="4"/>
        <v>2902</v>
      </c>
    </row>
    <row r="91" spans="1:8">
      <c r="A91" s="8">
        <v>6</v>
      </c>
      <c r="B91" s="11" t="s">
        <v>1433</v>
      </c>
      <c r="C91" s="10">
        <v>0</v>
      </c>
      <c r="D91" s="12">
        <f>ROUND(D$3*C91,0)</f>
        <v>0</v>
      </c>
      <c r="E91" s="13">
        <f t="shared" si="3"/>
        <v>0</v>
      </c>
      <c r="F91" s="12">
        <f t="shared" si="4"/>
        <v>0</v>
      </c>
    </row>
    <row r="92" spans="1:8">
      <c r="A92" s="8">
        <v>6</v>
      </c>
      <c r="B92" s="11" t="s">
        <v>1434</v>
      </c>
      <c r="C92" s="10">
        <v>9.3999999999999994E-5</v>
      </c>
      <c r="D92" s="12">
        <f>+D3-SUM(D4:D5)-SUM(D10:D56)-D60-D64-D68-D72-D76-D80-D84-SUM(D88:D91)</f>
        <v>177</v>
      </c>
      <c r="E92" s="13">
        <f t="shared" si="3"/>
        <v>89</v>
      </c>
      <c r="F92" s="12">
        <f t="shared" si="4"/>
        <v>88</v>
      </c>
    </row>
    <row r="93" spans="1:8">
      <c r="A93" s="8"/>
      <c r="B93" s="28" t="s">
        <v>288</v>
      </c>
      <c r="C93" s="10">
        <v>0.99999999999999989</v>
      </c>
      <c r="D93" s="12">
        <f>+D4+SUM(D7:D55)+SUM(D58:D59)+SUM(D62:D63)+SUM(D66:D67)+SUM(D70:D71)+SUM(D74:D75)+SUM(D78:D79)+SUM(D82:D83)+SUM(D86:D92)</f>
        <v>1875386</v>
      </c>
      <c r="E93" s="12">
        <f>+E4+SUM(E7:E55)+SUM(E58:E59)+SUM(E62:E63)+SUM(E66:E67)+SUM(E70:E71)+SUM(E74:E75)+SUM(E78:E79)+SUM(E82:E83)+SUM(E86:E92)</f>
        <v>937704</v>
      </c>
      <c r="F93" s="12">
        <f>+F4+SUM(F7:F55)+SUM(F58:F59)+SUM(F62:F63)+SUM(F66:F67)+SUM(F70:F71)+SUM(F74:F75)+SUM(F78:F79)+SUM(F82:F83)+SUM(F86:F92)</f>
        <v>937682</v>
      </c>
    </row>
    <row r="94" spans="1:8">
      <c r="B94" s="18" t="s">
        <v>1435</v>
      </c>
      <c r="D94" s="19">
        <f>+D4</f>
        <v>1885</v>
      </c>
      <c r="E94" s="19">
        <f>+E4</f>
        <v>943</v>
      </c>
      <c r="F94" s="19">
        <f>+F4</f>
        <v>942</v>
      </c>
    </row>
    <row r="95" spans="1:8">
      <c r="B95" s="2" t="s">
        <v>39</v>
      </c>
      <c r="D95" s="19">
        <f>+D7</f>
        <v>55791</v>
      </c>
      <c r="E95" s="19">
        <f>+E7</f>
        <v>27896</v>
      </c>
      <c r="F95" s="19">
        <f>+F7</f>
        <v>27895</v>
      </c>
    </row>
    <row r="96" spans="1:8">
      <c r="B96" s="2" t="s">
        <v>40</v>
      </c>
      <c r="D96" s="19">
        <f>+D58+D62+D66+D70+D74+D78+D82+D86</f>
        <v>486698</v>
      </c>
      <c r="E96" s="19">
        <f>+E58+E62+E66+E70+E74+E78+E82+E86</f>
        <v>243351</v>
      </c>
      <c r="F96" s="19">
        <f>+F58+F62+F66+F70+F74+F78+F82+F86</f>
        <v>243347</v>
      </c>
      <c r="H96" s="3">
        <v>1</v>
      </c>
    </row>
    <row r="97" spans="2:8">
      <c r="B97" s="18" t="s">
        <v>41</v>
      </c>
      <c r="D97" s="19">
        <f>+D93-D94-D95-D96</f>
        <v>1331012</v>
      </c>
      <c r="E97" s="19">
        <f>+E93-E94-E95-E96</f>
        <v>665514</v>
      </c>
      <c r="F97" s="19">
        <f>+F93-F94-F95-F96</f>
        <v>665498</v>
      </c>
      <c r="H97" s="3">
        <v>2</v>
      </c>
    </row>
    <row r="99" spans="2:8" hidden="1">
      <c r="B99" s="3" t="s">
        <v>42</v>
      </c>
      <c r="C99" s="4">
        <v>0</v>
      </c>
      <c r="D99" s="3">
        <f>+D92-ROUND(D3*C92,0)</f>
        <v>1</v>
      </c>
    </row>
  </sheetData>
  <pageMargins left="0.7" right="0.7" top="0.75" bottom="0.75" header="0.3" footer="0.3"/>
  <pageSetup scale="46"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6">
    <pageSetUpPr fitToPage="1"/>
  </sheetPr>
  <dimension ref="A1:WVB71"/>
  <sheetViews>
    <sheetView topLeftCell="A33" zoomScaleNormal="100" zoomScaleSheetLayoutView="80" workbookViewId="0">
      <selection activeCell="D54" activeCellId="3" sqref="D7:F7 D46:F46 D50:F50 D54:F54"/>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6"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6"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6"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6"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6"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6"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6"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6"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6"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6"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6"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6"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6"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6"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6"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6"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6"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6"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6"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6"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6"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6"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6"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6"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6"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6"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6"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6"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6"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6"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6"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6"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6"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6"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6"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6"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6"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6"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6"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6"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6"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6"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6"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6"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6"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6"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6"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6"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6"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6"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6"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6"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6"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6"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6"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6"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6"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6"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6"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6"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6"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6"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6"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1436</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Worksheet'!$D$68</f>
        <v>301385</v>
      </c>
      <c r="E3" s="11"/>
      <c r="F3" s="11"/>
    </row>
    <row r="4" spans="1:6">
      <c r="A4" s="8">
        <v>0</v>
      </c>
      <c r="B4" s="11" t="s">
        <v>4</v>
      </c>
      <c r="C4" s="10">
        <v>1.3270000000000001E-3</v>
      </c>
      <c r="D4" s="12">
        <f>ROUND(D$3*C4,0)</f>
        <v>400</v>
      </c>
      <c r="E4" s="13">
        <f>ROUND(D4/2,0)</f>
        <v>200</v>
      </c>
      <c r="F4" s="12">
        <f>D4-E4</f>
        <v>200</v>
      </c>
    </row>
    <row r="5" spans="1:6">
      <c r="A5" s="8">
        <v>1</v>
      </c>
      <c r="B5" s="11" t="s">
        <v>1437</v>
      </c>
      <c r="C5" s="10">
        <v>0.19985700000000001</v>
      </c>
      <c r="D5" s="9">
        <f>ROUND(D$3*C5,0)</f>
        <v>60234</v>
      </c>
      <c r="E5" s="11">
        <f>ROUND(D5/2,0)</f>
        <v>30117</v>
      </c>
      <c r="F5" s="9">
        <f>D5-E5</f>
        <v>30117</v>
      </c>
    </row>
    <row r="6" spans="1:6">
      <c r="A6" s="8"/>
      <c r="B6" s="11" t="s">
        <v>6</v>
      </c>
      <c r="C6" s="11"/>
      <c r="D6" s="14">
        <v>7.0982000000000003E-2</v>
      </c>
      <c r="E6" s="11"/>
      <c r="F6" s="11"/>
    </row>
    <row r="7" spans="1:6">
      <c r="A7" s="8"/>
      <c r="B7" s="11" t="s">
        <v>7</v>
      </c>
      <c r="C7" s="11"/>
      <c r="D7" s="225">
        <f>ROUND(D5*D6,0)</f>
        <v>4276</v>
      </c>
      <c r="E7" s="226">
        <f>ROUND(D7/2,0)</f>
        <v>2138</v>
      </c>
      <c r="F7" s="225">
        <f>D7-E7</f>
        <v>2138</v>
      </c>
    </row>
    <row r="8" spans="1:6">
      <c r="A8" s="8"/>
      <c r="B8" s="11" t="s">
        <v>8</v>
      </c>
      <c r="C8" s="11"/>
      <c r="D8" s="12">
        <f>+D5-D7</f>
        <v>55958</v>
      </c>
      <c r="E8" s="13">
        <f>ROUND(D8/2,0)</f>
        <v>27979</v>
      </c>
      <c r="F8" s="12">
        <f>D8-E8</f>
        <v>27979</v>
      </c>
    </row>
    <row r="9" spans="1:6">
      <c r="A9" s="8">
        <v>2</v>
      </c>
      <c r="B9" s="11" t="s">
        <v>1438</v>
      </c>
      <c r="C9" s="11"/>
      <c r="D9" s="9"/>
      <c r="E9" s="11"/>
      <c r="F9" s="11"/>
    </row>
    <row r="10" spans="1:6">
      <c r="A10" s="8"/>
      <c r="B10" s="11" t="s">
        <v>10</v>
      </c>
      <c r="C10" s="10">
        <v>5.9900000000000003E-4</v>
      </c>
      <c r="D10" s="12">
        <f>ROUND(D$3*C10,0)</f>
        <v>181</v>
      </c>
      <c r="E10" s="13">
        <f>ROUND(D10/2,0)</f>
        <v>91</v>
      </c>
      <c r="F10" s="12">
        <f>D10-E10</f>
        <v>90</v>
      </c>
    </row>
    <row r="11" spans="1:6">
      <c r="A11" s="8"/>
      <c r="B11" s="11" t="s">
        <v>11</v>
      </c>
      <c r="C11" s="10">
        <v>0</v>
      </c>
      <c r="D11" s="12">
        <f>ROUND(D$3*C11,0)</f>
        <v>0</v>
      </c>
      <c r="E11" s="13">
        <f>ROUND(D11/2,0)</f>
        <v>0</v>
      </c>
      <c r="F11" s="12">
        <f>D11-E11</f>
        <v>0</v>
      </c>
    </row>
    <row r="12" spans="1:6">
      <c r="A12" s="8">
        <v>2</v>
      </c>
      <c r="B12" s="11" t="s">
        <v>1439</v>
      </c>
      <c r="C12" s="11"/>
      <c r="D12" s="9"/>
      <c r="E12" s="11"/>
      <c r="F12" s="11"/>
    </row>
    <row r="13" spans="1:6">
      <c r="A13" s="8"/>
      <c r="B13" s="11" t="s">
        <v>10</v>
      </c>
      <c r="C13" s="10">
        <v>2.8700000000000002E-3</v>
      </c>
      <c r="D13" s="12">
        <f>ROUND(D$3*C13,0)</f>
        <v>865</v>
      </c>
      <c r="E13" s="13">
        <f>ROUND(D13/2,0)</f>
        <v>433</v>
      </c>
      <c r="F13" s="12">
        <f>D13-E13</f>
        <v>432</v>
      </c>
    </row>
    <row r="14" spans="1:6">
      <c r="A14" s="8"/>
      <c r="B14" s="11" t="s">
        <v>11</v>
      </c>
      <c r="C14" s="10">
        <v>3.2929999999999999E-3</v>
      </c>
      <c r="D14" s="12">
        <f>ROUND(D$3*C14,0)</f>
        <v>992</v>
      </c>
      <c r="E14" s="13">
        <f>ROUND(D14/2,0)</f>
        <v>496</v>
      </c>
      <c r="F14" s="12">
        <f>D14-E14</f>
        <v>496</v>
      </c>
    </row>
    <row r="15" spans="1:6">
      <c r="A15" s="8">
        <v>2</v>
      </c>
      <c r="B15" s="11" t="s">
        <v>107</v>
      </c>
      <c r="C15" s="11"/>
      <c r="D15" s="9"/>
      <c r="E15" s="11"/>
      <c r="F15" s="11"/>
    </row>
    <row r="16" spans="1:6">
      <c r="A16" s="8"/>
      <c r="B16" s="11" t="s">
        <v>10</v>
      </c>
      <c r="C16" s="10">
        <v>8.8000000000000003E-4</v>
      </c>
      <c r="D16" s="12">
        <f>ROUND(D$3*C16,0)</f>
        <v>265</v>
      </c>
      <c r="E16" s="13">
        <f>ROUND(D16/2,0)</f>
        <v>133</v>
      </c>
      <c r="F16" s="12">
        <f>D16-E16</f>
        <v>132</v>
      </c>
    </row>
    <row r="17" spans="1:6">
      <c r="A17" s="8"/>
      <c r="B17" s="11" t="s">
        <v>11</v>
      </c>
      <c r="C17" s="10">
        <v>0</v>
      </c>
      <c r="D17" s="12">
        <f>ROUND(D$3*C17,0)</f>
        <v>0</v>
      </c>
      <c r="E17" s="13">
        <f>ROUND(D17/2,0)</f>
        <v>0</v>
      </c>
      <c r="F17" s="12">
        <f>D17-E17</f>
        <v>0</v>
      </c>
    </row>
    <row r="18" spans="1:6">
      <c r="A18" s="8">
        <v>2</v>
      </c>
      <c r="B18" s="11" t="s">
        <v>1440</v>
      </c>
      <c r="C18" s="11"/>
      <c r="D18" s="9"/>
      <c r="E18" s="11"/>
      <c r="F18" s="11"/>
    </row>
    <row r="19" spans="1:6">
      <c r="A19" s="8"/>
      <c r="B19" s="11" t="s">
        <v>10</v>
      </c>
      <c r="C19" s="10">
        <v>7.1100000000000004E-4</v>
      </c>
      <c r="D19" s="12">
        <f>ROUND(D$3*C19,0)</f>
        <v>214</v>
      </c>
      <c r="E19" s="13">
        <f>ROUND(D19/2,0)</f>
        <v>107</v>
      </c>
      <c r="F19" s="12">
        <f>D19-E19</f>
        <v>107</v>
      </c>
    </row>
    <row r="20" spans="1:6">
      <c r="A20" s="8"/>
      <c r="B20" s="11" t="s">
        <v>11</v>
      </c>
      <c r="C20" s="10">
        <v>7.6000000000000004E-5</v>
      </c>
      <c r="D20" s="12">
        <f>ROUND(D$3*C20,0)</f>
        <v>23</v>
      </c>
      <c r="E20" s="13">
        <f>ROUND(D20/2,0)</f>
        <v>12</v>
      </c>
      <c r="F20" s="12">
        <f>D20-E20</f>
        <v>11</v>
      </c>
    </row>
    <row r="21" spans="1:6">
      <c r="A21" s="8">
        <v>2</v>
      </c>
      <c r="B21" s="11" t="s">
        <v>1441</v>
      </c>
      <c r="C21" s="11"/>
      <c r="D21" s="9"/>
      <c r="E21" s="11"/>
      <c r="F21" s="11"/>
    </row>
    <row r="22" spans="1:6">
      <c r="A22" s="8"/>
      <c r="B22" s="11" t="s">
        <v>10</v>
      </c>
      <c r="C22" s="10">
        <v>6.2E-4</v>
      </c>
      <c r="D22" s="12">
        <f>ROUND(D$3*C22,0)</f>
        <v>187</v>
      </c>
      <c r="E22" s="13">
        <f>ROUND(D22/2,0)</f>
        <v>94</v>
      </c>
      <c r="F22" s="12">
        <f>D22-E22</f>
        <v>93</v>
      </c>
    </row>
    <row r="23" spans="1:6">
      <c r="A23" s="8"/>
      <c r="B23" s="11" t="s">
        <v>11</v>
      </c>
      <c r="C23" s="10">
        <v>2.63E-4</v>
      </c>
      <c r="D23" s="12">
        <f>ROUND(D$3*C23,0)</f>
        <v>79</v>
      </c>
      <c r="E23" s="13">
        <f>ROUND(D23/2,0)</f>
        <v>40</v>
      </c>
      <c r="F23" s="12">
        <f>D23-E23</f>
        <v>39</v>
      </c>
    </row>
    <row r="24" spans="1:6">
      <c r="A24" s="8">
        <v>2</v>
      </c>
      <c r="B24" s="11" t="s">
        <v>1442</v>
      </c>
      <c r="C24" s="11"/>
      <c r="D24" s="9"/>
      <c r="E24" s="11"/>
      <c r="F24" s="11"/>
    </row>
    <row r="25" spans="1:6">
      <c r="A25" s="8"/>
      <c r="B25" s="11" t="s">
        <v>10</v>
      </c>
      <c r="C25" s="10">
        <v>2.0379999999999999E-3</v>
      </c>
      <c r="D25" s="12">
        <f>ROUND(D$3*C25,0)</f>
        <v>614</v>
      </c>
      <c r="E25" s="13">
        <f>ROUND(D25/2,0)</f>
        <v>307</v>
      </c>
      <c r="F25" s="12">
        <f>D25-E25</f>
        <v>307</v>
      </c>
    </row>
    <row r="26" spans="1:6">
      <c r="A26" s="8"/>
      <c r="B26" s="11" t="s">
        <v>11</v>
      </c>
      <c r="C26" s="10">
        <v>1.6479999999999999E-3</v>
      </c>
      <c r="D26" s="12">
        <f>ROUND(D$3*C26,0)</f>
        <v>497</v>
      </c>
      <c r="E26" s="13">
        <f>ROUND(D26/2,0)</f>
        <v>249</v>
      </c>
      <c r="F26" s="12">
        <f>D26-E26</f>
        <v>248</v>
      </c>
    </row>
    <row r="27" spans="1:6">
      <c r="A27" s="8">
        <v>2</v>
      </c>
      <c r="B27" s="11" t="s">
        <v>1443</v>
      </c>
      <c r="C27" s="11"/>
      <c r="D27" s="9"/>
      <c r="E27" s="11"/>
      <c r="F27" s="11"/>
    </row>
    <row r="28" spans="1:6">
      <c r="A28" s="8"/>
      <c r="B28" s="11" t="s">
        <v>10</v>
      </c>
      <c r="C28" s="10">
        <v>4.35E-4</v>
      </c>
      <c r="D28" s="12">
        <f>ROUND(D$3*C28,0)</f>
        <v>131</v>
      </c>
      <c r="E28" s="13">
        <f>ROUND(D28/2,0)</f>
        <v>66</v>
      </c>
      <c r="F28" s="12">
        <f>D28-E28</f>
        <v>65</v>
      </c>
    </row>
    <row r="29" spans="1:6">
      <c r="A29" s="8"/>
      <c r="B29" s="11" t="s">
        <v>11</v>
      </c>
      <c r="C29" s="10">
        <v>2.2699999999999999E-4</v>
      </c>
      <c r="D29" s="12">
        <f>ROUND(D$3*C29,0)</f>
        <v>68</v>
      </c>
      <c r="E29" s="13">
        <f>ROUND(D29/2,0)</f>
        <v>34</v>
      </c>
      <c r="F29" s="12">
        <f>D29-E29</f>
        <v>34</v>
      </c>
    </row>
    <row r="30" spans="1:6">
      <c r="A30" s="8">
        <v>2</v>
      </c>
      <c r="B30" s="11" t="s">
        <v>1444</v>
      </c>
      <c r="C30" s="11"/>
      <c r="D30" s="9"/>
      <c r="E30" s="11"/>
      <c r="F30" s="11"/>
    </row>
    <row r="31" spans="1:6">
      <c r="A31" s="8"/>
      <c r="B31" s="11" t="s">
        <v>10</v>
      </c>
      <c r="C31" s="10">
        <v>1.2849999999999999E-3</v>
      </c>
      <c r="D31" s="12">
        <f>ROUND(D$3*C31,0)</f>
        <v>387</v>
      </c>
      <c r="E31" s="13">
        <f>ROUND(D31/2,0)</f>
        <v>194</v>
      </c>
      <c r="F31" s="12">
        <f>D31-E31</f>
        <v>193</v>
      </c>
    </row>
    <row r="32" spans="1:6">
      <c r="A32" s="8"/>
      <c r="B32" s="11" t="s">
        <v>11</v>
      </c>
      <c r="C32" s="10">
        <v>6.4700000000000001E-4</v>
      </c>
      <c r="D32" s="12">
        <f>ROUND(D$3*C32,0)</f>
        <v>195</v>
      </c>
      <c r="E32" s="13">
        <f>ROUND(D32/2,0)</f>
        <v>98</v>
      </c>
      <c r="F32" s="12">
        <f>D32-E32</f>
        <v>97</v>
      </c>
    </row>
    <row r="33" spans="1:6">
      <c r="A33" s="8">
        <v>2</v>
      </c>
      <c r="B33" s="11" t="s">
        <v>1445</v>
      </c>
      <c r="C33" s="11"/>
      <c r="D33" s="9"/>
      <c r="E33" s="11"/>
      <c r="F33" s="11"/>
    </row>
    <row r="34" spans="1:6">
      <c r="A34" s="8"/>
      <c r="B34" s="11" t="s">
        <v>10</v>
      </c>
      <c r="C34" s="10">
        <v>3.5049999999999999E-3</v>
      </c>
      <c r="D34" s="12">
        <f>ROUND(D$3*C34,0)</f>
        <v>1056</v>
      </c>
      <c r="E34" s="13">
        <f>ROUND(D34/2,0)</f>
        <v>528</v>
      </c>
      <c r="F34" s="12">
        <f>D34-E34</f>
        <v>528</v>
      </c>
    </row>
    <row r="35" spans="1:6">
      <c r="A35" s="8"/>
      <c r="B35" s="11" t="s">
        <v>11</v>
      </c>
      <c r="C35" s="10">
        <v>2.3310000000000002E-3</v>
      </c>
      <c r="D35" s="12">
        <f>ROUND(D$3*C35,0)</f>
        <v>703</v>
      </c>
      <c r="E35" s="13">
        <f>ROUND(D35/2,0)</f>
        <v>352</v>
      </c>
      <c r="F35" s="12">
        <f>D35-E35</f>
        <v>351</v>
      </c>
    </row>
    <row r="36" spans="1:6">
      <c r="A36" s="8">
        <v>2</v>
      </c>
      <c r="B36" s="11" t="s">
        <v>625</v>
      </c>
      <c r="C36" s="11"/>
      <c r="D36" s="9"/>
      <c r="E36" s="11"/>
      <c r="F36" s="11"/>
    </row>
    <row r="37" spans="1:6">
      <c r="A37" s="8"/>
      <c r="B37" s="11" t="s">
        <v>10</v>
      </c>
      <c r="C37" s="10">
        <v>9.0700000000000004E-4</v>
      </c>
      <c r="D37" s="12">
        <f t="shared" ref="D37:D44" si="0">ROUND(D$3*C37,0)</f>
        <v>273</v>
      </c>
      <c r="E37" s="13">
        <f t="shared" ref="E37:E44" si="1">ROUND(D37/2,0)</f>
        <v>137</v>
      </c>
      <c r="F37" s="12">
        <f t="shared" ref="F37:F44" si="2">D37-E37</f>
        <v>136</v>
      </c>
    </row>
    <row r="38" spans="1:6">
      <c r="A38" s="8"/>
      <c r="B38" s="11" t="s">
        <v>11</v>
      </c>
      <c r="C38" s="10">
        <v>7.1699999999999997E-4</v>
      </c>
      <c r="D38" s="12">
        <f t="shared" si="0"/>
        <v>216</v>
      </c>
      <c r="E38" s="13">
        <f t="shared" si="1"/>
        <v>108</v>
      </c>
      <c r="F38" s="12">
        <f t="shared" si="2"/>
        <v>108</v>
      </c>
    </row>
    <row r="39" spans="1:6">
      <c r="A39" s="8">
        <v>3</v>
      </c>
      <c r="B39" s="11" t="s">
        <v>1446</v>
      </c>
      <c r="C39" s="10">
        <v>5.3200000000000003E-4</v>
      </c>
      <c r="D39" s="12">
        <f t="shared" si="0"/>
        <v>160</v>
      </c>
      <c r="E39" s="13">
        <f t="shared" si="1"/>
        <v>80</v>
      </c>
      <c r="F39" s="12">
        <f t="shared" si="2"/>
        <v>80</v>
      </c>
    </row>
    <row r="40" spans="1:6">
      <c r="A40" s="8">
        <v>3</v>
      </c>
      <c r="B40" s="11" t="s">
        <v>1447</v>
      </c>
      <c r="C40" s="10">
        <v>0</v>
      </c>
      <c r="D40" s="12">
        <f t="shared" si="0"/>
        <v>0</v>
      </c>
      <c r="E40" s="13">
        <f t="shared" si="1"/>
        <v>0</v>
      </c>
      <c r="F40" s="12">
        <f t="shared" si="2"/>
        <v>0</v>
      </c>
    </row>
    <row r="41" spans="1:6">
      <c r="A41" s="8">
        <v>3</v>
      </c>
      <c r="B41" s="11" t="s">
        <v>1448</v>
      </c>
      <c r="C41" s="10">
        <v>4.4551E-2</v>
      </c>
      <c r="D41" s="12">
        <f t="shared" si="0"/>
        <v>13427</v>
      </c>
      <c r="E41" s="13">
        <f t="shared" si="1"/>
        <v>6714</v>
      </c>
      <c r="F41" s="12">
        <f t="shared" si="2"/>
        <v>6713</v>
      </c>
    </row>
    <row r="42" spans="1:6">
      <c r="A42" s="8">
        <v>3</v>
      </c>
      <c r="B42" s="11" t="s">
        <v>1449</v>
      </c>
      <c r="C42" s="10">
        <v>1.73E-3</v>
      </c>
      <c r="D42" s="12">
        <f t="shared" si="0"/>
        <v>521</v>
      </c>
      <c r="E42" s="13">
        <f t="shared" si="1"/>
        <v>261</v>
      </c>
      <c r="F42" s="12">
        <f t="shared" si="2"/>
        <v>260</v>
      </c>
    </row>
    <row r="43" spans="1:6">
      <c r="A43" s="8">
        <v>3</v>
      </c>
      <c r="B43" s="11" t="s">
        <v>1450</v>
      </c>
      <c r="C43" s="10">
        <v>1.8669000000000002E-2</v>
      </c>
      <c r="D43" s="12">
        <f t="shared" si="0"/>
        <v>5627</v>
      </c>
      <c r="E43" s="13">
        <f t="shared" si="1"/>
        <v>2814</v>
      </c>
      <c r="F43" s="12">
        <f t="shared" si="2"/>
        <v>2813</v>
      </c>
    </row>
    <row r="44" spans="1:6">
      <c r="A44" s="8">
        <v>4</v>
      </c>
      <c r="B44" s="11" t="s">
        <v>1451</v>
      </c>
      <c r="C44" s="10">
        <v>0.44004100000000002</v>
      </c>
      <c r="D44" s="9">
        <f t="shared" si="0"/>
        <v>132622</v>
      </c>
      <c r="E44" s="11">
        <f t="shared" si="1"/>
        <v>66311</v>
      </c>
      <c r="F44" s="9">
        <f t="shared" si="2"/>
        <v>66311</v>
      </c>
    </row>
    <row r="45" spans="1:6">
      <c r="A45" s="8"/>
      <c r="B45" s="11" t="s">
        <v>28</v>
      </c>
      <c r="C45" s="11"/>
      <c r="D45" s="14">
        <v>0.57789000000000001</v>
      </c>
      <c r="E45" s="11"/>
      <c r="F45" s="11"/>
    </row>
    <row r="46" spans="1:6">
      <c r="A46" s="8"/>
      <c r="B46" s="11" t="s">
        <v>29</v>
      </c>
      <c r="C46" s="11"/>
      <c r="D46" s="225">
        <f>ROUND(D44*D45,0)</f>
        <v>76641</v>
      </c>
      <c r="E46" s="226">
        <f>ROUND(D46/2,0)</f>
        <v>38321</v>
      </c>
      <c r="F46" s="225">
        <f>D46-E46</f>
        <v>38320</v>
      </c>
    </row>
    <row r="47" spans="1:6">
      <c r="A47" s="8"/>
      <c r="B47" s="11" t="s">
        <v>30</v>
      </c>
      <c r="C47" s="11"/>
      <c r="D47" s="12">
        <f>+D44-D46</f>
        <v>55981</v>
      </c>
      <c r="E47" s="13">
        <f>ROUND(D47/2,0)</f>
        <v>27991</v>
      </c>
      <c r="F47" s="12">
        <f>D47-E47</f>
        <v>27990</v>
      </c>
    </row>
    <row r="48" spans="1:6">
      <c r="A48" s="8">
        <v>4</v>
      </c>
      <c r="B48" s="11" t="s">
        <v>1452</v>
      </c>
      <c r="C48" s="10">
        <v>0.20847199999999999</v>
      </c>
      <c r="D48" s="9">
        <f>ROUND(D$3*C48,0)</f>
        <v>62830</v>
      </c>
      <c r="E48" s="11">
        <f>ROUND(D48/2,0)</f>
        <v>31415</v>
      </c>
      <c r="F48" s="9">
        <f>D48-E48</f>
        <v>31415</v>
      </c>
    </row>
    <row r="49" spans="1:6">
      <c r="A49" s="8"/>
      <c r="B49" s="11" t="s">
        <v>28</v>
      </c>
      <c r="C49" s="11"/>
      <c r="D49" s="14">
        <v>0.471221</v>
      </c>
      <c r="E49" s="11"/>
      <c r="F49" s="11"/>
    </row>
    <row r="50" spans="1:6">
      <c r="A50" s="8"/>
      <c r="B50" s="11" t="s">
        <v>29</v>
      </c>
      <c r="C50" s="11"/>
      <c r="D50" s="225">
        <f>ROUND(D48*D49,0)</f>
        <v>29607</v>
      </c>
      <c r="E50" s="226">
        <f>ROUND(D50/2,0)</f>
        <v>14804</v>
      </c>
      <c r="F50" s="225">
        <f>D50-E50</f>
        <v>14803</v>
      </c>
    </row>
    <row r="51" spans="1:6">
      <c r="A51" s="8"/>
      <c r="B51" s="11" t="s">
        <v>30</v>
      </c>
      <c r="C51" s="11"/>
      <c r="D51" s="12">
        <f>+D48-D50</f>
        <v>33223</v>
      </c>
      <c r="E51" s="13">
        <f>ROUND(D51/2,0)</f>
        <v>16612</v>
      </c>
      <c r="F51" s="12">
        <f>D51-E51</f>
        <v>16611</v>
      </c>
    </row>
    <row r="52" spans="1:6">
      <c r="A52" s="8">
        <v>4</v>
      </c>
      <c r="B52" s="11" t="s">
        <v>1453</v>
      </c>
      <c r="C52" s="10">
        <v>2.3511000000000001E-2</v>
      </c>
      <c r="D52" s="9">
        <f>ROUND(D$3*C52,0)</f>
        <v>7086</v>
      </c>
      <c r="E52" s="11">
        <f>ROUND(D52/2,0)</f>
        <v>3543</v>
      </c>
      <c r="F52" s="9">
        <f>D52-E52</f>
        <v>3543</v>
      </c>
    </row>
    <row r="53" spans="1:6">
      <c r="A53" s="8"/>
      <c r="B53" s="11" t="s">
        <v>28</v>
      </c>
      <c r="C53" s="11"/>
      <c r="D53" s="14">
        <v>0.60457099999999997</v>
      </c>
      <c r="E53" s="11"/>
      <c r="F53" s="11"/>
    </row>
    <row r="54" spans="1:6">
      <c r="A54" s="8"/>
      <c r="B54" s="11" t="s">
        <v>29</v>
      </c>
      <c r="C54" s="11"/>
      <c r="D54" s="225">
        <f>ROUND(D52*D53,0)</f>
        <v>4284</v>
      </c>
      <c r="E54" s="226">
        <f t="shared" ref="E54:E61" si="3">ROUND(D54/2,0)</f>
        <v>2142</v>
      </c>
      <c r="F54" s="225">
        <f t="shared" ref="F54:F61" si="4">D54-E54</f>
        <v>2142</v>
      </c>
    </row>
    <row r="55" spans="1:6">
      <c r="A55" s="8"/>
      <c r="B55" s="11" t="s">
        <v>30</v>
      </c>
      <c r="C55" s="11"/>
      <c r="D55" s="12">
        <f>+D52-D54</f>
        <v>2802</v>
      </c>
      <c r="E55" s="13">
        <f t="shared" si="3"/>
        <v>1401</v>
      </c>
      <c r="F55" s="12">
        <f t="shared" si="4"/>
        <v>1401</v>
      </c>
    </row>
    <row r="56" spans="1:6">
      <c r="A56" s="8">
        <v>5</v>
      </c>
      <c r="B56" s="11" t="s">
        <v>1454</v>
      </c>
      <c r="C56" s="10">
        <v>1.7475000000000001E-2</v>
      </c>
      <c r="D56" s="12">
        <f>ROUND(D$3*C56,0)</f>
        <v>5267</v>
      </c>
      <c r="E56" s="13">
        <f t="shared" si="3"/>
        <v>2634</v>
      </c>
      <c r="F56" s="12">
        <f t="shared" si="4"/>
        <v>2633</v>
      </c>
    </row>
    <row r="57" spans="1:6">
      <c r="A57" s="8">
        <v>5</v>
      </c>
      <c r="B57" s="11" t="s">
        <v>1455</v>
      </c>
      <c r="C57" s="10">
        <v>7.4100000000000001E-4</v>
      </c>
      <c r="D57" s="12">
        <f>ROUND(D$3*C57,0)</f>
        <v>223</v>
      </c>
      <c r="E57" s="13">
        <f t="shared" si="3"/>
        <v>112</v>
      </c>
      <c r="F57" s="12">
        <f t="shared" si="4"/>
        <v>111</v>
      </c>
    </row>
    <row r="58" spans="1:6">
      <c r="A58" s="8">
        <v>5</v>
      </c>
      <c r="B58" s="11" t="s">
        <v>1456</v>
      </c>
      <c r="C58" s="10">
        <v>3.0959999999999998E-3</v>
      </c>
      <c r="D58" s="12">
        <f>ROUND(D$3*C58,0)</f>
        <v>933</v>
      </c>
      <c r="E58" s="13">
        <f t="shared" si="3"/>
        <v>467</v>
      </c>
      <c r="F58" s="12">
        <f t="shared" si="4"/>
        <v>466</v>
      </c>
    </row>
    <row r="59" spans="1:6">
      <c r="A59" s="8">
        <v>6</v>
      </c>
      <c r="B59" s="11" t="s">
        <v>1457</v>
      </c>
      <c r="C59" s="10">
        <v>2.6879999999999999E-3</v>
      </c>
      <c r="D59" s="12">
        <f>ROUND(D$3*C59,0)</f>
        <v>810</v>
      </c>
      <c r="E59" s="13">
        <f t="shared" si="3"/>
        <v>405</v>
      </c>
      <c r="F59" s="12">
        <f t="shared" si="4"/>
        <v>405</v>
      </c>
    </row>
    <row r="60" spans="1:6">
      <c r="A60" s="8">
        <v>6</v>
      </c>
      <c r="B60" s="11" t="s">
        <v>1458</v>
      </c>
      <c r="C60" s="10">
        <v>1.1932E-2</v>
      </c>
      <c r="D60" s="12">
        <f>ROUND(D$3*C60,0)</f>
        <v>3596</v>
      </c>
      <c r="E60" s="13">
        <f t="shared" si="3"/>
        <v>1798</v>
      </c>
      <c r="F60" s="12">
        <f t="shared" si="4"/>
        <v>1798</v>
      </c>
    </row>
    <row r="61" spans="1:6">
      <c r="A61" s="8">
        <v>6</v>
      </c>
      <c r="B61" s="11" t="s">
        <v>1459</v>
      </c>
      <c r="C61" s="10">
        <v>2.3259999999999392E-3</v>
      </c>
      <c r="D61" s="12">
        <f>+D3-SUM(D4:D5)-SUM(D10:D44)-D48-D52-SUM(D56:D60)</f>
        <v>703</v>
      </c>
      <c r="E61" s="13">
        <f t="shared" si="3"/>
        <v>352</v>
      </c>
      <c r="F61" s="12">
        <f t="shared" si="4"/>
        <v>351</v>
      </c>
    </row>
    <row r="62" spans="1:6">
      <c r="A62" s="8"/>
      <c r="B62" s="28" t="s">
        <v>288</v>
      </c>
      <c r="C62" s="10">
        <v>1</v>
      </c>
      <c r="D62" s="12">
        <f>+D4+SUM(D7:D43)+SUM(D46:D47)+SUM(D50:D51)+SUM(D54:D61)</f>
        <v>301385</v>
      </c>
      <c r="E62" s="12">
        <f>+E4+SUM(E7:E43)+SUM(E46:E47)+SUM(E50:E51)+SUM(E54:E61)</f>
        <v>150704</v>
      </c>
      <c r="F62" s="12">
        <f>+F4+SUM(F7:F43)+SUM(F46:F47)+SUM(F50:F51)+SUM(F54:F61)</f>
        <v>150681</v>
      </c>
    </row>
    <row r="63" spans="1:6">
      <c r="B63" s="18" t="s">
        <v>38</v>
      </c>
      <c r="D63" s="19">
        <f>+D4</f>
        <v>400</v>
      </c>
      <c r="E63" s="19">
        <f>+E4</f>
        <v>200</v>
      </c>
      <c r="F63" s="19">
        <f>+F4</f>
        <v>200</v>
      </c>
    </row>
    <row r="64" spans="1:6">
      <c r="B64" s="2" t="s">
        <v>39</v>
      </c>
      <c r="D64" s="19">
        <f>+D7</f>
        <v>4276</v>
      </c>
      <c r="E64" s="19">
        <f>+E7</f>
        <v>2138</v>
      </c>
      <c r="F64" s="19">
        <f>+F7</f>
        <v>2138</v>
      </c>
    </row>
    <row r="65" spans="1:8">
      <c r="B65" s="2" t="s">
        <v>40</v>
      </c>
      <c r="D65" s="19">
        <f>+D46+D50+D54</f>
        <v>110532</v>
      </c>
      <c r="E65" s="19">
        <f>+E46+E50+E54</f>
        <v>55267</v>
      </c>
      <c r="F65" s="19">
        <f>+F46+F50+F54</f>
        <v>55265</v>
      </c>
      <c r="H65" s="3">
        <v>1</v>
      </c>
    </row>
    <row r="66" spans="1:8">
      <c r="B66" s="18" t="s">
        <v>41</v>
      </c>
      <c r="D66" s="19">
        <f>+D62-D63-D64-D65</f>
        <v>186177</v>
      </c>
      <c r="E66" s="19">
        <f>+E62-E63-E64-E65</f>
        <v>93099</v>
      </c>
      <c r="F66" s="19">
        <f>+F62-F63-F64-F65</f>
        <v>93078</v>
      </c>
      <c r="H66" s="3">
        <v>2</v>
      </c>
    </row>
    <row r="68" spans="1:8" hidden="1">
      <c r="B68" s="3" t="s">
        <v>42</v>
      </c>
      <c r="C68" s="4">
        <v>9.9999999993941741E-7</v>
      </c>
      <c r="D68" s="3">
        <f>+D61-ROUND(D3*C61,0)</f>
        <v>2</v>
      </c>
    </row>
    <row r="71" spans="1:8">
      <c r="A71" s="1" t="s">
        <v>590</v>
      </c>
    </row>
  </sheetData>
  <pageMargins left="0.7" right="0.7" top="0.75" bottom="0.75" header="0.3" footer="0.3"/>
  <pageSetup scale="6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7">
    <pageSetUpPr fitToPage="1"/>
  </sheetPr>
  <dimension ref="A1:WVB75"/>
  <sheetViews>
    <sheetView topLeftCell="A42" zoomScaleNormal="100" zoomScaleSheetLayoutView="80" workbookViewId="0">
      <selection activeCell="D63" activeCellId="4" sqref="D7:F7 D51:F51 D55:F55 D59:F59 D63:F63"/>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710937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710937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710937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710937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710937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710937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710937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710937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710937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710937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710937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710937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710937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710937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710937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710937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710937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710937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710937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710937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710937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710937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710937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710937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710937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710937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710937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710937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710937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710937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710937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710937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710937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710937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710937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710937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710937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710937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710937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710937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710937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710937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710937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710937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710937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710937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710937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710937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710937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710937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710937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710937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710937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710937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710937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710937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710937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710937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710937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710937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710937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710937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710937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1460</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Worksheet'!$D$69</f>
        <v>235770</v>
      </c>
      <c r="E3" s="11"/>
      <c r="F3" s="11"/>
    </row>
    <row r="4" spans="1:6">
      <c r="A4" s="8">
        <v>0</v>
      </c>
      <c r="B4" s="11" t="s">
        <v>4</v>
      </c>
      <c r="C4" s="10">
        <v>1.2019999999999999E-3</v>
      </c>
      <c r="D4" s="12">
        <f>ROUND(D$3*C4,0)</f>
        <v>283</v>
      </c>
      <c r="E4" s="13">
        <f>ROUND(D4/2,0)</f>
        <v>142</v>
      </c>
      <c r="F4" s="12">
        <f>D4-E4</f>
        <v>141</v>
      </c>
    </row>
    <row r="5" spans="1:6">
      <c r="A5" s="8">
        <v>1</v>
      </c>
      <c r="B5" s="11" t="s">
        <v>1461</v>
      </c>
      <c r="C5" s="10">
        <v>0.30420799999999998</v>
      </c>
      <c r="D5" s="9">
        <f>ROUND(D$3*C5,0)</f>
        <v>71723</v>
      </c>
      <c r="E5" s="11">
        <f>ROUND(D5/2,0)</f>
        <v>35862</v>
      </c>
      <c r="F5" s="9">
        <f>D5-E5</f>
        <v>35861</v>
      </c>
    </row>
    <row r="6" spans="1:6">
      <c r="A6" s="8"/>
      <c r="B6" s="11" t="s">
        <v>6</v>
      </c>
      <c r="C6" s="11"/>
      <c r="D6" s="14">
        <v>0.25436599999999998</v>
      </c>
      <c r="E6" s="11"/>
      <c r="F6" s="11"/>
    </row>
    <row r="7" spans="1:6">
      <c r="A7" s="8"/>
      <c r="B7" s="11" t="s">
        <v>7</v>
      </c>
      <c r="C7" s="11"/>
      <c r="D7" s="228">
        <f>ROUND(D5*D6,0)</f>
        <v>18244</v>
      </c>
      <c r="E7" s="229">
        <f>ROUND(D7/2,0)</f>
        <v>9122</v>
      </c>
      <c r="F7" s="228">
        <f>D7-E7</f>
        <v>9122</v>
      </c>
    </row>
    <row r="8" spans="1:6">
      <c r="A8" s="8"/>
      <c r="B8" s="11" t="s">
        <v>8</v>
      </c>
      <c r="C8" s="11"/>
      <c r="D8" s="12">
        <f>+D5-D7</f>
        <v>53479</v>
      </c>
      <c r="E8" s="13">
        <f>ROUND(D8/2,0)</f>
        <v>26740</v>
      </c>
      <c r="F8" s="12">
        <f>D8-E8</f>
        <v>26739</v>
      </c>
    </row>
    <row r="9" spans="1:6">
      <c r="A9" s="8">
        <v>2</v>
      </c>
      <c r="B9" s="11" t="s">
        <v>1299</v>
      </c>
      <c r="C9" s="11"/>
      <c r="D9" s="9"/>
      <c r="E9" s="11"/>
      <c r="F9" s="11"/>
    </row>
    <row r="10" spans="1:6">
      <c r="A10" s="8"/>
      <c r="B10" s="11" t="s">
        <v>10</v>
      </c>
      <c r="C10" s="10">
        <v>4.95E-4</v>
      </c>
      <c r="D10" s="12">
        <f>ROUND(D$3*C10,0)</f>
        <v>117</v>
      </c>
      <c r="E10" s="13">
        <f>ROUND(D10/2,0)</f>
        <v>59</v>
      </c>
      <c r="F10" s="12">
        <f>D10-E10</f>
        <v>58</v>
      </c>
    </row>
    <row r="11" spans="1:6">
      <c r="A11" s="8"/>
      <c r="B11" s="11" t="s">
        <v>11</v>
      </c>
      <c r="C11" s="10">
        <v>2.2000000000000001E-4</v>
      </c>
      <c r="D11" s="12">
        <f>ROUND(D$3*C11,0)</f>
        <v>52</v>
      </c>
      <c r="E11" s="13">
        <f>ROUND(D11/2,0)</f>
        <v>26</v>
      </c>
      <c r="F11" s="12">
        <f>D11-E11</f>
        <v>26</v>
      </c>
    </row>
    <row r="12" spans="1:6">
      <c r="A12" s="8">
        <v>2</v>
      </c>
      <c r="B12" s="11" t="s">
        <v>249</v>
      </c>
      <c r="C12" s="11"/>
      <c r="D12" s="9"/>
      <c r="E12" s="11"/>
      <c r="F12" s="11"/>
    </row>
    <row r="13" spans="1:6">
      <c r="A13" s="8"/>
      <c r="B13" s="11" t="s">
        <v>10</v>
      </c>
      <c r="C13" s="10">
        <v>8.1899999999999996E-4</v>
      </c>
      <c r="D13" s="12">
        <f>ROUND(D$3*C13,0)</f>
        <v>193</v>
      </c>
      <c r="E13" s="13">
        <f>ROUND(D13/2,0)</f>
        <v>97</v>
      </c>
      <c r="F13" s="12">
        <f>D13-E13</f>
        <v>96</v>
      </c>
    </row>
    <row r="14" spans="1:6">
      <c r="A14" s="8"/>
      <c r="B14" s="11" t="s">
        <v>11</v>
      </c>
      <c r="C14" s="10">
        <v>5.6400000000000005E-4</v>
      </c>
      <c r="D14" s="12">
        <f>ROUND(D$3*C14,0)</f>
        <v>133</v>
      </c>
      <c r="E14" s="13">
        <f>ROUND(D14/2,0)</f>
        <v>67</v>
      </c>
      <c r="F14" s="12">
        <f>D14-E14</f>
        <v>66</v>
      </c>
    </row>
    <row r="15" spans="1:6">
      <c r="A15" s="8">
        <v>2</v>
      </c>
      <c r="B15" s="11" t="s">
        <v>372</v>
      </c>
      <c r="C15" s="11"/>
      <c r="D15" s="9"/>
      <c r="E15" s="11"/>
      <c r="F15" s="11"/>
    </row>
    <row r="16" spans="1:6">
      <c r="A16" s="8"/>
      <c r="B16" s="11" t="s">
        <v>10</v>
      </c>
      <c r="C16" s="10">
        <v>5.7600000000000001E-4</v>
      </c>
      <c r="D16" s="12">
        <f>ROUND(D$3*C16,0)</f>
        <v>136</v>
      </c>
      <c r="E16" s="13">
        <f>ROUND(D16/2,0)</f>
        <v>68</v>
      </c>
      <c r="F16" s="12">
        <f>D16-E16</f>
        <v>68</v>
      </c>
    </row>
    <row r="17" spans="1:6">
      <c r="A17" s="8"/>
      <c r="B17" s="11" t="s">
        <v>11</v>
      </c>
      <c r="C17" s="10">
        <v>4.2900000000000002E-4</v>
      </c>
      <c r="D17" s="12">
        <f>ROUND(D$3*C17,0)</f>
        <v>101</v>
      </c>
      <c r="E17" s="13">
        <f>ROUND(D17/2,0)</f>
        <v>51</v>
      </c>
      <c r="F17" s="12">
        <f>D17-E17</f>
        <v>50</v>
      </c>
    </row>
    <row r="18" spans="1:6">
      <c r="A18" s="8">
        <v>2</v>
      </c>
      <c r="B18" s="11" t="s">
        <v>86</v>
      </c>
      <c r="C18" s="11"/>
      <c r="D18" s="9"/>
      <c r="E18" s="11"/>
      <c r="F18" s="11"/>
    </row>
    <row r="19" spans="1:6">
      <c r="A19" s="8"/>
      <c r="B19" s="11" t="s">
        <v>10</v>
      </c>
      <c r="C19" s="10">
        <v>3.3599999999999998E-4</v>
      </c>
      <c r="D19" s="12">
        <f>ROUND(D$3*C19,0)</f>
        <v>79</v>
      </c>
      <c r="E19" s="13">
        <f>ROUND(D19/2,0)</f>
        <v>40</v>
      </c>
      <c r="F19" s="12">
        <f>D19-E19</f>
        <v>39</v>
      </c>
    </row>
    <row r="20" spans="1:6">
      <c r="A20" s="8"/>
      <c r="B20" s="11" t="s">
        <v>11</v>
      </c>
      <c r="C20" s="10">
        <v>2.0900000000000001E-4</v>
      </c>
      <c r="D20" s="12">
        <f>ROUND(D$3*C20,0)</f>
        <v>49</v>
      </c>
      <c r="E20" s="13">
        <f>ROUND(D20/2,0)</f>
        <v>25</v>
      </c>
      <c r="F20" s="12">
        <f>D20-E20</f>
        <v>24</v>
      </c>
    </row>
    <row r="21" spans="1:6">
      <c r="A21" s="8">
        <v>2</v>
      </c>
      <c r="B21" s="11" t="s">
        <v>1107</v>
      </c>
      <c r="C21" s="11"/>
      <c r="D21" s="9"/>
      <c r="E21" s="11"/>
      <c r="F21" s="11"/>
    </row>
    <row r="22" spans="1:6">
      <c r="A22" s="8"/>
      <c r="B22" s="11" t="s">
        <v>10</v>
      </c>
      <c r="C22" s="10">
        <v>2.5099999999999998E-4</v>
      </c>
      <c r="D22" s="12">
        <f>ROUND(D$3*C22,0)</f>
        <v>59</v>
      </c>
      <c r="E22" s="13">
        <f>ROUND(D22/2,0)</f>
        <v>30</v>
      </c>
      <c r="F22" s="12">
        <f>D22-E22</f>
        <v>29</v>
      </c>
    </row>
    <row r="23" spans="1:6">
      <c r="A23" s="8"/>
      <c r="B23" s="11" t="s">
        <v>11</v>
      </c>
      <c r="C23" s="10">
        <v>1.7799999999999999E-4</v>
      </c>
      <c r="D23" s="12">
        <f>ROUND(D$3*C23,0)</f>
        <v>42</v>
      </c>
      <c r="E23" s="13">
        <f>ROUND(D23/2,0)</f>
        <v>21</v>
      </c>
      <c r="F23" s="12">
        <f>D23-E23</f>
        <v>21</v>
      </c>
    </row>
    <row r="24" spans="1:6">
      <c r="A24" s="8">
        <v>2</v>
      </c>
      <c r="B24" s="11" t="s">
        <v>14</v>
      </c>
      <c r="C24" s="11"/>
      <c r="D24" s="9"/>
      <c r="E24" s="11"/>
      <c r="F24" s="11"/>
    </row>
    <row r="25" spans="1:6">
      <c r="A25" s="8"/>
      <c r="B25" s="11" t="s">
        <v>10</v>
      </c>
      <c r="C25" s="10">
        <v>6.9999999999999999E-4</v>
      </c>
      <c r="D25" s="12">
        <f>ROUND(D$3*C25,0)</f>
        <v>165</v>
      </c>
      <c r="E25" s="13">
        <f>ROUND(D25/2,0)</f>
        <v>83</v>
      </c>
      <c r="F25" s="12">
        <f>D25-E25</f>
        <v>82</v>
      </c>
    </row>
    <row r="26" spans="1:6">
      <c r="A26" s="8"/>
      <c r="B26" s="11" t="s">
        <v>11</v>
      </c>
      <c r="C26" s="10">
        <v>4.0999999999999999E-4</v>
      </c>
      <c r="D26" s="12">
        <f>ROUND(D$3*C26,0)</f>
        <v>97</v>
      </c>
      <c r="E26" s="13">
        <f>ROUND(D26/2,0)</f>
        <v>49</v>
      </c>
      <c r="F26" s="12">
        <f>D26-E26</f>
        <v>48</v>
      </c>
    </row>
    <row r="27" spans="1:6">
      <c r="A27" s="8">
        <v>2</v>
      </c>
      <c r="B27" s="11" t="s">
        <v>16</v>
      </c>
      <c r="C27" s="11"/>
      <c r="D27" s="9"/>
      <c r="E27" s="11"/>
      <c r="F27" s="11"/>
    </row>
    <row r="28" spans="1:6">
      <c r="A28" s="8"/>
      <c r="B28" s="11" t="s">
        <v>10</v>
      </c>
      <c r="C28" s="10">
        <v>1.523E-3</v>
      </c>
      <c r="D28" s="12">
        <f>ROUND(D$3*C28,0)</f>
        <v>359</v>
      </c>
      <c r="E28" s="13">
        <f>ROUND(D28/2,0)</f>
        <v>180</v>
      </c>
      <c r="F28" s="12">
        <f>D28-E28</f>
        <v>179</v>
      </c>
    </row>
    <row r="29" spans="1:6">
      <c r="A29" s="8"/>
      <c r="B29" s="11" t="s">
        <v>11</v>
      </c>
      <c r="C29" s="10">
        <v>1.627E-3</v>
      </c>
      <c r="D29" s="12">
        <f>ROUND(D$3*C29,0)</f>
        <v>384</v>
      </c>
      <c r="E29" s="13">
        <f>ROUND(D29/2,0)</f>
        <v>192</v>
      </c>
      <c r="F29" s="12">
        <f>D29-E29</f>
        <v>192</v>
      </c>
    </row>
    <row r="30" spans="1:6">
      <c r="A30" s="8">
        <v>2</v>
      </c>
      <c r="B30" s="11" t="s">
        <v>1462</v>
      </c>
      <c r="C30" s="11"/>
      <c r="D30" s="9"/>
      <c r="E30" s="11"/>
      <c r="F30" s="11"/>
    </row>
    <row r="31" spans="1:6">
      <c r="A31" s="8"/>
      <c r="B31" s="11" t="s">
        <v>10</v>
      </c>
      <c r="C31" s="10">
        <v>2.1599999999999999E-4</v>
      </c>
      <c r="D31" s="12">
        <f>ROUND(D$3*C31,0)</f>
        <v>51</v>
      </c>
      <c r="E31" s="13">
        <f>ROUND(D31/2,0)</f>
        <v>26</v>
      </c>
      <c r="F31" s="12">
        <f>D31-E31</f>
        <v>25</v>
      </c>
    </row>
    <row r="32" spans="1:6">
      <c r="A32" s="8"/>
      <c r="B32" s="11" t="s">
        <v>11</v>
      </c>
      <c r="C32" s="10">
        <v>1.0399999999999999E-4</v>
      </c>
      <c r="D32" s="12">
        <f>ROUND(D$3*C32,0)</f>
        <v>25</v>
      </c>
      <c r="E32" s="13">
        <f>ROUND(D32/2,0)</f>
        <v>13</v>
      </c>
      <c r="F32" s="12">
        <f>D32-E32</f>
        <v>12</v>
      </c>
    </row>
    <row r="33" spans="1:6">
      <c r="A33" s="8">
        <v>2</v>
      </c>
      <c r="B33" s="11" t="s">
        <v>404</v>
      </c>
      <c r="C33" s="11"/>
      <c r="D33" s="9"/>
      <c r="E33" s="11"/>
      <c r="F33" s="11"/>
    </row>
    <row r="34" spans="1:6">
      <c r="A34" s="8"/>
      <c r="B34" s="11" t="s">
        <v>10</v>
      </c>
      <c r="C34" s="10">
        <v>5.2379999999999996E-3</v>
      </c>
      <c r="D34" s="12">
        <f>ROUND(D$3*C34,0)</f>
        <v>1235</v>
      </c>
      <c r="E34" s="13">
        <f>ROUND(D34/2,0)</f>
        <v>618</v>
      </c>
      <c r="F34" s="12">
        <f>D34-E34</f>
        <v>617</v>
      </c>
    </row>
    <row r="35" spans="1:6">
      <c r="A35" s="8"/>
      <c r="B35" s="11" t="s">
        <v>11</v>
      </c>
      <c r="C35" s="10">
        <v>2.1570000000000001E-3</v>
      </c>
      <c r="D35" s="12">
        <f>ROUND(D$3*C35,0)</f>
        <v>509</v>
      </c>
      <c r="E35" s="13">
        <f>ROUND(D35/2,0)</f>
        <v>255</v>
      </c>
      <c r="F35" s="12">
        <f>D35-E35</f>
        <v>254</v>
      </c>
    </row>
    <row r="36" spans="1:6">
      <c r="A36" s="8">
        <v>2</v>
      </c>
      <c r="B36" s="11" t="s">
        <v>183</v>
      </c>
      <c r="C36" s="11"/>
      <c r="D36" s="12"/>
      <c r="E36" s="11"/>
      <c r="F36" s="11"/>
    </row>
    <row r="37" spans="1:6">
      <c r="A37" s="8"/>
      <c r="B37" s="11" t="s">
        <v>10</v>
      </c>
      <c r="C37" s="10">
        <v>1.225E-3</v>
      </c>
      <c r="D37" s="12">
        <f>ROUND(D$3*C37,0)</f>
        <v>289</v>
      </c>
      <c r="E37" s="13">
        <f>ROUND(D37/2,0)</f>
        <v>145</v>
      </c>
      <c r="F37" s="12">
        <f>D37-E37</f>
        <v>144</v>
      </c>
    </row>
    <row r="38" spans="1:6">
      <c r="A38" s="8"/>
      <c r="B38" s="11" t="s">
        <v>11</v>
      </c>
      <c r="C38" s="10">
        <v>1.0820000000000001E-3</v>
      </c>
      <c r="D38" s="12">
        <f>ROUND(D$3*C38,0)</f>
        <v>255</v>
      </c>
      <c r="E38" s="13">
        <f>ROUND(D38/2,0)</f>
        <v>128</v>
      </c>
      <c r="F38" s="12">
        <f>D38-E38</f>
        <v>127</v>
      </c>
    </row>
    <row r="39" spans="1:6">
      <c r="A39" s="8">
        <v>2</v>
      </c>
      <c r="B39" s="11" t="s">
        <v>169</v>
      </c>
      <c r="C39" s="11"/>
      <c r="D39" s="9"/>
      <c r="E39" s="11"/>
      <c r="F39" s="11"/>
    </row>
    <row r="40" spans="1:6">
      <c r="A40" s="8"/>
      <c r="B40" s="11" t="s">
        <v>10</v>
      </c>
      <c r="C40" s="10">
        <v>2.4970000000000001E-3</v>
      </c>
      <c r="D40" s="12">
        <f>ROUND(D$3*C40,0)</f>
        <v>589</v>
      </c>
      <c r="E40" s="13">
        <f>ROUND(D40/2,0)</f>
        <v>295</v>
      </c>
      <c r="F40" s="12">
        <f>D40-E40</f>
        <v>294</v>
      </c>
    </row>
    <row r="41" spans="1:6">
      <c r="A41" s="8"/>
      <c r="B41" s="11" t="s">
        <v>11</v>
      </c>
      <c r="C41" s="10">
        <v>1.8400000000000001E-3</v>
      </c>
      <c r="D41" s="12">
        <f>ROUND(D$3*C41,0)</f>
        <v>434</v>
      </c>
      <c r="E41" s="13">
        <f>ROUND(D41/2,0)</f>
        <v>217</v>
      </c>
      <c r="F41" s="12">
        <f>D41-E41</f>
        <v>217</v>
      </c>
    </row>
    <row r="42" spans="1:6">
      <c r="A42" s="8">
        <v>2</v>
      </c>
      <c r="B42" s="11" t="s">
        <v>1463</v>
      </c>
      <c r="C42" s="11"/>
      <c r="D42" s="9"/>
      <c r="E42" s="11"/>
      <c r="F42" s="11"/>
    </row>
    <row r="43" spans="1:6">
      <c r="A43" s="8"/>
      <c r="B43" s="11" t="s">
        <v>10</v>
      </c>
      <c r="C43" s="10">
        <v>2.6940000000000002E-3</v>
      </c>
      <c r="D43" s="12">
        <f t="shared" ref="D43:D49" si="0">ROUND(D$3*C43,0)</f>
        <v>635</v>
      </c>
      <c r="E43" s="13">
        <f t="shared" ref="E43:E49" si="1">ROUND(D43/2,0)</f>
        <v>318</v>
      </c>
      <c r="F43" s="12">
        <f t="shared" ref="F43:F49" si="2">D43-E43</f>
        <v>317</v>
      </c>
    </row>
    <row r="44" spans="1:6">
      <c r="A44" s="8"/>
      <c r="B44" s="11" t="s">
        <v>11</v>
      </c>
      <c r="C44" s="10">
        <v>1.701E-3</v>
      </c>
      <c r="D44" s="12">
        <f t="shared" si="0"/>
        <v>401</v>
      </c>
      <c r="E44" s="13">
        <f t="shared" si="1"/>
        <v>201</v>
      </c>
      <c r="F44" s="12">
        <f t="shared" si="2"/>
        <v>200</v>
      </c>
    </row>
    <row r="45" spans="1:6">
      <c r="A45" s="8">
        <v>3</v>
      </c>
      <c r="B45" s="11" t="s">
        <v>1464</v>
      </c>
      <c r="C45" s="10">
        <v>1.3664000000000001E-2</v>
      </c>
      <c r="D45" s="12">
        <f t="shared" si="0"/>
        <v>3222</v>
      </c>
      <c r="E45" s="13">
        <f t="shared" si="1"/>
        <v>1611</v>
      </c>
      <c r="F45" s="12">
        <f t="shared" si="2"/>
        <v>1611</v>
      </c>
    </row>
    <row r="46" spans="1:6">
      <c r="A46" s="8">
        <v>3</v>
      </c>
      <c r="B46" s="11" t="s">
        <v>1465</v>
      </c>
      <c r="C46" s="10">
        <v>7.0619999999999997E-3</v>
      </c>
      <c r="D46" s="12">
        <f t="shared" si="0"/>
        <v>1665</v>
      </c>
      <c r="E46" s="13">
        <f t="shared" si="1"/>
        <v>833</v>
      </c>
      <c r="F46" s="12">
        <f t="shared" si="2"/>
        <v>832</v>
      </c>
    </row>
    <row r="47" spans="1:6">
      <c r="A47" s="8">
        <v>3</v>
      </c>
      <c r="B47" s="11" t="s">
        <v>1466</v>
      </c>
      <c r="C47" s="10">
        <v>1.307E-3</v>
      </c>
      <c r="D47" s="12">
        <f t="shared" si="0"/>
        <v>308</v>
      </c>
      <c r="E47" s="13">
        <f t="shared" si="1"/>
        <v>154</v>
      </c>
      <c r="F47" s="12">
        <f t="shared" si="2"/>
        <v>154</v>
      </c>
    </row>
    <row r="48" spans="1:6">
      <c r="A48" s="8">
        <v>3</v>
      </c>
      <c r="B48" s="11" t="s">
        <v>1467</v>
      </c>
      <c r="C48" s="10">
        <v>3.4708000000000003E-2</v>
      </c>
      <c r="D48" s="12">
        <f t="shared" si="0"/>
        <v>8183</v>
      </c>
      <c r="E48" s="13">
        <f t="shared" si="1"/>
        <v>4092</v>
      </c>
      <c r="F48" s="12">
        <f t="shared" si="2"/>
        <v>4091</v>
      </c>
    </row>
    <row r="49" spans="1:6">
      <c r="A49" s="8">
        <v>4</v>
      </c>
      <c r="B49" s="11" t="s">
        <v>557</v>
      </c>
      <c r="C49" s="10">
        <v>3.3286000000000003E-2</v>
      </c>
      <c r="D49" s="9">
        <f t="shared" si="0"/>
        <v>7848</v>
      </c>
      <c r="E49" s="11">
        <f t="shared" si="1"/>
        <v>3924</v>
      </c>
      <c r="F49" s="9">
        <f t="shared" si="2"/>
        <v>3924</v>
      </c>
    </row>
    <row r="50" spans="1:6">
      <c r="A50" s="8"/>
      <c r="B50" s="11" t="s">
        <v>28</v>
      </c>
      <c r="C50" s="11"/>
      <c r="D50" s="14">
        <v>0.485238</v>
      </c>
      <c r="E50" s="11"/>
      <c r="F50" s="11"/>
    </row>
    <row r="51" spans="1:6">
      <c r="A51" s="8"/>
      <c r="B51" s="11" t="s">
        <v>29</v>
      </c>
      <c r="C51" s="11"/>
      <c r="D51" s="228">
        <f>ROUND(D49*D50,0)</f>
        <v>3808</v>
      </c>
      <c r="E51" s="229">
        <f>ROUND(D51/2,0)</f>
        <v>1904</v>
      </c>
      <c r="F51" s="228">
        <f>D51-E51</f>
        <v>1904</v>
      </c>
    </row>
    <row r="52" spans="1:6">
      <c r="A52" s="8"/>
      <c r="B52" s="11" t="s">
        <v>30</v>
      </c>
      <c r="C52" s="11"/>
      <c r="D52" s="12">
        <f>+D49-D51</f>
        <v>4040</v>
      </c>
      <c r="E52" s="13">
        <f>ROUND(D52/2,0)</f>
        <v>2020</v>
      </c>
      <c r="F52" s="12">
        <f>D52-E52</f>
        <v>2020</v>
      </c>
    </row>
    <row r="53" spans="1:6">
      <c r="A53" s="8">
        <v>4</v>
      </c>
      <c r="B53" s="11" t="s">
        <v>1468</v>
      </c>
      <c r="C53" s="10">
        <v>0.30989100000000003</v>
      </c>
      <c r="D53" s="9">
        <f>ROUND(D$3*C53,0)</f>
        <v>73063</v>
      </c>
      <c r="E53" s="11">
        <f>ROUND(D53/2,0)</f>
        <v>36532</v>
      </c>
      <c r="F53" s="9">
        <f>D53-E53</f>
        <v>36531</v>
      </c>
    </row>
    <row r="54" spans="1:6">
      <c r="A54" s="8"/>
      <c r="B54" s="11" t="s">
        <v>28</v>
      </c>
      <c r="C54" s="11"/>
      <c r="D54" s="14">
        <v>0.50509400000000004</v>
      </c>
      <c r="E54" s="11"/>
      <c r="F54" s="11"/>
    </row>
    <row r="55" spans="1:6">
      <c r="A55" s="8"/>
      <c r="B55" s="11" t="s">
        <v>29</v>
      </c>
      <c r="C55" s="11"/>
      <c r="D55" s="228">
        <f>ROUND(D53*D54,0)</f>
        <v>36904</v>
      </c>
      <c r="E55" s="229">
        <f>ROUND(D55/2,0)</f>
        <v>18452</v>
      </c>
      <c r="F55" s="228">
        <f>D55-E55</f>
        <v>18452</v>
      </c>
    </row>
    <row r="56" spans="1:6">
      <c r="A56" s="8"/>
      <c r="B56" s="11" t="s">
        <v>30</v>
      </c>
      <c r="C56" s="11"/>
      <c r="D56" s="12">
        <f>+D53-D55</f>
        <v>36159</v>
      </c>
      <c r="E56" s="13">
        <f>ROUND(D56/2,0)</f>
        <v>18080</v>
      </c>
      <c r="F56" s="12">
        <f>D56-E56</f>
        <v>18079</v>
      </c>
    </row>
    <row r="57" spans="1:6">
      <c r="A57" s="8">
        <v>4</v>
      </c>
      <c r="B57" s="11" t="s">
        <v>1469</v>
      </c>
      <c r="C57" s="10">
        <v>3.6088000000000002E-2</v>
      </c>
      <c r="D57" s="9">
        <f>ROUND(D$3*C57,0)</f>
        <v>8508</v>
      </c>
      <c r="E57" s="11">
        <f>ROUND(D57/2,0)</f>
        <v>4254</v>
      </c>
      <c r="F57" s="9">
        <f>D57-E57</f>
        <v>4254</v>
      </c>
    </row>
    <row r="58" spans="1:6">
      <c r="A58" s="8"/>
      <c r="B58" s="11" t="s">
        <v>28</v>
      </c>
      <c r="C58" s="11"/>
      <c r="D58" s="14">
        <v>0.35514899999999999</v>
      </c>
      <c r="E58" s="11"/>
      <c r="F58" s="11"/>
    </row>
    <row r="59" spans="1:6">
      <c r="A59" s="8"/>
      <c r="B59" s="11" t="s">
        <v>29</v>
      </c>
      <c r="C59" s="11"/>
      <c r="D59" s="228">
        <f>ROUND(D57*D58,0)</f>
        <v>3022</v>
      </c>
      <c r="E59" s="229">
        <f>ROUND(D59/2,0)</f>
        <v>1511</v>
      </c>
      <c r="F59" s="228">
        <f>D59-E59</f>
        <v>1511</v>
      </c>
    </row>
    <row r="60" spans="1:6">
      <c r="A60" s="8"/>
      <c r="B60" s="11" t="s">
        <v>30</v>
      </c>
      <c r="C60" s="11"/>
      <c r="D60" s="12">
        <f>+D57-D59</f>
        <v>5486</v>
      </c>
      <c r="E60" s="13">
        <f>ROUND(D60/2,0)</f>
        <v>2743</v>
      </c>
      <c r="F60" s="12">
        <f>D60-E60</f>
        <v>2743</v>
      </c>
    </row>
    <row r="61" spans="1:6">
      <c r="A61" s="8">
        <v>4</v>
      </c>
      <c r="B61" s="11" t="s">
        <v>849</v>
      </c>
      <c r="C61" s="10">
        <v>0.18894</v>
      </c>
      <c r="D61" s="9">
        <f>ROUND(D$3*C61,0)</f>
        <v>44546</v>
      </c>
      <c r="E61" s="11">
        <f>ROUND(D61/2,0)</f>
        <v>22273</v>
      </c>
      <c r="F61" s="9">
        <f>D61-E61</f>
        <v>22273</v>
      </c>
    </row>
    <row r="62" spans="1:6">
      <c r="A62" s="8"/>
      <c r="B62" s="11" t="s">
        <v>28</v>
      </c>
      <c r="C62" s="11"/>
      <c r="D62" s="14">
        <v>0.57200099999999998</v>
      </c>
      <c r="E62" s="11"/>
      <c r="F62" s="11"/>
    </row>
    <row r="63" spans="1:6">
      <c r="A63" s="8"/>
      <c r="B63" s="11" t="s">
        <v>29</v>
      </c>
      <c r="C63" s="11"/>
      <c r="D63" s="228">
        <f>ROUND(D61*D62,0)</f>
        <v>25480</v>
      </c>
      <c r="E63" s="229">
        <f t="shared" ref="E63:E68" si="3">ROUND(D63/2,0)</f>
        <v>12740</v>
      </c>
      <c r="F63" s="228">
        <f t="shared" ref="F63:F68" si="4">D63-E63</f>
        <v>12740</v>
      </c>
    </row>
    <row r="64" spans="1:6">
      <c r="A64" s="8"/>
      <c r="B64" s="11" t="s">
        <v>30</v>
      </c>
      <c r="C64" s="11"/>
      <c r="D64" s="12">
        <f>+D61-D63</f>
        <v>19066</v>
      </c>
      <c r="E64" s="13">
        <f t="shared" si="3"/>
        <v>9533</v>
      </c>
      <c r="F64" s="12">
        <f t="shared" si="4"/>
        <v>9533</v>
      </c>
    </row>
    <row r="65" spans="1:8">
      <c r="A65" s="8">
        <v>5</v>
      </c>
      <c r="B65" s="11" t="s">
        <v>1470</v>
      </c>
      <c r="C65" s="10">
        <v>1.5886999999999998E-2</v>
      </c>
      <c r="D65" s="12">
        <f>ROUND(D$3*C65,0)</f>
        <v>3746</v>
      </c>
      <c r="E65" s="13">
        <f t="shared" si="3"/>
        <v>1873</v>
      </c>
      <c r="F65" s="12">
        <f t="shared" si="4"/>
        <v>1873</v>
      </c>
    </row>
    <row r="66" spans="1:8">
      <c r="A66" s="8">
        <v>5</v>
      </c>
      <c r="B66" s="11" t="s">
        <v>1471</v>
      </c>
      <c r="C66" s="10">
        <v>5.0410000000000003E-3</v>
      </c>
      <c r="D66" s="12">
        <f>ROUND(D$3*C66,0)</f>
        <v>1189</v>
      </c>
      <c r="E66" s="13">
        <f t="shared" si="3"/>
        <v>595</v>
      </c>
      <c r="F66" s="12">
        <f t="shared" si="4"/>
        <v>594</v>
      </c>
    </row>
    <row r="67" spans="1:8">
      <c r="A67" s="8">
        <v>5</v>
      </c>
      <c r="B67" s="11" t="s">
        <v>1472</v>
      </c>
      <c r="C67" s="10">
        <v>2.1624999999999894E-2</v>
      </c>
      <c r="D67" s="12">
        <f>+D3-SUM(D4:D5)-SUM(D10:D49)-D53-D57-D61-SUM(D65:D66)</f>
        <v>5097</v>
      </c>
      <c r="E67" s="13">
        <f t="shared" si="3"/>
        <v>2549</v>
      </c>
      <c r="F67" s="12">
        <f t="shared" si="4"/>
        <v>2548</v>
      </c>
    </row>
    <row r="68" spans="1:8">
      <c r="A68" s="8">
        <v>6</v>
      </c>
      <c r="B68" s="11" t="s">
        <v>131</v>
      </c>
      <c r="C68" s="10">
        <v>0</v>
      </c>
      <c r="D68" s="12">
        <f>ROUND(D$3*C68,0)</f>
        <v>0</v>
      </c>
      <c r="E68" s="13">
        <f t="shared" si="3"/>
        <v>0</v>
      </c>
      <c r="F68" s="12">
        <f t="shared" si="4"/>
        <v>0</v>
      </c>
    </row>
    <row r="69" spans="1:8">
      <c r="A69" s="8"/>
      <c r="B69" s="28" t="s">
        <v>288</v>
      </c>
      <c r="C69" s="10">
        <v>1</v>
      </c>
      <c r="D69" s="12">
        <f>+D4+SUM(D7:D48)+SUM(D51:D52)+SUM(D55:D56)+SUM(D59:D60)+SUM(D63:D68)</f>
        <v>235770</v>
      </c>
      <c r="E69" s="12">
        <f>+E4+SUM(E7:E48)+SUM(E51:E52)+SUM(E55:E56)+SUM(E59:E60)+SUM(E63:E68)</f>
        <v>117898</v>
      </c>
      <c r="F69" s="12">
        <f>+F4+SUM(F7:F48)+SUM(F51:F52)+SUM(F55:F56)+SUM(F59:F60)+SUM(F63:F68)</f>
        <v>117872</v>
      </c>
    </row>
    <row r="70" spans="1:8">
      <c r="B70" s="18" t="s">
        <v>38</v>
      </c>
      <c r="D70" s="19">
        <f>+D4</f>
        <v>283</v>
      </c>
      <c r="E70" s="19">
        <f>+E4</f>
        <v>142</v>
      </c>
      <c r="F70" s="19">
        <f>+F4</f>
        <v>141</v>
      </c>
    </row>
    <row r="71" spans="1:8">
      <c r="A71" s="1" t="s">
        <v>590</v>
      </c>
      <c r="B71" s="2" t="s">
        <v>39</v>
      </c>
      <c r="D71" s="19">
        <f>+D7</f>
        <v>18244</v>
      </c>
      <c r="E71" s="19">
        <f>+E7</f>
        <v>9122</v>
      </c>
      <c r="F71" s="19">
        <f>+F7</f>
        <v>9122</v>
      </c>
    </row>
    <row r="72" spans="1:8">
      <c r="B72" s="2" t="s">
        <v>40</v>
      </c>
      <c r="D72" s="19">
        <f>+D51+D55+D59+D63</f>
        <v>69214</v>
      </c>
      <c r="E72" s="19">
        <f>+E51+E55+E59+E63</f>
        <v>34607</v>
      </c>
      <c r="F72" s="19">
        <f>+F51+F55+F59+F63</f>
        <v>34607</v>
      </c>
      <c r="H72" s="3">
        <v>1</v>
      </c>
    </row>
    <row r="73" spans="1:8">
      <c r="B73" s="18" t="s">
        <v>41</v>
      </c>
      <c r="D73" s="19">
        <f>+D69-D70-D71-D72</f>
        <v>148029</v>
      </c>
      <c r="E73" s="19">
        <f>+E69-E70-E71-E72</f>
        <v>74027</v>
      </c>
      <c r="F73" s="19">
        <f>+F69-F70-F71-F72</f>
        <v>74002</v>
      </c>
      <c r="H73" s="3">
        <v>2</v>
      </c>
    </row>
    <row r="75" spans="1:8" hidden="1">
      <c r="B75" s="3" t="s">
        <v>42</v>
      </c>
      <c r="C75" s="4">
        <v>1.9999999998944473E-6</v>
      </c>
      <c r="D75" s="3">
        <f>+D67-ROUND(D3*C67,0)</f>
        <v>-2</v>
      </c>
    </row>
  </sheetData>
  <pageMargins left="0.7" right="0.7" top="0.75" bottom="0.75" header="0.3" footer="0.3"/>
  <pageSetup scale="61"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pageSetUpPr fitToPage="1"/>
  </sheetPr>
  <dimension ref="A1:WVB81"/>
  <sheetViews>
    <sheetView topLeftCell="A47" zoomScaleNormal="100" zoomScaleSheetLayoutView="80" workbookViewId="0">
      <selection activeCell="D68" activeCellId="4" sqref="D7:F7 D56:F56 D60:F60 D64:F64 D68:F68"/>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5.710937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5.710937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5.710937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5.710937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5.710937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5.710937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5.710937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5.710937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5.710937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5.710937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5.710937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5.710937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5.710937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5.710937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5.710937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5.710937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5.710937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5.710937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5.710937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5.710937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5.710937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5.710937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5.710937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5.710937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5.710937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5.710937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5.710937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5.710937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5.710937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5.710937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5.710937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5.710937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5.710937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5.710937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5.710937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5.710937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5.710937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5.710937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5.710937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5.710937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5.710937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5.710937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5.710937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5.710937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5.710937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5.710937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5.710937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5.710937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5.710937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5.710937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5.710937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5.710937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5.710937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5.710937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5.710937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5.710937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5.710937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5.710937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5.710937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5.710937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5.710937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5.710937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5.710937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1473</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Worksheet'!$D$70</f>
        <v>234199</v>
      </c>
      <c r="E3" s="11"/>
      <c r="F3" s="11"/>
    </row>
    <row r="4" spans="1:6">
      <c r="A4" s="8">
        <v>0</v>
      </c>
      <c r="B4" s="11" t="s">
        <v>4</v>
      </c>
      <c r="C4" s="10">
        <v>1.3810000000000001E-3</v>
      </c>
      <c r="D4" s="12">
        <f>ROUND(D$3*C4,0)</f>
        <v>323</v>
      </c>
      <c r="E4" s="13">
        <f>ROUND(D4/2,0)</f>
        <v>162</v>
      </c>
      <c r="F4" s="12">
        <f>D4-E4</f>
        <v>161</v>
      </c>
    </row>
    <row r="5" spans="1:6">
      <c r="A5" s="8">
        <v>1</v>
      </c>
      <c r="B5" s="11" t="s">
        <v>1474</v>
      </c>
      <c r="C5" s="10">
        <v>0.17558399999999999</v>
      </c>
      <c r="D5" s="9">
        <f>ROUND(D$3*C5,0)</f>
        <v>41122</v>
      </c>
      <c r="E5" s="11">
        <f>ROUND(D5/2,0)</f>
        <v>20561</v>
      </c>
      <c r="F5" s="9">
        <f>D5-E5</f>
        <v>20561</v>
      </c>
    </row>
    <row r="6" spans="1:6">
      <c r="A6" s="8"/>
      <c r="B6" s="11" t="s">
        <v>6</v>
      </c>
      <c r="C6" s="11"/>
      <c r="D6" s="14">
        <v>0.25581399999999999</v>
      </c>
      <c r="E6" s="11"/>
      <c r="F6" s="11"/>
    </row>
    <row r="7" spans="1:6">
      <c r="A7" s="8"/>
      <c r="B7" s="11" t="s">
        <v>7</v>
      </c>
      <c r="C7" s="11"/>
      <c r="D7" s="225">
        <f>ROUND(D5*D6,0)</f>
        <v>10520</v>
      </c>
      <c r="E7" s="226">
        <f>ROUND(D7/2,0)</f>
        <v>5260</v>
      </c>
      <c r="F7" s="225">
        <f>D7-E7</f>
        <v>5260</v>
      </c>
    </row>
    <row r="8" spans="1:6">
      <c r="A8" s="8"/>
      <c r="B8" s="11" t="s">
        <v>8</v>
      </c>
      <c r="C8" s="11"/>
      <c r="D8" s="12">
        <f>+D5-D7</f>
        <v>30602</v>
      </c>
      <c r="E8" s="13">
        <f>ROUND(D8/2,0)</f>
        <v>15301</v>
      </c>
      <c r="F8" s="12">
        <f>D8-E8</f>
        <v>15301</v>
      </c>
    </row>
    <row r="9" spans="1:6">
      <c r="A9" s="8">
        <v>2</v>
      </c>
      <c r="B9" s="11" t="s">
        <v>147</v>
      </c>
      <c r="C9" s="11"/>
      <c r="D9" s="9"/>
      <c r="E9" s="11"/>
      <c r="F9" s="11"/>
    </row>
    <row r="10" spans="1:6">
      <c r="A10" s="8"/>
      <c r="B10" s="11" t="s">
        <v>10</v>
      </c>
      <c r="C10" s="10">
        <v>1.17E-4</v>
      </c>
      <c r="D10" s="12">
        <f>ROUND(D$3*C10,0)</f>
        <v>27</v>
      </c>
      <c r="E10" s="13">
        <f>ROUND(D10/2,0)</f>
        <v>14</v>
      </c>
      <c r="F10" s="12">
        <f>D10-E10</f>
        <v>13</v>
      </c>
    </row>
    <row r="11" spans="1:6">
      <c r="A11" s="8"/>
      <c r="B11" s="11" t="s">
        <v>11</v>
      </c>
      <c r="C11" s="10">
        <v>0</v>
      </c>
      <c r="D11" s="12">
        <f>ROUND(D$3*C11,0)</f>
        <v>0</v>
      </c>
      <c r="E11" s="13">
        <f>ROUND(D11/2,0)</f>
        <v>0</v>
      </c>
      <c r="F11" s="12">
        <f>D11-E11</f>
        <v>0</v>
      </c>
    </row>
    <row r="12" spans="1:6">
      <c r="A12" s="8">
        <v>2</v>
      </c>
      <c r="B12" s="11" t="s">
        <v>1475</v>
      </c>
      <c r="C12" s="11"/>
      <c r="D12" s="9"/>
      <c r="E12" s="11"/>
      <c r="F12" s="11"/>
    </row>
    <row r="13" spans="1:6">
      <c r="A13" s="8"/>
      <c r="B13" s="11" t="s">
        <v>10</v>
      </c>
      <c r="C13" s="10">
        <v>2.2100000000000002E-3</v>
      </c>
      <c r="D13" s="12">
        <f>ROUND(D$3*C13,0)</f>
        <v>518</v>
      </c>
      <c r="E13" s="13">
        <f>ROUND(D13/2,0)</f>
        <v>259</v>
      </c>
      <c r="F13" s="12">
        <f>D13-E13</f>
        <v>259</v>
      </c>
    </row>
    <row r="14" spans="1:6">
      <c r="A14" s="8"/>
      <c r="B14" s="11" t="s">
        <v>11</v>
      </c>
      <c r="C14" s="10">
        <v>4.75E-4</v>
      </c>
      <c r="D14" s="12">
        <f>ROUND(D$3*C14,0)</f>
        <v>111</v>
      </c>
      <c r="E14" s="13">
        <f>ROUND(D14/2,0)</f>
        <v>56</v>
      </c>
      <c r="F14" s="12">
        <f>D14-E14</f>
        <v>55</v>
      </c>
    </row>
    <row r="15" spans="1:6">
      <c r="A15" s="8">
        <v>2</v>
      </c>
      <c r="B15" s="11" t="s">
        <v>1476</v>
      </c>
      <c r="C15" s="11"/>
      <c r="D15" s="9"/>
      <c r="E15" s="11"/>
      <c r="F15" s="11"/>
    </row>
    <row r="16" spans="1:6">
      <c r="A16" s="8"/>
      <c r="B16" s="11" t="s">
        <v>10</v>
      </c>
      <c r="C16" s="10">
        <v>6.8499999999999995E-4</v>
      </c>
      <c r="D16" s="12">
        <f>ROUND(D$3*C16,0)</f>
        <v>160</v>
      </c>
      <c r="E16" s="13">
        <f>ROUND(D16/2,0)</f>
        <v>80</v>
      </c>
      <c r="F16" s="12">
        <f>D16-E16</f>
        <v>80</v>
      </c>
    </row>
    <row r="17" spans="1:6">
      <c r="A17" s="8"/>
      <c r="B17" s="11" t="s">
        <v>11</v>
      </c>
      <c r="C17" s="10">
        <v>0</v>
      </c>
      <c r="D17" s="12">
        <f>ROUND(D$3*C17,0)</f>
        <v>0</v>
      </c>
      <c r="E17" s="13">
        <f>ROUND(D17/2,0)</f>
        <v>0</v>
      </c>
      <c r="F17" s="12">
        <f>D17-E17</f>
        <v>0</v>
      </c>
    </row>
    <row r="18" spans="1:6">
      <c r="A18" s="8">
        <v>2</v>
      </c>
      <c r="B18" s="11" t="s">
        <v>372</v>
      </c>
      <c r="C18" s="11"/>
      <c r="D18" s="9"/>
      <c r="E18" s="11"/>
      <c r="F18" s="11"/>
    </row>
    <row r="19" spans="1:6">
      <c r="A19" s="8"/>
      <c r="B19" s="11" t="s">
        <v>10</v>
      </c>
      <c r="C19" s="10">
        <v>6.6200000000000005E-4</v>
      </c>
      <c r="D19" s="12">
        <f>ROUND(D$3*C19,0)</f>
        <v>155</v>
      </c>
      <c r="E19" s="13">
        <f>ROUND(D19/2,0)</f>
        <v>78</v>
      </c>
      <c r="F19" s="12">
        <f>D19-E19</f>
        <v>77</v>
      </c>
    </row>
    <row r="20" spans="1:6">
      <c r="A20" s="8"/>
      <c r="B20" s="11" t="s">
        <v>11</v>
      </c>
      <c r="C20" s="10">
        <v>0</v>
      </c>
      <c r="D20" s="12">
        <f>ROUND(D$3*C20,0)</f>
        <v>0</v>
      </c>
      <c r="E20" s="13">
        <f>ROUND(D20/2,0)</f>
        <v>0</v>
      </c>
      <c r="F20" s="12">
        <f>D20-E20</f>
        <v>0</v>
      </c>
    </row>
    <row r="21" spans="1:6">
      <c r="A21" s="8">
        <v>2</v>
      </c>
      <c r="B21" s="11" t="s">
        <v>1477</v>
      </c>
      <c r="C21" s="11"/>
      <c r="D21" s="9"/>
      <c r="E21" s="11"/>
      <c r="F21" s="11"/>
    </row>
    <row r="22" spans="1:6">
      <c r="A22" s="8"/>
      <c r="B22" s="11" t="s">
        <v>10</v>
      </c>
      <c r="C22" s="10">
        <v>3.156E-3</v>
      </c>
      <c r="D22" s="12">
        <f>ROUND(D$3*C22,0)</f>
        <v>739</v>
      </c>
      <c r="E22" s="13">
        <f>ROUND(D22/2,0)</f>
        <v>370</v>
      </c>
      <c r="F22" s="12">
        <f>D22-E22</f>
        <v>369</v>
      </c>
    </row>
    <row r="23" spans="1:6">
      <c r="A23" s="8"/>
      <c r="B23" s="11" t="s">
        <v>11</v>
      </c>
      <c r="C23" s="10">
        <v>8.5999999999999998E-4</v>
      </c>
      <c r="D23" s="12">
        <f>ROUND(D$3*C23,0)</f>
        <v>201</v>
      </c>
      <c r="E23" s="13">
        <f>ROUND(D23/2,0)</f>
        <v>101</v>
      </c>
      <c r="F23" s="12">
        <f>D23-E23</f>
        <v>100</v>
      </c>
    </row>
    <row r="24" spans="1:6">
      <c r="A24" s="8">
        <v>2</v>
      </c>
      <c r="B24" s="11" t="s">
        <v>49</v>
      </c>
      <c r="C24" s="11"/>
      <c r="D24" s="9"/>
      <c r="E24" s="11"/>
      <c r="F24" s="11"/>
    </row>
    <row r="25" spans="1:6">
      <c r="A25" s="8"/>
      <c r="B25" s="11" t="s">
        <v>10</v>
      </c>
      <c r="C25" s="10">
        <v>1.63E-4</v>
      </c>
      <c r="D25" s="12">
        <f>ROUND(D$3*C25,0)</f>
        <v>38</v>
      </c>
      <c r="E25" s="13">
        <f>ROUND(D25/2,0)</f>
        <v>19</v>
      </c>
      <c r="F25" s="12">
        <f>D25-E25</f>
        <v>19</v>
      </c>
    </row>
    <row r="26" spans="1:6">
      <c r="A26" s="8"/>
      <c r="B26" s="11" t="s">
        <v>11</v>
      </c>
      <c r="C26" s="10">
        <v>0</v>
      </c>
      <c r="D26" s="12">
        <f>ROUND(D$3*C26,0)</f>
        <v>0</v>
      </c>
      <c r="E26" s="13">
        <f>ROUND(D26/2,0)</f>
        <v>0</v>
      </c>
      <c r="F26" s="12">
        <f>D26-E26</f>
        <v>0</v>
      </c>
    </row>
    <row r="27" spans="1:6">
      <c r="A27" s="8">
        <v>2</v>
      </c>
      <c r="B27" s="11" t="s">
        <v>14</v>
      </c>
      <c r="C27" s="11"/>
      <c r="D27" s="9"/>
      <c r="E27" s="11"/>
      <c r="F27" s="11"/>
    </row>
    <row r="28" spans="1:6">
      <c r="A28" s="8"/>
      <c r="B28" s="11" t="s">
        <v>10</v>
      </c>
      <c r="C28" s="10">
        <v>3.3500000000000001E-4</v>
      </c>
      <c r="D28" s="12">
        <f>ROUND(D$3*C28,0)</f>
        <v>78</v>
      </c>
      <c r="E28" s="13">
        <f>ROUND(D28/2,0)</f>
        <v>39</v>
      </c>
      <c r="F28" s="12">
        <f>D28-E28</f>
        <v>39</v>
      </c>
    </row>
    <row r="29" spans="1:6">
      <c r="A29" s="8"/>
      <c r="B29" s="11" t="s">
        <v>11</v>
      </c>
      <c r="C29" s="10">
        <v>1.7899999999999999E-4</v>
      </c>
      <c r="D29" s="12">
        <f>ROUND(D$3*C29,0)</f>
        <v>42</v>
      </c>
      <c r="E29" s="13">
        <f>ROUND(D29/2,0)</f>
        <v>21</v>
      </c>
      <c r="F29" s="12">
        <f>D29-E29</f>
        <v>21</v>
      </c>
    </row>
    <row r="30" spans="1:6">
      <c r="A30" s="8">
        <v>2</v>
      </c>
      <c r="B30" s="11" t="s">
        <v>52</v>
      </c>
      <c r="C30" s="11"/>
      <c r="D30" s="9"/>
      <c r="E30" s="11"/>
      <c r="F30" s="11"/>
    </row>
    <row r="31" spans="1:6">
      <c r="A31" s="8"/>
      <c r="B31" s="11" t="s">
        <v>10</v>
      </c>
      <c r="C31" s="10">
        <v>2.078E-3</v>
      </c>
      <c r="D31" s="12">
        <f>ROUND(D$3*C31,0)</f>
        <v>487</v>
      </c>
      <c r="E31" s="13">
        <f>ROUND(D31/2,0)</f>
        <v>244</v>
      </c>
      <c r="F31" s="12">
        <f>D31-E31</f>
        <v>243</v>
      </c>
    </row>
    <row r="32" spans="1:6">
      <c r="A32" s="8"/>
      <c r="B32" s="11" t="s">
        <v>11</v>
      </c>
      <c r="C32" s="10">
        <v>4.5100000000000001E-4</v>
      </c>
      <c r="D32" s="12">
        <f>ROUND(D$3*C32,0)</f>
        <v>106</v>
      </c>
      <c r="E32" s="13">
        <f>ROUND(D32/2,0)</f>
        <v>53</v>
      </c>
      <c r="F32" s="12">
        <f>D32-E32</f>
        <v>53</v>
      </c>
    </row>
    <row r="33" spans="1:6">
      <c r="A33" s="8">
        <v>2</v>
      </c>
      <c r="B33" s="11" t="s">
        <v>53</v>
      </c>
      <c r="C33" s="11"/>
      <c r="D33" s="9"/>
      <c r="E33" s="11"/>
      <c r="F33" s="11"/>
    </row>
    <row r="34" spans="1:6">
      <c r="A34" s="8"/>
      <c r="B34" s="11" t="s">
        <v>10</v>
      </c>
      <c r="C34" s="10">
        <v>4.1199999999999999E-4</v>
      </c>
      <c r="D34" s="12">
        <f>ROUND(D$3*C34,0)</f>
        <v>96</v>
      </c>
      <c r="E34" s="13">
        <f>ROUND(D34/2,0)</f>
        <v>48</v>
      </c>
      <c r="F34" s="12">
        <f>D34-E34</f>
        <v>48</v>
      </c>
    </row>
    <row r="35" spans="1:6">
      <c r="A35" s="8"/>
      <c r="B35" s="11" t="s">
        <v>11</v>
      </c>
      <c r="C35" s="10">
        <v>5.9500000000000004E-4</v>
      </c>
      <c r="D35" s="12">
        <f>ROUND(D$3*C35,0)</f>
        <v>139</v>
      </c>
      <c r="E35" s="13">
        <f>ROUND(D35/2,0)</f>
        <v>70</v>
      </c>
      <c r="F35" s="12">
        <f>D35-E35</f>
        <v>69</v>
      </c>
    </row>
    <row r="36" spans="1:6">
      <c r="A36" s="8">
        <v>2</v>
      </c>
      <c r="B36" s="11" t="s">
        <v>16</v>
      </c>
      <c r="C36" s="11"/>
      <c r="D36" s="9"/>
      <c r="E36" s="11"/>
      <c r="F36" s="11"/>
    </row>
    <row r="37" spans="1:6">
      <c r="A37" s="8"/>
      <c r="B37" s="11" t="s">
        <v>10</v>
      </c>
      <c r="C37" s="10">
        <v>3.77E-4</v>
      </c>
      <c r="D37" s="12">
        <f>ROUND(D$3*C37,0)</f>
        <v>88</v>
      </c>
      <c r="E37" s="13">
        <f>ROUND(D37/2,0)</f>
        <v>44</v>
      </c>
      <c r="F37" s="12">
        <f>D37-E37</f>
        <v>44</v>
      </c>
    </row>
    <row r="38" spans="1:6">
      <c r="A38" s="8"/>
      <c r="B38" s="11" t="s">
        <v>11</v>
      </c>
      <c r="C38" s="10">
        <v>0</v>
      </c>
      <c r="D38" s="12">
        <f>ROUND(D$3*C38,0)</f>
        <v>0</v>
      </c>
      <c r="E38" s="13">
        <f>ROUND(D38/2,0)</f>
        <v>0</v>
      </c>
      <c r="F38" s="12">
        <f>D38-E38</f>
        <v>0</v>
      </c>
    </row>
    <row r="39" spans="1:6">
      <c r="A39" s="8">
        <v>2</v>
      </c>
      <c r="B39" s="11" t="s">
        <v>1478</v>
      </c>
      <c r="C39" s="11"/>
      <c r="D39" s="9"/>
      <c r="E39" s="11"/>
      <c r="F39" s="11"/>
    </row>
    <row r="40" spans="1:6">
      <c r="A40" s="8"/>
      <c r="B40" s="11" t="s">
        <v>10</v>
      </c>
      <c r="C40" s="10">
        <v>4.0099999999999999E-4</v>
      </c>
      <c r="D40" s="12">
        <f>ROUND(D$3*C40,0)</f>
        <v>94</v>
      </c>
      <c r="E40" s="13">
        <f>ROUND(D40/2,0)</f>
        <v>47</v>
      </c>
      <c r="F40" s="12">
        <f>D40-E40</f>
        <v>47</v>
      </c>
    </row>
    <row r="41" spans="1:6">
      <c r="A41" s="8"/>
      <c r="B41" s="11" t="s">
        <v>11</v>
      </c>
      <c r="C41" s="10">
        <v>5.4100000000000003E-4</v>
      </c>
      <c r="D41" s="12">
        <f>ROUND(D$3*C41,0)</f>
        <v>127</v>
      </c>
      <c r="E41" s="13">
        <f>ROUND(D41/2,0)</f>
        <v>64</v>
      </c>
      <c r="F41" s="12">
        <f>D41-E41</f>
        <v>63</v>
      </c>
    </row>
    <row r="42" spans="1:6">
      <c r="A42" s="8">
        <v>2</v>
      </c>
      <c r="B42" s="11" t="s">
        <v>272</v>
      </c>
      <c r="C42" s="11"/>
      <c r="D42" s="9"/>
      <c r="E42" s="11"/>
      <c r="F42" s="11"/>
    </row>
    <row r="43" spans="1:6">
      <c r="A43" s="8"/>
      <c r="B43" s="11" t="s">
        <v>10</v>
      </c>
      <c r="C43" s="10">
        <v>2.5700000000000001E-4</v>
      </c>
      <c r="D43" s="12">
        <f>ROUND(D$3*C43,0)</f>
        <v>60</v>
      </c>
      <c r="E43" s="13">
        <f>ROUND(D43/2,0)</f>
        <v>30</v>
      </c>
      <c r="F43" s="12">
        <f>D43-E43</f>
        <v>30</v>
      </c>
    </row>
    <row r="44" spans="1:6">
      <c r="A44" s="8"/>
      <c r="B44" s="11" t="s">
        <v>11</v>
      </c>
      <c r="C44" s="10">
        <v>2.33E-4</v>
      </c>
      <c r="D44" s="12">
        <f>ROUND(D$3*C44,0)</f>
        <v>55</v>
      </c>
      <c r="E44" s="13">
        <f>ROUND(D44/2,0)</f>
        <v>28</v>
      </c>
      <c r="F44" s="12">
        <f>D44-E44</f>
        <v>27</v>
      </c>
    </row>
    <row r="45" spans="1:6">
      <c r="A45" s="8">
        <v>2</v>
      </c>
      <c r="B45" s="11" t="s">
        <v>22</v>
      </c>
      <c r="C45" s="11"/>
      <c r="D45" s="9"/>
      <c r="E45" s="11"/>
      <c r="F45" s="11"/>
    </row>
    <row r="46" spans="1:6">
      <c r="A46" s="8"/>
      <c r="B46" s="11" t="s">
        <v>10</v>
      </c>
      <c r="C46" s="10">
        <v>1.2340000000000001E-3</v>
      </c>
      <c r="D46" s="12">
        <f t="shared" ref="D46:D54" si="0">ROUND(D$3*C46,0)</f>
        <v>289</v>
      </c>
      <c r="E46" s="13">
        <f t="shared" ref="E46:E54" si="1">ROUND(D46/2,0)</f>
        <v>145</v>
      </c>
      <c r="F46" s="12">
        <f t="shared" ref="F46:F54" si="2">D46-E46</f>
        <v>144</v>
      </c>
    </row>
    <row r="47" spans="1:6">
      <c r="A47" s="8"/>
      <c r="B47" s="11" t="s">
        <v>11</v>
      </c>
      <c r="C47" s="10">
        <v>5.1000000000000004E-4</v>
      </c>
      <c r="D47" s="12">
        <f t="shared" si="0"/>
        <v>119</v>
      </c>
      <c r="E47" s="13">
        <f t="shared" si="1"/>
        <v>60</v>
      </c>
      <c r="F47" s="12">
        <f t="shared" si="2"/>
        <v>59</v>
      </c>
    </row>
    <row r="48" spans="1:6">
      <c r="A48" s="8">
        <v>3</v>
      </c>
      <c r="B48" s="11" t="s">
        <v>1479</v>
      </c>
      <c r="C48" s="10">
        <v>1.681E-3</v>
      </c>
      <c r="D48" s="12">
        <f t="shared" si="0"/>
        <v>394</v>
      </c>
      <c r="E48" s="13">
        <f t="shared" si="1"/>
        <v>197</v>
      </c>
      <c r="F48" s="12">
        <f t="shared" si="2"/>
        <v>197</v>
      </c>
    </row>
    <row r="49" spans="1:6">
      <c r="A49" s="8">
        <v>3</v>
      </c>
      <c r="B49" s="11" t="s">
        <v>1480</v>
      </c>
      <c r="C49" s="10">
        <v>3.1519999999999999E-3</v>
      </c>
      <c r="D49" s="12">
        <f t="shared" si="0"/>
        <v>738</v>
      </c>
      <c r="E49" s="13">
        <f t="shared" si="1"/>
        <v>369</v>
      </c>
      <c r="F49" s="12">
        <f t="shared" si="2"/>
        <v>369</v>
      </c>
    </row>
    <row r="50" spans="1:6">
      <c r="A50" s="8">
        <v>3</v>
      </c>
      <c r="B50" s="11" t="s">
        <v>1481</v>
      </c>
      <c r="C50" s="10">
        <v>0</v>
      </c>
      <c r="D50" s="12">
        <f t="shared" si="0"/>
        <v>0</v>
      </c>
      <c r="E50" s="13">
        <f t="shared" si="1"/>
        <v>0</v>
      </c>
      <c r="F50" s="12">
        <f t="shared" si="2"/>
        <v>0</v>
      </c>
    </row>
    <row r="51" spans="1:6">
      <c r="A51" s="8">
        <v>3</v>
      </c>
      <c r="B51" s="11" t="s">
        <v>1482</v>
      </c>
      <c r="C51" s="10">
        <v>3.5372000000000001E-2</v>
      </c>
      <c r="D51" s="12">
        <f t="shared" si="0"/>
        <v>8284</v>
      </c>
      <c r="E51" s="13">
        <f t="shared" si="1"/>
        <v>4142</v>
      </c>
      <c r="F51" s="12">
        <f t="shared" si="2"/>
        <v>4142</v>
      </c>
    </row>
    <row r="52" spans="1:6">
      <c r="A52" s="8">
        <v>3</v>
      </c>
      <c r="B52" s="11" t="s">
        <v>1483</v>
      </c>
      <c r="C52" s="10">
        <v>2.3310000000000002E-3</v>
      </c>
      <c r="D52" s="12">
        <f t="shared" si="0"/>
        <v>546</v>
      </c>
      <c r="E52" s="13">
        <f t="shared" si="1"/>
        <v>273</v>
      </c>
      <c r="F52" s="12">
        <f t="shared" si="2"/>
        <v>273</v>
      </c>
    </row>
    <row r="53" spans="1:6">
      <c r="A53" s="8">
        <v>3</v>
      </c>
      <c r="B53" s="11" t="s">
        <v>1484</v>
      </c>
      <c r="C53" s="10">
        <v>1.7669999999999999E-3</v>
      </c>
      <c r="D53" s="12">
        <f t="shared" si="0"/>
        <v>414</v>
      </c>
      <c r="E53" s="13">
        <f t="shared" si="1"/>
        <v>207</v>
      </c>
      <c r="F53" s="12">
        <f t="shared" si="2"/>
        <v>207</v>
      </c>
    </row>
    <row r="54" spans="1:6">
      <c r="A54" s="8">
        <v>4</v>
      </c>
      <c r="B54" s="11" t="s">
        <v>1362</v>
      </c>
      <c r="C54" s="10">
        <v>6.2392999999999997E-2</v>
      </c>
      <c r="D54" s="9">
        <f t="shared" si="0"/>
        <v>14612</v>
      </c>
      <c r="E54" s="11">
        <f t="shared" si="1"/>
        <v>7306</v>
      </c>
      <c r="F54" s="9">
        <f t="shared" si="2"/>
        <v>7306</v>
      </c>
    </row>
    <row r="55" spans="1:6">
      <c r="A55" s="8"/>
      <c r="B55" s="11" t="s">
        <v>28</v>
      </c>
      <c r="C55" s="11"/>
      <c r="D55" s="14">
        <v>0.33385799999999999</v>
      </c>
      <c r="E55" s="11"/>
      <c r="F55" s="11"/>
    </row>
    <row r="56" spans="1:6">
      <c r="A56" s="8"/>
      <c r="B56" s="11" t="s">
        <v>29</v>
      </c>
      <c r="C56" s="11"/>
      <c r="D56" s="225">
        <f>ROUND(D54*D55,0)</f>
        <v>4878</v>
      </c>
      <c r="E56" s="226">
        <f>ROUND(D56/2,0)</f>
        <v>2439</v>
      </c>
      <c r="F56" s="225">
        <f>D56-E56</f>
        <v>2439</v>
      </c>
    </row>
    <row r="57" spans="1:6">
      <c r="A57" s="8"/>
      <c r="B57" s="11" t="s">
        <v>30</v>
      </c>
      <c r="C57" s="11"/>
      <c r="D57" s="12">
        <f>+D54-D56</f>
        <v>9734</v>
      </c>
      <c r="E57" s="13">
        <f>ROUND(D57/2,0)</f>
        <v>4867</v>
      </c>
      <c r="F57" s="12">
        <f>D57-E57</f>
        <v>4867</v>
      </c>
    </row>
    <row r="58" spans="1:6">
      <c r="A58" s="8">
        <v>4</v>
      </c>
      <c r="B58" s="11" t="s">
        <v>1485</v>
      </c>
      <c r="C58" s="10">
        <v>0.284611</v>
      </c>
      <c r="D58" s="9">
        <f>ROUND(D$3*C58,0)</f>
        <v>66656</v>
      </c>
      <c r="E58" s="11">
        <f>ROUND(D58/2,0)</f>
        <v>33328</v>
      </c>
      <c r="F58" s="9">
        <f>D58-E58</f>
        <v>33328</v>
      </c>
    </row>
    <row r="59" spans="1:6">
      <c r="A59" s="8"/>
      <c r="B59" s="11" t="s">
        <v>28</v>
      </c>
      <c r="C59" s="11"/>
      <c r="D59" s="14">
        <v>0.430477</v>
      </c>
      <c r="E59" s="11"/>
      <c r="F59" s="11"/>
    </row>
    <row r="60" spans="1:6">
      <c r="A60" s="8"/>
      <c r="B60" s="11" t="s">
        <v>29</v>
      </c>
      <c r="C60" s="11"/>
      <c r="D60" s="225">
        <f>ROUND(D58*D59,0)</f>
        <v>28694</v>
      </c>
      <c r="E60" s="226">
        <f>ROUND(D60/2,0)</f>
        <v>14347</v>
      </c>
      <c r="F60" s="225">
        <f>D60-E60</f>
        <v>14347</v>
      </c>
    </row>
    <row r="61" spans="1:6">
      <c r="A61" s="8"/>
      <c r="B61" s="11" t="s">
        <v>30</v>
      </c>
      <c r="C61" s="11"/>
      <c r="D61" s="12">
        <f>+D58-D60</f>
        <v>37962</v>
      </c>
      <c r="E61" s="13">
        <f>ROUND(D61/2,0)</f>
        <v>18981</v>
      </c>
      <c r="F61" s="12">
        <f>D61-E61</f>
        <v>18981</v>
      </c>
    </row>
    <row r="62" spans="1:6">
      <c r="A62" s="8">
        <v>4</v>
      </c>
      <c r="B62" s="11" t="s">
        <v>1486</v>
      </c>
      <c r="C62" s="10">
        <v>0.26794499999999999</v>
      </c>
      <c r="D62" s="9">
        <f>ROUND(D$3*C62,0)</f>
        <v>62752</v>
      </c>
      <c r="E62" s="11">
        <f>ROUND(D62/2,0)</f>
        <v>31376</v>
      </c>
      <c r="F62" s="9">
        <f>D62-E62</f>
        <v>31376</v>
      </c>
    </row>
    <row r="63" spans="1:6">
      <c r="A63" s="8"/>
      <c r="B63" s="11" t="s">
        <v>28</v>
      </c>
      <c r="C63" s="11"/>
      <c r="D63" s="14">
        <v>0.47979300000000003</v>
      </c>
      <c r="E63" s="11"/>
      <c r="F63" s="11"/>
    </row>
    <row r="64" spans="1:6">
      <c r="A64" s="8"/>
      <c r="B64" s="11" t="s">
        <v>29</v>
      </c>
      <c r="C64" s="11"/>
      <c r="D64" s="225">
        <f>ROUND(D62*D63,0)</f>
        <v>30108</v>
      </c>
      <c r="E64" s="226">
        <f>ROUND(D64/2,0)</f>
        <v>15054</v>
      </c>
      <c r="F64" s="225">
        <f>D64-E64</f>
        <v>15054</v>
      </c>
    </row>
    <row r="65" spans="1:8">
      <c r="A65" s="8"/>
      <c r="B65" s="11" t="s">
        <v>30</v>
      </c>
      <c r="C65" s="11"/>
      <c r="D65" s="12">
        <f>+D62-D64</f>
        <v>32644</v>
      </c>
      <c r="E65" s="13">
        <f>ROUND(D65/2,0)</f>
        <v>16322</v>
      </c>
      <c r="F65" s="12">
        <f>D65-E65</f>
        <v>16322</v>
      </c>
    </row>
    <row r="66" spans="1:8">
      <c r="A66" s="8">
        <v>4</v>
      </c>
      <c r="B66" s="11" t="s">
        <v>1487</v>
      </c>
      <c r="C66" s="10">
        <v>0.112354</v>
      </c>
      <c r="D66" s="9">
        <f>ROUND(D$3*C66,0)</f>
        <v>26313</v>
      </c>
      <c r="E66" s="11">
        <f>ROUND(D66/2,0)</f>
        <v>13157</v>
      </c>
      <c r="F66" s="9">
        <f>D66-E66</f>
        <v>13156</v>
      </c>
    </row>
    <row r="67" spans="1:8">
      <c r="A67" s="8"/>
      <c r="B67" s="11" t="s">
        <v>28</v>
      </c>
      <c r="C67" s="11"/>
      <c r="D67" s="14">
        <v>0.306564</v>
      </c>
      <c r="E67" s="11"/>
      <c r="F67" s="11"/>
    </row>
    <row r="68" spans="1:8">
      <c r="A68" s="8"/>
      <c r="B68" s="11" t="s">
        <v>29</v>
      </c>
      <c r="C68" s="11"/>
      <c r="D68" s="225">
        <f>ROUND(D66*D67,0)</f>
        <v>8067</v>
      </c>
      <c r="E68" s="226">
        <f t="shared" ref="E68:E74" si="3">ROUND(D68/2,0)</f>
        <v>4034</v>
      </c>
      <c r="F68" s="225">
        <f t="shared" ref="F68:F74" si="4">D68-E68</f>
        <v>4033</v>
      </c>
    </row>
    <row r="69" spans="1:8">
      <c r="A69" s="8"/>
      <c r="B69" s="11" t="s">
        <v>30</v>
      </c>
      <c r="C69" s="11"/>
      <c r="D69" s="12">
        <f>+D66-D68</f>
        <v>18246</v>
      </c>
      <c r="E69" s="13">
        <f t="shared" si="3"/>
        <v>9123</v>
      </c>
      <c r="F69" s="12">
        <f t="shared" si="4"/>
        <v>9123</v>
      </c>
    </row>
    <row r="70" spans="1:8">
      <c r="A70" s="8">
        <v>5</v>
      </c>
      <c r="B70" s="11" t="s">
        <v>1488</v>
      </c>
      <c r="C70" s="10">
        <v>2.2932000000000001E-2</v>
      </c>
      <c r="D70" s="12">
        <f>ROUND(D$3*C70,0)</f>
        <v>5371</v>
      </c>
      <c r="E70" s="13">
        <f t="shared" si="3"/>
        <v>2686</v>
      </c>
      <c r="F70" s="12">
        <f t="shared" si="4"/>
        <v>2685</v>
      </c>
    </row>
    <row r="71" spans="1:8">
      <c r="A71" s="8" t="s">
        <v>590</v>
      </c>
      <c r="B71" s="11" t="s">
        <v>1489</v>
      </c>
      <c r="C71" s="10">
        <v>1.5020000000000001E-3</v>
      </c>
      <c r="D71" s="12">
        <f>ROUND(D$3*C71,0)</f>
        <v>352</v>
      </c>
      <c r="E71" s="13">
        <f t="shared" si="3"/>
        <v>176</v>
      </c>
      <c r="F71" s="12">
        <f t="shared" si="4"/>
        <v>176</v>
      </c>
    </row>
    <row r="72" spans="1:8">
      <c r="A72" s="8">
        <v>6</v>
      </c>
      <c r="B72" s="11" t="s">
        <v>1490</v>
      </c>
      <c r="C72" s="10">
        <v>6.9969999999999997E-3</v>
      </c>
      <c r="D72" s="12">
        <f>ROUND(D$3*C72,0)</f>
        <v>1639</v>
      </c>
      <c r="E72" s="13">
        <f t="shared" si="3"/>
        <v>820</v>
      </c>
      <c r="F72" s="12">
        <f t="shared" si="4"/>
        <v>819</v>
      </c>
    </row>
    <row r="73" spans="1:8">
      <c r="A73" s="8">
        <v>6</v>
      </c>
      <c r="B73" s="11" t="s">
        <v>1491</v>
      </c>
      <c r="C73" s="10">
        <v>2.183E-3</v>
      </c>
      <c r="D73" s="12">
        <f>ROUND(D$3*C73,0)</f>
        <v>511</v>
      </c>
      <c r="E73" s="13">
        <f t="shared" si="3"/>
        <v>256</v>
      </c>
      <c r="F73" s="12">
        <f t="shared" si="4"/>
        <v>255</v>
      </c>
    </row>
    <row r="74" spans="1:8">
      <c r="A74" s="8">
        <v>6</v>
      </c>
      <c r="B74" s="11" t="s">
        <v>1492</v>
      </c>
      <c r="C74" s="10">
        <v>1.8839999999999968E-3</v>
      </c>
      <c r="D74" s="12">
        <f>+D3-SUM(D4:D5)-SUM(D10:D54)-D58-D62-D66-SUM(D70:D73)</f>
        <v>443</v>
      </c>
      <c r="E74" s="13">
        <f t="shared" si="3"/>
        <v>222</v>
      </c>
      <c r="F74" s="12">
        <f t="shared" si="4"/>
        <v>221</v>
      </c>
    </row>
    <row r="75" spans="1:8">
      <c r="A75" s="8"/>
      <c r="B75" s="28" t="s">
        <v>288</v>
      </c>
      <c r="C75" s="10">
        <v>1</v>
      </c>
      <c r="D75" s="12">
        <f>+D4+SUM(D7:D53)+SUM(D56:D57)+SUM(D60:D61)+SUM(D64:D65)+SUM(D68:D74)</f>
        <v>234199</v>
      </c>
      <c r="E75" s="12">
        <f>+E4+SUM(E7:E53)+SUM(E56:E57)+SUM(E60:E61)+SUM(E64:E65)+SUM(E68:E74)</f>
        <v>117108</v>
      </c>
      <c r="F75" s="12">
        <f>+F4+SUM(F7:F53)+SUM(F56:F57)+SUM(F60:F61)+SUM(F64:F65)+SUM(F68:F74)</f>
        <v>117091</v>
      </c>
    </row>
    <row r="76" spans="1:8">
      <c r="B76" s="2" t="s">
        <v>38</v>
      </c>
      <c r="D76" s="19">
        <f>+D4</f>
        <v>323</v>
      </c>
      <c r="E76" s="19">
        <f>+E4</f>
        <v>162</v>
      </c>
      <c r="F76" s="19">
        <f>+F4</f>
        <v>161</v>
      </c>
    </row>
    <row r="77" spans="1:8">
      <c r="B77" s="2" t="s">
        <v>39</v>
      </c>
      <c r="D77" s="19">
        <f>+D7</f>
        <v>10520</v>
      </c>
      <c r="E77" s="19">
        <f>+E7</f>
        <v>5260</v>
      </c>
      <c r="F77" s="19">
        <f>+F7</f>
        <v>5260</v>
      </c>
    </row>
    <row r="78" spans="1:8">
      <c r="B78" s="2" t="s">
        <v>40</v>
      </c>
      <c r="D78" s="19">
        <f>+D56+D60+D64+D68</f>
        <v>71747</v>
      </c>
      <c r="E78" s="19">
        <f>+E56+E60+E64+E68</f>
        <v>35874</v>
      </c>
      <c r="F78" s="19">
        <f>+F56+F60+F64+F68</f>
        <v>35873</v>
      </c>
      <c r="H78" s="3">
        <v>1</v>
      </c>
    </row>
    <row r="79" spans="1:8">
      <c r="B79" s="18" t="s">
        <v>41</v>
      </c>
      <c r="D79" s="19">
        <f>+D75-D76-D77-D78</f>
        <v>151609</v>
      </c>
      <c r="E79" s="19">
        <f>+E75-E76-E77-E78</f>
        <v>75812</v>
      </c>
      <c r="F79" s="19">
        <f>+F75-F76-F77-F78</f>
        <v>75797</v>
      </c>
      <c r="H79" s="3">
        <v>2</v>
      </c>
    </row>
    <row r="81" spans="2:4" hidden="1">
      <c r="B81" s="3" t="s">
        <v>42</v>
      </c>
      <c r="C81" s="4">
        <v>9.9999999999688012E-7</v>
      </c>
      <c r="D81" s="3">
        <f>+D74-ROUND(D3*C74,0)</f>
        <v>2</v>
      </c>
    </row>
  </sheetData>
  <pageMargins left="0.7" right="0.7" top="0.75" bottom="0.75" header="0.3" footer="0.3"/>
  <pageSetup scale="57"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pageSetUpPr fitToPage="1"/>
  </sheetPr>
  <dimension ref="A1:WVB84"/>
  <sheetViews>
    <sheetView topLeftCell="A49" zoomScaleNormal="100" zoomScaleSheetLayoutView="80" workbookViewId="0">
      <selection activeCell="D70" activeCellId="5" sqref="D7:F7 D54:F54 D58:F58 D62:F62 D66:F66 D70:F70"/>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3.140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3.140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3.140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3.140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3.140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3.140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3.140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3.140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3.140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3.140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3.140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3.140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3.140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3.140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3.140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3.140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3.140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3.140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3.140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3.140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3.140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3.140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3.140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3.140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3.140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3.140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3.140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3.140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3.140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3.140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3.140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3.140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3.140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3.140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3.140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3.140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3.140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3.140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3.140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3.140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3.140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3.140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3.140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3.140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3.140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3.140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3.140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3.140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3.140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3.140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3.140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3.140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3.140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3.140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3.140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3.140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3.140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3.140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3.140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3.140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3.140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3.140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3.140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1493</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Worksheet'!$D$71</f>
        <v>268161</v>
      </c>
      <c r="E3" s="11"/>
      <c r="F3" s="11"/>
    </row>
    <row r="4" spans="1:6">
      <c r="A4" s="8">
        <v>0</v>
      </c>
      <c r="B4" s="11" t="s">
        <v>4</v>
      </c>
      <c r="C4" s="10">
        <v>1.2130000000000001E-3</v>
      </c>
      <c r="D4" s="12">
        <f>ROUND(D$3*C4,0)</f>
        <v>325</v>
      </c>
      <c r="E4" s="13">
        <f>ROUND(D4/2,0)</f>
        <v>163</v>
      </c>
      <c r="F4" s="12">
        <f>D4-E4</f>
        <v>162</v>
      </c>
    </row>
    <row r="5" spans="1:6">
      <c r="A5" s="8">
        <v>1</v>
      </c>
      <c r="B5" s="11" t="s">
        <v>1494</v>
      </c>
      <c r="C5" s="10">
        <v>0.28320000000000001</v>
      </c>
      <c r="D5" s="9">
        <f>ROUND(D$3*C5,0)</f>
        <v>75943</v>
      </c>
      <c r="E5" s="11">
        <f>ROUND(D5/2,0)</f>
        <v>37972</v>
      </c>
      <c r="F5" s="9">
        <f>D5-E5</f>
        <v>37971</v>
      </c>
    </row>
    <row r="6" spans="1:6">
      <c r="A6" s="8"/>
      <c r="B6" s="11" t="s">
        <v>6</v>
      </c>
      <c r="C6" s="11"/>
      <c r="D6" s="14">
        <v>0.34431499999999998</v>
      </c>
      <c r="E6" s="11"/>
      <c r="F6" s="11"/>
    </row>
    <row r="7" spans="1:6">
      <c r="A7" s="8"/>
      <c r="B7" s="11" t="s">
        <v>7</v>
      </c>
      <c r="C7" s="11"/>
      <c r="D7" s="225">
        <f>ROUND(D5*D6,0)</f>
        <v>26148</v>
      </c>
      <c r="E7" s="226">
        <f>ROUND(D7/2,0)</f>
        <v>13074</v>
      </c>
      <c r="F7" s="225">
        <f>D7-E7</f>
        <v>13074</v>
      </c>
    </row>
    <row r="8" spans="1:6">
      <c r="A8" s="8"/>
      <c r="B8" s="11" t="s">
        <v>8</v>
      </c>
      <c r="C8" s="11"/>
      <c r="D8" s="12">
        <f>+D5-D7</f>
        <v>49795</v>
      </c>
      <c r="E8" s="13">
        <f>ROUND(D8/2,0)</f>
        <v>24898</v>
      </c>
      <c r="F8" s="12">
        <f>D8-E8</f>
        <v>24897</v>
      </c>
    </row>
    <row r="9" spans="1:6">
      <c r="A9" s="8">
        <v>2</v>
      </c>
      <c r="B9" s="11" t="s">
        <v>372</v>
      </c>
      <c r="C9" s="11"/>
      <c r="D9" s="9"/>
      <c r="E9" s="11"/>
      <c r="F9" s="11"/>
    </row>
    <row r="10" spans="1:6">
      <c r="A10" s="8"/>
      <c r="B10" s="11" t="s">
        <v>10</v>
      </c>
      <c r="C10" s="10">
        <v>1.2199999999999999E-3</v>
      </c>
      <c r="D10" s="12">
        <f>ROUND(D$3*C10,0)</f>
        <v>327</v>
      </c>
      <c r="E10" s="13">
        <f>ROUND(D10/2,0)</f>
        <v>164</v>
      </c>
      <c r="F10" s="12">
        <f>D10-E10</f>
        <v>163</v>
      </c>
    </row>
    <row r="11" spans="1:6">
      <c r="A11" s="8"/>
      <c r="B11" s="11" t="s">
        <v>11</v>
      </c>
      <c r="C11" s="10">
        <v>9.5000000000000005E-5</v>
      </c>
      <c r="D11" s="12">
        <f>ROUND(D$3*C11,0)</f>
        <v>25</v>
      </c>
      <c r="E11" s="13">
        <f>ROUND(D11/2,0)</f>
        <v>13</v>
      </c>
      <c r="F11" s="12">
        <f>D11-E11</f>
        <v>12</v>
      </c>
    </row>
    <row r="12" spans="1:6">
      <c r="A12" s="8">
        <v>2</v>
      </c>
      <c r="B12" s="11" t="s">
        <v>593</v>
      </c>
      <c r="C12" s="11"/>
      <c r="D12" s="9"/>
      <c r="E12" s="11"/>
      <c r="F12" s="11"/>
    </row>
    <row r="13" spans="1:6">
      <c r="A13" s="8"/>
      <c r="B13" s="11" t="s">
        <v>10</v>
      </c>
      <c r="C13" s="10">
        <v>3.0600000000000001E-4</v>
      </c>
      <c r="D13" s="12">
        <f>ROUND(D$3*C13,0)</f>
        <v>82</v>
      </c>
      <c r="E13" s="13">
        <f>ROUND(D13/2,0)</f>
        <v>41</v>
      </c>
      <c r="F13" s="12">
        <f>D13-E13</f>
        <v>41</v>
      </c>
    </row>
    <row r="14" spans="1:6">
      <c r="A14" s="8"/>
      <c r="B14" s="11" t="s">
        <v>11</v>
      </c>
      <c r="C14" s="10">
        <v>1.94E-4</v>
      </c>
      <c r="D14" s="12">
        <f>ROUND(D$3*C14,0)</f>
        <v>52</v>
      </c>
      <c r="E14" s="13">
        <f>ROUND(D14/2,0)</f>
        <v>26</v>
      </c>
      <c r="F14" s="12">
        <f>D14-E14</f>
        <v>26</v>
      </c>
    </row>
    <row r="15" spans="1:6">
      <c r="A15" s="8">
        <v>2</v>
      </c>
      <c r="B15" s="11" t="s">
        <v>1495</v>
      </c>
      <c r="C15" s="11"/>
      <c r="D15" s="9"/>
      <c r="E15" s="11"/>
      <c r="F15" s="11"/>
    </row>
    <row r="16" spans="1:6">
      <c r="A16" s="8"/>
      <c r="B16" s="11" t="s">
        <v>10</v>
      </c>
      <c r="C16" s="10">
        <v>6.87E-4</v>
      </c>
      <c r="D16" s="12">
        <f>ROUND(D$3*C16,0)</f>
        <v>184</v>
      </c>
      <c r="E16" s="13">
        <f>ROUND(D16/2,0)</f>
        <v>92</v>
      </c>
      <c r="F16" s="12">
        <f>D16-E16</f>
        <v>92</v>
      </c>
    </row>
    <row r="17" spans="1:6">
      <c r="A17" s="8"/>
      <c r="B17" s="11" t="s">
        <v>11</v>
      </c>
      <c r="C17" s="10">
        <v>3.4299999999999999E-4</v>
      </c>
      <c r="D17" s="12">
        <f>ROUND(D$3*C17,0)</f>
        <v>92</v>
      </c>
      <c r="E17" s="13">
        <f>ROUND(D17/2,0)</f>
        <v>46</v>
      </c>
      <c r="F17" s="12">
        <f>D17-E17</f>
        <v>46</v>
      </c>
    </row>
    <row r="18" spans="1:6">
      <c r="A18" s="8">
        <v>2</v>
      </c>
      <c r="B18" s="11" t="s">
        <v>49</v>
      </c>
      <c r="C18" s="11"/>
      <c r="D18" s="9"/>
      <c r="E18" s="11"/>
      <c r="F18" s="11"/>
    </row>
    <row r="19" spans="1:6">
      <c r="A19" s="8"/>
      <c r="B19" s="11" t="s">
        <v>10</v>
      </c>
      <c r="C19" s="10">
        <v>1.108E-3</v>
      </c>
      <c r="D19" s="12">
        <f>ROUND(D$3*C19,0)</f>
        <v>297</v>
      </c>
      <c r="E19" s="13">
        <f>ROUND(D19/2,0)</f>
        <v>149</v>
      </c>
      <c r="F19" s="12">
        <f>D19-E19</f>
        <v>148</v>
      </c>
    </row>
    <row r="20" spans="1:6">
      <c r="A20" s="8"/>
      <c r="B20" s="11" t="s">
        <v>11</v>
      </c>
      <c r="C20" s="10">
        <v>3.0600000000000001E-4</v>
      </c>
      <c r="D20" s="12">
        <f>ROUND(D$3*C20,0)</f>
        <v>82</v>
      </c>
      <c r="E20" s="13">
        <f>ROUND(D20/2,0)</f>
        <v>41</v>
      </c>
      <c r="F20" s="12">
        <f>D20-E20</f>
        <v>41</v>
      </c>
    </row>
    <row r="21" spans="1:6">
      <c r="A21" s="8">
        <v>2</v>
      </c>
      <c r="B21" s="11" t="s">
        <v>16</v>
      </c>
      <c r="C21" s="11"/>
      <c r="D21" s="9"/>
      <c r="E21" s="11"/>
      <c r="F21" s="11"/>
    </row>
    <row r="22" spans="1:6">
      <c r="A22" s="8"/>
      <c r="B22" s="11" t="s">
        <v>10</v>
      </c>
      <c r="C22" s="10">
        <v>3.7889999999999998E-3</v>
      </c>
      <c r="D22" s="12">
        <f>ROUND(D$3*C22,0)</f>
        <v>1016</v>
      </c>
      <c r="E22" s="13">
        <f>ROUND(D22/2,0)</f>
        <v>508</v>
      </c>
      <c r="F22" s="12">
        <f>D22-E22</f>
        <v>508</v>
      </c>
    </row>
    <row r="23" spans="1:6">
      <c r="A23" s="8"/>
      <c r="B23" s="11" t="s">
        <v>11</v>
      </c>
      <c r="C23" s="10">
        <v>1.091E-3</v>
      </c>
      <c r="D23" s="12">
        <f>ROUND(D$3*C23,0)</f>
        <v>293</v>
      </c>
      <c r="E23" s="13">
        <f>ROUND(D23/2,0)</f>
        <v>147</v>
      </c>
      <c r="F23" s="12">
        <f>D23-E23</f>
        <v>146</v>
      </c>
    </row>
    <row r="24" spans="1:6">
      <c r="A24" s="8">
        <v>2</v>
      </c>
      <c r="B24" s="11" t="s">
        <v>746</v>
      </c>
      <c r="C24" s="11"/>
      <c r="D24" s="9"/>
      <c r="E24" s="11"/>
      <c r="F24" s="11"/>
    </row>
    <row r="25" spans="1:6">
      <c r="A25" s="8"/>
      <c r="B25" s="11" t="s">
        <v>10</v>
      </c>
      <c r="C25" s="10">
        <v>1.4170000000000001E-3</v>
      </c>
      <c r="D25" s="12">
        <f>ROUND(D$3*C25,0)</f>
        <v>380</v>
      </c>
      <c r="E25" s="13">
        <f>ROUND(D25/2,0)</f>
        <v>190</v>
      </c>
      <c r="F25" s="12">
        <f>D25-E25</f>
        <v>190</v>
      </c>
    </row>
    <row r="26" spans="1:6">
      <c r="A26" s="8"/>
      <c r="B26" s="11" t="s">
        <v>11</v>
      </c>
      <c r="C26" s="10">
        <v>6.7299999999999999E-4</v>
      </c>
      <c r="D26" s="12">
        <f>ROUND(D$3*C26,0)</f>
        <v>180</v>
      </c>
      <c r="E26" s="13">
        <f>ROUND(D26/2,0)</f>
        <v>90</v>
      </c>
      <c r="F26" s="12">
        <f>D26-E26</f>
        <v>90</v>
      </c>
    </row>
    <row r="27" spans="1:6">
      <c r="A27" s="8">
        <v>2</v>
      </c>
      <c r="B27" s="11" t="s">
        <v>20</v>
      </c>
      <c r="C27" s="11"/>
      <c r="D27" s="9"/>
      <c r="E27" s="11"/>
      <c r="F27" s="11"/>
    </row>
    <row r="28" spans="1:6">
      <c r="A28" s="8"/>
      <c r="B28" s="11" t="s">
        <v>10</v>
      </c>
      <c r="C28" s="10">
        <v>2.5119999999999999E-3</v>
      </c>
      <c r="D28" s="12">
        <f>ROUND(D$3*C28,0)</f>
        <v>674</v>
      </c>
      <c r="E28" s="13">
        <f>ROUND(D28/2,0)</f>
        <v>337</v>
      </c>
      <c r="F28" s="12">
        <f>D28-E28</f>
        <v>337</v>
      </c>
    </row>
    <row r="29" spans="1:6">
      <c r="A29" s="8"/>
      <c r="B29" s="11" t="s">
        <v>11</v>
      </c>
      <c r="C29" s="10">
        <v>1.7880000000000001E-3</v>
      </c>
      <c r="D29" s="12">
        <f>ROUND(D$3*C29,0)</f>
        <v>479</v>
      </c>
      <c r="E29" s="13">
        <f>ROUND(D29/2,0)</f>
        <v>240</v>
      </c>
      <c r="F29" s="12">
        <f>D29-E29</f>
        <v>239</v>
      </c>
    </row>
    <row r="30" spans="1:6">
      <c r="A30" s="8">
        <v>2</v>
      </c>
      <c r="B30" s="11" t="s">
        <v>1496</v>
      </c>
      <c r="C30" s="11"/>
      <c r="D30" s="9"/>
      <c r="E30" s="11"/>
      <c r="F30" s="11"/>
    </row>
    <row r="31" spans="1:6">
      <c r="A31" s="8"/>
      <c r="B31" s="11" t="s">
        <v>10</v>
      </c>
      <c r="C31" s="10">
        <v>9.7900000000000005E-4</v>
      </c>
      <c r="D31" s="12">
        <f>ROUND(D$3*C31,0)</f>
        <v>263</v>
      </c>
      <c r="E31" s="13">
        <f>ROUND(D31/2,0)</f>
        <v>132</v>
      </c>
      <c r="F31" s="12">
        <f>D31-E31</f>
        <v>131</v>
      </c>
    </row>
    <row r="32" spans="1:6">
      <c r="A32" s="8"/>
      <c r="B32" s="11" t="s">
        <v>11</v>
      </c>
      <c r="C32" s="10">
        <v>8.8400000000000002E-4</v>
      </c>
      <c r="D32" s="12">
        <f>ROUND(D$3*C32,0)</f>
        <v>237</v>
      </c>
      <c r="E32" s="13">
        <f>ROUND(D32/2,0)</f>
        <v>119</v>
      </c>
      <c r="F32" s="12">
        <f>D32-E32</f>
        <v>118</v>
      </c>
    </row>
    <row r="33" spans="1:6">
      <c r="A33" s="8">
        <v>2</v>
      </c>
      <c r="B33" s="11" t="s">
        <v>22</v>
      </c>
      <c r="C33" s="11"/>
      <c r="D33" s="9"/>
      <c r="E33" s="11"/>
      <c r="F33" s="11"/>
    </row>
    <row r="34" spans="1:6">
      <c r="A34" s="8"/>
      <c r="B34" s="11" t="s">
        <v>10</v>
      </c>
      <c r="C34" s="10">
        <v>1.9919999999999998E-3</v>
      </c>
      <c r="D34" s="12">
        <f>ROUND(D$3*C34,0)</f>
        <v>534</v>
      </c>
      <c r="E34" s="13">
        <f>ROUND(D34/2,0)</f>
        <v>267</v>
      </c>
      <c r="F34" s="12">
        <f>D34-E34</f>
        <v>267</v>
      </c>
    </row>
    <row r="35" spans="1:6">
      <c r="A35" s="8"/>
      <c r="B35" s="11" t="s">
        <v>11</v>
      </c>
      <c r="C35" s="10">
        <v>5.8100000000000003E-4</v>
      </c>
      <c r="D35" s="12">
        <f>ROUND(D$3*C35,0)</f>
        <v>156</v>
      </c>
      <c r="E35" s="13">
        <f>ROUND(D35/2,0)</f>
        <v>78</v>
      </c>
      <c r="F35" s="12">
        <f>D35-E35</f>
        <v>78</v>
      </c>
    </row>
    <row r="36" spans="1:6">
      <c r="A36" s="8">
        <v>2</v>
      </c>
      <c r="B36" s="11" t="s">
        <v>61</v>
      </c>
      <c r="C36" s="11"/>
      <c r="D36" s="9"/>
      <c r="E36" s="11"/>
      <c r="F36" s="11"/>
    </row>
    <row r="37" spans="1:6">
      <c r="A37" s="8"/>
      <c r="B37" s="11" t="s">
        <v>10</v>
      </c>
      <c r="C37" s="10">
        <v>6.1200000000000002E-4</v>
      </c>
      <c r="D37" s="12">
        <f>ROUND(D$3*C37,0)</f>
        <v>164</v>
      </c>
      <c r="E37" s="13">
        <f>ROUND(D37/2,0)</f>
        <v>82</v>
      </c>
      <c r="F37" s="12">
        <f>D37-E37</f>
        <v>82</v>
      </c>
    </row>
    <row r="38" spans="1:6">
      <c r="A38" s="8"/>
      <c r="B38" s="11" t="s">
        <v>11</v>
      </c>
      <c r="C38" s="10">
        <v>6.4999999999999994E-5</v>
      </c>
      <c r="D38" s="12">
        <f>ROUND(D$3*C38,0)</f>
        <v>17</v>
      </c>
      <c r="E38" s="13">
        <f>ROUND(D38/2,0)</f>
        <v>9</v>
      </c>
      <c r="F38" s="12">
        <f>D38-E38</f>
        <v>8</v>
      </c>
    </row>
    <row r="39" spans="1:6">
      <c r="A39" s="8">
        <v>2</v>
      </c>
      <c r="B39" s="11" t="s">
        <v>569</v>
      </c>
      <c r="C39" s="11"/>
      <c r="D39" s="9"/>
      <c r="E39" s="11"/>
      <c r="F39" s="11"/>
    </row>
    <row r="40" spans="1:6">
      <c r="A40" s="8"/>
      <c r="B40" s="11" t="s">
        <v>10</v>
      </c>
      <c r="C40" s="10">
        <v>2.0999999999999999E-3</v>
      </c>
      <c r="D40" s="12">
        <f t="shared" ref="D40:D52" si="0">ROUND(D$3*C40,0)</f>
        <v>563</v>
      </c>
      <c r="E40" s="13">
        <f t="shared" ref="E40:E52" si="1">ROUND(D40/2,0)</f>
        <v>282</v>
      </c>
      <c r="F40" s="12">
        <f t="shared" ref="F40:F52" si="2">D40-E40</f>
        <v>281</v>
      </c>
    </row>
    <row r="41" spans="1:6">
      <c r="A41" s="8"/>
      <c r="B41" s="11" t="s">
        <v>11</v>
      </c>
      <c r="C41" s="10">
        <v>9.6900000000000003E-4</v>
      </c>
      <c r="D41" s="12">
        <f t="shared" si="0"/>
        <v>260</v>
      </c>
      <c r="E41" s="13">
        <f t="shared" si="1"/>
        <v>130</v>
      </c>
      <c r="F41" s="12">
        <f t="shared" si="2"/>
        <v>130</v>
      </c>
    </row>
    <row r="42" spans="1:6">
      <c r="A42" s="8">
        <v>3</v>
      </c>
      <c r="B42" s="11" t="s">
        <v>405</v>
      </c>
      <c r="C42" s="10">
        <v>0</v>
      </c>
      <c r="D42" s="12">
        <f t="shared" si="0"/>
        <v>0</v>
      </c>
      <c r="E42" s="13">
        <f t="shared" si="1"/>
        <v>0</v>
      </c>
      <c r="F42" s="12">
        <f t="shared" si="2"/>
        <v>0</v>
      </c>
    </row>
    <row r="43" spans="1:6">
      <c r="A43" s="8">
        <v>3</v>
      </c>
      <c r="B43" s="11" t="s">
        <v>1497</v>
      </c>
      <c r="C43" s="10">
        <v>6.0999999999999999E-5</v>
      </c>
      <c r="D43" s="12">
        <f t="shared" si="0"/>
        <v>16</v>
      </c>
      <c r="E43" s="13">
        <f t="shared" si="1"/>
        <v>8</v>
      </c>
      <c r="F43" s="12">
        <f t="shared" si="2"/>
        <v>8</v>
      </c>
    </row>
    <row r="44" spans="1:6">
      <c r="A44" s="8">
        <v>3</v>
      </c>
      <c r="B44" s="11" t="s">
        <v>1498</v>
      </c>
      <c r="C44" s="10">
        <v>7.2400000000000003E-4</v>
      </c>
      <c r="D44" s="12">
        <f t="shared" si="0"/>
        <v>194</v>
      </c>
      <c r="E44" s="13">
        <f t="shared" si="1"/>
        <v>97</v>
      </c>
      <c r="F44" s="12">
        <f t="shared" si="2"/>
        <v>97</v>
      </c>
    </row>
    <row r="45" spans="1:6">
      <c r="A45" s="8">
        <v>3</v>
      </c>
      <c r="B45" s="11" t="s">
        <v>1499</v>
      </c>
      <c r="C45" s="10">
        <v>3.7782000000000003E-2</v>
      </c>
      <c r="D45" s="12">
        <f t="shared" si="0"/>
        <v>10132</v>
      </c>
      <c r="E45" s="13">
        <f t="shared" si="1"/>
        <v>5066</v>
      </c>
      <c r="F45" s="12">
        <f t="shared" si="2"/>
        <v>5066</v>
      </c>
    </row>
    <row r="46" spans="1:6">
      <c r="A46" s="8">
        <v>3</v>
      </c>
      <c r="B46" s="11" t="s">
        <v>1500</v>
      </c>
      <c r="C46" s="10">
        <v>3.2600000000000001E-4</v>
      </c>
      <c r="D46" s="12">
        <f t="shared" si="0"/>
        <v>87</v>
      </c>
      <c r="E46" s="13">
        <f t="shared" si="1"/>
        <v>44</v>
      </c>
      <c r="F46" s="12">
        <f t="shared" si="2"/>
        <v>43</v>
      </c>
    </row>
    <row r="47" spans="1:6">
      <c r="A47" s="8">
        <v>3</v>
      </c>
      <c r="B47" s="11" t="s">
        <v>1501</v>
      </c>
      <c r="C47" s="10">
        <v>1.3356E-2</v>
      </c>
      <c r="D47" s="12">
        <f t="shared" si="0"/>
        <v>3582</v>
      </c>
      <c r="E47" s="13">
        <f t="shared" si="1"/>
        <v>1791</v>
      </c>
      <c r="F47" s="12">
        <f t="shared" si="2"/>
        <v>1791</v>
      </c>
    </row>
    <row r="48" spans="1:6">
      <c r="A48" s="8">
        <v>3</v>
      </c>
      <c r="B48" s="11" t="s">
        <v>1502</v>
      </c>
      <c r="C48" s="10">
        <v>7.5960000000000003E-3</v>
      </c>
      <c r="D48" s="12">
        <f t="shared" si="0"/>
        <v>2037</v>
      </c>
      <c r="E48" s="13">
        <f t="shared" si="1"/>
        <v>1019</v>
      </c>
      <c r="F48" s="12">
        <f t="shared" si="2"/>
        <v>1018</v>
      </c>
    </row>
    <row r="49" spans="1:6">
      <c r="A49" s="8">
        <v>3</v>
      </c>
      <c r="B49" s="11" t="s">
        <v>1503</v>
      </c>
      <c r="C49" s="10">
        <v>8.9929999999999993E-3</v>
      </c>
      <c r="D49" s="12">
        <f t="shared" si="0"/>
        <v>2412</v>
      </c>
      <c r="E49" s="13">
        <f t="shared" si="1"/>
        <v>1206</v>
      </c>
      <c r="F49" s="12">
        <f t="shared" si="2"/>
        <v>1206</v>
      </c>
    </row>
    <row r="50" spans="1:6">
      <c r="A50" s="8">
        <v>3</v>
      </c>
      <c r="B50" s="11" t="s">
        <v>1504</v>
      </c>
      <c r="C50" s="10">
        <v>2.0098999999999999E-2</v>
      </c>
      <c r="D50" s="12">
        <f t="shared" si="0"/>
        <v>5390</v>
      </c>
      <c r="E50" s="13">
        <f t="shared" si="1"/>
        <v>2695</v>
      </c>
      <c r="F50" s="12">
        <f t="shared" si="2"/>
        <v>2695</v>
      </c>
    </row>
    <row r="51" spans="1:6">
      <c r="A51" s="8">
        <v>3</v>
      </c>
      <c r="B51" s="11" t="s">
        <v>1505</v>
      </c>
      <c r="C51" s="10">
        <v>1.3396999999999999E-2</v>
      </c>
      <c r="D51" s="12">
        <f t="shared" si="0"/>
        <v>3593</v>
      </c>
      <c r="E51" s="13">
        <f t="shared" si="1"/>
        <v>1797</v>
      </c>
      <c r="F51" s="12">
        <f t="shared" si="2"/>
        <v>1796</v>
      </c>
    </row>
    <row r="52" spans="1:6">
      <c r="A52" s="8">
        <v>4</v>
      </c>
      <c r="B52" s="11" t="s">
        <v>1506</v>
      </c>
      <c r="C52" s="10">
        <v>0.16986899999999999</v>
      </c>
      <c r="D52" s="9">
        <f t="shared" si="0"/>
        <v>45552</v>
      </c>
      <c r="E52" s="11">
        <f t="shared" si="1"/>
        <v>22776</v>
      </c>
      <c r="F52" s="9">
        <f t="shared" si="2"/>
        <v>22776</v>
      </c>
    </row>
    <row r="53" spans="1:6">
      <c r="A53" s="8"/>
      <c r="B53" s="11" t="s">
        <v>28</v>
      </c>
      <c r="C53" s="11"/>
      <c r="D53" s="14">
        <v>0.41183599999999998</v>
      </c>
      <c r="E53" s="11"/>
      <c r="F53" s="11"/>
    </row>
    <row r="54" spans="1:6">
      <c r="A54" s="8"/>
      <c r="B54" s="11" t="s">
        <v>29</v>
      </c>
      <c r="C54" s="11"/>
      <c r="D54" s="225">
        <f>ROUND(D52*D53,0)</f>
        <v>18760</v>
      </c>
      <c r="E54" s="226">
        <f>ROUND(D54/2,0)</f>
        <v>9380</v>
      </c>
      <c r="F54" s="225">
        <f>D54-E54</f>
        <v>9380</v>
      </c>
    </row>
    <row r="55" spans="1:6">
      <c r="A55" s="8"/>
      <c r="B55" s="11" t="s">
        <v>30</v>
      </c>
      <c r="C55" s="11"/>
      <c r="D55" s="12">
        <f>+D52-D54</f>
        <v>26792</v>
      </c>
      <c r="E55" s="13">
        <f>ROUND(D55/2,0)</f>
        <v>13396</v>
      </c>
      <c r="F55" s="12">
        <f>D55-E55</f>
        <v>13396</v>
      </c>
    </row>
    <row r="56" spans="1:6">
      <c r="A56" s="8">
        <v>4</v>
      </c>
      <c r="B56" s="11" t="s">
        <v>1507</v>
      </c>
      <c r="C56" s="10">
        <v>0.11630799999999999</v>
      </c>
      <c r="D56" s="9">
        <f>ROUND(D$3*C56,0)</f>
        <v>31189</v>
      </c>
      <c r="E56" s="11">
        <f>ROUND(D56/2,0)</f>
        <v>15595</v>
      </c>
      <c r="F56" s="9">
        <f>D56-E56</f>
        <v>15594</v>
      </c>
    </row>
    <row r="57" spans="1:6">
      <c r="A57" s="8"/>
      <c r="B57" s="11" t="s">
        <v>28</v>
      </c>
      <c r="C57" s="11"/>
      <c r="D57" s="14">
        <v>0.48951800000000001</v>
      </c>
      <c r="E57" s="11"/>
      <c r="F57" s="11"/>
    </row>
    <row r="58" spans="1:6">
      <c r="A58" s="8"/>
      <c r="B58" s="11" t="s">
        <v>29</v>
      </c>
      <c r="C58" s="11"/>
      <c r="D58" s="225">
        <f>ROUND(D56*D57,0)</f>
        <v>15268</v>
      </c>
      <c r="E58" s="226">
        <f>ROUND(D58/2,0)</f>
        <v>7634</v>
      </c>
      <c r="F58" s="225">
        <f>D58-E58</f>
        <v>7634</v>
      </c>
    </row>
    <row r="59" spans="1:6">
      <c r="A59" s="8"/>
      <c r="B59" s="11" t="s">
        <v>30</v>
      </c>
      <c r="C59" s="11"/>
      <c r="D59" s="12">
        <f>+D56-D58</f>
        <v>15921</v>
      </c>
      <c r="E59" s="13">
        <f>ROUND(D59/2,0)</f>
        <v>7961</v>
      </c>
      <c r="F59" s="12">
        <f>D59-E59</f>
        <v>7960</v>
      </c>
    </row>
    <row r="60" spans="1:6">
      <c r="A60" s="8">
        <v>4</v>
      </c>
      <c r="B60" s="11" t="s">
        <v>1508</v>
      </c>
      <c r="C60" s="10">
        <v>6.3436999999999993E-2</v>
      </c>
      <c r="D60" s="9">
        <f>ROUND(D$3*C60,0)</f>
        <v>17011</v>
      </c>
      <c r="E60" s="11">
        <f>ROUND(D60/2,0)</f>
        <v>8506</v>
      </c>
      <c r="F60" s="9">
        <f>D60-E60</f>
        <v>8505</v>
      </c>
    </row>
    <row r="61" spans="1:6">
      <c r="A61" s="8"/>
      <c r="B61" s="11" t="s">
        <v>28</v>
      </c>
      <c r="C61" s="11"/>
      <c r="D61" s="14">
        <v>0.44630300000000001</v>
      </c>
      <c r="E61" s="11"/>
      <c r="F61" s="11"/>
    </row>
    <row r="62" spans="1:6">
      <c r="A62" s="8"/>
      <c r="B62" s="11" t="s">
        <v>29</v>
      </c>
      <c r="C62" s="11"/>
      <c r="D62" s="225">
        <f>ROUND(D60*D61,0)</f>
        <v>7592</v>
      </c>
      <c r="E62" s="226">
        <f>ROUND(D62/2,0)</f>
        <v>3796</v>
      </c>
      <c r="F62" s="225">
        <f>D62-E62</f>
        <v>3796</v>
      </c>
    </row>
    <row r="63" spans="1:6">
      <c r="A63" s="8"/>
      <c r="B63" s="11" t="s">
        <v>30</v>
      </c>
      <c r="C63" s="11"/>
      <c r="D63" s="12">
        <f>+D60-D62</f>
        <v>9419</v>
      </c>
      <c r="E63" s="13">
        <f>ROUND(D63/2,0)</f>
        <v>4710</v>
      </c>
      <c r="F63" s="12">
        <f>D63-E63</f>
        <v>4709</v>
      </c>
    </row>
    <row r="64" spans="1:6">
      <c r="A64" s="8">
        <v>4</v>
      </c>
      <c r="B64" s="11" t="s">
        <v>1509</v>
      </c>
      <c r="C64" s="10">
        <v>0.11809600000000001</v>
      </c>
      <c r="D64" s="9">
        <f>ROUND(D$3*C64,0)</f>
        <v>31669</v>
      </c>
      <c r="E64" s="11">
        <f>ROUND(D64/2,0)</f>
        <v>15835</v>
      </c>
      <c r="F64" s="9">
        <f>D64-E64</f>
        <v>15834</v>
      </c>
    </row>
    <row r="65" spans="1:6">
      <c r="A65" s="8"/>
      <c r="B65" s="11" t="s">
        <v>28</v>
      </c>
      <c r="C65" s="11"/>
      <c r="D65" s="14">
        <v>0.492172</v>
      </c>
      <c r="E65" s="11"/>
      <c r="F65" s="11"/>
    </row>
    <row r="66" spans="1:6">
      <c r="A66" s="8"/>
      <c r="B66" s="11" t="s">
        <v>29</v>
      </c>
      <c r="C66" s="11"/>
      <c r="D66" s="225">
        <f>ROUND(D64*D65,0)</f>
        <v>15587</v>
      </c>
      <c r="E66" s="226">
        <f>ROUND(D66/2,0)</f>
        <v>7794</v>
      </c>
      <c r="F66" s="225">
        <f>D66-E66</f>
        <v>7793</v>
      </c>
    </row>
    <row r="67" spans="1:6">
      <c r="A67" s="8"/>
      <c r="B67" s="11" t="s">
        <v>30</v>
      </c>
      <c r="C67" s="11"/>
      <c r="D67" s="12">
        <f>+D64-D66</f>
        <v>16082</v>
      </c>
      <c r="E67" s="13">
        <f>ROUND(D67/2,0)</f>
        <v>8041</v>
      </c>
      <c r="F67" s="12">
        <f>D67-E67</f>
        <v>8041</v>
      </c>
    </row>
    <row r="68" spans="1:6">
      <c r="A68" s="8">
        <v>4</v>
      </c>
      <c r="B68" s="11" t="s">
        <v>768</v>
      </c>
      <c r="C68" s="10">
        <v>0.108417</v>
      </c>
      <c r="D68" s="9">
        <f>ROUND(D$3*C68,0)</f>
        <v>29073</v>
      </c>
      <c r="E68" s="11">
        <f>ROUND(D68/2,0)</f>
        <v>14537</v>
      </c>
      <c r="F68" s="9">
        <f>D68-E68</f>
        <v>14536</v>
      </c>
    </row>
    <row r="69" spans="1:6">
      <c r="A69" s="8"/>
      <c r="B69" s="11" t="s">
        <v>28</v>
      </c>
      <c r="C69" s="11"/>
      <c r="D69" s="14">
        <v>0.497116</v>
      </c>
      <c r="E69" s="11"/>
      <c r="F69" s="11"/>
    </row>
    <row r="70" spans="1:6">
      <c r="A70" s="8"/>
      <c r="B70" s="11" t="s">
        <v>29</v>
      </c>
      <c r="C70" s="11"/>
      <c r="D70" s="225">
        <f>ROUND(D68*D69,0)</f>
        <v>14453</v>
      </c>
      <c r="E70" s="226">
        <f t="shared" ref="E70:E77" si="3">ROUND(D70/2,0)</f>
        <v>7227</v>
      </c>
      <c r="F70" s="225">
        <f t="shared" ref="F70:F77" si="4">D70-E70</f>
        <v>7226</v>
      </c>
    </row>
    <row r="71" spans="1:6">
      <c r="A71" s="8" t="s">
        <v>590</v>
      </c>
      <c r="B71" s="11" t="s">
        <v>30</v>
      </c>
      <c r="C71" s="11"/>
      <c r="D71" s="12">
        <f>+D68-D70</f>
        <v>14620</v>
      </c>
      <c r="E71" s="13">
        <f t="shared" si="3"/>
        <v>7310</v>
      </c>
      <c r="F71" s="12">
        <f t="shared" si="4"/>
        <v>7310</v>
      </c>
    </row>
    <row r="72" spans="1:6">
      <c r="A72" s="8">
        <v>5</v>
      </c>
      <c r="B72" s="11" t="s">
        <v>1510</v>
      </c>
      <c r="C72" s="10">
        <v>3.0000000000000001E-6</v>
      </c>
      <c r="D72" s="12">
        <f>ROUND(D$3*C72,0)</f>
        <v>1</v>
      </c>
      <c r="E72" s="13">
        <f t="shared" si="3"/>
        <v>1</v>
      </c>
      <c r="F72" s="12">
        <f t="shared" si="4"/>
        <v>0</v>
      </c>
    </row>
    <row r="73" spans="1:6">
      <c r="A73" s="8">
        <v>5</v>
      </c>
      <c r="B73" s="11" t="s">
        <v>1511</v>
      </c>
      <c r="C73" s="10">
        <v>8.0199999999999998E-4</v>
      </c>
      <c r="D73" s="12">
        <f>ROUND(D$3*C73,0)</f>
        <v>215</v>
      </c>
      <c r="E73" s="13">
        <f t="shared" si="3"/>
        <v>108</v>
      </c>
      <c r="F73" s="12">
        <f t="shared" si="4"/>
        <v>107</v>
      </c>
    </row>
    <row r="74" spans="1:6">
      <c r="A74" s="8">
        <v>5</v>
      </c>
      <c r="B74" s="11" t="s">
        <v>1512</v>
      </c>
      <c r="C74" s="10">
        <v>1.7570000000000001E-3</v>
      </c>
      <c r="D74" s="12">
        <f>ROUND(D$3*C74,0)</f>
        <v>471</v>
      </c>
      <c r="E74" s="13">
        <f t="shared" si="3"/>
        <v>236</v>
      </c>
      <c r="F74" s="12">
        <f t="shared" si="4"/>
        <v>235</v>
      </c>
    </row>
    <row r="75" spans="1:6">
      <c r="A75" s="8">
        <v>5</v>
      </c>
      <c r="B75" s="11" t="s">
        <v>738</v>
      </c>
      <c r="C75" s="10">
        <v>3.8809999999999999E-3</v>
      </c>
      <c r="D75" s="12">
        <f>ROUND(D$3*C75,0)</f>
        <v>1041</v>
      </c>
      <c r="E75" s="13">
        <f t="shared" si="3"/>
        <v>521</v>
      </c>
      <c r="F75" s="12">
        <f t="shared" si="4"/>
        <v>520</v>
      </c>
    </row>
    <row r="76" spans="1:6">
      <c r="A76" s="8">
        <v>5</v>
      </c>
      <c r="B76" s="11" t="s">
        <v>1513</v>
      </c>
      <c r="C76" s="10">
        <v>6.9720000000003113E-3</v>
      </c>
      <c r="D76" s="12">
        <f>+D3-SUM(D4:D5)-SUM(D10:D52)-D56-D60-D64-D68-SUM(D72:D75)</f>
        <v>1871</v>
      </c>
      <c r="E76" s="13">
        <f t="shared" si="3"/>
        <v>936</v>
      </c>
      <c r="F76" s="12">
        <f t="shared" si="4"/>
        <v>935</v>
      </c>
    </row>
    <row r="77" spans="1:6">
      <c r="A77" s="8">
        <v>6</v>
      </c>
      <c r="B77" s="11" t="s">
        <v>1514</v>
      </c>
      <c r="C77" s="10">
        <v>0</v>
      </c>
      <c r="D77" s="12">
        <f>ROUND(D$3*C77,0)</f>
        <v>0</v>
      </c>
      <c r="E77" s="13">
        <f t="shared" si="3"/>
        <v>0</v>
      </c>
      <c r="F77" s="12">
        <f t="shared" si="4"/>
        <v>0</v>
      </c>
    </row>
    <row r="78" spans="1:6">
      <c r="A78" s="8"/>
      <c r="B78" s="28" t="s">
        <v>288</v>
      </c>
      <c r="C78" s="10">
        <v>1</v>
      </c>
      <c r="D78" s="12">
        <f>+D4+SUM(D7:D51)+SUM(D54:D55)+SUM(D58:D59)+SUM(D62:D63)+SUM(D66:D67)+SUM(D70:D77)</f>
        <v>268161</v>
      </c>
      <c r="E78" s="12">
        <f>+E4+SUM(E7:E51)+SUM(E54:E55)+SUM(E58:E59)+SUM(E62:E63)+SUM(E66:E67)+SUM(E70:E77)</f>
        <v>134092</v>
      </c>
      <c r="F78" s="12">
        <f>+F4+SUM(F7:F51)+SUM(F54:F55)+SUM(F58:F59)+SUM(F62:F63)+SUM(F66:F67)+SUM(F70:F77)</f>
        <v>134069</v>
      </c>
    </row>
    <row r="79" spans="1:6">
      <c r="B79" s="18" t="s">
        <v>38</v>
      </c>
      <c r="D79" s="19">
        <f>+D4</f>
        <v>325</v>
      </c>
      <c r="E79" s="19">
        <f>+E4</f>
        <v>163</v>
      </c>
      <c r="F79" s="19">
        <f>+F4</f>
        <v>162</v>
      </c>
    </row>
    <row r="80" spans="1:6">
      <c r="B80" s="2" t="s">
        <v>39</v>
      </c>
      <c r="D80" s="19">
        <f>+D7</f>
        <v>26148</v>
      </c>
      <c r="E80" s="19">
        <f>+E7</f>
        <v>13074</v>
      </c>
      <c r="F80" s="19">
        <f>+F7</f>
        <v>13074</v>
      </c>
    </row>
    <row r="81" spans="2:8">
      <c r="B81" s="2" t="s">
        <v>40</v>
      </c>
      <c r="D81" s="19">
        <f>+D54+D58+D62+D66+D70</f>
        <v>71660</v>
      </c>
      <c r="E81" s="19">
        <f>+E54+E58+E62+E66+E70</f>
        <v>35831</v>
      </c>
      <c r="F81" s="19">
        <f>+F54+F58+F62+F66+F70</f>
        <v>35829</v>
      </c>
      <c r="H81" s="3">
        <v>1</v>
      </c>
    </row>
    <row r="82" spans="2:8">
      <c r="B82" s="18" t="s">
        <v>41</v>
      </c>
      <c r="D82" s="19">
        <f>+D78-D79-D80-D81</f>
        <v>170028</v>
      </c>
      <c r="E82" s="19">
        <f>+E78-E79-E80-E81</f>
        <v>85024</v>
      </c>
      <c r="F82" s="19">
        <f>+F78-F79-F80-F81</f>
        <v>85004</v>
      </c>
      <c r="H82" s="3">
        <v>2</v>
      </c>
    </row>
    <row r="84" spans="2:8" hidden="1">
      <c r="B84" s="3" t="s">
        <v>42</v>
      </c>
      <c r="C84" s="4">
        <v>-1.9999999996888826E-6</v>
      </c>
      <c r="D84" s="3">
        <f>+D76-ROUND(D3*C76,0)</f>
        <v>1</v>
      </c>
    </row>
  </sheetData>
  <pageMargins left="0.7" right="0.7" top="0.75" bottom="0.75" header="0.3" footer="0.3"/>
  <pageSetup scale="5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6D946-283F-446D-B79C-77CC5ED7343C}">
  <dimension ref="A1:M50"/>
  <sheetViews>
    <sheetView zoomScale="70" zoomScaleNormal="70" workbookViewId="0"/>
  </sheetViews>
  <sheetFormatPr defaultColWidth="0" defaultRowHeight="15" zeroHeight="1"/>
  <cols>
    <col min="1" max="1" width="4.42578125" bestFit="1" customWidth="1"/>
    <col min="2" max="2" width="4" bestFit="1" customWidth="1"/>
    <col min="3" max="3" width="7.140625" bestFit="1" customWidth="1"/>
    <col min="4" max="4" width="54.85546875" bestFit="1" customWidth="1"/>
    <col min="5" max="5" width="16.7109375" style="126" bestFit="1" customWidth="1"/>
    <col min="6" max="6" width="12" bestFit="1" customWidth="1"/>
    <col min="7" max="7" width="11.7109375" customWidth="1"/>
    <col min="8" max="8" width="54" bestFit="1" customWidth="1"/>
    <col min="9" max="10" width="9.140625" customWidth="1"/>
    <col min="11" max="13" width="0" hidden="1" customWidth="1"/>
    <col min="14" max="16384" width="9.140625" hidden="1"/>
  </cols>
  <sheetData>
    <row r="1" spans="1:8" s="49" customFormat="1" ht="30">
      <c r="A1" s="49" t="s">
        <v>2086</v>
      </c>
      <c r="B1" s="49" t="s">
        <v>2087</v>
      </c>
      <c r="C1" s="49" t="s">
        <v>2088</v>
      </c>
      <c r="D1" s="49" t="s">
        <v>3137</v>
      </c>
      <c r="E1" s="173" t="s">
        <v>6370</v>
      </c>
      <c r="F1" s="176" t="s">
        <v>6371</v>
      </c>
      <c r="G1" t="s">
        <v>6369</v>
      </c>
      <c r="H1" t="s">
        <v>6385</v>
      </c>
    </row>
    <row r="2" spans="1:8">
      <c r="A2" t="s">
        <v>2093</v>
      </c>
      <c r="B2">
        <v>2</v>
      </c>
      <c r="C2" t="s">
        <v>6267</v>
      </c>
      <c r="D2" t="s">
        <v>148</v>
      </c>
      <c r="E2" s="126">
        <v>1.856E-3</v>
      </c>
      <c r="F2" t="s">
        <v>3322</v>
      </c>
    </row>
    <row r="3" spans="1:8">
      <c r="A3" t="s">
        <v>2093</v>
      </c>
      <c r="B3">
        <v>2</v>
      </c>
      <c r="C3" t="s">
        <v>6267</v>
      </c>
      <c r="D3" t="s">
        <v>148</v>
      </c>
      <c r="E3" s="126">
        <v>9.3800000000000003E-4</v>
      </c>
      <c r="F3" t="s">
        <v>3322</v>
      </c>
    </row>
    <row r="4" spans="1:8">
      <c r="A4" t="s">
        <v>2093</v>
      </c>
      <c r="B4">
        <v>2</v>
      </c>
      <c r="C4" t="s">
        <v>6267</v>
      </c>
      <c r="D4" t="s">
        <v>56</v>
      </c>
      <c r="E4" s="126">
        <v>4.8199999999999996E-3</v>
      </c>
      <c r="F4" t="s">
        <v>3322</v>
      </c>
    </row>
    <row r="5" spans="1:8">
      <c r="A5" t="s">
        <v>2093</v>
      </c>
      <c r="B5">
        <v>2</v>
      </c>
      <c r="C5" t="s">
        <v>6267</v>
      </c>
      <c r="D5" t="s">
        <v>56</v>
      </c>
      <c r="E5" s="126">
        <v>3.8999999999999998E-3</v>
      </c>
      <c r="F5" t="s">
        <v>3322</v>
      </c>
    </row>
    <row r="6" spans="1:8">
      <c r="A6" t="s">
        <v>2093</v>
      </c>
      <c r="B6">
        <v>2</v>
      </c>
      <c r="C6" t="s">
        <v>6267</v>
      </c>
      <c r="D6" t="s">
        <v>20</v>
      </c>
      <c r="E6" s="126">
        <v>3.6600000000000001E-4</v>
      </c>
      <c r="F6" t="s">
        <v>3322</v>
      </c>
    </row>
    <row r="7" spans="1:8">
      <c r="A7" t="s">
        <v>2093</v>
      </c>
      <c r="B7">
        <v>2</v>
      </c>
      <c r="C7" t="s">
        <v>6267</v>
      </c>
      <c r="D7" t="s">
        <v>20</v>
      </c>
      <c r="E7" s="126">
        <v>1.4799999999999999E-4</v>
      </c>
      <c r="F7" t="s">
        <v>3322</v>
      </c>
    </row>
    <row r="8" spans="1:8">
      <c r="A8" t="s">
        <v>2098</v>
      </c>
      <c r="B8">
        <v>4</v>
      </c>
      <c r="C8" s="48" t="s">
        <v>2617</v>
      </c>
      <c r="D8" t="s">
        <v>236</v>
      </c>
      <c r="E8" s="126">
        <v>3.8403199999999998E-2</v>
      </c>
      <c r="F8" t="s">
        <v>3450</v>
      </c>
      <c r="G8">
        <v>0.40516000000000002</v>
      </c>
      <c r="H8" t="s">
        <v>6387</v>
      </c>
    </row>
    <row r="9" spans="1:8">
      <c r="A9" t="s">
        <v>2098</v>
      </c>
      <c r="B9">
        <v>4</v>
      </c>
      <c r="C9" s="48" t="s">
        <v>2617</v>
      </c>
      <c r="D9" t="s">
        <v>236</v>
      </c>
      <c r="E9" s="126">
        <v>3.1420799999999999E-2</v>
      </c>
      <c r="F9" t="s">
        <v>3448</v>
      </c>
      <c r="G9">
        <v>0.40516000000000002</v>
      </c>
      <c r="H9" t="s">
        <v>6387</v>
      </c>
    </row>
    <row r="10" spans="1:8">
      <c r="A10" t="s">
        <v>2105</v>
      </c>
      <c r="B10">
        <v>2</v>
      </c>
      <c r="C10" s="48" t="s">
        <v>2194</v>
      </c>
      <c r="D10" t="s">
        <v>402</v>
      </c>
      <c r="E10" s="126">
        <v>3.5799999999999997E-4</v>
      </c>
      <c r="F10" t="s">
        <v>3730</v>
      </c>
    </row>
    <row r="11" spans="1:8">
      <c r="A11" t="s">
        <v>2105</v>
      </c>
      <c r="B11">
        <v>2</v>
      </c>
      <c r="C11" s="48" t="s">
        <v>2194</v>
      </c>
      <c r="D11" t="s">
        <v>402</v>
      </c>
      <c r="E11" s="126">
        <v>1.95E-4</v>
      </c>
      <c r="F11" t="s">
        <v>3730</v>
      </c>
    </row>
    <row r="12" spans="1:8">
      <c r="A12" t="s">
        <v>2110</v>
      </c>
      <c r="B12">
        <v>6</v>
      </c>
      <c r="C12" t="s">
        <v>6267</v>
      </c>
      <c r="D12" t="s">
        <v>546</v>
      </c>
      <c r="E12" s="126">
        <v>2.7049999999999999E-3</v>
      </c>
      <c r="F12" t="s">
        <v>3926</v>
      </c>
    </row>
    <row r="13" spans="1:8">
      <c r="A13" t="s">
        <v>2110</v>
      </c>
      <c r="B13">
        <v>5</v>
      </c>
      <c r="C13" t="s">
        <v>6267</v>
      </c>
      <c r="D13" t="s">
        <v>544</v>
      </c>
      <c r="E13" s="126">
        <v>1.1592999999999999E-2</v>
      </c>
      <c r="F13" t="s">
        <v>3933</v>
      </c>
    </row>
    <row r="14" spans="1:8">
      <c r="A14" t="s">
        <v>2115</v>
      </c>
      <c r="B14">
        <v>5</v>
      </c>
      <c r="C14" t="s">
        <v>6267</v>
      </c>
      <c r="D14" t="s">
        <v>662</v>
      </c>
      <c r="E14" s="126">
        <v>1.1249999999999999E-3</v>
      </c>
      <c r="F14" t="s">
        <v>4123</v>
      </c>
    </row>
    <row r="15" spans="1:8">
      <c r="A15" t="s">
        <v>2115</v>
      </c>
      <c r="B15">
        <v>5</v>
      </c>
      <c r="C15" t="s">
        <v>6267</v>
      </c>
      <c r="D15" t="s">
        <v>664</v>
      </c>
      <c r="E15" s="126">
        <v>1.1701E-2</v>
      </c>
      <c r="F15" t="s">
        <v>4128</v>
      </c>
    </row>
    <row r="16" spans="1:8">
      <c r="A16" t="s">
        <v>2117</v>
      </c>
      <c r="B16">
        <v>5</v>
      </c>
      <c r="C16" t="s">
        <v>6267</v>
      </c>
      <c r="D16" t="s">
        <v>705</v>
      </c>
      <c r="E16" s="126">
        <v>5.3800000000000002E-3</v>
      </c>
      <c r="F16" t="s">
        <v>4197</v>
      </c>
    </row>
    <row r="17" spans="1:8">
      <c r="A17" t="s">
        <v>2121</v>
      </c>
      <c r="B17">
        <v>5</v>
      </c>
      <c r="C17" t="s">
        <v>6267</v>
      </c>
      <c r="D17" t="s">
        <v>806</v>
      </c>
      <c r="E17" s="126">
        <v>1.1E-4</v>
      </c>
      <c r="F17" t="s">
        <v>4373</v>
      </c>
    </row>
    <row r="18" spans="1:8">
      <c r="A18" t="s">
        <v>2125</v>
      </c>
      <c r="B18">
        <v>2</v>
      </c>
      <c r="C18" t="s">
        <v>2192</v>
      </c>
      <c r="D18" t="s">
        <v>897</v>
      </c>
      <c r="E18" s="126">
        <v>1.5300000000000001E-4</v>
      </c>
      <c r="F18" t="s">
        <v>4529</v>
      </c>
    </row>
    <row r="19" spans="1:8">
      <c r="A19" t="s">
        <v>2125</v>
      </c>
      <c r="B19">
        <v>2</v>
      </c>
      <c r="C19" t="s">
        <v>2195</v>
      </c>
      <c r="D19" t="s">
        <v>20</v>
      </c>
      <c r="E19" s="126">
        <v>9.5299999999999996E-4</v>
      </c>
      <c r="F19" t="s">
        <v>4529</v>
      </c>
    </row>
    <row r="20" spans="1:8">
      <c r="A20" t="s">
        <v>2125</v>
      </c>
      <c r="B20">
        <v>6</v>
      </c>
      <c r="C20" t="s">
        <v>6267</v>
      </c>
      <c r="D20" t="s">
        <v>921</v>
      </c>
      <c r="E20" s="126">
        <v>2.9860000000001552E-3</v>
      </c>
      <c r="F20" t="s">
        <v>4541</v>
      </c>
    </row>
    <row r="21" spans="1:8">
      <c r="A21" t="s">
        <v>2129</v>
      </c>
      <c r="B21">
        <v>6</v>
      </c>
      <c r="C21" t="s">
        <v>2890</v>
      </c>
      <c r="D21" t="s">
        <v>1053</v>
      </c>
      <c r="E21" s="126">
        <v>9.7179999999999992E-3</v>
      </c>
      <c r="F21" t="s">
        <v>4697</v>
      </c>
    </row>
    <row r="22" spans="1:8">
      <c r="A22" t="s">
        <v>2129</v>
      </c>
      <c r="B22">
        <v>6</v>
      </c>
      <c r="C22" t="e">
        <v>#N/A</v>
      </c>
      <c r="D22" t="s">
        <v>1047</v>
      </c>
      <c r="E22" s="126">
        <v>3.6999999999999998E-5</v>
      </c>
      <c r="F22" t="s">
        <v>4709</v>
      </c>
    </row>
    <row r="23" spans="1:8">
      <c r="A23" t="s">
        <v>2129</v>
      </c>
      <c r="B23">
        <v>6</v>
      </c>
      <c r="C23" t="e">
        <v>#N/A</v>
      </c>
      <c r="D23" t="s">
        <v>1060</v>
      </c>
      <c r="E23" s="126">
        <v>1.16E-4</v>
      </c>
      <c r="F23" t="s">
        <v>4713</v>
      </c>
    </row>
    <row r="24" spans="1:8">
      <c r="A24" t="s">
        <v>2133</v>
      </c>
      <c r="B24">
        <v>5</v>
      </c>
      <c r="C24" t="s">
        <v>6378</v>
      </c>
      <c r="D24" t="s">
        <v>1178</v>
      </c>
      <c r="E24" s="126">
        <v>3.7500000000000001E-4</v>
      </c>
      <c r="F24" t="s">
        <v>4944</v>
      </c>
    </row>
    <row r="25" spans="1:8">
      <c r="A25" t="s">
        <v>2133</v>
      </c>
      <c r="B25">
        <v>6</v>
      </c>
      <c r="C25" t="s">
        <v>2905</v>
      </c>
      <c r="D25" t="s">
        <v>1184</v>
      </c>
      <c r="E25" s="126">
        <v>5.9769999999999997E-3</v>
      </c>
      <c r="F25" t="s">
        <v>4946</v>
      </c>
    </row>
    <row r="26" spans="1:8">
      <c r="A26" t="s">
        <v>2137</v>
      </c>
      <c r="B26">
        <v>6</v>
      </c>
      <c r="C26" t="e">
        <v>#N/A</v>
      </c>
      <c r="D26" t="s">
        <v>1253</v>
      </c>
      <c r="E26" s="126">
        <v>1.2945999999999902E-2</v>
      </c>
      <c r="F26" t="s">
        <v>5071</v>
      </c>
    </row>
    <row r="27" spans="1:8">
      <c r="A27" t="s">
        <v>2145</v>
      </c>
      <c r="B27">
        <v>4</v>
      </c>
      <c r="C27" t="s">
        <v>6375</v>
      </c>
      <c r="D27" t="s">
        <v>1376</v>
      </c>
      <c r="E27" s="126">
        <v>0.32885999999999999</v>
      </c>
      <c r="F27" t="s">
        <v>5323</v>
      </c>
      <c r="G27">
        <v>0.40348200000000001</v>
      </c>
      <c r="H27" t="s">
        <v>6386</v>
      </c>
    </row>
    <row r="28" spans="1:8">
      <c r="A28" t="s">
        <v>2145</v>
      </c>
      <c r="B28">
        <v>4</v>
      </c>
      <c r="C28" t="s">
        <v>6376</v>
      </c>
      <c r="D28" t="s">
        <v>1378</v>
      </c>
      <c r="E28" s="126">
        <v>0.20768900000000001</v>
      </c>
      <c r="F28" t="s">
        <v>5323</v>
      </c>
    </row>
    <row r="29" spans="1:8">
      <c r="A29" t="s">
        <v>2145</v>
      </c>
      <c r="B29">
        <v>5</v>
      </c>
      <c r="C29" t="s">
        <v>6267</v>
      </c>
      <c r="D29" t="s">
        <v>1380</v>
      </c>
      <c r="E29" s="126">
        <v>2.3765999999999954E-2</v>
      </c>
      <c r="F29" t="s">
        <v>5327</v>
      </c>
    </row>
    <row r="30" spans="1:8">
      <c r="A30" t="s">
        <v>2146</v>
      </c>
      <c r="B30">
        <v>5</v>
      </c>
      <c r="C30" s="49" t="s">
        <v>6373</v>
      </c>
      <c r="D30" t="s">
        <v>1393</v>
      </c>
      <c r="E30" s="126">
        <v>1.3960000000000001E-3</v>
      </c>
      <c r="F30" t="s">
        <v>5350</v>
      </c>
    </row>
    <row r="31" spans="1:8">
      <c r="A31" t="s">
        <v>2146</v>
      </c>
      <c r="B31">
        <v>5</v>
      </c>
      <c r="C31" s="49" t="s">
        <v>6374</v>
      </c>
      <c r="D31" t="s">
        <v>1394</v>
      </c>
      <c r="E31" s="126">
        <v>2.8232E-2</v>
      </c>
      <c r="F31" t="s">
        <v>5350</v>
      </c>
    </row>
    <row r="32" spans="1:8">
      <c r="A32" t="s">
        <v>2149</v>
      </c>
      <c r="B32">
        <v>4</v>
      </c>
      <c r="C32" t="s">
        <v>6377</v>
      </c>
      <c r="D32" t="s">
        <v>1453</v>
      </c>
      <c r="E32" s="126">
        <v>2.3511000000000001E-2</v>
      </c>
      <c r="F32" t="s">
        <v>5453</v>
      </c>
      <c r="G32">
        <v>0.484738</v>
      </c>
      <c r="H32" t="s">
        <v>6386</v>
      </c>
    </row>
    <row r="33" spans="1:8">
      <c r="A33" t="s">
        <v>2153</v>
      </c>
      <c r="B33">
        <v>6</v>
      </c>
      <c r="C33" t="s">
        <v>6267</v>
      </c>
      <c r="D33" t="s">
        <v>1520</v>
      </c>
      <c r="E33" s="126">
        <v>4.0000000000000003E-5</v>
      </c>
      <c r="F33" t="s">
        <v>5578</v>
      </c>
    </row>
    <row r="34" spans="1:8">
      <c r="A34" t="s">
        <v>2155</v>
      </c>
      <c r="B34">
        <v>6</v>
      </c>
      <c r="C34" t="s">
        <v>6267</v>
      </c>
      <c r="D34" t="s">
        <v>1558</v>
      </c>
      <c r="E34" s="126">
        <v>3.578E-3</v>
      </c>
      <c r="F34" t="s">
        <v>5643</v>
      </c>
    </row>
    <row r="35" spans="1:8">
      <c r="A35" t="s">
        <v>2157</v>
      </c>
      <c r="B35">
        <v>5</v>
      </c>
      <c r="C35" t="s">
        <v>6267</v>
      </c>
      <c r="D35" t="s">
        <v>1584</v>
      </c>
      <c r="E35" s="126">
        <v>1.6654999999999864E-2</v>
      </c>
      <c r="F35" t="s">
        <v>5716</v>
      </c>
    </row>
    <row r="36" spans="1:8">
      <c r="A36" t="s">
        <v>2168</v>
      </c>
      <c r="B36">
        <v>6</v>
      </c>
      <c r="C36" t="s">
        <v>6267</v>
      </c>
      <c r="D36" t="s">
        <v>1742</v>
      </c>
      <c r="E36" s="126">
        <v>1.6992E-2</v>
      </c>
      <c r="F36" t="s">
        <v>5991</v>
      </c>
    </row>
    <row r="37" spans="1:8">
      <c r="A37" t="s">
        <v>2172</v>
      </c>
      <c r="B37">
        <v>3</v>
      </c>
      <c r="C37" t="s">
        <v>6271</v>
      </c>
      <c r="D37" t="s">
        <v>1802</v>
      </c>
      <c r="E37" s="126">
        <v>1.0000000000000001E-5</v>
      </c>
      <c r="F37" t="s">
        <v>6095</v>
      </c>
      <c r="H37" t="s">
        <v>6380</v>
      </c>
    </row>
    <row r="38" spans="1:8">
      <c r="A38" t="s">
        <v>2172</v>
      </c>
      <c r="B38">
        <v>6</v>
      </c>
      <c r="C38" t="s">
        <v>6271</v>
      </c>
      <c r="D38" t="s">
        <v>1814</v>
      </c>
      <c r="E38" s="126">
        <v>2.9183999999999766E-2</v>
      </c>
      <c r="F38" t="s">
        <v>6122</v>
      </c>
    </row>
    <row r="39" spans="1:8">
      <c r="A39" t="s">
        <v>2174</v>
      </c>
      <c r="B39">
        <v>5</v>
      </c>
      <c r="C39" t="s">
        <v>6267</v>
      </c>
      <c r="D39" t="s">
        <v>806</v>
      </c>
      <c r="E39" s="126">
        <v>1.8000000000000001E-4</v>
      </c>
      <c r="F39" t="s">
        <v>6205</v>
      </c>
    </row>
    <row r="40" spans="1:8">
      <c r="A40" t="s">
        <v>2115</v>
      </c>
      <c r="B40">
        <v>2</v>
      </c>
      <c r="C40" t="s">
        <v>2188</v>
      </c>
      <c r="D40" t="s">
        <v>46</v>
      </c>
      <c r="E40" s="126">
        <v>7.5600000000000005E-4</v>
      </c>
      <c r="F40" t="s">
        <v>4113</v>
      </c>
    </row>
    <row r="41" spans="1:8">
      <c r="A41" t="s">
        <v>2115</v>
      </c>
      <c r="B41">
        <v>2</v>
      </c>
      <c r="C41" t="s">
        <v>2188</v>
      </c>
      <c r="D41" t="s">
        <v>46</v>
      </c>
      <c r="E41" s="126">
        <v>5.8999999999999998E-5</v>
      </c>
      <c r="F41" t="s">
        <v>4113</v>
      </c>
    </row>
    <row r="42" spans="1:8">
      <c r="A42" t="s">
        <v>2130</v>
      </c>
      <c r="B42" t="s">
        <v>3160</v>
      </c>
      <c r="C42" t="s">
        <v>4803</v>
      </c>
      <c r="D42" t="s">
        <v>4805</v>
      </c>
      <c r="E42" s="155">
        <v>0</v>
      </c>
      <c r="F42" t="s">
        <v>4804</v>
      </c>
      <c r="G42">
        <v>0.741537</v>
      </c>
      <c r="H42" t="s">
        <v>6386</v>
      </c>
    </row>
    <row r="43" spans="1:8"/>
    <row r="44" spans="1:8"/>
    <row r="45" spans="1:8"/>
    <row r="46" spans="1:8"/>
    <row r="47" spans="1:8"/>
    <row r="48" spans="1:8"/>
    <row r="49"/>
    <row r="50"/>
  </sheetData>
  <sortState xmlns:xlrd2="http://schemas.microsoft.com/office/spreadsheetml/2017/richdata2" ref="A2:H39">
    <sortCondition ref="F2:F39"/>
  </sortState>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pageSetUpPr fitToPage="1"/>
  </sheetPr>
  <dimension ref="A1:WVB79"/>
  <sheetViews>
    <sheetView topLeftCell="A50" zoomScaleNormal="100" zoomScaleSheetLayoutView="80" workbookViewId="0">
      <selection activeCell="E71" activeCellId="6" sqref="D7:F7 D50:F50 D54:F54 D58:F58 D63:F63 D67:F67 E71:F71"/>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6.28515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6.28515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6.28515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6.28515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6.28515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6.28515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6.28515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6.28515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6.28515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6.28515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6.28515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6.28515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6.28515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6.28515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6.28515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6.28515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6.28515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6.28515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6.28515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6.28515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6.28515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6.28515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6.28515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6.28515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6.28515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6.28515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6.28515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6.28515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6.28515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6.28515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6.28515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6.28515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6.28515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6.28515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6.28515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6.28515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6.28515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6.28515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6.28515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6.28515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6.28515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6.28515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6.28515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6.28515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6.28515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6.28515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6.28515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6.28515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6.28515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6.28515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6.28515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6.28515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6.28515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6.28515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6.28515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6.28515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6.28515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6.28515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6.28515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6.28515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6.28515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6.28515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6.28515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1893</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Worksheet'!$D$72</f>
        <v>157577</v>
      </c>
      <c r="E3" s="11"/>
      <c r="F3" s="11"/>
    </row>
    <row r="4" spans="1:6">
      <c r="A4" s="8">
        <v>0</v>
      </c>
      <c r="B4" s="11" t="s">
        <v>4</v>
      </c>
      <c r="C4" s="10">
        <v>1.382E-3</v>
      </c>
      <c r="D4" s="12">
        <f>ROUND(D$3*C4,0)</f>
        <v>218</v>
      </c>
      <c r="E4" s="13">
        <f>ROUND(D4/2,0)</f>
        <v>109</v>
      </c>
      <c r="F4" s="12">
        <f>D4-E4</f>
        <v>109</v>
      </c>
    </row>
    <row r="5" spans="1:6">
      <c r="A5" s="8">
        <v>1</v>
      </c>
      <c r="B5" s="11" t="s">
        <v>1515</v>
      </c>
      <c r="C5" s="10">
        <v>0.192269</v>
      </c>
      <c r="D5" s="9">
        <f>ROUND(D$3*C5,0)</f>
        <v>30297</v>
      </c>
      <c r="E5" s="11">
        <f>ROUND(D5/2,0)</f>
        <v>15149</v>
      </c>
      <c r="F5" s="9">
        <f>D5-E5</f>
        <v>15148</v>
      </c>
    </row>
    <row r="6" spans="1:6">
      <c r="A6" s="8"/>
      <c r="B6" s="11" t="s">
        <v>6</v>
      </c>
      <c r="C6" s="11"/>
      <c r="D6" s="14">
        <v>0.40797099999999997</v>
      </c>
      <c r="E6" s="11"/>
      <c r="F6" s="11"/>
    </row>
    <row r="7" spans="1:6">
      <c r="A7" s="8"/>
      <c r="B7" s="11" t="s">
        <v>7</v>
      </c>
      <c r="C7" s="11"/>
      <c r="D7" s="225">
        <f>ROUND(D5*D6,0)</f>
        <v>12360</v>
      </c>
      <c r="E7" s="226">
        <f>ROUND(D7/2,0)</f>
        <v>6180</v>
      </c>
      <c r="F7" s="225">
        <f>D7-E7</f>
        <v>6180</v>
      </c>
    </row>
    <row r="8" spans="1:6">
      <c r="A8" s="8"/>
      <c r="B8" s="11" t="s">
        <v>8</v>
      </c>
      <c r="C8" s="11"/>
      <c r="D8" s="12">
        <f>+D5-D7</f>
        <v>17937</v>
      </c>
      <c r="E8" s="13">
        <f>ROUND(D8/2,0)</f>
        <v>8969</v>
      </c>
      <c r="F8" s="12">
        <f>D8-E8</f>
        <v>8968</v>
      </c>
    </row>
    <row r="9" spans="1:6">
      <c r="A9" s="8">
        <v>2</v>
      </c>
      <c r="B9" s="11" t="s">
        <v>46</v>
      </c>
      <c r="C9" s="11"/>
      <c r="D9" s="9"/>
      <c r="E9" s="11"/>
      <c r="F9" s="11"/>
    </row>
    <row r="10" spans="1:6">
      <c r="A10" s="8"/>
      <c r="B10" s="11" t="s">
        <v>10</v>
      </c>
      <c r="C10" s="10">
        <v>1.7409999999999999E-3</v>
      </c>
      <c r="D10" s="12">
        <f>ROUND(D$3*C10,0)</f>
        <v>274</v>
      </c>
      <c r="E10" s="13">
        <f>ROUND(D10/2,0)</f>
        <v>137</v>
      </c>
      <c r="F10" s="12">
        <f>D10-E10</f>
        <v>137</v>
      </c>
    </row>
    <row r="11" spans="1:6">
      <c r="A11" s="8"/>
      <c r="B11" s="11" t="s">
        <v>11</v>
      </c>
      <c r="C11" s="10">
        <v>1.9699999999999999E-4</v>
      </c>
      <c r="D11" s="12">
        <f>ROUND(D$3*C11,0)</f>
        <v>31</v>
      </c>
      <c r="E11" s="13">
        <f>ROUND(D11/2,0)</f>
        <v>16</v>
      </c>
      <c r="F11" s="12">
        <f>D11-E11</f>
        <v>15</v>
      </c>
    </row>
    <row r="12" spans="1:6">
      <c r="A12" s="8">
        <v>2</v>
      </c>
      <c r="B12" s="11" t="s">
        <v>671</v>
      </c>
      <c r="C12" s="11"/>
      <c r="D12" s="9"/>
      <c r="E12" s="11"/>
      <c r="F12" s="11"/>
    </row>
    <row r="13" spans="1:6">
      <c r="A13" s="8"/>
      <c r="B13" s="11" t="s">
        <v>10</v>
      </c>
      <c r="C13" s="10">
        <v>3.8200000000000002E-4</v>
      </c>
      <c r="D13" s="12">
        <f>ROUND(D$3*C13,0)</f>
        <v>60</v>
      </c>
      <c r="E13" s="13">
        <f>ROUND(D13/2,0)</f>
        <v>30</v>
      </c>
      <c r="F13" s="12">
        <f>D13-E13</f>
        <v>30</v>
      </c>
    </row>
    <row r="14" spans="1:6">
      <c r="A14" s="8"/>
      <c r="B14" s="11" t="s">
        <v>11</v>
      </c>
      <c r="C14" s="10">
        <v>1.9699999999999999E-4</v>
      </c>
      <c r="D14" s="12">
        <f>ROUND(D$3*C14,0)</f>
        <v>31</v>
      </c>
      <c r="E14" s="13">
        <f>ROUND(D14/2,0)</f>
        <v>16</v>
      </c>
      <c r="F14" s="12">
        <f>D14-E14</f>
        <v>15</v>
      </c>
    </row>
    <row r="15" spans="1:6">
      <c r="A15" s="8">
        <v>2</v>
      </c>
      <c r="B15" s="11" t="s">
        <v>107</v>
      </c>
      <c r="C15" s="11"/>
      <c r="D15" s="9"/>
      <c r="E15" s="11"/>
      <c r="F15" s="11"/>
    </row>
    <row r="16" spans="1:6">
      <c r="A16" s="8"/>
      <c r="B16" s="11" t="s">
        <v>10</v>
      </c>
      <c r="C16" s="10">
        <v>6.4800000000000003E-4</v>
      </c>
      <c r="D16" s="12">
        <f>ROUND(D$3*C16,0)</f>
        <v>102</v>
      </c>
      <c r="E16" s="13">
        <f>ROUND(D16/2,0)</f>
        <v>51</v>
      </c>
      <c r="F16" s="12">
        <f>D16-E16</f>
        <v>51</v>
      </c>
    </row>
    <row r="17" spans="1:6">
      <c r="A17" s="8"/>
      <c r="B17" s="11" t="s">
        <v>11</v>
      </c>
      <c r="C17" s="10">
        <v>0</v>
      </c>
      <c r="D17" s="12">
        <f>ROUND(D$3*C17,0)</f>
        <v>0</v>
      </c>
      <c r="E17" s="13">
        <f>ROUND(D17/2,0)</f>
        <v>0</v>
      </c>
      <c r="F17" s="12">
        <f>D17-E17</f>
        <v>0</v>
      </c>
    </row>
    <row r="18" spans="1:6">
      <c r="A18" s="8">
        <v>2</v>
      </c>
      <c r="B18" s="11" t="s">
        <v>400</v>
      </c>
      <c r="C18" s="11"/>
      <c r="D18" s="9"/>
      <c r="E18" s="11"/>
      <c r="F18" s="11"/>
    </row>
    <row r="19" spans="1:6">
      <c r="A19" s="8"/>
      <c r="B19" s="11" t="s">
        <v>10</v>
      </c>
      <c r="C19" s="10">
        <v>1.07E-3</v>
      </c>
      <c r="D19" s="12">
        <f>ROUND(D$3*C19,0)</f>
        <v>169</v>
      </c>
      <c r="E19" s="13">
        <f>ROUND(D19/2,0)</f>
        <v>85</v>
      </c>
      <c r="F19" s="12">
        <f>D19-E19</f>
        <v>84</v>
      </c>
    </row>
    <row r="20" spans="1:6">
      <c r="A20" s="8"/>
      <c r="B20" s="11" t="s">
        <v>11</v>
      </c>
      <c r="C20" s="10">
        <v>0</v>
      </c>
      <c r="D20" s="12">
        <f>ROUND(D$3*C20,0)</f>
        <v>0</v>
      </c>
      <c r="E20" s="13">
        <f>ROUND(D20/2,0)</f>
        <v>0</v>
      </c>
      <c r="F20" s="12">
        <f>D20-E20</f>
        <v>0</v>
      </c>
    </row>
    <row r="21" spans="1:6">
      <c r="A21" s="8">
        <v>2</v>
      </c>
      <c r="B21" s="11" t="s">
        <v>372</v>
      </c>
      <c r="C21" s="11"/>
      <c r="D21" s="9"/>
      <c r="E21" s="11"/>
      <c r="F21" s="11"/>
    </row>
    <row r="22" spans="1:6">
      <c r="A22" s="8"/>
      <c r="B22" s="11" t="s">
        <v>10</v>
      </c>
      <c r="C22" s="10">
        <v>1.2149999999999999E-3</v>
      </c>
      <c r="D22" s="12">
        <f>ROUND(D$3*C22,0)</f>
        <v>191</v>
      </c>
      <c r="E22" s="13">
        <f>ROUND(D22/2,0)</f>
        <v>96</v>
      </c>
      <c r="F22" s="12">
        <f>D22-E22</f>
        <v>95</v>
      </c>
    </row>
    <row r="23" spans="1:6">
      <c r="A23" s="8"/>
      <c r="B23" s="11" t="s">
        <v>11</v>
      </c>
      <c r="C23" s="10">
        <v>6.4199999999999999E-4</v>
      </c>
      <c r="D23" s="12">
        <f>ROUND(D$3*C23,0)</f>
        <v>101</v>
      </c>
      <c r="E23" s="13">
        <f>ROUND(D23/2,0)</f>
        <v>51</v>
      </c>
      <c r="F23" s="12">
        <f>D23-E23</f>
        <v>50</v>
      </c>
    </row>
    <row r="24" spans="1:6">
      <c r="A24" s="8">
        <v>2</v>
      </c>
      <c r="B24" s="11" t="s">
        <v>49</v>
      </c>
      <c r="C24" s="11"/>
      <c r="D24" s="9"/>
      <c r="E24" s="11"/>
      <c r="F24" s="11"/>
    </row>
    <row r="25" spans="1:6">
      <c r="A25" s="8"/>
      <c r="B25" s="11" t="s">
        <v>10</v>
      </c>
      <c r="C25" s="10">
        <v>2.31E-4</v>
      </c>
      <c r="D25" s="12">
        <f>ROUND(D$3*C25,0)</f>
        <v>36</v>
      </c>
      <c r="E25" s="13">
        <f>ROUND(D25/2,0)</f>
        <v>18</v>
      </c>
      <c r="F25" s="12">
        <f>D25-E25</f>
        <v>18</v>
      </c>
    </row>
    <row r="26" spans="1:6">
      <c r="A26" s="8"/>
      <c r="B26" s="11" t="s">
        <v>11</v>
      </c>
      <c r="C26" s="10">
        <v>0</v>
      </c>
      <c r="D26" s="12">
        <f>ROUND(D$3*C26,0)</f>
        <v>0</v>
      </c>
      <c r="E26" s="13">
        <f>ROUND(D26/2,0)</f>
        <v>0</v>
      </c>
      <c r="F26" s="12">
        <f>D26-E26</f>
        <v>0</v>
      </c>
    </row>
    <row r="27" spans="1:6">
      <c r="A27" s="8">
        <v>2</v>
      </c>
      <c r="B27" s="11" t="s">
        <v>268</v>
      </c>
      <c r="C27" s="11"/>
      <c r="D27" s="9"/>
      <c r="E27" s="11"/>
      <c r="F27" s="11"/>
    </row>
    <row r="28" spans="1:6">
      <c r="A28" s="8"/>
      <c r="B28" s="11" t="s">
        <v>10</v>
      </c>
      <c r="C28" s="10">
        <v>2.065E-3</v>
      </c>
      <c r="D28" s="12">
        <f>ROUND(D$3*C28,0)</f>
        <v>325</v>
      </c>
      <c r="E28" s="13">
        <f>ROUND(D28/2,0)</f>
        <v>163</v>
      </c>
      <c r="F28" s="12">
        <f>D28-E28</f>
        <v>162</v>
      </c>
    </row>
    <row r="29" spans="1:6">
      <c r="A29" s="8"/>
      <c r="B29" s="11" t="s">
        <v>11</v>
      </c>
      <c r="C29" s="10">
        <v>7.9799999999999999E-4</v>
      </c>
      <c r="D29" s="12">
        <f>ROUND(D$3*C29,0)</f>
        <v>126</v>
      </c>
      <c r="E29" s="13">
        <f>ROUND(D29/2,0)</f>
        <v>63</v>
      </c>
      <c r="F29" s="12">
        <f>D29-E29</f>
        <v>63</v>
      </c>
    </row>
    <row r="30" spans="1:6">
      <c r="A30" s="8">
        <v>2</v>
      </c>
      <c r="B30" s="11" t="s">
        <v>1526</v>
      </c>
      <c r="C30" s="11"/>
      <c r="D30" s="9"/>
      <c r="E30" s="11"/>
      <c r="F30" s="11"/>
    </row>
    <row r="31" spans="1:6">
      <c r="A31" s="8"/>
      <c r="B31" s="11" t="s">
        <v>10</v>
      </c>
      <c r="C31" s="10">
        <v>1.8220000000000001E-3</v>
      </c>
      <c r="D31" s="12">
        <f>ROUND(D$3*C31,0)</f>
        <v>287</v>
      </c>
      <c r="E31" s="13">
        <f>ROUND(D31/2,0)</f>
        <v>144</v>
      </c>
      <c r="F31" s="12">
        <f>D31-E31</f>
        <v>143</v>
      </c>
    </row>
    <row r="32" spans="1:6">
      <c r="A32" s="8"/>
      <c r="B32" s="11" t="s">
        <v>11</v>
      </c>
      <c r="C32" s="10">
        <v>1.21E-4</v>
      </c>
      <c r="D32" s="12">
        <f>ROUND(D$3*C32,0)</f>
        <v>19</v>
      </c>
      <c r="E32" s="13">
        <f>ROUND(D32/2,0)</f>
        <v>10</v>
      </c>
      <c r="F32" s="12">
        <f>D32-E32</f>
        <v>9</v>
      </c>
    </row>
    <row r="33" spans="1:6">
      <c r="A33" s="8">
        <v>2</v>
      </c>
      <c r="B33" s="11" t="s">
        <v>1527</v>
      </c>
      <c r="C33" s="11"/>
      <c r="D33" s="9"/>
      <c r="E33" s="11"/>
      <c r="F33" s="11"/>
    </row>
    <row r="34" spans="1:6">
      <c r="A34" s="8"/>
      <c r="B34" s="11" t="s">
        <v>10</v>
      </c>
      <c r="C34" s="10">
        <v>2.7799999999999998E-4</v>
      </c>
      <c r="D34" s="12">
        <f>ROUND(D$3*C34,0)</f>
        <v>44</v>
      </c>
      <c r="E34" s="13">
        <f>ROUND(D34/2,0)</f>
        <v>22</v>
      </c>
      <c r="F34" s="12">
        <f>D34-E34</f>
        <v>22</v>
      </c>
    </row>
    <row r="35" spans="1:6">
      <c r="A35" s="8"/>
      <c r="B35" s="11" t="s">
        <v>11</v>
      </c>
      <c r="C35" s="10">
        <v>2.5999999999999998E-4</v>
      </c>
      <c r="D35" s="12">
        <f>ROUND(D$3*C35,0)</f>
        <v>41</v>
      </c>
      <c r="E35" s="13">
        <f>ROUND(D35/2,0)</f>
        <v>21</v>
      </c>
      <c r="F35" s="12">
        <f>D35-E35</f>
        <v>20</v>
      </c>
    </row>
    <row r="36" spans="1:6">
      <c r="A36" s="8">
        <v>2</v>
      </c>
      <c r="B36" s="11" t="s">
        <v>873</v>
      </c>
      <c r="C36" s="11"/>
      <c r="D36" s="9"/>
      <c r="E36" s="11"/>
      <c r="F36" s="11"/>
    </row>
    <row r="37" spans="1:6">
      <c r="A37" s="8"/>
      <c r="B37" s="11" t="s">
        <v>10</v>
      </c>
      <c r="C37" s="10">
        <v>8.1599999999999999E-4</v>
      </c>
      <c r="D37" s="12">
        <f>ROUND(D$3*C37,0)</f>
        <v>129</v>
      </c>
      <c r="E37" s="13">
        <f>ROUND(D37/2,0)</f>
        <v>65</v>
      </c>
      <c r="F37" s="12">
        <f>D37-E37</f>
        <v>64</v>
      </c>
    </row>
    <row r="38" spans="1:6">
      <c r="A38" s="8"/>
      <c r="B38" s="11" t="s">
        <v>11</v>
      </c>
      <c r="C38" s="10">
        <v>4.1100000000000002E-4</v>
      </c>
      <c r="D38" s="12">
        <f>ROUND(D$3*C38,0)</f>
        <v>65</v>
      </c>
      <c r="E38" s="13">
        <f>ROUND(D38/2,0)</f>
        <v>33</v>
      </c>
      <c r="F38" s="12">
        <f>D38-E38</f>
        <v>32</v>
      </c>
    </row>
    <row r="39" spans="1:6">
      <c r="A39" s="8">
        <v>2</v>
      </c>
      <c r="B39" s="11" t="s">
        <v>22</v>
      </c>
      <c r="C39" s="11"/>
      <c r="D39" s="9"/>
      <c r="E39" s="11"/>
      <c r="F39" s="11"/>
    </row>
    <row r="40" spans="1:6">
      <c r="A40" s="8"/>
      <c r="B40" s="11" t="s">
        <v>10</v>
      </c>
      <c r="C40" s="10">
        <v>5.9599999999999996E-4</v>
      </c>
      <c r="D40" s="12">
        <f t="shared" ref="D40:D48" si="0">ROUND(D$3*C40,0)</f>
        <v>94</v>
      </c>
      <c r="E40" s="13">
        <f t="shared" ref="E40:E48" si="1">ROUND(D40/2,0)</f>
        <v>47</v>
      </c>
      <c r="F40" s="12">
        <f t="shared" ref="F40:F48" si="2">D40-E40</f>
        <v>47</v>
      </c>
    </row>
    <row r="41" spans="1:6">
      <c r="A41" s="8"/>
      <c r="B41" s="11" t="s">
        <v>11</v>
      </c>
      <c r="C41" s="10">
        <v>4.7399999999999997E-4</v>
      </c>
      <c r="D41" s="12">
        <f t="shared" si="0"/>
        <v>75</v>
      </c>
      <c r="E41" s="13">
        <f t="shared" si="1"/>
        <v>38</v>
      </c>
      <c r="F41" s="12">
        <f t="shared" si="2"/>
        <v>37</v>
      </c>
    </row>
    <row r="42" spans="1:6">
      <c r="A42" s="8">
        <v>3</v>
      </c>
      <c r="B42" s="11" t="s">
        <v>534</v>
      </c>
      <c r="C42" s="10">
        <v>4.2366000000000001E-2</v>
      </c>
      <c r="D42" s="12">
        <f t="shared" si="0"/>
        <v>6676</v>
      </c>
      <c r="E42" s="13">
        <f t="shared" si="1"/>
        <v>3338</v>
      </c>
      <c r="F42" s="12">
        <f t="shared" si="2"/>
        <v>3338</v>
      </c>
    </row>
    <row r="43" spans="1:6">
      <c r="A43" s="8">
        <v>3</v>
      </c>
      <c r="B43" s="11" t="s">
        <v>1528</v>
      </c>
      <c r="C43" s="10">
        <v>0</v>
      </c>
      <c r="D43" s="12">
        <f t="shared" si="0"/>
        <v>0</v>
      </c>
      <c r="E43" s="13">
        <f t="shared" si="1"/>
        <v>0</v>
      </c>
      <c r="F43" s="12">
        <f t="shared" si="2"/>
        <v>0</v>
      </c>
    </row>
    <row r="44" spans="1:6">
      <c r="A44" s="8">
        <v>3</v>
      </c>
      <c r="B44" s="11" t="s">
        <v>1523</v>
      </c>
      <c r="C44" s="10">
        <v>2.43E-4</v>
      </c>
      <c r="D44" s="12">
        <f t="shared" si="0"/>
        <v>38</v>
      </c>
      <c r="E44" s="13">
        <f t="shared" si="1"/>
        <v>19</v>
      </c>
      <c r="F44" s="12">
        <f t="shared" si="2"/>
        <v>19</v>
      </c>
    </row>
    <row r="45" spans="1:6">
      <c r="A45" s="8">
        <v>3</v>
      </c>
      <c r="B45" s="11" t="s">
        <v>1524</v>
      </c>
      <c r="C45" s="10">
        <v>1.45E-4</v>
      </c>
      <c r="D45" s="12">
        <f t="shared" si="0"/>
        <v>23</v>
      </c>
      <c r="E45" s="13">
        <f t="shared" si="1"/>
        <v>12</v>
      </c>
      <c r="F45" s="12">
        <f t="shared" si="2"/>
        <v>11</v>
      </c>
    </row>
    <row r="46" spans="1:6">
      <c r="A46" s="8">
        <v>3</v>
      </c>
      <c r="B46" s="11" t="s">
        <v>1516</v>
      </c>
      <c r="C46" s="10">
        <v>7.0600000000000003E-4</v>
      </c>
      <c r="D46" s="12">
        <f t="shared" si="0"/>
        <v>111</v>
      </c>
      <c r="E46" s="13">
        <f t="shared" si="1"/>
        <v>56</v>
      </c>
      <c r="F46" s="12">
        <f t="shared" si="2"/>
        <v>55</v>
      </c>
    </row>
    <row r="47" spans="1:6">
      <c r="A47" s="8">
        <v>3</v>
      </c>
      <c r="B47" s="11" t="s">
        <v>1525</v>
      </c>
      <c r="C47" s="10">
        <v>9.6360000000000005E-3</v>
      </c>
      <c r="D47" s="12">
        <f t="shared" si="0"/>
        <v>1518</v>
      </c>
      <c r="E47" s="13">
        <f t="shared" si="1"/>
        <v>759</v>
      </c>
      <c r="F47" s="12">
        <f t="shared" si="2"/>
        <v>759</v>
      </c>
    </row>
    <row r="48" spans="1:6">
      <c r="A48" s="8">
        <v>4</v>
      </c>
      <c r="B48" s="11" t="s">
        <v>540</v>
      </c>
      <c r="C48" s="10">
        <v>0.22110099999999999</v>
      </c>
      <c r="D48" s="9">
        <f t="shared" si="0"/>
        <v>34840</v>
      </c>
      <c r="E48" s="11">
        <f t="shared" si="1"/>
        <v>17420</v>
      </c>
      <c r="F48" s="9">
        <f t="shared" si="2"/>
        <v>17420</v>
      </c>
    </row>
    <row r="49" spans="1:6">
      <c r="A49" s="8"/>
      <c r="B49" s="11" t="s">
        <v>28</v>
      </c>
      <c r="C49" s="11"/>
      <c r="D49" s="14">
        <v>0.52627299999999999</v>
      </c>
      <c r="E49" s="11"/>
      <c r="F49" s="11"/>
    </row>
    <row r="50" spans="1:6">
      <c r="A50" s="8"/>
      <c r="B50" s="11" t="s">
        <v>29</v>
      </c>
      <c r="C50" s="11"/>
      <c r="D50" s="225">
        <f>ROUND(D48*D49,0)</f>
        <v>18335</v>
      </c>
      <c r="E50" s="226">
        <f>ROUND(D50/2,0)</f>
        <v>9168</v>
      </c>
      <c r="F50" s="225">
        <f>D50-E50</f>
        <v>9167</v>
      </c>
    </row>
    <row r="51" spans="1:6">
      <c r="A51" s="8"/>
      <c r="B51" s="11" t="s">
        <v>30</v>
      </c>
      <c r="C51" s="11"/>
      <c r="D51" s="12">
        <f>+D48-D50</f>
        <v>16505</v>
      </c>
      <c r="E51" s="13">
        <f>ROUND(D51/2,0)</f>
        <v>8253</v>
      </c>
      <c r="F51" s="12">
        <f>D51-E51</f>
        <v>8252</v>
      </c>
    </row>
    <row r="52" spans="1:6">
      <c r="A52" s="8">
        <v>4</v>
      </c>
      <c r="B52" s="11" t="s">
        <v>1518</v>
      </c>
      <c r="C52" s="10">
        <v>8.5785E-2</v>
      </c>
      <c r="D52" s="9">
        <f>ROUND(D$3*C52,0)</f>
        <v>13518</v>
      </c>
      <c r="E52" s="11">
        <f>ROUND(D52/2,0)</f>
        <v>6759</v>
      </c>
      <c r="F52" s="9">
        <f>D52-E52</f>
        <v>6759</v>
      </c>
    </row>
    <row r="53" spans="1:6">
      <c r="A53" s="8"/>
      <c r="B53" s="11" t="s">
        <v>28</v>
      </c>
      <c r="C53" s="11"/>
      <c r="D53" s="14">
        <v>0.41567700000000002</v>
      </c>
      <c r="E53" s="11"/>
      <c r="F53" s="11"/>
    </row>
    <row r="54" spans="1:6">
      <c r="A54" s="8"/>
      <c r="B54" s="11" t="s">
        <v>29</v>
      </c>
      <c r="C54" s="11"/>
      <c r="D54" s="225">
        <f>ROUND(D52*D53,0)</f>
        <v>5619</v>
      </c>
      <c r="E54" s="226">
        <f>ROUND(D54/2,0)</f>
        <v>2810</v>
      </c>
      <c r="F54" s="225">
        <f>D54-E54</f>
        <v>2809</v>
      </c>
    </row>
    <row r="55" spans="1:6">
      <c r="A55" s="8"/>
      <c r="B55" s="11" t="s">
        <v>30</v>
      </c>
      <c r="C55" s="11"/>
      <c r="D55" s="12">
        <f>+D52-D54</f>
        <v>7899</v>
      </c>
      <c r="E55" s="13">
        <f>ROUND(D55/2,0)</f>
        <v>3950</v>
      </c>
      <c r="F55" s="12">
        <f>D55-E55</f>
        <v>3949</v>
      </c>
    </row>
    <row r="56" spans="1:6">
      <c r="A56" s="8">
        <v>4</v>
      </c>
      <c r="B56" s="11" t="s">
        <v>1522</v>
      </c>
      <c r="C56" s="10">
        <v>0.14685500000000001</v>
      </c>
      <c r="D56" s="9">
        <f>ROUND(D$3*C56,0)</f>
        <v>23141</v>
      </c>
      <c r="E56" s="11">
        <f>ROUND(D56/2,0)</f>
        <v>11571</v>
      </c>
      <c r="F56" s="9">
        <f>D56-E56</f>
        <v>11570</v>
      </c>
    </row>
    <row r="57" spans="1:6">
      <c r="A57" s="8"/>
      <c r="B57" s="11" t="s">
        <v>28</v>
      </c>
      <c r="C57" s="11"/>
      <c r="D57" s="14">
        <v>0.35720400000000002</v>
      </c>
      <c r="E57" s="11"/>
      <c r="F57" s="11"/>
    </row>
    <row r="58" spans="1:6">
      <c r="A58" s="8"/>
      <c r="B58" s="11" t="s">
        <v>29</v>
      </c>
      <c r="C58" s="11"/>
      <c r="D58" s="225">
        <f>ROUND(D56*D57,0)</f>
        <v>8266</v>
      </c>
      <c r="E58" s="226">
        <f>ROUND(D58/2,0)</f>
        <v>4133</v>
      </c>
      <c r="F58" s="225">
        <f>D58-E58</f>
        <v>4133</v>
      </c>
    </row>
    <row r="59" spans="1:6">
      <c r="A59" s="8"/>
      <c r="B59" s="11" t="s">
        <v>30</v>
      </c>
      <c r="C59" s="11"/>
      <c r="D59" s="12">
        <f>+D56-D58</f>
        <v>14875</v>
      </c>
      <c r="E59" s="13">
        <f>ROUND(D59/2,0)</f>
        <v>7438</v>
      </c>
      <c r="F59" s="12">
        <f>D59-E59</f>
        <v>7437</v>
      </c>
    </row>
    <row r="60" spans="1:6">
      <c r="A60" s="8">
        <v>4</v>
      </c>
      <c r="B60" s="11" t="s">
        <v>1521</v>
      </c>
      <c r="C60" s="10">
        <v>3.1350000000000002E-3</v>
      </c>
      <c r="D60" s="12">
        <f>ROUND(D$3*C60,0)</f>
        <v>494</v>
      </c>
      <c r="E60" s="13">
        <f>ROUND(D60/2,0)</f>
        <v>247</v>
      </c>
      <c r="F60" s="12">
        <f>D60-E60</f>
        <v>247</v>
      </c>
    </row>
    <row r="61" spans="1:6">
      <c r="A61" s="8">
        <v>4</v>
      </c>
      <c r="B61" s="11" t="s">
        <v>1517</v>
      </c>
      <c r="C61" s="10">
        <v>0.22375600000000001</v>
      </c>
      <c r="D61" s="9">
        <f>ROUND(D$3*C61,0)</f>
        <v>35259</v>
      </c>
      <c r="E61" s="11">
        <f>ROUND(D61/2,0)</f>
        <v>17630</v>
      </c>
      <c r="F61" s="9">
        <f>D61-E61</f>
        <v>17629</v>
      </c>
    </row>
    <row r="62" spans="1:6">
      <c r="A62" s="8"/>
      <c r="B62" s="11" t="s">
        <v>28</v>
      </c>
      <c r="C62" s="11"/>
      <c r="D62" s="14">
        <v>0.42991099999999999</v>
      </c>
      <c r="E62" s="11"/>
      <c r="F62" s="11"/>
    </row>
    <row r="63" spans="1:6">
      <c r="A63" s="8"/>
      <c r="B63" s="11" t="s">
        <v>29</v>
      </c>
      <c r="C63" s="11"/>
      <c r="D63" s="225">
        <f>ROUND(D61*D62,0)</f>
        <v>15158</v>
      </c>
      <c r="E63" s="226">
        <f>ROUND(D63/2,0)</f>
        <v>7579</v>
      </c>
      <c r="F63" s="225">
        <f>D63-E63</f>
        <v>7579</v>
      </c>
    </row>
    <row r="64" spans="1:6">
      <c r="A64" s="8"/>
      <c r="B64" s="11" t="s">
        <v>30</v>
      </c>
      <c r="C64" s="11"/>
      <c r="D64" s="12">
        <f>+D61-D63</f>
        <v>20101</v>
      </c>
      <c r="E64" s="13">
        <f>ROUND(D64/2,0)</f>
        <v>10051</v>
      </c>
      <c r="F64" s="12">
        <f>D64-E64</f>
        <v>10050</v>
      </c>
    </row>
    <row r="65" spans="1:8">
      <c r="A65" s="8">
        <v>4</v>
      </c>
      <c r="B65" s="11" t="s">
        <v>348</v>
      </c>
      <c r="C65" s="10">
        <v>4.3448000000000001E-2</v>
      </c>
      <c r="D65" s="9">
        <f>ROUND(D$3*C65,0)</f>
        <v>6846</v>
      </c>
      <c r="E65" s="11">
        <f>ROUND(D65/2,0)</f>
        <v>3423</v>
      </c>
      <c r="F65" s="9">
        <f>D65-E65</f>
        <v>3423</v>
      </c>
    </row>
    <row r="66" spans="1:8">
      <c r="A66" s="8"/>
      <c r="B66" s="11" t="s">
        <v>28</v>
      </c>
      <c r="C66" s="11"/>
      <c r="D66" s="14">
        <v>0.37737900000000002</v>
      </c>
      <c r="E66" s="11"/>
      <c r="F66" s="11"/>
    </row>
    <row r="67" spans="1:8">
      <c r="A67" s="8"/>
      <c r="B67" s="11" t="s">
        <v>29</v>
      </c>
      <c r="C67" s="11"/>
      <c r="D67" s="225">
        <f>ROUND(D65*D66,0)</f>
        <v>2584</v>
      </c>
      <c r="E67" s="226">
        <f t="shared" ref="E67:E72" si="3">ROUND(D67/2,0)</f>
        <v>1292</v>
      </c>
      <c r="F67" s="225">
        <f t="shared" ref="F67:F72" si="4">D67-E67</f>
        <v>1292</v>
      </c>
    </row>
    <row r="68" spans="1:8">
      <c r="A68" s="8"/>
      <c r="B68" s="11" t="s">
        <v>30</v>
      </c>
      <c r="C68" s="11"/>
      <c r="D68" s="12">
        <f>+D65-D67</f>
        <v>4262</v>
      </c>
      <c r="E68" s="13">
        <f t="shared" si="3"/>
        <v>2131</v>
      </c>
      <c r="F68" s="12">
        <f t="shared" si="4"/>
        <v>2131</v>
      </c>
    </row>
    <row r="69" spans="1:8">
      <c r="A69" s="8">
        <v>5</v>
      </c>
      <c r="B69" s="11" t="s">
        <v>543</v>
      </c>
      <c r="C69" s="10">
        <v>8.8719999999999997E-3</v>
      </c>
      <c r="D69" s="12">
        <f>ROUND(D$3*C69,0)</f>
        <v>1398</v>
      </c>
      <c r="E69" s="13">
        <f t="shared" si="3"/>
        <v>699</v>
      </c>
      <c r="F69" s="12">
        <f t="shared" si="4"/>
        <v>699</v>
      </c>
    </row>
    <row r="70" spans="1:8">
      <c r="A70" s="8">
        <v>5</v>
      </c>
      <c r="B70" s="11" t="s">
        <v>1519</v>
      </c>
      <c r="C70" s="10">
        <v>9.8299999999999993E-4</v>
      </c>
      <c r="D70" s="12">
        <f>ROUND(D$3*C70,0)</f>
        <v>155</v>
      </c>
      <c r="E70" s="13">
        <f t="shared" si="3"/>
        <v>78</v>
      </c>
      <c r="F70" s="12">
        <f t="shared" si="4"/>
        <v>77</v>
      </c>
    </row>
    <row r="71" spans="1:8">
      <c r="A71" s="8" t="s">
        <v>590</v>
      </c>
      <c r="B71" s="11" t="s">
        <v>1520</v>
      </c>
      <c r="C71" s="10">
        <v>4.0000000000000003E-5</v>
      </c>
      <c r="D71" s="12">
        <f>ROUND(D$3*C71,0)</f>
        <v>6</v>
      </c>
      <c r="E71" s="225">
        <f t="shared" si="3"/>
        <v>3</v>
      </c>
      <c r="F71" s="226">
        <f t="shared" si="4"/>
        <v>3</v>
      </c>
    </row>
    <row r="72" spans="1:8">
      <c r="A72" s="8">
        <v>6</v>
      </c>
      <c r="B72" s="11" t="s">
        <v>545</v>
      </c>
      <c r="C72" s="10">
        <v>5.3140000000001519E-3</v>
      </c>
      <c r="D72" s="12">
        <f>+D3-SUM(D4:D5)-SUM(D10:D48)-D52-D56-D60-D61-D65-SUM(D69:D71)</f>
        <v>839</v>
      </c>
      <c r="E72" s="13">
        <f t="shared" si="3"/>
        <v>420</v>
      </c>
      <c r="F72" s="12">
        <f t="shared" si="4"/>
        <v>419</v>
      </c>
    </row>
    <row r="73" spans="1:8">
      <c r="A73" s="8"/>
      <c r="B73" s="28" t="s">
        <v>288</v>
      </c>
      <c r="C73" s="10">
        <v>1</v>
      </c>
      <c r="D73" s="12">
        <f>+D4+SUM(D7:D47)+SUM(D50:D51)+SUM(D54:D55)+SUM(D58:D60)+SUM(D63:D64)+SUM(D67:D72)</f>
        <v>157577</v>
      </c>
      <c r="E73" s="12">
        <f>+E4+SUM(E7:E47)+SUM(E50:E51)+SUM(E54:E55)+SUM(E58:E60)+SUM(E63:E64)+SUM(E67:E72)</f>
        <v>78800</v>
      </c>
      <c r="F73" s="12">
        <f>+F4+SUM(F7:F47)+SUM(F50:F51)+SUM(F54:F55)+SUM(F58:F60)+SUM(F63:F64)+SUM(F67:F72)</f>
        <v>78777</v>
      </c>
    </row>
    <row r="74" spans="1:8">
      <c r="B74" s="18" t="s">
        <v>38</v>
      </c>
      <c r="D74" s="19">
        <f>+D4</f>
        <v>218</v>
      </c>
      <c r="E74" s="19">
        <f>+E4</f>
        <v>109</v>
      </c>
      <c r="F74" s="19">
        <f>+F4</f>
        <v>109</v>
      </c>
    </row>
    <row r="75" spans="1:8">
      <c r="B75" s="2" t="s">
        <v>39</v>
      </c>
      <c r="D75" s="19">
        <f>+D7</f>
        <v>12360</v>
      </c>
      <c r="E75" s="19">
        <f>+E7</f>
        <v>6180</v>
      </c>
      <c r="F75" s="19">
        <f>+F7</f>
        <v>6180</v>
      </c>
    </row>
    <row r="76" spans="1:8">
      <c r="B76" s="2" t="s">
        <v>40</v>
      </c>
      <c r="D76" s="19">
        <f>+D50+D54+D58+D63+D67</f>
        <v>49962</v>
      </c>
      <c r="E76" s="19">
        <f>+E50+E54+E58+E63+E67</f>
        <v>24982</v>
      </c>
      <c r="F76" s="19">
        <f>+F50+F54+F58+F63+F67</f>
        <v>24980</v>
      </c>
      <c r="H76" s="3">
        <v>1</v>
      </c>
    </row>
    <row r="77" spans="1:8">
      <c r="B77" s="18" t="s">
        <v>41</v>
      </c>
      <c r="D77" s="19">
        <f>+D73-D74-D75-D76</f>
        <v>95037</v>
      </c>
      <c r="E77" s="19">
        <f>+E73-E74-E75-E76</f>
        <v>47529</v>
      </c>
      <c r="F77" s="19">
        <f>+F73-F74-F75-F76</f>
        <v>47508</v>
      </c>
      <c r="H77" s="3">
        <v>2</v>
      </c>
    </row>
    <row r="79" spans="1:8" hidden="1">
      <c r="B79" s="3" t="s">
        <v>42</v>
      </c>
      <c r="C79" s="4">
        <v>-9.9999999984834442E-7</v>
      </c>
      <c r="D79" s="3">
        <f>+D72-ROUND(D3*C72,0)</f>
        <v>2</v>
      </c>
    </row>
  </sheetData>
  <pageMargins left="0.7" right="0.7" top="0.75" bottom="0.75" header="0.3" footer="0.3"/>
  <pageSetup scale="5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1">
    <pageSetUpPr fitToPage="1"/>
  </sheetPr>
  <dimension ref="A1:WVB71"/>
  <sheetViews>
    <sheetView topLeftCell="A33" zoomScaleNormal="100" zoomScaleSheetLayoutView="80" workbookViewId="0">
      <selection activeCell="D54" activeCellId="2" sqref="D7:F7 D50:F50 D54:F54"/>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3.57031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3.57031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3.57031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3.57031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3.57031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3.57031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3.57031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3.57031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3.57031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3.57031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3.57031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3.57031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3.57031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3.57031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3.57031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3.57031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3.57031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3.57031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3.57031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3.57031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3.57031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3.57031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3.57031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3.57031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3.57031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3.57031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3.57031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3.57031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3.57031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3.57031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3.57031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3.57031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3.57031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3.57031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3.57031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3.57031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3.57031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3.57031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3.57031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3.57031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3.57031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3.57031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3.57031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3.57031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3.57031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3.57031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3.57031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3.57031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3.57031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3.57031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3.57031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3.57031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3.57031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3.57031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3.57031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3.57031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3.57031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3.57031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3.57031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3.57031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3.57031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3.57031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3.57031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1529</v>
      </c>
    </row>
    <row r="2" spans="1:6" ht="60">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Worksheet'!$D$73</f>
        <v>129781</v>
      </c>
      <c r="E3" s="11"/>
      <c r="F3" s="11"/>
    </row>
    <row r="4" spans="1:6">
      <c r="A4" s="8">
        <v>0</v>
      </c>
      <c r="B4" s="11" t="s">
        <v>4</v>
      </c>
      <c r="C4" s="10">
        <v>1.3550000000000001E-3</v>
      </c>
      <c r="D4" s="12">
        <f>ROUND(D$3*C4,0)</f>
        <v>176</v>
      </c>
      <c r="E4" s="13">
        <f>ROUND(D4/2,0)</f>
        <v>88</v>
      </c>
      <c r="F4" s="12">
        <f>D4-E4</f>
        <v>88</v>
      </c>
    </row>
    <row r="5" spans="1:6">
      <c r="A5" s="8">
        <v>1</v>
      </c>
      <c r="B5" s="11" t="s">
        <v>1530</v>
      </c>
      <c r="C5" s="10">
        <v>0.24413299999999999</v>
      </c>
      <c r="D5" s="9">
        <f>ROUND(D$3*C5,0)</f>
        <v>31684</v>
      </c>
      <c r="E5" s="11">
        <f>ROUND(D5/2,0)</f>
        <v>15842</v>
      </c>
      <c r="F5" s="9">
        <f>D5-E5</f>
        <v>15842</v>
      </c>
    </row>
    <row r="6" spans="1:6">
      <c r="A6" s="8"/>
      <c r="B6" s="11" t="s">
        <v>6</v>
      </c>
      <c r="C6" s="11"/>
      <c r="D6" s="14">
        <v>0.180696</v>
      </c>
      <c r="E6" s="11"/>
      <c r="F6" s="11"/>
    </row>
    <row r="7" spans="1:6">
      <c r="A7" s="8"/>
      <c r="B7" s="11" t="s">
        <v>7</v>
      </c>
      <c r="C7" s="11"/>
      <c r="D7" s="225">
        <f>ROUND(D5*D6,0)</f>
        <v>5725</v>
      </c>
      <c r="E7" s="226">
        <f>ROUND(D7/2,0)</f>
        <v>2863</v>
      </c>
      <c r="F7" s="225">
        <f>D7-E7</f>
        <v>2862</v>
      </c>
    </row>
    <row r="8" spans="1:6">
      <c r="A8" s="8"/>
      <c r="B8" s="11" t="s">
        <v>8</v>
      </c>
      <c r="C8" s="11"/>
      <c r="D8" s="12">
        <f>+D5-D7</f>
        <v>25959</v>
      </c>
      <c r="E8" s="13">
        <f>ROUND(D8/2,0)</f>
        <v>12980</v>
      </c>
      <c r="F8" s="12">
        <f>D8-E8</f>
        <v>12979</v>
      </c>
    </row>
    <row r="9" spans="1:6">
      <c r="A9" s="8">
        <v>2</v>
      </c>
      <c r="B9" s="11" t="s">
        <v>1122</v>
      </c>
      <c r="C9" s="11"/>
      <c r="D9" s="9"/>
      <c r="E9" s="11"/>
      <c r="F9" s="11"/>
    </row>
    <row r="10" spans="1:6">
      <c r="A10" s="8"/>
      <c r="B10" s="11" t="s">
        <v>10</v>
      </c>
      <c r="C10" s="10">
        <v>1.067E-3</v>
      </c>
      <c r="D10" s="12">
        <f>ROUND(D$3*C10,0)</f>
        <v>138</v>
      </c>
      <c r="E10" s="13">
        <f>ROUND(D10/2,0)</f>
        <v>69</v>
      </c>
      <c r="F10" s="12">
        <f>D10-E10</f>
        <v>69</v>
      </c>
    </row>
    <row r="11" spans="1:6">
      <c r="A11" s="8"/>
      <c r="B11" s="11" t="s">
        <v>11</v>
      </c>
      <c r="C11" s="10">
        <v>1.018E-3</v>
      </c>
      <c r="D11" s="12">
        <f>ROUND(D$3*C11,0)</f>
        <v>132</v>
      </c>
      <c r="E11" s="13">
        <f>ROUND(D11/2,0)</f>
        <v>66</v>
      </c>
      <c r="F11" s="12">
        <f>D11-E11</f>
        <v>66</v>
      </c>
    </row>
    <row r="12" spans="1:6">
      <c r="A12" s="8">
        <v>2</v>
      </c>
      <c r="B12" s="11" t="s">
        <v>107</v>
      </c>
      <c r="C12" s="11"/>
      <c r="D12" s="9"/>
      <c r="E12" s="11"/>
      <c r="F12" s="11"/>
    </row>
    <row r="13" spans="1:6">
      <c r="A13" s="8"/>
      <c r="B13" s="11" t="s">
        <v>10</v>
      </c>
      <c r="C13" s="10">
        <v>1.201E-3</v>
      </c>
      <c r="D13" s="12">
        <f>ROUND(D$3*C13,0)</f>
        <v>156</v>
      </c>
      <c r="E13" s="13">
        <f>ROUND(D13/2,0)</f>
        <v>78</v>
      </c>
      <c r="F13" s="12">
        <f>D13-E13</f>
        <v>78</v>
      </c>
    </row>
    <row r="14" spans="1:6">
      <c r="A14" s="8"/>
      <c r="B14" s="11" t="s">
        <v>11</v>
      </c>
      <c r="C14" s="10">
        <v>7.3700000000000002E-4</v>
      </c>
      <c r="D14" s="12">
        <f>ROUND(D$3*C14,0)</f>
        <v>96</v>
      </c>
      <c r="E14" s="13">
        <f>ROUND(D14/2,0)</f>
        <v>48</v>
      </c>
      <c r="F14" s="12">
        <f>D14-E14</f>
        <v>48</v>
      </c>
    </row>
    <row r="15" spans="1:6">
      <c r="A15" s="8">
        <v>2</v>
      </c>
      <c r="B15" s="11" t="s">
        <v>49</v>
      </c>
      <c r="C15" s="11"/>
      <c r="D15" s="9"/>
      <c r="E15" s="11"/>
      <c r="F15" s="11"/>
    </row>
    <row r="16" spans="1:6">
      <c r="A16" s="8"/>
      <c r="B16" s="11" t="s">
        <v>10</v>
      </c>
      <c r="C16" s="10">
        <v>5.9000000000000003E-4</v>
      </c>
      <c r="D16" s="12">
        <f>ROUND(D$3*C16,0)</f>
        <v>77</v>
      </c>
      <c r="E16" s="13">
        <f>ROUND(D16/2,0)</f>
        <v>39</v>
      </c>
      <c r="F16" s="12">
        <f>D16-E16</f>
        <v>38</v>
      </c>
    </row>
    <row r="17" spans="1:6">
      <c r="A17" s="8"/>
      <c r="B17" s="11" t="s">
        <v>11</v>
      </c>
      <c r="C17" s="10">
        <v>3.4400000000000001E-4</v>
      </c>
      <c r="D17" s="12">
        <f>ROUND(D$3*C17,0)</f>
        <v>45</v>
      </c>
      <c r="E17" s="13">
        <f>ROUND(D17/2,0)</f>
        <v>23</v>
      </c>
      <c r="F17" s="12">
        <f>D17-E17</f>
        <v>22</v>
      </c>
    </row>
    <row r="18" spans="1:6">
      <c r="A18" s="8">
        <v>2</v>
      </c>
      <c r="B18" s="11" t="s">
        <v>203</v>
      </c>
      <c r="C18" s="11"/>
      <c r="D18" s="9"/>
      <c r="E18" s="11"/>
      <c r="F18" s="11"/>
    </row>
    <row r="19" spans="1:6">
      <c r="A19" s="8"/>
      <c r="B19" s="11" t="s">
        <v>10</v>
      </c>
      <c r="C19" s="10">
        <v>6.7400000000000001E-4</v>
      </c>
      <c r="D19" s="12">
        <f>ROUND(D$3*C19,0)</f>
        <v>87</v>
      </c>
      <c r="E19" s="13">
        <f>ROUND(D19/2,0)</f>
        <v>44</v>
      </c>
      <c r="F19" s="12">
        <f>D19-E19</f>
        <v>43</v>
      </c>
    </row>
    <row r="20" spans="1:6">
      <c r="A20" s="8"/>
      <c r="B20" s="11" t="s">
        <v>11</v>
      </c>
      <c r="C20" s="10">
        <v>4.1999999999999998E-5</v>
      </c>
      <c r="D20" s="12">
        <f>ROUND(D$3*C20,0)</f>
        <v>5</v>
      </c>
      <c r="E20" s="13">
        <f>ROUND(D20/2,0)</f>
        <v>3</v>
      </c>
      <c r="F20" s="12">
        <f>D20-E20</f>
        <v>2</v>
      </c>
    </row>
    <row r="21" spans="1:6">
      <c r="A21" s="8">
        <v>2</v>
      </c>
      <c r="B21" s="11" t="s">
        <v>482</v>
      </c>
      <c r="C21" s="11"/>
      <c r="D21" s="9"/>
      <c r="E21" s="11"/>
      <c r="F21" s="11"/>
    </row>
    <row r="22" spans="1:6">
      <c r="A22" s="8"/>
      <c r="B22" s="11" t="s">
        <v>10</v>
      </c>
      <c r="C22" s="10">
        <v>3.5799999999999997E-4</v>
      </c>
      <c r="D22" s="12">
        <f>ROUND(D$3*C22,0)</f>
        <v>46</v>
      </c>
      <c r="E22" s="13">
        <f>ROUND(D22/2,0)</f>
        <v>23</v>
      </c>
      <c r="F22" s="12">
        <f>D22-E22</f>
        <v>23</v>
      </c>
    </row>
    <row r="23" spans="1:6">
      <c r="A23" s="8"/>
      <c r="B23" s="11" t="s">
        <v>11</v>
      </c>
      <c r="C23" s="10">
        <v>2.81E-4</v>
      </c>
      <c r="D23" s="12">
        <f>ROUND(D$3*C23,0)</f>
        <v>36</v>
      </c>
      <c r="E23" s="13">
        <f>ROUND(D23/2,0)</f>
        <v>18</v>
      </c>
      <c r="F23" s="12">
        <f>D23-E23</f>
        <v>18</v>
      </c>
    </row>
    <row r="24" spans="1:6">
      <c r="A24" s="8">
        <v>2</v>
      </c>
      <c r="B24" s="11" t="s">
        <v>252</v>
      </c>
      <c r="C24" s="11"/>
      <c r="D24" s="9"/>
      <c r="E24" s="11"/>
      <c r="F24" s="11"/>
    </row>
    <row r="25" spans="1:6">
      <c r="A25" s="8"/>
      <c r="B25" s="11" t="s">
        <v>10</v>
      </c>
      <c r="C25" s="10">
        <v>8.7799999999999998E-4</v>
      </c>
      <c r="D25" s="12">
        <f>ROUND(D$3*C25,0)</f>
        <v>114</v>
      </c>
      <c r="E25" s="13">
        <f>ROUND(D25/2,0)</f>
        <v>57</v>
      </c>
      <c r="F25" s="12">
        <f>D25-E25</f>
        <v>57</v>
      </c>
    </row>
    <row r="26" spans="1:6">
      <c r="A26" s="8"/>
      <c r="B26" s="11" t="s">
        <v>11</v>
      </c>
      <c r="C26" s="10">
        <v>7.7999999999999999E-4</v>
      </c>
      <c r="D26" s="12">
        <f>ROUND(D$3*C26,0)</f>
        <v>101</v>
      </c>
      <c r="E26" s="13">
        <f>ROUND(D26/2,0)</f>
        <v>51</v>
      </c>
      <c r="F26" s="12">
        <f>D26-E26</f>
        <v>50</v>
      </c>
    </row>
    <row r="27" spans="1:6">
      <c r="A27" s="8">
        <v>2</v>
      </c>
      <c r="B27" s="11" t="s">
        <v>114</v>
      </c>
      <c r="C27" s="11"/>
      <c r="D27" s="9"/>
      <c r="E27" s="11"/>
      <c r="F27" s="11"/>
    </row>
    <row r="28" spans="1:6">
      <c r="A28" s="8"/>
      <c r="B28" s="11" t="s">
        <v>10</v>
      </c>
      <c r="C28" s="10">
        <v>9.9700000000000006E-4</v>
      </c>
      <c r="D28" s="12">
        <f>ROUND(D$3*C28,0)</f>
        <v>129</v>
      </c>
      <c r="E28" s="13">
        <f>ROUND(D28/2,0)</f>
        <v>65</v>
      </c>
      <c r="F28" s="12">
        <f>D28-E28</f>
        <v>64</v>
      </c>
    </row>
    <row r="29" spans="1:6">
      <c r="A29" s="8"/>
      <c r="B29" s="11" t="s">
        <v>11</v>
      </c>
      <c r="C29" s="10">
        <v>3.2299999999999999E-4</v>
      </c>
      <c r="D29" s="12">
        <f>ROUND(D$3*C29,0)</f>
        <v>42</v>
      </c>
      <c r="E29" s="13">
        <f>ROUND(D29/2,0)</f>
        <v>21</v>
      </c>
      <c r="F29" s="12">
        <f>D29-E29</f>
        <v>21</v>
      </c>
    </row>
    <row r="30" spans="1:6">
      <c r="A30" s="8">
        <v>2</v>
      </c>
      <c r="B30" s="11" t="s">
        <v>1257</v>
      </c>
      <c r="C30" s="11"/>
      <c r="D30" s="9"/>
      <c r="E30" s="11"/>
      <c r="F30" s="11"/>
    </row>
    <row r="31" spans="1:6">
      <c r="A31" s="8"/>
      <c r="B31" s="11" t="s">
        <v>10</v>
      </c>
      <c r="C31" s="10">
        <v>1.7489999999999999E-3</v>
      </c>
      <c r="D31" s="12">
        <f>ROUND(D$3*C31,0)</f>
        <v>227</v>
      </c>
      <c r="E31" s="13">
        <f>ROUND(D31/2,0)</f>
        <v>114</v>
      </c>
      <c r="F31" s="12">
        <f>D31-E31</f>
        <v>113</v>
      </c>
    </row>
    <row r="32" spans="1:6">
      <c r="A32" s="8"/>
      <c r="B32" s="11" t="s">
        <v>11</v>
      </c>
      <c r="C32" s="10">
        <v>1.9000000000000001E-4</v>
      </c>
      <c r="D32" s="12">
        <f>ROUND(D$3*C32,0)</f>
        <v>25</v>
      </c>
      <c r="E32" s="13">
        <f>ROUND(D32/2,0)</f>
        <v>13</v>
      </c>
      <c r="F32" s="12">
        <f>D32-E32</f>
        <v>12</v>
      </c>
    </row>
    <row r="33" spans="1:6">
      <c r="A33" s="8">
        <v>2</v>
      </c>
      <c r="B33" s="11" t="s">
        <v>1531</v>
      </c>
      <c r="C33" s="11"/>
      <c r="D33" s="9"/>
      <c r="E33" s="11"/>
      <c r="F33" s="11"/>
    </row>
    <row r="34" spans="1:6">
      <c r="A34" s="8"/>
      <c r="B34" s="11" t="s">
        <v>10</v>
      </c>
      <c r="C34" s="10">
        <v>2.1069999999999999E-3</v>
      </c>
      <c r="D34" s="12">
        <f>ROUND(D$3*C34,0)</f>
        <v>273</v>
      </c>
      <c r="E34" s="13">
        <f>ROUND(D34/2,0)</f>
        <v>137</v>
      </c>
      <c r="F34" s="12">
        <f>D34-E34</f>
        <v>136</v>
      </c>
    </row>
    <row r="35" spans="1:6">
      <c r="A35" s="8"/>
      <c r="B35" s="11" t="s">
        <v>11</v>
      </c>
      <c r="C35" s="10">
        <v>7.4399999999999998E-4</v>
      </c>
      <c r="D35" s="12">
        <f>ROUND(D$3*C35,0)</f>
        <v>97</v>
      </c>
      <c r="E35" s="13">
        <f>ROUND(D35/2,0)</f>
        <v>49</v>
      </c>
      <c r="F35" s="12">
        <f>D35-E35</f>
        <v>48</v>
      </c>
    </row>
    <row r="36" spans="1:6">
      <c r="A36" s="8">
        <v>2</v>
      </c>
      <c r="B36" s="11" t="s">
        <v>20</v>
      </c>
      <c r="C36" s="11"/>
      <c r="D36" s="9"/>
      <c r="E36" s="11"/>
      <c r="F36" s="11"/>
    </row>
    <row r="37" spans="1:6">
      <c r="A37" s="8"/>
      <c r="B37" s="11" t="s">
        <v>10</v>
      </c>
      <c r="C37" s="10">
        <v>5.5500000000000005E-4</v>
      </c>
      <c r="D37" s="12">
        <f>ROUND(D$3*C37,0)</f>
        <v>72</v>
      </c>
      <c r="E37" s="13">
        <f>ROUND(D37/2,0)</f>
        <v>36</v>
      </c>
      <c r="F37" s="12">
        <f>D37-E37</f>
        <v>36</v>
      </c>
    </row>
    <row r="38" spans="1:6">
      <c r="A38" s="8"/>
      <c r="B38" s="11" t="s">
        <v>11</v>
      </c>
      <c r="C38" s="10">
        <v>1.54E-4</v>
      </c>
      <c r="D38" s="12">
        <f>ROUND(D$3*C38,0)</f>
        <v>20</v>
      </c>
      <c r="E38" s="13">
        <f>ROUND(D38/2,0)</f>
        <v>10</v>
      </c>
      <c r="F38" s="12">
        <f>D38-E38</f>
        <v>10</v>
      </c>
    </row>
    <row r="39" spans="1:6">
      <c r="A39" s="8">
        <v>2</v>
      </c>
      <c r="B39" s="11" t="s">
        <v>840</v>
      </c>
      <c r="C39" s="11"/>
      <c r="D39" s="9"/>
      <c r="E39" s="11"/>
      <c r="F39" s="11"/>
    </row>
    <row r="40" spans="1:6">
      <c r="A40" s="8"/>
      <c r="B40" s="11" t="s">
        <v>10</v>
      </c>
      <c r="C40" s="10">
        <v>4.8500000000000003E-4</v>
      </c>
      <c r="D40" s="12">
        <f>ROUND(D$3*C40,0)</f>
        <v>63</v>
      </c>
      <c r="E40" s="13">
        <f>ROUND(D40/2,0)</f>
        <v>32</v>
      </c>
      <c r="F40" s="12">
        <f>D40-E40</f>
        <v>31</v>
      </c>
    </row>
    <row r="41" spans="1:6">
      <c r="A41" s="8"/>
      <c r="B41" s="11" t="s">
        <v>11</v>
      </c>
      <c r="C41" s="10">
        <v>2.81E-4</v>
      </c>
      <c r="D41" s="12">
        <f>ROUND(D$3*C41,0)</f>
        <v>36</v>
      </c>
      <c r="E41" s="13">
        <f>ROUND(D41/2,0)</f>
        <v>18</v>
      </c>
      <c r="F41" s="12">
        <f>D41-E41</f>
        <v>18</v>
      </c>
    </row>
    <row r="42" spans="1:6">
      <c r="A42" s="8">
        <v>2</v>
      </c>
      <c r="B42" s="11" t="s">
        <v>22</v>
      </c>
      <c r="C42" s="11"/>
      <c r="D42" s="9"/>
      <c r="E42" s="11"/>
      <c r="F42" s="11"/>
    </row>
    <row r="43" spans="1:6">
      <c r="A43" s="8"/>
      <c r="B43" s="11" t="s">
        <v>10</v>
      </c>
      <c r="C43" s="10">
        <v>7.1599999999999995E-4</v>
      </c>
      <c r="D43" s="12">
        <f t="shared" ref="D43:D48" si="0">ROUND(D$3*C43,0)</f>
        <v>93</v>
      </c>
      <c r="E43" s="13">
        <f t="shared" ref="E43:E48" si="1">ROUND(D43/2,0)</f>
        <v>47</v>
      </c>
      <c r="F43" s="12">
        <f t="shared" ref="F43:F48" si="2">D43-E43</f>
        <v>46</v>
      </c>
    </row>
    <row r="44" spans="1:6">
      <c r="A44" s="8"/>
      <c r="B44" s="11" t="s">
        <v>11</v>
      </c>
      <c r="C44" s="10">
        <v>5.0600000000000005E-4</v>
      </c>
      <c r="D44" s="12">
        <f t="shared" si="0"/>
        <v>66</v>
      </c>
      <c r="E44" s="13">
        <f t="shared" si="1"/>
        <v>33</v>
      </c>
      <c r="F44" s="12">
        <f t="shared" si="2"/>
        <v>33</v>
      </c>
    </row>
    <row r="45" spans="1:6">
      <c r="A45" s="8">
        <v>3</v>
      </c>
      <c r="B45" s="11" t="s">
        <v>1532</v>
      </c>
      <c r="C45" s="10">
        <v>3.434E-3</v>
      </c>
      <c r="D45" s="12">
        <f t="shared" si="0"/>
        <v>446</v>
      </c>
      <c r="E45" s="13">
        <f t="shared" si="1"/>
        <v>223</v>
      </c>
      <c r="F45" s="12">
        <f t="shared" si="2"/>
        <v>223</v>
      </c>
    </row>
    <row r="46" spans="1:6">
      <c r="A46" s="8">
        <v>3</v>
      </c>
      <c r="B46" s="11" t="s">
        <v>485</v>
      </c>
      <c r="C46" s="10">
        <v>0</v>
      </c>
      <c r="D46" s="12">
        <f t="shared" si="0"/>
        <v>0</v>
      </c>
      <c r="E46" s="13">
        <f t="shared" si="1"/>
        <v>0</v>
      </c>
      <c r="F46" s="12">
        <f t="shared" si="2"/>
        <v>0</v>
      </c>
    </row>
    <row r="47" spans="1:6">
      <c r="A47" s="8">
        <v>3</v>
      </c>
      <c r="B47" s="11" t="s">
        <v>1533</v>
      </c>
      <c r="C47" s="10">
        <v>3.6953E-2</v>
      </c>
      <c r="D47" s="12">
        <f t="shared" si="0"/>
        <v>4796</v>
      </c>
      <c r="E47" s="13">
        <f t="shared" si="1"/>
        <v>2398</v>
      </c>
      <c r="F47" s="12">
        <f t="shared" si="2"/>
        <v>2398</v>
      </c>
    </row>
    <row r="48" spans="1:6">
      <c r="A48" s="8">
        <v>4</v>
      </c>
      <c r="B48" s="11" t="s">
        <v>763</v>
      </c>
      <c r="C48" s="10">
        <v>2.3968E-2</v>
      </c>
      <c r="D48" s="9">
        <f t="shared" si="0"/>
        <v>3111</v>
      </c>
      <c r="E48" s="11">
        <f t="shared" si="1"/>
        <v>1556</v>
      </c>
      <c r="F48" s="9">
        <f t="shared" si="2"/>
        <v>1555</v>
      </c>
    </row>
    <row r="49" spans="1:8">
      <c r="A49" s="8"/>
      <c r="B49" s="11" t="s">
        <v>28</v>
      </c>
      <c r="C49" s="11"/>
      <c r="D49" s="14">
        <v>0.41226600000000002</v>
      </c>
      <c r="E49" s="11"/>
      <c r="F49" s="11"/>
    </row>
    <row r="50" spans="1:8">
      <c r="A50" s="8"/>
      <c r="B50" s="11" t="s">
        <v>29</v>
      </c>
      <c r="C50" s="11"/>
      <c r="D50" s="225">
        <f>ROUND(D48*D49,0)</f>
        <v>1283</v>
      </c>
      <c r="E50" s="226">
        <f>ROUND(D50/2,0)</f>
        <v>642</v>
      </c>
      <c r="F50" s="225">
        <f>D50-E50</f>
        <v>641</v>
      </c>
    </row>
    <row r="51" spans="1:8">
      <c r="A51" s="8"/>
      <c r="B51" s="11" t="s">
        <v>30</v>
      </c>
      <c r="C51" s="11"/>
      <c r="D51" s="12">
        <f>+D48-D50</f>
        <v>1828</v>
      </c>
      <c r="E51" s="13">
        <f>ROUND(D51/2,0)</f>
        <v>914</v>
      </c>
      <c r="F51" s="12">
        <f>D51-E51</f>
        <v>914</v>
      </c>
    </row>
    <row r="52" spans="1:8">
      <c r="A52" s="8">
        <v>4</v>
      </c>
      <c r="B52" s="11" t="s">
        <v>1534</v>
      </c>
      <c r="C52" s="10">
        <v>0.67035400000000001</v>
      </c>
      <c r="D52" s="9">
        <f>ROUND(D$3*C52,0)</f>
        <v>86999</v>
      </c>
      <c r="E52" s="11">
        <f>ROUND(D52/2,0)</f>
        <v>43500</v>
      </c>
      <c r="F52" s="9">
        <f>D52-E52</f>
        <v>43499</v>
      </c>
    </row>
    <row r="53" spans="1:8">
      <c r="A53" s="8"/>
      <c r="B53" s="11" t="s">
        <v>28</v>
      </c>
      <c r="C53" s="11"/>
      <c r="D53" s="14">
        <v>0.51127999999999996</v>
      </c>
      <c r="E53" s="11"/>
      <c r="F53" s="11"/>
    </row>
    <row r="54" spans="1:8">
      <c r="A54" s="8"/>
      <c r="B54" s="11" t="s">
        <v>29</v>
      </c>
      <c r="C54" s="11"/>
      <c r="D54" s="225">
        <f>ROUND(D52*D53,0)</f>
        <v>44481</v>
      </c>
      <c r="E54" s="226">
        <f>ROUND(D54/2,0)</f>
        <v>22241</v>
      </c>
      <c r="F54" s="225">
        <f>D54-E54</f>
        <v>22240</v>
      </c>
    </row>
    <row r="55" spans="1:8">
      <c r="A55" s="8"/>
      <c r="B55" s="11" t="s">
        <v>30</v>
      </c>
      <c r="C55" s="11"/>
      <c r="D55" s="12">
        <f>+D52-D54</f>
        <v>42518</v>
      </c>
      <c r="E55" s="13">
        <f>ROUND(D55/2,0)</f>
        <v>21259</v>
      </c>
      <c r="F55" s="12">
        <f>D55-E55</f>
        <v>21259</v>
      </c>
    </row>
    <row r="56" spans="1:8">
      <c r="A56" s="8">
        <v>5</v>
      </c>
      <c r="B56" s="11" t="s">
        <v>1535</v>
      </c>
      <c r="C56" s="10">
        <v>6.3E-5</v>
      </c>
      <c r="D56" s="12">
        <f>ROUND(D$3*C56,0)</f>
        <v>8</v>
      </c>
      <c r="E56" s="13">
        <f>ROUND(D56/2,0)</f>
        <v>4</v>
      </c>
      <c r="F56" s="12">
        <f>D56-E56</f>
        <v>4</v>
      </c>
    </row>
    <row r="57" spans="1:8">
      <c r="A57" s="8">
        <v>5</v>
      </c>
      <c r="B57" s="11" t="s">
        <v>1536</v>
      </c>
      <c r="C57" s="10">
        <v>2.9629999999999379E-3</v>
      </c>
      <c r="D57" s="12">
        <f>+D3-SUM(D4:D5)-SUM(D10:D48)-D52-D56</f>
        <v>385</v>
      </c>
      <c r="E57" s="13">
        <f>ROUND(D57/2,0)</f>
        <v>193</v>
      </c>
      <c r="F57" s="12">
        <f>D57-E57</f>
        <v>192</v>
      </c>
    </row>
    <row r="58" spans="1:8">
      <c r="A58" s="8">
        <v>6</v>
      </c>
      <c r="B58" s="11" t="s">
        <v>488</v>
      </c>
      <c r="C58" s="10">
        <v>0</v>
      </c>
      <c r="D58" s="12">
        <f>ROUND(D$3*C58,0)</f>
        <v>0</v>
      </c>
      <c r="E58" s="13">
        <f>ROUND(D58/2,0)</f>
        <v>0</v>
      </c>
      <c r="F58" s="12">
        <f>D58-E58</f>
        <v>0</v>
      </c>
    </row>
    <row r="59" spans="1:8">
      <c r="A59" s="8"/>
      <c r="B59" s="28" t="s">
        <v>288</v>
      </c>
      <c r="C59" s="10">
        <v>1</v>
      </c>
      <c r="D59" s="12">
        <f>+D4+SUM(D7:D47)+SUM(D50:D51)+SUM(D54:D58)</f>
        <v>129781</v>
      </c>
      <c r="E59" s="12">
        <f>+E4+SUM(E7:E47)+SUM(E50:E51)+SUM(E54:E58)</f>
        <v>64899</v>
      </c>
      <c r="F59" s="12">
        <f>+F4+SUM(F7:F47)+SUM(F50:F51)+SUM(F54:F58)</f>
        <v>64882</v>
      </c>
    </row>
    <row r="60" spans="1:8">
      <c r="B60" s="18" t="s">
        <v>38</v>
      </c>
      <c r="D60" s="19">
        <f>+D4</f>
        <v>176</v>
      </c>
      <c r="E60" s="19">
        <f>+E4</f>
        <v>88</v>
      </c>
      <c r="F60" s="19">
        <f>+F4</f>
        <v>88</v>
      </c>
    </row>
    <row r="61" spans="1:8">
      <c r="B61" s="2" t="s">
        <v>39</v>
      </c>
      <c r="D61" s="19">
        <f>+D7</f>
        <v>5725</v>
      </c>
      <c r="E61" s="19">
        <f>+E7</f>
        <v>2863</v>
      </c>
      <c r="F61" s="19">
        <f>+F7</f>
        <v>2862</v>
      </c>
    </row>
    <row r="62" spans="1:8">
      <c r="B62" s="2" t="s">
        <v>40</v>
      </c>
      <c r="D62" s="19">
        <f>+D50+D54</f>
        <v>45764</v>
      </c>
      <c r="E62" s="19">
        <f>+E50+E54</f>
        <v>22883</v>
      </c>
      <c r="F62" s="19">
        <f>+F50+F54</f>
        <v>22881</v>
      </c>
      <c r="H62" s="3">
        <v>1</v>
      </c>
    </row>
    <row r="63" spans="1:8">
      <c r="B63" s="18" t="s">
        <v>41</v>
      </c>
      <c r="D63" s="19">
        <f>+D59-D60-D61-D62</f>
        <v>78116</v>
      </c>
      <c r="E63" s="19">
        <f>+E59-E60-E61-E62</f>
        <v>39065</v>
      </c>
      <c r="F63" s="19">
        <f>+F59-F60-F61-F62</f>
        <v>39051</v>
      </c>
      <c r="H63" s="3">
        <v>2</v>
      </c>
    </row>
    <row r="65" spans="1:4" hidden="1">
      <c r="B65" s="3" t="s">
        <v>42</v>
      </c>
      <c r="C65" s="4">
        <v>-1.0000000000621491E-6</v>
      </c>
      <c r="D65" s="3">
        <f>+D57-ROUND(D3*C57,0)</f>
        <v>0</v>
      </c>
    </row>
    <row r="71" spans="1:4">
      <c r="A71" s="1" t="s">
        <v>590</v>
      </c>
    </row>
  </sheetData>
  <pageMargins left="0.7" right="0.7" top="0.75" bottom="0.75" header="0.3" footer="0.3"/>
  <pageSetup scale="64"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2">
    <pageSetUpPr fitToPage="1"/>
  </sheetPr>
  <dimension ref="A1:WVB95"/>
  <sheetViews>
    <sheetView topLeftCell="A58" zoomScaleNormal="100" zoomScaleSheetLayoutView="80" workbookViewId="0">
      <selection activeCell="D79" activeCellId="6" sqref="D7:F7 D59:F59 D63:F63 D67:F67 D71:F71 D75:F75 D79:F79"/>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3.8554687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3.8554687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3.8554687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3.8554687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3.8554687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3.8554687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3.8554687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3.8554687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3.8554687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3.8554687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3.8554687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3.8554687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3.8554687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3.8554687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3.8554687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3.8554687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3.8554687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3.8554687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3.8554687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3.8554687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3.8554687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3.8554687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3.8554687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3.8554687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3.8554687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3.8554687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3.8554687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3.8554687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3.8554687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3.8554687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3.8554687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3.8554687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3.8554687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3.8554687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3.8554687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3.8554687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3.8554687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3.8554687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3.8554687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3.8554687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3.8554687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3.8554687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3.8554687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3.8554687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3.8554687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3.8554687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3.8554687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3.8554687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3.8554687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3.8554687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3.8554687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3.8554687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3.8554687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3.8554687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3.8554687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3.8554687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3.8554687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3.8554687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3.8554687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3.8554687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3.8554687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3.8554687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3.8554687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1537</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Worksheet'!$D$74</f>
        <v>3345317</v>
      </c>
      <c r="E3" s="11"/>
      <c r="F3" s="11"/>
    </row>
    <row r="4" spans="1:6">
      <c r="A4" s="8">
        <v>0</v>
      </c>
      <c r="B4" s="11" t="s">
        <v>4</v>
      </c>
      <c r="C4" s="10">
        <v>6.6399999999999999E-4</v>
      </c>
      <c r="D4" s="12">
        <f>ROUND(D$3*C4,0)</f>
        <v>2221</v>
      </c>
      <c r="E4" s="13">
        <f>ROUND(D4/2,0)</f>
        <v>1111</v>
      </c>
      <c r="F4" s="12">
        <f>D4-E4</f>
        <v>1110</v>
      </c>
    </row>
    <row r="5" spans="1:6">
      <c r="A5" s="8">
        <v>1</v>
      </c>
      <c r="B5" s="11" t="s">
        <v>1538</v>
      </c>
      <c r="C5" s="10">
        <v>0.20678099999999999</v>
      </c>
      <c r="D5" s="9">
        <f>ROUND(D$3*C5,0)</f>
        <v>691748</v>
      </c>
      <c r="E5" s="11">
        <f>ROUND(D5/2,0)</f>
        <v>345874</v>
      </c>
      <c r="F5" s="9">
        <f>D5-E5</f>
        <v>345874</v>
      </c>
    </row>
    <row r="6" spans="1:6">
      <c r="A6" s="8"/>
      <c r="B6" s="11" t="s">
        <v>6</v>
      </c>
      <c r="C6" s="11"/>
      <c r="D6" s="14">
        <v>0.443519</v>
      </c>
      <c r="E6" s="11"/>
      <c r="F6" s="11"/>
    </row>
    <row r="7" spans="1:6">
      <c r="A7" s="8"/>
      <c r="B7" s="11" t="s">
        <v>7</v>
      </c>
      <c r="C7" s="11"/>
      <c r="D7" s="225">
        <f>ROUND(D5*D6,0)</f>
        <v>306803</v>
      </c>
      <c r="E7" s="226">
        <f>ROUND(D7/2,0)</f>
        <v>153402</v>
      </c>
      <c r="F7" s="225">
        <f>D7-E7</f>
        <v>153401</v>
      </c>
    </row>
    <row r="8" spans="1:6">
      <c r="A8" s="8"/>
      <c r="B8" s="11" t="s">
        <v>8</v>
      </c>
      <c r="C8" s="11"/>
      <c r="D8" s="12">
        <f>+D5-D7</f>
        <v>384945</v>
      </c>
      <c r="E8" s="13">
        <f>ROUND(D8/2,0)</f>
        <v>192473</v>
      </c>
      <c r="F8" s="12">
        <f>D8-E8</f>
        <v>192472</v>
      </c>
    </row>
    <row r="9" spans="1:6">
      <c r="A9" s="8">
        <v>2</v>
      </c>
      <c r="B9" s="11" t="s">
        <v>1539</v>
      </c>
      <c r="C9" s="11"/>
      <c r="D9" s="9"/>
      <c r="E9" s="11"/>
      <c r="F9" s="11"/>
    </row>
    <row r="10" spans="1:6">
      <c r="A10" s="8"/>
      <c r="B10" s="11" t="s">
        <v>10</v>
      </c>
      <c r="C10" s="10">
        <v>9.5299999999999996E-4</v>
      </c>
      <c r="D10" s="12">
        <f>ROUND(D$3*C10,0)</f>
        <v>3188</v>
      </c>
      <c r="E10" s="13">
        <f>ROUND(D10/2,0)</f>
        <v>1594</v>
      </c>
      <c r="F10" s="12">
        <f>D10-E10</f>
        <v>1594</v>
      </c>
    </row>
    <row r="11" spans="1:6">
      <c r="A11" s="8"/>
      <c r="B11" s="11" t="s">
        <v>11</v>
      </c>
      <c r="C11" s="10">
        <v>5.1699999999999999E-4</v>
      </c>
      <c r="D11" s="12">
        <f>ROUND(D$3*C11,0)</f>
        <v>1730</v>
      </c>
      <c r="E11" s="13">
        <f>ROUND(D11/2,0)</f>
        <v>865</v>
      </c>
      <c r="F11" s="12">
        <f>D11-E11</f>
        <v>865</v>
      </c>
    </row>
    <row r="12" spans="1:6">
      <c r="A12" s="8">
        <v>2</v>
      </c>
      <c r="B12" s="11" t="s">
        <v>81</v>
      </c>
      <c r="C12" s="11"/>
      <c r="D12" s="9"/>
      <c r="E12" s="11"/>
      <c r="F12" s="11"/>
    </row>
    <row r="13" spans="1:6">
      <c r="A13" s="8"/>
      <c r="B13" s="11" t="s">
        <v>10</v>
      </c>
      <c r="C13" s="10">
        <v>3.4E-5</v>
      </c>
      <c r="D13" s="12">
        <f>ROUND(D$3*C13,0)</f>
        <v>114</v>
      </c>
      <c r="E13" s="13">
        <f>ROUND(D13/2,0)</f>
        <v>57</v>
      </c>
      <c r="F13" s="12">
        <f>D13-E13</f>
        <v>57</v>
      </c>
    </row>
    <row r="14" spans="1:6">
      <c r="A14" s="8"/>
      <c r="B14" s="11" t="s">
        <v>11</v>
      </c>
      <c r="C14" s="10">
        <v>4.8999999999999998E-5</v>
      </c>
      <c r="D14" s="12">
        <f>ROUND(D$3*C14,0)</f>
        <v>164</v>
      </c>
      <c r="E14" s="13">
        <f>ROUND(D14/2,0)</f>
        <v>82</v>
      </c>
      <c r="F14" s="12">
        <f>D14-E14</f>
        <v>82</v>
      </c>
    </row>
    <row r="15" spans="1:6">
      <c r="A15" s="8">
        <v>2</v>
      </c>
      <c r="B15" s="11" t="s">
        <v>85</v>
      </c>
      <c r="C15" s="11"/>
      <c r="D15" s="9"/>
      <c r="E15" s="11"/>
      <c r="F15" s="11"/>
    </row>
    <row r="16" spans="1:6">
      <c r="A16" s="8"/>
      <c r="B16" s="11" t="s">
        <v>10</v>
      </c>
      <c r="C16" s="10">
        <v>2.483E-3</v>
      </c>
      <c r="D16" s="12">
        <f>ROUND(D$3*C16,0)</f>
        <v>8306</v>
      </c>
      <c r="E16" s="13">
        <f>ROUND(D16/2,0)</f>
        <v>4153</v>
      </c>
      <c r="F16" s="12">
        <f>D16-E16</f>
        <v>4153</v>
      </c>
    </row>
    <row r="17" spans="1:6">
      <c r="A17" s="8"/>
      <c r="B17" s="11" t="s">
        <v>11</v>
      </c>
      <c r="C17" s="10">
        <v>7.3200000000000001E-4</v>
      </c>
      <c r="D17" s="12">
        <f>ROUND(D$3*C17,0)</f>
        <v>2449</v>
      </c>
      <c r="E17" s="13">
        <f>ROUND(D17/2,0)</f>
        <v>1225</v>
      </c>
      <c r="F17" s="12">
        <f>D17-E17</f>
        <v>1224</v>
      </c>
    </row>
    <row r="18" spans="1:6">
      <c r="A18" s="8">
        <v>2</v>
      </c>
      <c r="B18" s="11" t="s">
        <v>855</v>
      </c>
      <c r="C18" s="11"/>
      <c r="D18" s="9"/>
      <c r="E18" s="11"/>
      <c r="F18" s="11"/>
    </row>
    <row r="19" spans="1:6">
      <c r="A19" s="8"/>
      <c r="B19" s="11" t="s">
        <v>10</v>
      </c>
      <c r="C19" s="10">
        <v>5.3799999999999996E-4</v>
      </c>
      <c r="D19" s="12">
        <f>ROUND(D$3*C19,0)</f>
        <v>1800</v>
      </c>
      <c r="E19" s="13">
        <f>ROUND(D19/2,0)</f>
        <v>900</v>
      </c>
      <c r="F19" s="12">
        <f>D19-E19</f>
        <v>900</v>
      </c>
    </row>
    <row r="20" spans="1:6">
      <c r="A20" s="8"/>
      <c r="B20" s="11" t="s">
        <v>11</v>
      </c>
      <c r="C20" s="10">
        <v>2.5000000000000001E-4</v>
      </c>
      <c r="D20" s="12">
        <f>ROUND(D$3*C20,0)</f>
        <v>836</v>
      </c>
      <c r="E20" s="13">
        <f>ROUND(D20/2,0)</f>
        <v>418</v>
      </c>
      <c r="F20" s="12">
        <f>D20-E20</f>
        <v>418</v>
      </c>
    </row>
    <row r="21" spans="1:6">
      <c r="A21" s="8">
        <v>2</v>
      </c>
      <c r="B21" s="11" t="s">
        <v>1540</v>
      </c>
      <c r="C21" s="11"/>
      <c r="D21" s="9"/>
      <c r="E21" s="11"/>
      <c r="F21" s="11"/>
    </row>
    <row r="22" spans="1:6">
      <c r="A22" s="8"/>
      <c r="B22" s="11" t="s">
        <v>10</v>
      </c>
      <c r="C22" s="10">
        <v>2.22E-4</v>
      </c>
      <c r="D22" s="12">
        <f>ROUND(D$3*C22,0)</f>
        <v>743</v>
      </c>
      <c r="E22" s="13">
        <f>ROUND(D22/2,0)</f>
        <v>372</v>
      </c>
      <c r="F22" s="12">
        <f>D22-E22</f>
        <v>371</v>
      </c>
    </row>
    <row r="23" spans="1:6">
      <c r="A23" s="8"/>
      <c r="B23" s="11" t="s">
        <v>11</v>
      </c>
      <c r="C23" s="10">
        <v>1.374E-3</v>
      </c>
      <c r="D23" s="12">
        <f>ROUND(D$3*C23,0)</f>
        <v>4596</v>
      </c>
      <c r="E23" s="13">
        <f>ROUND(D23/2,0)</f>
        <v>2298</v>
      </c>
      <c r="F23" s="12">
        <f>D23-E23</f>
        <v>2298</v>
      </c>
    </row>
    <row r="24" spans="1:6">
      <c r="A24" s="8">
        <v>2</v>
      </c>
      <c r="B24" s="11" t="s">
        <v>181</v>
      </c>
      <c r="C24" s="11"/>
      <c r="D24" s="9"/>
      <c r="E24" s="11"/>
      <c r="F24" s="11"/>
    </row>
    <row r="25" spans="1:6">
      <c r="A25" s="8"/>
      <c r="B25" s="11" t="s">
        <v>10</v>
      </c>
      <c r="C25" s="10">
        <v>2.5000000000000001E-5</v>
      </c>
      <c r="D25" s="12">
        <f>ROUND(D$3*C25,0)</f>
        <v>84</v>
      </c>
      <c r="E25" s="13">
        <f>ROUND(D25/2,0)</f>
        <v>42</v>
      </c>
      <c r="F25" s="12">
        <f>D25-E25</f>
        <v>42</v>
      </c>
    </row>
    <row r="26" spans="1:6">
      <c r="A26" s="8"/>
      <c r="B26" s="11" t="s">
        <v>11</v>
      </c>
      <c r="C26" s="10">
        <v>1.4E-5</v>
      </c>
      <c r="D26" s="12">
        <f>ROUND(D$3*C26,0)</f>
        <v>47</v>
      </c>
      <c r="E26" s="13">
        <f>ROUND(D26/2,0)</f>
        <v>24</v>
      </c>
      <c r="F26" s="12">
        <f>D26-E26</f>
        <v>23</v>
      </c>
    </row>
    <row r="27" spans="1:6">
      <c r="A27" s="8">
        <v>2</v>
      </c>
      <c r="B27" s="11" t="s">
        <v>714</v>
      </c>
      <c r="C27" s="11"/>
      <c r="D27" s="9"/>
      <c r="E27" s="11"/>
      <c r="F27" s="11"/>
    </row>
    <row r="28" spans="1:6">
      <c r="A28" s="8"/>
      <c r="B28" s="11" t="s">
        <v>10</v>
      </c>
      <c r="C28" s="10">
        <v>0</v>
      </c>
      <c r="D28" s="12">
        <f>ROUND(D$3*C28,0)</f>
        <v>0</v>
      </c>
      <c r="E28" s="13">
        <f>ROUND(D28/2,0)</f>
        <v>0</v>
      </c>
      <c r="F28" s="12">
        <f>D28-E28</f>
        <v>0</v>
      </c>
    </row>
    <row r="29" spans="1:6">
      <c r="A29" s="8"/>
      <c r="B29" s="11" t="s">
        <v>11</v>
      </c>
      <c r="C29" s="10">
        <v>0</v>
      </c>
      <c r="D29" s="12">
        <f>ROUND(D$3*C29,0)</f>
        <v>0</v>
      </c>
      <c r="E29" s="13">
        <f>ROUND(D29/2,0)</f>
        <v>0</v>
      </c>
      <c r="F29" s="12">
        <f>D29-E29</f>
        <v>0</v>
      </c>
    </row>
    <row r="30" spans="1:6">
      <c r="A30" s="8">
        <v>2</v>
      </c>
      <c r="B30" s="11" t="s">
        <v>52</v>
      </c>
      <c r="C30" s="11"/>
      <c r="D30" s="9"/>
      <c r="E30" s="11"/>
      <c r="F30" s="11"/>
    </row>
    <row r="31" spans="1:6">
      <c r="A31" s="8"/>
      <c r="B31" s="11" t="s">
        <v>10</v>
      </c>
      <c r="C31" s="10">
        <v>6.9999999999999994E-5</v>
      </c>
      <c r="D31" s="12">
        <f>ROUND(D$3*C31,0)</f>
        <v>234</v>
      </c>
      <c r="E31" s="13">
        <f>ROUND(D31/2,0)</f>
        <v>117</v>
      </c>
      <c r="F31" s="12">
        <f>D31-E31</f>
        <v>117</v>
      </c>
    </row>
    <row r="32" spans="1:6">
      <c r="A32" s="8"/>
      <c r="B32" s="11" t="s">
        <v>11</v>
      </c>
      <c r="C32" s="10">
        <v>5.8999999999999998E-5</v>
      </c>
      <c r="D32" s="12">
        <f>ROUND(D$3*C32,0)</f>
        <v>197</v>
      </c>
      <c r="E32" s="13">
        <f>ROUND(D32/2,0)</f>
        <v>99</v>
      </c>
      <c r="F32" s="12">
        <f>D32-E32</f>
        <v>98</v>
      </c>
    </row>
    <row r="33" spans="1:6">
      <c r="A33" s="8">
        <v>2</v>
      </c>
      <c r="B33" s="11" t="s">
        <v>455</v>
      </c>
      <c r="C33" s="11"/>
      <c r="D33" s="9"/>
      <c r="E33" s="11"/>
      <c r="F33" s="11"/>
    </row>
    <row r="34" spans="1:6">
      <c r="A34" s="8"/>
      <c r="B34" s="11" t="s">
        <v>10</v>
      </c>
      <c r="C34" s="10">
        <v>3.5399999999999999E-4</v>
      </c>
      <c r="D34" s="12">
        <f>ROUND(D$3*C34,0)</f>
        <v>1184</v>
      </c>
      <c r="E34" s="13">
        <f>ROUND(D34/2,0)</f>
        <v>592</v>
      </c>
      <c r="F34" s="12">
        <f>D34-E34</f>
        <v>592</v>
      </c>
    </row>
    <row r="35" spans="1:6">
      <c r="A35" s="8"/>
      <c r="B35" s="11" t="s">
        <v>11</v>
      </c>
      <c r="C35" s="10">
        <v>6.3999999999999997E-5</v>
      </c>
      <c r="D35" s="12">
        <f>ROUND(D$3*C35,0)</f>
        <v>214</v>
      </c>
      <c r="E35" s="13">
        <f>ROUND(D35/2,0)</f>
        <v>107</v>
      </c>
      <c r="F35" s="12">
        <f>D35-E35</f>
        <v>107</v>
      </c>
    </row>
    <row r="36" spans="1:6">
      <c r="A36" s="8">
        <v>2</v>
      </c>
      <c r="B36" s="11" t="s">
        <v>857</v>
      </c>
      <c r="C36" s="11"/>
      <c r="D36" s="9"/>
      <c r="E36" s="11"/>
      <c r="F36" s="11"/>
    </row>
    <row r="37" spans="1:6">
      <c r="A37" s="8"/>
      <c r="B37" s="11" t="s">
        <v>10</v>
      </c>
      <c r="C37" s="10">
        <v>1.658E-3</v>
      </c>
      <c r="D37" s="12">
        <f>ROUND(D$3*C37,0)</f>
        <v>5547</v>
      </c>
      <c r="E37" s="13">
        <f>ROUND(D37/2,0)</f>
        <v>2774</v>
      </c>
      <c r="F37" s="12">
        <f>D37-E37</f>
        <v>2773</v>
      </c>
    </row>
    <row r="38" spans="1:6">
      <c r="A38" s="8"/>
      <c r="B38" s="11" t="s">
        <v>11</v>
      </c>
      <c r="C38" s="10">
        <v>5.22E-4</v>
      </c>
      <c r="D38" s="12">
        <f>ROUND(D$3*C38,0)</f>
        <v>1746</v>
      </c>
      <c r="E38" s="13">
        <f>ROUND(D38/2,0)</f>
        <v>873</v>
      </c>
      <c r="F38" s="12">
        <f>D38-E38</f>
        <v>873</v>
      </c>
    </row>
    <row r="39" spans="1:6">
      <c r="A39" s="8">
        <v>2</v>
      </c>
      <c r="B39" s="11" t="s">
        <v>1410</v>
      </c>
      <c r="C39" s="11"/>
      <c r="D39" s="9"/>
      <c r="E39" s="11"/>
      <c r="F39" s="11"/>
    </row>
    <row r="40" spans="1:6">
      <c r="A40" s="8"/>
      <c r="B40" s="11" t="s">
        <v>10</v>
      </c>
      <c r="C40" s="10">
        <v>4.5529999999999998E-3</v>
      </c>
      <c r="D40" s="12">
        <f>ROUND(D$3*C40,0)</f>
        <v>15231</v>
      </c>
      <c r="E40" s="13">
        <f>ROUND(D40/2,0)</f>
        <v>7616</v>
      </c>
      <c r="F40" s="12">
        <f>D40-E40</f>
        <v>7615</v>
      </c>
    </row>
    <row r="41" spans="1:6">
      <c r="A41" s="8"/>
      <c r="B41" s="11" t="s">
        <v>11</v>
      </c>
      <c r="C41" s="10">
        <v>1.7100000000000001E-4</v>
      </c>
      <c r="D41" s="12">
        <f>ROUND(D$3*C41,0)</f>
        <v>572</v>
      </c>
      <c r="E41" s="13">
        <f>ROUND(D41/2,0)</f>
        <v>286</v>
      </c>
      <c r="F41" s="12">
        <f>D41-E41</f>
        <v>286</v>
      </c>
    </row>
    <row r="42" spans="1:6">
      <c r="A42" s="8">
        <v>2</v>
      </c>
      <c r="B42" s="11" t="s">
        <v>20</v>
      </c>
      <c r="C42" s="11"/>
      <c r="D42" s="9"/>
      <c r="E42" s="11"/>
      <c r="F42" s="11"/>
    </row>
    <row r="43" spans="1:6">
      <c r="A43" s="8"/>
      <c r="B43" s="11" t="s">
        <v>10</v>
      </c>
      <c r="C43" s="10">
        <v>1.2E-4</v>
      </c>
      <c r="D43" s="12">
        <f>ROUND(D$3*C43,0)</f>
        <v>401</v>
      </c>
      <c r="E43" s="13">
        <f>ROUND(D43/2,0)</f>
        <v>201</v>
      </c>
      <c r="F43" s="12">
        <f>D43-E43</f>
        <v>200</v>
      </c>
    </row>
    <row r="44" spans="1:6">
      <c r="A44" s="8"/>
      <c r="B44" s="11" t="s">
        <v>11</v>
      </c>
      <c r="C44" s="10">
        <v>9.5000000000000005E-5</v>
      </c>
      <c r="D44" s="12">
        <f>ROUND(D$3*C44,0)</f>
        <v>318</v>
      </c>
      <c r="E44" s="13">
        <f>ROUND(D44/2,0)</f>
        <v>159</v>
      </c>
      <c r="F44" s="12">
        <f>D44-E44</f>
        <v>159</v>
      </c>
    </row>
    <row r="45" spans="1:6">
      <c r="A45" s="8">
        <v>2</v>
      </c>
      <c r="B45" s="11" t="s">
        <v>272</v>
      </c>
      <c r="C45" s="11"/>
      <c r="D45" s="9"/>
      <c r="E45" s="11"/>
      <c r="F45" s="11"/>
    </row>
    <row r="46" spans="1:6">
      <c r="A46" s="8"/>
      <c r="B46" s="11" t="s">
        <v>10</v>
      </c>
      <c r="C46" s="10">
        <v>3.5500000000000001E-4</v>
      </c>
      <c r="D46" s="12">
        <f t="shared" ref="D46:D57" si="0">ROUND(D$3*C46,0)</f>
        <v>1188</v>
      </c>
      <c r="E46" s="13">
        <f t="shared" ref="E46:E57" si="1">ROUND(D46/2,0)</f>
        <v>594</v>
      </c>
      <c r="F46" s="12">
        <f t="shared" ref="F46:F57" si="2">D46-E46</f>
        <v>594</v>
      </c>
    </row>
    <row r="47" spans="1:6">
      <c r="A47" s="8"/>
      <c r="B47" s="11" t="s">
        <v>11</v>
      </c>
      <c r="C47" s="10">
        <v>2.5300000000000002E-4</v>
      </c>
      <c r="D47" s="12">
        <f t="shared" si="0"/>
        <v>846</v>
      </c>
      <c r="E47" s="13">
        <f t="shared" si="1"/>
        <v>423</v>
      </c>
      <c r="F47" s="12">
        <f t="shared" si="2"/>
        <v>423</v>
      </c>
    </row>
    <row r="48" spans="1:6">
      <c r="A48" s="8">
        <v>3</v>
      </c>
      <c r="B48" s="11" t="s">
        <v>1541</v>
      </c>
      <c r="C48" s="10">
        <v>0</v>
      </c>
      <c r="D48" s="12">
        <f t="shared" si="0"/>
        <v>0</v>
      </c>
      <c r="E48" s="13">
        <f t="shared" si="1"/>
        <v>0</v>
      </c>
      <c r="F48" s="12">
        <f t="shared" si="2"/>
        <v>0</v>
      </c>
    </row>
    <row r="49" spans="1:6">
      <c r="A49" s="8">
        <v>3</v>
      </c>
      <c r="B49" s="11" t="s">
        <v>1542</v>
      </c>
      <c r="C49" s="10">
        <v>1.155E-3</v>
      </c>
      <c r="D49" s="12">
        <f t="shared" si="0"/>
        <v>3864</v>
      </c>
      <c r="E49" s="13">
        <f t="shared" si="1"/>
        <v>1932</v>
      </c>
      <c r="F49" s="12">
        <f t="shared" si="2"/>
        <v>1932</v>
      </c>
    </row>
    <row r="50" spans="1:6">
      <c r="A50" s="8">
        <v>3</v>
      </c>
      <c r="B50" s="11" t="s">
        <v>1543</v>
      </c>
      <c r="C50" s="10">
        <v>2.8213999999999999E-2</v>
      </c>
      <c r="D50" s="12">
        <f t="shared" si="0"/>
        <v>94385</v>
      </c>
      <c r="E50" s="13">
        <f t="shared" si="1"/>
        <v>47193</v>
      </c>
      <c r="F50" s="12">
        <f t="shared" si="2"/>
        <v>47192</v>
      </c>
    </row>
    <row r="51" spans="1:6">
      <c r="A51" s="8">
        <v>3</v>
      </c>
      <c r="B51" s="11" t="s">
        <v>1544</v>
      </c>
      <c r="C51" s="10">
        <v>2.12E-4</v>
      </c>
      <c r="D51" s="12">
        <f t="shared" si="0"/>
        <v>709</v>
      </c>
      <c r="E51" s="13">
        <f t="shared" si="1"/>
        <v>355</v>
      </c>
      <c r="F51" s="12">
        <f t="shared" si="2"/>
        <v>354</v>
      </c>
    </row>
    <row r="52" spans="1:6">
      <c r="A52" s="8">
        <v>3</v>
      </c>
      <c r="B52" s="11" t="s">
        <v>1545</v>
      </c>
      <c r="C52" s="10">
        <v>6.0000000000000002E-5</v>
      </c>
      <c r="D52" s="12">
        <f t="shared" si="0"/>
        <v>201</v>
      </c>
      <c r="E52" s="13">
        <f t="shared" si="1"/>
        <v>101</v>
      </c>
      <c r="F52" s="12">
        <f t="shared" si="2"/>
        <v>100</v>
      </c>
    </row>
    <row r="53" spans="1:6">
      <c r="A53" s="8">
        <v>3</v>
      </c>
      <c r="B53" s="11" t="s">
        <v>1546</v>
      </c>
      <c r="C53" s="10">
        <v>3.8000000000000002E-5</v>
      </c>
      <c r="D53" s="12">
        <f t="shared" si="0"/>
        <v>127</v>
      </c>
      <c r="E53" s="13">
        <f t="shared" si="1"/>
        <v>64</v>
      </c>
      <c r="F53" s="12">
        <f t="shared" si="2"/>
        <v>63</v>
      </c>
    </row>
    <row r="54" spans="1:6">
      <c r="A54" s="8">
        <v>3</v>
      </c>
      <c r="B54" s="11" t="s">
        <v>1547</v>
      </c>
      <c r="C54" s="10">
        <v>1.66E-4</v>
      </c>
      <c r="D54" s="12">
        <f t="shared" si="0"/>
        <v>555</v>
      </c>
      <c r="E54" s="13">
        <f t="shared" si="1"/>
        <v>278</v>
      </c>
      <c r="F54" s="12">
        <f t="shared" si="2"/>
        <v>277</v>
      </c>
    </row>
    <row r="55" spans="1:6">
      <c r="A55" s="8">
        <v>3</v>
      </c>
      <c r="B55" s="11" t="s">
        <v>1548</v>
      </c>
      <c r="C55" s="10">
        <v>0.27495399999999998</v>
      </c>
      <c r="D55" s="12">
        <f t="shared" si="0"/>
        <v>919808</v>
      </c>
      <c r="E55" s="13">
        <f t="shared" si="1"/>
        <v>459904</v>
      </c>
      <c r="F55" s="12">
        <f t="shared" si="2"/>
        <v>459904</v>
      </c>
    </row>
    <row r="56" spans="1:6">
      <c r="A56" s="8">
        <v>3</v>
      </c>
      <c r="B56" s="11" t="s">
        <v>1549</v>
      </c>
      <c r="C56" s="10">
        <v>0</v>
      </c>
      <c r="D56" s="12">
        <f t="shared" si="0"/>
        <v>0</v>
      </c>
      <c r="E56" s="13">
        <f t="shared" si="1"/>
        <v>0</v>
      </c>
      <c r="F56" s="12">
        <f t="shared" si="2"/>
        <v>0</v>
      </c>
    </row>
    <row r="57" spans="1:6">
      <c r="A57" s="8">
        <v>4</v>
      </c>
      <c r="B57" s="11" t="s">
        <v>1087</v>
      </c>
      <c r="C57" s="10">
        <v>3.4699999999999998E-4</v>
      </c>
      <c r="D57" s="9">
        <f t="shared" si="0"/>
        <v>1161</v>
      </c>
      <c r="E57" s="11">
        <f t="shared" si="1"/>
        <v>581</v>
      </c>
      <c r="F57" s="9">
        <f t="shared" si="2"/>
        <v>580</v>
      </c>
    </row>
    <row r="58" spans="1:6">
      <c r="A58" s="8"/>
      <c r="B58" s="11" t="s">
        <v>28</v>
      </c>
      <c r="C58" s="11"/>
      <c r="D58" s="14">
        <v>0.41884900000000003</v>
      </c>
      <c r="E58" s="11"/>
      <c r="F58" s="11"/>
    </row>
    <row r="59" spans="1:6">
      <c r="A59" s="8"/>
      <c r="B59" s="11" t="s">
        <v>29</v>
      </c>
      <c r="C59" s="11"/>
      <c r="D59" s="225">
        <f>ROUND(D57*D58,0)</f>
        <v>486</v>
      </c>
      <c r="E59" s="226">
        <f>ROUND(D59/2,0)</f>
        <v>243</v>
      </c>
      <c r="F59" s="225">
        <f>D59-E59</f>
        <v>243</v>
      </c>
    </row>
    <row r="60" spans="1:6">
      <c r="A60" s="8"/>
      <c r="B60" s="11" t="s">
        <v>30</v>
      </c>
      <c r="C60" s="11"/>
      <c r="D60" s="12">
        <f>+D57-D59</f>
        <v>675</v>
      </c>
      <c r="E60" s="13">
        <f>ROUND(D60/2,0)</f>
        <v>338</v>
      </c>
      <c r="F60" s="12">
        <f>D60-E60</f>
        <v>337</v>
      </c>
    </row>
    <row r="61" spans="1:6">
      <c r="A61" s="8">
        <v>4</v>
      </c>
      <c r="B61" s="11" t="s">
        <v>1550</v>
      </c>
      <c r="C61" s="10">
        <v>1.7888999999999999E-2</v>
      </c>
      <c r="D61" s="9">
        <f>ROUND(D$3*C61,0)</f>
        <v>59844</v>
      </c>
      <c r="E61" s="11">
        <f>ROUND(D61/2,0)</f>
        <v>29922</v>
      </c>
      <c r="F61" s="9">
        <f>D61-E61</f>
        <v>29922</v>
      </c>
    </row>
    <row r="62" spans="1:6">
      <c r="A62" s="8"/>
      <c r="B62" s="11" t="s">
        <v>28</v>
      </c>
      <c r="C62" s="11"/>
      <c r="D62" s="14">
        <v>0.36601699999999998</v>
      </c>
      <c r="E62" s="11"/>
      <c r="F62" s="11"/>
    </row>
    <row r="63" spans="1:6">
      <c r="A63" s="8"/>
      <c r="B63" s="11" t="s">
        <v>29</v>
      </c>
      <c r="C63" s="11"/>
      <c r="D63" s="225">
        <f>ROUND(D61*D62,0)</f>
        <v>21904</v>
      </c>
      <c r="E63" s="226">
        <f>ROUND(D63/2,0)</f>
        <v>10952</v>
      </c>
      <c r="F63" s="225">
        <f>D63-E63</f>
        <v>10952</v>
      </c>
    </row>
    <row r="64" spans="1:6">
      <c r="A64" s="8"/>
      <c r="B64" s="11" t="s">
        <v>30</v>
      </c>
      <c r="C64" s="11"/>
      <c r="D64" s="12">
        <f>+D61-D63</f>
        <v>37940</v>
      </c>
      <c r="E64" s="13">
        <f>ROUND(D64/2,0)</f>
        <v>18970</v>
      </c>
      <c r="F64" s="12">
        <f>D64-E64</f>
        <v>18970</v>
      </c>
    </row>
    <row r="65" spans="1:6">
      <c r="A65" s="8">
        <v>4</v>
      </c>
      <c r="B65" s="11" t="s">
        <v>1091</v>
      </c>
      <c r="C65" s="10">
        <v>9.4719999999999995E-3</v>
      </c>
      <c r="D65" s="9">
        <f>ROUND(D$3*C65,0)</f>
        <v>31687</v>
      </c>
      <c r="E65" s="11">
        <f>ROUND(D65/2,0)</f>
        <v>15844</v>
      </c>
      <c r="F65" s="9">
        <f>D65-E65</f>
        <v>15843</v>
      </c>
    </row>
    <row r="66" spans="1:6">
      <c r="A66" s="8"/>
      <c r="B66" s="11" t="s">
        <v>28</v>
      </c>
      <c r="C66" s="11"/>
      <c r="D66" s="14">
        <v>0.42578500000000002</v>
      </c>
      <c r="E66" s="11"/>
      <c r="F66" s="11"/>
    </row>
    <row r="67" spans="1:6">
      <c r="A67" s="8"/>
      <c r="B67" s="11" t="s">
        <v>29</v>
      </c>
      <c r="C67" s="11"/>
      <c r="D67" s="225">
        <f>ROUND(D65*D66,0)</f>
        <v>13492</v>
      </c>
      <c r="E67" s="226">
        <f>ROUND(D67/2,0)</f>
        <v>6746</v>
      </c>
      <c r="F67" s="225">
        <f>D67-E67</f>
        <v>6746</v>
      </c>
    </row>
    <row r="68" spans="1:6">
      <c r="A68" s="8"/>
      <c r="B68" s="11" t="s">
        <v>30</v>
      </c>
      <c r="C68" s="11"/>
      <c r="D68" s="12">
        <f>+D65-D67</f>
        <v>18195</v>
      </c>
      <c r="E68" s="13">
        <f>ROUND(D68/2,0)</f>
        <v>9098</v>
      </c>
      <c r="F68" s="12">
        <f>D68-E68</f>
        <v>9097</v>
      </c>
    </row>
    <row r="69" spans="1:6">
      <c r="A69" s="8">
        <v>4</v>
      </c>
      <c r="B69" s="11" t="s">
        <v>1551</v>
      </c>
      <c r="C69" s="10">
        <v>7.4999999999999997E-2</v>
      </c>
      <c r="D69" s="9">
        <f>ROUND(D$3*C69,0)</f>
        <v>250899</v>
      </c>
      <c r="E69" s="11">
        <f>ROUND(D69/2,0)</f>
        <v>125450</v>
      </c>
      <c r="F69" s="9">
        <f>D69-E69</f>
        <v>125449</v>
      </c>
    </row>
    <row r="70" spans="1:6">
      <c r="A70" s="8"/>
      <c r="B70" s="11" t="s">
        <v>28</v>
      </c>
      <c r="C70" s="11"/>
      <c r="D70" s="14">
        <v>0.38667800000000002</v>
      </c>
      <c r="E70" s="11"/>
      <c r="F70" s="11"/>
    </row>
    <row r="71" spans="1:6">
      <c r="A71" s="8" t="s">
        <v>590</v>
      </c>
      <c r="B71" s="11" t="s">
        <v>29</v>
      </c>
      <c r="C71" s="11"/>
      <c r="D71" s="225">
        <f>ROUND(D69*D70,0)</f>
        <v>97017</v>
      </c>
      <c r="E71" s="226">
        <f>ROUND(D71/2,0)</f>
        <v>48509</v>
      </c>
      <c r="F71" s="225">
        <f>D71-E71</f>
        <v>48508</v>
      </c>
    </row>
    <row r="72" spans="1:6">
      <c r="A72" s="8"/>
      <c r="B72" s="11" t="s">
        <v>30</v>
      </c>
      <c r="C72" s="11"/>
      <c r="D72" s="12">
        <f>+D69-D71</f>
        <v>153882</v>
      </c>
      <c r="E72" s="13">
        <f>ROUND(D72/2,0)</f>
        <v>76941</v>
      </c>
      <c r="F72" s="12">
        <f>D72-E72</f>
        <v>76941</v>
      </c>
    </row>
    <row r="73" spans="1:6">
      <c r="A73" s="8">
        <v>4</v>
      </c>
      <c r="B73" s="11" t="s">
        <v>1552</v>
      </c>
      <c r="C73" s="10">
        <v>0.300647</v>
      </c>
      <c r="D73" s="9">
        <f>ROUND(D$3*C73,0)</f>
        <v>1005760</v>
      </c>
      <c r="E73" s="11">
        <f>ROUND(D73/2,0)</f>
        <v>502880</v>
      </c>
      <c r="F73" s="9">
        <f>D73-E73</f>
        <v>502880</v>
      </c>
    </row>
    <row r="74" spans="1:6">
      <c r="A74" s="8"/>
      <c r="B74" s="11" t="s">
        <v>28</v>
      </c>
      <c r="C74" s="11"/>
      <c r="D74" s="14">
        <v>0.39755499999999999</v>
      </c>
      <c r="E74" s="11"/>
      <c r="F74" s="11"/>
    </row>
    <row r="75" spans="1:6">
      <c r="A75" s="8"/>
      <c r="B75" s="11" t="s">
        <v>29</v>
      </c>
      <c r="C75" s="11"/>
      <c r="D75" s="225">
        <f>ROUND(D73*D74,0)</f>
        <v>399845</v>
      </c>
      <c r="E75" s="226">
        <f>ROUND(D75/2,0)</f>
        <v>199923</v>
      </c>
      <c r="F75" s="225">
        <f>D75-E75</f>
        <v>199922</v>
      </c>
    </row>
    <row r="76" spans="1:6">
      <c r="A76" s="8"/>
      <c r="B76" s="11" t="s">
        <v>30</v>
      </c>
      <c r="C76" s="11"/>
      <c r="D76" s="12">
        <f>+D73-D75</f>
        <v>605915</v>
      </c>
      <c r="E76" s="13">
        <f>ROUND(D76/2,0)</f>
        <v>302958</v>
      </c>
      <c r="F76" s="12">
        <f>D76-E76</f>
        <v>302957</v>
      </c>
    </row>
    <row r="77" spans="1:6">
      <c r="A77" s="8">
        <v>4</v>
      </c>
      <c r="B77" s="11" t="s">
        <v>1203</v>
      </c>
      <c r="C77" s="10">
        <v>3.3639999999999998E-3</v>
      </c>
      <c r="D77" s="9">
        <f>ROUND(D$3*C77,0)</f>
        <v>11254</v>
      </c>
      <c r="E77" s="11">
        <f>ROUND(D77/2,0)</f>
        <v>5627</v>
      </c>
      <c r="F77" s="9">
        <f>D77-E77</f>
        <v>5627</v>
      </c>
    </row>
    <row r="78" spans="1:6">
      <c r="A78" s="8"/>
      <c r="B78" s="11" t="s">
        <v>28</v>
      </c>
      <c r="C78" s="11"/>
      <c r="D78" s="14">
        <v>0.49541800000000003</v>
      </c>
      <c r="E78" s="11"/>
      <c r="F78" s="11"/>
    </row>
    <row r="79" spans="1:6">
      <c r="A79" s="8"/>
      <c r="B79" s="11" t="s">
        <v>29</v>
      </c>
      <c r="C79" s="11"/>
      <c r="D79" s="225">
        <f>ROUND(D77*D78,0)</f>
        <v>5575</v>
      </c>
      <c r="E79" s="226">
        <f t="shared" ref="E79:E88" si="3">ROUND(D79/2,0)</f>
        <v>2788</v>
      </c>
      <c r="F79" s="225">
        <f t="shared" ref="F79:F88" si="4">D79-E79</f>
        <v>2787</v>
      </c>
    </row>
    <row r="80" spans="1:6">
      <c r="A80" s="8"/>
      <c r="B80" s="11" t="s">
        <v>30</v>
      </c>
      <c r="C80" s="11"/>
      <c r="D80" s="12">
        <f>+D77-D79</f>
        <v>5679</v>
      </c>
      <c r="E80" s="13">
        <f t="shared" si="3"/>
        <v>2840</v>
      </c>
      <c r="F80" s="12">
        <f t="shared" si="4"/>
        <v>2839</v>
      </c>
    </row>
    <row r="81" spans="1:8">
      <c r="A81" s="8">
        <v>5</v>
      </c>
      <c r="B81" s="11" t="s">
        <v>1553</v>
      </c>
      <c r="C81" s="10">
        <v>4.5059999999999996E-3</v>
      </c>
      <c r="D81" s="12">
        <f t="shared" ref="D81:D87" si="5">ROUND(D$3*C81,0)</f>
        <v>15074</v>
      </c>
      <c r="E81" s="13">
        <f t="shared" si="3"/>
        <v>7537</v>
      </c>
      <c r="F81" s="12">
        <f t="shared" si="4"/>
        <v>7537</v>
      </c>
    </row>
    <row r="82" spans="1:8">
      <c r="A82" s="8">
        <v>5</v>
      </c>
      <c r="B82" s="11" t="s">
        <v>1554</v>
      </c>
      <c r="C82" s="10">
        <v>3.2899999999999997E-4</v>
      </c>
      <c r="D82" s="12">
        <f t="shared" si="5"/>
        <v>1101</v>
      </c>
      <c r="E82" s="13">
        <f t="shared" si="3"/>
        <v>551</v>
      </c>
      <c r="F82" s="12">
        <f t="shared" si="4"/>
        <v>550</v>
      </c>
    </row>
    <row r="83" spans="1:8">
      <c r="A83" s="8">
        <v>5</v>
      </c>
      <c r="B83" s="11" t="s">
        <v>1555</v>
      </c>
      <c r="C83" s="10">
        <v>3.6219000000000001E-2</v>
      </c>
      <c r="D83" s="12">
        <f t="shared" si="5"/>
        <v>121164</v>
      </c>
      <c r="E83" s="13">
        <f t="shared" si="3"/>
        <v>60582</v>
      </c>
      <c r="F83" s="12">
        <f t="shared" si="4"/>
        <v>60582</v>
      </c>
    </row>
    <row r="84" spans="1:8">
      <c r="A84" s="8">
        <v>5</v>
      </c>
      <c r="B84" s="11" t="s">
        <v>1556</v>
      </c>
      <c r="C84" s="10">
        <v>0</v>
      </c>
      <c r="D84" s="12">
        <f t="shared" si="5"/>
        <v>0</v>
      </c>
      <c r="E84" s="13">
        <f t="shared" si="3"/>
        <v>0</v>
      </c>
      <c r="F84" s="12">
        <f t="shared" si="4"/>
        <v>0</v>
      </c>
    </row>
    <row r="85" spans="1:8">
      <c r="A85" s="8">
        <v>6</v>
      </c>
      <c r="B85" s="11" t="s">
        <v>1557</v>
      </c>
      <c r="C85" s="10">
        <v>1.2841E-2</v>
      </c>
      <c r="D85" s="12">
        <f t="shared" si="5"/>
        <v>42957</v>
      </c>
      <c r="E85" s="13">
        <f t="shared" si="3"/>
        <v>21479</v>
      </c>
      <c r="F85" s="12">
        <f t="shared" si="4"/>
        <v>21478</v>
      </c>
    </row>
    <row r="86" spans="1:8">
      <c r="A86" s="8">
        <v>6</v>
      </c>
      <c r="B86" s="11" t="s">
        <v>1558</v>
      </c>
      <c r="C86" s="10">
        <v>3.578E-3</v>
      </c>
      <c r="D86" s="12">
        <f t="shared" si="5"/>
        <v>11970</v>
      </c>
      <c r="E86" s="13">
        <f t="shared" si="3"/>
        <v>5985</v>
      </c>
      <c r="F86" s="12">
        <f t="shared" si="4"/>
        <v>5985</v>
      </c>
    </row>
    <row r="87" spans="1:8">
      <c r="A87" s="8">
        <v>6</v>
      </c>
      <c r="B87" s="11" t="s">
        <v>1559</v>
      </c>
      <c r="C87" s="10">
        <v>0</v>
      </c>
      <c r="D87" s="12">
        <f t="shared" si="5"/>
        <v>0</v>
      </c>
      <c r="E87" s="13">
        <f t="shared" si="3"/>
        <v>0</v>
      </c>
      <c r="F87" s="12">
        <f t="shared" si="4"/>
        <v>0</v>
      </c>
    </row>
    <row r="88" spans="1:8">
      <c r="A88" s="8">
        <v>6</v>
      </c>
      <c r="B88" s="11" t="s">
        <v>1560</v>
      </c>
      <c r="C88" s="10">
        <v>8.0989999999999673E-3</v>
      </c>
      <c r="D88" s="12">
        <f>+D3-SUM(D4:D5)-SUM(D10:D57)-D61-D65-D69-D73-D77-SUM(D81:D87)</f>
        <v>27093</v>
      </c>
      <c r="E88" s="13">
        <f t="shared" si="3"/>
        <v>13547</v>
      </c>
      <c r="F88" s="12">
        <f t="shared" si="4"/>
        <v>13546</v>
      </c>
    </row>
    <row r="89" spans="1:8">
      <c r="A89" s="8"/>
      <c r="B89" s="28" t="s">
        <v>288</v>
      </c>
      <c r="C89" s="10">
        <v>1</v>
      </c>
      <c r="D89" s="12">
        <f>+D4+SUM(D7:D56)+SUM(D59:D60)+SUM(D63:D64)+SUM(D67:D68)+SUM(D71:D72)+SUM(D75:D76)+SUM(D79:D88)</f>
        <v>3345317</v>
      </c>
      <c r="E89" s="12">
        <f>+E4+SUM(E7:E56)+SUM(E59:E60)+SUM(E63:E64)+SUM(E67:E68)+SUM(E71:E72)+SUM(E75:E76)+SUM(E79:E88)</f>
        <v>1672671</v>
      </c>
      <c r="F89" s="12">
        <f>+F4+SUM(F7:F56)+SUM(F59:F60)+SUM(F63:F64)+SUM(F67:F68)+SUM(F71:F72)+SUM(F75:F76)+SUM(F79:F88)</f>
        <v>1672646</v>
      </c>
    </row>
    <row r="90" spans="1:8">
      <c r="B90" s="18" t="s">
        <v>38</v>
      </c>
      <c r="D90" s="19">
        <f>+D4</f>
        <v>2221</v>
      </c>
      <c r="E90" s="19">
        <f>+E4</f>
        <v>1111</v>
      </c>
      <c r="F90" s="19">
        <f>+F4</f>
        <v>1110</v>
      </c>
    </row>
    <row r="91" spans="1:8">
      <c r="B91" s="2" t="s">
        <v>39</v>
      </c>
      <c r="D91" s="19">
        <f>+D7</f>
        <v>306803</v>
      </c>
      <c r="E91" s="19">
        <f>+E7</f>
        <v>153402</v>
      </c>
      <c r="F91" s="19">
        <f>+F7</f>
        <v>153401</v>
      </c>
    </row>
    <row r="92" spans="1:8">
      <c r="B92" s="2" t="s">
        <v>40</v>
      </c>
      <c r="D92" s="19">
        <f>+D59+D63+D67+D71+D75+D79</f>
        <v>538319</v>
      </c>
      <c r="E92" s="19">
        <f>+E59+E63+E67+E71+E75+E79</f>
        <v>269161</v>
      </c>
      <c r="F92" s="19">
        <f>+F59+F63+F67+F71+F75+F79</f>
        <v>269158</v>
      </c>
      <c r="H92" s="3">
        <v>1</v>
      </c>
    </row>
    <row r="93" spans="1:8">
      <c r="B93" s="18" t="s">
        <v>41</v>
      </c>
      <c r="D93" s="19">
        <f>+D89-D90-D91-D92</f>
        <v>2497974</v>
      </c>
      <c r="E93" s="19">
        <f>+E89-E90-E91-E92</f>
        <v>1248997</v>
      </c>
      <c r="F93" s="19">
        <f>+F89-F90-F91-F92</f>
        <v>1248977</v>
      </c>
      <c r="H93" s="3">
        <v>2</v>
      </c>
    </row>
    <row r="95" spans="1:8" hidden="1">
      <c r="B95" s="3" t="s">
        <v>42</v>
      </c>
      <c r="C95" s="4">
        <v>4.9999999999668365E-6</v>
      </c>
      <c r="D95" s="3">
        <f>+D88-ROUND(D3*C88,0)</f>
        <v>-1</v>
      </c>
    </row>
  </sheetData>
  <pageMargins left="0.7" right="0.7" top="0.75" bottom="0.75" header="0.3" footer="0.3"/>
  <pageSetup scale="4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3">
    <pageSetUpPr fitToPage="1"/>
  </sheetPr>
  <dimension ref="A1:WVB71"/>
  <sheetViews>
    <sheetView zoomScaleNormal="100" zoomScaleSheetLayoutView="80" workbookViewId="0">
      <selection activeCell="D32" activeCellId="2" sqref="D7:F7 D28:F28 D32:F32"/>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140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140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140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140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140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140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140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140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140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140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140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140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140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140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140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140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140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140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140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140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140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140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140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140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140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140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140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140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140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140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140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140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140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140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140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140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140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140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140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140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140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140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140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140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140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140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140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140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140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140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140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140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140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140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140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140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140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140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140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140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140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140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140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1561</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Worksheet'!$D$75</f>
        <v>84568</v>
      </c>
      <c r="E3" s="11"/>
      <c r="F3" s="11"/>
    </row>
    <row r="4" spans="1:6">
      <c r="A4" s="8">
        <v>0</v>
      </c>
      <c r="B4" s="11" t="s">
        <v>4</v>
      </c>
      <c r="C4" s="10">
        <v>1.1529999999999999E-3</v>
      </c>
      <c r="D4" s="12">
        <f>ROUND(D$3*C4,0)</f>
        <v>98</v>
      </c>
      <c r="E4" s="13">
        <f>ROUND(D4/2,0)</f>
        <v>49</v>
      </c>
      <c r="F4" s="12">
        <f>D4-E4</f>
        <v>49</v>
      </c>
    </row>
    <row r="5" spans="1:6">
      <c r="A5" s="8">
        <v>1</v>
      </c>
      <c r="B5" s="11" t="s">
        <v>1562</v>
      </c>
      <c r="C5" s="10">
        <v>0.22503000000000001</v>
      </c>
      <c r="D5" s="9">
        <f>ROUND(D$3*C5,0)</f>
        <v>19030</v>
      </c>
      <c r="E5" s="11">
        <f>ROUND(D5/2,0)</f>
        <v>9515</v>
      </c>
      <c r="F5" s="9">
        <f>D5-E5</f>
        <v>9515</v>
      </c>
    </row>
    <row r="6" spans="1:6">
      <c r="A6" s="8"/>
      <c r="B6" s="11" t="s">
        <v>6</v>
      </c>
      <c r="C6" s="11"/>
      <c r="D6" s="14">
        <v>0.20042199999999999</v>
      </c>
      <c r="E6" s="11"/>
      <c r="F6" s="11"/>
    </row>
    <row r="7" spans="1:6">
      <c r="A7" s="8"/>
      <c r="B7" s="11" t="s">
        <v>7</v>
      </c>
      <c r="C7" s="11"/>
      <c r="D7" s="225">
        <f>ROUND(D5*D6,0)</f>
        <v>3814</v>
      </c>
      <c r="E7" s="226">
        <f>ROUND(D7/2,0)</f>
        <v>1907</v>
      </c>
      <c r="F7" s="225">
        <f>D7-E7</f>
        <v>1907</v>
      </c>
    </row>
    <row r="8" spans="1:6">
      <c r="A8" s="8"/>
      <c r="B8" s="11" t="s">
        <v>8</v>
      </c>
      <c r="C8" s="11"/>
      <c r="D8" s="12">
        <f>+D5-D7</f>
        <v>15216</v>
      </c>
      <c r="E8" s="13">
        <f>ROUND(D8/2,0)</f>
        <v>7608</v>
      </c>
      <c r="F8" s="12">
        <f>D8-E8</f>
        <v>7608</v>
      </c>
    </row>
    <row r="9" spans="1:6">
      <c r="A9" s="8">
        <v>2</v>
      </c>
      <c r="B9" s="11" t="s">
        <v>1563</v>
      </c>
      <c r="C9" s="11"/>
      <c r="D9" s="9"/>
      <c r="E9" s="11"/>
      <c r="F9" s="11"/>
    </row>
    <row r="10" spans="1:6">
      <c r="A10" s="8"/>
      <c r="B10" s="11" t="s">
        <v>10</v>
      </c>
      <c r="C10" s="10">
        <v>1.024E-3</v>
      </c>
      <c r="D10" s="12">
        <f>ROUND(D$3*C10,0)</f>
        <v>87</v>
      </c>
      <c r="E10" s="13">
        <f>ROUND(D10/2,0)</f>
        <v>44</v>
      </c>
      <c r="F10" s="12">
        <f>D10-E10</f>
        <v>43</v>
      </c>
    </row>
    <row r="11" spans="1:6">
      <c r="A11" s="8"/>
      <c r="B11" s="11" t="s">
        <v>11</v>
      </c>
      <c r="C11" s="10">
        <v>4.5300000000000001E-4</v>
      </c>
      <c r="D11" s="12">
        <f>ROUND(D$3*C11,0)</f>
        <v>38</v>
      </c>
      <c r="E11" s="13">
        <f>ROUND(D11/2,0)</f>
        <v>19</v>
      </c>
      <c r="F11" s="12">
        <f>D11-E11</f>
        <v>19</v>
      </c>
    </row>
    <row r="12" spans="1:6">
      <c r="A12" s="8">
        <v>2</v>
      </c>
      <c r="B12" s="11" t="s">
        <v>291</v>
      </c>
      <c r="C12" s="11"/>
      <c r="D12" s="9"/>
      <c r="E12" s="11"/>
      <c r="F12" s="11"/>
    </row>
    <row r="13" spans="1:6">
      <c r="A13" s="8"/>
      <c r="B13" s="11" t="s">
        <v>10</v>
      </c>
      <c r="C13" s="10">
        <v>2.6830000000000001E-3</v>
      </c>
      <c r="D13" s="12">
        <f>ROUND(D$3*C13,0)</f>
        <v>227</v>
      </c>
      <c r="E13" s="13">
        <f>ROUND(D13/2,0)</f>
        <v>114</v>
      </c>
      <c r="F13" s="12">
        <f>D13-E13</f>
        <v>113</v>
      </c>
    </row>
    <row r="14" spans="1:6">
      <c r="A14" s="8"/>
      <c r="B14" s="11" t="s">
        <v>11</v>
      </c>
      <c r="C14" s="10">
        <v>1.0349999999999999E-3</v>
      </c>
      <c r="D14" s="12">
        <f>ROUND(D$3*C14,0)</f>
        <v>88</v>
      </c>
      <c r="E14" s="13">
        <f>ROUND(D14/2,0)</f>
        <v>44</v>
      </c>
      <c r="F14" s="12">
        <f>D14-E14</f>
        <v>44</v>
      </c>
    </row>
    <row r="15" spans="1:6">
      <c r="A15" s="8">
        <v>2</v>
      </c>
      <c r="B15" s="11" t="s">
        <v>268</v>
      </c>
      <c r="C15" s="11"/>
      <c r="D15" s="9"/>
      <c r="E15" s="11"/>
      <c r="F15" s="11"/>
    </row>
    <row r="16" spans="1:6">
      <c r="A16" s="8"/>
      <c r="B16" s="11" t="s">
        <v>10</v>
      </c>
      <c r="C16" s="10">
        <v>3.5239999999999998E-3</v>
      </c>
      <c r="D16" s="12">
        <f>ROUND(D$3*C16,0)</f>
        <v>298</v>
      </c>
      <c r="E16" s="13">
        <f>ROUND(D16/2,0)</f>
        <v>149</v>
      </c>
      <c r="F16" s="12">
        <f>D16-E16</f>
        <v>149</v>
      </c>
    </row>
    <row r="17" spans="1:6">
      <c r="A17" s="8"/>
      <c r="B17" s="11" t="s">
        <v>11</v>
      </c>
      <c r="C17" s="10">
        <v>2.5110000000000002E-3</v>
      </c>
      <c r="D17" s="12">
        <f>ROUND(D$3*C17,0)</f>
        <v>212</v>
      </c>
      <c r="E17" s="13">
        <f>ROUND(D17/2,0)</f>
        <v>106</v>
      </c>
      <c r="F17" s="12">
        <f>D17-E17</f>
        <v>106</v>
      </c>
    </row>
    <row r="18" spans="1:6">
      <c r="A18" s="8">
        <v>2</v>
      </c>
      <c r="B18" s="11" t="s">
        <v>1564</v>
      </c>
      <c r="C18" s="11"/>
      <c r="D18" s="9"/>
      <c r="E18" s="11"/>
      <c r="F18" s="11"/>
    </row>
    <row r="19" spans="1:6">
      <c r="A19" s="8"/>
      <c r="B19" s="11" t="s">
        <v>10</v>
      </c>
      <c r="C19" s="10">
        <v>1.4009999999999999E-3</v>
      </c>
      <c r="D19" s="12">
        <f>ROUND(D$3*C19,0)</f>
        <v>118</v>
      </c>
      <c r="E19" s="13">
        <f>ROUND(D19/2,0)</f>
        <v>59</v>
      </c>
      <c r="F19" s="12">
        <f>D19-E19</f>
        <v>59</v>
      </c>
    </row>
    <row r="20" spans="1:6">
      <c r="A20" s="8"/>
      <c r="B20" s="11" t="s">
        <v>11</v>
      </c>
      <c r="C20" s="10">
        <v>3.4499999999999998E-4</v>
      </c>
      <c r="D20" s="12">
        <f>ROUND(D$3*C20,0)</f>
        <v>29</v>
      </c>
      <c r="E20" s="13">
        <f>ROUND(D20/2,0)</f>
        <v>15</v>
      </c>
      <c r="F20" s="12">
        <f>D20-E20</f>
        <v>14</v>
      </c>
    </row>
    <row r="21" spans="1:6">
      <c r="A21" s="8">
        <v>2</v>
      </c>
      <c r="B21" s="11" t="s">
        <v>1565</v>
      </c>
      <c r="C21" s="11"/>
      <c r="D21" s="9"/>
      <c r="E21" s="11"/>
      <c r="F21" s="11"/>
    </row>
    <row r="22" spans="1:6">
      <c r="A22" s="8"/>
      <c r="B22" s="11" t="s">
        <v>10</v>
      </c>
      <c r="C22" s="10">
        <v>2.8449999999999999E-3</v>
      </c>
      <c r="D22" s="12">
        <f>ROUND(D$3*C22,0)</f>
        <v>241</v>
      </c>
      <c r="E22" s="13">
        <f>ROUND(D22/2,0)</f>
        <v>121</v>
      </c>
      <c r="F22" s="12">
        <f>D22-E22</f>
        <v>120</v>
      </c>
    </row>
    <row r="23" spans="1:6">
      <c r="A23" s="8"/>
      <c r="B23" s="11" t="s">
        <v>11</v>
      </c>
      <c r="C23" s="10">
        <v>5.8200000000000005E-4</v>
      </c>
      <c r="D23" s="12">
        <f>ROUND(D$3*C23,0)</f>
        <v>49</v>
      </c>
      <c r="E23" s="13">
        <f>ROUND(D23/2,0)</f>
        <v>25</v>
      </c>
      <c r="F23" s="12">
        <f>D23-E23</f>
        <v>24</v>
      </c>
    </row>
    <row r="24" spans="1:6">
      <c r="A24" s="8">
        <v>3</v>
      </c>
      <c r="B24" s="11" t="s">
        <v>1566</v>
      </c>
      <c r="C24" s="10">
        <v>1.6101000000000001E-2</v>
      </c>
      <c r="D24" s="12">
        <f>ROUND(D$3*C24,0)</f>
        <v>1362</v>
      </c>
      <c r="E24" s="13">
        <f>ROUND(D24/2,0)</f>
        <v>681</v>
      </c>
      <c r="F24" s="12">
        <f>D24-E24</f>
        <v>681</v>
      </c>
    </row>
    <row r="25" spans="1:6">
      <c r="A25" s="8">
        <v>3</v>
      </c>
      <c r="B25" s="11" t="s">
        <v>1567</v>
      </c>
      <c r="C25" s="10">
        <v>6.0263999999999998E-2</v>
      </c>
      <c r="D25" s="12">
        <f>ROUND(D$3*C25,0)</f>
        <v>5096</v>
      </c>
      <c r="E25" s="13">
        <f>ROUND(D25/2,0)</f>
        <v>2548</v>
      </c>
      <c r="F25" s="12">
        <f>D25-E25</f>
        <v>2548</v>
      </c>
    </row>
    <row r="26" spans="1:6">
      <c r="A26" s="8">
        <v>4</v>
      </c>
      <c r="B26" s="11" t="s">
        <v>1568</v>
      </c>
      <c r="C26" s="10">
        <v>0.12767300000000001</v>
      </c>
      <c r="D26" s="9">
        <f>ROUND(D$3*C26,0)</f>
        <v>10797</v>
      </c>
      <c r="E26" s="11">
        <f>ROUND(D26/2,0)</f>
        <v>5399</v>
      </c>
      <c r="F26" s="9">
        <f>D26-E26</f>
        <v>5398</v>
      </c>
    </row>
    <row r="27" spans="1:6">
      <c r="A27" s="8"/>
      <c r="B27" s="11" t="s">
        <v>28</v>
      </c>
      <c r="C27" s="11"/>
      <c r="D27" s="14">
        <v>0.36520999999999998</v>
      </c>
      <c r="E27" s="11"/>
      <c r="F27" s="11"/>
    </row>
    <row r="28" spans="1:6">
      <c r="A28" s="8"/>
      <c r="B28" s="11" t="s">
        <v>29</v>
      </c>
      <c r="C28" s="11"/>
      <c r="D28" s="225">
        <f>ROUND(D26*D27,0)</f>
        <v>3943</v>
      </c>
      <c r="E28" s="226">
        <f>ROUND(D28/2,0)</f>
        <v>1972</v>
      </c>
      <c r="F28" s="225">
        <f>D28-E28</f>
        <v>1971</v>
      </c>
    </row>
    <row r="29" spans="1:6">
      <c r="A29" s="8"/>
      <c r="B29" s="11" t="s">
        <v>30</v>
      </c>
      <c r="C29" s="11"/>
      <c r="D29" s="12">
        <f>+D26-D28</f>
        <v>6854</v>
      </c>
      <c r="E29" s="13">
        <f>ROUND(D29/2,0)</f>
        <v>3427</v>
      </c>
      <c r="F29" s="12">
        <f>D29-E29</f>
        <v>3427</v>
      </c>
    </row>
    <row r="30" spans="1:6">
      <c r="A30" s="8">
        <v>4</v>
      </c>
      <c r="B30" s="11" t="s">
        <v>1569</v>
      </c>
      <c r="C30" s="10">
        <v>0.52735100000000001</v>
      </c>
      <c r="D30" s="9">
        <f>ROUND(D$3*C30,0)</f>
        <v>44597</v>
      </c>
      <c r="E30" s="11">
        <f>ROUND(D30/2,0)</f>
        <v>22299</v>
      </c>
      <c r="F30" s="9">
        <f>D30-E30</f>
        <v>22298</v>
      </c>
    </row>
    <row r="31" spans="1:6">
      <c r="A31" s="8"/>
      <c r="B31" s="11" t="s">
        <v>28</v>
      </c>
      <c r="C31" s="11"/>
      <c r="D31" s="14">
        <v>0.42845100000000003</v>
      </c>
      <c r="E31" s="11"/>
      <c r="F31" s="11"/>
    </row>
    <row r="32" spans="1:6">
      <c r="A32" s="8"/>
      <c r="B32" s="11" t="s">
        <v>29</v>
      </c>
      <c r="C32" s="11"/>
      <c r="D32" s="225">
        <f>ROUND(D30*D31,0)</f>
        <v>19108</v>
      </c>
      <c r="E32" s="226">
        <f>ROUND(D32/2,0)</f>
        <v>9554</v>
      </c>
      <c r="F32" s="225">
        <f>D32-E32</f>
        <v>9554</v>
      </c>
    </row>
    <row r="33" spans="1:8">
      <c r="A33" s="8"/>
      <c r="B33" s="11" t="s">
        <v>30</v>
      </c>
      <c r="C33" s="11"/>
      <c r="D33" s="12">
        <f>+D30-D32</f>
        <v>25489</v>
      </c>
      <c r="E33" s="13">
        <f>ROUND(D33/2,0)</f>
        <v>12745</v>
      </c>
      <c r="F33" s="12">
        <f>D33-E33</f>
        <v>12744</v>
      </c>
    </row>
    <row r="34" spans="1:8">
      <c r="A34" s="8">
        <v>5</v>
      </c>
      <c r="B34" s="11" t="s">
        <v>1570</v>
      </c>
      <c r="C34" s="10">
        <v>2.1295000000000001E-2</v>
      </c>
      <c r="D34" s="12">
        <f>ROUND(D$3*C34,0)</f>
        <v>1801</v>
      </c>
      <c r="E34" s="13">
        <f>ROUND(D34/2,0)</f>
        <v>901</v>
      </c>
      <c r="F34" s="12">
        <f>D34-E34</f>
        <v>900</v>
      </c>
    </row>
    <row r="35" spans="1:8">
      <c r="A35" s="8">
        <v>6</v>
      </c>
      <c r="B35" s="11" t="s">
        <v>545</v>
      </c>
      <c r="C35" s="10">
        <v>4.730000000000012E-3</v>
      </c>
      <c r="D35" s="12">
        <f>+D3-SUM(D4:D5)-SUM(D10:D26)-D30-D34</f>
        <v>400</v>
      </c>
      <c r="E35" s="13">
        <f>ROUND(D35/2,0)</f>
        <v>200</v>
      </c>
      <c r="F35" s="12">
        <f>D35-E35</f>
        <v>200</v>
      </c>
    </row>
    <row r="36" spans="1:8">
      <c r="A36" s="8"/>
      <c r="B36" s="28" t="s">
        <v>288</v>
      </c>
      <c r="C36" s="10">
        <v>1</v>
      </c>
      <c r="D36" s="12">
        <f>+D4+SUM(D7:D25)+SUM(D28:D29)+SUM(D32:D35)</f>
        <v>84568</v>
      </c>
      <c r="E36" s="12">
        <f>+E4+SUM(E7:E25)+SUM(E28:E29)+SUM(E32:E35)</f>
        <v>42288</v>
      </c>
      <c r="F36" s="12">
        <f>+F4+SUM(F7:F25)+SUM(F28:F29)+SUM(F32:F35)</f>
        <v>42280</v>
      </c>
    </row>
    <row r="37" spans="1:8">
      <c r="B37" s="18" t="s">
        <v>38</v>
      </c>
      <c r="D37" s="19">
        <f>+D4</f>
        <v>98</v>
      </c>
      <c r="E37" s="19">
        <f>+E4</f>
        <v>49</v>
      </c>
      <c r="F37" s="19">
        <f>+F4</f>
        <v>49</v>
      </c>
    </row>
    <row r="38" spans="1:8">
      <c r="B38" s="2" t="s">
        <v>39</v>
      </c>
      <c r="D38" s="19">
        <f>+D7</f>
        <v>3814</v>
      </c>
      <c r="E38" s="19">
        <f>+E7</f>
        <v>1907</v>
      </c>
      <c r="F38" s="19">
        <f>+F7</f>
        <v>1907</v>
      </c>
    </row>
    <row r="39" spans="1:8">
      <c r="B39" s="2" t="s">
        <v>40</v>
      </c>
      <c r="D39" s="19">
        <f>+D28+D32</f>
        <v>23051</v>
      </c>
      <c r="E39" s="19">
        <f>+E28+E32</f>
        <v>11526</v>
      </c>
      <c r="F39" s="19">
        <f>+F28+F32</f>
        <v>11525</v>
      </c>
      <c r="H39" s="3">
        <v>1</v>
      </c>
    </row>
    <row r="40" spans="1:8">
      <c r="B40" s="18" t="s">
        <v>41</v>
      </c>
      <c r="D40" s="19">
        <f>+D36-D37-D38-D39</f>
        <v>57605</v>
      </c>
      <c r="E40" s="19">
        <f>+E36-E37-E38-E39</f>
        <v>28806</v>
      </c>
      <c r="F40" s="19">
        <f>+F36-F37-F38-F39</f>
        <v>28799</v>
      </c>
      <c r="H40" s="3">
        <v>2</v>
      </c>
    </row>
    <row r="42" spans="1:8" hidden="1">
      <c r="B42" s="3" t="s">
        <v>42</v>
      </c>
      <c r="C42" s="4">
        <v>-9.9999999998798966E-7</v>
      </c>
      <c r="D42" s="3">
        <f>+D35-ROUND(D3*C35,0)</f>
        <v>0</v>
      </c>
    </row>
    <row r="71" spans="1:1">
      <c r="A71" s="1" t="s">
        <v>590</v>
      </c>
    </row>
  </sheetData>
  <pageMargins left="0.7" right="0.7" top="0.75" bottom="0.75" header="0.3" footer="0.3"/>
  <pageSetup scale="64"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pageSetUpPr fitToPage="1"/>
  </sheetPr>
  <dimension ref="A1:WVB83"/>
  <sheetViews>
    <sheetView topLeftCell="A52" zoomScaleNormal="100" zoomScaleSheetLayoutView="80" workbookViewId="0">
      <selection activeCell="D73" activeCellId="5" sqref="D7:F7 D57:F57 D61:F61 D65:F65 D69:F69 D73:F73"/>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6.140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6.140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6.140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6.140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6.140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6.140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6.140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6.140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6.140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6.140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6.140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6.140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6.140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6.140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6.140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6.140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6.140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6.140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6.140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6.140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6.140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6.140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6.140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6.140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6.140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6.140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6.140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6.140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6.140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6.140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6.140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6.140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6.140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6.140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6.140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6.140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6.140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6.140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6.140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6.140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6.140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6.140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6.140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6.140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6.140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6.140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6.140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6.140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6.140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6.140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6.140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6.140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6.140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6.140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6.140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6.140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6.140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6.140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6.140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6.140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6.140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6.140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6.140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1571</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Worksheet'!$D$76</f>
        <v>384901</v>
      </c>
      <c r="E3" s="11"/>
      <c r="F3" s="11"/>
    </row>
    <row r="4" spans="1:6">
      <c r="A4" s="8">
        <v>0</v>
      </c>
      <c r="B4" s="11" t="s">
        <v>4</v>
      </c>
      <c r="C4" s="10">
        <v>1.5299999999999999E-3</v>
      </c>
      <c r="D4" s="12">
        <f>ROUND(D$3*C4,0)</f>
        <v>589</v>
      </c>
      <c r="E4" s="13">
        <f>ROUND(D4/2,0)</f>
        <v>295</v>
      </c>
      <c r="F4" s="12">
        <f>D4-E4</f>
        <v>294</v>
      </c>
    </row>
    <row r="5" spans="1:6">
      <c r="A5" s="8">
        <v>1</v>
      </c>
      <c r="B5" s="11" t="s">
        <v>1572</v>
      </c>
      <c r="C5" s="10">
        <v>0.18689600000000001</v>
      </c>
      <c r="D5" s="9">
        <f>ROUND(D$3*C5,0)</f>
        <v>71936</v>
      </c>
      <c r="E5" s="11">
        <f>ROUND(D5/2,0)</f>
        <v>35968</v>
      </c>
      <c r="F5" s="9">
        <f>D5-E5</f>
        <v>35968</v>
      </c>
    </row>
    <row r="6" spans="1:6">
      <c r="A6" s="8"/>
      <c r="B6" s="11" t="s">
        <v>6</v>
      </c>
      <c r="C6" s="11"/>
      <c r="D6" s="14">
        <v>0.219114</v>
      </c>
      <c r="E6" s="11"/>
      <c r="F6" s="11"/>
    </row>
    <row r="7" spans="1:6">
      <c r="A7" s="8"/>
      <c r="B7" s="11" t="s">
        <v>7</v>
      </c>
      <c r="C7" s="11"/>
      <c r="D7" s="228">
        <f>ROUND(D5*D6,0)</f>
        <v>15762</v>
      </c>
      <c r="E7" s="229">
        <f>ROUND(D7/2,0)</f>
        <v>7881</v>
      </c>
      <c r="F7" s="228">
        <f>D7-E7</f>
        <v>7881</v>
      </c>
    </row>
    <row r="8" spans="1:6">
      <c r="A8" s="8"/>
      <c r="B8" s="11" t="s">
        <v>8</v>
      </c>
      <c r="C8" s="11"/>
      <c r="D8" s="12">
        <f>+D5-D7</f>
        <v>56174</v>
      </c>
      <c r="E8" s="13">
        <f>ROUND(D8/2,0)</f>
        <v>28087</v>
      </c>
      <c r="F8" s="12">
        <f>D8-E8</f>
        <v>28087</v>
      </c>
    </row>
    <row r="9" spans="1:6">
      <c r="A9" s="8">
        <v>2</v>
      </c>
      <c r="B9" s="11" t="s">
        <v>1573</v>
      </c>
      <c r="C9" s="11"/>
      <c r="D9" s="9"/>
      <c r="E9" s="11"/>
      <c r="F9" s="11"/>
    </row>
    <row r="10" spans="1:6">
      <c r="A10" s="8"/>
      <c r="B10" s="11" t="s">
        <v>10</v>
      </c>
      <c r="C10" s="10">
        <v>5.2519999999999997E-3</v>
      </c>
      <c r="D10" s="12">
        <f>ROUND(D$3*C10,0)</f>
        <v>2022</v>
      </c>
      <c r="E10" s="13">
        <f>ROUND(D10/2,0)</f>
        <v>1011</v>
      </c>
      <c r="F10" s="12">
        <f>D10-E10</f>
        <v>1011</v>
      </c>
    </row>
    <row r="11" spans="1:6">
      <c r="A11" s="8"/>
      <c r="B11" s="11" t="s">
        <v>11</v>
      </c>
      <c r="C11" s="10">
        <v>5.2800000000000004E-4</v>
      </c>
      <c r="D11" s="12">
        <f>ROUND(D$3*C11,0)</f>
        <v>203</v>
      </c>
      <c r="E11" s="13">
        <f>ROUND(D11/2,0)</f>
        <v>102</v>
      </c>
      <c r="F11" s="12">
        <f>D11-E11</f>
        <v>101</v>
      </c>
    </row>
    <row r="12" spans="1:6">
      <c r="A12" s="8">
        <v>2</v>
      </c>
      <c r="B12" s="11" t="s">
        <v>670</v>
      </c>
      <c r="C12" s="11"/>
      <c r="D12" s="9"/>
      <c r="E12" s="11"/>
      <c r="F12" s="11"/>
    </row>
    <row r="13" spans="1:6">
      <c r="A13" s="8"/>
      <c r="B13" s="11" t="s">
        <v>10</v>
      </c>
      <c r="C13" s="10">
        <v>1.7520000000000001E-3</v>
      </c>
      <c r="D13" s="12">
        <f>ROUND(D$3*C13,0)</f>
        <v>674</v>
      </c>
      <c r="E13" s="13">
        <f>ROUND(D13/2,0)</f>
        <v>337</v>
      </c>
      <c r="F13" s="12">
        <f>D13-E13</f>
        <v>337</v>
      </c>
    </row>
    <row r="14" spans="1:6">
      <c r="A14" s="8"/>
      <c r="B14" s="11" t="s">
        <v>11</v>
      </c>
      <c r="C14" s="10">
        <v>1.8469999999999999E-3</v>
      </c>
      <c r="D14" s="12">
        <f>ROUND(D$3*C14,0)</f>
        <v>711</v>
      </c>
      <c r="E14" s="13">
        <f>ROUND(D14/2,0)</f>
        <v>356</v>
      </c>
      <c r="F14" s="12">
        <f>D14-E14</f>
        <v>355</v>
      </c>
    </row>
    <row r="15" spans="1:6">
      <c r="A15" s="8">
        <v>2</v>
      </c>
      <c r="B15" s="11" t="s">
        <v>869</v>
      </c>
      <c r="C15" s="11"/>
      <c r="D15" s="9"/>
      <c r="E15" s="11"/>
      <c r="F15" s="11"/>
    </row>
    <row r="16" spans="1:6">
      <c r="A16" s="8"/>
      <c r="B16" s="11" t="s">
        <v>10</v>
      </c>
      <c r="C16" s="10">
        <v>2.7989999999999998E-3</v>
      </c>
      <c r="D16" s="12">
        <f>ROUND(D$3*C16,0)</f>
        <v>1077</v>
      </c>
      <c r="E16" s="13">
        <f>ROUND(D16/2,0)</f>
        <v>539</v>
      </c>
      <c r="F16" s="12">
        <f>D16-E16</f>
        <v>538</v>
      </c>
    </row>
    <row r="17" spans="1:6">
      <c r="A17" s="8"/>
      <c r="B17" s="11" t="s">
        <v>11</v>
      </c>
      <c r="C17" s="10">
        <v>2.2799999999999999E-3</v>
      </c>
      <c r="D17" s="12">
        <f>ROUND(D$3*C17,0)</f>
        <v>878</v>
      </c>
      <c r="E17" s="13">
        <f>ROUND(D17/2,0)</f>
        <v>439</v>
      </c>
      <c r="F17" s="12">
        <f>D17-E17</f>
        <v>439</v>
      </c>
    </row>
    <row r="18" spans="1:6">
      <c r="A18" s="8">
        <v>2</v>
      </c>
      <c r="B18" s="11" t="s">
        <v>1574</v>
      </c>
      <c r="C18" s="11"/>
      <c r="D18" s="9"/>
      <c r="E18" s="11"/>
      <c r="F18" s="11"/>
    </row>
    <row r="19" spans="1:6">
      <c r="A19" s="8"/>
      <c r="B19" s="11" t="s">
        <v>10</v>
      </c>
      <c r="C19" s="10">
        <v>4.2400000000000001E-4</v>
      </c>
      <c r="D19" s="12">
        <f>ROUND(D$3*C19,0)</f>
        <v>163</v>
      </c>
      <c r="E19" s="13">
        <f>ROUND(D19/2,0)</f>
        <v>82</v>
      </c>
      <c r="F19" s="12">
        <f>D19-E19</f>
        <v>81</v>
      </c>
    </row>
    <row r="20" spans="1:6">
      <c r="A20" s="8"/>
      <c r="B20" s="11" t="s">
        <v>11</v>
      </c>
      <c r="C20" s="10">
        <v>1.56E-4</v>
      </c>
      <c r="D20" s="12">
        <f>ROUND(D$3*C20,0)</f>
        <v>60</v>
      </c>
      <c r="E20" s="13">
        <f>ROUND(D20/2,0)</f>
        <v>30</v>
      </c>
      <c r="F20" s="12">
        <f>D20-E20</f>
        <v>30</v>
      </c>
    </row>
    <row r="21" spans="1:6">
      <c r="A21" s="8">
        <v>2</v>
      </c>
      <c r="B21" s="11" t="s">
        <v>49</v>
      </c>
      <c r="C21" s="11"/>
      <c r="D21" s="9"/>
      <c r="E21" s="11"/>
      <c r="F21" s="11"/>
    </row>
    <row r="22" spans="1:6">
      <c r="A22" s="8"/>
      <c r="B22" s="11" t="s">
        <v>10</v>
      </c>
      <c r="C22" s="10">
        <v>2.6499999999999999E-4</v>
      </c>
      <c r="D22" s="12">
        <f>ROUND(D$3*C22,0)</f>
        <v>102</v>
      </c>
      <c r="E22" s="13">
        <f>ROUND(D22/2,0)</f>
        <v>51</v>
      </c>
      <c r="F22" s="12">
        <f>D22-E22</f>
        <v>51</v>
      </c>
    </row>
    <row r="23" spans="1:6">
      <c r="A23" s="8"/>
      <c r="B23" s="11" t="s">
        <v>11</v>
      </c>
      <c r="C23" s="10">
        <v>2.1499999999999999E-4</v>
      </c>
      <c r="D23" s="12">
        <f>ROUND(D$3*C23,0)</f>
        <v>83</v>
      </c>
      <c r="E23" s="13">
        <f>ROUND(D23/2,0)</f>
        <v>42</v>
      </c>
      <c r="F23" s="12">
        <f>D23-E23</f>
        <v>41</v>
      </c>
    </row>
    <row r="24" spans="1:6">
      <c r="A24" s="8">
        <v>2</v>
      </c>
      <c r="B24" s="11" t="s">
        <v>181</v>
      </c>
      <c r="C24" s="11"/>
      <c r="D24" s="9"/>
      <c r="E24" s="11"/>
      <c r="F24" s="11"/>
    </row>
    <row r="25" spans="1:6">
      <c r="A25" s="8"/>
      <c r="B25" s="11" t="s">
        <v>10</v>
      </c>
      <c r="C25" s="10">
        <v>7.7899999999999996E-4</v>
      </c>
      <c r="D25" s="12">
        <f>ROUND(D$3*C25,0)</f>
        <v>300</v>
      </c>
      <c r="E25" s="13">
        <f>ROUND(D25/2,0)</f>
        <v>150</v>
      </c>
      <c r="F25" s="12">
        <f>D25-E25</f>
        <v>150</v>
      </c>
    </row>
    <row r="26" spans="1:6">
      <c r="A26" s="8"/>
      <c r="B26" s="11" t="s">
        <v>11</v>
      </c>
      <c r="C26" s="10">
        <v>2.3699999999999999E-4</v>
      </c>
      <c r="D26" s="12">
        <f>ROUND(D$3*C26,0)</f>
        <v>91</v>
      </c>
      <c r="E26" s="13">
        <f>ROUND(D26/2,0)</f>
        <v>46</v>
      </c>
      <c r="F26" s="12">
        <f>D26-E26</f>
        <v>45</v>
      </c>
    </row>
    <row r="27" spans="1:6">
      <c r="A27" s="8">
        <v>2</v>
      </c>
      <c r="B27" s="11" t="s">
        <v>53</v>
      </c>
      <c r="C27" s="11"/>
      <c r="D27" s="9"/>
      <c r="E27" s="11"/>
      <c r="F27" s="11"/>
    </row>
    <row r="28" spans="1:6">
      <c r="A28" s="8"/>
      <c r="B28" s="11" t="s">
        <v>10</v>
      </c>
      <c r="C28" s="10">
        <v>9.5000000000000005E-5</v>
      </c>
      <c r="D28" s="12">
        <f>ROUND(D$3*C28,0)</f>
        <v>37</v>
      </c>
      <c r="E28" s="13">
        <f>ROUND(D28/2,0)</f>
        <v>19</v>
      </c>
      <c r="F28" s="12">
        <f>D28-E28</f>
        <v>18</v>
      </c>
    </row>
    <row r="29" spans="1:6">
      <c r="A29" s="8"/>
      <c r="B29" s="11" t="s">
        <v>11</v>
      </c>
      <c r="C29" s="10">
        <v>1.18E-4</v>
      </c>
      <c r="D29" s="12">
        <f>ROUND(D$3*C29,0)</f>
        <v>45</v>
      </c>
      <c r="E29" s="13">
        <f>ROUND(D29/2,0)</f>
        <v>23</v>
      </c>
      <c r="F29" s="12">
        <f>D29-E29</f>
        <v>22</v>
      </c>
    </row>
    <row r="30" spans="1:6">
      <c r="A30" s="8">
        <v>2</v>
      </c>
      <c r="B30" s="11" t="s">
        <v>1575</v>
      </c>
      <c r="C30" s="11"/>
      <c r="D30" s="9"/>
      <c r="E30" s="11"/>
      <c r="F30" s="11"/>
    </row>
    <row r="31" spans="1:6">
      <c r="A31" s="8"/>
      <c r="B31" s="11" t="s">
        <v>10</v>
      </c>
      <c r="C31" s="10">
        <v>4.993E-3</v>
      </c>
      <c r="D31" s="12">
        <f>ROUND(D$3*C31,0)</f>
        <v>1922</v>
      </c>
      <c r="E31" s="13">
        <f>ROUND(D31/2,0)</f>
        <v>961</v>
      </c>
      <c r="F31" s="12">
        <f>D31-E31</f>
        <v>961</v>
      </c>
    </row>
    <row r="32" spans="1:6">
      <c r="A32" s="8"/>
      <c r="B32" s="11" t="s">
        <v>11</v>
      </c>
      <c r="C32" s="10">
        <v>3.5660000000000002E-3</v>
      </c>
      <c r="D32" s="12">
        <f>ROUND(D$3*C32,0)</f>
        <v>1373</v>
      </c>
      <c r="E32" s="13">
        <f>ROUND(D32/2,0)</f>
        <v>687</v>
      </c>
      <c r="F32" s="12">
        <f>D32-E32</f>
        <v>686</v>
      </c>
    </row>
    <row r="33" spans="1:6">
      <c r="A33" s="8">
        <v>2</v>
      </c>
      <c r="B33" s="11" t="s">
        <v>203</v>
      </c>
      <c r="C33" s="11"/>
      <c r="D33" s="9"/>
      <c r="E33" s="11"/>
      <c r="F33" s="11"/>
    </row>
    <row r="34" spans="1:6">
      <c r="A34" s="8"/>
      <c r="B34" s="11" t="s">
        <v>10</v>
      </c>
      <c r="C34" s="10">
        <v>2.4399999999999999E-4</v>
      </c>
      <c r="D34" s="12">
        <f>ROUND(D$3*C34,0)</f>
        <v>94</v>
      </c>
      <c r="E34" s="13">
        <f>ROUND(D34/2,0)</f>
        <v>47</v>
      </c>
      <c r="F34" s="12">
        <f>D34-E34</f>
        <v>47</v>
      </c>
    </row>
    <row r="35" spans="1:6">
      <c r="A35" s="8"/>
      <c r="B35" s="11" t="s">
        <v>11</v>
      </c>
      <c r="C35" s="10">
        <v>9.5000000000000005E-5</v>
      </c>
      <c r="D35" s="12">
        <f>ROUND(D$3*C35,0)</f>
        <v>37</v>
      </c>
      <c r="E35" s="13">
        <f>ROUND(D35/2,0)</f>
        <v>19</v>
      </c>
      <c r="F35" s="12">
        <f>D35-E35</f>
        <v>18</v>
      </c>
    </row>
    <row r="36" spans="1:6">
      <c r="A36" s="8">
        <v>2</v>
      </c>
      <c r="B36" s="11" t="s">
        <v>873</v>
      </c>
      <c r="C36" s="11"/>
      <c r="D36" s="9"/>
      <c r="E36" s="11"/>
      <c r="F36" s="11"/>
    </row>
    <row r="37" spans="1:6">
      <c r="A37" s="8"/>
      <c r="B37" s="11" t="s">
        <v>10</v>
      </c>
      <c r="C37" s="10">
        <v>7.8399999999999997E-4</v>
      </c>
      <c r="D37" s="12">
        <f>ROUND(D$3*C37,0)</f>
        <v>302</v>
      </c>
      <c r="E37" s="13">
        <f>ROUND(D37/2,0)</f>
        <v>151</v>
      </c>
      <c r="F37" s="12">
        <f>D37-E37</f>
        <v>151</v>
      </c>
    </row>
    <row r="38" spans="1:6">
      <c r="A38" s="8"/>
      <c r="B38" s="11" t="s">
        <v>11</v>
      </c>
      <c r="C38" s="10">
        <v>1.456E-3</v>
      </c>
      <c r="D38" s="12">
        <f>ROUND(D$3*C38,0)</f>
        <v>560</v>
      </c>
      <c r="E38" s="13">
        <f>ROUND(D38/2,0)</f>
        <v>280</v>
      </c>
      <c r="F38" s="12">
        <f>D38-E38</f>
        <v>280</v>
      </c>
    </row>
    <row r="39" spans="1:6">
      <c r="A39" s="8">
        <v>2</v>
      </c>
      <c r="B39" s="11" t="s">
        <v>149</v>
      </c>
      <c r="C39" s="11"/>
      <c r="D39" s="9"/>
      <c r="E39" s="11"/>
      <c r="F39" s="11"/>
    </row>
    <row r="40" spans="1:6">
      <c r="A40" s="8"/>
      <c r="B40" s="11" t="s">
        <v>10</v>
      </c>
      <c r="C40" s="10">
        <v>8.3799999999999999E-4</v>
      </c>
      <c r="D40" s="12">
        <f>ROUND(D$3*C40,0)</f>
        <v>323</v>
      </c>
      <c r="E40" s="13">
        <f>ROUND(D40/2,0)</f>
        <v>162</v>
      </c>
      <c r="F40" s="12">
        <f>D40-E40</f>
        <v>161</v>
      </c>
    </row>
    <row r="41" spans="1:6">
      <c r="A41" s="8"/>
      <c r="B41" s="11" t="s">
        <v>11</v>
      </c>
      <c r="C41" s="10">
        <v>5.6099999999999998E-4</v>
      </c>
      <c r="D41" s="12">
        <f>ROUND(D$3*C41,0)</f>
        <v>216</v>
      </c>
      <c r="E41" s="13">
        <f>ROUND(D41/2,0)</f>
        <v>108</v>
      </c>
      <c r="F41" s="12">
        <f>D41-E41</f>
        <v>108</v>
      </c>
    </row>
    <row r="42" spans="1:6">
      <c r="A42" s="8">
        <v>2</v>
      </c>
      <c r="B42" s="11" t="s">
        <v>20</v>
      </c>
      <c r="C42" s="11"/>
      <c r="D42" s="9"/>
      <c r="E42" s="11"/>
      <c r="F42" s="11"/>
    </row>
    <row r="43" spans="1:6">
      <c r="A43" s="8"/>
      <c r="B43" s="11" t="s">
        <v>10</v>
      </c>
      <c r="C43" s="10">
        <v>8.3600000000000005E-4</v>
      </c>
      <c r="D43" s="12">
        <f>ROUND(D$3*C43,0)</f>
        <v>322</v>
      </c>
      <c r="E43" s="13">
        <f>ROUND(D43/2,0)</f>
        <v>161</v>
      </c>
      <c r="F43" s="12">
        <f>D43-E43</f>
        <v>161</v>
      </c>
    </row>
    <row r="44" spans="1:6">
      <c r="A44" s="8"/>
      <c r="B44" s="11" t="s">
        <v>11</v>
      </c>
      <c r="C44" s="10">
        <v>2.9100000000000003E-4</v>
      </c>
      <c r="D44" s="12">
        <f>ROUND(D$3*C44,0)</f>
        <v>112</v>
      </c>
      <c r="E44" s="13">
        <f>ROUND(D44/2,0)</f>
        <v>56</v>
      </c>
      <c r="F44" s="12">
        <f>D44-E44</f>
        <v>56</v>
      </c>
    </row>
    <row r="45" spans="1:6">
      <c r="A45" s="8">
        <v>2</v>
      </c>
      <c r="B45" s="11" t="s">
        <v>169</v>
      </c>
      <c r="C45" s="11"/>
      <c r="D45" s="9"/>
      <c r="E45" s="11"/>
      <c r="F45" s="11"/>
    </row>
    <row r="46" spans="1:6">
      <c r="A46" s="8"/>
      <c r="B46" s="11" t="s">
        <v>10</v>
      </c>
      <c r="C46" s="10">
        <v>6.7699999999999998E-4</v>
      </c>
      <c r="D46" s="12">
        <f>ROUND(D$3*C46,0)</f>
        <v>261</v>
      </c>
      <c r="E46" s="13">
        <f>ROUND(D46/2,0)</f>
        <v>131</v>
      </c>
      <c r="F46" s="12">
        <f>D46-E46</f>
        <v>130</v>
      </c>
    </row>
    <row r="47" spans="1:6">
      <c r="A47" s="8"/>
      <c r="B47" s="11" t="s">
        <v>11</v>
      </c>
      <c r="C47" s="10">
        <v>5.2300000000000003E-4</v>
      </c>
      <c r="D47" s="12">
        <f>ROUND(D$3*C47,0)</f>
        <v>201</v>
      </c>
      <c r="E47" s="13">
        <f>ROUND(D47/2,0)</f>
        <v>101</v>
      </c>
      <c r="F47" s="12">
        <f>D47-E47</f>
        <v>100</v>
      </c>
    </row>
    <row r="48" spans="1:6">
      <c r="A48" s="8">
        <v>2</v>
      </c>
      <c r="B48" s="11" t="s">
        <v>22</v>
      </c>
      <c r="C48" s="11"/>
      <c r="D48" s="9"/>
      <c r="E48" s="11"/>
      <c r="F48" s="11"/>
    </row>
    <row r="49" spans="1:6">
      <c r="A49" s="8"/>
      <c r="B49" s="11" t="s">
        <v>10</v>
      </c>
      <c r="C49" s="10">
        <v>2.3000000000000001E-4</v>
      </c>
      <c r="D49" s="12">
        <f t="shared" ref="D49:D55" si="0">ROUND(D$3*C49,0)</f>
        <v>89</v>
      </c>
      <c r="E49" s="13">
        <f t="shared" ref="E49:E55" si="1">ROUND(D49/2,0)</f>
        <v>45</v>
      </c>
      <c r="F49" s="12">
        <f t="shared" ref="F49:F55" si="2">D49-E49</f>
        <v>44</v>
      </c>
    </row>
    <row r="50" spans="1:6">
      <c r="A50" s="8"/>
      <c r="B50" s="11" t="s">
        <v>11</v>
      </c>
      <c r="C50" s="10">
        <v>1.18E-4</v>
      </c>
      <c r="D50" s="12">
        <f t="shared" si="0"/>
        <v>45</v>
      </c>
      <c r="E50" s="13">
        <f t="shared" si="1"/>
        <v>23</v>
      </c>
      <c r="F50" s="12">
        <f t="shared" si="2"/>
        <v>22</v>
      </c>
    </row>
    <row r="51" spans="1:6">
      <c r="A51" s="8">
        <v>3</v>
      </c>
      <c r="B51" s="11" t="s">
        <v>1576</v>
      </c>
      <c r="C51" s="10">
        <v>0</v>
      </c>
      <c r="D51" s="12">
        <f t="shared" si="0"/>
        <v>0</v>
      </c>
      <c r="E51" s="13">
        <f t="shared" si="1"/>
        <v>0</v>
      </c>
      <c r="F51" s="12">
        <f t="shared" si="2"/>
        <v>0</v>
      </c>
    </row>
    <row r="52" spans="1:6">
      <c r="A52" s="8">
        <v>3</v>
      </c>
      <c r="B52" s="11" t="s">
        <v>1577</v>
      </c>
      <c r="C52" s="10">
        <v>8.5000000000000006E-5</v>
      </c>
      <c r="D52" s="12">
        <f t="shared" si="0"/>
        <v>33</v>
      </c>
      <c r="E52" s="13">
        <f t="shared" si="1"/>
        <v>17</v>
      </c>
      <c r="F52" s="12">
        <f t="shared" si="2"/>
        <v>16</v>
      </c>
    </row>
    <row r="53" spans="1:6">
      <c r="A53" s="8">
        <v>3</v>
      </c>
      <c r="B53" s="11" t="s">
        <v>1578</v>
      </c>
      <c r="C53" s="10">
        <v>1.2830000000000001E-3</v>
      </c>
      <c r="D53" s="12">
        <f t="shared" si="0"/>
        <v>494</v>
      </c>
      <c r="E53" s="13">
        <f t="shared" si="1"/>
        <v>247</v>
      </c>
      <c r="F53" s="12">
        <f t="shared" si="2"/>
        <v>247</v>
      </c>
    </row>
    <row r="54" spans="1:6">
      <c r="A54" s="8">
        <v>3</v>
      </c>
      <c r="B54" s="11" t="s">
        <v>1579</v>
      </c>
      <c r="C54" s="10">
        <v>7.0604E-2</v>
      </c>
      <c r="D54" s="12">
        <f t="shared" si="0"/>
        <v>27176</v>
      </c>
      <c r="E54" s="13">
        <f t="shared" si="1"/>
        <v>13588</v>
      </c>
      <c r="F54" s="12">
        <f t="shared" si="2"/>
        <v>13588</v>
      </c>
    </row>
    <row r="55" spans="1:6">
      <c r="A55" s="8">
        <v>4</v>
      </c>
      <c r="B55" s="11" t="s">
        <v>362</v>
      </c>
      <c r="C55" s="10">
        <v>3.1540000000000001E-3</v>
      </c>
      <c r="D55" s="9">
        <f t="shared" si="0"/>
        <v>1214</v>
      </c>
      <c r="E55" s="11">
        <f t="shared" si="1"/>
        <v>607</v>
      </c>
      <c r="F55" s="9">
        <f t="shared" si="2"/>
        <v>607</v>
      </c>
    </row>
    <row r="56" spans="1:6">
      <c r="A56" s="8"/>
      <c r="B56" s="11" t="s">
        <v>28</v>
      </c>
      <c r="C56" s="11"/>
      <c r="D56" s="14">
        <v>0.52531300000000003</v>
      </c>
      <c r="E56" s="11"/>
      <c r="F56" s="11"/>
    </row>
    <row r="57" spans="1:6">
      <c r="A57" s="8"/>
      <c r="B57" s="11" t="s">
        <v>29</v>
      </c>
      <c r="C57" s="11"/>
      <c r="D57" s="228">
        <f>ROUND(D55*D56,0)</f>
        <v>638</v>
      </c>
      <c r="E57" s="229">
        <f>ROUND(D57/2,0)</f>
        <v>319</v>
      </c>
      <c r="F57" s="228">
        <f>D57-E57</f>
        <v>319</v>
      </c>
    </row>
    <row r="58" spans="1:6">
      <c r="A58" s="8"/>
      <c r="B58" s="11" t="s">
        <v>30</v>
      </c>
      <c r="C58" s="11"/>
      <c r="D58" s="12">
        <f>+D55-D57</f>
        <v>576</v>
      </c>
      <c r="E58" s="13">
        <f>ROUND(D58/2,0)</f>
        <v>288</v>
      </c>
      <c r="F58" s="12">
        <f>D58-E58</f>
        <v>288</v>
      </c>
    </row>
    <row r="59" spans="1:6">
      <c r="A59" s="8">
        <v>4</v>
      </c>
      <c r="B59" s="11" t="s">
        <v>1580</v>
      </c>
      <c r="C59" s="10">
        <v>0.17088999999999999</v>
      </c>
      <c r="D59" s="9">
        <f>ROUND(D$3*C59,0)</f>
        <v>65776</v>
      </c>
      <c r="E59" s="11">
        <f>ROUND(D59/2,0)</f>
        <v>32888</v>
      </c>
      <c r="F59" s="9">
        <f>D59-E59</f>
        <v>32888</v>
      </c>
    </row>
    <row r="60" spans="1:6">
      <c r="A60" s="8"/>
      <c r="B60" s="11" t="s">
        <v>28</v>
      </c>
      <c r="C60" s="11"/>
      <c r="D60" s="14">
        <v>0.52431000000000005</v>
      </c>
      <c r="E60" s="11"/>
      <c r="F60" s="11"/>
    </row>
    <row r="61" spans="1:6">
      <c r="A61" s="8"/>
      <c r="B61" s="11" t="s">
        <v>29</v>
      </c>
      <c r="C61" s="11"/>
      <c r="D61" s="228">
        <f>ROUND(D59*D60,0)</f>
        <v>34487</v>
      </c>
      <c r="E61" s="229">
        <f>ROUND(D61/2,0)</f>
        <v>17244</v>
      </c>
      <c r="F61" s="228">
        <f>D61-E61</f>
        <v>17243</v>
      </c>
    </row>
    <row r="62" spans="1:6">
      <c r="A62" s="8"/>
      <c r="B62" s="11" t="s">
        <v>30</v>
      </c>
      <c r="C62" s="11"/>
      <c r="D62" s="12">
        <f>+D59-D61</f>
        <v>31289</v>
      </c>
      <c r="E62" s="13">
        <f>ROUND(D62/2,0)</f>
        <v>15645</v>
      </c>
      <c r="F62" s="12">
        <f>D62-E62</f>
        <v>15644</v>
      </c>
    </row>
    <row r="63" spans="1:6">
      <c r="A63" s="8">
        <v>4</v>
      </c>
      <c r="B63" s="11" t="s">
        <v>1581</v>
      </c>
      <c r="C63" s="10">
        <v>0.19584799999999999</v>
      </c>
      <c r="D63" s="9">
        <f>ROUND(D$3*C63,0)</f>
        <v>75382</v>
      </c>
      <c r="E63" s="11">
        <f>ROUND(D63/2,0)</f>
        <v>37691</v>
      </c>
      <c r="F63" s="9">
        <f>D63-E63</f>
        <v>37691</v>
      </c>
    </row>
    <row r="64" spans="1:6">
      <c r="A64" s="8"/>
      <c r="B64" s="11" t="s">
        <v>28</v>
      </c>
      <c r="C64" s="11"/>
      <c r="D64" s="14">
        <v>0.463615</v>
      </c>
      <c r="E64" s="11"/>
      <c r="F64" s="11"/>
    </row>
    <row r="65" spans="1:8">
      <c r="A65" s="8"/>
      <c r="B65" s="11" t="s">
        <v>29</v>
      </c>
      <c r="C65" s="11"/>
      <c r="D65" s="228">
        <f>ROUND(D63*D64,0)</f>
        <v>34948</v>
      </c>
      <c r="E65" s="229">
        <f>ROUND(D65/2,0)</f>
        <v>17474</v>
      </c>
      <c r="F65" s="228">
        <f>D65-E65</f>
        <v>17474</v>
      </c>
    </row>
    <row r="66" spans="1:8">
      <c r="A66" s="8"/>
      <c r="B66" s="11" t="s">
        <v>30</v>
      </c>
      <c r="C66" s="11"/>
      <c r="D66" s="12">
        <f>+D63-D65</f>
        <v>40434</v>
      </c>
      <c r="E66" s="13">
        <f>ROUND(D66/2,0)</f>
        <v>20217</v>
      </c>
      <c r="F66" s="12">
        <f>D66-E66</f>
        <v>20217</v>
      </c>
    </row>
    <row r="67" spans="1:8">
      <c r="A67" s="8">
        <v>4</v>
      </c>
      <c r="B67" s="11" t="s">
        <v>1582</v>
      </c>
      <c r="C67" s="10">
        <v>0.25704100000000002</v>
      </c>
      <c r="D67" s="9">
        <f>ROUND(D$3*C67,0)</f>
        <v>98935</v>
      </c>
      <c r="E67" s="11">
        <f>ROUND(D67/2,0)</f>
        <v>49468</v>
      </c>
      <c r="F67" s="9">
        <f>D67-E67</f>
        <v>49467</v>
      </c>
    </row>
    <row r="68" spans="1:8">
      <c r="A68" s="8"/>
      <c r="B68" s="11" t="s">
        <v>28</v>
      </c>
      <c r="C68" s="11"/>
      <c r="D68" s="14">
        <v>0.39843899999999999</v>
      </c>
      <c r="E68" s="11"/>
      <c r="F68" s="11"/>
    </row>
    <row r="69" spans="1:8">
      <c r="A69" s="8"/>
      <c r="B69" s="11" t="s">
        <v>29</v>
      </c>
      <c r="C69" s="11"/>
      <c r="D69" s="228">
        <f>ROUND(D67*D68,0)</f>
        <v>39420</v>
      </c>
      <c r="E69" s="229">
        <f>ROUND(D69/2,0)</f>
        <v>19710</v>
      </c>
      <c r="F69" s="228">
        <f>D69-E69</f>
        <v>19710</v>
      </c>
    </row>
    <row r="70" spans="1:8">
      <c r="A70" s="8"/>
      <c r="B70" s="11" t="s">
        <v>30</v>
      </c>
      <c r="C70" s="11"/>
      <c r="D70" s="12">
        <f>+D67-D69</f>
        <v>59515</v>
      </c>
      <c r="E70" s="13">
        <f>ROUND(D70/2,0)</f>
        <v>29758</v>
      </c>
      <c r="F70" s="12">
        <f>D70-E70</f>
        <v>29757</v>
      </c>
    </row>
    <row r="71" spans="1:8">
      <c r="A71" s="8" t="s">
        <v>590</v>
      </c>
      <c r="B71" s="11" t="s">
        <v>1583</v>
      </c>
      <c r="C71" s="10">
        <v>6.4055000000000001E-2</v>
      </c>
      <c r="D71" s="9">
        <f>ROUND(D$3*C71,0)</f>
        <v>24655</v>
      </c>
      <c r="E71" s="11">
        <f>ROUND(D71/2,0)</f>
        <v>12328</v>
      </c>
      <c r="F71" s="9">
        <f>D71-E71</f>
        <v>12327</v>
      </c>
    </row>
    <row r="72" spans="1:8">
      <c r="A72" s="8"/>
      <c r="B72" s="11" t="s">
        <v>28</v>
      </c>
      <c r="C72" s="11"/>
      <c r="D72" s="14">
        <v>0.45826800000000001</v>
      </c>
      <c r="E72" s="11"/>
      <c r="F72" s="11"/>
    </row>
    <row r="73" spans="1:8">
      <c r="A73" s="8"/>
      <c r="B73" s="11" t="s">
        <v>29</v>
      </c>
      <c r="C73" s="11"/>
      <c r="D73" s="228">
        <f>ROUND(D71*D72,0)</f>
        <v>11299</v>
      </c>
      <c r="E73" s="229">
        <f>ROUND(D73/2,0)</f>
        <v>5650</v>
      </c>
      <c r="F73" s="228">
        <f>D73-E73</f>
        <v>5649</v>
      </c>
    </row>
    <row r="74" spans="1:8">
      <c r="A74" s="8"/>
      <c r="B74" s="11" t="s">
        <v>30</v>
      </c>
      <c r="C74" s="11"/>
      <c r="D74" s="12">
        <f>+D71-D73</f>
        <v>13356</v>
      </c>
      <c r="E74" s="13">
        <f>ROUND(D74/2,0)</f>
        <v>6678</v>
      </c>
      <c r="F74" s="12">
        <f>D74-E74</f>
        <v>6678</v>
      </c>
    </row>
    <row r="75" spans="1:8">
      <c r="A75" s="8">
        <v>5</v>
      </c>
      <c r="B75" s="11" t="s">
        <v>1584</v>
      </c>
      <c r="C75" s="10">
        <v>1.6654999999999864E-2</v>
      </c>
      <c r="D75" s="12">
        <f>+D3-SUM(D4:D5)-SUM(D10:D55)-D59-D63-D67-D71</f>
        <v>6408</v>
      </c>
      <c r="E75" s="13">
        <f>ROUND(D75/2,0)</f>
        <v>3204</v>
      </c>
      <c r="F75" s="12">
        <f>D75-E75</f>
        <v>3204</v>
      </c>
    </row>
    <row r="76" spans="1:8">
      <c r="A76" s="8">
        <v>6</v>
      </c>
      <c r="B76" s="11" t="s">
        <v>1585</v>
      </c>
      <c r="C76" s="10">
        <v>0</v>
      </c>
      <c r="D76" s="12">
        <f>ROUND(D$3*C76,0)</f>
        <v>0</v>
      </c>
      <c r="E76" s="13">
        <f>ROUND(D76/2,0)</f>
        <v>0</v>
      </c>
      <c r="F76" s="12">
        <f>D76-E76</f>
        <v>0</v>
      </c>
    </row>
    <row r="77" spans="1:8">
      <c r="A77" s="8"/>
      <c r="B77" s="28" t="s">
        <v>288</v>
      </c>
      <c r="C77" s="10">
        <v>1</v>
      </c>
      <c r="D77" s="12">
        <f>+D4+SUM(D7:D54)+SUM(D57:D58)+SUM(D61:D62)+SUM(D65:D66)+SUM(D69:D70)+SUM(D73:D76)</f>
        <v>384901</v>
      </c>
      <c r="E77" s="12">
        <f>+E4+SUM(E7:E54)+SUM(E57:E58)+SUM(E61:E62)+SUM(E65:E66)+SUM(E69:E70)+SUM(E73:E76)</f>
        <v>192461</v>
      </c>
      <c r="F77" s="12">
        <f>+F4+SUM(F7:F54)+SUM(F57:F58)+SUM(F61:F62)+SUM(F65:F66)+SUM(F69:F70)+SUM(F73:F76)</f>
        <v>192440</v>
      </c>
    </row>
    <row r="78" spans="1:8">
      <c r="B78" s="18" t="s">
        <v>38</v>
      </c>
      <c r="D78" s="19">
        <f>+D4</f>
        <v>589</v>
      </c>
      <c r="E78" s="19">
        <f>+E4</f>
        <v>295</v>
      </c>
      <c r="F78" s="19">
        <f>+F4</f>
        <v>294</v>
      </c>
    </row>
    <row r="79" spans="1:8">
      <c r="B79" s="2" t="s">
        <v>39</v>
      </c>
      <c r="D79" s="19">
        <f>+D7</f>
        <v>15762</v>
      </c>
      <c r="E79" s="19">
        <f>+E7</f>
        <v>7881</v>
      </c>
      <c r="F79" s="19">
        <f>+F7</f>
        <v>7881</v>
      </c>
    </row>
    <row r="80" spans="1:8">
      <c r="B80" s="2" t="s">
        <v>40</v>
      </c>
      <c r="D80" s="19">
        <f>+D57+D61+D65+D69+D73</f>
        <v>120792</v>
      </c>
      <c r="E80" s="19">
        <f>+E57+E61+E65+E69+E73</f>
        <v>60397</v>
      </c>
      <c r="F80" s="19">
        <f>+F57+F61+F65+F69+F73</f>
        <v>60395</v>
      </c>
      <c r="H80" s="3">
        <v>1</v>
      </c>
    </row>
    <row r="81" spans="2:8">
      <c r="B81" s="18" t="s">
        <v>41</v>
      </c>
      <c r="D81" s="19">
        <f>+D77-D78-D79-D80</f>
        <v>247758</v>
      </c>
      <c r="E81" s="19">
        <f>+E77-E78-E79-E80</f>
        <v>123888</v>
      </c>
      <c r="F81" s="19">
        <f>+F77-F78-F79-F80</f>
        <v>123870</v>
      </c>
      <c r="H81" s="3">
        <v>2</v>
      </c>
    </row>
    <row r="83" spans="2:8" hidden="1">
      <c r="B83" s="3" t="s">
        <v>42</v>
      </c>
      <c r="C83" s="4">
        <v>9.9999999986569166E-7</v>
      </c>
      <c r="D83" s="3">
        <f>+D75-ROUND(D3*C75,0)</f>
        <v>-3</v>
      </c>
    </row>
  </sheetData>
  <pageMargins left="0.7" right="0.7" top="0.75" bottom="0.75" header="0.3" footer="0.3"/>
  <pageSetup scale="55"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5">
    <pageSetUpPr fitToPage="1"/>
  </sheetPr>
  <dimension ref="A1:WVB71"/>
  <sheetViews>
    <sheetView topLeftCell="A27" zoomScaleNormal="100" zoomScaleSheetLayoutView="70" workbookViewId="0">
      <selection activeCell="D48" activeCellId="2" sqref="D7:F7 D44:F44 D48:F48"/>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140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140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140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140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140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140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140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140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140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140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140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140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140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140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140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140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140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140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140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140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140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140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140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140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140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140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140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140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140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140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140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140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140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140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140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140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140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140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140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140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140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140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140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140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140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140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140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140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140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140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140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140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140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140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140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140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140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140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140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140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140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140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140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1586</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Worksheet'!$D$77</f>
        <v>279193</v>
      </c>
      <c r="E3" s="11"/>
      <c r="F3" s="11"/>
    </row>
    <row r="4" spans="1:6">
      <c r="A4" s="8">
        <v>0</v>
      </c>
      <c r="B4" s="11" t="s">
        <v>4</v>
      </c>
      <c r="C4" s="10">
        <v>1.485E-3</v>
      </c>
      <c r="D4" s="12">
        <f>ROUND(D$3*C4,0)</f>
        <v>415</v>
      </c>
      <c r="E4" s="13">
        <f>ROUND(D4/2,0)</f>
        <v>208</v>
      </c>
      <c r="F4" s="12">
        <f>D4-E4</f>
        <v>207</v>
      </c>
    </row>
    <row r="5" spans="1:6">
      <c r="A5" s="8">
        <v>1</v>
      </c>
      <c r="B5" s="11" t="s">
        <v>1587</v>
      </c>
      <c r="C5" s="10">
        <v>0.18720200000000001</v>
      </c>
      <c r="D5" s="9">
        <f>ROUND(D$3*C5,0)</f>
        <v>52265</v>
      </c>
      <c r="E5" s="11">
        <f>ROUND(D5/2,0)</f>
        <v>26133</v>
      </c>
      <c r="F5" s="9">
        <f>D5-E5</f>
        <v>26132</v>
      </c>
    </row>
    <row r="6" spans="1:6">
      <c r="A6" s="8"/>
      <c r="B6" s="11" t="s">
        <v>6</v>
      </c>
      <c r="C6" s="11"/>
      <c r="D6" s="14">
        <v>8.4342E-2</v>
      </c>
      <c r="E6" s="11"/>
      <c r="F6" s="11"/>
    </row>
    <row r="7" spans="1:6">
      <c r="A7" s="8"/>
      <c r="B7" s="11" t="s">
        <v>7</v>
      </c>
      <c r="C7" s="11"/>
      <c r="D7" s="225">
        <f>ROUND(D5*D6,0)</f>
        <v>4408</v>
      </c>
      <c r="E7" s="226">
        <f>ROUND(D7/2,0)</f>
        <v>2204</v>
      </c>
      <c r="F7" s="225">
        <f>D7-E7</f>
        <v>2204</v>
      </c>
    </row>
    <row r="8" spans="1:6">
      <c r="A8" s="8"/>
      <c r="B8" s="11" t="s">
        <v>8</v>
      </c>
      <c r="C8" s="11"/>
      <c r="D8" s="12">
        <f>+D5-D7</f>
        <v>47857</v>
      </c>
      <c r="E8" s="13">
        <f>ROUND(D8/2,0)</f>
        <v>23929</v>
      </c>
      <c r="F8" s="12">
        <f>D8-E8</f>
        <v>23928</v>
      </c>
    </row>
    <row r="9" spans="1:6">
      <c r="A9" s="8">
        <v>2</v>
      </c>
      <c r="B9" s="11" t="s">
        <v>1588</v>
      </c>
      <c r="C9" s="11"/>
      <c r="D9" s="9"/>
      <c r="E9" s="11"/>
      <c r="F9" s="11"/>
    </row>
    <row r="10" spans="1:6">
      <c r="A10" s="8"/>
      <c r="B10" s="11" t="s">
        <v>10</v>
      </c>
      <c r="C10" s="10">
        <v>2.0860000000000002E-3</v>
      </c>
      <c r="D10" s="12">
        <f>ROUND(D$3*C10,0)</f>
        <v>582</v>
      </c>
      <c r="E10" s="13">
        <f>ROUND(D10/2,0)</f>
        <v>291</v>
      </c>
      <c r="F10" s="12">
        <f>D10-E10</f>
        <v>291</v>
      </c>
    </row>
    <row r="11" spans="1:6">
      <c r="A11" s="8"/>
      <c r="B11" s="11" t="s">
        <v>11</v>
      </c>
      <c r="C11" s="10">
        <v>0</v>
      </c>
      <c r="D11" s="12">
        <f>ROUND(D$3*C11,0)</f>
        <v>0</v>
      </c>
      <c r="E11" s="13">
        <f>ROUND(D11/2,0)</f>
        <v>0</v>
      </c>
      <c r="F11" s="12">
        <f>D11-E11</f>
        <v>0</v>
      </c>
    </row>
    <row r="12" spans="1:6">
      <c r="A12" s="8">
        <v>2</v>
      </c>
      <c r="B12" s="11" t="s">
        <v>81</v>
      </c>
      <c r="C12" s="11"/>
      <c r="D12" s="9"/>
      <c r="E12" s="11"/>
      <c r="F12" s="11"/>
    </row>
    <row r="13" spans="1:6">
      <c r="A13" s="8"/>
      <c r="B13" s="11" t="s">
        <v>10</v>
      </c>
      <c r="C13" s="10">
        <v>4.64E-4</v>
      </c>
      <c r="D13" s="12">
        <f>ROUND(D$3*C13,0)</f>
        <v>130</v>
      </c>
      <c r="E13" s="13">
        <f>ROUND(D13/2,0)</f>
        <v>65</v>
      </c>
      <c r="F13" s="12">
        <f>D13-E13</f>
        <v>65</v>
      </c>
    </row>
    <row r="14" spans="1:6">
      <c r="A14" s="8"/>
      <c r="B14" s="11" t="s">
        <v>11</v>
      </c>
      <c r="C14" s="10">
        <v>7.4999999999999993E-5</v>
      </c>
      <c r="D14" s="12">
        <f>ROUND(D$3*C14,0)</f>
        <v>21</v>
      </c>
      <c r="E14" s="13">
        <f>ROUND(D14/2,0)</f>
        <v>11</v>
      </c>
      <c r="F14" s="12">
        <f>D14-E14</f>
        <v>10</v>
      </c>
    </row>
    <row r="15" spans="1:6">
      <c r="A15" s="8">
        <v>2</v>
      </c>
      <c r="B15" s="11" t="s">
        <v>1589</v>
      </c>
      <c r="C15" s="11"/>
      <c r="D15" s="9"/>
      <c r="E15" s="11"/>
      <c r="F15" s="11"/>
    </row>
    <row r="16" spans="1:6">
      <c r="A16" s="8"/>
      <c r="B16" s="11" t="s">
        <v>10</v>
      </c>
      <c r="C16" s="10">
        <v>1.0449999999999999E-3</v>
      </c>
      <c r="D16" s="12">
        <f>ROUND(D$3*C16,0)</f>
        <v>292</v>
      </c>
      <c r="E16" s="13">
        <f>ROUND(D16/2,0)</f>
        <v>146</v>
      </c>
      <c r="F16" s="12">
        <f>D16-E16</f>
        <v>146</v>
      </c>
    </row>
    <row r="17" spans="1:6">
      <c r="A17" s="8"/>
      <c r="B17" s="11" t="s">
        <v>11</v>
      </c>
      <c r="C17" s="10">
        <v>3.6900000000000002E-4</v>
      </c>
      <c r="D17" s="12">
        <f>ROUND(D$3*C17,0)</f>
        <v>103</v>
      </c>
      <c r="E17" s="13">
        <f>ROUND(D17/2,0)</f>
        <v>52</v>
      </c>
      <c r="F17" s="12">
        <f>D17-E17</f>
        <v>51</v>
      </c>
    </row>
    <row r="18" spans="1:6">
      <c r="A18" s="8">
        <v>2</v>
      </c>
      <c r="B18" s="11" t="s">
        <v>1590</v>
      </c>
      <c r="C18" s="11"/>
      <c r="D18" s="9"/>
      <c r="E18" s="11"/>
      <c r="F18" s="11"/>
    </row>
    <row r="19" spans="1:6">
      <c r="A19" s="8"/>
      <c r="B19" s="11" t="s">
        <v>10</v>
      </c>
      <c r="C19" s="10">
        <v>9.3700000000000001E-4</v>
      </c>
      <c r="D19" s="12">
        <f>ROUND(D$3*C19,0)</f>
        <v>262</v>
      </c>
      <c r="E19" s="13">
        <f>ROUND(D19/2,0)</f>
        <v>131</v>
      </c>
      <c r="F19" s="12">
        <f>D19-E19</f>
        <v>131</v>
      </c>
    </row>
    <row r="20" spans="1:6">
      <c r="A20" s="8"/>
      <c r="B20" s="11" t="s">
        <v>11</v>
      </c>
      <c r="C20" s="10">
        <v>2.6800000000000001E-4</v>
      </c>
      <c r="D20" s="12">
        <f>ROUND(D$3*C20,0)</f>
        <v>75</v>
      </c>
      <c r="E20" s="13">
        <f>ROUND(D20/2,0)</f>
        <v>38</v>
      </c>
      <c r="F20" s="12">
        <f>D20-E20</f>
        <v>37</v>
      </c>
    </row>
    <row r="21" spans="1:6">
      <c r="A21" s="8">
        <v>2</v>
      </c>
      <c r="B21" s="11" t="s">
        <v>86</v>
      </c>
      <c r="C21" s="11"/>
      <c r="D21" s="9"/>
      <c r="E21" s="11"/>
      <c r="F21" s="11"/>
    </row>
    <row r="22" spans="1:6">
      <c r="A22" s="8"/>
      <c r="B22" s="11" t="s">
        <v>10</v>
      </c>
      <c r="C22" s="10">
        <v>9.2100000000000005E-4</v>
      </c>
      <c r="D22" s="12">
        <f>ROUND(D$3*C22,0)</f>
        <v>257</v>
      </c>
      <c r="E22" s="13">
        <f>ROUND(D22/2,0)</f>
        <v>129</v>
      </c>
      <c r="F22" s="12">
        <f>D22-E22</f>
        <v>128</v>
      </c>
    </row>
    <row r="23" spans="1:6">
      <c r="A23" s="8"/>
      <c r="B23" s="11" t="s">
        <v>11</v>
      </c>
      <c r="C23" s="10">
        <v>3.8200000000000002E-4</v>
      </c>
      <c r="D23" s="12">
        <f>ROUND(D$3*C23,0)</f>
        <v>107</v>
      </c>
      <c r="E23" s="13">
        <f>ROUND(D23/2,0)</f>
        <v>54</v>
      </c>
      <c r="F23" s="12">
        <f>D23-E23</f>
        <v>53</v>
      </c>
    </row>
    <row r="24" spans="1:6">
      <c r="A24" s="8">
        <v>2</v>
      </c>
      <c r="B24" s="11" t="s">
        <v>1591</v>
      </c>
      <c r="C24" s="11"/>
      <c r="D24" s="9"/>
      <c r="E24" s="11"/>
      <c r="F24" s="11"/>
    </row>
    <row r="25" spans="1:6">
      <c r="A25" s="8"/>
      <c r="B25" s="11" t="s">
        <v>10</v>
      </c>
      <c r="C25" s="10">
        <v>5.7499999999999999E-4</v>
      </c>
      <c r="D25" s="12">
        <f>ROUND(D$3*C25,0)</f>
        <v>161</v>
      </c>
      <c r="E25" s="13">
        <f>ROUND(D25/2,0)</f>
        <v>81</v>
      </c>
      <c r="F25" s="12">
        <f>D25-E25</f>
        <v>80</v>
      </c>
    </row>
    <row r="26" spans="1:6">
      <c r="A26" s="8"/>
      <c r="B26" s="11" t="s">
        <v>11</v>
      </c>
      <c r="C26" s="10">
        <v>2.12E-4</v>
      </c>
      <c r="D26" s="12">
        <f>ROUND(D$3*C26,0)</f>
        <v>59</v>
      </c>
      <c r="E26" s="13">
        <f>ROUND(D26/2,0)</f>
        <v>30</v>
      </c>
      <c r="F26" s="12">
        <f>D26-E26</f>
        <v>29</v>
      </c>
    </row>
    <row r="27" spans="1:6">
      <c r="A27" s="8">
        <v>2</v>
      </c>
      <c r="B27" s="11" t="s">
        <v>49</v>
      </c>
      <c r="C27" s="11"/>
      <c r="D27" s="9"/>
      <c r="E27" s="11"/>
      <c r="F27" s="11"/>
    </row>
    <row r="28" spans="1:6">
      <c r="A28" s="8"/>
      <c r="B28" s="11" t="s">
        <v>10</v>
      </c>
      <c r="C28" s="10">
        <v>3.6600000000000001E-4</v>
      </c>
      <c r="D28" s="12">
        <f>ROUND(D$3*C28,0)</f>
        <v>102</v>
      </c>
      <c r="E28" s="13">
        <f>ROUND(D28/2,0)</f>
        <v>51</v>
      </c>
      <c r="F28" s="12">
        <f>D28-E28</f>
        <v>51</v>
      </c>
    </row>
    <row r="29" spans="1:6">
      <c r="A29" s="8"/>
      <c r="B29" s="11" t="s">
        <v>11</v>
      </c>
      <c r="C29" s="10">
        <v>1.11E-4</v>
      </c>
      <c r="D29" s="12">
        <f>ROUND(D$3*C29,0)</f>
        <v>31</v>
      </c>
      <c r="E29" s="13">
        <f>ROUND(D29/2,0)</f>
        <v>16</v>
      </c>
      <c r="F29" s="12">
        <f>D29-E29</f>
        <v>15</v>
      </c>
    </row>
    <row r="30" spans="1:6">
      <c r="A30" s="8">
        <v>2</v>
      </c>
      <c r="B30" s="11" t="s">
        <v>1592</v>
      </c>
      <c r="C30" s="11"/>
      <c r="D30" s="9"/>
      <c r="E30" s="11"/>
      <c r="F30" s="11"/>
    </row>
    <row r="31" spans="1:6">
      <c r="A31" s="8"/>
      <c r="B31" s="11" t="s">
        <v>10</v>
      </c>
      <c r="C31" s="10">
        <v>7.2760000000000003E-3</v>
      </c>
      <c r="D31" s="12">
        <f>ROUND(D$3*C31,0)</f>
        <v>2031</v>
      </c>
      <c r="E31" s="13">
        <f>ROUND(D31/2,0)</f>
        <v>1016</v>
      </c>
      <c r="F31" s="12">
        <f>D31-E31</f>
        <v>1015</v>
      </c>
    </row>
    <row r="32" spans="1:6">
      <c r="A32" s="8"/>
      <c r="B32" s="11" t="s">
        <v>11</v>
      </c>
      <c r="C32" s="10">
        <v>4.3189999999999999E-3</v>
      </c>
      <c r="D32" s="12">
        <f>ROUND(D$3*C32,0)</f>
        <v>1206</v>
      </c>
      <c r="E32" s="13">
        <f>ROUND(D32/2,0)</f>
        <v>603</v>
      </c>
      <c r="F32" s="12">
        <f>D32-E32</f>
        <v>603</v>
      </c>
    </row>
    <row r="33" spans="1:6">
      <c r="A33" s="8">
        <v>2</v>
      </c>
      <c r="B33" s="11" t="s">
        <v>88</v>
      </c>
      <c r="C33" s="11"/>
      <c r="D33" s="9"/>
      <c r="E33" s="11"/>
      <c r="F33" s="11"/>
    </row>
    <row r="34" spans="1:6">
      <c r="A34" s="8"/>
      <c r="B34" s="11" t="s">
        <v>10</v>
      </c>
      <c r="C34" s="10">
        <v>2.575E-3</v>
      </c>
      <c r="D34" s="12">
        <f t="shared" ref="D34:D42" si="0">ROUND(D$3*C34,0)</f>
        <v>719</v>
      </c>
      <c r="E34" s="13">
        <f t="shared" ref="E34:E42" si="1">ROUND(D34/2,0)</f>
        <v>360</v>
      </c>
      <c r="F34" s="12">
        <f t="shared" ref="F34:F42" si="2">D34-E34</f>
        <v>359</v>
      </c>
    </row>
    <row r="35" spans="1:6">
      <c r="A35" s="8"/>
      <c r="B35" s="11" t="s">
        <v>11</v>
      </c>
      <c r="C35" s="10">
        <v>3.496E-3</v>
      </c>
      <c r="D35" s="12">
        <f t="shared" si="0"/>
        <v>976</v>
      </c>
      <c r="E35" s="13">
        <f t="shared" si="1"/>
        <v>488</v>
      </c>
      <c r="F35" s="12">
        <f t="shared" si="2"/>
        <v>488</v>
      </c>
    </row>
    <row r="36" spans="1:6">
      <c r="A36" s="8">
        <v>3</v>
      </c>
      <c r="B36" s="11" t="s">
        <v>1593</v>
      </c>
      <c r="C36" s="10">
        <v>1.1000000000000001E-3</v>
      </c>
      <c r="D36" s="12">
        <f t="shared" si="0"/>
        <v>307</v>
      </c>
      <c r="E36" s="13">
        <f t="shared" si="1"/>
        <v>154</v>
      </c>
      <c r="F36" s="12">
        <f t="shared" si="2"/>
        <v>153</v>
      </c>
    </row>
    <row r="37" spans="1:6">
      <c r="A37" s="8">
        <v>3</v>
      </c>
      <c r="B37" s="11" t="s">
        <v>1594</v>
      </c>
      <c r="C37" s="10">
        <v>2.2850000000000001E-3</v>
      </c>
      <c r="D37" s="12">
        <f t="shared" si="0"/>
        <v>638</v>
      </c>
      <c r="E37" s="13">
        <f t="shared" si="1"/>
        <v>319</v>
      </c>
      <c r="F37" s="12">
        <f t="shared" si="2"/>
        <v>319</v>
      </c>
    </row>
    <row r="38" spans="1:6">
      <c r="A38" s="8">
        <v>3</v>
      </c>
      <c r="B38" s="11" t="s">
        <v>1595</v>
      </c>
      <c r="C38" s="10">
        <v>0</v>
      </c>
      <c r="D38" s="12">
        <f t="shared" si="0"/>
        <v>0</v>
      </c>
      <c r="E38" s="13">
        <f t="shared" si="1"/>
        <v>0</v>
      </c>
      <c r="F38" s="12">
        <f t="shared" si="2"/>
        <v>0</v>
      </c>
    </row>
    <row r="39" spans="1:6">
      <c r="A39" s="8">
        <v>3</v>
      </c>
      <c r="B39" s="11" t="s">
        <v>1596</v>
      </c>
      <c r="C39" s="10">
        <v>7.1939999999999999E-3</v>
      </c>
      <c r="D39" s="12">
        <f t="shared" si="0"/>
        <v>2009</v>
      </c>
      <c r="E39" s="13">
        <f t="shared" si="1"/>
        <v>1005</v>
      </c>
      <c r="F39" s="12">
        <f t="shared" si="2"/>
        <v>1004</v>
      </c>
    </row>
    <row r="40" spans="1:6">
      <c r="A40" s="8">
        <v>3</v>
      </c>
      <c r="B40" s="11" t="s">
        <v>1597</v>
      </c>
      <c r="C40" s="10">
        <v>3.1960000000000001E-3</v>
      </c>
      <c r="D40" s="12">
        <f t="shared" si="0"/>
        <v>892</v>
      </c>
      <c r="E40" s="13">
        <f t="shared" si="1"/>
        <v>446</v>
      </c>
      <c r="F40" s="12">
        <f t="shared" si="2"/>
        <v>446</v>
      </c>
    </row>
    <row r="41" spans="1:6">
      <c r="A41" s="8">
        <v>3</v>
      </c>
      <c r="B41" s="11" t="s">
        <v>1598</v>
      </c>
      <c r="C41" s="10">
        <v>9.2100000000000005E-4</v>
      </c>
      <c r="D41" s="12">
        <f t="shared" si="0"/>
        <v>257</v>
      </c>
      <c r="E41" s="13">
        <f t="shared" si="1"/>
        <v>129</v>
      </c>
      <c r="F41" s="12">
        <f t="shared" si="2"/>
        <v>128</v>
      </c>
    </row>
    <row r="42" spans="1:6">
      <c r="A42" s="8">
        <v>4</v>
      </c>
      <c r="B42" s="11" t="s">
        <v>1599</v>
      </c>
      <c r="C42" s="10">
        <v>0.38153399999999998</v>
      </c>
      <c r="D42" s="9">
        <f t="shared" si="0"/>
        <v>106522</v>
      </c>
      <c r="E42" s="11">
        <f t="shared" si="1"/>
        <v>53261</v>
      </c>
      <c r="F42" s="9">
        <f t="shared" si="2"/>
        <v>53261</v>
      </c>
    </row>
    <row r="43" spans="1:6">
      <c r="A43" s="8"/>
      <c r="B43" s="11" t="s">
        <v>28</v>
      </c>
      <c r="C43" s="11"/>
      <c r="D43" s="14">
        <v>0.47156599999999999</v>
      </c>
      <c r="E43" s="11"/>
      <c r="F43" s="11"/>
    </row>
    <row r="44" spans="1:6">
      <c r="A44" s="8"/>
      <c r="B44" s="11" t="s">
        <v>29</v>
      </c>
      <c r="C44" s="11"/>
      <c r="D44" s="225">
        <f>ROUND(D42*D43,0)</f>
        <v>50232</v>
      </c>
      <c r="E44" s="226">
        <f>ROUND(D44/2,0)</f>
        <v>25116</v>
      </c>
      <c r="F44" s="225">
        <f>D44-E44</f>
        <v>25116</v>
      </c>
    </row>
    <row r="45" spans="1:6">
      <c r="A45" s="8"/>
      <c r="B45" s="11" t="s">
        <v>30</v>
      </c>
      <c r="C45" s="11"/>
      <c r="D45" s="12">
        <f>+D42-D44</f>
        <v>56290</v>
      </c>
      <c r="E45" s="13">
        <f>ROUND(D45/2,0)</f>
        <v>28145</v>
      </c>
      <c r="F45" s="12">
        <f>D45-E45</f>
        <v>28145</v>
      </c>
    </row>
    <row r="46" spans="1:6">
      <c r="A46" s="8">
        <v>4</v>
      </c>
      <c r="B46" s="11" t="s">
        <v>1600</v>
      </c>
      <c r="C46" s="10">
        <v>0.32007200000000002</v>
      </c>
      <c r="D46" s="9">
        <f>ROUND(D$3*C46,0)</f>
        <v>89362</v>
      </c>
      <c r="E46" s="11">
        <f>ROUND(D46/2,0)</f>
        <v>44681</v>
      </c>
      <c r="F46" s="9">
        <f>D46-E46</f>
        <v>44681</v>
      </c>
    </row>
    <row r="47" spans="1:6">
      <c r="A47" s="8"/>
      <c r="B47" s="11" t="s">
        <v>28</v>
      </c>
      <c r="C47" s="11"/>
      <c r="D47" s="14">
        <v>0.49704999999999999</v>
      </c>
      <c r="E47" s="11"/>
      <c r="F47" s="11"/>
    </row>
    <row r="48" spans="1:6">
      <c r="A48" s="8"/>
      <c r="B48" s="11" t="s">
        <v>29</v>
      </c>
      <c r="C48" s="11"/>
      <c r="D48" s="225">
        <f>ROUND(D46*D47,0)</f>
        <v>44417</v>
      </c>
      <c r="E48" s="226">
        <f t="shared" ref="E48:E53" si="3">ROUND(D48/2,0)</f>
        <v>22209</v>
      </c>
      <c r="F48" s="225">
        <f t="shared" ref="F48:F53" si="4">D48-E48</f>
        <v>22208</v>
      </c>
    </row>
    <row r="49" spans="1:8">
      <c r="A49" s="8"/>
      <c r="B49" s="11" t="s">
        <v>30</v>
      </c>
      <c r="C49" s="11"/>
      <c r="D49" s="12">
        <f>+D46-D48</f>
        <v>44945</v>
      </c>
      <c r="E49" s="13">
        <f t="shared" si="3"/>
        <v>22473</v>
      </c>
      <c r="F49" s="12">
        <f t="shared" si="4"/>
        <v>22472</v>
      </c>
    </row>
    <row r="50" spans="1:8">
      <c r="A50" s="8">
        <v>5</v>
      </c>
      <c r="B50" s="11" t="s">
        <v>1601</v>
      </c>
      <c r="C50" s="10">
        <v>2.0326E-2</v>
      </c>
      <c r="D50" s="12">
        <f>ROUND(D$3*C50,0)</f>
        <v>5675</v>
      </c>
      <c r="E50" s="13">
        <f t="shared" si="3"/>
        <v>2838</v>
      </c>
      <c r="F50" s="12">
        <f t="shared" si="4"/>
        <v>2837</v>
      </c>
    </row>
    <row r="51" spans="1:8">
      <c r="A51" s="8">
        <v>5</v>
      </c>
      <c r="B51" s="11" t="s">
        <v>1602</v>
      </c>
      <c r="C51" s="10">
        <v>3.3008000000000003E-2</v>
      </c>
      <c r="D51" s="12">
        <f>ROUND(D$3*C51,0)</f>
        <v>9216</v>
      </c>
      <c r="E51" s="13">
        <f t="shared" si="3"/>
        <v>4608</v>
      </c>
      <c r="F51" s="12">
        <f t="shared" si="4"/>
        <v>4608</v>
      </c>
    </row>
    <row r="52" spans="1:8">
      <c r="A52" s="8">
        <v>6</v>
      </c>
      <c r="B52" s="11" t="s">
        <v>1603</v>
      </c>
      <c r="C52" s="10">
        <v>9.0259999999999993E-3</v>
      </c>
      <c r="D52" s="12">
        <f>ROUND(D$3*C52,0)</f>
        <v>2520</v>
      </c>
      <c r="E52" s="13">
        <f t="shared" si="3"/>
        <v>1260</v>
      </c>
      <c r="F52" s="12">
        <f t="shared" si="4"/>
        <v>1260</v>
      </c>
    </row>
    <row r="53" spans="1:8">
      <c r="A53" s="8">
        <v>6</v>
      </c>
      <c r="B53" s="11" t="s">
        <v>1604</v>
      </c>
      <c r="C53" s="10">
        <v>7.1740000000001247E-3</v>
      </c>
      <c r="D53" s="12">
        <f>+D3-SUM(D4:D5)-SUM(D10:D42)-D46-SUM(D50:D52)</f>
        <v>2001</v>
      </c>
      <c r="E53" s="13">
        <f t="shared" si="3"/>
        <v>1001</v>
      </c>
      <c r="F53" s="12">
        <f t="shared" si="4"/>
        <v>1000</v>
      </c>
    </row>
    <row r="54" spans="1:8">
      <c r="A54" s="8"/>
      <c r="B54" s="28" t="s">
        <v>288</v>
      </c>
      <c r="C54" s="10">
        <v>1</v>
      </c>
      <c r="D54" s="12">
        <f>+D4+SUM(D7:D41)+SUM(D44:D45)+SUM(D48:D53)</f>
        <v>279193</v>
      </c>
      <c r="E54" s="12">
        <f>+E4+SUM(E7:E41)+SUM(E44:E45)+SUM(E48:E53)</f>
        <v>139606</v>
      </c>
      <c r="F54" s="12">
        <f>+F4+SUM(F7:F41)+SUM(F44:F45)+SUM(F48:F53)</f>
        <v>139587</v>
      </c>
    </row>
    <row r="55" spans="1:8">
      <c r="B55" s="18" t="s">
        <v>38</v>
      </c>
      <c r="D55" s="19">
        <f>+D4</f>
        <v>415</v>
      </c>
      <c r="E55" s="19">
        <f>+E4</f>
        <v>208</v>
      </c>
      <c r="F55" s="19">
        <f>+F4</f>
        <v>207</v>
      </c>
    </row>
    <row r="56" spans="1:8">
      <c r="B56" s="2" t="s">
        <v>39</v>
      </c>
      <c r="D56" s="19">
        <f>+D7</f>
        <v>4408</v>
      </c>
      <c r="E56" s="19">
        <f>+E7</f>
        <v>2204</v>
      </c>
      <c r="F56" s="19">
        <f>+F7</f>
        <v>2204</v>
      </c>
    </row>
    <row r="57" spans="1:8">
      <c r="B57" s="2" t="s">
        <v>40</v>
      </c>
      <c r="D57" s="19">
        <f>+D44+D48</f>
        <v>94649</v>
      </c>
      <c r="E57" s="19">
        <f>+E44+E48</f>
        <v>47325</v>
      </c>
      <c r="F57" s="19">
        <f>+F44+F48</f>
        <v>47324</v>
      </c>
      <c r="H57" s="3">
        <v>1</v>
      </c>
    </row>
    <row r="58" spans="1:8">
      <c r="B58" s="18" t="s">
        <v>41</v>
      </c>
      <c r="D58" s="19">
        <f>+D54-D55-D56-D57</f>
        <v>179721</v>
      </c>
      <c r="E58" s="19">
        <f>+E54-E55-E56-E57</f>
        <v>89869</v>
      </c>
      <c r="F58" s="19">
        <f>+F54-F55-F56-F57</f>
        <v>89852</v>
      </c>
      <c r="H58" s="3">
        <v>2</v>
      </c>
    </row>
    <row r="60" spans="1:8" hidden="1">
      <c r="B60" s="3" t="s">
        <v>42</v>
      </c>
      <c r="C60" s="4">
        <v>-3.9999999998756308E-6</v>
      </c>
      <c r="D60" s="3">
        <f>+D53-ROUND(D3*C53,0)</f>
        <v>-2</v>
      </c>
    </row>
    <row r="71" spans="1:1">
      <c r="A71" s="1" t="s">
        <v>590</v>
      </c>
    </row>
  </sheetData>
  <pageMargins left="0.7" right="0.7" top="0.75" bottom="0.75" header="0.3" footer="0.3"/>
  <pageSetup scale="64"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6">
    <pageSetUpPr fitToPage="1"/>
  </sheetPr>
  <dimension ref="A1:WVB71"/>
  <sheetViews>
    <sheetView topLeftCell="A32" zoomScaleNormal="100" zoomScaleSheetLayoutView="80" workbookViewId="0">
      <selection activeCell="D53" activeCellId="4" sqref="D7:F7 D41:F41 D45:F45 D49:F49 D53:F53"/>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3.7109375" style="3" hidden="1"/>
    <col min="190" max="246" width="9.140625" style="3" hidden="1"/>
    <col min="247" max="247" width="16.28515625" style="3" hidden="1"/>
    <col min="248" max="248" width="17.5703125" style="3" hidden="1"/>
    <col min="249" max="249" width="16" style="3" hidden="1"/>
    <col min="250" max="250" width="18.140625" style="3" hidden="1"/>
    <col min="251" max="443" width="9.140625" style="3" hidden="1"/>
    <col min="444" max="444" width="11" style="3" hidden="1"/>
    <col min="445" max="445" width="53.7109375" style="3" hidden="1"/>
    <col min="446" max="502" width="9.140625" style="3" hidden="1"/>
    <col min="503" max="503" width="16.28515625" style="3" hidden="1"/>
    <col min="504" max="504" width="17.5703125" style="3" hidden="1"/>
    <col min="505" max="505" width="16" style="3" hidden="1"/>
    <col min="506" max="506" width="18.140625" style="3" hidden="1"/>
    <col min="507" max="699" width="9.140625" style="3" hidden="1"/>
    <col min="700" max="700" width="11" style="3" hidden="1"/>
    <col min="701" max="701" width="53.7109375" style="3" hidden="1"/>
    <col min="702" max="758" width="9.140625" style="3" hidden="1"/>
    <col min="759" max="759" width="16.28515625" style="3" hidden="1"/>
    <col min="760" max="760" width="17.5703125" style="3" hidden="1"/>
    <col min="761" max="761" width="16" style="3" hidden="1"/>
    <col min="762" max="762" width="18.140625" style="3" hidden="1"/>
    <col min="763" max="955" width="9.140625" style="3" hidden="1"/>
    <col min="956" max="956" width="11" style="3" hidden="1"/>
    <col min="957" max="957" width="53.7109375" style="3" hidden="1"/>
    <col min="958" max="1014" width="9.140625" style="3" hidden="1"/>
    <col min="1015" max="1015" width="16.28515625" style="3" hidden="1"/>
    <col min="1016" max="1016" width="17.5703125" style="3" hidden="1"/>
    <col min="1017" max="1017" width="16" style="3" hidden="1"/>
    <col min="1018" max="1018" width="18.140625" style="3" hidden="1"/>
    <col min="1019" max="1211" width="9.140625" style="3" hidden="1"/>
    <col min="1212" max="1212" width="11" style="3" hidden="1"/>
    <col min="1213" max="1213" width="53.7109375" style="3" hidden="1"/>
    <col min="1214" max="1270" width="9.140625" style="3" hidden="1"/>
    <col min="1271" max="1271" width="16.28515625" style="3" hidden="1"/>
    <col min="1272" max="1272" width="17.5703125" style="3" hidden="1"/>
    <col min="1273" max="1273" width="16" style="3" hidden="1"/>
    <col min="1274" max="1274" width="18.140625" style="3" hidden="1"/>
    <col min="1275" max="1467" width="9.140625" style="3" hidden="1"/>
    <col min="1468" max="1468" width="11" style="3" hidden="1"/>
    <col min="1469" max="1469" width="53.7109375" style="3" hidden="1"/>
    <col min="1470" max="1526" width="9.140625" style="3" hidden="1"/>
    <col min="1527" max="1527" width="16.28515625" style="3" hidden="1"/>
    <col min="1528" max="1528" width="17.5703125" style="3" hidden="1"/>
    <col min="1529" max="1529" width="16" style="3" hidden="1"/>
    <col min="1530" max="1530" width="18.140625" style="3" hidden="1"/>
    <col min="1531" max="1723" width="9.140625" style="3" hidden="1"/>
    <col min="1724" max="1724" width="11" style="3" hidden="1"/>
    <col min="1725" max="1725" width="53.7109375" style="3" hidden="1"/>
    <col min="1726" max="1782" width="9.140625" style="3" hidden="1"/>
    <col min="1783" max="1783" width="16.28515625" style="3" hidden="1"/>
    <col min="1784" max="1784" width="17.5703125" style="3" hidden="1"/>
    <col min="1785" max="1785" width="16" style="3" hidden="1"/>
    <col min="1786" max="1786" width="18.140625" style="3" hidden="1"/>
    <col min="1787" max="1979" width="9.140625" style="3" hidden="1"/>
    <col min="1980" max="1980" width="11" style="3" hidden="1"/>
    <col min="1981" max="1981" width="53.7109375" style="3" hidden="1"/>
    <col min="1982" max="2038" width="9.140625" style="3" hidden="1"/>
    <col min="2039" max="2039" width="16.28515625" style="3" hidden="1"/>
    <col min="2040" max="2040" width="17.5703125" style="3" hidden="1"/>
    <col min="2041" max="2041" width="16" style="3" hidden="1"/>
    <col min="2042" max="2042" width="18.140625" style="3" hidden="1"/>
    <col min="2043" max="2235" width="9.140625" style="3" hidden="1"/>
    <col min="2236" max="2236" width="11" style="3" hidden="1"/>
    <col min="2237" max="2237" width="53.7109375" style="3" hidden="1"/>
    <col min="2238" max="2294" width="9.140625" style="3" hidden="1"/>
    <col min="2295" max="2295" width="16.28515625" style="3" hidden="1"/>
    <col min="2296" max="2296" width="17.5703125" style="3" hidden="1"/>
    <col min="2297" max="2297" width="16" style="3" hidden="1"/>
    <col min="2298" max="2298" width="18.140625" style="3" hidden="1"/>
    <col min="2299" max="2491" width="9.140625" style="3" hidden="1"/>
    <col min="2492" max="2492" width="11" style="3" hidden="1"/>
    <col min="2493" max="2493" width="53.7109375" style="3" hidden="1"/>
    <col min="2494" max="2550" width="9.140625" style="3" hidden="1"/>
    <col min="2551" max="2551" width="16.28515625" style="3" hidden="1"/>
    <col min="2552" max="2552" width="17.5703125" style="3" hidden="1"/>
    <col min="2553" max="2553" width="16" style="3" hidden="1"/>
    <col min="2554" max="2554" width="18.140625" style="3" hidden="1"/>
    <col min="2555" max="2747" width="9.140625" style="3" hidden="1"/>
    <col min="2748" max="2748" width="11" style="3" hidden="1"/>
    <col min="2749" max="2749" width="53.7109375" style="3" hidden="1"/>
    <col min="2750" max="2806" width="9.140625" style="3" hidden="1"/>
    <col min="2807" max="2807" width="16.28515625" style="3" hidden="1"/>
    <col min="2808" max="2808" width="17.5703125" style="3" hidden="1"/>
    <col min="2809" max="2809" width="16" style="3" hidden="1"/>
    <col min="2810" max="2810" width="18.140625" style="3" hidden="1"/>
    <col min="2811" max="3003" width="9.140625" style="3" hidden="1"/>
    <col min="3004" max="3004" width="11" style="3" hidden="1"/>
    <col min="3005" max="3005" width="53.7109375" style="3" hidden="1"/>
    <col min="3006" max="3062" width="9.140625" style="3" hidden="1"/>
    <col min="3063" max="3063" width="16.28515625" style="3" hidden="1"/>
    <col min="3064" max="3064" width="17.5703125" style="3" hidden="1"/>
    <col min="3065" max="3065" width="16" style="3" hidden="1"/>
    <col min="3066" max="3066" width="18.140625" style="3" hidden="1"/>
    <col min="3067" max="3259" width="9.140625" style="3" hidden="1"/>
    <col min="3260" max="3260" width="11" style="3" hidden="1"/>
    <col min="3261" max="3261" width="53.7109375" style="3" hidden="1"/>
    <col min="3262" max="3318" width="9.140625" style="3" hidden="1"/>
    <col min="3319" max="3319" width="16.28515625" style="3" hidden="1"/>
    <col min="3320" max="3320" width="17.5703125" style="3" hidden="1"/>
    <col min="3321" max="3321" width="16" style="3" hidden="1"/>
    <col min="3322" max="3322" width="18.140625" style="3" hidden="1"/>
    <col min="3323" max="3515" width="9.140625" style="3" hidden="1"/>
    <col min="3516" max="3516" width="11" style="3" hidden="1"/>
    <col min="3517" max="3517" width="53.7109375" style="3" hidden="1"/>
    <col min="3518" max="3574" width="9.140625" style="3" hidden="1"/>
    <col min="3575" max="3575" width="16.28515625" style="3" hidden="1"/>
    <col min="3576" max="3576" width="17.5703125" style="3" hidden="1"/>
    <col min="3577" max="3577" width="16" style="3" hidden="1"/>
    <col min="3578" max="3578" width="18.140625" style="3" hidden="1"/>
    <col min="3579" max="3771" width="9.140625" style="3" hidden="1"/>
    <col min="3772" max="3772" width="11" style="3" hidden="1"/>
    <col min="3773" max="3773" width="53.7109375" style="3" hidden="1"/>
    <col min="3774" max="3830" width="9.140625" style="3" hidden="1"/>
    <col min="3831" max="3831" width="16.28515625" style="3" hidden="1"/>
    <col min="3832" max="3832" width="17.5703125" style="3" hidden="1"/>
    <col min="3833" max="3833" width="16" style="3" hidden="1"/>
    <col min="3834" max="3834" width="18.140625" style="3" hidden="1"/>
    <col min="3835" max="4027" width="9.140625" style="3" hidden="1"/>
    <col min="4028" max="4028" width="11" style="3" hidden="1"/>
    <col min="4029" max="4029" width="53.7109375" style="3" hidden="1"/>
    <col min="4030" max="4086" width="9.140625" style="3" hidden="1"/>
    <col min="4087" max="4087" width="16.28515625" style="3" hidden="1"/>
    <col min="4088" max="4088" width="17.5703125" style="3" hidden="1"/>
    <col min="4089" max="4089" width="16" style="3" hidden="1"/>
    <col min="4090" max="4090" width="18.140625" style="3" hidden="1"/>
    <col min="4091" max="4283" width="9.140625" style="3" hidden="1"/>
    <col min="4284" max="4284" width="11" style="3" hidden="1"/>
    <col min="4285" max="4285" width="53.7109375" style="3" hidden="1"/>
    <col min="4286" max="4342" width="9.140625" style="3" hidden="1"/>
    <col min="4343" max="4343" width="16.28515625" style="3" hidden="1"/>
    <col min="4344" max="4344" width="17.5703125" style="3" hidden="1"/>
    <col min="4345" max="4345" width="16" style="3" hidden="1"/>
    <col min="4346" max="4346" width="18.140625" style="3" hidden="1"/>
    <col min="4347" max="4539" width="9.140625" style="3" hidden="1"/>
    <col min="4540" max="4540" width="11" style="3" hidden="1"/>
    <col min="4541" max="4541" width="53.7109375" style="3" hidden="1"/>
    <col min="4542" max="4598" width="9.140625" style="3" hidden="1"/>
    <col min="4599" max="4599" width="16.28515625" style="3" hidden="1"/>
    <col min="4600" max="4600" width="17.5703125" style="3" hidden="1"/>
    <col min="4601" max="4601" width="16" style="3" hidden="1"/>
    <col min="4602" max="4602" width="18.140625" style="3" hidden="1"/>
    <col min="4603" max="4795" width="9.140625" style="3" hidden="1"/>
    <col min="4796" max="4796" width="11" style="3" hidden="1"/>
    <col min="4797" max="4797" width="53.7109375" style="3" hidden="1"/>
    <col min="4798" max="4854" width="9.140625" style="3" hidden="1"/>
    <col min="4855" max="4855" width="16.28515625" style="3" hidden="1"/>
    <col min="4856" max="4856" width="17.5703125" style="3" hidden="1"/>
    <col min="4857" max="4857" width="16" style="3" hidden="1"/>
    <col min="4858" max="4858" width="18.140625" style="3" hidden="1"/>
    <col min="4859" max="5051" width="9.140625" style="3" hidden="1"/>
    <col min="5052" max="5052" width="11" style="3" hidden="1"/>
    <col min="5053" max="5053" width="53.7109375" style="3" hidden="1"/>
    <col min="5054" max="5110" width="9.140625" style="3" hidden="1"/>
    <col min="5111" max="5111" width="16.28515625" style="3" hidden="1"/>
    <col min="5112" max="5112" width="17.5703125" style="3" hidden="1"/>
    <col min="5113" max="5113" width="16" style="3" hidden="1"/>
    <col min="5114" max="5114" width="18.140625" style="3" hidden="1"/>
    <col min="5115" max="5307" width="9.140625" style="3" hidden="1"/>
    <col min="5308" max="5308" width="11" style="3" hidden="1"/>
    <col min="5309" max="5309" width="53.7109375" style="3" hidden="1"/>
    <col min="5310" max="5366" width="9.140625" style="3" hidden="1"/>
    <col min="5367" max="5367" width="16.28515625" style="3" hidden="1"/>
    <col min="5368" max="5368" width="17.5703125" style="3" hidden="1"/>
    <col min="5369" max="5369" width="16" style="3" hidden="1"/>
    <col min="5370" max="5370" width="18.140625" style="3" hidden="1"/>
    <col min="5371" max="5563" width="9.140625" style="3" hidden="1"/>
    <col min="5564" max="5564" width="11" style="3" hidden="1"/>
    <col min="5565" max="5565" width="53.7109375" style="3" hidden="1"/>
    <col min="5566" max="5622" width="9.140625" style="3" hidden="1"/>
    <col min="5623" max="5623" width="16.28515625" style="3" hidden="1"/>
    <col min="5624" max="5624" width="17.5703125" style="3" hidden="1"/>
    <col min="5625" max="5625" width="16" style="3" hidden="1"/>
    <col min="5626" max="5626" width="18.140625" style="3" hidden="1"/>
    <col min="5627" max="5819" width="9.140625" style="3" hidden="1"/>
    <col min="5820" max="5820" width="11" style="3" hidden="1"/>
    <col min="5821" max="5821" width="53.7109375" style="3" hidden="1"/>
    <col min="5822" max="5878" width="9.140625" style="3" hidden="1"/>
    <col min="5879" max="5879" width="16.28515625" style="3" hidden="1"/>
    <col min="5880" max="5880" width="17.5703125" style="3" hidden="1"/>
    <col min="5881" max="5881" width="16" style="3" hidden="1"/>
    <col min="5882" max="5882" width="18.140625" style="3" hidden="1"/>
    <col min="5883" max="6075" width="9.140625" style="3" hidden="1"/>
    <col min="6076" max="6076" width="11" style="3" hidden="1"/>
    <col min="6077" max="6077" width="53.7109375" style="3" hidden="1"/>
    <col min="6078" max="6134" width="9.140625" style="3" hidden="1"/>
    <col min="6135" max="6135" width="16.28515625" style="3" hidden="1"/>
    <col min="6136" max="6136" width="17.5703125" style="3" hidden="1"/>
    <col min="6137" max="6137" width="16" style="3" hidden="1"/>
    <col min="6138" max="6138" width="18.140625" style="3" hidden="1"/>
    <col min="6139" max="6331" width="9.140625" style="3" hidden="1"/>
    <col min="6332" max="6332" width="11" style="3" hidden="1"/>
    <col min="6333" max="6333" width="53.7109375" style="3" hidden="1"/>
    <col min="6334" max="6390" width="9.140625" style="3" hidden="1"/>
    <col min="6391" max="6391" width="16.28515625" style="3" hidden="1"/>
    <col min="6392" max="6392" width="17.5703125" style="3" hidden="1"/>
    <col min="6393" max="6393" width="16" style="3" hidden="1"/>
    <col min="6394" max="6394" width="18.140625" style="3" hidden="1"/>
    <col min="6395" max="6587" width="9.140625" style="3" hidden="1"/>
    <col min="6588" max="6588" width="11" style="3" hidden="1"/>
    <col min="6589" max="6589" width="53.7109375" style="3" hidden="1"/>
    <col min="6590" max="6646" width="9.140625" style="3" hidden="1"/>
    <col min="6647" max="6647" width="16.28515625" style="3" hidden="1"/>
    <col min="6648" max="6648" width="17.5703125" style="3" hidden="1"/>
    <col min="6649" max="6649" width="16" style="3" hidden="1"/>
    <col min="6650" max="6650" width="18.140625" style="3" hidden="1"/>
    <col min="6651" max="6843" width="9.140625" style="3" hidden="1"/>
    <col min="6844" max="6844" width="11" style="3" hidden="1"/>
    <col min="6845" max="6845" width="53.7109375" style="3" hidden="1"/>
    <col min="6846" max="6902" width="9.140625" style="3" hidden="1"/>
    <col min="6903" max="6903" width="16.28515625" style="3" hidden="1"/>
    <col min="6904" max="6904" width="17.5703125" style="3" hidden="1"/>
    <col min="6905" max="6905" width="16" style="3" hidden="1"/>
    <col min="6906" max="6906" width="18.140625" style="3" hidden="1"/>
    <col min="6907" max="7099" width="9.140625" style="3" hidden="1"/>
    <col min="7100" max="7100" width="11" style="3" hidden="1"/>
    <col min="7101" max="7101" width="53.7109375" style="3" hidden="1"/>
    <col min="7102" max="7158" width="9.140625" style="3" hidden="1"/>
    <col min="7159" max="7159" width="16.28515625" style="3" hidden="1"/>
    <col min="7160" max="7160" width="17.5703125" style="3" hidden="1"/>
    <col min="7161" max="7161" width="16" style="3" hidden="1"/>
    <col min="7162" max="7162" width="18.140625" style="3" hidden="1"/>
    <col min="7163" max="7355" width="9.140625" style="3" hidden="1"/>
    <col min="7356" max="7356" width="11" style="3" hidden="1"/>
    <col min="7357" max="7357" width="53.7109375" style="3" hidden="1"/>
    <col min="7358" max="7414" width="9.140625" style="3" hidden="1"/>
    <col min="7415" max="7415" width="16.28515625" style="3" hidden="1"/>
    <col min="7416" max="7416" width="17.5703125" style="3" hidden="1"/>
    <col min="7417" max="7417" width="16" style="3" hidden="1"/>
    <col min="7418" max="7418" width="18.140625" style="3" hidden="1"/>
    <col min="7419" max="7611" width="9.140625" style="3" hidden="1"/>
    <col min="7612" max="7612" width="11" style="3" hidden="1"/>
    <col min="7613" max="7613" width="53.7109375" style="3" hidden="1"/>
    <col min="7614" max="7670" width="9.140625" style="3" hidden="1"/>
    <col min="7671" max="7671" width="16.28515625" style="3" hidden="1"/>
    <col min="7672" max="7672" width="17.5703125" style="3" hidden="1"/>
    <col min="7673" max="7673" width="16" style="3" hidden="1"/>
    <col min="7674" max="7674" width="18.140625" style="3" hidden="1"/>
    <col min="7675" max="7867" width="9.140625" style="3" hidden="1"/>
    <col min="7868" max="7868" width="11" style="3" hidden="1"/>
    <col min="7869" max="7869" width="53.7109375" style="3" hidden="1"/>
    <col min="7870" max="7926" width="9.140625" style="3" hidden="1"/>
    <col min="7927" max="7927" width="16.28515625" style="3" hidden="1"/>
    <col min="7928" max="7928" width="17.5703125" style="3" hidden="1"/>
    <col min="7929" max="7929" width="16" style="3" hidden="1"/>
    <col min="7930" max="7930" width="18.140625" style="3" hidden="1"/>
    <col min="7931" max="8123" width="9.140625" style="3" hidden="1"/>
    <col min="8124" max="8124" width="11" style="3" hidden="1"/>
    <col min="8125" max="8125" width="53.7109375" style="3" hidden="1"/>
    <col min="8126" max="8182" width="9.140625" style="3" hidden="1"/>
    <col min="8183" max="8183" width="16.28515625" style="3" hidden="1"/>
    <col min="8184" max="8184" width="17.5703125" style="3" hidden="1"/>
    <col min="8185" max="8185" width="16" style="3" hidden="1"/>
    <col min="8186" max="8186" width="18.140625" style="3" hidden="1"/>
    <col min="8187" max="8379" width="9.140625" style="3" hidden="1"/>
    <col min="8380" max="8380" width="11" style="3" hidden="1"/>
    <col min="8381" max="8381" width="53.7109375" style="3" hidden="1"/>
    <col min="8382" max="8438" width="9.140625" style="3" hidden="1"/>
    <col min="8439" max="8439" width="16.28515625" style="3" hidden="1"/>
    <col min="8440" max="8440" width="17.5703125" style="3" hidden="1"/>
    <col min="8441" max="8441" width="16" style="3" hidden="1"/>
    <col min="8442" max="8442" width="18.140625" style="3" hidden="1"/>
    <col min="8443" max="8635" width="9.140625" style="3" hidden="1"/>
    <col min="8636" max="8636" width="11" style="3" hidden="1"/>
    <col min="8637" max="8637" width="53.7109375" style="3" hidden="1"/>
    <col min="8638" max="8694" width="9.140625" style="3" hidden="1"/>
    <col min="8695" max="8695" width="16.28515625" style="3" hidden="1"/>
    <col min="8696" max="8696" width="17.5703125" style="3" hidden="1"/>
    <col min="8697" max="8697" width="16" style="3" hidden="1"/>
    <col min="8698" max="8698" width="18.140625" style="3" hidden="1"/>
    <col min="8699" max="8891" width="9.140625" style="3" hidden="1"/>
    <col min="8892" max="8892" width="11" style="3" hidden="1"/>
    <col min="8893" max="8893" width="53.7109375" style="3" hidden="1"/>
    <col min="8894" max="8950" width="9.140625" style="3" hidden="1"/>
    <col min="8951" max="8951" width="16.28515625" style="3" hidden="1"/>
    <col min="8952" max="8952" width="17.5703125" style="3" hidden="1"/>
    <col min="8953" max="8953" width="16" style="3" hidden="1"/>
    <col min="8954" max="8954" width="18.140625" style="3" hidden="1"/>
    <col min="8955" max="9147" width="9.140625" style="3" hidden="1"/>
    <col min="9148" max="9148" width="11" style="3" hidden="1"/>
    <col min="9149" max="9149" width="53.7109375" style="3" hidden="1"/>
    <col min="9150" max="9206" width="9.140625" style="3" hidden="1"/>
    <col min="9207" max="9207" width="16.28515625" style="3" hidden="1"/>
    <col min="9208" max="9208" width="17.5703125" style="3" hidden="1"/>
    <col min="9209" max="9209" width="16" style="3" hidden="1"/>
    <col min="9210" max="9210" width="18.140625" style="3" hidden="1"/>
    <col min="9211" max="9403" width="9.140625" style="3" hidden="1"/>
    <col min="9404" max="9404" width="11" style="3" hidden="1"/>
    <col min="9405" max="9405" width="53.7109375" style="3" hidden="1"/>
    <col min="9406" max="9462" width="9.140625" style="3" hidden="1"/>
    <col min="9463" max="9463" width="16.28515625" style="3" hidden="1"/>
    <col min="9464" max="9464" width="17.5703125" style="3" hidden="1"/>
    <col min="9465" max="9465" width="16" style="3" hidden="1"/>
    <col min="9466" max="9466" width="18.140625" style="3" hidden="1"/>
    <col min="9467" max="9659" width="9.140625" style="3" hidden="1"/>
    <col min="9660" max="9660" width="11" style="3" hidden="1"/>
    <col min="9661" max="9661" width="53.7109375" style="3" hidden="1"/>
    <col min="9662" max="9718" width="9.140625" style="3" hidden="1"/>
    <col min="9719" max="9719" width="16.28515625" style="3" hidden="1"/>
    <col min="9720" max="9720" width="17.5703125" style="3" hidden="1"/>
    <col min="9721" max="9721" width="16" style="3" hidden="1"/>
    <col min="9722" max="9722" width="18.140625" style="3" hidden="1"/>
    <col min="9723" max="9915" width="9.140625" style="3" hidden="1"/>
    <col min="9916" max="9916" width="11" style="3" hidden="1"/>
    <col min="9917" max="9917" width="53.7109375" style="3" hidden="1"/>
    <col min="9918" max="9974" width="9.140625" style="3" hidden="1"/>
    <col min="9975" max="9975" width="16.28515625" style="3" hidden="1"/>
    <col min="9976" max="9976" width="17.5703125" style="3" hidden="1"/>
    <col min="9977" max="9977" width="16" style="3" hidden="1"/>
    <col min="9978" max="9978" width="18.140625" style="3" hidden="1"/>
    <col min="9979" max="10171" width="9.140625" style="3" hidden="1"/>
    <col min="10172" max="10172" width="11" style="3" hidden="1"/>
    <col min="10173" max="10173" width="53.7109375" style="3" hidden="1"/>
    <col min="10174" max="10230" width="9.140625" style="3" hidden="1"/>
    <col min="10231" max="10231" width="16.28515625" style="3" hidden="1"/>
    <col min="10232" max="10232" width="17.5703125" style="3" hidden="1"/>
    <col min="10233" max="10233" width="16" style="3" hidden="1"/>
    <col min="10234" max="10234" width="18.140625" style="3" hidden="1"/>
    <col min="10235" max="10427" width="9.140625" style="3" hidden="1"/>
    <col min="10428" max="10428" width="11" style="3" hidden="1"/>
    <col min="10429" max="10429" width="53.7109375" style="3" hidden="1"/>
    <col min="10430" max="10486" width="9.140625" style="3" hidden="1"/>
    <col min="10487" max="10487" width="16.28515625" style="3" hidden="1"/>
    <col min="10488" max="10488" width="17.5703125" style="3" hidden="1"/>
    <col min="10489" max="10489" width="16" style="3" hidden="1"/>
    <col min="10490" max="10490" width="18.140625" style="3" hidden="1"/>
    <col min="10491" max="10683" width="9.140625" style="3" hidden="1"/>
    <col min="10684" max="10684" width="11" style="3" hidden="1"/>
    <col min="10685" max="10685" width="53.7109375" style="3" hidden="1"/>
    <col min="10686" max="10742" width="9.140625" style="3" hidden="1"/>
    <col min="10743" max="10743" width="16.28515625" style="3" hidden="1"/>
    <col min="10744" max="10744" width="17.5703125" style="3" hidden="1"/>
    <col min="10745" max="10745" width="16" style="3" hidden="1"/>
    <col min="10746" max="10746" width="18.140625" style="3" hidden="1"/>
    <col min="10747" max="10939" width="9.140625" style="3" hidden="1"/>
    <col min="10940" max="10940" width="11" style="3" hidden="1"/>
    <col min="10941" max="10941" width="53.7109375" style="3" hidden="1"/>
    <col min="10942" max="10998" width="9.140625" style="3" hidden="1"/>
    <col min="10999" max="10999" width="16.28515625" style="3" hidden="1"/>
    <col min="11000" max="11000" width="17.5703125" style="3" hidden="1"/>
    <col min="11001" max="11001" width="16" style="3" hidden="1"/>
    <col min="11002" max="11002" width="18.140625" style="3" hidden="1"/>
    <col min="11003" max="11195" width="9.140625" style="3" hidden="1"/>
    <col min="11196" max="11196" width="11" style="3" hidden="1"/>
    <col min="11197" max="11197" width="53.7109375" style="3" hidden="1"/>
    <col min="11198" max="11254" width="9.140625" style="3" hidden="1"/>
    <col min="11255" max="11255" width="16.28515625" style="3" hidden="1"/>
    <col min="11256" max="11256" width="17.5703125" style="3" hidden="1"/>
    <col min="11257" max="11257" width="16" style="3" hidden="1"/>
    <col min="11258" max="11258" width="18.140625" style="3" hidden="1"/>
    <col min="11259" max="11451" width="9.140625" style="3" hidden="1"/>
    <col min="11452" max="11452" width="11" style="3" hidden="1"/>
    <col min="11453" max="11453" width="53.7109375" style="3" hidden="1"/>
    <col min="11454" max="11510" width="9.140625" style="3" hidden="1"/>
    <col min="11511" max="11511" width="16.28515625" style="3" hidden="1"/>
    <col min="11512" max="11512" width="17.5703125" style="3" hidden="1"/>
    <col min="11513" max="11513" width="16" style="3" hidden="1"/>
    <col min="11514" max="11514" width="18.140625" style="3" hidden="1"/>
    <col min="11515" max="11707" width="9.140625" style="3" hidden="1"/>
    <col min="11708" max="11708" width="11" style="3" hidden="1"/>
    <col min="11709" max="11709" width="53.7109375" style="3" hidden="1"/>
    <col min="11710" max="11766" width="9.140625" style="3" hidden="1"/>
    <col min="11767" max="11767" width="16.28515625" style="3" hidden="1"/>
    <col min="11768" max="11768" width="17.5703125" style="3" hidden="1"/>
    <col min="11769" max="11769" width="16" style="3" hidden="1"/>
    <col min="11770" max="11770" width="18.140625" style="3" hidden="1"/>
    <col min="11771" max="11963" width="9.140625" style="3" hidden="1"/>
    <col min="11964" max="11964" width="11" style="3" hidden="1"/>
    <col min="11965" max="11965" width="53.7109375" style="3" hidden="1"/>
    <col min="11966" max="12022" width="9.140625" style="3" hidden="1"/>
    <col min="12023" max="12023" width="16.28515625" style="3" hidden="1"/>
    <col min="12024" max="12024" width="17.5703125" style="3" hidden="1"/>
    <col min="12025" max="12025" width="16" style="3" hidden="1"/>
    <col min="12026" max="12026" width="18.140625" style="3" hidden="1"/>
    <col min="12027" max="12219" width="9.140625" style="3" hidden="1"/>
    <col min="12220" max="12220" width="11" style="3" hidden="1"/>
    <col min="12221" max="12221" width="53.7109375" style="3" hidden="1"/>
    <col min="12222" max="12278" width="9.140625" style="3" hidden="1"/>
    <col min="12279" max="12279" width="16.28515625" style="3" hidden="1"/>
    <col min="12280" max="12280" width="17.5703125" style="3" hidden="1"/>
    <col min="12281" max="12281" width="16" style="3" hidden="1"/>
    <col min="12282" max="12282" width="18.140625" style="3" hidden="1"/>
    <col min="12283" max="12475" width="9.140625" style="3" hidden="1"/>
    <col min="12476" max="12476" width="11" style="3" hidden="1"/>
    <col min="12477" max="12477" width="53.7109375" style="3" hidden="1"/>
    <col min="12478" max="12534" width="9.140625" style="3" hidden="1"/>
    <col min="12535" max="12535" width="16.28515625" style="3" hidden="1"/>
    <col min="12536" max="12536" width="17.5703125" style="3" hidden="1"/>
    <col min="12537" max="12537" width="16" style="3" hidden="1"/>
    <col min="12538" max="12538" width="18.140625" style="3" hidden="1"/>
    <col min="12539" max="12731" width="9.140625" style="3" hidden="1"/>
    <col min="12732" max="12732" width="11" style="3" hidden="1"/>
    <col min="12733" max="12733" width="53.7109375" style="3" hidden="1"/>
    <col min="12734" max="12790" width="9.140625" style="3" hidden="1"/>
    <col min="12791" max="12791" width="16.28515625" style="3" hidden="1"/>
    <col min="12792" max="12792" width="17.5703125" style="3" hidden="1"/>
    <col min="12793" max="12793" width="16" style="3" hidden="1"/>
    <col min="12794" max="12794" width="18.140625" style="3" hidden="1"/>
    <col min="12795" max="12987" width="9.140625" style="3" hidden="1"/>
    <col min="12988" max="12988" width="11" style="3" hidden="1"/>
    <col min="12989" max="12989" width="53.7109375" style="3" hidden="1"/>
    <col min="12990" max="13046" width="9.140625" style="3" hidden="1"/>
    <col min="13047" max="13047" width="16.28515625" style="3" hidden="1"/>
    <col min="13048" max="13048" width="17.5703125" style="3" hidden="1"/>
    <col min="13049" max="13049" width="16" style="3" hidden="1"/>
    <col min="13050" max="13050" width="18.140625" style="3" hidden="1"/>
    <col min="13051" max="13243" width="9.140625" style="3" hidden="1"/>
    <col min="13244" max="13244" width="11" style="3" hidden="1"/>
    <col min="13245" max="13245" width="53.7109375" style="3" hidden="1"/>
    <col min="13246" max="13302" width="9.140625" style="3" hidden="1"/>
    <col min="13303" max="13303" width="16.28515625" style="3" hidden="1"/>
    <col min="13304" max="13304" width="17.5703125" style="3" hidden="1"/>
    <col min="13305" max="13305" width="16" style="3" hidden="1"/>
    <col min="13306" max="13306" width="18.140625" style="3" hidden="1"/>
    <col min="13307" max="13499" width="9.140625" style="3" hidden="1"/>
    <col min="13500" max="13500" width="11" style="3" hidden="1"/>
    <col min="13501" max="13501" width="53.7109375" style="3" hidden="1"/>
    <col min="13502" max="13558" width="9.140625" style="3" hidden="1"/>
    <col min="13559" max="13559" width="16.28515625" style="3" hidden="1"/>
    <col min="13560" max="13560" width="17.5703125" style="3" hidden="1"/>
    <col min="13561" max="13561" width="16" style="3" hidden="1"/>
    <col min="13562" max="13562" width="18.140625" style="3" hidden="1"/>
    <col min="13563" max="13755" width="9.140625" style="3" hidden="1"/>
    <col min="13756" max="13756" width="11" style="3" hidden="1"/>
    <col min="13757" max="13757" width="53.7109375" style="3" hidden="1"/>
    <col min="13758" max="13814" width="9.140625" style="3" hidden="1"/>
    <col min="13815" max="13815" width="16.28515625" style="3" hidden="1"/>
    <col min="13816" max="13816" width="17.5703125" style="3" hidden="1"/>
    <col min="13817" max="13817" width="16" style="3" hidden="1"/>
    <col min="13818" max="13818" width="18.140625" style="3" hidden="1"/>
    <col min="13819" max="14011" width="9.140625" style="3" hidden="1"/>
    <col min="14012" max="14012" width="11" style="3" hidden="1"/>
    <col min="14013" max="14013" width="53.7109375" style="3" hidden="1"/>
    <col min="14014" max="14070" width="9.140625" style="3" hidden="1"/>
    <col min="14071" max="14071" width="16.28515625" style="3" hidden="1"/>
    <col min="14072" max="14072" width="17.5703125" style="3" hidden="1"/>
    <col min="14073" max="14073" width="16" style="3" hidden="1"/>
    <col min="14074" max="14074" width="18.140625" style="3" hidden="1"/>
    <col min="14075" max="14267" width="9.140625" style="3" hidden="1"/>
    <col min="14268" max="14268" width="11" style="3" hidden="1"/>
    <col min="14269" max="14269" width="53.7109375" style="3" hidden="1"/>
    <col min="14270" max="14326" width="9.140625" style="3" hidden="1"/>
    <col min="14327" max="14327" width="16.28515625" style="3" hidden="1"/>
    <col min="14328" max="14328" width="17.5703125" style="3" hidden="1"/>
    <col min="14329" max="14329" width="16" style="3" hidden="1"/>
    <col min="14330" max="14330" width="18.140625" style="3" hidden="1"/>
    <col min="14331" max="14523" width="9.140625" style="3" hidden="1"/>
    <col min="14524" max="14524" width="11" style="3" hidden="1"/>
    <col min="14525" max="14525" width="53.7109375" style="3" hidden="1"/>
    <col min="14526" max="14582" width="9.140625" style="3" hidden="1"/>
    <col min="14583" max="14583" width="16.28515625" style="3" hidden="1"/>
    <col min="14584" max="14584" width="17.5703125" style="3" hidden="1"/>
    <col min="14585" max="14585" width="16" style="3" hidden="1"/>
    <col min="14586" max="14586" width="18.140625" style="3" hidden="1"/>
    <col min="14587" max="14779" width="9.140625" style="3" hidden="1"/>
    <col min="14780" max="14780" width="11" style="3" hidden="1"/>
    <col min="14781" max="14781" width="53.7109375" style="3" hidden="1"/>
    <col min="14782" max="14838" width="9.140625" style="3" hidden="1"/>
    <col min="14839" max="14839" width="16.28515625" style="3" hidden="1"/>
    <col min="14840" max="14840" width="17.5703125" style="3" hidden="1"/>
    <col min="14841" max="14841" width="16" style="3" hidden="1"/>
    <col min="14842" max="14842" width="18.140625" style="3" hidden="1"/>
    <col min="14843" max="15035" width="9.140625" style="3" hidden="1"/>
    <col min="15036" max="15036" width="11" style="3" hidden="1"/>
    <col min="15037" max="15037" width="53.7109375" style="3" hidden="1"/>
    <col min="15038" max="15094" width="9.140625" style="3" hidden="1"/>
    <col min="15095" max="15095" width="16.28515625" style="3" hidden="1"/>
    <col min="15096" max="15096" width="17.5703125" style="3" hidden="1"/>
    <col min="15097" max="15097" width="16" style="3" hidden="1"/>
    <col min="15098" max="15098" width="18.140625" style="3" hidden="1"/>
    <col min="15099" max="15291" width="9.140625" style="3" hidden="1"/>
    <col min="15292" max="15292" width="11" style="3" hidden="1"/>
    <col min="15293" max="15293" width="53.7109375" style="3" hidden="1"/>
    <col min="15294" max="15350" width="9.140625" style="3" hidden="1"/>
    <col min="15351" max="15351" width="16.28515625" style="3" hidden="1"/>
    <col min="15352" max="15352" width="17.5703125" style="3" hidden="1"/>
    <col min="15353" max="15353" width="16" style="3" hidden="1"/>
    <col min="15354" max="15354" width="18.140625" style="3" hidden="1"/>
    <col min="15355" max="15547" width="9.140625" style="3" hidden="1"/>
    <col min="15548" max="15548" width="11" style="3" hidden="1"/>
    <col min="15549" max="15549" width="53.7109375" style="3" hidden="1"/>
    <col min="15550" max="15606" width="9.140625" style="3" hidden="1"/>
    <col min="15607" max="15607" width="16.28515625" style="3" hidden="1"/>
    <col min="15608" max="15608" width="17.5703125" style="3" hidden="1"/>
    <col min="15609" max="15609" width="16" style="3" hidden="1"/>
    <col min="15610" max="15610" width="18.140625" style="3" hidden="1"/>
    <col min="15611" max="15803" width="9.140625" style="3" hidden="1"/>
    <col min="15804" max="15804" width="11" style="3" hidden="1"/>
    <col min="15805" max="15805" width="53.7109375" style="3" hidden="1"/>
    <col min="15806" max="15862" width="9.140625" style="3" hidden="1"/>
    <col min="15863" max="15863" width="16.28515625" style="3" hidden="1"/>
    <col min="15864" max="15864" width="17.5703125" style="3" hidden="1"/>
    <col min="15865" max="15865" width="16" style="3" hidden="1"/>
    <col min="15866" max="15866" width="18.140625" style="3" hidden="1"/>
    <col min="15867" max="16059" width="9.140625" style="3" hidden="1"/>
    <col min="16060" max="16060" width="11" style="3" hidden="1"/>
    <col min="16061" max="16061" width="53.7109375" style="3" hidden="1"/>
    <col min="16062" max="16118" width="9.140625" style="3" hidden="1"/>
    <col min="16119" max="16119" width="16.28515625" style="3" hidden="1"/>
    <col min="16120" max="16120" width="17.5703125" style="3" hidden="1"/>
    <col min="16121" max="16121" width="16" style="3" hidden="1"/>
    <col min="16122" max="16122" width="18.140625" style="3" hidden="1"/>
    <col min="16123" max="16384" width="9.140625" style="3" hidden="1"/>
  </cols>
  <sheetData>
    <row r="1" spans="1:6">
      <c r="B1" s="2" t="s">
        <v>1605</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Worksheet'!$D$78</f>
        <v>129159</v>
      </c>
      <c r="E3" s="11"/>
      <c r="F3" s="11"/>
    </row>
    <row r="4" spans="1:6">
      <c r="A4" s="8">
        <v>0</v>
      </c>
      <c r="B4" s="11" t="s">
        <v>4</v>
      </c>
      <c r="C4" s="10">
        <v>1.101E-3</v>
      </c>
      <c r="D4" s="12">
        <f>ROUND(D$3*C4,0)</f>
        <v>142</v>
      </c>
      <c r="E4" s="13">
        <f>ROUND(D4/2,0)</f>
        <v>71</v>
      </c>
      <c r="F4" s="12">
        <f>D4-E4</f>
        <v>71</v>
      </c>
    </row>
    <row r="5" spans="1:6">
      <c r="A5" s="8">
        <v>1</v>
      </c>
      <c r="B5" s="11" t="s">
        <v>1606</v>
      </c>
      <c r="C5" s="10">
        <v>0.214808</v>
      </c>
      <c r="D5" s="9">
        <f>ROUND(D$3*C5,0)</f>
        <v>27744</v>
      </c>
      <c r="E5" s="11">
        <f>ROUND(D5/2,0)</f>
        <v>13872</v>
      </c>
      <c r="F5" s="9">
        <f>D5-E5</f>
        <v>13872</v>
      </c>
    </row>
    <row r="6" spans="1:6">
      <c r="A6" s="8"/>
      <c r="B6" s="11" t="s">
        <v>6</v>
      </c>
      <c r="C6" s="11"/>
      <c r="D6" s="14">
        <v>0.37206899999999998</v>
      </c>
      <c r="E6" s="11"/>
      <c r="F6" s="11"/>
    </row>
    <row r="7" spans="1:6">
      <c r="A7" s="8"/>
      <c r="B7" s="11" t="s">
        <v>7</v>
      </c>
      <c r="C7" s="11"/>
      <c r="D7" s="225">
        <f>ROUND(D5*D6,0)</f>
        <v>10323</v>
      </c>
      <c r="E7" s="226">
        <f>ROUND(D7/2,0)</f>
        <v>5162</v>
      </c>
      <c r="F7" s="225">
        <f>D7-E7</f>
        <v>5161</v>
      </c>
    </row>
    <row r="8" spans="1:6">
      <c r="A8" s="8"/>
      <c r="B8" s="11" t="s">
        <v>8</v>
      </c>
      <c r="C8" s="11"/>
      <c r="D8" s="12">
        <f>+D5-D7</f>
        <v>17421</v>
      </c>
      <c r="E8" s="13">
        <f>ROUND(D8/2,0)</f>
        <v>8711</v>
      </c>
      <c r="F8" s="12">
        <f>D8-E8</f>
        <v>8710</v>
      </c>
    </row>
    <row r="9" spans="1:6">
      <c r="A9" s="8">
        <v>2</v>
      </c>
      <c r="B9" s="11" t="s">
        <v>1607</v>
      </c>
      <c r="C9" s="11"/>
      <c r="D9" s="9"/>
      <c r="E9" s="11"/>
      <c r="F9" s="11"/>
    </row>
    <row r="10" spans="1:6">
      <c r="A10" s="8"/>
      <c r="B10" s="11" t="s">
        <v>10</v>
      </c>
      <c r="C10" s="10">
        <v>3.055E-3</v>
      </c>
      <c r="D10" s="12">
        <f>ROUND(D$3*C10,0)</f>
        <v>395</v>
      </c>
      <c r="E10" s="13">
        <f>ROUND(D10/2,0)</f>
        <v>198</v>
      </c>
      <c r="F10" s="12">
        <f>D10-E10</f>
        <v>197</v>
      </c>
    </row>
    <row r="11" spans="1:6">
      <c r="A11" s="8"/>
      <c r="B11" s="11" t="s">
        <v>11</v>
      </c>
      <c r="C11" s="10">
        <v>2.307E-3</v>
      </c>
      <c r="D11" s="12">
        <f>ROUND(D$3*C11,0)</f>
        <v>298</v>
      </c>
      <c r="E11" s="13">
        <f>ROUND(D11/2,0)</f>
        <v>149</v>
      </c>
      <c r="F11" s="12">
        <f>D11-E11</f>
        <v>149</v>
      </c>
    </row>
    <row r="12" spans="1:6">
      <c r="A12" s="8">
        <v>2</v>
      </c>
      <c r="B12" s="11" t="s">
        <v>107</v>
      </c>
      <c r="C12" s="11"/>
      <c r="D12" s="9"/>
      <c r="E12" s="11"/>
      <c r="F12" s="11"/>
    </row>
    <row r="13" spans="1:6">
      <c r="A13" s="8"/>
      <c r="B13" s="11" t="s">
        <v>10</v>
      </c>
      <c r="C13" s="10">
        <v>1.828E-3</v>
      </c>
      <c r="D13" s="12">
        <f>ROUND(D$3*C13,0)</f>
        <v>236</v>
      </c>
      <c r="E13" s="13">
        <f>ROUND(D13/2,0)</f>
        <v>118</v>
      </c>
      <c r="F13" s="12">
        <f>D13-E13</f>
        <v>118</v>
      </c>
    </row>
    <row r="14" spans="1:6">
      <c r="A14" s="8"/>
      <c r="B14" s="11" t="s">
        <v>11</v>
      </c>
      <c r="C14" s="10">
        <v>8.3299999999999997E-4</v>
      </c>
      <c r="D14" s="12">
        <f>ROUND(D$3*C14,0)</f>
        <v>108</v>
      </c>
      <c r="E14" s="13">
        <f>ROUND(D14/2,0)</f>
        <v>54</v>
      </c>
      <c r="F14" s="12">
        <f>D14-E14</f>
        <v>54</v>
      </c>
    </row>
    <row r="15" spans="1:6">
      <c r="A15" s="8">
        <v>2</v>
      </c>
      <c r="B15" s="11" t="s">
        <v>504</v>
      </c>
      <c r="C15" s="11"/>
      <c r="D15" s="9"/>
      <c r="E15" s="11"/>
      <c r="F15" s="11"/>
    </row>
    <row r="16" spans="1:6">
      <c r="A16" s="8"/>
      <c r="B16" s="11" t="s">
        <v>10</v>
      </c>
      <c r="C16" s="10">
        <v>1.6720000000000001E-3</v>
      </c>
      <c r="D16" s="12">
        <f>ROUND(D$3*C16,0)</f>
        <v>216</v>
      </c>
      <c r="E16" s="13">
        <f>ROUND(D16/2,0)</f>
        <v>108</v>
      </c>
      <c r="F16" s="12">
        <f>D16-E16</f>
        <v>108</v>
      </c>
    </row>
    <row r="17" spans="1:6">
      <c r="A17" s="8"/>
      <c r="B17" s="11" t="s">
        <v>11</v>
      </c>
      <c r="C17" s="10">
        <v>1.122E-3</v>
      </c>
      <c r="D17" s="12">
        <f>ROUND(D$3*C17,0)</f>
        <v>145</v>
      </c>
      <c r="E17" s="13">
        <f>ROUND(D17/2,0)</f>
        <v>73</v>
      </c>
      <c r="F17" s="12">
        <f>D17-E17</f>
        <v>72</v>
      </c>
    </row>
    <row r="18" spans="1:6">
      <c r="A18" s="8">
        <v>2</v>
      </c>
      <c r="B18" s="11" t="s">
        <v>49</v>
      </c>
      <c r="C18" s="11"/>
      <c r="D18" s="9"/>
      <c r="E18" s="11"/>
      <c r="F18" s="11"/>
    </row>
    <row r="19" spans="1:6">
      <c r="A19" s="8"/>
      <c r="B19" s="11" t="s">
        <v>10</v>
      </c>
      <c r="C19" s="10">
        <v>3.5300000000000002E-4</v>
      </c>
      <c r="D19" s="12">
        <f>ROUND(D$3*C19,0)</f>
        <v>46</v>
      </c>
      <c r="E19" s="13">
        <f>ROUND(D19/2,0)</f>
        <v>23</v>
      </c>
      <c r="F19" s="12">
        <f>D19-E19</f>
        <v>23</v>
      </c>
    </row>
    <row r="20" spans="1:6">
      <c r="A20" s="8"/>
      <c r="B20" s="11" t="s">
        <v>11</v>
      </c>
      <c r="C20" s="10">
        <v>1.6200000000000001E-4</v>
      </c>
      <c r="D20" s="12">
        <f>ROUND(D$3*C20,0)</f>
        <v>21</v>
      </c>
      <c r="E20" s="13">
        <f>ROUND(D20/2,0)</f>
        <v>11</v>
      </c>
      <c r="F20" s="12">
        <f>D20-E20</f>
        <v>10</v>
      </c>
    </row>
    <row r="21" spans="1:6">
      <c r="A21" s="8">
        <v>2</v>
      </c>
      <c r="B21" s="11" t="s">
        <v>1608</v>
      </c>
      <c r="C21" s="11"/>
      <c r="D21" s="9"/>
      <c r="E21" s="11"/>
      <c r="F21" s="11"/>
    </row>
    <row r="22" spans="1:6">
      <c r="A22" s="8"/>
      <c r="B22" s="11" t="s">
        <v>10</v>
      </c>
      <c r="C22" s="10">
        <v>4.5899999999999999E-4</v>
      </c>
      <c r="D22" s="12">
        <f>ROUND(D$3*C22,0)</f>
        <v>59</v>
      </c>
      <c r="E22" s="13">
        <f>ROUND(D22/2,0)</f>
        <v>30</v>
      </c>
      <c r="F22" s="12">
        <f>D22-E22</f>
        <v>29</v>
      </c>
    </row>
    <row r="23" spans="1:6">
      <c r="A23" s="8"/>
      <c r="B23" s="11" t="s">
        <v>11</v>
      </c>
      <c r="C23" s="10">
        <v>3.1799999999999998E-4</v>
      </c>
      <c r="D23" s="12">
        <f>ROUND(D$3*C23,0)</f>
        <v>41</v>
      </c>
      <c r="E23" s="13">
        <f>ROUND(D23/2,0)</f>
        <v>21</v>
      </c>
      <c r="F23" s="12">
        <f>D23-E23</f>
        <v>20</v>
      </c>
    </row>
    <row r="24" spans="1:6">
      <c r="A24" s="8">
        <v>2</v>
      </c>
      <c r="B24" s="11" t="s">
        <v>223</v>
      </c>
      <c r="C24" s="11"/>
      <c r="D24" s="9"/>
      <c r="E24" s="11"/>
      <c r="F24" s="11"/>
    </row>
    <row r="25" spans="1:6">
      <c r="A25" s="8"/>
      <c r="B25" s="11" t="s">
        <v>10</v>
      </c>
      <c r="C25" s="10">
        <v>2.1310000000000001E-3</v>
      </c>
      <c r="D25" s="12">
        <f>ROUND(D$3*C25,0)</f>
        <v>275</v>
      </c>
      <c r="E25" s="13">
        <f>ROUND(D25/2,0)</f>
        <v>138</v>
      </c>
      <c r="F25" s="12">
        <f>D25-E25</f>
        <v>137</v>
      </c>
    </row>
    <row r="26" spans="1:6">
      <c r="A26" s="8"/>
      <c r="B26" s="11" t="s">
        <v>11</v>
      </c>
      <c r="C26" s="10">
        <v>3.408E-3</v>
      </c>
      <c r="D26" s="12">
        <f>ROUND(D$3*C26,0)</f>
        <v>440</v>
      </c>
      <c r="E26" s="13">
        <f>ROUND(D26/2,0)</f>
        <v>220</v>
      </c>
      <c r="F26" s="12">
        <f>D26-E26</f>
        <v>220</v>
      </c>
    </row>
    <row r="27" spans="1:6">
      <c r="A27" s="8">
        <v>2</v>
      </c>
      <c r="B27" s="11" t="s">
        <v>1609</v>
      </c>
      <c r="C27" s="11"/>
      <c r="D27" s="9"/>
      <c r="E27" s="11"/>
      <c r="F27" s="11"/>
    </row>
    <row r="28" spans="1:6">
      <c r="A28" s="8"/>
      <c r="B28" s="11" t="s">
        <v>10</v>
      </c>
      <c r="C28" s="10">
        <v>6.2379999999999996E-3</v>
      </c>
      <c r="D28" s="12">
        <f>ROUND(D$3*C28,0)</f>
        <v>806</v>
      </c>
      <c r="E28" s="13">
        <f>ROUND(D28/2,0)</f>
        <v>403</v>
      </c>
      <c r="F28" s="12">
        <f>D28-E28</f>
        <v>403</v>
      </c>
    </row>
    <row r="29" spans="1:6">
      <c r="A29" s="8"/>
      <c r="B29" s="11" t="s">
        <v>11</v>
      </c>
      <c r="C29" s="10">
        <v>3.9160000000000002E-3</v>
      </c>
      <c r="D29" s="12">
        <f>ROUND(D$3*C29,0)</f>
        <v>506</v>
      </c>
      <c r="E29" s="13">
        <f>ROUND(D29/2,0)</f>
        <v>253</v>
      </c>
      <c r="F29" s="12">
        <f>D29-E29</f>
        <v>253</v>
      </c>
    </row>
    <row r="30" spans="1:6">
      <c r="A30" s="8">
        <v>2</v>
      </c>
      <c r="B30" s="11" t="s">
        <v>22</v>
      </c>
      <c r="C30" s="11"/>
      <c r="D30" s="9"/>
      <c r="E30" s="11"/>
      <c r="F30" s="11"/>
    </row>
    <row r="31" spans="1:6">
      <c r="A31" s="8"/>
      <c r="B31" s="11" t="s">
        <v>10</v>
      </c>
      <c r="C31" s="10">
        <v>4.6430000000000004E-3</v>
      </c>
      <c r="D31" s="12">
        <f>ROUND(D$3*C31,0)</f>
        <v>600</v>
      </c>
      <c r="E31" s="13">
        <f>ROUND(D31/2,0)</f>
        <v>300</v>
      </c>
      <c r="F31" s="12">
        <f>D31-E31</f>
        <v>300</v>
      </c>
    </row>
    <row r="32" spans="1:6">
      <c r="A32" s="8"/>
      <c r="B32" s="11" t="s">
        <v>11</v>
      </c>
      <c r="C32" s="10">
        <v>2.3709999999999998E-3</v>
      </c>
      <c r="D32" s="12">
        <f>ROUND(D$3*C32,0)</f>
        <v>306</v>
      </c>
      <c r="E32" s="13">
        <f>ROUND(D32/2,0)</f>
        <v>153</v>
      </c>
      <c r="F32" s="12">
        <f>D32-E32</f>
        <v>153</v>
      </c>
    </row>
    <row r="33" spans="1:6">
      <c r="A33" s="8">
        <v>2</v>
      </c>
      <c r="B33" s="11" t="s">
        <v>61</v>
      </c>
      <c r="C33" s="11"/>
      <c r="D33" s="9"/>
      <c r="E33" s="11"/>
      <c r="F33" s="11"/>
    </row>
    <row r="34" spans="1:6">
      <c r="A34" s="8"/>
      <c r="B34" s="11" t="s">
        <v>10</v>
      </c>
      <c r="C34" s="10">
        <v>1.6509999999999999E-3</v>
      </c>
      <c r="D34" s="12">
        <f t="shared" ref="D34:D39" si="0">ROUND(D$3*C34,0)</f>
        <v>213</v>
      </c>
      <c r="E34" s="13">
        <f t="shared" ref="E34:E39" si="1">ROUND(D34/2,0)</f>
        <v>107</v>
      </c>
      <c r="F34" s="12">
        <f t="shared" ref="F34:F39" si="2">D34-E34</f>
        <v>106</v>
      </c>
    </row>
    <row r="35" spans="1:6">
      <c r="A35" s="8"/>
      <c r="B35" s="11" t="s">
        <v>11</v>
      </c>
      <c r="C35" s="10">
        <v>1.15E-3</v>
      </c>
      <c r="D35" s="12">
        <f t="shared" si="0"/>
        <v>149</v>
      </c>
      <c r="E35" s="13">
        <f t="shared" si="1"/>
        <v>75</v>
      </c>
      <c r="F35" s="12">
        <f t="shared" si="2"/>
        <v>74</v>
      </c>
    </row>
    <row r="36" spans="1:6">
      <c r="A36" s="8">
        <v>3</v>
      </c>
      <c r="B36" s="11" t="s">
        <v>1610</v>
      </c>
      <c r="C36" s="10">
        <v>2.5360000000000001E-2</v>
      </c>
      <c r="D36" s="12">
        <f t="shared" si="0"/>
        <v>3275</v>
      </c>
      <c r="E36" s="13">
        <f t="shared" si="1"/>
        <v>1638</v>
      </c>
      <c r="F36" s="12">
        <f t="shared" si="2"/>
        <v>1637</v>
      </c>
    </row>
    <row r="37" spans="1:6">
      <c r="A37" s="8">
        <v>3</v>
      </c>
      <c r="B37" s="11" t="s">
        <v>1611</v>
      </c>
      <c r="C37" s="10">
        <v>2.2841E-2</v>
      </c>
      <c r="D37" s="12">
        <f t="shared" si="0"/>
        <v>2950</v>
      </c>
      <c r="E37" s="13">
        <f t="shared" si="1"/>
        <v>1475</v>
      </c>
      <c r="F37" s="12">
        <f t="shared" si="2"/>
        <v>1475</v>
      </c>
    </row>
    <row r="38" spans="1:6">
      <c r="A38" s="8">
        <v>3</v>
      </c>
      <c r="B38" s="11" t="s">
        <v>1612</v>
      </c>
      <c r="C38" s="10">
        <v>1.5016E-2</v>
      </c>
      <c r="D38" s="12">
        <f t="shared" si="0"/>
        <v>1939</v>
      </c>
      <c r="E38" s="13">
        <f t="shared" si="1"/>
        <v>970</v>
      </c>
      <c r="F38" s="12">
        <f t="shared" si="2"/>
        <v>969</v>
      </c>
    </row>
    <row r="39" spans="1:6">
      <c r="A39" s="8">
        <v>4</v>
      </c>
      <c r="B39" s="11" t="s">
        <v>557</v>
      </c>
      <c r="C39" s="10">
        <v>1.3448999999999999E-2</v>
      </c>
      <c r="D39" s="9">
        <f t="shared" si="0"/>
        <v>1737</v>
      </c>
      <c r="E39" s="11">
        <f t="shared" si="1"/>
        <v>869</v>
      </c>
      <c r="F39" s="9">
        <f t="shared" si="2"/>
        <v>868</v>
      </c>
    </row>
    <row r="40" spans="1:6">
      <c r="A40" s="8"/>
      <c r="B40" s="11" t="s">
        <v>28</v>
      </c>
      <c r="C40" s="11"/>
      <c r="D40" s="14">
        <v>0.48539900000000002</v>
      </c>
      <c r="E40" s="11"/>
      <c r="F40" s="11"/>
    </row>
    <row r="41" spans="1:6">
      <c r="A41" s="8"/>
      <c r="B41" s="11" t="s">
        <v>29</v>
      </c>
      <c r="C41" s="11"/>
      <c r="D41" s="225">
        <f>ROUND(D39*D40,0)</f>
        <v>843</v>
      </c>
      <c r="E41" s="226">
        <f>ROUND(D41/2,0)</f>
        <v>422</v>
      </c>
      <c r="F41" s="225">
        <f>D41-E41</f>
        <v>421</v>
      </c>
    </row>
    <row r="42" spans="1:6">
      <c r="A42" s="8"/>
      <c r="B42" s="11" t="s">
        <v>30</v>
      </c>
      <c r="C42" s="11"/>
      <c r="D42" s="12">
        <f>+D39-D41</f>
        <v>894</v>
      </c>
      <c r="E42" s="13">
        <f>ROUND(D42/2,0)</f>
        <v>447</v>
      </c>
      <c r="F42" s="12">
        <f>D42-E42</f>
        <v>447</v>
      </c>
    </row>
    <row r="43" spans="1:6">
      <c r="A43" s="8">
        <v>4</v>
      </c>
      <c r="B43" s="11" t="s">
        <v>1613</v>
      </c>
      <c r="C43" s="10">
        <v>0.241651</v>
      </c>
      <c r="D43" s="9">
        <f>ROUND(D$3*C43,0)</f>
        <v>31211</v>
      </c>
      <c r="E43" s="11">
        <f>ROUND(D43/2,0)</f>
        <v>15606</v>
      </c>
      <c r="F43" s="9">
        <f>D43-E43</f>
        <v>15605</v>
      </c>
    </row>
    <row r="44" spans="1:6">
      <c r="A44" s="8"/>
      <c r="B44" s="11" t="s">
        <v>28</v>
      </c>
      <c r="C44" s="11"/>
      <c r="D44" s="14">
        <v>0.36119899999999999</v>
      </c>
      <c r="E44" s="11"/>
      <c r="F44" s="11"/>
    </row>
    <row r="45" spans="1:6">
      <c r="A45" s="8"/>
      <c r="B45" s="11" t="s">
        <v>29</v>
      </c>
      <c r="C45" s="11"/>
      <c r="D45" s="225">
        <f>ROUND(D43*D44,0)</f>
        <v>11273</v>
      </c>
      <c r="E45" s="226">
        <f>ROUND(D45/2,0)</f>
        <v>5637</v>
      </c>
      <c r="F45" s="225">
        <f>D45-E45</f>
        <v>5636</v>
      </c>
    </row>
    <row r="46" spans="1:6">
      <c r="A46" s="8"/>
      <c r="B46" s="11" t="s">
        <v>30</v>
      </c>
      <c r="C46" s="11"/>
      <c r="D46" s="12">
        <f>+D43-D45</f>
        <v>19938</v>
      </c>
      <c r="E46" s="13">
        <f>ROUND(D46/2,0)</f>
        <v>9969</v>
      </c>
      <c r="F46" s="12">
        <f>D46-E46</f>
        <v>9969</v>
      </c>
    </row>
    <row r="47" spans="1:6">
      <c r="A47" s="8">
        <v>4</v>
      </c>
      <c r="B47" s="11" t="s">
        <v>1469</v>
      </c>
      <c r="C47" s="10">
        <v>0.20136599999999999</v>
      </c>
      <c r="D47" s="9">
        <f>ROUND(D$3*C47,0)</f>
        <v>26008</v>
      </c>
      <c r="E47" s="11">
        <f>ROUND(D47/2,0)</f>
        <v>13004</v>
      </c>
      <c r="F47" s="9">
        <f>D47-E47</f>
        <v>13004</v>
      </c>
    </row>
    <row r="48" spans="1:6">
      <c r="A48" s="8"/>
      <c r="B48" s="11" t="s">
        <v>28</v>
      </c>
      <c r="C48" s="11"/>
      <c r="D48" s="14">
        <v>0.35518300000000003</v>
      </c>
      <c r="E48" s="11"/>
      <c r="F48" s="11"/>
    </row>
    <row r="49" spans="1:8">
      <c r="A49" s="8"/>
      <c r="B49" s="11" t="s">
        <v>29</v>
      </c>
      <c r="C49" s="11"/>
      <c r="D49" s="225">
        <f>ROUND(D47*D48,0)</f>
        <v>9238</v>
      </c>
      <c r="E49" s="226">
        <f>ROUND(D49/2,0)</f>
        <v>4619</v>
      </c>
      <c r="F49" s="225">
        <f>D49-E49</f>
        <v>4619</v>
      </c>
    </row>
    <row r="50" spans="1:8">
      <c r="A50" s="8"/>
      <c r="B50" s="11" t="s">
        <v>30</v>
      </c>
      <c r="C50" s="11"/>
      <c r="D50" s="12">
        <f>+D47-D49</f>
        <v>16770</v>
      </c>
      <c r="E50" s="13">
        <f>ROUND(D50/2,0)</f>
        <v>8385</v>
      </c>
      <c r="F50" s="12">
        <f>D50-E50</f>
        <v>8385</v>
      </c>
    </row>
    <row r="51" spans="1:8">
      <c r="A51" s="8">
        <v>4</v>
      </c>
      <c r="B51" s="11" t="s">
        <v>1614</v>
      </c>
      <c r="C51" s="10">
        <v>0.165301</v>
      </c>
      <c r="D51" s="9">
        <f>ROUND(D$3*C51,0)</f>
        <v>21350</v>
      </c>
      <c r="E51" s="11">
        <f>ROUND(D51/2,0)</f>
        <v>10675</v>
      </c>
      <c r="F51" s="9">
        <f>D51-E51</f>
        <v>10675</v>
      </c>
    </row>
    <row r="52" spans="1:8">
      <c r="A52" s="8"/>
      <c r="B52" s="11" t="s">
        <v>28</v>
      </c>
      <c r="C52" s="11"/>
      <c r="D52" s="14">
        <v>0.39850400000000002</v>
      </c>
      <c r="E52" s="11"/>
      <c r="F52" s="11"/>
    </row>
    <row r="53" spans="1:8">
      <c r="A53" s="8"/>
      <c r="B53" s="11" t="s">
        <v>29</v>
      </c>
      <c r="C53" s="11"/>
      <c r="D53" s="225">
        <f>ROUND(D51*D52,0)</f>
        <v>8508</v>
      </c>
      <c r="E53" s="226">
        <f t="shared" ref="E53:E58" si="3">ROUND(D53/2,0)</f>
        <v>4254</v>
      </c>
      <c r="F53" s="225">
        <f t="shared" ref="F53:F58" si="4">D53-E53</f>
        <v>4254</v>
      </c>
    </row>
    <row r="54" spans="1:8">
      <c r="A54" s="8"/>
      <c r="B54" s="11" t="s">
        <v>30</v>
      </c>
      <c r="C54" s="11"/>
      <c r="D54" s="12">
        <f>+D51-D53</f>
        <v>12842</v>
      </c>
      <c r="E54" s="13">
        <f t="shared" si="3"/>
        <v>6421</v>
      </c>
      <c r="F54" s="12">
        <f t="shared" si="4"/>
        <v>6421</v>
      </c>
    </row>
    <row r="55" spans="1:8">
      <c r="A55" s="8">
        <v>5</v>
      </c>
      <c r="B55" s="11" t="s">
        <v>1615</v>
      </c>
      <c r="C55" s="10">
        <v>1.3343000000000001E-2</v>
      </c>
      <c r="D55" s="12">
        <f>ROUND(D$3*C55,0)</f>
        <v>1723</v>
      </c>
      <c r="E55" s="13">
        <f t="shared" si="3"/>
        <v>862</v>
      </c>
      <c r="F55" s="12">
        <f t="shared" si="4"/>
        <v>861</v>
      </c>
    </row>
    <row r="56" spans="1:8">
      <c r="A56" s="8">
        <v>5</v>
      </c>
      <c r="B56" s="11" t="s">
        <v>1616</v>
      </c>
      <c r="C56" s="10">
        <v>3.7871000000000002E-2</v>
      </c>
      <c r="D56" s="12">
        <f>ROUND(D$3*C56,0)</f>
        <v>4891</v>
      </c>
      <c r="E56" s="13">
        <f t="shared" si="3"/>
        <v>2446</v>
      </c>
      <c r="F56" s="12">
        <f t="shared" si="4"/>
        <v>2445</v>
      </c>
    </row>
    <row r="57" spans="1:8">
      <c r="A57" s="8">
        <v>6</v>
      </c>
      <c r="B57" s="11" t="s">
        <v>1617</v>
      </c>
      <c r="C57" s="10">
        <v>1.0276000000000174E-2</v>
      </c>
      <c r="D57" s="12">
        <f>+D3-SUM(D4:D5)-SUM(D10:D39)-D43-D47-D51-SUM(D55:D56)</f>
        <v>1329</v>
      </c>
      <c r="E57" s="13">
        <f t="shared" si="3"/>
        <v>665</v>
      </c>
      <c r="F57" s="12">
        <f t="shared" si="4"/>
        <v>664</v>
      </c>
    </row>
    <row r="58" spans="1:8">
      <c r="A58" s="8">
        <v>6</v>
      </c>
      <c r="B58" s="11" t="s">
        <v>1618</v>
      </c>
      <c r="C58" s="10">
        <v>0</v>
      </c>
      <c r="D58" s="12">
        <f>ROUND(D$3*C58,0)</f>
        <v>0</v>
      </c>
      <c r="E58" s="13">
        <f t="shared" si="3"/>
        <v>0</v>
      </c>
      <c r="F58" s="12">
        <f t="shared" si="4"/>
        <v>0</v>
      </c>
    </row>
    <row r="59" spans="1:8">
      <c r="A59" s="8"/>
      <c r="B59" s="28" t="s">
        <v>288</v>
      </c>
      <c r="C59" s="10">
        <v>1</v>
      </c>
      <c r="D59" s="12">
        <f>+D4+SUM(D7:D38)+SUM(D41:D42)+SUM(D45:D46)+SUM(D49:D50)+SUM(D53:D58)</f>
        <v>129159</v>
      </c>
      <c r="E59" s="12">
        <f>+E4+SUM(E7:E38)+SUM(E41:E42)+SUM(E45:E46)+SUM(E49:E50)+SUM(E53:E58)</f>
        <v>64588</v>
      </c>
      <c r="F59" s="12">
        <f>+F4+SUM(F7:F38)+SUM(F41:F42)+SUM(F45:F46)+SUM(F49:F50)+SUM(F53:F58)</f>
        <v>64571</v>
      </c>
    </row>
    <row r="60" spans="1:8">
      <c r="B60" s="18" t="s">
        <v>38</v>
      </c>
      <c r="D60" s="19">
        <f>+D4</f>
        <v>142</v>
      </c>
      <c r="E60" s="19">
        <f>+E4</f>
        <v>71</v>
      </c>
      <c r="F60" s="19">
        <f>+F4</f>
        <v>71</v>
      </c>
    </row>
    <row r="61" spans="1:8">
      <c r="B61" s="2" t="s">
        <v>39</v>
      </c>
      <c r="D61" s="19">
        <f>+D7</f>
        <v>10323</v>
      </c>
      <c r="E61" s="19">
        <f>+E7</f>
        <v>5162</v>
      </c>
      <c r="F61" s="19">
        <f>+F7</f>
        <v>5161</v>
      </c>
    </row>
    <row r="62" spans="1:8">
      <c r="B62" s="2" t="s">
        <v>40</v>
      </c>
      <c r="D62" s="19">
        <f>+D41+D45+D49+D53</f>
        <v>29862</v>
      </c>
      <c r="E62" s="19">
        <f>+E41+E45+E49+E53</f>
        <v>14932</v>
      </c>
      <c r="F62" s="19">
        <f>+F41+F45+F49+F53</f>
        <v>14930</v>
      </c>
      <c r="H62" s="3">
        <v>1</v>
      </c>
    </row>
    <row r="63" spans="1:8">
      <c r="B63" s="18" t="s">
        <v>41</v>
      </c>
      <c r="D63" s="19">
        <f>+D59-D60-D61-D62</f>
        <v>88832</v>
      </c>
      <c r="E63" s="19">
        <f>+E59-E60-E61-E62</f>
        <v>44423</v>
      </c>
      <c r="F63" s="19">
        <f>+F59-F60-F61-F62</f>
        <v>44409</v>
      </c>
      <c r="H63" s="3">
        <v>2</v>
      </c>
    </row>
    <row r="65" spans="1:4" hidden="1">
      <c r="B65" s="3" t="s">
        <v>42</v>
      </c>
      <c r="C65" s="4">
        <v>2.0000000001737378E-6</v>
      </c>
      <c r="D65" s="3">
        <f>+D57-ROUND(D3*C57,0)</f>
        <v>2</v>
      </c>
    </row>
    <row r="71" spans="1:4">
      <c r="A71" s="1" t="s">
        <v>590</v>
      </c>
    </row>
  </sheetData>
  <pageMargins left="0.7" right="0.7" top="0.75" bottom="0.75" header="0.3" footer="0.3"/>
  <pageSetup scale="64"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7">
    <pageSetUpPr fitToPage="1"/>
  </sheetPr>
  <dimension ref="A1:WVB81"/>
  <sheetViews>
    <sheetView topLeftCell="A49" zoomScaleNormal="100" zoomScaleSheetLayoutView="80" workbookViewId="0">
      <selection activeCell="D70" activeCellId="5" sqref="D7:F7 D54:F54 D58:F58 D62:F62 D66:F66 D70:F70"/>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28515625" style="3" hidden="1"/>
    <col min="190" max="246" width="9.140625" style="3" hidden="1"/>
    <col min="247" max="247" width="16.28515625" style="3" hidden="1"/>
    <col min="248" max="248" width="17.5703125" style="3" hidden="1"/>
    <col min="249" max="249" width="16" style="3" hidden="1"/>
    <col min="250" max="250" width="18.140625" style="3" hidden="1"/>
    <col min="251" max="443" width="9.140625" style="3" hidden="1"/>
    <col min="444" max="444" width="11" style="3" hidden="1"/>
    <col min="445" max="445" width="54.28515625" style="3" hidden="1"/>
    <col min="446" max="502" width="9.140625" style="3" hidden="1"/>
    <col min="503" max="503" width="16.28515625" style="3" hidden="1"/>
    <col min="504" max="504" width="17.5703125" style="3" hidden="1"/>
    <col min="505" max="505" width="16" style="3" hidden="1"/>
    <col min="506" max="506" width="18.140625" style="3" hidden="1"/>
    <col min="507" max="699" width="9.140625" style="3" hidden="1"/>
    <col min="700" max="700" width="11" style="3" hidden="1"/>
    <col min="701" max="701" width="54.28515625" style="3" hidden="1"/>
    <col min="702" max="758" width="9.140625" style="3" hidden="1"/>
    <col min="759" max="759" width="16.28515625" style="3" hidden="1"/>
    <col min="760" max="760" width="17.5703125" style="3" hidden="1"/>
    <col min="761" max="761" width="16" style="3" hidden="1"/>
    <col min="762" max="762" width="18.140625" style="3" hidden="1"/>
    <col min="763" max="955" width="9.140625" style="3" hidden="1"/>
    <col min="956" max="956" width="11" style="3" hidden="1"/>
    <col min="957" max="957" width="54.28515625" style="3" hidden="1"/>
    <col min="958" max="1014" width="9.140625" style="3" hidden="1"/>
    <col min="1015" max="1015" width="16.28515625" style="3" hidden="1"/>
    <col min="1016" max="1016" width="17.5703125" style="3" hidden="1"/>
    <col min="1017" max="1017" width="16" style="3" hidden="1"/>
    <col min="1018" max="1018" width="18.140625" style="3" hidden="1"/>
    <col min="1019" max="1211" width="9.140625" style="3" hidden="1"/>
    <col min="1212" max="1212" width="11" style="3" hidden="1"/>
    <col min="1213" max="1213" width="54.28515625" style="3" hidden="1"/>
    <col min="1214" max="1270" width="9.140625" style="3" hidden="1"/>
    <col min="1271" max="1271" width="16.28515625" style="3" hidden="1"/>
    <col min="1272" max="1272" width="17.5703125" style="3" hidden="1"/>
    <col min="1273" max="1273" width="16" style="3" hidden="1"/>
    <col min="1274" max="1274" width="18.140625" style="3" hidden="1"/>
    <col min="1275" max="1467" width="9.140625" style="3" hidden="1"/>
    <col min="1468" max="1468" width="11" style="3" hidden="1"/>
    <col min="1469" max="1469" width="54.28515625" style="3" hidden="1"/>
    <col min="1470" max="1526" width="9.140625" style="3" hidden="1"/>
    <col min="1527" max="1527" width="16.28515625" style="3" hidden="1"/>
    <col min="1528" max="1528" width="17.5703125" style="3" hidden="1"/>
    <col min="1529" max="1529" width="16" style="3" hidden="1"/>
    <col min="1530" max="1530" width="18.140625" style="3" hidden="1"/>
    <col min="1531" max="1723" width="9.140625" style="3" hidden="1"/>
    <col min="1724" max="1724" width="11" style="3" hidden="1"/>
    <col min="1725" max="1725" width="54.28515625" style="3" hidden="1"/>
    <col min="1726" max="1782" width="9.140625" style="3" hidden="1"/>
    <col min="1783" max="1783" width="16.28515625" style="3" hidden="1"/>
    <col min="1784" max="1784" width="17.5703125" style="3" hidden="1"/>
    <col min="1785" max="1785" width="16" style="3" hidden="1"/>
    <col min="1786" max="1786" width="18.140625" style="3" hidden="1"/>
    <col min="1787" max="1979" width="9.140625" style="3" hidden="1"/>
    <col min="1980" max="1980" width="11" style="3" hidden="1"/>
    <col min="1981" max="1981" width="54.28515625" style="3" hidden="1"/>
    <col min="1982" max="2038" width="9.140625" style="3" hidden="1"/>
    <col min="2039" max="2039" width="16.28515625" style="3" hidden="1"/>
    <col min="2040" max="2040" width="17.5703125" style="3" hidden="1"/>
    <col min="2041" max="2041" width="16" style="3" hidden="1"/>
    <col min="2042" max="2042" width="18.140625" style="3" hidden="1"/>
    <col min="2043" max="2235" width="9.140625" style="3" hidden="1"/>
    <col min="2236" max="2236" width="11" style="3" hidden="1"/>
    <col min="2237" max="2237" width="54.28515625" style="3" hidden="1"/>
    <col min="2238" max="2294" width="9.140625" style="3" hidden="1"/>
    <col min="2295" max="2295" width="16.28515625" style="3" hidden="1"/>
    <col min="2296" max="2296" width="17.5703125" style="3" hidden="1"/>
    <col min="2297" max="2297" width="16" style="3" hidden="1"/>
    <col min="2298" max="2298" width="18.140625" style="3" hidden="1"/>
    <col min="2299" max="2491" width="9.140625" style="3" hidden="1"/>
    <col min="2492" max="2492" width="11" style="3" hidden="1"/>
    <col min="2493" max="2493" width="54.28515625" style="3" hidden="1"/>
    <col min="2494" max="2550" width="9.140625" style="3" hidden="1"/>
    <col min="2551" max="2551" width="16.28515625" style="3" hidden="1"/>
    <col min="2552" max="2552" width="17.5703125" style="3" hidden="1"/>
    <col min="2553" max="2553" width="16" style="3" hidden="1"/>
    <col min="2554" max="2554" width="18.140625" style="3" hidden="1"/>
    <col min="2555" max="2747" width="9.140625" style="3" hidden="1"/>
    <col min="2748" max="2748" width="11" style="3" hidden="1"/>
    <col min="2749" max="2749" width="54.28515625" style="3" hidden="1"/>
    <col min="2750" max="2806" width="9.140625" style="3" hidden="1"/>
    <col min="2807" max="2807" width="16.28515625" style="3" hidden="1"/>
    <col min="2808" max="2808" width="17.5703125" style="3" hidden="1"/>
    <col min="2809" max="2809" width="16" style="3" hidden="1"/>
    <col min="2810" max="2810" width="18.140625" style="3" hidden="1"/>
    <col min="2811" max="3003" width="9.140625" style="3" hidden="1"/>
    <col min="3004" max="3004" width="11" style="3" hidden="1"/>
    <col min="3005" max="3005" width="54.28515625" style="3" hidden="1"/>
    <col min="3006" max="3062" width="9.140625" style="3" hidden="1"/>
    <col min="3063" max="3063" width="16.28515625" style="3" hidden="1"/>
    <col min="3064" max="3064" width="17.5703125" style="3" hidden="1"/>
    <col min="3065" max="3065" width="16" style="3" hidden="1"/>
    <col min="3066" max="3066" width="18.140625" style="3" hidden="1"/>
    <col min="3067" max="3259" width="9.140625" style="3" hidden="1"/>
    <col min="3260" max="3260" width="11" style="3" hidden="1"/>
    <col min="3261" max="3261" width="54.28515625" style="3" hidden="1"/>
    <col min="3262" max="3318" width="9.140625" style="3" hidden="1"/>
    <col min="3319" max="3319" width="16.28515625" style="3" hidden="1"/>
    <col min="3320" max="3320" width="17.5703125" style="3" hidden="1"/>
    <col min="3321" max="3321" width="16" style="3" hidden="1"/>
    <col min="3322" max="3322" width="18.140625" style="3" hidden="1"/>
    <col min="3323" max="3515" width="9.140625" style="3" hidden="1"/>
    <col min="3516" max="3516" width="11" style="3" hidden="1"/>
    <col min="3517" max="3517" width="54.28515625" style="3" hidden="1"/>
    <col min="3518" max="3574" width="9.140625" style="3" hidden="1"/>
    <col min="3575" max="3575" width="16.28515625" style="3" hidden="1"/>
    <col min="3576" max="3576" width="17.5703125" style="3" hidden="1"/>
    <col min="3577" max="3577" width="16" style="3" hidden="1"/>
    <col min="3578" max="3578" width="18.140625" style="3" hidden="1"/>
    <col min="3579" max="3771" width="9.140625" style="3" hidden="1"/>
    <col min="3772" max="3772" width="11" style="3" hidden="1"/>
    <col min="3773" max="3773" width="54.28515625" style="3" hidden="1"/>
    <col min="3774" max="3830" width="9.140625" style="3" hidden="1"/>
    <col min="3831" max="3831" width="16.28515625" style="3" hidden="1"/>
    <col min="3832" max="3832" width="17.5703125" style="3" hidden="1"/>
    <col min="3833" max="3833" width="16" style="3" hidden="1"/>
    <col min="3834" max="3834" width="18.140625" style="3" hidden="1"/>
    <col min="3835" max="4027" width="9.140625" style="3" hidden="1"/>
    <col min="4028" max="4028" width="11" style="3" hidden="1"/>
    <col min="4029" max="4029" width="54.28515625" style="3" hidden="1"/>
    <col min="4030" max="4086" width="9.140625" style="3" hidden="1"/>
    <col min="4087" max="4087" width="16.28515625" style="3" hidden="1"/>
    <col min="4088" max="4088" width="17.5703125" style="3" hidden="1"/>
    <col min="4089" max="4089" width="16" style="3" hidden="1"/>
    <col min="4090" max="4090" width="18.140625" style="3" hidden="1"/>
    <col min="4091" max="4283" width="9.140625" style="3" hidden="1"/>
    <col min="4284" max="4284" width="11" style="3" hidden="1"/>
    <col min="4285" max="4285" width="54.28515625" style="3" hidden="1"/>
    <col min="4286" max="4342" width="9.140625" style="3" hidden="1"/>
    <col min="4343" max="4343" width="16.28515625" style="3" hidden="1"/>
    <col min="4344" max="4344" width="17.5703125" style="3" hidden="1"/>
    <col min="4345" max="4345" width="16" style="3" hidden="1"/>
    <col min="4346" max="4346" width="18.140625" style="3" hidden="1"/>
    <col min="4347" max="4539" width="9.140625" style="3" hidden="1"/>
    <col min="4540" max="4540" width="11" style="3" hidden="1"/>
    <col min="4541" max="4541" width="54.28515625" style="3" hidden="1"/>
    <col min="4542" max="4598" width="9.140625" style="3" hidden="1"/>
    <col min="4599" max="4599" width="16.28515625" style="3" hidden="1"/>
    <col min="4600" max="4600" width="17.5703125" style="3" hidden="1"/>
    <col min="4601" max="4601" width="16" style="3" hidden="1"/>
    <col min="4602" max="4602" width="18.140625" style="3" hidden="1"/>
    <col min="4603" max="4795" width="9.140625" style="3" hidden="1"/>
    <col min="4796" max="4796" width="11" style="3" hidden="1"/>
    <col min="4797" max="4797" width="54.28515625" style="3" hidden="1"/>
    <col min="4798" max="4854" width="9.140625" style="3" hidden="1"/>
    <col min="4855" max="4855" width="16.28515625" style="3" hidden="1"/>
    <col min="4856" max="4856" width="17.5703125" style="3" hidden="1"/>
    <col min="4857" max="4857" width="16" style="3" hidden="1"/>
    <col min="4858" max="4858" width="18.140625" style="3" hidden="1"/>
    <col min="4859" max="5051" width="9.140625" style="3" hidden="1"/>
    <col min="5052" max="5052" width="11" style="3" hidden="1"/>
    <col min="5053" max="5053" width="54.28515625" style="3" hidden="1"/>
    <col min="5054" max="5110" width="9.140625" style="3" hidden="1"/>
    <col min="5111" max="5111" width="16.28515625" style="3" hidden="1"/>
    <col min="5112" max="5112" width="17.5703125" style="3" hidden="1"/>
    <col min="5113" max="5113" width="16" style="3" hidden="1"/>
    <col min="5114" max="5114" width="18.140625" style="3" hidden="1"/>
    <col min="5115" max="5307" width="9.140625" style="3" hidden="1"/>
    <col min="5308" max="5308" width="11" style="3" hidden="1"/>
    <col min="5309" max="5309" width="54.28515625" style="3" hidden="1"/>
    <col min="5310" max="5366" width="9.140625" style="3" hidden="1"/>
    <col min="5367" max="5367" width="16.28515625" style="3" hidden="1"/>
    <col min="5368" max="5368" width="17.5703125" style="3" hidden="1"/>
    <col min="5369" max="5369" width="16" style="3" hidden="1"/>
    <col min="5370" max="5370" width="18.140625" style="3" hidden="1"/>
    <col min="5371" max="5563" width="9.140625" style="3" hidden="1"/>
    <col min="5564" max="5564" width="11" style="3" hidden="1"/>
    <col min="5565" max="5565" width="54.28515625" style="3" hidden="1"/>
    <col min="5566" max="5622" width="9.140625" style="3" hidden="1"/>
    <col min="5623" max="5623" width="16.28515625" style="3" hidden="1"/>
    <col min="5624" max="5624" width="17.5703125" style="3" hidden="1"/>
    <col min="5625" max="5625" width="16" style="3" hidden="1"/>
    <col min="5626" max="5626" width="18.140625" style="3" hidden="1"/>
    <col min="5627" max="5819" width="9.140625" style="3" hidden="1"/>
    <col min="5820" max="5820" width="11" style="3" hidden="1"/>
    <col min="5821" max="5821" width="54.28515625" style="3" hidden="1"/>
    <col min="5822" max="5878" width="9.140625" style="3" hidden="1"/>
    <col min="5879" max="5879" width="16.28515625" style="3" hidden="1"/>
    <col min="5880" max="5880" width="17.5703125" style="3" hidden="1"/>
    <col min="5881" max="5881" width="16" style="3" hidden="1"/>
    <col min="5882" max="5882" width="18.140625" style="3" hidden="1"/>
    <col min="5883" max="6075" width="9.140625" style="3" hidden="1"/>
    <col min="6076" max="6076" width="11" style="3" hidden="1"/>
    <col min="6077" max="6077" width="54.28515625" style="3" hidden="1"/>
    <col min="6078" max="6134" width="9.140625" style="3" hidden="1"/>
    <col min="6135" max="6135" width="16.28515625" style="3" hidden="1"/>
    <col min="6136" max="6136" width="17.5703125" style="3" hidden="1"/>
    <col min="6137" max="6137" width="16" style="3" hidden="1"/>
    <col min="6138" max="6138" width="18.140625" style="3" hidden="1"/>
    <col min="6139" max="6331" width="9.140625" style="3" hidden="1"/>
    <col min="6332" max="6332" width="11" style="3" hidden="1"/>
    <col min="6333" max="6333" width="54.28515625" style="3" hidden="1"/>
    <col min="6334" max="6390" width="9.140625" style="3" hidden="1"/>
    <col min="6391" max="6391" width="16.28515625" style="3" hidden="1"/>
    <col min="6392" max="6392" width="17.5703125" style="3" hidden="1"/>
    <col min="6393" max="6393" width="16" style="3" hidden="1"/>
    <col min="6394" max="6394" width="18.140625" style="3" hidden="1"/>
    <col min="6395" max="6587" width="9.140625" style="3" hidden="1"/>
    <col min="6588" max="6588" width="11" style="3" hidden="1"/>
    <col min="6589" max="6589" width="54.28515625" style="3" hidden="1"/>
    <col min="6590" max="6646" width="9.140625" style="3" hidden="1"/>
    <col min="6647" max="6647" width="16.28515625" style="3" hidden="1"/>
    <col min="6648" max="6648" width="17.5703125" style="3" hidden="1"/>
    <col min="6649" max="6649" width="16" style="3" hidden="1"/>
    <col min="6650" max="6650" width="18.140625" style="3" hidden="1"/>
    <col min="6651" max="6843" width="9.140625" style="3" hidden="1"/>
    <col min="6844" max="6844" width="11" style="3" hidden="1"/>
    <col min="6845" max="6845" width="54.28515625" style="3" hidden="1"/>
    <col min="6846" max="6902" width="9.140625" style="3" hidden="1"/>
    <col min="6903" max="6903" width="16.28515625" style="3" hidden="1"/>
    <col min="6904" max="6904" width="17.5703125" style="3" hidden="1"/>
    <col min="6905" max="6905" width="16" style="3" hidden="1"/>
    <col min="6906" max="6906" width="18.140625" style="3" hidden="1"/>
    <col min="6907" max="7099" width="9.140625" style="3" hidden="1"/>
    <col min="7100" max="7100" width="11" style="3" hidden="1"/>
    <col min="7101" max="7101" width="54.28515625" style="3" hidden="1"/>
    <col min="7102" max="7158" width="9.140625" style="3" hidden="1"/>
    <col min="7159" max="7159" width="16.28515625" style="3" hidden="1"/>
    <col min="7160" max="7160" width="17.5703125" style="3" hidden="1"/>
    <col min="7161" max="7161" width="16" style="3" hidden="1"/>
    <col min="7162" max="7162" width="18.140625" style="3" hidden="1"/>
    <col min="7163" max="7355" width="9.140625" style="3" hidden="1"/>
    <col min="7356" max="7356" width="11" style="3" hidden="1"/>
    <col min="7357" max="7357" width="54.28515625" style="3" hidden="1"/>
    <col min="7358" max="7414" width="9.140625" style="3" hidden="1"/>
    <col min="7415" max="7415" width="16.28515625" style="3" hidden="1"/>
    <col min="7416" max="7416" width="17.5703125" style="3" hidden="1"/>
    <col min="7417" max="7417" width="16" style="3" hidden="1"/>
    <col min="7418" max="7418" width="18.140625" style="3" hidden="1"/>
    <col min="7419" max="7611" width="9.140625" style="3" hidden="1"/>
    <col min="7612" max="7612" width="11" style="3" hidden="1"/>
    <col min="7613" max="7613" width="54.28515625" style="3" hidden="1"/>
    <col min="7614" max="7670" width="9.140625" style="3" hidden="1"/>
    <col min="7671" max="7671" width="16.28515625" style="3" hidden="1"/>
    <col min="7672" max="7672" width="17.5703125" style="3" hidden="1"/>
    <col min="7673" max="7673" width="16" style="3" hidden="1"/>
    <col min="7674" max="7674" width="18.140625" style="3" hidden="1"/>
    <col min="7675" max="7867" width="9.140625" style="3" hidden="1"/>
    <col min="7868" max="7868" width="11" style="3" hidden="1"/>
    <col min="7869" max="7869" width="54.28515625" style="3" hidden="1"/>
    <col min="7870" max="7926" width="9.140625" style="3" hidden="1"/>
    <col min="7927" max="7927" width="16.28515625" style="3" hidden="1"/>
    <col min="7928" max="7928" width="17.5703125" style="3" hidden="1"/>
    <col min="7929" max="7929" width="16" style="3" hidden="1"/>
    <col min="7930" max="7930" width="18.140625" style="3" hidden="1"/>
    <col min="7931" max="8123" width="9.140625" style="3" hidden="1"/>
    <col min="8124" max="8124" width="11" style="3" hidden="1"/>
    <col min="8125" max="8125" width="54.28515625" style="3" hidden="1"/>
    <col min="8126" max="8182" width="9.140625" style="3" hidden="1"/>
    <col min="8183" max="8183" width="16.28515625" style="3" hidden="1"/>
    <col min="8184" max="8184" width="17.5703125" style="3" hidden="1"/>
    <col min="8185" max="8185" width="16" style="3" hidden="1"/>
    <col min="8186" max="8186" width="18.140625" style="3" hidden="1"/>
    <col min="8187" max="8379" width="9.140625" style="3" hidden="1"/>
    <col min="8380" max="8380" width="11" style="3" hidden="1"/>
    <col min="8381" max="8381" width="54.28515625" style="3" hidden="1"/>
    <col min="8382" max="8438" width="9.140625" style="3" hidden="1"/>
    <col min="8439" max="8439" width="16.28515625" style="3" hidden="1"/>
    <col min="8440" max="8440" width="17.5703125" style="3" hidden="1"/>
    <col min="8441" max="8441" width="16" style="3" hidden="1"/>
    <col min="8442" max="8442" width="18.140625" style="3" hidden="1"/>
    <col min="8443" max="8635" width="9.140625" style="3" hidden="1"/>
    <col min="8636" max="8636" width="11" style="3" hidden="1"/>
    <col min="8637" max="8637" width="54.28515625" style="3" hidden="1"/>
    <col min="8638" max="8694" width="9.140625" style="3" hidden="1"/>
    <col min="8695" max="8695" width="16.28515625" style="3" hidden="1"/>
    <col min="8696" max="8696" width="17.5703125" style="3" hidden="1"/>
    <col min="8697" max="8697" width="16" style="3" hidden="1"/>
    <col min="8698" max="8698" width="18.140625" style="3" hidden="1"/>
    <col min="8699" max="8891" width="9.140625" style="3" hidden="1"/>
    <col min="8892" max="8892" width="11" style="3" hidden="1"/>
    <col min="8893" max="8893" width="54.28515625" style="3" hidden="1"/>
    <col min="8894" max="8950" width="9.140625" style="3" hidden="1"/>
    <col min="8951" max="8951" width="16.28515625" style="3" hidden="1"/>
    <col min="8952" max="8952" width="17.5703125" style="3" hidden="1"/>
    <col min="8953" max="8953" width="16" style="3" hidden="1"/>
    <col min="8954" max="8954" width="18.140625" style="3" hidden="1"/>
    <col min="8955" max="9147" width="9.140625" style="3" hidden="1"/>
    <col min="9148" max="9148" width="11" style="3" hidden="1"/>
    <col min="9149" max="9149" width="54.28515625" style="3" hidden="1"/>
    <col min="9150" max="9206" width="9.140625" style="3" hidden="1"/>
    <col min="9207" max="9207" width="16.28515625" style="3" hidden="1"/>
    <col min="9208" max="9208" width="17.5703125" style="3" hidden="1"/>
    <col min="9209" max="9209" width="16" style="3" hidden="1"/>
    <col min="9210" max="9210" width="18.140625" style="3" hidden="1"/>
    <col min="9211" max="9403" width="9.140625" style="3" hidden="1"/>
    <col min="9404" max="9404" width="11" style="3" hidden="1"/>
    <col min="9405" max="9405" width="54.28515625" style="3" hidden="1"/>
    <col min="9406" max="9462" width="9.140625" style="3" hidden="1"/>
    <col min="9463" max="9463" width="16.28515625" style="3" hidden="1"/>
    <col min="9464" max="9464" width="17.5703125" style="3" hidden="1"/>
    <col min="9465" max="9465" width="16" style="3" hidden="1"/>
    <col min="9466" max="9466" width="18.140625" style="3" hidden="1"/>
    <col min="9467" max="9659" width="9.140625" style="3" hidden="1"/>
    <col min="9660" max="9660" width="11" style="3" hidden="1"/>
    <col min="9661" max="9661" width="54.28515625" style="3" hidden="1"/>
    <col min="9662" max="9718" width="9.140625" style="3" hidden="1"/>
    <col min="9719" max="9719" width="16.28515625" style="3" hidden="1"/>
    <col min="9720" max="9720" width="17.5703125" style="3" hidden="1"/>
    <col min="9721" max="9721" width="16" style="3" hidden="1"/>
    <col min="9722" max="9722" width="18.140625" style="3" hidden="1"/>
    <col min="9723" max="9915" width="9.140625" style="3" hidden="1"/>
    <col min="9916" max="9916" width="11" style="3" hidden="1"/>
    <col min="9917" max="9917" width="54.28515625" style="3" hidden="1"/>
    <col min="9918" max="9974" width="9.140625" style="3" hidden="1"/>
    <col min="9975" max="9975" width="16.28515625" style="3" hidden="1"/>
    <col min="9976" max="9976" width="17.5703125" style="3" hidden="1"/>
    <col min="9977" max="9977" width="16" style="3" hidden="1"/>
    <col min="9978" max="9978" width="18.140625" style="3" hidden="1"/>
    <col min="9979" max="10171" width="9.140625" style="3" hidden="1"/>
    <col min="10172" max="10172" width="11" style="3" hidden="1"/>
    <col min="10173" max="10173" width="54.28515625" style="3" hidden="1"/>
    <col min="10174" max="10230" width="9.140625" style="3" hidden="1"/>
    <col min="10231" max="10231" width="16.28515625" style="3" hidden="1"/>
    <col min="10232" max="10232" width="17.5703125" style="3" hidden="1"/>
    <col min="10233" max="10233" width="16" style="3" hidden="1"/>
    <col min="10234" max="10234" width="18.140625" style="3" hidden="1"/>
    <col min="10235" max="10427" width="9.140625" style="3" hidden="1"/>
    <col min="10428" max="10428" width="11" style="3" hidden="1"/>
    <col min="10429" max="10429" width="54.28515625" style="3" hidden="1"/>
    <col min="10430" max="10486" width="9.140625" style="3" hidden="1"/>
    <col min="10487" max="10487" width="16.28515625" style="3" hidden="1"/>
    <col min="10488" max="10488" width="17.5703125" style="3" hidden="1"/>
    <col min="10489" max="10489" width="16" style="3" hidden="1"/>
    <col min="10490" max="10490" width="18.140625" style="3" hidden="1"/>
    <col min="10491" max="10683" width="9.140625" style="3" hidden="1"/>
    <col min="10684" max="10684" width="11" style="3" hidden="1"/>
    <col min="10685" max="10685" width="54.28515625" style="3" hidden="1"/>
    <col min="10686" max="10742" width="9.140625" style="3" hidden="1"/>
    <col min="10743" max="10743" width="16.28515625" style="3" hidden="1"/>
    <col min="10744" max="10744" width="17.5703125" style="3" hidden="1"/>
    <col min="10745" max="10745" width="16" style="3" hidden="1"/>
    <col min="10746" max="10746" width="18.140625" style="3" hidden="1"/>
    <col min="10747" max="10939" width="9.140625" style="3" hidden="1"/>
    <col min="10940" max="10940" width="11" style="3" hidden="1"/>
    <col min="10941" max="10941" width="54.28515625" style="3" hidden="1"/>
    <col min="10942" max="10998" width="9.140625" style="3" hidden="1"/>
    <col min="10999" max="10999" width="16.28515625" style="3" hidden="1"/>
    <col min="11000" max="11000" width="17.5703125" style="3" hidden="1"/>
    <col min="11001" max="11001" width="16" style="3" hidden="1"/>
    <col min="11002" max="11002" width="18.140625" style="3" hidden="1"/>
    <col min="11003" max="11195" width="9.140625" style="3" hidden="1"/>
    <col min="11196" max="11196" width="11" style="3" hidden="1"/>
    <col min="11197" max="11197" width="54.28515625" style="3" hidden="1"/>
    <col min="11198" max="11254" width="9.140625" style="3" hidden="1"/>
    <col min="11255" max="11255" width="16.28515625" style="3" hidden="1"/>
    <col min="11256" max="11256" width="17.5703125" style="3" hidden="1"/>
    <col min="11257" max="11257" width="16" style="3" hidden="1"/>
    <col min="11258" max="11258" width="18.140625" style="3" hidden="1"/>
    <col min="11259" max="11451" width="9.140625" style="3" hidden="1"/>
    <col min="11452" max="11452" width="11" style="3" hidden="1"/>
    <col min="11453" max="11453" width="54.28515625" style="3" hidden="1"/>
    <col min="11454" max="11510" width="9.140625" style="3" hidden="1"/>
    <col min="11511" max="11511" width="16.28515625" style="3" hidden="1"/>
    <col min="11512" max="11512" width="17.5703125" style="3" hidden="1"/>
    <col min="11513" max="11513" width="16" style="3" hidden="1"/>
    <col min="11514" max="11514" width="18.140625" style="3" hidden="1"/>
    <col min="11515" max="11707" width="9.140625" style="3" hidden="1"/>
    <col min="11708" max="11708" width="11" style="3" hidden="1"/>
    <col min="11709" max="11709" width="54.28515625" style="3" hidden="1"/>
    <col min="11710" max="11766" width="9.140625" style="3" hidden="1"/>
    <col min="11767" max="11767" width="16.28515625" style="3" hidden="1"/>
    <col min="11768" max="11768" width="17.5703125" style="3" hidden="1"/>
    <col min="11769" max="11769" width="16" style="3" hidden="1"/>
    <col min="11770" max="11770" width="18.140625" style="3" hidden="1"/>
    <col min="11771" max="11963" width="9.140625" style="3" hidden="1"/>
    <col min="11964" max="11964" width="11" style="3" hidden="1"/>
    <col min="11965" max="11965" width="54.28515625" style="3" hidden="1"/>
    <col min="11966" max="12022" width="9.140625" style="3" hidden="1"/>
    <col min="12023" max="12023" width="16.28515625" style="3" hidden="1"/>
    <col min="12024" max="12024" width="17.5703125" style="3" hidden="1"/>
    <col min="12025" max="12025" width="16" style="3" hidden="1"/>
    <col min="12026" max="12026" width="18.140625" style="3" hidden="1"/>
    <col min="12027" max="12219" width="9.140625" style="3" hidden="1"/>
    <col min="12220" max="12220" width="11" style="3" hidden="1"/>
    <col min="12221" max="12221" width="54.28515625" style="3" hidden="1"/>
    <col min="12222" max="12278" width="9.140625" style="3" hidden="1"/>
    <col min="12279" max="12279" width="16.28515625" style="3" hidden="1"/>
    <col min="12280" max="12280" width="17.5703125" style="3" hidden="1"/>
    <col min="12281" max="12281" width="16" style="3" hidden="1"/>
    <col min="12282" max="12282" width="18.140625" style="3" hidden="1"/>
    <col min="12283" max="12475" width="9.140625" style="3" hidden="1"/>
    <col min="12476" max="12476" width="11" style="3" hidden="1"/>
    <col min="12477" max="12477" width="54.28515625" style="3" hidden="1"/>
    <col min="12478" max="12534" width="9.140625" style="3" hidden="1"/>
    <col min="12535" max="12535" width="16.28515625" style="3" hidden="1"/>
    <col min="12536" max="12536" width="17.5703125" style="3" hidden="1"/>
    <col min="12537" max="12537" width="16" style="3" hidden="1"/>
    <col min="12538" max="12538" width="18.140625" style="3" hidden="1"/>
    <col min="12539" max="12731" width="9.140625" style="3" hidden="1"/>
    <col min="12732" max="12732" width="11" style="3" hidden="1"/>
    <col min="12733" max="12733" width="54.28515625" style="3" hidden="1"/>
    <col min="12734" max="12790" width="9.140625" style="3" hidden="1"/>
    <col min="12791" max="12791" width="16.28515625" style="3" hidden="1"/>
    <col min="12792" max="12792" width="17.5703125" style="3" hidden="1"/>
    <col min="12793" max="12793" width="16" style="3" hidden="1"/>
    <col min="12794" max="12794" width="18.140625" style="3" hidden="1"/>
    <col min="12795" max="12987" width="9.140625" style="3" hidden="1"/>
    <col min="12988" max="12988" width="11" style="3" hidden="1"/>
    <col min="12989" max="12989" width="54.28515625" style="3" hidden="1"/>
    <col min="12990" max="13046" width="9.140625" style="3" hidden="1"/>
    <col min="13047" max="13047" width="16.28515625" style="3" hidden="1"/>
    <col min="13048" max="13048" width="17.5703125" style="3" hidden="1"/>
    <col min="13049" max="13049" width="16" style="3" hidden="1"/>
    <col min="13050" max="13050" width="18.140625" style="3" hidden="1"/>
    <col min="13051" max="13243" width="9.140625" style="3" hidden="1"/>
    <col min="13244" max="13244" width="11" style="3" hidden="1"/>
    <col min="13245" max="13245" width="54.28515625" style="3" hidden="1"/>
    <col min="13246" max="13302" width="9.140625" style="3" hidden="1"/>
    <col min="13303" max="13303" width="16.28515625" style="3" hidden="1"/>
    <col min="13304" max="13304" width="17.5703125" style="3" hidden="1"/>
    <col min="13305" max="13305" width="16" style="3" hidden="1"/>
    <col min="13306" max="13306" width="18.140625" style="3" hidden="1"/>
    <col min="13307" max="13499" width="9.140625" style="3" hidden="1"/>
    <col min="13500" max="13500" width="11" style="3" hidden="1"/>
    <col min="13501" max="13501" width="54.28515625" style="3" hidden="1"/>
    <col min="13502" max="13558" width="9.140625" style="3" hidden="1"/>
    <col min="13559" max="13559" width="16.28515625" style="3" hidden="1"/>
    <col min="13560" max="13560" width="17.5703125" style="3" hidden="1"/>
    <col min="13561" max="13561" width="16" style="3" hidden="1"/>
    <col min="13562" max="13562" width="18.140625" style="3" hidden="1"/>
    <col min="13563" max="13755" width="9.140625" style="3" hidden="1"/>
    <col min="13756" max="13756" width="11" style="3" hidden="1"/>
    <col min="13757" max="13757" width="54.28515625" style="3" hidden="1"/>
    <col min="13758" max="13814" width="9.140625" style="3" hidden="1"/>
    <col min="13815" max="13815" width="16.28515625" style="3" hidden="1"/>
    <col min="13816" max="13816" width="17.5703125" style="3" hidden="1"/>
    <col min="13817" max="13817" width="16" style="3" hidden="1"/>
    <col min="13818" max="13818" width="18.140625" style="3" hidden="1"/>
    <col min="13819" max="14011" width="9.140625" style="3" hidden="1"/>
    <col min="14012" max="14012" width="11" style="3" hidden="1"/>
    <col min="14013" max="14013" width="54.28515625" style="3" hidden="1"/>
    <col min="14014" max="14070" width="9.140625" style="3" hidden="1"/>
    <col min="14071" max="14071" width="16.28515625" style="3" hidden="1"/>
    <col min="14072" max="14072" width="17.5703125" style="3" hidden="1"/>
    <col min="14073" max="14073" width="16" style="3" hidden="1"/>
    <col min="14074" max="14074" width="18.140625" style="3" hidden="1"/>
    <col min="14075" max="14267" width="9.140625" style="3" hidden="1"/>
    <col min="14268" max="14268" width="11" style="3" hidden="1"/>
    <col min="14269" max="14269" width="54.28515625" style="3" hidden="1"/>
    <col min="14270" max="14326" width="9.140625" style="3" hidden="1"/>
    <col min="14327" max="14327" width="16.28515625" style="3" hidden="1"/>
    <col min="14328" max="14328" width="17.5703125" style="3" hidden="1"/>
    <col min="14329" max="14329" width="16" style="3" hidden="1"/>
    <col min="14330" max="14330" width="18.140625" style="3" hidden="1"/>
    <col min="14331" max="14523" width="9.140625" style="3" hidden="1"/>
    <col min="14524" max="14524" width="11" style="3" hidden="1"/>
    <col min="14525" max="14525" width="54.28515625" style="3" hidden="1"/>
    <col min="14526" max="14582" width="9.140625" style="3" hidden="1"/>
    <col min="14583" max="14583" width="16.28515625" style="3" hidden="1"/>
    <col min="14584" max="14584" width="17.5703125" style="3" hidden="1"/>
    <col min="14585" max="14585" width="16" style="3" hidden="1"/>
    <col min="14586" max="14586" width="18.140625" style="3" hidden="1"/>
    <col min="14587" max="14779" width="9.140625" style="3" hidden="1"/>
    <col min="14780" max="14780" width="11" style="3" hidden="1"/>
    <col min="14781" max="14781" width="54.28515625" style="3" hidden="1"/>
    <col min="14782" max="14838" width="9.140625" style="3" hidden="1"/>
    <col min="14839" max="14839" width="16.28515625" style="3" hidden="1"/>
    <col min="14840" max="14840" width="17.5703125" style="3" hidden="1"/>
    <col min="14841" max="14841" width="16" style="3" hidden="1"/>
    <col min="14842" max="14842" width="18.140625" style="3" hidden="1"/>
    <col min="14843" max="15035" width="9.140625" style="3" hidden="1"/>
    <col min="15036" max="15036" width="11" style="3" hidden="1"/>
    <col min="15037" max="15037" width="54.28515625" style="3" hidden="1"/>
    <col min="15038" max="15094" width="9.140625" style="3" hidden="1"/>
    <col min="15095" max="15095" width="16.28515625" style="3" hidden="1"/>
    <col min="15096" max="15096" width="17.5703125" style="3" hidden="1"/>
    <col min="15097" max="15097" width="16" style="3" hidden="1"/>
    <col min="15098" max="15098" width="18.140625" style="3" hidden="1"/>
    <col min="15099" max="15291" width="9.140625" style="3" hidden="1"/>
    <col min="15292" max="15292" width="11" style="3" hidden="1"/>
    <col min="15293" max="15293" width="54.28515625" style="3" hidden="1"/>
    <col min="15294" max="15350" width="9.140625" style="3" hidden="1"/>
    <col min="15351" max="15351" width="16.28515625" style="3" hidden="1"/>
    <col min="15352" max="15352" width="17.5703125" style="3" hidden="1"/>
    <col min="15353" max="15353" width="16" style="3" hidden="1"/>
    <col min="15354" max="15354" width="18.140625" style="3" hidden="1"/>
    <col min="15355" max="15547" width="9.140625" style="3" hidden="1"/>
    <col min="15548" max="15548" width="11" style="3" hidden="1"/>
    <col min="15549" max="15549" width="54.28515625" style="3" hidden="1"/>
    <col min="15550" max="15606" width="9.140625" style="3" hidden="1"/>
    <col min="15607" max="15607" width="16.28515625" style="3" hidden="1"/>
    <col min="15608" max="15608" width="17.5703125" style="3" hidden="1"/>
    <col min="15609" max="15609" width="16" style="3" hidden="1"/>
    <col min="15610" max="15610" width="18.140625" style="3" hidden="1"/>
    <col min="15611" max="15803" width="9.140625" style="3" hidden="1"/>
    <col min="15804" max="15804" width="11" style="3" hidden="1"/>
    <col min="15805" max="15805" width="54.28515625" style="3" hidden="1"/>
    <col min="15806" max="15862" width="9.140625" style="3" hidden="1"/>
    <col min="15863" max="15863" width="16.28515625" style="3" hidden="1"/>
    <col min="15864" max="15864" width="17.5703125" style="3" hidden="1"/>
    <col min="15865" max="15865" width="16" style="3" hidden="1"/>
    <col min="15866" max="15866" width="18.140625" style="3" hidden="1"/>
    <col min="15867" max="16059" width="9.140625" style="3" hidden="1"/>
    <col min="16060" max="16060" width="11" style="3" hidden="1"/>
    <col min="16061" max="16061" width="54.28515625" style="3" hidden="1"/>
    <col min="16062" max="16118" width="9.140625" style="3" hidden="1"/>
    <col min="16119" max="16119" width="16.28515625" style="3" hidden="1"/>
    <col min="16120" max="16120" width="17.5703125" style="3" hidden="1"/>
    <col min="16121" max="16121" width="16" style="3" hidden="1"/>
    <col min="16122" max="16122" width="18.140625" style="3" hidden="1"/>
    <col min="16123" max="16384" width="9.140625" style="3" hidden="1"/>
  </cols>
  <sheetData>
    <row r="1" spans="1:6">
      <c r="B1" s="2" t="s">
        <v>1619</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Worksheet'!$D$79</f>
        <v>285076</v>
      </c>
      <c r="E3" s="11"/>
      <c r="F3" s="11"/>
    </row>
    <row r="4" spans="1:6">
      <c r="A4" s="8">
        <v>0</v>
      </c>
      <c r="B4" s="11" t="s">
        <v>4</v>
      </c>
      <c r="C4" s="10">
        <v>1.4480000000000001E-3</v>
      </c>
      <c r="D4" s="12">
        <f>ROUND(D$3*C4,0)</f>
        <v>413</v>
      </c>
      <c r="E4" s="13">
        <f>ROUND(D4/2,0)</f>
        <v>207</v>
      </c>
      <c r="F4" s="12">
        <f>D4-E4</f>
        <v>206</v>
      </c>
    </row>
    <row r="5" spans="1:6">
      <c r="A5" s="8">
        <v>1</v>
      </c>
      <c r="B5" s="11" t="s">
        <v>1620</v>
      </c>
      <c r="C5" s="10">
        <v>0.17381099999999999</v>
      </c>
      <c r="D5" s="9">
        <f>ROUND(D$3*C5,0)</f>
        <v>49549</v>
      </c>
      <c r="E5" s="11">
        <f>ROUND(D5/2,0)</f>
        <v>24775</v>
      </c>
      <c r="F5" s="9">
        <f>D5-E5</f>
        <v>24774</v>
      </c>
    </row>
    <row r="6" spans="1:6">
      <c r="A6" s="8"/>
      <c r="B6" s="11" t="s">
        <v>6</v>
      </c>
      <c r="C6" s="11"/>
      <c r="D6" s="14">
        <v>0.32412800000000003</v>
      </c>
      <c r="E6" s="11"/>
      <c r="F6" s="11"/>
    </row>
    <row r="7" spans="1:6">
      <c r="A7" s="8"/>
      <c r="B7" s="11" t="s">
        <v>7</v>
      </c>
      <c r="C7" s="11"/>
      <c r="D7" s="225">
        <f>ROUND(D5*D6,0)</f>
        <v>16060</v>
      </c>
      <c r="E7" s="226">
        <f>ROUND(D7/2,0)</f>
        <v>8030</v>
      </c>
      <c r="F7" s="225">
        <f>D7-E7</f>
        <v>8030</v>
      </c>
    </row>
    <row r="8" spans="1:6">
      <c r="A8" s="8"/>
      <c r="B8" s="11" t="s">
        <v>8</v>
      </c>
      <c r="C8" s="11"/>
      <c r="D8" s="12">
        <f>+D5-D7</f>
        <v>33489</v>
      </c>
      <c r="E8" s="13">
        <f>ROUND(D8/2,0)</f>
        <v>16745</v>
      </c>
      <c r="F8" s="12">
        <f>D8-E8</f>
        <v>16744</v>
      </c>
    </row>
    <row r="9" spans="1:6">
      <c r="A9" s="8">
        <v>2</v>
      </c>
      <c r="B9" s="11" t="s">
        <v>1621</v>
      </c>
      <c r="C9" s="11"/>
      <c r="D9" s="9"/>
      <c r="E9" s="11"/>
      <c r="F9" s="11"/>
    </row>
    <row r="10" spans="1:6">
      <c r="A10" s="8"/>
      <c r="B10" s="11" t="s">
        <v>10</v>
      </c>
      <c r="C10" s="10">
        <v>2.3699999999999999E-4</v>
      </c>
      <c r="D10" s="12">
        <f>ROUND(D$3*C10,0)</f>
        <v>68</v>
      </c>
      <c r="E10" s="13">
        <f>ROUND(D10/2,0)</f>
        <v>34</v>
      </c>
      <c r="F10" s="12">
        <f>D10-E10</f>
        <v>34</v>
      </c>
    </row>
    <row r="11" spans="1:6">
      <c r="A11" s="8"/>
      <c r="B11" s="11" t="s">
        <v>11</v>
      </c>
      <c r="C11" s="10">
        <v>3.0000000000000001E-6</v>
      </c>
      <c r="D11" s="12">
        <f>ROUND(D$3*C11,0)</f>
        <v>1</v>
      </c>
      <c r="E11" s="13">
        <f>ROUND(D11/2,0)</f>
        <v>1</v>
      </c>
      <c r="F11" s="12">
        <f>D11-E11</f>
        <v>0</v>
      </c>
    </row>
    <row r="12" spans="1:6">
      <c r="A12" s="8">
        <v>2</v>
      </c>
      <c r="B12" s="11" t="s">
        <v>1622</v>
      </c>
      <c r="C12" s="11"/>
      <c r="D12" s="9"/>
      <c r="E12" s="11"/>
      <c r="F12" s="11"/>
    </row>
    <row r="13" spans="1:6">
      <c r="A13" s="8"/>
      <c r="B13" s="11" t="s">
        <v>10</v>
      </c>
      <c r="C13" s="10">
        <v>1.5280000000000001E-3</v>
      </c>
      <c r="D13" s="12">
        <f>ROUND(D$3*C13,0)</f>
        <v>436</v>
      </c>
      <c r="E13" s="13">
        <f>ROUND(D13/2,0)</f>
        <v>218</v>
      </c>
      <c r="F13" s="12">
        <f>D13-E13</f>
        <v>218</v>
      </c>
    </row>
    <row r="14" spans="1:6">
      <c r="A14" s="8"/>
      <c r="B14" s="11" t="s">
        <v>11</v>
      </c>
      <c r="C14" s="10">
        <v>8.2999999999999998E-5</v>
      </c>
      <c r="D14" s="12">
        <f>ROUND(D$3*C14,0)</f>
        <v>24</v>
      </c>
      <c r="E14" s="13">
        <f>ROUND(D14/2,0)</f>
        <v>12</v>
      </c>
      <c r="F14" s="12">
        <f>D14-E14</f>
        <v>12</v>
      </c>
    </row>
    <row r="15" spans="1:6">
      <c r="A15" s="8">
        <v>2</v>
      </c>
      <c r="B15" s="11" t="s">
        <v>49</v>
      </c>
      <c r="C15" s="11"/>
      <c r="D15" s="9"/>
      <c r="E15" s="11"/>
      <c r="F15" s="11"/>
    </row>
    <row r="16" spans="1:6">
      <c r="A16" s="8"/>
      <c r="B16" s="11" t="s">
        <v>10</v>
      </c>
      <c r="C16" s="10">
        <v>5.5000000000000003E-4</v>
      </c>
      <c r="D16" s="12">
        <f>ROUND(D$3*C16,0)</f>
        <v>157</v>
      </c>
      <c r="E16" s="13">
        <f>ROUND(D16/2,0)</f>
        <v>79</v>
      </c>
      <c r="F16" s="12">
        <f>D16-E16</f>
        <v>78</v>
      </c>
    </row>
    <row r="17" spans="1:6">
      <c r="A17" s="8"/>
      <c r="B17" s="11" t="s">
        <v>11</v>
      </c>
      <c r="C17" s="10">
        <v>2.5300000000000002E-4</v>
      </c>
      <c r="D17" s="12">
        <f>ROUND(D$3*C17,0)</f>
        <v>72</v>
      </c>
      <c r="E17" s="13">
        <f>ROUND(D17/2,0)</f>
        <v>36</v>
      </c>
      <c r="F17" s="12">
        <f>D17-E17</f>
        <v>36</v>
      </c>
    </row>
    <row r="18" spans="1:6">
      <c r="A18" s="8">
        <v>2</v>
      </c>
      <c r="B18" s="11" t="s">
        <v>1623</v>
      </c>
      <c r="C18" s="11"/>
      <c r="D18" s="9"/>
      <c r="E18" s="11"/>
      <c r="F18" s="11"/>
    </row>
    <row r="19" spans="1:6">
      <c r="A19" s="8"/>
      <c r="B19" s="11" t="s">
        <v>10</v>
      </c>
      <c r="C19" s="10">
        <v>3.3279999999999998E-3</v>
      </c>
      <c r="D19" s="12">
        <f>ROUND(D$3*C19,0)</f>
        <v>949</v>
      </c>
      <c r="E19" s="13">
        <f>ROUND(D19/2,0)</f>
        <v>475</v>
      </c>
      <c r="F19" s="12">
        <f>D19-E19</f>
        <v>474</v>
      </c>
    </row>
    <row r="20" spans="1:6">
      <c r="A20" s="8"/>
      <c r="B20" s="11" t="s">
        <v>11</v>
      </c>
      <c r="C20" s="10">
        <v>2.823E-3</v>
      </c>
      <c r="D20" s="12">
        <f>ROUND(D$3*C20,0)</f>
        <v>805</v>
      </c>
      <c r="E20" s="13">
        <f>ROUND(D20/2,0)</f>
        <v>403</v>
      </c>
      <c r="F20" s="12">
        <f>D20-E20</f>
        <v>402</v>
      </c>
    </row>
    <row r="21" spans="1:6">
      <c r="A21" s="8">
        <v>2</v>
      </c>
      <c r="B21" s="11" t="s">
        <v>1624</v>
      </c>
      <c r="C21" s="11"/>
      <c r="D21" s="9"/>
      <c r="E21" s="11"/>
      <c r="F21" s="11"/>
    </row>
    <row r="22" spans="1:6">
      <c r="A22" s="8"/>
      <c r="B22" s="11" t="s">
        <v>10</v>
      </c>
      <c r="C22" s="10">
        <v>1.17E-3</v>
      </c>
      <c r="D22" s="12">
        <f>ROUND(D$3*C22,0)</f>
        <v>334</v>
      </c>
      <c r="E22" s="13">
        <f>ROUND(D22/2,0)</f>
        <v>167</v>
      </c>
      <c r="F22" s="12">
        <f>D22-E22</f>
        <v>167</v>
      </c>
    </row>
    <row r="23" spans="1:6">
      <c r="A23" s="8"/>
      <c r="B23" s="11" t="s">
        <v>11</v>
      </c>
      <c r="C23" s="10">
        <v>1.9799999999999999E-4</v>
      </c>
      <c r="D23" s="12">
        <f>ROUND(D$3*C23,0)</f>
        <v>56</v>
      </c>
      <c r="E23" s="13">
        <f>ROUND(D23/2,0)</f>
        <v>28</v>
      </c>
      <c r="F23" s="12">
        <f>D23-E23</f>
        <v>28</v>
      </c>
    </row>
    <row r="24" spans="1:6">
      <c r="A24" s="8">
        <v>2</v>
      </c>
      <c r="B24" s="11" t="s">
        <v>1625</v>
      </c>
      <c r="C24" s="11"/>
      <c r="D24" s="9"/>
      <c r="E24" s="11"/>
      <c r="F24" s="11"/>
    </row>
    <row r="25" spans="1:6">
      <c r="A25" s="8"/>
      <c r="B25" s="11" t="s">
        <v>10</v>
      </c>
      <c r="C25" s="10">
        <v>8.2799999999999996E-4</v>
      </c>
      <c r="D25" s="12">
        <f>ROUND(D$3*C25,0)</f>
        <v>236</v>
      </c>
      <c r="E25" s="13">
        <f>ROUND(D25/2,0)</f>
        <v>118</v>
      </c>
      <c r="F25" s="12">
        <f>D25-E25</f>
        <v>118</v>
      </c>
    </row>
    <row r="26" spans="1:6">
      <c r="A26" s="8"/>
      <c r="B26" s="11" t="s">
        <v>11</v>
      </c>
      <c r="C26" s="10">
        <v>6.7000000000000002E-5</v>
      </c>
      <c r="D26" s="12">
        <f>ROUND(D$3*C26,0)</f>
        <v>19</v>
      </c>
      <c r="E26" s="13">
        <f>ROUND(D26/2,0)</f>
        <v>10</v>
      </c>
      <c r="F26" s="12">
        <f>D26-E26</f>
        <v>9</v>
      </c>
    </row>
    <row r="27" spans="1:6">
      <c r="A27" s="8">
        <v>2</v>
      </c>
      <c r="B27" s="11" t="s">
        <v>57</v>
      </c>
      <c r="C27" s="11"/>
      <c r="D27" s="9"/>
      <c r="E27" s="11"/>
      <c r="F27" s="11"/>
    </row>
    <row r="28" spans="1:6">
      <c r="A28" s="8"/>
      <c r="B28" s="11" t="s">
        <v>10</v>
      </c>
      <c r="C28" s="10">
        <v>2.1099999999999999E-3</v>
      </c>
      <c r="D28" s="12">
        <f>ROUND(D$3*C28,0)</f>
        <v>602</v>
      </c>
      <c r="E28" s="13">
        <f>ROUND(D28/2,0)</f>
        <v>301</v>
      </c>
      <c r="F28" s="12">
        <f>D28-E28</f>
        <v>301</v>
      </c>
    </row>
    <row r="29" spans="1:6">
      <c r="A29" s="8"/>
      <c r="B29" s="11" t="s">
        <v>11</v>
      </c>
      <c r="C29" s="10">
        <v>8.9499999999999996E-4</v>
      </c>
      <c r="D29" s="12">
        <f>ROUND(D$3*C29,0)</f>
        <v>255</v>
      </c>
      <c r="E29" s="13">
        <f>ROUND(D29/2,0)</f>
        <v>128</v>
      </c>
      <c r="F29" s="12">
        <f>D29-E29</f>
        <v>127</v>
      </c>
    </row>
    <row r="30" spans="1:6">
      <c r="A30" s="8">
        <v>2</v>
      </c>
      <c r="B30" s="11" t="s">
        <v>114</v>
      </c>
      <c r="C30" s="11"/>
      <c r="D30" s="9"/>
      <c r="E30" s="11"/>
      <c r="F30" s="11"/>
    </row>
    <row r="31" spans="1:6">
      <c r="A31" s="8"/>
      <c r="B31" s="11" t="s">
        <v>10</v>
      </c>
      <c r="C31" s="10">
        <v>1.0900000000000001E-4</v>
      </c>
      <c r="D31" s="12">
        <f>ROUND(D$3*C31,0)</f>
        <v>31</v>
      </c>
      <c r="E31" s="13">
        <f>ROUND(D31/2,0)</f>
        <v>16</v>
      </c>
      <c r="F31" s="12">
        <f>D31-E31</f>
        <v>15</v>
      </c>
    </row>
    <row r="32" spans="1:6">
      <c r="A32" s="8"/>
      <c r="B32" s="11" t="s">
        <v>11</v>
      </c>
      <c r="C32" s="10">
        <v>7.7000000000000001E-5</v>
      </c>
      <c r="D32" s="12">
        <f>ROUND(D$3*C32,0)</f>
        <v>22</v>
      </c>
      <c r="E32" s="13">
        <f>ROUND(D32/2,0)</f>
        <v>11</v>
      </c>
      <c r="F32" s="12">
        <f>D32-E32</f>
        <v>11</v>
      </c>
    </row>
    <row r="33" spans="1:6">
      <c r="A33" s="8">
        <v>2</v>
      </c>
      <c r="B33" s="11" t="s">
        <v>404</v>
      </c>
      <c r="C33" s="11"/>
      <c r="D33" s="9"/>
      <c r="E33" s="11"/>
      <c r="F33" s="11"/>
    </row>
    <row r="34" spans="1:6">
      <c r="A34" s="8"/>
      <c r="B34" s="11" t="s">
        <v>10</v>
      </c>
      <c r="C34" s="10">
        <v>1.2880000000000001E-3</v>
      </c>
      <c r="D34" s="12">
        <f>ROUND(D$3*C34,0)</f>
        <v>367</v>
      </c>
      <c r="E34" s="13">
        <f>ROUND(D34/2,0)</f>
        <v>184</v>
      </c>
      <c r="F34" s="12">
        <f>D34-E34</f>
        <v>183</v>
      </c>
    </row>
    <row r="35" spans="1:6">
      <c r="A35" s="8"/>
      <c r="B35" s="11" t="s">
        <v>11</v>
      </c>
      <c r="C35" s="10">
        <v>7.2900000000000005E-4</v>
      </c>
      <c r="D35" s="12">
        <f>ROUND(D$3*C35,0)</f>
        <v>208</v>
      </c>
      <c r="E35" s="13">
        <f>ROUND(D35/2,0)</f>
        <v>104</v>
      </c>
      <c r="F35" s="12">
        <f>D35-E35</f>
        <v>104</v>
      </c>
    </row>
    <row r="36" spans="1:6">
      <c r="A36" s="8">
        <v>2</v>
      </c>
      <c r="B36" s="11" t="s">
        <v>954</v>
      </c>
      <c r="C36" s="11"/>
      <c r="D36" s="9"/>
      <c r="E36" s="11"/>
      <c r="F36" s="11"/>
    </row>
    <row r="37" spans="1:6">
      <c r="A37" s="8"/>
      <c r="B37" s="11" t="s">
        <v>10</v>
      </c>
      <c r="C37" s="10">
        <v>6.9999999999999994E-5</v>
      </c>
      <c r="D37" s="12">
        <f>ROUND(D$3*C37,0)</f>
        <v>20</v>
      </c>
      <c r="E37" s="13">
        <f>ROUND(D37/2,0)</f>
        <v>10</v>
      </c>
      <c r="F37" s="12">
        <f>D37-E37</f>
        <v>10</v>
      </c>
    </row>
    <row r="38" spans="1:6">
      <c r="A38" s="8"/>
      <c r="B38" s="11" t="s">
        <v>11</v>
      </c>
      <c r="C38" s="10">
        <v>2.1999999999999999E-5</v>
      </c>
      <c r="D38" s="12">
        <f>ROUND(D$3*C38,0)</f>
        <v>6</v>
      </c>
      <c r="E38" s="13">
        <f>ROUND(D38/2,0)</f>
        <v>3</v>
      </c>
      <c r="F38" s="12">
        <f>D38-E38</f>
        <v>3</v>
      </c>
    </row>
    <row r="39" spans="1:6">
      <c r="A39" s="8">
        <v>2</v>
      </c>
      <c r="B39" s="11" t="s">
        <v>1626</v>
      </c>
      <c r="C39" s="11"/>
      <c r="D39" s="9"/>
      <c r="E39" s="11"/>
      <c r="F39" s="11"/>
    </row>
    <row r="40" spans="1:6">
      <c r="A40" s="8"/>
      <c r="B40" s="11" t="s">
        <v>10</v>
      </c>
      <c r="C40" s="10">
        <v>4.3990000000000001E-3</v>
      </c>
      <c r="D40" s="12">
        <f>ROUND(D$3*C40,0)</f>
        <v>1254</v>
      </c>
      <c r="E40" s="13">
        <f>ROUND(D40/2,0)</f>
        <v>627</v>
      </c>
      <c r="F40" s="12">
        <f>D40-E40</f>
        <v>627</v>
      </c>
    </row>
    <row r="41" spans="1:6">
      <c r="A41" s="8"/>
      <c r="B41" s="11" t="s">
        <v>11</v>
      </c>
      <c r="C41" s="10">
        <v>4.6829999999999997E-3</v>
      </c>
      <c r="D41" s="12">
        <f>ROUND(D$3*C41,0)</f>
        <v>1335</v>
      </c>
      <c r="E41" s="13">
        <f>ROUND(D41/2,0)</f>
        <v>668</v>
      </c>
      <c r="F41" s="12">
        <f>D41-E41</f>
        <v>667</v>
      </c>
    </row>
    <row r="42" spans="1:6">
      <c r="A42" s="8">
        <v>2</v>
      </c>
      <c r="B42" s="11" t="s">
        <v>115</v>
      </c>
      <c r="C42" s="11"/>
      <c r="D42" s="9"/>
      <c r="E42" s="11"/>
      <c r="F42" s="11"/>
    </row>
    <row r="43" spans="1:6">
      <c r="A43" s="8"/>
      <c r="B43" s="11" t="s">
        <v>10</v>
      </c>
      <c r="C43" s="10">
        <v>7.5799999999999999E-4</v>
      </c>
      <c r="D43" s="12">
        <f t="shared" ref="D43:D52" si="0">ROUND(D$3*C43,0)</f>
        <v>216</v>
      </c>
      <c r="E43" s="13">
        <f t="shared" ref="E43:E52" si="1">ROUND(D43/2,0)</f>
        <v>108</v>
      </c>
      <c r="F43" s="12">
        <f t="shared" ref="F43:F52" si="2">D43-E43</f>
        <v>108</v>
      </c>
    </row>
    <row r="44" spans="1:6">
      <c r="A44" s="8"/>
      <c r="B44" s="11" t="s">
        <v>11</v>
      </c>
      <c r="C44" s="10">
        <v>1.15E-4</v>
      </c>
      <c r="D44" s="12">
        <f t="shared" si="0"/>
        <v>33</v>
      </c>
      <c r="E44" s="13">
        <f t="shared" si="1"/>
        <v>17</v>
      </c>
      <c r="F44" s="12">
        <f t="shared" si="2"/>
        <v>16</v>
      </c>
    </row>
    <row r="45" spans="1:6">
      <c r="A45" s="8">
        <v>3</v>
      </c>
      <c r="B45" s="11" t="s">
        <v>1627</v>
      </c>
      <c r="C45" s="10">
        <v>4.9103000000000001E-2</v>
      </c>
      <c r="D45" s="12">
        <f t="shared" si="0"/>
        <v>13998</v>
      </c>
      <c r="E45" s="13">
        <f t="shared" si="1"/>
        <v>6999</v>
      </c>
      <c r="F45" s="12">
        <f t="shared" si="2"/>
        <v>6999</v>
      </c>
    </row>
    <row r="46" spans="1:6">
      <c r="A46" s="8">
        <v>3</v>
      </c>
      <c r="B46" s="11" t="s">
        <v>381</v>
      </c>
      <c r="C46" s="10">
        <v>1.5959000000000001E-2</v>
      </c>
      <c r="D46" s="12">
        <f t="shared" si="0"/>
        <v>4550</v>
      </c>
      <c r="E46" s="13">
        <f t="shared" si="1"/>
        <v>2275</v>
      </c>
      <c r="F46" s="12">
        <f t="shared" si="2"/>
        <v>2275</v>
      </c>
    </row>
    <row r="47" spans="1:6">
      <c r="A47" s="8">
        <v>3</v>
      </c>
      <c r="B47" s="11" t="s">
        <v>1628</v>
      </c>
      <c r="C47" s="10">
        <v>1.256E-3</v>
      </c>
      <c r="D47" s="12">
        <f t="shared" si="0"/>
        <v>358</v>
      </c>
      <c r="E47" s="13">
        <f t="shared" si="1"/>
        <v>179</v>
      </c>
      <c r="F47" s="12">
        <f t="shared" si="2"/>
        <v>179</v>
      </c>
    </row>
    <row r="48" spans="1:6">
      <c r="A48" s="8">
        <v>3</v>
      </c>
      <c r="B48" s="11" t="s">
        <v>1629</v>
      </c>
      <c r="C48" s="10">
        <v>2.545E-3</v>
      </c>
      <c r="D48" s="12">
        <f t="shared" si="0"/>
        <v>726</v>
      </c>
      <c r="E48" s="13">
        <f t="shared" si="1"/>
        <v>363</v>
      </c>
      <c r="F48" s="12">
        <f t="shared" si="2"/>
        <v>363</v>
      </c>
    </row>
    <row r="49" spans="1:6">
      <c r="A49" s="8">
        <v>3</v>
      </c>
      <c r="B49" s="11" t="s">
        <v>386</v>
      </c>
      <c r="C49" s="10">
        <v>1.3619999999999999E-3</v>
      </c>
      <c r="D49" s="12">
        <f t="shared" si="0"/>
        <v>388</v>
      </c>
      <c r="E49" s="13">
        <f t="shared" si="1"/>
        <v>194</v>
      </c>
      <c r="F49" s="12">
        <f t="shared" si="2"/>
        <v>194</v>
      </c>
    </row>
    <row r="50" spans="1:6">
      <c r="A50" s="8">
        <v>3</v>
      </c>
      <c r="B50" s="11" t="s">
        <v>1630</v>
      </c>
      <c r="C50" s="10">
        <v>1.077E-3</v>
      </c>
      <c r="D50" s="12">
        <f t="shared" si="0"/>
        <v>307</v>
      </c>
      <c r="E50" s="13">
        <f t="shared" si="1"/>
        <v>154</v>
      </c>
      <c r="F50" s="12">
        <f t="shared" si="2"/>
        <v>153</v>
      </c>
    </row>
    <row r="51" spans="1:6">
      <c r="A51" s="8">
        <v>3</v>
      </c>
      <c r="B51" s="11" t="s">
        <v>1631</v>
      </c>
      <c r="C51" s="10">
        <v>5.4149999999999997E-3</v>
      </c>
      <c r="D51" s="12">
        <f t="shared" si="0"/>
        <v>1544</v>
      </c>
      <c r="E51" s="13">
        <f t="shared" si="1"/>
        <v>772</v>
      </c>
      <c r="F51" s="12">
        <f t="shared" si="2"/>
        <v>772</v>
      </c>
    </row>
    <row r="52" spans="1:6">
      <c r="A52" s="8">
        <v>4</v>
      </c>
      <c r="B52" s="11" t="s">
        <v>389</v>
      </c>
      <c r="C52" s="10">
        <v>3.2154000000000002E-2</v>
      </c>
      <c r="D52" s="9">
        <f t="shared" si="0"/>
        <v>9166</v>
      </c>
      <c r="E52" s="11">
        <f t="shared" si="1"/>
        <v>4583</v>
      </c>
      <c r="F52" s="9">
        <f t="shared" si="2"/>
        <v>4583</v>
      </c>
    </row>
    <row r="53" spans="1:6">
      <c r="A53" s="8"/>
      <c r="B53" s="11" t="s">
        <v>28</v>
      </c>
      <c r="C53" s="11"/>
      <c r="D53" s="14">
        <v>0.43275000000000002</v>
      </c>
      <c r="E53" s="11"/>
      <c r="F53" s="11"/>
    </row>
    <row r="54" spans="1:6">
      <c r="A54" s="8"/>
      <c r="B54" s="11" t="s">
        <v>29</v>
      </c>
      <c r="C54" s="11"/>
      <c r="D54" s="225">
        <f>ROUND(D52*D53,0)</f>
        <v>3967</v>
      </c>
      <c r="E54" s="226">
        <f>ROUND(D54/2,0)</f>
        <v>1984</v>
      </c>
      <c r="F54" s="225">
        <f>D54-E54</f>
        <v>1983</v>
      </c>
    </row>
    <row r="55" spans="1:6">
      <c r="A55" s="8"/>
      <c r="B55" s="11" t="s">
        <v>30</v>
      </c>
      <c r="C55" s="11"/>
      <c r="D55" s="12">
        <f>+D52-D54</f>
        <v>5199</v>
      </c>
      <c r="E55" s="13">
        <f>ROUND(D55/2,0)</f>
        <v>2600</v>
      </c>
      <c r="F55" s="12">
        <f>D55-E55</f>
        <v>2599</v>
      </c>
    </row>
    <row r="56" spans="1:6">
      <c r="A56" s="8">
        <v>4</v>
      </c>
      <c r="B56" s="11" t="s">
        <v>1632</v>
      </c>
      <c r="C56" s="10">
        <v>0.17158599999999999</v>
      </c>
      <c r="D56" s="9">
        <f>ROUND(D$3*C56,0)</f>
        <v>48915</v>
      </c>
      <c r="E56" s="11">
        <f>ROUND(D56/2,0)</f>
        <v>24458</v>
      </c>
      <c r="F56" s="9">
        <f>D56-E56</f>
        <v>24457</v>
      </c>
    </row>
    <row r="57" spans="1:6">
      <c r="A57" s="8"/>
      <c r="B57" s="11" t="s">
        <v>28</v>
      </c>
      <c r="C57" s="11"/>
      <c r="D57" s="14">
        <v>0.53579699999999997</v>
      </c>
      <c r="E57" s="11"/>
      <c r="F57" s="11"/>
    </row>
    <row r="58" spans="1:6">
      <c r="A58" s="8"/>
      <c r="B58" s="11" t="s">
        <v>29</v>
      </c>
      <c r="C58" s="11"/>
      <c r="D58" s="225">
        <f>ROUND(D56*D57,0)</f>
        <v>26209</v>
      </c>
      <c r="E58" s="226">
        <f>ROUND(D58/2,0)</f>
        <v>13105</v>
      </c>
      <c r="F58" s="225">
        <f>D58-E58</f>
        <v>13104</v>
      </c>
    </row>
    <row r="59" spans="1:6">
      <c r="A59" s="8"/>
      <c r="B59" s="11" t="s">
        <v>30</v>
      </c>
      <c r="C59" s="11"/>
      <c r="D59" s="12">
        <f>+D56-D58</f>
        <v>22706</v>
      </c>
      <c r="E59" s="13">
        <f>ROUND(D59/2,0)</f>
        <v>11353</v>
      </c>
      <c r="F59" s="12">
        <f>D59-E59</f>
        <v>11353</v>
      </c>
    </row>
    <row r="60" spans="1:6">
      <c r="A60" s="8">
        <v>4</v>
      </c>
      <c r="B60" s="11" t="s">
        <v>392</v>
      </c>
      <c r="C60" s="10">
        <v>3.1296999999999998E-2</v>
      </c>
      <c r="D60" s="9">
        <f>ROUND(D$3*C60,0)</f>
        <v>8922</v>
      </c>
      <c r="E60" s="11">
        <f>ROUND(D60/2,0)</f>
        <v>4461</v>
      </c>
      <c r="F60" s="9">
        <f>D60-E60</f>
        <v>4461</v>
      </c>
    </row>
    <row r="61" spans="1:6">
      <c r="A61" s="8"/>
      <c r="B61" s="11" t="s">
        <v>28</v>
      </c>
      <c r="C61" s="11"/>
      <c r="D61" s="14">
        <v>0.59032099999999998</v>
      </c>
      <c r="E61" s="11"/>
      <c r="F61" s="11"/>
    </row>
    <row r="62" spans="1:6">
      <c r="A62" s="8"/>
      <c r="B62" s="11" t="s">
        <v>29</v>
      </c>
      <c r="C62" s="11"/>
      <c r="D62" s="225">
        <f>ROUND(D60*D61,0)</f>
        <v>5267</v>
      </c>
      <c r="E62" s="226">
        <f>ROUND(D62/2,0)</f>
        <v>2634</v>
      </c>
      <c r="F62" s="225">
        <f>D62-E62</f>
        <v>2633</v>
      </c>
    </row>
    <row r="63" spans="1:6">
      <c r="A63" s="8"/>
      <c r="B63" s="11" t="s">
        <v>30</v>
      </c>
      <c r="C63" s="11"/>
      <c r="D63" s="12">
        <f>+D60-D62</f>
        <v>3655</v>
      </c>
      <c r="E63" s="13">
        <f>ROUND(D63/2,0)</f>
        <v>1828</v>
      </c>
      <c r="F63" s="12">
        <f>D63-E63</f>
        <v>1827</v>
      </c>
    </row>
    <row r="64" spans="1:6">
      <c r="A64" s="8">
        <v>4</v>
      </c>
      <c r="B64" s="11" t="s">
        <v>1633</v>
      </c>
      <c r="C64" s="10">
        <v>0.342418</v>
      </c>
      <c r="D64" s="9">
        <f>ROUND(D$3*C64,0)</f>
        <v>97615</v>
      </c>
      <c r="E64" s="11">
        <f>ROUND(D64/2,0)</f>
        <v>48808</v>
      </c>
      <c r="F64" s="9">
        <f>D64-E64</f>
        <v>48807</v>
      </c>
    </row>
    <row r="65" spans="1:8">
      <c r="A65" s="8"/>
      <c r="B65" s="11" t="s">
        <v>28</v>
      </c>
      <c r="C65" s="11"/>
      <c r="D65" s="14">
        <v>0.45450400000000002</v>
      </c>
      <c r="E65" s="11"/>
      <c r="F65" s="11"/>
    </row>
    <row r="66" spans="1:8">
      <c r="A66" s="8"/>
      <c r="B66" s="11" t="s">
        <v>29</v>
      </c>
      <c r="C66" s="11"/>
      <c r="D66" s="225">
        <f>ROUND(D64*D65,0)</f>
        <v>44366</v>
      </c>
      <c r="E66" s="226">
        <f>ROUND(D66/2,0)</f>
        <v>22183</v>
      </c>
      <c r="F66" s="225">
        <f>D66-E66</f>
        <v>22183</v>
      </c>
    </row>
    <row r="67" spans="1:8">
      <c r="A67" s="8"/>
      <c r="B67" s="11" t="s">
        <v>30</v>
      </c>
      <c r="C67" s="11"/>
      <c r="D67" s="12">
        <f>+D64-D66</f>
        <v>53249</v>
      </c>
      <c r="E67" s="13">
        <f>ROUND(D67/2,0)</f>
        <v>26625</v>
      </c>
      <c r="F67" s="12">
        <f>D67-E67</f>
        <v>26624</v>
      </c>
    </row>
    <row r="68" spans="1:8">
      <c r="A68" s="8">
        <v>4</v>
      </c>
      <c r="B68" s="11" t="s">
        <v>993</v>
      </c>
      <c r="C68" s="10">
        <v>0.12951299999999999</v>
      </c>
      <c r="D68" s="9">
        <f>ROUND(D$3*C68,0)</f>
        <v>36921</v>
      </c>
      <c r="E68" s="11">
        <f>ROUND(D68/2,0)</f>
        <v>18461</v>
      </c>
      <c r="F68" s="9">
        <f>D68-E68</f>
        <v>18460</v>
      </c>
    </row>
    <row r="69" spans="1:8">
      <c r="A69" s="8"/>
      <c r="B69" s="11" t="s">
        <v>28</v>
      </c>
      <c r="C69" s="11"/>
      <c r="D69" s="14">
        <v>0.449793</v>
      </c>
      <c r="E69" s="11"/>
      <c r="F69" s="11"/>
    </row>
    <row r="70" spans="1:8">
      <c r="A70" s="8"/>
      <c r="B70" s="11" t="s">
        <v>29</v>
      </c>
      <c r="C70" s="11"/>
      <c r="D70" s="225">
        <f>ROUND(D68*D69,0)</f>
        <v>16607</v>
      </c>
      <c r="E70" s="226">
        <f>ROUND(D70/2,0)</f>
        <v>8304</v>
      </c>
      <c r="F70" s="225">
        <f>D70-E70</f>
        <v>8303</v>
      </c>
    </row>
    <row r="71" spans="1:8">
      <c r="A71" s="8" t="s">
        <v>590</v>
      </c>
      <c r="B71" s="11" t="s">
        <v>30</v>
      </c>
      <c r="C71" s="11"/>
      <c r="D71" s="12">
        <f>+D68-D70</f>
        <v>20314</v>
      </c>
      <c r="E71" s="13">
        <f>ROUND(D71/2,0)</f>
        <v>10157</v>
      </c>
      <c r="F71" s="12">
        <f>D71-E71</f>
        <v>10157</v>
      </c>
    </row>
    <row r="72" spans="1:8">
      <c r="A72" s="8">
        <v>5</v>
      </c>
      <c r="B72" s="11" t="s">
        <v>1634</v>
      </c>
      <c r="C72" s="10">
        <v>9.0310000000000008E-3</v>
      </c>
      <c r="D72" s="12">
        <f>ROUND(D$3*C72,0)</f>
        <v>2575</v>
      </c>
      <c r="E72" s="13">
        <f>ROUND(D72/2,0)</f>
        <v>1288</v>
      </c>
      <c r="F72" s="12">
        <f>D72-E72</f>
        <v>1287</v>
      </c>
    </row>
    <row r="73" spans="1:8">
      <c r="A73" s="8">
        <v>5</v>
      </c>
      <c r="B73" s="11" t="s">
        <v>1635</v>
      </c>
      <c r="C73" s="10">
        <v>9.6000000000000002E-5</v>
      </c>
      <c r="D73" s="12">
        <f>ROUND(D$3*C73,0)</f>
        <v>27</v>
      </c>
      <c r="E73" s="13">
        <f>ROUND(D73/2,0)</f>
        <v>14</v>
      </c>
      <c r="F73" s="12">
        <f>D73-E73</f>
        <v>13</v>
      </c>
    </row>
    <row r="74" spans="1:8">
      <c r="A74" s="8">
        <v>6</v>
      </c>
      <c r="B74" s="11" t="s">
        <v>397</v>
      </c>
      <c r="C74" s="10">
        <v>5.6059999999999999E-3</v>
      </c>
      <c r="D74" s="12">
        <f>+D3-SUM(D4:D5)-SUM(D10:D52)-D56-D60-D64-D68-SUM(D72:D73)</f>
        <v>1596</v>
      </c>
      <c r="E74" s="13">
        <f>ROUND(D74/2,0)</f>
        <v>798</v>
      </c>
      <c r="F74" s="12">
        <f>D74-E74</f>
        <v>798</v>
      </c>
    </row>
    <row r="75" spans="1:8">
      <c r="A75" s="8"/>
      <c r="B75" s="28" t="s">
        <v>288</v>
      </c>
      <c r="C75" s="10">
        <v>1</v>
      </c>
      <c r="D75" s="12">
        <f>+D4+SUM(D7:D51)+SUM(D54:D55)+SUM(D58:D59)+SUM(D62:D63)+SUM(D66:D67)+SUM(D70:D74)</f>
        <v>285076</v>
      </c>
      <c r="E75" s="12">
        <f>+E4+SUM(E7:E51)+SUM(E54:E55)+SUM(E58:E59)+SUM(E62:E63)+SUM(E66:E67)+SUM(E70:E74)</f>
        <v>142549</v>
      </c>
      <c r="F75" s="12">
        <f>+F4+SUM(F7:F51)+SUM(F54:F55)+SUM(F58:F59)+SUM(F62:F63)+SUM(F66:F67)+SUM(F70:F74)</f>
        <v>142527</v>
      </c>
    </row>
    <row r="76" spans="1:8">
      <c r="B76" s="18" t="s">
        <v>38</v>
      </c>
      <c r="D76" s="19">
        <f>+D4</f>
        <v>413</v>
      </c>
      <c r="E76" s="19">
        <f>+E4</f>
        <v>207</v>
      </c>
      <c r="F76" s="19">
        <f>+F4</f>
        <v>206</v>
      </c>
    </row>
    <row r="77" spans="1:8">
      <c r="B77" s="2" t="s">
        <v>39</v>
      </c>
      <c r="D77" s="19">
        <f>+D7</f>
        <v>16060</v>
      </c>
      <c r="E77" s="19">
        <f>+E7</f>
        <v>8030</v>
      </c>
      <c r="F77" s="19">
        <f>+F7</f>
        <v>8030</v>
      </c>
    </row>
    <row r="78" spans="1:8">
      <c r="B78" s="2" t="s">
        <v>40</v>
      </c>
      <c r="D78" s="19">
        <f>+D54+D58+D62+D66+D70</f>
        <v>96416</v>
      </c>
      <c r="E78" s="19">
        <f>+E54+E58+E62+E66+E70</f>
        <v>48210</v>
      </c>
      <c r="F78" s="19">
        <f>+F54+F58+F62+F66+F70</f>
        <v>48206</v>
      </c>
      <c r="H78" s="3">
        <v>1</v>
      </c>
    </row>
    <row r="79" spans="1:8">
      <c r="B79" s="18" t="s">
        <v>41</v>
      </c>
      <c r="D79" s="19">
        <f>+D75-D76-D77-D78</f>
        <v>172187</v>
      </c>
      <c r="E79" s="19">
        <f>+E75-E76-E77-E78</f>
        <v>86102</v>
      </c>
      <c r="F79" s="19">
        <f>+F75-F76-F77-F78</f>
        <v>86085</v>
      </c>
      <c r="H79" s="3">
        <v>2</v>
      </c>
    </row>
    <row r="81" spans="2:4" hidden="1">
      <c r="B81" s="3" t="s">
        <v>42</v>
      </c>
      <c r="C81" s="4">
        <v>-1.0000000000001327E-6</v>
      </c>
      <c r="D81" s="3">
        <f>+D74-ROUND(D3*C74,0)</f>
        <v>-2</v>
      </c>
    </row>
  </sheetData>
  <pageMargins left="0.7" right="0.7" top="0.75" bottom="0.75" header="0.3" footer="0.3"/>
  <pageSetup scale="57"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8">
    <pageSetUpPr fitToPage="1"/>
  </sheetPr>
  <dimension ref="A1:WVB71"/>
  <sheetViews>
    <sheetView topLeftCell="A28" zoomScaleNormal="100" zoomScaleSheetLayoutView="80" workbookViewId="0">
      <selection activeCell="D49" activeCellId="2" sqref="D7:F7 D45:F45 D49:F49"/>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3.85546875" style="3" hidden="1"/>
    <col min="190" max="246" width="9.140625" style="3" hidden="1"/>
    <col min="247" max="247" width="16" style="3" hidden="1"/>
    <col min="248" max="248" width="20" style="3" hidden="1"/>
    <col min="249" max="249" width="16" style="3" hidden="1"/>
    <col min="250" max="250" width="17.5703125" style="3" hidden="1"/>
    <col min="251" max="443" width="9.140625" style="3" hidden="1"/>
    <col min="444" max="444" width="11" style="3" hidden="1"/>
    <col min="445" max="445" width="53.85546875" style="3" hidden="1"/>
    <col min="446" max="502" width="9.140625" style="3" hidden="1"/>
    <col min="503" max="503" width="16" style="3" hidden="1"/>
    <col min="504" max="504" width="20" style="3" hidden="1"/>
    <col min="505" max="505" width="16" style="3" hidden="1"/>
    <col min="506" max="506" width="17.5703125" style="3" hidden="1"/>
    <col min="507" max="699" width="9.140625" style="3" hidden="1"/>
    <col min="700" max="700" width="11" style="3" hidden="1"/>
    <col min="701" max="701" width="53.85546875" style="3" hidden="1"/>
    <col min="702" max="758" width="9.140625" style="3" hidden="1"/>
    <col min="759" max="759" width="16" style="3" hidden="1"/>
    <col min="760" max="760" width="20" style="3" hidden="1"/>
    <col min="761" max="761" width="16" style="3" hidden="1"/>
    <col min="762" max="762" width="17.5703125" style="3" hidden="1"/>
    <col min="763" max="955" width="9.140625" style="3" hidden="1"/>
    <col min="956" max="956" width="11" style="3" hidden="1"/>
    <col min="957" max="957" width="53.85546875" style="3" hidden="1"/>
    <col min="958" max="1014" width="9.140625" style="3" hidden="1"/>
    <col min="1015" max="1015" width="16" style="3" hidden="1"/>
    <col min="1016" max="1016" width="20" style="3" hidden="1"/>
    <col min="1017" max="1017" width="16" style="3" hidden="1"/>
    <col min="1018" max="1018" width="17.5703125" style="3" hidden="1"/>
    <col min="1019" max="1211" width="9.140625" style="3" hidden="1"/>
    <col min="1212" max="1212" width="11" style="3" hidden="1"/>
    <col min="1213" max="1213" width="53.85546875" style="3" hidden="1"/>
    <col min="1214" max="1270" width="9.140625" style="3" hidden="1"/>
    <col min="1271" max="1271" width="16" style="3" hidden="1"/>
    <col min="1272" max="1272" width="20" style="3" hidden="1"/>
    <col min="1273" max="1273" width="16" style="3" hidden="1"/>
    <col min="1274" max="1274" width="17.5703125" style="3" hidden="1"/>
    <col min="1275" max="1467" width="9.140625" style="3" hidden="1"/>
    <col min="1468" max="1468" width="11" style="3" hidden="1"/>
    <col min="1469" max="1469" width="53.85546875" style="3" hidden="1"/>
    <col min="1470" max="1526" width="9.140625" style="3" hidden="1"/>
    <col min="1527" max="1527" width="16" style="3" hidden="1"/>
    <col min="1528" max="1528" width="20" style="3" hidden="1"/>
    <col min="1529" max="1529" width="16" style="3" hidden="1"/>
    <col min="1530" max="1530" width="17.5703125" style="3" hidden="1"/>
    <col min="1531" max="1723" width="9.140625" style="3" hidden="1"/>
    <col min="1724" max="1724" width="11" style="3" hidden="1"/>
    <col min="1725" max="1725" width="53.85546875" style="3" hidden="1"/>
    <col min="1726" max="1782" width="9.140625" style="3" hidden="1"/>
    <col min="1783" max="1783" width="16" style="3" hidden="1"/>
    <col min="1784" max="1784" width="20" style="3" hidden="1"/>
    <col min="1785" max="1785" width="16" style="3" hidden="1"/>
    <col min="1786" max="1786" width="17.5703125" style="3" hidden="1"/>
    <col min="1787" max="1979" width="9.140625" style="3" hidden="1"/>
    <col min="1980" max="1980" width="11" style="3" hidden="1"/>
    <col min="1981" max="1981" width="53.85546875" style="3" hidden="1"/>
    <col min="1982" max="2038" width="9.140625" style="3" hidden="1"/>
    <col min="2039" max="2039" width="16" style="3" hidden="1"/>
    <col min="2040" max="2040" width="20" style="3" hidden="1"/>
    <col min="2041" max="2041" width="16" style="3" hidden="1"/>
    <col min="2042" max="2042" width="17.5703125" style="3" hidden="1"/>
    <col min="2043" max="2235" width="9.140625" style="3" hidden="1"/>
    <col min="2236" max="2236" width="11" style="3" hidden="1"/>
    <col min="2237" max="2237" width="53.85546875" style="3" hidden="1"/>
    <col min="2238" max="2294" width="9.140625" style="3" hidden="1"/>
    <col min="2295" max="2295" width="16" style="3" hidden="1"/>
    <col min="2296" max="2296" width="20" style="3" hidden="1"/>
    <col min="2297" max="2297" width="16" style="3" hidden="1"/>
    <col min="2298" max="2298" width="17.5703125" style="3" hidden="1"/>
    <col min="2299" max="2491" width="9.140625" style="3" hidden="1"/>
    <col min="2492" max="2492" width="11" style="3" hidden="1"/>
    <col min="2493" max="2493" width="53.85546875" style="3" hidden="1"/>
    <col min="2494" max="2550" width="9.140625" style="3" hidden="1"/>
    <col min="2551" max="2551" width="16" style="3" hidden="1"/>
    <col min="2552" max="2552" width="20" style="3" hidden="1"/>
    <col min="2553" max="2553" width="16" style="3" hidden="1"/>
    <col min="2554" max="2554" width="17.5703125" style="3" hidden="1"/>
    <col min="2555" max="2747" width="9.140625" style="3" hidden="1"/>
    <col min="2748" max="2748" width="11" style="3" hidden="1"/>
    <col min="2749" max="2749" width="53.85546875" style="3" hidden="1"/>
    <col min="2750" max="2806" width="9.140625" style="3" hidden="1"/>
    <col min="2807" max="2807" width="16" style="3" hidden="1"/>
    <col min="2808" max="2808" width="20" style="3" hidden="1"/>
    <col min="2809" max="2809" width="16" style="3" hidden="1"/>
    <col min="2810" max="2810" width="17.5703125" style="3" hidden="1"/>
    <col min="2811" max="3003" width="9.140625" style="3" hidden="1"/>
    <col min="3004" max="3004" width="11" style="3" hidden="1"/>
    <col min="3005" max="3005" width="53.85546875" style="3" hidden="1"/>
    <col min="3006" max="3062" width="9.140625" style="3" hidden="1"/>
    <col min="3063" max="3063" width="16" style="3" hidden="1"/>
    <col min="3064" max="3064" width="20" style="3" hidden="1"/>
    <col min="3065" max="3065" width="16" style="3" hidden="1"/>
    <col min="3066" max="3066" width="17.5703125" style="3" hidden="1"/>
    <col min="3067" max="3259" width="9.140625" style="3" hidden="1"/>
    <col min="3260" max="3260" width="11" style="3" hidden="1"/>
    <col min="3261" max="3261" width="53.85546875" style="3" hidden="1"/>
    <col min="3262" max="3318" width="9.140625" style="3" hidden="1"/>
    <col min="3319" max="3319" width="16" style="3" hidden="1"/>
    <col min="3320" max="3320" width="20" style="3" hidden="1"/>
    <col min="3321" max="3321" width="16" style="3" hidden="1"/>
    <col min="3322" max="3322" width="17.5703125" style="3" hidden="1"/>
    <col min="3323" max="3515" width="9.140625" style="3" hidden="1"/>
    <col min="3516" max="3516" width="11" style="3" hidden="1"/>
    <col min="3517" max="3517" width="53.85546875" style="3" hidden="1"/>
    <col min="3518" max="3574" width="9.140625" style="3" hidden="1"/>
    <col min="3575" max="3575" width="16" style="3" hidden="1"/>
    <col min="3576" max="3576" width="20" style="3" hidden="1"/>
    <col min="3577" max="3577" width="16" style="3" hidden="1"/>
    <col min="3578" max="3578" width="17.5703125" style="3" hidden="1"/>
    <col min="3579" max="3771" width="9.140625" style="3" hidden="1"/>
    <col min="3772" max="3772" width="11" style="3" hidden="1"/>
    <col min="3773" max="3773" width="53.85546875" style="3" hidden="1"/>
    <col min="3774" max="3830" width="9.140625" style="3" hidden="1"/>
    <col min="3831" max="3831" width="16" style="3" hidden="1"/>
    <col min="3832" max="3832" width="20" style="3" hidden="1"/>
    <col min="3833" max="3833" width="16" style="3" hidden="1"/>
    <col min="3834" max="3834" width="17.5703125" style="3" hidden="1"/>
    <col min="3835" max="4027" width="9.140625" style="3" hidden="1"/>
    <col min="4028" max="4028" width="11" style="3" hidden="1"/>
    <col min="4029" max="4029" width="53.85546875" style="3" hidden="1"/>
    <col min="4030" max="4086" width="9.140625" style="3" hidden="1"/>
    <col min="4087" max="4087" width="16" style="3" hidden="1"/>
    <col min="4088" max="4088" width="20" style="3" hidden="1"/>
    <col min="4089" max="4089" width="16" style="3" hidden="1"/>
    <col min="4090" max="4090" width="17.5703125" style="3" hidden="1"/>
    <col min="4091" max="4283" width="9.140625" style="3" hidden="1"/>
    <col min="4284" max="4284" width="11" style="3" hidden="1"/>
    <col min="4285" max="4285" width="53.85546875" style="3" hidden="1"/>
    <col min="4286" max="4342" width="9.140625" style="3" hidden="1"/>
    <col min="4343" max="4343" width="16" style="3" hidden="1"/>
    <col min="4344" max="4344" width="20" style="3" hidden="1"/>
    <col min="4345" max="4345" width="16" style="3" hidden="1"/>
    <col min="4346" max="4346" width="17.5703125" style="3" hidden="1"/>
    <col min="4347" max="4539" width="9.140625" style="3" hidden="1"/>
    <col min="4540" max="4540" width="11" style="3" hidden="1"/>
    <col min="4541" max="4541" width="53.85546875" style="3" hidden="1"/>
    <col min="4542" max="4598" width="9.140625" style="3" hidden="1"/>
    <col min="4599" max="4599" width="16" style="3" hidden="1"/>
    <col min="4600" max="4600" width="20" style="3" hidden="1"/>
    <col min="4601" max="4601" width="16" style="3" hidden="1"/>
    <col min="4602" max="4602" width="17.5703125" style="3" hidden="1"/>
    <col min="4603" max="4795" width="9.140625" style="3" hidden="1"/>
    <col min="4796" max="4796" width="11" style="3" hidden="1"/>
    <col min="4797" max="4797" width="53.85546875" style="3" hidden="1"/>
    <col min="4798" max="4854" width="9.140625" style="3" hidden="1"/>
    <col min="4855" max="4855" width="16" style="3" hidden="1"/>
    <col min="4856" max="4856" width="20" style="3" hidden="1"/>
    <col min="4857" max="4857" width="16" style="3" hidden="1"/>
    <col min="4858" max="4858" width="17.5703125" style="3" hidden="1"/>
    <col min="4859" max="5051" width="9.140625" style="3" hidden="1"/>
    <col min="5052" max="5052" width="11" style="3" hidden="1"/>
    <col min="5053" max="5053" width="53.85546875" style="3" hidden="1"/>
    <col min="5054" max="5110" width="9.140625" style="3" hidden="1"/>
    <col min="5111" max="5111" width="16" style="3" hidden="1"/>
    <col min="5112" max="5112" width="20" style="3" hidden="1"/>
    <col min="5113" max="5113" width="16" style="3" hidden="1"/>
    <col min="5114" max="5114" width="17.5703125" style="3" hidden="1"/>
    <col min="5115" max="5307" width="9.140625" style="3" hidden="1"/>
    <col min="5308" max="5308" width="11" style="3" hidden="1"/>
    <col min="5309" max="5309" width="53.85546875" style="3" hidden="1"/>
    <col min="5310" max="5366" width="9.140625" style="3" hidden="1"/>
    <col min="5367" max="5367" width="16" style="3" hidden="1"/>
    <col min="5368" max="5368" width="20" style="3" hidden="1"/>
    <col min="5369" max="5369" width="16" style="3" hidden="1"/>
    <col min="5370" max="5370" width="17.5703125" style="3" hidden="1"/>
    <col min="5371" max="5563" width="9.140625" style="3" hidden="1"/>
    <col min="5564" max="5564" width="11" style="3" hidden="1"/>
    <col min="5565" max="5565" width="53.85546875" style="3" hidden="1"/>
    <col min="5566" max="5622" width="9.140625" style="3" hidden="1"/>
    <col min="5623" max="5623" width="16" style="3" hidden="1"/>
    <col min="5624" max="5624" width="20" style="3" hidden="1"/>
    <col min="5625" max="5625" width="16" style="3" hidden="1"/>
    <col min="5626" max="5626" width="17.5703125" style="3" hidden="1"/>
    <col min="5627" max="5819" width="9.140625" style="3" hidden="1"/>
    <col min="5820" max="5820" width="11" style="3" hidden="1"/>
    <col min="5821" max="5821" width="53.85546875" style="3" hidden="1"/>
    <col min="5822" max="5878" width="9.140625" style="3" hidden="1"/>
    <col min="5879" max="5879" width="16" style="3" hidden="1"/>
    <col min="5880" max="5880" width="20" style="3" hidden="1"/>
    <col min="5881" max="5881" width="16" style="3" hidden="1"/>
    <col min="5882" max="5882" width="17.5703125" style="3" hidden="1"/>
    <col min="5883" max="6075" width="9.140625" style="3" hidden="1"/>
    <col min="6076" max="6076" width="11" style="3" hidden="1"/>
    <col min="6077" max="6077" width="53.85546875" style="3" hidden="1"/>
    <col min="6078" max="6134" width="9.140625" style="3" hidden="1"/>
    <col min="6135" max="6135" width="16" style="3" hidden="1"/>
    <col min="6136" max="6136" width="20" style="3" hidden="1"/>
    <col min="6137" max="6137" width="16" style="3" hidden="1"/>
    <col min="6138" max="6138" width="17.5703125" style="3" hidden="1"/>
    <col min="6139" max="6331" width="9.140625" style="3" hidden="1"/>
    <col min="6332" max="6332" width="11" style="3" hidden="1"/>
    <col min="6333" max="6333" width="53.85546875" style="3" hidden="1"/>
    <col min="6334" max="6390" width="9.140625" style="3" hidden="1"/>
    <col min="6391" max="6391" width="16" style="3" hidden="1"/>
    <col min="6392" max="6392" width="20" style="3" hidden="1"/>
    <col min="6393" max="6393" width="16" style="3" hidden="1"/>
    <col min="6394" max="6394" width="17.5703125" style="3" hidden="1"/>
    <col min="6395" max="6587" width="9.140625" style="3" hidden="1"/>
    <col min="6588" max="6588" width="11" style="3" hidden="1"/>
    <col min="6589" max="6589" width="53.85546875" style="3" hidden="1"/>
    <col min="6590" max="6646" width="9.140625" style="3" hidden="1"/>
    <col min="6647" max="6647" width="16" style="3" hidden="1"/>
    <col min="6648" max="6648" width="20" style="3" hidden="1"/>
    <col min="6649" max="6649" width="16" style="3" hidden="1"/>
    <col min="6650" max="6650" width="17.5703125" style="3" hidden="1"/>
    <col min="6651" max="6843" width="9.140625" style="3" hidden="1"/>
    <col min="6844" max="6844" width="11" style="3" hidden="1"/>
    <col min="6845" max="6845" width="53.85546875" style="3" hidden="1"/>
    <col min="6846" max="6902" width="9.140625" style="3" hidden="1"/>
    <col min="6903" max="6903" width="16" style="3" hidden="1"/>
    <col min="6904" max="6904" width="20" style="3" hidden="1"/>
    <col min="6905" max="6905" width="16" style="3" hidden="1"/>
    <col min="6906" max="6906" width="17.5703125" style="3" hidden="1"/>
    <col min="6907" max="7099" width="9.140625" style="3" hidden="1"/>
    <col min="7100" max="7100" width="11" style="3" hidden="1"/>
    <col min="7101" max="7101" width="53.85546875" style="3" hidden="1"/>
    <col min="7102" max="7158" width="9.140625" style="3" hidden="1"/>
    <col min="7159" max="7159" width="16" style="3" hidden="1"/>
    <col min="7160" max="7160" width="20" style="3" hidden="1"/>
    <col min="7161" max="7161" width="16" style="3" hidden="1"/>
    <col min="7162" max="7162" width="17.5703125" style="3" hidden="1"/>
    <col min="7163" max="7355" width="9.140625" style="3" hidden="1"/>
    <col min="7356" max="7356" width="11" style="3" hidden="1"/>
    <col min="7357" max="7357" width="53.85546875" style="3" hidden="1"/>
    <col min="7358" max="7414" width="9.140625" style="3" hidden="1"/>
    <col min="7415" max="7415" width="16" style="3" hidden="1"/>
    <col min="7416" max="7416" width="20" style="3" hidden="1"/>
    <col min="7417" max="7417" width="16" style="3" hidden="1"/>
    <col min="7418" max="7418" width="17.5703125" style="3" hidden="1"/>
    <col min="7419" max="7611" width="9.140625" style="3" hidden="1"/>
    <col min="7612" max="7612" width="11" style="3" hidden="1"/>
    <col min="7613" max="7613" width="53.85546875" style="3" hidden="1"/>
    <col min="7614" max="7670" width="9.140625" style="3" hidden="1"/>
    <col min="7671" max="7671" width="16" style="3" hidden="1"/>
    <col min="7672" max="7672" width="20" style="3" hidden="1"/>
    <col min="7673" max="7673" width="16" style="3" hidden="1"/>
    <col min="7674" max="7674" width="17.5703125" style="3" hidden="1"/>
    <col min="7675" max="7867" width="9.140625" style="3" hidden="1"/>
    <col min="7868" max="7868" width="11" style="3" hidden="1"/>
    <col min="7869" max="7869" width="53.85546875" style="3" hidden="1"/>
    <col min="7870" max="7926" width="9.140625" style="3" hidden="1"/>
    <col min="7927" max="7927" width="16" style="3" hidden="1"/>
    <col min="7928" max="7928" width="20" style="3" hidden="1"/>
    <col min="7929" max="7929" width="16" style="3" hidden="1"/>
    <col min="7930" max="7930" width="17.5703125" style="3" hidden="1"/>
    <col min="7931" max="8123" width="9.140625" style="3" hidden="1"/>
    <col min="8124" max="8124" width="11" style="3" hidden="1"/>
    <col min="8125" max="8125" width="53.85546875" style="3" hidden="1"/>
    <col min="8126" max="8182" width="9.140625" style="3" hidden="1"/>
    <col min="8183" max="8183" width="16" style="3" hidden="1"/>
    <col min="8184" max="8184" width="20" style="3" hidden="1"/>
    <col min="8185" max="8185" width="16" style="3" hidden="1"/>
    <col min="8186" max="8186" width="17.5703125" style="3" hidden="1"/>
    <col min="8187" max="8379" width="9.140625" style="3" hidden="1"/>
    <col min="8380" max="8380" width="11" style="3" hidden="1"/>
    <col min="8381" max="8381" width="53.85546875" style="3" hidden="1"/>
    <col min="8382" max="8438" width="9.140625" style="3" hidden="1"/>
    <col min="8439" max="8439" width="16" style="3" hidden="1"/>
    <col min="8440" max="8440" width="20" style="3" hidden="1"/>
    <col min="8441" max="8441" width="16" style="3" hidden="1"/>
    <col min="8442" max="8442" width="17.5703125" style="3" hidden="1"/>
    <col min="8443" max="8635" width="9.140625" style="3" hidden="1"/>
    <col min="8636" max="8636" width="11" style="3" hidden="1"/>
    <col min="8637" max="8637" width="53.85546875" style="3" hidden="1"/>
    <col min="8638" max="8694" width="9.140625" style="3" hidden="1"/>
    <col min="8695" max="8695" width="16" style="3" hidden="1"/>
    <col min="8696" max="8696" width="20" style="3" hidden="1"/>
    <col min="8697" max="8697" width="16" style="3" hidden="1"/>
    <col min="8698" max="8698" width="17.5703125" style="3" hidden="1"/>
    <col min="8699" max="8891" width="9.140625" style="3" hidden="1"/>
    <col min="8892" max="8892" width="11" style="3" hidden="1"/>
    <col min="8893" max="8893" width="53.85546875" style="3" hidden="1"/>
    <col min="8894" max="8950" width="9.140625" style="3" hidden="1"/>
    <col min="8951" max="8951" width="16" style="3" hidden="1"/>
    <col min="8952" max="8952" width="20" style="3" hidden="1"/>
    <col min="8953" max="8953" width="16" style="3" hidden="1"/>
    <col min="8954" max="8954" width="17.5703125" style="3" hidden="1"/>
    <col min="8955" max="9147" width="9.140625" style="3" hidden="1"/>
    <col min="9148" max="9148" width="11" style="3" hidden="1"/>
    <col min="9149" max="9149" width="53.85546875" style="3" hidden="1"/>
    <col min="9150" max="9206" width="9.140625" style="3" hidden="1"/>
    <col min="9207" max="9207" width="16" style="3" hidden="1"/>
    <col min="9208" max="9208" width="20" style="3" hidden="1"/>
    <col min="9209" max="9209" width="16" style="3" hidden="1"/>
    <col min="9210" max="9210" width="17.5703125" style="3" hidden="1"/>
    <col min="9211" max="9403" width="9.140625" style="3" hidden="1"/>
    <col min="9404" max="9404" width="11" style="3" hidden="1"/>
    <col min="9405" max="9405" width="53.85546875" style="3" hidden="1"/>
    <col min="9406" max="9462" width="9.140625" style="3" hidden="1"/>
    <col min="9463" max="9463" width="16" style="3" hidden="1"/>
    <col min="9464" max="9464" width="20" style="3" hidden="1"/>
    <col min="9465" max="9465" width="16" style="3" hidden="1"/>
    <col min="9466" max="9466" width="17.5703125" style="3" hidden="1"/>
    <col min="9467" max="9659" width="9.140625" style="3" hidden="1"/>
    <col min="9660" max="9660" width="11" style="3" hidden="1"/>
    <col min="9661" max="9661" width="53.85546875" style="3" hidden="1"/>
    <col min="9662" max="9718" width="9.140625" style="3" hidden="1"/>
    <col min="9719" max="9719" width="16" style="3" hidden="1"/>
    <col min="9720" max="9720" width="20" style="3" hidden="1"/>
    <col min="9721" max="9721" width="16" style="3" hidden="1"/>
    <col min="9722" max="9722" width="17.5703125" style="3" hidden="1"/>
    <col min="9723" max="9915" width="9.140625" style="3" hidden="1"/>
    <col min="9916" max="9916" width="11" style="3" hidden="1"/>
    <col min="9917" max="9917" width="53.85546875" style="3" hidden="1"/>
    <col min="9918" max="9974" width="9.140625" style="3" hidden="1"/>
    <col min="9975" max="9975" width="16" style="3" hidden="1"/>
    <col min="9976" max="9976" width="20" style="3" hidden="1"/>
    <col min="9977" max="9977" width="16" style="3" hidden="1"/>
    <col min="9978" max="9978" width="17.5703125" style="3" hidden="1"/>
    <col min="9979" max="10171" width="9.140625" style="3" hidden="1"/>
    <col min="10172" max="10172" width="11" style="3" hidden="1"/>
    <col min="10173" max="10173" width="53.85546875" style="3" hidden="1"/>
    <col min="10174" max="10230" width="9.140625" style="3" hidden="1"/>
    <col min="10231" max="10231" width="16" style="3" hidden="1"/>
    <col min="10232" max="10232" width="20" style="3" hidden="1"/>
    <col min="10233" max="10233" width="16" style="3" hidden="1"/>
    <col min="10234" max="10234" width="17.5703125" style="3" hidden="1"/>
    <col min="10235" max="10427" width="9.140625" style="3" hidden="1"/>
    <col min="10428" max="10428" width="11" style="3" hidden="1"/>
    <col min="10429" max="10429" width="53.85546875" style="3" hidden="1"/>
    <col min="10430" max="10486" width="9.140625" style="3" hidden="1"/>
    <col min="10487" max="10487" width="16" style="3" hidden="1"/>
    <col min="10488" max="10488" width="20" style="3" hidden="1"/>
    <col min="10489" max="10489" width="16" style="3" hidden="1"/>
    <col min="10490" max="10490" width="17.5703125" style="3" hidden="1"/>
    <col min="10491" max="10683" width="9.140625" style="3" hidden="1"/>
    <col min="10684" max="10684" width="11" style="3" hidden="1"/>
    <col min="10685" max="10685" width="53.85546875" style="3" hidden="1"/>
    <col min="10686" max="10742" width="9.140625" style="3" hidden="1"/>
    <col min="10743" max="10743" width="16" style="3" hidden="1"/>
    <col min="10744" max="10744" width="20" style="3" hidden="1"/>
    <col min="10745" max="10745" width="16" style="3" hidden="1"/>
    <col min="10746" max="10746" width="17.5703125" style="3" hidden="1"/>
    <col min="10747" max="10939" width="9.140625" style="3" hidden="1"/>
    <col min="10940" max="10940" width="11" style="3" hidden="1"/>
    <col min="10941" max="10941" width="53.85546875" style="3" hidden="1"/>
    <col min="10942" max="10998" width="9.140625" style="3" hidden="1"/>
    <col min="10999" max="10999" width="16" style="3" hidden="1"/>
    <col min="11000" max="11000" width="20" style="3" hidden="1"/>
    <col min="11001" max="11001" width="16" style="3" hidden="1"/>
    <col min="11002" max="11002" width="17.5703125" style="3" hidden="1"/>
    <col min="11003" max="11195" width="9.140625" style="3" hidden="1"/>
    <col min="11196" max="11196" width="11" style="3" hidden="1"/>
    <col min="11197" max="11197" width="53.85546875" style="3" hidden="1"/>
    <col min="11198" max="11254" width="9.140625" style="3" hidden="1"/>
    <col min="11255" max="11255" width="16" style="3" hidden="1"/>
    <col min="11256" max="11256" width="20" style="3" hidden="1"/>
    <col min="11257" max="11257" width="16" style="3" hidden="1"/>
    <col min="11258" max="11258" width="17.5703125" style="3" hidden="1"/>
    <col min="11259" max="11451" width="9.140625" style="3" hidden="1"/>
    <col min="11452" max="11452" width="11" style="3" hidden="1"/>
    <col min="11453" max="11453" width="53.85546875" style="3" hidden="1"/>
    <col min="11454" max="11510" width="9.140625" style="3" hidden="1"/>
    <col min="11511" max="11511" width="16" style="3" hidden="1"/>
    <col min="11512" max="11512" width="20" style="3" hidden="1"/>
    <col min="11513" max="11513" width="16" style="3" hidden="1"/>
    <col min="11514" max="11514" width="17.5703125" style="3" hidden="1"/>
    <col min="11515" max="11707" width="9.140625" style="3" hidden="1"/>
    <col min="11708" max="11708" width="11" style="3" hidden="1"/>
    <col min="11709" max="11709" width="53.85546875" style="3" hidden="1"/>
    <col min="11710" max="11766" width="9.140625" style="3" hidden="1"/>
    <col min="11767" max="11767" width="16" style="3" hidden="1"/>
    <col min="11768" max="11768" width="20" style="3" hidden="1"/>
    <col min="11769" max="11769" width="16" style="3" hidden="1"/>
    <col min="11770" max="11770" width="17.5703125" style="3" hidden="1"/>
    <col min="11771" max="11963" width="9.140625" style="3" hidden="1"/>
    <col min="11964" max="11964" width="11" style="3" hidden="1"/>
    <col min="11965" max="11965" width="53.85546875" style="3" hidden="1"/>
    <col min="11966" max="12022" width="9.140625" style="3" hidden="1"/>
    <col min="12023" max="12023" width="16" style="3" hidden="1"/>
    <col min="12024" max="12024" width="20" style="3" hidden="1"/>
    <col min="12025" max="12025" width="16" style="3" hidden="1"/>
    <col min="12026" max="12026" width="17.5703125" style="3" hidden="1"/>
    <col min="12027" max="12219" width="9.140625" style="3" hidden="1"/>
    <col min="12220" max="12220" width="11" style="3" hidden="1"/>
    <col min="12221" max="12221" width="53.85546875" style="3" hidden="1"/>
    <col min="12222" max="12278" width="9.140625" style="3" hidden="1"/>
    <col min="12279" max="12279" width="16" style="3" hidden="1"/>
    <col min="12280" max="12280" width="20" style="3" hidden="1"/>
    <col min="12281" max="12281" width="16" style="3" hidden="1"/>
    <col min="12282" max="12282" width="17.5703125" style="3" hidden="1"/>
    <col min="12283" max="12475" width="9.140625" style="3" hidden="1"/>
    <col min="12476" max="12476" width="11" style="3" hidden="1"/>
    <col min="12477" max="12477" width="53.85546875" style="3" hidden="1"/>
    <col min="12478" max="12534" width="9.140625" style="3" hidden="1"/>
    <col min="12535" max="12535" width="16" style="3" hidden="1"/>
    <col min="12536" max="12536" width="20" style="3" hidden="1"/>
    <col min="12537" max="12537" width="16" style="3" hidden="1"/>
    <col min="12538" max="12538" width="17.5703125" style="3" hidden="1"/>
    <col min="12539" max="12731" width="9.140625" style="3" hidden="1"/>
    <col min="12732" max="12732" width="11" style="3" hidden="1"/>
    <col min="12733" max="12733" width="53.85546875" style="3" hidden="1"/>
    <col min="12734" max="12790" width="9.140625" style="3" hidden="1"/>
    <col min="12791" max="12791" width="16" style="3" hidden="1"/>
    <col min="12792" max="12792" width="20" style="3" hidden="1"/>
    <col min="12793" max="12793" width="16" style="3" hidden="1"/>
    <col min="12794" max="12794" width="17.5703125" style="3" hidden="1"/>
    <col min="12795" max="12987" width="9.140625" style="3" hidden="1"/>
    <col min="12988" max="12988" width="11" style="3" hidden="1"/>
    <col min="12989" max="12989" width="53.85546875" style="3" hidden="1"/>
    <col min="12990" max="13046" width="9.140625" style="3" hidden="1"/>
    <col min="13047" max="13047" width="16" style="3" hidden="1"/>
    <col min="13048" max="13048" width="20" style="3" hidden="1"/>
    <col min="13049" max="13049" width="16" style="3" hidden="1"/>
    <col min="13050" max="13050" width="17.5703125" style="3" hidden="1"/>
    <col min="13051" max="13243" width="9.140625" style="3" hidden="1"/>
    <col min="13244" max="13244" width="11" style="3" hidden="1"/>
    <col min="13245" max="13245" width="53.85546875" style="3" hidden="1"/>
    <col min="13246" max="13302" width="9.140625" style="3" hidden="1"/>
    <col min="13303" max="13303" width="16" style="3" hidden="1"/>
    <col min="13304" max="13304" width="20" style="3" hidden="1"/>
    <col min="13305" max="13305" width="16" style="3" hidden="1"/>
    <col min="13306" max="13306" width="17.5703125" style="3" hidden="1"/>
    <col min="13307" max="13499" width="9.140625" style="3" hidden="1"/>
    <col min="13500" max="13500" width="11" style="3" hidden="1"/>
    <col min="13501" max="13501" width="53.85546875" style="3" hidden="1"/>
    <col min="13502" max="13558" width="9.140625" style="3" hidden="1"/>
    <col min="13559" max="13559" width="16" style="3" hidden="1"/>
    <col min="13560" max="13560" width="20" style="3" hidden="1"/>
    <col min="13561" max="13561" width="16" style="3" hidden="1"/>
    <col min="13562" max="13562" width="17.5703125" style="3" hidden="1"/>
    <col min="13563" max="13755" width="9.140625" style="3" hidden="1"/>
    <col min="13756" max="13756" width="11" style="3" hidden="1"/>
    <col min="13757" max="13757" width="53.85546875" style="3" hidden="1"/>
    <col min="13758" max="13814" width="9.140625" style="3" hidden="1"/>
    <col min="13815" max="13815" width="16" style="3" hidden="1"/>
    <col min="13816" max="13816" width="20" style="3" hidden="1"/>
    <col min="13817" max="13817" width="16" style="3" hidden="1"/>
    <col min="13818" max="13818" width="17.5703125" style="3" hidden="1"/>
    <col min="13819" max="14011" width="9.140625" style="3" hidden="1"/>
    <col min="14012" max="14012" width="11" style="3" hidden="1"/>
    <col min="14013" max="14013" width="53.85546875" style="3" hidden="1"/>
    <col min="14014" max="14070" width="9.140625" style="3" hidden="1"/>
    <col min="14071" max="14071" width="16" style="3" hidden="1"/>
    <col min="14072" max="14072" width="20" style="3" hidden="1"/>
    <col min="14073" max="14073" width="16" style="3" hidden="1"/>
    <col min="14074" max="14074" width="17.5703125" style="3" hidden="1"/>
    <col min="14075" max="14267" width="9.140625" style="3" hidden="1"/>
    <col min="14268" max="14268" width="11" style="3" hidden="1"/>
    <col min="14269" max="14269" width="53.85546875" style="3" hidden="1"/>
    <col min="14270" max="14326" width="9.140625" style="3" hidden="1"/>
    <col min="14327" max="14327" width="16" style="3" hidden="1"/>
    <col min="14328" max="14328" width="20" style="3" hidden="1"/>
    <col min="14329" max="14329" width="16" style="3" hidden="1"/>
    <col min="14330" max="14330" width="17.5703125" style="3" hidden="1"/>
    <col min="14331" max="14523" width="9.140625" style="3" hidden="1"/>
    <col min="14524" max="14524" width="11" style="3" hidden="1"/>
    <col min="14525" max="14525" width="53.85546875" style="3" hidden="1"/>
    <col min="14526" max="14582" width="9.140625" style="3" hidden="1"/>
    <col min="14583" max="14583" width="16" style="3" hidden="1"/>
    <col min="14584" max="14584" width="20" style="3" hidden="1"/>
    <col min="14585" max="14585" width="16" style="3" hidden="1"/>
    <col min="14586" max="14586" width="17.5703125" style="3" hidden="1"/>
    <col min="14587" max="14779" width="9.140625" style="3" hidden="1"/>
    <col min="14780" max="14780" width="11" style="3" hidden="1"/>
    <col min="14781" max="14781" width="53.85546875" style="3" hidden="1"/>
    <col min="14782" max="14838" width="9.140625" style="3" hidden="1"/>
    <col min="14839" max="14839" width="16" style="3" hidden="1"/>
    <col min="14840" max="14840" width="20" style="3" hidden="1"/>
    <col min="14841" max="14841" width="16" style="3" hidden="1"/>
    <col min="14842" max="14842" width="17.5703125" style="3" hidden="1"/>
    <col min="14843" max="15035" width="9.140625" style="3" hidden="1"/>
    <col min="15036" max="15036" width="11" style="3" hidden="1"/>
    <col min="15037" max="15037" width="53.85546875" style="3" hidden="1"/>
    <col min="15038" max="15094" width="9.140625" style="3" hidden="1"/>
    <col min="15095" max="15095" width="16" style="3" hidden="1"/>
    <col min="15096" max="15096" width="20" style="3" hidden="1"/>
    <col min="15097" max="15097" width="16" style="3" hidden="1"/>
    <col min="15098" max="15098" width="17.5703125" style="3" hidden="1"/>
    <col min="15099" max="15291" width="9.140625" style="3" hidden="1"/>
    <col min="15292" max="15292" width="11" style="3" hidden="1"/>
    <col min="15293" max="15293" width="53.85546875" style="3" hidden="1"/>
    <col min="15294" max="15350" width="9.140625" style="3" hidden="1"/>
    <col min="15351" max="15351" width="16" style="3" hidden="1"/>
    <col min="15352" max="15352" width="20" style="3" hidden="1"/>
    <col min="15353" max="15353" width="16" style="3" hidden="1"/>
    <col min="15354" max="15354" width="17.5703125" style="3" hidden="1"/>
    <col min="15355" max="15547" width="9.140625" style="3" hidden="1"/>
    <col min="15548" max="15548" width="11" style="3" hidden="1"/>
    <col min="15549" max="15549" width="53.85546875" style="3" hidden="1"/>
    <col min="15550" max="15606" width="9.140625" style="3" hidden="1"/>
    <col min="15607" max="15607" width="16" style="3" hidden="1"/>
    <col min="15608" max="15608" width="20" style="3" hidden="1"/>
    <col min="15609" max="15609" width="16" style="3" hidden="1"/>
    <col min="15610" max="15610" width="17.5703125" style="3" hidden="1"/>
    <col min="15611" max="15803" width="9.140625" style="3" hidden="1"/>
    <col min="15804" max="15804" width="11" style="3" hidden="1"/>
    <col min="15805" max="15805" width="53.85546875" style="3" hidden="1"/>
    <col min="15806" max="15862" width="9.140625" style="3" hidden="1"/>
    <col min="15863" max="15863" width="16" style="3" hidden="1"/>
    <col min="15864" max="15864" width="20" style="3" hidden="1"/>
    <col min="15865" max="15865" width="16" style="3" hidden="1"/>
    <col min="15866" max="15866" width="17.5703125" style="3" hidden="1"/>
    <col min="15867" max="16059" width="9.140625" style="3" hidden="1"/>
    <col min="16060" max="16060" width="11" style="3" hidden="1"/>
    <col min="16061" max="16061" width="53.85546875" style="3" hidden="1"/>
    <col min="16062" max="16118" width="9.140625" style="3" hidden="1"/>
    <col min="16119" max="16119" width="16" style="3" hidden="1"/>
    <col min="16120" max="16120" width="20" style="3" hidden="1"/>
    <col min="16121" max="16121" width="16" style="3" hidden="1"/>
    <col min="16122" max="16122" width="17.5703125" style="3" hidden="1"/>
    <col min="16123" max="16384" width="9.140625" style="3" hidden="1"/>
  </cols>
  <sheetData>
    <row r="1" spans="1:6">
      <c r="B1" s="2" t="s">
        <v>1636</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Worksheet'!$D$80</f>
        <v>178606</v>
      </c>
      <c r="E3" s="11"/>
      <c r="F3" s="11"/>
    </row>
    <row r="4" spans="1:6">
      <c r="A4" s="8">
        <v>0</v>
      </c>
      <c r="B4" s="11" t="s">
        <v>4</v>
      </c>
      <c r="C4" s="10">
        <v>1.0820000000000001E-3</v>
      </c>
      <c r="D4" s="12">
        <f>ROUND(D$3*C4,0)</f>
        <v>193</v>
      </c>
      <c r="E4" s="13">
        <f>ROUND(D4/2,0)</f>
        <v>97</v>
      </c>
      <c r="F4" s="12">
        <f>D4-E4</f>
        <v>96</v>
      </c>
    </row>
    <row r="5" spans="1:6">
      <c r="A5" s="8">
        <v>1</v>
      </c>
      <c r="B5" s="11" t="s">
        <v>1637</v>
      </c>
      <c r="C5" s="10">
        <v>0.22498699999999999</v>
      </c>
      <c r="D5" s="9">
        <f>ROUND(D$3*C5,0)</f>
        <v>40184</v>
      </c>
      <c r="E5" s="11">
        <f>ROUND(D5/2,0)</f>
        <v>20092</v>
      </c>
      <c r="F5" s="9">
        <f>D5-E5</f>
        <v>20092</v>
      </c>
    </row>
    <row r="6" spans="1:6">
      <c r="A6" s="8"/>
      <c r="B6" s="11" t="s">
        <v>6</v>
      </c>
      <c r="C6" s="11"/>
      <c r="D6" s="14">
        <v>0.14630899999999999</v>
      </c>
      <c r="E6" s="11"/>
      <c r="F6" s="11"/>
    </row>
    <row r="7" spans="1:6">
      <c r="A7" s="8"/>
      <c r="B7" s="11" t="s">
        <v>7</v>
      </c>
      <c r="C7" s="11"/>
      <c r="D7" s="225">
        <f>ROUND(D5*D6,0)</f>
        <v>5879</v>
      </c>
      <c r="E7" s="226">
        <f>ROUND(D7/2,0)</f>
        <v>2940</v>
      </c>
      <c r="F7" s="225">
        <f>D7-E7</f>
        <v>2939</v>
      </c>
    </row>
    <row r="8" spans="1:6">
      <c r="A8" s="8"/>
      <c r="B8" s="11" t="s">
        <v>8</v>
      </c>
      <c r="C8" s="11"/>
      <c r="D8" s="12">
        <f>+D5-D7</f>
        <v>34305</v>
      </c>
      <c r="E8" s="13">
        <f>ROUND(D8/2,0)</f>
        <v>17153</v>
      </c>
      <c r="F8" s="12">
        <f>D8-E8</f>
        <v>17152</v>
      </c>
    </row>
    <row r="9" spans="1:6">
      <c r="A9" s="8">
        <v>2</v>
      </c>
      <c r="B9" s="11" t="s">
        <v>249</v>
      </c>
      <c r="C9" s="11"/>
      <c r="D9" s="9"/>
      <c r="E9" s="11"/>
      <c r="F9" s="11"/>
    </row>
    <row r="10" spans="1:6">
      <c r="A10" s="8"/>
      <c r="B10" s="11" t="s">
        <v>10</v>
      </c>
      <c r="C10" s="10">
        <v>4.5899999999999999E-4</v>
      </c>
      <c r="D10" s="12">
        <f>ROUND(D$3*C10,0)</f>
        <v>82</v>
      </c>
      <c r="E10" s="13">
        <f>ROUND(D10/2,0)</f>
        <v>41</v>
      </c>
      <c r="F10" s="12">
        <f>D10-E10</f>
        <v>41</v>
      </c>
    </row>
    <row r="11" spans="1:6">
      <c r="A11" s="8"/>
      <c r="B11" s="11" t="s">
        <v>11</v>
      </c>
      <c r="C11" s="10">
        <v>1.4799999999999999E-4</v>
      </c>
      <c r="D11" s="12">
        <f>ROUND(D$3*C11,0)</f>
        <v>26</v>
      </c>
      <c r="E11" s="13">
        <f>ROUND(D11/2,0)</f>
        <v>13</v>
      </c>
      <c r="F11" s="12">
        <f>D11-E11</f>
        <v>13</v>
      </c>
    </row>
    <row r="12" spans="1:6">
      <c r="A12" s="8">
        <v>2</v>
      </c>
      <c r="B12" s="11" t="s">
        <v>1638</v>
      </c>
      <c r="C12" s="11"/>
      <c r="D12" s="9"/>
      <c r="E12" s="11"/>
      <c r="F12" s="11"/>
    </row>
    <row r="13" spans="1:6">
      <c r="A13" s="8"/>
      <c r="B13" s="11" t="s">
        <v>10</v>
      </c>
      <c r="C13" s="10">
        <v>4.5360000000000001E-3</v>
      </c>
      <c r="D13" s="12">
        <f>ROUND(D$3*C13,0)</f>
        <v>810</v>
      </c>
      <c r="E13" s="13">
        <f>ROUND(D13/2,0)</f>
        <v>405</v>
      </c>
      <c r="F13" s="12">
        <f>D13-E13</f>
        <v>405</v>
      </c>
    </row>
    <row r="14" spans="1:6">
      <c r="A14" s="8"/>
      <c r="B14" s="11" t="s">
        <v>11</v>
      </c>
      <c r="C14" s="10">
        <v>2.209E-3</v>
      </c>
      <c r="D14" s="12">
        <f>ROUND(D$3*C14,0)</f>
        <v>395</v>
      </c>
      <c r="E14" s="13">
        <f>ROUND(D14/2,0)</f>
        <v>198</v>
      </c>
      <c r="F14" s="12">
        <f>D14-E14</f>
        <v>197</v>
      </c>
    </row>
    <row r="15" spans="1:6">
      <c r="A15" s="8">
        <v>2</v>
      </c>
      <c r="B15" s="11" t="s">
        <v>1639</v>
      </c>
      <c r="C15" s="11"/>
      <c r="D15" s="9"/>
      <c r="E15" s="11"/>
      <c r="F15" s="11"/>
    </row>
    <row r="16" spans="1:6">
      <c r="A16" s="8"/>
      <c r="B16" s="11" t="s">
        <v>10</v>
      </c>
      <c r="C16" s="10">
        <v>1.1379999999999999E-3</v>
      </c>
      <c r="D16" s="12">
        <f>ROUND(D$3*C16,0)</f>
        <v>203</v>
      </c>
      <c r="E16" s="13">
        <f>ROUND(D16/2,0)</f>
        <v>102</v>
      </c>
      <c r="F16" s="12">
        <f>D16-E16</f>
        <v>101</v>
      </c>
    </row>
    <row r="17" spans="1:6">
      <c r="A17" s="8"/>
      <c r="B17" s="11" t="s">
        <v>11</v>
      </c>
      <c r="C17" s="10">
        <v>7.3499999999999998E-4</v>
      </c>
      <c r="D17" s="12">
        <f>ROUND(D$3*C17,0)</f>
        <v>131</v>
      </c>
      <c r="E17" s="13">
        <f>ROUND(D17/2,0)</f>
        <v>66</v>
      </c>
      <c r="F17" s="12">
        <f>D17-E17</f>
        <v>65</v>
      </c>
    </row>
    <row r="18" spans="1:6">
      <c r="A18" s="8">
        <v>2</v>
      </c>
      <c r="B18" s="11" t="s">
        <v>1640</v>
      </c>
      <c r="C18" s="11"/>
      <c r="D18" s="9"/>
      <c r="E18" s="11"/>
      <c r="F18" s="11"/>
    </row>
    <row r="19" spans="1:6">
      <c r="A19" s="8"/>
      <c r="B19" s="11" t="s">
        <v>10</v>
      </c>
      <c r="C19" s="10">
        <v>1.1329999999999999E-3</v>
      </c>
      <c r="D19" s="12">
        <f>ROUND(D$3*C19,0)</f>
        <v>202</v>
      </c>
      <c r="E19" s="13">
        <f>ROUND(D19/2,0)</f>
        <v>101</v>
      </c>
      <c r="F19" s="12">
        <f>D19-E19</f>
        <v>101</v>
      </c>
    </row>
    <row r="20" spans="1:6">
      <c r="A20" s="8"/>
      <c r="B20" s="11" t="s">
        <v>11</v>
      </c>
      <c r="C20" s="10">
        <v>5.7700000000000004E-4</v>
      </c>
      <c r="D20" s="12">
        <f>ROUND(D$3*C20,0)</f>
        <v>103</v>
      </c>
      <c r="E20" s="13">
        <f>ROUND(D20/2,0)</f>
        <v>52</v>
      </c>
      <c r="F20" s="12">
        <f>D20-E20</f>
        <v>51</v>
      </c>
    </row>
    <row r="21" spans="1:6">
      <c r="A21" s="8">
        <v>2</v>
      </c>
      <c r="B21" s="11" t="s">
        <v>1641</v>
      </c>
      <c r="C21" s="11"/>
      <c r="D21" s="9"/>
      <c r="E21" s="11"/>
      <c r="F21" s="11"/>
    </row>
    <row r="22" spans="1:6">
      <c r="A22" s="8"/>
      <c r="B22" s="11" t="s">
        <v>10</v>
      </c>
      <c r="C22" s="10">
        <v>3.2560000000000002E-3</v>
      </c>
      <c r="D22" s="12">
        <f>ROUND(D$3*C22,0)</f>
        <v>582</v>
      </c>
      <c r="E22" s="13">
        <f>ROUND(D22/2,0)</f>
        <v>291</v>
      </c>
      <c r="F22" s="12">
        <f>D22-E22</f>
        <v>291</v>
      </c>
    </row>
    <row r="23" spans="1:6">
      <c r="A23" s="8"/>
      <c r="B23" s="11" t="s">
        <v>11</v>
      </c>
      <c r="C23" s="10">
        <v>1.745E-3</v>
      </c>
      <c r="D23" s="12">
        <f>ROUND(D$3*C23,0)</f>
        <v>312</v>
      </c>
      <c r="E23" s="13">
        <f>ROUND(D23/2,0)</f>
        <v>156</v>
      </c>
      <c r="F23" s="12">
        <f>D23-E23</f>
        <v>156</v>
      </c>
    </row>
    <row r="24" spans="1:6">
      <c r="A24" s="8">
        <v>2</v>
      </c>
      <c r="B24" s="11" t="s">
        <v>401</v>
      </c>
      <c r="C24" s="11"/>
      <c r="D24" s="9"/>
      <c r="E24" s="11"/>
      <c r="F24" s="11"/>
    </row>
    <row r="25" spans="1:6">
      <c r="A25" s="8"/>
      <c r="B25" s="11" t="s">
        <v>10</v>
      </c>
      <c r="C25" s="10">
        <v>5.4450000000000002E-3</v>
      </c>
      <c r="D25" s="12">
        <f>ROUND(D$3*C25,0)</f>
        <v>973</v>
      </c>
      <c r="E25" s="13">
        <f>ROUND(D25/2,0)</f>
        <v>487</v>
      </c>
      <c r="F25" s="12">
        <f>D25-E25</f>
        <v>486</v>
      </c>
    </row>
    <row r="26" spans="1:6">
      <c r="A26" s="8"/>
      <c r="B26" s="11" t="s">
        <v>11</v>
      </c>
      <c r="C26" s="10">
        <v>2.3930000000000002E-3</v>
      </c>
      <c r="D26" s="12">
        <f>ROUND(D$3*C26,0)</f>
        <v>427</v>
      </c>
      <c r="E26" s="13">
        <f>ROUND(D26/2,0)</f>
        <v>214</v>
      </c>
      <c r="F26" s="12">
        <f>D26-E26</f>
        <v>213</v>
      </c>
    </row>
    <row r="27" spans="1:6">
      <c r="A27" s="8">
        <v>2</v>
      </c>
      <c r="B27" s="11" t="s">
        <v>49</v>
      </c>
      <c r="C27" s="11"/>
      <c r="D27" s="9"/>
      <c r="E27" s="11"/>
      <c r="F27" s="11"/>
    </row>
    <row r="28" spans="1:6">
      <c r="A28" s="8"/>
      <c r="B28" s="11" t="s">
        <v>10</v>
      </c>
      <c r="C28" s="10">
        <v>1.9750000000000002E-3</v>
      </c>
      <c r="D28" s="12">
        <f>ROUND(D$3*C28,0)</f>
        <v>353</v>
      </c>
      <c r="E28" s="13">
        <f>ROUND(D28/2,0)</f>
        <v>177</v>
      </c>
      <c r="F28" s="12">
        <f>D28-E28</f>
        <v>176</v>
      </c>
    </row>
    <row r="29" spans="1:6">
      <c r="A29" s="8"/>
      <c r="B29" s="11" t="s">
        <v>11</v>
      </c>
      <c r="C29" s="10">
        <v>8.1099999999999998E-4</v>
      </c>
      <c r="D29" s="12">
        <f>ROUND(D$3*C29,0)</f>
        <v>145</v>
      </c>
      <c r="E29" s="13">
        <f>ROUND(D29/2,0)</f>
        <v>73</v>
      </c>
      <c r="F29" s="12">
        <f>D29-E29</f>
        <v>72</v>
      </c>
    </row>
    <row r="30" spans="1:6">
      <c r="A30" s="8">
        <v>2</v>
      </c>
      <c r="B30" s="11" t="s">
        <v>14</v>
      </c>
      <c r="C30" s="11"/>
      <c r="D30" s="9"/>
      <c r="E30" s="11"/>
      <c r="F30" s="11"/>
    </row>
    <row r="31" spans="1:6">
      <c r="A31" s="8"/>
      <c r="B31" s="11" t="s">
        <v>10</v>
      </c>
      <c r="C31" s="10">
        <v>1.22E-4</v>
      </c>
      <c r="D31" s="12">
        <f>ROUND(D$3*C31,0)</f>
        <v>22</v>
      </c>
      <c r="E31" s="13">
        <f>ROUND(D31/2,0)</f>
        <v>11</v>
      </c>
      <c r="F31" s="12">
        <f>D31-E31</f>
        <v>11</v>
      </c>
    </row>
    <row r="32" spans="1:6">
      <c r="A32" s="8"/>
      <c r="B32" s="11" t="s">
        <v>11</v>
      </c>
      <c r="C32" s="10">
        <v>2.0000000000000002E-5</v>
      </c>
      <c r="D32" s="12">
        <f>ROUND(D$3*C32,0)</f>
        <v>4</v>
      </c>
      <c r="E32" s="13">
        <f>ROUND(D32/2,0)</f>
        <v>2</v>
      </c>
      <c r="F32" s="12">
        <f>D32-E32</f>
        <v>2</v>
      </c>
    </row>
    <row r="33" spans="1:6">
      <c r="A33" s="8">
        <v>2</v>
      </c>
      <c r="B33" s="11" t="s">
        <v>1642</v>
      </c>
      <c r="C33" s="11"/>
      <c r="D33" s="9"/>
      <c r="E33" s="11"/>
      <c r="F33" s="11"/>
    </row>
    <row r="34" spans="1:6">
      <c r="A34" s="8"/>
      <c r="B34" s="11" t="s">
        <v>10</v>
      </c>
      <c r="C34" s="10">
        <v>4.0000000000000001E-3</v>
      </c>
      <c r="D34" s="12">
        <f t="shared" ref="D34:D43" si="0">ROUND(D$3*C34,0)</f>
        <v>714</v>
      </c>
      <c r="E34" s="13">
        <f t="shared" ref="E34:E43" si="1">ROUND(D34/2,0)</f>
        <v>357</v>
      </c>
      <c r="F34" s="12">
        <f t="shared" ref="F34:F43" si="2">D34-E34</f>
        <v>357</v>
      </c>
    </row>
    <row r="35" spans="1:6">
      <c r="A35" s="8"/>
      <c r="B35" s="11" t="s">
        <v>11</v>
      </c>
      <c r="C35" s="10">
        <v>1.3519999999999999E-3</v>
      </c>
      <c r="D35" s="12">
        <f t="shared" si="0"/>
        <v>241</v>
      </c>
      <c r="E35" s="13">
        <f t="shared" si="1"/>
        <v>121</v>
      </c>
      <c r="F35" s="12">
        <f t="shared" si="2"/>
        <v>120</v>
      </c>
    </row>
    <row r="36" spans="1:6">
      <c r="A36" s="8">
        <v>3</v>
      </c>
      <c r="B36" s="11" t="s">
        <v>1643</v>
      </c>
      <c r="C36" s="10">
        <v>6.02E-4</v>
      </c>
      <c r="D36" s="12">
        <f t="shared" si="0"/>
        <v>108</v>
      </c>
      <c r="E36" s="13">
        <f t="shared" si="1"/>
        <v>54</v>
      </c>
      <c r="F36" s="12">
        <f t="shared" si="2"/>
        <v>54</v>
      </c>
    </row>
    <row r="37" spans="1:6">
      <c r="A37" s="8">
        <v>3</v>
      </c>
      <c r="B37" s="11" t="s">
        <v>1644</v>
      </c>
      <c r="C37" s="10">
        <v>0</v>
      </c>
      <c r="D37" s="12">
        <f t="shared" si="0"/>
        <v>0</v>
      </c>
      <c r="E37" s="13">
        <f t="shared" si="1"/>
        <v>0</v>
      </c>
      <c r="F37" s="12">
        <f t="shared" si="2"/>
        <v>0</v>
      </c>
    </row>
    <row r="38" spans="1:6">
      <c r="A38" s="8">
        <v>3</v>
      </c>
      <c r="B38" s="11" t="s">
        <v>1645</v>
      </c>
      <c r="C38" s="10">
        <v>6.6490000000000004E-3</v>
      </c>
      <c r="D38" s="12">
        <f t="shared" si="0"/>
        <v>1188</v>
      </c>
      <c r="E38" s="13">
        <f t="shared" si="1"/>
        <v>594</v>
      </c>
      <c r="F38" s="12">
        <f t="shared" si="2"/>
        <v>594</v>
      </c>
    </row>
    <row r="39" spans="1:6">
      <c r="A39" s="8">
        <v>3</v>
      </c>
      <c r="B39" s="11" t="s">
        <v>1646</v>
      </c>
      <c r="C39" s="10">
        <v>1.9589999999999998E-3</v>
      </c>
      <c r="D39" s="12">
        <f t="shared" si="0"/>
        <v>350</v>
      </c>
      <c r="E39" s="13">
        <f t="shared" si="1"/>
        <v>175</v>
      </c>
      <c r="F39" s="12">
        <f t="shared" si="2"/>
        <v>175</v>
      </c>
    </row>
    <row r="40" spans="1:6">
      <c r="A40" s="8">
        <v>3</v>
      </c>
      <c r="B40" s="11" t="s">
        <v>1647</v>
      </c>
      <c r="C40" s="10">
        <v>1.72E-3</v>
      </c>
      <c r="D40" s="12">
        <f t="shared" si="0"/>
        <v>307</v>
      </c>
      <c r="E40" s="13">
        <f t="shared" si="1"/>
        <v>154</v>
      </c>
      <c r="F40" s="12">
        <f t="shared" si="2"/>
        <v>153</v>
      </c>
    </row>
    <row r="41" spans="1:6">
      <c r="A41" s="8">
        <v>3</v>
      </c>
      <c r="B41" s="11" t="s">
        <v>1648</v>
      </c>
      <c r="C41" s="10">
        <v>1.0562999999999999E-2</v>
      </c>
      <c r="D41" s="12">
        <f t="shared" si="0"/>
        <v>1887</v>
      </c>
      <c r="E41" s="13">
        <f t="shared" si="1"/>
        <v>944</v>
      </c>
      <c r="F41" s="12">
        <f t="shared" si="2"/>
        <v>943</v>
      </c>
    </row>
    <row r="42" spans="1:6">
      <c r="A42" s="8">
        <v>3</v>
      </c>
      <c r="B42" s="11" t="s">
        <v>1649</v>
      </c>
      <c r="C42" s="10">
        <v>1.6782999999999999E-2</v>
      </c>
      <c r="D42" s="12">
        <f t="shared" si="0"/>
        <v>2998</v>
      </c>
      <c r="E42" s="13">
        <f t="shared" si="1"/>
        <v>1499</v>
      </c>
      <c r="F42" s="12">
        <f t="shared" si="2"/>
        <v>1499</v>
      </c>
    </row>
    <row r="43" spans="1:6">
      <c r="A43" s="8">
        <v>4</v>
      </c>
      <c r="B43" s="11" t="s">
        <v>1650</v>
      </c>
      <c r="C43" s="10">
        <v>0.240096</v>
      </c>
      <c r="D43" s="9">
        <f t="shared" si="0"/>
        <v>42883</v>
      </c>
      <c r="E43" s="11">
        <f t="shared" si="1"/>
        <v>21442</v>
      </c>
      <c r="F43" s="9">
        <f t="shared" si="2"/>
        <v>21441</v>
      </c>
    </row>
    <row r="44" spans="1:6">
      <c r="A44" s="8"/>
      <c r="B44" s="11" t="s">
        <v>28</v>
      </c>
      <c r="C44" s="11"/>
      <c r="D44" s="14">
        <v>0.41499799999999998</v>
      </c>
      <c r="E44" s="11"/>
      <c r="F44" s="11"/>
    </row>
    <row r="45" spans="1:6">
      <c r="A45" s="8"/>
      <c r="B45" s="11" t="s">
        <v>29</v>
      </c>
      <c r="C45" s="11"/>
      <c r="D45" s="225">
        <f>ROUND(D43*D44,0)</f>
        <v>17796</v>
      </c>
      <c r="E45" s="226">
        <f>ROUND(D45/2,0)</f>
        <v>8898</v>
      </c>
      <c r="F45" s="225">
        <f>D45-E45</f>
        <v>8898</v>
      </c>
    </row>
    <row r="46" spans="1:6">
      <c r="A46" s="8"/>
      <c r="B46" s="11" t="s">
        <v>30</v>
      </c>
      <c r="C46" s="11"/>
      <c r="D46" s="12">
        <f>+D43-D45</f>
        <v>25087</v>
      </c>
      <c r="E46" s="13">
        <f>ROUND(D46/2,0)</f>
        <v>12544</v>
      </c>
      <c r="F46" s="12">
        <f>D46-E46</f>
        <v>12543</v>
      </c>
    </row>
    <row r="47" spans="1:6">
      <c r="A47" s="8">
        <v>4</v>
      </c>
      <c r="B47" s="11" t="s">
        <v>1651</v>
      </c>
      <c r="C47" s="10">
        <v>0.42809799999999998</v>
      </c>
      <c r="D47" s="9">
        <f>ROUND(D$3*C47,0)</f>
        <v>76461</v>
      </c>
      <c r="E47" s="11">
        <f>ROUND(D47/2,0)</f>
        <v>38231</v>
      </c>
      <c r="F47" s="9">
        <f>D47-E47</f>
        <v>38230</v>
      </c>
    </row>
    <row r="48" spans="1:6">
      <c r="A48" s="8"/>
      <c r="B48" s="11" t="s">
        <v>28</v>
      </c>
      <c r="C48" s="11"/>
      <c r="D48" s="14">
        <v>0.40147300000000002</v>
      </c>
      <c r="E48" s="11"/>
      <c r="F48" s="11"/>
    </row>
    <row r="49" spans="1:8">
      <c r="A49" s="8"/>
      <c r="B49" s="11" t="s">
        <v>29</v>
      </c>
      <c r="C49" s="11"/>
      <c r="D49" s="225">
        <f>ROUND(D47*D48,0)</f>
        <v>30697</v>
      </c>
      <c r="E49" s="226">
        <f>ROUND(D49/2,0)</f>
        <v>15349</v>
      </c>
      <c r="F49" s="225">
        <f>D49-E49</f>
        <v>15348</v>
      </c>
    </row>
    <row r="50" spans="1:8">
      <c r="A50" s="8"/>
      <c r="B50" s="11" t="s">
        <v>30</v>
      </c>
      <c r="C50" s="11"/>
      <c r="D50" s="12">
        <f>+D47-D49</f>
        <v>45764</v>
      </c>
      <c r="E50" s="13">
        <f>ROUND(D50/2,0)</f>
        <v>22882</v>
      </c>
      <c r="F50" s="12">
        <f>D50-E50</f>
        <v>22882</v>
      </c>
    </row>
    <row r="51" spans="1:8">
      <c r="A51" s="8">
        <v>5</v>
      </c>
      <c r="B51" s="11" t="s">
        <v>1652</v>
      </c>
      <c r="C51" s="10">
        <v>3.5407000000000001E-2</v>
      </c>
      <c r="D51" s="12">
        <f>+D3-SUM(D4:D5)-SUM(D10:D43)-D47</f>
        <v>6322</v>
      </c>
      <c r="E51" s="13">
        <f>ROUND(D51/2,0)</f>
        <v>3161</v>
      </c>
      <c r="F51" s="12">
        <f>D51-E51</f>
        <v>3161</v>
      </c>
    </row>
    <row r="52" spans="1:8">
      <c r="A52" s="8">
        <v>6</v>
      </c>
      <c r="B52" s="11" t="s">
        <v>1653</v>
      </c>
      <c r="C52" s="10">
        <v>0</v>
      </c>
      <c r="D52" s="12">
        <f>ROUND(D$3*C52,0)</f>
        <v>0</v>
      </c>
      <c r="E52" s="13">
        <f>ROUND(D52/2,0)</f>
        <v>0</v>
      </c>
      <c r="F52" s="12">
        <f>D52-E52</f>
        <v>0</v>
      </c>
    </row>
    <row r="53" spans="1:8">
      <c r="A53" s="8"/>
      <c r="B53" s="28" t="s">
        <v>288</v>
      </c>
      <c r="C53" s="10">
        <v>1</v>
      </c>
      <c r="D53" s="12">
        <f>+D4+SUM(D7:D42)+SUM(D45:D46)+SUM(D49:D52)</f>
        <v>178606</v>
      </c>
      <c r="E53" s="12">
        <f>+E4+SUM(E7:E42)+SUM(E45:E46)+SUM(E49:E52)</f>
        <v>89311</v>
      </c>
      <c r="F53" s="12">
        <f>+F4+SUM(F7:F42)+SUM(F45:F46)+SUM(F49:F52)</f>
        <v>89295</v>
      </c>
    </row>
    <row r="54" spans="1:8">
      <c r="B54" s="18" t="s">
        <v>38</v>
      </c>
      <c r="D54" s="19">
        <f>+D4</f>
        <v>193</v>
      </c>
      <c r="E54" s="19">
        <f>+E4</f>
        <v>97</v>
      </c>
      <c r="F54" s="19">
        <f>+F4</f>
        <v>96</v>
      </c>
    </row>
    <row r="55" spans="1:8">
      <c r="B55" s="2" t="s">
        <v>39</v>
      </c>
      <c r="D55" s="19">
        <f>+D7</f>
        <v>5879</v>
      </c>
      <c r="E55" s="19">
        <f>+E7</f>
        <v>2940</v>
      </c>
      <c r="F55" s="19">
        <f>+F7</f>
        <v>2939</v>
      </c>
    </row>
    <row r="56" spans="1:8">
      <c r="B56" s="2" t="s">
        <v>40</v>
      </c>
      <c r="D56" s="19">
        <f>+D45+D49</f>
        <v>48493</v>
      </c>
      <c r="E56" s="19">
        <f>+E45+E49</f>
        <v>24247</v>
      </c>
      <c r="F56" s="19">
        <f>+F45+F49</f>
        <v>24246</v>
      </c>
      <c r="H56" s="3">
        <v>1</v>
      </c>
    </row>
    <row r="57" spans="1:8">
      <c r="B57" s="18" t="s">
        <v>41</v>
      </c>
      <c r="D57" s="19">
        <f>+D53-D54-D55-D56</f>
        <v>124041</v>
      </c>
      <c r="E57" s="19">
        <f>+E53-E54-E55-E56</f>
        <v>62027</v>
      </c>
      <c r="F57" s="19">
        <f>+F53-F54-F55-F56</f>
        <v>62014</v>
      </c>
      <c r="H57" s="3">
        <v>2</v>
      </c>
    </row>
    <row r="59" spans="1:8" hidden="1">
      <c r="B59" s="3" t="s">
        <v>42</v>
      </c>
      <c r="C59" s="4">
        <v>0</v>
      </c>
      <c r="D59" s="3">
        <f>+D51-ROUND(D3*C51,0)</f>
        <v>-2</v>
      </c>
    </row>
    <row r="71" spans="1:1">
      <c r="A71" s="1" t="s">
        <v>590</v>
      </c>
    </row>
  </sheetData>
  <pageMargins left="0.7" right="0.7" top="0.75" bottom="0.75" header="0.3" footer="0.3"/>
  <pageSetup scale="64"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9">
    <pageSetUpPr fitToPage="1"/>
  </sheetPr>
  <dimension ref="A1:WVB71"/>
  <sheetViews>
    <sheetView zoomScaleNormal="100" zoomScaleSheetLayoutView="80" workbookViewId="0">
      <selection activeCell="D31" activeCellId="1" sqref="D7:F7 D31:F31"/>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140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140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140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140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140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140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140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140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140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140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140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140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140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140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140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140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140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140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140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140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140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140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140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140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140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140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140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140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140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140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140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140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140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140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140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140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140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140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140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140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140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140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140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140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140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140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140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140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140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140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140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140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140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140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140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140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140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140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140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140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140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140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140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1654</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Worksheet'!$D$81</f>
        <v>11712</v>
      </c>
      <c r="E3" s="11"/>
      <c r="F3" s="11"/>
    </row>
    <row r="4" spans="1:6">
      <c r="A4" s="8">
        <v>0</v>
      </c>
      <c r="B4" s="11" t="s">
        <v>4</v>
      </c>
      <c r="C4" s="10">
        <v>1.3240000000000001E-3</v>
      </c>
      <c r="D4" s="12">
        <f>ROUND(D$3*C4,0)</f>
        <v>16</v>
      </c>
      <c r="E4" s="13">
        <f>ROUND(D4/2,0)</f>
        <v>8</v>
      </c>
      <c r="F4" s="12">
        <f>D4-E4</f>
        <v>8</v>
      </c>
    </row>
    <row r="5" spans="1:6">
      <c r="A5" s="8">
        <v>1</v>
      </c>
      <c r="B5" s="11" t="s">
        <v>1655</v>
      </c>
      <c r="C5" s="10">
        <v>0.30919600000000003</v>
      </c>
      <c r="D5" s="9">
        <f>ROUND(D$3*C5,0)</f>
        <v>3621</v>
      </c>
      <c r="E5" s="11">
        <f>ROUND(D5/2,0)</f>
        <v>1811</v>
      </c>
      <c r="F5" s="9">
        <f>D5-E5</f>
        <v>1810</v>
      </c>
    </row>
    <row r="6" spans="1:6">
      <c r="A6" s="8"/>
      <c r="B6" s="11" t="s">
        <v>6</v>
      </c>
      <c r="C6" s="11"/>
      <c r="D6" s="14">
        <v>0.12692100000000001</v>
      </c>
      <c r="E6" s="11"/>
      <c r="F6" s="11"/>
    </row>
    <row r="7" spans="1:6">
      <c r="A7" s="8"/>
      <c r="B7" s="11" t="s">
        <v>7</v>
      </c>
      <c r="C7" s="11"/>
      <c r="D7" s="228">
        <f>ROUND(D5*D6,0)</f>
        <v>460</v>
      </c>
      <c r="E7" s="229">
        <f>ROUND(D7/2,0)</f>
        <v>230</v>
      </c>
      <c r="F7" s="228">
        <f>D7-E7</f>
        <v>230</v>
      </c>
    </row>
    <row r="8" spans="1:6">
      <c r="A8" s="8"/>
      <c r="B8" s="11" t="s">
        <v>8</v>
      </c>
      <c r="C8" s="11"/>
      <c r="D8" s="12">
        <f>+D5-D7</f>
        <v>3161</v>
      </c>
      <c r="E8" s="13">
        <f>ROUND(D8/2,0)</f>
        <v>1581</v>
      </c>
      <c r="F8" s="12">
        <f>D8-E8</f>
        <v>1580</v>
      </c>
    </row>
    <row r="9" spans="1:6">
      <c r="A9" s="8">
        <v>2</v>
      </c>
      <c r="B9" s="11" t="s">
        <v>1656</v>
      </c>
      <c r="C9" s="11"/>
      <c r="D9" s="9"/>
      <c r="E9" s="11"/>
      <c r="F9" s="11"/>
    </row>
    <row r="10" spans="1:6">
      <c r="A10" s="8"/>
      <c r="B10" s="11" t="s">
        <v>10</v>
      </c>
      <c r="C10" s="10">
        <v>1.635E-3</v>
      </c>
      <c r="D10" s="12">
        <f>ROUND(D$3*C10,0)</f>
        <v>19</v>
      </c>
      <c r="E10" s="13">
        <f>ROUND(D10/2,0)</f>
        <v>10</v>
      </c>
      <c r="F10" s="12">
        <f>D10-E10</f>
        <v>9</v>
      </c>
    </row>
    <row r="11" spans="1:6">
      <c r="A11" s="8"/>
      <c r="B11" s="11" t="s">
        <v>11</v>
      </c>
      <c r="C11" s="10">
        <v>5.4500000000000002E-4</v>
      </c>
      <c r="D11" s="12">
        <f>ROUND(D$3*C11,0)</f>
        <v>6</v>
      </c>
      <c r="E11" s="13">
        <f>ROUND(D11/2,0)</f>
        <v>3</v>
      </c>
      <c r="F11" s="12">
        <f>D11-E11</f>
        <v>3</v>
      </c>
    </row>
    <row r="12" spans="1:6">
      <c r="A12" s="8">
        <v>2</v>
      </c>
      <c r="B12" s="11" t="s">
        <v>1657</v>
      </c>
      <c r="C12" s="11"/>
      <c r="D12" s="9"/>
      <c r="E12" s="11"/>
      <c r="F12" s="11"/>
    </row>
    <row r="13" spans="1:6">
      <c r="A13" s="8"/>
      <c r="B13" s="11" t="s">
        <v>10</v>
      </c>
      <c r="C13" s="10">
        <v>0</v>
      </c>
      <c r="D13" s="12">
        <f>ROUND(D$3*C13,0)</f>
        <v>0</v>
      </c>
      <c r="E13" s="13">
        <f>ROUND(D13/2,0)</f>
        <v>0</v>
      </c>
      <c r="F13" s="12">
        <f>D13-E13</f>
        <v>0</v>
      </c>
    </row>
    <row r="14" spans="1:6">
      <c r="A14" s="8"/>
      <c r="B14" s="11" t="s">
        <v>11</v>
      </c>
      <c r="C14" s="10">
        <v>0</v>
      </c>
      <c r="D14" s="12">
        <f>ROUND(D$3*C14,0)</f>
        <v>0</v>
      </c>
      <c r="E14" s="13">
        <f>ROUND(D14/2,0)</f>
        <v>0</v>
      </c>
      <c r="F14" s="12">
        <f>D14-E14</f>
        <v>0</v>
      </c>
    </row>
    <row r="15" spans="1:6">
      <c r="A15" s="8">
        <v>2</v>
      </c>
      <c r="B15" s="11" t="s">
        <v>14</v>
      </c>
      <c r="C15" s="11"/>
      <c r="D15" s="9"/>
      <c r="E15" s="11"/>
      <c r="F15" s="11"/>
    </row>
    <row r="16" spans="1:6">
      <c r="A16" s="8"/>
      <c r="B16" s="11" t="s">
        <v>10</v>
      </c>
      <c r="C16" s="10">
        <v>5.0610000000000004E-3</v>
      </c>
      <c r="D16" s="12">
        <f>ROUND(D$3*C16,0)</f>
        <v>59</v>
      </c>
      <c r="E16" s="13">
        <f>ROUND(D16/2,0)</f>
        <v>30</v>
      </c>
      <c r="F16" s="12">
        <f>D16-E16</f>
        <v>29</v>
      </c>
    </row>
    <row r="17" spans="1:6">
      <c r="A17" s="8"/>
      <c r="B17" s="11" t="s">
        <v>11</v>
      </c>
      <c r="C17" s="10">
        <v>7.0100000000000002E-4</v>
      </c>
      <c r="D17" s="12">
        <f>ROUND(D$3*C17,0)</f>
        <v>8</v>
      </c>
      <c r="E17" s="13">
        <f>ROUND(D17/2,0)</f>
        <v>4</v>
      </c>
      <c r="F17" s="12">
        <f>D17-E17</f>
        <v>4</v>
      </c>
    </row>
    <row r="18" spans="1:6">
      <c r="A18" s="8">
        <v>2</v>
      </c>
      <c r="B18" s="11" t="s">
        <v>57</v>
      </c>
      <c r="C18" s="11"/>
      <c r="D18" s="9"/>
      <c r="E18" s="11"/>
      <c r="F18" s="11"/>
    </row>
    <row r="19" spans="1:6">
      <c r="A19" s="8"/>
      <c r="B19" s="11" t="s">
        <v>10</v>
      </c>
      <c r="C19" s="10">
        <v>4.6700000000000002E-4</v>
      </c>
      <c r="D19" s="12">
        <f>ROUND(D$3*C19,0)</f>
        <v>5</v>
      </c>
      <c r="E19" s="13">
        <f>ROUND(D19/2,0)</f>
        <v>3</v>
      </c>
      <c r="F19" s="12">
        <f>D19-E19</f>
        <v>2</v>
      </c>
    </row>
    <row r="20" spans="1:6">
      <c r="A20" s="8"/>
      <c r="B20" s="11" t="s">
        <v>11</v>
      </c>
      <c r="C20" s="10">
        <v>1.56E-4</v>
      </c>
      <c r="D20" s="12">
        <f>ROUND(D$3*C20,0)</f>
        <v>2</v>
      </c>
      <c r="E20" s="13">
        <f>ROUND(D20/2,0)</f>
        <v>1</v>
      </c>
      <c r="F20" s="12">
        <f>D20-E20</f>
        <v>1</v>
      </c>
    </row>
    <row r="21" spans="1:6">
      <c r="A21" s="8">
        <v>2</v>
      </c>
      <c r="B21" s="11" t="s">
        <v>252</v>
      </c>
      <c r="C21" s="11"/>
      <c r="D21" s="9"/>
      <c r="E21" s="11"/>
      <c r="F21" s="11"/>
    </row>
    <row r="22" spans="1:6">
      <c r="A22" s="8"/>
      <c r="B22" s="11" t="s">
        <v>10</v>
      </c>
      <c r="C22" s="10">
        <v>7.4749999999999999E-3</v>
      </c>
      <c r="D22" s="12">
        <f t="shared" ref="D22:D29" si="0">ROUND(D$3*C22,0)</f>
        <v>88</v>
      </c>
      <c r="E22" s="13">
        <f t="shared" ref="E22:E29" si="1">ROUND(D22/2,0)</f>
        <v>44</v>
      </c>
      <c r="F22" s="12">
        <f t="shared" ref="F22:F29" si="2">D22-E22</f>
        <v>44</v>
      </c>
    </row>
    <row r="23" spans="1:6">
      <c r="A23" s="8"/>
      <c r="B23" s="11" t="s">
        <v>11</v>
      </c>
      <c r="C23" s="10">
        <v>2.8029999999999999E-3</v>
      </c>
      <c r="D23" s="12">
        <f t="shared" si="0"/>
        <v>33</v>
      </c>
      <c r="E23" s="13">
        <f t="shared" si="1"/>
        <v>17</v>
      </c>
      <c r="F23" s="12">
        <f t="shared" si="2"/>
        <v>16</v>
      </c>
    </row>
    <row r="24" spans="1:6">
      <c r="A24" s="8">
        <v>2</v>
      </c>
      <c r="B24" s="11" t="s">
        <v>115</v>
      </c>
      <c r="C24" s="10">
        <v>0</v>
      </c>
      <c r="D24" s="12">
        <f t="shared" si="0"/>
        <v>0</v>
      </c>
      <c r="E24" s="13">
        <f t="shared" si="1"/>
        <v>0</v>
      </c>
      <c r="F24" s="12">
        <f t="shared" si="2"/>
        <v>0</v>
      </c>
    </row>
    <row r="25" spans="1:6">
      <c r="A25" s="8"/>
      <c r="B25" s="11" t="s">
        <v>10</v>
      </c>
      <c r="C25" s="10">
        <v>3.1100000000000002E-4</v>
      </c>
      <c r="D25" s="12">
        <f t="shared" si="0"/>
        <v>4</v>
      </c>
      <c r="E25" s="13">
        <f t="shared" si="1"/>
        <v>2</v>
      </c>
      <c r="F25" s="12">
        <f t="shared" si="2"/>
        <v>2</v>
      </c>
    </row>
    <row r="26" spans="1:6">
      <c r="A26" s="8"/>
      <c r="B26" s="11" t="s">
        <v>11</v>
      </c>
      <c r="C26" s="10">
        <v>7.7999999999999999E-5</v>
      </c>
      <c r="D26" s="12">
        <f t="shared" si="0"/>
        <v>1</v>
      </c>
      <c r="E26" s="13">
        <f t="shared" si="1"/>
        <v>1</v>
      </c>
      <c r="F26" s="12">
        <f t="shared" si="2"/>
        <v>0</v>
      </c>
    </row>
    <row r="27" spans="1:6">
      <c r="A27" s="8">
        <v>3</v>
      </c>
      <c r="B27" s="11" t="s">
        <v>1658</v>
      </c>
      <c r="C27" s="10">
        <v>1.4482999999999999E-2</v>
      </c>
      <c r="D27" s="12">
        <f t="shared" si="0"/>
        <v>170</v>
      </c>
      <c r="E27" s="13">
        <f t="shared" si="1"/>
        <v>85</v>
      </c>
      <c r="F27" s="12">
        <f t="shared" si="2"/>
        <v>85</v>
      </c>
    </row>
    <row r="28" spans="1:6">
      <c r="A28" s="8">
        <v>3</v>
      </c>
      <c r="B28" s="11" t="s">
        <v>1659</v>
      </c>
      <c r="C28" s="10">
        <v>5.9487999999999999E-2</v>
      </c>
      <c r="D28" s="12">
        <f t="shared" si="0"/>
        <v>697</v>
      </c>
      <c r="E28" s="13">
        <f t="shared" si="1"/>
        <v>349</v>
      </c>
      <c r="F28" s="12">
        <f t="shared" si="2"/>
        <v>348</v>
      </c>
    </row>
    <row r="29" spans="1:6">
      <c r="A29" s="8">
        <v>4</v>
      </c>
      <c r="B29" s="11" t="s">
        <v>1660</v>
      </c>
      <c r="C29" s="10">
        <v>0.57035000000000002</v>
      </c>
      <c r="D29" s="9">
        <f t="shared" si="0"/>
        <v>6680</v>
      </c>
      <c r="E29" s="11">
        <f t="shared" si="1"/>
        <v>3340</v>
      </c>
      <c r="F29" s="9">
        <f t="shared" si="2"/>
        <v>3340</v>
      </c>
    </row>
    <row r="30" spans="1:6">
      <c r="A30" s="8"/>
      <c r="B30" s="11" t="s">
        <v>28</v>
      </c>
      <c r="C30" s="11"/>
      <c r="D30" s="14">
        <v>0.58365699999999998</v>
      </c>
      <c r="E30" s="11"/>
      <c r="F30" s="11"/>
    </row>
    <row r="31" spans="1:6">
      <c r="A31" s="8"/>
      <c r="B31" s="11" t="s">
        <v>29</v>
      </c>
      <c r="C31" s="11"/>
      <c r="D31" s="228">
        <f>ROUND(D29*D30,0)</f>
        <v>3899</v>
      </c>
      <c r="E31" s="229">
        <f>ROUND(D31/2,0)</f>
        <v>1950</v>
      </c>
      <c r="F31" s="228">
        <f>D31-E31</f>
        <v>1949</v>
      </c>
    </row>
    <row r="32" spans="1:6">
      <c r="A32" s="8"/>
      <c r="B32" s="11" t="s">
        <v>30</v>
      </c>
      <c r="C32" s="11"/>
      <c r="D32" s="12">
        <f>+D29-D31</f>
        <v>2781</v>
      </c>
      <c r="E32" s="13">
        <f>ROUND(D32/2,0)</f>
        <v>1391</v>
      </c>
      <c r="F32" s="12">
        <f>D32-E32</f>
        <v>1390</v>
      </c>
    </row>
    <row r="33" spans="1:8">
      <c r="A33" s="8">
        <v>5</v>
      </c>
      <c r="B33" s="11" t="s">
        <v>1661</v>
      </c>
      <c r="C33" s="10">
        <v>2.1335E-2</v>
      </c>
      <c r="D33" s="12">
        <f>ROUND(D$3*C33,0)</f>
        <v>250</v>
      </c>
      <c r="E33" s="13">
        <f>ROUND(D33/2,0)</f>
        <v>125</v>
      </c>
      <c r="F33" s="12">
        <f>D33-E33</f>
        <v>125</v>
      </c>
    </row>
    <row r="34" spans="1:8">
      <c r="A34" s="8">
        <v>6</v>
      </c>
      <c r="B34" s="11" t="s">
        <v>545</v>
      </c>
      <c r="C34" s="10">
        <v>4.5919999999999295E-3</v>
      </c>
      <c r="D34" s="12">
        <f>+D3-SUM(D4:D5)-SUM(D10:D29)-D33</f>
        <v>53</v>
      </c>
      <c r="E34" s="13">
        <f>ROUND(D34/2,0)</f>
        <v>27</v>
      </c>
      <c r="F34" s="12">
        <f>D34-E34</f>
        <v>26</v>
      </c>
    </row>
    <row r="35" spans="1:8">
      <c r="A35" s="8"/>
      <c r="B35" s="28" t="s">
        <v>288</v>
      </c>
      <c r="C35" s="10">
        <v>1</v>
      </c>
      <c r="D35" s="12">
        <f>+D4+SUM(D7:D28)+SUM(D31:D34)</f>
        <v>11712</v>
      </c>
      <c r="E35" s="12">
        <f>+E4+SUM(E7:E28)+SUM(E31:E34)</f>
        <v>5861</v>
      </c>
      <c r="F35" s="12">
        <f>+F4+SUM(F7:F28)+SUM(F31:F34)</f>
        <v>5851</v>
      </c>
    </row>
    <row r="36" spans="1:8">
      <c r="B36" s="18" t="s">
        <v>38</v>
      </c>
      <c r="D36" s="19">
        <f>+D4</f>
        <v>16</v>
      </c>
      <c r="E36" s="19">
        <f>+E4</f>
        <v>8</v>
      </c>
      <c r="F36" s="19">
        <f>+F4</f>
        <v>8</v>
      </c>
    </row>
    <row r="37" spans="1:8">
      <c r="B37" s="2" t="s">
        <v>39</v>
      </c>
      <c r="D37" s="19">
        <f>+D7</f>
        <v>460</v>
      </c>
      <c r="E37" s="19">
        <f>+E7</f>
        <v>230</v>
      </c>
      <c r="F37" s="19">
        <f>+F7</f>
        <v>230</v>
      </c>
    </row>
    <row r="38" spans="1:8">
      <c r="B38" s="2" t="s">
        <v>40</v>
      </c>
      <c r="D38" s="19">
        <f>+D31</f>
        <v>3899</v>
      </c>
      <c r="E38" s="19">
        <f>+E31</f>
        <v>1950</v>
      </c>
      <c r="F38" s="19">
        <f>+F31</f>
        <v>1949</v>
      </c>
      <c r="H38" s="3">
        <v>1</v>
      </c>
    </row>
    <row r="39" spans="1:8">
      <c r="B39" s="18" t="s">
        <v>41</v>
      </c>
      <c r="D39" s="19">
        <f>+D35-D36-D37-D38</f>
        <v>7337</v>
      </c>
      <c r="E39" s="19">
        <f>+E35-E36-E37-E38</f>
        <v>3673</v>
      </c>
      <c r="F39" s="19">
        <f>+F35-F36-F37-F38</f>
        <v>3664</v>
      </c>
      <c r="H39" s="3">
        <v>2</v>
      </c>
    </row>
    <row r="40" spans="1:8" hidden="1"/>
    <row r="41" spans="1:8" hidden="1">
      <c r="B41" s="3" t="s">
        <v>42</v>
      </c>
      <c r="C41" s="4">
        <v>-2.0000000000705218E-6</v>
      </c>
      <c r="D41" s="3">
        <f>+D34-ROUND(D3*C34,0)</f>
        <v>-1</v>
      </c>
    </row>
    <row r="42" spans="1:8" hidden="1"/>
    <row r="43" spans="1:8" hidden="1"/>
    <row r="44" spans="1:8" hidden="1"/>
    <row r="45" spans="1:8" hidden="1"/>
    <row r="46" spans="1:8" hidden="1"/>
    <row r="47" spans="1:8" hidden="1"/>
    <row r="48" spans="1:8" hidden="1"/>
    <row r="49" hidden="1"/>
    <row r="50" hidden="1"/>
    <row r="51" hidden="1"/>
    <row r="52" hidden="1"/>
    <row r="53" hidden="1"/>
    <row r="54" hidden="1"/>
    <row r="55" hidden="1"/>
    <row r="56" hidden="1"/>
    <row r="57" hidden="1"/>
    <row r="58" hidden="1"/>
    <row r="59" hidden="1"/>
    <row r="60" hidden="1"/>
    <row r="61" hidden="1"/>
    <row r="62" hidden="1"/>
    <row r="63" hidden="1"/>
    <row r="64" hidden="1"/>
    <row r="65" spans="1:1" hidden="1"/>
    <row r="66" spans="1:1" hidden="1"/>
    <row r="67" spans="1:1" hidden="1"/>
    <row r="68" spans="1:1" hidden="1"/>
    <row r="69" spans="1:1" hidden="1"/>
    <row r="70" spans="1:1" hidden="1"/>
    <row r="71" spans="1:1" hidden="1">
      <c r="A71" s="1" t="s">
        <v>590</v>
      </c>
    </row>
  </sheetData>
  <pageMargins left="0.7" right="0.7" top="0.75" bottom="0.75" header="0.3" footer="0.3"/>
  <pageSetup scale="6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EA8C8-93BE-4A23-AED2-A1203BA923BE}">
  <dimension ref="A1:AL2685"/>
  <sheetViews>
    <sheetView topLeftCell="A13" zoomScale="85" zoomScaleNormal="85" workbookViewId="0">
      <selection activeCell="O42" sqref="O42"/>
    </sheetView>
  </sheetViews>
  <sheetFormatPr defaultColWidth="0" defaultRowHeight="15" zeroHeight="1"/>
  <cols>
    <col min="1" max="2" width="3.5703125" bestFit="1" customWidth="1"/>
    <col min="3" max="3" width="5.140625" bestFit="1" customWidth="1"/>
    <col min="4" max="4" width="8.140625" bestFit="1" customWidth="1"/>
    <col min="5" max="5" width="5.42578125" bestFit="1" customWidth="1"/>
    <col min="6" max="6" width="48.85546875" bestFit="1" customWidth="1"/>
    <col min="7" max="8" width="10" style="126" bestFit="1" customWidth="1"/>
    <col min="9" max="11" width="10" style="138" bestFit="1" customWidth="1"/>
    <col min="12" max="12" width="14.28515625" style="174" bestFit="1" customWidth="1"/>
    <col min="13" max="13" width="13.28515625" bestFit="1" customWidth="1"/>
    <col min="14" max="14" width="18" style="177" bestFit="1" customWidth="1"/>
    <col min="15" max="15" width="11.5703125" style="152" bestFit="1" customWidth="1"/>
    <col min="16" max="18" width="20" style="138" bestFit="1" customWidth="1"/>
    <col min="19" max="19" width="13.5703125" bestFit="1" customWidth="1"/>
    <col min="20" max="20" width="13.28515625" style="46" bestFit="1" customWidth="1"/>
    <col min="21" max="21" width="14.28515625" style="151" bestFit="1" customWidth="1"/>
    <col min="22" max="22" width="11.42578125" style="139" bestFit="1" customWidth="1"/>
    <col min="23" max="23" width="13.28515625" style="152" bestFit="1" customWidth="1"/>
    <col min="24" max="24" width="5.85546875" style="153" bestFit="1" customWidth="1"/>
    <col min="25" max="25" width="13.28515625" style="52" bestFit="1" customWidth="1"/>
    <col min="26" max="26" width="13.28515625" bestFit="1" customWidth="1"/>
    <col min="27" max="27" width="11.5703125" bestFit="1" customWidth="1"/>
    <col min="28" max="28" width="1.7109375" customWidth="1"/>
    <col min="29" max="31" width="11.42578125" customWidth="1"/>
    <col min="32" max="32" width="1.7109375" customWidth="1"/>
    <col min="33" max="34" width="11.42578125" customWidth="1"/>
    <col min="35" max="35" width="11.42578125" style="61" customWidth="1"/>
    <col min="36" max="36" width="1.7109375" customWidth="1"/>
    <col min="37" max="38" width="9.140625" customWidth="1"/>
    <col min="39" max="16384" width="9.140625" hidden="1"/>
  </cols>
  <sheetData>
    <row r="1" spans="1:35" s="202" customFormat="1" ht="39.75" thickBot="1">
      <c r="A1" s="190" t="s">
        <v>2086</v>
      </c>
      <c r="B1" s="191" t="s">
        <v>2087</v>
      </c>
      <c r="C1" s="191" t="s">
        <v>2088</v>
      </c>
      <c r="D1" s="191" t="s">
        <v>3138</v>
      </c>
      <c r="E1" s="191" t="s">
        <v>6369</v>
      </c>
      <c r="F1" s="191" t="s">
        <v>3139</v>
      </c>
      <c r="G1" s="192" t="s">
        <v>6390</v>
      </c>
      <c r="H1" s="192" t="s">
        <v>6391</v>
      </c>
      <c r="I1" s="185" t="s">
        <v>6392</v>
      </c>
      <c r="J1" s="185" t="s">
        <v>6394</v>
      </c>
      <c r="K1" s="186" t="s">
        <v>6388</v>
      </c>
      <c r="L1" s="193" t="s">
        <v>6389</v>
      </c>
      <c r="M1" s="187" t="s">
        <v>6397</v>
      </c>
      <c r="N1" s="188" t="s">
        <v>6368</v>
      </c>
      <c r="O1" s="189" t="s">
        <v>6395</v>
      </c>
      <c r="P1" s="194" t="s">
        <v>6367</v>
      </c>
      <c r="Q1" s="195" t="s">
        <v>6382</v>
      </c>
      <c r="R1" s="195" t="s">
        <v>6383</v>
      </c>
      <c r="S1" s="196" t="s">
        <v>6396</v>
      </c>
      <c r="T1" s="197" t="s">
        <v>6402</v>
      </c>
      <c r="U1" s="198" t="s">
        <v>6381</v>
      </c>
      <c r="V1" s="199" t="s">
        <v>6398</v>
      </c>
      <c r="W1" s="200" t="s">
        <v>6399</v>
      </c>
      <c r="X1" s="201" t="s">
        <v>2071</v>
      </c>
      <c r="Y1" s="204" t="s">
        <v>6393</v>
      </c>
      <c r="Z1" s="203" t="s">
        <v>6400</v>
      </c>
      <c r="AA1" s="203" t="s">
        <v>6401</v>
      </c>
      <c r="AB1" s="205"/>
      <c r="AC1" s="203" t="s">
        <v>6403</v>
      </c>
      <c r="AD1" s="203" t="s">
        <v>6404</v>
      </c>
      <c r="AE1" s="203" t="s">
        <v>6405</v>
      </c>
      <c r="AF1" s="205"/>
      <c r="AG1" s="203" t="s">
        <v>6406</v>
      </c>
      <c r="AH1" s="203" t="s">
        <v>6407</v>
      </c>
      <c r="AI1" s="206" t="s">
        <v>6408</v>
      </c>
    </row>
    <row r="2" spans="1:35">
      <c r="A2" t="s">
        <v>2095</v>
      </c>
      <c r="B2" s="48" t="s">
        <v>6274</v>
      </c>
      <c r="C2" t="s">
        <v>2187</v>
      </c>
      <c r="D2" t="str">
        <f>A2&amp;B2&amp;C2</f>
        <v>0100000</v>
      </c>
      <c r="F2" t="s">
        <v>6275</v>
      </c>
      <c r="G2" s="126">
        <f>SUMIFS('Support - Transition'!F:F,'Support - Transition'!B:B,'Step 2'!A2,'Support - Transition'!C:C,'Step 2'!B2,'Support - Transition'!D:D,'Step 2'!C2,'Support - Transition'!E:E,"CIVIL")</f>
        <v>0</v>
      </c>
      <c r="H2" s="126">
        <f>SUMIFS('Support - Transition'!F:F,'Support - Transition'!B:B,'Step 2'!A2,'Support - Transition'!C:C,'Step 2'!B2,'Support - Transition'!D:D,'Step 2'!C2,'Support - Transition'!E:E,"FIRE")</f>
        <v>0</v>
      </c>
      <c r="I2" s="126">
        <f>IF(B2="0",SUMIFS('Support - Transition'!F:F,'Support - Transition'!J:J,'Step 2'!D2,'Support - Transition'!E:E,"STATE UNIT"),SUMIFS('Support - Transition'!F:F,'Support - Transition'!J:J,'Step 2'!D2))</f>
        <v>1.2539999999999999E-3</v>
      </c>
      <c r="J2" s="126">
        <f>SUMIFS('Support - Unit Adjustments'!E:E,'Support - Unit Adjustments'!F:F,'Step 2'!D2)</f>
        <v>0</v>
      </c>
      <c r="K2" s="126">
        <f t="shared" ref="K2:K65" si="0">+I2+J2</f>
        <v>1.2539999999999999E-3</v>
      </c>
      <c r="L2" s="174">
        <f>VLOOKUP(A2,'Step 1'!$A:$E,4,FALSE)</f>
        <v>287723</v>
      </c>
      <c r="M2" s="47">
        <f t="shared" ref="M2:M65" si="1">ROUND(+K2*L2,0)</f>
        <v>361</v>
      </c>
      <c r="N2" s="177">
        <f>SUMIFS('Support - Transition'!G:G,'Support - Transition'!J:J,'Step 2'!D2,'Support - Transition'!E:E,"2009 WELFARE ALLOCATION FACTOR")</f>
        <v>0</v>
      </c>
      <c r="O2" s="152">
        <f>ROUND(+N2*M2,0)</f>
        <v>0</v>
      </c>
      <c r="P2" s="126">
        <f>IF(E2="Y",0,SUMIFS('Support - Transition'!G:G,'Support - Transition'!J:J,'Step 2'!D2,'Support - Transition'!E:E,"2009 SCHOOL ALLOCATION FACTOR"))</f>
        <v>0</v>
      </c>
      <c r="Q2" s="126">
        <f>IF(E2="Y",VLOOKUP(D2,'Support - Unit Adjustments'!F:G,2,FALSE),0)</f>
        <v>0</v>
      </c>
      <c r="R2" s="155">
        <f t="shared" ref="R2:R65" si="2">+P2+Q2</f>
        <v>0</v>
      </c>
      <c r="S2" s="47">
        <f>ROUND(+P2*M2,0)</f>
        <v>0</v>
      </c>
      <c r="T2" s="151">
        <f t="shared" ref="T2:T65" si="3">ROUND(+M2-O2-S2,2)</f>
        <v>361</v>
      </c>
      <c r="U2" s="151">
        <f t="shared" ref="U2:U65" si="4">IF(B2="0",SUMIFS(O:O,A:A,A2)+SUMIFS(S:S,A:A,A2)+SUMIFS(T:T,A:A,A2),0)</f>
        <v>287723</v>
      </c>
      <c r="V2" s="139">
        <f t="shared" ref="V2:V65" si="5">IF(B2="0",U2-L2,0)</f>
        <v>0</v>
      </c>
      <c r="W2" s="152">
        <f>+T2-V2</f>
        <v>361</v>
      </c>
      <c r="X2" s="127">
        <f t="shared" ref="X2:X65" si="6">IF(B2="0",SUMIFS(O:O,A:A,A2)+SUMIFS(S:S,A:A,A2)+SUMIFS(W:W,A:A,A2)-L2,"")</f>
        <v>0</v>
      </c>
      <c r="Y2" s="207">
        <f>W2</f>
        <v>361</v>
      </c>
      <c r="Z2" s="139">
        <f>IFERROR(IF(B2="2",ROUND(Y2*G2/I2,0),Y2),0)</f>
        <v>361</v>
      </c>
      <c r="AA2" s="139">
        <f>+Y2-Z2</f>
        <v>0</v>
      </c>
      <c r="AC2" s="47">
        <f>ROUND(Y2/2,0)</f>
        <v>181</v>
      </c>
      <c r="AD2" s="47">
        <f t="shared" ref="AD2:AE2" si="7">ROUND(Z2/2,0)</f>
        <v>181</v>
      </c>
      <c r="AE2" s="47">
        <f t="shared" si="7"/>
        <v>0</v>
      </c>
      <c r="AG2" s="47">
        <f>+Y2-AC2</f>
        <v>180</v>
      </c>
      <c r="AH2" s="47">
        <f t="shared" ref="AH2:AI2" si="8">+Z2-AD2</f>
        <v>180</v>
      </c>
      <c r="AI2" s="208">
        <f t="shared" si="8"/>
        <v>0</v>
      </c>
    </row>
    <row r="3" spans="1:35">
      <c r="A3" t="s">
        <v>2095</v>
      </c>
      <c r="B3" t="s">
        <v>3140</v>
      </c>
      <c r="C3" t="s">
        <v>2187</v>
      </c>
      <c r="D3" t="s">
        <v>3141</v>
      </c>
      <c r="F3" t="s">
        <v>5</v>
      </c>
      <c r="G3" s="126">
        <f>SUMIFS('Support - Transition'!F:F,'Support - Transition'!B:B,'Step 2'!A3,'Support - Transition'!C:C,'Step 2'!B3,'Support - Transition'!D:D,'Step 2'!C3,'Support - Transition'!E:E,"CIVIL")</f>
        <v>0</v>
      </c>
      <c r="H3" s="126">
        <f>SUMIFS('Support - Transition'!F:F,'Support - Transition'!B:B,'Step 2'!A3,'Support - Transition'!C:C,'Step 2'!B3,'Support - Transition'!D:D,'Step 2'!C3,'Support - Transition'!E:E,"FIRE")</f>
        <v>0</v>
      </c>
      <c r="I3" s="126">
        <f>IF(B3="0",SUMIFS('Support - Transition'!F:F,'Support - Transition'!J:J,'Step 2'!D3,'Support - Transition'!E:E,"STATE UNIT"),SUMIFS('Support - Transition'!F:F,'Support - Transition'!J:J,'Step 2'!D3))</f>
        <v>0.21342700000000001</v>
      </c>
      <c r="J3" s="126">
        <f>SUMIFS('Support - Unit Adjustments'!E:E,'Support - Unit Adjustments'!F:F,'Step 2'!D3)</f>
        <v>0</v>
      </c>
      <c r="K3" s="126">
        <f t="shared" si="0"/>
        <v>0.21342700000000001</v>
      </c>
      <c r="L3" s="174">
        <f>VLOOKUP(A3,'Step 1'!$A:$E,4,FALSE)</f>
        <v>287723</v>
      </c>
      <c r="M3" s="47">
        <f t="shared" si="1"/>
        <v>61408</v>
      </c>
      <c r="N3" s="177">
        <f>SUMIFS('Support - Transition'!G:G,'Support - Transition'!J:J,'Step 2'!D3,'Support - Transition'!E:E,"2009 WELFARE ALLOCATION FACTOR")</f>
        <v>0.17400199999999999</v>
      </c>
      <c r="O3" s="152">
        <f t="shared" ref="O3:O66" si="9">ROUND(+N3*M3,0)</f>
        <v>10685</v>
      </c>
      <c r="P3" s="126">
        <f>IF(E3="Y",0,SUMIFS('Support - Transition'!G:G,'Support - Transition'!J:J,'Step 2'!D3,'Support - Transition'!E:E,"2009 SCHOOL ALLOCATION FACTOR"))</f>
        <v>0</v>
      </c>
      <c r="Q3" s="126">
        <f>IF(E3="Y",VLOOKUP(D3,'Support - Unit Adjustments'!F:G,2,FALSE),0)</f>
        <v>0</v>
      </c>
      <c r="R3" s="155">
        <f t="shared" si="2"/>
        <v>0</v>
      </c>
      <c r="S3" s="47">
        <f t="shared" ref="S3:S66" si="10">ROUND(+P3*M3,0)</f>
        <v>0</v>
      </c>
      <c r="T3" s="151">
        <f t="shared" si="3"/>
        <v>50723</v>
      </c>
      <c r="U3" s="151">
        <f t="shared" si="4"/>
        <v>0</v>
      </c>
      <c r="V3" s="139">
        <f t="shared" si="5"/>
        <v>0</v>
      </c>
      <c r="W3" s="152">
        <f t="shared" ref="W3:W66" si="11">+T3-V3</f>
        <v>50723</v>
      </c>
      <c r="X3" s="127" t="str">
        <f t="shared" si="6"/>
        <v/>
      </c>
      <c r="Y3" s="207">
        <f t="shared" ref="Y3:Y66" si="12">W3</f>
        <v>50723</v>
      </c>
      <c r="Z3" s="139">
        <f t="shared" ref="Z3:Z66" si="13">IFERROR(IF(B3="2",ROUND(Y3*G3/I3,0),Y3),0)</f>
        <v>50723</v>
      </c>
      <c r="AA3" s="139">
        <f t="shared" ref="AA3:AA66" si="14">+Y3-Z3</f>
        <v>0</v>
      </c>
      <c r="AC3" s="47">
        <f t="shared" ref="AC3:AC66" si="15">ROUND(Y3/2,0)</f>
        <v>25362</v>
      </c>
      <c r="AD3" s="47">
        <f t="shared" ref="AD3:AD66" si="16">ROUND(Z3/2,0)</f>
        <v>25362</v>
      </c>
      <c r="AE3" s="47">
        <f t="shared" ref="AE3:AE66" si="17">ROUND(AA3/2,0)</f>
        <v>0</v>
      </c>
      <c r="AG3" s="47">
        <f t="shared" ref="AG3:AG66" si="18">+Y3-AC3</f>
        <v>25361</v>
      </c>
      <c r="AH3" s="47">
        <f t="shared" ref="AH3:AH66" si="19">+Z3-AD3</f>
        <v>25361</v>
      </c>
      <c r="AI3" s="208">
        <f t="shared" ref="AI3:AI66" si="20">+AA3-AE3</f>
        <v>0</v>
      </c>
    </row>
    <row r="4" spans="1:35">
      <c r="A4" t="s">
        <v>2095</v>
      </c>
      <c r="B4" t="s">
        <v>3142</v>
      </c>
      <c r="C4" t="s">
        <v>2188</v>
      </c>
      <c r="D4" t="s">
        <v>3143</v>
      </c>
      <c r="F4" t="s">
        <v>9</v>
      </c>
      <c r="G4" s="126">
        <f>SUMIFS('Support - Transition'!F:F,'Support - Transition'!B:B,'Step 2'!A4,'Support - Transition'!C:C,'Step 2'!B4,'Support - Transition'!D:D,'Step 2'!C4,'Support - Transition'!E:E,"CIVIL")</f>
        <v>2.2499999999999999E-4</v>
      </c>
      <c r="H4" s="126">
        <f>SUMIFS('Support - Transition'!F:F,'Support - Transition'!B:B,'Step 2'!A4,'Support - Transition'!C:C,'Step 2'!B4,'Support - Transition'!D:D,'Step 2'!C4,'Support - Transition'!E:E,"FIRE")</f>
        <v>5.3999999999999998E-5</v>
      </c>
      <c r="I4" s="126">
        <f>IF(B4="0",SUMIFS('Support - Transition'!F:F,'Support - Transition'!J:J,'Step 2'!D4,'Support - Transition'!E:E,"STATE UNIT"),SUMIFS('Support - Transition'!F:F,'Support - Transition'!J:J,'Step 2'!D4))</f>
        <v>2.7900000000000001E-4</v>
      </c>
      <c r="J4" s="126">
        <f>SUMIFS('Support - Unit Adjustments'!E:E,'Support - Unit Adjustments'!F:F,'Step 2'!D4)</f>
        <v>0</v>
      </c>
      <c r="K4" s="126">
        <f t="shared" si="0"/>
        <v>2.7900000000000001E-4</v>
      </c>
      <c r="L4" s="174">
        <f>VLOOKUP(A4,'Step 1'!$A:$E,4,FALSE)</f>
        <v>287723</v>
      </c>
      <c r="M4" s="47">
        <f t="shared" si="1"/>
        <v>80</v>
      </c>
      <c r="N4" s="177">
        <f>SUMIFS('Support - Transition'!G:G,'Support - Transition'!J:J,'Step 2'!D4,'Support - Transition'!E:E,"2009 WELFARE ALLOCATION FACTOR")</f>
        <v>0</v>
      </c>
      <c r="O4" s="152">
        <f t="shared" si="9"/>
        <v>0</v>
      </c>
      <c r="P4" s="126">
        <f>IF(E4="Y",0,SUMIFS('Support - Transition'!G:G,'Support - Transition'!J:J,'Step 2'!D4,'Support - Transition'!E:E,"2009 SCHOOL ALLOCATION FACTOR"))</f>
        <v>0</v>
      </c>
      <c r="Q4" s="126">
        <f>IF(E4="Y",VLOOKUP(D4,'Support - Unit Adjustments'!F:G,2,FALSE),0)</f>
        <v>0</v>
      </c>
      <c r="R4" s="155">
        <f t="shared" si="2"/>
        <v>0</v>
      </c>
      <c r="S4" s="47">
        <f t="shared" si="10"/>
        <v>0</v>
      </c>
      <c r="T4" s="151">
        <f t="shared" si="3"/>
        <v>80</v>
      </c>
      <c r="U4" s="151">
        <f t="shared" si="4"/>
        <v>0</v>
      </c>
      <c r="V4" s="139">
        <f t="shared" si="5"/>
        <v>0</v>
      </c>
      <c r="W4" s="152">
        <f t="shared" si="11"/>
        <v>80</v>
      </c>
      <c r="X4" s="127" t="str">
        <f t="shared" si="6"/>
        <v/>
      </c>
      <c r="Y4" s="207">
        <f t="shared" si="12"/>
        <v>80</v>
      </c>
      <c r="Z4" s="139">
        <f t="shared" si="13"/>
        <v>65</v>
      </c>
      <c r="AA4" s="139">
        <f t="shared" si="14"/>
        <v>15</v>
      </c>
      <c r="AC4" s="47">
        <f t="shared" si="15"/>
        <v>40</v>
      </c>
      <c r="AD4" s="47">
        <f t="shared" si="16"/>
        <v>33</v>
      </c>
      <c r="AE4" s="47">
        <f t="shared" si="17"/>
        <v>8</v>
      </c>
      <c r="AG4" s="47">
        <f t="shared" si="18"/>
        <v>40</v>
      </c>
      <c r="AH4" s="47">
        <f t="shared" si="19"/>
        <v>32</v>
      </c>
      <c r="AI4" s="208">
        <f t="shared" si="20"/>
        <v>7</v>
      </c>
    </row>
    <row r="5" spans="1:35">
      <c r="A5" t="s">
        <v>2095</v>
      </c>
      <c r="B5" t="s">
        <v>3142</v>
      </c>
      <c r="C5" t="s">
        <v>2189</v>
      </c>
      <c r="D5" t="s">
        <v>3144</v>
      </c>
      <c r="F5" t="s">
        <v>12</v>
      </c>
      <c r="G5" s="126">
        <f>SUMIFS('Support - Transition'!F:F,'Support - Transition'!B:B,'Step 2'!A5,'Support - Transition'!C:C,'Step 2'!B5,'Support - Transition'!D:D,'Step 2'!C5,'Support - Transition'!E:E,"CIVIL")</f>
        <v>1.042E-3</v>
      </c>
      <c r="H5" s="126">
        <f>SUMIFS('Support - Transition'!F:F,'Support - Transition'!B:B,'Step 2'!A5,'Support - Transition'!C:C,'Step 2'!B5,'Support - Transition'!D:D,'Step 2'!C5,'Support - Transition'!E:E,"FIRE")</f>
        <v>4.15E-4</v>
      </c>
      <c r="I5" s="126">
        <f>IF(B5="0",SUMIFS('Support - Transition'!F:F,'Support - Transition'!J:J,'Step 2'!D5,'Support - Transition'!E:E,"STATE UNIT"),SUMIFS('Support - Transition'!F:F,'Support - Transition'!J:J,'Step 2'!D5))</f>
        <v>1.457E-3</v>
      </c>
      <c r="J5" s="126">
        <f>SUMIFS('Support - Unit Adjustments'!E:E,'Support - Unit Adjustments'!F:F,'Step 2'!D5)</f>
        <v>0</v>
      </c>
      <c r="K5" s="126">
        <f t="shared" si="0"/>
        <v>1.457E-3</v>
      </c>
      <c r="L5" s="174">
        <f>VLOOKUP(A5,'Step 1'!$A:$E,4,FALSE)</f>
        <v>287723</v>
      </c>
      <c r="M5" s="47">
        <f t="shared" si="1"/>
        <v>419</v>
      </c>
      <c r="N5" s="177">
        <f>SUMIFS('Support - Transition'!G:G,'Support - Transition'!J:J,'Step 2'!D5,'Support - Transition'!E:E,"2009 WELFARE ALLOCATION FACTOR")</f>
        <v>0</v>
      </c>
      <c r="O5" s="152">
        <f t="shared" si="9"/>
        <v>0</v>
      </c>
      <c r="P5" s="126">
        <f>IF(E5="Y",0,SUMIFS('Support - Transition'!G:G,'Support - Transition'!J:J,'Step 2'!D5,'Support - Transition'!E:E,"2009 SCHOOL ALLOCATION FACTOR"))</f>
        <v>0</v>
      </c>
      <c r="Q5" s="126">
        <f>IF(E5="Y",VLOOKUP(D5,'Support - Unit Adjustments'!F:G,2,FALSE),0)</f>
        <v>0</v>
      </c>
      <c r="R5" s="155">
        <f t="shared" si="2"/>
        <v>0</v>
      </c>
      <c r="S5" s="47">
        <f t="shared" si="10"/>
        <v>0</v>
      </c>
      <c r="T5" s="151">
        <f t="shared" si="3"/>
        <v>419</v>
      </c>
      <c r="U5" s="151">
        <f t="shared" si="4"/>
        <v>0</v>
      </c>
      <c r="V5" s="139">
        <f t="shared" si="5"/>
        <v>0</v>
      </c>
      <c r="W5" s="152">
        <f t="shared" si="11"/>
        <v>419</v>
      </c>
      <c r="X5" s="127" t="str">
        <f t="shared" si="6"/>
        <v/>
      </c>
      <c r="Y5" s="207">
        <f t="shared" si="12"/>
        <v>419</v>
      </c>
      <c r="Z5" s="139">
        <f t="shared" si="13"/>
        <v>300</v>
      </c>
      <c r="AA5" s="139">
        <f t="shared" si="14"/>
        <v>119</v>
      </c>
      <c r="AC5" s="47">
        <f t="shared" si="15"/>
        <v>210</v>
      </c>
      <c r="AD5" s="47">
        <f t="shared" si="16"/>
        <v>150</v>
      </c>
      <c r="AE5" s="47">
        <f t="shared" si="17"/>
        <v>60</v>
      </c>
      <c r="AG5" s="47">
        <f t="shared" si="18"/>
        <v>209</v>
      </c>
      <c r="AH5" s="47">
        <f t="shared" si="19"/>
        <v>150</v>
      </c>
      <c r="AI5" s="208">
        <f t="shared" si="20"/>
        <v>59</v>
      </c>
    </row>
    <row r="6" spans="1:35">
      <c r="A6" t="s">
        <v>2095</v>
      </c>
      <c r="B6" t="s">
        <v>3142</v>
      </c>
      <c r="C6" t="s">
        <v>2190</v>
      </c>
      <c r="D6" t="s">
        <v>3145</v>
      </c>
      <c r="F6" t="s">
        <v>13</v>
      </c>
      <c r="G6" s="126">
        <f>SUMIFS('Support - Transition'!F:F,'Support - Transition'!B:B,'Step 2'!A6,'Support - Transition'!C:C,'Step 2'!B6,'Support - Transition'!D:D,'Step 2'!C6,'Support - Transition'!E:E,"CIVIL")</f>
        <v>3.39E-4</v>
      </c>
      <c r="H6" s="126">
        <f>SUMIFS('Support - Transition'!F:F,'Support - Transition'!B:B,'Step 2'!A6,'Support - Transition'!C:C,'Step 2'!B6,'Support - Transition'!D:D,'Step 2'!C6,'Support - Transition'!E:E,"FIRE")</f>
        <v>1.01E-4</v>
      </c>
      <c r="I6" s="126">
        <f>IF(B6="0",SUMIFS('Support - Transition'!F:F,'Support - Transition'!J:J,'Step 2'!D6,'Support - Transition'!E:E,"STATE UNIT"),SUMIFS('Support - Transition'!F:F,'Support - Transition'!J:J,'Step 2'!D6))</f>
        <v>4.4000000000000002E-4</v>
      </c>
      <c r="J6" s="126">
        <f>SUMIFS('Support - Unit Adjustments'!E:E,'Support - Unit Adjustments'!F:F,'Step 2'!D6)</f>
        <v>0</v>
      </c>
      <c r="K6" s="126">
        <f t="shared" si="0"/>
        <v>4.4000000000000002E-4</v>
      </c>
      <c r="L6" s="174">
        <f>VLOOKUP(A6,'Step 1'!$A:$E,4,FALSE)</f>
        <v>287723</v>
      </c>
      <c r="M6" s="47">
        <f t="shared" si="1"/>
        <v>127</v>
      </c>
      <c r="N6" s="177">
        <f>SUMIFS('Support - Transition'!G:G,'Support - Transition'!J:J,'Step 2'!D6,'Support - Transition'!E:E,"2009 WELFARE ALLOCATION FACTOR")</f>
        <v>0</v>
      </c>
      <c r="O6" s="152">
        <f t="shared" si="9"/>
        <v>0</v>
      </c>
      <c r="P6" s="126">
        <f>IF(E6="Y",0,SUMIFS('Support - Transition'!G:G,'Support - Transition'!J:J,'Step 2'!D6,'Support - Transition'!E:E,"2009 SCHOOL ALLOCATION FACTOR"))</f>
        <v>0</v>
      </c>
      <c r="Q6" s="126">
        <f>IF(E6="Y",VLOOKUP(D6,'Support - Unit Adjustments'!F:G,2,FALSE),0)</f>
        <v>0</v>
      </c>
      <c r="R6" s="155">
        <f t="shared" si="2"/>
        <v>0</v>
      </c>
      <c r="S6" s="47">
        <f t="shared" si="10"/>
        <v>0</v>
      </c>
      <c r="T6" s="151">
        <f t="shared" si="3"/>
        <v>127</v>
      </c>
      <c r="U6" s="151">
        <f t="shared" si="4"/>
        <v>0</v>
      </c>
      <c r="V6" s="139">
        <f t="shared" si="5"/>
        <v>0</v>
      </c>
      <c r="W6" s="152">
        <f t="shared" si="11"/>
        <v>127</v>
      </c>
      <c r="X6" s="127" t="str">
        <f t="shared" si="6"/>
        <v/>
      </c>
      <c r="Y6" s="207">
        <f t="shared" si="12"/>
        <v>127</v>
      </c>
      <c r="Z6" s="139">
        <f t="shared" si="13"/>
        <v>98</v>
      </c>
      <c r="AA6" s="139">
        <f t="shared" si="14"/>
        <v>29</v>
      </c>
      <c r="AC6" s="47">
        <f t="shared" si="15"/>
        <v>64</v>
      </c>
      <c r="AD6" s="47">
        <f t="shared" si="16"/>
        <v>49</v>
      </c>
      <c r="AE6" s="47">
        <f t="shared" si="17"/>
        <v>15</v>
      </c>
      <c r="AG6" s="47">
        <f t="shared" si="18"/>
        <v>63</v>
      </c>
      <c r="AH6" s="47">
        <f t="shared" si="19"/>
        <v>49</v>
      </c>
      <c r="AI6" s="208">
        <f t="shared" si="20"/>
        <v>14</v>
      </c>
    </row>
    <row r="7" spans="1:35">
      <c r="A7" t="s">
        <v>2095</v>
      </c>
      <c r="B7" t="s">
        <v>3142</v>
      </c>
      <c r="C7" t="s">
        <v>2191</v>
      </c>
      <c r="D7" t="s">
        <v>3146</v>
      </c>
      <c r="F7" t="s">
        <v>14</v>
      </c>
      <c r="G7" s="126">
        <f>SUMIFS('Support - Transition'!F:F,'Support - Transition'!B:B,'Step 2'!A7,'Support - Transition'!C:C,'Step 2'!B7,'Support - Transition'!D:D,'Step 2'!C7,'Support - Transition'!E:E,"CIVIL")</f>
        <v>1.46E-4</v>
      </c>
      <c r="H7" s="126">
        <f>SUMIFS('Support - Transition'!F:F,'Support - Transition'!B:B,'Step 2'!A7,'Support - Transition'!C:C,'Step 2'!B7,'Support - Transition'!D:D,'Step 2'!C7,'Support - Transition'!E:E,"FIRE")</f>
        <v>5.7000000000000003E-5</v>
      </c>
      <c r="I7" s="126">
        <f>IF(B7="0",SUMIFS('Support - Transition'!F:F,'Support - Transition'!J:J,'Step 2'!D7,'Support - Transition'!E:E,"STATE UNIT"),SUMIFS('Support - Transition'!F:F,'Support - Transition'!J:J,'Step 2'!D7))</f>
        <v>2.03E-4</v>
      </c>
      <c r="J7" s="126">
        <f>SUMIFS('Support - Unit Adjustments'!E:E,'Support - Unit Adjustments'!F:F,'Step 2'!D7)</f>
        <v>0</v>
      </c>
      <c r="K7" s="126">
        <f t="shared" si="0"/>
        <v>2.03E-4</v>
      </c>
      <c r="L7" s="174">
        <f>VLOOKUP(A7,'Step 1'!$A:$E,4,FALSE)</f>
        <v>287723</v>
      </c>
      <c r="M7" s="47">
        <f t="shared" si="1"/>
        <v>58</v>
      </c>
      <c r="N7" s="177">
        <f>SUMIFS('Support - Transition'!G:G,'Support - Transition'!J:J,'Step 2'!D7,'Support - Transition'!E:E,"2009 WELFARE ALLOCATION FACTOR")</f>
        <v>0</v>
      </c>
      <c r="O7" s="152">
        <f t="shared" si="9"/>
        <v>0</v>
      </c>
      <c r="P7" s="126">
        <f>IF(E7="Y",0,SUMIFS('Support - Transition'!G:G,'Support - Transition'!J:J,'Step 2'!D7,'Support - Transition'!E:E,"2009 SCHOOL ALLOCATION FACTOR"))</f>
        <v>0</v>
      </c>
      <c r="Q7" s="126">
        <f>IF(E7="Y",VLOOKUP(D7,'Support - Unit Adjustments'!F:G,2,FALSE),0)</f>
        <v>0</v>
      </c>
      <c r="R7" s="155">
        <f t="shared" si="2"/>
        <v>0</v>
      </c>
      <c r="S7" s="47">
        <f t="shared" si="10"/>
        <v>0</v>
      </c>
      <c r="T7" s="151">
        <f t="shared" si="3"/>
        <v>58</v>
      </c>
      <c r="U7" s="151">
        <f t="shared" si="4"/>
        <v>0</v>
      </c>
      <c r="V7" s="139">
        <f t="shared" si="5"/>
        <v>0</v>
      </c>
      <c r="W7" s="152">
        <f t="shared" si="11"/>
        <v>58</v>
      </c>
      <c r="X7" s="127" t="str">
        <f t="shared" si="6"/>
        <v/>
      </c>
      <c r="Y7" s="207">
        <f t="shared" si="12"/>
        <v>58</v>
      </c>
      <c r="Z7" s="139">
        <f t="shared" si="13"/>
        <v>42</v>
      </c>
      <c r="AA7" s="139">
        <f t="shared" si="14"/>
        <v>16</v>
      </c>
      <c r="AC7" s="47">
        <f t="shared" si="15"/>
        <v>29</v>
      </c>
      <c r="AD7" s="47">
        <f t="shared" si="16"/>
        <v>21</v>
      </c>
      <c r="AE7" s="47">
        <f t="shared" si="17"/>
        <v>8</v>
      </c>
      <c r="AG7" s="47">
        <f t="shared" si="18"/>
        <v>29</v>
      </c>
      <c r="AH7" s="47">
        <f t="shared" si="19"/>
        <v>21</v>
      </c>
      <c r="AI7" s="208">
        <f t="shared" si="20"/>
        <v>8</v>
      </c>
    </row>
    <row r="8" spans="1:35">
      <c r="A8" t="s">
        <v>2095</v>
      </c>
      <c r="B8" t="s">
        <v>3142</v>
      </c>
      <c r="C8" t="s">
        <v>2192</v>
      </c>
      <c r="D8" t="s">
        <v>3147</v>
      </c>
      <c r="F8" t="s">
        <v>15</v>
      </c>
      <c r="G8" s="126">
        <f>SUMIFS('Support - Transition'!F:F,'Support - Transition'!B:B,'Step 2'!A8,'Support - Transition'!C:C,'Step 2'!B8,'Support - Transition'!D:D,'Step 2'!C8,'Support - Transition'!E:E,"CIVIL")</f>
        <v>5.3200000000000003E-4</v>
      </c>
      <c r="H8" s="126">
        <f>SUMIFS('Support - Transition'!F:F,'Support - Transition'!B:B,'Step 2'!A8,'Support - Transition'!C:C,'Step 2'!B8,'Support - Transition'!D:D,'Step 2'!C8,'Support - Transition'!E:E,"FIRE")</f>
        <v>2.7599999999999999E-4</v>
      </c>
      <c r="I8" s="126">
        <f>IF(B8="0",SUMIFS('Support - Transition'!F:F,'Support - Transition'!J:J,'Step 2'!D8,'Support - Transition'!E:E,"STATE UNIT"),SUMIFS('Support - Transition'!F:F,'Support - Transition'!J:J,'Step 2'!D8))</f>
        <v>8.0800000000000002E-4</v>
      </c>
      <c r="J8" s="126">
        <f>SUMIFS('Support - Unit Adjustments'!E:E,'Support - Unit Adjustments'!F:F,'Step 2'!D8)</f>
        <v>0</v>
      </c>
      <c r="K8" s="126">
        <f t="shared" si="0"/>
        <v>8.0800000000000002E-4</v>
      </c>
      <c r="L8" s="174">
        <f>VLOOKUP(A8,'Step 1'!$A:$E,4,FALSE)</f>
        <v>287723</v>
      </c>
      <c r="M8" s="47">
        <f t="shared" si="1"/>
        <v>232</v>
      </c>
      <c r="N8" s="177">
        <f>SUMIFS('Support - Transition'!G:G,'Support - Transition'!J:J,'Step 2'!D8,'Support - Transition'!E:E,"2009 WELFARE ALLOCATION FACTOR")</f>
        <v>0</v>
      </c>
      <c r="O8" s="152">
        <f t="shared" si="9"/>
        <v>0</v>
      </c>
      <c r="P8" s="126">
        <f>IF(E8="Y",0,SUMIFS('Support - Transition'!G:G,'Support - Transition'!J:J,'Step 2'!D8,'Support - Transition'!E:E,"2009 SCHOOL ALLOCATION FACTOR"))</f>
        <v>0</v>
      </c>
      <c r="Q8" s="126">
        <f>IF(E8="Y",VLOOKUP(D8,'Support - Unit Adjustments'!F:G,2,FALSE),0)</f>
        <v>0</v>
      </c>
      <c r="R8" s="155">
        <f t="shared" si="2"/>
        <v>0</v>
      </c>
      <c r="S8" s="47">
        <f t="shared" si="10"/>
        <v>0</v>
      </c>
      <c r="T8" s="151">
        <f t="shared" si="3"/>
        <v>232</v>
      </c>
      <c r="U8" s="151">
        <f t="shared" si="4"/>
        <v>0</v>
      </c>
      <c r="V8" s="139">
        <f t="shared" si="5"/>
        <v>0</v>
      </c>
      <c r="W8" s="152">
        <f t="shared" si="11"/>
        <v>232</v>
      </c>
      <c r="X8" s="127" t="str">
        <f t="shared" si="6"/>
        <v/>
      </c>
      <c r="Y8" s="207">
        <f t="shared" si="12"/>
        <v>232</v>
      </c>
      <c r="Z8" s="139">
        <f t="shared" si="13"/>
        <v>153</v>
      </c>
      <c r="AA8" s="139">
        <f t="shared" si="14"/>
        <v>79</v>
      </c>
      <c r="AC8" s="47">
        <f t="shared" si="15"/>
        <v>116</v>
      </c>
      <c r="AD8" s="47">
        <f t="shared" si="16"/>
        <v>77</v>
      </c>
      <c r="AE8" s="47">
        <f t="shared" si="17"/>
        <v>40</v>
      </c>
      <c r="AG8" s="47">
        <f t="shared" si="18"/>
        <v>116</v>
      </c>
      <c r="AH8" s="47">
        <f t="shared" si="19"/>
        <v>76</v>
      </c>
      <c r="AI8" s="208">
        <f t="shared" si="20"/>
        <v>39</v>
      </c>
    </row>
    <row r="9" spans="1:35">
      <c r="A9" t="s">
        <v>2095</v>
      </c>
      <c r="B9" t="s">
        <v>3142</v>
      </c>
      <c r="C9" t="s">
        <v>2193</v>
      </c>
      <c r="D9" t="s">
        <v>3148</v>
      </c>
      <c r="F9" t="s">
        <v>16</v>
      </c>
      <c r="G9" s="126">
        <f>SUMIFS('Support - Transition'!F:F,'Support - Transition'!B:B,'Step 2'!A9,'Support - Transition'!C:C,'Step 2'!B9,'Support - Transition'!D:D,'Step 2'!C9,'Support - Transition'!E:E,"CIVIL")</f>
        <v>1.634E-3</v>
      </c>
      <c r="H9" s="126">
        <f>SUMIFS('Support - Transition'!F:F,'Support - Transition'!B:B,'Step 2'!A9,'Support - Transition'!C:C,'Step 2'!B9,'Support - Transition'!D:D,'Step 2'!C9,'Support - Transition'!E:E,"FIRE")</f>
        <v>1.8699999999999999E-4</v>
      </c>
      <c r="I9" s="126">
        <f>IF(B9="0",SUMIFS('Support - Transition'!F:F,'Support - Transition'!J:J,'Step 2'!D9,'Support - Transition'!E:E,"STATE UNIT"),SUMIFS('Support - Transition'!F:F,'Support - Transition'!J:J,'Step 2'!D9))</f>
        <v>1.8210000000000001E-3</v>
      </c>
      <c r="J9" s="126">
        <f>SUMIFS('Support - Unit Adjustments'!E:E,'Support - Unit Adjustments'!F:F,'Step 2'!D9)</f>
        <v>0</v>
      </c>
      <c r="K9" s="126">
        <f t="shared" si="0"/>
        <v>1.8210000000000001E-3</v>
      </c>
      <c r="L9" s="174">
        <f>VLOOKUP(A9,'Step 1'!$A:$E,4,FALSE)</f>
        <v>287723</v>
      </c>
      <c r="M9" s="47">
        <f t="shared" si="1"/>
        <v>524</v>
      </c>
      <c r="N9" s="177">
        <f>SUMIFS('Support - Transition'!G:G,'Support - Transition'!J:J,'Step 2'!D9,'Support - Transition'!E:E,"2009 WELFARE ALLOCATION FACTOR")</f>
        <v>0</v>
      </c>
      <c r="O9" s="152">
        <f t="shared" si="9"/>
        <v>0</v>
      </c>
      <c r="P9" s="126">
        <f>IF(E9="Y",0,SUMIFS('Support - Transition'!G:G,'Support - Transition'!J:J,'Step 2'!D9,'Support - Transition'!E:E,"2009 SCHOOL ALLOCATION FACTOR"))</f>
        <v>0</v>
      </c>
      <c r="Q9" s="126">
        <f>IF(E9="Y",VLOOKUP(D9,'Support - Unit Adjustments'!F:G,2,FALSE),0)</f>
        <v>0</v>
      </c>
      <c r="R9" s="155">
        <f t="shared" si="2"/>
        <v>0</v>
      </c>
      <c r="S9" s="47">
        <f t="shared" si="10"/>
        <v>0</v>
      </c>
      <c r="T9" s="151">
        <f t="shared" si="3"/>
        <v>524</v>
      </c>
      <c r="U9" s="151">
        <f t="shared" si="4"/>
        <v>0</v>
      </c>
      <c r="V9" s="139">
        <f t="shared" si="5"/>
        <v>0</v>
      </c>
      <c r="W9" s="152">
        <f t="shared" si="11"/>
        <v>524</v>
      </c>
      <c r="X9" s="127" t="str">
        <f t="shared" si="6"/>
        <v/>
      </c>
      <c r="Y9" s="207">
        <f t="shared" si="12"/>
        <v>524</v>
      </c>
      <c r="Z9" s="139">
        <f t="shared" si="13"/>
        <v>470</v>
      </c>
      <c r="AA9" s="139">
        <f t="shared" si="14"/>
        <v>54</v>
      </c>
      <c r="AC9" s="47">
        <f t="shared" si="15"/>
        <v>262</v>
      </c>
      <c r="AD9" s="47">
        <f t="shared" si="16"/>
        <v>235</v>
      </c>
      <c r="AE9" s="47">
        <f t="shared" si="17"/>
        <v>27</v>
      </c>
      <c r="AG9" s="47">
        <f t="shared" si="18"/>
        <v>262</v>
      </c>
      <c r="AH9" s="47">
        <f t="shared" si="19"/>
        <v>235</v>
      </c>
      <c r="AI9" s="208">
        <f t="shared" si="20"/>
        <v>27</v>
      </c>
    </row>
    <row r="10" spans="1:35">
      <c r="A10" t="s">
        <v>2095</v>
      </c>
      <c r="B10" t="s">
        <v>3142</v>
      </c>
      <c r="C10" t="s">
        <v>2194</v>
      </c>
      <c r="D10" t="s">
        <v>3149</v>
      </c>
      <c r="F10" t="s">
        <v>17</v>
      </c>
      <c r="G10" s="126">
        <f>SUMIFS('Support - Transition'!F:F,'Support - Transition'!B:B,'Step 2'!A10,'Support - Transition'!C:C,'Step 2'!B10,'Support - Transition'!D:D,'Step 2'!C10,'Support - Transition'!E:E,"CIVIL")</f>
        <v>5.6099999999999998E-4</v>
      </c>
      <c r="H10" s="126">
        <f>SUMIFS('Support - Transition'!F:F,'Support - Transition'!B:B,'Step 2'!A10,'Support - Transition'!C:C,'Step 2'!B10,'Support - Transition'!D:D,'Step 2'!C10,'Support - Transition'!E:E,"FIRE")</f>
        <v>3.3300000000000002E-4</v>
      </c>
      <c r="I10" s="126">
        <f>IF(B10="0",SUMIFS('Support - Transition'!F:F,'Support - Transition'!J:J,'Step 2'!D10,'Support - Transition'!E:E,"STATE UNIT"),SUMIFS('Support - Transition'!F:F,'Support - Transition'!J:J,'Step 2'!D10))</f>
        <v>8.9400000000000005E-4</v>
      </c>
      <c r="J10" s="126">
        <f>SUMIFS('Support - Unit Adjustments'!E:E,'Support - Unit Adjustments'!F:F,'Step 2'!D10)</f>
        <v>0</v>
      </c>
      <c r="K10" s="126">
        <f t="shared" si="0"/>
        <v>8.9400000000000005E-4</v>
      </c>
      <c r="L10" s="174">
        <f>VLOOKUP(A10,'Step 1'!$A:$E,4,FALSE)</f>
        <v>287723</v>
      </c>
      <c r="M10" s="47">
        <f t="shared" si="1"/>
        <v>257</v>
      </c>
      <c r="N10" s="177">
        <f>SUMIFS('Support - Transition'!G:G,'Support - Transition'!J:J,'Step 2'!D10,'Support - Transition'!E:E,"2009 WELFARE ALLOCATION FACTOR")</f>
        <v>0</v>
      </c>
      <c r="O10" s="152">
        <f t="shared" si="9"/>
        <v>0</v>
      </c>
      <c r="P10" s="126">
        <f>IF(E10="Y",0,SUMIFS('Support - Transition'!G:G,'Support - Transition'!J:J,'Step 2'!D10,'Support - Transition'!E:E,"2009 SCHOOL ALLOCATION FACTOR"))</f>
        <v>0</v>
      </c>
      <c r="Q10" s="126">
        <f>IF(E10="Y",VLOOKUP(D10,'Support - Unit Adjustments'!F:G,2,FALSE),0)</f>
        <v>0</v>
      </c>
      <c r="R10" s="155">
        <f t="shared" si="2"/>
        <v>0</v>
      </c>
      <c r="S10" s="47">
        <f t="shared" si="10"/>
        <v>0</v>
      </c>
      <c r="T10" s="151">
        <f t="shared" si="3"/>
        <v>257</v>
      </c>
      <c r="U10" s="151">
        <f t="shared" si="4"/>
        <v>0</v>
      </c>
      <c r="V10" s="139">
        <f t="shared" si="5"/>
        <v>0</v>
      </c>
      <c r="W10" s="152">
        <f t="shared" si="11"/>
        <v>257</v>
      </c>
      <c r="X10" s="127" t="str">
        <f t="shared" si="6"/>
        <v/>
      </c>
      <c r="Y10" s="207">
        <f t="shared" si="12"/>
        <v>257</v>
      </c>
      <c r="Z10" s="139">
        <f t="shared" si="13"/>
        <v>161</v>
      </c>
      <c r="AA10" s="139">
        <f t="shared" si="14"/>
        <v>96</v>
      </c>
      <c r="AC10" s="47">
        <f t="shared" si="15"/>
        <v>129</v>
      </c>
      <c r="AD10" s="47">
        <f t="shared" si="16"/>
        <v>81</v>
      </c>
      <c r="AE10" s="47">
        <f t="shared" si="17"/>
        <v>48</v>
      </c>
      <c r="AG10" s="47">
        <f t="shared" si="18"/>
        <v>128</v>
      </c>
      <c r="AH10" s="47">
        <f t="shared" si="19"/>
        <v>80</v>
      </c>
      <c r="AI10" s="208">
        <f t="shared" si="20"/>
        <v>48</v>
      </c>
    </row>
    <row r="11" spans="1:35">
      <c r="A11" t="s">
        <v>2095</v>
      </c>
      <c r="B11" t="s">
        <v>3142</v>
      </c>
      <c r="C11" t="s">
        <v>2195</v>
      </c>
      <c r="D11" t="s">
        <v>3150</v>
      </c>
      <c r="F11" t="s">
        <v>18</v>
      </c>
      <c r="G11" s="126">
        <f>SUMIFS('Support - Transition'!F:F,'Support - Transition'!B:B,'Step 2'!A11,'Support - Transition'!C:C,'Step 2'!B11,'Support - Transition'!D:D,'Step 2'!C11,'Support - Transition'!E:E,"CIVIL")</f>
        <v>1.843E-3</v>
      </c>
      <c r="H11" s="126">
        <f>SUMIFS('Support - Transition'!F:F,'Support - Transition'!B:B,'Step 2'!A11,'Support - Transition'!C:C,'Step 2'!B11,'Support - Transition'!D:D,'Step 2'!C11,'Support - Transition'!E:E,"FIRE")</f>
        <v>1.27E-4</v>
      </c>
      <c r="I11" s="126">
        <f>IF(B11="0",SUMIFS('Support - Transition'!F:F,'Support - Transition'!J:J,'Step 2'!D11,'Support - Transition'!E:E,"STATE UNIT"),SUMIFS('Support - Transition'!F:F,'Support - Transition'!J:J,'Step 2'!D11))</f>
        <v>1.97E-3</v>
      </c>
      <c r="J11" s="126">
        <f>SUMIFS('Support - Unit Adjustments'!E:E,'Support - Unit Adjustments'!F:F,'Step 2'!D11)</f>
        <v>0</v>
      </c>
      <c r="K11" s="126">
        <f t="shared" si="0"/>
        <v>1.97E-3</v>
      </c>
      <c r="L11" s="174">
        <f>VLOOKUP(A11,'Step 1'!$A:$E,4,FALSE)</f>
        <v>287723</v>
      </c>
      <c r="M11" s="47">
        <f t="shared" si="1"/>
        <v>567</v>
      </c>
      <c r="N11" s="177">
        <f>SUMIFS('Support - Transition'!G:G,'Support - Transition'!J:J,'Step 2'!D11,'Support - Transition'!E:E,"2009 WELFARE ALLOCATION FACTOR")</f>
        <v>0</v>
      </c>
      <c r="O11" s="152">
        <f t="shared" si="9"/>
        <v>0</v>
      </c>
      <c r="P11" s="126">
        <f>IF(E11="Y",0,SUMIFS('Support - Transition'!G:G,'Support - Transition'!J:J,'Step 2'!D11,'Support - Transition'!E:E,"2009 SCHOOL ALLOCATION FACTOR"))</f>
        <v>0</v>
      </c>
      <c r="Q11" s="126">
        <f>IF(E11="Y",VLOOKUP(D11,'Support - Unit Adjustments'!F:G,2,FALSE),0)</f>
        <v>0</v>
      </c>
      <c r="R11" s="155">
        <f t="shared" si="2"/>
        <v>0</v>
      </c>
      <c r="S11" s="47">
        <f t="shared" si="10"/>
        <v>0</v>
      </c>
      <c r="T11" s="151">
        <f t="shared" si="3"/>
        <v>567</v>
      </c>
      <c r="U11" s="151">
        <f t="shared" si="4"/>
        <v>0</v>
      </c>
      <c r="V11" s="139">
        <f t="shared" si="5"/>
        <v>0</v>
      </c>
      <c r="W11" s="152">
        <f t="shared" si="11"/>
        <v>567</v>
      </c>
      <c r="X11" s="127" t="str">
        <f t="shared" si="6"/>
        <v/>
      </c>
      <c r="Y11" s="207">
        <f t="shared" si="12"/>
        <v>567</v>
      </c>
      <c r="Z11" s="139">
        <f t="shared" si="13"/>
        <v>530</v>
      </c>
      <c r="AA11" s="139">
        <f t="shared" si="14"/>
        <v>37</v>
      </c>
      <c r="AC11" s="47">
        <f t="shared" si="15"/>
        <v>284</v>
      </c>
      <c r="AD11" s="47">
        <f t="shared" si="16"/>
        <v>265</v>
      </c>
      <c r="AE11" s="47">
        <f t="shared" si="17"/>
        <v>19</v>
      </c>
      <c r="AG11" s="47">
        <f t="shared" si="18"/>
        <v>283</v>
      </c>
      <c r="AH11" s="47">
        <f t="shared" si="19"/>
        <v>265</v>
      </c>
      <c r="AI11" s="208">
        <f t="shared" si="20"/>
        <v>18</v>
      </c>
    </row>
    <row r="12" spans="1:35">
      <c r="A12" t="s">
        <v>2095</v>
      </c>
      <c r="B12" t="s">
        <v>3142</v>
      </c>
      <c r="C12" t="s">
        <v>2196</v>
      </c>
      <c r="D12" t="s">
        <v>3151</v>
      </c>
      <c r="F12" t="s">
        <v>19</v>
      </c>
      <c r="G12" s="126">
        <f>SUMIFS('Support - Transition'!F:F,'Support - Transition'!B:B,'Step 2'!A12,'Support - Transition'!C:C,'Step 2'!B12,'Support - Transition'!D:D,'Step 2'!C12,'Support - Transition'!E:E,"CIVIL")</f>
        <v>4.8099999999999998E-4</v>
      </c>
      <c r="H12" s="126">
        <f>SUMIFS('Support - Transition'!F:F,'Support - Transition'!B:B,'Step 2'!A12,'Support - Transition'!C:C,'Step 2'!B12,'Support - Transition'!D:D,'Step 2'!C12,'Support - Transition'!E:E,"FIRE")</f>
        <v>1.7100000000000001E-4</v>
      </c>
      <c r="I12" s="126">
        <f>IF(B12="0",SUMIFS('Support - Transition'!F:F,'Support - Transition'!J:J,'Step 2'!D12,'Support - Transition'!E:E,"STATE UNIT"),SUMIFS('Support - Transition'!F:F,'Support - Transition'!J:J,'Step 2'!D12))</f>
        <v>6.5200000000000002E-4</v>
      </c>
      <c r="J12" s="126">
        <f>SUMIFS('Support - Unit Adjustments'!E:E,'Support - Unit Adjustments'!F:F,'Step 2'!D12)</f>
        <v>0</v>
      </c>
      <c r="K12" s="126">
        <f t="shared" si="0"/>
        <v>6.5200000000000002E-4</v>
      </c>
      <c r="L12" s="174">
        <f>VLOOKUP(A12,'Step 1'!$A:$E,4,FALSE)</f>
        <v>287723</v>
      </c>
      <c r="M12" s="47">
        <f t="shared" si="1"/>
        <v>188</v>
      </c>
      <c r="N12" s="177">
        <f>SUMIFS('Support - Transition'!G:G,'Support - Transition'!J:J,'Step 2'!D12,'Support - Transition'!E:E,"2009 WELFARE ALLOCATION FACTOR")</f>
        <v>0</v>
      </c>
      <c r="O12" s="152">
        <f t="shared" si="9"/>
        <v>0</v>
      </c>
      <c r="P12" s="126">
        <f>IF(E12="Y",0,SUMIFS('Support - Transition'!G:G,'Support - Transition'!J:J,'Step 2'!D12,'Support - Transition'!E:E,"2009 SCHOOL ALLOCATION FACTOR"))</f>
        <v>0</v>
      </c>
      <c r="Q12" s="126">
        <f>IF(E12="Y",VLOOKUP(D12,'Support - Unit Adjustments'!F:G,2,FALSE),0)</f>
        <v>0</v>
      </c>
      <c r="R12" s="155">
        <f t="shared" si="2"/>
        <v>0</v>
      </c>
      <c r="S12" s="47">
        <f t="shared" si="10"/>
        <v>0</v>
      </c>
      <c r="T12" s="151">
        <f t="shared" si="3"/>
        <v>188</v>
      </c>
      <c r="U12" s="151">
        <f t="shared" si="4"/>
        <v>0</v>
      </c>
      <c r="V12" s="139">
        <f t="shared" si="5"/>
        <v>0</v>
      </c>
      <c r="W12" s="152">
        <f t="shared" si="11"/>
        <v>188</v>
      </c>
      <c r="X12" s="127" t="str">
        <f t="shared" si="6"/>
        <v/>
      </c>
      <c r="Y12" s="207">
        <f t="shared" si="12"/>
        <v>188</v>
      </c>
      <c r="Z12" s="139">
        <f t="shared" si="13"/>
        <v>139</v>
      </c>
      <c r="AA12" s="139">
        <f t="shared" si="14"/>
        <v>49</v>
      </c>
      <c r="AC12" s="47">
        <f t="shared" si="15"/>
        <v>94</v>
      </c>
      <c r="AD12" s="47">
        <f t="shared" si="16"/>
        <v>70</v>
      </c>
      <c r="AE12" s="47">
        <f t="shared" si="17"/>
        <v>25</v>
      </c>
      <c r="AG12" s="47">
        <f t="shared" si="18"/>
        <v>94</v>
      </c>
      <c r="AH12" s="47">
        <f t="shared" si="19"/>
        <v>69</v>
      </c>
      <c r="AI12" s="208">
        <f t="shared" si="20"/>
        <v>24</v>
      </c>
    </row>
    <row r="13" spans="1:35">
      <c r="A13" t="s">
        <v>2095</v>
      </c>
      <c r="B13" t="s">
        <v>3142</v>
      </c>
      <c r="C13" t="s">
        <v>2197</v>
      </c>
      <c r="D13" t="s">
        <v>3152</v>
      </c>
      <c r="F13" t="s">
        <v>20</v>
      </c>
      <c r="G13" s="126">
        <f>SUMIFS('Support - Transition'!F:F,'Support - Transition'!B:B,'Step 2'!A13,'Support - Transition'!C:C,'Step 2'!B13,'Support - Transition'!D:D,'Step 2'!C13,'Support - Transition'!E:E,"CIVIL")</f>
        <v>2.7599999999999999E-4</v>
      </c>
      <c r="H13" s="126">
        <f>SUMIFS('Support - Transition'!F:F,'Support - Transition'!B:B,'Step 2'!A13,'Support - Transition'!C:C,'Step 2'!B13,'Support - Transition'!D:D,'Step 2'!C13,'Support - Transition'!E:E,"FIRE")</f>
        <v>6.9999999999999994E-5</v>
      </c>
      <c r="I13" s="126">
        <f>IF(B13="0",SUMIFS('Support - Transition'!F:F,'Support - Transition'!J:J,'Step 2'!D13,'Support - Transition'!E:E,"STATE UNIT"),SUMIFS('Support - Transition'!F:F,'Support - Transition'!J:J,'Step 2'!D13))</f>
        <v>3.4599999999999995E-4</v>
      </c>
      <c r="J13" s="126">
        <f>SUMIFS('Support - Unit Adjustments'!E:E,'Support - Unit Adjustments'!F:F,'Step 2'!D13)</f>
        <v>0</v>
      </c>
      <c r="K13" s="126">
        <f t="shared" si="0"/>
        <v>3.4599999999999995E-4</v>
      </c>
      <c r="L13" s="174">
        <f>VLOOKUP(A13,'Step 1'!$A:$E,4,FALSE)</f>
        <v>287723</v>
      </c>
      <c r="M13" s="47">
        <f t="shared" si="1"/>
        <v>100</v>
      </c>
      <c r="N13" s="177">
        <f>SUMIFS('Support - Transition'!G:G,'Support - Transition'!J:J,'Step 2'!D13,'Support - Transition'!E:E,"2009 WELFARE ALLOCATION FACTOR")</f>
        <v>0</v>
      </c>
      <c r="O13" s="152">
        <f t="shared" si="9"/>
        <v>0</v>
      </c>
      <c r="P13" s="126">
        <f>IF(E13="Y",0,SUMIFS('Support - Transition'!G:G,'Support - Transition'!J:J,'Step 2'!D13,'Support - Transition'!E:E,"2009 SCHOOL ALLOCATION FACTOR"))</f>
        <v>0</v>
      </c>
      <c r="Q13" s="126">
        <f>IF(E13="Y",VLOOKUP(D13,'Support - Unit Adjustments'!F:G,2,FALSE),0)</f>
        <v>0</v>
      </c>
      <c r="R13" s="155">
        <f t="shared" si="2"/>
        <v>0</v>
      </c>
      <c r="S13" s="47">
        <f t="shared" si="10"/>
        <v>0</v>
      </c>
      <c r="T13" s="151">
        <f t="shared" si="3"/>
        <v>100</v>
      </c>
      <c r="U13" s="151">
        <f t="shared" si="4"/>
        <v>0</v>
      </c>
      <c r="V13" s="139">
        <f t="shared" si="5"/>
        <v>0</v>
      </c>
      <c r="W13" s="152">
        <f t="shared" si="11"/>
        <v>100</v>
      </c>
      <c r="X13" s="127" t="str">
        <f t="shared" si="6"/>
        <v/>
      </c>
      <c r="Y13" s="207">
        <f t="shared" si="12"/>
        <v>100</v>
      </c>
      <c r="Z13" s="139">
        <f t="shared" si="13"/>
        <v>80</v>
      </c>
      <c r="AA13" s="139">
        <f t="shared" si="14"/>
        <v>20</v>
      </c>
      <c r="AC13" s="47">
        <f t="shared" si="15"/>
        <v>50</v>
      </c>
      <c r="AD13" s="47">
        <f t="shared" si="16"/>
        <v>40</v>
      </c>
      <c r="AE13" s="47">
        <f t="shared" si="17"/>
        <v>10</v>
      </c>
      <c r="AG13" s="47">
        <f t="shared" si="18"/>
        <v>50</v>
      </c>
      <c r="AH13" s="47">
        <f t="shared" si="19"/>
        <v>40</v>
      </c>
      <c r="AI13" s="208">
        <f t="shared" si="20"/>
        <v>10</v>
      </c>
    </row>
    <row r="14" spans="1:35">
      <c r="A14" t="s">
        <v>2095</v>
      </c>
      <c r="B14" t="s">
        <v>3142</v>
      </c>
      <c r="C14" t="s">
        <v>2198</v>
      </c>
      <c r="D14" t="s">
        <v>3153</v>
      </c>
      <c r="F14" t="s">
        <v>21</v>
      </c>
      <c r="G14" s="126">
        <f>SUMIFS('Support - Transition'!F:F,'Support - Transition'!B:B,'Step 2'!A14,'Support - Transition'!C:C,'Step 2'!B14,'Support - Transition'!D:D,'Step 2'!C14,'Support - Transition'!E:E,"CIVIL")</f>
        <v>2.5300000000000002E-4</v>
      </c>
      <c r="H14" s="126">
        <f>SUMIFS('Support - Transition'!F:F,'Support - Transition'!B:B,'Step 2'!A14,'Support - Transition'!C:C,'Step 2'!B14,'Support - Transition'!D:D,'Step 2'!C14,'Support - Transition'!E:E,"FIRE")</f>
        <v>1.5999999999999999E-5</v>
      </c>
      <c r="I14" s="126">
        <f>IF(B14="0",SUMIFS('Support - Transition'!F:F,'Support - Transition'!J:J,'Step 2'!D14,'Support - Transition'!E:E,"STATE UNIT"),SUMIFS('Support - Transition'!F:F,'Support - Transition'!J:J,'Step 2'!D14))</f>
        <v>2.6900000000000003E-4</v>
      </c>
      <c r="J14" s="126">
        <f>SUMIFS('Support - Unit Adjustments'!E:E,'Support - Unit Adjustments'!F:F,'Step 2'!D14)</f>
        <v>0</v>
      </c>
      <c r="K14" s="126">
        <f t="shared" si="0"/>
        <v>2.6900000000000003E-4</v>
      </c>
      <c r="L14" s="174">
        <f>VLOOKUP(A14,'Step 1'!$A:$E,4,FALSE)</f>
        <v>287723</v>
      </c>
      <c r="M14" s="47">
        <f t="shared" si="1"/>
        <v>77</v>
      </c>
      <c r="N14" s="177">
        <f>SUMIFS('Support - Transition'!G:G,'Support - Transition'!J:J,'Step 2'!D14,'Support - Transition'!E:E,"2009 WELFARE ALLOCATION FACTOR")</f>
        <v>0</v>
      </c>
      <c r="O14" s="152">
        <f t="shared" si="9"/>
        <v>0</v>
      </c>
      <c r="P14" s="126">
        <f>IF(E14="Y",0,SUMIFS('Support - Transition'!G:G,'Support - Transition'!J:J,'Step 2'!D14,'Support - Transition'!E:E,"2009 SCHOOL ALLOCATION FACTOR"))</f>
        <v>0</v>
      </c>
      <c r="Q14" s="126">
        <f>IF(E14="Y",VLOOKUP(D14,'Support - Unit Adjustments'!F:G,2,FALSE),0)</f>
        <v>0</v>
      </c>
      <c r="R14" s="155">
        <f t="shared" si="2"/>
        <v>0</v>
      </c>
      <c r="S14" s="47">
        <f t="shared" si="10"/>
        <v>0</v>
      </c>
      <c r="T14" s="151">
        <f t="shared" si="3"/>
        <v>77</v>
      </c>
      <c r="U14" s="151">
        <f t="shared" si="4"/>
        <v>0</v>
      </c>
      <c r="V14" s="139">
        <f t="shared" si="5"/>
        <v>0</v>
      </c>
      <c r="W14" s="152">
        <f t="shared" si="11"/>
        <v>77</v>
      </c>
      <c r="X14" s="127" t="str">
        <f t="shared" si="6"/>
        <v/>
      </c>
      <c r="Y14" s="207">
        <f t="shared" si="12"/>
        <v>77</v>
      </c>
      <c r="Z14" s="139">
        <f t="shared" si="13"/>
        <v>72</v>
      </c>
      <c r="AA14" s="139">
        <f t="shared" si="14"/>
        <v>5</v>
      </c>
      <c r="AC14" s="47">
        <f t="shared" si="15"/>
        <v>39</v>
      </c>
      <c r="AD14" s="47">
        <f t="shared" si="16"/>
        <v>36</v>
      </c>
      <c r="AE14" s="47">
        <f t="shared" si="17"/>
        <v>3</v>
      </c>
      <c r="AG14" s="47">
        <f t="shared" si="18"/>
        <v>38</v>
      </c>
      <c r="AH14" s="47">
        <f t="shared" si="19"/>
        <v>36</v>
      </c>
      <c r="AI14" s="208">
        <f t="shared" si="20"/>
        <v>2</v>
      </c>
    </row>
    <row r="15" spans="1:35">
      <c r="A15" t="s">
        <v>2095</v>
      </c>
      <c r="B15" t="s">
        <v>3142</v>
      </c>
      <c r="C15" t="s">
        <v>2199</v>
      </c>
      <c r="D15" t="s">
        <v>3154</v>
      </c>
      <c r="F15" t="s">
        <v>22</v>
      </c>
      <c r="G15" s="126">
        <f>SUMIFS('Support - Transition'!F:F,'Support - Transition'!B:B,'Step 2'!A15,'Support - Transition'!C:C,'Step 2'!B15,'Support - Transition'!D:D,'Step 2'!C15,'Support - Transition'!E:E,"CIVIL")</f>
        <v>7.2880000000000002E-3</v>
      </c>
      <c r="H15" s="126">
        <f>SUMIFS('Support - Transition'!F:F,'Support - Transition'!B:B,'Step 2'!A15,'Support - Transition'!C:C,'Step 2'!B15,'Support - Transition'!D:D,'Step 2'!C15,'Support - Transition'!E:E,"FIRE")</f>
        <v>2.72E-4</v>
      </c>
      <c r="I15" s="126">
        <f>IF(B15="0",SUMIFS('Support - Transition'!F:F,'Support - Transition'!J:J,'Step 2'!D15,'Support - Transition'!E:E,"STATE UNIT"),SUMIFS('Support - Transition'!F:F,'Support - Transition'!J:J,'Step 2'!D15))</f>
        <v>7.5599999999999999E-3</v>
      </c>
      <c r="J15" s="126">
        <f>SUMIFS('Support - Unit Adjustments'!E:E,'Support - Unit Adjustments'!F:F,'Step 2'!D15)</f>
        <v>0</v>
      </c>
      <c r="K15" s="126">
        <f t="shared" si="0"/>
        <v>7.5599999999999999E-3</v>
      </c>
      <c r="L15" s="174">
        <f>VLOOKUP(A15,'Step 1'!$A:$E,4,FALSE)</f>
        <v>287723</v>
      </c>
      <c r="M15" s="47">
        <f t="shared" si="1"/>
        <v>2175</v>
      </c>
      <c r="N15" s="177">
        <f>SUMIFS('Support - Transition'!G:G,'Support - Transition'!J:J,'Step 2'!D15,'Support - Transition'!E:E,"2009 WELFARE ALLOCATION FACTOR")</f>
        <v>0</v>
      </c>
      <c r="O15" s="152">
        <f t="shared" si="9"/>
        <v>0</v>
      </c>
      <c r="P15" s="126">
        <f>IF(E15="Y",0,SUMIFS('Support - Transition'!G:G,'Support - Transition'!J:J,'Step 2'!D15,'Support - Transition'!E:E,"2009 SCHOOL ALLOCATION FACTOR"))</f>
        <v>0</v>
      </c>
      <c r="Q15" s="126">
        <f>IF(E15="Y",VLOOKUP(D15,'Support - Unit Adjustments'!F:G,2,FALSE),0)</f>
        <v>0</v>
      </c>
      <c r="R15" s="155">
        <f t="shared" si="2"/>
        <v>0</v>
      </c>
      <c r="S15" s="47">
        <f t="shared" si="10"/>
        <v>0</v>
      </c>
      <c r="T15" s="151">
        <f t="shared" si="3"/>
        <v>2175</v>
      </c>
      <c r="U15" s="151">
        <f t="shared" si="4"/>
        <v>0</v>
      </c>
      <c r="V15" s="139">
        <f t="shared" si="5"/>
        <v>0</v>
      </c>
      <c r="W15" s="152">
        <f t="shared" si="11"/>
        <v>2175</v>
      </c>
      <c r="X15" s="127" t="str">
        <f t="shared" si="6"/>
        <v/>
      </c>
      <c r="Y15" s="207">
        <f t="shared" si="12"/>
        <v>2175</v>
      </c>
      <c r="Z15" s="139">
        <f t="shared" si="13"/>
        <v>2097</v>
      </c>
      <c r="AA15" s="139">
        <f t="shared" si="14"/>
        <v>78</v>
      </c>
      <c r="AC15" s="47">
        <f t="shared" si="15"/>
        <v>1088</v>
      </c>
      <c r="AD15" s="47">
        <f t="shared" si="16"/>
        <v>1049</v>
      </c>
      <c r="AE15" s="47">
        <f t="shared" si="17"/>
        <v>39</v>
      </c>
      <c r="AG15" s="47">
        <f t="shared" si="18"/>
        <v>1087</v>
      </c>
      <c r="AH15" s="47">
        <f t="shared" si="19"/>
        <v>1048</v>
      </c>
      <c r="AI15" s="208">
        <f t="shared" si="20"/>
        <v>39</v>
      </c>
    </row>
    <row r="16" spans="1:35">
      <c r="A16" t="s">
        <v>2095</v>
      </c>
      <c r="B16" t="s">
        <v>3155</v>
      </c>
      <c r="C16" t="s">
        <v>2200</v>
      </c>
      <c r="D16" t="s">
        <v>3156</v>
      </c>
      <c r="F16" t="s">
        <v>24</v>
      </c>
      <c r="G16" s="126">
        <f>SUMIFS('Support - Transition'!F:F,'Support - Transition'!B:B,'Step 2'!A16,'Support - Transition'!C:C,'Step 2'!B16,'Support - Transition'!D:D,'Step 2'!C16,'Support - Transition'!E:E,"CIVIL")</f>
        <v>0</v>
      </c>
      <c r="H16" s="126">
        <f>SUMIFS('Support - Transition'!F:F,'Support - Transition'!B:B,'Step 2'!A16,'Support - Transition'!C:C,'Step 2'!B16,'Support - Transition'!D:D,'Step 2'!C16,'Support - Transition'!E:E,"FIRE")</f>
        <v>0</v>
      </c>
      <c r="I16" s="126">
        <f>IF(B16="0",SUMIFS('Support - Transition'!F:F,'Support - Transition'!J:J,'Step 2'!D16,'Support - Transition'!E:E,"STATE UNIT"),SUMIFS('Support - Transition'!F:F,'Support - Transition'!J:J,'Step 2'!D16))</f>
        <v>9.1036000000000006E-2</v>
      </c>
      <c r="J16" s="126">
        <f>SUMIFS('Support - Unit Adjustments'!E:E,'Support - Unit Adjustments'!F:F,'Step 2'!D16)</f>
        <v>0</v>
      </c>
      <c r="K16" s="126">
        <f t="shared" si="0"/>
        <v>9.1036000000000006E-2</v>
      </c>
      <c r="L16" s="174">
        <f>VLOOKUP(A16,'Step 1'!$A:$E,4,FALSE)</f>
        <v>287723</v>
      </c>
      <c r="M16" s="47">
        <f t="shared" si="1"/>
        <v>26193</v>
      </c>
      <c r="N16" s="177">
        <f>SUMIFS('Support - Transition'!G:G,'Support - Transition'!J:J,'Step 2'!D16,'Support - Transition'!E:E,"2009 WELFARE ALLOCATION FACTOR")</f>
        <v>0</v>
      </c>
      <c r="O16" s="152">
        <f t="shared" si="9"/>
        <v>0</v>
      </c>
      <c r="P16" s="126">
        <f>IF(E16="Y",0,SUMIFS('Support - Transition'!G:G,'Support - Transition'!J:J,'Step 2'!D16,'Support - Transition'!E:E,"2009 SCHOOL ALLOCATION FACTOR"))</f>
        <v>0</v>
      </c>
      <c r="Q16" s="126">
        <f>IF(E16="Y",VLOOKUP(D16,'Support - Unit Adjustments'!F:G,2,FALSE),0)</f>
        <v>0</v>
      </c>
      <c r="R16" s="155">
        <f t="shared" si="2"/>
        <v>0</v>
      </c>
      <c r="S16" s="47">
        <f t="shared" si="10"/>
        <v>0</v>
      </c>
      <c r="T16" s="151">
        <f t="shared" si="3"/>
        <v>26193</v>
      </c>
      <c r="U16" s="151">
        <f t="shared" si="4"/>
        <v>0</v>
      </c>
      <c r="V16" s="139">
        <f t="shared" si="5"/>
        <v>0</v>
      </c>
      <c r="W16" s="152">
        <f t="shared" si="11"/>
        <v>26193</v>
      </c>
      <c r="X16" s="127" t="str">
        <f t="shared" si="6"/>
        <v/>
      </c>
      <c r="Y16" s="207">
        <f t="shared" si="12"/>
        <v>26193</v>
      </c>
      <c r="Z16" s="139">
        <f t="shared" si="13"/>
        <v>26193</v>
      </c>
      <c r="AA16" s="139">
        <f t="shared" si="14"/>
        <v>0</v>
      </c>
      <c r="AC16" s="47">
        <f t="shared" si="15"/>
        <v>13097</v>
      </c>
      <c r="AD16" s="47">
        <f t="shared" si="16"/>
        <v>13097</v>
      </c>
      <c r="AE16" s="47">
        <f t="shared" si="17"/>
        <v>0</v>
      </c>
      <c r="AG16" s="47">
        <f t="shared" si="18"/>
        <v>13096</v>
      </c>
      <c r="AH16" s="47">
        <f t="shared" si="19"/>
        <v>13096</v>
      </c>
      <c r="AI16" s="208">
        <f t="shared" si="20"/>
        <v>0</v>
      </c>
    </row>
    <row r="17" spans="1:35">
      <c r="A17" t="s">
        <v>2095</v>
      </c>
      <c r="B17" t="s">
        <v>3155</v>
      </c>
      <c r="C17" t="s">
        <v>2201</v>
      </c>
      <c r="D17" t="s">
        <v>3157</v>
      </c>
      <c r="F17" t="s">
        <v>23</v>
      </c>
      <c r="G17" s="126">
        <f>SUMIFS('Support - Transition'!F:F,'Support - Transition'!B:B,'Step 2'!A17,'Support - Transition'!C:C,'Step 2'!B17,'Support - Transition'!D:D,'Step 2'!C17,'Support - Transition'!E:E,"CIVIL")</f>
        <v>0</v>
      </c>
      <c r="H17" s="126">
        <f>SUMIFS('Support - Transition'!F:F,'Support - Transition'!B:B,'Step 2'!A17,'Support - Transition'!C:C,'Step 2'!B17,'Support - Transition'!D:D,'Step 2'!C17,'Support - Transition'!E:E,"FIRE")</f>
        <v>0</v>
      </c>
      <c r="I17" s="126">
        <f>IF(B17="0",SUMIFS('Support - Transition'!F:F,'Support - Transition'!J:J,'Step 2'!D17,'Support - Transition'!E:E,"STATE UNIT"),SUMIFS('Support - Transition'!F:F,'Support - Transition'!J:J,'Step 2'!D17))</f>
        <v>3.4845000000000001E-2</v>
      </c>
      <c r="J17" s="126">
        <f>SUMIFS('Support - Unit Adjustments'!E:E,'Support - Unit Adjustments'!F:F,'Step 2'!D17)</f>
        <v>0</v>
      </c>
      <c r="K17" s="126">
        <f t="shared" si="0"/>
        <v>3.4845000000000001E-2</v>
      </c>
      <c r="L17" s="174">
        <f>VLOOKUP(A17,'Step 1'!$A:$E,4,FALSE)</f>
        <v>287723</v>
      </c>
      <c r="M17" s="47">
        <f t="shared" si="1"/>
        <v>10026</v>
      </c>
      <c r="N17" s="177">
        <f>SUMIFS('Support - Transition'!G:G,'Support - Transition'!J:J,'Step 2'!D17,'Support - Transition'!E:E,"2009 WELFARE ALLOCATION FACTOR")</f>
        <v>0</v>
      </c>
      <c r="O17" s="152">
        <f t="shared" si="9"/>
        <v>0</v>
      </c>
      <c r="P17" s="126">
        <f>IF(E17="Y",0,SUMIFS('Support - Transition'!G:G,'Support - Transition'!J:J,'Step 2'!D17,'Support - Transition'!E:E,"2009 SCHOOL ALLOCATION FACTOR"))</f>
        <v>0</v>
      </c>
      <c r="Q17" s="126">
        <f>IF(E17="Y",VLOOKUP(D17,'Support - Unit Adjustments'!F:G,2,FALSE),0)</f>
        <v>0</v>
      </c>
      <c r="R17" s="155">
        <f t="shared" si="2"/>
        <v>0</v>
      </c>
      <c r="S17" s="47">
        <f t="shared" si="10"/>
        <v>0</v>
      </c>
      <c r="T17" s="151">
        <f t="shared" si="3"/>
        <v>10026</v>
      </c>
      <c r="U17" s="151">
        <f t="shared" si="4"/>
        <v>0</v>
      </c>
      <c r="V17" s="139">
        <f t="shared" si="5"/>
        <v>0</v>
      </c>
      <c r="W17" s="152">
        <f t="shared" si="11"/>
        <v>10026</v>
      </c>
      <c r="X17" s="127" t="str">
        <f t="shared" si="6"/>
        <v/>
      </c>
      <c r="Y17" s="207">
        <f t="shared" si="12"/>
        <v>10026</v>
      </c>
      <c r="Z17" s="139">
        <f t="shared" si="13"/>
        <v>10026</v>
      </c>
      <c r="AA17" s="139">
        <f t="shared" si="14"/>
        <v>0</v>
      </c>
      <c r="AC17" s="47">
        <f t="shared" si="15"/>
        <v>5013</v>
      </c>
      <c r="AD17" s="47">
        <f t="shared" si="16"/>
        <v>5013</v>
      </c>
      <c r="AE17" s="47">
        <f t="shared" si="17"/>
        <v>0</v>
      </c>
      <c r="AG17" s="47">
        <f t="shared" si="18"/>
        <v>5013</v>
      </c>
      <c r="AH17" s="47">
        <f t="shared" si="19"/>
        <v>5013</v>
      </c>
      <c r="AI17" s="208">
        <f t="shared" si="20"/>
        <v>0</v>
      </c>
    </row>
    <row r="18" spans="1:35">
      <c r="A18" t="s">
        <v>2095</v>
      </c>
      <c r="B18" t="s">
        <v>3155</v>
      </c>
      <c r="C18" t="s">
        <v>2202</v>
      </c>
      <c r="D18" t="s">
        <v>3158</v>
      </c>
      <c r="F18" t="s">
        <v>25</v>
      </c>
      <c r="G18" s="126">
        <f>SUMIFS('Support - Transition'!F:F,'Support - Transition'!B:B,'Step 2'!A18,'Support - Transition'!C:C,'Step 2'!B18,'Support - Transition'!D:D,'Step 2'!C18,'Support - Transition'!E:E,"CIVIL")</f>
        <v>0</v>
      </c>
      <c r="H18" s="126">
        <f>SUMIFS('Support - Transition'!F:F,'Support - Transition'!B:B,'Step 2'!A18,'Support - Transition'!C:C,'Step 2'!B18,'Support - Transition'!D:D,'Step 2'!C18,'Support - Transition'!E:E,"FIRE")</f>
        <v>0</v>
      </c>
      <c r="I18" s="126">
        <f>IF(B18="0",SUMIFS('Support - Transition'!F:F,'Support - Transition'!J:J,'Step 2'!D18,'Support - Transition'!E:E,"STATE UNIT"),SUMIFS('Support - Transition'!F:F,'Support - Transition'!J:J,'Step 2'!D18))</f>
        <v>1.457E-3</v>
      </c>
      <c r="J18" s="126">
        <f>SUMIFS('Support - Unit Adjustments'!E:E,'Support - Unit Adjustments'!F:F,'Step 2'!D18)</f>
        <v>0</v>
      </c>
      <c r="K18" s="126">
        <f t="shared" si="0"/>
        <v>1.457E-3</v>
      </c>
      <c r="L18" s="174">
        <f>VLOOKUP(A18,'Step 1'!$A:$E,4,FALSE)</f>
        <v>287723</v>
      </c>
      <c r="M18" s="47">
        <f t="shared" si="1"/>
        <v>419</v>
      </c>
      <c r="N18" s="177">
        <f>SUMIFS('Support - Transition'!G:G,'Support - Transition'!J:J,'Step 2'!D18,'Support - Transition'!E:E,"2009 WELFARE ALLOCATION FACTOR")</f>
        <v>0</v>
      </c>
      <c r="O18" s="152">
        <f t="shared" si="9"/>
        <v>0</v>
      </c>
      <c r="P18" s="126">
        <f>IF(E18="Y",0,SUMIFS('Support - Transition'!G:G,'Support - Transition'!J:J,'Step 2'!D18,'Support - Transition'!E:E,"2009 SCHOOL ALLOCATION FACTOR"))</f>
        <v>0</v>
      </c>
      <c r="Q18" s="126">
        <f>IF(E18="Y",VLOOKUP(D18,'Support - Unit Adjustments'!F:G,2,FALSE),0)</f>
        <v>0</v>
      </c>
      <c r="R18" s="155">
        <f t="shared" si="2"/>
        <v>0</v>
      </c>
      <c r="S18" s="47">
        <f t="shared" si="10"/>
        <v>0</v>
      </c>
      <c r="T18" s="151">
        <f t="shared" si="3"/>
        <v>419</v>
      </c>
      <c r="U18" s="151">
        <f t="shared" si="4"/>
        <v>0</v>
      </c>
      <c r="V18" s="139">
        <f t="shared" si="5"/>
        <v>0</v>
      </c>
      <c r="W18" s="152">
        <f t="shared" si="11"/>
        <v>419</v>
      </c>
      <c r="X18" s="127" t="str">
        <f t="shared" si="6"/>
        <v/>
      </c>
      <c r="Y18" s="207">
        <f t="shared" si="12"/>
        <v>419</v>
      </c>
      <c r="Z18" s="139">
        <f t="shared" si="13"/>
        <v>419</v>
      </c>
      <c r="AA18" s="139">
        <f t="shared" si="14"/>
        <v>0</v>
      </c>
      <c r="AC18" s="47">
        <f t="shared" si="15"/>
        <v>210</v>
      </c>
      <c r="AD18" s="47">
        <f t="shared" si="16"/>
        <v>210</v>
      </c>
      <c r="AE18" s="47">
        <f t="shared" si="17"/>
        <v>0</v>
      </c>
      <c r="AG18" s="47">
        <f t="shared" si="18"/>
        <v>209</v>
      </c>
      <c r="AH18" s="47">
        <f t="shared" si="19"/>
        <v>209</v>
      </c>
      <c r="AI18" s="208">
        <f t="shared" si="20"/>
        <v>0</v>
      </c>
    </row>
    <row r="19" spans="1:35">
      <c r="A19" t="s">
        <v>2095</v>
      </c>
      <c r="B19" t="s">
        <v>3155</v>
      </c>
      <c r="C19" t="s">
        <v>2203</v>
      </c>
      <c r="D19" t="s">
        <v>3159</v>
      </c>
      <c r="F19" t="s">
        <v>26</v>
      </c>
      <c r="G19" s="126">
        <f>SUMIFS('Support - Transition'!F:F,'Support - Transition'!B:B,'Step 2'!A19,'Support - Transition'!C:C,'Step 2'!B19,'Support - Transition'!D:D,'Step 2'!C19,'Support - Transition'!E:E,"CIVIL")</f>
        <v>0</v>
      </c>
      <c r="H19" s="126">
        <f>SUMIFS('Support - Transition'!F:F,'Support - Transition'!B:B,'Step 2'!A19,'Support - Transition'!C:C,'Step 2'!B19,'Support - Transition'!D:D,'Step 2'!C19,'Support - Transition'!E:E,"FIRE")</f>
        <v>0</v>
      </c>
      <c r="I19" s="126">
        <f>IF(B19="0",SUMIFS('Support - Transition'!F:F,'Support - Transition'!J:J,'Step 2'!D19,'Support - Transition'!E:E,"STATE UNIT"),SUMIFS('Support - Transition'!F:F,'Support - Transition'!J:J,'Step 2'!D19))</f>
        <v>6.0369999999999998E-3</v>
      </c>
      <c r="J19" s="126">
        <f>SUMIFS('Support - Unit Adjustments'!E:E,'Support - Unit Adjustments'!F:F,'Step 2'!D19)</f>
        <v>0</v>
      </c>
      <c r="K19" s="126">
        <f t="shared" si="0"/>
        <v>6.0369999999999998E-3</v>
      </c>
      <c r="L19" s="174">
        <f>VLOOKUP(A19,'Step 1'!$A:$E,4,FALSE)</f>
        <v>287723</v>
      </c>
      <c r="M19" s="47">
        <f t="shared" si="1"/>
        <v>1737</v>
      </c>
      <c r="N19" s="177">
        <f>SUMIFS('Support - Transition'!G:G,'Support - Transition'!J:J,'Step 2'!D19,'Support - Transition'!E:E,"2009 WELFARE ALLOCATION FACTOR")</f>
        <v>0</v>
      </c>
      <c r="O19" s="152">
        <f t="shared" si="9"/>
        <v>0</v>
      </c>
      <c r="P19" s="126">
        <f>IF(E19="Y",0,SUMIFS('Support - Transition'!G:G,'Support - Transition'!J:J,'Step 2'!D19,'Support - Transition'!E:E,"2009 SCHOOL ALLOCATION FACTOR"))</f>
        <v>0</v>
      </c>
      <c r="Q19" s="126">
        <f>IF(E19="Y",VLOOKUP(D19,'Support - Unit Adjustments'!F:G,2,FALSE),0)</f>
        <v>0</v>
      </c>
      <c r="R19" s="155">
        <f t="shared" si="2"/>
        <v>0</v>
      </c>
      <c r="S19" s="47">
        <f t="shared" si="10"/>
        <v>0</v>
      </c>
      <c r="T19" s="151">
        <f t="shared" si="3"/>
        <v>1737</v>
      </c>
      <c r="U19" s="151">
        <f t="shared" si="4"/>
        <v>0</v>
      </c>
      <c r="V19" s="139">
        <f t="shared" si="5"/>
        <v>0</v>
      </c>
      <c r="W19" s="152">
        <f t="shared" si="11"/>
        <v>1737</v>
      </c>
      <c r="X19" s="127" t="str">
        <f t="shared" si="6"/>
        <v/>
      </c>
      <c r="Y19" s="207">
        <f t="shared" si="12"/>
        <v>1737</v>
      </c>
      <c r="Z19" s="139">
        <f t="shared" si="13"/>
        <v>1737</v>
      </c>
      <c r="AA19" s="139">
        <f t="shared" si="14"/>
        <v>0</v>
      </c>
      <c r="AC19" s="47">
        <f t="shared" si="15"/>
        <v>869</v>
      </c>
      <c r="AD19" s="47">
        <f t="shared" si="16"/>
        <v>869</v>
      </c>
      <c r="AE19" s="47">
        <f t="shared" si="17"/>
        <v>0</v>
      </c>
      <c r="AG19" s="47">
        <f t="shared" si="18"/>
        <v>868</v>
      </c>
      <c r="AH19" s="47">
        <f t="shared" si="19"/>
        <v>868</v>
      </c>
      <c r="AI19" s="208">
        <f t="shared" si="20"/>
        <v>0</v>
      </c>
    </row>
    <row r="20" spans="1:35">
      <c r="A20" t="s">
        <v>2095</v>
      </c>
      <c r="B20" t="s">
        <v>3160</v>
      </c>
      <c r="C20" t="s">
        <v>2204</v>
      </c>
      <c r="D20" t="s">
        <v>3161</v>
      </c>
      <c r="F20" t="s">
        <v>3162</v>
      </c>
      <c r="G20" s="126">
        <f>SUMIFS('Support - Transition'!F:F,'Support - Transition'!B:B,'Step 2'!A20,'Support - Transition'!C:C,'Step 2'!B20,'Support - Transition'!D:D,'Step 2'!C20,'Support - Transition'!E:E,"CIVIL")</f>
        <v>0</v>
      </c>
      <c r="H20" s="126">
        <f>SUMIFS('Support - Transition'!F:F,'Support - Transition'!B:B,'Step 2'!A20,'Support - Transition'!C:C,'Step 2'!B20,'Support - Transition'!D:D,'Step 2'!C20,'Support - Transition'!E:E,"FIRE")</f>
        <v>0</v>
      </c>
      <c r="I20" s="126">
        <f>IF(B20="0",SUMIFS('Support - Transition'!F:F,'Support - Transition'!J:J,'Step 2'!D20,'Support - Transition'!E:E,"STATE UNIT"),SUMIFS('Support - Transition'!F:F,'Support - Transition'!J:J,'Step 2'!D20))</f>
        <v>0.13650200000000001</v>
      </c>
      <c r="J20" s="126">
        <f>SUMIFS('Support - Unit Adjustments'!E:E,'Support - Unit Adjustments'!F:F,'Step 2'!D20)</f>
        <v>0</v>
      </c>
      <c r="K20" s="126">
        <f t="shared" si="0"/>
        <v>0.13650200000000001</v>
      </c>
      <c r="L20" s="174">
        <f>VLOOKUP(A20,'Step 1'!$A:$E,4,FALSE)</f>
        <v>287723</v>
      </c>
      <c r="M20" s="47">
        <f t="shared" si="1"/>
        <v>39275</v>
      </c>
      <c r="N20" s="177">
        <f>SUMIFS('Support - Transition'!G:G,'Support - Transition'!J:J,'Step 2'!D20,'Support - Transition'!E:E,"2009 WELFARE ALLOCATION FACTOR")</f>
        <v>0</v>
      </c>
      <c r="O20" s="152">
        <f t="shared" si="9"/>
        <v>0</v>
      </c>
      <c r="P20" s="126">
        <f>IF(E20="Y",0,SUMIFS('Support - Transition'!G:G,'Support - Transition'!J:J,'Step 2'!D20,'Support - Transition'!E:E,"2009 SCHOOL ALLOCATION FACTOR"))</f>
        <v>0.51348400000000005</v>
      </c>
      <c r="Q20" s="126">
        <f>IF(E20="Y",VLOOKUP(D20,'Support - Unit Adjustments'!F:G,2,FALSE),0)</f>
        <v>0</v>
      </c>
      <c r="R20" s="155">
        <f t="shared" si="2"/>
        <v>0.51348400000000005</v>
      </c>
      <c r="S20" s="47">
        <f t="shared" si="10"/>
        <v>20167</v>
      </c>
      <c r="T20" s="151">
        <f t="shared" si="3"/>
        <v>19108</v>
      </c>
      <c r="U20" s="151">
        <f t="shared" si="4"/>
        <v>0</v>
      </c>
      <c r="V20" s="139">
        <f t="shared" si="5"/>
        <v>0</v>
      </c>
      <c r="W20" s="152">
        <f t="shared" si="11"/>
        <v>19108</v>
      </c>
      <c r="X20" s="127" t="str">
        <f t="shared" si="6"/>
        <v/>
      </c>
      <c r="Y20" s="207">
        <f t="shared" si="12"/>
        <v>19108</v>
      </c>
      <c r="Z20" s="139">
        <f t="shared" si="13"/>
        <v>19108</v>
      </c>
      <c r="AA20" s="139">
        <f t="shared" si="14"/>
        <v>0</v>
      </c>
      <c r="AC20" s="47">
        <f t="shared" si="15"/>
        <v>9554</v>
      </c>
      <c r="AD20" s="47">
        <f t="shared" si="16"/>
        <v>9554</v>
      </c>
      <c r="AE20" s="47">
        <f t="shared" si="17"/>
        <v>0</v>
      </c>
      <c r="AG20" s="47">
        <f t="shared" si="18"/>
        <v>9554</v>
      </c>
      <c r="AH20" s="47">
        <f t="shared" si="19"/>
        <v>9554</v>
      </c>
      <c r="AI20" s="208">
        <f t="shared" si="20"/>
        <v>0</v>
      </c>
    </row>
    <row r="21" spans="1:35">
      <c r="A21" t="s">
        <v>2095</v>
      </c>
      <c r="B21" t="s">
        <v>3160</v>
      </c>
      <c r="C21" t="s">
        <v>2205</v>
      </c>
      <c r="D21" t="s">
        <v>3163</v>
      </c>
      <c r="F21" t="s">
        <v>3164</v>
      </c>
      <c r="G21" s="126">
        <f>SUMIFS('Support - Transition'!F:F,'Support - Transition'!B:B,'Step 2'!A21,'Support - Transition'!C:C,'Step 2'!B21,'Support - Transition'!D:D,'Step 2'!C21,'Support - Transition'!E:E,"CIVIL")</f>
        <v>0</v>
      </c>
      <c r="H21" s="126">
        <f>SUMIFS('Support - Transition'!F:F,'Support - Transition'!B:B,'Step 2'!A21,'Support - Transition'!C:C,'Step 2'!B21,'Support - Transition'!D:D,'Step 2'!C21,'Support - Transition'!E:E,"FIRE")</f>
        <v>0</v>
      </c>
      <c r="I21" s="126">
        <f>IF(B21="0",SUMIFS('Support - Transition'!F:F,'Support - Transition'!J:J,'Step 2'!D21,'Support - Transition'!E:E,"STATE UNIT"),SUMIFS('Support - Transition'!F:F,'Support - Transition'!J:J,'Step 2'!D21))</f>
        <v>0.31000299999999997</v>
      </c>
      <c r="J21" s="126">
        <f>SUMIFS('Support - Unit Adjustments'!E:E,'Support - Unit Adjustments'!F:F,'Step 2'!D21)</f>
        <v>0</v>
      </c>
      <c r="K21" s="126">
        <f t="shared" si="0"/>
        <v>0.31000299999999997</v>
      </c>
      <c r="L21" s="174">
        <f>VLOOKUP(A21,'Step 1'!$A:$E,4,FALSE)</f>
        <v>287723</v>
      </c>
      <c r="M21" s="47">
        <f t="shared" si="1"/>
        <v>89195</v>
      </c>
      <c r="N21" s="177">
        <f>SUMIFS('Support - Transition'!G:G,'Support - Transition'!J:J,'Step 2'!D21,'Support - Transition'!E:E,"2009 WELFARE ALLOCATION FACTOR")</f>
        <v>0</v>
      </c>
      <c r="O21" s="152">
        <f t="shared" si="9"/>
        <v>0</v>
      </c>
      <c r="P21" s="126">
        <f>IF(E21="Y",0,SUMIFS('Support - Transition'!G:G,'Support - Transition'!J:J,'Step 2'!D21,'Support - Transition'!E:E,"2009 SCHOOL ALLOCATION FACTOR"))</f>
        <v>0.406918</v>
      </c>
      <c r="Q21" s="126">
        <f>IF(E21="Y",VLOOKUP(D21,'Support - Unit Adjustments'!F:G,2,FALSE),0)</f>
        <v>0</v>
      </c>
      <c r="R21" s="155">
        <f t="shared" si="2"/>
        <v>0.406918</v>
      </c>
      <c r="S21" s="47">
        <f t="shared" si="10"/>
        <v>36295</v>
      </c>
      <c r="T21" s="151">
        <f t="shared" si="3"/>
        <v>52900</v>
      </c>
      <c r="U21" s="151">
        <f t="shared" si="4"/>
        <v>0</v>
      </c>
      <c r="V21" s="139">
        <f t="shared" si="5"/>
        <v>0</v>
      </c>
      <c r="W21" s="152">
        <f t="shared" si="11"/>
        <v>52900</v>
      </c>
      <c r="X21" s="127" t="str">
        <f t="shared" si="6"/>
        <v/>
      </c>
      <c r="Y21" s="207">
        <f t="shared" si="12"/>
        <v>52900</v>
      </c>
      <c r="Z21" s="139">
        <f t="shared" si="13"/>
        <v>52900</v>
      </c>
      <c r="AA21" s="139">
        <f t="shared" si="14"/>
        <v>0</v>
      </c>
      <c r="AC21" s="47">
        <f t="shared" si="15"/>
        <v>26450</v>
      </c>
      <c r="AD21" s="47">
        <f t="shared" si="16"/>
        <v>26450</v>
      </c>
      <c r="AE21" s="47">
        <f t="shared" si="17"/>
        <v>0</v>
      </c>
      <c r="AG21" s="47">
        <f t="shared" si="18"/>
        <v>26450</v>
      </c>
      <c r="AH21" s="47">
        <f t="shared" si="19"/>
        <v>26450</v>
      </c>
      <c r="AI21" s="208">
        <f t="shared" si="20"/>
        <v>0</v>
      </c>
    </row>
    <row r="22" spans="1:35">
      <c r="A22" t="s">
        <v>2095</v>
      </c>
      <c r="B22" t="s">
        <v>3160</v>
      </c>
      <c r="C22" t="s">
        <v>2206</v>
      </c>
      <c r="D22" t="s">
        <v>3165</v>
      </c>
      <c r="F22" t="s">
        <v>32</v>
      </c>
      <c r="G22" s="126">
        <f>SUMIFS('Support - Transition'!F:F,'Support - Transition'!B:B,'Step 2'!A22,'Support - Transition'!C:C,'Step 2'!B22,'Support - Transition'!D:D,'Step 2'!C22,'Support - Transition'!E:E,"CIVIL")</f>
        <v>0</v>
      </c>
      <c r="H22" s="126">
        <f>SUMIFS('Support - Transition'!F:F,'Support - Transition'!B:B,'Step 2'!A22,'Support - Transition'!C:C,'Step 2'!B22,'Support - Transition'!D:D,'Step 2'!C22,'Support - Transition'!E:E,"FIRE")</f>
        <v>0</v>
      </c>
      <c r="I22" s="126">
        <f>IF(B22="0",SUMIFS('Support - Transition'!F:F,'Support - Transition'!J:J,'Step 2'!D22,'Support - Transition'!E:E,"STATE UNIT"),SUMIFS('Support - Transition'!F:F,'Support - Transition'!J:J,'Step 2'!D22))</f>
        <v>0.14466399999999999</v>
      </c>
      <c r="J22" s="126">
        <f>SUMIFS('Support - Unit Adjustments'!E:E,'Support - Unit Adjustments'!F:F,'Step 2'!D22)</f>
        <v>0</v>
      </c>
      <c r="K22" s="126">
        <f t="shared" si="0"/>
        <v>0.14466399999999999</v>
      </c>
      <c r="L22" s="174">
        <f>VLOOKUP(A22,'Step 1'!$A:$E,4,FALSE)</f>
        <v>287723</v>
      </c>
      <c r="M22" s="47">
        <f t="shared" si="1"/>
        <v>41623</v>
      </c>
      <c r="N22" s="177">
        <f>SUMIFS('Support - Transition'!G:G,'Support - Transition'!J:J,'Step 2'!D22,'Support - Transition'!E:E,"2009 WELFARE ALLOCATION FACTOR")</f>
        <v>0</v>
      </c>
      <c r="O22" s="152">
        <f t="shared" si="9"/>
        <v>0</v>
      </c>
      <c r="P22" s="126">
        <f>IF(E22="Y",0,SUMIFS('Support - Transition'!G:G,'Support - Transition'!J:J,'Step 2'!D22,'Support - Transition'!E:E,"2009 SCHOOL ALLOCATION FACTOR"))</f>
        <v>0.45625399999999999</v>
      </c>
      <c r="Q22" s="126">
        <f>IF(E22="Y",VLOOKUP(D22,'Support - Unit Adjustments'!F:G,2,FALSE),0)</f>
        <v>0</v>
      </c>
      <c r="R22" s="155">
        <f t="shared" si="2"/>
        <v>0.45625399999999999</v>
      </c>
      <c r="S22" s="47">
        <f t="shared" si="10"/>
        <v>18991</v>
      </c>
      <c r="T22" s="151">
        <f t="shared" si="3"/>
        <v>22632</v>
      </c>
      <c r="U22" s="151">
        <f t="shared" si="4"/>
        <v>0</v>
      </c>
      <c r="V22" s="139">
        <f t="shared" si="5"/>
        <v>0</v>
      </c>
      <c r="W22" s="152">
        <f t="shared" si="11"/>
        <v>22632</v>
      </c>
      <c r="X22" s="127" t="str">
        <f t="shared" si="6"/>
        <v/>
      </c>
      <c r="Y22" s="207">
        <f t="shared" si="12"/>
        <v>22632</v>
      </c>
      <c r="Z22" s="139">
        <f t="shared" si="13"/>
        <v>22632</v>
      </c>
      <c r="AA22" s="139">
        <f t="shared" si="14"/>
        <v>0</v>
      </c>
      <c r="AC22" s="47">
        <f t="shared" si="15"/>
        <v>11316</v>
      </c>
      <c r="AD22" s="47">
        <f t="shared" si="16"/>
        <v>11316</v>
      </c>
      <c r="AE22" s="47">
        <f t="shared" si="17"/>
        <v>0</v>
      </c>
      <c r="AG22" s="47">
        <f t="shared" si="18"/>
        <v>11316</v>
      </c>
      <c r="AH22" s="47">
        <f t="shared" si="19"/>
        <v>11316</v>
      </c>
      <c r="AI22" s="208">
        <f t="shared" si="20"/>
        <v>0</v>
      </c>
    </row>
    <row r="23" spans="1:35">
      <c r="A23" t="s">
        <v>2095</v>
      </c>
      <c r="B23" t="s">
        <v>3166</v>
      </c>
      <c r="C23" t="s">
        <v>2188</v>
      </c>
      <c r="D23" t="s">
        <v>3167</v>
      </c>
      <c r="F23" t="s">
        <v>33</v>
      </c>
      <c r="G23" s="126">
        <f>SUMIFS('Support - Transition'!F:F,'Support - Transition'!B:B,'Step 2'!A23,'Support - Transition'!C:C,'Step 2'!B23,'Support - Transition'!D:D,'Step 2'!C23,'Support - Transition'!E:E,"CIVIL")</f>
        <v>0</v>
      </c>
      <c r="H23" s="126">
        <f>SUMIFS('Support - Transition'!F:F,'Support - Transition'!B:B,'Step 2'!A23,'Support - Transition'!C:C,'Step 2'!B23,'Support - Transition'!D:D,'Step 2'!C23,'Support - Transition'!E:E,"FIRE")</f>
        <v>0</v>
      </c>
      <c r="I23" s="126">
        <f>IF(B23="0",SUMIFS('Support - Transition'!F:F,'Support - Transition'!J:J,'Step 2'!D23,'Support - Transition'!E:E,"STATE UNIT"),SUMIFS('Support - Transition'!F:F,'Support - Transition'!J:J,'Step 2'!D23))</f>
        <v>1.0836E-2</v>
      </c>
      <c r="J23" s="126">
        <f>SUMIFS('Support - Unit Adjustments'!E:E,'Support - Unit Adjustments'!F:F,'Step 2'!D23)</f>
        <v>0</v>
      </c>
      <c r="K23" s="126">
        <f t="shared" si="0"/>
        <v>1.0836E-2</v>
      </c>
      <c r="L23" s="174">
        <f>VLOOKUP(A23,'Step 1'!$A:$E,4,FALSE)</f>
        <v>287723</v>
      </c>
      <c r="M23" s="47">
        <f t="shared" si="1"/>
        <v>3118</v>
      </c>
      <c r="N23" s="177">
        <f>SUMIFS('Support - Transition'!G:G,'Support - Transition'!J:J,'Step 2'!D23,'Support - Transition'!E:E,"2009 WELFARE ALLOCATION FACTOR")</f>
        <v>0</v>
      </c>
      <c r="O23" s="152">
        <f t="shared" si="9"/>
        <v>0</v>
      </c>
      <c r="P23" s="126">
        <f>IF(E23="Y",0,SUMIFS('Support - Transition'!G:G,'Support - Transition'!J:J,'Step 2'!D23,'Support - Transition'!E:E,"2009 SCHOOL ALLOCATION FACTOR"))</f>
        <v>0</v>
      </c>
      <c r="Q23" s="126">
        <f>IF(E23="Y",VLOOKUP(D23,'Support - Unit Adjustments'!F:G,2,FALSE),0)</f>
        <v>0</v>
      </c>
      <c r="R23" s="155">
        <f t="shared" si="2"/>
        <v>0</v>
      </c>
      <c r="S23" s="47">
        <f t="shared" si="10"/>
        <v>0</v>
      </c>
      <c r="T23" s="151">
        <f t="shared" si="3"/>
        <v>3118</v>
      </c>
      <c r="U23" s="151">
        <f t="shared" si="4"/>
        <v>0</v>
      </c>
      <c r="V23" s="139">
        <f t="shared" si="5"/>
        <v>0</v>
      </c>
      <c r="W23" s="152">
        <f t="shared" si="11"/>
        <v>3118</v>
      </c>
      <c r="X23" s="127" t="str">
        <f t="shared" si="6"/>
        <v/>
      </c>
      <c r="Y23" s="207">
        <f t="shared" si="12"/>
        <v>3118</v>
      </c>
      <c r="Z23" s="139">
        <f t="shared" si="13"/>
        <v>3118</v>
      </c>
      <c r="AA23" s="139">
        <f t="shared" si="14"/>
        <v>0</v>
      </c>
      <c r="AC23" s="47">
        <f t="shared" si="15"/>
        <v>1559</v>
      </c>
      <c r="AD23" s="47">
        <f t="shared" si="16"/>
        <v>1559</v>
      </c>
      <c r="AE23" s="47">
        <f t="shared" si="17"/>
        <v>0</v>
      </c>
      <c r="AG23" s="47">
        <f t="shared" si="18"/>
        <v>1559</v>
      </c>
      <c r="AH23" s="47">
        <f t="shared" si="19"/>
        <v>1559</v>
      </c>
      <c r="AI23" s="208">
        <f t="shared" si="20"/>
        <v>0</v>
      </c>
    </row>
    <row r="24" spans="1:35">
      <c r="A24" t="s">
        <v>2095</v>
      </c>
      <c r="B24" t="s">
        <v>3166</v>
      </c>
      <c r="C24" t="s">
        <v>2207</v>
      </c>
      <c r="D24" t="s">
        <v>3168</v>
      </c>
      <c r="F24" t="s">
        <v>3169</v>
      </c>
      <c r="G24" s="126">
        <f>SUMIFS('Support - Transition'!F:F,'Support - Transition'!B:B,'Step 2'!A24,'Support - Transition'!C:C,'Step 2'!B24,'Support - Transition'!D:D,'Step 2'!C24,'Support - Transition'!E:E,"CIVIL")</f>
        <v>0</v>
      </c>
      <c r="H24" s="126">
        <f>SUMIFS('Support - Transition'!F:F,'Support - Transition'!B:B,'Step 2'!A24,'Support - Transition'!C:C,'Step 2'!B24,'Support - Transition'!D:D,'Step 2'!C24,'Support - Transition'!E:E,"FIRE")</f>
        <v>0</v>
      </c>
      <c r="I24" s="126">
        <f>IF(B24="0",SUMIFS('Support - Transition'!F:F,'Support - Transition'!J:J,'Step 2'!D24,'Support - Transition'!E:E,"STATE UNIT"),SUMIFS('Support - Transition'!F:F,'Support - Transition'!J:J,'Step 2'!D24))</f>
        <v>1.6670000000000001E-2</v>
      </c>
      <c r="J24" s="126">
        <f>SUMIFS('Support - Unit Adjustments'!E:E,'Support - Unit Adjustments'!F:F,'Step 2'!D24)</f>
        <v>0</v>
      </c>
      <c r="K24" s="126">
        <f t="shared" si="0"/>
        <v>1.6670000000000001E-2</v>
      </c>
      <c r="L24" s="174">
        <f>VLOOKUP(A24,'Step 1'!$A:$E,4,FALSE)</f>
        <v>287723</v>
      </c>
      <c r="M24" s="47">
        <f t="shared" si="1"/>
        <v>4796</v>
      </c>
      <c r="N24" s="177">
        <f>SUMIFS('Support - Transition'!G:G,'Support - Transition'!J:J,'Step 2'!D24,'Support - Transition'!E:E,"2009 WELFARE ALLOCATION FACTOR")</f>
        <v>0</v>
      </c>
      <c r="O24" s="152">
        <f t="shared" si="9"/>
        <v>0</v>
      </c>
      <c r="P24" s="126">
        <f>IF(E24="Y",0,SUMIFS('Support - Transition'!G:G,'Support - Transition'!J:J,'Step 2'!D24,'Support - Transition'!E:E,"2009 SCHOOL ALLOCATION FACTOR"))</f>
        <v>0</v>
      </c>
      <c r="Q24" s="126">
        <f>IF(E24="Y",VLOOKUP(D24,'Support - Unit Adjustments'!F:G,2,FALSE),0)</f>
        <v>0</v>
      </c>
      <c r="R24" s="155">
        <f t="shared" si="2"/>
        <v>0</v>
      </c>
      <c r="S24" s="47">
        <f t="shared" si="10"/>
        <v>0</v>
      </c>
      <c r="T24" s="151">
        <f t="shared" si="3"/>
        <v>4796</v>
      </c>
      <c r="U24" s="151">
        <f t="shared" si="4"/>
        <v>0</v>
      </c>
      <c r="V24" s="139">
        <f t="shared" si="5"/>
        <v>0</v>
      </c>
      <c r="W24" s="152">
        <f t="shared" si="11"/>
        <v>4796</v>
      </c>
      <c r="X24" s="127" t="str">
        <f t="shared" si="6"/>
        <v/>
      </c>
      <c r="Y24" s="207">
        <f t="shared" si="12"/>
        <v>4796</v>
      </c>
      <c r="Z24" s="139">
        <f t="shared" si="13"/>
        <v>4796</v>
      </c>
      <c r="AA24" s="139">
        <f t="shared" si="14"/>
        <v>0</v>
      </c>
      <c r="AC24" s="47">
        <f t="shared" si="15"/>
        <v>2398</v>
      </c>
      <c r="AD24" s="47">
        <f t="shared" si="16"/>
        <v>2398</v>
      </c>
      <c r="AE24" s="47">
        <f t="shared" si="17"/>
        <v>0</v>
      </c>
      <c r="AG24" s="47">
        <f t="shared" si="18"/>
        <v>2398</v>
      </c>
      <c r="AH24" s="47">
        <f t="shared" si="19"/>
        <v>2398</v>
      </c>
      <c r="AI24" s="208">
        <f t="shared" si="20"/>
        <v>0</v>
      </c>
    </row>
    <row r="25" spans="1:35">
      <c r="A25" t="s">
        <v>2095</v>
      </c>
      <c r="B25" t="s">
        <v>3170</v>
      </c>
      <c r="C25" t="s">
        <v>3171</v>
      </c>
      <c r="D25" t="s">
        <v>3172</v>
      </c>
      <c r="F25" t="s">
        <v>36</v>
      </c>
      <c r="G25" s="126">
        <f>SUMIFS('Support - Transition'!F:F,'Support - Transition'!B:B,'Step 2'!A25,'Support - Transition'!C:C,'Step 2'!B25,'Support - Transition'!D:D,'Step 2'!C25,'Support - Transition'!E:E,"CIVIL")</f>
        <v>0</v>
      </c>
      <c r="H25" s="126">
        <f>SUMIFS('Support - Transition'!F:F,'Support - Transition'!B:B,'Step 2'!A25,'Support - Transition'!C:C,'Step 2'!B25,'Support - Transition'!D:D,'Step 2'!C25,'Support - Transition'!E:E,"FIRE")</f>
        <v>0</v>
      </c>
      <c r="I25" s="126">
        <f>IF(B25="0",SUMIFS('Support - Transition'!F:F,'Support - Transition'!J:J,'Step 2'!D25,'Support - Transition'!E:E,"STATE UNIT"),SUMIFS('Support - Transition'!F:F,'Support - Transition'!J:J,'Step 2'!D25))</f>
        <v>1.6569999999999974E-2</v>
      </c>
      <c r="J25" s="126">
        <f>SUMIFS('Support - Unit Adjustments'!E:E,'Support - Unit Adjustments'!F:F,'Step 2'!D25)</f>
        <v>0</v>
      </c>
      <c r="K25" s="126">
        <f t="shared" si="0"/>
        <v>1.6569999999999974E-2</v>
      </c>
      <c r="L25" s="174">
        <f>VLOOKUP(A25,'Step 1'!$A:$E,4,FALSE)</f>
        <v>287723</v>
      </c>
      <c r="M25" s="47">
        <f t="shared" si="1"/>
        <v>4768</v>
      </c>
      <c r="N25" s="177">
        <f>SUMIFS('Support - Transition'!G:G,'Support - Transition'!J:J,'Step 2'!D25,'Support - Transition'!E:E,"2009 WELFARE ALLOCATION FACTOR")</f>
        <v>0</v>
      </c>
      <c r="O25" s="152">
        <f t="shared" si="9"/>
        <v>0</v>
      </c>
      <c r="P25" s="126">
        <f>IF(E25="Y",0,SUMIFS('Support - Transition'!G:G,'Support - Transition'!J:J,'Step 2'!D25,'Support - Transition'!E:E,"2009 SCHOOL ALLOCATION FACTOR"))</f>
        <v>0</v>
      </c>
      <c r="Q25" s="126">
        <f>IF(E25="Y",VLOOKUP(D25,'Support - Unit Adjustments'!F:G,2,FALSE),0)</f>
        <v>0</v>
      </c>
      <c r="R25" s="155">
        <f t="shared" si="2"/>
        <v>0</v>
      </c>
      <c r="S25" s="47">
        <f t="shared" si="10"/>
        <v>0</v>
      </c>
      <c r="T25" s="151">
        <f t="shared" si="3"/>
        <v>4768</v>
      </c>
      <c r="U25" s="151">
        <f t="shared" si="4"/>
        <v>0</v>
      </c>
      <c r="V25" s="139">
        <f t="shared" si="5"/>
        <v>0</v>
      </c>
      <c r="W25" s="152">
        <f t="shared" si="11"/>
        <v>4768</v>
      </c>
      <c r="X25" s="127" t="str">
        <f t="shared" si="6"/>
        <v/>
      </c>
      <c r="Y25" s="207">
        <f t="shared" si="12"/>
        <v>4768</v>
      </c>
      <c r="Z25" s="139">
        <f t="shared" si="13"/>
        <v>4768</v>
      </c>
      <c r="AA25" s="139">
        <f t="shared" si="14"/>
        <v>0</v>
      </c>
      <c r="AC25" s="47">
        <f t="shared" si="15"/>
        <v>2384</v>
      </c>
      <c r="AD25" s="47">
        <f t="shared" si="16"/>
        <v>2384</v>
      </c>
      <c r="AE25" s="47">
        <f t="shared" si="17"/>
        <v>0</v>
      </c>
      <c r="AG25" s="47">
        <f t="shared" si="18"/>
        <v>2384</v>
      </c>
      <c r="AH25" s="47">
        <f t="shared" si="19"/>
        <v>2384</v>
      </c>
      <c r="AI25" s="208">
        <f t="shared" si="20"/>
        <v>0</v>
      </c>
    </row>
    <row r="26" spans="1:35">
      <c r="A26" t="s">
        <v>2089</v>
      </c>
      <c r="B26" s="48" t="s">
        <v>6274</v>
      </c>
      <c r="C26" t="s">
        <v>2187</v>
      </c>
      <c r="D26" t="str">
        <f>A26&amp;B26&amp;C26</f>
        <v>0200000</v>
      </c>
      <c r="F26" t="s">
        <v>6276</v>
      </c>
      <c r="G26" s="126">
        <f>SUMIFS('Support - Transition'!F:F,'Support - Transition'!B:B,'Step 2'!A26,'Support - Transition'!C:C,'Step 2'!B26,'Support - Transition'!D:D,'Step 2'!C26,'Support - Transition'!E:E,"CIVIL")</f>
        <v>0</v>
      </c>
      <c r="H26" s="126">
        <f>SUMIFS('Support - Transition'!F:F,'Support - Transition'!B:B,'Step 2'!A26,'Support - Transition'!C:C,'Step 2'!B26,'Support - Transition'!D:D,'Step 2'!C26,'Support - Transition'!E:E,"FIRE")</f>
        <v>0</v>
      </c>
      <c r="I26" s="126">
        <f>IF(B26="0",SUMIFS('Support - Transition'!F:F,'Support - Transition'!J:J,'Step 2'!D26,'Support - Transition'!E:E,"STATE UNIT"),SUMIFS('Support - Transition'!F:F,'Support - Transition'!J:J,'Step 2'!D26))</f>
        <v>1.039E-3</v>
      </c>
      <c r="J26" s="126">
        <f>SUMIFS('Support - Unit Adjustments'!E:E,'Support - Unit Adjustments'!F:F,'Step 2'!D26)</f>
        <v>0</v>
      </c>
      <c r="K26" s="126">
        <f t="shared" si="0"/>
        <v>1.039E-3</v>
      </c>
      <c r="L26" s="174">
        <f>VLOOKUP(A26,'Step 1'!$A:$E,4,FALSE)</f>
        <v>3709709</v>
      </c>
      <c r="M26" s="47">
        <f t="shared" si="1"/>
        <v>3854</v>
      </c>
      <c r="N26" s="177">
        <f>SUMIFS('Support - Transition'!G:G,'Support - Transition'!J:J,'Step 2'!D26,'Support - Transition'!E:E,"2009 WELFARE ALLOCATION FACTOR")</f>
        <v>0</v>
      </c>
      <c r="O26" s="152">
        <f t="shared" si="9"/>
        <v>0</v>
      </c>
      <c r="P26" s="126">
        <f>IF(E26="Y",0,SUMIFS('Support - Transition'!G:G,'Support - Transition'!J:J,'Step 2'!D26,'Support - Transition'!E:E,"2009 SCHOOL ALLOCATION FACTOR"))</f>
        <v>0</v>
      </c>
      <c r="Q26" s="126">
        <f>IF(E26="Y",VLOOKUP(D26,'Support - Unit Adjustments'!F:G,2,FALSE),0)</f>
        <v>0</v>
      </c>
      <c r="R26" s="155">
        <f t="shared" si="2"/>
        <v>0</v>
      </c>
      <c r="S26" s="47">
        <f t="shared" si="10"/>
        <v>0</v>
      </c>
      <c r="T26" s="151">
        <f t="shared" si="3"/>
        <v>3854</v>
      </c>
      <c r="U26" s="151">
        <f t="shared" si="4"/>
        <v>3709709</v>
      </c>
      <c r="V26" s="139">
        <f t="shared" si="5"/>
        <v>0</v>
      </c>
      <c r="W26" s="152">
        <f t="shared" si="11"/>
        <v>3854</v>
      </c>
      <c r="X26" s="127">
        <f t="shared" si="6"/>
        <v>0</v>
      </c>
      <c r="Y26" s="207">
        <f t="shared" si="12"/>
        <v>3854</v>
      </c>
      <c r="Z26" s="139">
        <f t="shared" si="13"/>
        <v>3854</v>
      </c>
      <c r="AA26" s="139">
        <f t="shared" si="14"/>
        <v>0</v>
      </c>
      <c r="AC26" s="47">
        <f t="shared" si="15"/>
        <v>1927</v>
      </c>
      <c r="AD26" s="47">
        <f t="shared" si="16"/>
        <v>1927</v>
      </c>
      <c r="AE26" s="47">
        <f t="shared" si="17"/>
        <v>0</v>
      </c>
      <c r="AG26" s="47">
        <f t="shared" si="18"/>
        <v>1927</v>
      </c>
      <c r="AH26" s="47">
        <f t="shared" si="19"/>
        <v>1927</v>
      </c>
      <c r="AI26" s="208">
        <f t="shared" si="20"/>
        <v>0</v>
      </c>
    </row>
    <row r="27" spans="1:35">
      <c r="A27" t="s">
        <v>2089</v>
      </c>
      <c r="B27" t="s">
        <v>3140</v>
      </c>
      <c r="C27" t="s">
        <v>2187</v>
      </c>
      <c r="D27" t="s">
        <v>3173</v>
      </c>
      <c r="F27" t="s">
        <v>44</v>
      </c>
      <c r="G27" s="126">
        <f>SUMIFS('Support - Transition'!F:F,'Support - Transition'!B:B,'Step 2'!A27,'Support - Transition'!C:C,'Step 2'!B27,'Support - Transition'!D:D,'Step 2'!C27,'Support - Transition'!E:E,"CIVIL")</f>
        <v>0</v>
      </c>
      <c r="H27" s="126">
        <f>SUMIFS('Support - Transition'!F:F,'Support - Transition'!B:B,'Step 2'!A27,'Support - Transition'!C:C,'Step 2'!B27,'Support - Transition'!D:D,'Step 2'!C27,'Support - Transition'!E:E,"FIRE")</f>
        <v>0</v>
      </c>
      <c r="I27" s="126">
        <f>IF(B27="0",SUMIFS('Support - Transition'!F:F,'Support - Transition'!J:J,'Step 2'!D27,'Support - Transition'!E:E,"STATE UNIT"),SUMIFS('Support - Transition'!F:F,'Support - Transition'!J:J,'Step 2'!D27))</f>
        <v>0.18340300000000001</v>
      </c>
      <c r="J27" s="126">
        <f>SUMIFS('Support - Unit Adjustments'!E:E,'Support - Unit Adjustments'!F:F,'Step 2'!D27)</f>
        <v>0</v>
      </c>
      <c r="K27" s="126">
        <f t="shared" si="0"/>
        <v>0.18340300000000001</v>
      </c>
      <c r="L27" s="174">
        <f>VLOOKUP(A27,'Step 1'!$A:$E,4,FALSE)</f>
        <v>3709709</v>
      </c>
      <c r="M27" s="47">
        <f t="shared" si="1"/>
        <v>680372</v>
      </c>
      <c r="N27" s="177">
        <f>SUMIFS('Support - Transition'!G:G,'Support - Transition'!J:J,'Step 2'!D27,'Support - Transition'!E:E,"2009 WELFARE ALLOCATION FACTOR")</f>
        <v>0.28551700000000002</v>
      </c>
      <c r="O27" s="152">
        <f t="shared" si="9"/>
        <v>194258</v>
      </c>
      <c r="P27" s="126">
        <f>IF(E27="Y",0,SUMIFS('Support - Transition'!G:G,'Support - Transition'!J:J,'Step 2'!D27,'Support - Transition'!E:E,"2009 SCHOOL ALLOCATION FACTOR"))</f>
        <v>0</v>
      </c>
      <c r="Q27" s="126">
        <f>IF(E27="Y",VLOOKUP(D27,'Support - Unit Adjustments'!F:G,2,FALSE),0)</f>
        <v>0</v>
      </c>
      <c r="R27" s="155">
        <f t="shared" si="2"/>
        <v>0</v>
      </c>
      <c r="S27" s="47">
        <f t="shared" si="10"/>
        <v>0</v>
      </c>
      <c r="T27" s="151">
        <f t="shared" si="3"/>
        <v>486114</v>
      </c>
      <c r="U27" s="151">
        <f t="shared" si="4"/>
        <v>0</v>
      </c>
      <c r="V27" s="139">
        <f t="shared" si="5"/>
        <v>0</v>
      </c>
      <c r="W27" s="152">
        <f t="shared" si="11"/>
        <v>486114</v>
      </c>
      <c r="X27" s="127" t="str">
        <f t="shared" si="6"/>
        <v/>
      </c>
      <c r="Y27" s="207">
        <f t="shared" si="12"/>
        <v>486114</v>
      </c>
      <c r="Z27" s="139">
        <f t="shared" si="13"/>
        <v>486114</v>
      </c>
      <c r="AA27" s="139">
        <f t="shared" si="14"/>
        <v>0</v>
      </c>
      <c r="AC27" s="47">
        <f t="shared" si="15"/>
        <v>243057</v>
      </c>
      <c r="AD27" s="47">
        <f t="shared" si="16"/>
        <v>243057</v>
      </c>
      <c r="AE27" s="47">
        <f t="shared" si="17"/>
        <v>0</v>
      </c>
      <c r="AG27" s="47">
        <f t="shared" si="18"/>
        <v>243057</v>
      </c>
      <c r="AH27" s="47">
        <f t="shared" si="19"/>
        <v>243057</v>
      </c>
      <c r="AI27" s="208">
        <f t="shared" si="20"/>
        <v>0</v>
      </c>
    </row>
    <row r="28" spans="1:35">
      <c r="A28" t="s">
        <v>2089</v>
      </c>
      <c r="B28" t="s">
        <v>3142</v>
      </c>
      <c r="C28" t="s">
        <v>2188</v>
      </c>
      <c r="D28" t="s">
        <v>3174</v>
      </c>
      <c r="F28" t="s">
        <v>45</v>
      </c>
      <c r="G28" s="126">
        <f>SUMIFS('Support - Transition'!F:F,'Support - Transition'!B:B,'Step 2'!A28,'Support - Transition'!C:C,'Step 2'!B28,'Support - Transition'!D:D,'Step 2'!C28,'Support - Transition'!E:E,"CIVIL")</f>
        <v>2.7399999999999999E-4</v>
      </c>
      <c r="H28" s="126">
        <f>SUMIFS('Support - Transition'!F:F,'Support - Transition'!B:B,'Step 2'!A28,'Support - Transition'!C:C,'Step 2'!B28,'Support - Transition'!D:D,'Step 2'!C28,'Support - Transition'!E:E,"FIRE")</f>
        <v>4.8999999999999998E-5</v>
      </c>
      <c r="I28" s="126">
        <f>IF(B28="0",SUMIFS('Support - Transition'!F:F,'Support - Transition'!J:J,'Step 2'!D28,'Support - Transition'!E:E,"STATE UNIT"),SUMIFS('Support - Transition'!F:F,'Support - Transition'!J:J,'Step 2'!D28))</f>
        <v>3.2299999999999999E-4</v>
      </c>
      <c r="J28" s="126">
        <f>SUMIFS('Support - Unit Adjustments'!E:E,'Support - Unit Adjustments'!F:F,'Step 2'!D28)</f>
        <v>0</v>
      </c>
      <c r="K28" s="126">
        <f t="shared" si="0"/>
        <v>3.2299999999999999E-4</v>
      </c>
      <c r="L28" s="174">
        <f>VLOOKUP(A28,'Step 1'!$A:$E,4,FALSE)</f>
        <v>3709709</v>
      </c>
      <c r="M28" s="47">
        <f t="shared" si="1"/>
        <v>1198</v>
      </c>
      <c r="N28" s="177">
        <f>SUMIFS('Support - Transition'!G:G,'Support - Transition'!J:J,'Step 2'!D28,'Support - Transition'!E:E,"2009 WELFARE ALLOCATION FACTOR")</f>
        <v>0</v>
      </c>
      <c r="O28" s="152">
        <f t="shared" si="9"/>
        <v>0</v>
      </c>
      <c r="P28" s="126">
        <f>IF(E28="Y",0,SUMIFS('Support - Transition'!G:G,'Support - Transition'!J:J,'Step 2'!D28,'Support - Transition'!E:E,"2009 SCHOOL ALLOCATION FACTOR"))</f>
        <v>0</v>
      </c>
      <c r="Q28" s="126">
        <f>IF(E28="Y",VLOOKUP(D28,'Support - Unit Adjustments'!F:G,2,FALSE),0)</f>
        <v>0</v>
      </c>
      <c r="R28" s="155">
        <f t="shared" si="2"/>
        <v>0</v>
      </c>
      <c r="S28" s="47">
        <f t="shared" si="10"/>
        <v>0</v>
      </c>
      <c r="T28" s="151">
        <f t="shared" si="3"/>
        <v>1198</v>
      </c>
      <c r="U28" s="151">
        <f t="shared" si="4"/>
        <v>0</v>
      </c>
      <c r="V28" s="139">
        <f t="shared" si="5"/>
        <v>0</v>
      </c>
      <c r="W28" s="152">
        <f t="shared" si="11"/>
        <v>1198</v>
      </c>
      <c r="X28" s="127" t="str">
        <f t="shared" si="6"/>
        <v/>
      </c>
      <c r="Y28" s="207">
        <f t="shared" si="12"/>
        <v>1198</v>
      </c>
      <c r="Z28" s="139">
        <f t="shared" si="13"/>
        <v>1016</v>
      </c>
      <c r="AA28" s="139">
        <f t="shared" si="14"/>
        <v>182</v>
      </c>
      <c r="AC28" s="47">
        <f t="shared" si="15"/>
        <v>599</v>
      </c>
      <c r="AD28" s="47">
        <f t="shared" si="16"/>
        <v>508</v>
      </c>
      <c r="AE28" s="47">
        <f t="shared" si="17"/>
        <v>91</v>
      </c>
      <c r="AG28" s="47">
        <f t="shared" si="18"/>
        <v>599</v>
      </c>
      <c r="AH28" s="47">
        <f t="shared" si="19"/>
        <v>508</v>
      </c>
      <c r="AI28" s="208">
        <f t="shared" si="20"/>
        <v>91</v>
      </c>
    </row>
    <row r="29" spans="1:35">
      <c r="A29" t="s">
        <v>2089</v>
      </c>
      <c r="B29" t="s">
        <v>3142</v>
      </c>
      <c r="C29" t="s">
        <v>2189</v>
      </c>
      <c r="D29" t="s">
        <v>3175</v>
      </c>
      <c r="F29" t="s">
        <v>46</v>
      </c>
      <c r="G29" s="126">
        <f>SUMIFS('Support - Transition'!F:F,'Support - Transition'!B:B,'Step 2'!A29,'Support - Transition'!C:C,'Step 2'!B29,'Support - Transition'!D:D,'Step 2'!C29,'Support - Transition'!E:E,"CIVIL")</f>
        <v>2.6359999999999999E-3</v>
      </c>
      <c r="H29" s="126">
        <f>SUMIFS('Support - Transition'!F:F,'Support - Transition'!B:B,'Step 2'!A29,'Support - Transition'!C:C,'Step 2'!B29,'Support - Transition'!D:D,'Step 2'!C29,'Support - Transition'!E:E,"FIRE")</f>
        <v>8.6000000000000003E-5</v>
      </c>
      <c r="I29" s="126">
        <f>IF(B29="0",SUMIFS('Support - Transition'!F:F,'Support - Transition'!J:J,'Step 2'!D29,'Support - Transition'!E:E,"STATE UNIT"),SUMIFS('Support - Transition'!F:F,'Support - Transition'!J:J,'Step 2'!D29))</f>
        <v>2.722E-3</v>
      </c>
      <c r="J29" s="126">
        <f>SUMIFS('Support - Unit Adjustments'!E:E,'Support - Unit Adjustments'!F:F,'Step 2'!D29)</f>
        <v>0</v>
      </c>
      <c r="K29" s="126">
        <f t="shared" si="0"/>
        <v>2.722E-3</v>
      </c>
      <c r="L29" s="174">
        <f>VLOOKUP(A29,'Step 1'!$A:$E,4,FALSE)</f>
        <v>3709709</v>
      </c>
      <c r="M29" s="47">
        <f t="shared" si="1"/>
        <v>10098</v>
      </c>
      <c r="N29" s="177">
        <f>SUMIFS('Support - Transition'!G:G,'Support - Transition'!J:J,'Step 2'!D29,'Support - Transition'!E:E,"2009 WELFARE ALLOCATION FACTOR")</f>
        <v>0</v>
      </c>
      <c r="O29" s="152">
        <f t="shared" si="9"/>
        <v>0</v>
      </c>
      <c r="P29" s="126">
        <f>IF(E29="Y",0,SUMIFS('Support - Transition'!G:G,'Support - Transition'!J:J,'Step 2'!D29,'Support - Transition'!E:E,"2009 SCHOOL ALLOCATION FACTOR"))</f>
        <v>0</v>
      </c>
      <c r="Q29" s="126">
        <f>IF(E29="Y",VLOOKUP(D29,'Support - Unit Adjustments'!F:G,2,FALSE),0)</f>
        <v>0</v>
      </c>
      <c r="R29" s="155">
        <f t="shared" si="2"/>
        <v>0</v>
      </c>
      <c r="S29" s="47">
        <f t="shared" si="10"/>
        <v>0</v>
      </c>
      <c r="T29" s="151">
        <f t="shared" si="3"/>
        <v>10098</v>
      </c>
      <c r="U29" s="151">
        <f t="shared" si="4"/>
        <v>0</v>
      </c>
      <c r="V29" s="139">
        <f t="shared" si="5"/>
        <v>0</v>
      </c>
      <c r="W29" s="152">
        <f t="shared" si="11"/>
        <v>10098</v>
      </c>
      <c r="X29" s="127" t="str">
        <f t="shared" si="6"/>
        <v/>
      </c>
      <c r="Y29" s="207">
        <f t="shared" si="12"/>
        <v>10098</v>
      </c>
      <c r="Z29" s="139">
        <f t="shared" si="13"/>
        <v>9779</v>
      </c>
      <c r="AA29" s="139">
        <f t="shared" si="14"/>
        <v>319</v>
      </c>
      <c r="AC29" s="47">
        <f t="shared" si="15"/>
        <v>5049</v>
      </c>
      <c r="AD29" s="47">
        <f t="shared" si="16"/>
        <v>4890</v>
      </c>
      <c r="AE29" s="47">
        <f t="shared" si="17"/>
        <v>160</v>
      </c>
      <c r="AG29" s="47">
        <f t="shared" si="18"/>
        <v>5049</v>
      </c>
      <c r="AH29" s="47">
        <f t="shared" si="19"/>
        <v>4889</v>
      </c>
      <c r="AI29" s="208">
        <f t="shared" si="20"/>
        <v>159</v>
      </c>
    </row>
    <row r="30" spans="1:35">
      <c r="A30" t="s">
        <v>2089</v>
      </c>
      <c r="B30" t="s">
        <v>3142</v>
      </c>
      <c r="C30" t="s">
        <v>2190</v>
      </c>
      <c r="D30" t="s">
        <v>3176</v>
      </c>
      <c r="F30" t="s">
        <v>47</v>
      </c>
      <c r="G30" s="126">
        <f>SUMIFS('Support - Transition'!F:F,'Support - Transition'!B:B,'Step 2'!A30,'Support - Transition'!C:C,'Step 2'!B30,'Support - Transition'!D:D,'Step 2'!C30,'Support - Transition'!E:E,"CIVIL")</f>
        <v>9.7E-5</v>
      </c>
      <c r="H30" s="126">
        <f>SUMIFS('Support - Transition'!F:F,'Support - Transition'!B:B,'Step 2'!A30,'Support - Transition'!C:C,'Step 2'!B30,'Support - Transition'!D:D,'Step 2'!C30,'Support - Transition'!E:E,"FIRE")</f>
        <v>8.8999999999999995E-5</v>
      </c>
      <c r="I30" s="126">
        <f>IF(B30="0",SUMIFS('Support - Transition'!F:F,'Support - Transition'!J:J,'Step 2'!D30,'Support - Transition'!E:E,"STATE UNIT"),SUMIFS('Support - Transition'!F:F,'Support - Transition'!J:J,'Step 2'!D30))</f>
        <v>1.8599999999999999E-4</v>
      </c>
      <c r="J30" s="126">
        <f>SUMIFS('Support - Unit Adjustments'!E:E,'Support - Unit Adjustments'!F:F,'Step 2'!D30)</f>
        <v>0</v>
      </c>
      <c r="K30" s="126">
        <f t="shared" si="0"/>
        <v>1.8599999999999999E-4</v>
      </c>
      <c r="L30" s="174">
        <f>VLOOKUP(A30,'Step 1'!$A:$E,4,FALSE)</f>
        <v>3709709</v>
      </c>
      <c r="M30" s="47">
        <f t="shared" si="1"/>
        <v>690</v>
      </c>
      <c r="N30" s="177">
        <f>SUMIFS('Support - Transition'!G:G,'Support - Transition'!J:J,'Step 2'!D30,'Support - Transition'!E:E,"2009 WELFARE ALLOCATION FACTOR")</f>
        <v>0</v>
      </c>
      <c r="O30" s="152">
        <f t="shared" si="9"/>
        <v>0</v>
      </c>
      <c r="P30" s="126">
        <f>IF(E30="Y",0,SUMIFS('Support - Transition'!G:G,'Support - Transition'!J:J,'Step 2'!D30,'Support - Transition'!E:E,"2009 SCHOOL ALLOCATION FACTOR"))</f>
        <v>0</v>
      </c>
      <c r="Q30" s="126">
        <f>IF(E30="Y",VLOOKUP(D30,'Support - Unit Adjustments'!F:G,2,FALSE),0)</f>
        <v>0</v>
      </c>
      <c r="R30" s="155">
        <f t="shared" si="2"/>
        <v>0</v>
      </c>
      <c r="S30" s="47">
        <f t="shared" si="10"/>
        <v>0</v>
      </c>
      <c r="T30" s="151">
        <f t="shared" si="3"/>
        <v>690</v>
      </c>
      <c r="U30" s="151">
        <f t="shared" si="4"/>
        <v>0</v>
      </c>
      <c r="V30" s="139">
        <f t="shared" si="5"/>
        <v>0</v>
      </c>
      <c r="W30" s="152">
        <f t="shared" si="11"/>
        <v>690</v>
      </c>
      <c r="X30" s="127" t="str">
        <f t="shared" si="6"/>
        <v/>
      </c>
      <c r="Y30" s="207">
        <f t="shared" si="12"/>
        <v>690</v>
      </c>
      <c r="Z30" s="139">
        <f t="shared" si="13"/>
        <v>360</v>
      </c>
      <c r="AA30" s="139">
        <f t="shared" si="14"/>
        <v>330</v>
      </c>
      <c r="AC30" s="47">
        <f t="shared" si="15"/>
        <v>345</v>
      </c>
      <c r="AD30" s="47">
        <f t="shared" si="16"/>
        <v>180</v>
      </c>
      <c r="AE30" s="47">
        <f t="shared" si="17"/>
        <v>165</v>
      </c>
      <c r="AG30" s="47">
        <f t="shared" si="18"/>
        <v>345</v>
      </c>
      <c r="AH30" s="47">
        <f t="shared" si="19"/>
        <v>180</v>
      </c>
      <c r="AI30" s="208">
        <f t="shared" si="20"/>
        <v>165</v>
      </c>
    </row>
    <row r="31" spans="1:35">
      <c r="A31" t="s">
        <v>2089</v>
      </c>
      <c r="B31" t="s">
        <v>3142</v>
      </c>
      <c r="C31" t="s">
        <v>2191</v>
      </c>
      <c r="D31" t="s">
        <v>3177</v>
      </c>
      <c r="F31" t="s">
        <v>48</v>
      </c>
      <c r="G31" s="126">
        <f>SUMIFS('Support - Transition'!F:F,'Support - Transition'!B:B,'Step 2'!A31,'Support - Transition'!C:C,'Step 2'!B31,'Support - Transition'!D:D,'Step 2'!C31,'Support - Transition'!E:E,"CIVIL")</f>
        <v>9.0000000000000006E-5</v>
      </c>
      <c r="H31" s="126">
        <f>SUMIFS('Support - Transition'!F:F,'Support - Transition'!B:B,'Step 2'!A31,'Support - Transition'!C:C,'Step 2'!B31,'Support - Transition'!D:D,'Step 2'!C31,'Support - Transition'!E:E,"FIRE")</f>
        <v>5.1999999999999997E-5</v>
      </c>
      <c r="I31" s="126">
        <f>IF(B31="0",SUMIFS('Support - Transition'!F:F,'Support - Transition'!J:J,'Step 2'!D31,'Support - Transition'!E:E,"STATE UNIT"),SUMIFS('Support - Transition'!F:F,'Support - Transition'!J:J,'Step 2'!D31))</f>
        <v>1.4200000000000001E-4</v>
      </c>
      <c r="J31" s="126">
        <f>SUMIFS('Support - Unit Adjustments'!E:E,'Support - Unit Adjustments'!F:F,'Step 2'!D31)</f>
        <v>0</v>
      </c>
      <c r="K31" s="126">
        <f t="shared" si="0"/>
        <v>1.4200000000000001E-4</v>
      </c>
      <c r="L31" s="174">
        <f>VLOOKUP(A31,'Step 1'!$A:$E,4,FALSE)</f>
        <v>3709709</v>
      </c>
      <c r="M31" s="47">
        <f t="shared" si="1"/>
        <v>527</v>
      </c>
      <c r="N31" s="177">
        <f>SUMIFS('Support - Transition'!G:G,'Support - Transition'!J:J,'Step 2'!D31,'Support - Transition'!E:E,"2009 WELFARE ALLOCATION FACTOR")</f>
        <v>0</v>
      </c>
      <c r="O31" s="152">
        <f t="shared" si="9"/>
        <v>0</v>
      </c>
      <c r="P31" s="126">
        <f>IF(E31="Y",0,SUMIFS('Support - Transition'!G:G,'Support - Transition'!J:J,'Step 2'!D31,'Support - Transition'!E:E,"2009 SCHOOL ALLOCATION FACTOR"))</f>
        <v>0</v>
      </c>
      <c r="Q31" s="126">
        <f>IF(E31="Y",VLOOKUP(D31,'Support - Unit Adjustments'!F:G,2,FALSE),0)</f>
        <v>0</v>
      </c>
      <c r="R31" s="155">
        <f t="shared" si="2"/>
        <v>0</v>
      </c>
      <c r="S31" s="47">
        <f t="shared" si="10"/>
        <v>0</v>
      </c>
      <c r="T31" s="151">
        <f t="shared" si="3"/>
        <v>527</v>
      </c>
      <c r="U31" s="151">
        <f t="shared" si="4"/>
        <v>0</v>
      </c>
      <c r="V31" s="139">
        <f t="shared" si="5"/>
        <v>0</v>
      </c>
      <c r="W31" s="152">
        <f t="shared" si="11"/>
        <v>527</v>
      </c>
      <c r="X31" s="127" t="str">
        <f t="shared" si="6"/>
        <v/>
      </c>
      <c r="Y31" s="207">
        <f t="shared" si="12"/>
        <v>527</v>
      </c>
      <c r="Z31" s="139">
        <f t="shared" si="13"/>
        <v>334</v>
      </c>
      <c r="AA31" s="139">
        <f t="shared" si="14"/>
        <v>193</v>
      </c>
      <c r="AC31" s="47">
        <f t="shared" si="15"/>
        <v>264</v>
      </c>
      <c r="AD31" s="47">
        <f t="shared" si="16"/>
        <v>167</v>
      </c>
      <c r="AE31" s="47">
        <f t="shared" si="17"/>
        <v>97</v>
      </c>
      <c r="AG31" s="47">
        <f t="shared" si="18"/>
        <v>263</v>
      </c>
      <c r="AH31" s="47">
        <f t="shared" si="19"/>
        <v>167</v>
      </c>
      <c r="AI31" s="208">
        <f t="shared" si="20"/>
        <v>96</v>
      </c>
    </row>
    <row r="32" spans="1:35">
      <c r="A32" t="s">
        <v>2089</v>
      </c>
      <c r="B32" t="s">
        <v>3142</v>
      </c>
      <c r="C32" t="s">
        <v>2192</v>
      </c>
      <c r="D32" t="s">
        <v>3178</v>
      </c>
      <c r="F32" t="s">
        <v>49</v>
      </c>
      <c r="G32" s="126">
        <f>SUMIFS('Support - Transition'!F:F,'Support - Transition'!B:B,'Step 2'!A32,'Support - Transition'!C:C,'Step 2'!B32,'Support - Transition'!D:D,'Step 2'!C32,'Support - Transition'!E:E,"CIVIL")</f>
        <v>3.3000000000000003E-5</v>
      </c>
      <c r="H32" s="126">
        <f>SUMIFS('Support - Transition'!F:F,'Support - Transition'!B:B,'Step 2'!A32,'Support - Transition'!C:C,'Step 2'!B32,'Support - Transition'!D:D,'Step 2'!C32,'Support - Transition'!E:E,"FIRE")</f>
        <v>2.3E-5</v>
      </c>
      <c r="I32" s="126">
        <f>IF(B32="0",SUMIFS('Support - Transition'!F:F,'Support - Transition'!J:J,'Step 2'!D32,'Support - Transition'!E:E,"STATE UNIT"),SUMIFS('Support - Transition'!F:F,'Support - Transition'!J:J,'Step 2'!D32))</f>
        <v>5.6000000000000006E-5</v>
      </c>
      <c r="J32" s="126">
        <f>SUMIFS('Support - Unit Adjustments'!E:E,'Support - Unit Adjustments'!F:F,'Step 2'!D32)</f>
        <v>0</v>
      </c>
      <c r="K32" s="126">
        <f t="shared" si="0"/>
        <v>5.6000000000000006E-5</v>
      </c>
      <c r="L32" s="174">
        <f>VLOOKUP(A32,'Step 1'!$A:$E,4,FALSE)</f>
        <v>3709709</v>
      </c>
      <c r="M32" s="47">
        <f t="shared" si="1"/>
        <v>208</v>
      </c>
      <c r="N32" s="177">
        <f>SUMIFS('Support - Transition'!G:G,'Support - Transition'!J:J,'Step 2'!D32,'Support - Transition'!E:E,"2009 WELFARE ALLOCATION FACTOR")</f>
        <v>0</v>
      </c>
      <c r="O32" s="152">
        <f t="shared" si="9"/>
        <v>0</v>
      </c>
      <c r="P32" s="126">
        <f>IF(E32="Y",0,SUMIFS('Support - Transition'!G:G,'Support - Transition'!J:J,'Step 2'!D32,'Support - Transition'!E:E,"2009 SCHOOL ALLOCATION FACTOR"))</f>
        <v>0</v>
      </c>
      <c r="Q32" s="126">
        <f>IF(E32="Y",VLOOKUP(D32,'Support - Unit Adjustments'!F:G,2,FALSE),0)</f>
        <v>0</v>
      </c>
      <c r="R32" s="155">
        <f t="shared" si="2"/>
        <v>0</v>
      </c>
      <c r="S32" s="47">
        <f t="shared" si="10"/>
        <v>0</v>
      </c>
      <c r="T32" s="151">
        <f t="shared" si="3"/>
        <v>208</v>
      </c>
      <c r="U32" s="151">
        <f t="shared" si="4"/>
        <v>0</v>
      </c>
      <c r="V32" s="139">
        <f t="shared" si="5"/>
        <v>0</v>
      </c>
      <c r="W32" s="152">
        <f t="shared" si="11"/>
        <v>208</v>
      </c>
      <c r="X32" s="127" t="str">
        <f t="shared" si="6"/>
        <v/>
      </c>
      <c r="Y32" s="207">
        <f t="shared" si="12"/>
        <v>208</v>
      </c>
      <c r="Z32" s="139">
        <f t="shared" si="13"/>
        <v>123</v>
      </c>
      <c r="AA32" s="139">
        <f t="shared" si="14"/>
        <v>85</v>
      </c>
      <c r="AC32" s="47">
        <f t="shared" si="15"/>
        <v>104</v>
      </c>
      <c r="AD32" s="47">
        <f t="shared" si="16"/>
        <v>62</v>
      </c>
      <c r="AE32" s="47">
        <f t="shared" si="17"/>
        <v>43</v>
      </c>
      <c r="AG32" s="47">
        <f t="shared" si="18"/>
        <v>104</v>
      </c>
      <c r="AH32" s="47">
        <f t="shared" si="19"/>
        <v>61</v>
      </c>
      <c r="AI32" s="208">
        <f t="shared" si="20"/>
        <v>42</v>
      </c>
    </row>
    <row r="33" spans="1:35">
      <c r="A33" t="s">
        <v>2089</v>
      </c>
      <c r="B33" t="s">
        <v>3142</v>
      </c>
      <c r="C33" t="s">
        <v>2193</v>
      </c>
      <c r="D33" t="s">
        <v>3179</v>
      </c>
      <c r="F33" t="s">
        <v>14</v>
      </c>
      <c r="G33" s="126">
        <f>SUMIFS('Support - Transition'!F:F,'Support - Transition'!B:B,'Step 2'!A33,'Support - Transition'!C:C,'Step 2'!B33,'Support - Transition'!D:D,'Step 2'!C33,'Support - Transition'!E:E,"CIVIL")</f>
        <v>9.7E-5</v>
      </c>
      <c r="H33" s="126">
        <f>SUMIFS('Support - Transition'!F:F,'Support - Transition'!B:B,'Step 2'!A33,'Support - Transition'!C:C,'Step 2'!B33,'Support - Transition'!D:D,'Step 2'!C33,'Support - Transition'!E:E,"FIRE")</f>
        <v>1.1E-5</v>
      </c>
      <c r="I33" s="126">
        <f>IF(B33="0",SUMIFS('Support - Transition'!F:F,'Support - Transition'!J:J,'Step 2'!D33,'Support - Transition'!E:E,"STATE UNIT"),SUMIFS('Support - Transition'!F:F,'Support - Transition'!J:J,'Step 2'!D33))</f>
        <v>1.08E-4</v>
      </c>
      <c r="J33" s="126">
        <f>SUMIFS('Support - Unit Adjustments'!E:E,'Support - Unit Adjustments'!F:F,'Step 2'!D33)</f>
        <v>0</v>
      </c>
      <c r="K33" s="126">
        <f t="shared" si="0"/>
        <v>1.08E-4</v>
      </c>
      <c r="L33" s="174">
        <f>VLOOKUP(A33,'Step 1'!$A:$E,4,FALSE)</f>
        <v>3709709</v>
      </c>
      <c r="M33" s="47">
        <f t="shared" si="1"/>
        <v>401</v>
      </c>
      <c r="N33" s="177">
        <f>SUMIFS('Support - Transition'!G:G,'Support - Transition'!J:J,'Step 2'!D33,'Support - Transition'!E:E,"2009 WELFARE ALLOCATION FACTOR")</f>
        <v>0</v>
      </c>
      <c r="O33" s="152">
        <f t="shared" si="9"/>
        <v>0</v>
      </c>
      <c r="P33" s="126">
        <f>IF(E33="Y",0,SUMIFS('Support - Transition'!G:G,'Support - Transition'!J:J,'Step 2'!D33,'Support - Transition'!E:E,"2009 SCHOOL ALLOCATION FACTOR"))</f>
        <v>0</v>
      </c>
      <c r="Q33" s="126">
        <f>IF(E33="Y",VLOOKUP(D33,'Support - Unit Adjustments'!F:G,2,FALSE),0)</f>
        <v>0</v>
      </c>
      <c r="R33" s="155">
        <f t="shared" si="2"/>
        <v>0</v>
      </c>
      <c r="S33" s="47">
        <f t="shared" si="10"/>
        <v>0</v>
      </c>
      <c r="T33" s="151">
        <f t="shared" si="3"/>
        <v>401</v>
      </c>
      <c r="U33" s="151">
        <f t="shared" si="4"/>
        <v>0</v>
      </c>
      <c r="V33" s="139">
        <f t="shared" si="5"/>
        <v>0</v>
      </c>
      <c r="W33" s="152">
        <f t="shared" si="11"/>
        <v>401</v>
      </c>
      <c r="X33" s="127" t="str">
        <f t="shared" si="6"/>
        <v/>
      </c>
      <c r="Y33" s="207">
        <f t="shared" si="12"/>
        <v>401</v>
      </c>
      <c r="Z33" s="139">
        <f t="shared" si="13"/>
        <v>360</v>
      </c>
      <c r="AA33" s="139">
        <f t="shared" si="14"/>
        <v>41</v>
      </c>
      <c r="AC33" s="47">
        <f t="shared" si="15"/>
        <v>201</v>
      </c>
      <c r="AD33" s="47">
        <f t="shared" si="16"/>
        <v>180</v>
      </c>
      <c r="AE33" s="47">
        <f t="shared" si="17"/>
        <v>21</v>
      </c>
      <c r="AG33" s="47">
        <f t="shared" si="18"/>
        <v>200</v>
      </c>
      <c r="AH33" s="47">
        <f t="shared" si="19"/>
        <v>180</v>
      </c>
      <c r="AI33" s="208">
        <f t="shared" si="20"/>
        <v>20</v>
      </c>
    </row>
    <row r="34" spans="1:35">
      <c r="A34" t="s">
        <v>2089</v>
      </c>
      <c r="B34" t="s">
        <v>3142</v>
      </c>
      <c r="C34" t="s">
        <v>2194</v>
      </c>
      <c r="D34" t="s">
        <v>3180</v>
      </c>
      <c r="F34" t="s">
        <v>50</v>
      </c>
      <c r="G34" s="126">
        <f>SUMIFS('Support - Transition'!F:F,'Support - Transition'!B:B,'Step 2'!A34,'Support - Transition'!C:C,'Step 2'!B34,'Support - Transition'!D:D,'Step 2'!C34,'Support - Transition'!E:E,"CIVIL")</f>
        <v>2.0999999999999999E-5</v>
      </c>
      <c r="H34" s="126">
        <f>SUMIFS('Support - Transition'!F:F,'Support - Transition'!B:B,'Step 2'!A34,'Support - Transition'!C:C,'Step 2'!B34,'Support - Transition'!D:D,'Step 2'!C34,'Support - Transition'!E:E,"FIRE")</f>
        <v>0</v>
      </c>
      <c r="I34" s="126">
        <f>IF(B34="0",SUMIFS('Support - Transition'!F:F,'Support - Transition'!J:J,'Step 2'!D34,'Support - Transition'!E:E,"STATE UNIT"),SUMIFS('Support - Transition'!F:F,'Support - Transition'!J:J,'Step 2'!D34))</f>
        <v>2.0999999999999999E-5</v>
      </c>
      <c r="J34" s="126">
        <f>SUMIFS('Support - Unit Adjustments'!E:E,'Support - Unit Adjustments'!F:F,'Step 2'!D34)</f>
        <v>0</v>
      </c>
      <c r="K34" s="126">
        <f t="shared" si="0"/>
        <v>2.0999999999999999E-5</v>
      </c>
      <c r="L34" s="174">
        <f>VLOOKUP(A34,'Step 1'!$A:$E,4,FALSE)</f>
        <v>3709709</v>
      </c>
      <c r="M34" s="47">
        <f t="shared" si="1"/>
        <v>78</v>
      </c>
      <c r="N34" s="177">
        <f>SUMIFS('Support - Transition'!G:G,'Support - Transition'!J:J,'Step 2'!D34,'Support - Transition'!E:E,"2009 WELFARE ALLOCATION FACTOR")</f>
        <v>0</v>
      </c>
      <c r="O34" s="152">
        <f t="shared" si="9"/>
        <v>0</v>
      </c>
      <c r="P34" s="126">
        <f>IF(E34="Y",0,SUMIFS('Support - Transition'!G:G,'Support - Transition'!J:J,'Step 2'!D34,'Support - Transition'!E:E,"2009 SCHOOL ALLOCATION FACTOR"))</f>
        <v>0</v>
      </c>
      <c r="Q34" s="126">
        <f>IF(E34="Y",VLOOKUP(D34,'Support - Unit Adjustments'!F:G,2,FALSE),0)</f>
        <v>0</v>
      </c>
      <c r="R34" s="155">
        <f t="shared" si="2"/>
        <v>0</v>
      </c>
      <c r="S34" s="47">
        <f t="shared" si="10"/>
        <v>0</v>
      </c>
      <c r="T34" s="151">
        <f t="shared" si="3"/>
        <v>78</v>
      </c>
      <c r="U34" s="151">
        <f t="shared" si="4"/>
        <v>0</v>
      </c>
      <c r="V34" s="139">
        <f t="shared" si="5"/>
        <v>0</v>
      </c>
      <c r="W34" s="152">
        <f t="shared" si="11"/>
        <v>78</v>
      </c>
      <c r="X34" s="127" t="str">
        <f t="shared" si="6"/>
        <v/>
      </c>
      <c r="Y34" s="207">
        <f t="shared" si="12"/>
        <v>78</v>
      </c>
      <c r="Z34" s="139">
        <f t="shared" si="13"/>
        <v>78</v>
      </c>
      <c r="AA34" s="139">
        <f t="shared" si="14"/>
        <v>0</v>
      </c>
      <c r="AC34" s="47">
        <f t="shared" si="15"/>
        <v>39</v>
      </c>
      <c r="AD34" s="47">
        <f t="shared" si="16"/>
        <v>39</v>
      </c>
      <c r="AE34" s="47">
        <f t="shared" si="17"/>
        <v>0</v>
      </c>
      <c r="AG34" s="47">
        <f t="shared" si="18"/>
        <v>39</v>
      </c>
      <c r="AH34" s="47">
        <f t="shared" si="19"/>
        <v>39</v>
      </c>
      <c r="AI34" s="208">
        <f t="shared" si="20"/>
        <v>0</v>
      </c>
    </row>
    <row r="35" spans="1:35">
      <c r="A35" t="s">
        <v>2089</v>
      </c>
      <c r="B35" t="s">
        <v>3142</v>
      </c>
      <c r="C35" t="s">
        <v>2195</v>
      </c>
      <c r="D35" t="s">
        <v>3181</v>
      </c>
      <c r="F35" t="s">
        <v>51</v>
      </c>
      <c r="G35" s="126">
        <f>SUMIFS('Support - Transition'!F:F,'Support - Transition'!B:B,'Step 2'!A35,'Support - Transition'!C:C,'Step 2'!B35,'Support - Transition'!D:D,'Step 2'!C35,'Support - Transition'!E:E,"CIVIL")</f>
        <v>1.9900000000000001E-4</v>
      </c>
      <c r="H35" s="126">
        <f>SUMIFS('Support - Transition'!F:F,'Support - Transition'!B:B,'Step 2'!A35,'Support - Transition'!C:C,'Step 2'!B35,'Support - Transition'!D:D,'Step 2'!C35,'Support - Transition'!E:E,"FIRE")</f>
        <v>8.5000000000000006E-5</v>
      </c>
      <c r="I35" s="126">
        <f>IF(B35="0",SUMIFS('Support - Transition'!F:F,'Support - Transition'!J:J,'Step 2'!D35,'Support - Transition'!E:E,"STATE UNIT"),SUMIFS('Support - Transition'!F:F,'Support - Transition'!J:J,'Step 2'!D35))</f>
        <v>2.8400000000000002E-4</v>
      </c>
      <c r="J35" s="126">
        <f>SUMIFS('Support - Unit Adjustments'!E:E,'Support - Unit Adjustments'!F:F,'Step 2'!D35)</f>
        <v>0</v>
      </c>
      <c r="K35" s="126">
        <f t="shared" si="0"/>
        <v>2.8400000000000002E-4</v>
      </c>
      <c r="L35" s="174">
        <f>VLOOKUP(A35,'Step 1'!$A:$E,4,FALSE)</f>
        <v>3709709</v>
      </c>
      <c r="M35" s="47">
        <f t="shared" si="1"/>
        <v>1054</v>
      </c>
      <c r="N35" s="177">
        <f>SUMIFS('Support - Transition'!G:G,'Support - Transition'!J:J,'Step 2'!D35,'Support - Transition'!E:E,"2009 WELFARE ALLOCATION FACTOR")</f>
        <v>0</v>
      </c>
      <c r="O35" s="152">
        <f t="shared" si="9"/>
        <v>0</v>
      </c>
      <c r="P35" s="126">
        <f>IF(E35="Y",0,SUMIFS('Support - Transition'!G:G,'Support - Transition'!J:J,'Step 2'!D35,'Support - Transition'!E:E,"2009 SCHOOL ALLOCATION FACTOR"))</f>
        <v>0</v>
      </c>
      <c r="Q35" s="126">
        <f>IF(E35="Y",VLOOKUP(D35,'Support - Unit Adjustments'!F:G,2,FALSE),0)</f>
        <v>0</v>
      </c>
      <c r="R35" s="155">
        <f t="shared" si="2"/>
        <v>0</v>
      </c>
      <c r="S35" s="47">
        <f t="shared" si="10"/>
        <v>0</v>
      </c>
      <c r="T35" s="151">
        <f t="shared" si="3"/>
        <v>1054</v>
      </c>
      <c r="U35" s="151">
        <f t="shared" si="4"/>
        <v>0</v>
      </c>
      <c r="V35" s="139">
        <f t="shared" si="5"/>
        <v>0</v>
      </c>
      <c r="W35" s="152">
        <f t="shared" si="11"/>
        <v>1054</v>
      </c>
      <c r="X35" s="127" t="str">
        <f t="shared" si="6"/>
        <v/>
      </c>
      <c r="Y35" s="207">
        <f t="shared" si="12"/>
        <v>1054</v>
      </c>
      <c r="Z35" s="139">
        <f t="shared" si="13"/>
        <v>739</v>
      </c>
      <c r="AA35" s="139">
        <f t="shared" si="14"/>
        <v>315</v>
      </c>
      <c r="AC35" s="47">
        <f t="shared" si="15"/>
        <v>527</v>
      </c>
      <c r="AD35" s="47">
        <f t="shared" si="16"/>
        <v>370</v>
      </c>
      <c r="AE35" s="47">
        <f t="shared" si="17"/>
        <v>158</v>
      </c>
      <c r="AG35" s="47">
        <f t="shared" si="18"/>
        <v>527</v>
      </c>
      <c r="AH35" s="47">
        <f t="shared" si="19"/>
        <v>369</v>
      </c>
      <c r="AI35" s="208">
        <f t="shared" si="20"/>
        <v>157</v>
      </c>
    </row>
    <row r="36" spans="1:35">
      <c r="A36" t="s">
        <v>2089</v>
      </c>
      <c r="B36" t="s">
        <v>3142</v>
      </c>
      <c r="C36" t="s">
        <v>2196</v>
      </c>
      <c r="D36" t="s">
        <v>3182</v>
      </c>
      <c r="F36" t="s">
        <v>52</v>
      </c>
      <c r="G36" s="126">
        <f>SUMIFS('Support - Transition'!F:F,'Support - Transition'!B:B,'Step 2'!A36,'Support - Transition'!C:C,'Step 2'!B36,'Support - Transition'!D:D,'Step 2'!C36,'Support - Transition'!E:E,"CIVIL")</f>
        <v>4.1999999999999998E-5</v>
      </c>
      <c r="H36" s="126">
        <f>SUMIFS('Support - Transition'!F:F,'Support - Transition'!B:B,'Step 2'!A36,'Support - Transition'!C:C,'Step 2'!B36,'Support - Transition'!D:D,'Step 2'!C36,'Support - Transition'!E:E,"FIRE")</f>
        <v>3.3000000000000003E-5</v>
      </c>
      <c r="I36" s="126">
        <f>IF(B36="0",SUMIFS('Support - Transition'!F:F,'Support - Transition'!J:J,'Step 2'!D36,'Support - Transition'!E:E,"STATE UNIT"),SUMIFS('Support - Transition'!F:F,'Support - Transition'!J:J,'Step 2'!D36))</f>
        <v>7.5000000000000007E-5</v>
      </c>
      <c r="J36" s="126">
        <f>SUMIFS('Support - Unit Adjustments'!E:E,'Support - Unit Adjustments'!F:F,'Step 2'!D36)</f>
        <v>0</v>
      </c>
      <c r="K36" s="126">
        <f t="shared" si="0"/>
        <v>7.5000000000000007E-5</v>
      </c>
      <c r="L36" s="174">
        <f>VLOOKUP(A36,'Step 1'!$A:$E,4,FALSE)</f>
        <v>3709709</v>
      </c>
      <c r="M36" s="47">
        <f t="shared" si="1"/>
        <v>278</v>
      </c>
      <c r="N36" s="177">
        <f>SUMIFS('Support - Transition'!G:G,'Support - Transition'!J:J,'Step 2'!D36,'Support - Transition'!E:E,"2009 WELFARE ALLOCATION FACTOR")</f>
        <v>0</v>
      </c>
      <c r="O36" s="152">
        <f t="shared" si="9"/>
        <v>0</v>
      </c>
      <c r="P36" s="126">
        <f>IF(E36="Y",0,SUMIFS('Support - Transition'!G:G,'Support - Transition'!J:J,'Step 2'!D36,'Support - Transition'!E:E,"2009 SCHOOL ALLOCATION FACTOR"))</f>
        <v>0</v>
      </c>
      <c r="Q36" s="126">
        <f>IF(E36="Y",VLOOKUP(D36,'Support - Unit Adjustments'!F:G,2,FALSE),0)</f>
        <v>0</v>
      </c>
      <c r="R36" s="155">
        <f t="shared" si="2"/>
        <v>0</v>
      </c>
      <c r="S36" s="47">
        <f t="shared" si="10"/>
        <v>0</v>
      </c>
      <c r="T36" s="151">
        <f t="shared" si="3"/>
        <v>278</v>
      </c>
      <c r="U36" s="151">
        <f t="shared" si="4"/>
        <v>0</v>
      </c>
      <c r="V36" s="139">
        <f t="shared" si="5"/>
        <v>0</v>
      </c>
      <c r="W36" s="152">
        <f t="shared" si="11"/>
        <v>278</v>
      </c>
      <c r="X36" s="127" t="str">
        <f t="shared" si="6"/>
        <v/>
      </c>
      <c r="Y36" s="207">
        <f t="shared" si="12"/>
        <v>278</v>
      </c>
      <c r="Z36" s="139">
        <f t="shared" si="13"/>
        <v>156</v>
      </c>
      <c r="AA36" s="139">
        <f t="shared" si="14"/>
        <v>122</v>
      </c>
      <c r="AC36" s="47">
        <f t="shared" si="15"/>
        <v>139</v>
      </c>
      <c r="AD36" s="47">
        <f t="shared" si="16"/>
        <v>78</v>
      </c>
      <c r="AE36" s="47">
        <f t="shared" si="17"/>
        <v>61</v>
      </c>
      <c r="AG36" s="47">
        <f t="shared" si="18"/>
        <v>139</v>
      </c>
      <c r="AH36" s="47">
        <f t="shared" si="19"/>
        <v>78</v>
      </c>
      <c r="AI36" s="208">
        <f t="shared" si="20"/>
        <v>61</v>
      </c>
    </row>
    <row r="37" spans="1:35">
      <c r="A37" t="s">
        <v>2089</v>
      </c>
      <c r="B37" t="s">
        <v>3142</v>
      </c>
      <c r="C37" t="s">
        <v>2197</v>
      </c>
      <c r="D37" t="s">
        <v>3183</v>
      </c>
      <c r="F37" t="s">
        <v>53</v>
      </c>
      <c r="G37" s="126">
        <f>SUMIFS('Support - Transition'!F:F,'Support - Transition'!B:B,'Step 2'!A37,'Support - Transition'!C:C,'Step 2'!B37,'Support - Transition'!D:D,'Step 2'!C37,'Support - Transition'!E:E,"CIVIL")</f>
        <v>1.5E-5</v>
      </c>
      <c r="H37" s="126">
        <f>SUMIFS('Support - Transition'!F:F,'Support - Transition'!B:B,'Step 2'!A37,'Support - Transition'!C:C,'Step 2'!B37,'Support - Transition'!D:D,'Step 2'!C37,'Support - Transition'!E:E,"FIRE")</f>
        <v>1.2E-5</v>
      </c>
      <c r="I37" s="126">
        <f>IF(B37="0",SUMIFS('Support - Transition'!F:F,'Support - Transition'!J:J,'Step 2'!D37,'Support - Transition'!E:E,"STATE UNIT"),SUMIFS('Support - Transition'!F:F,'Support - Transition'!J:J,'Step 2'!D37))</f>
        <v>2.6999999999999999E-5</v>
      </c>
      <c r="J37" s="126">
        <f>SUMIFS('Support - Unit Adjustments'!E:E,'Support - Unit Adjustments'!F:F,'Step 2'!D37)</f>
        <v>0</v>
      </c>
      <c r="K37" s="126">
        <f t="shared" si="0"/>
        <v>2.6999999999999999E-5</v>
      </c>
      <c r="L37" s="174">
        <f>VLOOKUP(A37,'Step 1'!$A:$E,4,FALSE)</f>
        <v>3709709</v>
      </c>
      <c r="M37" s="47">
        <f t="shared" si="1"/>
        <v>100</v>
      </c>
      <c r="N37" s="177">
        <f>SUMIFS('Support - Transition'!G:G,'Support - Transition'!J:J,'Step 2'!D37,'Support - Transition'!E:E,"2009 WELFARE ALLOCATION FACTOR")</f>
        <v>0</v>
      </c>
      <c r="O37" s="152">
        <f t="shared" si="9"/>
        <v>0</v>
      </c>
      <c r="P37" s="126">
        <f>IF(E37="Y",0,SUMIFS('Support - Transition'!G:G,'Support - Transition'!J:J,'Step 2'!D37,'Support - Transition'!E:E,"2009 SCHOOL ALLOCATION FACTOR"))</f>
        <v>0</v>
      </c>
      <c r="Q37" s="126">
        <f>IF(E37="Y",VLOOKUP(D37,'Support - Unit Adjustments'!F:G,2,FALSE),0)</f>
        <v>0</v>
      </c>
      <c r="R37" s="155">
        <f t="shared" si="2"/>
        <v>0</v>
      </c>
      <c r="S37" s="47">
        <f t="shared" si="10"/>
        <v>0</v>
      </c>
      <c r="T37" s="151">
        <f t="shared" si="3"/>
        <v>100</v>
      </c>
      <c r="U37" s="151">
        <f t="shared" si="4"/>
        <v>0</v>
      </c>
      <c r="V37" s="139">
        <f t="shared" si="5"/>
        <v>0</v>
      </c>
      <c r="W37" s="152">
        <f t="shared" si="11"/>
        <v>100</v>
      </c>
      <c r="X37" s="127" t="str">
        <f t="shared" si="6"/>
        <v/>
      </c>
      <c r="Y37" s="207">
        <f t="shared" si="12"/>
        <v>100</v>
      </c>
      <c r="Z37" s="139">
        <f t="shared" si="13"/>
        <v>56</v>
      </c>
      <c r="AA37" s="139">
        <f t="shared" si="14"/>
        <v>44</v>
      </c>
      <c r="AC37" s="47">
        <f t="shared" si="15"/>
        <v>50</v>
      </c>
      <c r="AD37" s="47">
        <f t="shared" si="16"/>
        <v>28</v>
      </c>
      <c r="AE37" s="47">
        <f t="shared" si="17"/>
        <v>22</v>
      </c>
      <c r="AG37" s="47">
        <f t="shared" si="18"/>
        <v>50</v>
      </c>
      <c r="AH37" s="47">
        <f t="shared" si="19"/>
        <v>28</v>
      </c>
      <c r="AI37" s="208">
        <f t="shared" si="20"/>
        <v>22</v>
      </c>
    </row>
    <row r="38" spans="1:35">
      <c r="A38" t="s">
        <v>2089</v>
      </c>
      <c r="B38" t="s">
        <v>3142</v>
      </c>
      <c r="C38" t="s">
        <v>2198</v>
      </c>
      <c r="D38" t="s">
        <v>3184</v>
      </c>
      <c r="F38" t="s">
        <v>54</v>
      </c>
      <c r="G38" s="126">
        <f>SUMIFS('Support - Transition'!F:F,'Support - Transition'!B:B,'Step 2'!A38,'Support - Transition'!C:C,'Step 2'!B38,'Support - Transition'!D:D,'Step 2'!C38,'Support - Transition'!E:E,"CIVIL")</f>
        <v>1.4100000000000001E-4</v>
      </c>
      <c r="H38" s="126">
        <f>SUMIFS('Support - Transition'!F:F,'Support - Transition'!B:B,'Step 2'!A38,'Support - Transition'!C:C,'Step 2'!B38,'Support - Transition'!D:D,'Step 2'!C38,'Support - Transition'!E:E,"FIRE")</f>
        <v>5.3000000000000001E-5</v>
      </c>
      <c r="I38" s="126">
        <f>IF(B38="0",SUMIFS('Support - Transition'!F:F,'Support - Transition'!J:J,'Step 2'!D38,'Support - Transition'!E:E,"STATE UNIT"),SUMIFS('Support - Transition'!F:F,'Support - Transition'!J:J,'Step 2'!D38))</f>
        <v>1.94E-4</v>
      </c>
      <c r="J38" s="126">
        <f>SUMIFS('Support - Unit Adjustments'!E:E,'Support - Unit Adjustments'!F:F,'Step 2'!D38)</f>
        <v>0</v>
      </c>
      <c r="K38" s="126">
        <f t="shared" si="0"/>
        <v>1.94E-4</v>
      </c>
      <c r="L38" s="174">
        <f>VLOOKUP(A38,'Step 1'!$A:$E,4,FALSE)</f>
        <v>3709709</v>
      </c>
      <c r="M38" s="47">
        <f t="shared" si="1"/>
        <v>720</v>
      </c>
      <c r="N38" s="177">
        <f>SUMIFS('Support - Transition'!G:G,'Support - Transition'!J:J,'Step 2'!D38,'Support - Transition'!E:E,"2009 WELFARE ALLOCATION FACTOR")</f>
        <v>0</v>
      </c>
      <c r="O38" s="152">
        <f t="shared" si="9"/>
        <v>0</v>
      </c>
      <c r="P38" s="126">
        <f>IF(E38="Y",0,SUMIFS('Support - Transition'!G:G,'Support - Transition'!J:J,'Step 2'!D38,'Support - Transition'!E:E,"2009 SCHOOL ALLOCATION FACTOR"))</f>
        <v>0</v>
      </c>
      <c r="Q38" s="126">
        <f>IF(E38="Y",VLOOKUP(D38,'Support - Unit Adjustments'!F:G,2,FALSE),0)</f>
        <v>0</v>
      </c>
      <c r="R38" s="155">
        <f t="shared" si="2"/>
        <v>0</v>
      </c>
      <c r="S38" s="47">
        <f t="shared" si="10"/>
        <v>0</v>
      </c>
      <c r="T38" s="151">
        <f t="shared" si="3"/>
        <v>720</v>
      </c>
      <c r="U38" s="151">
        <f t="shared" si="4"/>
        <v>0</v>
      </c>
      <c r="V38" s="139">
        <f t="shared" si="5"/>
        <v>0</v>
      </c>
      <c r="W38" s="152">
        <f t="shared" si="11"/>
        <v>720</v>
      </c>
      <c r="X38" s="127" t="str">
        <f t="shared" si="6"/>
        <v/>
      </c>
      <c r="Y38" s="207">
        <f t="shared" si="12"/>
        <v>720</v>
      </c>
      <c r="Z38" s="139">
        <f t="shared" si="13"/>
        <v>523</v>
      </c>
      <c r="AA38" s="139">
        <f t="shared" si="14"/>
        <v>197</v>
      </c>
      <c r="AC38" s="47">
        <f t="shared" si="15"/>
        <v>360</v>
      </c>
      <c r="AD38" s="47">
        <f t="shared" si="16"/>
        <v>262</v>
      </c>
      <c r="AE38" s="47">
        <f t="shared" si="17"/>
        <v>99</v>
      </c>
      <c r="AG38" s="47">
        <f t="shared" si="18"/>
        <v>360</v>
      </c>
      <c r="AH38" s="47">
        <f t="shared" si="19"/>
        <v>261</v>
      </c>
      <c r="AI38" s="208">
        <f t="shared" si="20"/>
        <v>98</v>
      </c>
    </row>
    <row r="39" spans="1:35">
      <c r="A39" t="s">
        <v>2089</v>
      </c>
      <c r="B39" t="s">
        <v>3142</v>
      </c>
      <c r="C39" t="s">
        <v>2199</v>
      </c>
      <c r="D39" t="s">
        <v>3185</v>
      </c>
      <c r="F39" t="s">
        <v>55</v>
      </c>
      <c r="G39" s="126">
        <f>SUMIFS('Support - Transition'!F:F,'Support - Transition'!B:B,'Step 2'!A39,'Support - Transition'!C:C,'Step 2'!B39,'Support - Transition'!D:D,'Step 2'!C39,'Support - Transition'!E:E,"CIVIL")</f>
        <v>4.3000000000000002E-5</v>
      </c>
      <c r="H39" s="126">
        <f>SUMIFS('Support - Transition'!F:F,'Support - Transition'!B:B,'Step 2'!A39,'Support - Transition'!C:C,'Step 2'!B39,'Support - Transition'!D:D,'Step 2'!C39,'Support - Transition'!E:E,"FIRE")</f>
        <v>2.5000000000000001E-5</v>
      </c>
      <c r="I39" s="126">
        <f>IF(B39="0",SUMIFS('Support - Transition'!F:F,'Support - Transition'!J:J,'Step 2'!D39,'Support - Transition'!E:E,"STATE UNIT"),SUMIFS('Support - Transition'!F:F,'Support - Transition'!J:J,'Step 2'!D39))</f>
        <v>6.7999999999999999E-5</v>
      </c>
      <c r="J39" s="126">
        <f>SUMIFS('Support - Unit Adjustments'!E:E,'Support - Unit Adjustments'!F:F,'Step 2'!D39)</f>
        <v>0</v>
      </c>
      <c r="K39" s="126">
        <f t="shared" si="0"/>
        <v>6.7999999999999999E-5</v>
      </c>
      <c r="L39" s="174">
        <f>VLOOKUP(A39,'Step 1'!$A:$E,4,FALSE)</f>
        <v>3709709</v>
      </c>
      <c r="M39" s="47">
        <f t="shared" si="1"/>
        <v>252</v>
      </c>
      <c r="N39" s="177">
        <f>SUMIFS('Support - Transition'!G:G,'Support - Transition'!J:J,'Step 2'!D39,'Support - Transition'!E:E,"2009 WELFARE ALLOCATION FACTOR")</f>
        <v>0</v>
      </c>
      <c r="O39" s="152">
        <f t="shared" si="9"/>
        <v>0</v>
      </c>
      <c r="P39" s="126">
        <f>IF(E39="Y",0,SUMIFS('Support - Transition'!G:G,'Support - Transition'!J:J,'Step 2'!D39,'Support - Transition'!E:E,"2009 SCHOOL ALLOCATION FACTOR"))</f>
        <v>0</v>
      </c>
      <c r="Q39" s="126">
        <f>IF(E39="Y",VLOOKUP(D39,'Support - Unit Adjustments'!F:G,2,FALSE),0)</f>
        <v>0</v>
      </c>
      <c r="R39" s="155">
        <f t="shared" si="2"/>
        <v>0</v>
      </c>
      <c r="S39" s="47">
        <f t="shared" si="10"/>
        <v>0</v>
      </c>
      <c r="T39" s="151">
        <f t="shared" si="3"/>
        <v>252</v>
      </c>
      <c r="U39" s="151">
        <f t="shared" si="4"/>
        <v>0</v>
      </c>
      <c r="V39" s="139">
        <f t="shared" si="5"/>
        <v>0</v>
      </c>
      <c r="W39" s="152">
        <f t="shared" si="11"/>
        <v>252</v>
      </c>
      <c r="X39" s="127" t="str">
        <f t="shared" si="6"/>
        <v/>
      </c>
      <c r="Y39" s="207">
        <f t="shared" si="12"/>
        <v>252</v>
      </c>
      <c r="Z39" s="139">
        <f t="shared" si="13"/>
        <v>159</v>
      </c>
      <c r="AA39" s="139">
        <f t="shared" si="14"/>
        <v>93</v>
      </c>
      <c r="AC39" s="47">
        <f t="shared" si="15"/>
        <v>126</v>
      </c>
      <c r="AD39" s="47">
        <f t="shared" si="16"/>
        <v>80</v>
      </c>
      <c r="AE39" s="47">
        <f t="shared" si="17"/>
        <v>47</v>
      </c>
      <c r="AG39" s="47">
        <f t="shared" si="18"/>
        <v>126</v>
      </c>
      <c r="AH39" s="47">
        <f t="shared" si="19"/>
        <v>79</v>
      </c>
      <c r="AI39" s="208">
        <f t="shared" si="20"/>
        <v>46</v>
      </c>
    </row>
    <row r="40" spans="1:35">
      <c r="A40" t="s">
        <v>2089</v>
      </c>
      <c r="B40" t="s">
        <v>3142</v>
      </c>
      <c r="C40" t="s">
        <v>2208</v>
      </c>
      <c r="D40" t="s">
        <v>3186</v>
      </c>
      <c r="F40" t="s">
        <v>16</v>
      </c>
      <c r="G40" s="126">
        <f>SUMIFS('Support - Transition'!F:F,'Support - Transition'!B:B,'Step 2'!A40,'Support - Transition'!C:C,'Step 2'!B40,'Support - Transition'!D:D,'Step 2'!C40,'Support - Transition'!E:E,"CIVIL")</f>
        <v>2.9E-5</v>
      </c>
      <c r="H40" s="126">
        <f>SUMIFS('Support - Transition'!F:F,'Support - Transition'!B:B,'Step 2'!A40,'Support - Transition'!C:C,'Step 2'!B40,'Support - Transition'!D:D,'Step 2'!C40,'Support - Transition'!E:E,"FIRE")</f>
        <v>1.2E-5</v>
      </c>
      <c r="I40" s="126">
        <f>IF(B40="0",SUMIFS('Support - Transition'!F:F,'Support - Transition'!J:J,'Step 2'!D40,'Support - Transition'!E:E,"STATE UNIT"),SUMIFS('Support - Transition'!F:F,'Support - Transition'!J:J,'Step 2'!D40))</f>
        <v>4.1E-5</v>
      </c>
      <c r="J40" s="126">
        <f>SUMIFS('Support - Unit Adjustments'!E:E,'Support - Unit Adjustments'!F:F,'Step 2'!D40)</f>
        <v>0</v>
      </c>
      <c r="K40" s="126">
        <f t="shared" si="0"/>
        <v>4.1E-5</v>
      </c>
      <c r="L40" s="174">
        <f>VLOOKUP(A40,'Step 1'!$A:$E,4,FALSE)</f>
        <v>3709709</v>
      </c>
      <c r="M40" s="47">
        <f t="shared" si="1"/>
        <v>152</v>
      </c>
      <c r="N40" s="177">
        <f>SUMIFS('Support - Transition'!G:G,'Support - Transition'!J:J,'Step 2'!D40,'Support - Transition'!E:E,"2009 WELFARE ALLOCATION FACTOR")</f>
        <v>0</v>
      </c>
      <c r="O40" s="152">
        <f t="shared" si="9"/>
        <v>0</v>
      </c>
      <c r="P40" s="126">
        <f>IF(E40="Y",0,SUMIFS('Support - Transition'!G:G,'Support - Transition'!J:J,'Step 2'!D40,'Support - Transition'!E:E,"2009 SCHOOL ALLOCATION FACTOR"))</f>
        <v>0</v>
      </c>
      <c r="Q40" s="126">
        <f>IF(E40="Y",VLOOKUP(D40,'Support - Unit Adjustments'!F:G,2,FALSE),0)</f>
        <v>0</v>
      </c>
      <c r="R40" s="155">
        <f t="shared" si="2"/>
        <v>0</v>
      </c>
      <c r="S40" s="47">
        <f t="shared" si="10"/>
        <v>0</v>
      </c>
      <c r="T40" s="151">
        <f t="shared" si="3"/>
        <v>152</v>
      </c>
      <c r="U40" s="151">
        <f t="shared" si="4"/>
        <v>0</v>
      </c>
      <c r="V40" s="139">
        <f t="shared" si="5"/>
        <v>0</v>
      </c>
      <c r="W40" s="152">
        <f t="shared" si="11"/>
        <v>152</v>
      </c>
      <c r="X40" s="127" t="str">
        <f t="shared" si="6"/>
        <v/>
      </c>
      <c r="Y40" s="207">
        <f t="shared" si="12"/>
        <v>152</v>
      </c>
      <c r="Z40" s="139">
        <f t="shared" si="13"/>
        <v>108</v>
      </c>
      <c r="AA40" s="139">
        <f t="shared" si="14"/>
        <v>44</v>
      </c>
      <c r="AC40" s="47">
        <f t="shared" si="15"/>
        <v>76</v>
      </c>
      <c r="AD40" s="47">
        <f t="shared" si="16"/>
        <v>54</v>
      </c>
      <c r="AE40" s="47">
        <f t="shared" si="17"/>
        <v>22</v>
      </c>
      <c r="AG40" s="47">
        <f t="shared" si="18"/>
        <v>76</v>
      </c>
      <c r="AH40" s="47">
        <f t="shared" si="19"/>
        <v>54</v>
      </c>
      <c r="AI40" s="208">
        <f t="shared" si="20"/>
        <v>22</v>
      </c>
    </row>
    <row r="41" spans="1:35">
      <c r="A41" t="s">
        <v>2089</v>
      </c>
      <c r="B41" t="s">
        <v>3142</v>
      </c>
      <c r="C41" t="s">
        <v>2209</v>
      </c>
      <c r="D41" t="s">
        <v>3187</v>
      </c>
      <c r="F41" t="s">
        <v>56</v>
      </c>
      <c r="G41" s="126">
        <f>SUMIFS('Support - Transition'!F:F,'Support - Transition'!B:B,'Step 2'!A41,'Support - Transition'!C:C,'Step 2'!B41,'Support - Transition'!D:D,'Step 2'!C41,'Support - Transition'!E:E,"CIVIL")</f>
        <v>9.7E-5</v>
      </c>
      <c r="H41" s="126">
        <f>SUMIFS('Support - Transition'!F:F,'Support - Transition'!B:B,'Step 2'!A41,'Support - Transition'!C:C,'Step 2'!B41,'Support - Transition'!D:D,'Step 2'!C41,'Support - Transition'!E:E,"FIRE")</f>
        <v>1.56E-4</v>
      </c>
      <c r="I41" s="126">
        <f>IF(B41="0",SUMIFS('Support - Transition'!F:F,'Support - Transition'!J:J,'Step 2'!D41,'Support - Transition'!E:E,"STATE UNIT"),SUMIFS('Support - Transition'!F:F,'Support - Transition'!J:J,'Step 2'!D41))</f>
        <v>2.5299999999999997E-4</v>
      </c>
      <c r="J41" s="126">
        <f>SUMIFS('Support - Unit Adjustments'!E:E,'Support - Unit Adjustments'!F:F,'Step 2'!D41)</f>
        <v>0</v>
      </c>
      <c r="K41" s="126">
        <f t="shared" si="0"/>
        <v>2.5299999999999997E-4</v>
      </c>
      <c r="L41" s="174">
        <f>VLOOKUP(A41,'Step 1'!$A:$E,4,FALSE)</f>
        <v>3709709</v>
      </c>
      <c r="M41" s="47">
        <f t="shared" si="1"/>
        <v>939</v>
      </c>
      <c r="N41" s="177">
        <f>SUMIFS('Support - Transition'!G:G,'Support - Transition'!J:J,'Step 2'!D41,'Support - Transition'!E:E,"2009 WELFARE ALLOCATION FACTOR")</f>
        <v>0</v>
      </c>
      <c r="O41" s="152">
        <f t="shared" si="9"/>
        <v>0</v>
      </c>
      <c r="P41" s="126">
        <f>IF(E41="Y",0,SUMIFS('Support - Transition'!G:G,'Support - Transition'!J:J,'Step 2'!D41,'Support - Transition'!E:E,"2009 SCHOOL ALLOCATION FACTOR"))</f>
        <v>0</v>
      </c>
      <c r="Q41" s="126">
        <f>IF(E41="Y",VLOOKUP(D41,'Support - Unit Adjustments'!F:G,2,FALSE),0)</f>
        <v>0</v>
      </c>
      <c r="R41" s="155">
        <f t="shared" si="2"/>
        <v>0</v>
      </c>
      <c r="S41" s="47">
        <f t="shared" si="10"/>
        <v>0</v>
      </c>
      <c r="T41" s="151">
        <f t="shared" si="3"/>
        <v>939</v>
      </c>
      <c r="U41" s="151">
        <f t="shared" si="4"/>
        <v>0</v>
      </c>
      <c r="V41" s="139">
        <f t="shared" si="5"/>
        <v>0</v>
      </c>
      <c r="W41" s="152">
        <f t="shared" si="11"/>
        <v>939</v>
      </c>
      <c r="X41" s="127" t="str">
        <f t="shared" si="6"/>
        <v/>
      </c>
      <c r="Y41" s="207">
        <f t="shared" si="12"/>
        <v>939</v>
      </c>
      <c r="Z41" s="139">
        <f t="shared" si="13"/>
        <v>360</v>
      </c>
      <c r="AA41" s="139">
        <f t="shared" si="14"/>
        <v>579</v>
      </c>
      <c r="AC41" s="47">
        <f t="shared" si="15"/>
        <v>470</v>
      </c>
      <c r="AD41" s="47">
        <f t="shared" si="16"/>
        <v>180</v>
      </c>
      <c r="AE41" s="47">
        <f t="shared" si="17"/>
        <v>290</v>
      </c>
      <c r="AG41" s="47">
        <f t="shared" si="18"/>
        <v>469</v>
      </c>
      <c r="AH41" s="47">
        <f t="shared" si="19"/>
        <v>180</v>
      </c>
      <c r="AI41" s="208">
        <f t="shared" si="20"/>
        <v>289</v>
      </c>
    </row>
    <row r="42" spans="1:35">
      <c r="A42" t="s">
        <v>2089</v>
      </c>
      <c r="B42" t="s">
        <v>3142</v>
      </c>
      <c r="C42" t="s">
        <v>2204</v>
      </c>
      <c r="D42" t="s">
        <v>3188</v>
      </c>
      <c r="F42" t="s">
        <v>57</v>
      </c>
      <c r="G42" s="126">
        <f>SUMIFS('Support - Transition'!F:F,'Support - Transition'!B:B,'Step 2'!A42,'Support - Transition'!C:C,'Step 2'!B42,'Support - Transition'!D:D,'Step 2'!C42,'Support - Transition'!E:E,"CIVIL")</f>
        <v>4.1999999999999998E-5</v>
      </c>
      <c r="H42" s="126">
        <f>SUMIFS('Support - Transition'!F:F,'Support - Transition'!B:B,'Step 2'!A42,'Support - Transition'!C:C,'Step 2'!B42,'Support - Transition'!D:D,'Step 2'!C42,'Support - Transition'!E:E,"FIRE")</f>
        <v>0</v>
      </c>
      <c r="I42" s="126">
        <f>IF(B42="0",SUMIFS('Support - Transition'!F:F,'Support - Transition'!J:J,'Step 2'!D42,'Support - Transition'!E:E,"STATE UNIT"),SUMIFS('Support - Transition'!F:F,'Support - Transition'!J:J,'Step 2'!D42))</f>
        <v>4.1999999999999998E-5</v>
      </c>
      <c r="J42" s="126">
        <f>SUMIFS('Support - Unit Adjustments'!E:E,'Support - Unit Adjustments'!F:F,'Step 2'!D42)</f>
        <v>0</v>
      </c>
      <c r="K42" s="126">
        <f t="shared" si="0"/>
        <v>4.1999999999999998E-5</v>
      </c>
      <c r="L42" s="174">
        <f>VLOOKUP(A42,'Step 1'!$A:$E,4,FALSE)</f>
        <v>3709709</v>
      </c>
      <c r="M42" s="47">
        <f t="shared" si="1"/>
        <v>156</v>
      </c>
      <c r="N42" s="177">
        <f>SUMIFS('Support - Transition'!G:G,'Support - Transition'!J:J,'Step 2'!D42,'Support - Transition'!E:E,"2009 WELFARE ALLOCATION FACTOR")</f>
        <v>0</v>
      </c>
      <c r="O42" s="152">
        <f t="shared" si="9"/>
        <v>0</v>
      </c>
      <c r="P42" s="126">
        <f>IF(E42="Y",0,SUMIFS('Support - Transition'!G:G,'Support - Transition'!J:J,'Step 2'!D42,'Support - Transition'!E:E,"2009 SCHOOL ALLOCATION FACTOR"))</f>
        <v>0</v>
      </c>
      <c r="Q42" s="126">
        <f>IF(E42="Y",VLOOKUP(D42,'Support - Unit Adjustments'!F:G,2,FALSE),0)</f>
        <v>0</v>
      </c>
      <c r="R42" s="155">
        <f t="shared" si="2"/>
        <v>0</v>
      </c>
      <c r="S42" s="47">
        <f t="shared" si="10"/>
        <v>0</v>
      </c>
      <c r="T42" s="151">
        <f t="shared" si="3"/>
        <v>156</v>
      </c>
      <c r="U42" s="151">
        <f t="shared" si="4"/>
        <v>0</v>
      </c>
      <c r="V42" s="139">
        <f t="shared" si="5"/>
        <v>0</v>
      </c>
      <c r="W42" s="152">
        <f t="shared" si="11"/>
        <v>156</v>
      </c>
      <c r="X42" s="127" t="str">
        <f t="shared" si="6"/>
        <v/>
      </c>
      <c r="Y42" s="207">
        <f t="shared" si="12"/>
        <v>156</v>
      </c>
      <c r="Z42" s="139">
        <f t="shared" si="13"/>
        <v>156</v>
      </c>
      <c r="AA42" s="139">
        <f t="shared" si="14"/>
        <v>0</v>
      </c>
      <c r="AC42" s="47">
        <f t="shared" si="15"/>
        <v>78</v>
      </c>
      <c r="AD42" s="47">
        <f t="shared" si="16"/>
        <v>78</v>
      </c>
      <c r="AE42" s="47">
        <f t="shared" si="17"/>
        <v>0</v>
      </c>
      <c r="AG42" s="47">
        <f t="shared" si="18"/>
        <v>78</v>
      </c>
      <c r="AH42" s="47">
        <f t="shared" si="19"/>
        <v>78</v>
      </c>
      <c r="AI42" s="208">
        <f t="shared" si="20"/>
        <v>0</v>
      </c>
    </row>
    <row r="43" spans="1:35">
      <c r="A43" t="s">
        <v>2089</v>
      </c>
      <c r="B43" t="s">
        <v>3142</v>
      </c>
      <c r="C43" t="s">
        <v>2210</v>
      </c>
      <c r="D43" t="s">
        <v>3189</v>
      </c>
      <c r="F43" t="s">
        <v>58</v>
      </c>
      <c r="G43" s="126">
        <f>SUMIFS('Support - Transition'!F:F,'Support - Transition'!B:B,'Step 2'!A43,'Support - Transition'!C:C,'Step 2'!B43,'Support - Transition'!D:D,'Step 2'!C43,'Support - Transition'!E:E,"CIVIL")</f>
        <v>9.9999999999999995E-7</v>
      </c>
      <c r="H43" s="126">
        <f>SUMIFS('Support - Transition'!F:F,'Support - Transition'!B:B,'Step 2'!A43,'Support - Transition'!C:C,'Step 2'!B43,'Support - Transition'!D:D,'Step 2'!C43,'Support - Transition'!E:E,"FIRE")</f>
        <v>9.9999999999999995E-7</v>
      </c>
      <c r="I43" s="126">
        <f>IF(B43="0",SUMIFS('Support - Transition'!F:F,'Support - Transition'!J:J,'Step 2'!D43,'Support - Transition'!E:E,"STATE UNIT"),SUMIFS('Support - Transition'!F:F,'Support - Transition'!J:J,'Step 2'!D43))</f>
        <v>1.9999999999999999E-6</v>
      </c>
      <c r="J43" s="126">
        <f>SUMIFS('Support - Unit Adjustments'!E:E,'Support - Unit Adjustments'!F:F,'Step 2'!D43)</f>
        <v>0</v>
      </c>
      <c r="K43" s="126">
        <f t="shared" si="0"/>
        <v>1.9999999999999999E-6</v>
      </c>
      <c r="L43" s="174">
        <f>VLOOKUP(A43,'Step 1'!$A:$E,4,FALSE)</f>
        <v>3709709</v>
      </c>
      <c r="M43" s="47">
        <f t="shared" si="1"/>
        <v>7</v>
      </c>
      <c r="N43" s="177">
        <f>SUMIFS('Support - Transition'!G:G,'Support - Transition'!J:J,'Step 2'!D43,'Support - Transition'!E:E,"2009 WELFARE ALLOCATION FACTOR")</f>
        <v>0</v>
      </c>
      <c r="O43" s="152">
        <f t="shared" si="9"/>
        <v>0</v>
      </c>
      <c r="P43" s="126">
        <f>IF(E43="Y",0,SUMIFS('Support - Transition'!G:G,'Support - Transition'!J:J,'Step 2'!D43,'Support - Transition'!E:E,"2009 SCHOOL ALLOCATION FACTOR"))</f>
        <v>0</v>
      </c>
      <c r="Q43" s="126">
        <f>IF(E43="Y",VLOOKUP(D43,'Support - Unit Adjustments'!F:G,2,FALSE),0)</f>
        <v>0</v>
      </c>
      <c r="R43" s="155">
        <f t="shared" si="2"/>
        <v>0</v>
      </c>
      <c r="S43" s="47">
        <f t="shared" si="10"/>
        <v>0</v>
      </c>
      <c r="T43" s="151">
        <f t="shared" si="3"/>
        <v>7</v>
      </c>
      <c r="U43" s="151">
        <f t="shared" si="4"/>
        <v>0</v>
      </c>
      <c r="V43" s="139">
        <f t="shared" si="5"/>
        <v>0</v>
      </c>
      <c r="W43" s="152">
        <f t="shared" si="11"/>
        <v>7</v>
      </c>
      <c r="X43" s="127" t="str">
        <f t="shared" si="6"/>
        <v/>
      </c>
      <c r="Y43" s="207">
        <f t="shared" si="12"/>
        <v>7</v>
      </c>
      <c r="Z43" s="139">
        <f t="shared" si="13"/>
        <v>4</v>
      </c>
      <c r="AA43" s="139">
        <f t="shared" si="14"/>
        <v>3</v>
      </c>
      <c r="AC43" s="47">
        <f t="shared" si="15"/>
        <v>4</v>
      </c>
      <c r="AD43" s="47">
        <f t="shared" si="16"/>
        <v>2</v>
      </c>
      <c r="AE43" s="47">
        <f t="shared" si="17"/>
        <v>2</v>
      </c>
      <c r="AG43" s="47">
        <f t="shared" si="18"/>
        <v>3</v>
      </c>
      <c r="AH43" s="47">
        <f t="shared" si="19"/>
        <v>2</v>
      </c>
      <c r="AI43" s="208">
        <f t="shared" si="20"/>
        <v>1</v>
      </c>
    </row>
    <row r="44" spans="1:35">
      <c r="A44" t="s">
        <v>2089</v>
      </c>
      <c r="B44" t="s">
        <v>3142</v>
      </c>
      <c r="C44" t="s">
        <v>2211</v>
      </c>
      <c r="D44" t="s">
        <v>3190</v>
      </c>
      <c r="F44" t="s">
        <v>59</v>
      </c>
      <c r="G44" s="126">
        <f>SUMIFS('Support - Transition'!F:F,'Support - Transition'!B:B,'Step 2'!A44,'Support - Transition'!C:C,'Step 2'!B44,'Support - Transition'!D:D,'Step 2'!C44,'Support - Transition'!E:E,"CIVIL")</f>
        <v>1.5300000000000001E-4</v>
      </c>
      <c r="H44" s="126">
        <f>SUMIFS('Support - Transition'!F:F,'Support - Transition'!B:B,'Step 2'!A44,'Support - Transition'!C:C,'Step 2'!B44,'Support - Transition'!D:D,'Step 2'!C44,'Support - Transition'!E:E,"FIRE")</f>
        <v>6.3999999999999997E-5</v>
      </c>
      <c r="I44" s="126">
        <f>IF(B44="0",SUMIFS('Support - Transition'!F:F,'Support - Transition'!J:J,'Step 2'!D44,'Support - Transition'!E:E,"STATE UNIT"),SUMIFS('Support - Transition'!F:F,'Support - Transition'!J:J,'Step 2'!D44))</f>
        <v>2.1700000000000002E-4</v>
      </c>
      <c r="J44" s="126">
        <f>SUMIFS('Support - Unit Adjustments'!E:E,'Support - Unit Adjustments'!F:F,'Step 2'!D44)</f>
        <v>0</v>
      </c>
      <c r="K44" s="126">
        <f t="shared" si="0"/>
        <v>2.1700000000000002E-4</v>
      </c>
      <c r="L44" s="174">
        <f>VLOOKUP(A44,'Step 1'!$A:$E,4,FALSE)</f>
        <v>3709709</v>
      </c>
      <c r="M44" s="47">
        <f t="shared" si="1"/>
        <v>805</v>
      </c>
      <c r="N44" s="177">
        <f>SUMIFS('Support - Transition'!G:G,'Support - Transition'!J:J,'Step 2'!D44,'Support - Transition'!E:E,"2009 WELFARE ALLOCATION FACTOR")</f>
        <v>0</v>
      </c>
      <c r="O44" s="152">
        <f t="shared" si="9"/>
        <v>0</v>
      </c>
      <c r="P44" s="126">
        <f>IF(E44="Y",0,SUMIFS('Support - Transition'!G:G,'Support - Transition'!J:J,'Step 2'!D44,'Support - Transition'!E:E,"2009 SCHOOL ALLOCATION FACTOR"))</f>
        <v>0</v>
      </c>
      <c r="Q44" s="126">
        <f>IF(E44="Y",VLOOKUP(D44,'Support - Unit Adjustments'!F:G,2,FALSE),0)</f>
        <v>0</v>
      </c>
      <c r="R44" s="155">
        <f t="shared" si="2"/>
        <v>0</v>
      </c>
      <c r="S44" s="47">
        <f t="shared" si="10"/>
        <v>0</v>
      </c>
      <c r="T44" s="151">
        <f t="shared" si="3"/>
        <v>805</v>
      </c>
      <c r="U44" s="151">
        <f t="shared" si="4"/>
        <v>0</v>
      </c>
      <c r="V44" s="139">
        <f t="shared" si="5"/>
        <v>0</v>
      </c>
      <c r="W44" s="152">
        <f t="shared" si="11"/>
        <v>805</v>
      </c>
      <c r="X44" s="127" t="str">
        <f t="shared" si="6"/>
        <v/>
      </c>
      <c r="Y44" s="207">
        <f t="shared" si="12"/>
        <v>805</v>
      </c>
      <c r="Z44" s="139">
        <f t="shared" si="13"/>
        <v>568</v>
      </c>
      <c r="AA44" s="139">
        <f t="shared" si="14"/>
        <v>237</v>
      </c>
      <c r="AC44" s="47">
        <f t="shared" si="15"/>
        <v>403</v>
      </c>
      <c r="AD44" s="47">
        <f t="shared" si="16"/>
        <v>284</v>
      </c>
      <c r="AE44" s="47">
        <f t="shared" si="17"/>
        <v>119</v>
      </c>
      <c r="AG44" s="47">
        <f t="shared" si="18"/>
        <v>402</v>
      </c>
      <c r="AH44" s="47">
        <f t="shared" si="19"/>
        <v>284</v>
      </c>
      <c r="AI44" s="208">
        <f t="shared" si="20"/>
        <v>118</v>
      </c>
    </row>
    <row r="45" spans="1:35">
      <c r="A45" t="s">
        <v>2089</v>
      </c>
      <c r="B45" t="s">
        <v>3142</v>
      </c>
      <c r="C45" t="s">
        <v>2212</v>
      </c>
      <c r="D45" t="s">
        <v>3191</v>
      </c>
      <c r="F45" t="s">
        <v>60</v>
      </c>
      <c r="G45" s="126">
        <f>SUMIFS('Support - Transition'!F:F,'Support - Transition'!B:B,'Step 2'!A45,'Support - Transition'!C:C,'Step 2'!B45,'Support - Transition'!D:D,'Step 2'!C45,'Support - Transition'!E:E,"CIVIL")</f>
        <v>2.61E-4</v>
      </c>
      <c r="H45" s="126">
        <f>SUMIFS('Support - Transition'!F:F,'Support - Transition'!B:B,'Step 2'!A45,'Support - Transition'!C:C,'Step 2'!B45,'Support - Transition'!D:D,'Step 2'!C45,'Support - Transition'!E:E,"FIRE")</f>
        <v>1.9000000000000001E-5</v>
      </c>
      <c r="I45" s="126">
        <f>IF(B45="0",SUMIFS('Support - Transition'!F:F,'Support - Transition'!J:J,'Step 2'!D45,'Support - Transition'!E:E,"STATE UNIT"),SUMIFS('Support - Transition'!F:F,'Support - Transition'!J:J,'Step 2'!D45))</f>
        <v>2.7999999999999998E-4</v>
      </c>
      <c r="J45" s="126">
        <f>SUMIFS('Support - Unit Adjustments'!E:E,'Support - Unit Adjustments'!F:F,'Step 2'!D45)</f>
        <v>0</v>
      </c>
      <c r="K45" s="126">
        <f t="shared" si="0"/>
        <v>2.7999999999999998E-4</v>
      </c>
      <c r="L45" s="174">
        <f>VLOOKUP(A45,'Step 1'!$A:$E,4,FALSE)</f>
        <v>3709709</v>
      </c>
      <c r="M45" s="47">
        <f t="shared" si="1"/>
        <v>1039</v>
      </c>
      <c r="N45" s="177">
        <f>SUMIFS('Support - Transition'!G:G,'Support - Transition'!J:J,'Step 2'!D45,'Support - Transition'!E:E,"2009 WELFARE ALLOCATION FACTOR")</f>
        <v>0</v>
      </c>
      <c r="O45" s="152">
        <f t="shared" si="9"/>
        <v>0</v>
      </c>
      <c r="P45" s="126">
        <f>IF(E45="Y",0,SUMIFS('Support - Transition'!G:G,'Support - Transition'!J:J,'Step 2'!D45,'Support - Transition'!E:E,"2009 SCHOOL ALLOCATION FACTOR"))</f>
        <v>0</v>
      </c>
      <c r="Q45" s="126">
        <f>IF(E45="Y",VLOOKUP(D45,'Support - Unit Adjustments'!F:G,2,FALSE),0)</f>
        <v>0</v>
      </c>
      <c r="R45" s="155">
        <f t="shared" si="2"/>
        <v>0</v>
      </c>
      <c r="S45" s="47">
        <f t="shared" si="10"/>
        <v>0</v>
      </c>
      <c r="T45" s="151">
        <f t="shared" si="3"/>
        <v>1039</v>
      </c>
      <c r="U45" s="151">
        <f t="shared" si="4"/>
        <v>0</v>
      </c>
      <c r="V45" s="139">
        <f t="shared" si="5"/>
        <v>0</v>
      </c>
      <c r="W45" s="152">
        <f t="shared" si="11"/>
        <v>1039</v>
      </c>
      <c r="X45" s="127" t="str">
        <f t="shared" si="6"/>
        <v/>
      </c>
      <c r="Y45" s="207">
        <f t="shared" si="12"/>
        <v>1039</v>
      </c>
      <c r="Z45" s="139">
        <f t="shared" si="13"/>
        <v>968</v>
      </c>
      <c r="AA45" s="139">
        <f t="shared" si="14"/>
        <v>71</v>
      </c>
      <c r="AC45" s="47">
        <f t="shared" si="15"/>
        <v>520</v>
      </c>
      <c r="AD45" s="47">
        <f t="shared" si="16"/>
        <v>484</v>
      </c>
      <c r="AE45" s="47">
        <f t="shared" si="17"/>
        <v>36</v>
      </c>
      <c r="AG45" s="47">
        <f t="shared" si="18"/>
        <v>519</v>
      </c>
      <c r="AH45" s="47">
        <f t="shared" si="19"/>
        <v>484</v>
      </c>
      <c r="AI45" s="208">
        <f t="shared" si="20"/>
        <v>35</v>
      </c>
    </row>
    <row r="46" spans="1:35">
      <c r="A46" t="s">
        <v>2089</v>
      </c>
      <c r="B46" t="s">
        <v>3142</v>
      </c>
      <c r="C46" t="s">
        <v>2213</v>
      </c>
      <c r="D46" t="s">
        <v>3192</v>
      </c>
      <c r="F46" t="s">
        <v>22</v>
      </c>
      <c r="G46" s="126">
        <f>SUMIFS('Support - Transition'!F:F,'Support - Transition'!B:B,'Step 2'!A46,'Support - Transition'!C:C,'Step 2'!B46,'Support - Transition'!D:D,'Step 2'!C46,'Support - Transition'!E:E,"CIVIL")</f>
        <v>1.389E-3</v>
      </c>
      <c r="H46" s="126">
        <f>SUMIFS('Support - Transition'!F:F,'Support - Transition'!B:B,'Step 2'!A46,'Support - Transition'!C:C,'Step 2'!B46,'Support - Transition'!D:D,'Step 2'!C46,'Support - Transition'!E:E,"FIRE")</f>
        <v>8.8999999999999995E-5</v>
      </c>
      <c r="I46" s="126">
        <f>IF(B46="0",SUMIFS('Support - Transition'!F:F,'Support - Transition'!J:J,'Step 2'!D46,'Support - Transition'!E:E,"STATE UNIT"),SUMIFS('Support - Transition'!F:F,'Support - Transition'!J:J,'Step 2'!D46))</f>
        <v>1.4780000000000001E-3</v>
      </c>
      <c r="J46" s="126">
        <f>SUMIFS('Support - Unit Adjustments'!E:E,'Support - Unit Adjustments'!F:F,'Step 2'!D46)</f>
        <v>0</v>
      </c>
      <c r="K46" s="126">
        <f t="shared" si="0"/>
        <v>1.4780000000000001E-3</v>
      </c>
      <c r="L46" s="174">
        <f>VLOOKUP(A46,'Step 1'!$A:$E,4,FALSE)</f>
        <v>3709709</v>
      </c>
      <c r="M46" s="47">
        <f t="shared" si="1"/>
        <v>5483</v>
      </c>
      <c r="N46" s="177">
        <f>SUMIFS('Support - Transition'!G:G,'Support - Transition'!J:J,'Step 2'!D46,'Support - Transition'!E:E,"2009 WELFARE ALLOCATION FACTOR")</f>
        <v>0</v>
      </c>
      <c r="O46" s="152">
        <f t="shared" si="9"/>
        <v>0</v>
      </c>
      <c r="P46" s="126">
        <f>IF(E46="Y",0,SUMIFS('Support - Transition'!G:G,'Support - Transition'!J:J,'Step 2'!D46,'Support - Transition'!E:E,"2009 SCHOOL ALLOCATION FACTOR"))</f>
        <v>0</v>
      </c>
      <c r="Q46" s="126">
        <f>IF(E46="Y",VLOOKUP(D46,'Support - Unit Adjustments'!F:G,2,FALSE),0)</f>
        <v>0</v>
      </c>
      <c r="R46" s="155">
        <f t="shared" si="2"/>
        <v>0</v>
      </c>
      <c r="S46" s="47">
        <f t="shared" si="10"/>
        <v>0</v>
      </c>
      <c r="T46" s="151">
        <f t="shared" si="3"/>
        <v>5483</v>
      </c>
      <c r="U46" s="151">
        <f t="shared" si="4"/>
        <v>0</v>
      </c>
      <c r="V46" s="139">
        <f t="shared" si="5"/>
        <v>0</v>
      </c>
      <c r="W46" s="152">
        <f t="shared" si="11"/>
        <v>5483</v>
      </c>
      <c r="X46" s="127" t="str">
        <f t="shared" si="6"/>
        <v/>
      </c>
      <c r="Y46" s="207">
        <f t="shared" si="12"/>
        <v>5483</v>
      </c>
      <c r="Z46" s="139">
        <f t="shared" si="13"/>
        <v>5153</v>
      </c>
      <c r="AA46" s="139">
        <f t="shared" si="14"/>
        <v>330</v>
      </c>
      <c r="AC46" s="47">
        <f t="shared" si="15"/>
        <v>2742</v>
      </c>
      <c r="AD46" s="47">
        <f t="shared" si="16"/>
        <v>2577</v>
      </c>
      <c r="AE46" s="47">
        <f t="shared" si="17"/>
        <v>165</v>
      </c>
      <c r="AG46" s="47">
        <f t="shared" si="18"/>
        <v>2741</v>
      </c>
      <c r="AH46" s="47">
        <f t="shared" si="19"/>
        <v>2576</v>
      </c>
      <c r="AI46" s="208">
        <f t="shared" si="20"/>
        <v>165</v>
      </c>
    </row>
    <row r="47" spans="1:35">
      <c r="A47" t="s">
        <v>2089</v>
      </c>
      <c r="B47" t="s">
        <v>3142</v>
      </c>
      <c r="C47" t="s">
        <v>2214</v>
      </c>
      <c r="D47" t="s">
        <v>3193</v>
      </c>
      <c r="F47" t="s">
        <v>61</v>
      </c>
      <c r="G47" s="126">
        <f>SUMIFS('Support - Transition'!F:F,'Support - Transition'!B:B,'Step 2'!A47,'Support - Transition'!C:C,'Step 2'!B47,'Support - Transition'!D:D,'Step 2'!C47,'Support - Transition'!E:E,"CIVIL")</f>
        <v>1.1211E-2</v>
      </c>
      <c r="H47" s="126">
        <f>SUMIFS('Support - Transition'!F:F,'Support - Transition'!B:B,'Step 2'!A47,'Support - Transition'!C:C,'Step 2'!B47,'Support - Transition'!D:D,'Step 2'!C47,'Support - Transition'!E:E,"FIRE")</f>
        <v>0</v>
      </c>
      <c r="I47" s="126">
        <f>IF(B47="0",SUMIFS('Support - Transition'!F:F,'Support - Transition'!J:J,'Step 2'!D47,'Support - Transition'!E:E,"STATE UNIT"),SUMIFS('Support - Transition'!F:F,'Support - Transition'!J:J,'Step 2'!D47))</f>
        <v>1.1211E-2</v>
      </c>
      <c r="J47" s="126">
        <f>SUMIFS('Support - Unit Adjustments'!E:E,'Support - Unit Adjustments'!F:F,'Step 2'!D47)</f>
        <v>0</v>
      </c>
      <c r="K47" s="126">
        <f t="shared" si="0"/>
        <v>1.1211E-2</v>
      </c>
      <c r="L47" s="174">
        <f>VLOOKUP(A47,'Step 1'!$A:$E,4,FALSE)</f>
        <v>3709709</v>
      </c>
      <c r="M47" s="47">
        <f t="shared" si="1"/>
        <v>41590</v>
      </c>
      <c r="N47" s="177">
        <f>SUMIFS('Support - Transition'!G:G,'Support - Transition'!J:J,'Step 2'!D47,'Support - Transition'!E:E,"2009 WELFARE ALLOCATION FACTOR")</f>
        <v>0</v>
      </c>
      <c r="O47" s="152">
        <f t="shared" si="9"/>
        <v>0</v>
      </c>
      <c r="P47" s="126">
        <f>IF(E47="Y",0,SUMIFS('Support - Transition'!G:G,'Support - Transition'!J:J,'Step 2'!D47,'Support - Transition'!E:E,"2009 SCHOOL ALLOCATION FACTOR"))</f>
        <v>0</v>
      </c>
      <c r="Q47" s="126">
        <f>IF(E47="Y",VLOOKUP(D47,'Support - Unit Adjustments'!F:G,2,FALSE),0)</f>
        <v>0</v>
      </c>
      <c r="R47" s="155">
        <f t="shared" si="2"/>
        <v>0</v>
      </c>
      <c r="S47" s="47">
        <f t="shared" si="10"/>
        <v>0</v>
      </c>
      <c r="T47" s="151">
        <f t="shared" si="3"/>
        <v>41590</v>
      </c>
      <c r="U47" s="151">
        <f t="shared" si="4"/>
        <v>0</v>
      </c>
      <c r="V47" s="139">
        <f t="shared" si="5"/>
        <v>0</v>
      </c>
      <c r="W47" s="152">
        <f t="shared" si="11"/>
        <v>41590</v>
      </c>
      <c r="X47" s="127" t="str">
        <f t="shared" si="6"/>
        <v/>
      </c>
      <c r="Y47" s="207">
        <f t="shared" si="12"/>
        <v>41590</v>
      </c>
      <c r="Z47" s="139">
        <f t="shared" si="13"/>
        <v>41590</v>
      </c>
      <c r="AA47" s="139">
        <f t="shared" si="14"/>
        <v>0</v>
      </c>
      <c r="AC47" s="47">
        <f t="shared" si="15"/>
        <v>20795</v>
      </c>
      <c r="AD47" s="47">
        <f t="shared" si="16"/>
        <v>20795</v>
      </c>
      <c r="AE47" s="47">
        <f t="shared" si="17"/>
        <v>0</v>
      </c>
      <c r="AG47" s="47">
        <f t="shared" si="18"/>
        <v>20795</v>
      </c>
      <c r="AH47" s="47">
        <f t="shared" si="19"/>
        <v>20795</v>
      </c>
      <c r="AI47" s="208">
        <f t="shared" si="20"/>
        <v>0</v>
      </c>
    </row>
    <row r="48" spans="1:35">
      <c r="A48" t="s">
        <v>2089</v>
      </c>
      <c r="B48" t="s">
        <v>3155</v>
      </c>
      <c r="C48" t="s">
        <v>2215</v>
      </c>
      <c r="D48" t="s">
        <v>3194</v>
      </c>
      <c r="F48" t="s">
        <v>62</v>
      </c>
      <c r="G48" s="126">
        <f>SUMIFS('Support - Transition'!F:F,'Support - Transition'!B:B,'Step 2'!A48,'Support - Transition'!C:C,'Step 2'!B48,'Support - Transition'!D:D,'Step 2'!C48,'Support - Transition'!E:E,"CIVIL")</f>
        <v>0</v>
      </c>
      <c r="H48" s="126">
        <f>SUMIFS('Support - Transition'!F:F,'Support - Transition'!B:B,'Step 2'!A48,'Support - Transition'!C:C,'Step 2'!B48,'Support - Transition'!D:D,'Step 2'!C48,'Support - Transition'!E:E,"FIRE")</f>
        <v>0</v>
      </c>
      <c r="I48" s="126">
        <f>IF(B48="0",SUMIFS('Support - Transition'!F:F,'Support - Transition'!J:J,'Step 2'!D48,'Support - Transition'!E:E,"STATE UNIT"),SUMIFS('Support - Transition'!F:F,'Support - Transition'!J:J,'Step 2'!D48))</f>
        <v>0.17504900000000001</v>
      </c>
      <c r="J48" s="126">
        <f>SUMIFS('Support - Unit Adjustments'!E:E,'Support - Unit Adjustments'!F:F,'Step 2'!D48)</f>
        <v>0</v>
      </c>
      <c r="K48" s="126">
        <f t="shared" si="0"/>
        <v>0.17504900000000001</v>
      </c>
      <c r="L48" s="174">
        <f>VLOOKUP(A48,'Step 1'!$A:$E,4,FALSE)</f>
        <v>3709709</v>
      </c>
      <c r="M48" s="47">
        <f t="shared" si="1"/>
        <v>649381</v>
      </c>
      <c r="N48" s="177">
        <f>SUMIFS('Support - Transition'!G:G,'Support - Transition'!J:J,'Step 2'!D48,'Support - Transition'!E:E,"2009 WELFARE ALLOCATION FACTOR")</f>
        <v>0</v>
      </c>
      <c r="O48" s="152">
        <f t="shared" si="9"/>
        <v>0</v>
      </c>
      <c r="P48" s="126">
        <f>IF(E48="Y",0,SUMIFS('Support - Transition'!G:G,'Support - Transition'!J:J,'Step 2'!D48,'Support - Transition'!E:E,"2009 SCHOOL ALLOCATION FACTOR"))</f>
        <v>0</v>
      </c>
      <c r="Q48" s="126">
        <f>IF(E48="Y",VLOOKUP(D48,'Support - Unit Adjustments'!F:G,2,FALSE),0)</f>
        <v>0</v>
      </c>
      <c r="R48" s="155">
        <f t="shared" si="2"/>
        <v>0</v>
      </c>
      <c r="S48" s="47">
        <f t="shared" si="10"/>
        <v>0</v>
      </c>
      <c r="T48" s="151">
        <f t="shared" si="3"/>
        <v>649381</v>
      </c>
      <c r="U48" s="151">
        <f t="shared" si="4"/>
        <v>0</v>
      </c>
      <c r="V48" s="139">
        <f t="shared" si="5"/>
        <v>0</v>
      </c>
      <c r="W48" s="152">
        <f t="shared" si="11"/>
        <v>649381</v>
      </c>
      <c r="X48" s="127" t="str">
        <f t="shared" si="6"/>
        <v/>
      </c>
      <c r="Y48" s="207">
        <f t="shared" si="12"/>
        <v>649381</v>
      </c>
      <c r="Z48" s="139">
        <f t="shared" si="13"/>
        <v>649381</v>
      </c>
      <c r="AA48" s="139">
        <f t="shared" si="14"/>
        <v>0</v>
      </c>
      <c r="AC48" s="47">
        <f t="shared" si="15"/>
        <v>324691</v>
      </c>
      <c r="AD48" s="47">
        <f t="shared" si="16"/>
        <v>324691</v>
      </c>
      <c r="AE48" s="47">
        <f t="shared" si="17"/>
        <v>0</v>
      </c>
      <c r="AG48" s="47">
        <f t="shared" si="18"/>
        <v>324690</v>
      </c>
      <c r="AH48" s="47">
        <f t="shared" si="19"/>
        <v>324690</v>
      </c>
      <c r="AI48" s="208">
        <f t="shared" si="20"/>
        <v>0</v>
      </c>
    </row>
    <row r="49" spans="1:35">
      <c r="A49" t="s">
        <v>2089</v>
      </c>
      <c r="B49" t="s">
        <v>3155</v>
      </c>
      <c r="C49" t="s">
        <v>2216</v>
      </c>
      <c r="D49" t="s">
        <v>3195</v>
      </c>
      <c r="F49" t="s">
        <v>67</v>
      </c>
      <c r="G49" s="126">
        <f>SUMIFS('Support - Transition'!F:F,'Support - Transition'!B:B,'Step 2'!A49,'Support - Transition'!C:C,'Step 2'!B49,'Support - Transition'!D:D,'Step 2'!C49,'Support - Transition'!E:E,"CIVIL")</f>
        <v>0</v>
      </c>
      <c r="H49" s="126">
        <f>SUMIFS('Support - Transition'!F:F,'Support - Transition'!B:B,'Step 2'!A49,'Support - Transition'!C:C,'Step 2'!B49,'Support - Transition'!D:D,'Step 2'!C49,'Support - Transition'!E:E,"FIRE")</f>
        <v>0</v>
      </c>
      <c r="I49" s="126">
        <f>IF(B49="0",SUMIFS('Support - Transition'!F:F,'Support - Transition'!J:J,'Step 2'!D49,'Support - Transition'!E:E,"STATE UNIT"),SUMIFS('Support - Transition'!F:F,'Support - Transition'!J:J,'Step 2'!D49))</f>
        <v>2.9343999999999999E-2</v>
      </c>
      <c r="J49" s="126">
        <f>SUMIFS('Support - Unit Adjustments'!E:E,'Support - Unit Adjustments'!F:F,'Step 2'!D49)</f>
        <v>0</v>
      </c>
      <c r="K49" s="126">
        <f t="shared" si="0"/>
        <v>2.9343999999999999E-2</v>
      </c>
      <c r="L49" s="174">
        <f>VLOOKUP(A49,'Step 1'!$A:$E,4,FALSE)</f>
        <v>3709709</v>
      </c>
      <c r="M49" s="47">
        <f t="shared" si="1"/>
        <v>108858</v>
      </c>
      <c r="N49" s="177">
        <f>SUMIFS('Support - Transition'!G:G,'Support - Transition'!J:J,'Step 2'!D49,'Support - Transition'!E:E,"2009 WELFARE ALLOCATION FACTOR")</f>
        <v>0</v>
      </c>
      <c r="O49" s="152">
        <f t="shared" si="9"/>
        <v>0</v>
      </c>
      <c r="P49" s="126">
        <f>IF(E49="Y",0,SUMIFS('Support - Transition'!G:G,'Support - Transition'!J:J,'Step 2'!D49,'Support - Transition'!E:E,"2009 SCHOOL ALLOCATION FACTOR"))</f>
        <v>0</v>
      </c>
      <c r="Q49" s="126">
        <f>IF(E49="Y",VLOOKUP(D49,'Support - Unit Adjustments'!F:G,2,FALSE),0)</f>
        <v>0</v>
      </c>
      <c r="R49" s="155">
        <f t="shared" si="2"/>
        <v>0</v>
      </c>
      <c r="S49" s="47">
        <f t="shared" si="10"/>
        <v>0</v>
      </c>
      <c r="T49" s="151">
        <f t="shared" si="3"/>
        <v>108858</v>
      </c>
      <c r="U49" s="151">
        <f t="shared" si="4"/>
        <v>0</v>
      </c>
      <c r="V49" s="139">
        <f t="shared" si="5"/>
        <v>0</v>
      </c>
      <c r="W49" s="152">
        <f t="shared" si="11"/>
        <v>108858</v>
      </c>
      <c r="X49" s="127" t="str">
        <f t="shared" si="6"/>
        <v/>
      </c>
      <c r="Y49" s="207">
        <f t="shared" si="12"/>
        <v>108858</v>
      </c>
      <c r="Z49" s="139">
        <f t="shared" si="13"/>
        <v>108858</v>
      </c>
      <c r="AA49" s="139">
        <f t="shared" si="14"/>
        <v>0</v>
      </c>
      <c r="AC49" s="47">
        <f t="shared" si="15"/>
        <v>54429</v>
      </c>
      <c r="AD49" s="47">
        <f t="shared" si="16"/>
        <v>54429</v>
      </c>
      <c r="AE49" s="47">
        <f t="shared" si="17"/>
        <v>0</v>
      </c>
      <c r="AG49" s="47">
        <f t="shared" si="18"/>
        <v>54429</v>
      </c>
      <c r="AH49" s="47">
        <f t="shared" si="19"/>
        <v>54429</v>
      </c>
      <c r="AI49" s="208">
        <f t="shared" si="20"/>
        <v>0</v>
      </c>
    </row>
    <row r="50" spans="1:35">
      <c r="A50" t="s">
        <v>2089</v>
      </c>
      <c r="B50" t="s">
        <v>3155</v>
      </c>
      <c r="C50" t="s">
        <v>2217</v>
      </c>
      <c r="D50" t="s">
        <v>3196</v>
      </c>
      <c r="F50" t="s">
        <v>68</v>
      </c>
      <c r="G50" s="126">
        <f>SUMIFS('Support - Transition'!F:F,'Support - Transition'!B:B,'Step 2'!A50,'Support - Transition'!C:C,'Step 2'!B50,'Support - Transition'!D:D,'Step 2'!C50,'Support - Transition'!E:E,"CIVIL")</f>
        <v>0</v>
      </c>
      <c r="H50" s="126">
        <f>SUMIFS('Support - Transition'!F:F,'Support - Transition'!B:B,'Step 2'!A50,'Support - Transition'!C:C,'Step 2'!B50,'Support - Transition'!D:D,'Step 2'!C50,'Support - Transition'!E:E,"FIRE")</f>
        <v>0</v>
      </c>
      <c r="I50" s="126">
        <f>IF(B50="0",SUMIFS('Support - Transition'!F:F,'Support - Transition'!J:J,'Step 2'!D50,'Support - Transition'!E:E,"STATE UNIT"),SUMIFS('Support - Transition'!F:F,'Support - Transition'!J:J,'Step 2'!D50))</f>
        <v>2.43E-4</v>
      </c>
      <c r="J50" s="126">
        <f>SUMIFS('Support - Unit Adjustments'!E:E,'Support - Unit Adjustments'!F:F,'Step 2'!D50)</f>
        <v>0</v>
      </c>
      <c r="K50" s="126">
        <f t="shared" si="0"/>
        <v>2.43E-4</v>
      </c>
      <c r="L50" s="174">
        <f>VLOOKUP(A50,'Step 1'!$A:$E,4,FALSE)</f>
        <v>3709709</v>
      </c>
      <c r="M50" s="47">
        <f t="shared" si="1"/>
        <v>901</v>
      </c>
      <c r="N50" s="177">
        <f>SUMIFS('Support - Transition'!G:G,'Support - Transition'!J:J,'Step 2'!D50,'Support - Transition'!E:E,"2009 WELFARE ALLOCATION FACTOR")</f>
        <v>0</v>
      </c>
      <c r="O50" s="152">
        <f t="shared" si="9"/>
        <v>0</v>
      </c>
      <c r="P50" s="126">
        <f>IF(E50="Y",0,SUMIFS('Support - Transition'!G:G,'Support - Transition'!J:J,'Step 2'!D50,'Support - Transition'!E:E,"2009 SCHOOL ALLOCATION FACTOR"))</f>
        <v>0</v>
      </c>
      <c r="Q50" s="126">
        <f>IF(E50="Y",VLOOKUP(D50,'Support - Unit Adjustments'!F:G,2,FALSE),0)</f>
        <v>0</v>
      </c>
      <c r="R50" s="155">
        <f t="shared" si="2"/>
        <v>0</v>
      </c>
      <c r="S50" s="47">
        <f t="shared" si="10"/>
        <v>0</v>
      </c>
      <c r="T50" s="151">
        <f t="shared" si="3"/>
        <v>901</v>
      </c>
      <c r="U50" s="151">
        <f t="shared" si="4"/>
        <v>0</v>
      </c>
      <c r="V50" s="139">
        <f t="shared" si="5"/>
        <v>0</v>
      </c>
      <c r="W50" s="152">
        <f t="shared" si="11"/>
        <v>901</v>
      </c>
      <c r="X50" s="127" t="str">
        <f t="shared" si="6"/>
        <v/>
      </c>
      <c r="Y50" s="207">
        <f t="shared" si="12"/>
        <v>901</v>
      </c>
      <c r="Z50" s="139">
        <f t="shared" si="13"/>
        <v>901</v>
      </c>
      <c r="AA50" s="139">
        <f t="shared" si="14"/>
        <v>0</v>
      </c>
      <c r="AC50" s="47">
        <f t="shared" si="15"/>
        <v>451</v>
      </c>
      <c r="AD50" s="47">
        <f t="shared" si="16"/>
        <v>451</v>
      </c>
      <c r="AE50" s="47">
        <f t="shared" si="17"/>
        <v>0</v>
      </c>
      <c r="AG50" s="47">
        <f t="shared" si="18"/>
        <v>450</v>
      </c>
      <c r="AH50" s="47">
        <f t="shared" si="19"/>
        <v>450</v>
      </c>
      <c r="AI50" s="208">
        <f t="shared" si="20"/>
        <v>0</v>
      </c>
    </row>
    <row r="51" spans="1:35">
      <c r="A51" t="s">
        <v>2089</v>
      </c>
      <c r="B51" t="s">
        <v>3155</v>
      </c>
      <c r="C51" t="s">
        <v>2218</v>
      </c>
      <c r="D51" t="s">
        <v>3197</v>
      </c>
      <c r="F51" t="s">
        <v>69</v>
      </c>
      <c r="G51" s="126">
        <f>SUMIFS('Support - Transition'!F:F,'Support - Transition'!B:B,'Step 2'!A51,'Support - Transition'!C:C,'Step 2'!B51,'Support - Transition'!D:D,'Step 2'!C51,'Support - Transition'!E:E,"CIVIL")</f>
        <v>0</v>
      </c>
      <c r="H51" s="126">
        <f>SUMIFS('Support - Transition'!F:F,'Support - Transition'!B:B,'Step 2'!A51,'Support - Transition'!C:C,'Step 2'!B51,'Support - Transition'!D:D,'Step 2'!C51,'Support - Transition'!E:E,"FIRE")</f>
        <v>0</v>
      </c>
      <c r="I51" s="126">
        <f>IF(B51="0",SUMIFS('Support - Transition'!F:F,'Support - Transition'!J:J,'Step 2'!D51,'Support - Transition'!E:E,"STATE UNIT"),SUMIFS('Support - Transition'!F:F,'Support - Transition'!J:J,'Step 2'!D51))</f>
        <v>0</v>
      </c>
      <c r="J51" s="126">
        <f>SUMIFS('Support - Unit Adjustments'!E:E,'Support - Unit Adjustments'!F:F,'Step 2'!D51)</f>
        <v>0</v>
      </c>
      <c r="K51" s="126">
        <f t="shared" si="0"/>
        <v>0</v>
      </c>
      <c r="L51" s="174">
        <f>VLOOKUP(A51,'Step 1'!$A:$E,4,FALSE)</f>
        <v>3709709</v>
      </c>
      <c r="M51" s="47">
        <f t="shared" si="1"/>
        <v>0</v>
      </c>
      <c r="N51" s="177">
        <f>SUMIFS('Support - Transition'!G:G,'Support - Transition'!J:J,'Step 2'!D51,'Support - Transition'!E:E,"2009 WELFARE ALLOCATION FACTOR")</f>
        <v>0</v>
      </c>
      <c r="O51" s="152">
        <f t="shared" si="9"/>
        <v>0</v>
      </c>
      <c r="P51" s="126">
        <f>IF(E51="Y",0,SUMIFS('Support - Transition'!G:G,'Support - Transition'!J:J,'Step 2'!D51,'Support - Transition'!E:E,"2009 SCHOOL ALLOCATION FACTOR"))</f>
        <v>0</v>
      </c>
      <c r="Q51" s="126">
        <f>IF(E51="Y",VLOOKUP(D51,'Support - Unit Adjustments'!F:G,2,FALSE),0)</f>
        <v>0</v>
      </c>
      <c r="R51" s="155">
        <f t="shared" si="2"/>
        <v>0</v>
      </c>
      <c r="S51" s="47">
        <f t="shared" si="10"/>
        <v>0</v>
      </c>
      <c r="T51" s="151">
        <f t="shared" si="3"/>
        <v>0</v>
      </c>
      <c r="U51" s="151">
        <f t="shared" si="4"/>
        <v>0</v>
      </c>
      <c r="V51" s="139">
        <f t="shared" si="5"/>
        <v>0</v>
      </c>
      <c r="W51" s="152">
        <f t="shared" si="11"/>
        <v>0</v>
      </c>
      <c r="X51" s="127" t="str">
        <f t="shared" si="6"/>
        <v/>
      </c>
      <c r="Y51" s="207">
        <f t="shared" si="12"/>
        <v>0</v>
      </c>
      <c r="Z51" s="139">
        <f t="shared" si="13"/>
        <v>0</v>
      </c>
      <c r="AA51" s="139">
        <f t="shared" si="14"/>
        <v>0</v>
      </c>
      <c r="AC51" s="47">
        <f t="shared" si="15"/>
        <v>0</v>
      </c>
      <c r="AD51" s="47">
        <f t="shared" si="16"/>
        <v>0</v>
      </c>
      <c r="AE51" s="47">
        <f t="shared" si="17"/>
        <v>0</v>
      </c>
      <c r="AG51" s="47">
        <f t="shared" si="18"/>
        <v>0</v>
      </c>
      <c r="AH51" s="47">
        <f t="shared" si="19"/>
        <v>0</v>
      </c>
      <c r="AI51" s="208">
        <f t="shared" si="20"/>
        <v>0</v>
      </c>
    </row>
    <row r="52" spans="1:35">
      <c r="A52" t="s">
        <v>2089</v>
      </c>
      <c r="B52" t="s">
        <v>3155</v>
      </c>
      <c r="C52" t="s">
        <v>2219</v>
      </c>
      <c r="D52" t="s">
        <v>3198</v>
      </c>
      <c r="F52" t="s">
        <v>63</v>
      </c>
      <c r="G52" s="126">
        <f>SUMIFS('Support - Transition'!F:F,'Support - Transition'!B:B,'Step 2'!A52,'Support - Transition'!C:C,'Step 2'!B52,'Support - Transition'!D:D,'Step 2'!C52,'Support - Transition'!E:E,"CIVIL")</f>
        <v>0</v>
      </c>
      <c r="H52" s="126">
        <f>SUMIFS('Support - Transition'!F:F,'Support - Transition'!B:B,'Step 2'!A52,'Support - Transition'!C:C,'Step 2'!B52,'Support - Transition'!D:D,'Step 2'!C52,'Support - Transition'!E:E,"FIRE")</f>
        <v>0</v>
      </c>
      <c r="I52" s="126">
        <f>IF(B52="0",SUMIFS('Support - Transition'!F:F,'Support - Transition'!J:J,'Step 2'!D52,'Support - Transition'!E:E,"STATE UNIT"),SUMIFS('Support - Transition'!F:F,'Support - Transition'!J:J,'Step 2'!D52))</f>
        <v>1.92E-4</v>
      </c>
      <c r="J52" s="126">
        <f>SUMIFS('Support - Unit Adjustments'!E:E,'Support - Unit Adjustments'!F:F,'Step 2'!D52)</f>
        <v>0</v>
      </c>
      <c r="K52" s="126">
        <f t="shared" si="0"/>
        <v>1.92E-4</v>
      </c>
      <c r="L52" s="174">
        <f>VLOOKUP(A52,'Step 1'!$A:$E,4,FALSE)</f>
        <v>3709709</v>
      </c>
      <c r="M52" s="47">
        <f t="shared" si="1"/>
        <v>712</v>
      </c>
      <c r="N52" s="177">
        <f>SUMIFS('Support - Transition'!G:G,'Support - Transition'!J:J,'Step 2'!D52,'Support - Transition'!E:E,"2009 WELFARE ALLOCATION FACTOR")</f>
        <v>0</v>
      </c>
      <c r="O52" s="152">
        <f t="shared" si="9"/>
        <v>0</v>
      </c>
      <c r="P52" s="126">
        <f>IF(E52="Y",0,SUMIFS('Support - Transition'!G:G,'Support - Transition'!J:J,'Step 2'!D52,'Support - Transition'!E:E,"2009 SCHOOL ALLOCATION FACTOR"))</f>
        <v>0</v>
      </c>
      <c r="Q52" s="126">
        <f>IF(E52="Y",VLOOKUP(D52,'Support - Unit Adjustments'!F:G,2,FALSE),0)</f>
        <v>0</v>
      </c>
      <c r="R52" s="155">
        <f t="shared" si="2"/>
        <v>0</v>
      </c>
      <c r="S52" s="47">
        <f t="shared" si="10"/>
        <v>0</v>
      </c>
      <c r="T52" s="151">
        <f t="shared" si="3"/>
        <v>712</v>
      </c>
      <c r="U52" s="151">
        <f t="shared" si="4"/>
        <v>0</v>
      </c>
      <c r="V52" s="139">
        <f t="shared" si="5"/>
        <v>0</v>
      </c>
      <c r="W52" s="152">
        <f t="shared" si="11"/>
        <v>712</v>
      </c>
      <c r="X52" s="127" t="str">
        <f t="shared" si="6"/>
        <v/>
      </c>
      <c r="Y52" s="207">
        <f t="shared" si="12"/>
        <v>712</v>
      </c>
      <c r="Z52" s="139">
        <f t="shared" si="13"/>
        <v>712</v>
      </c>
      <c r="AA52" s="139">
        <f t="shared" si="14"/>
        <v>0</v>
      </c>
      <c r="AC52" s="47">
        <f t="shared" si="15"/>
        <v>356</v>
      </c>
      <c r="AD52" s="47">
        <f t="shared" si="16"/>
        <v>356</v>
      </c>
      <c r="AE52" s="47">
        <f t="shared" si="17"/>
        <v>0</v>
      </c>
      <c r="AG52" s="47">
        <f t="shared" si="18"/>
        <v>356</v>
      </c>
      <c r="AH52" s="47">
        <f t="shared" si="19"/>
        <v>356</v>
      </c>
      <c r="AI52" s="208">
        <f t="shared" si="20"/>
        <v>0</v>
      </c>
    </row>
    <row r="53" spans="1:35">
      <c r="A53" t="s">
        <v>2089</v>
      </c>
      <c r="B53" t="s">
        <v>3155</v>
      </c>
      <c r="C53" t="s">
        <v>3199</v>
      </c>
      <c r="D53" t="s">
        <v>3200</v>
      </c>
      <c r="F53" t="s">
        <v>64</v>
      </c>
      <c r="G53" s="126">
        <f>SUMIFS('Support - Transition'!F:F,'Support - Transition'!B:B,'Step 2'!A53,'Support - Transition'!C:C,'Step 2'!B53,'Support - Transition'!D:D,'Step 2'!C53,'Support - Transition'!E:E,"CIVIL")</f>
        <v>0</v>
      </c>
      <c r="H53" s="126">
        <f>SUMIFS('Support - Transition'!F:F,'Support - Transition'!B:B,'Step 2'!A53,'Support - Transition'!C:C,'Step 2'!B53,'Support - Transition'!D:D,'Step 2'!C53,'Support - Transition'!E:E,"FIRE")</f>
        <v>0</v>
      </c>
      <c r="I53" s="126">
        <f>IF(B53="0",SUMIFS('Support - Transition'!F:F,'Support - Transition'!J:J,'Step 2'!D53,'Support - Transition'!E:E,"STATE UNIT"),SUMIFS('Support - Transition'!F:F,'Support - Transition'!J:J,'Step 2'!D53))</f>
        <v>4.9100000000000001E-4</v>
      </c>
      <c r="J53" s="126">
        <f>SUMIFS('Support - Unit Adjustments'!E:E,'Support - Unit Adjustments'!F:F,'Step 2'!D53)</f>
        <v>0</v>
      </c>
      <c r="K53" s="126">
        <f t="shared" si="0"/>
        <v>4.9100000000000001E-4</v>
      </c>
      <c r="L53" s="174">
        <f>VLOOKUP(A53,'Step 1'!$A:$E,4,FALSE)</f>
        <v>3709709</v>
      </c>
      <c r="M53" s="47">
        <f t="shared" si="1"/>
        <v>1821</v>
      </c>
      <c r="N53" s="177">
        <f>SUMIFS('Support - Transition'!G:G,'Support - Transition'!J:J,'Step 2'!D53,'Support - Transition'!E:E,"2009 WELFARE ALLOCATION FACTOR")</f>
        <v>0</v>
      </c>
      <c r="O53" s="152">
        <f t="shared" si="9"/>
        <v>0</v>
      </c>
      <c r="P53" s="126">
        <f>IF(E53="Y",0,SUMIFS('Support - Transition'!G:G,'Support - Transition'!J:J,'Step 2'!D53,'Support - Transition'!E:E,"2009 SCHOOL ALLOCATION FACTOR"))</f>
        <v>0</v>
      </c>
      <c r="Q53" s="126">
        <f>IF(E53="Y",VLOOKUP(D53,'Support - Unit Adjustments'!F:G,2,FALSE),0)</f>
        <v>0</v>
      </c>
      <c r="R53" s="155">
        <f t="shared" si="2"/>
        <v>0</v>
      </c>
      <c r="S53" s="47">
        <f t="shared" si="10"/>
        <v>0</v>
      </c>
      <c r="T53" s="151">
        <f t="shared" si="3"/>
        <v>1821</v>
      </c>
      <c r="U53" s="151">
        <f t="shared" si="4"/>
        <v>0</v>
      </c>
      <c r="V53" s="139">
        <f t="shared" si="5"/>
        <v>0</v>
      </c>
      <c r="W53" s="152">
        <f t="shared" si="11"/>
        <v>1821</v>
      </c>
      <c r="X53" s="127" t="str">
        <f t="shared" si="6"/>
        <v/>
      </c>
      <c r="Y53" s="207">
        <f t="shared" si="12"/>
        <v>1821</v>
      </c>
      <c r="Z53" s="139">
        <f t="shared" si="13"/>
        <v>1821</v>
      </c>
      <c r="AA53" s="139">
        <f t="shared" si="14"/>
        <v>0</v>
      </c>
      <c r="AC53" s="47">
        <f t="shared" si="15"/>
        <v>911</v>
      </c>
      <c r="AD53" s="47">
        <f t="shared" si="16"/>
        <v>911</v>
      </c>
      <c r="AE53" s="47">
        <f t="shared" si="17"/>
        <v>0</v>
      </c>
      <c r="AG53" s="47">
        <f t="shared" si="18"/>
        <v>910</v>
      </c>
      <c r="AH53" s="47">
        <f t="shared" si="19"/>
        <v>910</v>
      </c>
      <c r="AI53" s="208">
        <f t="shared" si="20"/>
        <v>0</v>
      </c>
    </row>
    <row r="54" spans="1:35">
      <c r="A54" t="s">
        <v>2089</v>
      </c>
      <c r="B54" t="s">
        <v>3155</v>
      </c>
      <c r="C54" t="s">
        <v>2220</v>
      </c>
      <c r="D54" t="s">
        <v>3201</v>
      </c>
      <c r="F54" t="s">
        <v>66</v>
      </c>
      <c r="G54" s="126">
        <f>SUMIFS('Support - Transition'!F:F,'Support - Transition'!B:B,'Step 2'!A54,'Support - Transition'!C:C,'Step 2'!B54,'Support - Transition'!D:D,'Step 2'!C54,'Support - Transition'!E:E,"CIVIL")</f>
        <v>0</v>
      </c>
      <c r="H54" s="126">
        <f>SUMIFS('Support - Transition'!F:F,'Support - Transition'!B:B,'Step 2'!A54,'Support - Transition'!C:C,'Step 2'!B54,'Support - Transition'!D:D,'Step 2'!C54,'Support - Transition'!E:E,"FIRE")</f>
        <v>0</v>
      </c>
      <c r="I54" s="126">
        <f>IF(B54="0",SUMIFS('Support - Transition'!F:F,'Support - Transition'!J:J,'Step 2'!D54,'Support - Transition'!E:E,"STATE UNIT"),SUMIFS('Support - Transition'!F:F,'Support - Transition'!J:J,'Step 2'!D54))</f>
        <v>3.1700000000000001E-4</v>
      </c>
      <c r="J54" s="126">
        <f>SUMIFS('Support - Unit Adjustments'!E:E,'Support - Unit Adjustments'!F:F,'Step 2'!D54)</f>
        <v>0</v>
      </c>
      <c r="K54" s="126">
        <f t="shared" si="0"/>
        <v>3.1700000000000001E-4</v>
      </c>
      <c r="L54" s="174">
        <f>VLOOKUP(A54,'Step 1'!$A:$E,4,FALSE)</f>
        <v>3709709</v>
      </c>
      <c r="M54" s="47">
        <f t="shared" si="1"/>
        <v>1176</v>
      </c>
      <c r="N54" s="177">
        <f>SUMIFS('Support - Transition'!G:G,'Support - Transition'!J:J,'Step 2'!D54,'Support - Transition'!E:E,"2009 WELFARE ALLOCATION FACTOR")</f>
        <v>0</v>
      </c>
      <c r="O54" s="152">
        <f t="shared" si="9"/>
        <v>0</v>
      </c>
      <c r="P54" s="126">
        <f>IF(E54="Y",0,SUMIFS('Support - Transition'!G:G,'Support - Transition'!J:J,'Step 2'!D54,'Support - Transition'!E:E,"2009 SCHOOL ALLOCATION FACTOR"))</f>
        <v>0</v>
      </c>
      <c r="Q54" s="126">
        <f>IF(E54="Y",VLOOKUP(D54,'Support - Unit Adjustments'!F:G,2,FALSE),0)</f>
        <v>0</v>
      </c>
      <c r="R54" s="155">
        <f t="shared" si="2"/>
        <v>0</v>
      </c>
      <c r="S54" s="47">
        <f t="shared" si="10"/>
        <v>0</v>
      </c>
      <c r="T54" s="151">
        <f t="shared" si="3"/>
        <v>1176</v>
      </c>
      <c r="U54" s="151">
        <f t="shared" si="4"/>
        <v>0</v>
      </c>
      <c r="V54" s="139">
        <f t="shared" si="5"/>
        <v>0</v>
      </c>
      <c r="W54" s="152">
        <f t="shared" si="11"/>
        <v>1176</v>
      </c>
      <c r="X54" s="127" t="str">
        <f t="shared" si="6"/>
        <v/>
      </c>
      <c r="Y54" s="207">
        <f t="shared" si="12"/>
        <v>1176</v>
      </c>
      <c r="Z54" s="139">
        <f t="shared" si="13"/>
        <v>1176</v>
      </c>
      <c r="AA54" s="139">
        <f t="shared" si="14"/>
        <v>0</v>
      </c>
      <c r="AC54" s="47">
        <f t="shared" si="15"/>
        <v>588</v>
      </c>
      <c r="AD54" s="47">
        <f t="shared" si="16"/>
        <v>588</v>
      </c>
      <c r="AE54" s="47">
        <f t="shared" si="17"/>
        <v>0</v>
      </c>
      <c r="AG54" s="47">
        <f t="shared" si="18"/>
        <v>588</v>
      </c>
      <c r="AH54" s="47">
        <f t="shared" si="19"/>
        <v>588</v>
      </c>
      <c r="AI54" s="208">
        <f t="shared" si="20"/>
        <v>0</v>
      </c>
    </row>
    <row r="55" spans="1:35">
      <c r="A55" t="s">
        <v>2089</v>
      </c>
      <c r="B55" t="s">
        <v>3155</v>
      </c>
      <c r="C55" t="s">
        <v>2221</v>
      </c>
      <c r="D55" t="s">
        <v>3202</v>
      </c>
      <c r="F55" t="s">
        <v>3203</v>
      </c>
      <c r="G55" s="126">
        <f>SUMIFS('Support - Transition'!F:F,'Support - Transition'!B:B,'Step 2'!A55,'Support - Transition'!C:C,'Step 2'!B55,'Support - Transition'!D:D,'Step 2'!C55,'Support - Transition'!E:E,"CIVIL")</f>
        <v>0</v>
      </c>
      <c r="H55" s="126">
        <f>SUMIFS('Support - Transition'!F:F,'Support - Transition'!B:B,'Step 2'!A55,'Support - Transition'!C:C,'Step 2'!B55,'Support - Transition'!D:D,'Step 2'!C55,'Support - Transition'!E:E,"FIRE")</f>
        <v>0</v>
      </c>
      <c r="I55" s="126">
        <f>IF(B55="0",SUMIFS('Support - Transition'!F:F,'Support - Transition'!J:J,'Step 2'!D55,'Support - Transition'!E:E,"STATE UNIT"),SUMIFS('Support - Transition'!F:F,'Support - Transition'!J:J,'Step 2'!D55))</f>
        <v>6.2200000000000005E-4</v>
      </c>
      <c r="J55" s="126">
        <f>SUMIFS('Support - Unit Adjustments'!E:E,'Support - Unit Adjustments'!F:F,'Step 2'!D55)</f>
        <v>0</v>
      </c>
      <c r="K55" s="126">
        <f t="shared" si="0"/>
        <v>6.2200000000000005E-4</v>
      </c>
      <c r="L55" s="174">
        <f>VLOOKUP(A55,'Step 1'!$A:$E,4,FALSE)</f>
        <v>3709709</v>
      </c>
      <c r="M55" s="47">
        <f t="shared" si="1"/>
        <v>2307</v>
      </c>
      <c r="N55" s="177">
        <f>SUMIFS('Support - Transition'!G:G,'Support - Transition'!J:J,'Step 2'!D55,'Support - Transition'!E:E,"2009 WELFARE ALLOCATION FACTOR")</f>
        <v>0</v>
      </c>
      <c r="O55" s="152">
        <f t="shared" si="9"/>
        <v>0</v>
      </c>
      <c r="P55" s="126">
        <f>IF(E55="Y",0,SUMIFS('Support - Transition'!G:G,'Support - Transition'!J:J,'Step 2'!D55,'Support - Transition'!E:E,"2009 SCHOOL ALLOCATION FACTOR"))</f>
        <v>0</v>
      </c>
      <c r="Q55" s="126">
        <f>IF(E55="Y",VLOOKUP(D55,'Support - Unit Adjustments'!F:G,2,FALSE),0)</f>
        <v>0</v>
      </c>
      <c r="R55" s="155">
        <f t="shared" si="2"/>
        <v>0</v>
      </c>
      <c r="S55" s="47">
        <f t="shared" si="10"/>
        <v>0</v>
      </c>
      <c r="T55" s="151">
        <f t="shared" si="3"/>
        <v>2307</v>
      </c>
      <c r="U55" s="151">
        <f t="shared" si="4"/>
        <v>0</v>
      </c>
      <c r="V55" s="139">
        <f t="shared" si="5"/>
        <v>0</v>
      </c>
      <c r="W55" s="152">
        <f t="shared" si="11"/>
        <v>2307</v>
      </c>
      <c r="X55" s="127" t="str">
        <f t="shared" si="6"/>
        <v/>
      </c>
      <c r="Y55" s="207">
        <f t="shared" si="12"/>
        <v>2307</v>
      </c>
      <c r="Z55" s="139">
        <f t="shared" si="13"/>
        <v>2307</v>
      </c>
      <c r="AA55" s="139">
        <f t="shared" si="14"/>
        <v>0</v>
      </c>
      <c r="AC55" s="47">
        <f t="shared" si="15"/>
        <v>1154</v>
      </c>
      <c r="AD55" s="47">
        <f t="shared" si="16"/>
        <v>1154</v>
      </c>
      <c r="AE55" s="47">
        <f t="shared" si="17"/>
        <v>0</v>
      </c>
      <c r="AG55" s="47">
        <f t="shared" si="18"/>
        <v>1153</v>
      </c>
      <c r="AH55" s="47">
        <f t="shared" si="19"/>
        <v>1153</v>
      </c>
      <c r="AI55" s="208">
        <f t="shared" si="20"/>
        <v>0</v>
      </c>
    </row>
    <row r="56" spans="1:35">
      <c r="A56" t="s">
        <v>2089</v>
      </c>
      <c r="B56" t="s">
        <v>3160</v>
      </c>
      <c r="C56" t="s">
        <v>2222</v>
      </c>
      <c r="D56" t="s">
        <v>3204</v>
      </c>
      <c r="F56" t="s">
        <v>3205</v>
      </c>
      <c r="G56" s="126">
        <f>SUMIFS('Support - Transition'!F:F,'Support - Transition'!B:B,'Step 2'!A56,'Support - Transition'!C:C,'Step 2'!B56,'Support - Transition'!D:D,'Step 2'!C56,'Support - Transition'!E:E,"CIVIL")</f>
        <v>0</v>
      </c>
      <c r="H56" s="126">
        <f>SUMIFS('Support - Transition'!F:F,'Support - Transition'!B:B,'Step 2'!A56,'Support - Transition'!C:C,'Step 2'!B56,'Support - Transition'!D:D,'Step 2'!C56,'Support - Transition'!E:E,"FIRE")</f>
        <v>0</v>
      </c>
      <c r="I56" s="126">
        <f>IF(B56="0",SUMIFS('Support - Transition'!F:F,'Support - Transition'!J:J,'Step 2'!D56,'Support - Transition'!E:E,"STATE UNIT"),SUMIFS('Support - Transition'!F:F,'Support - Transition'!J:J,'Step 2'!D56))</f>
        <v>3.2927999999999999E-2</v>
      </c>
      <c r="J56" s="126">
        <f>SUMIFS('Support - Unit Adjustments'!E:E,'Support - Unit Adjustments'!F:F,'Step 2'!D56)</f>
        <v>0</v>
      </c>
      <c r="K56" s="126">
        <f t="shared" si="0"/>
        <v>3.2927999999999999E-2</v>
      </c>
      <c r="L56" s="174">
        <f>VLOOKUP(A56,'Step 1'!$A:$E,4,FALSE)</f>
        <v>3709709</v>
      </c>
      <c r="M56" s="47">
        <f t="shared" si="1"/>
        <v>122153</v>
      </c>
      <c r="N56" s="177">
        <f>SUMIFS('Support - Transition'!G:G,'Support - Transition'!J:J,'Step 2'!D56,'Support - Transition'!E:E,"2009 WELFARE ALLOCATION FACTOR")</f>
        <v>0</v>
      </c>
      <c r="O56" s="152">
        <f t="shared" si="9"/>
        <v>0</v>
      </c>
      <c r="P56" s="126">
        <f>IF(E56="Y",0,SUMIFS('Support - Transition'!G:G,'Support - Transition'!J:J,'Step 2'!D56,'Support - Transition'!E:E,"2009 SCHOOL ALLOCATION FACTOR"))</f>
        <v>0.48022399999999998</v>
      </c>
      <c r="Q56" s="126">
        <f>IF(E56="Y",VLOOKUP(D56,'Support - Unit Adjustments'!F:G,2,FALSE),0)</f>
        <v>0</v>
      </c>
      <c r="R56" s="155">
        <f t="shared" si="2"/>
        <v>0.48022399999999998</v>
      </c>
      <c r="S56" s="47">
        <f t="shared" si="10"/>
        <v>58661</v>
      </c>
      <c r="T56" s="151">
        <f t="shared" si="3"/>
        <v>63492</v>
      </c>
      <c r="U56" s="151">
        <f t="shared" si="4"/>
        <v>0</v>
      </c>
      <c r="V56" s="139">
        <f t="shared" si="5"/>
        <v>0</v>
      </c>
      <c r="W56" s="152">
        <f t="shared" si="11"/>
        <v>63492</v>
      </c>
      <c r="X56" s="127" t="str">
        <f t="shared" si="6"/>
        <v/>
      </c>
      <c r="Y56" s="207">
        <f t="shared" si="12"/>
        <v>63492</v>
      </c>
      <c r="Z56" s="139">
        <f t="shared" si="13"/>
        <v>63492</v>
      </c>
      <c r="AA56" s="139">
        <f t="shared" si="14"/>
        <v>0</v>
      </c>
      <c r="AC56" s="47">
        <f t="shared" si="15"/>
        <v>31746</v>
      </c>
      <c r="AD56" s="47">
        <f t="shared" si="16"/>
        <v>31746</v>
      </c>
      <c r="AE56" s="47">
        <f t="shared" si="17"/>
        <v>0</v>
      </c>
      <c r="AG56" s="47">
        <f t="shared" si="18"/>
        <v>31746</v>
      </c>
      <c r="AH56" s="47">
        <f t="shared" si="19"/>
        <v>31746</v>
      </c>
      <c r="AI56" s="208">
        <f t="shared" si="20"/>
        <v>0</v>
      </c>
    </row>
    <row r="57" spans="1:35">
      <c r="A57" t="s">
        <v>2089</v>
      </c>
      <c r="B57" t="s">
        <v>3160</v>
      </c>
      <c r="C57" t="s">
        <v>2223</v>
      </c>
      <c r="D57" t="s">
        <v>3206</v>
      </c>
      <c r="F57" t="s">
        <v>3207</v>
      </c>
      <c r="G57" s="126">
        <f>SUMIFS('Support - Transition'!F:F,'Support - Transition'!B:B,'Step 2'!A57,'Support - Transition'!C:C,'Step 2'!B57,'Support - Transition'!D:D,'Step 2'!C57,'Support - Transition'!E:E,"CIVIL")</f>
        <v>0</v>
      </c>
      <c r="H57" s="126">
        <f>SUMIFS('Support - Transition'!F:F,'Support - Transition'!B:B,'Step 2'!A57,'Support - Transition'!C:C,'Step 2'!B57,'Support - Transition'!D:D,'Step 2'!C57,'Support - Transition'!E:E,"FIRE")</f>
        <v>0</v>
      </c>
      <c r="I57" s="126">
        <f>IF(B57="0",SUMIFS('Support - Transition'!F:F,'Support - Transition'!J:J,'Step 2'!D57,'Support - Transition'!E:E,"STATE UNIT"),SUMIFS('Support - Transition'!F:F,'Support - Transition'!J:J,'Step 2'!D57))</f>
        <v>2.5451999999999999E-2</v>
      </c>
      <c r="J57" s="126">
        <f>SUMIFS('Support - Unit Adjustments'!E:E,'Support - Unit Adjustments'!F:F,'Step 2'!D57)</f>
        <v>0</v>
      </c>
      <c r="K57" s="126">
        <f t="shared" si="0"/>
        <v>2.5451999999999999E-2</v>
      </c>
      <c r="L57" s="174">
        <f>VLOOKUP(A57,'Step 1'!$A:$E,4,FALSE)</f>
        <v>3709709</v>
      </c>
      <c r="M57" s="47">
        <f t="shared" si="1"/>
        <v>94420</v>
      </c>
      <c r="N57" s="177">
        <f>SUMIFS('Support - Transition'!G:G,'Support - Transition'!J:J,'Step 2'!D57,'Support - Transition'!E:E,"2009 WELFARE ALLOCATION FACTOR")</f>
        <v>0</v>
      </c>
      <c r="O57" s="152">
        <f t="shared" si="9"/>
        <v>0</v>
      </c>
      <c r="P57" s="126">
        <f>IF(E57="Y",0,SUMIFS('Support - Transition'!G:G,'Support - Transition'!J:J,'Step 2'!D57,'Support - Transition'!E:E,"2009 SCHOOL ALLOCATION FACTOR"))</f>
        <v>0.45088099999999998</v>
      </c>
      <c r="Q57" s="126">
        <f>IF(E57="Y",VLOOKUP(D57,'Support - Unit Adjustments'!F:G,2,FALSE),0)</f>
        <v>0</v>
      </c>
      <c r="R57" s="155">
        <f t="shared" si="2"/>
        <v>0.45088099999999998</v>
      </c>
      <c r="S57" s="47">
        <f t="shared" si="10"/>
        <v>42572</v>
      </c>
      <c r="T57" s="151">
        <f t="shared" si="3"/>
        <v>51848</v>
      </c>
      <c r="U57" s="151">
        <f t="shared" si="4"/>
        <v>0</v>
      </c>
      <c r="V57" s="139">
        <f t="shared" si="5"/>
        <v>0</v>
      </c>
      <c r="W57" s="152">
        <f t="shared" si="11"/>
        <v>51848</v>
      </c>
      <c r="X57" s="127" t="str">
        <f t="shared" si="6"/>
        <v/>
      </c>
      <c r="Y57" s="207">
        <f t="shared" si="12"/>
        <v>51848</v>
      </c>
      <c r="Z57" s="139">
        <f t="shared" si="13"/>
        <v>51848</v>
      </c>
      <c r="AA57" s="139">
        <f t="shared" si="14"/>
        <v>0</v>
      </c>
      <c r="AC57" s="47">
        <f t="shared" si="15"/>
        <v>25924</v>
      </c>
      <c r="AD57" s="47">
        <f t="shared" si="16"/>
        <v>25924</v>
      </c>
      <c r="AE57" s="47">
        <f t="shared" si="17"/>
        <v>0</v>
      </c>
      <c r="AG57" s="47">
        <f t="shared" si="18"/>
        <v>25924</v>
      </c>
      <c r="AH57" s="47">
        <f t="shared" si="19"/>
        <v>25924</v>
      </c>
      <c r="AI57" s="208">
        <f t="shared" si="20"/>
        <v>0</v>
      </c>
    </row>
    <row r="58" spans="1:35">
      <c r="A58" t="s">
        <v>2089</v>
      </c>
      <c r="B58" t="s">
        <v>3160</v>
      </c>
      <c r="C58" t="s">
        <v>2224</v>
      </c>
      <c r="D58" t="s">
        <v>3208</v>
      </c>
      <c r="F58" t="s">
        <v>71</v>
      </c>
      <c r="G58" s="126">
        <f>SUMIFS('Support - Transition'!F:F,'Support - Transition'!B:B,'Step 2'!A58,'Support - Transition'!C:C,'Step 2'!B58,'Support - Transition'!D:D,'Step 2'!C58,'Support - Transition'!E:E,"CIVIL")</f>
        <v>0</v>
      </c>
      <c r="H58" s="126">
        <f>SUMIFS('Support - Transition'!F:F,'Support - Transition'!B:B,'Step 2'!A58,'Support - Transition'!C:C,'Step 2'!B58,'Support - Transition'!D:D,'Step 2'!C58,'Support - Transition'!E:E,"FIRE")</f>
        <v>0</v>
      </c>
      <c r="I58" s="126">
        <f>IF(B58="0",SUMIFS('Support - Transition'!F:F,'Support - Transition'!J:J,'Step 2'!D58,'Support - Transition'!E:E,"STATE UNIT"),SUMIFS('Support - Transition'!F:F,'Support - Transition'!J:J,'Step 2'!D58))</f>
        <v>0.33696700000000002</v>
      </c>
      <c r="J58" s="126">
        <f>SUMIFS('Support - Unit Adjustments'!E:E,'Support - Unit Adjustments'!F:F,'Step 2'!D58)</f>
        <v>0</v>
      </c>
      <c r="K58" s="126">
        <f t="shared" si="0"/>
        <v>0.33696700000000002</v>
      </c>
      <c r="L58" s="174">
        <f>VLOOKUP(A58,'Step 1'!$A:$E,4,FALSE)</f>
        <v>3709709</v>
      </c>
      <c r="M58" s="47">
        <f t="shared" si="1"/>
        <v>1250050</v>
      </c>
      <c r="N58" s="177">
        <f>SUMIFS('Support - Transition'!G:G,'Support - Transition'!J:J,'Step 2'!D58,'Support - Transition'!E:E,"2009 WELFARE ALLOCATION FACTOR")</f>
        <v>0</v>
      </c>
      <c r="O58" s="152">
        <f t="shared" si="9"/>
        <v>0</v>
      </c>
      <c r="P58" s="126">
        <f>IF(E58="Y",0,SUMIFS('Support - Transition'!G:G,'Support - Transition'!J:J,'Step 2'!D58,'Support - Transition'!E:E,"2009 SCHOOL ALLOCATION FACTOR"))</f>
        <v>0.45568399999999998</v>
      </c>
      <c r="Q58" s="126">
        <f>IF(E58="Y",VLOOKUP(D58,'Support - Unit Adjustments'!F:G,2,FALSE),0)</f>
        <v>0</v>
      </c>
      <c r="R58" s="155">
        <f t="shared" si="2"/>
        <v>0.45568399999999998</v>
      </c>
      <c r="S58" s="47">
        <f t="shared" si="10"/>
        <v>569628</v>
      </c>
      <c r="T58" s="151">
        <f t="shared" si="3"/>
        <v>680422</v>
      </c>
      <c r="U58" s="151">
        <f t="shared" si="4"/>
        <v>0</v>
      </c>
      <c r="V58" s="139">
        <f t="shared" si="5"/>
        <v>0</v>
      </c>
      <c r="W58" s="152">
        <f t="shared" si="11"/>
        <v>680422</v>
      </c>
      <c r="X58" s="127" t="str">
        <f t="shared" si="6"/>
        <v/>
      </c>
      <c r="Y58" s="207">
        <f t="shared" si="12"/>
        <v>680422</v>
      </c>
      <c r="Z58" s="139">
        <f t="shared" si="13"/>
        <v>680422</v>
      </c>
      <c r="AA58" s="139">
        <f t="shared" si="14"/>
        <v>0</v>
      </c>
      <c r="AC58" s="47">
        <f t="shared" si="15"/>
        <v>340211</v>
      </c>
      <c r="AD58" s="47">
        <f t="shared" si="16"/>
        <v>340211</v>
      </c>
      <c r="AE58" s="47">
        <f t="shared" si="17"/>
        <v>0</v>
      </c>
      <c r="AG58" s="47">
        <f t="shared" si="18"/>
        <v>340211</v>
      </c>
      <c r="AH58" s="47">
        <f t="shared" si="19"/>
        <v>340211</v>
      </c>
      <c r="AI58" s="208">
        <f t="shared" si="20"/>
        <v>0</v>
      </c>
    </row>
    <row r="59" spans="1:35">
      <c r="A59" t="s">
        <v>2089</v>
      </c>
      <c r="B59" t="s">
        <v>3160</v>
      </c>
      <c r="C59" t="s">
        <v>2225</v>
      </c>
      <c r="D59" t="s">
        <v>3209</v>
      </c>
      <c r="F59" t="s">
        <v>70</v>
      </c>
      <c r="G59" s="126">
        <f>SUMIFS('Support - Transition'!F:F,'Support - Transition'!B:B,'Step 2'!A59,'Support - Transition'!C:C,'Step 2'!B59,'Support - Transition'!D:D,'Step 2'!C59,'Support - Transition'!E:E,"CIVIL")</f>
        <v>0</v>
      </c>
      <c r="H59" s="126">
        <f>SUMIFS('Support - Transition'!F:F,'Support - Transition'!B:B,'Step 2'!A59,'Support - Transition'!C:C,'Step 2'!B59,'Support - Transition'!D:D,'Step 2'!C59,'Support - Transition'!E:E,"FIRE")</f>
        <v>0</v>
      </c>
      <c r="I59" s="126">
        <f>IF(B59="0",SUMIFS('Support - Transition'!F:F,'Support - Transition'!J:J,'Step 2'!D59,'Support - Transition'!E:E,"STATE UNIT"),SUMIFS('Support - Transition'!F:F,'Support - Transition'!J:J,'Step 2'!D59))</f>
        <v>0.124371</v>
      </c>
      <c r="J59" s="126">
        <f>SUMIFS('Support - Unit Adjustments'!E:E,'Support - Unit Adjustments'!F:F,'Step 2'!D59)</f>
        <v>0</v>
      </c>
      <c r="K59" s="126">
        <f t="shared" si="0"/>
        <v>0.124371</v>
      </c>
      <c r="L59" s="174">
        <f>VLOOKUP(A59,'Step 1'!$A:$E,4,FALSE)</f>
        <v>3709709</v>
      </c>
      <c r="M59" s="47">
        <f t="shared" si="1"/>
        <v>461380</v>
      </c>
      <c r="N59" s="177">
        <f>SUMIFS('Support - Transition'!G:G,'Support - Transition'!J:J,'Step 2'!D59,'Support - Transition'!E:E,"2009 WELFARE ALLOCATION FACTOR")</f>
        <v>0</v>
      </c>
      <c r="O59" s="152">
        <f t="shared" si="9"/>
        <v>0</v>
      </c>
      <c r="P59" s="126">
        <f>IF(E59="Y",0,SUMIFS('Support - Transition'!G:G,'Support - Transition'!J:J,'Step 2'!D59,'Support - Transition'!E:E,"2009 SCHOOL ALLOCATION FACTOR"))</f>
        <v>0.45873399999999998</v>
      </c>
      <c r="Q59" s="126">
        <f>IF(E59="Y",VLOOKUP(D59,'Support - Unit Adjustments'!F:G,2,FALSE),0)</f>
        <v>0</v>
      </c>
      <c r="R59" s="155">
        <f t="shared" si="2"/>
        <v>0.45873399999999998</v>
      </c>
      <c r="S59" s="47">
        <f t="shared" si="10"/>
        <v>211651</v>
      </c>
      <c r="T59" s="151">
        <f t="shared" si="3"/>
        <v>249729</v>
      </c>
      <c r="U59" s="151">
        <f t="shared" si="4"/>
        <v>0</v>
      </c>
      <c r="V59" s="139">
        <f t="shared" si="5"/>
        <v>0</v>
      </c>
      <c r="W59" s="152">
        <f t="shared" si="11"/>
        <v>249729</v>
      </c>
      <c r="X59" s="127" t="str">
        <f t="shared" si="6"/>
        <v/>
      </c>
      <c r="Y59" s="207">
        <f t="shared" si="12"/>
        <v>249729</v>
      </c>
      <c r="Z59" s="139">
        <f t="shared" si="13"/>
        <v>249729</v>
      </c>
      <c r="AA59" s="139">
        <f t="shared" si="14"/>
        <v>0</v>
      </c>
      <c r="AC59" s="47">
        <f t="shared" si="15"/>
        <v>124865</v>
      </c>
      <c r="AD59" s="47">
        <f t="shared" si="16"/>
        <v>124865</v>
      </c>
      <c r="AE59" s="47">
        <f t="shared" si="17"/>
        <v>0</v>
      </c>
      <c r="AG59" s="47">
        <f t="shared" si="18"/>
        <v>124864</v>
      </c>
      <c r="AH59" s="47">
        <f t="shared" si="19"/>
        <v>124864</v>
      </c>
      <c r="AI59" s="208">
        <f t="shared" si="20"/>
        <v>0</v>
      </c>
    </row>
    <row r="60" spans="1:35">
      <c r="A60" t="s">
        <v>2089</v>
      </c>
      <c r="B60" t="s">
        <v>3166</v>
      </c>
      <c r="C60" t="s">
        <v>3210</v>
      </c>
      <c r="D60" t="s">
        <v>3211</v>
      </c>
      <c r="F60" t="s">
        <v>74</v>
      </c>
      <c r="G60" s="126">
        <f>SUMIFS('Support - Transition'!F:F,'Support - Transition'!B:B,'Step 2'!A60,'Support - Transition'!C:C,'Step 2'!B60,'Support - Transition'!D:D,'Step 2'!C60,'Support - Transition'!E:E,"CIVIL")</f>
        <v>0</v>
      </c>
      <c r="H60" s="126">
        <f>SUMIFS('Support - Transition'!F:F,'Support - Transition'!B:B,'Step 2'!A60,'Support - Transition'!C:C,'Step 2'!B60,'Support - Transition'!D:D,'Step 2'!C60,'Support - Transition'!E:E,"FIRE")</f>
        <v>0</v>
      </c>
      <c r="I60" s="126">
        <f>IF(B60="0",SUMIFS('Support - Transition'!F:F,'Support - Transition'!J:J,'Step 2'!D60,'Support - Transition'!E:E,"STATE UNIT"),SUMIFS('Support - Transition'!F:F,'Support - Transition'!J:J,'Step 2'!D60))</f>
        <v>4.5010000000000001E-2</v>
      </c>
      <c r="J60" s="126">
        <f>SUMIFS('Support - Unit Adjustments'!E:E,'Support - Unit Adjustments'!F:F,'Step 2'!D60)</f>
        <v>0</v>
      </c>
      <c r="K60" s="126">
        <f t="shared" si="0"/>
        <v>4.5010000000000001E-2</v>
      </c>
      <c r="L60" s="174">
        <f>VLOOKUP(A60,'Step 1'!$A:$E,4,FALSE)</f>
        <v>3709709</v>
      </c>
      <c r="M60" s="47">
        <f t="shared" si="1"/>
        <v>166974</v>
      </c>
      <c r="N60" s="177">
        <f>SUMIFS('Support - Transition'!G:G,'Support - Transition'!J:J,'Step 2'!D60,'Support - Transition'!E:E,"2009 WELFARE ALLOCATION FACTOR")</f>
        <v>0</v>
      </c>
      <c r="O60" s="152">
        <f t="shared" si="9"/>
        <v>0</v>
      </c>
      <c r="P60" s="126">
        <f>IF(E60="Y",0,SUMIFS('Support - Transition'!G:G,'Support - Transition'!J:J,'Step 2'!D60,'Support - Transition'!E:E,"2009 SCHOOL ALLOCATION FACTOR"))</f>
        <v>0</v>
      </c>
      <c r="Q60" s="126">
        <f>IF(E60="Y",VLOOKUP(D60,'Support - Unit Adjustments'!F:G,2,FALSE),0)</f>
        <v>0</v>
      </c>
      <c r="R60" s="155">
        <f t="shared" si="2"/>
        <v>0</v>
      </c>
      <c r="S60" s="47">
        <f t="shared" si="10"/>
        <v>0</v>
      </c>
      <c r="T60" s="151">
        <f t="shared" si="3"/>
        <v>166974</v>
      </c>
      <c r="U60" s="151">
        <f t="shared" si="4"/>
        <v>0</v>
      </c>
      <c r="V60" s="139">
        <f t="shared" si="5"/>
        <v>0</v>
      </c>
      <c r="W60" s="152">
        <f t="shared" si="11"/>
        <v>166974</v>
      </c>
      <c r="X60" s="127" t="str">
        <f t="shared" si="6"/>
        <v/>
      </c>
      <c r="Y60" s="207">
        <f t="shared" si="12"/>
        <v>166974</v>
      </c>
      <c r="Z60" s="139">
        <f t="shared" si="13"/>
        <v>166974</v>
      </c>
      <c r="AA60" s="139">
        <f t="shared" si="14"/>
        <v>0</v>
      </c>
      <c r="AC60" s="47">
        <f t="shared" si="15"/>
        <v>83487</v>
      </c>
      <c r="AD60" s="47">
        <f t="shared" si="16"/>
        <v>83487</v>
      </c>
      <c r="AE60" s="47">
        <f t="shared" si="17"/>
        <v>0</v>
      </c>
      <c r="AG60" s="47">
        <f t="shared" si="18"/>
        <v>83487</v>
      </c>
      <c r="AH60" s="47">
        <f t="shared" si="19"/>
        <v>83487</v>
      </c>
      <c r="AI60" s="208">
        <f t="shared" si="20"/>
        <v>0</v>
      </c>
    </row>
    <row r="61" spans="1:35">
      <c r="A61" t="s">
        <v>2089</v>
      </c>
      <c r="B61" t="s">
        <v>3170</v>
      </c>
      <c r="C61" t="s">
        <v>2226</v>
      </c>
      <c r="D61" t="s">
        <v>3212</v>
      </c>
      <c r="F61" t="s">
        <v>76</v>
      </c>
      <c r="G61" s="126">
        <f>SUMIFS('Support - Transition'!F:F,'Support - Transition'!B:B,'Step 2'!A61,'Support - Transition'!C:C,'Step 2'!B61,'Support - Transition'!D:D,'Step 2'!C61,'Support - Transition'!E:E,"CIVIL")</f>
        <v>0</v>
      </c>
      <c r="H61" s="126">
        <f>SUMIFS('Support - Transition'!F:F,'Support - Transition'!B:B,'Step 2'!A61,'Support - Transition'!C:C,'Step 2'!B61,'Support - Transition'!D:D,'Step 2'!C61,'Support - Transition'!E:E,"FIRE")</f>
        <v>0</v>
      </c>
      <c r="I61" s="126">
        <f>IF(B61="0",SUMIFS('Support - Transition'!F:F,'Support - Transition'!J:J,'Step 2'!D61,'Support - Transition'!E:E,"STATE UNIT"),SUMIFS('Support - Transition'!F:F,'Support - Transition'!J:J,'Step 2'!D61))</f>
        <v>1.0461E-2</v>
      </c>
      <c r="J61" s="126">
        <f>SUMIFS('Support - Unit Adjustments'!E:E,'Support - Unit Adjustments'!F:F,'Step 2'!D61)</f>
        <v>0</v>
      </c>
      <c r="K61" s="126">
        <f t="shared" si="0"/>
        <v>1.0461E-2</v>
      </c>
      <c r="L61" s="174">
        <f>VLOOKUP(A61,'Step 1'!$A:$E,4,FALSE)</f>
        <v>3709709</v>
      </c>
      <c r="M61" s="47">
        <f t="shared" si="1"/>
        <v>38807</v>
      </c>
      <c r="N61" s="177">
        <f>SUMIFS('Support - Transition'!G:G,'Support - Transition'!J:J,'Step 2'!D61,'Support - Transition'!E:E,"2009 WELFARE ALLOCATION FACTOR")</f>
        <v>0</v>
      </c>
      <c r="O61" s="152">
        <f t="shared" si="9"/>
        <v>0</v>
      </c>
      <c r="P61" s="126">
        <f>IF(E61="Y",0,SUMIFS('Support - Transition'!G:G,'Support - Transition'!J:J,'Step 2'!D61,'Support - Transition'!E:E,"2009 SCHOOL ALLOCATION FACTOR"))</f>
        <v>0</v>
      </c>
      <c r="Q61" s="126">
        <f>IF(E61="Y",VLOOKUP(D61,'Support - Unit Adjustments'!F:G,2,FALSE),0)</f>
        <v>0</v>
      </c>
      <c r="R61" s="155">
        <f t="shared" si="2"/>
        <v>0</v>
      </c>
      <c r="S61" s="47">
        <f t="shared" si="10"/>
        <v>0</v>
      </c>
      <c r="T61" s="151">
        <f t="shared" si="3"/>
        <v>38807</v>
      </c>
      <c r="U61" s="151">
        <f t="shared" si="4"/>
        <v>0</v>
      </c>
      <c r="V61" s="139">
        <f t="shared" si="5"/>
        <v>0</v>
      </c>
      <c r="W61" s="152">
        <f t="shared" si="11"/>
        <v>38807</v>
      </c>
      <c r="X61" s="127" t="str">
        <f t="shared" si="6"/>
        <v/>
      </c>
      <c r="Y61" s="207">
        <f t="shared" si="12"/>
        <v>38807</v>
      </c>
      <c r="Z61" s="139">
        <f t="shared" si="13"/>
        <v>38807</v>
      </c>
      <c r="AA61" s="139">
        <f t="shared" si="14"/>
        <v>0</v>
      </c>
      <c r="AC61" s="47">
        <f t="shared" si="15"/>
        <v>19404</v>
      </c>
      <c r="AD61" s="47">
        <f t="shared" si="16"/>
        <v>19404</v>
      </c>
      <c r="AE61" s="47">
        <f t="shared" si="17"/>
        <v>0</v>
      </c>
      <c r="AG61" s="47">
        <f t="shared" si="18"/>
        <v>19403</v>
      </c>
      <c r="AH61" s="47">
        <f t="shared" si="19"/>
        <v>19403</v>
      </c>
      <c r="AI61" s="208">
        <f t="shared" si="20"/>
        <v>0</v>
      </c>
    </row>
    <row r="62" spans="1:35">
      <c r="A62" t="s">
        <v>2089</v>
      </c>
      <c r="B62" t="s">
        <v>3170</v>
      </c>
      <c r="C62" t="s">
        <v>2227</v>
      </c>
      <c r="D62" t="s">
        <v>3213</v>
      </c>
      <c r="F62" t="s">
        <v>3214</v>
      </c>
      <c r="G62" s="126">
        <f>SUMIFS('Support - Transition'!F:F,'Support - Transition'!B:B,'Step 2'!A62,'Support - Transition'!C:C,'Step 2'!B62,'Support - Transition'!D:D,'Step 2'!C62,'Support - Transition'!E:E,"CIVIL")</f>
        <v>0</v>
      </c>
      <c r="H62" s="126">
        <f>SUMIFS('Support - Transition'!F:F,'Support - Transition'!B:B,'Step 2'!A62,'Support - Transition'!C:C,'Step 2'!B62,'Support - Transition'!D:D,'Step 2'!C62,'Support - Transition'!E:E,"FIRE")</f>
        <v>0</v>
      </c>
      <c r="I62" s="126">
        <f>IF(B62="0",SUMIFS('Support - Transition'!F:F,'Support - Transition'!J:J,'Step 2'!D62,'Support - Transition'!E:E,"STATE UNIT"),SUMIFS('Support - Transition'!F:F,'Support - Transition'!J:J,'Step 2'!D62))</f>
        <v>8.3389999999999992E-3</v>
      </c>
      <c r="J62" s="126">
        <f>SUMIFS('Support - Unit Adjustments'!E:E,'Support - Unit Adjustments'!F:F,'Step 2'!D62)</f>
        <v>0</v>
      </c>
      <c r="K62" s="126">
        <f t="shared" si="0"/>
        <v>8.3389999999999992E-3</v>
      </c>
      <c r="L62" s="174">
        <f>VLOOKUP(A62,'Step 1'!$A:$E,4,FALSE)</f>
        <v>3709709</v>
      </c>
      <c r="M62" s="47">
        <f t="shared" si="1"/>
        <v>30935</v>
      </c>
      <c r="N62" s="177">
        <f>SUMIFS('Support - Transition'!G:G,'Support - Transition'!J:J,'Step 2'!D62,'Support - Transition'!E:E,"2009 WELFARE ALLOCATION FACTOR")</f>
        <v>0</v>
      </c>
      <c r="O62" s="152">
        <f t="shared" si="9"/>
        <v>0</v>
      </c>
      <c r="P62" s="126">
        <f>IF(E62="Y",0,SUMIFS('Support - Transition'!G:G,'Support - Transition'!J:J,'Step 2'!D62,'Support - Transition'!E:E,"2009 SCHOOL ALLOCATION FACTOR"))</f>
        <v>0</v>
      </c>
      <c r="Q62" s="126">
        <f>IF(E62="Y",VLOOKUP(D62,'Support - Unit Adjustments'!F:G,2,FALSE),0)</f>
        <v>0</v>
      </c>
      <c r="R62" s="155">
        <f t="shared" si="2"/>
        <v>0</v>
      </c>
      <c r="S62" s="47">
        <f t="shared" si="10"/>
        <v>0</v>
      </c>
      <c r="T62" s="151">
        <f t="shared" si="3"/>
        <v>30935</v>
      </c>
      <c r="U62" s="151">
        <f t="shared" si="4"/>
        <v>0</v>
      </c>
      <c r="V62" s="139">
        <f t="shared" si="5"/>
        <v>0</v>
      </c>
      <c r="W62" s="152">
        <f t="shared" si="11"/>
        <v>30935</v>
      </c>
      <c r="X62" s="127" t="str">
        <f t="shared" si="6"/>
        <v/>
      </c>
      <c r="Y62" s="207">
        <f t="shared" si="12"/>
        <v>30935</v>
      </c>
      <c r="Z62" s="139">
        <f t="shared" si="13"/>
        <v>30935</v>
      </c>
      <c r="AA62" s="139">
        <f t="shared" si="14"/>
        <v>0</v>
      </c>
      <c r="AC62" s="47">
        <f t="shared" si="15"/>
        <v>15468</v>
      </c>
      <c r="AD62" s="47">
        <f t="shared" si="16"/>
        <v>15468</v>
      </c>
      <c r="AE62" s="47">
        <f t="shared" si="17"/>
        <v>0</v>
      </c>
      <c r="AG62" s="47">
        <f t="shared" si="18"/>
        <v>15467</v>
      </c>
      <c r="AH62" s="47">
        <f t="shared" si="19"/>
        <v>15467</v>
      </c>
      <c r="AI62" s="208">
        <f t="shared" si="20"/>
        <v>0</v>
      </c>
    </row>
    <row r="63" spans="1:35">
      <c r="A63" t="s">
        <v>2089</v>
      </c>
      <c r="B63" t="s">
        <v>3170</v>
      </c>
      <c r="C63" t="s">
        <v>2228</v>
      </c>
      <c r="D63" t="s">
        <v>3215</v>
      </c>
      <c r="F63" t="s">
        <v>78</v>
      </c>
      <c r="G63" s="126">
        <f>SUMIFS('Support - Transition'!F:F,'Support - Transition'!B:B,'Step 2'!A63,'Support - Transition'!C:C,'Step 2'!B63,'Support - Transition'!D:D,'Step 2'!C63,'Support - Transition'!E:E,"CIVIL")</f>
        <v>0</v>
      </c>
      <c r="H63" s="126">
        <f>SUMIFS('Support - Transition'!F:F,'Support - Transition'!B:B,'Step 2'!A63,'Support - Transition'!C:C,'Step 2'!B63,'Support - Transition'!D:D,'Step 2'!C63,'Support - Transition'!E:E,"FIRE")</f>
        <v>0</v>
      </c>
      <c r="I63" s="126">
        <f>IF(B63="0",SUMIFS('Support - Transition'!F:F,'Support - Transition'!J:J,'Step 2'!D63,'Support - Transition'!E:E,"STATE UNIT"),SUMIFS('Support - Transition'!F:F,'Support - Transition'!J:J,'Step 2'!D63))</f>
        <v>8.0419999999998826E-3</v>
      </c>
      <c r="J63" s="126">
        <f>SUMIFS('Support - Unit Adjustments'!E:E,'Support - Unit Adjustments'!F:F,'Step 2'!D63)</f>
        <v>0</v>
      </c>
      <c r="K63" s="126">
        <f t="shared" si="0"/>
        <v>8.0419999999998826E-3</v>
      </c>
      <c r="L63" s="174">
        <f>VLOOKUP(A63,'Step 1'!$A:$E,4,FALSE)</f>
        <v>3709709</v>
      </c>
      <c r="M63" s="47">
        <f t="shared" si="1"/>
        <v>29833</v>
      </c>
      <c r="N63" s="177">
        <f>SUMIFS('Support - Transition'!G:G,'Support - Transition'!J:J,'Step 2'!D63,'Support - Transition'!E:E,"2009 WELFARE ALLOCATION FACTOR")</f>
        <v>0</v>
      </c>
      <c r="O63" s="152">
        <f t="shared" si="9"/>
        <v>0</v>
      </c>
      <c r="P63" s="126">
        <f>IF(E63="Y",0,SUMIFS('Support - Transition'!G:G,'Support - Transition'!J:J,'Step 2'!D63,'Support - Transition'!E:E,"2009 SCHOOL ALLOCATION FACTOR"))</f>
        <v>0</v>
      </c>
      <c r="Q63" s="126">
        <f>IF(E63="Y",VLOOKUP(D63,'Support - Unit Adjustments'!F:G,2,FALSE),0)</f>
        <v>0</v>
      </c>
      <c r="R63" s="155">
        <f t="shared" si="2"/>
        <v>0</v>
      </c>
      <c r="S63" s="47">
        <f t="shared" si="10"/>
        <v>0</v>
      </c>
      <c r="T63" s="151">
        <f t="shared" si="3"/>
        <v>29833</v>
      </c>
      <c r="U63" s="151">
        <f t="shared" si="4"/>
        <v>0</v>
      </c>
      <c r="V63" s="139">
        <f t="shared" si="5"/>
        <v>0</v>
      </c>
      <c r="W63" s="152">
        <f t="shared" si="11"/>
        <v>29833</v>
      </c>
      <c r="X63" s="127" t="str">
        <f t="shared" si="6"/>
        <v/>
      </c>
      <c r="Y63" s="207">
        <f t="shared" si="12"/>
        <v>29833</v>
      </c>
      <c r="Z63" s="139">
        <f t="shared" si="13"/>
        <v>29833</v>
      </c>
      <c r="AA63" s="139">
        <f t="shared" si="14"/>
        <v>0</v>
      </c>
      <c r="AC63" s="47">
        <f t="shared" si="15"/>
        <v>14917</v>
      </c>
      <c r="AD63" s="47">
        <f t="shared" si="16"/>
        <v>14917</v>
      </c>
      <c r="AE63" s="47">
        <f t="shared" si="17"/>
        <v>0</v>
      </c>
      <c r="AG63" s="47">
        <f t="shared" si="18"/>
        <v>14916</v>
      </c>
      <c r="AH63" s="47">
        <f t="shared" si="19"/>
        <v>14916</v>
      </c>
      <c r="AI63" s="208">
        <f t="shared" si="20"/>
        <v>0</v>
      </c>
    </row>
    <row r="64" spans="1:35">
      <c r="A64" t="s">
        <v>2089</v>
      </c>
      <c r="B64" t="s">
        <v>3170</v>
      </c>
      <c r="C64" t="s">
        <v>3216</v>
      </c>
      <c r="D64" t="s">
        <v>3217</v>
      </c>
      <c r="F64" t="s">
        <v>3218</v>
      </c>
      <c r="G64" s="126">
        <f>SUMIFS('Support - Transition'!F:F,'Support - Transition'!B:B,'Step 2'!A64,'Support - Transition'!C:C,'Step 2'!B64,'Support - Transition'!D:D,'Step 2'!C64,'Support - Transition'!E:E,"CIVIL")</f>
        <v>0</v>
      </c>
      <c r="H64" s="126">
        <f>SUMIFS('Support - Transition'!F:F,'Support - Transition'!B:B,'Step 2'!A64,'Support - Transition'!C:C,'Step 2'!B64,'Support - Transition'!D:D,'Step 2'!C64,'Support - Transition'!E:E,"FIRE")</f>
        <v>0</v>
      </c>
      <c r="I64" s="126">
        <f>IF(B64="0",SUMIFS('Support - Transition'!F:F,'Support - Transition'!J:J,'Step 2'!D64,'Support - Transition'!E:E,"STATE UNIT"),SUMIFS('Support - Transition'!F:F,'Support - Transition'!J:J,'Step 2'!D64))</f>
        <v>0</v>
      </c>
      <c r="J64" s="126">
        <f>SUMIFS('Support - Unit Adjustments'!E:E,'Support - Unit Adjustments'!F:F,'Step 2'!D64)</f>
        <v>0</v>
      </c>
      <c r="K64" s="126">
        <f t="shared" si="0"/>
        <v>0</v>
      </c>
      <c r="L64" s="174">
        <f>VLOOKUP(A64,'Step 1'!$A:$E,4,FALSE)</f>
        <v>3709709</v>
      </c>
      <c r="M64" s="47">
        <f t="shared" si="1"/>
        <v>0</v>
      </c>
      <c r="N64" s="177">
        <f>SUMIFS('Support - Transition'!G:G,'Support - Transition'!J:J,'Step 2'!D64,'Support - Transition'!E:E,"2009 WELFARE ALLOCATION FACTOR")</f>
        <v>0</v>
      </c>
      <c r="O64" s="152">
        <f t="shared" si="9"/>
        <v>0</v>
      </c>
      <c r="P64" s="126">
        <f>IF(E64="Y",0,SUMIFS('Support - Transition'!G:G,'Support - Transition'!J:J,'Step 2'!D64,'Support - Transition'!E:E,"2009 SCHOOL ALLOCATION FACTOR"))</f>
        <v>0</v>
      </c>
      <c r="Q64" s="126">
        <f>IF(E64="Y",VLOOKUP(D64,'Support - Unit Adjustments'!F:G,2,FALSE),0)</f>
        <v>0</v>
      </c>
      <c r="R64" s="155">
        <f t="shared" si="2"/>
        <v>0</v>
      </c>
      <c r="S64" s="47">
        <f t="shared" si="10"/>
        <v>0</v>
      </c>
      <c r="T64" s="151">
        <f t="shared" si="3"/>
        <v>0</v>
      </c>
      <c r="U64" s="151">
        <f t="shared" si="4"/>
        <v>0</v>
      </c>
      <c r="V64" s="139">
        <f t="shared" si="5"/>
        <v>0</v>
      </c>
      <c r="W64" s="152">
        <f t="shared" si="11"/>
        <v>0</v>
      </c>
      <c r="X64" s="127" t="str">
        <f t="shared" si="6"/>
        <v/>
      </c>
      <c r="Y64" s="207">
        <f t="shared" si="12"/>
        <v>0</v>
      </c>
      <c r="Z64" s="139">
        <f t="shared" si="13"/>
        <v>0</v>
      </c>
      <c r="AA64" s="139">
        <f t="shared" si="14"/>
        <v>0</v>
      </c>
      <c r="AC64" s="47">
        <f t="shared" si="15"/>
        <v>0</v>
      </c>
      <c r="AD64" s="47">
        <f t="shared" si="16"/>
        <v>0</v>
      </c>
      <c r="AE64" s="47">
        <f t="shared" si="17"/>
        <v>0</v>
      </c>
      <c r="AG64" s="47">
        <f t="shared" si="18"/>
        <v>0</v>
      </c>
      <c r="AH64" s="47">
        <f t="shared" si="19"/>
        <v>0</v>
      </c>
      <c r="AI64" s="208">
        <f t="shared" si="20"/>
        <v>0</v>
      </c>
    </row>
    <row r="65" spans="1:35">
      <c r="A65" t="s">
        <v>2089</v>
      </c>
      <c r="B65" t="s">
        <v>3170</v>
      </c>
      <c r="C65" t="s">
        <v>3219</v>
      </c>
      <c r="D65" t="s">
        <v>3220</v>
      </c>
      <c r="F65" t="s">
        <v>3221</v>
      </c>
      <c r="G65" s="126">
        <f>SUMIFS('Support - Transition'!F:F,'Support - Transition'!B:B,'Step 2'!A65,'Support - Transition'!C:C,'Step 2'!B65,'Support - Transition'!D:D,'Step 2'!C65,'Support - Transition'!E:E,"CIVIL")</f>
        <v>0</v>
      </c>
      <c r="H65" s="126">
        <f>SUMIFS('Support - Transition'!F:F,'Support - Transition'!B:B,'Step 2'!A65,'Support - Transition'!C:C,'Step 2'!B65,'Support - Transition'!D:D,'Step 2'!C65,'Support - Transition'!E:E,"FIRE")</f>
        <v>0</v>
      </c>
      <c r="I65" s="126">
        <f>IF(B65="0",SUMIFS('Support - Transition'!F:F,'Support - Transition'!J:J,'Step 2'!D65,'Support - Transition'!E:E,"STATE UNIT"),SUMIFS('Support - Transition'!F:F,'Support - Transition'!J:J,'Step 2'!D65))</f>
        <v>0</v>
      </c>
      <c r="J65" s="126">
        <f>SUMIFS('Support - Unit Adjustments'!E:E,'Support - Unit Adjustments'!F:F,'Step 2'!D65)</f>
        <v>0</v>
      </c>
      <c r="K65" s="126">
        <f t="shared" si="0"/>
        <v>0</v>
      </c>
      <c r="L65" s="174">
        <f>VLOOKUP(A65,'Step 1'!$A:$E,4,FALSE)</f>
        <v>3709709</v>
      </c>
      <c r="M65" s="47">
        <f t="shared" si="1"/>
        <v>0</v>
      </c>
      <c r="N65" s="177">
        <f>SUMIFS('Support - Transition'!G:G,'Support - Transition'!J:J,'Step 2'!D65,'Support - Transition'!E:E,"2009 WELFARE ALLOCATION FACTOR")</f>
        <v>0</v>
      </c>
      <c r="O65" s="152">
        <f t="shared" si="9"/>
        <v>0</v>
      </c>
      <c r="P65" s="126">
        <f>IF(E65="Y",0,SUMIFS('Support - Transition'!G:G,'Support - Transition'!J:J,'Step 2'!D65,'Support - Transition'!E:E,"2009 SCHOOL ALLOCATION FACTOR"))</f>
        <v>0</v>
      </c>
      <c r="Q65" s="126">
        <f>IF(E65="Y",VLOOKUP(D65,'Support - Unit Adjustments'!F:G,2,FALSE),0)</f>
        <v>0</v>
      </c>
      <c r="R65" s="155">
        <f t="shared" si="2"/>
        <v>0</v>
      </c>
      <c r="S65" s="47">
        <f t="shared" si="10"/>
        <v>0</v>
      </c>
      <c r="T65" s="151">
        <f t="shared" si="3"/>
        <v>0</v>
      </c>
      <c r="U65" s="151">
        <f t="shared" si="4"/>
        <v>0</v>
      </c>
      <c r="V65" s="139">
        <f t="shared" si="5"/>
        <v>0</v>
      </c>
      <c r="W65" s="152">
        <f t="shared" si="11"/>
        <v>0</v>
      </c>
      <c r="X65" s="127" t="str">
        <f t="shared" si="6"/>
        <v/>
      </c>
      <c r="Y65" s="207">
        <f t="shared" si="12"/>
        <v>0</v>
      </c>
      <c r="Z65" s="139">
        <f t="shared" si="13"/>
        <v>0</v>
      </c>
      <c r="AA65" s="139">
        <f t="shared" si="14"/>
        <v>0</v>
      </c>
      <c r="AC65" s="47">
        <f t="shared" si="15"/>
        <v>0</v>
      </c>
      <c r="AD65" s="47">
        <f t="shared" si="16"/>
        <v>0</v>
      </c>
      <c r="AE65" s="47">
        <f t="shared" si="17"/>
        <v>0</v>
      </c>
      <c r="AG65" s="47">
        <f t="shared" si="18"/>
        <v>0</v>
      </c>
      <c r="AH65" s="47">
        <f t="shared" si="19"/>
        <v>0</v>
      </c>
      <c r="AI65" s="208">
        <f t="shared" si="20"/>
        <v>0</v>
      </c>
    </row>
    <row r="66" spans="1:35">
      <c r="A66" t="s">
        <v>2089</v>
      </c>
      <c r="B66" t="s">
        <v>3170</v>
      </c>
      <c r="C66" t="s">
        <v>3222</v>
      </c>
      <c r="D66" t="s">
        <v>3223</v>
      </c>
      <c r="F66" t="s">
        <v>3224</v>
      </c>
      <c r="G66" s="126">
        <f>SUMIFS('Support - Transition'!F:F,'Support - Transition'!B:B,'Step 2'!A66,'Support - Transition'!C:C,'Step 2'!B66,'Support - Transition'!D:D,'Step 2'!C66,'Support - Transition'!E:E,"CIVIL")</f>
        <v>0</v>
      </c>
      <c r="H66" s="126">
        <f>SUMIFS('Support - Transition'!F:F,'Support - Transition'!B:B,'Step 2'!A66,'Support - Transition'!C:C,'Step 2'!B66,'Support - Transition'!D:D,'Step 2'!C66,'Support - Transition'!E:E,"FIRE")</f>
        <v>0</v>
      </c>
      <c r="I66" s="126">
        <f>IF(B66="0",SUMIFS('Support - Transition'!F:F,'Support - Transition'!J:J,'Step 2'!D66,'Support - Transition'!E:E,"STATE UNIT"),SUMIFS('Support - Transition'!F:F,'Support - Transition'!J:J,'Step 2'!D66))</f>
        <v>0</v>
      </c>
      <c r="J66" s="126">
        <f>SUMIFS('Support - Unit Adjustments'!E:E,'Support - Unit Adjustments'!F:F,'Step 2'!D66)</f>
        <v>0</v>
      </c>
      <c r="K66" s="126">
        <f t="shared" ref="K66:K129" si="21">+I66+J66</f>
        <v>0</v>
      </c>
      <c r="L66" s="174">
        <f>VLOOKUP(A66,'Step 1'!$A:$E,4,FALSE)</f>
        <v>3709709</v>
      </c>
      <c r="M66" s="47">
        <f t="shared" ref="M66:M129" si="22">ROUND(+K66*L66,0)</f>
        <v>0</v>
      </c>
      <c r="N66" s="177">
        <f>SUMIFS('Support - Transition'!G:G,'Support - Transition'!J:J,'Step 2'!D66,'Support - Transition'!E:E,"2009 WELFARE ALLOCATION FACTOR")</f>
        <v>0</v>
      </c>
      <c r="O66" s="152">
        <f t="shared" si="9"/>
        <v>0</v>
      </c>
      <c r="P66" s="126">
        <f>IF(E66="Y",0,SUMIFS('Support - Transition'!G:G,'Support - Transition'!J:J,'Step 2'!D66,'Support - Transition'!E:E,"2009 SCHOOL ALLOCATION FACTOR"))</f>
        <v>0</v>
      </c>
      <c r="Q66" s="126">
        <f>IF(E66="Y",VLOOKUP(D66,'Support - Unit Adjustments'!F:G,2,FALSE),0)</f>
        <v>0</v>
      </c>
      <c r="R66" s="155">
        <f t="shared" ref="R66:R129" si="23">+P66+Q66</f>
        <v>0</v>
      </c>
      <c r="S66" s="47">
        <f t="shared" si="10"/>
        <v>0</v>
      </c>
      <c r="T66" s="151">
        <f t="shared" ref="T66:T129" si="24">ROUND(+M66-O66-S66,2)</f>
        <v>0</v>
      </c>
      <c r="U66" s="151">
        <f t="shared" ref="U66:U129" si="25">IF(B66="0",SUMIFS(O:O,A:A,A66)+SUMIFS(S:S,A:A,A66)+SUMIFS(T:T,A:A,A66),0)</f>
        <v>0</v>
      </c>
      <c r="V66" s="139">
        <f t="shared" ref="V66:V129" si="26">IF(B66="0",U66-L66,0)</f>
        <v>0</v>
      </c>
      <c r="W66" s="152">
        <f t="shared" si="11"/>
        <v>0</v>
      </c>
      <c r="X66" s="127" t="str">
        <f t="shared" ref="X66:X129" si="27">IF(B66="0",SUMIFS(O:O,A:A,A66)+SUMIFS(S:S,A:A,A66)+SUMIFS(W:W,A:A,A66)-L66,"")</f>
        <v/>
      </c>
      <c r="Y66" s="207">
        <f t="shared" si="12"/>
        <v>0</v>
      </c>
      <c r="Z66" s="139">
        <f t="shared" si="13"/>
        <v>0</v>
      </c>
      <c r="AA66" s="139">
        <f t="shared" si="14"/>
        <v>0</v>
      </c>
      <c r="AC66" s="47">
        <f t="shared" si="15"/>
        <v>0</v>
      </c>
      <c r="AD66" s="47">
        <f t="shared" si="16"/>
        <v>0</v>
      </c>
      <c r="AE66" s="47">
        <f t="shared" si="17"/>
        <v>0</v>
      </c>
      <c r="AG66" s="47">
        <f t="shared" si="18"/>
        <v>0</v>
      </c>
      <c r="AH66" s="47">
        <f t="shared" si="19"/>
        <v>0</v>
      </c>
      <c r="AI66" s="208">
        <f t="shared" si="20"/>
        <v>0</v>
      </c>
    </row>
    <row r="67" spans="1:35">
      <c r="A67" t="s">
        <v>2090</v>
      </c>
      <c r="B67" s="48" t="s">
        <v>6274</v>
      </c>
      <c r="C67" t="s">
        <v>2187</v>
      </c>
      <c r="D67" t="str">
        <f>A67&amp;B67&amp;C67</f>
        <v>0300000</v>
      </c>
      <c r="F67" t="s">
        <v>6277</v>
      </c>
      <c r="G67" s="126">
        <f>SUMIFS('Support - Transition'!F:F,'Support - Transition'!B:B,'Step 2'!A67,'Support - Transition'!C:C,'Step 2'!B67,'Support - Transition'!D:D,'Step 2'!C67,'Support - Transition'!E:E,"CIVIL")</f>
        <v>0</v>
      </c>
      <c r="H67" s="126">
        <f>SUMIFS('Support - Transition'!F:F,'Support - Transition'!B:B,'Step 2'!A67,'Support - Transition'!C:C,'Step 2'!B67,'Support - Transition'!D:D,'Step 2'!C67,'Support - Transition'!E:E,"FIRE")</f>
        <v>0</v>
      </c>
      <c r="I67" s="126">
        <f>IF(B67="0",SUMIFS('Support - Transition'!F:F,'Support - Transition'!J:J,'Step 2'!D67,'Support - Transition'!E:E,"STATE UNIT"),SUMIFS('Support - Transition'!F:F,'Support - Transition'!J:J,'Step 2'!D67))</f>
        <v>1.317E-3</v>
      </c>
      <c r="J67" s="126">
        <f>SUMIFS('Support - Unit Adjustments'!E:E,'Support - Unit Adjustments'!F:F,'Step 2'!D67)</f>
        <v>0</v>
      </c>
      <c r="K67" s="126">
        <f t="shared" si="21"/>
        <v>1.317E-3</v>
      </c>
      <c r="L67" s="174">
        <f>VLOOKUP(A67,'Step 1'!$A:$E,4,FALSE)</f>
        <v>665425</v>
      </c>
      <c r="M67" s="47">
        <f t="shared" si="22"/>
        <v>876</v>
      </c>
      <c r="N67" s="177">
        <f>SUMIFS('Support - Transition'!G:G,'Support - Transition'!J:J,'Step 2'!D67,'Support - Transition'!E:E,"2009 WELFARE ALLOCATION FACTOR")</f>
        <v>0</v>
      </c>
      <c r="O67" s="152">
        <f t="shared" ref="O67:O130" si="28">ROUND(+N67*M67,0)</f>
        <v>0</v>
      </c>
      <c r="P67" s="126">
        <f>IF(E67="Y",0,SUMIFS('Support - Transition'!G:G,'Support - Transition'!J:J,'Step 2'!D67,'Support - Transition'!E:E,"2009 SCHOOL ALLOCATION FACTOR"))</f>
        <v>0</v>
      </c>
      <c r="Q67" s="126">
        <f>IF(E67="Y",VLOOKUP(D67,'Support - Unit Adjustments'!F:G,2,FALSE),0)</f>
        <v>0</v>
      </c>
      <c r="R67" s="155">
        <f t="shared" si="23"/>
        <v>0</v>
      </c>
      <c r="S67" s="47">
        <f t="shared" ref="S67:S130" si="29">ROUND(+P67*M67,0)</f>
        <v>0</v>
      </c>
      <c r="T67" s="151">
        <f t="shared" si="24"/>
        <v>876</v>
      </c>
      <c r="U67" s="151">
        <f t="shared" si="25"/>
        <v>665425</v>
      </c>
      <c r="V67" s="139">
        <f t="shared" si="26"/>
        <v>0</v>
      </c>
      <c r="W67" s="152">
        <f t="shared" ref="W67:W130" si="30">+T67-V67</f>
        <v>876</v>
      </c>
      <c r="X67" s="127">
        <f t="shared" si="27"/>
        <v>0</v>
      </c>
      <c r="Y67" s="207">
        <f t="shared" ref="Y67:Y130" si="31">W67</f>
        <v>876</v>
      </c>
      <c r="Z67" s="139">
        <f t="shared" ref="Z67:Z130" si="32">IFERROR(IF(B67="2",ROUND(Y67*G67/I67,0),Y67),0)</f>
        <v>876</v>
      </c>
      <c r="AA67" s="139">
        <f t="shared" ref="AA67:AA130" si="33">+Y67-Z67</f>
        <v>0</v>
      </c>
      <c r="AC67" s="47">
        <f t="shared" ref="AC67:AC130" si="34">ROUND(Y67/2,0)</f>
        <v>438</v>
      </c>
      <c r="AD67" s="47">
        <f t="shared" ref="AD67:AD130" si="35">ROUND(Z67/2,0)</f>
        <v>438</v>
      </c>
      <c r="AE67" s="47">
        <f t="shared" ref="AE67:AE130" si="36">ROUND(AA67/2,0)</f>
        <v>0</v>
      </c>
      <c r="AG67" s="47">
        <f t="shared" ref="AG67:AG130" si="37">+Y67-AC67</f>
        <v>438</v>
      </c>
      <c r="AH67" s="47">
        <f t="shared" ref="AH67:AH130" si="38">+Z67-AD67</f>
        <v>438</v>
      </c>
      <c r="AI67" s="208">
        <f t="shared" ref="AI67:AI130" si="39">+AA67-AE67</f>
        <v>0</v>
      </c>
    </row>
    <row r="68" spans="1:35">
      <c r="A68" t="s">
        <v>2090</v>
      </c>
      <c r="B68" t="s">
        <v>3140</v>
      </c>
      <c r="C68" t="s">
        <v>2187</v>
      </c>
      <c r="D68" t="s">
        <v>3225</v>
      </c>
      <c r="F68" t="s">
        <v>80</v>
      </c>
      <c r="G68" s="126">
        <f>SUMIFS('Support - Transition'!F:F,'Support - Transition'!B:B,'Step 2'!A68,'Support - Transition'!C:C,'Step 2'!B68,'Support - Transition'!D:D,'Step 2'!C68,'Support - Transition'!E:E,"CIVIL")</f>
        <v>0</v>
      </c>
      <c r="H68" s="126">
        <f>SUMIFS('Support - Transition'!F:F,'Support - Transition'!B:B,'Step 2'!A68,'Support - Transition'!C:C,'Step 2'!B68,'Support - Transition'!D:D,'Step 2'!C68,'Support - Transition'!E:E,"FIRE")</f>
        <v>0</v>
      </c>
      <c r="I68" s="126">
        <f>IF(B68="0",SUMIFS('Support - Transition'!F:F,'Support - Transition'!J:J,'Step 2'!D68,'Support - Transition'!E:E,"STATE UNIT"),SUMIFS('Support - Transition'!F:F,'Support - Transition'!J:J,'Step 2'!D68))</f>
        <v>0.18949199999999999</v>
      </c>
      <c r="J68" s="126">
        <f>SUMIFS('Support - Unit Adjustments'!E:E,'Support - Unit Adjustments'!F:F,'Step 2'!D68)</f>
        <v>0</v>
      </c>
      <c r="K68" s="126">
        <f t="shared" si="21"/>
        <v>0.18949199999999999</v>
      </c>
      <c r="L68" s="174">
        <f>VLOOKUP(A68,'Step 1'!$A:$E,4,FALSE)</f>
        <v>665425</v>
      </c>
      <c r="M68" s="47">
        <f t="shared" si="22"/>
        <v>126093</v>
      </c>
      <c r="N68" s="177">
        <f>SUMIFS('Support - Transition'!G:G,'Support - Transition'!J:J,'Step 2'!D68,'Support - Transition'!E:E,"2009 WELFARE ALLOCATION FACTOR")</f>
        <v>0.62741499999999994</v>
      </c>
      <c r="O68" s="152">
        <f t="shared" si="28"/>
        <v>79113</v>
      </c>
      <c r="P68" s="126">
        <f>IF(E68="Y",0,SUMIFS('Support - Transition'!G:G,'Support - Transition'!J:J,'Step 2'!D68,'Support - Transition'!E:E,"2009 SCHOOL ALLOCATION FACTOR"))</f>
        <v>0</v>
      </c>
      <c r="Q68" s="126">
        <f>IF(E68="Y",VLOOKUP(D68,'Support - Unit Adjustments'!F:G,2,FALSE),0)</f>
        <v>0</v>
      </c>
      <c r="R68" s="155">
        <f t="shared" si="23"/>
        <v>0</v>
      </c>
      <c r="S68" s="47">
        <f t="shared" si="29"/>
        <v>0</v>
      </c>
      <c r="T68" s="151">
        <f t="shared" si="24"/>
        <v>46980</v>
      </c>
      <c r="U68" s="151">
        <f t="shared" si="25"/>
        <v>0</v>
      </c>
      <c r="V68" s="139">
        <f t="shared" si="26"/>
        <v>0</v>
      </c>
      <c r="W68" s="152">
        <f t="shared" si="30"/>
        <v>46980</v>
      </c>
      <c r="X68" s="127" t="str">
        <f t="shared" si="27"/>
        <v/>
      </c>
      <c r="Y68" s="207">
        <f t="shared" si="31"/>
        <v>46980</v>
      </c>
      <c r="Z68" s="139">
        <f t="shared" si="32"/>
        <v>46980</v>
      </c>
      <c r="AA68" s="139">
        <f t="shared" si="33"/>
        <v>0</v>
      </c>
      <c r="AC68" s="47">
        <f t="shared" si="34"/>
        <v>23490</v>
      </c>
      <c r="AD68" s="47">
        <f t="shared" si="35"/>
        <v>23490</v>
      </c>
      <c r="AE68" s="47">
        <f t="shared" si="36"/>
        <v>0</v>
      </c>
      <c r="AG68" s="47">
        <f t="shared" si="37"/>
        <v>23490</v>
      </c>
      <c r="AH68" s="47">
        <f t="shared" si="38"/>
        <v>23490</v>
      </c>
      <c r="AI68" s="208">
        <f t="shared" si="39"/>
        <v>0</v>
      </c>
    </row>
    <row r="69" spans="1:35">
      <c r="A69" t="s">
        <v>2090</v>
      </c>
      <c r="B69" t="s">
        <v>3142</v>
      </c>
      <c r="C69" t="s">
        <v>2188</v>
      </c>
      <c r="D69" t="s">
        <v>3226</v>
      </c>
      <c r="F69" t="s">
        <v>81</v>
      </c>
      <c r="G69" s="126">
        <f>SUMIFS('Support - Transition'!F:F,'Support - Transition'!B:B,'Step 2'!A69,'Support - Transition'!C:C,'Step 2'!B69,'Support - Transition'!D:D,'Step 2'!C69,'Support - Transition'!E:E,"CIVIL")</f>
        <v>2.12E-4</v>
      </c>
      <c r="H69" s="126">
        <f>SUMIFS('Support - Transition'!F:F,'Support - Transition'!B:B,'Step 2'!A69,'Support - Transition'!C:C,'Step 2'!B69,'Support - Transition'!D:D,'Step 2'!C69,'Support - Transition'!E:E,"FIRE")</f>
        <v>1.6000000000000001E-4</v>
      </c>
      <c r="I69" s="126">
        <f>IF(B69="0",SUMIFS('Support - Transition'!F:F,'Support - Transition'!J:J,'Step 2'!D69,'Support - Transition'!E:E,"STATE UNIT"),SUMIFS('Support - Transition'!F:F,'Support - Transition'!J:J,'Step 2'!D69))</f>
        <v>3.7200000000000004E-4</v>
      </c>
      <c r="J69" s="126">
        <f>SUMIFS('Support - Unit Adjustments'!E:E,'Support - Unit Adjustments'!F:F,'Step 2'!D69)</f>
        <v>0</v>
      </c>
      <c r="K69" s="126">
        <f t="shared" si="21"/>
        <v>3.7200000000000004E-4</v>
      </c>
      <c r="L69" s="174">
        <f>VLOOKUP(A69,'Step 1'!$A:$E,4,FALSE)</f>
        <v>665425</v>
      </c>
      <c r="M69" s="47">
        <f t="shared" si="22"/>
        <v>248</v>
      </c>
      <c r="N69" s="177">
        <f>SUMIFS('Support - Transition'!G:G,'Support - Transition'!J:J,'Step 2'!D69,'Support - Transition'!E:E,"2009 WELFARE ALLOCATION FACTOR")</f>
        <v>0</v>
      </c>
      <c r="O69" s="152">
        <f t="shared" si="28"/>
        <v>0</v>
      </c>
      <c r="P69" s="126">
        <f>IF(E69="Y",0,SUMIFS('Support - Transition'!G:G,'Support - Transition'!J:J,'Step 2'!D69,'Support - Transition'!E:E,"2009 SCHOOL ALLOCATION FACTOR"))</f>
        <v>0</v>
      </c>
      <c r="Q69" s="126">
        <f>IF(E69="Y",VLOOKUP(D69,'Support - Unit Adjustments'!F:G,2,FALSE),0)</f>
        <v>0</v>
      </c>
      <c r="R69" s="155">
        <f t="shared" si="23"/>
        <v>0</v>
      </c>
      <c r="S69" s="47">
        <f t="shared" si="29"/>
        <v>0</v>
      </c>
      <c r="T69" s="151">
        <f t="shared" si="24"/>
        <v>248</v>
      </c>
      <c r="U69" s="151">
        <f t="shared" si="25"/>
        <v>0</v>
      </c>
      <c r="V69" s="139">
        <f t="shared" si="26"/>
        <v>0</v>
      </c>
      <c r="W69" s="152">
        <f t="shared" si="30"/>
        <v>248</v>
      </c>
      <c r="X69" s="127" t="str">
        <f t="shared" si="27"/>
        <v/>
      </c>
      <c r="Y69" s="207">
        <f t="shared" si="31"/>
        <v>248</v>
      </c>
      <c r="Z69" s="139">
        <f t="shared" si="32"/>
        <v>141</v>
      </c>
      <c r="AA69" s="139">
        <f t="shared" si="33"/>
        <v>107</v>
      </c>
      <c r="AC69" s="47">
        <f t="shared" si="34"/>
        <v>124</v>
      </c>
      <c r="AD69" s="47">
        <f t="shared" si="35"/>
        <v>71</v>
      </c>
      <c r="AE69" s="47">
        <f t="shared" si="36"/>
        <v>54</v>
      </c>
      <c r="AG69" s="47">
        <f t="shared" si="37"/>
        <v>124</v>
      </c>
      <c r="AH69" s="47">
        <f t="shared" si="38"/>
        <v>70</v>
      </c>
      <c r="AI69" s="208">
        <f t="shared" si="39"/>
        <v>53</v>
      </c>
    </row>
    <row r="70" spans="1:35">
      <c r="A70" t="s">
        <v>2090</v>
      </c>
      <c r="B70" t="s">
        <v>3142</v>
      </c>
      <c r="C70" t="s">
        <v>2189</v>
      </c>
      <c r="D70" t="s">
        <v>3227</v>
      </c>
      <c r="F70" t="s">
        <v>82</v>
      </c>
      <c r="G70" s="126">
        <f>SUMIFS('Support - Transition'!F:F,'Support - Transition'!B:B,'Step 2'!A70,'Support - Transition'!C:C,'Step 2'!B70,'Support - Transition'!D:D,'Step 2'!C70,'Support - Transition'!E:E,"CIVIL")</f>
        <v>1.21E-4</v>
      </c>
      <c r="H70" s="126">
        <f>SUMIFS('Support - Transition'!F:F,'Support - Transition'!B:B,'Step 2'!A70,'Support - Transition'!C:C,'Step 2'!B70,'Support - Transition'!D:D,'Step 2'!C70,'Support - Transition'!E:E,"FIRE")</f>
        <v>3.6000000000000001E-5</v>
      </c>
      <c r="I70" s="126">
        <f>IF(B70="0",SUMIFS('Support - Transition'!F:F,'Support - Transition'!J:J,'Step 2'!D70,'Support - Transition'!E:E,"STATE UNIT"),SUMIFS('Support - Transition'!F:F,'Support - Transition'!J:J,'Step 2'!D70))</f>
        <v>1.5699999999999999E-4</v>
      </c>
      <c r="J70" s="126">
        <f>SUMIFS('Support - Unit Adjustments'!E:E,'Support - Unit Adjustments'!F:F,'Step 2'!D70)</f>
        <v>0</v>
      </c>
      <c r="K70" s="126">
        <f t="shared" si="21"/>
        <v>1.5699999999999999E-4</v>
      </c>
      <c r="L70" s="174">
        <f>VLOOKUP(A70,'Step 1'!$A:$E,4,FALSE)</f>
        <v>665425</v>
      </c>
      <c r="M70" s="47">
        <f t="shared" si="22"/>
        <v>104</v>
      </c>
      <c r="N70" s="177">
        <f>SUMIFS('Support - Transition'!G:G,'Support - Transition'!J:J,'Step 2'!D70,'Support - Transition'!E:E,"2009 WELFARE ALLOCATION FACTOR")</f>
        <v>0</v>
      </c>
      <c r="O70" s="152">
        <f t="shared" si="28"/>
        <v>0</v>
      </c>
      <c r="P70" s="126">
        <f>IF(E70="Y",0,SUMIFS('Support - Transition'!G:G,'Support - Transition'!J:J,'Step 2'!D70,'Support - Transition'!E:E,"2009 SCHOOL ALLOCATION FACTOR"))</f>
        <v>0</v>
      </c>
      <c r="Q70" s="126">
        <f>IF(E70="Y",VLOOKUP(D70,'Support - Unit Adjustments'!F:G,2,FALSE),0)</f>
        <v>0</v>
      </c>
      <c r="R70" s="155">
        <f t="shared" si="23"/>
        <v>0</v>
      </c>
      <c r="S70" s="47">
        <f t="shared" si="29"/>
        <v>0</v>
      </c>
      <c r="T70" s="151">
        <f t="shared" si="24"/>
        <v>104</v>
      </c>
      <c r="U70" s="151">
        <f t="shared" si="25"/>
        <v>0</v>
      </c>
      <c r="V70" s="139">
        <f t="shared" si="26"/>
        <v>0</v>
      </c>
      <c r="W70" s="152">
        <f t="shared" si="30"/>
        <v>104</v>
      </c>
      <c r="X70" s="127" t="str">
        <f t="shared" si="27"/>
        <v/>
      </c>
      <c r="Y70" s="207">
        <f t="shared" si="31"/>
        <v>104</v>
      </c>
      <c r="Z70" s="139">
        <f t="shared" si="32"/>
        <v>80</v>
      </c>
      <c r="AA70" s="139">
        <f t="shared" si="33"/>
        <v>24</v>
      </c>
      <c r="AC70" s="47">
        <f t="shared" si="34"/>
        <v>52</v>
      </c>
      <c r="AD70" s="47">
        <f t="shared" si="35"/>
        <v>40</v>
      </c>
      <c r="AE70" s="47">
        <f t="shared" si="36"/>
        <v>12</v>
      </c>
      <c r="AG70" s="47">
        <f t="shared" si="37"/>
        <v>52</v>
      </c>
      <c r="AH70" s="47">
        <f t="shared" si="38"/>
        <v>40</v>
      </c>
      <c r="AI70" s="208">
        <f t="shared" si="39"/>
        <v>12</v>
      </c>
    </row>
    <row r="71" spans="1:35">
      <c r="A71" t="s">
        <v>2090</v>
      </c>
      <c r="B71" t="s">
        <v>3142</v>
      </c>
      <c r="C71" t="s">
        <v>2190</v>
      </c>
      <c r="D71" t="s">
        <v>3228</v>
      </c>
      <c r="F71" t="s">
        <v>83</v>
      </c>
      <c r="G71" s="126">
        <f>SUMIFS('Support - Transition'!F:F,'Support - Transition'!B:B,'Step 2'!A71,'Support - Transition'!C:C,'Step 2'!B71,'Support - Transition'!D:D,'Step 2'!C71,'Support - Transition'!E:E,"CIVIL")</f>
        <v>4.4669999999999996E-3</v>
      </c>
      <c r="H71" s="126">
        <f>SUMIFS('Support - Transition'!F:F,'Support - Transition'!B:B,'Step 2'!A71,'Support - Transition'!C:C,'Step 2'!B71,'Support - Transition'!D:D,'Step 2'!C71,'Support - Transition'!E:E,"FIRE")</f>
        <v>1.9699999999999999E-4</v>
      </c>
      <c r="I71" s="126">
        <f>IF(B71="0",SUMIFS('Support - Transition'!F:F,'Support - Transition'!J:J,'Step 2'!D71,'Support - Transition'!E:E,"STATE UNIT"),SUMIFS('Support - Transition'!F:F,'Support - Transition'!J:J,'Step 2'!D71))</f>
        <v>4.6639999999999997E-3</v>
      </c>
      <c r="J71" s="126">
        <f>SUMIFS('Support - Unit Adjustments'!E:E,'Support - Unit Adjustments'!F:F,'Step 2'!D71)</f>
        <v>0</v>
      </c>
      <c r="K71" s="126">
        <f t="shared" si="21"/>
        <v>4.6639999999999997E-3</v>
      </c>
      <c r="L71" s="174">
        <f>VLOOKUP(A71,'Step 1'!$A:$E,4,FALSE)</f>
        <v>665425</v>
      </c>
      <c r="M71" s="47">
        <f t="shared" si="22"/>
        <v>3104</v>
      </c>
      <c r="N71" s="177">
        <f>SUMIFS('Support - Transition'!G:G,'Support - Transition'!J:J,'Step 2'!D71,'Support - Transition'!E:E,"2009 WELFARE ALLOCATION FACTOR")</f>
        <v>0</v>
      </c>
      <c r="O71" s="152">
        <f t="shared" si="28"/>
        <v>0</v>
      </c>
      <c r="P71" s="126">
        <f>IF(E71="Y",0,SUMIFS('Support - Transition'!G:G,'Support - Transition'!J:J,'Step 2'!D71,'Support - Transition'!E:E,"2009 SCHOOL ALLOCATION FACTOR"))</f>
        <v>0</v>
      </c>
      <c r="Q71" s="126">
        <f>IF(E71="Y",VLOOKUP(D71,'Support - Unit Adjustments'!F:G,2,FALSE),0)</f>
        <v>0</v>
      </c>
      <c r="R71" s="155">
        <f t="shared" si="23"/>
        <v>0</v>
      </c>
      <c r="S71" s="47">
        <f t="shared" si="29"/>
        <v>0</v>
      </c>
      <c r="T71" s="151">
        <f t="shared" si="24"/>
        <v>3104</v>
      </c>
      <c r="U71" s="151">
        <f t="shared" si="25"/>
        <v>0</v>
      </c>
      <c r="V71" s="139">
        <f t="shared" si="26"/>
        <v>0</v>
      </c>
      <c r="W71" s="152">
        <f t="shared" si="30"/>
        <v>3104</v>
      </c>
      <c r="X71" s="127" t="str">
        <f t="shared" si="27"/>
        <v/>
      </c>
      <c r="Y71" s="207">
        <f t="shared" si="31"/>
        <v>3104</v>
      </c>
      <c r="Z71" s="139">
        <f t="shared" si="32"/>
        <v>2973</v>
      </c>
      <c r="AA71" s="139">
        <f t="shared" si="33"/>
        <v>131</v>
      </c>
      <c r="AC71" s="47">
        <f t="shared" si="34"/>
        <v>1552</v>
      </c>
      <c r="AD71" s="47">
        <f t="shared" si="35"/>
        <v>1487</v>
      </c>
      <c r="AE71" s="47">
        <f t="shared" si="36"/>
        <v>66</v>
      </c>
      <c r="AG71" s="47">
        <f t="shared" si="37"/>
        <v>1552</v>
      </c>
      <c r="AH71" s="47">
        <f t="shared" si="38"/>
        <v>1486</v>
      </c>
      <c r="AI71" s="208">
        <f t="shared" si="39"/>
        <v>65</v>
      </c>
    </row>
    <row r="72" spans="1:35">
      <c r="A72" t="s">
        <v>2090</v>
      </c>
      <c r="B72" t="s">
        <v>3142</v>
      </c>
      <c r="C72" t="s">
        <v>2191</v>
      </c>
      <c r="D72" t="s">
        <v>3229</v>
      </c>
      <c r="F72" t="s">
        <v>84</v>
      </c>
      <c r="G72" s="126">
        <f>SUMIFS('Support - Transition'!F:F,'Support - Transition'!B:B,'Step 2'!A72,'Support - Transition'!C:C,'Step 2'!B72,'Support - Transition'!D:D,'Step 2'!C72,'Support - Transition'!E:E,"CIVIL")</f>
        <v>2.14E-4</v>
      </c>
      <c r="H72" s="126">
        <f>SUMIFS('Support - Transition'!F:F,'Support - Transition'!B:B,'Step 2'!A72,'Support - Transition'!C:C,'Step 2'!B72,'Support - Transition'!D:D,'Step 2'!C72,'Support - Transition'!E:E,"FIRE")</f>
        <v>2.5900000000000001E-4</v>
      </c>
      <c r="I72" s="126">
        <f>IF(B72="0",SUMIFS('Support - Transition'!F:F,'Support - Transition'!J:J,'Step 2'!D72,'Support - Transition'!E:E,"STATE UNIT"),SUMIFS('Support - Transition'!F:F,'Support - Transition'!J:J,'Step 2'!D72))</f>
        <v>4.73E-4</v>
      </c>
      <c r="J72" s="126">
        <f>SUMIFS('Support - Unit Adjustments'!E:E,'Support - Unit Adjustments'!F:F,'Step 2'!D72)</f>
        <v>0</v>
      </c>
      <c r="K72" s="126">
        <f t="shared" si="21"/>
        <v>4.73E-4</v>
      </c>
      <c r="L72" s="174">
        <f>VLOOKUP(A72,'Step 1'!$A:$E,4,FALSE)</f>
        <v>665425</v>
      </c>
      <c r="M72" s="47">
        <f t="shared" si="22"/>
        <v>315</v>
      </c>
      <c r="N72" s="177">
        <f>SUMIFS('Support - Transition'!G:G,'Support - Transition'!J:J,'Step 2'!D72,'Support - Transition'!E:E,"2009 WELFARE ALLOCATION FACTOR")</f>
        <v>0</v>
      </c>
      <c r="O72" s="152">
        <f t="shared" si="28"/>
        <v>0</v>
      </c>
      <c r="P72" s="126">
        <f>IF(E72="Y",0,SUMIFS('Support - Transition'!G:G,'Support - Transition'!J:J,'Step 2'!D72,'Support - Transition'!E:E,"2009 SCHOOL ALLOCATION FACTOR"))</f>
        <v>0</v>
      </c>
      <c r="Q72" s="126">
        <f>IF(E72="Y",VLOOKUP(D72,'Support - Unit Adjustments'!F:G,2,FALSE),0)</f>
        <v>0</v>
      </c>
      <c r="R72" s="155">
        <f t="shared" si="23"/>
        <v>0</v>
      </c>
      <c r="S72" s="47">
        <f t="shared" si="29"/>
        <v>0</v>
      </c>
      <c r="T72" s="151">
        <f t="shared" si="24"/>
        <v>315</v>
      </c>
      <c r="U72" s="151">
        <f t="shared" si="25"/>
        <v>0</v>
      </c>
      <c r="V72" s="139">
        <f t="shared" si="26"/>
        <v>0</v>
      </c>
      <c r="W72" s="152">
        <f t="shared" si="30"/>
        <v>315</v>
      </c>
      <c r="X72" s="127" t="str">
        <f t="shared" si="27"/>
        <v/>
      </c>
      <c r="Y72" s="207">
        <f t="shared" si="31"/>
        <v>315</v>
      </c>
      <c r="Z72" s="139">
        <f t="shared" si="32"/>
        <v>143</v>
      </c>
      <c r="AA72" s="139">
        <f t="shared" si="33"/>
        <v>172</v>
      </c>
      <c r="AC72" s="47">
        <f t="shared" si="34"/>
        <v>158</v>
      </c>
      <c r="AD72" s="47">
        <f t="shared" si="35"/>
        <v>72</v>
      </c>
      <c r="AE72" s="47">
        <f t="shared" si="36"/>
        <v>86</v>
      </c>
      <c r="AG72" s="47">
        <f t="shared" si="37"/>
        <v>157</v>
      </c>
      <c r="AH72" s="47">
        <f t="shared" si="38"/>
        <v>71</v>
      </c>
      <c r="AI72" s="208">
        <f t="shared" si="39"/>
        <v>86</v>
      </c>
    </row>
    <row r="73" spans="1:35">
      <c r="A73" t="s">
        <v>2090</v>
      </c>
      <c r="B73" t="s">
        <v>3142</v>
      </c>
      <c r="C73" t="s">
        <v>2192</v>
      </c>
      <c r="D73" t="s">
        <v>3230</v>
      </c>
      <c r="F73" t="s">
        <v>85</v>
      </c>
      <c r="G73" s="126">
        <f>SUMIFS('Support - Transition'!F:F,'Support - Transition'!B:B,'Step 2'!A73,'Support - Transition'!C:C,'Step 2'!B73,'Support - Transition'!D:D,'Step 2'!C73,'Support - Transition'!E:E,"CIVIL")</f>
        <v>6.3530000000000001E-3</v>
      </c>
      <c r="H73" s="126">
        <f>SUMIFS('Support - Transition'!F:F,'Support - Transition'!B:B,'Step 2'!A73,'Support - Transition'!C:C,'Step 2'!B73,'Support - Transition'!D:D,'Step 2'!C73,'Support - Transition'!E:E,"FIRE")</f>
        <v>2.676E-3</v>
      </c>
      <c r="I73" s="126">
        <f>IF(B73="0",SUMIFS('Support - Transition'!F:F,'Support - Transition'!J:J,'Step 2'!D73,'Support - Transition'!E:E,"STATE UNIT"),SUMIFS('Support - Transition'!F:F,'Support - Transition'!J:J,'Step 2'!D73))</f>
        <v>9.0290000000000006E-3</v>
      </c>
      <c r="J73" s="126">
        <f>SUMIFS('Support - Unit Adjustments'!E:E,'Support - Unit Adjustments'!F:F,'Step 2'!D73)</f>
        <v>0</v>
      </c>
      <c r="K73" s="126">
        <f t="shared" si="21"/>
        <v>9.0290000000000006E-3</v>
      </c>
      <c r="L73" s="174">
        <f>VLOOKUP(A73,'Step 1'!$A:$E,4,FALSE)</f>
        <v>665425</v>
      </c>
      <c r="M73" s="47">
        <f t="shared" si="22"/>
        <v>6008</v>
      </c>
      <c r="N73" s="177">
        <f>SUMIFS('Support - Transition'!G:G,'Support - Transition'!J:J,'Step 2'!D73,'Support - Transition'!E:E,"2009 WELFARE ALLOCATION FACTOR")</f>
        <v>0</v>
      </c>
      <c r="O73" s="152">
        <f t="shared" si="28"/>
        <v>0</v>
      </c>
      <c r="P73" s="126">
        <f>IF(E73="Y",0,SUMIFS('Support - Transition'!G:G,'Support - Transition'!J:J,'Step 2'!D73,'Support - Transition'!E:E,"2009 SCHOOL ALLOCATION FACTOR"))</f>
        <v>0</v>
      </c>
      <c r="Q73" s="126">
        <f>IF(E73="Y",VLOOKUP(D73,'Support - Unit Adjustments'!F:G,2,FALSE),0)</f>
        <v>0</v>
      </c>
      <c r="R73" s="155">
        <f t="shared" si="23"/>
        <v>0</v>
      </c>
      <c r="S73" s="47">
        <f t="shared" si="29"/>
        <v>0</v>
      </c>
      <c r="T73" s="151">
        <f t="shared" si="24"/>
        <v>6008</v>
      </c>
      <c r="U73" s="151">
        <f t="shared" si="25"/>
        <v>0</v>
      </c>
      <c r="V73" s="139">
        <f t="shared" si="26"/>
        <v>0</v>
      </c>
      <c r="W73" s="152">
        <f t="shared" si="30"/>
        <v>6008</v>
      </c>
      <c r="X73" s="127" t="str">
        <f t="shared" si="27"/>
        <v/>
      </c>
      <c r="Y73" s="207">
        <f t="shared" si="31"/>
        <v>6008</v>
      </c>
      <c r="Z73" s="139">
        <f t="shared" si="32"/>
        <v>4227</v>
      </c>
      <c r="AA73" s="139">
        <f t="shared" si="33"/>
        <v>1781</v>
      </c>
      <c r="AC73" s="47">
        <f t="shared" si="34"/>
        <v>3004</v>
      </c>
      <c r="AD73" s="47">
        <f t="shared" si="35"/>
        <v>2114</v>
      </c>
      <c r="AE73" s="47">
        <f t="shared" si="36"/>
        <v>891</v>
      </c>
      <c r="AG73" s="47">
        <f t="shared" si="37"/>
        <v>3004</v>
      </c>
      <c r="AH73" s="47">
        <f t="shared" si="38"/>
        <v>2113</v>
      </c>
      <c r="AI73" s="208">
        <f t="shared" si="39"/>
        <v>890</v>
      </c>
    </row>
    <row r="74" spans="1:35">
      <c r="A74" t="s">
        <v>2090</v>
      </c>
      <c r="B74" t="s">
        <v>3142</v>
      </c>
      <c r="C74" t="s">
        <v>2193</v>
      </c>
      <c r="D74" t="s">
        <v>3231</v>
      </c>
      <c r="F74" t="s">
        <v>86</v>
      </c>
      <c r="G74" s="126">
        <f>SUMIFS('Support - Transition'!F:F,'Support - Transition'!B:B,'Step 2'!A74,'Support - Transition'!C:C,'Step 2'!B74,'Support - Transition'!D:D,'Step 2'!C74,'Support - Transition'!E:E,"CIVIL")</f>
        <v>3.5199999999999999E-4</v>
      </c>
      <c r="H74" s="126">
        <f>SUMIFS('Support - Transition'!F:F,'Support - Transition'!B:B,'Step 2'!A74,'Support - Transition'!C:C,'Step 2'!B74,'Support - Transition'!D:D,'Step 2'!C74,'Support - Transition'!E:E,"FIRE")</f>
        <v>1.3100000000000001E-4</v>
      </c>
      <c r="I74" s="126">
        <f>IF(B74="0",SUMIFS('Support - Transition'!F:F,'Support - Transition'!J:J,'Step 2'!D74,'Support - Transition'!E:E,"STATE UNIT"),SUMIFS('Support - Transition'!F:F,'Support - Transition'!J:J,'Step 2'!D74))</f>
        <v>4.8300000000000003E-4</v>
      </c>
      <c r="J74" s="126">
        <f>SUMIFS('Support - Unit Adjustments'!E:E,'Support - Unit Adjustments'!F:F,'Step 2'!D74)</f>
        <v>0</v>
      </c>
      <c r="K74" s="126">
        <f t="shared" si="21"/>
        <v>4.8300000000000003E-4</v>
      </c>
      <c r="L74" s="174">
        <f>VLOOKUP(A74,'Step 1'!$A:$E,4,FALSE)</f>
        <v>665425</v>
      </c>
      <c r="M74" s="47">
        <f t="shared" si="22"/>
        <v>321</v>
      </c>
      <c r="N74" s="177">
        <f>SUMIFS('Support - Transition'!G:G,'Support - Transition'!J:J,'Step 2'!D74,'Support - Transition'!E:E,"2009 WELFARE ALLOCATION FACTOR")</f>
        <v>0</v>
      </c>
      <c r="O74" s="152">
        <f t="shared" si="28"/>
        <v>0</v>
      </c>
      <c r="P74" s="126">
        <f>IF(E74="Y",0,SUMIFS('Support - Transition'!G:G,'Support - Transition'!J:J,'Step 2'!D74,'Support - Transition'!E:E,"2009 SCHOOL ALLOCATION FACTOR"))</f>
        <v>0</v>
      </c>
      <c r="Q74" s="126">
        <f>IF(E74="Y",VLOOKUP(D74,'Support - Unit Adjustments'!F:G,2,FALSE),0)</f>
        <v>0</v>
      </c>
      <c r="R74" s="155">
        <f t="shared" si="23"/>
        <v>0</v>
      </c>
      <c r="S74" s="47">
        <f t="shared" si="29"/>
        <v>0</v>
      </c>
      <c r="T74" s="151">
        <f t="shared" si="24"/>
        <v>321</v>
      </c>
      <c r="U74" s="151">
        <f t="shared" si="25"/>
        <v>0</v>
      </c>
      <c r="V74" s="139">
        <f t="shared" si="26"/>
        <v>0</v>
      </c>
      <c r="W74" s="152">
        <f t="shared" si="30"/>
        <v>321</v>
      </c>
      <c r="X74" s="127" t="str">
        <f t="shared" si="27"/>
        <v/>
      </c>
      <c r="Y74" s="207">
        <f t="shared" si="31"/>
        <v>321</v>
      </c>
      <c r="Z74" s="139">
        <f t="shared" si="32"/>
        <v>234</v>
      </c>
      <c r="AA74" s="139">
        <f t="shared" si="33"/>
        <v>87</v>
      </c>
      <c r="AC74" s="47">
        <f t="shared" si="34"/>
        <v>161</v>
      </c>
      <c r="AD74" s="47">
        <f t="shared" si="35"/>
        <v>117</v>
      </c>
      <c r="AE74" s="47">
        <f t="shared" si="36"/>
        <v>44</v>
      </c>
      <c r="AG74" s="47">
        <f t="shared" si="37"/>
        <v>160</v>
      </c>
      <c r="AH74" s="47">
        <f t="shared" si="38"/>
        <v>117</v>
      </c>
      <c r="AI74" s="208">
        <f t="shared" si="39"/>
        <v>43</v>
      </c>
    </row>
    <row r="75" spans="1:35">
      <c r="A75" t="s">
        <v>2090</v>
      </c>
      <c r="B75" t="s">
        <v>3142</v>
      </c>
      <c r="C75" t="s">
        <v>2194</v>
      </c>
      <c r="D75" t="s">
        <v>3232</v>
      </c>
      <c r="F75" t="s">
        <v>87</v>
      </c>
      <c r="G75" s="126">
        <f>SUMIFS('Support - Transition'!F:F,'Support - Transition'!B:B,'Step 2'!A75,'Support - Transition'!C:C,'Step 2'!B75,'Support - Transition'!D:D,'Step 2'!C75,'Support - Transition'!E:E,"CIVIL")</f>
        <v>8.6799999999999996E-4</v>
      </c>
      <c r="H75" s="126">
        <f>SUMIFS('Support - Transition'!F:F,'Support - Transition'!B:B,'Step 2'!A75,'Support - Transition'!C:C,'Step 2'!B75,'Support - Transition'!D:D,'Step 2'!C75,'Support - Transition'!E:E,"FIRE")</f>
        <v>7.1900000000000002E-4</v>
      </c>
      <c r="I75" s="126">
        <f>IF(B75="0",SUMIFS('Support - Transition'!F:F,'Support - Transition'!J:J,'Step 2'!D75,'Support - Transition'!E:E,"STATE UNIT"),SUMIFS('Support - Transition'!F:F,'Support - Transition'!J:J,'Step 2'!D75))</f>
        <v>1.5869999999999999E-3</v>
      </c>
      <c r="J75" s="126">
        <f>SUMIFS('Support - Unit Adjustments'!E:E,'Support - Unit Adjustments'!F:F,'Step 2'!D75)</f>
        <v>0</v>
      </c>
      <c r="K75" s="126">
        <f t="shared" si="21"/>
        <v>1.5869999999999999E-3</v>
      </c>
      <c r="L75" s="174">
        <f>VLOOKUP(A75,'Step 1'!$A:$E,4,FALSE)</f>
        <v>665425</v>
      </c>
      <c r="M75" s="47">
        <f t="shared" si="22"/>
        <v>1056</v>
      </c>
      <c r="N75" s="177">
        <f>SUMIFS('Support - Transition'!G:G,'Support - Transition'!J:J,'Step 2'!D75,'Support - Transition'!E:E,"2009 WELFARE ALLOCATION FACTOR")</f>
        <v>0</v>
      </c>
      <c r="O75" s="152">
        <f t="shared" si="28"/>
        <v>0</v>
      </c>
      <c r="P75" s="126">
        <f>IF(E75="Y",0,SUMIFS('Support - Transition'!G:G,'Support - Transition'!J:J,'Step 2'!D75,'Support - Transition'!E:E,"2009 SCHOOL ALLOCATION FACTOR"))</f>
        <v>0</v>
      </c>
      <c r="Q75" s="126">
        <f>IF(E75="Y",VLOOKUP(D75,'Support - Unit Adjustments'!F:G,2,FALSE),0)</f>
        <v>0</v>
      </c>
      <c r="R75" s="155">
        <f t="shared" si="23"/>
        <v>0</v>
      </c>
      <c r="S75" s="47">
        <f t="shared" si="29"/>
        <v>0</v>
      </c>
      <c r="T75" s="151">
        <f t="shared" si="24"/>
        <v>1056</v>
      </c>
      <c r="U75" s="151">
        <f t="shared" si="25"/>
        <v>0</v>
      </c>
      <c r="V75" s="139">
        <f t="shared" si="26"/>
        <v>0</v>
      </c>
      <c r="W75" s="152">
        <f t="shared" si="30"/>
        <v>1056</v>
      </c>
      <c r="X75" s="127" t="str">
        <f t="shared" si="27"/>
        <v/>
      </c>
      <c r="Y75" s="207">
        <f t="shared" si="31"/>
        <v>1056</v>
      </c>
      <c r="Z75" s="139">
        <f t="shared" si="32"/>
        <v>578</v>
      </c>
      <c r="AA75" s="139">
        <f t="shared" si="33"/>
        <v>478</v>
      </c>
      <c r="AC75" s="47">
        <f t="shared" si="34"/>
        <v>528</v>
      </c>
      <c r="AD75" s="47">
        <f t="shared" si="35"/>
        <v>289</v>
      </c>
      <c r="AE75" s="47">
        <f t="shared" si="36"/>
        <v>239</v>
      </c>
      <c r="AG75" s="47">
        <f t="shared" si="37"/>
        <v>528</v>
      </c>
      <c r="AH75" s="47">
        <f t="shared" si="38"/>
        <v>289</v>
      </c>
      <c r="AI75" s="208">
        <f t="shared" si="39"/>
        <v>239</v>
      </c>
    </row>
    <row r="76" spans="1:35">
      <c r="A76" t="s">
        <v>2090</v>
      </c>
      <c r="B76" t="s">
        <v>3142</v>
      </c>
      <c r="C76" t="s">
        <v>2195</v>
      </c>
      <c r="D76" t="s">
        <v>3233</v>
      </c>
      <c r="F76" t="s">
        <v>49</v>
      </c>
      <c r="G76" s="126">
        <f>SUMIFS('Support - Transition'!F:F,'Support - Transition'!B:B,'Step 2'!A76,'Support - Transition'!C:C,'Step 2'!B76,'Support - Transition'!D:D,'Step 2'!C76,'Support - Transition'!E:E,"CIVIL")</f>
        <v>2.7799999999999998E-4</v>
      </c>
      <c r="H76" s="126">
        <f>SUMIFS('Support - Transition'!F:F,'Support - Transition'!B:B,'Step 2'!A76,'Support - Transition'!C:C,'Step 2'!B76,'Support - Transition'!D:D,'Step 2'!C76,'Support - Transition'!E:E,"FIRE")</f>
        <v>1.18E-4</v>
      </c>
      <c r="I76" s="126">
        <f>IF(B76="0",SUMIFS('Support - Transition'!F:F,'Support - Transition'!J:J,'Step 2'!D76,'Support - Transition'!E:E,"STATE UNIT"),SUMIFS('Support - Transition'!F:F,'Support - Transition'!J:J,'Step 2'!D76))</f>
        <v>3.9599999999999998E-4</v>
      </c>
      <c r="J76" s="126">
        <f>SUMIFS('Support - Unit Adjustments'!E:E,'Support - Unit Adjustments'!F:F,'Step 2'!D76)</f>
        <v>0</v>
      </c>
      <c r="K76" s="126">
        <f t="shared" si="21"/>
        <v>3.9599999999999998E-4</v>
      </c>
      <c r="L76" s="174">
        <f>VLOOKUP(A76,'Step 1'!$A:$E,4,FALSE)</f>
        <v>665425</v>
      </c>
      <c r="M76" s="47">
        <f t="shared" si="22"/>
        <v>264</v>
      </c>
      <c r="N76" s="177">
        <f>SUMIFS('Support - Transition'!G:G,'Support - Transition'!J:J,'Step 2'!D76,'Support - Transition'!E:E,"2009 WELFARE ALLOCATION FACTOR")</f>
        <v>0</v>
      </c>
      <c r="O76" s="152">
        <f t="shared" si="28"/>
        <v>0</v>
      </c>
      <c r="P76" s="126">
        <f>IF(E76="Y",0,SUMIFS('Support - Transition'!G:G,'Support - Transition'!J:J,'Step 2'!D76,'Support - Transition'!E:E,"2009 SCHOOL ALLOCATION FACTOR"))</f>
        <v>0</v>
      </c>
      <c r="Q76" s="126">
        <f>IF(E76="Y",VLOOKUP(D76,'Support - Unit Adjustments'!F:G,2,FALSE),0)</f>
        <v>0</v>
      </c>
      <c r="R76" s="155">
        <f t="shared" si="23"/>
        <v>0</v>
      </c>
      <c r="S76" s="47">
        <f t="shared" si="29"/>
        <v>0</v>
      </c>
      <c r="T76" s="151">
        <f t="shared" si="24"/>
        <v>264</v>
      </c>
      <c r="U76" s="151">
        <f t="shared" si="25"/>
        <v>0</v>
      </c>
      <c r="V76" s="139">
        <f t="shared" si="26"/>
        <v>0</v>
      </c>
      <c r="W76" s="152">
        <f t="shared" si="30"/>
        <v>264</v>
      </c>
      <c r="X76" s="127" t="str">
        <f t="shared" si="27"/>
        <v/>
      </c>
      <c r="Y76" s="207">
        <f t="shared" si="31"/>
        <v>264</v>
      </c>
      <c r="Z76" s="139">
        <f t="shared" si="32"/>
        <v>185</v>
      </c>
      <c r="AA76" s="139">
        <f t="shared" si="33"/>
        <v>79</v>
      </c>
      <c r="AC76" s="47">
        <f t="shared" si="34"/>
        <v>132</v>
      </c>
      <c r="AD76" s="47">
        <f t="shared" si="35"/>
        <v>93</v>
      </c>
      <c r="AE76" s="47">
        <f t="shared" si="36"/>
        <v>40</v>
      </c>
      <c r="AG76" s="47">
        <f t="shared" si="37"/>
        <v>132</v>
      </c>
      <c r="AH76" s="47">
        <f t="shared" si="38"/>
        <v>92</v>
      </c>
      <c r="AI76" s="208">
        <f t="shared" si="39"/>
        <v>39</v>
      </c>
    </row>
    <row r="77" spans="1:35">
      <c r="A77" t="s">
        <v>2090</v>
      </c>
      <c r="B77" t="s">
        <v>3142</v>
      </c>
      <c r="C77" t="s">
        <v>2196</v>
      </c>
      <c r="D77" t="s">
        <v>3234</v>
      </c>
      <c r="F77" t="s">
        <v>88</v>
      </c>
      <c r="G77" s="126">
        <f>SUMIFS('Support - Transition'!F:F,'Support - Transition'!B:B,'Step 2'!A77,'Support - Transition'!C:C,'Step 2'!B77,'Support - Transition'!D:D,'Step 2'!C77,'Support - Transition'!E:E,"CIVIL")</f>
        <v>7.2999999999999999E-5</v>
      </c>
      <c r="H77" s="126">
        <f>SUMIFS('Support - Transition'!F:F,'Support - Transition'!B:B,'Step 2'!A77,'Support - Transition'!C:C,'Step 2'!B77,'Support - Transition'!D:D,'Step 2'!C77,'Support - Transition'!E:E,"FIRE")</f>
        <v>3.6999999999999998E-5</v>
      </c>
      <c r="I77" s="126">
        <f>IF(B77="0",SUMIFS('Support - Transition'!F:F,'Support - Transition'!J:J,'Step 2'!D77,'Support - Transition'!E:E,"STATE UNIT"),SUMIFS('Support - Transition'!F:F,'Support - Transition'!J:J,'Step 2'!D77))</f>
        <v>1.0999999999999999E-4</v>
      </c>
      <c r="J77" s="126">
        <f>SUMIFS('Support - Unit Adjustments'!E:E,'Support - Unit Adjustments'!F:F,'Step 2'!D77)</f>
        <v>0</v>
      </c>
      <c r="K77" s="126">
        <f t="shared" si="21"/>
        <v>1.0999999999999999E-4</v>
      </c>
      <c r="L77" s="174">
        <f>VLOOKUP(A77,'Step 1'!$A:$E,4,FALSE)</f>
        <v>665425</v>
      </c>
      <c r="M77" s="47">
        <f t="shared" si="22"/>
        <v>73</v>
      </c>
      <c r="N77" s="177">
        <f>SUMIFS('Support - Transition'!G:G,'Support - Transition'!J:J,'Step 2'!D77,'Support - Transition'!E:E,"2009 WELFARE ALLOCATION FACTOR")</f>
        <v>0</v>
      </c>
      <c r="O77" s="152">
        <f t="shared" si="28"/>
        <v>0</v>
      </c>
      <c r="P77" s="126">
        <f>IF(E77="Y",0,SUMIFS('Support - Transition'!G:G,'Support - Transition'!J:J,'Step 2'!D77,'Support - Transition'!E:E,"2009 SCHOOL ALLOCATION FACTOR"))</f>
        <v>0</v>
      </c>
      <c r="Q77" s="126">
        <f>IF(E77="Y",VLOOKUP(D77,'Support - Unit Adjustments'!F:G,2,FALSE),0)</f>
        <v>0</v>
      </c>
      <c r="R77" s="155">
        <f t="shared" si="23"/>
        <v>0</v>
      </c>
      <c r="S77" s="47">
        <f t="shared" si="29"/>
        <v>0</v>
      </c>
      <c r="T77" s="151">
        <f t="shared" si="24"/>
        <v>73</v>
      </c>
      <c r="U77" s="151">
        <f t="shared" si="25"/>
        <v>0</v>
      </c>
      <c r="V77" s="139">
        <f t="shared" si="26"/>
        <v>0</v>
      </c>
      <c r="W77" s="152">
        <f t="shared" si="30"/>
        <v>73</v>
      </c>
      <c r="X77" s="127" t="str">
        <f t="shared" si="27"/>
        <v/>
      </c>
      <c r="Y77" s="207">
        <f t="shared" si="31"/>
        <v>73</v>
      </c>
      <c r="Z77" s="139">
        <f t="shared" si="32"/>
        <v>48</v>
      </c>
      <c r="AA77" s="139">
        <f t="shared" si="33"/>
        <v>25</v>
      </c>
      <c r="AC77" s="47">
        <f t="shared" si="34"/>
        <v>37</v>
      </c>
      <c r="AD77" s="47">
        <f t="shared" si="35"/>
        <v>24</v>
      </c>
      <c r="AE77" s="47">
        <f t="shared" si="36"/>
        <v>13</v>
      </c>
      <c r="AG77" s="47">
        <f t="shared" si="37"/>
        <v>36</v>
      </c>
      <c r="AH77" s="47">
        <f t="shared" si="38"/>
        <v>24</v>
      </c>
      <c r="AI77" s="208">
        <f t="shared" si="39"/>
        <v>12</v>
      </c>
    </row>
    <row r="78" spans="1:35">
      <c r="A78" t="s">
        <v>2090</v>
      </c>
      <c r="B78" t="s">
        <v>3142</v>
      </c>
      <c r="C78" t="s">
        <v>2197</v>
      </c>
      <c r="D78" t="s">
        <v>3235</v>
      </c>
      <c r="F78" t="s">
        <v>89</v>
      </c>
      <c r="G78" s="126">
        <f>SUMIFS('Support - Transition'!F:F,'Support - Transition'!B:B,'Step 2'!A78,'Support - Transition'!C:C,'Step 2'!B78,'Support - Transition'!D:D,'Step 2'!C78,'Support - Transition'!E:E,"CIVIL")</f>
        <v>1.3929999999999999E-3</v>
      </c>
      <c r="H78" s="126">
        <f>SUMIFS('Support - Transition'!F:F,'Support - Transition'!B:B,'Step 2'!A78,'Support - Transition'!C:C,'Step 2'!B78,'Support - Transition'!D:D,'Step 2'!C78,'Support - Transition'!E:E,"FIRE")</f>
        <v>5.5599999999999996E-4</v>
      </c>
      <c r="I78" s="126">
        <f>IF(B78="0",SUMIFS('Support - Transition'!F:F,'Support - Transition'!J:J,'Step 2'!D78,'Support - Transition'!E:E,"STATE UNIT"),SUMIFS('Support - Transition'!F:F,'Support - Transition'!J:J,'Step 2'!D78))</f>
        <v>1.9489999999999998E-3</v>
      </c>
      <c r="J78" s="126">
        <f>SUMIFS('Support - Unit Adjustments'!E:E,'Support - Unit Adjustments'!F:F,'Step 2'!D78)</f>
        <v>0</v>
      </c>
      <c r="K78" s="126">
        <f t="shared" si="21"/>
        <v>1.9489999999999998E-3</v>
      </c>
      <c r="L78" s="174">
        <f>VLOOKUP(A78,'Step 1'!$A:$E,4,FALSE)</f>
        <v>665425</v>
      </c>
      <c r="M78" s="47">
        <f t="shared" si="22"/>
        <v>1297</v>
      </c>
      <c r="N78" s="177">
        <f>SUMIFS('Support - Transition'!G:G,'Support - Transition'!J:J,'Step 2'!D78,'Support - Transition'!E:E,"2009 WELFARE ALLOCATION FACTOR")</f>
        <v>0</v>
      </c>
      <c r="O78" s="152">
        <f t="shared" si="28"/>
        <v>0</v>
      </c>
      <c r="P78" s="126">
        <f>IF(E78="Y",0,SUMIFS('Support - Transition'!G:G,'Support - Transition'!J:J,'Step 2'!D78,'Support - Transition'!E:E,"2009 SCHOOL ALLOCATION FACTOR"))</f>
        <v>0</v>
      </c>
      <c r="Q78" s="126">
        <f>IF(E78="Y",VLOOKUP(D78,'Support - Unit Adjustments'!F:G,2,FALSE),0)</f>
        <v>0</v>
      </c>
      <c r="R78" s="155">
        <f t="shared" si="23"/>
        <v>0</v>
      </c>
      <c r="S78" s="47">
        <f t="shared" si="29"/>
        <v>0</v>
      </c>
      <c r="T78" s="151">
        <f t="shared" si="24"/>
        <v>1297</v>
      </c>
      <c r="U78" s="151">
        <f t="shared" si="25"/>
        <v>0</v>
      </c>
      <c r="V78" s="139">
        <f t="shared" si="26"/>
        <v>0</v>
      </c>
      <c r="W78" s="152">
        <f t="shared" si="30"/>
        <v>1297</v>
      </c>
      <c r="X78" s="127" t="str">
        <f t="shared" si="27"/>
        <v/>
      </c>
      <c r="Y78" s="207">
        <f t="shared" si="31"/>
        <v>1297</v>
      </c>
      <c r="Z78" s="139">
        <f t="shared" si="32"/>
        <v>927</v>
      </c>
      <c r="AA78" s="139">
        <f t="shared" si="33"/>
        <v>370</v>
      </c>
      <c r="AC78" s="47">
        <f t="shared" si="34"/>
        <v>649</v>
      </c>
      <c r="AD78" s="47">
        <f t="shared" si="35"/>
        <v>464</v>
      </c>
      <c r="AE78" s="47">
        <f t="shared" si="36"/>
        <v>185</v>
      </c>
      <c r="AG78" s="47">
        <f t="shared" si="37"/>
        <v>648</v>
      </c>
      <c r="AH78" s="47">
        <f t="shared" si="38"/>
        <v>463</v>
      </c>
      <c r="AI78" s="208">
        <f t="shared" si="39"/>
        <v>185</v>
      </c>
    </row>
    <row r="79" spans="1:35">
      <c r="A79" t="s">
        <v>2090</v>
      </c>
      <c r="B79" t="s">
        <v>3142</v>
      </c>
      <c r="C79" t="s">
        <v>2198</v>
      </c>
      <c r="D79" t="s">
        <v>3236</v>
      </c>
      <c r="F79" t="s">
        <v>90</v>
      </c>
      <c r="G79" s="126">
        <f>SUMIFS('Support - Transition'!F:F,'Support - Transition'!B:B,'Step 2'!A79,'Support - Transition'!C:C,'Step 2'!B79,'Support - Transition'!D:D,'Step 2'!C79,'Support - Transition'!E:E,"CIVIL")</f>
        <v>2.42E-4</v>
      </c>
      <c r="H79" s="126">
        <f>SUMIFS('Support - Transition'!F:F,'Support - Transition'!B:B,'Step 2'!A79,'Support - Transition'!C:C,'Step 2'!B79,'Support - Transition'!D:D,'Step 2'!C79,'Support - Transition'!E:E,"FIRE")</f>
        <v>2.4800000000000001E-4</v>
      </c>
      <c r="I79" s="126">
        <f>IF(B79="0",SUMIFS('Support - Transition'!F:F,'Support - Transition'!J:J,'Step 2'!D79,'Support - Transition'!E:E,"STATE UNIT"),SUMIFS('Support - Transition'!F:F,'Support - Transition'!J:J,'Step 2'!D79))</f>
        <v>4.8999999999999998E-4</v>
      </c>
      <c r="J79" s="126">
        <f>SUMIFS('Support - Unit Adjustments'!E:E,'Support - Unit Adjustments'!F:F,'Step 2'!D79)</f>
        <v>0</v>
      </c>
      <c r="K79" s="126">
        <f t="shared" si="21"/>
        <v>4.8999999999999998E-4</v>
      </c>
      <c r="L79" s="174">
        <f>VLOOKUP(A79,'Step 1'!$A:$E,4,FALSE)</f>
        <v>665425</v>
      </c>
      <c r="M79" s="47">
        <f t="shared" si="22"/>
        <v>326</v>
      </c>
      <c r="N79" s="177">
        <f>SUMIFS('Support - Transition'!G:G,'Support - Transition'!J:J,'Step 2'!D79,'Support - Transition'!E:E,"2009 WELFARE ALLOCATION FACTOR")</f>
        <v>0</v>
      </c>
      <c r="O79" s="152">
        <f t="shared" si="28"/>
        <v>0</v>
      </c>
      <c r="P79" s="126">
        <f>IF(E79="Y",0,SUMIFS('Support - Transition'!G:G,'Support - Transition'!J:J,'Step 2'!D79,'Support - Transition'!E:E,"2009 SCHOOL ALLOCATION FACTOR"))</f>
        <v>0</v>
      </c>
      <c r="Q79" s="126">
        <f>IF(E79="Y",VLOOKUP(D79,'Support - Unit Adjustments'!F:G,2,FALSE),0)</f>
        <v>0</v>
      </c>
      <c r="R79" s="155">
        <f t="shared" si="23"/>
        <v>0</v>
      </c>
      <c r="S79" s="47">
        <f t="shared" si="29"/>
        <v>0</v>
      </c>
      <c r="T79" s="151">
        <f t="shared" si="24"/>
        <v>326</v>
      </c>
      <c r="U79" s="151">
        <f t="shared" si="25"/>
        <v>0</v>
      </c>
      <c r="V79" s="139">
        <f t="shared" si="26"/>
        <v>0</v>
      </c>
      <c r="W79" s="152">
        <f t="shared" si="30"/>
        <v>326</v>
      </c>
      <c r="X79" s="127" t="str">
        <f t="shared" si="27"/>
        <v/>
      </c>
      <c r="Y79" s="207">
        <f t="shared" si="31"/>
        <v>326</v>
      </c>
      <c r="Z79" s="139">
        <f t="shared" si="32"/>
        <v>161</v>
      </c>
      <c r="AA79" s="139">
        <f t="shared" si="33"/>
        <v>165</v>
      </c>
      <c r="AC79" s="47">
        <f t="shared" si="34"/>
        <v>163</v>
      </c>
      <c r="AD79" s="47">
        <f t="shared" si="35"/>
        <v>81</v>
      </c>
      <c r="AE79" s="47">
        <f t="shared" si="36"/>
        <v>83</v>
      </c>
      <c r="AG79" s="47">
        <f t="shared" si="37"/>
        <v>163</v>
      </c>
      <c r="AH79" s="47">
        <f t="shared" si="38"/>
        <v>80</v>
      </c>
      <c r="AI79" s="208">
        <f t="shared" si="39"/>
        <v>82</v>
      </c>
    </row>
    <row r="80" spans="1:35">
      <c r="A80" t="s">
        <v>2090</v>
      </c>
      <c r="B80" t="s">
        <v>3142</v>
      </c>
      <c r="C80" t="s">
        <v>2199</v>
      </c>
      <c r="D80" t="s">
        <v>3237</v>
      </c>
      <c r="F80" t="s">
        <v>61</v>
      </c>
      <c r="G80" s="126">
        <f>SUMIFS('Support - Transition'!F:F,'Support - Transition'!B:B,'Step 2'!A80,'Support - Transition'!C:C,'Step 2'!B80,'Support - Transition'!D:D,'Step 2'!C80,'Support - Transition'!E:E,"CIVIL")</f>
        <v>2.1310000000000001E-3</v>
      </c>
      <c r="H80" s="126">
        <f>SUMIFS('Support - Transition'!F:F,'Support - Transition'!B:B,'Step 2'!A80,'Support - Transition'!C:C,'Step 2'!B80,'Support - Transition'!D:D,'Step 2'!C80,'Support - Transition'!E:E,"FIRE")</f>
        <v>2.8499999999999999E-4</v>
      </c>
      <c r="I80" s="126">
        <f>IF(B80="0",SUMIFS('Support - Transition'!F:F,'Support - Transition'!J:J,'Step 2'!D80,'Support - Transition'!E:E,"STATE UNIT"),SUMIFS('Support - Transition'!F:F,'Support - Transition'!J:J,'Step 2'!D80))</f>
        <v>2.4160000000000002E-3</v>
      </c>
      <c r="J80" s="126">
        <f>SUMIFS('Support - Unit Adjustments'!E:E,'Support - Unit Adjustments'!F:F,'Step 2'!D80)</f>
        <v>0</v>
      </c>
      <c r="K80" s="126">
        <f t="shared" si="21"/>
        <v>2.4160000000000002E-3</v>
      </c>
      <c r="L80" s="174">
        <f>VLOOKUP(A80,'Step 1'!$A:$E,4,FALSE)</f>
        <v>665425</v>
      </c>
      <c r="M80" s="47">
        <f t="shared" si="22"/>
        <v>1608</v>
      </c>
      <c r="N80" s="177">
        <f>SUMIFS('Support - Transition'!G:G,'Support - Transition'!J:J,'Step 2'!D80,'Support - Transition'!E:E,"2009 WELFARE ALLOCATION FACTOR")</f>
        <v>0</v>
      </c>
      <c r="O80" s="152">
        <f t="shared" si="28"/>
        <v>0</v>
      </c>
      <c r="P80" s="126">
        <f>IF(E80="Y",0,SUMIFS('Support - Transition'!G:G,'Support - Transition'!J:J,'Step 2'!D80,'Support - Transition'!E:E,"2009 SCHOOL ALLOCATION FACTOR"))</f>
        <v>0</v>
      </c>
      <c r="Q80" s="126">
        <f>IF(E80="Y",VLOOKUP(D80,'Support - Unit Adjustments'!F:G,2,FALSE),0)</f>
        <v>0</v>
      </c>
      <c r="R80" s="155">
        <f t="shared" si="23"/>
        <v>0</v>
      </c>
      <c r="S80" s="47">
        <f t="shared" si="29"/>
        <v>0</v>
      </c>
      <c r="T80" s="151">
        <f t="shared" si="24"/>
        <v>1608</v>
      </c>
      <c r="U80" s="151">
        <f t="shared" si="25"/>
        <v>0</v>
      </c>
      <c r="V80" s="139">
        <f t="shared" si="26"/>
        <v>0</v>
      </c>
      <c r="W80" s="152">
        <f t="shared" si="30"/>
        <v>1608</v>
      </c>
      <c r="X80" s="127" t="str">
        <f t="shared" si="27"/>
        <v/>
      </c>
      <c r="Y80" s="207">
        <f t="shared" si="31"/>
        <v>1608</v>
      </c>
      <c r="Z80" s="139">
        <f t="shared" si="32"/>
        <v>1418</v>
      </c>
      <c r="AA80" s="139">
        <f t="shared" si="33"/>
        <v>190</v>
      </c>
      <c r="AC80" s="47">
        <f t="shared" si="34"/>
        <v>804</v>
      </c>
      <c r="AD80" s="47">
        <f t="shared" si="35"/>
        <v>709</v>
      </c>
      <c r="AE80" s="47">
        <f t="shared" si="36"/>
        <v>95</v>
      </c>
      <c r="AG80" s="47">
        <f t="shared" si="37"/>
        <v>804</v>
      </c>
      <c r="AH80" s="47">
        <f t="shared" si="38"/>
        <v>709</v>
      </c>
      <c r="AI80" s="208">
        <f t="shared" si="39"/>
        <v>95</v>
      </c>
    </row>
    <row r="81" spans="1:35">
      <c r="A81" t="s">
        <v>2090</v>
      </c>
      <c r="B81" t="s">
        <v>3155</v>
      </c>
      <c r="C81" t="s">
        <v>2229</v>
      </c>
      <c r="D81" t="s">
        <v>3238</v>
      </c>
      <c r="F81" t="s">
        <v>92</v>
      </c>
      <c r="G81" s="126">
        <f>SUMIFS('Support - Transition'!F:F,'Support - Transition'!B:B,'Step 2'!A81,'Support - Transition'!C:C,'Step 2'!B81,'Support - Transition'!D:D,'Step 2'!C81,'Support - Transition'!E:E,"CIVIL")</f>
        <v>0</v>
      </c>
      <c r="H81" s="126">
        <f>SUMIFS('Support - Transition'!F:F,'Support - Transition'!B:B,'Step 2'!A81,'Support - Transition'!C:C,'Step 2'!B81,'Support - Transition'!D:D,'Step 2'!C81,'Support - Transition'!E:E,"FIRE")</f>
        <v>0</v>
      </c>
      <c r="I81" s="126">
        <f>IF(B81="0",SUMIFS('Support - Transition'!F:F,'Support - Transition'!J:J,'Step 2'!D81,'Support - Transition'!E:E,"STATE UNIT"),SUMIFS('Support - Transition'!F:F,'Support - Transition'!J:J,'Step 2'!D81))</f>
        <v>0.12584300000000001</v>
      </c>
      <c r="J81" s="126">
        <f>SUMIFS('Support - Unit Adjustments'!E:E,'Support - Unit Adjustments'!F:F,'Step 2'!D81)</f>
        <v>0</v>
      </c>
      <c r="K81" s="126">
        <f t="shared" si="21"/>
        <v>0.12584300000000001</v>
      </c>
      <c r="L81" s="174">
        <f>VLOOKUP(A81,'Step 1'!$A:$E,4,FALSE)</f>
        <v>665425</v>
      </c>
      <c r="M81" s="47">
        <f t="shared" si="22"/>
        <v>83739</v>
      </c>
      <c r="N81" s="177">
        <f>SUMIFS('Support - Transition'!G:G,'Support - Transition'!J:J,'Step 2'!D81,'Support - Transition'!E:E,"2009 WELFARE ALLOCATION FACTOR")</f>
        <v>0</v>
      </c>
      <c r="O81" s="152">
        <f t="shared" si="28"/>
        <v>0</v>
      </c>
      <c r="P81" s="126">
        <f>IF(E81="Y",0,SUMIFS('Support - Transition'!G:G,'Support - Transition'!J:J,'Step 2'!D81,'Support - Transition'!E:E,"2009 SCHOOL ALLOCATION FACTOR"))</f>
        <v>0</v>
      </c>
      <c r="Q81" s="126">
        <f>IF(E81="Y",VLOOKUP(D81,'Support - Unit Adjustments'!F:G,2,FALSE),0)</f>
        <v>0</v>
      </c>
      <c r="R81" s="155">
        <f t="shared" si="23"/>
        <v>0</v>
      </c>
      <c r="S81" s="47">
        <f t="shared" si="29"/>
        <v>0</v>
      </c>
      <c r="T81" s="151">
        <f t="shared" si="24"/>
        <v>83739</v>
      </c>
      <c r="U81" s="151">
        <f t="shared" si="25"/>
        <v>0</v>
      </c>
      <c r="V81" s="139">
        <f t="shared" si="26"/>
        <v>0</v>
      </c>
      <c r="W81" s="152">
        <f t="shared" si="30"/>
        <v>83739</v>
      </c>
      <c r="X81" s="127" t="str">
        <f t="shared" si="27"/>
        <v/>
      </c>
      <c r="Y81" s="207">
        <f t="shared" si="31"/>
        <v>83739</v>
      </c>
      <c r="Z81" s="139">
        <f t="shared" si="32"/>
        <v>83739</v>
      </c>
      <c r="AA81" s="139">
        <f t="shared" si="33"/>
        <v>0</v>
      </c>
      <c r="AC81" s="47">
        <f t="shared" si="34"/>
        <v>41870</v>
      </c>
      <c r="AD81" s="47">
        <f t="shared" si="35"/>
        <v>41870</v>
      </c>
      <c r="AE81" s="47">
        <f t="shared" si="36"/>
        <v>0</v>
      </c>
      <c r="AG81" s="47">
        <f t="shared" si="37"/>
        <v>41869</v>
      </c>
      <c r="AH81" s="47">
        <f t="shared" si="38"/>
        <v>41869</v>
      </c>
      <c r="AI81" s="208">
        <f t="shared" si="39"/>
        <v>0</v>
      </c>
    </row>
    <row r="82" spans="1:35">
      <c r="A82" t="s">
        <v>2090</v>
      </c>
      <c r="B82" t="s">
        <v>3155</v>
      </c>
      <c r="C82" t="s">
        <v>2230</v>
      </c>
      <c r="D82" t="s">
        <v>3239</v>
      </c>
      <c r="F82" t="s">
        <v>91</v>
      </c>
      <c r="G82" s="126">
        <f>SUMIFS('Support - Transition'!F:F,'Support - Transition'!B:B,'Step 2'!A82,'Support - Transition'!C:C,'Step 2'!B82,'Support - Transition'!D:D,'Step 2'!C82,'Support - Transition'!E:E,"CIVIL")</f>
        <v>0</v>
      </c>
      <c r="H82" s="126">
        <f>SUMIFS('Support - Transition'!F:F,'Support - Transition'!B:B,'Step 2'!A82,'Support - Transition'!C:C,'Step 2'!B82,'Support - Transition'!D:D,'Step 2'!C82,'Support - Transition'!E:E,"FIRE")</f>
        <v>0</v>
      </c>
      <c r="I82" s="126">
        <f>IF(B82="0",SUMIFS('Support - Transition'!F:F,'Support - Transition'!J:J,'Step 2'!D82,'Support - Transition'!E:E,"STATE UNIT"),SUMIFS('Support - Transition'!F:F,'Support - Transition'!J:J,'Step 2'!D82))</f>
        <v>1.0859999999999999E-3</v>
      </c>
      <c r="J82" s="126">
        <f>SUMIFS('Support - Unit Adjustments'!E:E,'Support - Unit Adjustments'!F:F,'Step 2'!D82)</f>
        <v>0</v>
      </c>
      <c r="K82" s="126">
        <f t="shared" si="21"/>
        <v>1.0859999999999999E-3</v>
      </c>
      <c r="L82" s="174">
        <f>VLOOKUP(A82,'Step 1'!$A:$E,4,FALSE)</f>
        <v>665425</v>
      </c>
      <c r="M82" s="47">
        <f t="shared" si="22"/>
        <v>723</v>
      </c>
      <c r="N82" s="177">
        <f>SUMIFS('Support - Transition'!G:G,'Support - Transition'!J:J,'Step 2'!D82,'Support - Transition'!E:E,"2009 WELFARE ALLOCATION FACTOR")</f>
        <v>0</v>
      </c>
      <c r="O82" s="152">
        <f t="shared" si="28"/>
        <v>0</v>
      </c>
      <c r="P82" s="126">
        <f>IF(E82="Y",0,SUMIFS('Support - Transition'!G:G,'Support - Transition'!J:J,'Step 2'!D82,'Support - Transition'!E:E,"2009 SCHOOL ALLOCATION FACTOR"))</f>
        <v>0</v>
      </c>
      <c r="Q82" s="126">
        <f>IF(E82="Y",VLOOKUP(D82,'Support - Unit Adjustments'!F:G,2,FALSE),0)</f>
        <v>0</v>
      </c>
      <c r="R82" s="155">
        <f t="shared" si="23"/>
        <v>0</v>
      </c>
      <c r="S82" s="47">
        <f t="shared" si="29"/>
        <v>0</v>
      </c>
      <c r="T82" s="151">
        <f t="shared" si="24"/>
        <v>723</v>
      </c>
      <c r="U82" s="151">
        <f t="shared" si="25"/>
        <v>0</v>
      </c>
      <c r="V82" s="139">
        <f t="shared" si="26"/>
        <v>0</v>
      </c>
      <c r="W82" s="152">
        <f t="shared" si="30"/>
        <v>723</v>
      </c>
      <c r="X82" s="127" t="str">
        <f t="shared" si="27"/>
        <v/>
      </c>
      <c r="Y82" s="207">
        <f t="shared" si="31"/>
        <v>723</v>
      </c>
      <c r="Z82" s="139">
        <f t="shared" si="32"/>
        <v>723</v>
      </c>
      <c r="AA82" s="139">
        <f t="shared" si="33"/>
        <v>0</v>
      </c>
      <c r="AC82" s="47">
        <f t="shared" si="34"/>
        <v>362</v>
      </c>
      <c r="AD82" s="47">
        <f t="shared" si="35"/>
        <v>362</v>
      </c>
      <c r="AE82" s="47">
        <f t="shared" si="36"/>
        <v>0</v>
      </c>
      <c r="AG82" s="47">
        <f t="shared" si="37"/>
        <v>361</v>
      </c>
      <c r="AH82" s="47">
        <f t="shared" si="38"/>
        <v>361</v>
      </c>
      <c r="AI82" s="208">
        <f t="shared" si="39"/>
        <v>0</v>
      </c>
    </row>
    <row r="83" spans="1:35">
      <c r="A83" t="s">
        <v>2090</v>
      </c>
      <c r="B83" t="s">
        <v>3155</v>
      </c>
      <c r="C83" t="s">
        <v>2231</v>
      </c>
      <c r="D83" t="s">
        <v>3240</v>
      </c>
      <c r="F83" t="s">
        <v>94</v>
      </c>
      <c r="G83" s="126">
        <f>SUMIFS('Support - Transition'!F:F,'Support - Transition'!B:B,'Step 2'!A83,'Support - Transition'!C:C,'Step 2'!B83,'Support - Transition'!D:D,'Step 2'!C83,'Support - Transition'!E:E,"CIVIL")</f>
        <v>0</v>
      </c>
      <c r="H83" s="126">
        <f>SUMIFS('Support - Transition'!F:F,'Support - Transition'!B:B,'Step 2'!A83,'Support - Transition'!C:C,'Step 2'!B83,'Support - Transition'!D:D,'Step 2'!C83,'Support - Transition'!E:E,"FIRE")</f>
        <v>0</v>
      </c>
      <c r="I83" s="126">
        <f>IF(B83="0",SUMIFS('Support - Transition'!F:F,'Support - Transition'!J:J,'Step 2'!D83,'Support - Transition'!E:E,"STATE UNIT"),SUMIFS('Support - Transition'!F:F,'Support - Transition'!J:J,'Step 2'!D83))</f>
        <v>0</v>
      </c>
      <c r="J83" s="126">
        <f>SUMIFS('Support - Unit Adjustments'!E:E,'Support - Unit Adjustments'!F:F,'Step 2'!D83)</f>
        <v>0</v>
      </c>
      <c r="K83" s="126">
        <f t="shared" si="21"/>
        <v>0</v>
      </c>
      <c r="L83" s="174">
        <f>VLOOKUP(A83,'Step 1'!$A:$E,4,FALSE)</f>
        <v>665425</v>
      </c>
      <c r="M83" s="47">
        <f t="shared" si="22"/>
        <v>0</v>
      </c>
      <c r="N83" s="177">
        <f>SUMIFS('Support - Transition'!G:G,'Support - Transition'!J:J,'Step 2'!D83,'Support - Transition'!E:E,"2009 WELFARE ALLOCATION FACTOR")</f>
        <v>0</v>
      </c>
      <c r="O83" s="152">
        <f t="shared" si="28"/>
        <v>0</v>
      </c>
      <c r="P83" s="126">
        <f>IF(E83="Y",0,SUMIFS('Support - Transition'!G:G,'Support - Transition'!J:J,'Step 2'!D83,'Support - Transition'!E:E,"2009 SCHOOL ALLOCATION FACTOR"))</f>
        <v>0</v>
      </c>
      <c r="Q83" s="126">
        <f>IF(E83="Y",VLOOKUP(D83,'Support - Unit Adjustments'!F:G,2,FALSE),0)</f>
        <v>0</v>
      </c>
      <c r="R83" s="155">
        <f t="shared" si="23"/>
        <v>0</v>
      </c>
      <c r="S83" s="47">
        <f t="shared" si="29"/>
        <v>0</v>
      </c>
      <c r="T83" s="151">
        <f t="shared" si="24"/>
        <v>0</v>
      </c>
      <c r="U83" s="151">
        <f t="shared" si="25"/>
        <v>0</v>
      </c>
      <c r="V83" s="139">
        <f t="shared" si="26"/>
        <v>0</v>
      </c>
      <c r="W83" s="152">
        <f t="shared" si="30"/>
        <v>0</v>
      </c>
      <c r="X83" s="127" t="str">
        <f t="shared" si="27"/>
        <v/>
      </c>
      <c r="Y83" s="207">
        <f t="shared" si="31"/>
        <v>0</v>
      </c>
      <c r="Z83" s="139">
        <f t="shared" si="32"/>
        <v>0</v>
      </c>
      <c r="AA83" s="139">
        <f t="shared" si="33"/>
        <v>0</v>
      </c>
      <c r="AC83" s="47">
        <f t="shared" si="34"/>
        <v>0</v>
      </c>
      <c r="AD83" s="47">
        <f t="shared" si="35"/>
        <v>0</v>
      </c>
      <c r="AE83" s="47">
        <f t="shared" si="36"/>
        <v>0</v>
      </c>
      <c r="AG83" s="47">
        <f t="shared" si="37"/>
        <v>0</v>
      </c>
      <c r="AH83" s="47">
        <f t="shared" si="38"/>
        <v>0</v>
      </c>
      <c r="AI83" s="208">
        <f t="shared" si="39"/>
        <v>0</v>
      </c>
    </row>
    <row r="84" spans="1:35">
      <c r="A84" t="s">
        <v>2090</v>
      </c>
      <c r="B84" t="s">
        <v>3155</v>
      </c>
      <c r="C84" t="s">
        <v>2232</v>
      </c>
      <c r="D84" t="s">
        <v>3241</v>
      </c>
      <c r="F84" t="s">
        <v>95</v>
      </c>
      <c r="G84" s="126">
        <f>SUMIFS('Support - Transition'!F:F,'Support - Transition'!B:B,'Step 2'!A84,'Support - Transition'!C:C,'Step 2'!B84,'Support - Transition'!D:D,'Step 2'!C84,'Support - Transition'!E:E,"CIVIL")</f>
        <v>0</v>
      </c>
      <c r="H84" s="126">
        <f>SUMIFS('Support - Transition'!F:F,'Support - Transition'!B:B,'Step 2'!A84,'Support - Transition'!C:C,'Step 2'!B84,'Support - Transition'!D:D,'Step 2'!C84,'Support - Transition'!E:E,"FIRE")</f>
        <v>0</v>
      </c>
      <c r="I84" s="126">
        <f>IF(B84="0",SUMIFS('Support - Transition'!F:F,'Support - Transition'!J:J,'Step 2'!D84,'Support - Transition'!E:E,"STATE UNIT"),SUMIFS('Support - Transition'!F:F,'Support - Transition'!J:J,'Step 2'!D84))</f>
        <v>2.5999999999999998E-5</v>
      </c>
      <c r="J84" s="126">
        <f>SUMIFS('Support - Unit Adjustments'!E:E,'Support - Unit Adjustments'!F:F,'Step 2'!D84)</f>
        <v>0</v>
      </c>
      <c r="K84" s="126">
        <f t="shared" si="21"/>
        <v>2.5999999999999998E-5</v>
      </c>
      <c r="L84" s="174">
        <f>VLOOKUP(A84,'Step 1'!$A:$E,4,FALSE)</f>
        <v>665425</v>
      </c>
      <c r="M84" s="47">
        <f t="shared" si="22"/>
        <v>17</v>
      </c>
      <c r="N84" s="177">
        <f>SUMIFS('Support - Transition'!G:G,'Support - Transition'!J:J,'Step 2'!D84,'Support - Transition'!E:E,"2009 WELFARE ALLOCATION FACTOR")</f>
        <v>0</v>
      </c>
      <c r="O84" s="152">
        <f t="shared" si="28"/>
        <v>0</v>
      </c>
      <c r="P84" s="126">
        <f>IF(E84="Y",0,SUMIFS('Support - Transition'!G:G,'Support - Transition'!J:J,'Step 2'!D84,'Support - Transition'!E:E,"2009 SCHOOL ALLOCATION FACTOR"))</f>
        <v>0</v>
      </c>
      <c r="Q84" s="126">
        <f>IF(E84="Y",VLOOKUP(D84,'Support - Unit Adjustments'!F:G,2,FALSE),0)</f>
        <v>0</v>
      </c>
      <c r="R84" s="155">
        <f t="shared" si="23"/>
        <v>0</v>
      </c>
      <c r="S84" s="47">
        <f t="shared" si="29"/>
        <v>0</v>
      </c>
      <c r="T84" s="151">
        <f t="shared" si="24"/>
        <v>17</v>
      </c>
      <c r="U84" s="151">
        <f t="shared" si="25"/>
        <v>0</v>
      </c>
      <c r="V84" s="139">
        <f t="shared" si="26"/>
        <v>0</v>
      </c>
      <c r="W84" s="152">
        <f t="shared" si="30"/>
        <v>17</v>
      </c>
      <c r="X84" s="127" t="str">
        <f t="shared" si="27"/>
        <v/>
      </c>
      <c r="Y84" s="207">
        <f t="shared" si="31"/>
        <v>17</v>
      </c>
      <c r="Z84" s="139">
        <f t="shared" si="32"/>
        <v>17</v>
      </c>
      <c r="AA84" s="139">
        <f t="shared" si="33"/>
        <v>0</v>
      </c>
      <c r="AC84" s="47">
        <f t="shared" si="34"/>
        <v>9</v>
      </c>
      <c r="AD84" s="47">
        <f t="shared" si="35"/>
        <v>9</v>
      </c>
      <c r="AE84" s="47">
        <f t="shared" si="36"/>
        <v>0</v>
      </c>
      <c r="AG84" s="47">
        <f t="shared" si="37"/>
        <v>8</v>
      </c>
      <c r="AH84" s="47">
        <f t="shared" si="38"/>
        <v>8</v>
      </c>
      <c r="AI84" s="208">
        <f t="shared" si="39"/>
        <v>0</v>
      </c>
    </row>
    <row r="85" spans="1:35">
      <c r="A85" t="s">
        <v>2090</v>
      </c>
      <c r="B85" t="s">
        <v>3155</v>
      </c>
      <c r="C85" t="s">
        <v>2233</v>
      </c>
      <c r="D85" t="s">
        <v>3242</v>
      </c>
      <c r="F85" t="s">
        <v>96</v>
      </c>
      <c r="G85" s="126">
        <f>SUMIFS('Support - Transition'!F:F,'Support - Transition'!B:B,'Step 2'!A85,'Support - Transition'!C:C,'Step 2'!B85,'Support - Transition'!D:D,'Step 2'!C85,'Support - Transition'!E:E,"CIVIL")</f>
        <v>0</v>
      </c>
      <c r="H85" s="126">
        <f>SUMIFS('Support - Transition'!F:F,'Support - Transition'!B:B,'Step 2'!A85,'Support - Transition'!C:C,'Step 2'!B85,'Support - Transition'!D:D,'Step 2'!C85,'Support - Transition'!E:E,"FIRE")</f>
        <v>0</v>
      </c>
      <c r="I85" s="126">
        <f>IF(B85="0",SUMIFS('Support - Transition'!F:F,'Support - Transition'!J:J,'Step 2'!D85,'Support - Transition'!E:E,"STATE UNIT"),SUMIFS('Support - Transition'!F:F,'Support - Transition'!J:J,'Step 2'!D85))</f>
        <v>2.6250000000000002E-3</v>
      </c>
      <c r="J85" s="126">
        <f>SUMIFS('Support - Unit Adjustments'!E:E,'Support - Unit Adjustments'!F:F,'Step 2'!D85)</f>
        <v>0</v>
      </c>
      <c r="K85" s="126">
        <f t="shared" si="21"/>
        <v>2.6250000000000002E-3</v>
      </c>
      <c r="L85" s="174">
        <f>VLOOKUP(A85,'Step 1'!$A:$E,4,FALSE)</f>
        <v>665425</v>
      </c>
      <c r="M85" s="47">
        <f t="shared" si="22"/>
        <v>1747</v>
      </c>
      <c r="N85" s="177">
        <f>SUMIFS('Support - Transition'!G:G,'Support - Transition'!J:J,'Step 2'!D85,'Support - Transition'!E:E,"2009 WELFARE ALLOCATION FACTOR")</f>
        <v>0</v>
      </c>
      <c r="O85" s="152">
        <f t="shared" si="28"/>
        <v>0</v>
      </c>
      <c r="P85" s="126">
        <f>IF(E85="Y",0,SUMIFS('Support - Transition'!G:G,'Support - Transition'!J:J,'Step 2'!D85,'Support - Transition'!E:E,"2009 SCHOOL ALLOCATION FACTOR"))</f>
        <v>0</v>
      </c>
      <c r="Q85" s="126">
        <f>IF(E85="Y",VLOOKUP(D85,'Support - Unit Adjustments'!F:G,2,FALSE),0)</f>
        <v>0</v>
      </c>
      <c r="R85" s="155">
        <f t="shared" si="23"/>
        <v>0</v>
      </c>
      <c r="S85" s="47">
        <f t="shared" si="29"/>
        <v>0</v>
      </c>
      <c r="T85" s="151">
        <f t="shared" si="24"/>
        <v>1747</v>
      </c>
      <c r="U85" s="151">
        <f t="shared" si="25"/>
        <v>0</v>
      </c>
      <c r="V85" s="139">
        <f t="shared" si="26"/>
        <v>0</v>
      </c>
      <c r="W85" s="152">
        <f t="shared" si="30"/>
        <v>1747</v>
      </c>
      <c r="X85" s="127" t="str">
        <f t="shared" si="27"/>
        <v/>
      </c>
      <c r="Y85" s="207">
        <f t="shared" si="31"/>
        <v>1747</v>
      </c>
      <c r="Z85" s="139">
        <f t="shared" si="32"/>
        <v>1747</v>
      </c>
      <c r="AA85" s="139">
        <f t="shared" si="33"/>
        <v>0</v>
      </c>
      <c r="AC85" s="47">
        <f t="shared" si="34"/>
        <v>874</v>
      </c>
      <c r="AD85" s="47">
        <f t="shared" si="35"/>
        <v>874</v>
      </c>
      <c r="AE85" s="47">
        <f t="shared" si="36"/>
        <v>0</v>
      </c>
      <c r="AG85" s="47">
        <f t="shared" si="37"/>
        <v>873</v>
      </c>
      <c r="AH85" s="47">
        <f t="shared" si="38"/>
        <v>873</v>
      </c>
      <c r="AI85" s="208">
        <f t="shared" si="39"/>
        <v>0</v>
      </c>
    </row>
    <row r="86" spans="1:35">
      <c r="A86" t="s">
        <v>2090</v>
      </c>
      <c r="B86" t="s">
        <v>3155</v>
      </c>
      <c r="C86" t="s">
        <v>2234</v>
      </c>
      <c r="D86" t="s">
        <v>3243</v>
      </c>
      <c r="F86" t="s">
        <v>97</v>
      </c>
      <c r="G86" s="126">
        <f>SUMIFS('Support - Transition'!F:F,'Support - Transition'!B:B,'Step 2'!A86,'Support - Transition'!C:C,'Step 2'!B86,'Support - Transition'!D:D,'Step 2'!C86,'Support - Transition'!E:E,"CIVIL")</f>
        <v>0</v>
      </c>
      <c r="H86" s="126">
        <f>SUMIFS('Support - Transition'!F:F,'Support - Transition'!B:B,'Step 2'!A86,'Support - Transition'!C:C,'Step 2'!B86,'Support - Transition'!D:D,'Step 2'!C86,'Support - Transition'!E:E,"FIRE")</f>
        <v>0</v>
      </c>
      <c r="I86" s="126">
        <f>IF(B86="0",SUMIFS('Support - Transition'!F:F,'Support - Transition'!J:J,'Step 2'!D86,'Support - Transition'!E:E,"STATE UNIT"),SUMIFS('Support - Transition'!F:F,'Support - Transition'!J:J,'Step 2'!D86))</f>
        <v>4.1E-5</v>
      </c>
      <c r="J86" s="126">
        <f>SUMIFS('Support - Unit Adjustments'!E:E,'Support - Unit Adjustments'!F:F,'Step 2'!D86)</f>
        <v>0</v>
      </c>
      <c r="K86" s="126">
        <f t="shared" si="21"/>
        <v>4.1E-5</v>
      </c>
      <c r="L86" s="174">
        <f>VLOOKUP(A86,'Step 1'!$A:$E,4,FALSE)</f>
        <v>665425</v>
      </c>
      <c r="M86" s="47">
        <f t="shared" si="22"/>
        <v>27</v>
      </c>
      <c r="N86" s="177">
        <f>SUMIFS('Support - Transition'!G:G,'Support - Transition'!J:J,'Step 2'!D86,'Support - Transition'!E:E,"2009 WELFARE ALLOCATION FACTOR")</f>
        <v>0</v>
      </c>
      <c r="O86" s="152">
        <f t="shared" si="28"/>
        <v>0</v>
      </c>
      <c r="P86" s="126">
        <f>IF(E86="Y",0,SUMIFS('Support - Transition'!G:G,'Support - Transition'!J:J,'Step 2'!D86,'Support - Transition'!E:E,"2009 SCHOOL ALLOCATION FACTOR"))</f>
        <v>0</v>
      </c>
      <c r="Q86" s="126">
        <f>IF(E86="Y",VLOOKUP(D86,'Support - Unit Adjustments'!F:G,2,FALSE),0)</f>
        <v>0</v>
      </c>
      <c r="R86" s="155">
        <f t="shared" si="23"/>
        <v>0</v>
      </c>
      <c r="S86" s="47">
        <f t="shared" si="29"/>
        <v>0</v>
      </c>
      <c r="T86" s="151">
        <f t="shared" si="24"/>
        <v>27</v>
      </c>
      <c r="U86" s="151">
        <f t="shared" si="25"/>
        <v>0</v>
      </c>
      <c r="V86" s="139">
        <f t="shared" si="26"/>
        <v>0</v>
      </c>
      <c r="W86" s="152">
        <f t="shared" si="30"/>
        <v>27</v>
      </c>
      <c r="X86" s="127" t="str">
        <f t="shared" si="27"/>
        <v/>
      </c>
      <c r="Y86" s="207">
        <f t="shared" si="31"/>
        <v>27</v>
      </c>
      <c r="Z86" s="139">
        <f t="shared" si="32"/>
        <v>27</v>
      </c>
      <c r="AA86" s="139">
        <f t="shared" si="33"/>
        <v>0</v>
      </c>
      <c r="AC86" s="47">
        <f t="shared" si="34"/>
        <v>14</v>
      </c>
      <c r="AD86" s="47">
        <f t="shared" si="35"/>
        <v>14</v>
      </c>
      <c r="AE86" s="47">
        <f t="shared" si="36"/>
        <v>0</v>
      </c>
      <c r="AG86" s="47">
        <f t="shared" si="37"/>
        <v>13</v>
      </c>
      <c r="AH86" s="47">
        <f t="shared" si="38"/>
        <v>13</v>
      </c>
      <c r="AI86" s="208">
        <f t="shared" si="39"/>
        <v>0</v>
      </c>
    </row>
    <row r="87" spans="1:35">
      <c r="A87" t="s">
        <v>2090</v>
      </c>
      <c r="B87" t="s">
        <v>3155</v>
      </c>
      <c r="C87" t="s">
        <v>2235</v>
      </c>
      <c r="D87" t="s">
        <v>3244</v>
      </c>
      <c r="F87" t="s">
        <v>93</v>
      </c>
      <c r="G87" s="126">
        <f>SUMIFS('Support - Transition'!F:F,'Support - Transition'!B:B,'Step 2'!A87,'Support - Transition'!C:C,'Step 2'!B87,'Support - Transition'!D:D,'Step 2'!C87,'Support - Transition'!E:E,"CIVIL")</f>
        <v>0</v>
      </c>
      <c r="H87" s="126">
        <f>SUMIFS('Support - Transition'!F:F,'Support - Transition'!B:B,'Step 2'!A87,'Support - Transition'!C:C,'Step 2'!B87,'Support - Transition'!D:D,'Step 2'!C87,'Support - Transition'!E:E,"FIRE")</f>
        <v>0</v>
      </c>
      <c r="I87" s="126">
        <f>IF(B87="0",SUMIFS('Support - Transition'!F:F,'Support - Transition'!J:J,'Step 2'!D87,'Support - Transition'!E:E,"STATE UNIT"),SUMIFS('Support - Transition'!F:F,'Support - Transition'!J:J,'Step 2'!D87))</f>
        <v>9.2900000000000003E-4</v>
      </c>
      <c r="J87" s="126">
        <f>SUMIFS('Support - Unit Adjustments'!E:E,'Support - Unit Adjustments'!F:F,'Step 2'!D87)</f>
        <v>0</v>
      </c>
      <c r="K87" s="126">
        <f t="shared" si="21"/>
        <v>9.2900000000000003E-4</v>
      </c>
      <c r="L87" s="174">
        <f>VLOOKUP(A87,'Step 1'!$A:$E,4,FALSE)</f>
        <v>665425</v>
      </c>
      <c r="M87" s="47">
        <f t="shared" si="22"/>
        <v>618</v>
      </c>
      <c r="N87" s="177">
        <f>SUMIFS('Support - Transition'!G:G,'Support - Transition'!J:J,'Step 2'!D87,'Support - Transition'!E:E,"2009 WELFARE ALLOCATION FACTOR")</f>
        <v>0</v>
      </c>
      <c r="O87" s="152">
        <f t="shared" si="28"/>
        <v>0</v>
      </c>
      <c r="P87" s="126">
        <f>IF(E87="Y",0,SUMIFS('Support - Transition'!G:G,'Support - Transition'!J:J,'Step 2'!D87,'Support - Transition'!E:E,"2009 SCHOOL ALLOCATION FACTOR"))</f>
        <v>0</v>
      </c>
      <c r="Q87" s="126">
        <f>IF(E87="Y",VLOOKUP(D87,'Support - Unit Adjustments'!F:G,2,FALSE),0)</f>
        <v>0</v>
      </c>
      <c r="R87" s="155">
        <f t="shared" si="23"/>
        <v>0</v>
      </c>
      <c r="S87" s="47">
        <f t="shared" si="29"/>
        <v>0</v>
      </c>
      <c r="T87" s="151">
        <f t="shared" si="24"/>
        <v>618</v>
      </c>
      <c r="U87" s="151">
        <f t="shared" si="25"/>
        <v>0</v>
      </c>
      <c r="V87" s="139">
        <f t="shared" si="26"/>
        <v>0</v>
      </c>
      <c r="W87" s="152">
        <f t="shared" si="30"/>
        <v>618</v>
      </c>
      <c r="X87" s="127" t="str">
        <f t="shared" si="27"/>
        <v/>
      </c>
      <c r="Y87" s="207">
        <f t="shared" si="31"/>
        <v>618</v>
      </c>
      <c r="Z87" s="139">
        <f t="shared" si="32"/>
        <v>618</v>
      </c>
      <c r="AA87" s="139">
        <f t="shared" si="33"/>
        <v>0</v>
      </c>
      <c r="AC87" s="47">
        <f t="shared" si="34"/>
        <v>309</v>
      </c>
      <c r="AD87" s="47">
        <f t="shared" si="35"/>
        <v>309</v>
      </c>
      <c r="AE87" s="47">
        <f t="shared" si="36"/>
        <v>0</v>
      </c>
      <c r="AG87" s="47">
        <f t="shared" si="37"/>
        <v>309</v>
      </c>
      <c r="AH87" s="47">
        <f t="shared" si="38"/>
        <v>309</v>
      </c>
      <c r="AI87" s="208">
        <f t="shared" si="39"/>
        <v>0</v>
      </c>
    </row>
    <row r="88" spans="1:35">
      <c r="A88" t="s">
        <v>2090</v>
      </c>
      <c r="B88" t="s">
        <v>3160</v>
      </c>
      <c r="C88" t="s">
        <v>2236</v>
      </c>
      <c r="D88" t="s">
        <v>3245</v>
      </c>
      <c r="F88" t="s">
        <v>3246</v>
      </c>
      <c r="G88" s="126">
        <f>SUMIFS('Support - Transition'!F:F,'Support - Transition'!B:B,'Step 2'!A88,'Support - Transition'!C:C,'Step 2'!B88,'Support - Transition'!D:D,'Step 2'!C88,'Support - Transition'!E:E,"CIVIL")</f>
        <v>0</v>
      </c>
      <c r="H88" s="126">
        <f>SUMIFS('Support - Transition'!F:F,'Support - Transition'!B:B,'Step 2'!A88,'Support - Transition'!C:C,'Step 2'!B88,'Support - Transition'!D:D,'Step 2'!C88,'Support - Transition'!E:E,"FIRE")</f>
        <v>0</v>
      </c>
      <c r="I88" s="126">
        <f>IF(B88="0",SUMIFS('Support - Transition'!F:F,'Support - Transition'!J:J,'Step 2'!D88,'Support - Transition'!E:E,"STATE UNIT"),SUMIFS('Support - Transition'!F:F,'Support - Transition'!J:J,'Step 2'!D88))</f>
        <v>0.59325000000000006</v>
      </c>
      <c r="J88" s="126">
        <f>SUMIFS('Support - Unit Adjustments'!E:E,'Support - Unit Adjustments'!F:F,'Step 2'!D88)</f>
        <v>0</v>
      </c>
      <c r="K88" s="126">
        <f t="shared" si="21"/>
        <v>0.59325000000000006</v>
      </c>
      <c r="L88" s="174">
        <f>VLOOKUP(A88,'Step 1'!$A:$E,4,FALSE)</f>
        <v>665425</v>
      </c>
      <c r="M88" s="47">
        <f t="shared" si="22"/>
        <v>394763</v>
      </c>
      <c r="N88" s="177">
        <f>SUMIFS('Support - Transition'!G:G,'Support - Transition'!J:J,'Step 2'!D88,'Support - Transition'!E:E,"2009 WELFARE ALLOCATION FACTOR")</f>
        <v>0</v>
      </c>
      <c r="O88" s="152">
        <f t="shared" si="28"/>
        <v>0</v>
      </c>
      <c r="P88" s="126">
        <f>IF(E88="Y",0,SUMIFS('Support - Transition'!G:G,'Support - Transition'!J:J,'Step 2'!D88,'Support - Transition'!E:E,"2009 SCHOOL ALLOCATION FACTOR"))</f>
        <v>0.45757999999999999</v>
      </c>
      <c r="Q88" s="126">
        <f>IF(E88="Y",VLOOKUP(D88,'Support - Unit Adjustments'!F:G,2,FALSE),0)</f>
        <v>0</v>
      </c>
      <c r="R88" s="155">
        <f t="shared" si="23"/>
        <v>0.45757999999999999</v>
      </c>
      <c r="S88" s="47">
        <f t="shared" si="29"/>
        <v>180636</v>
      </c>
      <c r="T88" s="151">
        <f t="shared" si="24"/>
        <v>214127</v>
      </c>
      <c r="U88" s="151">
        <f t="shared" si="25"/>
        <v>0</v>
      </c>
      <c r="V88" s="139">
        <f t="shared" si="26"/>
        <v>0</v>
      </c>
      <c r="W88" s="152">
        <f t="shared" si="30"/>
        <v>214127</v>
      </c>
      <c r="X88" s="127" t="str">
        <f t="shared" si="27"/>
        <v/>
      </c>
      <c r="Y88" s="207">
        <f t="shared" si="31"/>
        <v>214127</v>
      </c>
      <c r="Z88" s="139">
        <f t="shared" si="32"/>
        <v>214127</v>
      </c>
      <c r="AA88" s="139">
        <f t="shared" si="33"/>
        <v>0</v>
      </c>
      <c r="AC88" s="47">
        <f t="shared" si="34"/>
        <v>107064</v>
      </c>
      <c r="AD88" s="47">
        <f t="shared" si="35"/>
        <v>107064</v>
      </c>
      <c r="AE88" s="47">
        <f t="shared" si="36"/>
        <v>0</v>
      </c>
      <c r="AG88" s="47">
        <f t="shared" si="37"/>
        <v>107063</v>
      </c>
      <c r="AH88" s="47">
        <f t="shared" si="38"/>
        <v>107063</v>
      </c>
      <c r="AI88" s="208">
        <f t="shared" si="39"/>
        <v>0</v>
      </c>
    </row>
    <row r="89" spans="1:35">
      <c r="A89" t="s">
        <v>2090</v>
      </c>
      <c r="B89" t="s">
        <v>3160</v>
      </c>
      <c r="C89" t="s">
        <v>2237</v>
      </c>
      <c r="D89" t="s">
        <v>3247</v>
      </c>
      <c r="F89" t="s">
        <v>100</v>
      </c>
      <c r="G89" s="126">
        <f>SUMIFS('Support - Transition'!F:F,'Support - Transition'!B:B,'Step 2'!A89,'Support - Transition'!C:C,'Step 2'!B89,'Support - Transition'!D:D,'Step 2'!C89,'Support - Transition'!E:E,"CIVIL")</f>
        <v>0</v>
      </c>
      <c r="H89" s="126">
        <f>SUMIFS('Support - Transition'!F:F,'Support - Transition'!B:B,'Step 2'!A89,'Support - Transition'!C:C,'Step 2'!B89,'Support - Transition'!D:D,'Step 2'!C89,'Support - Transition'!E:E,"FIRE")</f>
        <v>0</v>
      </c>
      <c r="I89" s="126">
        <f>IF(B89="0",SUMIFS('Support - Transition'!F:F,'Support - Transition'!J:J,'Step 2'!D89,'Support - Transition'!E:E,"STATE UNIT"),SUMIFS('Support - Transition'!F:F,'Support - Transition'!J:J,'Step 2'!D89))</f>
        <v>3.6627E-2</v>
      </c>
      <c r="J89" s="126">
        <f>SUMIFS('Support - Unit Adjustments'!E:E,'Support - Unit Adjustments'!F:F,'Step 2'!D89)</f>
        <v>0</v>
      </c>
      <c r="K89" s="126">
        <f t="shared" si="21"/>
        <v>3.6627E-2</v>
      </c>
      <c r="L89" s="174">
        <f>VLOOKUP(A89,'Step 1'!$A:$E,4,FALSE)</f>
        <v>665425</v>
      </c>
      <c r="M89" s="47">
        <f t="shared" si="22"/>
        <v>24373</v>
      </c>
      <c r="N89" s="177">
        <f>SUMIFS('Support - Transition'!G:G,'Support - Transition'!J:J,'Step 2'!D89,'Support - Transition'!E:E,"2009 WELFARE ALLOCATION FACTOR")</f>
        <v>0</v>
      </c>
      <c r="O89" s="152">
        <f t="shared" si="28"/>
        <v>0</v>
      </c>
      <c r="P89" s="126">
        <f>IF(E89="Y",0,SUMIFS('Support - Transition'!G:G,'Support - Transition'!J:J,'Step 2'!D89,'Support - Transition'!E:E,"2009 SCHOOL ALLOCATION FACTOR"))</f>
        <v>0.41181600000000002</v>
      </c>
      <c r="Q89" s="126">
        <f>IF(E89="Y",VLOOKUP(D89,'Support - Unit Adjustments'!F:G,2,FALSE),0)</f>
        <v>0</v>
      </c>
      <c r="R89" s="155">
        <f t="shared" si="23"/>
        <v>0.41181600000000002</v>
      </c>
      <c r="S89" s="47">
        <f t="shared" si="29"/>
        <v>10037</v>
      </c>
      <c r="T89" s="151">
        <f t="shared" si="24"/>
        <v>14336</v>
      </c>
      <c r="U89" s="151">
        <f t="shared" si="25"/>
        <v>0</v>
      </c>
      <c r="V89" s="139">
        <f t="shared" si="26"/>
        <v>0</v>
      </c>
      <c r="W89" s="152">
        <f t="shared" si="30"/>
        <v>14336</v>
      </c>
      <c r="X89" s="127" t="str">
        <f t="shared" si="27"/>
        <v/>
      </c>
      <c r="Y89" s="207">
        <f t="shared" si="31"/>
        <v>14336</v>
      </c>
      <c r="Z89" s="139">
        <f t="shared" si="32"/>
        <v>14336</v>
      </c>
      <c r="AA89" s="139">
        <f t="shared" si="33"/>
        <v>0</v>
      </c>
      <c r="AC89" s="47">
        <f t="shared" si="34"/>
        <v>7168</v>
      </c>
      <c r="AD89" s="47">
        <f t="shared" si="35"/>
        <v>7168</v>
      </c>
      <c r="AE89" s="47">
        <f t="shared" si="36"/>
        <v>0</v>
      </c>
      <c r="AG89" s="47">
        <f t="shared" si="37"/>
        <v>7168</v>
      </c>
      <c r="AH89" s="47">
        <f t="shared" si="38"/>
        <v>7168</v>
      </c>
      <c r="AI89" s="208">
        <f t="shared" si="39"/>
        <v>0</v>
      </c>
    </row>
    <row r="90" spans="1:35">
      <c r="A90" t="s">
        <v>2090</v>
      </c>
      <c r="B90" t="s">
        <v>3160</v>
      </c>
      <c r="C90" t="s">
        <v>2238</v>
      </c>
      <c r="D90" t="s">
        <v>3248</v>
      </c>
      <c r="F90" t="s">
        <v>99</v>
      </c>
      <c r="G90" s="126">
        <f>SUMIFS('Support - Transition'!F:F,'Support - Transition'!B:B,'Step 2'!A90,'Support - Transition'!C:C,'Step 2'!B90,'Support - Transition'!D:D,'Step 2'!C90,'Support - Transition'!E:E,"CIVIL")</f>
        <v>0</v>
      </c>
      <c r="H90" s="126">
        <f>SUMIFS('Support - Transition'!F:F,'Support - Transition'!B:B,'Step 2'!A90,'Support - Transition'!C:C,'Step 2'!B90,'Support - Transition'!D:D,'Step 2'!C90,'Support - Transition'!E:E,"FIRE")</f>
        <v>0</v>
      </c>
      <c r="I90" s="126">
        <f>IF(B90="0",SUMIFS('Support - Transition'!F:F,'Support - Transition'!J:J,'Step 2'!D90,'Support - Transition'!E:E,"STATE UNIT"),SUMIFS('Support - Transition'!F:F,'Support - Transition'!J:J,'Step 2'!D90))</f>
        <v>9.4600000000000001E-4</v>
      </c>
      <c r="J90" s="126">
        <f>SUMIFS('Support - Unit Adjustments'!E:E,'Support - Unit Adjustments'!F:F,'Step 2'!D90)</f>
        <v>0</v>
      </c>
      <c r="K90" s="126">
        <f t="shared" si="21"/>
        <v>9.4600000000000001E-4</v>
      </c>
      <c r="L90" s="174">
        <f>VLOOKUP(A90,'Step 1'!$A:$E,4,FALSE)</f>
        <v>665425</v>
      </c>
      <c r="M90" s="47">
        <f t="shared" si="22"/>
        <v>629</v>
      </c>
      <c r="N90" s="177">
        <f>SUMIFS('Support - Transition'!G:G,'Support - Transition'!J:J,'Step 2'!D90,'Support - Transition'!E:E,"2009 WELFARE ALLOCATION FACTOR")</f>
        <v>0</v>
      </c>
      <c r="O90" s="152">
        <f t="shared" si="28"/>
        <v>0</v>
      </c>
      <c r="P90" s="126">
        <f>IF(E90="Y",0,SUMIFS('Support - Transition'!G:G,'Support - Transition'!J:J,'Step 2'!D90,'Support - Transition'!E:E,"2009 SCHOOL ALLOCATION FACTOR"))</f>
        <v>0.48823699999999998</v>
      </c>
      <c r="Q90" s="126">
        <f>IF(E90="Y",VLOOKUP(D90,'Support - Unit Adjustments'!F:G,2,FALSE),0)</f>
        <v>0</v>
      </c>
      <c r="R90" s="155">
        <f t="shared" si="23"/>
        <v>0.48823699999999998</v>
      </c>
      <c r="S90" s="47">
        <f t="shared" si="29"/>
        <v>307</v>
      </c>
      <c r="T90" s="151">
        <f t="shared" si="24"/>
        <v>322</v>
      </c>
      <c r="U90" s="151">
        <f t="shared" si="25"/>
        <v>0</v>
      </c>
      <c r="V90" s="139">
        <f t="shared" si="26"/>
        <v>0</v>
      </c>
      <c r="W90" s="152">
        <f t="shared" si="30"/>
        <v>322</v>
      </c>
      <c r="X90" s="127" t="str">
        <f t="shared" si="27"/>
        <v/>
      </c>
      <c r="Y90" s="207">
        <f t="shared" si="31"/>
        <v>322</v>
      </c>
      <c r="Z90" s="139">
        <f t="shared" si="32"/>
        <v>322</v>
      </c>
      <c r="AA90" s="139">
        <f t="shared" si="33"/>
        <v>0</v>
      </c>
      <c r="AC90" s="47">
        <f t="shared" si="34"/>
        <v>161</v>
      </c>
      <c r="AD90" s="47">
        <f t="shared" si="35"/>
        <v>161</v>
      </c>
      <c r="AE90" s="47">
        <f t="shared" si="36"/>
        <v>0</v>
      </c>
      <c r="AG90" s="47">
        <f t="shared" si="37"/>
        <v>161</v>
      </c>
      <c r="AH90" s="47">
        <f t="shared" si="38"/>
        <v>161</v>
      </c>
      <c r="AI90" s="208">
        <f t="shared" si="39"/>
        <v>0</v>
      </c>
    </row>
    <row r="91" spans="1:35">
      <c r="A91" t="s">
        <v>2090</v>
      </c>
      <c r="B91" t="s">
        <v>3166</v>
      </c>
      <c r="C91" t="s">
        <v>2193</v>
      </c>
      <c r="D91" t="s">
        <v>3249</v>
      </c>
      <c r="F91" t="s">
        <v>101</v>
      </c>
      <c r="G91" s="126">
        <f>SUMIFS('Support - Transition'!F:F,'Support - Transition'!B:B,'Step 2'!A91,'Support - Transition'!C:C,'Step 2'!B91,'Support - Transition'!D:D,'Step 2'!C91,'Support - Transition'!E:E,"CIVIL")</f>
        <v>0</v>
      </c>
      <c r="H91" s="126">
        <f>SUMIFS('Support - Transition'!F:F,'Support - Transition'!B:B,'Step 2'!A91,'Support - Transition'!C:C,'Step 2'!B91,'Support - Transition'!D:D,'Step 2'!C91,'Support - Transition'!E:E,"FIRE")</f>
        <v>0</v>
      </c>
      <c r="I91" s="126">
        <f>IF(B91="0",SUMIFS('Support - Transition'!F:F,'Support - Transition'!J:J,'Step 2'!D91,'Support - Transition'!E:E,"STATE UNIT"),SUMIFS('Support - Transition'!F:F,'Support - Transition'!J:J,'Step 2'!D91))</f>
        <v>2.0565E-2</v>
      </c>
      <c r="J91" s="126">
        <f>SUMIFS('Support - Unit Adjustments'!E:E,'Support - Unit Adjustments'!F:F,'Step 2'!D91)</f>
        <v>0</v>
      </c>
      <c r="K91" s="126">
        <f t="shared" si="21"/>
        <v>2.0565E-2</v>
      </c>
      <c r="L91" s="174">
        <f>VLOOKUP(A91,'Step 1'!$A:$E,4,FALSE)</f>
        <v>665425</v>
      </c>
      <c r="M91" s="47">
        <f t="shared" si="22"/>
        <v>13684</v>
      </c>
      <c r="N91" s="177">
        <f>SUMIFS('Support - Transition'!G:G,'Support - Transition'!J:J,'Step 2'!D91,'Support - Transition'!E:E,"2009 WELFARE ALLOCATION FACTOR")</f>
        <v>0</v>
      </c>
      <c r="O91" s="152">
        <f t="shared" si="28"/>
        <v>0</v>
      </c>
      <c r="P91" s="126">
        <f>IF(E91="Y",0,SUMIFS('Support - Transition'!G:G,'Support - Transition'!J:J,'Step 2'!D91,'Support - Transition'!E:E,"2009 SCHOOL ALLOCATION FACTOR"))</f>
        <v>0</v>
      </c>
      <c r="Q91" s="126">
        <f>IF(E91="Y",VLOOKUP(D91,'Support - Unit Adjustments'!F:G,2,FALSE),0)</f>
        <v>0</v>
      </c>
      <c r="R91" s="155">
        <f t="shared" si="23"/>
        <v>0</v>
      </c>
      <c r="S91" s="47">
        <f t="shared" si="29"/>
        <v>0</v>
      </c>
      <c r="T91" s="151">
        <f t="shared" si="24"/>
        <v>13684</v>
      </c>
      <c r="U91" s="151">
        <f t="shared" si="25"/>
        <v>0</v>
      </c>
      <c r="V91" s="139">
        <f t="shared" si="26"/>
        <v>0</v>
      </c>
      <c r="W91" s="152">
        <f t="shared" si="30"/>
        <v>13684</v>
      </c>
      <c r="X91" s="127" t="str">
        <f t="shared" si="27"/>
        <v/>
      </c>
      <c r="Y91" s="207">
        <f t="shared" si="31"/>
        <v>13684</v>
      </c>
      <c r="Z91" s="139">
        <f t="shared" si="32"/>
        <v>13684</v>
      </c>
      <c r="AA91" s="139">
        <f t="shared" si="33"/>
        <v>0</v>
      </c>
      <c r="AC91" s="47">
        <f t="shared" si="34"/>
        <v>6842</v>
      </c>
      <c r="AD91" s="47">
        <f t="shared" si="35"/>
        <v>6842</v>
      </c>
      <c r="AE91" s="47">
        <f t="shared" si="36"/>
        <v>0</v>
      </c>
      <c r="AG91" s="47">
        <f t="shared" si="37"/>
        <v>6842</v>
      </c>
      <c r="AH91" s="47">
        <f t="shared" si="38"/>
        <v>6842</v>
      </c>
      <c r="AI91" s="208">
        <f t="shared" si="39"/>
        <v>0</v>
      </c>
    </row>
    <row r="92" spans="1:35">
      <c r="A92" t="s">
        <v>2090</v>
      </c>
      <c r="B92" t="s">
        <v>3166</v>
      </c>
      <c r="C92" t="s">
        <v>2239</v>
      </c>
      <c r="D92" t="s">
        <v>3250</v>
      </c>
      <c r="F92" t="s">
        <v>911</v>
      </c>
      <c r="G92" s="126">
        <f>SUMIFS('Support - Transition'!F:F,'Support - Transition'!B:B,'Step 2'!A92,'Support - Transition'!C:C,'Step 2'!B92,'Support - Transition'!D:D,'Step 2'!C92,'Support - Transition'!E:E,"CIVIL")</f>
        <v>0</v>
      </c>
      <c r="H92" s="126">
        <f>SUMIFS('Support - Transition'!F:F,'Support - Transition'!B:B,'Step 2'!A92,'Support - Transition'!C:C,'Step 2'!B92,'Support - Transition'!D:D,'Step 2'!C92,'Support - Transition'!E:E,"FIRE")</f>
        <v>0</v>
      </c>
      <c r="I92" s="126">
        <f>IF(B92="0",SUMIFS('Support - Transition'!F:F,'Support - Transition'!J:J,'Step 2'!D92,'Support - Transition'!E:E,"STATE UNIT"),SUMIFS('Support - Transition'!F:F,'Support - Transition'!J:J,'Step 2'!D92))</f>
        <v>9.3999999999999994E-5</v>
      </c>
      <c r="J92" s="126">
        <f>SUMIFS('Support - Unit Adjustments'!E:E,'Support - Unit Adjustments'!F:F,'Step 2'!D92)</f>
        <v>0</v>
      </c>
      <c r="K92" s="126">
        <f t="shared" si="21"/>
        <v>9.3999999999999994E-5</v>
      </c>
      <c r="L92" s="174">
        <f>VLOOKUP(A92,'Step 1'!$A:$E,4,FALSE)</f>
        <v>665425</v>
      </c>
      <c r="M92" s="47">
        <f t="shared" si="22"/>
        <v>63</v>
      </c>
      <c r="N92" s="177">
        <f>SUMIFS('Support - Transition'!G:G,'Support - Transition'!J:J,'Step 2'!D92,'Support - Transition'!E:E,"2009 WELFARE ALLOCATION FACTOR")</f>
        <v>0</v>
      </c>
      <c r="O92" s="152">
        <f t="shared" si="28"/>
        <v>0</v>
      </c>
      <c r="P92" s="126">
        <f>IF(E92="Y",0,SUMIFS('Support - Transition'!G:G,'Support - Transition'!J:J,'Step 2'!D92,'Support - Transition'!E:E,"2009 SCHOOL ALLOCATION FACTOR"))</f>
        <v>0</v>
      </c>
      <c r="Q92" s="126">
        <f>IF(E92="Y",VLOOKUP(D92,'Support - Unit Adjustments'!F:G,2,FALSE),0)</f>
        <v>0</v>
      </c>
      <c r="R92" s="155">
        <f t="shared" si="23"/>
        <v>0</v>
      </c>
      <c r="S92" s="47">
        <f t="shared" si="29"/>
        <v>0</v>
      </c>
      <c r="T92" s="151">
        <f t="shared" si="24"/>
        <v>63</v>
      </c>
      <c r="U92" s="151">
        <f t="shared" si="25"/>
        <v>0</v>
      </c>
      <c r="V92" s="139">
        <f t="shared" si="26"/>
        <v>0</v>
      </c>
      <c r="W92" s="152">
        <f t="shared" si="30"/>
        <v>63</v>
      </c>
      <c r="X92" s="127" t="str">
        <f t="shared" si="27"/>
        <v/>
      </c>
      <c r="Y92" s="207">
        <f t="shared" si="31"/>
        <v>63</v>
      </c>
      <c r="Z92" s="139">
        <f t="shared" si="32"/>
        <v>63</v>
      </c>
      <c r="AA92" s="139">
        <f t="shared" si="33"/>
        <v>0</v>
      </c>
      <c r="AC92" s="47">
        <f t="shared" si="34"/>
        <v>32</v>
      </c>
      <c r="AD92" s="47">
        <f t="shared" si="35"/>
        <v>32</v>
      </c>
      <c r="AE92" s="47">
        <f t="shared" si="36"/>
        <v>0</v>
      </c>
      <c r="AG92" s="47">
        <f t="shared" si="37"/>
        <v>31</v>
      </c>
      <c r="AH92" s="47">
        <f t="shared" si="38"/>
        <v>31</v>
      </c>
      <c r="AI92" s="208">
        <f t="shared" si="39"/>
        <v>0</v>
      </c>
    </row>
    <row r="93" spans="1:35">
      <c r="A93" t="s">
        <v>2090</v>
      </c>
      <c r="B93" t="s">
        <v>3170</v>
      </c>
      <c r="C93" t="s">
        <v>3251</v>
      </c>
      <c r="D93" t="s">
        <v>3252</v>
      </c>
      <c r="F93" t="s">
        <v>3253</v>
      </c>
      <c r="G93" s="126">
        <f>SUMIFS('Support - Transition'!F:F,'Support - Transition'!B:B,'Step 2'!A93,'Support - Transition'!C:C,'Step 2'!B93,'Support - Transition'!D:D,'Step 2'!C93,'Support - Transition'!E:E,"CIVIL")</f>
        <v>0</v>
      </c>
      <c r="H93" s="126">
        <f>SUMIFS('Support - Transition'!F:F,'Support - Transition'!B:B,'Step 2'!A93,'Support - Transition'!C:C,'Step 2'!B93,'Support - Transition'!D:D,'Step 2'!C93,'Support - Transition'!E:E,"FIRE")</f>
        <v>0</v>
      </c>
      <c r="I93" s="126">
        <f>IF(B93="0",SUMIFS('Support - Transition'!F:F,'Support - Transition'!J:J,'Step 2'!D93,'Support - Transition'!E:E,"STATE UNIT"),SUMIFS('Support - Transition'!F:F,'Support - Transition'!J:J,'Step 2'!D93))</f>
        <v>5.0329999999998432E-3</v>
      </c>
      <c r="J93" s="126">
        <f>SUMIFS('Support - Unit Adjustments'!E:E,'Support - Unit Adjustments'!F:F,'Step 2'!D93)</f>
        <v>0</v>
      </c>
      <c r="K93" s="126">
        <f t="shared" si="21"/>
        <v>5.0329999999998432E-3</v>
      </c>
      <c r="L93" s="174">
        <f>VLOOKUP(A93,'Step 1'!$A:$E,4,FALSE)</f>
        <v>665425</v>
      </c>
      <c r="M93" s="47">
        <f t="shared" si="22"/>
        <v>3349</v>
      </c>
      <c r="N93" s="177">
        <f>SUMIFS('Support - Transition'!G:G,'Support - Transition'!J:J,'Step 2'!D93,'Support - Transition'!E:E,"2009 WELFARE ALLOCATION FACTOR")</f>
        <v>0</v>
      </c>
      <c r="O93" s="152">
        <f t="shared" si="28"/>
        <v>0</v>
      </c>
      <c r="P93" s="126">
        <f>IF(E93="Y",0,SUMIFS('Support - Transition'!G:G,'Support - Transition'!J:J,'Step 2'!D93,'Support - Transition'!E:E,"2009 SCHOOL ALLOCATION FACTOR"))</f>
        <v>0</v>
      </c>
      <c r="Q93" s="126">
        <f>IF(E93="Y",VLOOKUP(D93,'Support - Unit Adjustments'!F:G,2,FALSE),0)</f>
        <v>0</v>
      </c>
      <c r="R93" s="155">
        <f t="shared" si="23"/>
        <v>0</v>
      </c>
      <c r="S93" s="47">
        <f t="shared" si="29"/>
        <v>0</v>
      </c>
      <c r="T93" s="151">
        <f t="shared" si="24"/>
        <v>3349</v>
      </c>
      <c r="U93" s="151">
        <f t="shared" si="25"/>
        <v>0</v>
      </c>
      <c r="V93" s="139">
        <f t="shared" si="26"/>
        <v>0</v>
      </c>
      <c r="W93" s="152">
        <f t="shared" si="30"/>
        <v>3349</v>
      </c>
      <c r="X93" s="127" t="str">
        <f t="shared" si="27"/>
        <v/>
      </c>
      <c r="Y93" s="207">
        <f t="shared" si="31"/>
        <v>3349</v>
      </c>
      <c r="Z93" s="139">
        <f t="shared" si="32"/>
        <v>3349</v>
      </c>
      <c r="AA93" s="139">
        <f t="shared" si="33"/>
        <v>0</v>
      </c>
      <c r="AC93" s="47">
        <f t="shared" si="34"/>
        <v>1675</v>
      </c>
      <c r="AD93" s="47">
        <f t="shared" si="35"/>
        <v>1675</v>
      </c>
      <c r="AE93" s="47">
        <f t="shared" si="36"/>
        <v>0</v>
      </c>
      <c r="AG93" s="47">
        <f t="shared" si="37"/>
        <v>1674</v>
      </c>
      <c r="AH93" s="47">
        <f t="shared" si="38"/>
        <v>1674</v>
      </c>
      <c r="AI93" s="208">
        <f t="shared" si="39"/>
        <v>0</v>
      </c>
    </row>
    <row r="94" spans="1:35">
      <c r="A94" t="s">
        <v>2091</v>
      </c>
      <c r="B94" s="48" t="s">
        <v>6274</v>
      </c>
      <c r="C94" t="s">
        <v>2187</v>
      </c>
      <c r="D94" t="str">
        <f>A94&amp;B94&amp;C94</f>
        <v>0400000</v>
      </c>
      <c r="F94" t="s">
        <v>6278</v>
      </c>
      <c r="G94" s="126">
        <f>SUMIFS('Support - Transition'!F:F,'Support - Transition'!B:B,'Step 2'!A94,'Support - Transition'!C:C,'Step 2'!B94,'Support - Transition'!D:D,'Step 2'!C94,'Support - Transition'!E:E,"CIVIL")</f>
        <v>0</v>
      </c>
      <c r="H94" s="126">
        <f>SUMIFS('Support - Transition'!F:F,'Support - Transition'!B:B,'Step 2'!A94,'Support - Transition'!C:C,'Step 2'!B94,'Support - Transition'!D:D,'Step 2'!C94,'Support - Transition'!E:E,"FIRE")</f>
        <v>0</v>
      </c>
      <c r="I94" s="126">
        <f>IF(B94="0",SUMIFS('Support - Transition'!F:F,'Support - Transition'!J:J,'Step 2'!D94,'Support - Transition'!E:E,"STATE UNIT"),SUMIFS('Support - Transition'!F:F,'Support - Transition'!J:J,'Step 2'!D94))</f>
        <v>1.1900000000000001E-3</v>
      </c>
      <c r="J94" s="126">
        <f>SUMIFS('Support - Unit Adjustments'!E:E,'Support - Unit Adjustments'!F:F,'Step 2'!D94)</f>
        <v>0</v>
      </c>
      <c r="K94" s="126">
        <f t="shared" si="21"/>
        <v>1.1900000000000001E-3</v>
      </c>
      <c r="L94" s="174">
        <f>VLOOKUP(A94,'Step 1'!$A:$E,4,FALSE)</f>
        <v>191532</v>
      </c>
      <c r="M94" s="47">
        <f t="shared" si="22"/>
        <v>228</v>
      </c>
      <c r="N94" s="177">
        <f>SUMIFS('Support - Transition'!G:G,'Support - Transition'!J:J,'Step 2'!D94,'Support - Transition'!E:E,"2009 WELFARE ALLOCATION FACTOR")</f>
        <v>0</v>
      </c>
      <c r="O94" s="152">
        <f t="shared" si="28"/>
        <v>0</v>
      </c>
      <c r="P94" s="126">
        <f>IF(E94="Y",0,SUMIFS('Support - Transition'!G:G,'Support - Transition'!J:J,'Step 2'!D94,'Support - Transition'!E:E,"2009 SCHOOL ALLOCATION FACTOR"))</f>
        <v>0</v>
      </c>
      <c r="Q94" s="126">
        <f>IF(E94="Y",VLOOKUP(D94,'Support - Unit Adjustments'!F:G,2,FALSE),0)</f>
        <v>0</v>
      </c>
      <c r="R94" s="155">
        <f t="shared" si="23"/>
        <v>0</v>
      </c>
      <c r="S94" s="47">
        <f t="shared" si="29"/>
        <v>0</v>
      </c>
      <c r="T94" s="151">
        <f t="shared" si="24"/>
        <v>228</v>
      </c>
      <c r="U94" s="151">
        <f t="shared" si="25"/>
        <v>191532</v>
      </c>
      <c r="V94" s="139">
        <f t="shared" si="26"/>
        <v>0</v>
      </c>
      <c r="W94" s="152">
        <f t="shared" si="30"/>
        <v>228</v>
      </c>
      <c r="X94" s="127">
        <f t="shared" si="27"/>
        <v>0</v>
      </c>
      <c r="Y94" s="207">
        <f t="shared" si="31"/>
        <v>228</v>
      </c>
      <c r="Z94" s="139">
        <f t="shared" si="32"/>
        <v>228</v>
      </c>
      <c r="AA94" s="139">
        <f t="shared" si="33"/>
        <v>0</v>
      </c>
      <c r="AC94" s="47">
        <f t="shared" si="34"/>
        <v>114</v>
      </c>
      <c r="AD94" s="47">
        <f t="shared" si="35"/>
        <v>114</v>
      </c>
      <c r="AE94" s="47">
        <f t="shared" si="36"/>
        <v>0</v>
      </c>
      <c r="AG94" s="47">
        <f t="shared" si="37"/>
        <v>114</v>
      </c>
      <c r="AH94" s="47">
        <f t="shared" si="38"/>
        <v>114</v>
      </c>
      <c r="AI94" s="208">
        <f t="shared" si="39"/>
        <v>0</v>
      </c>
    </row>
    <row r="95" spans="1:35">
      <c r="A95" t="s">
        <v>2091</v>
      </c>
      <c r="B95" t="s">
        <v>3140</v>
      </c>
      <c r="C95" t="s">
        <v>2187</v>
      </c>
      <c r="D95" t="s">
        <v>3254</v>
      </c>
      <c r="F95" t="s">
        <v>105</v>
      </c>
      <c r="G95" s="126">
        <f>SUMIFS('Support - Transition'!F:F,'Support - Transition'!B:B,'Step 2'!A95,'Support - Transition'!C:C,'Step 2'!B95,'Support - Transition'!D:D,'Step 2'!C95,'Support - Transition'!E:E,"CIVIL")</f>
        <v>0</v>
      </c>
      <c r="H95" s="126">
        <f>SUMIFS('Support - Transition'!F:F,'Support - Transition'!B:B,'Step 2'!A95,'Support - Transition'!C:C,'Step 2'!B95,'Support - Transition'!D:D,'Step 2'!C95,'Support - Transition'!E:E,"FIRE")</f>
        <v>0</v>
      </c>
      <c r="I95" s="126">
        <f>IF(B95="0",SUMIFS('Support - Transition'!F:F,'Support - Transition'!J:J,'Step 2'!D95,'Support - Transition'!E:E,"STATE UNIT"),SUMIFS('Support - Transition'!F:F,'Support - Transition'!J:J,'Step 2'!D95))</f>
        <v>0.213697</v>
      </c>
      <c r="J95" s="126">
        <f>SUMIFS('Support - Unit Adjustments'!E:E,'Support - Unit Adjustments'!F:F,'Step 2'!D95)</f>
        <v>0</v>
      </c>
      <c r="K95" s="126">
        <f t="shared" si="21"/>
        <v>0.213697</v>
      </c>
      <c r="L95" s="174">
        <f>VLOOKUP(A95,'Step 1'!$A:$E,4,FALSE)</f>
        <v>191532</v>
      </c>
      <c r="M95" s="47">
        <f t="shared" si="22"/>
        <v>40930</v>
      </c>
      <c r="N95" s="177">
        <f>SUMIFS('Support - Transition'!G:G,'Support - Transition'!J:J,'Step 2'!D95,'Support - Transition'!E:E,"2009 WELFARE ALLOCATION FACTOR")</f>
        <v>0.15290699999999999</v>
      </c>
      <c r="O95" s="152">
        <f t="shared" si="28"/>
        <v>6258</v>
      </c>
      <c r="P95" s="126">
        <f>IF(E95="Y",0,SUMIFS('Support - Transition'!G:G,'Support - Transition'!J:J,'Step 2'!D95,'Support - Transition'!E:E,"2009 SCHOOL ALLOCATION FACTOR"))</f>
        <v>0</v>
      </c>
      <c r="Q95" s="126">
        <f>IF(E95="Y",VLOOKUP(D95,'Support - Unit Adjustments'!F:G,2,FALSE),0)</f>
        <v>0</v>
      </c>
      <c r="R95" s="155">
        <f t="shared" si="23"/>
        <v>0</v>
      </c>
      <c r="S95" s="47">
        <f t="shared" si="29"/>
        <v>0</v>
      </c>
      <c r="T95" s="151">
        <f t="shared" si="24"/>
        <v>34672</v>
      </c>
      <c r="U95" s="151">
        <f t="shared" si="25"/>
        <v>0</v>
      </c>
      <c r="V95" s="139">
        <f t="shared" si="26"/>
        <v>0</v>
      </c>
      <c r="W95" s="152">
        <f t="shared" si="30"/>
        <v>34672</v>
      </c>
      <c r="X95" s="127" t="str">
        <f t="shared" si="27"/>
        <v/>
      </c>
      <c r="Y95" s="207">
        <f t="shared" si="31"/>
        <v>34672</v>
      </c>
      <c r="Z95" s="139">
        <f t="shared" si="32"/>
        <v>34672</v>
      </c>
      <c r="AA95" s="139">
        <f t="shared" si="33"/>
        <v>0</v>
      </c>
      <c r="AC95" s="47">
        <f t="shared" si="34"/>
        <v>17336</v>
      </c>
      <c r="AD95" s="47">
        <f t="shared" si="35"/>
        <v>17336</v>
      </c>
      <c r="AE95" s="47">
        <f t="shared" si="36"/>
        <v>0</v>
      </c>
      <c r="AG95" s="47">
        <f t="shared" si="37"/>
        <v>17336</v>
      </c>
      <c r="AH95" s="47">
        <f t="shared" si="38"/>
        <v>17336</v>
      </c>
      <c r="AI95" s="208">
        <f t="shared" si="39"/>
        <v>0</v>
      </c>
    </row>
    <row r="96" spans="1:35">
      <c r="A96" t="s">
        <v>2091</v>
      </c>
      <c r="B96" t="s">
        <v>3142</v>
      </c>
      <c r="C96" t="s">
        <v>2188</v>
      </c>
      <c r="D96" t="s">
        <v>3255</v>
      </c>
      <c r="F96" t="s">
        <v>106</v>
      </c>
      <c r="G96" s="126">
        <f>SUMIFS('Support - Transition'!F:F,'Support - Transition'!B:B,'Step 2'!A96,'Support - Transition'!C:C,'Step 2'!B96,'Support - Transition'!D:D,'Step 2'!C96,'Support - Transition'!E:E,"CIVIL")</f>
        <v>2.598E-3</v>
      </c>
      <c r="H96" s="126">
        <f>SUMIFS('Support - Transition'!F:F,'Support - Transition'!B:B,'Step 2'!A96,'Support - Transition'!C:C,'Step 2'!B96,'Support - Transition'!D:D,'Step 2'!C96,'Support - Transition'!E:E,"FIRE")</f>
        <v>9.7099999999999997E-4</v>
      </c>
      <c r="I96" s="126">
        <f>IF(B96="0",SUMIFS('Support - Transition'!F:F,'Support - Transition'!J:J,'Step 2'!D96,'Support - Transition'!E:E,"STATE UNIT"),SUMIFS('Support - Transition'!F:F,'Support - Transition'!J:J,'Step 2'!D96))</f>
        <v>3.5690000000000001E-3</v>
      </c>
      <c r="J96" s="126">
        <f>SUMIFS('Support - Unit Adjustments'!E:E,'Support - Unit Adjustments'!F:F,'Step 2'!D96)</f>
        <v>0</v>
      </c>
      <c r="K96" s="126">
        <f t="shared" si="21"/>
        <v>3.5690000000000001E-3</v>
      </c>
      <c r="L96" s="174">
        <f>VLOOKUP(A96,'Step 1'!$A:$E,4,FALSE)</f>
        <v>191532</v>
      </c>
      <c r="M96" s="47">
        <f t="shared" si="22"/>
        <v>684</v>
      </c>
      <c r="N96" s="177">
        <f>SUMIFS('Support - Transition'!G:G,'Support - Transition'!J:J,'Step 2'!D96,'Support - Transition'!E:E,"2009 WELFARE ALLOCATION FACTOR")</f>
        <v>0</v>
      </c>
      <c r="O96" s="152">
        <f t="shared" si="28"/>
        <v>0</v>
      </c>
      <c r="P96" s="126">
        <f>IF(E96="Y",0,SUMIFS('Support - Transition'!G:G,'Support - Transition'!J:J,'Step 2'!D96,'Support - Transition'!E:E,"2009 SCHOOL ALLOCATION FACTOR"))</f>
        <v>0</v>
      </c>
      <c r="Q96" s="126">
        <f>IF(E96="Y",VLOOKUP(D96,'Support - Unit Adjustments'!F:G,2,FALSE),0)</f>
        <v>0</v>
      </c>
      <c r="R96" s="155">
        <f t="shared" si="23"/>
        <v>0</v>
      </c>
      <c r="S96" s="47">
        <f t="shared" si="29"/>
        <v>0</v>
      </c>
      <c r="T96" s="151">
        <f t="shared" si="24"/>
        <v>684</v>
      </c>
      <c r="U96" s="151">
        <f t="shared" si="25"/>
        <v>0</v>
      </c>
      <c r="V96" s="139">
        <f t="shared" si="26"/>
        <v>0</v>
      </c>
      <c r="W96" s="152">
        <f t="shared" si="30"/>
        <v>684</v>
      </c>
      <c r="X96" s="127" t="str">
        <f t="shared" si="27"/>
        <v/>
      </c>
      <c r="Y96" s="207">
        <f t="shared" si="31"/>
        <v>684</v>
      </c>
      <c r="Z96" s="139">
        <f t="shared" si="32"/>
        <v>498</v>
      </c>
      <c r="AA96" s="139">
        <f t="shared" si="33"/>
        <v>186</v>
      </c>
      <c r="AC96" s="47">
        <f t="shared" si="34"/>
        <v>342</v>
      </c>
      <c r="AD96" s="47">
        <f t="shared" si="35"/>
        <v>249</v>
      </c>
      <c r="AE96" s="47">
        <f t="shared" si="36"/>
        <v>93</v>
      </c>
      <c r="AG96" s="47">
        <f t="shared" si="37"/>
        <v>342</v>
      </c>
      <c r="AH96" s="47">
        <f t="shared" si="38"/>
        <v>249</v>
      </c>
      <c r="AI96" s="208">
        <f t="shared" si="39"/>
        <v>93</v>
      </c>
    </row>
    <row r="97" spans="1:35">
      <c r="A97" t="s">
        <v>2091</v>
      </c>
      <c r="B97" t="s">
        <v>3142</v>
      </c>
      <c r="C97" t="s">
        <v>2189</v>
      </c>
      <c r="D97" t="s">
        <v>3256</v>
      </c>
      <c r="F97" t="s">
        <v>107</v>
      </c>
      <c r="G97" s="126">
        <f>SUMIFS('Support - Transition'!F:F,'Support - Transition'!B:B,'Step 2'!A97,'Support - Transition'!C:C,'Step 2'!B97,'Support - Transition'!D:D,'Step 2'!C97,'Support - Transition'!E:E,"CIVIL")</f>
        <v>4.535E-3</v>
      </c>
      <c r="H97" s="126">
        <f>SUMIFS('Support - Transition'!F:F,'Support - Transition'!B:B,'Step 2'!A97,'Support - Transition'!C:C,'Step 2'!B97,'Support - Transition'!D:D,'Step 2'!C97,'Support - Transition'!E:E,"FIRE")</f>
        <v>2.0600000000000002E-3</v>
      </c>
      <c r="I97" s="126">
        <f>IF(B97="0",SUMIFS('Support - Transition'!F:F,'Support - Transition'!J:J,'Step 2'!D97,'Support - Transition'!E:E,"STATE UNIT"),SUMIFS('Support - Transition'!F:F,'Support - Transition'!J:J,'Step 2'!D97))</f>
        <v>6.5950000000000002E-3</v>
      </c>
      <c r="J97" s="126">
        <f>SUMIFS('Support - Unit Adjustments'!E:E,'Support - Unit Adjustments'!F:F,'Step 2'!D97)</f>
        <v>0</v>
      </c>
      <c r="K97" s="126">
        <f t="shared" si="21"/>
        <v>6.5950000000000002E-3</v>
      </c>
      <c r="L97" s="174">
        <f>VLOOKUP(A97,'Step 1'!$A:$E,4,FALSE)</f>
        <v>191532</v>
      </c>
      <c r="M97" s="47">
        <f t="shared" si="22"/>
        <v>1263</v>
      </c>
      <c r="N97" s="177">
        <f>SUMIFS('Support - Transition'!G:G,'Support - Transition'!J:J,'Step 2'!D97,'Support - Transition'!E:E,"2009 WELFARE ALLOCATION FACTOR")</f>
        <v>0</v>
      </c>
      <c r="O97" s="152">
        <f t="shared" si="28"/>
        <v>0</v>
      </c>
      <c r="P97" s="126">
        <f>IF(E97="Y",0,SUMIFS('Support - Transition'!G:G,'Support - Transition'!J:J,'Step 2'!D97,'Support - Transition'!E:E,"2009 SCHOOL ALLOCATION FACTOR"))</f>
        <v>0</v>
      </c>
      <c r="Q97" s="126">
        <f>IF(E97="Y",VLOOKUP(D97,'Support - Unit Adjustments'!F:G,2,FALSE),0)</f>
        <v>0</v>
      </c>
      <c r="R97" s="155">
        <f t="shared" si="23"/>
        <v>0</v>
      </c>
      <c r="S97" s="47">
        <f t="shared" si="29"/>
        <v>0</v>
      </c>
      <c r="T97" s="151">
        <f t="shared" si="24"/>
        <v>1263</v>
      </c>
      <c r="U97" s="151">
        <f t="shared" si="25"/>
        <v>0</v>
      </c>
      <c r="V97" s="139">
        <f t="shared" si="26"/>
        <v>0</v>
      </c>
      <c r="W97" s="152">
        <f t="shared" si="30"/>
        <v>1263</v>
      </c>
      <c r="X97" s="127" t="str">
        <f t="shared" si="27"/>
        <v/>
      </c>
      <c r="Y97" s="207">
        <f t="shared" si="31"/>
        <v>1263</v>
      </c>
      <c r="Z97" s="139">
        <f t="shared" si="32"/>
        <v>868</v>
      </c>
      <c r="AA97" s="139">
        <f t="shared" si="33"/>
        <v>395</v>
      </c>
      <c r="AC97" s="47">
        <f t="shared" si="34"/>
        <v>632</v>
      </c>
      <c r="AD97" s="47">
        <f t="shared" si="35"/>
        <v>434</v>
      </c>
      <c r="AE97" s="47">
        <f t="shared" si="36"/>
        <v>198</v>
      </c>
      <c r="AG97" s="47">
        <f t="shared" si="37"/>
        <v>631</v>
      </c>
      <c r="AH97" s="47">
        <f t="shared" si="38"/>
        <v>434</v>
      </c>
      <c r="AI97" s="208">
        <f t="shared" si="39"/>
        <v>197</v>
      </c>
    </row>
    <row r="98" spans="1:35">
      <c r="A98" t="s">
        <v>2091</v>
      </c>
      <c r="B98" t="s">
        <v>3142</v>
      </c>
      <c r="C98" t="s">
        <v>2190</v>
      </c>
      <c r="D98" t="s">
        <v>3257</v>
      </c>
      <c r="F98" t="s">
        <v>108</v>
      </c>
      <c r="G98" s="126">
        <f>SUMIFS('Support - Transition'!F:F,'Support - Transition'!B:B,'Step 2'!A98,'Support - Transition'!C:C,'Step 2'!B98,'Support - Transition'!D:D,'Step 2'!C98,'Support - Transition'!E:E,"CIVIL")</f>
        <v>5.1400000000000003E-4</v>
      </c>
      <c r="H98" s="126">
        <f>SUMIFS('Support - Transition'!F:F,'Support - Transition'!B:B,'Step 2'!A98,'Support - Transition'!C:C,'Step 2'!B98,'Support - Transition'!D:D,'Step 2'!C98,'Support - Transition'!E:E,"FIRE")</f>
        <v>3.3799999999999998E-4</v>
      </c>
      <c r="I98" s="126">
        <f>IF(B98="0",SUMIFS('Support - Transition'!F:F,'Support - Transition'!J:J,'Step 2'!D98,'Support - Transition'!E:E,"STATE UNIT"),SUMIFS('Support - Transition'!F:F,'Support - Transition'!J:J,'Step 2'!D98))</f>
        <v>8.52E-4</v>
      </c>
      <c r="J98" s="126">
        <f>SUMIFS('Support - Unit Adjustments'!E:E,'Support - Unit Adjustments'!F:F,'Step 2'!D98)</f>
        <v>0</v>
      </c>
      <c r="K98" s="126">
        <f t="shared" si="21"/>
        <v>8.52E-4</v>
      </c>
      <c r="L98" s="174">
        <f>VLOOKUP(A98,'Step 1'!$A:$E,4,FALSE)</f>
        <v>191532</v>
      </c>
      <c r="M98" s="47">
        <f t="shared" si="22"/>
        <v>163</v>
      </c>
      <c r="N98" s="177">
        <f>SUMIFS('Support - Transition'!G:G,'Support - Transition'!J:J,'Step 2'!D98,'Support - Transition'!E:E,"2009 WELFARE ALLOCATION FACTOR")</f>
        <v>0</v>
      </c>
      <c r="O98" s="152">
        <f t="shared" si="28"/>
        <v>0</v>
      </c>
      <c r="P98" s="126">
        <f>IF(E98="Y",0,SUMIFS('Support - Transition'!G:G,'Support - Transition'!J:J,'Step 2'!D98,'Support - Transition'!E:E,"2009 SCHOOL ALLOCATION FACTOR"))</f>
        <v>0</v>
      </c>
      <c r="Q98" s="126">
        <f>IF(E98="Y",VLOOKUP(D98,'Support - Unit Adjustments'!F:G,2,FALSE),0)</f>
        <v>0</v>
      </c>
      <c r="R98" s="155">
        <f t="shared" si="23"/>
        <v>0</v>
      </c>
      <c r="S98" s="47">
        <f t="shared" si="29"/>
        <v>0</v>
      </c>
      <c r="T98" s="151">
        <f t="shared" si="24"/>
        <v>163</v>
      </c>
      <c r="U98" s="151">
        <f t="shared" si="25"/>
        <v>0</v>
      </c>
      <c r="V98" s="139">
        <f t="shared" si="26"/>
        <v>0</v>
      </c>
      <c r="W98" s="152">
        <f t="shared" si="30"/>
        <v>163</v>
      </c>
      <c r="X98" s="127" t="str">
        <f t="shared" si="27"/>
        <v/>
      </c>
      <c r="Y98" s="207">
        <f t="shared" si="31"/>
        <v>163</v>
      </c>
      <c r="Z98" s="139">
        <f t="shared" si="32"/>
        <v>98</v>
      </c>
      <c r="AA98" s="139">
        <f t="shared" si="33"/>
        <v>65</v>
      </c>
      <c r="AC98" s="47">
        <f t="shared" si="34"/>
        <v>82</v>
      </c>
      <c r="AD98" s="47">
        <f t="shared" si="35"/>
        <v>49</v>
      </c>
      <c r="AE98" s="47">
        <f t="shared" si="36"/>
        <v>33</v>
      </c>
      <c r="AG98" s="47">
        <f t="shared" si="37"/>
        <v>81</v>
      </c>
      <c r="AH98" s="47">
        <f t="shared" si="38"/>
        <v>49</v>
      </c>
      <c r="AI98" s="208">
        <f t="shared" si="39"/>
        <v>32</v>
      </c>
    </row>
    <row r="99" spans="1:35">
      <c r="A99" t="s">
        <v>2091</v>
      </c>
      <c r="B99" t="s">
        <v>3142</v>
      </c>
      <c r="C99" t="s">
        <v>2191</v>
      </c>
      <c r="D99" t="s">
        <v>3258</v>
      </c>
      <c r="F99" t="s">
        <v>109</v>
      </c>
      <c r="G99" s="126">
        <f>SUMIFS('Support - Transition'!F:F,'Support - Transition'!B:B,'Step 2'!A99,'Support - Transition'!C:C,'Step 2'!B99,'Support - Transition'!D:D,'Step 2'!C99,'Support - Transition'!E:E,"CIVIL")</f>
        <v>2.7550000000000001E-3</v>
      </c>
      <c r="H99" s="126">
        <f>SUMIFS('Support - Transition'!F:F,'Support - Transition'!B:B,'Step 2'!A99,'Support - Transition'!C:C,'Step 2'!B99,'Support - Transition'!D:D,'Step 2'!C99,'Support - Transition'!E:E,"FIRE")</f>
        <v>3.57E-4</v>
      </c>
      <c r="I99" s="126">
        <f>IF(B99="0",SUMIFS('Support - Transition'!F:F,'Support - Transition'!J:J,'Step 2'!D99,'Support - Transition'!E:E,"STATE UNIT"),SUMIFS('Support - Transition'!F:F,'Support - Transition'!J:J,'Step 2'!D99))</f>
        <v>3.1120000000000002E-3</v>
      </c>
      <c r="J99" s="126">
        <f>SUMIFS('Support - Unit Adjustments'!E:E,'Support - Unit Adjustments'!F:F,'Step 2'!D99)</f>
        <v>0</v>
      </c>
      <c r="K99" s="126">
        <f t="shared" si="21"/>
        <v>3.1120000000000002E-3</v>
      </c>
      <c r="L99" s="174">
        <f>VLOOKUP(A99,'Step 1'!$A:$E,4,FALSE)</f>
        <v>191532</v>
      </c>
      <c r="M99" s="47">
        <f t="shared" si="22"/>
        <v>596</v>
      </c>
      <c r="N99" s="177">
        <f>SUMIFS('Support - Transition'!G:G,'Support - Transition'!J:J,'Step 2'!D99,'Support - Transition'!E:E,"2009 WELFARE ALLOCATION FACTOR")</f>
        <v>0</v>
      </c>
      <c r="O99" s="152">
        <f t="shared" si="28"/>
        <v>0</v>
      </c>
      <c r="P99" s="126">
        <f>IF(E99="Y",0,SUMIFS('Support - Transition'!G:G,'Support - Transition'!J:J,'Step 2'!D99,'Support - Transition'!E:E,"2009 SCHOOL ALLOCATION FACTOR"))</f>
        <v>0</v>
      </c>
      <c r="Q99" s="126">
        <f>IF(E99="Y",VLOOKUP(D99,'Support - Unit Adjustments'!F:G,2,FALSE),0)</f>
        <v>0</v>
      </c>
      <c r="R99" s="155">
        <f t="shared" si="23"/>
        <v>0</v>
      </c>
      <c r="S99" s="47">
        <f t="shared" si="29"/>
        <v>0</v>
      </c>
      <c r="T99" s="151">
        <f t="shared" si="24"/>
        <v>596</v>
      </c>
      <c r="U99" s="151">
        <f t="shared" si="25"/>
        <v>0</v>
      </c>
      <c r="V99" s="139">
        <f t="shared" si="26"/>
        <v>0</v>
      </c>
      <c r="W99" s="152">
        <f t="shared" si="30"/>
        <v>596</v>
      </c>
      <c r="X99" s="127" t="str">
        <f t="shared" si="27"/>
        <v/>
      </c>
      <c r="Y99" s="207">
        <f t="shared" si="31"/>
        <v>596</v>
      </c>
      <c r="Z99" s="139">
        <f t="shared" si="32"/>
        <v>528</v>
      </c>
      <c r="AA99" s="139">
        <f t="shared" si="33"/>
        <v>68</v>
      </c>
      <c r="AC99" s="47">
        <f t="shared" si="34"/>
        <v>298</v>
      </c>
      <c r="AD99" s="47">
        <f t="shared" si="35"/>
        <v>264</v>
      </c>
      <c r="AE99" s="47">
        <f t="shared" si="36"/>
        <v>34</v>
      </c>
      <c r="AG99" s="47">
        <f t="shared" si="37"/>
        <v>298</v>
      </c>
      <c r="AH99" s="47">
        <f t="shared" si="38"/>
        <v>264</v>
      </c>
      <c r="AI99" s="208">
        <f t="shared" si="39"/>
        <v>34</v>
      </c>
    </row>
    <row r="100" spans="1:35">
      <c r="A100" t="s">
        <v>2091</v>
      </c>
      <c r="B100" t="s">
        <v>3142</v>
      </c>
      <c r="C100" t="s">
        <v>2192</v>
      </c>
      <c r="D100" t="s">
        <v>3259</v>
      </c>
      <c r="F100" t="s">
        <v>110</v>
      </c>
      <c r="G100" s="126">
        <f>SUMIFS('Support - Transition'!F:F,'Support - Transition'!B:B,'Step 2'!A100,'Support - Transition'!C:C,'Step 2'!B100,'Support - Transition'!D:D,'Step 2'!C100,'Support - Transition'!E:E,"CIVIL")</f>
        <v>4.6959999999999997E-3</v>
      </c>
      <c r="H100" s="126">
        <f>SUMIFS('Support - Transition'!F:F,'Support - Transition'!B:B,'Step 2'!A100,'Support - Transition'!C:C,'Step 2'!B100,'Support - Transition'!D:D,'Step 2'!C100,'Support - Transition'!E:E,"FIRE")</f>
        <v>3.9020000000000001E-3</v>
      </c>
      <c r="I100" s="126">
        <f>IF(B100="0",SUMIFS('Support - Transition'!F:F,'Support - Transition'!J:J,'Step 2'!D100,'Support - Transition'!E:E,"STATE UNIT"),SUMIFS('Support - Transition'!F:F,'Support - Transition'!J:J,'Step 2'!D100))</f>
        <v>8.5979999999999997E-3</v>
      </c>
      <c r="J100" s="126">
        <f>SUMIFS('Support - Unit Adjustments'!E:E,'Support - Unit Adjustments'!F:F,'Step 2'!D100)</f>
        <v>0</v>
      </c>
      <c r="K100" s="126">
        <f t="shared" si="21"/>
        <v>8.5979999999999997E-3</v>
      </c>
      <c r="L100" s="174">
        <f>VLOOKUP(A100,'Step 1'!$A:$E,4,FALSE)</f>
        <v>191532</v>
      </c>
      <c r="M100" s="47">
        <f t="shared" si="22"/>
        <v>1647</v>
      </c>
      <c r="N100" s="177">
        <f>SUMIFS('Support - Transition'!G:G,'Support - Transition'!J:J,'Step 2'!D100,'Support - Transition'!E:E,"2009 WELFARE ALLOCATION FACTOR")</f>
        <v>0</v>
      </c>
      <c r="O100" s="152">
        <f t="shared" si="28"/>
        <v>0</v>
      </c>
      <c r="P100" s="126">
        <f>IF(E100="Y",0,SUMIFS('Support - Transition'!G:G,'Support - Transition'!J:J,'Step 2'!D100,'Support - Transition'!E:E,"2009 SCHOOL ALLOCATION FACTOR"))</f>
        <v>0</v>
      </c>
      <c r="Q100" s="126">
        <f>IF(E100="Y",VLOOKUP(D100,'Support - Unit Adjustments'!F:G,2,FALSE),0)</f>
        <v>0</v>
      </c>
      <c r="R100" s="155">
        <f t="shared" si="23"/>
        <v>0</v>
      </c>
      <c r="S100" s="47">
        <f t="shared" si="29"/>
        <v>0</v>
      </c>
      <c r="T100" s="151">
        <f t="shared" si="24"/>
        <v>1647</v>
      </c>
      <c r="U100" s="151">
        <f t="shared" si="25"/>
        <v>0</v>
      </c>
      <c r="V100" s="139">
        <f t="shared" si="26"/>
        <v>0</v>
      </c>
      <c r="W100" s="152">
        <f t="shared" si="30"/>
        <v>1647</v>
      </c>
      <c r="X100" s="127" t="str">
        <f t="shared" si="27"/>
        <v/>
      </c>
      <c r="Y100" s="207">
        <f t="shared" si="31"/>
        <v>1647</v>
      </c>
      <c r="Z100" s="139">
        <f t="shared" si="32"/>
        <v>900</v>
      </c>
      <c r="AA100" s="139">
        <f t="shared" si="33"/>
        <v>747</v>
      </c>
      <c r="AC100" s="47">
        <f t="shared" si="34"/>
        <v>824</v>
      </c>
      <c r="AD100" s="47">
        <f t="shared" si="35"/>
        <v>450</v>
      </c>
      <c r="AE100" s="47">
        <f t="shared" si="36"/>
        <v>374</v>
      </c>
      <c r="AG100" s="47">
        <f t="shared" si="37"/>
        <v>823</v>
      </c>
      <c r="AH100" s="47">
        <f t="shared" si="38"/>
        <v>450</v>
      </c>
      <c r="AI100" s="208">
        <f t="shared" si="39"/>
        <v>373</v>
      </c>
    </row>
    <row r="101" spans="1:35">
      <c r="A101" t="s">
        <v>2091</v>
      </c>
      <c r="B101" t="s">
        <v>3142</v>
      </c>
      <c r="C101" t="s">
        <v>2193</v>
      </c>
      <c r="D101" t="s">
        <v>3260</v>
      </c>
      <c r="F101" t="s">
        <v>111</v>
      </c>
      <c r="G101" s="126">
        <f>SUMIFS('Support - Transition'!F:F,'Support - Transition'!B:B,'Step 2'!A101,'Support - Transition'!C:C,'Step 2'!B101,'Support - Transition'!D:D,'Step 2'!C101,'Support - Transition'!E:E,"CIVIL")</f>
        <v>1.194E-3</v>
      </c>
      <c r="H101" s="126">
        <f>SUMIFS('Support - Transition'!F:F,'Support - Transition'!B:B,'Step 2'!A101,'Support - Transition'!C:C,'Step 2'!B101,'Support - Transition'!D:D,'Step 2'!C101,'Support - Transition'!E:E,"FIRE")</f>
        <v>5.6099999999999998E-4</v>
      </c>
      <c r="I101" s="126">
        <f>IF(B101="0",SUMIFS('Support - Transition'!F:F,'Support - Transition'!J:J,'Step 2'!D101,'Support - Transition'!E:E,"STATE UNIT"),SUMIFS('Support - Transition'!F:F,'Support - Transition'!J:J,'Step 2'!D101))</f>
        <v>1.755E-3</v>
      </c>
      <c r="J101" s="126">
        <f>SUMIFS('Support - Unit Adjustments'!E:E,'Support - Unit Adjustments'!F:F,'Step 2'!D101)</f>
        <v>0</v>
      </c>
      <c r="K101" s="126">
        <f t="shared" si="21"/>
        <v>1.755E-3</v>
      </c>
      <c r="L101" s="174">
        <f>VLOOKUP(A101,'Step 1'!$A:$E,4,FALSE)</f>
        <v>191532</v>
      </c>
      <c r="M101" s="47">
        <f t="shared" si="22"/>
        <v>336</v>
      </c>
      <c r="N101" s="177">
        <f>SUMIFS('Support - Transition'!G:G,'Support - Transition'!J:J,'Step 2'!D101,'Support - Transition'!E:E,"2009 WELFARE ALLOCATION FACTOR")</f>
        <v>0</v>
      </c>
      <c r="O101" s="152">
        <f t="shared" si="28"/>
        <v>0</v>
      </c>
      <c r="P101" s="126">
        <f>IF(E101="Y",0,SUMIFS('Support - Transition'!G:G,'Support - Transition'!J:J,'Step 2'!D101,'Support - Transition'!E:E,"2009 SCHOOL ALLOCATION FACTOR"))</f>
        <v>0</v>
      </c>
      <c r="Q101" s="126">
        <f>IF(E101="Y",VLOOKUP(D101,'Support - Unit Adjustments'!F:G,2,FALSE),0)</f>
        <v>0</v>
      </c>
      <c r="R101" s="155">
        <f t="shared" si="23"/>
        <v>0</v>
      </c>
      <c r="S101" s="47">
        <f t="shared" si="29"/>
        <v>0</v>
      </c>
      <c r="T101" s="151">
        <f t="shared" si="24"/>
        <v>336</v>
      </c>
      <c r="U101" s="151">
        <f t="shared" si="25"/>
        <v>0</v>
      </c>
      <c r="V101" s="139">
        <f t="shared" si="26"/>
        <v>0</v>
      </c>
      <c r="W101" s="152">
        <f t="shared" si="30"/>
        <v>336</v>
      </c>
      <c r="X101" s="127" t="str">
        <f t="shared" si="27"/>
        <v/>
      </c>
      <c r="Y101" s="207">
        <f t="shared" si="31"/>
        <v>336</v>
      </c>
      <c r="Z101" s="139">
        <f t="shared" si="32"/>
        <v>229</v>
      </c>
      <c r="AA101" s="139">
        <f t="shared" si="33"/>
        <v>107</v>
      </c>
      <c r="AC101" s="47">
        <f t="shared" si="34"/>
        <v>168</v>
      </c>
      <c r="AD101" s="47">
        <f t="shared" si="35"/>
        <v>115</v>
      </c>
      <c r="AE101" s="47">
        <f t="shared" si="36"/>
        <v>54</v>
      </c>
      <c r="AG101" s="47">
        <f t="shared" si="37"/>
        <v>168</v>
      </c>
      <c r="AH101" s="47">
        <f t="shared" si="38"/>
        <v>114</v>
      </c>
      <c r="AI101" s="208">
        <f t="shared" si="39"/>
        <v>53</v>
      </c>
    </row>
    <row r="102" spans="1:35">
      <c r="A102" t="s">
        <v>2091</v>
      </c>
      <c r="B102" t="s">
        <v>3142</v>
      </c>
      <c r="C102" t="s">
        <v>2194</v>
      </c>
      <c r="D102" t="s">
        <v>3261</v>
      </c>
      <c r="F102" t="s">
        <v>112</v>
      </c>
      <c r="G102" s="126">
        <f>SUMIFS('Support - Transition'!F:F,'Support - Transition'!B:B,'Step 2'!A102,'Support - Transition'!C:C,'Step 2'!B102,'Support - Transition'!D:D,'Step 2'!C102,'Support - Transition'!E:E,"CIVIL")</f>
        <v>2.8600000000000001E-4</v>
      </c>
      <c r="H102" s="126">
        <f>SUMIFS('Support - Transition'!F:F,'Support - Transition'!B:B,'Step 2'!A102,'Support - Transition'!C:C,'Step 2'!B102,'Support - Transition'!D:D,'Step 2'!C102,'Support - Transition'!E:E,"FIRE")</f>
        <v>9.5000000000000005E-5</v>
      </c>
      <c r="I102" s="126">
        <f>IF(B102="0",SUMIFS('Support - Transition'!F:F,'Support - Transition'!J:J,'Step 2'!D102,'Support - Transition'!E:E,"STATE UNIT"),SUMIFS('Support - Transition'!F:F,'Support - Transition'!J:J,'Step 2'!D102))</f>
        <v>3.8100000000000005E-4</v>
      </c>
      <c r="J102" s="126">
        <f>SUMIFS('Support - Unit Adjustments'!E:E,'Support - Unit Adjustments'!F:F,'Step 2'!D102)</f>
        <v>0</v>
      </c>
      <c r="K102" s="126">
        <f t="shared" si="21"/>
        <v>3.8100000000000005E-4</v>
      </c>
      <c r="L102" s="174">
        <f>VLOOKUP(A102,'Step 1'!$A:$E,4,FALSE)</f>
        <v>191532</v>
      </c>
      <c r="M102" s="47">
        <f t="shared" si="22"/>
        <v>73</v>
      </c>
      <c r="N102" s="177">
        <f>SUMIFS('Support - Transition'!G:G,'Support - Transition'!J:J,'Step 2'!D102,'Support - Transition'!E:E,"2009 WELFARE ALLOCATION FACTOR")</f>
        <v>0</v>
      </c>
      <c r="O102" s="152">
        <f t="shared" si="28"/>
        <v>0</v>
      </c>
      <c r="P102" s="126">
        <f>IF(E102="Y",0,SUMIFS('Support - Transition'!G:G,'Support - Transition'!J:J,'Step 2'!D102,'Support - Transition'!E:E,"2009 SCHOOL ALLOCATION FACTOR"))</f>
        <v>0</v>
      </c>
      <c r="Q102" s="126">
        <f>IF(E102="Y",VLOOKUP(D102,'Support - Unit Adjustments'!F:G,2,FALSE),0)</f>
        <v>0</v>
      </c>
      <c r="R102" s="155">
        <f t="shared" si="23"/>
        <v>0</v>
      </c>
      <c r="S102" s="47">
        <f t="shared" si="29"/>
        <v>0</v>
      </c>
      <c r="T102" s="151">
        <f t="shared" si="24"/>
        <v>73</v>
      </c>
      <c r="U102" s="151">
        <f t="shared" si="25"/>
        <v>0</v>
      </c>
      <c r="V102" s="139">
        <f t="shared" si="26"/>
        <v>0</v>
      </c>
      <c r="W102" s="152">
        <f t="shared" si="30"/>
        <v>73</v>
      </c>
      <c r="X102" s="127" t="str">
        <f t="shared" si="27"/>
        <v/>
      </c>
      <c r="Y102" s="207">
        <f t="shared" si="31"/>
        <v>73</v>
      </c>
      <c r="Z102" s="139">
        <f t="shared" si="32"/>
        <v>55</v>
      </c>
      <c r="AA102" s="139">
        <f t="shared" si="33"/>
        <v>18</v>
      </c>
      <c r="AC102" s="47">
        <f t="shared" si="34"/>
        <v>37</v>
      </c>
      <c r="AD102" s="47">
        <f t="shared" si="35"/>
        <v>28</v>
      </c>
      <c r="AE102" s="47">
        <f t="shared" si="36"/>
        <v>9</v>
      </c>
      <c r="AG102" s="47">
        <f t="shared" si="37"/>
        <v>36</v>
      </c>
      <c r="AH102" s="47">
        <f t="shared" si="38"/>
        <v>27</v>
      </c>
      <c r="AI102" s="208">
        <f t="shared" si="39"/>
        <v>9</v>
      </c>
    </row>
    <row r="103" spans="1:35">
      <c r="A103" t="s">
        <v>2091</v>
      </c>
      <c r="B103" t="s">
        <v>3142</v>
      </c>
      <c r="C103" t="s">
        <v>2195</v>
      </c>
      <c r="D103" t="s">
        <v>3262</v>
      </c>
      <c r="F103" t="s">
        <v>113</v>
      </c>
      <c r="G103" s="126">
        <f>SUMIFS('Support - Transition'!F:F,'Support - Transition'!B:B,'Step 2'!A103,'Support - Transition'!C:C,'Step 2'!B103,'Support - Transition'!D:D,'Step 2'!C103,'Support - Transition'!E:E,"CIVIL")</f>
        <v>7.7999999999999999E-4</v>
      </c>
      <c r="H103" s="126">
        <f>SUMIFS('Support - Transition'!F:F,'Support - Transition'!B:B,'Step 2'!A103,'Support - Transition'!C:C,'Step 2'!B103,'Support - Transition'!D:D,'Step 2'!C103,'Support - Transition'!E:E,"FIRE")</f>
        <v>3.5199999999999999E-4</v>
      </c>
      <c r="I103" s="126">
        <f>IF(B103="0",SUMIFS('Support - Transition'!F:F,'Support - Transition'!J:J,'Step 2'!D103,'Support - Transition'!E:E,"STATE UNIT"),SUMIFS('Support - Transition'!F:F,'Support - Transition'!J:J,'Step 2'!D103))</f>
        <v>1.132E-3</v>
      </c>
      <c r="J103" s="126">
        <f>SUMIFS('Support - Unit Adjustments'!E:E,'Support - Unit Adjustments'!F:F,'Step 2'!D103)</f>
        <v>0</v>
      </c>
      <c r="K103" s="126">
        <f t="shared" si="21"/>
        <v>1.132E-3</v>
      </c>
      <c r="L103" s="174">
        <f>VLOOKUP(A103,'Step 1'!$A:$E,4,FALSE)</f>
        <v>191532</v>
      </c>
      <c r="M103" s="47">
        <f t="shared" si="22"/>
        <v>217</v>
      </c>
      <c r="N103" s="177">
        <f>SUMIFS('Support - Transition'!G:G,'Support - Transition'!J:J,'Step 2'!D103,'Support - Transition'!E:E,"2009 WELFARE ALLOCATION FACTOR")</f>
        <v>0</v>
      </c>
      <c r="O103" s="152">
        <f t="shared" si="28"/>
        <v>0</v>
      </c>
      <c r="P103" s="126">
        <f>IF(E103="Y",0,SUMIFS('Support - Transition'!G:G,'Support - Transition'!J:J,'Step 2'!D103,'Support - Transition'!E:E,"2009 SCHOOL ALLOCATION FACTOR"))</f>
        <v>0</v>
      </c>
      <c r="Q103" s="126">
        <f>IF(E103="Y",VLOOKUP(D103,'Support - Unit Adjustments'!F:G,2,FALSE),0)</f>
        <v>0</v>
      </c>
      <c r="R103" s="155">
        <f t="shared" si="23"/>
        <v>0</v>
      </c>
      <c r="S103" s="47">
        <f t="shared" si="29"/>
        <v>0</v>
      </c>
      <c r="T103" s="151">
        <f t="shared" si="24"/>
        <v>217</v>
      </c>
      <c r="U103" s="151">
        <f t="shared" si="25"/>
        <v>0</v>
      </c>
      <c r="V103" s="139">
        <f t="shared" si="26"/>
        <v>0</v>
      </c>
      <c r="W103" s="152">
        <f t="shared" si="30"/>
        <v>217</v>
      </c>
      <c r="X103" s="127" t="str">
        <f t="shared" si="27"/>
        <v/>
      </c>
      <c r="Y103" s="207">
        <f t="shared" si="31"/>
        <v>217</v>
      </c>
      <c r="Z103" s="139">
        <f t="shared" si="32"/>
        <v>150</v>
      </c>
      <c r="AA103" s="139">
        <f t="shared" si="33"/>
        <v>67</v>
      </c>
      <c r="AC103" s="47">
        <f t="shared" si="34"/>
        <v>109</v>
      </c>
      <c r="AD103" s="47">
        <f t="shared" si="35"/>
        <v>75</v>
      </c>
      <c r="AE103" s="47">
        <f t="shared" si="36"/>
        <v>34</v>
      </c>
      <c r="AG103" s="47">
        <f t="shared" si="37"/>
        <v>108</v>
      </c>
      <c r="AH103" s="47">
        <f t="shared" si="38"/>
        <v>75</v>
      </c>
      <c r="AI103" s="208">
        <f t="shared" si="39"/>
        <v>33</v>
      </c>
    </row>
    <row r="104" spans="1:35">
      <c r="A104" t="s">
        <v>2091</v>
      </c>
      <c r="B104" t="s">
        <v>3142</v>
      </c>
      <c r="C104" t="s">
        <v>2196</v>
      </c>
      <c r="D104" t="s">
        <v>3263</v>
      </c>
      <c r="F104" t="s">
        <v>114</v>
      </c>
      <c r="G104" s="126">
        <f>SUMIFS('Support - Transition'!F:F,'Support - Transition'!B:B,'Step 2'!A104,'Support - Transition'!C:C,'Step 2'!B104,'Support - Transition'!D:D,'Step 2'!C104,'Support - Transition'!E:E,"CIVIL")</f>
        <v>6.5200000000000002E-4</v>
      </c>
      <c r="H104" s="126">
        <f>SUMIFS('Support - Transition'!F:F,'Support - Transition'!B:B,'Step 2'!A104,'Support - Transition'!C:C,'Step 2'!B104,'Support - Transition'!D:D,'Step 2'!C104,'Support - Transition'!E:E,"FIRE")</f>
        <v>1.0660000000000001E-3</v>
      </c>
      <c r="I104" s="126">
        <f>IF(B104="0",SUMIFS('Support - Transition'!F:F,'Support - Transition'!J:J,'Step 2'!D104,'Support - Transition'!E:E,"STATE UNIT"),SUMIFS('Support - Transition'!F:F,'Support - Transition'!J:J,'Step 2'!D104))</f>
        <v>1.7180000000000001E-3</v>
      </c>
      <c r="J104" s="126">
        <f>SUMIFS('Support - Unit Adjustments'!E:E,'Support - Unit Adjustments'!F:F,'Step 2'!D104)</f>
        <v>0</v>
      </c>
      <c r="K104" s="126">
        <f t="shared" si="21"/>
        <v>1.7180000000000001E-3</v>
      </c>
      <c r="L104" s="174">
        <f>VLOOKUP(A104,'Step 1'!$A:$E,4,FALSE)</f>
        <v>191532</v>
      </c>
      <c r="M104" s="47">
        <f t="shared" si="22"/>
        <v>329</v>
      </c>
      <c r="N104" s="177">
        <f>SUMIFS('Support - Transition'!G:G,'Support - Transition'!J:J,'Step 2'!D104,'Support - Transition'!E:E,"2009 WELFARE ALLOCATION FACTOR")</f>
        <v>0</v>
      </c>
      <c r="O104" s="152">
        <f t="shared" si="28"/>
        <v>0</v>
      </c>
      <c r="P104" s="126">
        <f>IF(E104="Y",0,SUMIFS('Support - Transition'!G:G,'Support - Transition'!J:J,'Step 2'!D104,'Support - Transition'!E:E,"2009 SCHOOL ALLOCATION FACTOR"))</f>
        <v>0</v>
      </c>
      <c r="Q104" s="126">
        <f>IF(E104="Y",VLOOKUP(D104,'Support - Unit Adjustments'!F:G,2,FALSE),0)</f>
        <v>0</v>
      </c>
      <c r="R104" s="155">
        <f t="shared" si="23"/>
        <v>0</v>
      </c>
      <c r="S104" s="47">
        <f t="shared" si="29"/>
        <v>0</v>
      </c>
      <c r="T104" s="151">
        <f t="shared" si="24"/>
        <v>329</v>
      </c>
      <c r="U104" s="151">
        <f t="shared" si="25"/>
        <v>0</v>
      </c>
      <c r="V104" s="139">
        <f t="shared" si="26"/>
        <v>0</v>
      </c>
      <c r="W104" s="152">
        <f t="shared" si="30"/>
        <v>329</v>
      </c>
      <c r="X104" s="127" t="str">
        <f t="shared" si="27"/>
        <v/>
      </c>
      <c r="Y104" s="207">
        <f t="shared" si="31"/>
        <v>329</v>
      </c>
      <c r="Z104" s="139">
        <f t="shared" si="32"/>
        <v>125</v>
      </c>
      <c r="AA104" s="139">
        <f t="shared" si="33"/>
        <v>204</v>
      </c>
      <c r="AC104" s="47">
        <f t="shared" si="34"/>
        <v>165</v>
      </c>
      <c r="AD104" s="47">
        <f t="shared" si="35"/>
        <v>63</v>
      </c>
      <c r="AE104" s="47">
        <f t="shared" si="36"/>
        <v>102</v>
      </c>
      <c r="AG104" s="47">
        <f t="shared" si="37"/>
        <v>164</v>
      </c>
      <c r="AH104" s="47">
        <f t="shared" si="38"/>
        <v>62</v>
      </c>
      <c r="AI104" s="208">
        <f t="shared" si="39"/>
        <v>102</v>
      </c>
    </row>
    <row r="105" spans="1:35">
      <c r="A105" t="s">
        <v>2091</v>
      </c>
      <c r="B105" t="s">
        <v>3142</v>
      </c>
      <c r="C105" t="s">
        <v>2197</v>
      </c>
      <c r="D105" t="s">
        <v>3264</v>
      </c>
      <c r="F105" t="s">
        <v>20</v>
      </c>
      <c r="G105" s="126">
        <f>SUMIFS('Support - Transition'!F:F,'Support - Transition'!B:B,'Step 2'!A105,'Support - Transition'!C:C,'Step 2'!B105,'Support - Transition'!D:D,'Step 2'!C105,'Support - Transition'!E:E,"CIVIL")</f>
        <v>3.57E-4</v>
      </c>
      <c r="H105" s="126">
        <f>SUMIFS('Support - Transition'!F:F,'Support - Transition'!B:B,'Step 2'!A105,'Support - Transition'!C:C,'Step 2'!B105,'Support - Transition'!D:D,'Step 2'!C105,'Support - Transition'!E:E,"FIRE")</f>
        <v>1.3799999999999999E-4</v>
      </c>
      <c r="I105" s="126">
        <f>IF(B105="0",SUMIFS('Support - Transition'!F:F,'Support - Transition'!J:J,'Step 2'!D105,'Support - Transition'!E:E,"STATE UNIT"),SUMIFS('Support - Transition'!F:F,'Support - Transition'!J:J,'Step 2'!D105))</f>
        <v>4.95E-4</v>
      </c>
      <c r="J105" s="126">
        <f>SUMIFS('Support - Unit Adjustments'!E:E,'Support - Unit Adjustments'!F:F,'Step 2'!D105)</f>
        <v>0</v>
      </c>
      <c r="K105" s="126">
        <f t="shared" si="21"/>
        <v>4.95E-4</v>
      </c>
      <c r="L105" s="174">
        <f>VLOOKUP(A105,'Step 1'!$A:$E,4,FALSE)</f>
        <v>191532</v>
      </c>
      <c r="M105" s="47">
        <f t="shared" si="22"/>
        <v>95</v>
      </c>
      <c r="N105" s="177">
        <f>SUMIFS('Support - Transition'!G:G,'Support - Transition'!J:J,'Step 2'!D105,'Support - Transition'!E:E,"2009 WELFARE ALLOCATION FACTOR")</f>
        <v>0</v>
      </c>
      <c r="O105" s="152">
        <f t="shared" si="28"/>
        <v>0</v>
      </c>
      <c r="P105" s="126">
        <f>IF(E105="Y",0,SUMIFS('Support - Transition'!G:G,'Support - Transition'!J:J,'Step 2'!D105,'Support - Transition'!E:E,"2009 SCHOOL ALLOCATION FACTOR"))</f>
        <v>0</v>
      </c>
      <c r="Q105" s="126">
        <f>IF(E105="Y",VLOOKUP(D105,'Support - Unit Adjustments'!F:G,2,FALSE),0)</f>
        <v>0</v>
      </c>
      <c r="R105" s="155">
        <f t="shared" si="23"/>
        <v>0</v>
      </c>
      <c r="S105" s="47">
        <f t="shared" si="29"/>
        <v>0</v>
      </c>
      <c r="T105" s="151">
        <f t="shared" si="24"/>
        <v>95</v>
      </c>
      <c r="U105" s="151">
        <f t="shared" si="25"/>
        <v>0</v>
      </c>
      <c r="V105" s="139">
        <f t="shared" si="26"/>
        <v>0</v>
      </c>
      <c r="W105" s="152">
        <f t="shared" si="30"/>
        <v>95</v>
      </c>
      <c r="X105" s="127" t="str">
        <f t="shared" si="27"/>
        <v/>
      </c>
      <c r="Y105" s="207">
        <f t="shared" si="31"/>
        <v>95</v>
      </c>
      <c r="Z105" s="139">
        <f t="shared" si="32"/>
        <v>69</v>
      </c>
      <c r="AA105" s="139">
        <f t="shared" si="33"/>
        <v>26</v>
      </c>
      <c r="AC105" s="47">
        <f t="shared" si="34"/>
        <v>48</v>
      </c>
      <c r="AD105" s="47">
        <f t="shared" si="35"/>
        <v>35</v>
      </c>
      <c r="AE105" s="47">
        <f t="shared" si="36"/>
        <v>13</v>
      </c>
      <c r="AG105" s="47">
        <f t="shared" si="37"/>
        <v>47</v>
      </c>
      <c r="AH105" s="47">
        <f t="shared" si="38"/>
        <v>34</v>
      </c>
      <c r="AI105" s="208">
        <f t="shared" si="39"/>
        <v>13</v>
      </c>
    </row>
    <row r="106" spans="1:35">
      <c r="A106" t="s">
        <v>2091</v>
      </c>
      <c r="B106" t="s">
        <v>3142</v>
      </c>
      <c r="C106" t="s">
        <v>2198</v>
      </c>
      <c r="D106" t="s">
        <v>3265</v>
      </c>
      <c r="F106" t="s">
        <v>115</v>
      </c>
      <c r="G106" s="126">
        <f>SUMIFS('Support - Transition'!F:F,'Support - Transition'!B:B,'Step 2'!A106,'Support - Transition'!C:C,'Step 2'!B106,'Support - Transition'!D:D,'Step 2'!C106,'Support - Transition'!E:E,"CIVIL")</f>
        <v>1.09E-3</v>
      </c>
      <c r="H106" s="126">
        <f>SUMIFS('Support - Transition'!F:F,'Support - Transition'!B:B,'Step 2'!A106,'Support - Transition'!C:C,'Step 2'!B106,'Support - Transition'!D:D,'Step 2'!C106,'Support - Transition'!E:E,"FIRE")</f>
        <v>3.57E-4</v>
      </c>
      <c r="I106" s="126">
        <f>IF(B106="0",SUMIFS('Support - Transition'!F:F,'Support - Transition'!J:J,'Step 2'!D106,'Support - Transition'!E:E,"STATE UNIT"),SUMIFS('Support - Transition'!F:F,'Support - Transition'!J:J,'Step 2'!D106))</f>
        <v>1.4469999999999999E-3</v>
      </c>
      <c r="J106" s="126">
        <f>SUMIFS('Support - Unit Adjustments'!E:E,'Support - Unit Adjustments'!F:F,'Step 2'!D106)</f>
        <v>0</v>
      </c>
      <c r="K106" s="126">
        <f t="shared" si="21"/>
        <v>1.4469999999999999E-3</v>
      </c>
      <c r="L106" s="174">
        <f>VLOOKUP(A106,'Step 1'!$A:$E,4,FALSE)</f>
        <v>191532</v>
      </c>
      <c r="M106" s="47">
        <f t="shared" si="22"/>
        <v>277</v>
      </c>
      <c r="N106" s="177">
        <f>SUMIFS('Support - Transition'!G:G,'Support - Transition'!J:J,'Step 2'!D106,'Support - Transition'!E:E,"2009 WELFARE ALLOCATION FACTOR")</f>
        <v>0</v>
      </c>
      <c r="O106" s="152">
        <f t="shared" si="28"/>
        <v>0</v>
      </c>
      <c r="P106" s="126">
        <f>IF(E106="Y",0,SUMIFS('Support - Transition'!G:G,'Support - Transition'!J:J,'Step 2'!D106,'Support - Transition'!E:E,"2009 SCHOOL ALLOCATION FACTOR"))</f>
        <v>0</v>
      </c>
      <c r="Q106" s="126">
        <f>IF(E106="Y",VLOOKUP(D106,'Support - Unit Adjustments'!F:G,2,FALSE),0)</f>
        <v>0</v>
      </c>
      <c r="R106" s="155">
        <f t="shared" si="23"/>
        <v>0</v>
      </c>
      <c r="S106" s="47">
        <f t="shared" si="29"/>
        <v>0</v>
      </c>
      <c r="T106" s="151">
        <f t="shared" si="24"/>
        <v>277</v>
      </c>
      <c r="U106" s="151">
        <f t="shared" si="25"/>
        <v>0</v>
      </c>
      <c r="V106" s="139">
        <f t="shared" si="26"/>
        <v>0</v>
      </c>
      <c r="W106" s="152">
        <f t="shared" si="30"/>
        <v>277</v>
      </c>
      <c r="X106" s="127" t="str">
        <f t="shared" si="27"/>
        <v/>
      </c>
      <c r="Y106" s="207">
        <f t="shared" si="31"/>
        <v>277</v>
      </c>
      <c r="Z106" s="139">
        <f t="shared" si="32"/>
        <v>209</v>
      </c>
      <c r="AA106" s="139">
        <f t="shared" si="33"/>
        <v>68</v>
      </c>
      <c r="AC106" s="47">
        <f t="shared" si="34"/>
        <v>139</v>
      </c>
      <c r="AD106" s="47">
        <f t="shared" si="35"/>
        <v>105</v>
      </c>
      <c r="AE106" s="47">
        <f t="shared" si="36"/>
        <v>34</v>
      </c>
      <c r="AG106" s="47">
        <f t="shared" si="37"/>
        <v>138</v>
      </c>
      <c r="AH106" s="47">
        <f t="shared" si="38"/>
        <v>104</v>
      </c>
      <c r="AI106" s="208">
        <f t="shared" si="39"/>
        <v>34</v>
      </c>
    </row>
    <row r="107" spans="1:35">
      <c r="A107" t="s">
        <v>2091</v>
      </c>
      <c r="B107" t="s">
        <v>3155</v>
      </c>
      <c r="C107" t="s">
        <v>2240</v>
      </c>
      <c r="D107" t="s">
        <v>3266</v>
      </c>
      <c r="F107" t="s">
        <v>116</v>
      </c>
      <c r="G107" s="126">
        <f>SUMIFS('Support - Transition'!F:F,'Support - Transition'!B:B,'Step 2'!A107,'Support - Transition'!C:C,'Step 2'!B107,'Support - Transition'!D:D,'Step 2'!C107,'Support - Transition'!E:E,"CIVIL")</f>
        <v>0</v>
      </c>
      <c r="H107" s="126">
        <f>SUMIFS('Support - Transition'!F:F,'Support - Transition'!B:B,'Step 2'!A107,'Support - Transition'!C:C,'Step 2'!B107,'Support - Transition'!D:D,'Step 2'!C107,'Support - Transition'!E:E,"FIRE")</f>
        <v>0</v>
      </c>
      <c r="I107" s="126">
        <f>IF(B107="0",SUMIFS('Support - Transition'!F:F,'Support - Transition'!J:J,'Step 2'!D107,'Support - Transition'!E:E,"STATE UNIT"),SUMIFS('Support - Transition'!F:F,'Support - Transition'!J:J,'Step 2'!D107))</f>
        <v>9.6599999999999995E-4</v>
      </c>
      <c r="J107" s="126">
        <f>SUMIFS('Support - Unit Adjustments'!E:E,'Support - Unit Adjustments'!F:F,'Step 2'!D107)</f>
        <v>0</v>
      </c>
      <c r="K107" s="126">
        <f t="shared" si="21"/>
        <v>9.6599999999999995E-4</v>
      </c>
      <c r="L107" s="174">
        <f>VLOOKUP(A107,'Step 1'!$A:$E,4,FALSE)</f>
        <v>191532</v>
      </c>
      <c r="M107" s="47">
        <f t="shared" si="22"/>
        <v>185</v>
      </c>
      <c r="N107" s="177">
        <f>SUMIFS('Support - Transition'!G:G,'Support - Transition'!J:J,'Step 2'!D107,'Support - Transition'!E:E,"2009 WELFARE ALLOCATION FACTOR")</f>
        <v>0</v>
      </c>
      <c r="O107" s="152">
        <f t="shared" si="28"/>
        <v>0</v>
      </c>
      <c r="P107" s="126">
        <f>IF(E107="Y",0,SUMIFS('Support - Transition'!G:G,'Support - Transition'!J:J,'Step 2'!D107,'Support - Transition'!E:E,"2009 SCHOOL ALLOCATION FACTOR"))</f>
        <v>0</v>
      </c>
      <c r="Q107" s="126">
        <f>IF(E107="Y",VLOOKUP(D107,'Support - Unit Adjustments'!F:G,2,FALSE),0)</f>
        <v>0</v>
      </c>
      <c r="R107" s="155">
        <f t="shared" si="23"/>
        <v>0</v>
      </c>
      <c r="S107" s="47">
        <f t="shared" si="29"/>
        <v>0</v>
      </c>
      <c r="T107" s="151">
        <f t="shared" si="24"/>
        <v>185</v>
      </c>
      <c r="U107" s="151">
        <f t="shared" si="25"/>
        <v>0</v>
      </c>
      <c r="V107" s="139">
        <f t="shared" si="26"/>
        <v>0</v>
      </c>
      <c r="W107" s="152">
        <f t="shared" si="30"/>
        <v>185</v>
      </c>
      <c r="X107" s="127" t="str">
        <f t="shared" si="27"/>
        <v/>
      </c>
      <c r="Y107" s="207">
        <f t="shared" si="31"/>
        <v>185</v>
      </c>
      <c r="Z107" s="139">
        <f t="shared" si="32"/>
        <v>185</v>
      </c>
      <c r="AA107" s="139">
        <f t="shared" si="33"/>
        <v>0</v>
      </c>
      <c r="AC107" s="47">
        <f t="shared" si="34"/>
        <v>93</v>
      </c>
      <c r="AD107" s="47">
        <f t="shared" si="35"/>
        <v>93</v>
      </c>
      <c r="AE107" s="47">
        <f t="shared" si="36"/>
        <v>0</v>
      </c>
      <c r="AG107" s="47">
        <f t="shared" si="37"/>
        <v>92</v>
      </c>
      <c r="AH107" s="47">
        <f t="shared" si="38"/>
        <v>92</v>
      </c>
      <c r="AI107" s="208">
        <f t="shared" si="39"/>
        <v>0</v>
      </c>
    </row>
    <row r="108" spans="1:35">
      <c r="A108" t="s">
        <v>2091</v>
      </c>
      <c r="B108" t="s">
        <v>3155</v>
      </c>
      <c r="C108" t="s">
        <v>2241</v>
      </c>
      <c r="D108" t="s">
        <v>3267</v>
      </c>
      <c r="F108" t="s">
        <v>117</v>
      </c>
      <c r="G108" s="126">
        <f>SUMIFS('Support - Transition'!F:F,'Support - Transition'!B:B,'Step 2'!A108,'Support - Transition'!C:C,'Step 2'!B108,'Support - Transition'!D:D,'Step 2'!C108,'Support - Transition'!E:E,"CIVIL")</f>
        <v>0</v>
      </c>
      <c r="H108" s="126">
        <f>SUMIFS('Support - Transition'!F:F,'Support - Transition'!B:B,'Step 2'!A108,'Support - Transition'!C:C,'Step 2'!B108,'Support - Transition'!D:D,'Step 2'!C108,'Support - Transition'!E:E,"FIRE")</f>
        <v>0</v>
      </c>
      <c r="I108" s="126">
        <f>IF(B108="0",SUMIFS('Support - Transition'!F:F,'Support - Transition'!J:J,'Step 2'!D108,'Support - Transition'!E:E,"STATE UNIT"),SUMIFS('Support - Transition'!F:F,'Support - Transition'!J:J,'Step 2'!D108))</f>
        <v>7.3850000000000001E-3</v>
      </c>
      <c r="J108" s="126">
        <f>SUMIFS('Support - Unit Adjustments'!E:E,'Support - Unit Adjustments'!F:F,'Step 2'!D108)</f>
        <v>0</v>
      </c>
      <c r="K108" s="126">
        <f t="shared" si="21"/>
        <v>7.3850000000000001E-3</v>
      </c>
      <c r="L108" s="174">
        <f>VLOOKUP(A108,'Step 1'!$A:$E,4,FALSE)</f>
        <v>191532</v>
      </c>
      <c r="M108" s="47">
        <f t="shared" si="22"/>
        <v>1414</v>
      </c>
      <c r="N108" s="177">
        <f>SUMIFS('Support - Transition'!G:G,'Support - Transition'!J:J,'Step 2'!D108,'Support - Transition'!E:E,"2009 WELFARE ALLOCATION FACTOR")</f>
        <v>0</v>
      </c>
      <c r="O108" s="152">
        <f t="shared" si="28"/>
        <v>0</v>
      </c>
      <c r="P108" s="126">
        <f>IF(E108="Y",0,SUMIFS('Support - Transition'!G:G,'Support - Transition'!J:J,'Step 2'!D108,'Support - Transition'!E:E,"2009 SCHOOL ALLOCATION FACTOR"))</f>
        <v>0</v>
      </c>
      <c r="Q108" s="126">
        <f>IF(E108="Y",VLOOKUP(D108,'Support - Unit Adjustments'!F:G,2,FALSE),0)</f>
        <v>0</v>
      </c>
      <c r="R108" s="155">
        <f t="shared" si="23"/>
        <v>0</v>
      </c>
      <c r="S108" s="47">
        <f t="shared" si="29"/>
        <v>0</v>
      </c>
      <c r="T108" s="151">
        <f t="shared" si="24"/>
        <v>1414</v>
      </c>
      <c r="U108" s="151">
        <f t="shared" si="25"/>
        <v>0</v>
      </c>
      <c r="V108" s="139">
        <f t="shared" si="26"/>
        <v>0</v>
      </c>
      <c r="W108" s="152">
        <f t="shared" si="30"/>
        <v>1414</v>
      </c>
      <c r="X108" s="127" t="str">
        <f t="shared" si="27"/>
        <v/>
      </c>
      <c r="Y108" s="207">
        <f t="shared" si="31"/>
        <v>1414</v>
      </c>
      <c r="Z108" s="139">
        <f t="shared" si="32"/>
        <v>1414</v>
      </c>
      <c r="AA108" s="139">
        <f t="shared" si="33"/>
        <v>0</v>
      </c>
      <c r="AC108" s="47">
        <f t="shared" si="34"/>
        <v>707</v>
      </c>
      <c r="AD108" s="47">
        <f t="shared" si="35"/>
        <v>707</v>
      </c>
      <c r="AE108" s="47">
        <f t="shared" si="36"/>
        <v>0</v>
      </c>
      <c r="AG108" s="47">
        <f t="shared" si="37"/>
        <v>707</v>
      </c>
      <c r="AH108" s="47">
        <f t="shared" si="38"/>
        <v>707</v>
      </c>
      <c r="AI108" s="208">
        <f t="shared" si="39"/>
        <v>0</v>
      </c>
    </row>
    <row r="109" spans="1:35">
      <c r="A109" t="s">
        <v>2091</v>
      </c>
      <c r="B109" t="s">
        <v>3155</v>
      </c>
      <c r="C109" t="s">
        <v>2242</v>
      </c>
      <c r="D109" t="s">
        <v>3268</v>
      </c>
      <c r="F109" t="s">
        <v>118</v>
      </c>
      <c r="G109" s="126">
        <f>SUMIFS('Support - Transition'!F:F,'Support - Transition'!B:B,'Step 2'!A109,'Support - Transition'!C:C,'Step 2'!B109,'Support - Transition'!D:D,'Step 2'!C109,'Support - Transition'!E:E,"CIVIL")</f>
        <v>0</v>
      </c>
      <c r="H109" s="126">
        <f>SUMIFS('Support - Transition'!F:F,'Support - Transition'!B:B,'Step 2'!A109,'Support - Transition'!C:C,'Step 2'!B109,'Support - Transition'!D:D,'Step 2'!C109,'Support - Transition'!E:E,"FIRE")</f>
        <v>0</v>
      </c>
      <c r="I109" s="126">
        <f>IF(B109="0",SUMIFS('Support - Transition'!F:F,'Support - Transition'!J:J,'Step 2'!D109,'Support - Transition'!E:E,"STATE UNIT"),SUMIFS('Support - Transition'!F:F,'Support - Transition'!J:J,'Step 2'!D109))</f>
        <v>1.0035000000000001E-2</v>
      </c>
      <c r="J109" s="126">
        <f>SUMIFS('Support - Unit Adjustments'!E:E,'Support - Unit Adjustments'!F:F,'Step 2'!D109)</f>
        <v>0</v>
      </c>
      <c r="K109" s="126">
        <f t="shared" si="21"/>
        <v>1.0035000000000001E-2</v>
      </c>
      <c r="L109" s="174">
        <f>VLOOKUP(A109,'Step 1'!$A:$E,4,FALSE)</f>
        <v>191532</v>
      </c>
      <c r="M109" s="47">
        <f t="shared" si="22"/>
        <v>1922</v>
      </c>
      <c r="N109" s="177">
        <f>SUMIFS('Support - Transition'!G:G,'Support - Transition'!J:J,'Step 2'!D109,'Support - Transition'!E:E,"2009 WELFARE ALLOCATION FACTOR")</f>
        <v>0</v>
      </c>
      <c r="O109" s="152">
        <f t="shared" si="28"/>
        <v>0</v>
      </c>
      <c r="P109" s="126">
        <f>IF(E109="Y",0,SUMIFS('Support - Transition'!G:G,'Support - Transition'!J:J,'Step 2'!D109,'Support - Transition'!E:E,"2009 SCHOOL ALLOCATION FACTOR"))</f>
        <v>0</v>
      </c>
      <c r="Q109" s="126">
        <f>IF(E109="Y",VLOOKUP(D109,'Support - Unit Adjustments'!F:G,2,FALSE),0)</f>
        <v>0</v>
      </c>
      <c r="R109" s="155">
        <f t="shared" si="23"/>
        <v>0</v>
      </c>
      <c r="S109" s="47">
        <f t="shared" si="29"/>
        <v>0</v>
      </c>
      <c r="T109" s="151">
        <f t="shared" si="24"/>
        <v>1922</v>
      </c>
      <c r="U109" s="151">
        <f t="shared" si="25"/>
        <v>0</v>
      </c>
      <c r="V109" s="139">
        <f t="shared" si="26"/>
        <v>0</v>
      </c>
      <c r="W109" s="152">
        <f t="shared" si="30"/>
        <v>1922</v>
      </c>
      <c r="X109" s="127" t="str">
        <f t="shared" si="27"/>
        <v/>
      </c>
      <c r="Y109" s="207">
        <f t="shared" si="31"/>
        <v>1922</v>
      </c>
      <c r="Z109" s="139">
        <f t="shared" si="32"/>
        <v>1922</v>
      </c>
      <c r="AA109" s="139">
        <f t="shared" si="33"/>
        <v>0</v>
      </c>
      <c r="AC109" s="47">
        <f t="shared" si="34"/>
        <v>961</v>
      </c>
      <c r="AD109" s="47">
        <f t="shared" si="35"/>
        <v>961</v>
      </c>
      <c r="AE109" s="47">
        <f t="shared" si="36"/>
        <v>0</v>
      </c>
      <c r="AG109" s="47">
        <f t="shared" si="37"/>
        <v>961</v>
      </c>
      <c r="AH109" s="47">
        <f t="shared" si="38"/>
        <v>961</v>
      </c>
      <c r="AI109" s="208">
        <f t="shared" si="39"/>
        <v>0</v>
      </c>
    </row>
    <row r="110" spans="1:35">
      <c r="A110" t="s">
        <v>2091</v>
      </c>
      <c r="B110" t="s">
        <v>3155</v>
      </c>
      <c r="C110" t="s">
        <v>2243</v>
      </c>
      <c r="D110" t="s">
        <v>3269</v>
      </c>
      <c r="F110" t="s">
        <v>119</v>
      </c>
      <c r="G110" s="126">
        <f>SUMIFS('Support - Transition'!F:F,'Support - Transition'!B:B,'Step 2'!A110,'Support - Transition'!C:C,'Step 2'!B110,'Support - Transition'!D:D,'Step 2'!C110,'Support - Transition'!E:E,"CIVIL")</f>
        <v>0</v>
      </c>
      <c r="H110" s="126">
        <f>SUMIFS('Support - Transition'!F:F,'Support - Transition'!B:B,'Step 2'!A110,'Support - Transition'!C:C,'Step 2'!B110,'Support - Transition'!D:D,'Step 2'!C110,'Support - Transition'!E:E,"FIRE")</f>
        <v>0</v>
      </c>
      <c r="I110" s="126">
        <f>IF(B110="0",SUMIFS('Support - Transition'!F:F,'Support - Transition'!J:J,'Step 2'!D110,'Support - Transition'!E:E,"STATE UNIT"),SUMIFS('Support - Transition'!F:F,'Support - Transition'!J:J,'Step 2'!D110))</f>
        <v>2.8493000000000001E-2</v>
      </c>
      <c r="J110" s="126">
        <f>SUMIFS('Support - Unit Adjustments'!E:E,'Support - Unit Adjustments'!F:F,'Step 2'!D110)</f>
        <v>0</v>
      </c>
      <c r="K110" s="126">
        <f t="shared" si="21"/>
        <v>2.8493000000000001E-2</v>
      </c>
      <c r="L110" s="174">
        <f>VLOOKUP(A110,'Step 1'!$A:$E,4,FALSE)</f>
        <v>191532</v>
      </c>
      <c r="M110" s="47">
        <f t="shared" si="22"/>
        <v>5457</v>
      </c>
      <c r="N110" s="177">
        <f>SUMIFS('Support - Transition'!G:G,'Support - Transition'!J:J,'Step 2'!D110,'Support - Transition'!E:E,"2009 WELFARE ALLOCATION FACTOR")</f>
        <v>0</v>
      </c>
      <c r="O110" s="152">
        <f t="shared" si="28"/>
        <v>0</v>
      </c>
      <c r="P110" s="126">
        <f>IF(E110="Y",0,SUMIFS('Support - Transition'!G:G,'Support - Transition'!J:J,'Step 2'!D110,'Support - Transition'!E:E,"2009 SCHOOL ALLOCATION FACTOR"))</f>
        <v>0</v>
      </c>
      <c r="Q110" s="126">
        <f>IF(E110="Y",VLOOKUP(D110,'Support - Unit Adjustments'!F:G,2,FALSE),0)</f>
        <v>0</v>
      </c>
      <c r="R110" s="155">
        <f t="shared" si="23"/>
        <v>0</v>
      </c>
      <c r="S110" s="47">
        <f t="shared" si="29"/>
        <v>0</v>
      </c>
      <c r="T110" s="151">
        <f t="shared" si="24"/>
        <v>5457</v>
      </c>
      <c r="U110" s="151">
        <f t="shared" si="25"/>
        <v>0</v>
      </c>
      <c r="V110" s="139">
        <f t="shared" si="26"/>
        <v>0</v>
      </c>
      <c r="W110" s="152">
        <f t="shared" si="30"/>
        <v>5457</v>
      </c>
      <c r="X110" s="127" t="str">
        <f t="shared" si="27"/>
        <v/>
      </c>
      <c r="Y110" s="207">
        <f t="shared" si="31"/>
        <v>5457</v>
      </c>
      <c r="Z110" s="139">
        <f t="shared" si="32"/>
        <v>5457</v>
      </c>
      <c r="AA110" s="139">
        <f t="shared" si="33"/>
        <v>0</v>
      </c>
      <c r="AC110" s="47">
        <f t="shared" si="34"/>
        <v>2729</v>
      </c>
      <c r="AD110" s="47">
        <f t="shared" si="35"/>
        <v>2729</v>
      </c>
      <c r="AE110" s="47">
        <f t="shared" si="36"/>
        <v>0</v>
      </c>
      <c r="AG110" s="47">
        <f t="shared" si="37"/>
        <v>2728</v>
      </c>
      <c r="AH110" s="47">
        <f t="shared" si="38"/>
        <v>2728</v>
      </c>
      <c r="AI110" s="208">
        <f t="shared" si="39"/>
        <v>0</v>
      </c>
    </row>
    <row r="111" spans="1:35">
      <c r="A111" t="s">
        <v>2091</v>
      </c>
      <c r="B111" t="s">
        <v>3155</v>
      </c>
      <c r="C111" t="s">
        <v>2244</v>
      </c>
      <c r="D111" t="s">
        <v>3270</v>
      </c>
      <c r="F111" t="s">
        <v>120</v>
      </c>
      <c r="G111" s="126">
        <f>SUMIFS('Support - Transition'!F:F,'Support - Transition'!B:B,'Step 2'!A111,'Support - Transition'!C:C,'Step 2'!B111,'Support - Transition'!D:D,'Step 2'!C111,'Support - Transition'!E:E,"CIVIL")</f>
        <v>0</v>
      </c>
      <c r="H111" s="126">
        <f>SUMIFS('Support - Transition'!F:F,'Support - Transition'!B:B,'Step 2'!A111,'Support - Transition'!C:C,'Step 2'!B111,'Support - Transition'!D:D,'Step 2'!C111,'Support - Transition'!E:E,"FIRE")</f>
        <v>0</v>
      </c>
      <c r="I111" s="126">
        <f>IF(B111="0",SUMIFS('Support - Transition'!F:F,'Support - Transition'!J:J,'Step 2'!D111,'Support - Transition'!E:E,"STATE UNIT"),SUMIFS('Support - Transition'!F:F,'Support - Transition'!J:J,'Step 2'!D111))</f>
        <v>3.869E-3</v>
      </c>
      <c r="J111" s="126">
        <f>SUMIFS('Support - Unit Adjustments'!E:E,'Support - Unit Adjustments'!F:F,'Step 2'!D111)</f>
        <v>0</v>
      </c>
      <c r="K111" s="126">
        <f t="shared" si="21"/>
        <v>3.869E-3</v>
      </c>
      <c r="L111" s="174">
        <f>VLOOKUP(A111,'Step 1'!$A:$E,4,FALSE)</f>
        <v>191532</v>
      </c>
      <c r="M111" s="47">
        <f t="shared" si="22"/>
        <v>741</v>
      </c>
      <c r="N111" s="177">
        <f>SUMIFS('Support - Transition'!G:G,'Support - Transition'!J:J,'Step 2'!D111,'Support - Transition'!E:E,"2009 WELFARE ALLOCATION FACTOR")</f>
        <v>0</v>
      </c>
      <c r="O111" s="152">
        <f t="shared" si="28"/>
        <v>0</v>
      </c>
      <c r="P111" s="126">
        <f>IF(E111="Y",0,SUMIFS('Support - Transition'!G:G,'Support - Transition'!J:J,'Step 2'!D111,'Support - Transition'!E:E,"2009 SCHOOL ALLOCATION FACTOR"))</f>
        <v>0</v>
      </c>
      <c r="Q111" s="126">
        <f>IF(E111="Y",VLOOKUP(D111,'Support - Unit Adjustments'!F:G,2,FALSE),0)</f>
        <v>0</v>
      </c>
      <c r="R111" s="155">
        <f t="shared" si="23"/>
        <v>0</v>
      </c>
      <c r="S111" s="47">
        <f t="shared" si="29"/>
        <v>0</v>
      </c>
      <c r="T111" s="151">
        <f t="shared" si="24"/>
        <v>741</v>
      </c>
      <c r="U111" s="151">
        <f t="shared" si="25"/>
        <v>0</v>
      </c>
      <c r="V111" s="139">
        <f t="shared" si="26"/>
        <v>0</v>
      </c>
      <c r="W111" s="152">
        <f t="shared" si="30"/>
        <v>741</v>
      </c>
      <c r="X111" s="127" t="str">
        <f t="shared" si="27"/>
        <v/>
      </c>
      <c r="Y111" s="207">
        <f t="shared" si="31"/>
        <v>741</v>
      </c>
      <c r="Z111" s="139">
        <f t="shared" si="32"/>
        <v>741</v>
      </c>
      <c r="AA111" s="139">
        <f t="shared" si="33"/>
        <v>0</v>
      </c>
      <c r="AC111" s="47">
        <f t="shared" si="34"/>
        <v>371</v>
      </c>
      <c r="AD111" s="47">
        <f t="shared" si="35"/>
        <v>371</v>
      </c>
      <c r="AE111" s="47">
        <f t="shared" si="36"/>
        <v>0</v>
      </c>
      <c r="AG111" s="47">
        <f t="shared" si="37"/>
        <v>370</v>
      </c>
      <c r="AH111" s="47">
        <f t="shared" si="38"/>
        <v>370</v>
      </c>
      <c r="AI111" s="208">
        <f t="shared" si="39"/>
        <v>0</v>
      </c>
    </row>
    <row r="112" spans="1:35">
      <c r="A112" t="s">
        <v>2091</v>
      </c>
      <c r="B112" t="s">
        <v>3155</v>
      </c>
      <c r="C112" t="s">
        <v>2245</v>
      </c>
      <c r="D112" t="s">
        <v>3271</v>
      </c>
      <c r="F112" t="s">
        <v>121</v>
      </c>
      <c r="G112" s="126">
        <f>SUMIFS('Support - Transition'!F:F,'Support - Transition'!B:B,'Step 2'!A112,'Support - Transition'!C:C,'Step 2'!B112,'Support - Transition'!D:D,'Step 2'!C112,'Support - Transition'!E:E,"CIVIL")</f>
        <v>0</v>
      </c>
      <c r="H112" s="126">
        <f>SUMIFS('Support - Transition'!F:F,'Support - Transition'!B:B,'Step 2'!A112,'Support - Transition'!C:C,'Step 2'!B112,'Support - Transition'!D:D,'Step 2'!C112,'Support - Transition'!E:E,"FIRE")</f>
        <v>0</v>
      </c>
      <c r="I112" s="126">
        <f>IF(B112="0",SUMIFS('Support - Transition'!F:F,'Support - Transition'!J:J,'Step 2'!D112,'Support - Transition'!E:E,"STATE UNIT"),SUMIFS('Support - Transition'!F:F,'Support - Transition'!J:J,'Step 2'!D112))</f>
        <v>5.025E-3</v>
      </c>
      <c r="J112" s="126">
        <f>SUMIFS('Support - Unit Adjustments'!E:E,'Support - Unit Adjustments'!F:F,'Step 2'!D112)</f>
        <v>0</v>
      </c>
      <c r="K112" s="126">
        <f t="shared" si="21"/>
        <v>5.025E-3</v>
      </c>
      <c r="L112" s="174">
        <f>VLOOKUP(A112,'Step 1'!$A:$E,4,FALSE)</f>
        <v>191532</v>
      </c>
      <c r="M112" s="47">
        <f t="shared" si="22"/>
        <v>962</v>
      </c>
      <c r="N112" s="177">
        <f>SUMIFS('Support - Transition'!G:G,'Support - Transition'!J:J,'Step 2'!D112,'Support - Transition'!E:E,"2009 WELFARE ALLOCATION FACTOR")</f>
        <v>0</v>
      </c>
      <c r="O112" s="152">
        <f t="shared" si="28"/>
        <v>0</v>
      </c>
      <c r="P112" s="126">
        <f>IF(E112="Y",0,SUMIFS('Support - Transition'!G:G,'Support - Transition'!J:J,'Step 2'!D112,'Support - Transition'!E:E,"2009 SCHOOL ALLOCATION FACTOR"))</f>
        <v>0</v>
      </c>
      <c r="Q112" s="126">
        <f>IF(E112="Y",VLOOKUP(D112,'Support - Unit Adjustments'!F:G,2,FALSE),0)</f>
        <v>0</v>
      </c>
      <c r="R112" s="155">
        <f t="shared" si="23"/>
        <v>0</v>
      </c>
      <c r="S112" s="47">
        <f t="shared" si="29"/>
        <v>0</v>
      </c>
      <c r="T112" s="151">
        <f t="shared" si="24"/>
        <v>962</v>
      </c>
      <c r="U112" s="151">
        <f t="shared" si="25"/>
        <v>0</v>
      </c>
      <c r="V112" s="139">
        <f t="shared" si="26"/>
        <v>0</v>
      </c>
      <c r="W112" s="152">
        <f t="shared" si="30"/>
        <v>962</v>
      </c>
      <c r="X112" s="127" t="str">
        <f t="shared" si="27"/>
        <v/>
      </c>
      <c r="Y112" s="207">
        <f t="shared" si="31"/>
        <v>962</v>
      </c>
      <c r="Z112" s="139">
        <f t="shared" si="32"/>
        <v>962</v>
      </c>
      <c r="AA112" s="139">
        <f t="shared" si="33"/>
        <v>0</v>
      </c>
      <c r="AC112" s="47">
        <f t="shared" si="34"/>
        <v>481</v>
      </c>
      <c r="AD112" s="47">
        <f t="shared" si="35"/>
        <v>481</v>
      </c>
      <c r="AE112" s="47">
        <f t="shared" si="36"/>
        <v>0</v>
      </c>
      <c r="AG112" s="47">
        <f t="shared" si="37"/>
        <v>481</v>
      </c>
      <c r="AH112" s="47">
        <f t="shared" si="38"/>
        <v>481</v>
      </c>
      <c r="AI112" s="208">
        <f t="shared" si="39"/>
        <v>0</v>
      </c>
    </row>
    <row r="113" spans="1:35">
      <c r="A113" t="s">
        <v>2091</v>
      </c>
      <c r="B113" t="s">
        <v>3160</v>
      </c>
      <c r="C113" t="s">
        <v>2246</v>
      </c>
      <c r="D113" t="s">
        <v>3272</v>
      </c>
      <c r="F113" t="s">
        <v>122</v>
      </c>
      <c r="G113" s="126">
        <f>SUMIFS('Support - Transition'!F:F,'Support - Transition'!B:B,'Step 2'!A113,'Support - Transition'!C:C,'Step 2'!B113,'Support - Transition'!D:D,'Step 2'!C113,'Support - Transition'!E:E,"CIVIL")</f>
        <v>0</v>
      </c>
      <c r="H113" s="126">
        <f>SUMIFS('Support - Transition'!F:F,'Support - Transition'!B:B,'Step 2'!A113,'Support - Transition'!C:C,'Step 2'!B113,'Support - Transition'!D:D,'Step 2'!C113,'Support - Transition'!E:E,"FIRE")</f>
        <v>0</v>
      </c>
      <c r="I113" s="126">
        <f>IF(B113="0",SUMIFS('Support - Transition'!F:F,'Support - Transition'!J:J,'Step 2'!D113,'Support - Transition'!E:E,"STATE UNIT"),SUMIFS('Support - Transition'!F:F,'Support - Transition'!J:J,'Step 2'!D113))</f>
        <v>0.60161699999999996</v>
      </c>
      <c r="J113" s="126">
        <f>SUMIFS('Support - Unit Adjustments'!E:E,'Support - Unit Adjustments'!F:F,'Step 2'!D113)</f>
        <v>0</v>
      </c>
      <c r="K113" s="126">
        <f t="shared" si="21"/>
        <v>0.60161699999999996</v>
      </c>
      <c r="L113" s="174">
        <f>VLOOKUP(A113,'Step 1'!$A:$E,4,FALSE)</f>
        <v>191532</v>
      </c>
      <c r="M113" s="47">
        <f t="shared" si="22"/>
        <v>115229</v>
      </c>
      <c r="N113" s="177">
        <f>SUMIFS('Support - Transition'!G:G,'Support - Transition'!J:J,'Step 2'!D113,'Support - Transition'!E:E,"2009 WELFARE ALLOCATION FACTOR")</f>
        <v>0</v>
      </c>
      <c r="O113" s="152">
        <f t="shared" si="28"/>
        <v>0</v>
      </c>
      <c r="P113" s="126">
        <f>IF(E113="Y",0,SUMIFS('Support - Transition'!G:G,'Support - Transition'!J:J,'Step 2'!D113,'Support - Transition'!E:E,"2009 SCHOOL ALLOCATION FACTOR"))</f>
        <v>0.45689600000000002</v>
      </c>
      <c r="Q113" s="126">
        <f>IF(E113="Y",VLOOKUP(D113,'Support - Unit Adjustments'!F:G,2,FALSE),0)</f>
        <v>0</v>
      </c>
      <c r="R113" s="155">
        <f t="shared" si="23"/>
        <v>0.45689600000000002</v>
      </c>
      <c r="S113" s="47">
        <f t="shared" si="29"/>
        <v>52648</v>
      </c>
      <c r="T113" s="151">
        <f t="shared" si="24"/>
        <v>62581</v>
      </c>
      <c r="U113" s="151">
        <f t="shared" si="25"/>
        <v>0</v>
      </c>
      <c r="V113" s="139">
        <f t="shared" si="26"/>
        <v>0</v>
      </c>
      <c r="W113" s="152">
        <f t="shared" si="30"/>
        <v>62581</v>
      </c>
      <c r="X113" s="127" t="str">
        <f t="shared" si="27"/>
        <v/>
      </c>
      <c r="Y113" s="207">
        <f t="shared" si="31"/>
        <v>62581</v>
      </c>
      <c r="Z113" s="139">
        <f t="shared" si="32"/>
        <v>62581</v>
      </c>
      <c r="AA113" s="139">
        <f t="shared" si="33"/>
        <v>0</v>
      </c>
      <c r="AC113" s="47">
        <f t="shared" si="34"/>
        <v>31291</v>
      </c>
      <c r="AD113" s="47">
        <f t="shared" si="35"/>
        <v>31291</v>
      </c>
      <c r="AE113" s="47">
        <f t="shared" si="36"/>
        <v>0</v>
      </c>
      <c r="AG113" s="47">
        <f t="shared" si="37"/>
        <v>31290</v>
      </c>
      <c r="AH113" s="47">
        <f t="shared" si="38"/>
        <v>31290</v>
      </c>
      <c r="AI113" s="208">
        <f t="shared" si="39"/>
        <v>0</v>
      </c>
    </row>
    <row r="114" spans="1:35">
      <c r="A114" t="s">
        <v>2091</v>
      </c>
      <c r="B114" t="s">
        <v>3160</v>
      </c>
      <c r="C114" t="s">
        <v>2247</v>
      </c>
      <c r="D114" t="s">
        <v>3273</v>
      </c>
      <c r="F114" t="s">
        <v>123</v>
      </c>
      <c r="G114" s="126">
        <f>SUMIFS('Support - Transition'!F:F,'Support - Transition'!B:B,'Step 2'!A114,'Support - Transition'!C:C,'Step 2'!B114,'Support - Transition'!D:D,'Step 2'!C114,'Support - Transition'!E:E,"CIVIL")</f>
        <v>0</v>
      </c>
      <c r="H114" s="126">
        <f>SUMIFS('Support - Transition'!F:F,'Support - Transition'!B:B,'Step 2'!A114,'Support - Transition'!C:C,'Step 2'!B114,'Support - Transition'!D:D,'Step 2'!C114,'Support - Transition'!E:E,"FIRE")</f>
        <v>0</v>
      </c>
      <c r="I114" s="126">
        <f>IF(B114="0",SUMIFS('Support - Transition'!F:F,'Support - Transition'!J:J,'Step 2'!D114,'Support - Transition'!E:E,"STATE UNIT"),SUMIFS('Support - Transition'!F:F,'Support - Transition'!J:J,'Step 2'!D114))</f>
        <v>3.0886E-2</v>
      </c>
      <c r="J114" s="126">
        <f>SUMIFS('Support - Unit Adjustments'!E:E,'Support - Unit Adjustments'!F:F,'Step 2'!D114)</f>
        <v>0</v>
      </c>
      <c r="K114" s="126">
        <f t="shared" si="21"/>
        <v>3.0886E-2</v>
      </c>
      <c r="L114" s="174">
        <f>VLOOKUP(A114,'Step 1'!$A:$E,4,FALSE)</f>
        <v>191532</v>
      </c>
      <c r="M114" s="47">
        <f t="shared" si="22"/>
        <v>5916</v>
      </c>
      <c r="N114" s="177">
        <f>SUMIFS('Support - Transition'!G:G,'Support - Transition'!J:J,'Step 2'!D114,'Support - Transition'!E:E,"2009 WELFARE ALLOCATION FACTOR")</f>
        <v>0</v>
      </c>
      <c r="O114" s="152">
        <f t="shared" si="28"/>
        <v>0</v>
      </c>
      <c r="P114" s="126">
        <f>IF(E114="Y",0,SUMIFS('Support - Transition'!G:G,'Support - Transition'!J:J,'Step 2'!D114,'Support - Transition'!E:E,"2009 SCHOOL ALLOCATION FACTOR"))</f>
        <v>0.46941100000000002</v>
      </c>
      <c r="Q114" s="126">
        <f>IF(E114="Y",VLOOKUP(D114,'Support - Unit Adjustments'!F:G,2,FALSE),0)</f>
        <v>0</v>
      </c>
      <c r="R114" s="155">
        <f t="shared" si="23"/>
        <v>0.46941100000000002</v>
      </c>
      <c r="S114" s="47">
        <f t="shared" si="29"/>
        <v>2777</v>
      </c>
      <c r="T114" s="151">
        <f t="shared" si="24"/>
        <v>3139</v>
      </c>
      <c r="U114" s="151">
        <f t="shared" si="25"/>
        <v>0</v>
      </c>
      <c r="V114" s="139">
        <f t="shared" si="26"/>
        <v>0</v>
      </c>
      <c r="W114" s="152">
        <f t="shared" si="30"/>
        <v>3139</v>
      </c>
      <c r="X114" s="127" t="str">
        <f t="shared" si="27"/>
        <v/>
      </c>
      <c r="Y114" s="207">
        <f t="shared" si="31"/>
        <v>3139</v>
      </c>
      <c r="Z114" s="139">
        <f t="shared" si="32"/>
        <v>3139</v>
      </c>
      <c r="AA114" s="139">
        <f t="shared" si="33"/>
        <v>0</v>
      </c>
      <c r="AC114" s="47">
        <f t="shared" si="34"/>
        <v>1570</v>
      </c>
      <c r="AD114" s="47">
        <f t="shared" si="35"/>
        <v>1570</v>
      </c>
      <c r="AE114" s="47">
        <f t="shared" si="36"/>
        <v>0</v>
      </c>
      <c r="AG114" s="47">
        <f t="shared" si="37"/>
        <v>1569</v>
      </c>
      <c r="AH114" s="47">
        <f t="shared" si="38"/>
        <v>1569</v>
      </c>
      <c r="AI114" s="208">
        <f t="shared" si="39"/>
        <v>0</v>
      </c>
    </row>
    <row r="115" spans="1:35">
      <c r="A115" t="s">
        <v>2091</v>
      </c>
      <c r="B115" t="s">
        <v>3160</v>
      </c>
      <c r="C115" t="s">
        <v>2248</v>
      </c>
      <c r="D115" t="s">
        <v>3274</v>
      </c>
      <c r="F115" t="s">
        <v>848</v>
      </c>
      <c r="G115" s="126">
        <f>SUMIFS('Support - Transition'!F:F,'Support - Transition'!B:B,'Step 2'!A115,'Support - Transition'!C:C,'Step 2'!B115,'Support - Transition'!D:D,'Step 2'!C115,'Support - Transition'!E:E,"CIVIL")</f>
        <v>0</v>
      </c>
      <c r="H115" s="126">
        <f>SUMIFS('Support - Transition'!F:F,'Support - Transition'!B:B,'Step 2'!A115,'Support - Transition'!C:C,'Step 2'!B115,'Support - Transition'!D:D,'Step 2'!C115,'Support - Transition'!E:E,"FIRE")</f>
        <v>0</v>
      </c>
      <c r="I115" s="126">
        <f>IF(B115="0",SUMIFS('Support - Transition'!F:F,'Support - Transition'!J:J,'Step 2'!D115,'Support - Transition'!E:E,"STATE UNIT"),SUMIFS('Support - Transition'!F:F,'Support - Transition'!J:J,'Step 2'!D115))</f>
        <v>2.8920999999999999E-2</v>
      </c>
      <c r="J115" s="126">
        <f>SUMIFS('Support - Unit Adjustments'!E:E,'Support - Unit Adjustments'!F:F,'Step 2'!D115)</f>
        <v>0</v>
      </c>
      <c r="K115" s="126">
        <f t="shared" si="21"/>
        <v>2.8920999999999999E-2</v>
      </c>
      <c r="L115" s="174">
        <f>VLOOKUP(A115,'Step 1'!$A:$E,4,FALSE)</f>
        <v>191532</v>
      </c>
      <c r="M115" s="47">
        <f t="shared" si="22"/>
        <v>5539</v>
      </c>
      <c r="N115" s="177">
        <f>SUMIFS('Support - Transition'!G:G,'Support - Transition'!J:J,'Step 2'!D115,'Support - Transition'!E:E,"2009 WELFARE ALLOCATION FACTOR")</f>
        <v>0</v>
      </c>
      <c r="O115" s="152">
        <f t="shared" si="28"/>
        <v>0</v>
      </c>
      <c r="P115" s="126">
        <f>IF(E115="Y",0,SUMIFS('Support - Transition'!G:G,'Support - Transition'!J:J,'Step 2'!D115,'Support - Transition'!E:E,"2009 SCHOOL ALLOCATION FACTOR"))</f>
        <v>0.55137800000000003</v>
      </c>
      <c r="Q115" s="126">
        <f>IF(E115="Y",VLOOKUP(D115,'Support - Unit Adjustments'!F:G,2,FALSE),0)</f>
        <v>0</v>
      </c>
      <c r="R115" s="155">
        <f t="shared" si="23"/>
        <v>0.55137800000000003</v>
      </c>
      <c r="S115" s="47">
        <f t="shared" si="29"/>
        <v>3054</v>
      </c>
      <c r="T115" s="151">
        <f t="shared" si="24"/>
        <v>2485</v>
      </c>
      <c r="U115" s="151">
        <f t="shared" si="25"/>
        <v>0</v>
      </c>
      <c r="V115" s="139">
        <f t="shared" si="26"/>
        <v>0</v>
      </c>
      <c r="W115" s="152">
        <f t="shared" si="30"/>
        <v>2485</v>
      </c>
      <c r="X115" s="127" t="str">
        <f t="shared" si="27"/>
        <v/>
      </c>
      <c r="Y115" s="207">
        <f t="shared" si="31"/>
        <v>2485</v>
      </c>
      <c r="Z115" s="139">
        <f t="shared" si="32"/>
        <v>2485</v>
      </c>
      <c r="AA115" s="139">
        <f t="shared" si="33"/>
        <v>0</v>
      </c>
      <c r="AC115" s="47">
        <f t="shared" si="34"/>
        <v>1243</v>
      </c>
      <c r="AD115" s="47">
        <f t="shared" si="35"/>
        <v>1243</v>
      </c>
      <c r="AE115" s="47">
        <f t="shared" si="36"/>
        <v>0</v>
      </c>
      <c r="AG115" s="47">
        <f t="shared" si="37"/>
        <v>1242</v>
      </c>
      <c r="AH115" s="47">
        <f t="shared" si="38"/>
        <v>1242</v>
      </c>
      <c r="AI115" s="208">
        <f t="shared" si="39"/>
        <v>0</v>
      </c>
    </row>
    <row r="116" spans="1:35">
      <c r="A116" t="s">
        <v>2091</v>
      </c>
      <c r="B116" t="s">
        <v>3166</v>
      </c>
      <c r="C116" t="s">
        <v>2194</v>
      </c>
      <c r="D116" t="s">
        <v>3275</v>
      </c>
      <c r="F116" t="s">
        <v>126</v>
      </c>
      <c r="G116" s="126">
        <f>SUMIFS('Support - Transition'!F:F,'Support - Transition'!B:B,'Step 2'!A116,'Support - Transition'!C:C,'Step 2'!B116,'Support - Transition'!D:D,'Step 2'!C116,'Support - Transition'!E:E,"CIVIL")</f>
        <v>0</v>
      </c>
      <c r="H116" s="126">
        <f>SUMIFS('Support - Transition'!F:F,'Support - Transition'!B:B,'Step 2'!A116,'Support - Transition'!C:C,'Step 2'!B116,'Support - Transition'!D:D,'Step 2'!C116,'Support - Transition'!E:E,"FIRE")</f>
        <v>0</v>
      </c>
      <c r="I116" s="126">
        <f>IF(B116="0",SUMIFS('Support - Transition'!F:F,'Support - Transition'!J:J,'Step 2'!D116,'Support - Transition'!E:E,"STATE UNIT"),SUMIFS('Support - Transition'!F:F,'Support - Transition'!J:J,'Step 2'!D116))</f>
        <v>5.934E-3</v>
      </c>
      <c r="J116" s="126">
        <f>SUMIFS('Support - Unit Adjustments'!E:E,'Support - Unit Adjustments'!F:F,'Step 2'!D116)</f>
        <v>0</v>
      </c>
      <c r="K116" s="126">
        <f t="shared" si="21"/>
        <v>5.934E-3</v>
      </c>
      <c r="L116" s="174">
        <f>VLOOKUP(A116,'Step 1'!$A:$E,4,FALSE)</f>
        <v>191532</v>
      </c>
      <c r="M116" s="47">
        <f t="shared" si="22"/>
        <v>1137</v>
      </c>
      <c r="N116" s="177">
        <f>SUMIFS('Support - Transition'!G:G,'Support - Transition'!J:J,'Step 2'!D116,'Support - Transition'!E:E,"2009 WELFARE ALLOCATION FACTOR")</f>
        <v>0</v>
      </c>
      <c r="O116" s="152">
        <f t="shared" si="28"/>
        <v>0</v>
      </c>
      <c r="P116" s="126">
        <f>IF(E116="Y",0,SUMIFS('Support - Transition'!G:G,'Support - Transition'!J:J,'Step 2'!D116,'Support - Transition'!E:E,"2009 SCHOOL ALLOCATION FACTOR"))</f>
        <v>0</v>
      </c>
      <c r="Q116" s="126">
        <f>IF(E116="Y",VLOOKUP(D116,'Support - Unit Adjustments'!F:G,2,FALSE),0)</f>
        <v>0</v>
      </c>
      <c r="R116" s="155">
        <f t="shared" si="23"/>
        <v>0</v>
      </c>
      <c r="S116" s="47">
        <f t="shared" si="29"/>
        <v>0</v>
      </c>
      <c r="T116" s="151">
        <f t="shared" si="24"/>
        <v>1137</v>
      </c>
      <c r="U116" s="151">
        <f t="shared" si="25"/>
        <v>0</v>
      </c>
      <c r="V116" s="139">
        <f t="shared" si="26"/>
        <v>0</v>
      </c>
      <c r="W116" s="152">
        <f t="shared" si="30"/>
        <v>1137</v>
      </c>
      <c r="X116" s="127" t="str">
        <f t="shared" si="27"/>
        <v/>
      </c>
      <c r="Y116" s="207">
        <f t="shared" si="31"/>
        <v>1137</v>
      </c>
      <c r="Z116" s="139">
        <f t="shared" si="32"/>
        <v>1137</v>
      </c>
      <c r="AA116" s="139">
        <f t="shared" si="33"/>
        <v>0</v>
      </c>
      <c r="AC116" s="47">
        <f t="shared" si="34"/>
        <v>569</v>
      </c>
      <c r="AD116" s="47">
        <f t="shared" si="35"/>
        <v>569</v>
      </c>
      <c r="AE116" s="47">
        <f t="shared" si="36"/>
        <v>0</v>
      </c>
      <c r="AG116" s="47">
        <f t="shared" si="37"/>
        <v>568</v>
      </c>
      <c r="AH116" s="47">
        <f t="shared" si="38"/>
        <v>568</v>
      </c>
      <c r="AI116" s="208">
        <f t="shared" si="39"/>
        <v>0</v>
      </c>
    </row>
    <row r="117" spans="1:35">
      <c r="A117" t="s">
        <v>2091</v>
      </c>
      <c r="B117" t="s">
        <v>3166</v>
      </c>
      <c r="C117" t="s">
        <v>2195</v>
      </c>
      <c r="D117" t="s">
        <v>3276</v>
      </c>
      <c r="F117" t="s">
        <v>127</v>
      </c>
      <c r="G117" s="126">
        <f>SUMIFS('Support - Transition'!F:F,'Support - Transition'!B:B,'Step 2'!A117,'Support - Transition'!C:C,'Step 2'!B117,'Support - Transition'!D:D,'Step 2'!C117,'Support - Transition'!E:E,"CIVIL")</f>
        <v>0</v>
      </c>
      <c r="H117" s="126">
        <f>SUMIFS('Support - Transition'!F:F,'Support - Transition'!B:B,'Step 2'!A117,'Support - Transition'!C:C,'Step 2'!B117,'Support - Transition'!D:D,'Step 2'!C117,'Support - Transition'!E:E,"FIRE")</f>
        <v>0</v>
      </c>
      <c r="I117" s="126">
        <f>IF(B117="0",SUMIFS('Support - Transition'!F:F,'Support - Transition'!J:J,'Step 2'!D117,'Support - Transition'!E:E,"STATE UNIT"),SUMIFS('Support - Transition'!F:F,'Support - Transition'!J:J,'Step 2'!D117))</f>
        <v>2.379E-3</v>
      </c>
      <c r="J117" s="126">
        <f>SUMIFS('Support - Unit Adjustments'!E:E,'Support - Unit Adjustments'!F:F,'Step 2'!D117)</f>
        <v>0</v>
      </c>
      <c r="K117" s="126">
        <f t="shared" si="21"/>
        <v>2.379E-3</v>
      </c>
      <c r="L117" s="174">
        <f>VLOOKUP(A117,'Step 1'!$A:$E,4,FALSE)</f>
        <v>191532</v>
      </c>
      <c r="M117" s="47">
        <f t="shared" si="22"/>
        <v>456</v>
      </c>
      <c r="N117" s="177">
        <f>SUMIFS('Support - Transition'!G:G,'Support - Transition'!J:J,'Step 2'!D117,'Support - Transition'!E:E,"2009 WELFARE ALLOCATION FACTOR")</f>
        <v>0</v>
      </c>
      <c r="O117" s="152">
        <f t="shared" si="28"/>
        <v>0</v>
      </c>
      <c r="P117" s="126">
        <f>IF(E117="Y",0,SUMIFS('Support - Transition'!G:G,'Support - Transition'!J:J,'Step 2'!D117,'Support - Transition'!E:E,"2009 SCHOOL ALLOCATION FACTOR"))</f>
        <v>0</v>
      </c>
      <c r="Q117" s="126">
        <f>IF(E117="Y",VLOOKUP(D117,'Support - Unit Adjustments'!F:G,2,FALSE),0)</f>
        <v>0</v>
      </c>
      <c r="R117" s="155">
        <f t="shared" si="23"/>
        <v>0</v>
      </c>
      <c r="S117" s="47">
        <f t="shared" si="29"/>
        <v>0</v>
      </c>
      <c r="T117" s="151">
        <f t="shared" si="24"/>
        <v>456</v>
      </c>
      <c r="U117" s="151">
        <f t="shared" si="25"/>
        <v>0</v>
      </c>
      <c r="V117" s="139">
        <f t="shared" si="26"/>
        <v>0</v>
      </c>
      <c r="W117" s="152">
        <f t="shared" si="30"/>
        <v>456</v>
      </c>
      <c r="X117" s="127" t="str">
        <f t="shared" si="27"/>
        <v/>
      </c>
      <c r="Y117" s="207">
        <f t="shared" si="31"/>
        <v>456</v>
      </c>
      <c r="Z117" s="139">
        <f t="shared" si="32"/>
        <v>456</v>
      </c>
      <c r="AA117" s="139">
        <f t="shared" si="33"/>
        <v>0</v>
      </c>
      <c r="AC117" s="47">
        <f t="shared" si="34"/>
        <v>228</v>
      </c>
      <c r="AD117" s="47">
        <f t="shared" si="35"/>
        <v>228</v>
      </c>
      <c r="AE117" s="47">
        <f t="shared" si="36"/>
        <v>0</v>
      </c>
      <c r="AG117" s="47">
        <f t="shared" si="37"/>
        <v>228</v>
      </c>
      <c r="AH117" s="47">
        <f t="shared" si="38"/>
        <v>228</v>
      </c>
      <c r="AI117" s="208">
        <f t="shared" si="39"/>
        <v>0</v>
      </c>
    </row>
    <row r="118" spans="1:35">
      <c r="A118" t="s">
        <v>2091</v>
      </c>
      <c r="B118" t="s">
        <v>3166</v>
      </c>
      <c r="C118" t="s">
        <v>2196</v>
      </c>
      <c r="D118" t="s">
        <v>3277</v>
      </c>
      <c r="F118" t="s">
        <v>128</v>
      </c>
      <c r="G118" s="126">
        <f>SUMIFS('Support - Transition'!F:F,'Support - Transition'!B:B,'Step 2'!A118,'Support - Transition'!C:C,'Step 2'!B118,'Support - Transition'!D:D,'Step 2'!C118,'Support - Transition'!E:E,"CIVIL")</f>
        <v>0</v>
      </c>
      <c r="H118" s="126">
        <f>SUMIFS('Support - Transition'!F:F,'Support - Transition'!B:B,'Step 2'!A118,'Support - Transition'!C:C,'Step 2'!B118,'Support - Transition'!D:D,'Step 2'!C118,'Support - Transition'!E:E,"FIRE")</f>
        <v>0</v>
      </c>
      <c r="I118" s="126">
        <f>IF(B118="0",SUMIFS('Support - Transition'!F:F,'Support - Transition'!J:J,'Step 2'!D118,'Support - Transition'!E:E,"STATE UNIT"),SUMIFS('Support - Transition'!F:F,'Support - Transition'!J:J,'Step 2'!D118))</f>
        <v>5.4770000000000001E-3</v>
      </c>
      <c r="J118" s="126">
        <f>SUMIFS('Support - Unit Adjustments'!E:E,'Support - Unit Adjustments'!F:F,'Step 2'!D118)</f>
        <v>0</v>
      </c>
      <c r="K118" s="126">
        <f t="shared" si="21"/>
        <v>5.4770000000000001E-3</v>
      </c>
      <c r="L118" s="174">
        <f>VLOOKUP(A118,'Step 1'!$A:$E,4,FALSE)</f>
        <v>191532</v>
      </c>
      <c r="M118" s="47">
        <f t="shared" si="22"/>
        <v>1049</v>
      </c>
      <c r="N118" s="177">
        <f>SUMIFS('Support - Transition'!G:G,'Support - Transition'!J:J,'Step 2'!D118,'Support - Transition'!E:E,"2009 WELFARE ALLOCATION FACTOR")</f>
        <v>0</v>
      </c>
      <c r="O118" s="152">
        <f t="shared" si="28"/>
        <v>0</v>
      </c>
      <c r="P118" s="126">
        <f>IF(E118="Y",0,SUMIFS('Support - Transition'!G:G,'Support - Transition'!J:J,'Step 2'!D118,'Support - Transition'!E:E,"2009 SCHOOL ALLOCATION FACTOR"))</f>
        <v>0</v>
      </c>
      <c r="Q118" s="126">
        <f>IF(E118="Y",VLOOKUP(D118,'Support - Unit Adjustments'!F:G,2,FALSE),0)</f>
        <v>0</v>
      </c>
      <c r="R118" s="155">
        <f t="shared" si="23"/>
        <v>0</v>
      </c>
      <c r="S118" s="47">
        <f t="shared" si="29"/>
        <v>0</v>
      </c>
      <c r="T118" s="151">
        <f t="shared" si="24"/>
        <v>1049</v>
      </c>
      <c r="U118" s="151">
        <f t="shared" si="25"/>
        <v>0</v>
      </c>
      <c r="V118" s="139">
        <f t="shared" si="26"/>
        <v>0</v>
      </c>
      <c r="W118" s="152">
        <f t="shared" si="30"/>
        <v>1049</v>
      </c>
      <c r="X118" s="127" t="str">
        <f t="shared" si="27"/>
        <v/>
      </c>
      <c r="Y118" s="207">
        <f t="shared" si="31"/>
        <v>1049</v>
      </c>
      <c r="Z118" s="139">
        <f t="shared" si="32"/>
        <v>1049</v>
      </c>
      <c r="AA118" s="139">
        <f t="shared" si="33"/>
        <v>0</v>
      </c>
      <c r="AC118" s="47">
        <f t="shared" si="34"/>
        <v>525</v>
      </c>
      <c r="AD118" s="47">
        <f t="shared" si="35"/>
        <v>525</v>
      </c>
      <c r="AE118" s="47">
        <f t="shared" si="36"/>
        <v>0</v>
      </c>
      <c r="AG118" s="47">
        <f t="shared" si="37"/>
        <v>524</v>
      </c>
      <c r="AH118" s="47">
        <f t="shared" si="38"/>
        <v>524</v>
      </c>
      <c r="AI118" s="208">
        <f t="shared" si="39"/>
        <v>0</v>
      </c>
    </row>
    <row r="119" spans="1:35">
      <c r="A119" t="s">
        <v>2091</v>
      </c>
      <c r="B119" t="s">
        <v>3166</v>
      </c>
      <c r="C119" t="s">
        <v>2197</v>
      </c>
      <c r="D119" t="s">
        <v>3278</v>
      </c>
      <c r="F119" t="s">
        <v>129</v>
      </c>
      <c r="G119" s="126">
        <f>SUMIFS('Support - Transition'!F:F,'Support - Transition'!B:B,'Step 2'!A119,'Support - Transition'!C:C,'Step 2'!B119,'Support - Transition'!D:D,'Step 2'!C119,'Support - Transition'!E:E,"CIVIL")</f>
        <v>0</v>
      </c>
      <c r="H119" s="126">
        <f>SUMIFS('Support - Transition'!F:F,'Support - Transition'!B:B,'Step 2'!A119,'Support - Transition'!C:C,'Step 2'!B119,'Support - Transition'!D:D,'Step 2'!C119,'Support - Transition'!E:E,"FIRE")</f>
        <v>0</v>
      </c>
      <c r="I119" s="126">
        <f>IF(B119="0",SUMIFS('Support - Transition'!F:F,'Support - Transition'!J:J,'Step 2'!D119,'Support - Transition'!E:E,"STATE UNIT"),SUMIFS('Support - Transition'!F:F,'Support - Transition'!J:J,'Step 2'!D119))</f>
        <v>3.7919999999999998E-3</v>
      </c>
      <c r="J119" s="126">
        <f>SUMIFS('Support - Unit Adjustments'!E:E,'Support - Unit Adjustments'!F:F,'Step 2'!D119)</f>
        <v>0</v>
      </c>
      <c r="K119" s="126">
        <f t="shared" si="21"/>
        <v>3.7919999999999998E-3</v>
      </c>
      <c r="L119" s="174">
        <f>VLOOKUP(A119,'Step 1'!$A:$E,4,FALSE)</f>
        <v>191532</v>
      </c>
      <c r="M119" s="47">
        <f t="shared" si="22"/>
        <v>726</v>
      </c>
      <c r="N119" s="177">
        <f>SUMIFS('Support - Transition'!G:G,'Support - Transition'!J:J,'Step 2'!D119,'Support - Transition'!E:E,"2009 WELFARE ALLOCATION FACTOR")</f>
        <v>0</v>
      </c>
      <c r="O119" s="152">
        <f t="shared" si="28"/>
        <v>0</v>
      </c>
      <c r="P119" s="126">
        <f>IF(E119="Y",0,SUMIFS('Support - Transition'!G:G,'Support - Transition'!J:J,'Step 2'!D119,'Support - Transition'!E:E,"2009 SCHOOL ALLOCATION FACTOR"))</f>
        <v>0</v>
      </c>
      <c r="Q119" s="126">
        <f>IF(E119="Y",VLOOKUP(D119,'Support - Unit Adjustments'!F:G,2,FALSE),0)</f>
        <v>0</v>
      </c>
      <c r="R119" s="155">
        <f t="shared" si="23"/>
        <v>0</v>
      </c>
      <c r="S119" s="47">
        <f t="shared" si="29"/>
        <v>0</v>
      </c>
      <c r="T119" s="151">
        <f t="shared" si="24"/>
        <v>726</v>
      </c>
      <c r="U119" s="151">
        <f t="shared" si="25"/>
        <v>0</v>
      </c>
      <c r="V119" s="139">
        <f t="shared" si="26"/>
        <v>0</v>
      </c>
      <c r="W119" s="152">
        <f t="shared" si="30"/>
        <v>726</v>
      </c>
      <c r="X119" s="127" t="str">
        <f t="shared" si="27"/>
        <v/>
      </c>
      <c r="Y119" s="207">
        <f t="shared" si="31"/>
        <v>726</v>
      </c>
      <c r="Z119" s="139">
        <f t="shared" si="32"/>
        <v>726</v>
      </c>
      <c r="AA119" s="139">
        <f t="shared" si="33"/>
        <v>0</v>
      </c>
      <c r="AC119" s="47">
        <f t="shared" si="34"/>
        <v>363</v>
      </c>
      <c r="AD119" s="47">
        <f t="shared" si="35"/>
        <v>363</v>
      </c>
      <c r="AE119" s="47">
        <f t="shared" si="36"/>
        <v>0</v>
      </c>
      <c r="AG119" s="47">
        <f t="shared" si="37"/>
        <v>363</v>
      </c>
      <c r="AH119" s="47">
        <f t="shared" si="38"/>
        <v>363</v>
      </c>
      <c r="AI119" s="208">
        <f t="shared" si="39"/>
        <v>0</v>
      </c>
    </row>
    <row r="120" spans="1:35">
      <c r="A120" t="s">
        <v>2091</v>
      </c>
      <c r="B120" t="s">
        <v>3166</v>
      </c>
      <c r="C120" t="s">
        <v>2198</v>
      </c>
      <c r="D120" t="s">
        <v>3279</v>
      </c>
      <c r="F120" t="s">
        <v>125</v>
      </c>
      <c r="G120" s="126">
        <f>SUMIFS('Support - Transition'!F:F,'Support - Transition'!B:B,'Step 2'!A120,'Support - Transition'!C:C,'Step 2'!B120,'Support - Transition'!D:D,'Step 2'!C120,'Support - Transition'!E:E,"CIVIL")</f>
        <v>0</v>
      </c>
      <c r="H120" s="126">
        <f>SUMIFS('Support - Transition'!F:F,'Support - Transition'!B:B,'Step 2'!A120,'Support - Transition'!C:C,'Step 2'!B120,'Support - Transition'!D:D,'Step 2'!C120,'Support - Transition'!E:E,"FIRE")</f>
        <v>0</v>
      </c>
      <c r="I120" s="126">
        <f>IF(B120="0",SUMIFS('Support - Transition'!F:F,'Support - Transition'!J:J,'Step 2'!D120,'Support - Transition'!E:E,"STATE UNIT"),SUMIFS('Support - Transition'!F:F,'Support - Transition'!J:J,'Step 2'!D120))</f>
        <v>2.0156E-2</v>
      </c>
      <c r="J120" s="126">
        <f>SUMIFS('Support - Unit Adjustments'!E:E,'Support - Unit Adjustments'!F:F,'Step 2'!D120)</f>
        <v>0</v>
      </c>
      <c r="K120" s="126">
        <f t="shared" si="21"/>
        <v>2.0156E-2</v>
      </c>
      <c r="L120" s="174">
        <f>VLOOKUP(A120,'Step 1'!$A:$E,4,FALSE)</f>
        <v>191532</v>
      </c>
      <c r="M120" s="47">
        <f t="shared" si="22"/>
        <v>3861</v>
      </c>
      <c r="N120" s="177">
        <f>SUMIFS('Support - Transition'!G:G,'Support - Transition'!J:J,'Step 2'!D120,'Support - Transition'!E:E,"2009 WELFARE ALLOCATION FACTOR")</f>
        <v>0</v>
      </c>
      <c r="O120" s="152">
        <f t="shared" si="28"/>
        <v>0</v>
      </c>
      <c r="P120" s="126">
        <f>IF(E120="Y",0,SUMIFS('Support - Transition'!G:G,'Support - Transition'!J:J,'Step 2'!D120,'Support - Transition'!E:E,"2009 SCHOOL ALLOCATION FACTOR"))</f>
        <v>0</v>
      </c>
      <c r="Q120" s="126">
        <f>IF(E120="Y",VLOOKUP(D120,'Support - Unit Adjustments'!F:G,2,FALSE),0)</f>
        <v>0</v>
      </c>
      <c r="R120" s="155">
        <f t="shared" si="23"/>
        <v>0</v>
      </c>
      <c r="S120" s="47">
        <f t="shared" si="29"/>
        <v>0</v>
      </c>
      <c r="T120" s="151">
        <f t="shared" si="24"/>
        <v>3861</v>
      </c>
      <c r="U120" s="151">
        <f t="shared" si="25"/>
        <v>0</v>
      </c>
      <c r="V120" s="139">
        <f t="shared" si="26"/>
        <v>0</v>
      </c>
      <c r="W120" s="152">
        <f t="shared" si="30"/>
        <v>3861</v>
      </c>
      <c r="X120" s="127" t="str">
        <f t="shared" si="27"/>
        <v/>
      </c>
      <c r="Y120" s="207">
        <f t="shared" si="31"/>
        <v>3861</v>
      </c>
      <c r="Z120" s="139">
        <f t="shared" si="32"/>
        <v>3861</v>
      </c>
      <c r="AA120" s="139">
        <f t="shared" si="33"/>
        <v>0</v>
      </c>
      <c r="AC120" s="47">
        <f t="shared" si="34"/>
        <v>1931</v>
      </c>
      <c r="AD120" s="47">
        <f t="shared" si="35"/>
        <v>1931</v>
      </c>
      <c r="AE120" s="47">
        <f t="shared" si="36"/>
        <v>0</v>
      </c>
      <c r="AG120" s="47">
        <f t="shared" si="37"/>
        <v>1930</v>
      </c>
      <c r="AH120" s="47">
        <f t="shared" si="38"/>
        <v>1930</v>
      </c>
      <c r="AI120" s="208">
        <f t="shared" si="39"/>
        <v>0</v>
      </c>
    </row>
    <row r="121" spans="1:35">
      <c r="A121" t="s">
        <v>2091</v>
      </c>
      <c r="B121" t="s">
        <v>3166</v>
      </c>
      <c r="C121" t="s">
        <v>2199</v>
      </c>
      <c r="D121" t="s">
        <v>3280</v>
      </c>
      <c r="F121" t="s">
        <v>130</v>
      </c>
      <c r="G121" s="126">
        <f>SUMIFS('Support - Transition'!F:F,'Support - Transition'!B:B,'Step 2'!A121,'Support - Transition'!C:C,'Step 2'!B121,'Support - Transition'!D:D,'Step 2'!C121,'Support - Transition'!E:E,"CIVIL")</f>
        <v>0</v>
      </c>
      <c r="H121" s="126">
        <f>SUMIFS('Support - Transition'!F:F,'Support - Transition'!B:B,'Step 2'!A121,'Support - Transition'!C:C,'Step 2'!B121,'Support - Transition'!D:D,'Step 2'!C121,'Support - Transition'!E:E,"FIRE")</f>
        <v>0</v>
      </c>
      <c r="I121" s="126">
        <f>IF(B121="0",SUMIFS('Support - Transition'!F:F,'Support - Transition'!J:J,'Step 2'!D121,'Support - Transition'!E:E,"STATE UNIT"),SUMIFS('Support - Transition'!F:F,'Support - Transition'!J:J,'Step 2'!D121))</f>
        <v>5.2400000000007996E-4</v>
      </c>
      <c r="J121" s="126">
        <f>SUMIFS('Support - Unit Adjustments'!E:E,'Support - Unit Adjustments'!F:F,'Step 2'!D121)</f>
        <v>0</v>
      </c>
      <c r="K121" s="126">
        <f t="shared" si="21"/>
        <v>5.2400000000007996E-4</v>
      </c>
      <c r="L121" s="174">
        <f>VLOOKUP(A121,'Step 1'!$A:$E,4,FALSE)</f>
        <v>191532</v>
      </c>
      <c r="M121" s="47">
        <f t="shared" si="22"/>
        <v>100</v>
      </c>
      <c r="N121" s="177">
        <f>SUMIFS('Support - Transition'!G:G,'Support - Transition'!J:J,'Step 2'!D121,'Support - Transition'!E:E,"2009 WELFARE ALLOCATION FACTOR")</f>
        <v>0</v>
      </c>
      <c r="O121" s="152">
        <f t="shared" si="28"/>
        <v>0</v>
      </c>
      <c r="P121" s="126">
        <f>IF(E121="Y",0,SUMIFS('Support - Transition'!G:G,'Support - Transition'!J:J,'Step 2'!D121,'Support - Transition'!E:E,"2009 SCHOOL ALLOCATION FACTOR"))</f>
        <v>0</v>
      </c>
      <c r="Q121" s="126">
        <f>IF(E121="Y",VLOOKUP(D121,'Support - Unit Adjustments'!F:G,2,FALSE),0)</f>
        <v>0</v>
      </c>
      <c r="R121" s="155">
        <f t="shared" si="23"/>
        <v>0</v>
      </c>
      <c r="S121" s="47">
        <f t="shared" si="29"/>
        <v>0</v>
      </c>
      <c r="T121" s="151">
        <f t="shared" si="24"/>
        <v>100</v>
      </c>
      <c r="U121" s="151">
        <f t="shared" si="25"/>
        <v>0</v>
      </c>
      <c r="V121" s="139">
        <f t="shared" si="26"/>
        <v>0</v>
      </c>
      <c r="W121" s="152">
        <f t="shared" si="30"/>
        <v>100</v>
      </c>
      <c r="X121" s="127" t="str">
        <f t="shared" si="27"/>
        <v/>
      </c>
      <c r="Y121" s="207">
        <f t="shared" si="31"/>
        <v>100</v>
      </c>
      <c r="Z121" s="139">
        <f t="shared" si="32"/>
        <v>100</v>
      </c>
      <c r="AA121" s="139">
        <f t="shared" si="33"/>
        <v>0</v>
      </c>
      <c r="AC121" s="47">
        <f t="shared" si="34"/>
        <v>50</v>
      </c>
      <c r="AD121" s="47">
        <f t="shared" si="35"/>
        <v>50</v>
      </c>
      <c r="AE121" s="47">
        <f t="shared" si="36"/>
        <v>0</v>
      </c>
      <c r="AG121" s="47">
        <f t="shared" si="37"/>
        <v>50</v>
      </c>
      <c r="AH121" s="47">
        <f t="shared" si="38"/>
        <v>50</v>
      </c>
      <c r="AI121" s="208">
        <f t="shared" si="39"/>
        <v>0</v>
      </c>
    </row>
    <row r="122" spans="1:35">
      <c r="A122" t="s">
        <v>2091</v>
      </c>
      <c r="B122" t="s">
        <v>3170</v>
      </c>
      <c r="C122" t="s">
        <v>3281</v>
      </c>
      <c r="D122" t="s">
        <v>3282</v>
      </c>
      <c r="F122" t="s">
        <v>131</v>
      </c>
      <c r="G122" s="126">
        <f>SUMIFS('Support - Transition'!F:F,'Support - Transition'!B:B,'Step 2'!A122,'Support - Transition'!C:C,'Step 2'!B122,'Support - Transition'!D:D,'Step 2'!C122,'Support - Transition'!E:E,"CIVIL")</f>
        <v>0</v>
      </c>
      <c r="H122" s="126">
        <f>SUMIFS('Support - Transition'!F:F,'Support - Transition'!B:B,'Step 2'!A122,'Support - Transition'!C:C,'Step 2'!B122,'Support - Transition'!D:D,'Step 2'!C122,'Support - Transition'!E:E,"FIRE")</f>
        <v>0</v>
      </c>
      <c r="I122" s="126">
        <f>IF(B122="0",SUMIFS('Support - Transition'!F:F,'Support - Transition'!J:J,'Step 2'!D122,'Support - Transition'!E:E,"STATE UNIT"),SUMIFS('Support - Transition'!F:F,'Support - Transition'!J:J,'Step 2'!D122))</f>
        <v>0</v>
      </c>
      <c r="J122" s="126">
        <f>SUMIFS('Support - Unit Adjustments'!E:E,'Support - Unit Adjustments'!F:F,'Step 2'!D122)</f>
        <v>0</v>
      </c>
      <c r="K122" s="126">
        <f t="shared" si="21"/>
        <v>0</v>
      </c>
      <c r="L122" s="174">
        <f>VLOOKUP(A122,'Step 1'!$A:$E,4,FALSE)</f>
        <v>191532</v>
      </c>
      <c r="M122" s="47">
        <f t="shared" si="22"/>
        <v>0</v>
      </c>
      <c r="N122" s="177">
        <f>SUMIFS('Support - Transition'!G:G,'Support - Transition'!J:J,'Step 2'!D122,'Support - Transition'!E:E,"2009 WELFARE ALLOCATION FACTOR")</f>
        <v>0</v>
      </c>
      <c r="O122" s="152">
        <f t="shared" si="28"/>
        <v>0</v>
      </c>
      <c r="P122" s="126">
        <f>IF(E122="Y",0,SUMIFS('Support - Transition'!G:G,'Support - Transition'!J:J,'Step 2'!D122,'Support - Transition'!E:E,"2009 SCHOOL ALLOCATION FACTOR"))</f>
        <v>0</v>
      </c>
      <c r="Q122" s="126">
        <f>IF(E122="Y",VLOOKUP(D122,'Support - Unit Adjustments'!F:G,2,FALSE),0)</f>
        <v>0</v>
      </c>
      <c r="R122" s="155">
        <f t="shared" si="23"/>
        <v>0</v>
      </c>
      <c r="S122" s="47">
        <f t="shared" si="29"/>
        <v>0</v>
      </c>
      <c r="T122" s="151">
        <f t="shared" si="24"/>
        <v>0</v>
      </c>
      <c r="U122" s="151">
        <f t="shared" si="25"/>
        <v>0</v>
      </c>
      <c r="V122" s="139">
        <f t="shared" si="26"/>
        <v>0</v>
      </c>
      <c r="W122" s="152">
        <f t="shared" si="30"/>
        <v>0</v>
      </c>
      <c r="X122" s="127" t="str">
        <f t="shared" si="27"/>
        <v/>
      </c>
      <c r="Y122" s="207">
        <f t="shared" si="31"/>
        <v>0</v>
      </c>
      <c r="Z122" s="139">
        <f t="shared" si="32"/>
        <v>0</v>
      </c>
      <c r="AA122" s="139">
        <f t="shared" si="33"/>
        <v>0</v>
      </c>
      <c r="AC122" s="47">
        <f t="shared" si="34"/>
        <v>0</v>
      </c>
      <c r="AD122" s="47">
        <f t="shared" si="35"/>
        <v>0</v>
      </c>
      <c r="AE122" s="47">
        <f t="shared" si="36"/>
        <v>0</v>
      </c>
      <c r="AG122" s="47">
        <f t="shared" si="37"/>
        <v>0</v>
      </c>
      <c r="AH122" s="47">
        <f t="shared" si="38"/>
        <v>0</v>
      </c>
      <c r="AI122" s="208">
        <f t="shared" si="39"/>
        <v>0</v>
      </c>
    </row>
    <row r="123" spans="1:35">
      <c r="A123" t="s">
        <v>2091</v>
      </c>
      <c r="B123" t="s">
        <v>3170</v>
      </c>
      <c r="C123" t="s">
        <v>3283</v>
      </c>
      <c r="D123" t="s">
        <v>3284</v>
      </c>
      <c r="F123" t="s">
        <v>3285</v>
      </c>
      <c r="G123" s="126">
        <f>SUMIFS('Support - Transition'!F:F,'Support - Transition'!B:B,'Step 2'!A123,'Support - Transition'!C:C,'Step 2'!B123,'Support - Transition'!D:D,'Step 2'!C123,'Support - Transition'!E:E,"CIVIL")</f>
        <v>0</v>
      </c>
      <c r="H123" s="126">
        <f>SUMIFS('Support - Transition'!F:F,'Support - Transition'!B:B,'Step 2'!A123,'Support - Transition'!C:C,'Step 2'!B123,'Support - Transition'!D:D,'Step 2'!C123,'Support - Transition'!E:E,"FIRE")</f>
        <v>0</v>
      </c>
      <c r="I123" s="126">
        <f>IF(B123="0",SUMIFS('Support - Transition'!F:F,'Support - Transition'!J:J,'Step 2'!D123,'Support - Transition'!E:E,"STATE UNIT"),SUMIFS('Support - Transition'!F:F,'Support - Transition'!J:J,'Step 2'!D123))</f>
        <v>0</v>
      </c>
      <c r="J123" s="126">
        <f>SUMIFS('Support - Unit Adjustments'!E:E,'Support - Unit Adjustments'!F:F,'Step 2'!D123)</f>
        <v>0</v>
      </c>
      <c r="K123" s="126">
        <f t="shared" si="21"/>
        <v>0</v>
      </c>
      <c r="L123" s="174">
        <f>VLOOKUP(A123,'Step 1'!$A:$E,4,FALSE)</f>
        <v>191532</v>
      </c>
      <c r="M123" s="47">
        <f t="shared" si="22"/>
        <v>0</v>
      </c>
      <c r="N123" s="177">
        <f>SUMIFS('Support - Transition'!G:G,'Support - Transition'!J:J,'Step 2'!D123,'Support - Transition'!E:E,"2009 WELFARE ALLOCATION FACTOR")</f>
        <v>0</v>
      </c>
      <c r="O123" s="152">
        <f t="shared" si="28"/>
        <v>0</v>
      </c>
      <c r="P123" s="126">
        <f>IF(E123="Y",0,SUMIFS('Support - Transition'!G:G,'Support - Transition'!J:J,'Step 2'!D123,'Support - Transition'!E:E,"2009 SCHOOL ALLOCATION FACTOR"))</f>
        <v>0</v>
      </c>
      <c r="Q123" s="126">
        <f>IF(E123="Y",VLOOKUP(D123,'Support - Unit Adjustments'!F:G,2,FALSE),0)</f>
        <v>0</v>
      </c>
      <c r="R123" s="155">
        <f t="shared" si="23"/>
        <v>0</v>
      </c>
      <c r="S123" s="47">
        <f t="shared" si="29"/>
        <v>0</v>
      </c>
      <c r="T123" s="151">
        <f t="shared" si="24"/>
        <v>0</v>
      </c>
      <c r="U123" s="151">
        <f t="shared" si="25"/>
        <v>0</v>
      </c>
      <c r="V123" s="139">
        <f t="shared" si="26"/>
        <v>0</v>
      </c>
      <c r="W123" s="152">
        <f t="shared" si="30"/>
        <v>0</v>
      </c>
      <c r="X123" s="127" t="str">
        <f t="shared" si="27"/>
        <v/>
      </c>
      <c r="Y123" s="207">
        <f t="shared" si="31"/>
        <v>0</v>
      </c>
      <c r="Z123" s="139">
        <f t="shared" si="32"/>
        <v>0</v>
      </c>
      <c r="AA123" s="139">
        <f t="shared" si="33"/>
        <v>0</v>
      </c>
      <c r="AC123" s="47">
        <f t="shared" si="34"/>
        <v>0</v>
      </c>
      <c r="AD123" s="47">
        <f t="shared" si="35"/>
        <v>0</v>
      </c>
      <c r="AE123" s="47">
        <f t="shared" si="36"/>
        <v>0</v>
      </c>
      <c r="AG123" s="47">
        <f t="shared" si="37"/>
        <v>0</v>
      </c>
      <c r="AH123" s="47">
        <f t="shared" si="38"/>
        <v>0</v>
      </c>
      <c r="AI123" s="208">
        <f t="shared" si="39"/>
        <v>0</v>
      </c>
    </row>
    <row r="124" spans="1:35">
      <c r="A124" t="s">
        <v>2091</v>
      </c>
      <c r="B124" t="s">
        <v>3286</v>
      </c>
      <c r="C124" t="s">
        <v>2249</v>
      </c>
      <c r="D124" t="s">
        <v>3287</v>
      </c>
      <c r="F124" t="s">
        <v>3288</v>
      </c>
      <c r="G124" s="126">
        <f>SUMIFS('Support - Transition'!F:F,'Support - Transition'!B:B,'Step 2'!A124,'Support - Transition'!C:C,'Step 2'!B124,'Support - Transition'!D:D,'Step 2'!C124,'Support - Transition'!E:E,"CIVIL")</f>
        <v>0</v>
      </c>
      <c r="H124" s="126">
        <f>SUMIFS('Support - Transition'!F:F,'Support - Transition'!B:B,'Step 2'!A124,'Support - Transition'!C:C,'Step 2'!B124,'Support - Transition'!D:D,'Step 2'!C124,'Support - Transition'!E:E,"FIRE")</f>
        <v>0</v>
      </c>
      <c r="I124" s="126">
        <f>IF(B124="0",SUMIFS('Support - Transition'!F:F,'Support - Transition'!J:J,'Step 2'!D124,'Support - Transition'!E:E,"STATE UNIT"),SUMIFS('Support - Transition'!F:F,'Support - Transition'!J:J,'Step 2'!D124))</f>
        <v>0</v>
      </c>
      <c r="J124" s="126">
        <f>SUMIFS('Support - Unit Adjustments'!E:E,'Support - Unit Adjustments'!F:F,'Step 2'!D124)</f>
        <v>0</v>
      </c>
      <c r="K124" s="126">
        <f t="shared" si="21"/>
        <v>0</v>
      </c>
      <c r="L124" s="174">
        <f>VLOOKUP(A124,'Step 1'!$A:$E,4,FALSE)</f>
        <v>191532</v>
      </c>
      <c r="M124" s="47">
        <f t="shared" si="22"/>
        <v>0</v>
      </c>
      <c r="N124" s="177">
        <f>SUMIFS('Support - Transition'!G:G,'Support - Transition'!J:J,'Step 2'!D124,'Support - Transition'!E:E,"2009 WELFARE ALLOCATION FACTOR")</f>
        <v>0</v>
      </c>
      <c r="O124" s="152">
        <f t="shared" si="28"/>
        <v>0</v>
      </c>
      <c r="P124" s="126">
        <f>IF(E124="Y",0,SUMIFS('Support - Transition'!G:G,'Support - Transition'!J:J,'Step 2'!D124,'Support - Transition'!E:E,"2009 SCHOOL ALLOCATION FACTOR"))</f>
        <v>0</v>
      </c>
      <c r="Q124" s="126">
        <f>IF(E124="Y",VLOOKUP(D124,'Support - Unit Adjustments'!F:G,2,FALSE),0)</f>
        <v>0</v>
      </c>
      <c r="R124" s="155">
        <f t="shared" si="23"/>
        <v>0</v>
      </c>
      <c r="S124" s="47">
        <f t="shared" si="29"/>
        <v>0</v>
      </c>
      <c r="T124" s="151">
        <f t="shared" si="24"/>
        <v>0</v>
      </c>
      <c r="U124" s="151">
        <f t="shared" si="25"/>
        <v>0</v>
      </c>
      <c r="V124" s="139">
        <f t="shared" si="26"/>
        <v>0</v>
      </c>
      <c r="W124" s="152">
        <f t="shared" si="30"/>
        <v>0</v>
      </c>
      <c r="X124" s="127" t="str">
        <f t="shared" si="27"/>
        <v/>
      </c>
      <c r="Y124" s="207">
        <f t="shared" si="31"/>
        <v>0</v>
      </c>
      <c r="Z124" s="139">
        <f t="shared" si="32"/>
        <v>0</v>
      </c>
      <c r="AA124" s="139">
        <f t="shared" si="33"/>
        <v>0</v>
      </c>
      <c r="AC124" s="47">
        <f t="shared" si="34"/>
        <v>0</v>
      </c>
      <c r="AD124" s="47">
        <f t="shared" si="35"/>
        <v>0</v>
      </c>
      <c r="AE124" s="47">
        <f t="shared" si="36"/>
        <v>0</v>
      </c>
      <c r="AG124" s="47">
        <f t="shared" si="37"/>
        <v>0</v>
      </c>
      <c r="AH124" s="47">
        <f t="shared" si="38"/>
        <v>0</v>
      </c>
      <c r="AI124" s="208">
        <f t="shared" si="39"/>
        <v>0</v>
      </c>
    </row>
    <row r="125" spans="1:35">
      <c r="A125" t="s">
        <v>2092</v>
      </c>
      <c r="B125" s="48" t="s">
        <v>6274</v>
      </c>
      <c r="C125" t="s">
        <v>2187</v>
      </c>
      <c r="D125" t="str">
        <f>A125&amp;B125&amp;C125</f>
        <v>0500000</v>
      </c>
      <c r="F125" t="s">
        <v>6279</v>
      </c>
      <c r="G125" s="126">
        <f>SUMIFS('Support - Transition'!F:F,'Support - Transition'!B:B,'Step 2'!A125,'Support - Transition'!C:C,'Step 2'!B125,'Support - Transition'!D:D,'Step 2'!C125,'Support - Transition'!E:E,"CIVIL")</f>
        <v>0</v>
      </c>
      <c r="H125" s="126">
        <f>SUMIFS('Support - Transition'!F:F,'Support - Transition'!B:B,'Step 2'!A125,'Support - Transition'!C:C,'Step 2'!B125,'Support - Transition'!D:D,'Step 2'!C125,'Support - Transition'!E:E,"FIRE")</f>
        <v>0</v>
      </c>
      <c r="I125" s="126">
        <f>IF(B125="0",SUMIFS('Support - Transition'!F:F,'Support - Transition'!J:J,'Step 2'!D125,'Support - Transition'!E:E,"STATE UNIT"),SUMIFS('Support - Transition'!F:F,'Support - Transition'!J:J,'Step 2'!D125))</f>
        <v>8.8500000000000004E-4</v>
      </c>
      <c r="J125" s="126">
        <f>SUMIFS('Support - Unit Adjustments'!E:E,'Support - Unit Adjustments'!F:F,'Step 2'!D125)</f>
        <v>0</v>
      </c>
      <c r="K125" s="126">
        <f t="shared" si="21"/>
        <v>8.8500000000000004E-4</v>
      </c>
      <c r="L125" s="174">
        <f>VLOOKUP(A125,'Step 1'!$A:$E,4,FALSE)</f>
        <v>115313</v>
      </c>
      <c r="M125" s="47">
        <f t="shared" si="22"/>
        <v>102</v>
      </c>
      <c r="N125" s="177">
        <f>SUMIFS('Support - Transition'!G:G,'Support - Transition'!J:J,'Step 2'!D125,'Support - Transition'!E:E,"2009 WELFARE ALLOCATION FACTOR")</f>
        <v>0</v>
      </c>
      <c r="O125" s="152">
        <f t="shared" si="28"/>
        <v>0</v>
      </c>
      <c r="P125" s="126">
        <f>IF(E125="Y",0,SUMIFS('Support - Transition'!G:G,'Support - Transition'!J:J,'Step 2'!D125,'Support - Transition'!E:E,"2009 SCHOOL ALLOCATION FACTOR"))</f>
        <v>0</v>
      </c>
      <c r="Q125" s="126">
        <f>IF(E125="Y",VLOOKUP(D125,'Support - Unit Adjustments'!F:G,2,FALSE),0)</f>
        <v>0</v>
      </c>
      <c r="R125" s="155">
        <f t="shared" si="23"/>
        <v>0</v>
      </c>
      <c r="S125" s="47">
        <f t="shared" si="29"/>
        <v>0</v>
      </c>
      <c r="T125" s="151">
        <f t="shared" si="24"/>
        <v>102</v>
      </c>
      <c r="U125" s="151">
        <f t="shared" si="25"/>
        <v>115312</v>
      </c>
      <c r="V125" s="139">
        <f t="shared" si="26"/>
        <v>-1</v>
      </c>
      <c r="W125" s="152">
        <f t="shared" si="30"/>
        <v>103</v>
      </c>
      <c r="X125" s="127">
        <f t="shared" si="27"/>
        <v>0</v>
      </c>
      <c r="Y125" s="207">
        <f t="shared" si="31"/>
        <v>103</v>
      </c>
      <c r="Z125" s="139">
        <f t="shared" si="32"/>
        <v>103</v>
      </c>
      <c r="AA125" s="139">
        <f t="shared" si="33"/>
        <v>0</v>
      </c>
      <c r="AC125" s="47">
        <f t="shared" si="34"/>
        <v>52</v>
      </c>
      <c r="AD125" s="47">
        <f t="shared" si="35"/>
        <v>52</v>
      </c>
      <c r="AE125" s="47">
        <f t="shared" si="36"/>
        <v>0</v>
      </c>
      <c r="AG125" s="47">
        <f t="shared" si="37"/>
        <v>51</v>
      </c>
      <c r="AH125" s="47">
        <f t="shared" si="38"/>
        <v>51</v>
      </c>
      <c r="AI125" s="208">
        <f t="shared" si="39"/>
        <v>0</v>
      </c>
    </row>
    <row r="126" spans="1:35">
      <c r="A126" t="s">
        <v>2092</v>
      </c>
      <c r="B126" t="s">
        <v>3140</v>
      </c>
      <c r="C126" t="s">
        <v>2187</v>
      </c>
      <c r="D126" t="s">
        <v>3289</v>
      </c>
      <c r="F126" t="s">
        <v>133</v>
      </c>
      <c r="G126" s="126">
        <f>SUMIFS('Support - Transition'!F:F,'Support - Transition'!B:B,'Step 2'!A126,'Support - Transition'!C:C,'Step 2'!B126,'Support - Transition'!D:D,'Step 2'!C126,'Support - Transition'!E:E,"CIVIL")</f>
        <v>0</v>
      </c>
      <c r="H126" s="126">
        <f>SUMIFS('Support - Transition'!F:F,'Support - Transition'!B:B,'Step 2'!A126,'Support - Transition'!C:C,'Step 2'!B126,'Support - Transition'!D:D,'Step 2'!C126,'Support - Transition'!E:E,"FIRE")</f>
        <v>0</v>
      </c>
      <c r="I126" s="126">
        <f>IF(B126="0",SUMIFS('Support - Transition'!F:F,'Support - Transition'!J:J,'Step 2'!D126,'Support - Transition'!E:E,"STATE UNIT"),SUMIFS('Support - Transition'!F:F,'Support - Transition'!J:J,'Step 2'!D126))</f>
        <v>0.25756400000000002</v>
      </c>
      <c r="J126" s="126">
        <f>SUMIFS('Support - Unit Adjustments'!E:E,'Support - Unit Adjustments'!F:F,'Step 2'!D126)</f>
        <v>0</v>
      </c>
      <c r="K126" s="126">
        <f t="shared" si="21"/>
        <v>0.25756400000000002</v>
      </c>
      <c r="L126" s="174">
        <f>VLOOKUP(A126,'Step 1'!$A:$E,4,FALSE)</f>
        <v>115313</v>
      </c>
      <c r="M126" s="47">
        <f t="shared" si="22"/>
        <v>29700</v>
      </c>
      <c r="N126" s="177">
        <f>SUMIFS('Support - Transition'!G:G,'Support - Transition'!J:J,'Step 2'!D126,'Support - Transition'!E:E,"2009 WELFARE ALLOCATION FACTOR")</f>
        <v>0.13148599999999999</v>
      </c>
      <c r="O126" s="152">
        <f t="shared" si="28"/>
        <v>3905</v>
      </c>
      <c r="P126" s="126">
        <f>IF(E126="Y",0,SUMIFS('Support - Transition'!G:G,'Support - Transition'!J:J,'Step 2'!D126,'Support - Transition'!E:E,"2009 SCHOOL ALLOCATION FACTOR"))</f>
        <v>0</v>
      </c>
      <c r="Q126" s="126">
        <f>IF(E126="Y",VLOOKUP(D126,'Support - Unit Adjustments'!F:G,2,FALSE),0)</f>
        <v>0</v>
      </c>
      <c r="R126" s="155">
        <f t="shared" si="23"/>
        <v>0</v>
      </c>
      <c r="S126" s="47">
        <f t="shared" si="29"/>
        <v>0</v>
      </c>
      <c r="T126" s="151">
        <f t="shared" si="24"/>
        <v>25795</v>
      </c>
      <c r="U126" s="151">
        <f t="shared" si="25"/>
        <v>0</v>
      </c>
      <c r="V126" s="139">
        <f t="shared" si="26"/>
        <v>0</v>
      </c>
      <c r="W126" s="152">
        <f t="shared" si="30"/>
        <v>25795</v>
      </c>
      <c r="X126" s="127" t="str">
        <f t="shared" si="27"/>
        <v/>
      </c>
      <c r="Y126" s="207">
        <f t="shared" si="31"/>
        <v>25795</v>
      </c>
      <c r="Z126" s="139">
        <f t="shared" si="32"/>
        <v>25795</v>
      </c>
      <c r="AA126" s="139">
        <f t="shared" si="33"/>
        <v>0</v>
      </c>
      <c r="AC126" s="47">
        <f t="shared" si="34"/>
        <v>12898</v>
      </c>
      <c r="AD126" s="47">
        <f t="shared" si="35"/>
        <v>12898</v>
      </c>
      <c r="AE126" s="47">
        <f t="shared" si="36"/>
        <v>0</v>
      </c>
      <c r="AG126" s="47">
        <f t="shared" si="37"/>
        <v>12897</v>
      </c>
      <c r="AH126" s="47">
        <f t="shared" si="38"/>
        <v>12897</v>
      </c>
      <c r="AI126" s="208">
        <f t="shared" si="39"/>
        <v>0</v>
      </c>
    </row>
    <row r="127" spans="1:35">
      <c r="A127" t="s">
        <v>2092</v>
      </c>
      <c r="B127" t="s">
        <v>3142</v>
      </c>
      <c r="C127" t="s">
        <v>2188</v>
      </c>
      <c r="D127" t="s">
        <v>3290</v>
      </c>
      <c r="F127" t="s">
        <v>86</v>
      </c>
      <c r="G127" s="126">
        <f>SUMIFS('Support - Transition'!F:F,'Support - Transition'!B:B,'Step 2'!A127,'Support - Transition'!C:C,'Step 2'!B127,'Support - Transition'!D:D,'Step 2'!C127,'Support - Transition'!E:E,"CIVIL")</f>
        <v>3.9519999999999998E-3</v>
      </c>
      <c r="H127" s="126">
        <f>SUMIFS('Support - Transition'!F:F,'Support - Transition'!B:B,'Step 2'!A127,'Support - Transition'!C:C,'Step 2'!B127,'Support - Transition'!D:D,'Step 2'!C127,'Support - Transition'!E:E,"FIRE")</f>
        <v>1.2570000000000001E-3</v>
      </c>
      <c r="I127" s="126">
        <f>IF(B127="0",SUMIFS('Support - Transition'!F:F,'Support - Transition'!J:J,'Step 2'!D127,'Support - Transition'!E:E,"STATE UNIT"),SUMIFS('Support - Transition'!F:F,'Support - Transition'!J:J,'Step 2'!D127))</f>
        <v>5.2090000000000001E-3</v>
      </c>
      <c r="J127" s="126">
        <f>SUMIFS('Support - Unit Adjustments'!E:E,'Support - Unit Adjustments'!F:F,'Step 2'!D127)</f>
        <v>0</v>
      </c>
      <c r="K127" s="126">
        <f t="shared" si="21"/>
        <v>5.2090000000000001E-3</v>
      </c>
      <c r="L127" s="174">
        <f>VLOOKUP(A127,'Step 1'!$A:$E,4,FALSE)</f>
        <v>115313</v>
      </c>
      <c r="M127" s="47">
        <f t="shared" si="22"/>
        <v>601</v>
      </c>
      <c r="N127" s="177">
        <f>SUMIFS('Support - Transition'!G:G,'Support - Transition'!J:J,'Step 2'!D127,'Support - Transition'!E:E,"2009 WELFARE ALLOCATION FACTOR")</f>
        <v>0</v>
      </c>
      <c r="O127" s="152">
        <f t="shared" si="28"/>
        <v>0</v>
      </c>
      <c r="P127" s="126">
        <f>IF(E127="Y",0,SUMIFS('Support - Transition'!G:G,'Support - Transition'!J:J,'Step 2'!D127,'Support - Transition'!E:E,"2009 SCHOOL ALLOCATION FACTOR"))</f>
        <v>0</v>
      </c>
      <c r="Q127" s="126">
        <f>IF(E127="Y",VLOOKUP(D127,'Support - Unit Adjustments'!F:G,2,FALSE),0)</f>
        <v>0</v>
      </c>
      <c r="R127" s="155">
        <f t="shared" si="23"/>
        <v>0</v>
      </c>
      <c r="S127" s="47">
        <f t="shared" si="29"/>
        <v>0</v>
      </c>
      <c r="T127" s="151">
        <f t="shared" si="24"/>
        <v>601</v>
      </c>
      <c r="U127" s="151">
        <f t="shared" si="25"/>
        <v>0</v>
      </c>
      <c r="V127" s="139">
        <f t="shared" si="26"/>
        <v>0</v>
      </c>
      <c r="W127" s="152">
        <f t="shared" si="30"/>
        <v>601</v>
      </c>
      <c r="X127" s="127" t="str">
        <f t="shared" si="27"/>
        <v/>
      </c>
      <c r="Y127" s="207">
        <f t="shared" si="31"/>
        <v>601</v>
      </c>
      <c r="Z127" s="139">
        <f t="shared" si="32"/>
        <v>456</v>
      </c>
      <c r="AA127" s="139">
        <f t="shared" si="33"/>
        <v>145</v>
      </c>
      <c r="AC127" s="47">
        <f t="shared" si="34"/>
        <v>301</v>
      </c>
      <c r="AD127" s="47">
        <f t="shared" si="35"/>
        <v>228</v>
      </c>
      <c r="AE127" s="47">
        <f t="shared" si="36"/>
        <v>73</v>
      </c>
      <c r="AG127" s="47">
        <f t="shared" si="37"/>
        <v>300</v>
      </c>
      <c r="AH127" s="47">
        <f t="shared" si="38"/>
        <v>228</v>
      </c>
      <c r="AI127" s="208">
        <f t="shared" si="39"/>
        <v>72</v>
      </c>
    </row>
    <row r="128" spans="1:35">
      <c r="A128" t="s">
        <v>2092</v>
      </c>
      <c r="B128" t="s">
        <v>3142</v>
      </c>
      <c r="C128" t="s">
        <v>2189</v>
      </c>
      <c r="D128" t="s">
        <v>3291</v>
      </c>
      <c r="F128" t="s">
        <v>49</v>
      </c>
      <c r="G128" s="126">
        <f>SUMIFS('Support - Transition'!F:F,'Support - Transition'!B:B,'Step 2'!A128,'Support - Transition'!C:C,'Step 2'!B128,'Support - Transition'!D:D,'Step 2'!C128,'Support - Transition'!E:E,"CIVIL")</f>
        <v>1.225E-3</v>
      </c>
      <c r="H128" s="126">
        <f>SUMIFS('Support - Transition'!F:F,'Support - Transition'!B:B,'Step 2'!A128,'Support - Transition'!C:C,'Step 2'!B128,'Support - Transition'!D:D,'Step 2'!C128,'Support - Transition'!E:E,"FIRE")</f>
        <v>2.5999999999999999E-3</v>
      </c>
      <c r="I128" s="126">
        <f>IF(B128="0",SUMIFS('Support - Transition'!F:F,'Support - Transition'!J:J,'Step 2'!D128,'Support - Transition'!E:E,"STATE UNIT"),SUMIFS('Support - Transition'!F:F,'Support - Transition'!J:J,'Step 2'!D128))</f>
        <v>3.8249999999999998E-3</v>
      </c>
      <c r="J128" s="126">
        <f>SUMIFS('Support - Unit Adjustments'!E:E,'Support - Unit Adjustments'!F:F,'Step 2'!D128)</f>
        <v>0</v>
      </c>
      <c r="K128" s="126">
        <f t="shared" si="21"/>
        <v>3.8249999999999998E-3</v>
      </c>
      <c r="L128" s="174">
        <f>VLOOKUP(A128,'Step 1'!$A:$E,4,FALSE)</f>
        <v>115313</v>
      </c>
      <c r="M128" s="47">
        <f t="shared" si="22"/>
        <v>441</v>
      </c>
      <c r="N128" s="177">
        <f>SUMIFS('Support - Transition'!G:G,'Support - Transition'!J:J,'Step 2'!D128,'Support - Transition'!E:E,"2009 WELFARE ALLOCATION FACTOR")</f>
        <v>0</v>
      </c>
      <c r="O128" s="152">
        <f t="shared" si="28"/>
        <v>0</v>
      </c>
      <c r="P128" s="126">
        <f>IF(E128="Y",0,SUMIFS('Support - Transition'!G:G,'Support - Transition'!J:J,'Step 2'!D128,'Support - Transition'!E:E,"2009 SCHOOL ALLOCATION FACTOR"))</f>
        <v>0</v>
      </c>
      <c r="Q128" s="126">
        <f>IF(E128="Y",VLOOKUP(D128,'Support - Unit Adjustments'!F:G,2,FALSE),0)</f>
        <v>0</v>
      </c>
      <c r="R128" s="155">
        <f t="shared" si="23"/>
        <v>0</v>
      </c>
      <c r="S128" s="47">
        <f t="shared" si="29"/>
        <v>0</v>
      </c>
      <c r="T128" s="151">
        <f t="shared" si="24"/>
        <v>441</v>
      </c>
      <c r="U128" s="151">
        <f t="shared" si="25"/>
        <v>0</v>
      </c>
      <c r="V128" s="139">
        <f t="shared" si="26"/>
        <v>0</v>
      </c>
      <c r="W128" s="152">
        <f t="shared" si="30"/>
        <v>441</v>
      </c>
      <c r="X128" s="127" t="str">
        <f t="shared" si="27"/>
        <v/>
      </c>
      <c r="Y128" s="207">
        <f t="shared" si="31"/>
        <v>441</v>
      </c>
      <c r="Z128" s="139">
        <f t="shared" si="32"/>
        <v>141</v>
      </c>
      <c r="AA128" s="139">
        <f t="shared" si="33"/>
        <v>300</v>
      </c>
      <c r="AC128" s="47">
        <f t="shared" si="34"/>
        <v>221</v>
      </c>
      <c r="AD128" s="47">
        <f t="shared" si="35"/>
        <v>71</v>
      </c>
      <c r="AE128" s="47">
        <f t="shared" si="36"/>
        <v>150</v>
      </c>
      <c r="AG128" s="47">
        <f t="shared" si="37"/>
        <v>220</v>
      </c>
      <c r="AH128" s="47">
        <f t="shared" si="38"/>
        <v>70</v>
      </c>
      <c r="AI128" s="208">
        <f t="shared" si="39"/>
        <v>150</v>
      </c>
    </row>
    <row r="129" spans="1:35">
      <c r="A129" t="s">
        <v>2092</v>
      </c>
      <c r="B129" t="s">
        <v>3142</v>
      </c>
      <c r="C129" t="s">
        <v>2190</v>
      </c>
      <c r="D129" t="s">
        <v>3292</v>
      </c>
      <c r="F129" t="s">
        <v>134</v>
      </c>
      <c r="G129" s="126">
        <f>SUMIFS('Support - Transition'!F:F,'Support - Transition'!B:B,'Step 2'!A129,'Support - Transition'!C:C,'Step 2'!B129,'Support - Transition'!D:D,'Step 2'!C129,'Support - Transition'!E:E,"CIVIL")</f>
        <v>6.4409999999999997E-3</v>
      </c>
      <c r="H129" s="126">
        <f>SUMIFS('Support - Transition'!F:F,'Support - Transition'!B:B,'Step 2'!A129,'Support - Transition'!C:C,'Step 2'!B129,'Support - Transition'!D:D,'Step 2'!C129,'Support - Transition'!E:E,"FIRE")</f>
        <v>2.13E-4</v>
      </c>
      <c r="I129" s="126">
        <f>IF(B129="0",SUMIFS('Support - Transition'!F:F,'Support - Transition'!J:J,'Step 2'!D129,'Support - Transition'!E:E,"STATE UNIT"),SUMIFS('Support - Transition'!F:F,'Support - Transition'!J:J,'Step 2'!D129))</f>
        <v>6.6539999999999993E-3</v>
      </c>
      <c r="J129" s="126">
        <f>SUMIFS('Support - Unit Adjustments'!E:E,'Support - Unit Adjustments'!F:F,'Step 2'!D129)</f>
        <v>0</v>
      </c>
      <c r="K129" s="126">
        <f t="shared" si="21"/>
        <v>6.6539999999999993E-3</v>
      </c>
      <c r="L129" s="174">
        <f>VLOOKUP(A129,'Step 1'!$A:$E,4,FALSE)</f>
        <v>115313</v>
      </c>
      <c r="M129" s="47">
        <f t="shared" si="22"/>
        <v>767</v>
      </c>
      <c r="N129" s="177">
        <f>SUMIFS('Support - Transition'!G:G,'Support - Transition'!J:J,'Step 2'!D129,'Support - Transition'!E:E,"2009 WELFARE ALLOCATION FACTOR")</f>
        <v>0</v>
      </c>
      <c r="O129" s="152">
        <f t="shared" si="28"/>
        <v>0</v>
      </c>
      <c r="P129" s="126">
        <f>IF(E129="Y",0,SUMIFS('Support - Transition'!G:G,'Support - Transition'!J:J,'Step 2'!D129,'Support - Transition'!E:E,"2009 SCHOOL ALLOCATION FACTOR"))</f>
        <v>0</v>
      </c>
      <c r="Q129" s="126">
        <f>IF(E129="Y",VLOOKUP(D129,'Support - Unit Adjustments'!F:G,2,FALSE),0)</f>
        <v>0</v>
      </c>
      <c r="R129" s="155">
        <f t="shared" si="23"/>
        <v>0</v>
      </c>
      <c r="S129" s="47">
        <f t="shared" si="29"/>
        <v>0</v>
      </c>
      <c r="T129" s="151">
        <f t="shared" si="24"/>
        <v>767</v>
      </c>
      <c r="U129" s="151">
        <f t="shared" si="25"/>
        <v>0</v>
      </c>
      <c r="V129" s="139">
        <f t="shared" si="26"/>
        <v>0</v>
      </c>
      <c r="W129" s="152">
        <f t="shared" si="30"/>
        <v>767</v>
      </c>
      <c r="X129" s="127" t="str">
        <f t="shared" si="27"/>
        <v/>
      </c>
      <c r="Y129" s="207">
        <f t="shared" si="31"/>
        <v>767</v>
      </c>
      <c r="Z129" s="139">
        <f t="shared" si="32"/>
        <v>742</v>
      </c>
      <c r="AA129" s="139">
        <f t="shared" si="33"/>
        <v>25</v>
      </c>
      <c r="AC129" s="47">
        <f t="shared" si="34"/>
        <v>384</v>
      </c>
      <c r="AD129" s="47">
        <f t="shared" si="35"/>
        <v>371</v>
      </c>
      <c r="AE129" s="47">
        <f t="shared" si="36"/>
        <v>13</v>
      </c>
      <c r="AG129" s="47">
        <f t="shared" si="37"/>
        <v>383</v>
      </c>
      <c r="AH129" s="47">
        <f t="shared" si="38"/>
        <v>371</v>
      </c>
      <c r="AI129" s="208">
        <f t="shared" si="39"/>
        <v>12</v>
      </c>
    </row>
    <row r="130" spans="1:35">
      <c r="A130" t="s">
        <v>2092</v>
      </c>
      <c r="B130" t="s">
        <v>3142</v>
      </c>
      <c r="C130" t="s">
        <v>2191</v>
      </c>
      <c r="D130" t="s">
        <v>3293</v>
      </c>
      <c r="F130" t="s">
        <v>22</v>
      </c>
      <c r="G130" s="126">
        <f>SUMIFS('Support - Transition'!F:F,'Support - Transition'!B:B,'Step 2'!A130,'Support - Transition'!C:C,'Step 2'!B130,'Support - Transition'!D:D,'Step 2'!C130,'Support - Transition'!E:E,"CIVIL")</f>
        <v>2.5300000000000002E-4</v>
      </c>
      <c r="H130" s="126">
        <f>SUMIFS('Support - Transition'!F:F,'Support - Transition'!B:B,'Step 2'!A130,'Support - Transition'!C:C,'Step 2'!B130,'Support - Transition'!D:D,'Step 2'!C130,'Support - Transition'!E:E,"FIRE")</f>
        <v>1.74E-4</v>
      </c>
      <c r="I130" s="126">
        <f>IF(B130="0",SUMIFS('Support - Transition'!F:F,'Support - Transition'!J:J,'Step 2'!D130,'Support - Transition'!E:E,"STATE UNIT"),SUMIFS('Support - Transition'!F:F,'Support - Transition'!J:J,'Step 2'!D130))</f>
        <v>4.2700000000000002E-4</v>
      </c>
      <c r="J130" s="126">
        <f>SUMIFS('Support - Unit Adjustments'!E:E,'Support - Unit Adjustments'!F:F,'Step 2'!D130)</f>
        <v>0</v>
      </c>
      <c r="K130" s="126">
        <f t="shared" ref="K130:K193" si="40">+I130+J130</f>
        <v>4.2700000000000002E-4</v>
      </c>
      <c r="L130" s="174">
        <f>VLOOKUP(A130,'Step 1'!$A:$E,4,FALSE)</f>
        <v>115313</v>
      </c>
      <c r="M130" s="47">
        <f t="shared" ref="M130:M193" si="41">ROUND(+K130*L130,0)</f>
        <v>49</v>
      </c>
      <c r="N130" s="177">
        <f>SUMIFS('Support - Transition'!G:G,'Support - Transition'!J:J,'Step 2'!D130,'Support - Transition'!E:E,"2009 WELFARE ALLOCATION FACTOR")</f>
        <v>0</v>
      </c>
      <c r="O130" s="152">
        <f t="shared" si="28"/>
        <v>0</v>
      </c>
      <c r="P130" s="126">
        <f>IF(E130="Y",0,SUMIFS('Support - Transition'!G:G,'Support - Transition'!J:J,'Step 2'!D130,'Support - Transition'!E:E,"2009 SCHOOL ALLOCATION FACTOR"))</f>
        <v>0</v>
      </c>
      <c r="Q130" s="126">
        <f>IF(E130="Y",VLOOKUP(D130,'Support - Unit Adjustments'!F:G,2,FALSE),0)</f>
        <v>0</v>
      </c>
      <c r="R130" s="155">
        <f t="shared" ref="R130:R193" si="42">+P130+Q130</f>
        <v>0</v>
      </c>
      <c r="S130" s="47">
        <f t="shared" si="29"/>
        <v>0</v>
      </c>
      <c r="T130" s="151">
        <f t="shared" ref="T130:T193" si="43">ROUND(+M130-O130-S130,2)</f>
        <v>49</v>
      </c>
      <c r="U130" s="151">
        <f t="shared" ref="U130:U193" si="44">IF(B130="0",SUMIFS(O:O,A:A,A130)+SUMIFS(S:S,A:A,A130)+SUMIFS(T:T,A:A,A130),0)</f>
        <v>0</v>
      </c>
      <c r="V130" s="139">
        <f t="shared" ref="V130:V193" si="45">IF(B130="0",U130-L130,0)</f>
        <v>0</v>
      </c>
      <c r="W130" s="152">
        <f t="shared" si="30"/>
        <v>49</v>
      </c>
      <c r="X130" s="127" t="str">
        <f t="shared" ref="X130:X193" si="46">IF(B130="0",SUMIFS(O:O,A:A,A130)+SUMIFS(S:S,A:A,A130)+SUMIFS(W:W,A:A,A130)-L130,"")</f>
        <v/>
      </c>
      <c r="Y130" s="207">
        <f t="shared" si="31"/>
        <v>49</v>
      </c>
      <c r="Z130" s="139">
        <f t="shared" si="32"/>
        <v>29</v>
      </c>
      <c r="AA130" s="139">
        <f t="shared" si="33"/>
        <v>20</v>
      </c>
      <c r="AC130" s="47">
        <f t="shared" si="34"/>
        <v>25</v>
      </c>
      <c r="AD130" s="47">
        <f t="shared" si="35"/>
        <v>15</v>
      </c>
      <c r="AE130" s="47">
        <f t="shared" si="36"/>
        <v>10</v>
      </c>
      <c r="AG130" s="47">
        <f t="shared" si="37"/>
        <v>24</v>
      </c>
      <c r="AH130" s="47">
        <f t="shared" si="38"/>
        <v>14</v>
      </c>
      <c r="AI130" s="208">
        <f t="shared" si="39"/>
        <v>10</v>
      </c>
    </row>
    <row r="131" spans="1:35">
      <c r="A131" t="s">
        <v>2092</v>
      </c>
      <c r="B131" t="s">
        <v>3155</v>
      </c>
      <c r="C131" t="s">
        <v>2250</v>
      </c>
      <c r="D131" t="s">
        <v>3294</v>
      </c>
      <c r="F131" t="s">
        <v>136</v>
      </c>
      <c r="G131" s="126">
        <f>SUMIFS('Support - Transition'!F:F,'Support - Transition'!B:B,'Step 2'!A131,'Support - Transition'!C:C,'Step 2'!B131,'Support - Transition'!D:D,'Step 2'!C131,'Support - Transition'!E:E,"CIVIL")</f>
        <v>0</v>
      </c>
      <c r="H131" s="126">
        <f>SUMIFS('Support - Transition'!F:F,'Support - Transition'!B:B,'Step 2'!A131,'Support - Transition'!C:C,'Step 2'!B131,'Support - Transition'!D:D,'Step 2'!C131,'Support - Transition'!E:E,"FIRE")</f>
        <v>0</v>
      </c>
      <c r="I131" s="126">
        <f>IF(B131="0",SUMIFS('Support - Transition'!F:F,'Support - Transition'!J:J,'Step 2'!D131,'Support - Transition'!E:E,"STATE UNIT"),SUMIFS('Support - Transition'!F:F,'Support - Transition'!J:J,'Step 2'!D131))</f>
        <v>0.12617</v>
      </c>
      <c r="J131" s="126">
        <f>SUMIFS('Support - Unit Adjustments'!E:E,'Support - Unit Adjustments'!F:F,'Step 2'!D131)</f>
        <v>0</v>
      </c>
      <c r="K131" s="126">
        <f t="shared" si="40"/>
        <v>0.12617</v>
      </c>
      <c r="L131" s="174">
        <f>VLOOKUP(A131,'Step 1'!$A:$E,4,FALSE)</f>
        <v>115313</v>
      </c>
      <c r="M131" s="47">
        <f t="shared" si="41"/>
        <v>14549</v>
      </c>
      <c r="N131" s="177">
        <f>SUMIFS('Support - Transition'!G:G,'Support - Transition'!J:J,'Step 2'!D131,'Support - Transition'!E:E,"2009 WELFARE ALLOCATION FACTOR")</f>
        <v>0</v>
      </c>
      <c r="O131" s="152">
        <f t="shared" ref="O131:O194" si="47">ROUND(+N131*M131,0)</f>
        <v>0</v>
      </c>
      <c r="P131" s="126">
        <f>IF(E131="Y",0,SUMIFS('Support - Transition'!G:G,'Support - Transition'!J:J,'Step 2'!D131,'Support - Transition'!E:E,"2009 SCHOOL ALLOCATION FACTOR"))</f>
        <v>0</v>
      </c>
      <c r="Q131" s="126">
        <f>IF(E131="Y",VLOOKUP(D131,'Support - Unit Adjustments'!F:G,2,FALSE),0)</f>
        <v>0</v>
      </c>
      <c r="R131" s="155">
        <f t="shared" si="42"/>
        <v>0</v>
      </c>
      <c r="S131" s="47">
        <f t="shared" ref="S131:S194" si="48">ROUND(+P131*M131,0)</f>
        <v>0</v>
      </c>
      <c r="T131" s="151">
        <f t="shared" si="43"/>
        <v>14549</v>
      </c>
      <c r="U131" s="151">
        <f t="shared" si="44"/>
        <v>0</v>
      </c>
      <c r="V131" s="139">
        <f t="shared" si="45"/>
        <v>0</v>
      </c>
      <c r="W131" s="152">
        <f t="shared" ref="W131:W194" si="49">+T131-V131</f>
        <v>14549</v>
      </c>
      <c r="X131" s="127" t="str">
        <f t="shared" si="46"/>
        <v/>
      </c>
      <c r="Y131" s="207">
        <f t="shared" ref="Y131:Y194" si="50">W131</f>
        <v>14549</v>
      </c>
      <c r="Z131" s="139">
        <f t="shared" ref="Z131:Z194" si="51">IFERROR(IF(B131="2",ROUND(Y131*G131/I131,0),Y131),0)</f>
        <v>14549</v>
      </c>
      <c r="AA131" s="139">
        <f t="shared" ref="AA131:AA194" si="52">+Y131-Z131</f>
        <v>0</v>
      </c>
      <c r="AC131" s="47">
        <f t="shared" ref="AC131:AC194" si="53">ROUND(Y131/2,0)</f>
        <v>7275</v>
      </c>
      <c r="AD131" s="47">
        <f t="shared" ref="AD131:AD194" si="54">ROUND(Z131/2,0)</f>
        <v>7275</v>
      </c>
      <c r="AE131" s="47">
        <f t="shared" ref="AE131:AE194" si="55">ROUND(AA131/2,0)</f>
        <v>0</v>
      </c>
      <c r="AG131" s="47">
        <f t="shared" ref="AG131:AG194" si="56">+Y131-AC131</f>
        <v>7274</v>
      </c>
      <c r="AH131" s="47">
        <f t="shared" ref="AH131:AH194" si="57">+Z131-AD131</f>
        <v>7274</v>
      </c>
      <c r="AI131" s="208">
        <f t="shared" ref="AI131:AI194" si="58">+AA131-AE131</f>
        <v>0</v>
      </c>
    </row>
    <row r="132" spans="1:35">
      <c r="A132" t="s">
        <v>2092</v>
      </c>
      <c r="B132" t="s">
        <v>3155</v>
      </c>
      <c r="C132" t="s">
        <v>2251</v>
      </c>
      <c r="D132" t="s">
        <v>3295</v>
      </c>
      <c r="F132" t="s">
        <v>135</v>
      </c>
      <c r="G132" s="126">
        <f>SUMIFS('Support - Transition'!F:F,'Support - Transition'!B:B,'Step 2'!A132,'Support - Transition'!C:C,'Step 2'!B132,'Support - Transition'!D:D,'Step 2'!C132,'Support - Transition'!E:E,"CIVIL")</f>
        <v>0</v>
      </c>
      <c r="H132" s="126">
        <f>SUMIFS('Support - Transition'!F:F,'Support - Transition'!B:B,'Step 2'!A132,'Support - Transition'!C:C,'Step 2'!B132,'Support - Transition'!D:D,'Step 2'!C132,'Support - Transition'!E:E,"FIRE")</f>
        <v>0</v>
      </c>
      <c r="I132" s="126">
        <f>IF(B132="0",SUMIFS('Support - Transition'!F:F,'Support - Transition'!J:J,'Step 2'!D132,'Support - Transition'!E:E,"STATE UNIT"),SUMIFS('Support - Transition'!F:F,'Support - Transition'!J:J,'Step 2'!D132))</f>
        <v>0</v>
      </c>
      <c r="J132" s="126">
        <f>SUMIFS('Support - Unit Adjustments'!E:E,'Support - Unit Adjustments'!F:F,'Step 2'!D132)</f>
        <v>0</v>
      </c>
      <c r="K132" s="126">
        <f t="shared" si="40"/>
        <v>0</v>
      </c>
      <c r="L132" s="174">
        <f>VLOOKUP(A132,'Step 1'!$A:$E,4,FALSE)</f>
        <v>115313</v>
      </c>
      <c r="M132" s="47">
        <f t="shared" si="41"/>
        <v>0</v>
      </c>
      <c r="N132" s="177">
        <f>SUMIFS('Support - Transition'!G:G,'Support - Transition'!J:J,'Step 2'!D132,'Support - Transition'!E:E,"2009 WELFARE ALLOCATION FACTOR")</f>
        <v>0</v>
      </c>
      <c r="O132" s="152">
        <f t="shared" si="47"/>
        <v>0</v>
      </c>
      <c r="P132" s="126">
        <f>IF(E132="Y",0,SUMIFS('Support - Transition'!G:G,'Support - Transition'!J:J,'Step 2'!D132,'Support - Transition'!E:E,"2009 SCHOOL ALLOCATION FACTOR"))</f>
        <v>0</v>
      </c>
      <c r="Q132" s="126">
        <f>IF(E132="Y",VLOOKUP(D132,'Support - Unit Adjustments'!F:G,2,FALSE),0)</f>
        <v>0</v>
      </c>
      <c r="R132" s="155">
        <f t="shared" si="42"/>
        <v>0</v>
      </c>
      <c r="S132" s="47">
        <f t="shared" si="48"/>
        <v>0</v>
      </c>
      <c r="T132" s="151">
        <f t="shared" si="43"/>
        <v>0</v>
      </c>
      <c r="U132" s="151">
        <f t="shared" si="44"/>
        <v>0</v>
      </c>
      <c r="V132" s="139">
        <f t="shared" si="45"/>
        <v>0</v>
      </c>
      <c r="W132" s="152">
        <f t="shared" si="49"/>
        <v>0</v>
      </c>
      <c r="X132" s="127" t="str">
        <f t="shared" si="46"/>
        <v/>
      </c>
      <c r="Y132" s="207">
        <f t="shared" si="50"/>
        <v>0</v>
      </c>
      <c r="Z132" s="139">
        <f t="shared" si="51"/>
        <v>0</v>
      </c>
      <c r="AA132" s="139">
        <f t="shared" si="52"/>
        <v>0</v>
      </c>
      <c r="AC132" s="47">
        <f t="shared" si="53"/>
        <v>0</v>
      </c>
      <c r="AD132" s="47">
        <f t="shared" si="54"/>
        <v>0</v>
      </c>
      <c r="AE132" s="47">
        <f t="shared" si="55"/>
        <v>0</v>
      </c>
      <c r="AG132" s="47">
        <f t="shared" si="56"/>
        <v>0</v>
      </c>
      <c r="AH132" s="47">
        <f t="shared" si="57"/>
        <v>0</v>
      </c>
      <c r="AI132" s="208">
        <f t="shared" si="58"/>
        <v>0</v>
      </c>
    </row>
    <row r="133" spans="1:35">
      <c r="A133" t="s">
        <v>2092</v>
      </c>
      <c r="B133" t="s">
        <v>3155</v>
      </c>
      <c r="C133" t="s">
        <v>2252</v>
      </c>
      <c r="D133" t="s">
        <v>3296</v>
      </c>
      <c r="F133" t="s">
        <v>137</v>
      </c>
      <c r="G133" s="126">
        <f>SUMIFS('Support - Transition'!F:F,'Support - Transition'!B:B,'Step 2'!A133,'Support - Transition'!C:C,'Step 2'!B133,'Support - Transition'!D:D,'Step 2'!C133,'Support - Transition'!E:E,"CIVIL")</f>
        <v>0</v>
      </c>
      <c r="H133" s="126">
        <f>SUMIFS('Support - Transition'!F:F,'Support - Transition'!B:B,'Step 2'!A133,'Support - Transition'!C:C,'Step 2'!B133,'Support - Transition'!D:D,'Step 2'!C133,'Support - Transition'!E:E,"FIRE")</f>
        <v>0</v>
      </c>
      <c r="I133" s="126">
        <f>IF(B133="0",SUMIFS('Support - Transition'!F:F,'Support - Transition'!J:J,'Step 2'!D133,'Support - Transition'!E:E,"STATE UNIT"),SUMIFS('Support - Transition'!F:F,'Support - Transition'!J:J,'Step 2'!D133))</f>
        <v>3.248E-3</v>
      </c>
      <c r="J133" s="126">
        <f>SUMIFS('Support - Unit Adjustments'!E:E,'Support - Unit Adjustments'!F:F,'Step 2'!D133)</f>
        <v>0</v>
      </c>
      <c r="K133" s="126">
        <f t="shared" si="40"/>
        <v>3.248E-3</v>
      </c>
      <c r="L133" s="174">
        <f>VLOOKUP(A133,'Step 1'!$A:$E,4,FALSE)</f>
        <v>115313</v>
      </c>
      <c r="M133" s="47">
        <f t="shared" si="41"/>
        <v>375</v>
      </c>
      <c r="N133" s="177">
        <f>SUMIFS('Support - Transition'!G:G,'Support - Transition'!J:J,'Step 2'!D133,'Support - Transition'!E:E,"2009 WELFARE ALLOCATION FACTOR")</f>
        <v>0</v>
      </c>
      <c r="O133" s="152">
        <f t="shared" si="47"/>
        <v>0</v>
      </c>
      <c r="P133" s="126">
        <f>IF(E133="Y",0,SUMIFS('Support - Transition'!G:G,'Support - Transition'!J:J,'Step 2'!D133,'Support - Transition'!E:E,"2009 SCHOOL ALLOCATION FACTOR"))</f>
        <v>0</v>
      </c>
      <c r="Q133" s="126">
        <f>IF(E133="Y",VLOOKUP(D133,'Support - Unit Adjustments'!F:G,2,FALSE),0)</f>
        <v>0</v>
      </c>
      <c r="R133" s="155">
        <f t="shared" si="42"/>
        <v>0</v>
      </c>
      <c r="S133" s="47">
        <f t="shared" si="48"/>
        <v>0</v>
      </c>
      <c r="T133" s="151">
        <f t="shared" si="43"/>
        <v>375</v>
      </c>
      <c r="U133" s="151">
        <f t="shared" si="44"/>
        <v>0</v>
      </c>
      <c r="V133" s="139">
        <f t="shared" si="45"/>
        <v>0</v>
      </c>
      <c r="W133" s="152">
        <f t="shared" si="49"/>
        <v>375</v>
      </c>
      <c r="X133" s="127" t="str">
        <f t="shared" si="46"/>
        <v/>
      </c>
      <c r="Y133" s="207">
        <f t="shared" si="50"/>
        <v>375</v>
      </c>
      <c r="Z133" s="139">
        <f t="shared" si="51"/>
        <v>375</v>
      </c>
      <c r="AA133" s="139">
        <f t="shared" si="52"/>
        <v>0</v>
      </c>
      <c r="AC133" s="47">
        <f t="shared" si="53"/>
        <v>188</v>
      </c>
      <c r="AD133" s="47">
        <f t="shared" si="54"/>
        <v>188</v>
      </c>
      <c r="AE133" s="47">
        <f t="shared" si="55"/>
        <v>0</v>
      </c>
      <c r="AG133" s="47">
        <f t="shared" si="56"/>
        <v>187</v>
      </c>
      <c r="AH133" s="47">
        <f t="shared" si="57"/>
        <v>187</v>
      </c>
      <c r="AI133" s="208">
        <f t="shared" si="58"/>
        <v>0</v>
      </c>
    </row>
    <row r="134" spans="1:35">
      <c r="A134" t="s">
        <v>2092</v>
      </c>
      <c r="B134" t="s">
        <v>3155</v>
      </c>
      <c r="C134" t="s">
        <v>2253</v>
      </c>
      <c r="D134" t="s">
        <v>3297</v>
      </c>
      <c r="F134" t="s">
        <v>138</v>
      </c>
      <c r="G134" s="126">
        <f>SUMIFS('Support - Transition'!F:F,'Support - Transition'!B:B,'Step 2'!A134,'Support - Transition'!C:C,'Step 2'!B134,'Support - Transition'!D:D,'Step 2'!C134,'Support - Transition'!E:E,"CIVIL")</f>
        <v>0</v>
      </c>
      <c r="H134" s="126">
        <f>SUMIFS('Support - Transition'!F:F,'Support - Transition'!B:B,'Step 2'!A134,'Support - Transition'!C:C,'Step 2'!B134,'Support - Transition'!D:D,'Step 2'!C134,'Support - Transition'!E:E,"FIRE")</f>
        <v>0</v>
      </c>
      <c r="I134" s="126">
        <f>IF(B134="0",SUMIFS('Support - Transition'!F:F,'Support - Transition'!J:J,'Step 2'!D134,'Support - Transition'!E:E,"STATE UNIT"),SUMIFS('Support - Transition'!F:F,'Support - Transition'!J:J,'Step 2'!D134))</f>
        <v>0</v>
      </c>
      <c r="J134" s="126">
        <f>SUMIFS('Support - Unit Adjustments'!E:E,'Support - Unit Adjustments'!F:F,'Step 2'!D134)</f>
        <v>0</v>
      </c>
      <c r="K134" s="126">
        <f t="shared" si="40"/>
        <v>0</v>
      </c>
      <c r="L134" s="174">
        <f>VLOOKUP(A134,'Step 1'!$A:$E,4,FALSE)</f>
        <v>115313</v>
      </c>
      <c r="M134" s="47">
        <f t="shared" si="41"/>
        <v>0</v>
      </c>
      <c r="N134" s="177">
        <f>SUMIFS('Support - Transition'!G:G,'Support - Transition'!J:J,'Step 2'!D134,'Support - Transition'!E:E,"2009 WELFARE ALLOCATION FACTOR")</f>
        <v>0</v>
      </c>
      <c r="O134" s="152">
        <f t="shared" si="47"/>
        <v>0</v>
      </c>
      <c r="P134" s="126">
        <f>IF(E134="Y",0,SUMIFS('Support - Transition'!G:G,'Support - Transition'!J:J,'Step 2'!D134,'Support - Transition'!E:E,"2009 SCHOOL ALLOCATION FACTOR"))</f>
        <v>0</v>
      </c>
      <c r="Q134" s="126">
        <f>IF(E134="Y",VLOOKUP(D134,'Support - Unit Adjustments'!F:G,2,FALSE),0)</f>
        <v>0</v>
      </c>
      <c r="R134" s="155">
        <f t="shared" si="42"/>
        <v>0</v>
      </c>
      <c r="S134" s="47">
        <f t="shared" si="48"/>
        <v>0</v>
      </c>
      <c r="T134" s="151">
        <f t="shared" si="43"/>
        <v>0</v>
      </c>
      <c r="U134" s="151">
        <f t="shared" si="44"/>
        <v>0</v>
      </c>
      <c r="V134" s="139">
        <f t="shared" si="45"/>
        <v>0</v>
      </c>
      <c r="W134" s="152">
        <f t="shared" si="49"/>
        <v>0</v>
      </c>
      <c r="X134" s="127" t="str">
        <f t="shared" si="46"/>
        <v/>
      </c>
      <c r="Y134" s="207">
        <f t="shared" si="50"/>
        <v>0</v>
      </c>
      <c r="Z134" s="139">
        <f t="shared" si="51"/>
        <v>0</v>
      </c>
      <c r="AA134" s="139">
        <f t="shared" si="52"/>
        <v>0</v>
      </c>
      <c r="AC134" s="47">
        <f t="shared" si="53"/>
        <v>0</v>
      </c>
      <c r="AD134" s="47">
        <f t="shared" si="54"/>
        <v>0</v>
      </c>
      <c r="AE134" s="47">
        <f t="shared" si="55"/>
        <v>0</v>
      </c>
      <c r="AG134" s="47">
        <f t="shared" si="56"/>
        <v>0</v>
      </c>
      <c r="AH134" s="47">
        <f t="shared" si="57"/>
        <v>0</v>
      </c>
      <c r="AI134" s="208">
        <f t="shared" si="58"/>
        <v>0</v>
      </c>
    </row>
    <row r="135" spans="1:35">
      <c r="A135" t="s">
        <v>2092</v>
      </c>
      <c r="B135" t="s">
        <v>3160</v>
      </c>
      <c r="C135" t="s">
        <v>2254</v>
      </c>
      <c r="D135" t="s">
        <v>3298</v>
      </c>
      <c r="F135" t="s">
        <v>139</v>
      </c>
      <c r="G135" s="126">
        <f>SUMIFS('Support - Transition'!F:F,'Support - Transition'!B:B,'Step 2'!A135,'Support - Transition'!C:C,'Step 2'!B135,'Support - Transition'!D:D,'Step 2'!C135,'Support - Transition'!E:E,"CIVIL")</f>
        <v>0</v>
      </c>
      <c r="H135" s="126">
        <f>SUMIFS('Support - Transition'!F:F,'Support - Transition'!B:B,'Step 2'!A135,'Support - Transition'!C:C,'Step 2'!B135,'Support - Transition'!D:D,'Step 2'!C135,'Support - Transition'!E:E,"FIRE")</f>
        <v>0</v>
      </c>
      <c r="I135" s="126">
        <f>IF(B135="0",SUMIFS('Support - Transition'!F:F,'Support - Transition'!J:J,'Step 2'!D135,'Support - Transition'!E:E,"STATE UNIT"),SUMIFS('Support - Transition'!F:F,'Support - Transition'!J:J,'Step 2'!D135))</f>
        <v>0.57178600000000002</v>
      </c>
      <c r="J135" s="126">
        <f>SUMIFS('Support - Unit Adjustments'!E:E,'Support - Unit Adjustments'!F:F,'Step 2'!D135)</f>
        <v>0</v>
      </c>
      <c r="K135" s="126">
        <f t="shared" si="40"/>
        <v>0.57178600000000002</v>
      </c>
      <c r="L135" s="174">
        <f>VLOOKUP(A135,'Step 1'!$A:$E,4,FALSE)</f>
        <v>115313</v>
      </c>
      <c r="M135" s="47">
        <f t="shared" si="41"/>
        <v>65934</v>
      </c>
      <c r="N135" s="177">
        <f>SUMIFS('Support - Transition'!G:G,'Support - Transition'!J:J,'Step 2'!D135,'Support - Transition'!E:E,"2009 WELFARE ALLOCATION FACTOR")</f>
        <v>0</v>
      </c>
      <c r="O135" s="152">
        <f t="shared" si="47"/>
        <v>0</v>
      </c>
      <c r="P135" s="126">
        <f>IF(E135="Y",0,SUMIFS('Support - Transition'!G:G,'Support - Transition'!J:J,'Step 2'!D135,'Support - Transition'!E:E,"2009 SCHOOL ALLOCATION FACTOR"))</f>
        <v>0.41443600000000003</v>
      </c>
      <c r="Q135" s="126">
        <f>IF(E135="Y",VLOOKUP(D135,'Support - Unit Adjustments'!F:G,2,FALSE),0)</f>
        <v>0</v>
      </c>
      <c r="R135" s="155">
        <f t="shared" si="42"/>
        <v>0.41443600000000003</v>
      </c>
      <c r="S135" s="47">
        <f t="shared" si="48"/>
        <v>27325</v>
      </c>
      <c r="T135" s="151">
        <f t="shared" si="43"/>
        <v>38609</v>
      </c>
      <c r="U135" s="151">
        <f t="shared" si="44"/>
        <v>0</v>
      </c>
      <c r="V135" s="139">
        <f t="shared" si="45"/>
        <v>0</v>
      </c>
      <c r="W135" s="152">
        <f t="shared" si="49"/>
        <v>38609</v>
      </c>
      <c r="X135" s="127" t="str">
        <f t="shared" si="46"/>
        <v/>
      </c>
      <c r="Y135" s="207">
        <f t="shared" si="50"/>
        <v>38609</v>
      </c>
      <c r="Z135" s="139">
        <f t="shared" si="51"/>
        <v>38609</v>
      </c>
      <c r="AA135" s="139">
        <f t="shared" si="52"/>
        <v>0</v>
      </c>
      <c r="AC135" s="47">
        <f t="shared" si="53"/>
        <v>19305</v>
      </c>
      <c r="AD135" s="47">
        <f t="shared" si="54"/>
        <v>19305</v>
      </c>
      <c r="AE135" s="47">
        <f t="shared" si="55"/>
        <v>0</v>
      </c>
      <c r="AG135" s="47">
        <f t="shared" si="56"/>
        <v>19304</v>
      </c>
      <c r="AH135" s="47">
        <f t="shared" si="57"/>
        <v>19304</v>
      </c>
      <c r="AI135" s="208">
        <f t="shared" si="58"/>
        <v>0</v>
      </c>
    </row>
    <row r="136" spans="1:35">
      <c r="A136" t="s">
        <v>2092</v>
      </c>
      <c r="B136" t="s">
        <v>3160</v>
      </c>
      <c r="C136" t="s">
        <v>2255</v>
      </c>
      <c r="D136" t="s">
        <v>3299</v>
      </c>
      <c r="F136" t="s">
        <v>140</v>
      </c>
      <c r="G136" s="126">
        <f>SUMIFS('Support - Transition'!F:F,'Support - Transition'!B:B,'Step 2'!A136,'Support - Transition'!C:C,'Step 2'!B136,'Support - Transition'!D:D,'Step 2'!C136,'Support - Transition'!E:E,"CIVIL")</f>
        <v>0</v>
      </c>
      <c r="H136" s="126">
        <f>SUMIFS('Support - Transition'!F:F,'Support - Transition'!B:B,'Step 2'!A136,'Support - Transition'!C:C,'Step 2'!B136,'Support - Transition'!D:D,'Step 2'!C136,'Support - Transition'!E:E,"FIRE")</f>
        <v>0</v>
      </c>
      <c r="I136" s="126">
        <f>IF(B136="0",SUMIFS('Support - Transition'!F:F,'Support - Transition'!J:J,'Step 2'!D136,'Support - Transition'!E:E,"STATE UNIT"),SUMIFS('Support - Transition'!F:F,'Support - Transition'!J:J,'Step 2'!D136))</f>
        <v>0</v>
      </c>
      <c r="J136" s="126">
        <f>SUMIFS('Support - Unit Adjustments'!E:E,'Support - Unit Adjustments'!F:F,'Step 2'!D136)</f>
        <v>0</v>
      </c>
      <c r="K136" s="126">
        <f t="shared" si="40"/>
        <v>0</v>
      </c>
      <c r="L136" s="174">
        <f>VLOOKUP(A136,'Step 1'!$A:$E,4,FALSE)</f>
        <v>115313</v>
      </c>
      <c r="M136" s="47">
        <f t="shared" si="41"/>
        <v>0</v>
      </c>
      <c r="N136" s="177">
        <f>SUMIFS('Support - Transition'!G:G,'Support - Transition'!J:J,'Step 2'!D136,'Support - Transition'!E:E,"2009 WELFARE ALLOCATION FACTOR")</f>
        <v>0</v>
      </c>
      <c r="O136" s="152">
        <f t="shared" si="47"/>
        <v>0</v>
      </c>
      <c r="P136" s="126">
        <f>IF(E136="Y",0,SUMIFS('Support - Transition'!G:G,'Support - Transition'!J:J,'Step 2'!D136,'Support - Transition'!E:E,"2009 SCHOOL ALLOCATION FACTOR"))</f>
        <v>0.43941999999999998</v>
      </c>
      <c r="Q136" s="126">
        <f>IF(E136="Y",VLOOKUP(D136,'Support - Unit Adjustments'!F:G,2,FALSE),0)</f>
        <v>0</v>
      </c>
      <c r="R136" s="155">
        <f t="shared" si="42"/>
        <v>0.43941999999999998</v>
      </c>
      <c r="S136" s="47">
        <f t="shared" si="48"/>
        <v>0</v>
      </c>
      <c r="T136" s="151">
        <f t="shared" si="43"/>
        <v>0</v>
      </c>
      <c r="U136" s="151">
        <f t="shared" si="44"/>
        <v>0</v>
      </c>
      <c r="V136" s="139">
        <f t="shared" si="45"/>
        <v>0</v>
      </c>
      <c r="W136" s="152">
        <f t="shared" si="49"/>
        <v>0</v>
      </c>
      <c r="X136" s="127" t="str">
        <f t="shared" si="46"/>
        <v/>
      </c>
      <c r="Y136" s="207">
        <f t="shared" si="50"/>
        <v>0</v>
      </c>
      <c r="Z136" s="139">
        <f t="shared" si="51"/>
        <v>0</v>
      </c>
      <c r="AA136" s="139">
        <f t="shared" si="52"/>
        <v>0</v>
      </c>
      <c r="AC136" s="47">
        <f t="shared" si="53"/>
        <v>0</v>
      </c>
      <c r="AD136" s="47">
        <f t="shared" si="54"/>
        <v>0</v>
      </c>
      <c r="AE136" s="47">
        <f t="shared" si="55"/>
        <v>0</v>
      </c>
      <c r="AG136" s="47">
        <f t="shared" si="56"/>
        <v>0</v>
      </c>
      <c r="AH136" s="47">
        <f t="shared" si="57"/>
        <v>0</v>
      </c>
      <c r="AI136" s="208">
        <f t="shared" si="58"/>
        <v>0</v>
      </c>
    </row>
    <row r="137" spans="1:35">
      <c r="A137" t="s">
        <v>2092</v>
      </c>
      <c r="B137" t="s">
        <v>3166</v>
      </c>
      <c r="C137" t="s">
        <v>2208</v>
      </c>
      <c r="D137" t="s">
        <v>3300</v>
      </c>
      <c r="F137" t="s">
        <v>142</v>
      </c>
      <c r="G137" s="126">
        <f>SUMIFS('Support - Transition'!F:F,'Support - Transition'!B:B,'Step 2'!A137,'Support - Transition'!C:C,'Step 2'!B137,'Support - Transition'!D:D,'Step 2'!C137,'Support - Transition'!E:E,"CIVIL")</f>
        <v>0</v>
      </c>
      <c r="H137" s="126">
        <f>SUMIFS('Support - Transition'!F:F,'Support - Transition'!B:B,'Step 2'!A137,'Support - Transition'!C:C,'Step 2'!B137,'Support - Transition'!D:D,'Step 2'!C137,'Support - Transition'!E:E,"FIRE")</f>
        <v>0</v>
      </c>
      <c r="I137" s="126">
        <f>IF(B137="0",SUMIFS('Support - Transition'!F:F,'Support - Transition'!J:J,'Step 2'!D137,'Support - Transition'!E:E,"STATE UNIT"),SUMIFS('Support - Transition'!F:F,'Support - Transition'!J:J,'Step 2'!D137))</f>
        <v>1.9592999999999999E-2</v>
      </c>
      <c r="J137" s="126">
        <f>SUMIFS('Support - Unit Adjustments'!E:E,'Support - Unit Adjustments'!F:F,'Step 2'!D137)</f>
        <v>0</v>
      </c>
      <c r="K137" s="126">
        <f t="shared" si="40"/>
        <v>1.9592999999999999E-2</v>
      </c>
      <c r="L137" s="174">
        <f>VLOOKUP(A137,'Step 1'!$A:$E,4,FALSE)</f>
        <v>115313</v>
      </c>
      <c r="M137" s="47">
        <f t="shared" si="41"/>
        <v>2259</v>
      </c>
      <c r="N137" s="177">
        <f>SUMIFS('Support - Transition'!G:G,'Support - Transition'!J:J,'Step 2'!D137,'Support - Transition'!E:E,"2009 WELFARE ALLOCATION FACTOR")</f>
        <v>0</v>
      </c>
      <c r="O137" s="152">
        <f t="shared" si="47"/>
        <v>0</v>
      </c>
      <c r="P137" s="126">
        <f>IF(E137="Y",0,SUMIFS('Support - Transition'!G:G,'Support - Transition'!J:J,'Step 2'!D137,'Support - Transition'!E:E,"2009 SCHOOL ALLOCATION FACTOR"))</f>
        <v>0</v>
      </c>
      <c r="Q137" s="126">
        <f>IF(E137="Y",VLOOKUP(D137,'Support - Unit Adjustments'!F:G,2,FALSE),0)</f>
        <v>0</v>
      </c>
      <c r="R137" s="155">
        <f t="shared" si="42"/>
        <v>0</v>
      </c>
      <c r="S137" s="47">
        <f t="shared" si="48"/>
        <v>0</v>
      </c>
      <c r="T137" s="151">
        <f t="shared" si="43"/>
        <v>2259</v>
      </c>
      <c r="U137" s="151">
        <f t="shared" si="44"/>
        <v>0</v>
      </c>
      <c r="V137" s="139">
        <f t="shared" si="45"/>
        <v>0</v>
      </c>
      <c r="W137" s="152">
        <f t="shared" si="49"/>
        <v>2259</v>
      </c>
      <c r="X137" s="127" t="str">
        <f t="shared" si="46"/>
        <v/>
      </c>
      <c r="Y137" s="207">
        <f t="shared" si="50"/>
        <v>2259</v>
      </c>
      <c r="Z137" s="139">
        <f t="shared" si="51"/>
        <v>2259</v>
      </c>
      <c r="AA137" s="139">
        <f t="shared" si="52"/>
        <v>0</v>
      </c>
      <c r="AC137" s="47">
        <f t="shared" si="53"/>
        <v>1130</v>
      </c>
      <c r="AD137" s="47">
        <f t="shared" si="54"/>
        <v>1130</v>
      </c>
      <c r="AE137" s="47">
        <f t="shared" si="55"/>
        <v>0</v>
      </c>
      <c r="AG137" s="47">
        <f t="shared" si="56"/>
        <v>1129</v>
      </c>
      <c r="AH137" s="47">
        <f t="shared" si="57"/>
        <v>1129</v>
      </c>
      <c r="AI137" s="208">
        <f t="shared" si="58"/>
        <v>0</v>
      </c>
    </row>
    <row r="138" spans="1:35">
      <c r="A138" t="s">
        <v>2092</v>
      </c>
      <c r="B138" t="s">
        <v>3166</v>
      </c>
      <c r="C138" t="s">
        <v>2209</v>
      </c>
      <c r="D138" t="s">
        <v>3301</v>
      </c>
      <c r="F138" t="s">
        <v>143</v>
      </c>
      <c r="G138" s="126">
        <f>SUMIFS('Support - Transition'!F:F,'Support - Transition'!B:B,'Step 2'!A138,'Support - Transition'!C:C,'Step 2'!B138,'Support - Transition'!D:D,'Step 2'!C138,'Support - Transition'!E:E,"CIVIL")</f>
        <v>0</v>
      </c>
      <c r="H138" s="126">
        <f>SUMIFS('Support - Transition'!F:F,'Support - Transition'!B:B,'Step 2'!A138,'Support - Transition'!C:C,'Step 2'!B138,'Support - Transition'!D:D,'Step 2'!C138,'Support - Transition'!E:E,"FIRE")</f>
        <v>0</v>
      </c>
      <c r="I138" s="126">
        <f>IF(B138="0",SUMIFS('Support - Transition'!F:F,'Support - Transition'!J:J,'Step 2'!D138,'Support - Transition'!E:E,"STATE UNIT"),SUMIFS('Support - Transition'!F:F,'Support - Transition'!J:J,'Step 2'!D138))</f>
        <v>4.6389999999999999E-3</v>
      </c>
      <c r="J138" s="126">
        <f>SUMIFS('Support - Unit Adjustments'!E:E,'Support - Unit Adjustments'!F:F,'Step 2'!D138)</f>
        <v>0</v>
      </c>
      <c r="K138" s="126">
        <f t="shared" si="40"/>
        <v>4.6389999999999999E-3</v>
      </c>
      <c r="L138" s="174">
        <f>VLOOKUP(A138,'Step 1'!$A:$E,4,FALSE)</f>
        <v>115313</v>
      </c>
      <c r="M138" s="47">
        <f t="shared" si="41"/>
        <v>535</v>
      </c>
      <c r="N138" s="177">
        <f>SUMIFS('Support - Transition'!G:G,'Support - Transition'!J:J,'Step 2'!D138,'Support - Transition'!E:E,"2009 WELFARE ALLOCATION FACTOR")</f>
        <v>0</v>
      </c>
      <c r="O138" s="152">
        <f t="shared" si="47"/>
        <v>0</v>
      </c>
      <c r="P138" s="126">
        <f>IF(E138="Y",0,SUMIFS('Support - Transition'!G:G,'Support - Transition'!J:J,'Step 2'!D138,'Support - Transition'!E:E,"2009 SCHOOL ALLOCATION FACTOR"))</f>
        <v>0</v>
      </c>
      <c r="Q138" s="126">
        <f>IF(E138="Y",VLOOKUP(D138,'Support - Unit Adjustments'!F:G,2,FALSE),0)</f>
        <v>0</v>
      </c>
      <c r="R138" s="155">
        <f t="shared" si="42"/>
        <v>0</v>
      </c>
      <c r="S138" s="47">
        <f t="shared" si="48"/>
        <v>0</v>
      </c>
      <c r="T138" s="151">
        <f t="shared" si="43"/>
        <v>535</v>
      </c>
      <c r="U138" s="151">
        <f t="shared" si="44"/>
        <v>0</v>
      </c>
      <c r="V138" s="139">
        <f t="shared" si="45"/>
        <v>0</v>
      </c>
      <c r="W138" s="152">
        <f t="shared" si="49"/>
        <v>535</v>
      </c>
      <c r="X138" s="127" t="str">
        <f t="shared" si="46"/>
        <v/>
      </c>
      <c r="Y138" s="207">
        <f t="shared" si="50"/>
        <v>535</v>
      </c>
      <c r="Z138" s="139">
        <f t="shared" si="51"/>
        <v>535</v>
      </c>
      <c r="AA138" s="139">
        <f t="shared" si="52"/>
        <v>0</v>
      </c>
      <c r="AC138" s="47">
        <f t="shared" si="53"/>
        <v>268</v>
      </c>
      <c r="AD138" s="47">
        <f t="shared" si="54"/>
        <v>268</v>
      </c>
      <c r="AE138" s="47">
        <f t="shared" si="55"/>
        <v>0</v>
      </c>
      <c r="AG138" s="47">
        <f t="shared" si="56"/>
        <v>267</v>
      </c>
      <c r="AH138" s="47">
        <f t="shared" si="57"/>
        <v>267</v>
      </c>
      <c r="AI138" s="208">
        <f t="shared" si="58"/>
        <v>0</v>
      </c>
    </row>
    <row r="139" spans="1:35">
      <c r="A139" t="s">
        <v>2092</v>
      </c>
      <c r="B139" t="s">
        <v>3166</v>
      </c>
      <c r="C139" t="s">
        <v>2256</v>
      </c>
      <c r="D139" t="s">
        <v>3302</v>
      </c>
      <c r="F139" t="s">
        <v>141</v>
      </c>
      <c r="G139" s="126">
        <f>SUMIFS('Support - Transition'!F:F,'Support - Transition'!B:B,'Step 2'!A139,'Support - Transition'!C:C,'Step 2'!B139,'Support - Transition'!D:D,'Step 2'!C139,'Support - Transition'!E:E,"CIVIL")</f>
        <v>0</v>
      </c>
      <c r="H139" s="126">
        <f>SUMIFS('Support - Transition'!F:F,'Support - Transition'!B:B,'Step 2'!A139,'Support - Transition'!C:C,'Step 2'!B139,'Support - Transition'!D:D,'Step 2'!C139,'Support - Transition'!E:E,"FIRE")</f>
        <v>0</v>
      </c>
      <c r="I139" s="126">
        <f>IF(B139="0",SUMIFS('Support - Transition'!F:F,'Support - Transition'!J:J,'Step 2'!D139,'Support - Transition'!E:E,"STATE UNIT"),SUMIFS('Support - Transition'!F:F,'Support - Transition'!J:J,'Step 2'!D139))</f>
        <v>0</v>
      </c>
      <c r="J139" s="126">
        <f>SUMIFS('Support - Unit Adjustments'!E:E,'Support - Unit Adjustments'!F:F,'Step 2'!D139)</f>
        <v>0</v>
      </c>
      <c r="K139" s="126">
        <f t="shared" si="40"/>
        <v>0</v>
      </c>
      <c r="L139" s="174">
        <f>VLOOKUP(A139,'Step 1'!$A:$E,4,FALSE)</f>
        <v>115313</v>
      </c>
      <c r="M139" s="47">
        <f t="shared" si="41"/>
        <v>0</v>
      </c>
      <c r="N139" s="177">
        <f>SUMIFS('Support - Transition'!G:G,'Support - Transition'!J:J,'Step 2'!D139,'Support - Transition'!E:E,"2009 WELFARE ALLOCATION FACTOR")</f>
        <v>0</v>
      </c>
      <c r="O139" s="152">
        <f t="shared" si="47"/>
        <v>0</v>
      </c>
      <c r="P139" s="126">
        <f>IF(E139="Y",0,SUMIFS('Support - Transition'!G:G,'Support - Transition'!J:J,'Step 2'!D139,'Support - Transition'!E:E,"2009 SCHOOL ALLOCATION FACTOR"))</f>
        <v>0</v>
      </c>
      <c r="Q139" s="126">
        <f>IF(E139="Y",VLOOKUP(D139,'Support - Unit Adjustments'!F:G,2,FALSE),0)</f>
        <v>0</v>
      </c>
      <c r="R139" s="155">
        <f t="shared" si="42"/>
        <v>0</v>
      </c>
      <c r="S139" s="47">
        <f t="shared" si="48"/>
        <v>0</v>
      </c>
      <c r="T139" s="151">
        <f t="shared" si="43"/>
        <v>0</v>
      </c>
      <c r="U139" s="151">
        <f t="shared" si="44"/>
        <v>0</v>
      </c>
      <c r="V139" s="139">
        <f t="shared" si="45"/>
        <v>0</v>
      </c>
      <c r="W139" s="152">
        <f t="shared" si="49"/>
        <v>0</v>
      </c>
      <c r="X139" s="127" t="str">
        <f t="shared" si="46"/>
        <v/>
      </c>
      <c r="Y139" s="207">
        <f t="shared" si="50"/>
        <v>0</v>
      </c>
      <c r="Z139" s="139">
        <f t="shared" si="51"/>
        <v>0</v>
      </c>
      <c r="AA139" s="139">
        <f t="shared" si="52"/>
        <v>0</v>
      </c>
      <c r="AC139" s="47">
        <f t="shared" si="53"/>
        <v>0</v>
      </c>
      <c r="AD139" s="47">
        <f t="shared" si="54"/>
        <v>0</v>
      </c>
      <c r="AE139" s="47">
        <f t="shared" si="55"/>
        <v>0</v>
      </c>
      <c r="AG139" s="47">
        <f t="shared" si="56"/>
        <v>0</v>
      </c>
      <c r="AH139" s="47">
        <f t="shared" si="57"/>
        <v>0</v>
      </c>
      <c r="AI139" s="208">
        <f t="shared" si="58"/>
        <v>0</v>
      </c>
    </row>
    <row r="140" spans="1:35">
      <c r="A140" t="s">
        <v>2092</v>
      </c>
      <c r="B140" t="s">
        <v>3170</v>
      </c>
      <c r="C140" t="s">
        <v>3303</v>
      </c>
      <c r="D140" t="s">
        <v>3304</v>
      </c>
      <c r="F140" t="s">
        <v>3305</v>
      </c>
      <c r="G140" s="126">
        <f>SUMIFS('Support - Transition'!F:F,'Support - Transition'!B:B,'Step 2'!A140,'Support - Transition'!C:C,'Step 2'!B140,'Support - Transition'!D:D,'Step 2'!C140,'Support - Transition'!E:E,"CIVIL")</f>
        <v>0</v>
      </c>
      <c r="H140" s="126">
        <f>SUMIFS('Support - Transition'!F:F,'Support - Transition'!B:B,'Step 2'!A140,'Support - Transition'!C:C,'Step 2'!B140,'Support - Transition'!D:D,'Step 2'!C140,'Support - Transition'!E:E,"FIRE")</f>
        <v>0</v>
      </c>
      <c r="I140" s="126">
        <f>IF(B140="0",SUMIFS('Support - Transition'!F:F,'Support - Transition'!J:J,'Step 2'!D140,'Support - Transition'!E:E,"STATE UNIT"),SUMIFS('Support - Transition'!F:F,'Support - Transition'!J:J,'Step 2'!D140))</f>
        <v>0</v>
      </c>
      <c r="J140" s="126">
        <f>SUMIFS('Support - Unit Adjustments'!E:E,'Support - Unit Adjustments'!F:F,'Step 2'!D140)</f>
        <v>0</v>
      </c>
      <c r="K140" s="126">
        <f t="shared" si="40"/>
        <v>0</v>
      </c>
      <c r="L140" s="174">
        <f>VLOOKUP(A140,'Step 1'!$A:$E,4,FALSE)</f>
        <v>115313</v>
      </c>
      <c r="M140" s="47">
        <f t="shared" si="41"/>
        <v>0</v>
      </c>
      <c r="N140" s="177">
        <f>SUMIFS('Support - Transition'!G:G,'Support - Transition'!J:J,'Step 2'!D140,'Support - Transition'!E:E,"2009 WELFARE ALLOCATION FACTOR")</f>
        <v>0</v>
      </c>
      <c r="O140" s="152">
        <f t="shared" si="47"/>
        <v>0</v>
      </c>
      <c r="P140" s="126">
        <f>IF(E140="Y",0,SUMIFS('Support - Transition'!G:G,'Support - Transition'!J:J,'Step 2'!D140,'Support - Transition'!E:E,"2009 SCHOOL ALLOCATION FACTOR"))</f>
        <v>0</v>
      </c>
      <c r="Q140" s="126">
        <f>IF(E140="Y",VLOOKUP(D140,'Support - Unit Adjustments'!F:G,2,FALSE),0)</f>
        <v>0</v>
      </c>
      <c r="R140" s="155">
        <f t="shared" si="42"/>
        <v>0</v>
      </c>
      <c r="S140" s="47">
        <f t="shared" si="48"/>
        <v>0</v>
      </c>
      <c r="T140" s="151">
        <f t="shared" si="43"/>
        <v>0</v>
      </c>
      <c r="U140" s="151">
        <f t="shared" si="44"/>
        <v>0</v>
      </c>
      <c r="V140" s="139">
        <f t="shared" si="45"/>
        <v>0</v>
      </c>
      <c r="W140" s="152">
        <f t="shared" si="49"/>
        <v>0</v>
      </c>
      <c r="X140" s="127" t="str">
        <f t="shared" si="46"/>
        <v/>
      </c>
      <c r="Y140" s="207">
        <f t="shared" si="50"/>
        <v>0</v>
      </c>
      <c r="Z140" s="139">
        <f t="shared" si="51"/>
        <v>0</v>
      </c>
      <c r="AA140" s="139">
        <f t="shared" si="52"/>
        <v>0</v>
      </c>
      <c r="AC140" s="47">
        <f t="shared" si="53"/>
        <v>0</v>
      </c>
      <c r="AD140" s="47">
        <f t="shared" si="54"/>
        <v>0</v>
      </c>
      <c r="AE140" s="47">
        <f t="shared" si="55"/>
        <v>0</v>
      </c>
      <c r="AG140" s="47">
        <f t="shared" si="56"/>
        <v>0</v>
      </c>
      <c r="AH140" s="47">
        <f t="shared" si="57"/>
        <v>0</v>
      </c>
      <c r="AI140" s="208">
        <f t="shared" si="58"/>
        <v>0</v>
      </c>
    </row>
    <row r="141" spans="1:35">
      <c r="A141" t="s">
        <v>2093</v>
      </c>
      <c r="B141" s="48" t="s">
        <v>6274</v>
      </c>
      <c r="C141" t="s">
        <v>2187</v>
      </c>
      <c r="D141" t="str">
        <f>A141&amp;B141&amp;C141</f>
        <v>0600000</v>
      </c>
      <c r="F141" t="s">
        <v>6280</v>
      </c>
      <c r="G141" s="126">
        <f>SUMIFS('Support - Transition'!F:F,'Support - Transition'!B:B,'Step 2'!A141,'Support - Transition'!C:C,'Step 2'!B141,'Support - Transition'!D:D,'Step 2'!C141,'Support - Transition'!E:E,"CIVIL")</f>
        <v>0</v>
      </c>
      <c r="H141" s="126">
        <f>SUMIFS('Support - Transition'!F:F,'Support - Transition'!B:B,'Step 2'!A141,'Support - Transition'!C:C,'Step 2'!B141,'Support - Transition'!D:D,'Step 2'!C141,'Support - Transition'!E:E,"FIRE")</f>
        <v>0</v>
      </c>
      <c r="I141" s="126">
        <f>IF(B141="0",SUMIFS('Support - Transition'!F:F,'Support - Transition'!J:J,'Step 2'!D141,'Support - Transition'!E:E,"STATE UNIT"),SUMIFS('Support - Transition'!F:F,'Support - Transition'!J:J,'Step 2'!D141))</f>
        <v>1.2179999999999999E-3</v>
      </c>
      <c r="J141" s="126">
        <f>SUMIFS('Support - Unit Adjustments'!E:E,'Support - Unit Adjustments'!F:F,'Step 2'!D141)</f>
        <v>0</v>
      </c>
      <c r="K141" s="126">
        <f t="shared" si="40"/>
        <v>1.2179999999999999E-3</v>
      </c>
      <c r="L141" s="174">
        <f>VLOOKUP(A141,'Step 1'!$A:$E,4,FALSE)</f>
        <v>505208</v>
      </c>
      <c r="M141" s="47">
        <f t="shared" si="41"/>
        <v>615</v>
      </c>
      <c r="N141" s="177">
        <f>SUMIFS('Support - Transition'!G:G,'Support - Transition'!J:J,'Step 2'!D141,'Support - Transition'!E:E,"2009 WELFARE ALLOCATION FACTOR")</f>
        <v>0</v>
      </c>
      <c r="O141" s="152">
        <f t="shared" si="47"/>
        <v>0</v>
      </c>
      <c r="P141" s="126">
        <f>IF(E141="Y",0,SUMIFS('Support - Transition'!G:G,'Support - Transition'!J:J,'Step 2'!D141,'Support - Transition'!E:E,"2009 SCHOOL ALLOCATION FACTOR"))</f>
        <v>0</v>
      </c>
      <c r="Q141" s="126">
        <f>IF(E141="Y",VLOOKUP(D141,'Support - Unit Adjustments'!F:G,2,FALSE),0)</f>
        <v>0</v>
      </c>
      <c r="R141" s="155">
        <f t="shared" si="42"/>
        <v>0</v>
      </c>
      <c r="S141" s="47">
        <f t="shared" si="48"/>
        <v>0</v>
      </c>
      <c r="T141" s="151">
        <f t="shared" si="43"/>
        <v>615</v>
      </c>
      <c r="U141" s="151">
        <f t="shared" si="44"/>
        <v>505207</v>
      </c>
      <c r="V141" s="139">
        <f t="shared" si="45"/>
        <v>-1</v>
      </c>
      <c r="W141" s="152">
        <f t="shared" si="49"/>
        <v>616</v>
      </c>
      <c r="X141" s="127">
        <f t="shared" si="46"/>
        <v>0</v>
      </c>
      <c r="Y141" s="207">
        <f t="shared" si="50"/>
        <v>616</v>
      </c>
      <c r="Z141" s="139">
        <f t="shared" si="51"/>
        <v>616</v>
      </c>
      <c r="AA141" s="139">
        <f t="shared" si="52"/>
        <v>0</v>
      </c>
      <c r="AC141" s="47">
        <f t="shared" si="53"/>
        <v>308</v>
      </c>
      <c r="AD141" s="47">
        <f t="shared" si="54"/>
        <v>308</v>
      </c>
      <c r="AE141" s="47">
        <f t="shared" si="55"/>
        <v>0</v>
      </c>
      <c r="AG141" s="47">
        <f t="shared" si="56"/>
        <v>308</v>
      </c>
      <c r="AH141" s="47">
        <f t="shared" si="57"/>
        <v>308</v>
      </c>
      <c r="AI141" s="208">
        <f t="shared" si="58"/>
        <v>0</v>
      </c>
    </row>
    <row r="142" spans="1:35">
      <c r="A142" t="s">
        <v>2093</v>
      </c>
      <c r="B142" t="s">
        <v>3140</v>
      </c>
      <c r="C142" t="s">
        <v>2187</v>
      </c>
      <c r="D142" t="s">
        <v>3306</v>
      </c>
      <c r="F142" t="s">
        <v>146</v>
      </c>
      <c r="G142" s="126">
        <f>SUMIFS('Support - Transition'!F:F,'Support - Transition'!B:B,'Step 2'!A142,'Support - Transition'!C:C,'Step 2'!B142,'Support - Transition'!D:D,'Step 2'!C142,'Support - Transition'!E:E,"CIVIL")</f>
        <v>0</v>
      </c>
      <c r="H142" s="126">
        <f>SUMIFS('Support - Transition'!F:F,'Support - Transition'!B:B,'Step 2'!A142,'Support - Transition'!C:C,'Step 2'!B142,'Support - Transition'!D:D,'Step 2'!C142,'Support - Transition'!E:E,"FIRE")</f>
        <v>0</v>
      </c>
      <c r="I142" s="126">
        <f>IF(B142="0",SUMIFS('Support - Transition'!F:F,'Support - Transition'!J:J,'Step 2'!D142,'Support - Transition'!E:E,"STATE UNIT"),SUMIFS('Support - Transition'!F:F,'Support - Transition'!J:J,'Step 2'!D142))</f>
        <v>0.154589</v>
      </c>
      <c r="J142" s="126">
        <f>SUMIFS('Support - Unit Adjustments'!E:E,'Support - Unit Adjustments'!F:F,'Step 2'!D142)</f>
        <v>0</v>
      </c>
      <c r="K142" s="126">
        <f t="shared" si="40"/>
        <v>0.154589</v>
      </c>
      <c r="L142" s="174">
        <f>VLOOKUP(A142,'Step 1'!$A:$E,4,FALSE)</f>
        <v>505208</v>
      </c>
      <c r="M142" s="47">
        <f t="shared" si="41"/>
        <v>78100</v>
      </c>
      <c r="N142" s="177">
        <f>SUMIFS('Support - Transition'!G:G,'Support - Transition'!J:J,'Step 2'!D142,'Support - Transition'!E:E,"2009 WELFARE ALLOCATION FACTOR")</f>
        <v>0.22176899999999999</v>
      </c>
      <c r="O142" s="152">
        <f t="shared" si="47"/>
        <v>17320</v>
      </c>
      <c r="P142" s="126">
        <f>IF(E142="Y",0,SUMIFS('Support - Transition'!G:G,'Support - Transition'!J:J,'Step 2'!D142,'Support - Transition'!E:E,"2009 SCHOOL ALLOCATION FACTOR"))</f>
        <v>0</v>
      </c>
      <c r="Q142" s="126">
        <f>IF(E142="Y",VLOOKUP(D142,'Support - Unit Adjustments'!F:G,2,FALSE),0)</f>
        <v>0</v>
      </c>
      <c r="R142" s="155">
        <f t="shared" si="42"/>
        <v>0</v>
      </c>
      <c r="S142" s="47">
        <f t="shared" si="48"/>
        <v>0</v>
      </c>
      <c r="T142" s="151">
        <f t="shared" si="43"/>
        <v>60780</v>
      </c>
      <c r="U142" s="151">
        <f t="shared" si="44"/>
        <v>0</v>
      </c>
      <c r="V142" s="139">
        <f t="shared" si="45"/>
        <v>0</v>
      </c>
      <c r="W142" s="152">
        <f t="shared" si="49"/>
        <v>60780</v>
      </c>
      <c r="X142" s="127" t="str">
        <f t="shared" si="46"/>
        <v/>
      </c>
      <c r="Y142" s="207">
        <f t="shared" si="50"/>
        <v>60780</v>
      </c>
      <c r="Z142" s="139">
        <f t="shared" si="51"/>
        <v>60780</v>
      </c>
      <c r="AA142" s="139">
        <f t="shared" si="52"/>
        <v>0</v>
      </c>
      <c r="AC142" s="47">
        <f t="shared" si="53"/>
        <v>30390</v>
      </c>
      <c r="AD142" s="47">
        <f t="shared" si="54"/>
        <v>30390</v>
      </c>
      <c r="AE142" s="47">
        <f t="shared" si="55"/>
        <v>0</v>
      </c>
      <c r="AG142" s="47">
        <f t="shared" si="56"/>
        <v>30390</v>
      </c>
      <c r="AH142" s="47">
        <f t="shared" si="57"/>
        <v>30390</v>
      </c>
      <c r="AI142" s="208">
        <f t="shared" si="58"/>
        <v>0</v>
      </c>
    </row>
    <row r="143" spans="1:35">
      <c r="A143" t="s">
        <v>2093</v>
      </c>
      <c r="B143" t="s">
        <v>3142</v>
      </c>
      <c r="C143" t="s">
        <v>2188</v>
      </c>
      <c r="D143" t="s">
        <v>3307</v>
      </c>
      <c r="F143" t="s">
        <v>107</v>
      </c>
      <c r="G143" s="126">
        <f>SUMIFS('Support - Transition'!F:F,'Support - Transition'!B:B,'Step 2'!A143,'Support - Transition'!C:C,'Step 2'!B143,'Support - Transition'!D:D,'Step 2'!C143,'Support - Transition'!E:E,"CIVIL")</f>
        <v>7.3740000000000003E-3</v>
      </c>
      <c r="H143" s="126">
        <f>SUMIFS('Support - Transition'!F:F,'Support - Transition'!B:B,'Step 2'!A143,'Support - Transition'!C:C,'Step 2'!B143,'Support - Transition'!D:D,'Step 2'!C143,'Support - Transition'!E:E,"FIRE")</f>
        <v>2.0370000000000002E-3</v>
      </c>
      <c r="I143" s="126">
        <f>IF(B143="0",SUMIFS('Support - Transition'!F:F,'Support - Transition'!J:J,'Step 2'!D143,'Support - Transition'!E:E,"STATE UNIT"),SUMIFS('Support - Transition'!F:F,'Support - Transition'!J:J,'Step 2'!D143))</f>
        <v>9.411000000000001E-3</v>
      </c>
      <c r="J143" s="126">
        <f>SUMIFS('Support - Unit Adjustments'!E:E,'Support - Unit Adjustments'!F:F,'Step 2'!D143)</f>
        <v>0</v>
      </c>
      <c r="K143" s="126">
        <f t="shared" si="40"/>
        <v>9.411000000000001E-3</v>
      </c>
      <c r="L143" s="174">
        <f>VLOOKUP(A143,'Step 1'!$A:$E,4,FALSE)</f>
        <v>505208</v>
      </c>
      <c r="M143" s="47">
        <f t="shared" si="41"/>
        <v>4755</v>
      </c>
      <c r="N143" s="177">
        <f>SUMIFS('Support - Transition'!G:G,'Support - Transition'!J:J,'Step 2'!D143,'Support - Transition'!E:E,"2009 WELFARE ALLOCATION FACTOR")</f>
        <v>0</v>
      </c>
      <c r="O143" s="152">
        <f t="shared" si="47"/>
        <v>0</v>
      </c>
      <c r="P143" s="126">
        <f>IF(E143="Y",0,SUMIFS('Support - Transition'!G:G,'Support - Transition'!J:J,'Step 2'!D143,'Support - Transition'!E:E,"2009 SCHOOL ALLOCATION FACTOR"))</f>
        <v>0</v>
      </c>
      <c r="Q143" s="126">
        <f>IF(E143="Y",VLOOKUP(D143,'Support - Unit Adjustments'!F:G,2,FALSE),0)</f>
        <v>0</v>
      </c>
      <c r="R143" s="155">
        <f t="shared" si="42"/>
        <v>0</v>
      </c>
      <c r="S143" s="47">
        <f t="shared" si="48"/>
        <v>0</v>
      </c>
      <c r="T143" s="151">
        <f t="shared" si="43"/>
        <v>4755</v>
      </c>
      <c r="U143" s="151">
        <f t="shared" si="44"/>
        <v>0</v>
      </c>
      <c r="V143" s="139">
        <f t="shared" si="45"/>
        <v>0</v>
      </c>
      <c r="W143" s="152">
        <f t="shared" si="49"/>
        <v>4755</v>
      </c>
      <c r="X143" s="127" t="str">
        <f t="shared" si="46"/>
        <v/>
      </c>
      <c r="Y143" s="207">
        <f t="shared" si="50"/>
        <v>4755</v>
      </c>
      <c r="Z143" s="139">
        <f t="shared" si="51"/>
        <v>3726</v>
      </c>
      <c r="AA143" s="139">
        <f t="shared" si="52"/>
        <v>1029</v>
      </c>
      <c r="AC143" s="47">
        <f t="shared" si="53"/>
        <v>2378</v>
      </c>
      <c r="AD143" s="47">
        <f t="shared" si="54"/>
        <v>1863</v>
      </c>
      <c r="AE143" s="47">
        <f t="shared" si="55"/>
        <v>515</v>
      </c>
      <c r="AG143" s="47">
        <f t="shared" si="56"/>
        <v>2377</v>
      </c>
      <c r="AH143" s="47">
        <f t="shared" si="57"/>
        <v>1863</v>
      </c>
      <c r="AI143" s="208">
        <f t="shared" si="58"/>
        <v>514</v>
      </c>
    </row>
    <row r="144" spans="1:35">
      <c r="A144" t="s">
        <v>2093</v>
      </c>
      <c r="B144" t="s">
        <v>3142</v>
      </c>
      <c r="C144" t="s">
        <v>2189</v>
      </c>
      <c r="D144" t="s">
        <v>3308</v>
      </c>
      <c r="F144" t="s">
        <v>147</v>
      </c>
      <c r="G144" s="126">
        <f>SUMIFS('Support - Transition'!F:F,'Support - Transition'!B:B,'Step 2'!A144,'Support - Transition'!C:C,'Step 2'!B144,'Support - Transition'!D:D,'Step 2'!C144,'Support - Transition'!E:E,"CIVIL")</f>
        <v>0</v>
      </c>
      <c r="H144" s="126">
        <f>SUMIFS('Support - Transition'!F:F,'Support - Transition'!B:B,'Step 2'!A144,'Support - Transition'!C:C,'Step 2'!B144,'Support - Transition'!D:D,'Step 2'!C144,'Support - Transition'!E:E,"FIRE")</f>
        <v>0</v>
      </c>
      <c r="I144" s="126">
        <f>IF(B144="0",SUMIFS('Support - Transition'!F:F,'Support - Transition'!J:J,'Step 2'!D144,'Support - Transition'!E:E,"STATE UNIT"),SUMIFS('Support - Transition'!F:F,'Support - Transition'!J:J,'Step 2'!D144))</f>
        <v>0</v>
      </c>
      <c r="J144" s="126">
        <f>SUMIFS('Support - Unit Adjustments'!E:E,'Support - Unit Adjustments'!F:F,'Step 2'!D144)</f>
        <v>0</v>
      </c>
      <c r="K144" s="126">
        <f t="shared" si="40"/>
        <v>0</v>
      </c>
      <c r="L144" s="174">
        <f>VLOOKUP(A144,'Step 1'!$A:$E,4,FALSE)</f>
        <v>505208</v>
      </c>
      <c r="M144" s="47">
        <f t="shared" si="41"/>
        <v>0</v>
      </c>
      <c r="N144" s="177">
        <f>SUMIFS('Support - Transition'!G:G,'Support - Transition'!J:J,'Step 2'!D144,'Support - Transition'!E:E,"2009 WELFARE ALLOCATION FACTOR")</f>
        <v>0</v>
      </c>
      <c r="O144" s="152">
        <f t="shared" si="47"/>
        <v>0</v>
      </c>
      <c r="P144" s="126">
        <f>IF(E144="Y",0,SUMIFS('Support - Transition'!G:G,'Support - Transition'!J:J,'Step 2'!D144,'Support - Transition'!E:E,"2009 SCHOOL ALLOCATION FACTOR"))</f>
        <v>0</v>
      </c>
      <c r="Q144" s="126">
        <f>IF(E144="Y",VLOOKUP(D144,'Support - Unit Adjustments'!F:G,2,FALSE),0)</f>
        <v>0</v>
      </c>
      <c r="R144" s="155">
        <f t="shared" si="42"/>
        <v>0</v>
      </c>
      <c r="S144" s="47">
        <f t="shared" si="48"/>
        <v>0</v>
      </c>
      <c r="T144" s="151">
        <f t="shared" si="43"/>
        <v>0</v>
      </c>
      <c r="U144" s="151">
        <f t="shared" si="44"/>
        <v>0</v>
      </c>
      <c r="V144" s="139">
        <f t="shared" si="45"/>
        <v>0</v>
      </c>
      <c r="W144" s="152">
        <f t="shared" si="49"/>
        <v>0</v>
      </c>
      <c r="X144" s="127" t="str">
        <f t="shared" si="46"/>
        <v/>
      </c>
      <c r="Y144" s="207">
        <f t="shared" si="50"/>
        <v>0</v>
      </c>
      <c r="Z144" s="139">
        <f t="shared" si="51"/>
        <v>0</v>
      </c>
      <c r="AA144" s="139">
        <f t="shared" si="52"/>
        <v>0</v>
      </c>
      <c r="AC144" s="47">
        <f t="shared" si="53"/>
        <v>0</v>
      </c>
      <c r="AD144" s="47">
        <f t="shared" si="54"/>
        <v>0</v>
      </c>
      <c r="AE144" s="47">
        <f t="shared" si="55"/>
        <v>0</v>
      </c>
      <c r="AG144" s="47">
        <f t="shared" si="56"/>
        <v>0</v>
      </c>
      <c r="AH144" s="47">
        <f t="shared" si="57"/>
        <v>0</v>
      </c>
      <c r="AI144" s="208">
        <f t="shared" si="58"/>
        <v>0</v>
      </c>
    </row>
    <row r="145" spans="1:35">
      <c r="A145" t="s">
        <v>2093</v>
      </c>
      <c r="B145" t="s">
        <v>3142</v>
      </c>
      <c r="C145" t="s">
        <v>2191</v>
      </c>
      <c r="D145" t="s">
        <v>3309</v>
      </c>
      <c r="F145" t="s">
        <v>86</v>
      </c>
      <c r="G145" s="126">
        <f>SUMIFS('Support - Transition'!F:F,'Support - Transition'!B:B,'Step 2'!A145,'Support - Transition'!C:C,'Step 2'!B145,'Support - Transition'!D:D,'Step 2'!C145,'Support - Transition'!E:E,"CIVIL")</f>
        <v>1.1900000000000001E-4</v>
      </c>
      <c r="H145" s="126">
        <f>SUMIFS('Support - Transition'!F:F,'Support - Transition'!B:B,'Step 2'!A145,'Support - Transition'!C:C,'Step 2'!B145,'Support - Transition'!D:D,'Step 2'!C145,'Support - Transition'!E:E,"FIRE")</f>
        <v>3.6000000000000001E-5</v>
      </c>
      <c r="I145" s="126">
        <f>IF(B145="0",SUMIFS('Support - Transition'!F:F,'Support - Transition'!J:J,'Step 2'!D145,'Support - Transition'!E:E,"STATE UNIT"),SUMIFS('Support - Transition'!F:F,'Support - Transition'!J:J,'Step 2'!D145))</f>
        <v>1.55E-4</v>
      </c>
      <c r="J145" s="126">
        <f>SUMIFS('Support - Unit Adjustments'!E:E,'Support - Unit Adjustments'!F:F,'Step 2'!D145)</f>
        <v>0</v>
      </c>
      <c r="K145" s="126">
        <f t="shared" si="40"/>
        <v>1.55E-4</v>
      </c>
      <c r="L145" s="174">
        <f>VLOOKUP(A145,'Step 1'!$A:$E,4,FALSE)</f>
        <v>505208</v>
      </c>
      <c r="M145" s="47">
        <f t="shared" si="41"/>
        <v>78</v>
      </c>
      <c r="N145" s="177">
        <f>SUMIFS('Support - Transition'!G:G,'Support - Transition'!J:J,'Step 2'!D145,'Support - Transition'!E:E,"2009 WELFARE ALLOCATION FACTOR")</f>
        <v>0</v>
      </c>
      <c r="O145" s="152">
        <f t="shared" si="47"/>
        <v>0</v>
      </c>
      <c r="P145" s="126">
        <f>IF(E145="Y",0,SUMIFS('Support - Transition'!G:G,'Support - Transition'!J:J,'Step 2'!D145,'Support - Transition'!E:E,"2009 SCHOOL ALLOCATION FACTOR"))</f>
        <v>0</v>
      </c>
      <c r="Q145" s="126">
        <f>IF(E145="Y",VLOOKUP(D145,'Support - Unit Adjustments'!F:G,2,FALSE),0)</f>
        <v>0</v>
      </c>
      <c r="R145" s="155">
        <f t="shared" si="42"/>
        <v>0</v>
      </c>
      <c r="S145" s="47">
        <f t="shared" si="48"/>
        <v>0</v>
      </c>
      <c r="T145" s="151">
        <f t="shared" si="43"/>
        <v>78</v>
      </c>
      <c r="U145" s="151">
        <f t="shared" si="44"/>
        <v>0</v>
      </c>
      <c r="V145" s="139">
        <f t="shared" si="45"/>
        <v>0</v>
      </c>
      <c r="W145" s="152">
        <f t="shared" si="49"/>
        <v>78</v>
      </c>
      <c r="X145" s="127" t="str">
        <f t="shared" si="46"/>
        <v/>
      </c>
      <c r="Y145" s="207">
        <f t="shared" si="50"/>
        <v>78</v>
      </c>
      <c r="Z145" s="139">
        <f t="shared" si="51"/>
        <v>60</v>
      </c>
      <c r="AA145" s="139">
        <f t="shared" si="52"/>
        <v>18</v>
      </c>
      <c r="AC145" s="47">
        <f t="shared" si="53"/>
        <v>39</v>
      </c>
      <c r="AD145" s="47">
        <f t="shared" si="54"/>
        <v>30</v>
      </c>
      <c r="AE145" s="47">
        <f t="shared" si="55"/>
        <v>9</v>
      </c>
      <c r="AG145" s="47">
        <f t="shared" si="56"/>
        <v>39</v>
      </c>
      <c r="AH145" s="47">
        <f t="shared" si="57"/>
        <v>30</v>
      </c>
      <c r="AI145" s="208">
        <f t="shared" si="58"/>
        <v>9</v>
      </c>
    </row>
    <row r="146" spans="1:35">
      <c r="A146" t="s">
        <v>2093</v>
      </c>
      <c r="B146" t="s">
        <v>3142</v>
      </c>
      <c r="C146" t="s">
        <v>2192</v>
      </c>
      <c r="D146" t="s">
        <v>3310</v>
      </c>
      <c r="F146" t="s">
        <v>49</v>
      </c>
      <c r="G146" s="126">
        <f>SUMIFS('Support - Transition'!F:F,'Support - Transition'!B:B,'Step 2'!A146,'Support - Transition'!C:C,'Step 2'!B146,'Support - Transition'!D:D,'Step 2'!C146,'Support - Transition'!E:E,"CIVIL")</f>
        <v>3.1E-4</v>
      </c>
      <c r="H146" s="126">
        <f>SUMIFS('Support - Transition'!F:F,'Support - Transition'!B:B,'Step 2'!A146,'Support - Transition'!C:C,'Step 2'!B146,'Support - Transition'!D:D,'Step 2'!C146,'Support - Transition'!E:E,"FIRE")</f>
        <v>2.5999999999999998E-4</v>
      </c>
      <c r="I146" s="126">
        <f>IF(B146="0",SUMIFS('Support - Transition'!F:F,'Support - Transition'!J:J,'Step 2'!D146,'Support - Transition'!E:E,"STATE UNIT"),SUMIFS('Support - Transition'!F:F,'Support - Transition'!J:J,'Step 2'!D146))</f>
        <v>5.6999999999999998E-4</v>
      </c>
      <c r="J146" s="126">
        <f>SUMIFS('Support - Unit Adjustments'!E:E,'Support - Unit Adjustments'!F:F,'Step 2'!D146)</f>
        <v>0</v>
      </c>
      <c r="K146" s="126">
        <f t="shared" si="40"/>
        <v>5.6999999999999998E-4</v>
      </c>
      <c r="L146" s="174">
        <f>VLOOKUP(A146,'Step 1'!$A:$E,4,FALSE)</f>
        <v>505208</v>
      </c>
      <c r="M146" s="47">
        <f t="shared" si="41"/>
        <v>288</v>
      </c>
      <c r="N146" s="177">
        <f>SUMIFS('Support - Transition'!G:G,'Support - Transition'!J:J,'Step 2'!D146,'Support - Transition'!E:E,"2009 WELFARE ALLOCATION FACTOR")</f>
        <v>0</v>
      </c>
      <c r="O146" s="152">
        <f t="shared" si="47"/>
        <v>0</v>
      </c>
      <c r="P146" s="126">
        <f>IF(E146="Y",0,SUMIFS('Support - Transition'!G:G,'Support - Transition'!J:J,'Step 2'!D146,'Support - Transition'!E:E,"2009 SCHOOL ALLOCATION FACTOR"))</f>
        <v>0</v>
      </c>
      <c r="Q146" s="126">
        <f>IF(E146="Y",VLOOKUP(D146,'Support - Unit Adjustments'!F:G,2,FALSE),0)</f>
        <v>0</v>
      </c>
      <c r="R146" s="155">
        <f t="shared" si="42"/>
        <v>0</v>
      </c>
      <c r="S146" s="47">
        <f t="shared" si="48"/>
        <v>0</v>
      </c>
      <c r="T146" s="151">
        <f t="shared" si="43"/>
        <v>288</v>
      </c>
      <c r="U146" s="151">
        <f t="shared" si="44"/>
        <v>0</v>
      </c>
      <c r="V146" s="139">
        <f t="shared" si="45"/>
        <v>0</v>
      </c>
      <c r="W146" s="152">
        <f t="shared" si="49"/>
        <v>288</v>
      </c>
      <c r="X146" s="127" t="str">
        <f t="shared" si="46"/>
        <v/>
      </c>
      <c r="Y146" s="207">
        <f t="shared" si="50"/>
        <v>288</v>
      </c>
      <c r="Z146" s="139">
        <f t="shared" si="51"/>
        <v>157</v>
      </c>
      <c r="AA146" s="139">
        <f t="shared" si="52"/>
        <v>131</v>
      </c>
      <c r="AC146" s="47">
        <f t="shared" si="53"/>
        <v>144</v>
      </c>
      <c r="AD146" s="47">
        <f t="shared" si="54"/>
        <v>79</v>
      </c>
      <c r="AE146" s="47">
        <f t="shared" si="55"/>
        <v>66</v>
      </c>
      <c r="AG146" s="47">
        <f t="shared" si="56"/>
        <v>144</v>
      </c>
      <c r="AH146" s="47">
        <f t="shared" si="57"/>
        <v>78</v>
      </c>
      <c r="AI146" s="208">
        <f t="shared" si="58"/>
        <v>65</v>
      </c>
    </row>
    <row r="147" spans="1:35">
      <c r="A147" t="s">
        <v>2093</v>
      </c>
      <c r="B147" t="s">
        <v>3142</v>
      </c>
      <c r="C147" t="s">
        <v>2193</v>
      </c>
      <c r="D147" t="s">
        <v>3311</v>
      </c>
      <c r="F147" t="s">
        <v>14</v>
      </c>
      <c r="G147" s="126">
        <f>SUMIFS('Support - Transition'!F:F,'Support - Transition'!B:B,'Step 2'!A147,'Support - Transition'!C:C,'Step 2'!B147,'Support - Transition'!D:D,'Step 2'!C147,'Support - Transition'!E:E,"CIVIL")</f>
        <v>1.12E-4</v>
      </c>
      <c r="H147" s="126">
        <f>SUMIFS('Support - Transition'!F:F,'Support - Transition'!B:B,'Step 2'!A147,'Support - Transition'!C:C,'Step 2'!B147,'Support - Transition'!D:D,'Step 2'!C147,'Support - Transition'!E:E,"FIRE")</f>
        <v>6.0999999999999999E-5</v>
      </c>
      <c r="I147" s="126">
        <f>IF(B147="0",SUMIFS('Support - Transition'!F:F,'Support - Transition'!J:J,'Step 2'!D147,'Support - Transition'!E:E,"STATE UNIT"),SUMIFS('Support - Transition'!F:F,'Support - Transition'!J:J,'Step 2'!D147))</f>
        <v>1.73E-4</v>
      </c>
      <c r="J147" s="126">
        <f>SUMIFS('Support - Unit Adjustments'!E:E,'Support - Unit Adjustments'!F:F,'Step 2'!D147)</f>
        <v>0</v>
      </c>
      <c r="K147" s="126">
        <f t="shared" si="40"/>
        <v>1.73E-4</v>
      </c>
      <c r="L147" s="174">
        <f>VLOOKUP(A147,'Step 1'!$A:$E,4,FALSE)</f>
        <v>505208</v>
      </c>
      <c r="M147" s="47">
        <f t="shared" si="41"/>
        <v>87</v>
      </c>
      <c r="N147" s="177">
        <f>SUMIFS('Support - Transition'!G:G,'Support - Transition'!J:J,'Step 2'!D147,'Support - Transition'!E:E,"2009 WELFARE ALLOCATION FACTOR")</f>
        <v>0</v>
      </c>
      <c r="O147" s="152">
        <f t="shared" si="47"/>
        <v>0</v>
      </c>
      <c r="P147" s="126">
        <f>IF(E147="Y",0,SUMIFS('Support - Transition'!G:G,'Support - Transition'!J:J,'Step 2'!D147,'Support - Transition'!E:E,"2009 SCHOOL ALLOCATION FACTOR"))</f>
        <v>0</v>
      </c>
      <c r="Q147" s="126">
        <f>IF(E147="Y",VLOOKUP(D147,'Support - Unit Adjustments'!F:G,2,FALSE),0)</f>
        <v>0</v>
      </c>
      <c r="R147" s="155">
        <f t="shared" si="42"/>
        <v>0</v>
      </c>
      <c r="S147" s="47">
        <f t="shared" si="48"/>
        <v>0</v>
      </c>
      <c r="T147" s="151">
        <f t="shared" si="43"/>
        <v>87</v>
      </c>
      <c r="U147" s="151">
        <f t="shared" si="44"/>
        <v>0</v>
      </c>
      <c r="V147" s="139">
        <f t="shared" si="45"/>
        <v>0</v>
      </c>
      <c r="W147" s="152">
        <f t="shared" si="49"/>
        <v>87</v>
      </c>
      <c r="X147" s="127" t="str">
        <f t="shared" si="46"/>
        <v/>
      </c>
      <c r="Y147" s="207">
        <f t="shared" si="50"/>
        <v>87</v>
      </c>
      <c r="Z147" s="139">
        <f t="shared" si="51"/>
        <v>56</v>
      </c>
      <c r="AA147" s="139">
        <f t="shared" si="52"/>
        <v>31</v>
      </c>
      <c r="AC147" s="47">
        <f t="shared" si="53"/>
        <v>44</v>
      </c>
      <c r="AD147" s="47">
        <f t="shared" si="54"/>
        <v>28</v>
      </c>
      <c r="AE147" s="47">
        <f t="shared" si="55"/>
        <v>16</v>
      </c>
      <c r="AG147" s="47">
        <f t="shared" si="56"/>
        <v>43</v>
      </c>
      <c r="AH147" s="47">
        <f t="shared" si="57"/>
        <v>28</v>
      </c>
      <c r="AI147" s="208">
        <f t="shared" si="58"/>
        <v>15</v>
      </c>
    </row>
    <row r="148" spans="1:35">
      <c r="A148" t="s">
        <v>2093</v>
      </c>
      <c r="B148" t="s">
        <v>3142</v>
      </c>
      <c r="C148" t="s">
        <v>2194</v>
      </c>
      <c r="D148" t="s">
        <v>3312</v>
      </c>
      <c r="F148" t="s">
        <v>53</v>
      </c>
      <c r="G148" s="126">
        <f>SUMIFS('Support - Transition'!F:F,'Support - Transition'!B:B,'Step 2'!A148,'Support - Transition'!C:C,'Step 2'!B148,'Support - Transition'!D:D,'Step 2'!C148,'Support - Transition'!E:E,"CIVIL")</f>
        <v>1.93E-4</v>
      </c>
      <c r="H148" s="126">
        <f>SUMIFS('Support - Transition'!F:F,'Support - Transition'!B:B,'Step 2'!A148,'Support - Transition'!C:C,'Step 2'!B148,'Support - Transition'!D:D,'Step 2'!C148,'Support - Transition'!E:E,"FIRE")</f>
        <v>1.2999999999999999E-4</v>
      </c>
      <c r="I148" s="126">
        <f>IF(B148="0",SUMIFS('Support - Transition'!F:F,'Support - Transition'!J:J,'Step 2'!D148,'Support - Transition'!E:E,"STATE UNIT"),SUMIFS('Support - Transition'!F:F,'Support - Transition'!J:J,'Step 2'!D148))</f>
        <v>3.2299999999999999E-4</v>
      </c>
      <c r="J148" s="126">
        <f>SUMIFS('Support - Unit Adjustments'!E:E,'Support - Unit Adjustments'!F:F,'Step 2'!D148)</f>
        <v>0</v>
      </c>
      <c r="K148" s="126">
        <f t="shared" si="40"/>
        <v>3.2299999999999999E-4</v>
      </c>
      <c r="L148" s="174">
        <f>VLOOKUP(A148,'Step 1'!$A:$E,4,FALSE)</f>
        <v>505208</v>
      </c>
      <c r="M148" s="47">
        <f t="shared" si="41"/>
        <v>163</v>
      </c>
      <c r="N148" s="177">
        <f>SUMIFS('Support - Transition'!G:G,'Support - Transition'!J:J,'Step 2'!D148,'Support - Transition'!E:E,"2009 WELFARE ALLOCATION FACTOR")</f>
        <v>0</v>
      </c>
      <c r="O148" s="152">
        <f t="shared" si="47"/>
        <v>0</v>
      </c>
      <c r="P148" s="126">
        <f>IF(E148="Y",0,SUMIFS('Support - Transition'!G:G,'Support - Transition'!J:J,'Step 2'!D148,'Support - Transition'!E:E,"2009 SCHOOL ALLOCATION FACTOR"))</f>
        <v>0</v>
      </c>
      <c r="Q148" s="126">
        <f>IF(E148="Y",VLOOKUP(D148,'Support - Unit Adjustments'!F:G,2,FALSE),0)</f>
        <v>0</v>
      </c>
      <c r="R148" s="155">
        <f t="shared" si="42"/>
        <v>0</v>
      </c>
      <c r="S148" s="47">
        <f t="shared" si="48"/>
        <v>0</v>
      </c>
      <c r="T148" s="151">
        <f t="shared" si="43"/>
        <v>163</v>
      </c>
      <c r="U148" s="151">
        <f t="shared" si="44"/>
        <v>0</v>
      </c>
      <c r="V148" s="139">
        <f t="shared" si="45"/>
        <v>0</v>
      </c>
      <c r="W148" s="152">
        <f t="shared" si="49"/>
        <v>163</v>
      </c>
      <c r="X148" s="127" t="str">
        <f t="shared" si="46"/>
        <v/>
      </c>
      <c r="Y148" s="207">
        <f t="shared" si="50"/>
        <v>163</v>
      </c>
      <c r="Z148" s="139">
        <f t="shared" si="51"/>
        <v>97</v>
      </c>
      <c r="AA148" s="139">
        <f t="shared" si="52"/>
        <v>66</v>
      </c>
      <c r="AC148" s="47">
        <f t="shared" si="53"/>
        <v>82</v>
      </c>
      <c r="AD148" s="47">
        <f t="shared" si="54"/>
        <v>49</v>
      </c>
      <c r="AE148" s="47">
        <f t="shared" si="55"/>
        <v>33</v>
      </c>
      <c r="AG148" s="47">
        <f t="shared" si="56"/>
        <v>81</v>
      </c>
      <c r="AH148" s="47">
        <f t="shared" si="57"/>
        <v>48</v>
      </c>
      <c r="AI148" s="208">
        <f t="shared" si="58"/>
        <v>33</v>
      </c>
    </row>
    <row r="149" spans="1:35">
      <c r="A149" t="s">
        <v>2093</v>
      </c>
      <c r="B149" t="s">
        <v>3142</v>
      </c>
      <c r="C149" t="s">
        <v>2196</v>
      </c>
      <c r="D149" t="s">
        <v>3313</v>
      </c>
      <c r="F149" t="s">
        <v>149</v>
      </c>
      <c r="G149" s="126">
        <f>SUMIFS('Support - Transition'!F:F,'Support - Transition'!B:B,'Step 2'!A149,'Support - Transition'!C:C,'Step 2'!B149,'Support - Transition'!D:D,'Step 2'!C149,'Support - Transition'!E:E,"CIVIL")</f>
        <v>4.1800000000000002E-4</v>
      </c>
      <c r="H149" s="126">
        <f>SUMIFS('Support - Transition'!F:F,'Support - Transition'!B:B,'Step 2'!A149,'Support - Transition'!C:C,'Step 2'!B149,'Support - Transition'!D:D,'Step 2'!C149,'Support - Transition'!E:E,"FIRE")</f>
        <v>3.7500000000000001E-4</v>
      </c>
      <c r="I149" s="126">
        <f>IF(B149="0",SUMIFS('Support - Transition'!F:F,'Support - Transition'!J:J,'Step 2'!D149,'Support - Transition'!E:E,"STATE UNIT"),SUMIFS('Support - Transition'!F:F,'Support - Transition'!J:J,'Step 2'!D149))</f>
        <v>7.9300000000000009E-4</v>
      </c>
      <c r="J149" s="126">
        <f>SUMIFS('Support - Unit Adjustments'!E:E,'Support - Unit Adjustments'!F:F,'Step 2'!D149)</f>
        <v>0</v>
      </c>
      <c r="K149" s="126">
        <f t="shared" si="40"/>
        <v>7.9300000000000009E-4</v>
      </c>
      <c r="L149" s="174">
        <f>VLOOKUP(A149,'Step 1'!$A:$E,4,FALSE)</f>
        <v>505208</v>
      </c>
      <c r="M149" s="47">
        <f t="shared" si="41"/>
        <v>401</v>
      </c>
      <c r="N149" s="177">
        <f>SUMIFS('Support - Transition'!G:G,'Support - Transition'!J:J,'Step 2'!D149,'Support - Transition'!E:E,"2009 WELFARE ALLOCATION FACTOR")</f>
        <v>0</v>
      </c>
      <c r="O149" s="152">
        <f t="shared" si="47"/>
        <v>0</v>
      </c>
      <c r="P149" s="126">
        <f>IF(E149="Y",0,SUMIFS('Support - Transition'!G:G,'Support - Transition'!J:J,'Step 2'!D149,'Support - Transition'!E:E,"2009 SCHOOL ALLOCATION FACTOR"))</f>
        <v>0</v>
      </c>
      <c r="Q149" s="126">
        <f>IF(E149="Y",VLOOKUP(D149,'Support - Unit Adjustments'!F:G,2,FALSE),0)</f>
        <v>0</v>
      </c>
      <c r="R149" s="155">
        <f t="shared" si="42"/>
        <v>0</v>
      </c>
      <c r="S149" s="47">
        <f t="shared" si="48"/>
        <v>0</v>
      </c>
      <c r="T149" s="151">
        <f t="shared" si="43"/>
        <v>401</v>
      </c>
      <c r="U149" s="151">
        <f t="shared" si="44"/>
        <v>0</v>
      </c>
      <c r="V149" s="139">
        <f t="shared" si="45"/>
        <v>0</v>
      </c>
      <c r="W149" s="152">
        <f t="shared" si="49"/>
        <v>401</v>
      </c>
      <c r="X149" s="127" t="str">
        <f t="shared" si="46"/>
        <v/>
      </c>
      <c r="Y149" s="207">
        <f t="shared" si="50"/>
        <v>401</v>
      </c>
      <c r="Z149" s="139">
        <f t="shared" si="51"/>
        <v>211</v>
      </c>
      <c r="AA149" s="139">
        <f t="shared" si="52"/>
        <v>190</v>
      </c>
      <c r="AC149" s="47">
        <f t="shared" si="53"/>
        <v>201</v>
      </c>
      <c r="AD149" s="47">
        <f t="shared" si="54"/>
        <v>106</v>
      </c>
      <c r="AE149" s="47">
        <f t="shared" si="55"/>
        <v>95</v>
      </c>
      <c r="AG149" s="47">
        <f t="shared" si="56"/>
        <v>200</v>
      </c>
      <c r="AH149" s="47">
        <f t="shared" si="57"/>
        <v>105</v>
      </c>
      <c r="AI149" s="208">
        <f t="shared" si="58"/>
        <v>95</v>
      </c>
    </row>
    <row r="150" spans="1:35">
      <c r="A150" t="s">
        <v>2093</v>
      </c>
      <c r="B150" t="s">
        <v>3142</v>
      </c>
      <c r="C150" t="s">
        <v>2198</v>
      </c>
      <c r="D150" t="s">
        <v>3314</v>
      </c>
      <c r="F150" t="s">
        <v>22</v>
      </c>
      <c r="G150" s="126">
        <f>SUMIFS('Support - Transition'!F:F,'Support - Transition'!B:B,'Step 2'!A150,'Support - Transition'!C:C,'Step 2'!B150,'Support - Transition'!D:D,'Step 2'!C150,'Support - Transition'!E:E,"CIVIL")</f>
        <v>4.28E-4</v>
      </c>
      <c r="H150" s="126">
        <f>SUMIFS('Support - Transition'!F:F,'Support - Transition'!B:B,'Step 2'!A150,'Support - Transition'!C:C,'Step 2'!B150,'Support - Transition'!D:D,'Step 2'!C150,'Support - Transition'!E:E,"FIRE")</f>
        <v>1.9100000000000001E-4</v>
      </c>
      <c r="I150" s="126">
        <f>IF(B150="0",SUMIFS('Support - Transition'!F:F,'Support - Transition'!J:J,'Step 2'!D150,'Support - Transition'!E:E,"STATE UNIT"),SUMIFS('Support - Transition'!F:F,'Support - Transition'!J:J,'Step 2'!D150))</f>
        <v>6.1899999999999998E-4</v>
      </c>
      <c r="J150" s="126">
        <f>SUMIFS('Support - Unit Adjustments'!E:E,'Support - Unit Adjustments'!F:F,'Step 2'!D150)</f>
        <v>0</v>
      </c>
      <c r="K150" s="126">
        <f t="shared" si="40"/>
        <v>6.1899999999999998E-4</v>
      </c>
      <c r="L150" s="174">
        <f>VLOOKUP(A150,'Step 1'!$A:$E,4,FALSE)</f>
        <v>505208</v>
      </c>
      <c r="M150" s="47">
        <f t="shared" si="41"/>
        <v>313</v>
      </c>
      <c r="N150" s="177">
        <f>SUMIFS('Support - Transition'!G:G,'Support - Transition'!J:J,'Step 2'!D150,'Support - Transition'!E:E,"2009 WELFARE ALLOCATION FACTOR")</f>
        <v>0</v>
      </c>
      <c r="O150" s="152">
        <f t="shared" si="47"/>
        <v>0</v>
      </c>
      <c r="P150" s="126">
        <f>IF(E150="Y",0,SUMIFS('Support - Transition'!G:G,'Support - Transition'!J:J,'Step 2'!D150,'Support - Transition'!E:E,"2009 SCHOOL ALLOCATION FACTOR"))</f>
        <v>0</v>
      </c>
      <c r="Q150" s="126">
        <f>IF(E150="Y",VLOOKUP(D150,'Support - Unit Adjustments'!F:G,2,FALSE),0)</f>
        <v>0</v>
      </c>
      <c r="R150" s="155">
        <f t="shared" si="42"/>
        <v>0</v>
      </c>
      <c r="S150" s="47">
        <f t="shared" si="48"/>
        <v>0</v>
      </c>
      <c r="T150" s="151">
        <f t="shared" si="43"/>
        <v>313</v>
      </c>
      <c r="U150" s="151">
        <f t="shared" si="44"/>
        <v>0</v>
      </c>
      <c r="V150" s="139">
        <f t="shared" si="45"/>
        <v>0</v>
      </c>
      <c r="W150" s="152">
        <f t="shared" si="49"/>
        <v>313</v>
      </c>
      <c r="X150" s="127" t="str">
        <f t="shared" si="46"/>
        <v/>
      </c>
      <c r="Y150" s="207">
        <f t="shared" si="50"/>
        <v>313</v>
      </c>
      <c r="Z150" s="139">
        <f t="shared" si="51"/>
        <v>216</v>
      </c>
      <c r="AA150" s="139">
        <f t="shared" si="52"/>
        <v>97</v>
      </c>
      <c r="AC150" s="47">
        <f t="shared" si="53"/>
        <v>157</v>
      </c>
      <c r="AD150" s="47">
        <f t="shared" si="54"/>
        <v>108</v>
      </c>
      <c r="AE150" s="47">
        <f t="shared" si="55"/>
        <v>49</v>
      </c>
      <c r="AG150" s="47">
        <f t="shared" si="56"/>
        <v>156</v>
      </c>
      <c r="AH150" s="47">
        <f t="shared" si="57"/>
        <v>108</v>
      </c>
      <c r="AI150" s="208">
        <f t="shared" si="58"/>
        <v>48</v>
      </c>
    </row>
    <row r="151" spans="1:35">
      <c r="A151" t="s">
        <v>2093</v>
      </c>
      <c r="B151" t="s">
        <v>3142</v>
      </c>
      <c r="C151" t="s">
        <v>2199</v>
      </c>
      <c r="D151" t="s">
        <v>3315</v>
      </c>
      <c r="F151" t="s">
        <v>150</v>
      </c>
      <c r="G151" s="126">
        <f>SUMIFS('Support - Transition'!F:F,'Support - Transition'!B:B,'Step 2'!A151,'Support - Transition'!C:C,'Step 2'!B151,'Support - Transition'!D:D,'Step 2'!C151,'Support - Transition'!E:E,"CIVIL")</f>
        <v>6.0999999999999999E-5</v>
      </c>
      <c r="H151" s="126">
        <f>SUMIFS('Support - Transition'!F:F,'Support - Transition'!B:B,'Step 2'!A151,'Support - Transition'!C:C,'Step 2'!B151,'Support - Transition'!D:D,'Step 2'!C151,'Support - Transition'!E:E,"FIRE")</f>
        <v>1.01E-4</v>
      </c>
      <c r="I151" s="126">
        <f>IF(B151="0",SUMIFS('Support - Transition'!F:F,'Support - Transition'!J:J,'Step 2'!D151,'Support - Transition'!E:E,"STATE UNIT"),SUMIFS('Support - Transition'!F:F,'Support - Transition'!J:J,'Step 2'!D151))</f>
        <v>1.6200000000000001E-4</v>
      </c>
      <c r="J151" s="126">
        <f>SUMIFS('Support - Unit Adjustments'!E:E,'Support - Unit Adjustments'!F:F,'Step 2'!D151)</f>
        <v>0</v>
      </c>
      <c r="K151" s="126">
        <f t="shared" si="40"/>
        <v>1.6200000000000001E-4</v>
      </c>
      <c r="L151" s="174">
        <f>VLOOKUP(A151,'Step 1'!$A:$E,4,FALSE)</f>
        <v>505208</v>
      </c>
      <c r="M151" s="47">
        <f t="shared" si="41"/>
        <v>82</v>
      </c>
      <c r="N151" s="177">
        <f>SUMIFS('Support - Transition'!G:G,'Support - Transition'!J:J,'Step 2'!D151,'Support - Transition'!E:E,"2009 WELFARE ALLOCATION FACTOR")</f>
        <v>0</v>
      </c>
      <c r="O151" s="152">
        <f t="shared" si="47"/>
        <v>0</v>
      </c>
      <c r="P151" s="126">
        <f>IF(E151="Y",0,SUMIFS('Support - Transition'!G:G,'Support - Transition'!J:J,'Step 2'!D151,'Support - Transition'!E:E,"2009 SCHOOL ALLOCATION FACTOR"))</f>
        <v>0</v>
      </c>
      <c r="Q151" s="126">
        <f>IF(E151="Y",VLOOKUP(D151,'Support - Unit Adjustments'!F:G,2,FALSE),0)</f>
        <v>0</v>
      </c>
      <c r="R151" s="155">
        <f t="shared" si="42"/>
        <v>0</v>
      </c>
      <c r="S151" s="47">
        <f t="shared" si="48"/>
        <v>0</v>
      </c>
      <c r="T151" s="151">
        <f t="shared" si="43"/>
        <v>82</v>
      </c>
      <c r="U151" s="151">
        <f t="shared" si="44"/>
        <v>0</v>
      </c>
      <c r="V151" s="139">
        <f t="shared" si="45"/>
        <v>0</v>
      </c>
      <c r="W151" s="152">
        <f t="shared" si="49"/>
        <v>82</v>
      </c>
      <c r="X151" s="127" t="str">
        <f t="shared" si="46"/>
        <v/>
      </c>
      <c r="Y151" s="207">
        <f t="shared" si="50"/>
        <v>82</v>
      </c>
      <c r="Z151" s="139">
        <f t="shared" si="51"/>
        <v>31</v>
      </c>
      <c r="AA151" s="139">
        <f t="shared" si="52"/>
        <v>51</v>
      </c>
      <c r="AC151" s="47">
        <f t="shared" si="53"/>
        <v>41</v>
      </c>
      <c r="AD151" s="47">
        <f t="shared" si="54"/>
        <v>16</v>
      </c>
      <c r="AE151" s="47">
        <f t="shared" si="55"/>
        <v>26</v>
      </c>
      <c r="AG151" s="47">
        <f t="shared" si="56"/>
        <v>41</v>
      </c>
      <c r="AH151" s="47">
        <f t="shared" si="57"/>
        <v>15</v>
      </c>
      <c r="AI151" s="208">
        <f t="shared" si="58"/>
        <v>25</v>
      </c>
    </row>
    <row r="152" spans="1:35">
      <c r="A152" t="s">
        <v>2093</v>
      </c>
      <c r="B152" t="s">
        <v>3155</v>
      </c>
      <c r="C152" t="s">
        <v>2257</v>
      </c>
      <c r="D152" t="s">
        <v>3316</v>
      </c>
      <c r="F152" t="s">
        <v>153</v>
      </c>
      <c r="G152" s="126">
        <f>SUMIFS('Support - Transition'!F:F,'Support - Transition'!B:B,'Step 2'!A152,'Support - Transition'!C:C,'Step 2'!B152,'Support - Transition'!D:D,'Step 2'!C152,'Support - Transition'!E:E,"CIVIL")</f>
        <v>0</v>
      </c>
      <c r="H152" s="126">
        <f>SUMIFS('Support - Transition'!F:F,'Support - Transition'!B:B,'Step 2'!A152,'Support - Transition'!C:C,'Step 2'!B152,'Support - Transition'!D:D,'Step 2'!C152,'Support - Transition'!E:E,"FIRE")</f>
        <v>0</v>
      </c>
      <c r="I152" s="126">
        <f>IF(B152="0",SUMIFS('Support - Transition'!F:F,'Support - Transition'!J:J,'Step 2'!D152,'Support - Transition'!E:E,"STATE UNIT"),SUMIFS('Support - Transition'!F:F,'Support - Transition'!J:J,'Step 2'!D152))</f>
        <v>3.073E-2</v>
      </c>
      <c r="J152" s="126">
        <f>SUMIFS('Support - Unit Adjustments'!E:E,'Support - Unit Adjustments'!F:F,'Step 2'!D152)</f>
        <v>0</v>
      </c>
      <c r="K152" s="126">
        <f t="shared" si="40"/>
        <v>3.073E-2</v>
      </c>
      <c r="L152" s="174">
        <f>VLOOKUP(A152,'Step 1'!$A:$E,4,FALSE)</f>
        <v>505208</v>
      </c>
      <c r="M152" s="47">
        <f t="shared" si="41"/>
        <v>15525</v>
      </c>
      <c r="N152" s="177">
        <f>SUMIFS('Support - Transition'!G:G,'Support - Transition'!J:J,'Step 2'!D152,'Support - Transition'!E:E,"2009 WELFARE ALLOCATION FACTOR")</f>
        <v>0</v>
      </c>
      <c r="O152" s="152">
        <f t="shared" si="47"/>
        <v>0</v>
      </c>
      <c r="P152" s="126">
        <f>IF(E152="Y",0,SUMIFS('Support - Transition'!G:G,'Support - Transition'!J:J,'Step 2'!D152,'Support - Transition'!E:E,"2009 SCHOOL ALLOCATION FACTOR"))</f>
        <v>0</v>
      </c>
      <c r="Q152" s="126">
        <f>IF(E152="Y",VLOOKUP(D152,'Support - Unit Adjustments'!F:G,2,FALSE),0)</f>
        <v>0</v>
      </c>
      <c r="R152" s="155">
        <f t="shared" si="42"/>
        <v>0</v>
      </c>
      <c r="S152" s="47">
        <f t="shared" si="48"/>
        <v>0</v>
      </c>
      <c r="T152" s="151">
        <f t="shared" si="43"/>
        <v>15525</v>
      </c>
      <c r="U152" s="151">
        <f t="shared" si="44"/>
        <v>0</v>
      </c>
      <c r="V152" s="139">
        <f t="shared" si="45"/>
        <v>0</v>
      </c>
      <c r="W152" s="152">
        <f t="shared" si="49"/>
        <v>15525</v>
      </c>
      <c r="X152" s="127" t="str">
        <f t="shared" si="46"/>
        <v/>
      </c>
      <c r="Y152" s="207">
        <f t="shared" si="50"/>
        <v>15525</v>
      </c>
      <c r="Z152" s="139">
        <f t="shared" si="51"/>
        <v>15525</v>
      </c>
      <c r="AA152" s="139">
        <f t="shared" si="52"/>
        <v>0</v>
      </c>
      <c r="AC152" s="47">
        <f t="shared" si="53"/>
        <v>7763</v>
      </c>
      <c r="AD152" s="47">
        <f t="shared" si="54"/>
        <v>7763</v>
      </c>
      <c r="AE152" s="47">
        <f t="shared" si="55"/>
        <v>0</v>
      </c>
      <c r="AG152" s="47">
        <f t="shared" si="56"/>
        <v>7762</v>
      </c>
      <c r="AH152" s="47">
        <f t="shared" si="57"/>
        <v>7762</v>
      </c>
      <c r="AI152" s="208">
        <f t="shared" si="58"/>
        <v>0</v>
      </c>
    </row>
    <row r="153" spans="1:35">
      <c r="A153" t="s">
        <v>2093</v>
      </c>
      <c r="B153" t="s">
        <v>3155</v>
      </c>
      <c r="C153" t="s">
        <v>2258</v>
      </c>
      <c r="D153" t="s">
        <v>3317</v>
      </c>
      <c r="F153" t="s">
        <v>151</v>
      </c>
      <c r="G153" s="126">
        <f>SUMIFS('Support - Transition'!F:F,'Support - Transition'!B:B,'Step 2'!A153,'Support - Transition'!C:C,'Step 2'!B153,'Support - Transition'!D:D,'Step 2'!C153,'Support - Transition'!E:E,"CIVIL")</f>
        <v>0</v>
      </c>
      <c r="H153" s="126">
        <f>SUMIFS('Support - Transition'!F:F,'Support - Transition'!B:B,'Step 2'!A153,'Support - Transition'!C:C,'Step 2'!B153,'Support - Transition'!D:D,'Step 2'!C153,'Support - Transition'!E:E,"FIRE")</f>
        <v>0</v>
      </c>
      <c r="I153" s="126">
        <f>IF(B153="0",SUMIFS('Support - Transition'!F:F,'Support - Transition'!J:J,'Step 2'!D153,'Support - Transition'!E:E,"STATE UNIT"),SUMIFS('Support - Transition'!F:F,'Support - Transition'!J:J,'Step 2'!D153))</f>
        <v>9.4700000000000003E-4</v>
      </c>
      <c r="J153" s="126">
        <f>SUMIFS('Support - Unit Adjustments'!E:E,'Support - Unit Adjustments'!F:F,'Step 2'!D153)</f>
        <v>0</v>
      </c>
      <c r="K153" s="126">
        <f t="shared" si="40"/>
        <v>9.4700000000000003E-4</v>
      </c>
      <c r="L153" s="174">
        <f>VLOOKUP(A153,'Step 1'!$A:$E,4,FALSE)</f>
        <v>505208</v>
      </c>
      <c r="M153" s="47">
        <f t="shared" si="41"/>
        <v>478</v>
      </c>
      <c r="N153" s="177">
        <f>SUMIFS('Support - Transition'!G:G,'Support - Transition'!J:J,'Step 2'!D153,'Support - Transition'!E:E,"2009 WELFARE ALLOCATION FACTOR")</f>
        <v>0</v>
      </c>
      <c r="O153" s="152">
        <f t="shared" si="47"/>
        <v>0</v>
      </c>
      <c r="P153" s="126">
        <f>IF(E153="Y",0,SUMIFS('Support - Transition'!G:G,'Support - Transition'!J:J,'Step 2'!D153,'Support - Transition'!E:E,"2009 SCHOOL ALLOCATION FACTOR"))</f>
        <v>0</v>
      </c>
      <c r="Q153" s="126">
        <f>IF(E153="Y",VLOOKUP(D153,'Support - Unit Adjustments'!F:G,2,FALSE),0)</f>
        <v>0</v>
      </c>
      <c r="R153" s="155">
        <f t="shared" si="42"/>
        <v>0</v>
      </c>
      <c r="S153" s="47">
        <f t="shared" si="48"/>
        <v>0</v>
      </c>
      <c r="T153" s="151">
        <f t="shared" si="43"/>
        <v>478</v>
      </c>
      <c r="U153" s="151">
        <f t="shared" si="44"/>
        <v>0</v>
      </c>
      <c r="V153" s="139">
        <f t="shared" si="45"/>
        <v>0</v>
      </c>
      <c r="W153" s="152">
        <f t="shared" si="49"/>
        <v>478</v>
      </c>
      <c r="X153" s="127" t="str">
        <f t="shared" si="46"/>
        <v/>
      </c>
      <c r="Y153" s="207">
        <f t="shared" si="50"/>
        <v>478</v>
      </c>
      <c r="Z153" s="139">
        <f t="shared" si="51"/>
        <v>478</v>
      </c>
      <c r="AA153" s="139">
        <f t="shared" si="52"/>
        <v>0</v>
      </c>
      <c r="AC153" s="47">
        <f t="shared" si="53"/>
        <v>239</v>
      </c>
      <c r="AD153" s="47">
        <f t="shared" si="54"/>
        <v>239</v>
      </c>
      <c r="AE153" s="47">
        <f t="shared" si="55"/>
        <v>0</v>
      </c>
      <c r="AG153" s="47">
        <f t="shared" si="56"/>
        <v>239</v>
      </c>
      <c r="AH153" s="47">
        <f t="shared" si="57"/>
        <v>239</v>
      </c>
      <c r="AI153" s="208">
        <f t="shared" si="58"/>
        <v>0</v>
      </c>
    </row>
    <row r="154" spans="1:35">
      <c r="A154" t="s">
        <v>2093</v>
      </c>
      <c r="B154" t="s">
        <v>3155</v>
      </c>
      <c r="C154" t="s">
        <v>2259</v>
      </c>
      <c r="D154" t="s">
        <v>3318</v>
      </c>
      <c r="F154" t="s">
        <v>152</v>
      </c>
      <c r="G154" s="126">
        <f>SUMIFS('Support - Transition'!F:F,'Support - Transition'!B:B,'Step 2'!A154,'Support - Transition'!C:C,'Step 2'!B154,'Support - Transition'!D:D,'Step 2'!C154,'Support - Transition'!E:E,"CIVIL")</f>
        <v>0</v>
      </c>
      <c r="H154" s="126">
        <f>SUMIFS('Support - Transition'!F:F,'Support - Transition'!B:B,'Step 2'!A154,'Support - Transition'!C:C,'Step 2'!B154,'Support - Transition'!D:D,'Step 2'!C154,'Support - Transition'!E:E,"FIRE")</f>
        <v>0</v>
      </c>
      <c r="I154" s="126">
        <f>IF(B154="0",SUMIFS('Support - Transition'!F:F,'Support - Transition'!J:J,'Step 2'!D154,'Support - Transition'!E:E,"STATE UNIT"),SUMIFS('Support - Transition'!F:F,'Support - Transition'!J:J,'Step 2'!D154))</f>
        <v>2.3800000000000001E-4</v>
      </c>
      <c r="J154" s="126">
        <f>SUMIFS('Support - Unit Adjustments'!E:E,'Support - Unit Adjustments'!F:F,'Step 2'!D154)</f>
        <v>0</v>
      </c>
      <c r="K154" s="126">
        <f t="shared" si="40"/>
        <v>2.3800000000000001E-4</v>
      </c>
      <c r="L154" s="174">
        <f>VLOOKUP(A154,'Step 1'!$A:$E,4,FALSE)</f>
        <v>505208</v>
      </c>
      <c r="M154" s="47">
        <f t="shared" si="41"/>
        <v>120</v>
      </c>
      <c r="N154" s="177">
        <f>SUMIFS('Support - Transition'!G:G,'Support - Transition'!J:J,'Step 2'!D154,'Support - Transition'!E:E,"2009 WELFARE ALLOCATION FACTOR")</f>
        <v>0</v>
      </c>
      <c r="O154" s="152">
        <f t="shared" si="47"/>
        <v>0</v>
      </c>
      <c r="P154" s="126">
        <f>IF(E154="Y",0,SUMIFS('Support - Transition'!G:G,'Support - Transition'!J:J,'Step 2'!D154,'Support - Transition'!E:E,"2009 SCHOOL ALLOCATION FACTOR"))</f>
        <v>0</v>
      </c>
      <c r="Q154" s="126">
        <f>IF(E154="Y",VLOOKUP(D154,'Support - Unit Adjustments'!F:G,2,FALSE),0)</f>
        <v>0</v>
      </c>
      <c r="R154" s="155">
        <f t="shared" si="42"/>
        <v>0</v>
      </c>
      <c r="S154" s="47">
        <f t="shared" si="48"/>
        <v>0</v>
      </c>
      <c r="T154" s="151">
        <f t="shared" si="43"/>
        <v>120</v>
      </c>
      <c r="U154" s="151">
        <f t="shared" si="44"/>
        <v>0</v>
      </c>
      <c r="V154" s="139">
        <f t="shared" si="45"/>
        <v>0</v>
      </c>
      <c r="W154" s="152">
        <f t="shared" si="49"/>
        <v>120</v>
      </c>
      <c r="X154" s="127" t="str">
        <f t="shared" si="46"/>
        <v/>
      </c>
      <c r="Y154" s="207">
        <f t="shared" si="50"/>
        <v>120</v>
      </c>
      <c r="Z154" s="139">
        <f t="shared" si="51"/>
        <v>120</v>
      </c>
      <c r="AA154" s="139">
        <f t="shared" si="52"/>
        <v>0</v>
      </c>
      <c r="AC154" s="47">
        <f t="shared" si="53"/>
        <v>60</v>
      </c>
      <c r="AD154" s="47">
        <f t="shared" si="54"/>
        <v>60</v>
      </c>
      <c r="AE154" s="47">
        <f t="shared" si="55"/>
        <v>0</v>
      </c>
      <c r="AG154" s="47">
        <f t="shared" si="56"/>
        <v>60</v>
      </c>
      <c r="AH154" s="47">
        <f t="shared" si="57"/>
        <v>60</v>
      </c>
      <c r="AI154" s="208">
        <f t="shared" si="58"/>
        <v>0</v>
      </c>
    </row>
    <row r="155" spans="1:35">
      <c r="A155" t="s">
        <v>2093</v>
      </c>
      <c r="B155" t="s">
        <v>3155</v>
      </c>
      <c r="C155" t="s">
        <v>2260</v>
      </c>
      <c r="D155" t="s">
        <v>3319</v>
      </c>
      <c r="F155" t="s">
        <v>154</v>
      </c>
      <c r="G155" s="126">
        <f>SUMIFS('Support - Transition'!F:F,'Support - Transition'!B:B,'Step 2'!A155,'Support - Transition'!C:C,'Step 2'!B155,'Support - Transition'!D:D,'Step 2'!C155,'Support - Transition'!E:E,"CIVIL")</f>
        <v>0</v>
      </c>
      <c r="H155" s="126">
        <f>SUMIFS('Support - Transition'!F:F,'Support - Transition'!B:B,'Step 2'!A155,'Support - Transition'!C:C,'Step 2'!B155,'Support - Transition'!D:D,'Step 2'!C155,'Support - Transition'!E:E,"FIRE")</f>
        <v>0</v>
      </c>
      <c r="I155" s="126">
        <f>IF(B155="0",SUMIFS('Support - Transition'!F:F,'Support - Transition'!J:J,'Step 2'!D155,'Support - Transition'!E:E,"STATE UNIT"),SUMIFS('Support - Transition'!F:F,'Support - Transition'!J:J,'Step 2'!D155))</f>
        <v>1.7100000000000001E-4</v>
      </c>
      <c r="J155" s="126">
        <f>SUMIFS('Support - Unit Adjustments'!E:E,'Support - Unit Adjustments'!F:F,'Step 2'!D155)</f>
        <v>0</v>
      </c>
      <c r="K155" s="126">
        <f t="shared" si="40"/>
        <v>1.7100000000000001E-4</v>
      </c>
      <c r="L155" s="174">
        <f>VLOOKUP(A155,'Step 1'!$A:$E,4,FALSE)</f>
        <v>505208</v>
      </c>
      <c r="M155" s="47">
        <f t="shared" si="41"/>
        <v>86</v>
      </c>
      <c r="N155" s="177">
        <f>SUMIFS('Support - Transition'!G:G,'Support - Transition'!J:J,'Step 2'!D155,'Support - Transition'!E:E,"2009 WELFARE ALLOCATION FACTOR")</f>
        <v>0</v>
      </c>
      <c r="O155" s="152">
        <f t="shared" si="47"/>
        <v>0</v>
      </c>
      <c r="P155" s="126">
        <f>IF(E155="Y",0,SUMIFS('Support - Transition'!G:G,'Support - Transition'!J:J,'Step 2'!D155,'Support - Transition'!E:E,"2009 SCHOOL ALLOCATION FACTOR"))</f>
        <v>0</v>
      </c>
      <c r="Q155" s="126">
        <f>IF(E155="Y",VLOOKUP(D155,'Support - Unit Adjustments'!F:G,2,FALSE),0)</f>
        <v>0</v>
      </c>
      <c r="R155" s="155">
        <f t="shared" si="42"/>
        <v>0</v>
      </c>
      <c r="S155" s="47">
        <f t="shared" si="48"/>
        <v>0</v>
      </c>
      <c r="T155" s="151">
        <f t="shared" si="43"/>
        <v>86</v>
      </c>
      <c r="U155" s="151">
        <f t="shared" si="44"/>
        <v>0</v>
      </c>
      <c r="V155" s="139">
        <f t="shared" si="45"/>
        <v>0</v>
      </c>
      <c r="W155" s="152">
        <f t="shared" si="49"/>
        <v>86</v>
      </c>
      <c r="X155" s="127" t="str">
        <f t="shared" si="46"/>
        <v/>
      </c>
      <c r="Y155" s="207">
        <f t="shared" si="50"/>
        <v>86</v>
      </c>
      <c r="Z155" s="139">
        <f t="shared" si="51"/>
        <v>86</v>
      </c>
      <c r="AA155" s="139">
        <f t="shared" si="52"/>
        <v>0</v>
      </c>
      <c r="AC155" s="47">
        <f t="shared" si="53"/>
        <v>43</v>
      </c>
      <c r="AD155" s="47">
        <f t="shared" si="54"/>
        <v>43</v>
      </c>
      <c r="AE155" s="47">
        <f t="shared" si="55"/>
        <v>0</v>
      </c>
      <c r="AG155" s="47">
        <f t="shared" si="56"/>
        <v>43</v>
      </c>
      <c r="AH155" s="47">
        <f t="shared" si="57"/>
        <v>43</v>
      </c>
      <c r="AI155" s="208">
        <f t="shared" si="58"/>
        <v>0</v>
      </c>
    </row>
    <row r="156" spans="1:35">
      <c r="A156" t="s">
        <v>2093</v>
      </c>
      <c r="B156" t="s">
        <v>3155</v>
      </c>
      <c r="C156" t="s">
        <v>2261</v>
      </c>
      <c r="D156" t="s">
        <v>3320</v>
      </c>
      <c r="F156" t="s">
        <v>155</v>
      </c>
      <c r="G156" s="126">
        <f>SUMIFS('Support - Transition'!F:F,'Support - Transition'!B:B,'Step 2'!A156,'Support - Transition'!C:C,'Step 2'!B156,'Support - Transition'!D:D,'Step 2'!C156,'Support - Transition'!E:E,"CIVIL")</f>
        <v>0</v>
      </c>
      <c r="H156" s="126">
        <f>SUMIFS('Support - Transition'!F:F,'Support - Transition'!B:B,'Step 2'!A156,'Support - Transition'!C:C,'Step 2'!B156,'Support - Transition'!D:D,'Step 2'!C156,'Support - Transition'!E:E,"FIRE")</f>
        <v>0</v>
      </c>
      <c r="I156" s="126">
        <f>IF(B156="0",SUMIFS('Support - Transition'!F:F,'Support - Transition'!J:J,'Step 2'!D156,'Support - Transition'!E:E,"STATE UNIT"),SUMIFS('Support - Transition'!F:F,'Support - Transition'!J:J,'Step 2'!D156))</f>
        <v>0</v>
      </c>
      <c r="J156" s="126">
        <f>SUMIFS('Support - Unit Adjustments'!E:E,'Support - Unit Adjustments'!F:F,'Step 2'!D156)</f>
        <v>0</v>
      </c>
      <c r="K156" s="126">
        <f t="shared" si="40"/>
        <v>0</v>
      </c>
      <c r="L156" s="174">
        <f>VLOOKUP(A156,'Step 1'!$A:$E,4,FALSE)</f>
        <v>505208</v>
      </c>
      <c r="M156" s="47">
        <f t="shared" si="41"/>
        <v>0</v>
      </c>
      <c r="N156" s="177">
        <f>SUMIFS('Support - Transition'!G:G,'Support - Transition'!J:J,'Step 2'!D156,'Support - Transition'!E:E,"2009 WELFARE ALLOCATION FACTOR")</f>
        <v>0</v>
      </c>
      <c r="O156" s="152">
        <f t="shared" si="47"/>
        <v>0</v>
      </c>
      <c r="P156" s="126">
        <f>IF(E156="Y",0,SUMIFS('Support - Transition'!G:G,'Support - Transition'!J:J,'Step 2'!D156,'Support - Transition'!E:E,"2009 SCHOOL ALLOCATION FACTOR"))</f>
        <v>0</v>
      </c>
      <c r="Q156" s="126">
        <f>IF(E156="Y",VLOOKUP(D156,'Support - Unit Adjustments'!F:G,2,FALSE),0)</f>
        <v>0</v>
      </c>
      <c r="R156" s="155">
        <f t="shared" si="42"/>
        <v>0</v>
      </c>
      <c r="S156" s="47">
        <f t="shared" si="48"/>
        <v>0</v>
      </c>
      <c r="T156" s="151">
        <f t="shared" si="43"/>
        <v>0</v>
      </c>
      <c r="U156" s="151">
        <f t="shared" si="44"/>
        <v>0</v>
      </c>
      <c r="V156" s="139">
        <f t="shared" si="45"/>
        <v>0</v>
      </c>
      <c r="W156" s="152">
        <f t="shared" si="49"/>
        <v>0</v>
      </c>
      <c r="X156" s="127" t="str">
        <f t="shared" si="46"/>
        <v/>
      </c>
      <c r="Y156" s="207">
        <f t="shared" si="50"/>
        <v>0</v>
      </c>
      <c r="Z156" s="139">
        <f t="shared" si="51"/>
        <v>0</v>
      </c>
      <c r="AA156" s="139">
        <f t="shared" si="52"/>
        <v>0</v>
      </c>
      <c r="AC156" s="47">
        <f t="shared" si="53"/>
        <v>0</v>
      </c>
      <c r="AD156" s="47">
        <f t="shared" si="54"/>
        <v>0</v>
      </c>
      <c r="AE156" s="47">
        <f t="shared" si="55"/>
        <v>0</v>
      </c>
      <c r="AG156" s="47">
        <f t="shared" si="56"/>
        <v>0</v>
      </c>
      <c r="AH156" s="47">
        <f t="shared" si="57"/>
        <v>0</v>
      </c>
      <c r="AI156" s="208">
        <f t="shared" si="58"/>
        <v>0</v>
      </c>
    </row>
    <row r="157" spans="1:35">
      <c r="A157" t="s">
        <v>2093</v>
      </c>
      <c r="B157" t="s">
        <v>3155</v>
      </c>
      <c r="C157" t="s">
        <v>2262</v>
      </c>
      <c r="D157" t="s">
        <v>3321</v>
      </c>
      <c r="F157" t="s">
        <v>156</v>
      </c>
      <c r="G157" s="126">
        <f>SUMIFS('Support - Transition'!F:F,'Support - Transition'!B:B,'Step 2'!A157,'Support - Transition'!C:C,'Step 2'!B157,'Support - Transition'!D:D,'Step 2'!C157,'Support - Transition'!E:E,"CIVIL")</f>
        <v>0</v>
      </c>
      <c r="H157" s="126">
        <f>SUMIFS('Support - Transition'!F:F,'Support - Transition'!B:B,'Step 2'!A157,'Support - Transition'!C:C,'Step 2'!B157,'Support - Transition'!D:D,'Step 2'!C157,'Support - Transition'!E:E,"FIRE")</f>
        <v>0</v>
      </c>
      <c r="I157" s="126">
        <f>IF(B157="0",SUMIFS('Support - Transition'!F:F,'Support - Transition'!J:J,'Step 2'!D157,'Support - Transition'!E:E,"STATE UNIT"),SUMIFS('Support - Transition'!F:F,'Support - Transition'!J:J,'Step 2'!D157))</f>
        <v>2.3969999999999998E-3</v>
      </c>
      <c r="J157" s="126">
        <f>SUMIFS('Support - Unit Adjustments'!E:E,'Support - Unit Adjustments'!F:F,'Step 2'!D157)</f>
        <v>0</v>
      </c>
      <c r="K157" s="126">
        <f t="shared" si="40"/>
        <v>2.3969999999999998E-3</v>
      </c>
      <c r="L157" s="174">
        <f>VLOOKUP(A157,'Step 1'!$A:$E,4,FALSE)</f>
        <v>505208</v>
      </c>
      <c r="M157" s="47">
        <f t="shared" si="41"/>
        <v>1211</v>
      </c>
      <c r="N157" s="177">
        <f>SUMIFS('Support - Transition'!G:G,'Support - Transition'!J:J,'Step 2'!D157,'Support - Transition'!E:E,"2009 WELFARE ALLOCATION FACTOR")</f>
        <v>0</v>
      </c>
      <c r="O157" s="152">
        <f t="shared" si="47"/>
        <v>0</v>
      </c>
      <c r="P157" s="126">
        <f>IF(E157="Y",0,SUMIFS('Support - Transition'!G:G,'Support - Transition'!J:J,'Step 2'!D157,'Support - Transition'!E:E,"2009 SCHOOL ALLOCATION FACTOR"))</f>
        <v>0</v>
      </c>
      <c r="Q157" s="126">
        <f>IF(E157="Y",VLOOKUP(D157,'Support - Unit Adjustments'!F:G,2,FALSE),0)</f>
        <v>0</v>
      </c>
      <c r="R157" s="155">
        <f t="shared" si="42"/>
        <v>0</v>
      </c>
      <c r="S157" s="47">
        <f t="shared" si="48"/>
        <v>0</v>
      </c>
      <c r="T157" s="151">
        <f t="shared" si="43"/>
        <v>1211</v>
      </c>
      <c r="U157" s="151">
        <f t="shared" si="44"/>
        <v>0</v>
      </c>
      <c r="V157" s="139">
        <f t="shared" si="45"/>
        <v>0</v>
      </c>
      <c r="W157" s="152">
        <f t="shared" si="49"/>
        <v>1211</v>
      </c>
      <c r="X157" s="127" t="str">
        <f t="shared" si="46"/>
        <v/>
      </c>
      <c r="Y157" s="207">
        <f t="shared" si="50"/>
        <v>1211</v>
      </c>
      <c r="Z157" s="139">
        <f t="shared" si="51"/>
        <v>1211</v>
      </c>
      <c r="AA157" s="139">
        <f t="shared" si="52"/>
        <v>0</v>
      </c>
      <c r="AC157" s="47">
        <f t="shared" si="53"/>
        <v>606</v>
      </c>
      <c r="AD157" s="47">
        <f t="shared" si="54"/>
        <v>606</v>
      </c>
      <c r="AE157" s="47">
        <f t="shared" si="55"/>
        <v>0</v>
      </c>
      <c r="AG157" s="47">
        <f t="shared" si="56"/>
        <v>605</v>
      </c>
      <c r="AH157" s="47">
        <f t="shared" si="57"/>
        <v>605</v>
      </c>
      <c r="AI157" s="208">
        <f t="shared" si="58"/>
        <v>0</v>
      </c>
    </row>
    <row r="158" spans="1:35">
      <c r="A158" t="s">
        <v>2093</v>
      </c>
      <c r="B158" t="s">
        <v>3155</v>
      </c>
      <c r="C158" t="s">
        <v>2263</v>
      </c>
      <c r="D158" t="s">
        <v>3322</v>
      </c>
      <c r="F158" t="s">
        <v>157</v>
      </c>
      <c r="G158" s="126">
        <f>SUMIFS('Support - Transition'!F:F,'Support - Transition'!B:B,'Step 2'!A158,'Support - Transition'!C:C,'Step 2'!B158,'Support - Transition'!D:D,'Step 2'!C158,'Support - Transition'!E:E,"CIVIL")</f>
        <v>0</v>
      </c>
      <c r="H158" s="126">
        <f>SUMIFS('Support - Transition'!F:F,'Support - Transition'!B:B,'Step 2'!A158,'Support - Transition'!C:C,'Step 2'!B158,'Support - Transition'!D:D,'Step 2'!C158,'Support - Transition'!E:E,"FIRE")</f>
        <v>0</v>
      </c>
      <c r="I158" s="126">
        <f>IF(B158="0",SUMIFS('Support - Transition'!F:F,'Support - Transition'!J:J,'Step 2'!D158,'Support - Transition'!E:E,"STATE UNIT"),SUMIFS('Support - Transition'!F:F,'Support - Transition'!J:J,'Step 2'!D158))</f>
        <v>1.2015E-2</v>
      </c>
      <c r="J158" s="126">
        <f>SUMIFS('Support - Unit Adjustments'!E:E,'Support - Unit Adjustments'!F:F,'Step 2'!D158)</f>
        <v>1.2028E-2</v>
      </c>
      <c r="K158" s="126">
        <f t="shared" si="40"/>
        <v>2.4043000000000002E-2</v>
      </c>
      <c r="L158" s="174">
        <f>VLOOKUP(A158,'Step 1'!$A:$E,4,FALSE)</f>
        <v>505208</v>
      </c>
      <c r="M158" s="47">
        <f t="shared" si="41"/>
        <v>12147</v>
      </c>
      <c r="N158" s="177">
        <f>SUMIFS('Support - Transition'!G:G,'Support - Transition'!J:J,'Step 2'!D158,'Support - Transition'!E:E,"2009 WELFARE ALLOCATION FACTOR")</f>
        <v>0</v>
      </c>
      <c r="O158" s="152">
        <f t="shared" si="47"/>
        <v>0</v>
      </c>
      <c r="P158" s="126">
        <f>IF(E158="Y",0,SUMIFS('Support - Transition'!G:G,'Support - Transition'!J:J,'Step 2'!D158,'Support - Transition'!E:E,"2009 SCHOOL ALLOCATION FACTOR"))</f>
        <v>0</v>
      </c>
      <c r="Q158" s="126">
        <f>IF(E158="Y",VLOOKUP(D158,'Support - Unit Adjustments'!F:G,2,FALSE),0)</f>
        <v>0</v>
      </c>
      <c r="R158" s="155">
        <f t="shared" si="42"/>
        <v>0</v>
      </c>
      <c r="S158" s="47">
        <f t="shared" si="48"/>
        <v>0</v>
      </c>
      <c r="T158" s="151">
        <f t="shared" si="43"/>
        <v>12147</v>
      </c>
      <c r="U158" s="151">
        <f t="shared" si="44"/>
        <v>0</v>
      </c>
      <c r="V158" s="139">
        <f t="shared" si="45"/>
        <v>0</v>
      </c>
      <c r="W158" s="152">
        <f t="shared" si="49"/>
        <v>12147</v>
      </c>
      <c r="X158" s="127" t="str">
        <f t="shared" si="46"/>
        <v/>
      </c>
      <c r="Y158" s="207">
        <f t="shared" si="50"/>
        <v>12147</v>
      </c>
      <c r="Z158" s="139">
        <f t="shared" si="51"/>
        <v>12147</v>
      </c>
      <c r="AA158" s="139">
        <f t="shared" si="52"/>
        <v>0</v>
      </c>
      <c r="AC158" s="47">
        <f t="shared" si="53"/>
        <v>6074</v>
      </c>
      <c r="AD158" s="47">
        <f t="shared" si="54"/>
        <v>6074</v>
      </c>
      <c r="AE158" s="47">
        <f t="shared" si="55"/>
        <v>0</v>
      </c>
      <c r="AG158" s="47">
        <f t="shared" si="56"/>
        <v>6073</v>
      </c>
      <c r="AH158" s="47">
        <f t="shared" si="57"/>
        <v>6073</v>
      </c>
      <c r="AI158" s="208">
        <f t="shared" si="58"/>
        <v>0</v>
      </c>
    </row>
    <row r="159" spans="1:35">
      <c r="A159" t="s">
        <v>2093</v>
      </c>
      <c r="B159" t="s">
        <v>3160</v>
      </c>
      <c r="C159" t="s">
        <v>2264</v>
      </c>
      <c r="D159" t="s">
        <v>3323</v>
      </c>
      <c r="F159" t="s">
        <v>161</v>
      </c>
      <c r="G159" s="126">
        <f>SUMIFS('Support - Transition'!F:F,'Support - Transition'!B:B,'Step 2'!A159,'Support - Transition'!C:C,'Step 2'!B159,'Support - Transition'!D:D,'Step 2'!C159,'Support - Transition'!E:E,"CIVIL")</f>
        <v>0</v>
      </c>
      <c r="H159" s="126">
        <f>SUMIFS('Support - Transition'!F:F,'Support - Transition'!B:B,'Step 2'!A159,'Support - Transition'!C:C,'Step 2'!B159,'Support - Transition'!D:D,'Step 2'!C159,'Support - Transition'!E:E,"FIRE")</f>
        <v>0</v>
      </c>
      <c r="I159" s="126">
        <f>IF(B159="0",SUMIFS('Support - Transition'!F:F,'Support - Transition'!J:J,'Step 2'!D159,'Support - Transition'!E:E,"STATE UNIT"),SUMIFS('Support - Transition'!F:F,'Support - Transition'!J:J,'Step 2'!D159))</f>
        <v>9.9436999999999998E-2</v>
      </c>
      <c r="J159" s="126">
        <f>SUMIFS('Support - Unit Adjustments'!E:E,'Support - Unit Adjustments'!F:F,'Step 2'!D159)</f>
        <v>0</v>
      </c>
      <c r="K159" s="126">
        <f t="shared" si="40"/>
        <v>9.9436999999999998E-2</v>
      </c>
      <c r="L159" s="174">
        <f>VLOOKUP(A159,'Step 1'!$A:$E,4,FALSE)</f>
        <v>505208</v>
      </c>
      <c r="M159" s="47">
        <f t="shared" si="41"/>
        <v>50236</v>
      </c>
      <c r="N159" s="177">
        <f>SUMIFS('Support - Transition'!G:G,'Support - Transition'!J:J,'Step 2'!D159,'Support - Transition'!E:E,"2009 WELFARE ALLOCATION FACTOR")</f>
        <v>0</v>
      </c>
      <c r="O159" s="152">
        <f t="shared" si="47"/>
        <v>0</v>
      </c>
      <c r="P159" s="126">
        <f>IF(E159="Y",0,SUMIFS('Support - Transition'!G:G,'Support - Transition'!J:J,'Step 2'!D159,'Support - Transition'!E:E,"2009 SCHOOL ALLOCATION FACTOR"))</f>
        <v>0.43268299999999998</v>
      </c>
      <c r="Q159" s="126">
        <f>IF(E159="Y",VLOOKUP(D159,'Support - Unit Adjustments'!F:G,2,FALSE),0)</f>
        <v>0</v>
      </c>
      <c r="R159" s="155">
        <f t="shared" si="42"/>
        <v>0.43268299999999998</v>
      </c>
      <c r="S159" s="47">
        <f t="shared" si="48"/>
        <v>21736</v>
      </c>
      <c r="T159" s="151">
        <f t="shared" si="43"/>
        <v>28500</v>
      </c>
      <c r="U159" s="151">
        <f t="shared" si="44"/>
        <v>0</v>
      </c>
      <c r="V159" s="139">
        <f t="shared" si="45"/>
        <v>0</v>
      </c>
      <c r="W159" s="152">
        <f t="shared" si="49"/>
        <v>28500</v>
      </c>
      <c r="X159" s="127" t="str">
        <f t="shared" si="46"/>
        <v/>
      </c>
      <c r="Y159" s="207">
        <f t="shared" si="50"/>
        <v>28500</v>
      </c>
      <c r="Z159" s="139">
        <f t="shared" si="51"/>
        <v>28500</v>
      </c>
      <c r="AA159" s="139">
        <f t="shared" si="52"/>
        <v>0</v>
      </c>
      <c r="AC159" s="47">
        <f t="shared" si="53"/>
        <v>14250</v>
      </c>
      <c r="AD159" s="47">
        <f t="shared" si="54"/>
        <v>14250</v>
      </c>
      <c r="AE159" s="47">
        <f t="shared" si="55"/>
        <v>0</v>
      </c>
      <c r="AG159" s="47">
        <f t="shared" si="56"/>
        <v>14250</v>
      </c>
      <c r="AH159" s="47">
        <f t="shared" si="57"/>
        <v>14250</v>
      </c>
      <c r="AI159" s="208">
        <f t="shared" si="58"/>
        <v>0</v>
      </c>
    </row>
    <row r="160" spans="1:35">
      <c r="A160" t="s">
        <v>2093</v>
      </c>
      <c r="B160" t="s">
        <v>3160</v>
      </c>
      <c r="C160" t="s">
        <v>2265</v>
      </c>
      <c r="D160" t="s">
        <v>3324</v>
      </c>
      <c r="F160" t="s">
        <v>3325</v>
      </c>
      <c r="G160" s="126">
        <f>SUMIFS('Support - Transition'!F:F,'Support - Transition'!B:B,'Step 2'!A160,'Support - Transition'!C:C,'Step 2'!B160,'Support - Transition'!D:D,'Step 2'!C160,'Support - Transition'!E:E,"CIVIL")</f>
        <v>0</v>
      </c>
      <c r="H160" s="126">
        <f>SUMIFS('Support - Transition'!F:F,'Support - Transition'!B:B,'Step 2'!A160,'Support - Transition'!C:C,'Step 2'!B160,'Support - Transition'!D:D,'Step 2'!C160,'Support - Transition'!E:E,"FIRE")</f>
        <v>0</v>
      </c>
      <c r="I160" s="126">
        <f>IF(B160="0",SUMIFS('Support - Transition'!F:F,'Support - Transition'!J:J,'Step 2'!D160,'Support - Transition'!E:E,"STATE UNIT"),SUMIFS('Support - Transition'!F:F,'Support - Transition'!J:J,'Step 2'!D160))</f>
        <v>0.145348</v>
      </c>
      <c r="J160" s="126">
        <f>SUMIFS('Support - Unit Adjustments'!E:E,'Support - Unit Adjustments'!F:F,'Step 2'!D160)</f>
        <v>0</v>
      </c>
      <c r="K160" s="126">
        <f t="shared" si="40"/>
        <v>0.145348</v>
      </c>
      <c r="L160" s="174">
        <f>VLOOKUP(A160,'Step 1'!$A:$E,4,FALSE)</f>
        <v>505208</v>
      </c>
      <c r="M160" s="47">
        <f t="shared" si="41"/>
        <v>73431</v>
      </c>
      <c r="N160" s="177">
        <f>SUMIFS('Support - Transition'!G:G,'Support - Transition'!J:J,'Step 2'!D160,'Support - Transition'!E:E,"2009 WELFARE ALLOCATION FACTOR")</f>
        <v>0</v>
      </c>
      <c r="O160" s="152">
        <f t="shared" si="47"/>
        <v>0</v>
      </c>
      <c r="P160" s="126">
        <f>IF(E160="Y",0,SUMIFS('Support - Transition'!G:G,'Support - Transition'!J:J,'Step 2'!D160,'Support - Transition'!E:E,"2009 SCHOOL ALLOCATION FACTOR"))</f>
        <v>0.43420599999999998</v>
      </c>
      <c r="Q160" s="126">
        <f>IF(E160="Y",VLOOKUP(D160,'Support - Unit Adjustments'!F:G,2,FALSE),0)</f>
        <v>0</v>
      </c>
      <c r="R160" s="155">
        <f t="shared" si="42"/>
        <v>0.43420599999999998</v>
      </c>
      <c r="S160" s="47">
        <f t="shared" si="48"/>
        <v>31884</v>
      </c>
      <c r="T160" s="151">
        <f t="shared" si="43"/>
        <v>41547</v>
      </c>
      <c r="U160" s="151">
        <f t="shared" si="44"/>
        <v>0</v>
      </c>
      <c r="V160" s="139">
        <f t="shared" si="45"/>
        <v>0</v>
      </c>
      <c r="W160" s="152">
        <f t="shared" si="49"/>
        <v>41547</v>
      </c>
      <c r="X160" s="127" t="str">
        <f t="shared" si="46"/>
        <v/>
      </c>
      <c r="Y160" s="207">
        <f t="shared" si="50"/>
        <v>41547</v>
      </c>
      <c r="Z160" s="139">
        <f t="shared" si="51"/>
        <v>41547</v>
      </c>
      <c r="AA160" s="139">
        <f t="shared" si="52"/>
        <v>0</v>
      </c>
      <c r="AC160" s="47">
        <f t="shared" si="53"/>
        <v>20774</v>
      </c>
      <c r="AD160" s="47">
        <f t="shared" si="54"/>
        <v>20774</v>
      </c>
      <c r="AE160" s="47">
        <f t="shared" si="55"/>
        <v>0</v>
      </c>
      <c r="AG160" s="47">
        <f t="shared" si="56"/>
        <v>20773</v>
      </c>
      <c r="AH160" s="47">
        <f t="shared" si="57"/>
        <v>20773</v>
      </c>
      <c r="AI160" s="208">
        <f t="shared" si="58"/>
        <v>0</v>
      </c>
    </row>
    <row r="161" spans="1:35">
      <c r="A161" t="s">
        <v>2093</v>
      </c>
      <c r="B161" t="s">
        <v>3160</v>
      </c>
      <c r="C161" t="s">
        <v>2266</v>
      </c>
      <c r="D161" t="s">
        <v>3326</v>
      </c>
      <c r="F161" t="s">
        <v>159</v>
      </c>
      <c r="G161" s="126">
        <f>SUMIFS('Support - Transition'!F:F,'Support - Transition'!B:B,'Step 2'!A161,'Support - Transition'!C:C,'Step 2'!B161,'Support - Transition'!D:D,'Step 2'!C161,'Support - Transition'!E:E,"CIVIL")</f>
        <v>0</v>
      </c>
      <c r="H161" s="126">
        <f>SUMIFS('Support - Transition'!F:F,'Support - Transition'!B:B,'Step 2'!A161,'Support - Transition'!C:C,'Step 2'!B161,'Support - Transition'!D:D,'Step 2'!C161,'Support - Transition'!E:E,"FIRE")</f>
        <v>0</v>
      </c>
      <c r="I161" s="126">
        <f>IF(B161="0",SUMIFS('Support - Transition'!F:F,'Support - Transition'!J:J,'Step 2'!D161,'Support - Transition'!E:E,"STATE UNIT"),SUMIFS('Support - Transition'!F:F,'Support - Transition'!J:J,'Step 2'!D161))</f>
        <v>0.48934100000000003</v>
      </c>
      <c r="J161" s="126">
        <f>SUMIFS('Support - Unit Adjustments'!E:E,'Support - Unit Adjustments'!F:F,'Step 2'!D161)</f>
        <v>0</v>
      </c>
      <c r="K161" s="126">
        <f t="shared" si="40"/>
        <v>0.48934100000000003</v>
      </c>
      <c r="L161" s="174">
        <f>VLOOKUP(A161,'Step 1'!$A:$E,4,FALSE)</f>
        <v>505208</v>
      </c>
      <c r="M161" s="47">
        <f t="shared" si="41"/>
        <v>247219</v>
      </c>
      <c r="N161" s="177">
        <f>SUMIFS('Support - Transition'!G:G,'Support - Transition'!J:J,'Step 2'!D161,'Support - Transition'!E:E,"2009 WELFARE ALLOCATION FACTOR")</f>
        <v>0</v>
      </c>
      <c r="O161" s="152">
        <f t="shared" si="47"/>
        <v>0</v>
      </c>
      <c r="P161" s="126">
        <f>IF(E161="Y",0,SUMIFS('Support - Transition'!G:G,'Support - Transition'!J:J,'Step 2'!D161,'Support - Transition'!E:E,"2009 SCHOOL ALLOCATION FACTOR"))</f>
        <v>0.385326</v>
      </c>
      <c r="Q161" s="126">
        <f>IF(E161="Y",VLOOKUP(D161,'Support - Unit Adjustments'!F:G,2,FALSE),0)</f>
        <v>0</v>
      </c>
      <c r="R161" s="155">
        <f t="shared" si="42"/>
        <v>0.385326</v>
      </c>
      <c r="S161" s="47">
        <f t="shared" si="48"/>
        <v>95260</v>
      </c>
      <c r="T161" s="151">
        <f t="shared" si="43"/>
        <v>151959</v>
      </c>
      <c r="U161" s="151">
        <f t="shared" si="44"/>
        <v>0</v>
      </c>
      <c r="V161" s="139">
        <f t="shared" si="45"/>
        <v>0</v>
      </c>
      <c r="W161" s="152">
        <f t="shared" si="49"/>
        <v>151959</v>
      </c>
      <c r="X161" s="127" t="str">
        <f t="shared" si="46"/>
        <v/>
      </c>
      <c r="Y161" s="207">
        <f t="shared" si="50"/>
        <v>151959</v>
      </c>
      <c r="Z161" s="139">
        <f t="shared" si="51"/>
        <v>151959</v>
      </c>
      <c r="AA161" s="139">
        <f t="shared" si="52"/>
        <v>0</v>
      </c>
      <c r="AC161" s="47">
        <f t="shared" si="53"/>
        <v>75980</v>
      </c>
      <c r="AD161" s="47">
        <f t="shared" si="54"/>
        <v>75980</v>
      </c>
      <c r="AE161" s="47">
        <f t="shared" si="55"/>
        <v>0</v>
      </c>
      <c r="AG161" s="47">
        <f t="shared" si="56"/>
        <v>75979</v>
      </c>
      <c r="AH161" s="47">
        <f t="shared" si="57"/>
        <v>75979</v>
      </c>
      <c r="AI161" s="208">
        <f t="shared" si="58"/>
        <v>0</v>
      </c>
    </row>
    <row r="162" spans="1:35">
      <c r="A162" t="s">
        <v>2093</v>
      </c>
      <c r="B162" t="s">
        <v>3160</v>
      </c>
      <c r="C162" t="s">
        <v>3327</v>
      </c>
      <c r="D162" t="s">
        <v>3328</v>
      </c>
      <c r="F162" t="s">
        <v>3329</v>
      </c>
      <c r="G162" s="126">
        <f>SUMIFS('Support - Transition'!F:F,'Support - Transition'!B:B,'Step 2'!A162,'Support - Transition'!C:C,'Step 2'!B162,'Support - Transition'!D:D,'Step 2'!C162,'Support - Transition'!E:E,"CIVIL")</f>
        <v>0</v>
      </c>
      <c r="H162" s="126">
        <f>SUMIFS('Support - Transition'!F:F,'Support - Transition'!B:B,'Step 2'!A162,'Support - Transition'!C:C,'Step 2'!B162,'Support - Transition'!D:D,'Step 2'!C162,'Support - Transition'!E:E,"FIRE")</f>
        <v>0</v>
      </c>
      <c r="I162" s="126">
        <f>IF(B162="0",SUMIFS('Support - Transition'!F:F,'Support - Transition'!J:J,'Step 2'!D162,'Support - Transition'!E:E,"STATE UNIT"),SUMIFS('Support - Transition'!F:F,'Support - Transition'!J:J,'Step 2'!D162))</f>
        <v>2.0445000000000001E-2</v>
      </c>
      <c r="J162" s="126">
        <f>SUMIFS('Support - Unit Adjustments'!E:E,'Support - Unit Adjustments'!F:F,'Step 2'!D162)</f>
        <v>0</v>
      </c>
      <c r="K162" s="126">
        <f t="shared" si="40"/>
        <v>2.0445000000000001E-2</v>
      </c>
      <c r="L162" s="174">
        <f>VLOOKUP(A162,'Step 1'!$A:$E,4,FALSE)</f>
        <v>505208</v>
      </c>
      <c r="M162" s="47">
        <f t="shared" si="41"/>
        <v>10329</v>
      </c>
      <c r="N162" s="177">
        <f>SUMIFS('Support - Transition'!G:G,'Support - Transition'!J:J,'Step 2'!D162,'Support - Transition'!E:E,"2009 WELFARE ALLOCATION FACTOR")</f>
        <v>0</v>
      </c>
      <c r="O162" s="152">
        <f t="shared" si="47"/>
        <v>0</v>
      </c>
      <c r="P162" s="126">
        <f>IF(E162="Y",0,SUMIFS('Support - Transition'!G:G,'Support - Transition'!J:J,'Step 2'!D162,'Support - Transition'!E:E,"2009 SCHOOL ALLOCATION FACTOR"))</f>
        <v>0.49457099999999998</v>
      </c>
      <c r="Q162" s="126">
        <f>IF(E162="Y",VLOOKUP(D162,'Support - Unit Adjustments'!F:G,2,FALSE),0)</f>
        <v>0</v>
      </c>
      <c r="R162" s="155">
        <f t="shared" si="42"/>
        <v>0.49457099999999998</v>
      </c>
      <c r="S162" s="47">
        <f t="shared" si="48"/>
        <v>5108</v>
      </c>
      <c r="T162" s="151">
        <f t="shared" si="43"/>
        <v>5221</v>
      </c>
      <c r="U162" s="151">
        <f t="shared" si="44"/>
        <v>0</v>
      </c>
      <c r="V162" s="139">
        <f t="shared" si="45"/>
        <v>0</v>
      </c>
      <c r="W162" s="152">
        <f t="shared" si="49"/>
        <v>5221</v>
      </c>
      <c r="X162" s="127" t="str">
        <f t="shared" si="46"/>
        <v/>
      </c>
      <c r="Y162" s="207">
        <f t="shared" si="50"/>
        <v>5221</v>
      </c>
      <c r="Z162" s="139">
        <f t="shared" si="51"/>
        <v>5221</v>
      </c>
      <c r="AA162" s="139">
        <f t="shared" si="52"/>
        <v>0</v>
      </c>
      <c r="AC162" s="47">
        <f t="shared" si="53"/>
        <v>2611</v>
      </c>
      <c r="AD162" s="47">
        <f t="shared" si="54"/>
        <v>2611</v>
      </c>
      <c r="AE162" s="47">
        <f t="shared" si="55"/>
        <v>0</v>
      </c>
      <c r="AG162" s="47">
        <f t="shared" si="56"/>
        <v>2610</v>
      </c>
      <c r="AH162" s="47">
        <f t="shared" si="57"/>
        <v>2610</v>
      </c>
      <c r="AI162" s="208">
        <f t="shared" si="58"/>
        <v>0</v>
      </c>
    </row>
    <row r="163" spans="1:35">
      <c r="A163" t="s">
        <v>2093</v>
      </c>
      <c r="B163" t="s">
        <v>3166</v>
      </c>
      <c r="C163" t="s">
        <v>2204</v>
      </c>
      <c r="D163" t="s">
        <v>3330</v>
      </c>
      <c r="F163" t="s">
        <v>163</v>
      </c>
      <c r="G163" s="126">
        <f>SUMIFS('Support - Transition'!F:F,'Support - Transition'!B:B,'Step 2'!A163,'Support - Transition'!C:C,'Step 2'!B163,'Support - Transition'!D:D,'Step 2'!C163,'Support - Transition'!E:E,"CIVIL")</f>
        <v>0</v>
      </c>
      <c r="H163" s="126">
        <f>SUMIFS('Support - Transition'!F:F,'Support - Transition'!B:B,'Step 2'!A163,'Support - Transition'!C:C,'Step 2'!B163,'Support - Transition'!D:D,'Step 2'!C163,'Support - Transition'!E:E,"FIRE")</f>
        <v>0</v>
      </c>
      <c r="I163" s="126">
        <f>IF(B163="0",SUMIFS('Support - Transition'!F:F,'Support - Transition'!J:J,'Step 2'!D163,'Support - Transition'!E:E,"STATE UNIT"),SUMIFS('Support - Transition'!F:F,'Support - Transition'!J:J,'Step 2'!D163))</f>
        <v>7.2009999999999999E-3</v>
      </c>
      <c r="J163" s="126">
        <f>SUMIFS('Support - Unit Adjustments'!E:E,'Support - Unit Adjustments'!F:F,'Step 2'!D163)</f>
        <v>0</v>
      </c>
      <c r="K163" s="126">
        <f t="shared" si="40"/>
        <v>7.2009999999999999E-3</v>
      </c>
      <c r="L163" s="174">
        <f>VLOOKUP(A163,'Step 1'!$A:$E,4,FALSE)</f>
        <v>505208</v>
      </c>
      <c r="M163" s="47">
        <f t="shared" si="41"/>
        <v>3638</v>
      </c>
      <c r="N163" s="177">
        <f>SUMIFS('Support - Transition'!G:G,'Support - Transition'!J:J,'Step 2'!D163,'Support - Transition'!E:E,"2009 WELFARE ALLOCATION FACTOR")</f>
        <v>0</v>
      </c>
      <c r="O163" s="152">
        <f t="shared" si="47"/>
        <v>0</v>
      </c>
      <c r="P163" s="126">
        <f>IF(E163="Y",0,SUMIFS('Support - Transition'!G:G,'Support - Transition'!J:J,'Step 2'!D163,'Support - Transition'!E:E,"2009 SCHOOL ALLOCATION FACTOR"))</f>
        <v>0</v>
      </c>
      <c r="Q163" s="126">
        <f>IF(E163="Y",VLOOKUP(D163,'Support - Unit Adjustments'!F:G,2,FALSE),0)</f>
        <v>0</v>
      </c>
      <c r="R163" s="155">
        <f t="shared" si="42"/>
        <v>0</v>
      </c>
      <c r="S163" s="47">
        <f t="shared" si="48"/>
        <v>0</v>
      </c>
      <c r="T163" s="151">
        <f t="shared" si="43"/>
        <v>3638</v>
      </c>
      <c r="U163" s="151">
        <f t="shared" si="44"/>
        <v>0</v>
      </c>
      <c r="V163" s="139">
        <f t="shared" si="45"/>
        <v>0</v>
      </c>
      <c r="W163" s="152">
        <f t="shared" si="49"/>
        <v>3638</v>
      </c>
      <c r="X163" s="127" t="str">
        <f t="shared" si="46"/>
        <v/>
      </c>
      <c r="Y163" s="207">
        <f t="shared" si="50"/>
        <v>3638</v>
      </c>
      <c r="Z163" s="139">
        <f t="shared" si="51"/>
        <v>3638</v>
      </c>
      <c r="AA163" s="139">
        <f t="shared" si="52"/>
        <v>0</v>
      </c>
      <c r="AC163" s="47">
        <f t="shared" si="53"/>
        <v>1819</v>
      </c>
      <c r="AD163" s="47">
        <f t="shared" si="54"/>
        <v>1819</v>
      </c>
      <c r="AE163" s="47">
        <f t="shared" si="55"/>
        <v>0</v>
      </c>
      <c r="AG163" s="47">
        <f t="shared" si="56"/>
        <v>1819</v>
      </c>
      <c r="AH163" s="47">
        <f t="shared" si="57"/>
        <v>1819</v>
      </c>
      <c r="AI163" s="208">
        <f t="shared" si="58"/>
        <v>0</v>
      </c>
    </row>
    <row r="164" spans="1:35">
      <c r="A164" t="s">
        <v>2093</v>
      </c>
      <c r="B164" t="s">
        <v>3166</v>
      </c>
      <c r="C164" t="s">
        <v>2210</v>
      </c>
      <c r="D164" t="s">
        <v>3331</v>
      </c>
      <c r="F164" t="s">
        <v>164</v>
      </c>
      <c r="G164" s="126">
        <f>SUMIFS('Support - Transition'!F:F,'Support - Transition'!B:B,'Step 2'!A164,'Support - Transition'!C:C,'Step 2'!B164,'Support - Transition'!D:D,'Step 2'!C164,'Support - Transition'!E:E,"CIVIL")</f>
        <v>0</v>
      </c>
      <c r="H164" s="126">
        <f>SUMIFS('Support - Transition'!F:F,'Support - Transition'!B:B,'Step 2'!A164,'Support - Transition'!C:C,'Step 2'!B164,'Support - Transition'!D:D,'Step 2'!C164,'Support - Transition'!E:E,"FIRE")</f>
        <v>0</v>
      </c>
      <c r="I164" s="126">
        <f>IF(B164="0",SUMIFS('Support - Transition'!F:F,'Support - Transition'!J:J,'Step 2'!D164,'Support - Transition'!E:E,"STATE UNIT"),SUMIFS('Support - Transition'!F:F,'Support - Transition'!J:J,'Step 2'!D164))</f>
        <v>3.9609999999998813E-3</v>
      </c>
      <c r="J164" s="126">
        <f>SUMIFS('Support - Unit Adjustments'!E:E,'Support - Unit Adjustments'!F:F,'Step 2'!D164)</f>
        <v>0</v>
      </c>
      <c r="K164" s="126">
        <f t="shared" si="40"/>
        <v>3.9609999999998813E-3</v>
      </c>
      <c r="L164" s="174">
        <f>VLOOKUP(A164,'Step 1'!$A:$E,4,FALSE)</f>
        <v>505208</v>
      </c>
      <c r="M164" s="47">
        <f t="shared" si="41"/>
        <v>2001</v>
      </c>
      <c r="N164" s="177">
        <f>SUMIFS('Support - Transition'!G:G,'Support - Transition'!J:J,'Step 2'!D164,'Support - Transition'!E:E,"2009 WELFARE ALLOCATION FACTOR")</f>
        <v>0</v>
      </c>
      <c r="O164" s="152">
        <f t="shared" si="47"/>
        <v>0</v>
      </c>
      <c r="P164" s="126">
        <f>IF(E164="Y",0,SUMIFS('Support - Transition'!G:G,'Support - Transition'!J:J,'Step 2'!D164,'Support - Transition'!E:E,"2009 SCHOOL ALLOCATION FACTOR"))</f>
        <v>0</v>
      </c>
      <c r="Q164" s="126">
        <f>IF(E164="Y",VLOOKUP(D164,'Support - Unit Adjustments'!F:G,2,FALSE),0)</f>
        <v>0</v>
      </c>
      <c r="R164" s="155">
        <f t="shared" si="42"/>
        <v>0</v>
      </c>
      <c r="S164" s="47">
        <f t="shared" si="48"/>
        <v>0</v>
      </c>
      <c r="T164" s="151">
        <f t="shared" si="43"/>
        <v>2001</v>
      </c>
      <c r="U164" s="151">
        <f t="shared" si="44"/>
        <v>0</v>
      </c>
      <c r="V164" s="139">
        <f t="shared" si="45"/>
        <v>0</v>
      </c>
      <c r="W164" s="152">
        <f t="shared" si="49"/>
        <v>2001</v>
      </c>
      <c r="X164" s="127" t="str">
        <f t="shared" si="46"/>
        <v/>
      </c>
      <c r="Y164" s="207">
        <f t="shared" si="50"/>
        <v>2001</v>
      </c>
      <c r="Z164" s="139">
        <f t="shared" si="51"/>
        <v>2001</v>
      </c>
      <c r="AA164" s="139">
        <f t="shared" si="52"/>
        <v>0</v>
      </c>
      <c r="AC164" s="47">
        <f t="shared" si="53"/>
        <v>1001</v>
      </c>
      <c r="AD164" s="47">
        <f t="shared" si="54"/>
        <v>1001</v>
      </c>
      <c r="AE164" s="47">
        <f t="shared" si="55"/>
        <v>0</v>
      </c>
      <c r="AG164" s="47">
        <f t="shared" si="56"/>
        <v>1000</v>
      </c>
      <c r="AH164" s="47">
        <f t="shared" si="57"/>
        <v>1000</v>
      </c>
      <c r="AI164" s="208">
        <f t="shared" si="58"/>
        <v>0</v>
      </c>
    </row>
    <row r="165" spans="1:35">
      <c r="A165" t="s">
        <v>2093</v>
      </c>
      <c r="B165" t="s">
        <v>3166</v>
      </c>
      <c r="C165" t="s">
        <v>2267</v>
      </c>
      <c r="D165" t="s">
        <v>3332</v>
      </c>
      <c r="F165" t="s">
        <v>3333</v>
      </c>
      <c r="G165" s="126">
        <f>SUMIFS('Support - Transition'!F:F,'Support - Transition'!B:B,'Step 2'!A165,'Support - Transition'!C:C,'Step 2'!B165,'Support - Transition'!D:D,'Step 2'!C165,'Support - Transition'!E:E,"CIVIL")</f>
        <v>0</v>
      </c>
      <c r="H165" s="126">
        <f>SUMIFS('Support - Transition'!F:F,'Support - Transition'!B:B,'Step 2'!A165,'Support - Transition'!C:C,'Step 2'!B165,'Support - Transition'!D:D,'Step 2'!C165,'Support - Transition'!E:E,"FIRE")</f>
        <v>0</v>
      </c>
      <c r="I165" s="126">
        <f>IF(B165="0",SUMIFS('Support - Transition'!F:F,'Support - Transition'!J:J,'Step 2'!D165,'Support - Transition'!E:E,"STATE UNIT"),SUMIFS('Support - Transition'!F:F,'Support - Transition'!J:J,'Step 2'!D165))</f>
        <v>7.7279999999999996E-3</v>
      </c>
      <c r="J165" s="126">
        <f>SUMIFS('Support - Unit Adjustments'!E:E,'Support - Unit Adjustments'!F:F,'Step 2'!D165)</f>
        <v>0</v>
      </c>
      <c r="K165" s="126">
        <f t="shared" si="40"/>
        <v>7.7279999999999996E-3</v>
      </c>
      <c r="L165" s="174">
        <f>VLOOKUP(A165,'Step 1'!$A:$E,4,FALSE)</f>
        <v>505208</v>
      </c>
      <c r="M165" s="47">
        <f t="shared" si="41"/>
        <v>3904</v>
      </c>
      <c r="N165" s="177">
        <f>SUMIFS('Support - Transition'!G:G,'Support - Transition'!J:J,'Step 2'!D165,'Support - Transition'!E:E,"2009 WELFARE ALLOCATION FACTOR")</f>
        <v>0</v>
      </c>
      <c r="O165" s="152">
        <f t="shared" si="47"/>
        <v>0</v>
      </c>
      <c r="P165" s="126">
        <f>IF(E165="Y",0,SUMIFS('Support - Transition'!G:G,'Support - Transition'!J:J,'Step 2'!D165,'Support - Transition'!E:E,"2009 SCHOOL ALLOCATION FACTOR"))</f>
        <v>0</v>
      </c>
      <c r="Q165" s="126">
        <f>IF(E165="Y",VLOOKUP(D165,'Support - Unit Adjustments'!F:G,2,FALSE),0)</f>
        <v>0</v>
      </c>
      <c r="R165" s="155">
        <f t="shared" si="42"/>
        <v>0</v>
      </c>
      <c r="S165" s="47">
        <f t="shared" si="48"/>
        <v>0</v>
      </c>
      <c r="T165" s="151">
        <f t="shared" si="43"/>
        <v>3904</v>
      </c>
      <c r="U165" s="151">
        <f t="shared" si="44"/>
        <v>0</v>
      </c>
      <c r="V165" s="139">
        <f t="shared" si="45"/>
        <v>0</v>
      </c>
      <c r="W165" s="152">
        <f t="shared" si="49"/>
        <v>3904</v>
      </c>
      <c r="X165" s="127" t="str">
        <f t="shared" si="46"/>
        <v/>
      </c>
      <c r="Y165" s="207">
        <f t="shared" si="50"/>
        <v>3904</v>
      </c>
      <c r="Z165" s="139">
        <f t="shared" si="51"/>
        <v>3904</v>
      </c>
      <c r="AA165" s="139">
        <f t="shared" si="52"/>
        <v>0</v>
      </c>
      <c r="AC165" s="47">
        <f t="shared" si="53"/>
        <v>1952</v>
      </c>
      <c r="AD165" s="47">
        <f t="shared" si="54"/>
        <v>1952</v>
      </c>
      <c r="AE165" s="47">
        <f t="shared" si="55"/>
        <v>0</v>
      </c>
      <c r="AG165" s="47">
        <f t="shared" si="56"/>
        <v>1952</v>
      </c>
      <c r="AH165" s="47">
        <f t="shared" si="57"/>
        <v>1952</v>
      </c>
      <c r="AI165" s="208">
        <f t="shared" si="58"/>
        <v>0</v>
      </c>
    </row>
    <row r="166" spans="1:35">
      <c r="A166" t="s">
        <v>2093</v>
      </c>
      <c r="B166" t="s">
        <v>3170</v>
      </c>
      <c r="C166" t="s">
        <v>3334</v>
      </c>
      <c r="D166" t="s">
        <v>3335</v>
      </c>
      <c r="F166" t="s">
        <v>165</v>
      </c>
      <c r="G166" s="126">
        <f>SUMIFS('Support - Transition'!F:F,'Support - Transition'!B:B,'Step 2'!A166,'Support - Transition'!C:C,'Step 2'!B166,'Support - Transition'!D:D,'Step 2'!C166,'Support - Transition'!E:E,"CIVIL")</f>
        <v>0</v>
      </c>
      <c r="H166" s="126">
        <f>SUMIFS('Support - Transition'!F:F,'Support - Transition'!B:B,'Step 2'!A166,'Support - Transition'!C:C,'Step 2'!B166,'Support - Transition'!D:D,'Step 2'!C166,'Support - Transition'!E:E,"FIRE")</f>
        <v>0</v>
      </c>
      <c r="I166" s="126">
        <f>IF(B166="0",SUMIFS('Support - Transition'!F:F,'Support - Transition'!J:J,'Step 2'!D166,'Support - Transition'!E:E,"STATE UNIT"),SUMIFS('Support - Transition'!F:F,'Support - Transition'!J:J,'Step 2'!D166))</f>
        <v>0</v>
      </c>
      <c r="J166" s="126">
        <f>SUMIFS('Support - Unit Adjustments'!E:E,'Support - Unit Adjustments'!F:F,'Step 2'!D166)</f>
        <v>0</v>
      </c>
      <c r="K166" s="126">
        <f t="shared" si="40"/>
        <v>0</v>
      </c>
      <c r="L166" s="174">
        <f>VLOOKUP(A166,'Step 1'!$A:$E,4,FALSE)</f>
        <v>505208</v>
      </c>
      <c r="M166" s="47">
        <f t="shared" si="41"/>
        <v>0</v>
      </c>
      <c r="N166" s="177">
        <f>SUMIFS('Support - Transition'!G:G,'Support - Transition'!J:J,'Step 2'!D166,'Support - Transition'!E:E,"2009 WELFARE ALLOCATION FACTOR")</f>
        <v>0</v>
      </c>
      <c r="O166" s="152">
        <f t="shared" si="47"/>
        <v>0</v>
      </c>
      <c r="P166" s="126">
        <f>IF(E166="Y",0,SUMIFS('Support - Transition'!G:G,'Support - Transition'!J:J,'Step 2'!D166,'Support - Transition'!E:E,"2009 SCHOOL ALLOCATION FACTOR"))</f>
        <v>0</v>
      </c>
      <c r="Q166" s="126">
        <f>IF(E166="Y",VLOOKUP(D166,'Support - Unit Adjustments'!F:G,2,FALSE),0)</f>
        <v>0</v>
      </c>
      <c r="R166" s="155">
        <f t="shared" si="42"/>
        <v>0</v>
      </c>
      <c r="S166" s="47">
        <f t="shared" si="48"/>
        <v>0</v>
      </c>
      <c r="T166" s="151">
        <f t="shared" si="43"/>
        <v>0</v>
      </c>
      <c r="U166" s="151">
        <f t="shared" si="44"/>
        <v>0</v>
      </c>
      <c r="V166" s="139">
        <f t="shared" si="45"/>
        <v>0</v>
      </c>
      <c r="W166" s="152">
        <f t="shared" si="49"/>
        <v>0</v>
      </c>
      <c r="X166" s="127" t="str">
        <f t="shared" si="46"/>
        <v/>
      </c>
      <c r="Y166" s="207">
        <f t="shared" si="50"/>
        <v>0</v>
      </c>
      <c r="Z166" s="139">
        <f t="shared" si="51"/>
        <v>0</v>
      </c>
      <c r="AA166" s="139">
        <f t="shared" si="52"/>
        <v>0</v>
      </c>
      <c r="AC166" s="47">
        <f t="shared" si="53"/>
        <v>0</v>
      </c>
      <c r="AD166" s="47">
        <f t="shared" si="54"/>
        <v>0</v>
      </c>
      <c r="AE166" s="47">
        <f t="shared" si="55"/>
        <v>0</v>
      </c>
      <c r="AG166" s="47">
        <f t="shared" si="56"/>
        <v>0</v>
      </c>
      <c r="AH166" s="47">
        <f t="shared" si="57"/>
        <v>0</v>
      </c>
      <c r="AI166" s="208">
        <f t="shared" si="58"/>
        <v>0</v>
      </c>
    </row>
    <row r="167" spans="1:35">
      <c r="A167" t="s">
        <v>2094</v>
      </c>
      <c r="B167" s="48" t="s">
        <v>6274</v>
      </c>
      <c r="C167" t="s">
        <v>2187</v>
      </c>
      <c r="D167" t="str">
        <f>A167&amp;B167&amp;C167</f>
        <v>0700000</v>
      </c>
      <c r="F167" t="s">
        <v>6281</v>
      </c>
      <c r="G167" s="126">
        <f>SUMIFS('Support - Transition'!F:F,'Support - Transition'!B:B,'Step 2'!A167,'Support - Transition'!C:C,'Step 2'!B167,'Support - Transition'!D:D,'Step 2'!C167,'Support - Transition'!E:E,"CIVIL")</f>
        <v>0</v>
      </c>
      <c r="H167" s="126">
        <f>SUMIFS('Support - Transition'!F:F,'Support - Transition'!B:B,'Step 2'!A167,'Support - Transition'!C:C,'Step 2'!B167,'Support - Transition'!D:D,'Step 2'!C167,'Support - Transition'!E:E,"FIRE")</f>
        <v>0</v>
      </c>
      <c r="I167" s="126">
        <f>IF(B167="0",SUMIFS('Support - Transition'!F:F,'Support - Transition'!J:J,'Step 2'!D167,'Support - Transition'!E:E,"STATE UNIT"),SUMIFS('Support - Transition'!F:F,'Support - Transition'!J:J,'Step 2'!D167))</f>
        <v>1.4270000000000001E-3</v>
      </c>
      <c r="J167" s="126">
        <f>SUMIFS('Support - Unit Adjustments'!E:E,'Support - Unit Adjustments'!F:F,'Step 2'!D167)</f>
        <v>0</v>
      </c>
      <c r="K167" s="126">
        <f t="shared" si="40"/>
        <v>1.4270000000000001E-3</v>
      </c>
      <c r="L167" s="174">
        <f>VLOOKUP(A167,'Step 1'!$A:$E,4,FALSE)</f>
        <v>148145</v>
      </c>
      <c r="M167" s="47">
        <f t="shared" si="41"/>
        <v>211</v>
      </c>
      <c r="N167" s="177">
        <f>SUMIFS('Support - Transition'!G:G,'Support - Transition'!J:J,'Step 2'!D167,'Support - Transition'!E:E,"2009 WELFARE ALLOCATION FACTOR")</f>
        <v>0</v>
      </c>
      <c r="O167" s="152">
        <f t="shared" si="47"/>
        <v>0</v>
      </c>
      <c r="P167" s="126">
        <f>IF(E167="Y",0,SUMIFS('Support - Transition'!G:G,'Support - Transition'!J:J,'Step 2'!D167,'Support - Transition'!E:E,"2009 SCHOOL ALLOCATION FACTOR"))</f>
        <v>0</v>
      </c>
      <c r="Q167" s="126">
        <f>IF(E167="Y",VLOOKUP(D167,'Support - Unit Adjustments'!F:G,2,FALSE),0)</f>
        <v>0</v>
      </c>
      <c r="R167" s="155">
        <f t="shared" si="42"/>
        <v>0</v>
      </c>
      <c r="S167" s="47">
        <f t="shared" si="48"/>
        <v>0</v>
      </c>
      <c r="T167" s="151">
        <f t="shared" si="43"/>
        <v>211</v>
      </c>
      <c r="U167" s="151">
        <f t="shared" si="44"/>
        <v>148145</v>
      </c>
      <c r="V167" s="139">
        <f t="shared" si="45"/>
        <v>0</v>
      </c>
      <c r="W167" s="152">
        <f t="shared" si="49"/>
        <v>211</v>
      </c>
      <c r="X167" s="127">
        <f t="shared" si="46"/>
        <v>0</v>
      </c>
      <c r="Y167" s="207">
        <f t="shared" si="50"/>
        <v>211</v>
      </c>
      <c r="Z167" s="139">
        <f t="shared" si="51"/>
        <v>211</v>
      </c>
      <c r="AA167" s="139">
        <f t="shared" si="52"/>
        <v>0</v>
      </c>
      <c r="AC167" s="47">
        <f t="shared" si="53"/>
        <v>106</v>
      </c>
      <c r="AD167" s="47">
        <f t="shared" si="54"/>
        <v>106</v>
      </c>
      <c r="AE167" s="47">
        <f t="shared" si="55"/>
        <v>0</v>
      </c>
      <c r="AG167" s="47">
        <f t="shared" si="56"/>
        <v>105</v>
      </c>
      <c r="AH167" s="47">
        <f t="shared" si="57"/>
        <v>105</v>
      </c>
      <c r="AI167" s="208">
        <f t="shared" si="58"/>
        <v>0</v>
      </c>
    </row>
    <row r="168" spans="1:35">
      <c r="A168" t="s">
        <v>2094</v>
      </c>
      <c r="B168" t="s">
        <v>3140</v>
      </c>
      <c r="C168" t="s">
        <v>2187</v>
      </c>
      <c r="D168" t="s">
        <v>3336</v>
      </c>
      <c r="F168" t="s">
        <v>167</v>
      </c>
      <c r="G168" s="126">
        <f>SUMIFS('Support - Transition'!F:F,'Support - Transition'!B:B,'Step 2'!A168,'Support - Transition'!C:C,'Step 2'!B168,'Support - Transition'!D:D,'Step 2'!C168,'Support - Transition'!E:E,"CIVIL")</f>
        <v>0</v>
      </c>
      <c r="H168" s="126">
        <f>SUMIFS('Support - Transition'!F:F,'Support - Transition'!B:B,'Step 2'!A168,'Support - Transition'!C:C,'Step 2'!B168,'Support - Transition'!D:D,'Step 2'!C168,'Support - Transition'!E:E,"FIRE")</f>
        <v>0</v>
      </c>
      <c r="I168" s="126">
        <f>IF(B168="0",SUMIFS('Support - Transition'!F:F,'Support - Transition'!J:J,'Step 2'!D168,'Support - Transition'!E:E,"STATE UNIT"),SUMIFS('Support - Transition'!F:F,'Support - Transition'!J:J,'Step 2'!D168))</f>
        <v>0.242421</v>
      </c>
      <c r="J168" s="126">
        <f>SUMIFS('Support - Unit Adjustments'!E:E,'Support - Unit Adjustments'!F:F,'Step 2'!D168)</f>
        <v>0</v>
      </c>
      <c r="K168" s="126">
        <f t="shared" si="40"/>
        <v>0.242421</v>
      </c>
      <c r="L168" s="174">
        <f>VLOOKUP(A168,'Step 1'!$A:$E,4,FALSE)</f>
        <v>148145</v>
      </c>
      <c r="M168" s="47">
        <f t="shared" si="41"/>
        <v>35913</v>
      </c>
      <c r="N168" s="177">
        <f>SUMIFS('Support - Transition'!G:G,'Support - Transition'!J:J,'Step 2'!D168,'Support - Transition'!E:E,"2009 WELFARE ALLOCATION FACTOR")</f>
        <v>0.14463799999999999</v>
      </c>
      <c r="O168" s="152">
        <f t="shared" si="47"/>
        <v>5194</v>
      </c>
      <c r="P168" s="126">
        <f>IF(E168="Y",0,SUMIFS('Support - Transition'!G:G,'Support - Transition'!J:J,'Step 2'!D168,'Support - Transition'!E:E,"2009 SCHOOL ALLOCATION FACTOR"))</f>
        <v>0</v>
      </c>
      <c r="Q168" s="126">
        <f>IF(E168="Y",VLOOKUP(D168,'Support - Unit Adjustments'!F:G,2,FALSE),0)</f>
        <v>0</v>
      </c>
      <c r="R168" s="155">
        <f t="shared" si="42"/>
        <v>0</v>
      </c>
      <c r="S168" s="47">
        <f t="shared" si="48"/>
        <v>0</v>
      </c>
      <c r="T168" s="151">
        <f t="shared" si="43"/>
        <v>30719</v>
      </c>
      <c r="U168" s="151">
        <f t="shared" si="44"/>
        <v>0</v>
      </c>
      <c r="V168" s="139">
        <f t="shared" si="45"/>
        <v>0</v>
      </c>
      <c r="W168" s="152">
        <f t="shared" si="49"/>
        <v>30719</v>
      </c>
      <c r="X168" s="127" t="str">
        <f t="shared" si="46"/>
        <v/>
      </c>
      <c r="Y168" s="207">
        <f t="shared" si="50"/>
        <v>30719</v>
      </c>
      <c r="Z168" s="139">
        <f t="shared" si="51"/>
        <v>30719</v>
      </c>
      <c r="AA168" s="139">
        <f t="shared" si="52"/>
        <v>0</v>
      </c>
      <c r="AC168" s="47">
        <f t="shared" si="53"/>
        <v>15360</v>
      </c>
      <c r="AD168" s="47">
        <f t="shared" si="54"/>
        <v>15360</v>
      </c>
      <c r="AE168" s="47">
        <f t="shared" si="55"/>
        <v>0</v>
      </c>
      <c r="AG168" s="47">
        <f t="shared" si="56"/>
        <v>15359</v>
      </c>
      <c r="AH168" s="47">
        <f t="shared" si="57"/>
        <v>15359</v>
      </c>
      <c r="AI168" s="208">
        <f t="shared" si="58"/>
        <v>0</v>
      </c>
    </row>
    <row r="169" spans="1:35">
      <c r="A169" t="s">
        <v>2094</v>
      </c>
      <c r="B169" t="s">
        <v>3142</v>
      </c>
      <c r="C169" t="s">
        <v>2188</v>
      </c>
      <c r="D169" t="s">
        <v>3337</v>
      </c>
      <c r="F169" t="s">
        <v>168</v>
      </c>
      <c r="G169" s="126">
        <f>SUMIFS('Support - Transition'!F:F,'Support - Transition'!B:B,'Step 2'!A169,'Support - Transition'!C:C,'Step 2'!B169,'Support - Transition'!D:D,'Step 2'!C169,'Support - Transition'!E:E,"CIVIL")</f>
        <v>3.0200000000000001E-3</v>
      </c>
      <c r="H169" s="126">
        <f>SUMIFS('Support - Transition'!F:F,'Support - Transition'!B:B,'Step 2'!A169,'Support - Transition'!C:C,'Step 2'!B169,'Support - Transition'!D:D,'Step 2'!C169,'Support - Transition'!E:E,"FIRE")</f>
        <v>9.6000000000000002E-4</v>
      </c>
      <c r="I169" s="126">
        <f>IF(B169="0",SUMIFS('Support - Transition'!F:F,'Support - Transition'!J:J,'Step 2'!D169,'Support - Transition'!E:E,"STATE UNIT"),SUMIFS('Support - Transition'!F:F,'Support - Transition'!J:J,'Step 2'!D169))</f>
        <v>3.98E-3</v>
      </c>
      <c r="J169" s="126">
        <f>SUMIFS('Support - Unit Adjustments'!E:E,'Support - Unit Adjustments'!F:F,'Step 2'!D169)</f>
        <v>0</v>
      </c>
      <c r="K169" s="126">
        <f t="shared" si="40"/>
        <v>3.98E-3</v>
      </c>
      <c r="L169" s="174">
        <f>VLOOKUP(A169,'Step 1'!$A:$E,4,FALSE)</f>
        <v>148145</v>
      </c>
      <c r="M169" s="47">
        <f t="shared" si="41"/>
        <v>590</v>
      </c>
      <c r="N169" s="177">
        <f>SUMIFS('Support - Transition'!G:G,'Support - Transition'!J:J,'Step 2'!D169,'Support - Transition'!E:E,"2009 WELFARE ALLOCATION FACTOR")</f>
        <v>0</v>
      </c>
      <c r="O169" s="152">
        <f t="shared" si="47"/>
        <v>0</v>
      </c>
      <c r="P169" s="126">
        <f>IF(E169="Y",0,SUMIFS('Support - Transition'!G:G,'Support - Transition'!J:J,'Step 2'!D169,'Support - Transition'!E:E,"2009 SCHOOL ALLOCATION FACTOR"))</f>
        <v>0</v>
      </c>
      <c r="Q169" s="126">
        <f>IF(E169="Y",VLOOKUP(D169,'Support - Unit Adjustments'!F:G,2,FALSE),0)</f>
        <v>0</v>
      </c>
      <c r="R169" s="155">
        <f t="shared" si="42"/>
        <v>0</v>
      </c>
      <c r="S169" s="47">
        <f t="shared" si="48"/>
        <v>0</v>
      </c>
      <c r="T169" s="151">
        <f t="shared" si="43"/>
        <v>590</v>
      </c>
      <c r="U169" s="151">
        <f t="shared" si="44"/>
        <v>0</v>
      </c>
      <c r="V169" s="139">
        <f t="shared" si="45"/>
        <v>0</v>
      </c>
      <c r="W169" s="152">
        <f t="shared" si="49"/>
        <v>590</v>
      </c>
      <c r="X169" s="127" t="str">
        <f t="shared" si="46"/>
        <v/>
      </c>
      <c r="Y169" s="207">
        <f t="shared" si="50"/>
        <v>590</v>
      </c>
      <c r="Z169" s="139">
        <f t="shared" si="51"/>
        <v>448</v>
      </c>
      <c r="AA169" s="139">
        <f t="shared" si="52"/>
        <v>142</v>
      </c>
      <c r="AC169" s="47">
        <f t="shared" si="53"/>
        <v>295</v>
      </c>
      <c r="AD169" s="47">
        <f t="shared" si="54"/>
        <v>224</v>
      </c>
      <c r="AE169" s="47">
        <f t="shared" si="55"/>
        <v>71</v>
      </c>
      <c r="AG169" s="47">
        <f t="shared" si="56"/>
        <v>295</v>
      </c>
      <c r="AH169" s="47">
        <f t="shared" si="57"/>
        <v>224</v>
      </c>
      <c r="AI169" s="208">
        <f t="shared" si="58"/>
        <v>71</v>
      </c>
    </row>
    <row r="170" spans="1:35">
      <c r="A170" t="s">
        <v>2094</v>
      </c>
      <c r="B170" t="s">
        <v>3142</v>
      </c>
      <c r="C170" t="s">
        <v>2189</v>
      </c>
      <c r="D170" t="s">
        <v>3338</v>
      </c>
      <c r="F170" t="s">
        <v>49</v>
      </c>
      <c r="G170" s="126">
        <f>SUMIFS('Support - Transition'!F:F,'Support - Transition'!B:B,'Step 2'!A170,'Support - Transition'!C:C,'Step 2'!B170,'Support - Transition'!D:D,'Step 2'!C170,'Support - Transition'!E:E,"CIVIL")</f>
        <v>2.264E-3</v>
      </c>
      <c r="H170" s="126">
        <f>SUMIFS('Support - Transition'!F:F,'Support - Transition'!B:B,'Step 2'!A170,'Support - Transition'!C:C,'Step 2'!B170,'Support - Transition'!D:D,'Step 2'!C170,'Support - Transition'!E:E,"FIRE")</f>
        <v>1.359E-3</v>
      </c>
      <c r="I170" s="126">
        <f>IF(B170="0",SUMIFS('Support - Transition'!F:F,'Support - Transition'!J:J,'Step 2'!D170,'Support - Transition'!E:E,"STATE UNIT"),SUMIFS('Support - Transition'!F:F,'Support - Transition'!J:J,'Step 2'!D170))</f>
        <v>3.6229999999999999E-3</v>
      </c>
      <c r="J170" s="126">
        <f>SUMIFS('Support - Unit Adjustments'!E:E,'Support - Unit Adjustments'!F:F,'Step 2'!D170)</f>
        <v>0</v>
      </c>
      <c r="K170" s="126">
        <f t="shared" si="40"/>
        <v>3.6229999999999999E-3</v>
      </c>
      <c r="L170" s="174">
        <f>VLOOKUP(A170,'Step 1'!$A:$E,4,FALSE)</f>
        <v>148145</v>
      </c>
      <c r="M170" s="47">
        <f t="shared" si="41"/>
        <v>537</v>
      </c>
      <c r="N170" s="177">
        <f>SUMIFS('Support - Transition'!G:G,'Support - Transition'!J:J,'Step 2'!D170,'Support - Transition'!E:E,"2009 WELFARE ALLOCATION FACTOR")</f>
        <v>0</v>
      </c>
      <c r="O170" s="152">
        <f t="shared" si="47"/>
        <v>0</v>
      </c>
      <c r="P170" s="126">
        <f>IF(E170="Y",0,SUMIFS('Support - Transition'!G:G,'Support - Transition'!J:J,'Step 2'!D170,'Support - Transition'!E:E,"2009 SCHOOL ALLOCATION FACTOR"))</f>
        <v>0</v>
      </c>
      <c r="Q170" s="126">
        <f>IF(E170="Y",VLOOKUP(D170,'Support - Unit Adjustments'!F:G,2,FALSE),0)</f>
        <v>0</v>
      </c>
      <c r="R170" s="155">
        <f t="shared" si="42"/>
        <v>0</v>
      </c>
      <c r="S170" s="47">
        <f t="shared" si="48"/>
        <v>0</v>
      </c>
      <c r="T170" s="151">
        <f t="shared" si="43"/>
        <v>537</v>
      </c>
      <c r="U170" s="151">
        <f t="shared" si="44"/>
        <v>0</v>
      </c>
      <c r="V170" s="139">
        <f t="shared" si="45"/>
        <v>0</v>
      </c>
      <c r="W170" s="152">
        <f t="shared" si="49"/>
        <v>537</v>
      </c>
      <c r="X170" s="127" t="str">
        <f t="shared" si="46"/>
        <v/>
      </c>
      <c r="Y170" s="207">
        <f t="shared" si="50"/>
        <v>537</v>
      </c>
      <c r="Z170" s="139">
        <f t="shared" si="51"/>
        <v>336</v>
      </c>
      <c r="AA170" s="139">
        <f t="shared" si="52"/>
        <v>201</v>
      </c>
      <c r="AC170" s="47">
        <f t="shared" si="53"/>
        <v>269</v>
      </c>
      <c r="AD170" s="47">
        <f t="shared" si="54"/>
        <v>168</v>
      </c>
      <c r="AE170" s="47">
        <f t="shared" si="55"/>
        <v>101</v>
      </c>
      <c r="AG170" s="47">
        <f t="shared" si="56"/>
        <v>268</v>
      </c>
      <c r="AH170" s="47">
        <f t="shared" si="57"/>
        <v>168</v>
      </c>
      <c r="AI170" s="208">
        <f t="shared" si="58"/>
        <v>100</v>
      </c>
    </row>
    <row r="171" spans="1:35">
      <c r="A171" t="s">
        <v>2094</v>
      </c>
      <c r="B171" t="s">
        <v>3142</v>
      </c>
      <c r="C171" t="s">
        <v>2190</v>
      </c>
      <c r="D171" t="s">
        <v>3339</v>
      </c>
      <c r="F171" t="s">
        <v>169</v>
      </c>
      <c r="G171" s="126">
        <f>SUMIFS('Support - Transition'!F:F,'Support - Transition'!B:B,'Step 2'!A171,'Support - Transition'!C:C,'Step 2'!B171,'Support - Transition'!D:D,'Step 2'!C171,'Support - Transition'!E:E,"CIVIL")</f>
        <v>4.3059999999999999E-3</v>
      </c>
      <c r="H171" s="126">
        <f>SUMIFS('Support - Transition'!F:F,'Support - Transition'!B:B,'Step 2'!A171,'Support - Transition'!C:C,'Step 2'!B171,'Support - Transition'!D:D,'Step 2'!C171,'Support - Transition'!E:E,"FIRE")</f>
        <v>8.4900000000000004E-4</v>
      </c>
      <c r="I171" s="126">
        <f>IF(B171="0",SUMIFS('Support - Transition'!F:F,'Support - Transition'!J:J,'Step 2'!D171,'Support - Transition'!E:E,"STATE UNIT"),SUMIFS('Support - Transition'!F:F,'Support - Transition'!J:J,'Step 2'!D171))</f>
        <v>5.1549999999999999E-3</v>
      </c>
      <c r="J171" s="126">
        <f>SUMIFS('Support - Unit Adjustments'!E:E,'Support - Unit Adjustments'!F:F,'Step 2'!D171)</f>
        <v>0</v>
      </c>
      <c r="K171" s="126">
        <f t="shared" si="40"/>
        <v>5.1549999999999999E-3</v>
      </c>
      <c r="L171" s="174">
        <f>VLOOKUP(A171,'Step 1'!$A:$E,4,FALSE)</f>
        <v>148145</v>
      </c>
      <c r="M171" s="47">
        <f t="shared" si="41"/>
        <v>764</v>
      </c>
      <c r="N171" s="177">
        <f>SUMIFS('Support - Transition'!G:G,'Support - Transition'!J:J,'Step 2'!D171,'Support - Transition'!E:E,"2009 WELFARE ALLOCATION FACTOR")</f>
        <v>0</v>
      </c>
      <c r="O171" s="152">
        <f t="shared" si="47"/>
        <v>0</v>
      </c>
      <c r="P171" s="126">
        <f>IF(E171="Y",0,SUMIFS('Support - Transition'!G:G,'Support - Transition'!J:J,'Step 2'!D171,'Support - Transition'!E:E,"2009 SCHOOL ALLOCATION FACTOR"))</f>
        <v>0</v>
      </c>
      <c r="Q171" s="126">
        <f>IF(E171="Y",VLOOKUP(D171,'Support - Unit Adjustments'!F:G,2,FALSE),0)</f>
        <v>0</v>
      </c>
      <c r="R171" s="155">
        <f t="shared" si="42"/>
        <v>0</v>
      </c>
      <c r="S171" s="47">
        <f t="shared" si="48"/>
        <v>0</v>
      </c>
      <c r="T171" s="151">
        <f t="shared" si="43"/>
        <v>764</v>
      </c>
      <c r="U171" s="151">
        <f t="shared" si="44"/>
        <v>0</v>
      </c>
      <c r="V171" s="139">
        <f t="shared" si="45"/>
        <v>0</v>
      </c>
      <c r="W171" s="152">
        <f t="shared" si="49"/>
        <v>764</v>
      </c>
      <c r="X171" s="127" t="str">
        <f t="shared" si="46"/>
        <v/>
      </c>
      <c r="Y171" s="207">
        <f t="shared" si="50"/>
        <v>764</v>
      </c>
      <c r="Z171" s="139">
        <f t="shared" si="51"/>
        <v>638</v>
      </c>
      <c r="AA171" s="139">
        <f t="shared" si="52"/>
        <v>126</v>
      </c>
      <c r="AC171" s="47">
        <f t="shared" si="53"/>
        <v>382</v>
      </c>
      <c r="AD171" s="47">
        <f t="shared" si="54"/>
        <v>319</v>
      </c>
      <c r="AE171" s="47">
        <f t="shared" si="55"/>
        <v>63</v>
      </c>
      <c r="AG171" s="47">
        <f t="shared" si="56"/>
        <v>382</v>
      </c>
      <c r="AH171" s="47">
        <f t="shared" si="57"/>
        <v>319</v>
      </c>
      <c r="AI171" s="208">
        <f t="shared" si="58"/>
        <v>63</v>
      </c>
    </row>
    <row r="172" spans="1:35">
      <c r="A172" t="s">
        <v>2094</v>
      </c>
      <c r="B172" t="s">
        <v>3142</v>
      </c>
      <c r="C172" t="s">
        <v>2191</v>
      </c>
      <c r="D172" t="s">
        <v>3340</v>
      </c>
      <c r="F172" t="s">
        <v>22</v>
      </c>
      <c r="G172" s="126">
        <f>SUMIFS('Support - Transition'!F:F,'Support - Transition'!B:B,'Step 2'!A172,'Support - Transition'!C:C,'Step 2'!B172,'Support - Transition'!D:D,'Step 2'!C172,'Support - Transition'!E:E,"CIVIL")</f>
        <v>5.7580000000000001E-3</v>
      </c>
      <c r="H172" s="126">
        <f>SUMIFS('Support - Transition'!F:F,'Support - Transition'!B:B,'Step 2'!A172,'Support - Transition'!C:C,'Step 2'!B172,'Support - Transition'!D:D,'Step 2'!C172,'Support - Transition'!E:E,"FIRE")</f>
        <v>1.655E-3</v>
      </c>
      <c r="I172" s="126">
        <f>IF(B172="0",SUMIFS('Support - Transition'!F:F,'Support - Transition'!J:J,'Step 2'!D172,'Support - Transition'!E:E,"STATE UNIT"),SUMIFS('Support - Transition'!F:F,'Support - Transition'!J:J,'Step 2'!D172))</f>
        <v>7.4130000000000003E-3</v>
      </c>
      <c r="J172" s="126">
        <f>SUMIFS('Support - Unit Adjustments'!E:E,'Support - Unit Adjustments'!F:F,'Step 2'!D172)</f>
        <v>0</v>
      </c>
      <c r="K172" s="126">
        <f t="shared" si="40"/>
        <v>7.4130000000000003E-3</v>
      </c>
      <c r="L172" s="174">
        <f>VLOOKUP(A172,'Step 1'!$A:$E,4,FALSE)</f>
        <v>148145</v>
      </c>
      <c r="M172" s="47">
        <f t="shared" si="41"/>
        <v>1098</v>
      </c>
      <c r="N172" s="177">
        <f>SUMIFS('Support - Transition'!G:G,'Support - Transition'!J:J,'Step 2'!D172,'Support - Transition'!E:E,"2009 WELFARE ALLOCATION FACTOR")</f>
        <v>0</v>
      </c>
      <c r="O172" s="152">
        <f t="shared" si="47"/>
        <v>0</v>
      </c>
      <c r="P172" s="126">
        <f>IF(E172="Y",0,SUMIFS('Support - Transition'!G:G,'Support - Transition'!J:J,'Step 2'!D172,'Support - Transition'!E:E,"2009 SCHOOL ALLOCATION FACTOR"))</f>
        <v>0</v>
      </c>
      <c r="Q172" s="126">
        <f>IF(E172="Y",VLOOKUP(D172,'Support - Unit Adjustments'!F:G,2,FALSE),0)</f>
        <v>0</v>
      </c>
      <c r="R172" s="155">
        <f t="shared" si="42"/>
        <v>0</v>
      </c>
      <c r="S172" s="47">
        <f t="shared" si="48"/>
        <v>0</v>
      </c>
      <c r="T172" s="151">
        <f t="shared" si="43"/>
        <v>1098</v>
      </c>
      <c r="U172" s="151">
        <f t="shared" si="44"/>
        <v>0</v>
      </c>
      <c r="V172" s="139">
        <f t="shared" si="45"/>
        <v>0</v>
      </c>
      <c r="W172" s="152">
        <f t="shared" si="49"/>
        <v>1098</v>
      </c>
      <c r="X172" s="127" t="str">
        <f t="shared" si="46"/>
        <v/>
      </c>
      <c r="Y172" s="207">
        <f t="shared" si="50"/>
        <v>1098</v>
      </c>
      <c r="Z172" s="139">
        <f t="shared" si="51"/>
        <v>853</v>
      </c>
      <c r="AA172" s="139">
        <f t="shared" si="52"/>
        <v>245</v>
      </c>
      <c r="AC172" s="47">
        <f t="shared" si="53"/>
        <v>549</v>
      </c>
      <c r="AD172" s="47">
        <f t="shared" si="54"/>
        <v>427</v>
      </c>
      <c r="AE172" s="47">
        <f t="shared" si="55"/>
        <v>123</v>
      </c>
      <c r="AG172" s="47">
        <f t="shared" si="56"/>
        <v>549</v>
      </c>
      <c r="AH172" s="47">
        <f t="shared" si="57"/>
        <v>426</v>
      </c>
      <c r="AI172" s="208">
        <f t="shared" si="58"/>
        <v>122</v>
      </c>
    </row>
    <row r="173" spans="1:35">
      <c r="A173" t="s">
        <v>2094</v>
      </c>
      <c r="B173" t="s">
        <v>3155</v>
      </c>
      <c r="C173" t="s">
        <v>2268</v>
      </c>
      <c r="D173" t="s">
        <v>3341</v>
      </c>
      <c r="F173" t="s">
        <v>170</v>
      </c>
      <c r="G173" s="126">
        <f>SUMIFS('Support - Transition'!F:F,'Support - Transition'!B:B,'Step 2'!A173,'Support - Transition'!C:C,'Step 2'!B173,'Support - Transition'!D:D,'Step 2'!C173,'Support - Transition'!E:E,"CIVIL")</f>
        <v>0</v>
      </c>
      <c r="H173" s="126">
        <f>SUMIFS('Support - Transition'!F:F,'Support - Transition'!B:B,'Step 2'!A173,'Support - Transition'!C:C,'Step 2'!B173,'Support - Transition'!D:D,'Step 2'!C173,'Support - Transition'!E:E,"FIRE")</f>
        <v>0</v>
      </c>
      <c r="I173" s="126">
        <f>IF(B173="0",SUMIFS('Support - Transition'!F:F,'Support - Transition'!J:J,'Step 2'!D173,'Support - Transition'!E:E,"STATE UNIT"),SUMIFS('Support - Transition'!F:F,'Support - Transition'!J:J,'Step 2'!D173))</f>
        <v>2.307E-3</v>
      </c>
      <c r="J173" s="126">
        <f>SUMIFS('Support - Unit Adjustments'!E:E,'Support - Unit Adjustments'!F:F,'Step 2'!D173)</f>
        <v>0</v>
      </c>
      <c r="K173" s="126">
        <f t="shared" si="40"/>
        <v>2.307E-3</v>
      </c>
      <c r="L173" s="174">
        <f>VLOOKUP(A173,'Step 1'!$A:$E,4,FALSE)</f>
        <v>148145</v>
      </c>
      <c r="M173" s="47">
        <f t="shared" si="41"/>
        <v>342</v>
      </c>
      <c r="N173" s="177">
        <f>SUMIFS('Support - Transition'!G:G,'Support - Transition'!J:J,'Step 2'!D173,'Support - Transition'!E:E,"2009 WELFARE ALLOCATION FACTOR")</f>
        <v>0</v>
      </c>
      <c r="O173" s="152">
        <f t="shared" si="47"/>
        <v>0</v>
      </c>
      <c r="P173" s="126">
        <f>IF(E173="Y",0,SUMIFS('Support - Transition'!G:G,'Support - Transition'!J:J,'Step 2'!D173,'Support - Transition'!E:E,"2009 SCHOOL ALLOCATION FACTOR"))</f>
        <v>0</v>
      </c>
      <c r="Q173" s="126">
        <f>IF(E173="Y",VLOOKUP(D173,'Support - Unit Adjustments'!F:G,2,FALSE),0)</f>
        <v>0</v>
      </c>
      <c r="R173" s="155">
        <f t="shared" si="42"/>
        <v>0</v>
      </c>
      <c r="S173" s="47">
        <f t="shared" si="48"/>
        <v>0</v>
      </c>
      <c r="T173" s="151">
        <f t="shared" si="43"/>
        <v>342</v>
      </c>
      <c r="U173" s="151">
        <f t="shared" si="44"/>
        <v>0</v>
      </c>
      <c r="V173" s="139">
        <f t="shared" si="45"/>
        <v>0</v>
      </c>
      <c r="W173" s="152">
        <f t="shared" si="49"/>
        <v>342</v>
      </c>
      <c r="X173" s="127" t="str">
        <f t="shared" si="46"/>
        <v/>
      </c>
      <c r="Y173" s="207">
        <f t="shared" si="50"/>
        <v>342</v>
      </c>
      <c r="Z173" s="139">
        <f t="shared" si="51"/>
        <v>342</v>
      </c>
      <c r="AA173" s="139">
        <f t="shared" si="52"/>
        <v>0</v>
      </c>
      <c r="AC173" s="47">
        <f t="shared" si="53"/>
        <v>171</v>
      </c>
      <c r="AD173" s="47">
        <f t="shared" si="54"/>
        <v>171</v>
      </c>
      <c r="AE173" s="47">
        <f t="shared" si="55"/>
        <v>0</v>
      </c>
      <c r="AG173" s="47">
        <f t="shared" si="56"/>
        <v>171</v>
      </c>
      <c r="AH173" s="47">
        <f t="shared" si="57"/>
        <v>171</v>
      </c>
      <c r="AI173" s="208">
        <f t="shared" si="58"/>
        <v>0</v>
      </c>
    </row>
    <row r="174" spans="1:35">
      <c r="A174" t="s">
        <v>2094</v>
      </c>
      <c r="B174" t="s">
        <v>3160</v>
      </c>
      <c r="C174" t="s">
        <v>2269</v>
      </c>
      <c r="D174" t="s">
        <v>3342</v>
      </c>
      <c r="F174" t="s">
        <v>3343</v>
      </c>
      <c r="G174" s="126">
        <f>SUMIFS('Support - Transition'!F:F,'Support - Transition'!B:B,'Step 2'!A174,'Support - Transition'!C:C,'Step 2'!B174,'Support - Transition'!D:D,'Step 2'!C174,'Support - Transition'!E:E,"CIVIL")</f>
        <v>0</v>
      </c>
      <c r="H174" s="126">
        <f>SUMIFS('Support - Transition'!F:F,'Support - Transition'!B:B,'Step 2'!A174,'Support - Transition'!C:C,'Step 2'!B174,'Support - Transition'!D:D,'Step 2'!C174,'Support - Transition'!E:E,"FIRE")</f>
        <v>0</v>
      </c>
      <c r="I174" s="126">
        <f>IF(B174="0",SUMIFS('Support - Transition'!F:F,'Support - Transition'!J:J,'Step 2'!D174,'Support - Transition'!E:E,"STATE UNIT"),SUMIFS('Support - Transition'!F:F,'Support - Transition'!J:J,'Step 2'!D174))</f>
        <v>0.69649399999999995</v>
      </c>
      <c r="J174" s="126">
        <f>SUMIFS('Support - Unit Adjustments'!E:E,'Support - Unit Adjustments'!F:F,'Step 2'!D174)</f>
        <v>0</v>
      </c>
      <c r="K174" s="126">
        <f t="shared" si="40"/>
        <v>0.69649399999999995</v>
      </c>
      <c r="L174" s="174">
        <f>VLOOKUP(A174,'Step 1'!$A:$E,4,FALSE)</f>
        <v>148145</v>
      </c>
      <c r="M174" s="47">
        <f t="shared" si="41"/>
        <v>103182</v>
      </c>
      <c r="N174" s="177">
        <f>SUMIFS('Support - Transition'!G:G,'Support - Transition'!J:J,'Step 2'!D174,'Support - Transition'!E:E,"2009 WELFARE ALLOCATION FACTOR")</f>
        <v>0</v>
      </c>
      <c r="O174" s="152">
        <f t="shared" si="47"/>
        <v>0</v>
      </c>
      <c r="P174" s="126">
        <f>IF(E174="Y",0,SUMIFS('Support - Transition'!G:G,'Support - Transition'!J:J,'Step 2'!D174,'Support - Transition'!E:E,"2009 SCHOOL ALLOCATION FACTOR"))</f>
        <v>0.439749</v>
      </c>
      <c r="Q174" s="126">
        <f>IF(E174="Y",VLOOKUP(D174,'Support - Unit Adjustments'!F:G,2,FALSE),0)</f>
        <v>0</v>
      </c>
      <c r="R174" s="155">
        <f t="shared" si="42"/>
        <v>0.439749</v>
      </c>
      <c r="S174" s="47">
        <f t="shared" si="48"/>
        <v>45374</v>
      </c>
      <c r="T174" s="151">
        <f t="shared" si="43"/>
        <v>57808</v>
      </c>
      <c r="U174" s="151">
        <f t="shared" si="44"/>
        <v>0</v>
      </c>
      <c r="V174" s="139">
        <f t="shared" si="45"/>
        <v>0</v>
      </c>
      <c r="W174" s="152">
        <f t="shared" si="49"/>
        <v>57808</v>
      </c>
      <c r="X174" s="127" t="str">
        <f t="shared" si="46"/>
        <v/>
      </c>
      <c r="Y174" s="207">
        <f t="shared" si="50"/>
        <v>57808</v>
      </c>
      <c r="Z174" s="139">
        <f t="shared" si="51"/>
        <v>57808</v>
      </c>
      <c r="AA174" s="139">
        <f t="shared" si="52"/>
        <v>0</v>
      </c>
      <c r="AC174" s="47">
        <f t="shared" si="53"/>
        <v>28904</v>
      </c>
      <c r="AD174" s="47">
        <f t="shared" si="54"/>
        <v>28904</v>
      </c>
      <c r="AE174" s="47">
        <f t="shared" si="55"/>
        <v>0</v>
      </c>
      <c r="AG174" s="47">
        <f t="shared" si="56"/>
        <v>28904</v>
      </c>
      <c r="AH174" s="47">
        <f t="shared" si="57"/>
        <v>28904</v>
      </c>
      <c r="AI174" s="208">
        <f t="shared" si="58"/>
        <v>0</v>
      </c>
    </row>
    <row r="175" spans="1:35">
      <c r="A175" t="s">
        <v>2094</v>
      </c>
      <c r="B175" t="s">
        <v>3166</v>
      </c>
      <c r="C175" t="s">
        <v>2211</v>
      </c>
      <c r="D175" t="s">
        <v>3344</v>
      </c>
      <c r="F175" t="s">
        <v>172</v>
      </c>
      <c r="G175" s="126">
        <f>SUMIFS('Support - Transition'!F:F,'Support - Transition'!B:B,'Step 2'!A175,'Support - Transition'!C:C,'Step 2'!B175,'Support - Transition'!D:D,'Step 2'!C175,'Support - Transition'!E:E,"CIVIL")</f>
        <v>0</v>
      </c>
      <c r="H175" s="126">
        <f>SUMIFS('Support - Transition'!F:F,'Support - Transition'!B:B,'Step 2'!A175,'Support - Transition'!C:C,'Step 2'!B175,'Support - Transition'!D:D,'Step 2'!C175,'Support - Transition'!E:E,"FIRE")</f>
        <v>0</v>
      </c>
      <c r="I175" s="126">
        <f>IF(B175="0",SUMIFS('Support - Transition'!F:F,'Support - Transition'!J:J,'Step 2'!D175,'Support - Transition'!E:E,"STATE UNIT"),SUMIFS('Support - Transition'!F:F,'Support - Transition'!J:J,'Step 2'!D175))</f>
        <v>2.0102999999999999E-2</v>
      </c>
      <c r="J175" s="126">
        <f>SUMIFS('Support - Unit Adjustments'!E:E,'Support - Unit Adjustments'!F:F,'Step 2'!D175)</f>
        <v>0</v>
      </c>
      <c r="K175" s="126">
        <f t="shared" si="40"/>
        <v>2.0102999999999999E-2</v>
      </c>
      <c r="L175" s="174">
        <f>VLOOKUP(A175,'Step 1'!$A:$E,4,FALSE)</f>
        <v>148145</v>
      </c>
      <c r="M175" s="47">
        <f t="shared" si="41"/>
        <v>2978</v>
      </c>
      <c r="N175" s="177">
        <f>SUMIFS('Support - Transition'!G:G,'Support - Transition'!J:J,'Step 2'!D175,'Support - Transition'!E:E,"2009 WELFARE ALLOCATION FACTOR")</f>
        <v>0</v>
      </c>
      <c r="O175" s="152">
        <f t="shared" si="47"/>
        <v>0</v>
      </c>
      <c r="P175" s="126">
        <f>IF(E175="Y",0,SUMIFS('Support - Transition'!G:G,'Support - Transition'!J:J,'Step 2'!D175,'Support - Transition'!E:E,"2009 SCHOOL ALLOCATION FACTOR"))</f>
        <v>0</v>
      </c>
      <c r="Q175" s="126">
        <f>IF(E175="Y",VLOOKUP(D175,'Support - Unit Adjustments'!F:G,2,FALSE),0)</f>
        <v>0</v>
      </c>
      <c r="R175" s="155">
        <f t="shared" si="42"/>
        <v>0</v>
      </c>
      <c r="S175" s="47">
        <f t="shared" si="48"/>
        <v>0</v>
      </c>
      <c r="T175" s="151">
        <f t="shared" si="43"/>
        <v>2978</v>
      </c>
      <c r="U175" s="151">
        <f t="shared" si="44"/>
        <v>0</v>
      </c>
      <c r="V175" s="139">
        <f t="shared" si="45"/>
        <v>0</v>
      </c>
      <c r="W175" s="152">
        <f t="shared" si="49"/>
        <v>2978</v>
      </c>
      <c r="X175" s="127" t="str">
        <f t="shared" si="46"/>
        <v/>
      </c>
      <c r="Y175" s="207">
        <f t="shared" si="50"/>
        <v>2978</v>
      </c>
      <c r="Z175" s="139">
        <f t="shared" si="51"/>
        <v>2978</v>
      </c>
      <c r="AA175" s="139">
        <f t="shared" si="52"/>
        <v>0</v>
      </c>
      <c r="AC175" s="47">
        <f t="shared" si="53"/>
        <v>1489</v>
      </c>
      <c r="AD175" s="47">
        <f t="shared" si="54"/>
        <v>1489</v>
      </c>
      <c r="AE175" s="47">
        <f t="shared" si="55"/>
        <v>0</v>
      </c>
      <c r="AG175" s="47">
        <f t="shared" si="56"/>
        <v>1489</v>
      </c>
      <c r="AH175" s="47">
        <f t="shared" si="57"/>
        <v>1489</v>
      </c>
      <c r="AI175" s="208">
        <f t="shared" si="58"/>
        <v>0</v>
      </c>
    </row>
    <row r="176" spans="1:35">
      <c r="A176" t="s">
        <v>2094</v>
      </c>
      <c r="B176" t="s">
        <v>3170</v>
      </c>
      <c r="C176" t="s">
        <v>2227</v>
      </c>
      <c r="D176" t="s">
        <v>3345</v>
      </c>
      <c r="F176" t="s">
        <v>3346</v>
      </c>
      <c r="G176" s="126">
        <f>SUMIFS('Support - Transition'!F:F,'Support - Transition'!B:B,'Step 2'!A176,'Support - Transition'!C:C,'Step 2'!B176,'Support - Transition'!D:D,'Step 2'!C176,'Support - Transition'!E:E,"CIVIL")</f>
        <v>0</v>
      </c>
      <c r="H176" s="126">
        <f>SUMIFS('Support - Transition'!F:F,'Support - Transition'!B:B,'Step 2'!A176,'Support - Transition'!C:C,'Step 2'!B176,'Support - Transition'!D:D,'Step 2'!C176,'Support - Transition'!E:E,"FIRE")</f>
        <v>0</v>
      </c>
      <c r="I176" s="126">
        <f>IF(B176="0",SUMIFS('Support - Transition'!F:F,'Support - Transition'!J:J,'Step 2'!D176,'Support - Transition'!E:E,"STATE UNIT"),SUMIFS('Support - Transition'!F:F,'Support - Transition'!J:J,'Step 2'!D176))</f>
        <v>1.372E-3</v>
      </c>
      <c r="J176" s="126">
        <f>SUMIFS('Support - Unit Adjustments'!E:E,'Support - Unit Adjustments'!F:F,'Step 2'!D176)</f>
        <v>0</v>
      </c>
      <c r="K176" s="126">
        <f t="shared" si="40"/>
        <v>1.372E-3</v>
      </c>
      <c r="L176" s="174">
        <f>VLOOKUP(A176,'Step 1'!$A:$E,4,FALSE)</f>
        <v>148145</v>
      </c>
      <c r="M176" s="47">
        <f t="shared" si="41"/>
        <v>203</v>
      </c>
      <c r="N176" s="177">
        <f>SUMIFS('Support - Transition'!G:G,'Support - Transition'!J:J,'Step 2'!D176,'Support - Transition'!E:E,"2009 WELFARE ALLOCATION FACTOR")</f>
        <v>0</v>
      </c>
      <c r="O176" s="152">
        <f t="shared" si="47"/>
        <v>0</v>
      </c>
      <c r="P176" s="126">
        <f>IF(E176="Y",0,SUMIFS('Support - Transition'!G:G,'Support - Transition'!J:J,'Step 2'!D176,'Support - Transition'!E:E,"2009 SCHOOL ALLOCATION FACTOR"))</f>
        <v>0</v>
      </c>
      <c r="Q176" s="126">
        <f>IF(E176="Y",VLOOKUP(D176,'Support - Unit Adjustments'!F:G,2,FALSE),0)</f>
        <v>0</v>
      </c>
      <c r="R176" s="155">
        <f t="shared" si="42"/>
        <v>0</v>
      </c>
      <c r="S176" s="47">
        <f t="shared" si="48"/>
        <v>0</v>
      </c>
      <c r="T176" s="151">
        <f t="shared" si="43"/>
        <v>203</v>
      </c>
      <c r="U176" s="151">
        <f t="shared" si="44"/>
        <v>0</v>
      </c>
      <c r="V176" s="139">
        <f t="shared" si="45"/>
        <v>0</v>
      </c>
      <c r="W176" s="152">
        <f t="shared" si="49"/>
        <v>203</v>
      </c>
      <c r="X176" s="127" t="str">
        <f t="shared" si="46"/>
        <v/>
      </c>
      <c r="Y176" s="207">
        <f t="shared" si="50"/>
        <v>203</v>
      </c>
      <c r="Z176" s="139">
        <f t="shared" si="51"/>
        <v>203</v>
      </c>
      <c r="AA176" s="139">
        <f t="shared" si="52"/>
        <v>0</v>
      </c>
      <c r="AC176" s="47">
        <f t="shared" si="53"/>
        <v>102</v>
      </c>
      <c r="AD176" s="47">
        <f t="shared" si="54"/>
        <v>102</v>
      </c>
      <c r="AE176" s="47">
        <f t="shared" si="55"/>
        <v>0</v>
      </c>
      <c r="AG176" s="47">
        <f t="shared" si="56"/>
        <v>101</v>
      </c>
      <c r="AH176" s="47">
        <f t="shared" si="57"/>
        <v>101</v>
      </c>
      <c r="AI176" s="208">
        <f t="shared" si="58"/>
        <v>0</v>
      </c>
    </row>
    <row r="177" spans="1:35">
      <c r="A177" t="s">
        <v>2094</v>
      </c>
      <c r="B177" t="s">
        <v>3170</v>
      </c>
      <c r="C177" t="s">
        <v>3347</v>
      </c>
      <c r="D177" t="s">
        <v>3348</v>
      </c>
      <c r="F177" t="s">
        <v>173</v>
      </c>
      <c r="G177" s="126">
        <f>SUMIFS('Support - Transition'!F:F,'Support - Transition'!B:B,'Step 2'!A177,'Support - Transition'!C:C,'Step 2'!B177,'Support - Transition'!D:D,'Step 2'!C177,'Support - Transition'!E:E,"CIVIL")</f>
        <v>0</v>
      </c>
      <c r="H177" s="126">
        <f>SUMIFS('Support - Transition'!F:F,'Support - Transition'!B:B,'Step 2'!A177,'Support - Transition'!C:C,'Step 2'!B177,'Support - Transition'!D:D,'Step 2'!C177,'Support - Transition'!E:E,"FIRE")</f>
        <v>0</v>
      </c>
      <c r="I177" s="126">
        <f>IF(B177="0",SUMIFS('Support - Transition'!F:F,'Support - Transition'!J:J,'Step 2'!D177,'Support - Transition'!E:E,"STATE UNIT"),SUMIFS('Support - Transition'!F:F,'Support - Transition'!J:J,'Step 2'!D177))</f>
        <v>1.5705E-2</v>
      </c>
      <c r="J177" s="126">
        <f>SUMIFS('Support - Unit Adjustments'!E:E,'Support - Unit Adjustments'!F:F,'Step 2'!D177)</f>
        <v>0</v>
      </c>
      <c r="K177" s="126">
        <f t="shared" si="40"/>
        <v>1.5705E-2</v>
      </c>
      <c r="L177" s="174">
        <f>VLOOKUP(A177,'Step 1'!$A:$E,4,FALSE)</f>
        <v>148145</v>
      </c>
      <c r="M177" s="47">
        <f t="shared" si="41"/>
        <v>2327</v>
      </c>
      <c r="N177" s="177">
        <f>SUMIFS('Support - Transition'!G:G,'Support - Transition'!J:J,'Step 2'!D177,'Support - Transition'!E:E,"2009 WELFARE ALLOCATION FACTOR")</f>
        <v>0</v>
      </c>
      <c r="O177" s="152">
        <f t="shared" si="47"/>
        <v>0</v>
      </c>
      <c r="P177" s="126">
        <f>IF(E177="Y",0,SUMIFS('Support - Transition'!G:G,'Support - Transition'!J:J,'Step 2'!D177,'Support - Transition'!E:E,"2009 SCHOOL ALLOCATION FACTOR"))</f>
        <v>0</v>
      </c>
      <c r="Q177" s="126">
        <f>IF(E177="Y",VLOOKUP(D177,'Support - Unit Adjustments'!F:G,2,FALSE),0)</f>
        <v>0</v>
      </c>
      <c r="R177" s="155">
        <f t="shared" si="42"/>
        <v>0</v>
      </c>
      <c r="S177" s="47">
        <f t="shared" si="48"/>
        <v>0</v>
      </c>
      <c r="T177" s="151">
        <f t="shared" si="43"/>
        <v>2327</v>
      </c>
      <c r="U177" s="151">
        <f t="shared" si="44"/>
        <v>0</v>
      </c>
      <c r="V177" s="139">
        <f t="shared" si="45"/>
        <v>0</v>
      </c>
      <c r="W177" s="152">
        <f t="shared" si="49"/>
        <v>2327</v>
      </c>
      <c r="X177" s="127" t="str">
        <f t="shared" si="46"/>
        <v/>
      </c>
      <c r="Y177" s="207">
        <f t="shared" si="50"/>
        <v>2327</v>
      </c>
      <c r="Z177" s="139">
        <f t="shared" si="51"/>
        <v>2327</v>
      </c>
      <c r="AA177" s="139">
        <f t="shared" si="52"/>
        <v>0</v>
      </c>
      <c r="AC177" s="47">
        <f t="shared" si="53"/>
        <v>1164</v>
      </c>
      <c r="AD177" s="47">
        <f t="shared" si="54"/>
        <v>1164</v>
      </c>
      <c r="AE177" s="47">
        <f t="shared" si="55"/>
        <v>0</v>
      </c>
      <c r="AG177" s="47">
        <f t="shared" si="56"/>
        <v>1163</v>
      </c>
      <c r="AH177" s="47">
        <f t="shared" si="57"/>
        <v>1163</v>
      </c>
      <c r="AI177" s="208">
        <f t="shared" si="58"/>
        <v>0</v>
      </c>
    </row>
    <row r="178" spans="1:35">
      <c r="A178" t="s">
        <v>2094</v>
      </c>
      <c r="B178" t="s">
        <v>3286</v>
      </c>
      <c r="C178" t="s">
        <v>3349</v>
      </c>
      <c r="D178" t="s">
        <v>3350</v>
      </c>
      <c r="F178" t="s">
        <v>3351</v>
      </c>
      <c r="G178" s="126">
        <f>SUMIFS('Support - Transition'!F:F,'Support - Transition'!B:B,'Step 2'!A178,'Support - Transition'!C:C,'Step 2'!B178,'Support - Transition'!D:D,'Step 2'!C178,'Support - Transition'!E:E,"CIVIL")</f>
        <v>0</v>
      </c>
      <c r="H178" s="126">
        <f>SUMIFS('Support - Transition'!F:F,'Support - Transition'!B:B,'Step 2'!A178,'Support - Transition'!C:C,'Step 2'!B178,'Support - Transition'!D:D,'Step 2'!C178,'Support - Transition'!E:E,"FIRE")</f>
        <v>0</v>
      </c>
      <c r="I178" s="126">
        <f>IF(B178="0",SUMIFS('Support - Transition'!F:F,'Support - Transition'!J:J,'Step 2'!D178,'Support - Transition'!E:E,"STATE UNIT"),SUMIFS('Support - Transition'!F:F,'Support - Transition'!J:J,'Step 2'!D178))</f>
        <v>0</v>
      </c>
      <c r="J178" s="126">
        <f>SUMIFS('Support - Unit Adjustments'!E:E,'Support - Unit Adjustments'!F:F,'Step 2'!D178)</f>
        <v>0</v>
      </c>
      <c r="K178" s="126">
        <f t="shared" si="40"/>
        <v>0</v>
      </c>
      <c r="L178" s="174">
        <f>VLOOKUP(A178,'Step 1'!$A:$E,4,FALSE)</f>
        <v>148145</v>
      </c>
      <c r="M178" s="47">
        <f t="shared" si="41"/>
        <v>0</v>
      </c>
      <c r="N178" s="177">
        <f>SUMIFS('Support - Transition'!G:G,'Support - Transition'!J:J,'Step 2'!D178,'Support - Transition'!E:E,"2009 WELFARE ALLOCATION FACTOR")</f>
        <v>0</v>
      </c>
      <c r="O178" s="152">
        <f t="shared" si="47"/>
        <v>0</v>
      </c>
      <c r="P178" s="126">
        <f>IF(E178="Y",0,SUMIFS('Support - Transition'!G:G,'Support - Transition'!J:J,'Step 2'!D178,'Support - Transition'!E:E,"2009 SCHOOL ALLOCATION FACTOR"))</f>
        <v>0</v>
      </c>
      <c r="Q178" s="126">
        <f>IF(E178="Y",VLOOKUP(D178,'Support - Unit Adjustments'!F:G,2,FALSE),0)</f>
        <v>0</v>
      </c>
      <c r="R178" s="155">
        <f t="shared" si="42"/>
        <v>0</v>
      </c>
      <c r="S178" s="47">
        <f t="shared" si="48"/>
        <v>0</v>
      </c>
      <c r="T178" s="151">
        <f t="shared" si="43"/>
        <v>0</v>
      </c>
      <c r="U178" s="151">
        <f t="shared" si="44"/>
        <v>0</v>
      </c>
      <c r="V178" s="139">
        <f t="shared" si="45"/>
        <v>0</v>
      </c>
      <c r="W178" s="152">
        <f t="shared" si="49"/>
        <v>0</v>
      </c>
      <c r="X178" s="127" t="str">
        <f t="shared" si="46"/>
        <v/>
      </c>
      <c r="Y178" s="207">
        <f t="shared" si="50"/>
        <v>0</v>
      </c>
      <c r="Z178" s="139">
        <f t="shared" si="51"/>
        <v>0</v>
      </c>
      <c r="AA178" s="139">
        <f t="shared" si="52"/>
        <v>0</v>
      </c>
      <c r="AC178" s="47">
        <f t="shared" si="53"/>
        <v>0</v>
      </c>
      <c r="AD178" s="47">
        <f t="shared" si="54"/>
        <v>0</v>
      </c>
      <c r="AE178" s="47">
        <f t="shared" si="55"/>
        <v>0</v>
      </c>
      <c r="AG178" s="47">
        <f t="shared" si="56"/>
        <v>0</v>
      </c>
      <c r="AH178" s="47">
        <f t="shared" si="57"/>
        <v>0</v>
      </c>
      <c r="AI178" s="208">
        <f t="shared" si="58"/>
        <v>0</v>
      </c>
    </row>
    <row r="179" spans="1:35">
      <c r="A179" t="s">
        <v>2094</v>
      </c>
      <c r="B179" t="s">
        <v>3286</v>
      </c>
      <c r="C179" t="s">
        <v>3352</v>
      </c>
      <c r="D179" t="s">
        <v>3353</v>
      </c>
      <c r="F179" t="s">
        <v>3354</v>
      </c>
      <c r="G179" s="126">
        <f>SUMIFS('Support - Transition'!F:F,'Support - Transition'!B:B,'Step 2'!A179,'Support - Transition'!C:C,'Step 2'!B179,'Support - Transition'!D:D,'Step 2'!C179,'Support - Transition'!E:E,"CIVIL")</f>
        <v>0</v>
      </c>
      <c r="H179" s="126">
        <f>SUMIFS('Support - Transition'!F:F,'Support - Transition'!B:B,'Step 2'!A179,'Support - Transition'!C:C,'Step 2'!B179,'Support - Transition'!D:D,'Step 2'!C179,'Support - Transition'!E:E,"FIRE")</f>
        <v>0</v>
      </c>
      <c r="I179" s="126">
        <f>IF(B179="0",SUMIFS('Support - Transition'!F:F,'Support - Transition'!J:J,'Step 2'!D179,'Support - Transition'!E:E,"STATE UNIT"),SUMIFS('Support - Transition'!F:F,'Support - Transition'!J:J,'Step 2'!D179))</f>
        <v>0</v>
      </c>
      <c r="J179" s="126">
        <f>SUMIFS('Support - Unit Adjustments'!E:E,'Support - Unit Adjustments'!F:F,'Step 2'!D179)</f>
        <v>0</v>
      </c>
      <c r="K179" s="126">
        <f t="shared" si="40"/>
        <v>0</v>
      </c>
      <c r="L179" s="174">
        <f>VLOOKUP(A179,'Step 1'!$A:$E,4,FALSE)</f>
        <v>148145</v>
      </c>
      <c r="M179" s="47">
        <f t="shared" si="41"/>
        <v>0</v>
      </c>
      <c r="N179" s="177">
        <f>SUMIFS('Support - Transition'!G:G,'Support - Transition'!J:J,'Step 2'!D179,'Support - Transition'!E:E,"2009 WELFARE ALLOCATION FACTOR")</f>
        <v>0</v>
      </c>
      <c r="O179" s="152">
        <f t="shared" si="47"/>
        <v>0</v>
      </c>
      <c r="P179" s="126">
        <f>IF(E179="Y",0,SUMIFS('Support - Transition'!G:G,'Support - Transition'!J:J,'Step 2'!D179,'Support - Transition'!E:E,"2009 SCHOOL ALLOCATION FACTOR"))</f>
        <v>0</v>
      </c>
      <c r="Q179" s="126">
        <f>IF(E179="Y",VLOOKUP(D179,'Support - Unit Adjustments'!F:G,2,FALSE),0)</f>
        <v>0</v>
      </c>
      <c r="R179" s="155">
        <f t="shared" si="42"/>
        <v>0</v>
      </c>
      <c r="S179" s="47">
        <f t="shared" si="48"/>
        <v>0</v>
      </c>
      <c r="T179" s="151">
        <f t="shared" si="43"/>
        <v>0</v>
      </c>
      <c r="U179" s="151">
        <f t="shared" si="44"/>
        <v>0</v>
      </c>
      <c r="V179" s="139">
        <f t="shared" si="45"/>
        <v>0</v>
      </c>
      <c r="W179" s="152">
        <f t="shared" si="49"/>
        <v>0</v>
      </c>
      <c r="X179" s="127" t="str">
        <f t="shared" si="46"/>
        <v/>
      </c>
      <c r="Y179" s="207">
        <f t="shared" si="50"/>
        <v>0</v>
      </c>
      <c r="Z179" s="139">
        <f t="shared" si="51"/>
        <v>0</v>
      </c>
      <c r="AA179" s="139">
        <f t="shared" si="52"/>
        <v>0</v>
      </c>
      <c r="AC179" s="47">
        <f t="shared" si="53"/>
        <v>0</v>
      </c>
      <c r="AD179" s="47">
        <f t="shared" si="54"/>
        <v>0</v>
      </c>
      <c r="AE179" s="47">
        <f t="shared" si="55"/>
        <v>0</v>
      </c>
      <c r="AG179" s="47">
        <f t="shared" si="56"/>
        <v>0</v>
      </c>
      <c r="AH179" s="47">
        <f t="shared" si="57"/>
        <v>0</v>
      </c>
      <c r="AI179" s="208">
        <f t="shared" si="58"/>
        <v>0</v>
      </c>
    </row>
    <row r="180" spans="1:35">
      <c r="A180" t="s">
        <v>2096</v>
      </c>
      <c r="B180" s="48" t="s">
        <v>6274</v>
      </c>
      <c r="C180" t="s">
        <v>2187</v>
      </c>
      <c r="D180" t="str">
        <f>A180&amp;B180&amp;C180</f>
        <v>0800000</v>
      </c>
      <c r="F180" t="s">
        <v>6282</v>
      </c>
      <c r="G180" s="126">
        <f>SUMIFS('Support - Transition'!F:F,'Support - Transition'!B:B,'Step 2'!A180,'Support - Transition'!C:C,'Step 2'!B180,'Support - Transition'!D:D,'Step 2'!C180,'Support - Transition'!E:E,"CIVIL")</f>
        <v>0</v>
      </c>
      <c r="H180" s="126">
        <f>SUMIFS('Support - Transition'!F:F,'Support - Transition'!B:B,'Step 2'!A180,'Support - Transition'!C:C,'Step 2'!B180,'Support - Transition'!D:D,'Step 2'!C180,'Support - Transition'!E:E,"FIRE")</f>
        <v>0</v>
      </c>
      <c r="I180" s="126">
        <f>IF(B180="0",SUMIFS('Support - Transition'!F:F,'Support - Transition'!J:J,'Step 2'!D180,'Support - Transition'!E:E,"STATE UNIT"),SUMIFS('Support - Transition'!F:F,'Support - Transition'!J:J,'Step 2'!D180))</f>
        <v>1.281E-3</v>
      </c>
      <c r="J180" s="126">
        <f>SUMIFS('Support - Unit Adjustments'!E:E,'Support - Unit Adjustments'!F:F,'Step 2'!D180)</f>
        <v>0</v>
      </c>
      <c r="K180" s="126">
        <f t="shared" si="40"/>
        <v>1.281E-3</v>
      </c>
      <c r="L180" s="174">
        <f>VLOOKUP(A180,'Step 1'!$A:$E,4,FALSE)</f>
        <v>234042</v>
      </c>
      <c r="M180" s="47">
        <f t="shared" si="41"/>
        <v>300</v>
      </c>
      <c r="N180" s="177">
        <f>SUMIFS('Support - Transition'!G:G,'Support - Transition'!J:J,'Step 2'!D180,'Support - Transition'!E:E,"2009 WELFARE ALLOCATION FACTOR")</f>
        <v>0</v>
      </c>
      <c r="O180" s="152">
        <f t="shared" si="47"/>
        <v>0</v>
      </c>
      <c r="P180" s="126">
        <f>IF(E180="Y",0,SUMIFS('Support - Transition'!G:G,'Support - Transition'!J:J,'Step 2'!D180,'Support - Transition'!E:E,"2009 SCHOOL ALLOCATION FACTOR"))</f>
        <v>0</v>
      </c>
      <c r="Q180" s="126">
        <f>IF(E180="Y",VLOOKUP(D180,'Support - Unit Adjustments'!F:G,2,FALSE),0)</f>
        <v>0</v>
      </c>
      <c r="R180" s="155">
        <f t="shared" si="42"/>
        <v>0</v>
      </c>
      <c r="S180" s="47">
        <f t="shared" si="48"/>
        <v>0</v>
      </c>
      <c r="T180" s="151">
        <f t="shared" si="43"/>
        <v>300</v>
      </c>
      <c r="U180" s="151">
        <f t="shared" si="44"/>
        <v>234043</v>
      </c>
      <c r="V180" s="139">
        <f t="shared" si="45"/>
        <v>1</v>
      </c>
      <c r="W180" s="152">
        <f t="shared" si="49"/>
        <v>299</v>
      </c>
      <c r="X180" s="127">
        <f t="shared" si="46"/>
        <v>0</v>
      </c>
      <c r="Y180" s="207">
        <f t="shared" si="50"/>
        <v>299</v>
      </c>
      <c r="Z180" s="139">
        <f t="shared" si="51"/>
        <v>299</v>
      </c>
      <c r="AA180" s="139">
        <f t="shared" si="52"/>
        <v>0</v>
      </c>
      <c r="AC180" s="47">
        <f t="shared" si="53"/>
        <v>150</v>
      </c>
      <c r="AD180" s="47">
        <f t="shared" si="54"/>
        <v>150</v>
      </c>
      <c r="AE180" s="47">
        <f t="shared" si="55"/>
        <v>0</v>
      </c>
      <c r="AG180" s="47">
        <f t="shared" si="56"/>
        <v>149</v>
      </c>
      <c r="AH180" s="47">
        <f t="shared" si="57"/>
        <v>149</v>
      </c>
      <c r="AI180" s="208">
        <f t="shared" si="58"/>
        <v>0</v>
      </c>
    </row>
    <row r="181" spans="1:35">
      <c r="A181" t="s">
        <v>2096</v>
      </c>
      <c r="B181" t="s">
        <v>3140</v>
      </c>
      <c r="C181" t="s">
        <v>2187</v>
      </c>
      <c r="D181" t="s">
        <v>3355</v>
      </c>
      <c r="F181" t="s">
        <v>176</v>
      </c>
      <c r="G181" s="126">
        <f>SUMIFS('Support - Transition'!F:F,'Support - Transition'!B:B,'Step 2'!A181,'Support - Transition'!C:C,'Step 2'!B181,'Support - Transition'!D:D,'Step 2'!C181,'Support - Transition'!E:E,"CIVIL")</f>
        <v>0</v>
      </c>
      <c r="H181" s="126">
        <f>SUMIFS('Support - Transition'!F:F,'Support - Transition'!B:B,'Step 2'!A181,'Support - Transition'!C:C,'Step 2'!B181,'Support - Transition'!D:D,'Step 2'!C181,'Support - Transition'!E:E,"FIRE")</f>
        <v>0</v>
      </c>
      <c r="I181" s="126">
        <f>IF(B181="0",SUMIFS('Support - Transition'!F:F,'Support - Transition'!J:J,'Step 2'!D181,'Support - Transition'!E:E,"STATE UNIT"),SUMIFS('Support - Transition'!F:F,'Support - Transition'!J:J,'Step 2'!D181))</f>
        <v>0.19517399999999999</v>
      </c>
      <c r="J181" s="126">
        <f>SUMIFS('Support - Unit Adjustments'!E:E,'Support - Unit Adjustments'!F:F,'Step 2'!D181)</f>
        <v>0</v>
      </c>
      <c r="K181" s="126">
        <f t="shared" si="40"/>
        <v>0.19517399999999999</v>
      </c>
      <c r="L181" s="174">
        <f>VLOOKUP(A181,'Step 1'!$A:$E,4,FALSE)</f>
        <v>234042</v>
      </c>
      <c r="M181" s="47">
        <f t="shared" si="41"/>
        <v>45679</v>
      </c>
      <c r="N181" s="177">
        <f>SUMIFS('Support - Transition'!G:G,'Support - Transition'!J:J,'Step 2'!D181,'Support - Transition'!E:E,"2009 WELFARE ALLOCATION FACTOR")</f>
        <v>9.8448999999999995E-2</v>
      </c>
      <c r="O181" s="152">
        <f t="shared" si="47"/>
        <v>4497</v>
      </c>
      <c r="P181" s="126">
        <f>IF(E181="Y",0,SUMIFS('Support - Transition'!G:G,'Support - Transition'!J:J,'Step 2'!D181,'Support - Transition'!E:E,"2009 SCHOOL ALLOCATION FACTOR"))</f>
        <v>0</v>
      </c>
      <c r="Q181" s="126">
        <f>IF(E181="Y",VLOOKUP(D181,'Support - Unit Adjustments'!F:G,2,FALSE),0)</f>
        <v>0</v>
      </c>
      <c r="R181" s="155">
        <f t="shared" si="42"/>
        <v>0</v>
      </c>
      <c r="S181" s="47">
        <f t="shared" si="48"/>
        <v>0</v>
      </c>
      <c r="T181" s="151">
        <f t="shared" si="43"/>
        <v>41182</v>
      </c>
      <c r="U181" s="151">
        <f t="shared" si="44"/>
        <v>0</v>
      </c>
      <c r="V181" s="139">
        <f t="shared" si="45"/>
        <v>0</v>
      </c>
      <c r="W181" s="152">
        <f t="shared" si="49"/>
        <v>41182</v>
      </c>
      <c r="X181" s="127" t="str">
        <f t="shared" si="46"/>
        <v/>
      </c>
      <c r="Y181" s="207">
        <f t="shared" si="50"/>
        <v>41182</v>
      </c>
      <c r="Z181" s="139">
        <f t="shared" si="51"/>
        <v>41182</v>
      </c>
      <c r="AA181" s="139">
        <f t="shared" si="52"/>
        <v>0</v>
      </c>
      <c r="AC181" s="47">
        <f t="shared" si="53"/>
        <v>20591</v>
      </c>
      <c r="AD181" s="47">
        <f t="shared" si="54"/>
        <v>20591</v>
      </c>
      <c r="AE181" s="47">
        <f t="shared" si="55"/>
        <v>0</v>
      </c>
      <c r="AG181" s="47">
        <f t="shared" si="56"/>
        <v>20591</v>
      </c>
      <c r="AH181" s="47">
        <f t="shared" si="57"/>
        <v>20591</v>
      </c>
      <c r="AI181" s="208">
        <f t="shared" si="58"/>
        <v>0</v>
      </c>
    </row>
    <row r="182" spans="1:35">
      <c r="A182" t="s">
        <v>2096</v>
      </c>
      <c r="B182" t="s">
        <v>3142</v>
      </c>
      <c r="C182" t="s">
        <v>2188</v>
      </c>
      <c r="D182" t="s">
        <v>3356</v>
      </c>
      <c r="F182" t="s">
        <v>46</v>
      </c>
      <c r="G182" s="126">
        <f>SUMIFS('Support - Transition'!F:F,'Support - Transition'!B:B,'Step 2'!A182,'Support - Transition'!C:C,'Step 2'!B182,'Support - Transition'!D:D,'Step 2'!C182,'Support - Transition'!E:E,"CIVIL")</f>
        <v>2.4499999999999999E-4</v>
      </c>
      <c r="H182" s="126">
        <f>SUMIFS('Support - Transition'!F:F,'Support - Transition'!B:B,'Step 2'!A182,'Support - Transition'!C:C,'Step 2'!B182,'Support - Transition'!D:D,'Step 2'!C182,'Support - Transition'!E:E,"FIRE")</f>
        <v>1.75E-4</v>
      </c>
      <c r="I182" s="126">
        <f>IF(B182="0",SUMIFS('Support - Transition'!F:F,'Support - Transition'!J:J,'Step 2'!D182,'Support - Transition'!E:E,"STATE UNIT"),SUMIFS('Support - Transition'!F:F,'Support - Transition'!J:J,'Step 2'!D182))</f>
        <v>4.2000000000000002E-4</v>
      </c>
      <c r="J182" s="126">
        <f>SUMIFS('Support - Unit Adjustments'!E:E,'Support - Unit Adjustments'!F:F,'Step 2'!D182)</f>
        <v>0</v>
      </c>
      <c r="K182" s="126">
        <f t="shared" si="40"/>
        <v>4.2000000000000002E-4</v>
      </c>
      <c r="L182" s="174">
        <f>VLOOKUP(A182,'Step 1'!$A:$E,4,FALSE)</f>
        <v>234042</v>
      </c>
      <c r="M182" s="47">
        <f t="shared" si="41"/>
        <v>98</v>
      </c>
      <c r="N182" s="177">
        <f>SUMIFS('Support - Transition'!G:G,'Support - Transition'!J:J,'Step 2'!D182,'Support - Transition'!E:E,"2009 WELFARE ALLOCATION FACTOR")</f>
        <v>0</v>
      </c>
      <c r="O182" s="152">
        <f t="shared" si="47"/>
        <v>0</v>
      </c>
      <c r="P182" s="126">
        <f>IF(E182="Y",0,SUMIFS('Support - Transition'!G:G,'Support - Transition'!J:J,'Step 2'!D182,'Support - Transition'!E:E,"2009 SCHOOL ALLOCATION FACTOR"))</f>
        <v>0</v>
      </c>
      <c r="Q182" s="126">
        <f>IF(E182="Y",VLOOKUP(D182,'Support - Unit Adjustments'!F:G,2,FALSE),0)</f>
        <v>0</v>
      </c>
      <c r="R182" s="155">
        <f t="shared" si="42"/>
        <v>0</v>
      </c>
      <c r="S182" s="47">
        <f t="shared" si="48"/>
        <v>0</v>
      </c>
      <c r="T182" s="151">
        <f t="shared" si="43"/>
        <v>98</v>
      </c>
      <c r="U182" s="151">
        <f t="shared" si="44"/>
        <v>0</v>
      </c>
      <c r="V182" s="139">
        <f t="shared" si="45"/>
        <v>0</v>
      </c>
      <c r="W182" s="152">
        <f t="shared" si="49"/>
        <v>98</v>
      </c>
      <c r="X182" s="127" t="str">
        <f t="shared" si="46"/>
        <v/>
      </c>
      <c r="Y182" s="207">
        <f t="shared" si="50"/>
        <v>98</v>
      </c>
      <c r="Z182" s="139">
        <f t="shared" si="51"/>
        <v>57</v>
      </c>
      <c r="AA182" s="139">
        <f t="shared" si="52"/>
        <v>41</v>
      </c>
      <c r="AC182" s="47">
        <f t="shared" si="53"/>
        <v>49</v>
      </c>
      <c r="AD182" s="47">
        <f t="shared" si="54"/>
        <v>29</v>
      </c>
      <c r="AE182" s="47">
        <f t="shared" si="55"/>
        <v>21</v>
      </c>
      <c r="AG182" s="47">
        <f t="shared" si="56"/>
        <v>49</v>
      </c>
      <c r="AH182" s="47">
        <f t="shared" si="57"/>
        <v>28</v>
      </c>
      <c r="AI182" s="208">
        <f t="shared" si="58"/>
        <v>20</v>
      </c>
    </row>
    <row r="183" spans="1:35">
      <c r="A183" t="s">
        <v>2096</v>
      </c>
      <c r="B183" t="s">
        <v>3142</v>
      </c>
      <c r="C183" t="s">
        <v>2189</v>
      </c>
      <c r="D183" t="s">
        <v>3357</v>
      </c>
      <c r="F183" t="s">
        <v>177</v>
      </c>
      <c r="G183" s="126">
        <f>SUMIFS('Support - Transition'!F:F,'Support - Transition'!B:B,'Step 2'!A183,'Support - Transition'!C:C,'Step 2'!B183,'Support - Transition'!D:D,'Step 2'!C183,'Support - Transition'!E:E,"CIVIL")</f>
        <v>4.3540000000000002E-3</v>
      </c>
      <c r="H183" s="126">
        <f>SUMIFS('Support - Transition'!F:F,'Support - Transition'!B:B,'Step 2'!A183,'Support - Transition'!C:C,'Step 2'!B183,'Support - Transition'!D:D,'Step 2'!C183,'Support - Transition'!E:E,"FIRE")</f>
        <v>1.281E-3</v>
      </c>
      <c r="I183" s="126">
        <f>IF(B183="0",SUMIFS('Support - Transition'!F:F,'Support - Transition'!J:J,'Step 2'!D183,'Support - Transition'!E:E,"STATE UNIT"),SUMIFS('Support - Transition'!F:F,'Support - Transition'!J:J,'Step 2'!D183))</f>
        <v>5.6350000000000003E-3</v>
      </c>
      <c r="J183" s="126">
        <f>SUMIFS('Support - Unit Adjustments'!E:E,'Support - Unit Adjustments'!F:F,'Step 2'!D183)</f>
        <v>0</v>
      </c>
      <c r="K183" s="126">
        <f t="shared" si="40"/>
        <v>5.6350000000000003E-3</v>
      </c>
      <c r="L183" s="174">
        <f>VLOOKUP(A183,'Step 1'!$A:$E,4,FALSE)</f>
        <v>234042</v>
      </c>
      <c r="M183" s="47">
        <f t="shared" si="41"/>
        <v>1319</v>
      </c>
      <c r="N183" s="177">
        <f>SUMIFS('Support - Transition'!G:G,'Support - Transition'!J:J,'Step 2'!D183,'Support - Transition'!E:E,"2009 WELFARE ALLOCATION FACTOR")</f>
        <v>0</v>
      </c>
      <c r="O183" s="152">
        <f t="shared" si="47"/>
        <v>0</v>
      </c>
      <c r="P183" s="126">
        <f>IF(E183="Y",0,SUMIFS('Support - Transition'!G:G,'Support - Transition'!J:J,'Step 2'!D183,'Support - Transition'!E:E,"2009 SCHOOL ALLOCATION FACTOR"))</f>
        <v>0</v>
      </c>
      <c r="Q183" s="126">
        <f>IF(E183="Y",VLOOKUP(D183,'Support - Unit Adjustments'!F:G,2,FALSE),0)</f>
        <v>0</v>
      </c>
      <c r="R183" s="155">
        <f t="shared" si="42"/>
        <v>0</v>
      </c>
      <c r="S183" s="47">
        <f t="shared" si="48"/>
        <v>0</v>
      </c>
      <c r="T183" s="151">
        <f t="shared" si="43"/>
        <v>1319</v>
      </c>
      <c r="U183" s="151">
        <f t="shared" si="44"/>
        <v>0</v>
      </c>
      <c r="V183" s="139">
        <f t="shared" si="45"/>
        <v>0</v>
      </c>
      <c r="W183" s="152">
        <f t="shared" si="49"/>
        <v>1319</v>
      </c>
      <c r="X183" s="127" t="str">
        <f t="shared" si="46"/>
        <v/>
      </c>
      <c r="Y183" s="207">
        <f t="shared" si="50"/>
        <v>1319</v>
      </c>
      <c r="Z183" s="139">
        <f t="shared" si="51"/>
        <v>1019</v>
      </c>
      <c r="AA183" s="139">
        <f t="shared" si="52"/>
        <v>300</v>
      </c>
      <c r="AC183" s="47">
        <f t="shared" si="53"/>
        <v>660</v>
      </c>
      <c r="AD183" s="47">
        <f t="shared" si="54"/>
        <v>510</v>
      </c>
      <c r="AE183" s="47">
        <f t="shared" si="55"/>
        <v>150</v>
      </c>
      <c r="AG183" s="47">
        <f t="shared" si="56"/>
        <v>659</v>
      </c>
      <c r="AH183" s="47">
        <f t="shared" si="57"/>
        <v>509</v>
      </c>
      <c r="AI183" s="208">
        <f t="shared" si="58"/>
        <v>150</v>
      </c>
    </row>
    <row r="184" spans="1:35">
      <c r="A184" t="s">
        <v>2096</v>
      </c>
      <c r="B184" t="s">
        <v>3142</v>
      </c>
      <c r="C184" t="s">
        <v>2190</v>
      </c>
      <c r="D184" t="s">
        <v>3358</v>
      </c>
      <c r="F184" t="s">
        <v>178</v>
      </c>
      <c r="G184" s="126">
        <f>SUMIFS('Support - Transition'!F:F,'Support - Transition'!B:B,'Step 2'!A184,'Support - Transition'!C:C,'Step 2'!B184,'Support - Transition'!D:D,'Step 2'!C184,'Support - Transition'!E:E,"CIVIL")</f>
        <v>5.0199999999999995E-4</v>
      </c>
      <c r="H184" s="126">
        <f>SUMIFS('Support - Transition'!F:F,'Support - Transition'!B:B,'Step 2'!A184,'Support - Transition'!C:C,'Step 2'!B184,'Support - Transition'!D:D,'Step 2'!C184,'Support - Transition'!E:E,"FIRE")</f>
        <v>2.5700000000000001E-4</v>
      </c>
      <c r="I184" s="126">
        <f>IF(B184="0",SUMIFS('Support - Transition'!F:F,'Support - Transition'!J:J,'Step 2'!D184,'Support - Transition'!E:E,"STATE UNIT"),SUMIFS('Support - Transition'!F:F,'Support - Transition'!J:J,'Step 2'!D184))</f>
        <v>7.5899999999999991E-4</v>
      </c>
      <c r="J184" s="126">
        <f>SUMIFS('Support - Unit Adjustments'!E:E,'Support - Unit Adjustments'!F:F,'Step 2'!D184)</f>
        <v>0</v>
      </c>
      <c r="K184" s="126">
        <f t="shared" si="40"/>
        <v>7.5899999999999991E-4</v>
      </c>
      <c r="L184" s="174">
        <f>VLOOKUP(A184,'Step 1'!$A:$E,4,FALSE)</f>
        <v>234042</v>
      </c>
      <c r="M184" s="47">
        <f t="shared" si="41"/>
        <v>178</v>
      </c>
      <c r="N184" s="177">
        <f>SUMIFS('Support - Transition'!G:G,'Support - Transition'!J:J,'Step 2'!D184,'Support - Transition'!E:E,"2009 WELFARE ALLOCATION FACTOR")</f>
        <v>0</v>
      </c>
      <c r="O184" s="152">
        <f t="shared" si="47"/>
        <v>0</v>
      </c>
      <c r="P184" s="126">
        <f>IF(E184="Y",0,SUMIFS('Support - Transition'!G:G,'Support - Transition'!J:J,'Step 2'!D184,'Support - Transition'!E:E,"2009 SCHOOL ALLOCATION FACTOR"))</f>
        <v>0</v>
      </c>
      <c r="Q184" s="126">
        <f>IF(E184="Y",VLOOKUP(D184,'Support - Unit Adjustments'!F:G,2,FALSE),0)</f>
        <v>0</v>
      </c>
      <c r="R184" s="155">
        <f t="shared" si="42"/>
        <v>0</v>
      </c>
      <c r="S184" s="47">
        <f t="shared" si="48"/>
        <v>0</v>
      </c>
      <c r="T184" s="151">
        <f t="shared" si="43"/>
        <v>178</v>
      </c>
      <c r="U184" s="151">
        <f t="shared" si="44"/>
        <v>0</v>
      </c>
      <c r="V184" s="139">
        <f t="shared" si="45"/>
        <v>0</v>
      </c>
      <c r="W184" s="152">
        <f t="shared" si="49"/>
        <v>178</v>
      </c>
      <c r="X184" s="127" t="str">
        <f t="shared" si="46"/>
        <v/>
      </c>
      <c r="Y184" s="207">
        <f t="shared" si="50"/>
        <v>178</v>
      </c>
      <c r="Z184" s="139">
        <f t="shared" si="51"/>
        <v>118</v>
      </c>
      <c r="AA184" s="139">
        <f t="shared" si="52"/>
        <v>60</v>
      </c>
      <c r="AC184" s="47">
        <f t="shared" si="53"/>
        <v>89</v>
      </c>
      <c r="AD184" s="47">
        <f t="shared" si="54"/>
        <v>59</v>
      </c>
      <c r="AE184" s="47">
        <f t="shared" si="55"/>
        <v>30</v>
      </c>
      <c r="AG184" s="47">
        <f t="shared" si="56"/>
        <v>89</v>
      </c>
      <c r="AH184" s="47">
        <f t="shared" si="57"/>
        <v>59</v>
      </c>
      <c r="AI184" s="208">
        <f t="shared" si="58"/>
        <v>30</v>
      </c>
    </row>
    <row r="185" spans="1:35">
      <c r="A185" t="s">
        <v>2096</v>
      </c>
      <c r="B185" t="s">
        <v>3142</v>
      </c>
      <c r="C185" t="s">
        <v>2191</v>
      </c>
      <c r="D185" t="s">
        <v>3359</v>
      </c>
      <c r="F185" t="s">
        <v>81</v>
      </c>
      <c r="G185" s="126">
        <f>SUMIFS('Support - Transition'!F:F,'Support - Transition'!B:B,'Step 2'!A185,'Support - Transition'!C:C,'Step 2'!B185,'Support - Transition'!D:D,'Step 2'!C185,'Support - Transition'!E:E,"CIVIL")</f>
        <v>8.2899999999999998E-4</v>
      </c>
      <c r="H185" s="126">
        <f>SUMIFS('Support - Transition'!F:F,'Support - Transition'!B:B,'Step 2'!A185,'Support - Transition'!C:C,'Step 2'!B185,'Support - Transition'!D:D,'Step 2'!C185,'Support - Transition'!E:E,"FIRE")</f>
        <v>4.1300000000000001E-4</v>
      </c>
      <c r="I185" s="126">
        <f>IF(B185="0",SUMIFS('Support - Transition'!F:F,'Support - Transition'!J:J,'Step 2'!D185,'Support - Transition'!E:E,"STATE UNIT"),SUMIFS('Support - Transition'!F:F,'Support - Transition'!J:J,'Step 2'!D185))</f>
        <v>1.242E-3</v>
      </c>
      <c r="J185" s="126">
        <f>SUMIFS('Support - Unit Adjustments'!E:E,'Support - Unit Adjustments'!F:F,'Step 2'!D185)</f>
        <v>0</v>
      </c>
      <c r="K185" s="126">
        <f t="shared" si="40"/>
        <v>1.242E-3</v>
      </c>
      <c r="L185" s="174">
        <f>VLOOKUP(A185,'Step 1'!$A:$E,4,FALSE)</f>
        <v>234042</v>
      </c>
      <c r="M185" s="47">
        <f t="shared" si="41"/>
        <v>291</v>
      </c>
      <c r="N185" s="177">
        <f>SUMIFS('Support - Transition'!G:G,'Support - Transition'!J:J,'Step 2'!D185,'Support - Transition'!E:E,"2009 WELFARE ALLOCATION FACTOR")</f>
        <v>0</v>
      </c>
      <c r="O185" s="152">
        <f t="shared" si="47"/>
        <v>0</v>
      </c>
      <c r="P185" s="126">
        <f>IF(E185="Y",0,SUMIFS('Support - Transition'!G:G,'Support - Transition'!J:J,'Step 2'!D185,'Support - Transition'!E:E,"2009 SCHOOL ALLOCATION FACTOR"))</f>
        <v>0</v>
      </c>
      <c r="Q185" s="126">
        <f>IF(E185="Y",VLOOKUP(D185,'Support - Unit Adjustments'!F:G,2,FALSE),0)</f>
        <v>0</v>
      </c>
      <c r="R185" s="155">
        <f t="shared" si="42"/>
        <v>0</v>
      </c>
      <c r="S185" s="47">
        <f t="shared" si="48"/>
        <v>0</v>
      </c>
      <c r="T185" s="151">
        <f t="shared" si="43"/>
        <v>291</v>
      </c>
      <c r="U185" s="151">
        <f t="shared" si="44"/>
        <v>0</v>
      </c>
      <c r="V185" s="139">
        <f t="shared" si="45"/>
        <v>0</v>
      </c>
      <c r="W185" s="152">
        <f t="shared" si="49"/>
        <v>291</v>
      </c>
      <c r="X185" s="127" t="str">
        <f t="shared" si="46"/>
        <v/>
      </c>
      <c r="Y185" s="207">
        <f t="shared" si="50"/>
        <v>291</v>
      </c>
      <c r="Z185" s="139">
        <f t="shared" si="51"/>
        <v>194</v>
      </c>
      <c r="AA185" s="139">
        <f t="shared" si="52"/>
        <v>97</v>
      </c>
      <c r="AC185" s="47">
        <f t="shared" si="53"/>
        <v>146</v>
      </c>
      <c r="AD185" s="47">
        <f t="shared" si="54"/>
        <v>97</v>
      </c>
      <c r="AE185" s="47">
        <f t="shared" si="55"/>
        <v>49</v>
      </c>
      <c r="AG185" s="47">
        <f t="shared" si="56"/>
        <v>145</v>
      </c>
      <c r="AH185" s="47">
        <f t="shared" si="57"/>
        <v>97</v>
      </c>
      <c r="AI185" s="208">
        <f t="shared" si="58"/>
        <v>48</v>
      </c>
    </row>
    <row r="186" spans="1:35">
      <c r="A186" t="s">
        <v>2096</v>
      </c>
      <c r="B186" t="s">
        <v>3142</v>
      </c>
      <c r="C186" t="s">
        <v>2192</v>
      </c>
      <c r="D186" t="s">
        <v>3360</v>
      </c>
      <c r="F186" t="s">
        <v>179</v>
      </c>
      <c r="G186" s="126">
        <f>SUMIFS('Support - Transition'!F:F,'Support - Transition'!B:B,'Step 2'!A186,'Support - Transition'!C:C,'Step 2'!B186,'Support - Transition'!D:D,'Step 2'!C186,'Support - Transition'!E:E,"CIVIL")</f>
        <v>2.1570000000000001E-3</v>
      </c>
      <c r="H186" s="126">
        <f>SUMIFS('Support - Transition'!F:F,'Support - Transition'!B:B,'Step 2'!A186,'Support - Transition'!C:C,'Step 2'!B186,'Support - Transition'!D:D,'Step 2'!C186,'Support - Transition'!E:E,"FIRE")</f>
        <v>6.6600000000000003E-4</v>
      </c>
      <c r="I186" s="126">
        <f>IF(B186="0",SUMIFS('Support - Transition'!F:F,'Support - Transition'!J:J,'Step 2'!D186,'Support - Transition'!E:E,"STATE UNIT"),SUMIFS('Support - Transition'!F:F,'Support - Transition'!J:J,'Step 2'!D186))</f>
        <v>2.823E-3</v>
      </c>
      <c r="J186" s="126">
        <f>SUMIFS('Support - Unit Adjustments'!E:E,'Support - Unit Adjustments'!F:F,'Step 2'!D186)</f>
        <v>0</v>
      </c>
      <c r="K186" s="126">
        <f t="shared" si="40"/>
        <v>2.823E-3</v>
      </c>
      <c r="L186" s="174">
        <f>VLOOKUP(A186,'Step 1'!$A:$E,4,FALSE)</f>
        <v>234042</v>
      </c>
      <c r="M186" s="47">
        <f t="shared" si="41"/>
        <v>661</v>
      </c>
      <c r="N186" s="177">
        <f>SUMIFS('Support - Transition'!G:G,'Support - Transition'!J:J,'Step 2'!D186,'Support - Transition'!E:E,"2009 WELFARE ALLOCATION FACTOR")</f>
        <v>0</v>
      </c>
      <c r="O186" s="152">
        <f t="shared" si="47"/>
        <v>0</v>
      </c>
      <c r="P186" s="126">
        <f>IF(E186="Y",0,SUMIFS('Support - Transition'!G:G,'Support - Transition'!J:J,'Step 2'!D186,'Support - Transition'!E:E,"2009 SCHOOL ALLOCATION FACTOR"))</f>
        <v>0</v>
      </c>
      <c r="Q186" s="126">
        <f>IF(E186="Y",VLOOKUP(D186,'Support - Unit Adjustments'!F:G,2,FALSE),0)</f>
        <v>0</v>
      </c>
      <c r="R186" s="155">
        <f t="shared" si="42"/>
        <v>0</v>
      </c>
      <c r="S186" s="47">
        <f t="shared" si="48"/>
        <v>0</v>
      </c>
      <c r="T186" s="151">
        <f t="shared" si="43"/>
        <v>661</v>
      </c>
      <c r="U186" s="151">
        <f t="shared" si="44"/>
        <v>0</v>
      </c>
      <c r="V186" s="139">
        <f t="shared" si="45"/>
        <v>0</v>
      </c>
      <c r="W186" s="152">
        <f t="shared" si="49"/>
        <v>661</v>
      </c>
      <c r="X186" s="127" t="str">
        <f t="shared" si="46"/>
        <v/>
      </c>
      <c r="Y186" s="207">
        <f t="shared" si="50"/>
        <v>661</v>
      </c>
      <c r="Z186" s="139">
        <f t="shared" si="51"/>
        <v>505</v>
      </c>
      <c r="AA186" s="139">
        <f t="shared" si="52"/>
        <v>156</v>
      </c>
      <c r="AC186" s="47">
        <f t="shared" si="53"/>
        <v>331</v>
      </c>
      <c r="AD186" s="47">
        <f t="shared" si="54"/>
        <v>253</v>
      </c>
      <c r="AE186" s="47">
        <f t="shared" si="55"/>
        <v>78</v>
      </c>
      <c r="AG186" s="47">
        <f t="shared" si="56"/>
        <v>330</v>
      </c>
      <c r="AH186" s="47">
        <f t="shared" si="57"/>
        <v>252</v>
      </c>
      <c r="AI186" s="208">
        <f t="shared" si="58"/>
        <v>78</v>
      </c>
    </row>
    <row r="187" spans="1:35">
      <c r="A187" t="s">
        <v>2096</v>
      </c>
      <c r="B187" t="s">
        <v>3142</v>
      </c>
      <c r="C187" t="s">
        <v>2193</v>
      </c>
      <c r="D187" t="s">
        <v>3361</v>
      </c>
      <c r="F187" t="s">
        <v>180</v>
      </c>
      <c r="G187" s="126">
        <f>SUMIFS('Support - Transition'!F:F,'Support - Transition'!B:B,'Step 2'!A187,'Support - Transition'!C:C,'Step 2'!B187,'Support - Transition'!D:D,'Step 2'!C187,'Support - Transition'!E:E,"CIVIL")</f>
        <v>9.9700000000000006E-4</v>
      </c>
      <c r="H187" s="126">
        <f>SUMIFS('Support - Transition'!F:F,'Support - Transition'!B:B,'Step 2'!A187,'Support - Transition'!C:C,'Step 2'!B187,'Support - Transition'!D:D,'Step 2'!C187,'Support - Transition'!E:E,"FIRE")</f>
        <v>6.0400000000000004E-4</v>
      </c>
      <c r="I187" s="126">
        <f>IF(B187="0",SUMIFS('Support - Transition'!F:F,'Support - Transition'!J:J,'Step 2'!D187,'Support - Transition'!E:E,"STATE UNIT"),SUMIFS('Support - Transition'!F:F,'Support - Transition'!J:J,'Step 2'!D187))</f>
        <v>1.601E-3</v>
      </c>
      <c r="J187" s="126">
        <f>SUMIFS('Support - Unit Adjustments'!E:E,'Support - Unit Adjustments'!F:F,'Step 2'!D187)</f>
        <v>0</v>
      </c>
      <c r="K187" s="126">
        <f t="shared" si="40"/>
        <v>1.601E-3</v>
      </c>
      <c r="L187" s="174">
        <f>VLOOKUP(A187,'Step 1'!$A:$E,4,FALSE)</f>
        <v>234042</v>
      </c>
      <c r="M187" s="47">
        <f t="shared" si="41"/>
        <v>375</v>
      </c>
      <c r="N187" s="177">
        <f>SUMIFS('Support - Transition'!G:G,'Support - Transition'!J:J,'Step 2'!D187,'Support - Transition'!E:E,"2009 WELFARE ALLOCATION FACTOR")</f>
        <v>0</v>
      </c>
      <c r="O187" s="152">
        <f t="shared" si="47"/>
        <v>0</v>
      </c>
      <c r="P187" s="126">
        <f>IF(E187="Y",0,SUMIFS('Support - Transition'!G:G,'Support - Transition'!J:J,'Step 2'!D187,'Support - Transition'!E:E,"2009 SCHOOL ALLOCATION FACTOR"))</f>
        <v>0</v>
      </c>
      <c r="Q187" s="126">
        <f>IF(E187="Y",VLOOKUP(D187,'Support - Unit Adjustments'!F:G,2,FALSE),0)</f>
        <v>0</v>
      </c>
      <c r="R187" s="155">
        <f t="shared" si="42"/>
        <v>0</v>
      </c>
      <c r="S187" s="47">
        <f t="shared" si="48"/>
        <v>0</v>
      </c>
      <c r="T187" s="151">
        <f t="shared" si="43"/>
        <v>375</v>
      </c>
      <c r="U187" s="151">
        <f t="shared" si="44"/>
        <v>0</v>
      </c>
      <c r="V187" s="139">
        <f t="shared" si="45"/>
        <v>0</v>
      </c>
      <c r="W187" s="152">
        <f t="shared" si="49"/>
        <v>375</v>
      </c>
      <c r="X187" s="127" t="str">
        <f t="shared" si="46"/>
        <v/>
      </c>
      <c r="Y187" s="207">
        <f t="shared" si="50"/>
        <v>375</v>
      </c>
      <c r="Z187" s="139">
        <f t="shared" si="51"/>
        <v>234</v>
      </c>
      <c r="AA187" s="139">
        <f t="shared" si="52"/>
        <v>141</v>
      </c>
      <c r="AC187" s="47">
        <f t="shared" si="53"/>
        <v>188</v>
      </c>
      <c r="AD187" s="47">
        <f t="shared" si="54"/>
        <v>117</v>
      </c>
      <c r="AE187" s="47">
        <f t="shared" si="55"/>
        <v>71</v>
      </c>
      <c r="AG187" s="47">
        <f t="shared" si="56"/>
        <v>187</v>
      </c>
      <c r="AH187" s="47">
        <f t="shared" si="57"/>
        <v>117</v>
      </c>
      <c r="AI187" s="208">
        <f t="shared" si="58"/>
        <v>70</v>
      </c>
    </row>
    <row r="188" spans="1:35">
      <c r="A188" t="s">
        <v>2096</v>
      </c>
      <c r="B188" t="s">
        <v>3142</v>
      </c>
      <c r="C188" t="s">
        <v>2194</v>
      </c>
      <c r="D188" t="s">
        <v>3362</v>
      </c>
      <c r="F188" t="s">
        <v>49</v>
      </c>
      <c r="G188" s="126">
        <f>SUMIFS('Support - Transition'!F:F,'Support - Transition'!B:B,'Step 2'!A188,'Support - Transition'!C:C,'Step 2'!B188,'Support - Transition'!D:D,'Step 2'!C188,'Support - Transition'!E:E,"CIVIL")</f>
        <v>2.3749999999999999E-3</v>
      </c>
      <c r="H188" s="126">
        <f>SUMIFS('Support - Transition'!F:F,'Support - Transition'!B:B,'Step 2'!A188,'Support - Transition'!C:C,'Step 2'!B188,'Support - Transition'!D:D,'Step 2'!C188,'Support - Transition'!E:E,"FIRE")</f>
        <v>1.09E-3</v>
      </c>
      <c r="I188" s="126">
        <f>IF(B188="0",SUMIFS('Support - Transition'!F:F,'Support - Transition'!J:J,'Step 2'!D188,'Support - Transition'!E:E,"STATE UNIT"),SUMIFS('Support - Transition'!F:F,'Support - Transition'!J:J,'Step 2'!D188))</f>
        <v>3.4650000000000002E-3</v>
      </c>
      <c r="J188" s="126">
        <f>SUMIFS('Support - Unit Adjustments'!E:E,'Support - Unit Adjustments'!F:F,'Step 2'!D188)</f>
        <v>0</v>
      </c>
      <c r="K188" s="126">
        <f t="shared" si="40"/>
        <v>3.4650000000000002E-3</v>
      </c>
      <c r="L188" s="174">
        <f>VLOOKUP(A188,'Step 1'!$A:$E,4,FALSE)</f>
        <v>234042</v>
      </c>
      <c r="M188" s="47">
        <f t="shared" si="41"/>
        <v>811</v>
      </c>
      <c r="N188" s="177">
        <f>SUMIFS('Support - Transition'!G:G,'Support - Transition'!J:J,'Step 2'!D188,'Support - Transition'!E:E,"2009 WELFARE ALLOCATION FACTOR")</f>
        <v>0</v>
      </c>
      <c r="O188" s="152">
        <f t="shared" si="47"/>
        <v>0</v>
      </c>
      <c r="P188" s="126">
        <f>IF(E188="Y",0,SUMIFS('Support - Transition'!G:G,'Support - Transition'!J:J,'Step 2'!D188,'Support - Transition'!E:E,"2009 SCHOOL ALLOCATION FACTOR"))</f>
        <v>0</v>
      </c>
      <c r="Q188" s="126">
        <f>IF(E188="Y",VLOOKUP(D188,'Support - Unit Adjustments'!F:G,2,FALSE),0)</f>
        <v>0</v>
      </c>
      <c r="R188" s="155">
        <f t="shared" si="42"/>
        <v>0</v>
      </c>
      <c r="S188" s="47">
        <f t="shared" si="48"/>
        <v>0</v>
      </c>
      <c r="T188" s="151">
        <f t="shared" si="43"/>
        <v>811</v>
      </c>
      <c r="U188" s="151">
        <f t="shared" si="44"/>
        <v>0</v>
      </c>
      <c r="V188" s="139">
        <f t="shared" si="45"/>
        <v>0</v>
      </c>
      <c r="W188" s="152">
        <f t="shared" si="49"/>
        <v>811</v>
      </c>
      <c r="X188" s="127" t="str">
        <f t="shared" si="46"/>
        <v/>
      </c>
      <c r="Y188" s="207">
        <f t="shared" si="50"/>
        <v>811</v>
      </c>
      <c r="Z188" s="139">
        <f t="shared" si="51"/>
        <v>556</v>
      </c>
      <c r="AA188" s="139">
        <f t="shared" si="52"/>
        <v>255</v>
      </c>
      <c r="AC188" s="47">
        <f t="shared" si="53"/>
        <v>406</v>
      </c>
      <c r="AD188" s="47">
        <f t="shared" si="54"/>
        <v>278</v>
      </c>
      <c r="AE188" s="47">
        <f t="shared" si="55"/>
        <v>128</v>
      </c>
      <c r="AG188" s="47">
        <f t="shared" si="56"/>
        <v>405</v>
      </c>
      <c r="AH188" s="47">
        <f t="shared" si="57"/>
        <v>278</v>
      </c>
      <c r="AI188" s="208">
        <f t="shared" si="58"/>
        <v>127</v>
      </c>
    </row>
    <row r="189" spans="1:35">
      <c r="A189" t="s">
        <v>2096</v>
      </c>
      <c r="B189" t="s">
        <v>3142</v>
      </c>
      <c r="C189" t="s">
        <v>2195</v>
      </c>
      <c r="D189" t="s">
        <v>3363</v>
      </c>
      <c r="F189" t="s">
        <v>14</v>
      </c>
      <c r="G189" s="126">
        <f>SUMIFS('Support - Transition'!F:F,'Support - Transition'!B:B,'Step 2'!A189,'Support - Transition'!C:C,'Step 2'!B189,'Support - Transition'!D:D,'Step 2'!C189,'Support - Transition'!E:E,"CIVIL")</f>
        <v>6.6600000000000003E-4</v>
      </c>
      <c r="H189" s="126">
        <f>SUMIFS('Support - Transition'!F:F,'Support - Transition'!B:B,'Step 2'!A189,'Support - Transition'!C:C,'Step 2'!B189,'Support - Transition'!D:D,'Step 2'!C189,'Support - Transition'!E:E,"FIRE")</f>
        <v>2.0249999999999999E-3</v>
      </c>
      <c r="I189" s="126">
        <f>IF(B189="0",SUMIFS('Support - Transition'!F:F,'Support - Transition'!J:J,'Step 2'!D189,'Support - Transition'!E:E,"STATE UNIT"),SUMIFS('Support - Transition'!F:F,'Support - Transition'!J:J,'Step 2'!D189))</f>
        <v>2.6909999999999998E-3</v>
      </c>
      <c r="J189" s="126">
        <f>SUMIFS('Support - Unit Adjustments'!E:E,'Support - Unit Adjustments'!F:F,'Step 2'!D189)</f>
        <v>0</v>
      </c>
      <c r="K189" s="126">
        <f t="shared" si="40"/>
        <v>2.6909999999999998E-3</v>
      </c>
      <c r="L189" s="174">
        <f>VLOOKUP(A189,'Step 1'!$A:$E,4,FALSE)</f>
        <v>234042</v>
      </c>
      <c r="M189" s="47">
        <f t="shared" si="41"/>
        <v>630</v>
      </c>
      <c r="N189" s="177">
        <f>SUMIFS('Support - Transition'!G:G,'Support - Transition'!J:J,'Step 2'!D189,'Support - Transition'!E:E,"2009 WELFARE ALLOCATION FACTOR")</f>
        <v>0</v>
      </c>
      <c r="O189" s="152">
        <f t="shared" si="47"/>
        <v>0</v>
      </c>
      <c r="P189" s="126">
        <f>IF(E189="Y",0,SUMIFS('Support - Transition'!G:G,'Support - Transition'!J:J,'Step 2'!D189,'Support - Transition'!E:E,"2009 SCHOOL ALLOCATION FACTOR"))</f>
        <v>0</v>
      </c>
      <c r="Q189" s="126">
        <f>IF(E189="Y",VLOOKUP(D189,'Support - Unit Adjustments'!F:G,2,FALSE),0)</f>
        <v>0</v>
      </c>
      <c r="R189" s="155">
        <f t="shared" si="42"/>
        <v>0</v>
      </c>
      <c r="S189" s="47">
        <f t="shared" si="48"/>
        <v>0</v>
      </c>
      <c r="T189" s="151">
        <f t="shared" si="43"/>
        <v>630</v>
      </c>
      <c r="U189" s="151">
        <f t="shared" si="44"/>
        <v>0</v>
      </c>
      <c r="V189" s="139">
        <f t="shared" si="45"/>
        <v>0</v>
      </c>
      <c r="W189" s="152">
        <f t="shared" si="49"/>
        <v>630</v>
      </c>
      <c r="X189" s="127" t="str">
        <f t="shared" si="46"/>
        <v/>
      </c>
      <c r="Y189" s="207">
        <f t="shared" si="50"/>
        <v>630</v>
      </c>
      <c r="Z189" s="139">
        <f t="shared" si="51"/>
        <v>156</v>
      </c>
      <c r="AA189" s="139">
        <f t="shared" si="52"/>
        <v>474</v>
      </c>
      <c r="AC189" s="47">
        <f t="shared" si="53"/>
        <v>315</v>
      </c>
      <c r="AD189" s="47">
        <f t="shared" si="54"/>
        <v>78</v>
      </c>
      <c r="AE189" s="47">
        <f t="shared" si="55"/>
        <v>237</v>
      </c>
      <c r="AG189" s="47">
        <f t="shared" si="56"/>
        <v>315</v>
      </c>
      <c r="AH189" s="47">
        <f t="shared" si="57"/>
        <v>78</v>
      </c>
      <c r="AI189" s="208">
        <f t="shared" si="58"/>
        <v>237</v>
      </c>
    </row>
    <row r="190" spans="1:35">
      <c r="A190" t="s">
        <v>2096</v>
      </c>
      <c r="B190" t="s">
        <v>3142</v>
      </c>
      <c r="C190" t="s">
        <v>2196</v>
      </c>
      <c r="D190" t="s">
        <v>3364</v>
      </c>
      <c r="F190" t="s">
        <v>181</v>
      </c>
      <c r="G190" s="126">
        <f>SUMIFS('Support - Transition'!F:F,'Support - Transition'!B:B,'Step 2'!A190,'Support - Transition'!C:C,'Step 2'!B190,'Support - Transition'!D:D,'Step 2'!C190,'Support - Transition'!E:E,"CIVIL")</f>
        <v>7.3999999999999999E-4</v>
      </c>
      <c r="H190" s="126">
        <f>SUMIFS('Support - Transition'!F:F,'Support - Transition'!B:B,'Step 2'!A190,'Support - Transition'!C:C,'Step 2'!B190,'Support - Transition'!D:D,'Step 2'!C190,'Support - Transition'!E:E,"FIRE")</f>
        <v>4.4000000000000002E-4</v>
      </c>
      <c r="I190" s="126">
        <f>IF(B190="0",SUMIFS('Support - Transition'!F:F,'Support - Transition'!J:J,'Step 2'!D190,'Support - Transition'!E:E,"STATE UNIT"),SUMIFS('Support - Transition'!F:F,'Support - Transition'!J:J,'Step 2'!D190))</f>
        <v>1.1800000000000001E-3</v>
      </c>
      <c r="J190" s="126">
        <f>SUMIFS('Support - Unit Adjustments'!E:E,'Support - Unit Adjustments'!F:F,'Step 2'!D190)</f>
        <v>0</v>
      </c>
      <c r="K190" s="126">
        <f t="shared" si="40"/>
        <v>1.1800000000000001E-3</v>
      </c>
      <c r="L190" s="174">
        <f>VLOOKUP(A190,'Step 1'!$A:$E,4,FALSE)</f>
        <v>234042</v>
      </c>
      <c r="M190" s="47">
        <f t="shared" si="41"/>
        <v>276</v>
      </c>
      <c r="N190" s="177">
        <f>SUMIFS('Support - Transition'!G:G,'Support - Transition'!J:J,'Step 2'!D190,'Support - Transition'!E:E,"2009 WELFARE ALLOCATION FACTOR")</f>
        <v>0</v>
      </c>
      <c r="O190" s="152">
        <f t="shared" si="47"/>
        <v>0</v>
      </c>
      <c r="P190" s="126">
        <f>IF(E190="Y",0,SUMIFS('Support - Transition'!G:G,'Support - Transition'!J:J,'Step 2'!D190,'Support - Transition'!E:E,"2009 SCHOOL ALLOCATION FACTOR"))</f>
        <v>0</v>
      </c>
      <c r="Q190" s="126">
        <f>IF(E190="Y",VLOOKUP(D190,'Support - Unit Adjustments'!F:G,2,FALSE),0)</f>
        <v>0</v>
      </c>
      <c r="R190" s="155">
        <f t="shared" si="42"/>
        <v>0</v>
      </c>
      <c r="S190" s="47">
        <f t="shared" si="48"/>
        <v>0</v>
      </c>
      <c r="T190" s="151">
        <f t="shared" si="43"/>
        <v>276</v>
      </c>
      <c r="U190" s="151">
        <f t="shared" si="44"/>
        <v>0</v>
      </c>
      <c r="V190" s="139">
        <f t="shared" si="45"/>
        <v>0</v>
      </c>
      <c r="W190" s="152">
        <f t="shared" si="49"/>
        <v>276</v>
      </c>
      <c r="X190" s="127" t="str">
        <f t="shared" si="46"/>
        <v/>
      </c>
      <c r="Y190" s="207">
        <f t="shared" si="50"/>
        <v>276</v>
      </c>
      <c r="Z190" s="139">
        <f t="shared" si="51"/>
        <v>173</v>
      </c>
      <c r="AA190" s="139">
        <f t="shared" si="52"/>
        <v>103</v>
      </c>
      <c r="AC190" s="47">
        <f t="shared" si="53"/>
        <v>138</v>
      </c>
      <c r="AD190" s="47">
        <f t="shared" si="54"/>
        <v>87</v>
      </c>
      <c r="AE190" s="47">
        <f t="shared" si="55"/>
        <v>52</v>
      </c>
      <c r="AG190" s="47">
        <f t="shared" si="56"/>
        <v>138</v>
      </c>
      <c r="AH190" s="47">
        <f t="shared" si="57"/>
        <v>86</v>
      </c>
      <c r="AI190" s="208">
        <f t="shared" si="58"/>
        <v>51</v>
      </c>
    </row>
    <row r="191" spans="1:35">
      <c r="A191" t="s">
        <v>2096</v>
      </c>
      <c r="B191" t="s">
        <v>3142</v>
      </c>
      <c r="C191" t="s">
        <v>2197</v>
      </c>
      <c r="D191" t="s">
        <v>3365</v>
      </c>
      <c r="F191" t="s">
        <v>52</v>
      </c>
      <c r="G191" s="126">
        <f>SUMIFS('Support - Transition'!F:F,'Support - Transition'!B:B,'Step 2'!A191,'Support - Transition'!C:C,'Step 2'!B191,'Support - Transition'!D:D,'Step 2'!C191,'Support - Transition'!E:E,"CIVIL")</f>
        <v>1.702E-3</v>
      </c>
      <c r="H191" s="126">
        <f>SUMIFS('Support - Transition'!F:F,'Support - Transition'!B:B,'Step 2'!A191,'Support - Transition'!C:C,'Step 2'!B191,'Support - Transition'!D:D,'Step 2'!C191,'Support - Transition'!E:E,"FIRE")</f>
        <v>1.1950000000000001E-3</v>
      </c>
      <c r="I191" s="126">
        <f>IF(B191="0",SUMIFS('Support - Transition'!F:F,'Support - Transition'!J:J,'Step 2'!D191,'Support - Transition'!E:E,"STATE UNIT"),SUMIFS('Support - Transition'!F:F,'Support - Transition'!J:J,'Step 2'!D191))</f>
        <v>2.8970000000000003E-3</v>
      </c>
      <c r="J191" s="126">
        <f>SUMIFS('Support - Unit Adjustments'!E:E,'Support - Unit Adjustments'!F:F,'Step 2'!D191)</f>
        <v>0</v>
      </c>
      <c r="K191" s="126">
        <f t="shared" si="40"/>
        <v>2.8970000000000003E-3</v>
      </c>
      <c r="L191" s="174">
        <f>VLOOKUP(A191,'Step 1'!$A:$E,4,FALSE)</f>
        <v>234042</v>
      </c>
      <c r="M191" s="47">
        <f t="shared" si="41"/>
        <v>678</v>
      </c>
      <c r="N191" s="177">
        <f>SUMIFS('Support - Transition'!G:G,'Support - Transition'!J:J,'Step 2'!D191,'Support - Transition'!E:E,"2009 WELFARE ALLOCATION FACTOR")</f>
        <v>0</v>
      </c>
      <c r="O191" s="152">
        <f t="shared" si="47"/>
        <v>0</v>
      </c>
      <c r="P191" s="126">
        <f>IF(E191="Y",0,SUMIFS('Support - Transition'!G:G,'Support - Transition'!J:J,'Step 2'!D191,'Support - Transition'!E:E,"2009 SCHOOL ALLOCATION FACTOR"))</f>
        <v>0</v>
      </c>
      <c r="Q191" s="126">
        <f>IF(E191="Y",VLOOKUP(D191,'Support - Unit Adjustments'!F:G,2,FALSE),0)</f>
        <v>0</v>
      </c>
      <c r="R191" s="155">
        <f t="shared" si="42"/>
        <v>0</v>
      </c>
      <c r="S191" s="47">
        <f t="shared" si="48"/>
        <v>0</v>
      </c>
      <c r="T191" s="151">
        <f t="shared" si="43"/>
        <v>678</v>
      </c>
      <c r="U191" s="151">
        <f t="shared" si="44"/>
        <v>0</v>
      </c>
      <c r="V191" s="139">
        <f t="shared" si="45"/>
        <v>0</v>
      </c>
      <c r="W191" s="152">
        <f t="shared" si="49"/>
        <v>678</v>
      </c>
      <c r="X191" s="127" t="str">
        <f t="shared" si="46"/>
        <v/>
      </c>
      <c r="Y191" s="207">
        <f t="shared" si="50"/>
        <v>678</v>
      </c>
      <c r="Z191" s="139">
        <f t="shared" si="51"/>
        <v>398</v>
      </c>
      <c r="AA191" s="139">
        <f t="shared" si="52"/>
        <v>280</v>
      </c>
      <c r="AC191" s="47">
        <f t="shared" si="53"/>
        <v>339</v>
      </c>
      <c r="AD191" s="47">
        <f t="shared" si="54"/>
        <v>199</v>
      </c>
      <c r="AE191" s="47">
        <f t="shared" si="55"/>
        <v>140</v>
      </c>
      <c r="AG191" s="47">
        <f t="shared" si="56"/>
        <v>339</v>
      </c>
      <c r="AH191" s="47">
        <f t="shared" si="57"/>
        <v>199</v>
      </c>
      <c r="AI191" s="208">
        <f t="shared" si="58"/>
        <v>140</v>
      </c>
    </row>
    <row r="192" spans="1:35">
      <c r="A192" t="s">
        <v>2096</v>
      </c>
      <c r="B192" t="s">
        <v>3142</v>
      </c>
      <c r="C192" t="s">
        <v>2198</v>
      </c>
      <c r="D192" t="s">
        <v>3366</v>
      </c>
      <c r="F192" t="s">
        <v>16</v>
      </c>
      <c r="G192" s="126">
        <f>SUMIFS('Support - Transition'!F:F,'Support - Transition'!B:B,'Step 2'!A192,'Support - Transition'!C:C,'Step 2'!B192,'Support - Transition'!D:D,'Step 2'!C192,'Support - Transition'!E:E,"CIVIL")</f>
        <v>3.3530000000000001E-3</v>
      </c>
      <c r="H192" s="126">
        <f>SUMIFS('Support - Transition'!F:F,'Support - Transition'!B:B,'Step 2'!A192,'Support - Transition'!C:C,'Step 2'!B192,'Support - Transition'!D:D,'Step 2'!C192,'Support - Transition'!E:E,"FIRE")</f>
        <v>8.0999999999999996E-4</v>
      </c>
      <c r="I192" s="126">
        <f>IF(B192="0",SUMIFS('Support - Transition'!F:F,'Support - Transition'!J:J,'Step 2'!D192,'Support - Transition'!E:E,"STATE UNIT"),SUMIFS('Support - Transition'!F:F,'Support - Transition'!J:J,'Step 2'!D192))</f>
        <v>4.163E-3</v>
      </c>
      <c r="J192" s="126">
        <f>SUMIFS('Support - Unit Adjustments'!E:E,'Support - Unit Adjustments'!F:F,'Step 2'!D192)</f>
        <v>0</v>
      </c>
      <c r="K192" s="126">
        <f t="shared" si="40"/>
        <v>4.163E-3</v>
      </c>
      <c r="L192" s="174">
        <f>VLOOKUP(A192,'Step 1'!$A:$E,4,FALSE)</f>
        <v>234042</v>
      </c>
      <c r="M192" s="47">
        <f t="shared" si="41"/>
        <v>974</v>
      </c>
      <c r="N192" s="177">
        <f>SUMIFS('Support - Transition'!G:G,'Support - Transition'!J:J,'Step 2'!D192,'Support - Transition'!E:E,"2009 WELFARE ALLOCATION FACTOR")</f>
        <v>0</v>
      </c>
      <c r="O192" s="152">
        <f t="shared" si="47"/>
        <v>0</v>
      </c>
      <c r="P192" s="126">
        <f>IF(E192="Y",0,SUMIFS('Support - Transition'!G:G,'Support - Transition'!J:J,'Step 2'!D192,'Support - Transition'!E:E,"2009 SCHOOL ALLOCATION FACTOR"))</f>
        <v>0</v>
      </c>
      <c r="Q192" s="126">
        <f>IF(E192="Y",VLOOKUP(D192,'Support - Unit Adjustments'!F:G,2,FALSE),0)</f>
        <v>0</v>
      </c>
      <c r="R192" s="155">
        <f t="shared" si="42"/>
        <v>0</v>
      </c>
      <c r="S192" s="47">
        <f t="shared" si="48"/>
        <v>0</v>
      </c>
      <c r="T192" s="151">
        <f t="shared" si="43"/>
        <v>974</v>
      </c>
      <c r="U192" s="151">
        <f t="shared" si="44"/>
        <v>0</v>
      </c>
      <c r="V192" s="139">
        <f t="shared" si="45"/>
        <v>0</v>
      </c>
      <c r="W192" s="152">
        <f t="shared" si="49"/>
        <v>974</v>
      </c>
      <c r="X192" s="127" t="str">
        <f t="shared" si="46"/>
        <v/>
      </c>
      <c r="Y192" s="207">
        <f t="shared" si="50"/>
        <v>974</v>
      </c>
      <c r="Z192" s="139">
        <f t="shared" si="51"/>
        <v>784</v>
      </c>
      <c r="AA192" s="139">
        <f t="shared" si="52"/>
        <v>190</v>
      </c>
      <c r="AC192" s="47">
        <f t="shared" si="53"/>
        <v>487</v>
      </c>
      <c r="AD192" s="47">
        <f t="shared" si="54"/>
        <v>392</v>
      </c>
      <c r="AE192" s="47">
        <f t="shared" si="55"/>
        <v>95</v>
      </c>
      <c r="AG192" s="47">
        <f t="shared" si="56"/>
        <v>487</v>
      </c>
      <c r="AH192" s="47">
        <f t="shared" si="57"/>
        <v>392</v>
      </c>
      <c r="AI192" s="208">
        <f t="shared" si="58"/>
        <v>95</v>
      </c>
    </row>
    <row r="193" spans="1:35">
      <c r="A193" t="s">
        <v>2096</v>
      </c>
      <c r="B193" t="s">
        <v>3142</v>
      </c>
      <c r="C193" t="s">
        <v>2199</v>
      </c>
      <c r="D193" t="s">
        <v>3367</v>
      </c>
      <c r="F193" t="s">
        <v>182</v>
      </c>
      <c r="G193" s="126">
        <f>SUMIFS('Support - Transition'!F:F,'Support - Transition'!B:B,'Step 2'!A193,'Support - Transition'!C:C,'Step 2'!B193,'Support - Transition'!D:D,'Step 2'!C193,'Support - Transition'!E:E,"CIVIL")</f>
        <v>5.22E-4</v>
      </c>
      <c r="H193" s="126">
        <f>SUMIFS('Support - Transition'!F:F,'Support - Transition'!B:B,'Step 2'!A193,'Support - Transition'!C:C,'Step 2'!B193,'Support - Transition'!D:D,'Step 2'!C193,'Support - Transition'!E:E,"FIRE")</f>
        <v>3.2699999999999998E-4</v>
      </c>
      <c r="I193" s="126">
        <f>IF(B193="0",SUMIFS('Support - Transition'!F:F,'Support - Transition'!J:J,'Step 2'!D193,'Support - Transition'!E:E,"STATE UNIT"),SUMIFS('Support - Transition'!F:F,'Support - Transition'!J:J,'Step 2'!D193))</f>
        <v>8.4899999999999993E-4</v>
      </c>
      <c r="J193" s="126">
        <f>SUMIFS('Support - Unit Adjustments'!E:E,'Support - Unit Adjustments'!F:F,'Step 2'!D193)</f>
        <v>0</v>
      </c>
      <c r="K193" s="126">
        <f t="shared" si="40"/>
        <v>8.4899999999999993E-4</v>
      </c>
      <c r="L193" s="174">
        <f>VLOOKUP(A193,'Step 1'!$A:$E,4,FALSE)</f>
        <v>234042</v>
      </c>
      <c r="M193" s="47">
        <f t="shared" si="41"/>
        <v>199</v>
      </c>
      <c r="N193" s="177">
        <f>SUMIFS('Support - Transition'!G:G,'Support - Transition'!J:J,'Step 2'!D193,'Support - Transition'!E:E,"2009 WELFARE ALLOCATION FACTOR")</f>
        <v>0</v>
      </c>
      <c r="O193" s="152">
        <f t="shared" si="47"/>
        <v>0</v>
      </c>
      <c r="P193" s="126">
        <f>IF(E193="Y",0,SUMIFS('Support - Transition'!G:G,'Support - Transition'!J:J,'Step 2'!D193,'Support - Transition'!E:E,"2009 SCHOOL ALLOCATION FACTOR"))</f>
        <v>0</v>
      </c>
      <c r="Q193" s="126">
        <f>IF(E193="Y",VLOOKUP(D193,'Support - Unit Adjustments'!F:G,2,FALSE),0)</f>
        <v>0</v>
      </c>
      <c r="R193" s="155">
        <f t="shared" si="42"/>
        <v>0</v>
      </c>
      <c r="S193" s="47">
        <f t="shared" si="48"/>
        <v>0</v>
      </c>
      <c r="T193" s="151">
        <f t="shared" si="43"/>
        <v>199</v>
      </c>
      <c r="U193" s="151">
        <f t="shared" si="44"/>
        <v>0</v>
      </c>
      <c r="V193" s="139">
        <f t="shared" si="45"/>
        <v>0</v>
      </c>
      <c r="W193" s="152">
        <f t="shared" si="49"/>
        <v>199</v>
      </c>
      <c r="X193" s="127" t="str">
        <f t="shared" si="46"/>
        <v/>
      </c>
      <c r="Y193" s="207">
        <f t="shared" si="50"/>
        <v>199</v>
      </c>
      <c r="Z193" s="139">
        <f t="shared" si="51"/>
        <v>122</v>
      </c>
      <c r="AA193" s="139">
        <f t="shared" si="52"/>
        <v>77</v>
      </c>
      <c r="AC193" s="47">
        <f t="shared" si="53"/>
        <v>100</v>
      </c>
      <c r="AD193" s="47">
        <f t="shared" si="54"/>
        <v>61</v>
      </c>
      <c r="AE193" s="47">
        <f t="shared" si="55"/>
        <v>39</v>
      </c>
      <c r="AG193" s="47">
        <f t="shared" si="56"/>
        <v>99</v>
      </c>
      <c r="AH193" s="47">
        <f t="shared" si="57"/>
        <v>61</v>
      </c>
      <c r="AI193" s="208">
        <f t="shared" si="58"/>
        <v>38</v>
      </c>
    </row>
    <row r="194" spans="1:35">
      <c r="A194" t="s">
        <v>2096</v>
      </c>
      <c r="B194" t="s">
        <v>3142</v>
      </c>
      <c r="C194" t="s">
        <v>2208</v>
      </c>
      <c r="D194" t="s">
        <v>3368</v>
      </c>
      <c r="F194" t="s">
        <v>183</v>
      </c>
      <c r="G194" s="126">
        <f>SUMIFS('Support - Transition'!F:F,'Support - Transition'!B:B,'Step 2'!A194,'Support - Transition'!C:C,'Step 2'!B194,'Support - Transition'!D:D,'Step 2'!C194,'Support - Transition'!E:E,"CIVIL")</f>
        <v>1.0009999999999999E-3</v>
      </c>
      <c r="H194" s="126">
        <f>SUMIFS('Support - Transition'!F:F,'Support - Transition'!B:B,'Step 2'!A194,'Support - Transition'!C:C,'Step 2'!B194,'Support - Transition'!D:D,'Step 2'!C194,'Support - Transition'!E:E,"FIRE")</f>
        <v>3.2299999999999999E-4</v>
      </c>
      <c r="I194" s="126">
        <f>IF(B194="0",SUMIFS('Support - Transition'!F:F,'Support - Transition'!J:J,'Step 2'!D194,'Support - Transition'!E:E,"STATE UNIT"),SUMIFS('Support - Transition'!F:F,'Support - Transition'!J:J,'Step 2'!D194))</f>
        <v>1.3239999999999999E-3</v>
      </c>
      <c r="J194" s="126">
        <f>SUMIFS('Support - Unit Adjustments'!E:E,'Support - Unit Adjustments'!F:F,'Step 2'!D194)</f>
        <v>0</v>
      </c>
      <c r="K194" s="126">
        <f t="shared" ref="K194:K257" si="59">+I194+J194</f>
        <v>1.3239999999999999E-3</v>
      </c>
      <c r="L194" s="174">
        <f>VLOOKUP(A194,'Step 1'!$A:$E,4,FALSE)</f>
        <v>234042</v>
      </c>
      <c r="M194" s="47">
        <f t="shared" ref="M194:M257" si="60">ROUND(+K194*L194,0)</f>
        <v>310</v>
      </c>
      <c r="N194" s="177">
        <f>SUMIFS('Support - Transition'!G:G,'Support - Transition'!J:J,'Step 2'!D194,'Support - Transition'!E:E,"2009 WELFARE ALLOCATION FACTOR")</f>
        <v>0</v>
      </c>
      <c r="O194" s="152">
        <f t="shared" si="47"/>
        <v>0</v>
      </c>
      <c r="P194" s="126">
        <f>IF(E194="Y",0,SUMIFS('Support - Transition'!G:G,'Support - Transition'!J:J,'Step 2'!D194,'Support - Transition'!E:E,"2009 SCHOOL ALLOCATION FACTOR"))</f>
        <v>0</v>
      </c>
      <c r="Q194" s="126">
        <f>IF(E194="Y",VLOOKUP(D194,'Support - Unit Adjustments'!F:G,2,FALSE),0)</f>
        <v>0</v>
      </c>
      <c r="R194" s="155">
        <f t="shared" ref="R194:R242" si="61">+P194+Q194</f>
        <v>0</v>
      </c>
      <c r="S194" s="47">
        <f t="shared" si="48"/>
        <v>0</v>
      </c>
      <c r="T194" s="151">
        <f t="shared" ref="T194:T257" si="62">ROUND(+M194-O194-S194,2)</f>
        <v>310</v>
      </c>
      <c r="U194" s="151">
        <f t="shared" ref="U194:U257" si="63">IF(B194="0",SUMIFS(O:O,A:A,A194)+SUMIFS(S:S,A:A,A194)+SUMIFS(T:T,A:A,A194),0)</f>
        <v>0</v>
      </c>
      <c r="V194" s="139">
        <f t="shared" ref="V194:V257" si="64">IF(B194="0",U194-L194,0)</f>
        <v>0</v>
      </c>
      <c r="W194" s="152">
        <f t="shared" si="49"/>
        <v>310</v>
      </c>
      <c r="X194" s="127" t="str">
        <f t="shared" ref="X194:X257" si="65">IF(B194="0",SUMIFS(O:O,A:A,A194)+SUMIFS(S:S,A:A,A194)+SUMIFS(W:W,A:A,A194)-L194,"")</f>
        <v/>
      </c>
      <c r="Y194" s="207">
        <f t="shared" si="50"/>
        <v>310</v>
      </c>
      <c r="Z194" s="139">
        <f t="shared" si="51"/>
        <v>234</v>
      </c>
      <c r="AA194" s="139">
        <f t="shared" si="52"/>
        <v>76</v>
      </c>
      <c r="AC194" s="47">
        <f t="shared" si="53"/>
        <v>155</v>
      </c>
      <c r="AD194" s="47">
        <f t="shared" si="54"/>
        <v>117</v>
      </c>
      <c r="AE194" s="47">
        <f t="shared" si="55"/>
        <v>38</v>
      </c>
      <c r="AG194" s="47">
        <f t="shared" si="56"/>
        <v>155</v>
      </c>
      <c r="AH194" s="47">
        <f t="shared" si="57"/>
        <v>117</v>
      </c>
      <c r="AI194" s="208">
        <f t="shared" si="58"/>
        <v>38</v>
      </c>
    </row>
    <row r="195" spans="1:35">
      <c r="A195" t="s">
        <v>2096</v>
      </c>
      <c r="B195" t="s">
        <v>3142</v>
      </c>
      <c r="C195" t="s">
        <v>2209</v>
      </c>
      <c r="D195" t="s">
        <v>3369</v>
      </c>
      <c r="F195" t="s">
        <v>22</v>
      </c>
      <c r="G195" s="126">
        <f>SUMIFS('Support - Transition'!F:F,'Support - Transition'!B:B,'Step 2'!A195,'Support - Transition'!C:C,'Step 2'!B195,'Support - Transition'!D:D,'Step 2'!C195,'Support - Transition'!E:E,"CIVIL")</f>
        <v>1.7799999999999999E-3</v>
      </c>
      <c r="H195" s="126">
        <f>SUMIFS('Support - Transition'!F:F,'Support - Transition'!B:B,'Step 2'!A195,'Support - Transition'!C:C,'Step 2'!B195,'Support - Transition'!D:D,'Step 2'!C195,'Support - Transition'!E:E,"FIRE")</f>
        <v>4.1300000000000001E-4</v>
      </c>
      <c r="I195" s="126">
        <f>IF(B195="0",SUMIFS('Support - Transition'!F:F,'Support - Transition'!J:J,'Step 2'!D195,'Support - Transition'!E:E,"STATE UNIT"),SUMIFS('Support - Transition'!F:F,'Support - Transition'!J:J,'Step 2'!D195))</f>
        <v>2.1930000000000001E-3</v>
      </c>
      <c r="J195" s="126">
        <f>SUMIFS('Support - Unit Adjustments'!E:E,'Support - Unit Adjustments'!F:F,'Step 2'!D195)</f>
        <v>0</v>
      </c>
      <c r="K195" s="126">
        <f t="shared" si="59"/>
        <v>2.1930000000000001E-3</v>
      </c>
      <c r="L195" s="174">
        <f>VLOOKUP(A195,'Step 1'!$A:$E,4,FALSE)</f>
        <v>234042</v>
      </c>
      <c r="M195" s="47">
        <f t="shared" si="60"/>
        <v>513</v>
      </c>
      <c r="N195" s="177">
        <f>SUMIFS('Support - Transition'!G:G,'Support - Transition'!J:J,'Step 2'!D195,'Support - Transition'!E:E,"2009 WELFARE ALLOCATION FACTOR")</f>
        <v>0</v>
      </c>
      <c r="O195" s="152">
        <f t="shared" ref="O195:O258" si="66">ROUND(+N195*M195,0)</f>
        <v>0</v>
      </c>
      <c r="P195" s="126">
        <f>IF(E195="Y",0,SUMIFS('Support - Transition'!G:G,'Support - Transition'!J:J,'Step 2'!D195,'Support - Transition'!E:E,"2009 SCHOOL ALLOCATION FACTOR"))</f>
        <v>0</v>
      </c>
      <c r="Q195" s="126">
        <f>IF(E195="Y",VLOOKUP(D195,'Support - Unit Adjustments'!F:G,2,FALSE),0)</f>
        <v>0</v>
      </c>
      <c r="R195" s="155">
        <f t="shared" si="61"/>
        <v>0</v>
      </c>
      <c r="S195" s="47">
        <f t="shared" ref="S195:S258" si="67">ROUND(+P195*M195,0)</f>
        <v>0</v>
      </c>
      <c r="T195" s="151">
        <f t="shared" si="62"/>
        <v>513</v>
      </c>
      <c r="U195" s="151">
        <f t="shared" si="63"/>
        <v>0</v>
      </c>
      <c r="V195" s="139">
        <f t="shared" si="64"/>
        <v>0</v>
      </c>
      <c r="W195" s="152">
        <f t="shared" ref="W195:W258" si="68">+T195-V195</f>
        <v>513</v>
      </c>
      <c r="X195" s="127" t="str">
        <f t="shared" si="65"/>
        <v/>
      </c>
      <c r="Y195" s="207">
        <f t="shared" ref="Y195:Y258" si="69">W195</f>
        <v>513</v>
      </c>
      <c r="Z195" s="139">
        <f t="shared" ref="Z195:Z258" si="70">IFERROR(IF(B195="2",ROUND(Y195*G195/I195,0),Y195),0)</f>
        <v>416</v>
      </c>
      <c r="AA195" s="139">
        <f t="shared" ref="AA195:AA258" si="71">+Y195-Z195</f>
        <v>97</v>
      </c>
      <c r="AC195" s="47">
        <f t="shared" ref="AC195:AC258" si="72">ROUND(Y195/2,0)</f>
        <v>257</v>
      </c>
      <c r="AD195" s="47">
        <f t="shared" ref="AD195:AD258" si="73">ROUND(Z195/2,0)</f>
        <v>208</v>
      </c>
      <c r="AE195" s="47">
        <f t="shared" ref="AE195:AE258" si="74">ROUND(AA195/2,0)</f>
        <v>49</v>
      </c>
      <c r="AG195" s="47">
        <f t="shared" ref="AG195:AG258" si="75">+Y195-AC195</f>
        <v>256</v>
      </c>
      <c r="AH195" s="47">
        <f t="shared" ref="AH195:AH258" si="76">+Z195-AD195</f>
        <v>208</v>
      </c>
      <c r="AI195" s="208">
        <f t="shared" ref="AI195:AI258" si="77">+AA195-AE195</f>
        <v>48</v>
      </c>
    </row>
    <row r="196" spans="1:35">
      <c r="A196" t="s">
        <v>2096</v>
      </c>
      <c r="B196" t="s">
        <v>3155</v>
      </c>
      <c r="C196" t="s">
        <v>2270</v>
      </c>
      <c r="D196" t="s">
        <v>3370</v>
      </c>
      <c r="F196" t="s">
        <v>186</v>
      </c>
      <c r="G196" s="126">
        <f>SUMIFS('Support - Transition'!F:F,'Support - Transition'!B:B,'Step 2'!A196,'Support - Transition'!C:C,'Step 2'!B196,'Support - Transition'!D:D,'Step 2'!C196,'Support - Transition'!E:E,"CIVIL")</f>
        <v>0</v>
      </c>
      <c r="H196" s="126">
        <f>SUMIFS('Support - Transition'!F:F,'Support - Transition'!B:B,'Step 2'!A196,'Support - Transition'!C:C,'Step 2'!B196,'Support - Transition'!D:D,'Step 2'!C196,'Support - Transition'!E:E,"FIRE")</f>
        <v>0</v>
      </c>
      <c r="I196" s="126">
        <f>IF(B196="0",SUMIFS('Support - Transition'!F:F,'Support - Transition'!J:J,'Step 2'!D196,'Support - Transition'!E:E,"STATE UNIT"),SUMIFS('Support - Transition'!F:F,'Support - Transition'!J:J,'Step 2'!D196))</f>
        <v>1.6670000000000001E-2</v>
      </c>
      <c r="J196" s="126">
        <f>SUMIFS('Support - Unit Adjustments'!E:E,'Support - Unit Adjustments'!F:F,'Step 2'!D196)</f>
        <v>0</v>
      </c>
      <c r="K196" s="126">
        <f t="shared" si="59"/>
        <v>1.6670000000000001E-2</v>
      </c>
      <c r="L196" s="174">
        <f>VLOOKUP(A196,'Step 1'!$A:$E,4,FALSE)</f>
        <v>234042</v>
      </c>
      <c r="M196" s="47">
        <f t="shared" si="60"/>
        <v>3901</v>
      </c>
      <c r="N196" s="177">
        <f>SUMIFS('Support - Transition'!G:G,'Support - Transition'!J:J,'Step 2'!D196,'Support - Transition'!E:E,"2009 WELFARE ALLOCATION FACTOR")</f>
        <v>0</v>
      </c>
      <c r="O196" s="152">
        <f t="shared" si="66"/>
        <v>0</v>
      </c>
      <c r="P196" s="126">
        <f>IF(E196="Y",0,SUMIFS('Support - Transition'!G:G,'Support - Transition'!J:J,'Step 2'!D196,'Support - Transition'!E:E,"2009 SCHOOL ALLOCATION FACTOR"))</f>
        <v>0</v>
      </c>
      <c r="Q196" s="126">
        <f>IF(E196="Y",VLOOKUP(D196,'Support - Unit Adjustments'!F:G,2,FALSE),0)</f>
        <v>0</v>
      </c>
      <c r="R196" s="155">
        <f t="shared" si="61"/>
        <v>0</v>
      </c>
      <c r="S196" s="47">
        <f t="shared" si="67"/>
        <v>0</v>
      </c>
      <c r="T196" s="151">
        <f t="shared" si="62"/>
        <v>3901</v>
      </c>
      <c r="U196" s="151">
        <f t="shared" si="63"/>
        <v>0</v>
      </c>
      <c r="V196" s="139">
        <f t="shared" si="64"/>
        <v>0</v>
      </c>
      <c r="W196" s="152">
        <f t="shared" si="68"/>
        <v>3901</v>
      </c>
      <c r="X196" s="127" t="str">
        <f t="shared" si="65"/>
        <v/>
      </c>
      <c r="Y196" s="207">
        <f t="shared" si="69"/>
        <v>3901</v>
      </c>
      <c r="Z196" s="139">
        <f t="shared" si="70"/>
        <v>3901</v>
      </c>
      <c r="AA196" s="139">
        <f t="shared" si="71"/>
        <v>0</v>
      </c>
      <c r="AC196" s="47">
        <f t="shared" si="72"/>
        <v>1951</v>
      </c>
      <c r="AD196" s="47">
        <f t="shared" si="73"/>
        <v>1951</v>
      </c>
      <c r="AE196" s="47">
        <f t="shared" si="74"/>
        <v>0</v>
      </c>
      <c r="AG196" s="47">
        <f t="shared" si="75"/>
        <v>1950</v>
      </c>
      <c r="AH196" s="47">
        <f t="shared" si="76"/>
        <v>1950</v>
      </c>
      <c r="AI196" s="208">
        <f t="shared" si="77"/>
        <v>0</v>
      </c>
    </row>
    <row r="197" spans="1:35">
      <c r="A197" t="s">
        <v>2096</v>
      </c>
      <c r="B197" t="s">
        <v>3155</v>
      </c>
      <c r="C197" t="s">
        <v>2271</v>
      </c>
      <c r="D197" t="s">
        <v>3371</v>
      </c>
      <c r="F197" t="s">
        <v>184</v>
      </c>
      <c r="G197" s="126">
        <f>SUMIFS('Support - Transition'!F:F,'Support - Transition'!B:B,'Step 2'!A197,'Support - Transition'!C:C,'Step 2'!B197,'Support - Transition'!D:D,'Step 2'!C197,'Support - Transition'!E:E,"CIVIL")</f>
        <v>0</v>
      </c>
      <c r="H197" s="126">
        <f>SUMIFS('Support - Transition'!F:F,'Support - Transition'!B:B,'Step 2'!A197,'Support - Transition'!C:C,'Step 2'!B197,'Support - Transition'!D:D,'Step 2'!C197,'Support - Transition'!E:E,"FIRE")</f>
        <v>0</v>
      </c>
      <c r="I197" s="126">
        <f>IF(B197="0",SUMIFS('Support - Transition'!F:F,'Support - Transition'!J:J,'Step 2'!D197,'Support - Transition'!E:E,"STATE UNIT"),SUMIFS('Support - Transition'!F:F,'Support - Transition'!J:J,'Step 2'!D197))</f>
        <v>5.7320000000000001E-3</v>
      </c>
      <c r="J197" s="126">
        <f>SUMIFS('Support - Unit Adjustments'!E:E,'Support - Unit Adjustments'!F:F,'Step 2'!D197)</f>
        <v>0</v>
      </c>
      <c r="K197" s="126">
        <f t="shared" si="59"/>
        <v>5.7320000000000001E-3</v>
      </c>
      <c r="L197" s="174">
        <f>VLOOKUP(A197,'Step 1'!$A:$E,4,FALSE)</f>
        <v>234042</v>
      </c>
      <c r="M197" s="47">
        <f t="shared" si="60"/>
        <v>1342</v>
      </c>
      <c r="N197" s="177">
        <f>SUMIFS('Support - Transition'!G:G,'Support - Transition'!J:J,'Step 2'!D197,'Support - Transition'!E:E,"2009 WELFARE ALLOCATION FACTOR")</f>
        <v>0</v>
      </c>
      <c r="O197" s="152">
        <f t="shared" si="66"/>
        <v>0</v>
      </c>
      <c r="P197" s="126">
        <f>IF(E197="Y",0,SUMIFS('Support - Transition'!G:G,'Support - Transition'!J:J,'Step 2'!D197,'Support - Transition'!E:E,"2009 SCHOOL ALLOCATION FACTOR"))</f>
        <v>0</v>
      </c>
      <c r="Q197" s="126">
        <f>IF(E197="Y",VLOOKUP(D197,'Support - Unit Adjustments'!F:G,2,FALSE),0)</f>
        <v>0</v>
      </c>
      <c r="R197" s="155">
        <f t="shared" si="61"/>
        <v>0</v>
      </c>
      <c r="S197" s="47">
        <f t="shared" si="67"/>
        <v>0</v>
      </c>
      <c r="T197" s="151">
        <f t="shared" si="62"/>
        <v>1342</v>
      </c>
      <c r="U197" s="151">
        <f t="shared" si="63"/>
        <v>0</v>
      </c>
      <c r="V197" s="139">
        <f t="shared" si="64"/>
        <v>0</v>
      </c>
      <c r="W197" s="152">
        <f t="shared" si="68"/>
        <v>1342</v>
      </c>
      <c r="X197" s="127" t="str">
        <f t="shared" si="65"/>
        <v/>
      </c>
      <c r="Y197" s="207">
        <f t="shared" si="69"/>
        <v>1342</v>
      </c>
      <c r="Z197" s="139">
        <f t="shared" si="70"/>
        <v>1342</v>
      </c>
      <c r="AA197" s="139">
        <f t="shared" si="71"/>
        <v>0</v>
      </c>
      <c r="AC197" s="47">
        <f t="shared" si="72"/>
        <v>671</v>
      </c>
      <c r="AD197" s="47">
        <f t="shared" si="73"/>
        <v>671</v>
      </c>
      <c r="AE197" s="47">
        <f t="shared" si="74"/>
        <v>0</v>
      </c>
      <c r="AG197" s="47">
        <f t="shared" si="75"/>
        <v>671</v>
      </c>
      <c r="AH197" s="47">
        <f t="shared" si="76"/>
        <v>671</v>
      </c>
      <c r="AI197" s="208">
        <f t="shared" si="77"/>
        <v>0</v>
      </c>
    </row>
    <row r="198" spans="1:35">
      <c r="A198" t="s">
        <v>2096</v>
      </c>
      <c r="B198" t="s">
        <v>3155</v>
      </c>
      <c r="C198" t="s">
        <v>2272</v>
      </c>
      <c r="D198" t="s">
        <v>3372</v>
      </c>
      <c r="F198" t="s">
        <v>185</v>
      </c>
      <c r="G198" s="126">
        <f>SUMIFS('Support - Transition'!F:F,'Support - Transition'!B:B,'Step 2'!A198,'Support - Transition'!C:C,'Step 2'!B198,'Support - Transition'!D:D,'Step 2'!C198,'Support - Transition'!E:E,"CIVIL")</f>
        <v>0</v>
      </c>
      <c r="H198" s="126">
        <f>SUMIFS('Support - Transition'!F:F,'Support - Transition'!B:B,'Step 2'!A198,'Support - Transition'!C:C,'Step 2'!B198,'Support - Transition'!D:D,'Step 2'!C198,'Support - Transition'!E:E,"FIRE")</f>
        <v>0</v>
      </c>
      <c r="I198" s="126">
        <f>IF(B198="0",SUMIFS('Support - Transition'!F:F,'Support - Transition'!J:J,'Step 2'!D198,'Support - Transition'!E:E,"STATE UNIT"),SUMIFS('Support - Transition'!F:F,'Support - Transition'!J:J,'Step 2'!D198))</f>
        <v>2.068E-3</v>
      </c>
      <c r="J198" s="126">
        <f>SUMIFS('Support - Unit Adjustments'!E:E,'Support - Unit Adjustments'!F:F,'Step 2'!D198)</f>
        <v>0</v>
      </c>
      <c r="K198" s="126">
        <f t="shared" si="59"/>
        <v>2.068E-3</v>
      </c>
      <c r="L198" s="174">
        <f>VLOOKUP(A198,'Step 1'!$A:$E,4,FALSE)</f>
        <v>234042</v>
      </c>
      <c r="M198" s="47">
        <f t="shared" si="60"/>
        <v>484</v>
      </c>
      <c r="N198" s="177">
        <f>SUMIFS('Support - Transition'!G:G,'Support - Transition'!J:J,'Step 2'!D198,'Support - Transition'!E:E,"2009 WELFARE ALLOCATION FACTOR")</f>
        <v>0</v>
      </c>
      <c r="O198" s="152">
        <f t="shared" si="66"/>
        <v>0</v>
      </c>
      <c r="P198" s="126">
        <f>IF(E198="Y",0,SUMIFS('Support - Transition'!G:G,'Support - Transition'!J:J,'Step 2'!D198,'Support - Transition'!E:E,"2009 SCHOOL ALLOCATION FACTOR"))</f>
        <v>0</v>
      </c>
      <c r="Q198" s="126">
        <f>IF(E198="Y",VLOOKUP(D198,'Support - Unit Adjustments'!F:G,2,FALSE),0)</f>
        <v>0</v>
      </c>
      <c r="R198" s="155">
        <f t="shared" si="61"/>
        <v>0</v>
      </c>
      <c r="S198" s="47">
        <f t="shared" si="67"/>
        <v>0</v>
      </c>
      <c r="T198" s="151">
        <f t="shared" si="62"/>
        <v>484</v>
      </c>
      <c r="U198" s="151">
        <f t="shared" si="63"/>
        <v>0</v>
      </c>
      <c r="V198" s="139">
        <f t="shared" si="64"/>
        <v>0</v>
      </c>
      <c r="W198" s="152">
        <f t="shared" si="68"/>
        <v>484</v>
      </c>
      <c r="X198" s="127" t="str">
        <f t="shared" si="65"/>
        <v/>
      </c>
      <c r="Y198" s="207">
        <f t="shared" si="69"/>
        <v>484</v>
      </c>
      <c r="Z198" s="139">
        <f t="shared" si="70"/>
        <v>484</v>
      </c>
      <c r="AA198" s="139">
        <f t="shared" si="71"/>
        <v>0</v>
      </c>
      <c r="AC198" s="47">
        <f t="shared" si="72"/>
        <v>242</v>
      </c>
      <c r="AD198" s="47">
        <f t="shared" si="73"/>
        <v>242</v>
      </c>
      <c r="AE198" s="47">
        <f t="shared" si="74"/>
        <v>0</v>
      </c>
      <c r="AG198" s="47">
        <f t="shared" si="75"/>
        <v>242</v>
      </c>
      <c r="AH198" s="47">
        <f t="shared" si="76"/>
        <v>242</v>
      </c>
      <c r="AI198" s="208">
        <f t="shared" si="77"/>
        <v>0</v>
      </c>
    </row>
    <row r="199" spans="1:35">
      <c r="A199" t="s">
        <v>2096</v>
      </c>
      <c r="B199" t="s">
        <v>3155</v>
      </c>
      <c r="C199" t="s">
        <v>2273</v>
      </c>
      <c r="D199" t="s">
        <v>3373</v>
      </c>
      <c r="F199" t="s">
        <v>187</v>
      </c>
      <c r="G199" s="126">
        <f>SUMIFS('Support - Transition'!F:F,'Support - Transition'!B:B,'Step 2'!A199,'Support - Transition'!C:C,'Step 2'!B199,'Support - Transition'!D:D,'Step 2'!C199,'Support - Transition'!E:E,"CIVIL")</f>
        <v>0</v>
      </c>
      <c r="H199" s="126">
        <f>SUMIFS('Support - Transition'!F:F,'Support - Transition'!B:B,'Step 2'!A199,'Support - Transition'!C:C,'Step 2'!B199,'Support - Transition'!D:D,'Step 2'!C199,'Support - Transition'!E:E,"FIRE")</f>
        <v>0</v>
      </c>
      <c r="I199" s="126">
        <f>IF(B199="0",SUMIFS('Support - Transition'!F:F,'Support - Transition'!J:J,'Step 2'!D199,'Support - Transition'!E:E,"STATE UNIT"),SUMIFS('Support - Transition'!F:F,'Support - Transition'!J:J,'Step 2'!D199))</f>
        <v>2.4957E-2</v>
      </c>
      <c r="J199" s="126">
        <f>SUMIFS('Support - Unit Adjustments'!E:E,'Support - Unit Adjustments'!F:F,'Step 2'!D199)</f>
        <v>0</v>
      </c>
      <c r="K199" s="126">
        <f t="shared" si="59"/>
        <v>2.4957E-2</v>
      </c>
      <c r="L199" s="174">
        <f>VLOOKUP(A199,'Step 1'!$A:$E,4,FALSE)</f>
        <v>234042</v>
      </c>
      <c r="M199" s="47">
        <f t="shared" si="60"/>
        <v>5841</v>
      </c>
      <c r="N199" s="177">
        <f>SUMIFS('Support - Transition'!G:G,'Support - Transition'!J:J,'Step 2'!D199,'Support - Transition'!E:E,"2009 WELFARE ALLOCATION FACTOR")</f>
        <v>0</v>
      </c>
      <c r="O199" s="152">
        <f t="shared" si="66"/>
        <v>0</v>
      </c>
      <c r="P199" s="126">
        <f>IF(E199="Y",0,SUMIFS('Support - Transition'!G:G,'Support - Transition'!J:J,'Step 2'!D199,'Support - Transition'!E:E,"2009 SCHOOL ALLOCATION FACTOR"))</f>
        <v>0</v>
      </c>
      <c r="Q199" s="126">
        <f>IF(E199="Y",VLOOKUP(D199,'Support - Unit Adjustments'!F:G,2,FALSE),0)</f>
        <v>0</v>
      </c>
      <c r="R199" s="155">
        <f t="shared" si="61"/>
        <v>0</v>
      </c>
      <c r="S199" s="47">
        <f t="shared" si="67"/>
        <v>0</v>
      </c>
      <c r="T199" s="151">
        <f t="shared" si="62"/>
        <v>5841</v>
      </c>
      <c r="U199" s="151">
        <f t="shared" si="63"/>
        <v>0</v>
      </c>
      <c r="V199" s="139">
        <f t="shared" si="64"/>
        <v>0</v>
      </c>
      <c r="W199" s="152">
        <f t="shared" si="68"/>
        <v>5841</v>
      </c>
      <c r="X199" s="127" t="str">
        <f t="shared" si="65"/>
        <v/>
      </c>
      <c r="Y199" s="207">
        <f t="shared" si="69"/>
        <v>5841</v>
      </c>
      <c r="Z199" s="139">
        <f t="shared" si="70"/>
        <v>5841</v>
      </c>
      <c r="AA199" s="139">
        <f t="shared" si="71"/>
        <v>0</v>
      </c>
      <c r="AC199" s="47">
        <f t="shared" si="72"/>
        <v>2921</v>
      </c>
      <c r="AD199" s="47">
        <f t="shared" si="73"/>
        <v>2921</v>
      </c>
      <c r="AE199" s="47">
        <f t="shared" si="74"/>
        <v>0</v>
      </c>
      <c r="AG199" s="47">
        <f t="shared" si="75"/>
        <v>2920</v>
      </c>
      <c r="AH199" s="47">
        <f t="shared" si="76"/>
        <v>2920</v>
      </c>
      <c r="AI199" s="208">
        <f t="shared" si="77"/>
        <v>0</v>
      </c>
    </row>
    <row r="200" spans="1:35">
      <c r="A200" t="s">
        <v>2096</v>
      </c>
      <c r="B200" t="s">
        <v>3155</v>
      </c>
      <c r="C200" t="s">
        <v>2274</v>
      </c>
      <c r="D200" t="s">
        <v>3374</v>
      </c>
      <c r="F200" t="s">
        <v>188</v>
      </c>
      <c r="G200" s="126">
        <f>SUMIFS('Support - Transition'!F:F,'Support - Transition'!B:B,'Step 2'!A200,'Support - Transition'!C:C,'Step 2'!B200,'Support - Transition'!D:D,'Step 2'!C200,'Support - Transition'!E:E,"CIVIL")</f>
        <v>0</v>
      </c>
      <c r="H200" s="126">
        <f>SUMIFS('Support - Transition'!F:F,'Support - Transition'!B:B,'Step 2'!A200,'Support - Transition'!C:C,'Step 2'!B200,'Support - Transition'!D:D,'Step 2'!C200,'Support - Transition'!E:E,"FIRE")</f>
        <v>0</v>
      </c>
      <c r="I200" s="126">
        <f>IF(B200="0",SUMIFS('Support - Transition'!F:F,'Support - Transition'!J:J,'Step 2'!D200,'Support - Transition'!E:E,"STATE UNIT"),SUMIFS('Support - Transition'!F:F,'Support - Transition'!J:J,'Step 2'!D200))</f>
        <v>4.75E-4</v>
      </c>
      <c r="J200" s="126">
        <f>SUMIFS('Support - Unit Adjustments'!E:E,'Support - Unit Adjustments'!F:F,'Step 2'!D200)</f>
        <v>0</v>
      </c>
      <c r="K200" s="126">
        <f t="shared" si="59"/>
        <v>4.75E-4</v>
      </c>
      <c r="L200" s="174">
        <f>VLOOKUP(A200,'Step 1'!$A:$E,4,FALSE)</f>
        <v>234042</v>
      </c>
      <c r="M200" s="47">
        <f t="shared" si="60"/>
        <v>111</v>
      </c>
      <c r="N200" s="177">
        <f>SUMIFS('Support - Transition'!G:G,'Support - Transition'!J:J,'Step 2'!D200,'Support - Transition'!E:E,"2009 WELFARE ALLOCATION FACTOR")</f>
        <v>0</v>
      </c>
      <c r="O200" s="152">
        <f t="shared" si="66"/>
        <v>0</v>
      </c>
      <c r="P200" s="126">
        <f>IF(E200="Y",0,SUMIFS('Support - Transition'!G:G,'Support - Transition'!J:J,'Step 2'!D200,'Support - Transition'!E:E,"2009 SCHOOL ALLOCATION FACTOR"))</f>
        <v>0</v>
      </c>
      <c r="Q200" s="126">
        <f>IF(E200="Y",VLOOKUP(D200,'Support - Unit Adjustments'!F:G,2,FALSE),0)</f>
        <v>0</v>
      </c>
      <c r="R200" s="155">
        <f t="shared" si="61"/>
        <v>0</v>
      </c>
      <c r="S200" s="47">
        <f t="shared" si="67"/>
        <v>0</v>
      </c>
      <c r="T200" s="151">
        <f t="shared" si="62"/>
        <v>111</v>
      </c>
      <c r="U200" s="151">
        <f t="shared" si="63"/>
        <v>0</v>
      </c>
      <c r="V200" s="139">
        <f t="shared" si="64"/>
        <v>0</v>
      </c>
      <c r="W200" s="152">
        <f t="shared" si="68"/>
        <v>111</v>
      </c>
      <c r="X200" s="127" t="str">
        <f t="shared" si="65"/>
        <v/>
      </c>
      <c r="Y200" s="207">
        <f t="shared" si="69"/>
        <v>111</v>
      </c>
      <c r="Z200" s="139">
        <f t="shared" si="70"/>
        <v>111</v>
      </c>
      <c r="AA200" s="139">
        <f t="shared" si="71"/>
        <v>0</v>
      </c>
      <c r="AC200" s="47">
        <f t="shared" si="72"/>
        <v>56</v>
      </c>
      <c r="AD200" s="47">
        <f t="shared" si="73"/>
        <v>56</v>
      </c>
      <c r="AE200" s="47">
        <f t="shared" si="74"/>
        <v>0</v>
      </c>
      <c r="AG200" s="47">
        <f t="shared" si="75"/>
        <v>55</v>
      </c>
      <c r="AH200" s="47">
        <f t="shared" si="76"/>
        <v>55</v>
      </c>
      <c r="AI200" s="208">
        <f t="shared" si="77"/>
        <v>0</v>
      </c>
    </row>
    <row r="201" spans="1:35">
      <c r="A201" t="s">
        <v>2096</v>
      </c>
      <c r="B201" t="s">
        <v>3160</v>
      </c>
      <c r="C201" t="s">
        <v>2275</v>
      </c>
      <c r="D201" t="s">
        <v>3375</v>
      </c>
      <c r="F201" t="s">
        <v>189</v>
      </c>
      <c r="G201" s="126">
        <f>SUMIFS('Support - Transition'!F:F,'Support - Transition'!B:B,'Step 2'!A201,'Support - Transition'!C:C,'Step 2'!B201,'Support - Transition'!D:D,'Step 2'!C201,'Support - Transition'!E:E,"CIVIL")</f>
        <v>0</v>
      </c>
      <c r="H201" s="126">
        <f>SUMIFS('Support - Transition'!F:F,'Support - Transition'!B:B,'Step 2'!A201,'Support - Transition'!C:C,'Step 2'!B201,'Support - Transition'!D:D,'Step 2'!C201,'Support - Transition'!E:E,"FIRE")</f>
        <v>0</v>
      </c>
      <c r="I201" s="126">
        <f>IF(B201="0",SUMIFS('Support - Transition'!F:F,'Support - Transition'!J:J,'Step 2'!D201,'Support - Transition'!E:E,"STATE UNIT"),SUMIFS('Support - Transition'!F:F,'Support - Transition'!J:J,'Step 2'!D201))</f>
        <v>0.26967099999999999</v>
      </c>
      <c r="J201" s="126">
        <f>SUMIFS('Support - Unit Adjustments'!E:E,'Support - Unit Adjustments'!F:F,'Step 2'!D201)</f>
        <v>0</v>
      </c>
      <c r="K201" s="126">
        <f t="shared" si="59"/>
        <v>0.26967099999999999</v>
      </c>
      <c r="L201" s="174">
        <f>VLOOKUP(A201,'Step 1'!$A:$E,4,FALSE)</f>
        <v>234042</v>
      </c>
      <c r="M201" s="47">
        <f t="shared" si="60"/>
        <v>63114</v>
      </c>
      <c r="N201" s="177">
        <f>SUMIFS('Support - Transition'!G:G,'Support - Transition'!J:J,'Step 2'!D201,'Support - Transition'!E:E,"2009 WELFARE ALLOCATION FACTOR")</f>
        <v>0</v>
      </c>
      <c r="O201" s="152">
        <f t="shared" si="66"/>
        <v>0</v>
      </c>
      <c r="P201" s="126">
        <f>IF(E201="Y",0,SUMIFS('Support - Transition'!G:G,'Support - Transition'!J:J,'Step 2'!D201,'Support - Transition'!E:E,"2009 SCHOOL ALLOCATION FACTOR"))</f>
        <v>0.53313200000000005</v>
      </c>
      <c r="Q201" s="126">
        <f>IF(E201="Y",VLOOKUP(D201,'Support - Unit Adjustments'!F:G,2,FALSE),0)</f>
        <v>0</v>
      </c>
      <c r="R201" s="155">
        <f t="shared" si="61"/>
        <v>0.53313200000000005</v>
      </c>
      <c r="S201" s="47">
        <f t="shared" si="67"/>
        <v>33648</v>
      </c>
      <c r="T201" s="151">
        <f t="shared" si="62"/>
        <v>29466</v>
      </c>
      <c r="U201" s="151">
        <f t="shared" si="63"/>
        <v>0</v>
      </c>
      <c r="V201" s="139">
        <f t="shared" si="64"/>
        <v>0</v>
      </c>
      <c r="W201" s="152">
        <f t="shared" si="68"/>
        <v>29466</v>
      </c>
      <c r="X201" s="127" t="str">
        <f t="shared" si="65"/>
        <v/>
      </c>
      <c r="Y201" s="207">
        <f t="shared" si="69"/>
        <v>29466</v>
      </c>
      <c r="Z201" s="139">
        <f t="shared" si="70"/>
        <v>29466</v>
      </c>
      <c r="AA201" s="139">
        <f t="shared" si="71"/>
        <v>0</v>
      </c>
      <c r="AC201" s="47">
        <f t="shared" si="72"/>
        <v>14733</v>
      </c>
      <c r="AD201" s="47">
        <f t="shared" si="73"/>
        <v>14733</v>
      </c>
      <c r="AE201" s="47">
        <f t="shared" si="74"/>
        <v>0</v>
      </c>
      <c r="AG201" s="47">
        <f t="shared" si="75"/>
        <v>14733</v>
      </c>
      <c r="AH201" s="47">
        <f t="shared" si="76"/>
        <v>14733</v>
      </c>
      <c r="AI201" s="208">
        <f t="shared" si="77"/>
        <v>0</v>
      </c>
    </row>
    <row r="202" spans="1:35">
      <c r="A202" t="s">
        <v>2096</v>
      </c>
      <c r="B202" t="s">
        <v>3160</v>
      </c>
      <c r="C202" t="s">
        <v>2276</v>
      </c>
      <c r="D202" t="s">
        <v>3376</v>
      </c>
      <c r="F202" t="s">
        <v>190</v>
      </c>
      <c r="G202" s="126">
        <f>SUMIFS('Support - Transition'!F:F,'Support - Transition'!B:B,'Step 2'!A202,'Support - Transition'!C:C,'Step 2'!B202,'Support - Transition'!D:D,'Step 2'!C202,'Support - Transition'!E:E,"CIVIL")</f>
        <v>0</v>
      </c>
      <c r="H202" s="126">
        <f>SUMIFS('Support - Transition'!F:F,'Support - Transition'!B:B,'Step 2'!A202,'Support - Transition'!C:C,'Step 2'!B202,'Support - Transition'!D:D,'Step 2'!C202,'Support - Transition'!E:E,"FIRE")</f>
        <v>0</v>
      </c>
      <c r="I202" s="126">
        <f>IF(B202="0",SUMIFS('Support - Transition'!F:F,'Support - Transition'!J:J,'Step 2'!D202,'Support - Transition'!E:E,"STATE UNIT"),SUMIFS('Support - Transition'!F:F,'Support - Transition'!J:J,'Step 2'!D202))</f>
        <v>0.28865800000000003</v>
      </c>
      <c r="J202" s="126">
        <f>SUMIFS('Support - Unit Adjustments'!E:E,'Support - Unit Adjustments'!F:F,'Step 2'!D202)</f>
        <v>0</v>
      </c>
      <c r="K202" s="126">
        <f t="shared" si="59"/>
        <v>0.28865800000000003</v>
      </c>
      <c r="L202" s="174">
        <f>VLOOKUP(A202,'Step 1'!$A:$E,4,FALSE)</f>
        <v>234042</v>
      </c>
      <c r="M202" s="47">
        <f t="shared" si="60"/>
        <v>67558</v>
      </c>
      <c r="N202" s="177">
        <f>SUMIFS('Support - Transition'!G:G,'Support - Transition'!J:J,'Step 2'!D202,'Support - Transition'!E:E,"2009 WELFARE ALLOCATION FACTOR")</f>
        <v>0</v>
      </c>
      <c r="O202" s="152">
        <f t="shared" si="66"/>
        <v>0</v>
      </c>
      <c r="P202" s="126">
        <f>IF(E202="Y",0,SUMIFS('Support - Transition'!G:G,'Support - Transition'!J:J,'Step 2'!D202,'Support - Transition'!E:E,"2009 SCHOOL ALLOCATION FACTOR"))</f>
        <v>0.37595200000000001</v>
      </c>
      <c r="Q202" s="126">
        <f>IF(E202="Y",VLOOKUP(D202,'Support - Unit Adjustments'!F:G,2,FALSE),0)</f>
        <v>0</v>
      </c>
      <c r="R202" s="155">
        <f t="shared" si="61"/>
        <v>0.37595200000000001</v>
      </c>
      <c r="S202" s="47">
        <f t="shared" si="67"/>
        <v>25399</v>
      </c>
      <c r="T202" s="151">
        <f t="shared" si="62"/>
        <v>42159</v>
      </c>
      <c r="U202" s="151">
        <f t="shared" si="63"/>
        <v>0</v>
      </c>
      <c r="V202" s="139">
        <f t="shared" si="64"/>
        <v>0</v>
      </c>
      <c r="W202" s="152">
        <f t="shared" si="68"/>
        <v>42159</v>
      </c>
      <c r="X202" s="127" t="str">
        <f t="shared" si="65"/>
        <v/>
      </c>
      <c r="Y202" s="207">
        <f t="shared" si="69"/>
        <v>42159</v>
      </c>
      <c r="Z202" s="139">
        <f t="shared" si="70"/>
        <v>42159</v>
      </c>
      <c r="AA202" s="139">
        <f t="shared" si="71"/>
        <v>0</v>
      </c>
      <c r="AC202" s="47">
        <f t="shared" si="72"/>
        <v>21080</v>
      </c>
      <c r="AD202" s="47">
        <f t="shared" si="73"/>
        <v>21080</v>
      </c>
      <c r="AE202" s="47">
        <f t="shared" si="74"/>
        <v>0</v>
      </c>
      <c r="AG202" s="47">
        <f t="shared" si="75"/>
        <v>21079</v>
      </c>
      <c r="AH202" s="47">
        <f t="shared" si="76"/>
        <v>21079</v>
      </c>
      <c r="AI202" s="208">
        <f t="shared" si="77"/>
        <v>0</v>
      </c>
    </row>
    <row r="203" spans="1:35">
      <c r="A203" t="s">
        <v>2096</v>
      </c>
      <c r="B203" t="s">
        <v>3160</v>
      </c>
      <c r="C203" t="s">
        <v>2277</v>
      </c>
      <c r="D203" t="s">
        <v>3377</v>
      </c>
      <c r="F203" t="s">
        <v>3378</v>
      </c>
      <c r="G203" s="126">
        <f>SUMIFS('Support - Transition'!F:F,'Support - Transition'!B:B,'Step 2'!A203,'Support - Transition'!C:C,'Step 2'!B203,'Support - Transition'!D:D,'Step 2'!C203,'Support - Transition'!E:E,"CIVIL")</f>
        <v>0</v>
      </c>
      <c r="H203" s="126">
        <f>SUMIFS('Support - Transition'!F:F,'Support - Transition'!B:B,'Step 2'!A203,'Support - Transition'!C:C,'Step 2'!B203,'Support - Transition'!D:D,'Step 2'!C203,'Support - Transition'!E:E,"FIRE")</f>
        <v>0</v>
      </c>
      <c r="I203" s="126">
        <f>IF(B203="0",SUMIFS('Support - Transition'!F:F,'Support - Transition'!J:J,'Step 2'!D203,'Support - Transition'!E:E,"STATE UNIT"),SUMIFS('Support - Transition'!F:F,'Support - Transition'!J:J,'Step 2'!D203))</f>
        <v>3.2024999999999998E-2</v>
      </c>
      <c r="J203" s="126">
        <f>SUMIFS('Support - Unit Adjustments'!E:E,'Support - Unit Adjustments'!F:F,'Step 2'!D203)</f>
        <v>0</v>
      </c>
      <c r="K203" s="126">
        <f t="shared" si="59"/>
        <v>3.2024999999999998E-2</v>
      </c>
      <c r="L203" s="174">
        <f>VLOOKUP(A203,'Step 1'!$A:$E,4,FALSE)</f>
        <v>234042</v>
      </c>
      <c r="M203" s="47">
        <f t="shared" si="60"/>
        <v>7495</v>
      </c>
      <c r="N203" s="177">
        <f>SUMIFS('Support - Transition'!G:G,'Support - Transition'!J:J,'Step 2'!D203,'Support - Transition'!E:E,"2009 WELFARE ALLOCATION FACTOR")</f>
        <v>0</v>
      </c>
      <c r="O203" s="152">
        <f t="shared" si="66"/>
        <v>0</v>
      </c>
      <c r="P203" s="126">
        <f>IF(E203="Y",0,SUMIFS('Support - Transition'!G:G,'Support - Transition'!J:J,'Step 2'!D203,'Support - Transition'!E:E,"2009 SCHOOL ALLOCATION FACTOR"))</f>
        <v>0.43913000000000002</v>
      </c>
      <c r="Q203" s="126">
        <f>IF(E203="Y",VLOOKUP(D203,'Support - Unit Adjustments'!F:G,2,FALSE),0)</f>
        <v>0</v>
      </c>
      <c r="R203" s="155">
        <f t="shared" si="61"/>
        <v>0.43913000000000002</v>
      </c>
      <c r="S203" s="47">
        <f t="shared" si="67"/>
        <v>3291</v>
      </c>
      <c r="T203" s="151">
        <f t="shared" si="62"/>
        <v>4204</v>
      </c>
      <c r="U203" s="151">
        <f t="shared" si="63"/>
        <v>0</v>
      </c>
      <c r="V203" s="139">
        <f t="shared" si="64"/>
        <v>0</v>
      </c>
      <c r="W203" s="152">
        <f t="shared" si="68"/>
        <v>4204</v>
      </c>
      <c r="X203" s="127" t="str">
        <f t="shared" si="65"/>
        <v/>
      </c>
      <c r="Y203" s="207">
        <f t="shared" si="69"/>
        <v>4204</v>
      </c>
      <c r="Z203" s="139">
        <f t="shared" si="70"/>
        <v>4204</v>
      </c>
      <c r="AA203" s="139">
        <f t="shared" si="71"/>
        <v>0</v>
      </c>
      <c r="AC203" s="47">
        <f t="shared" si="72"/>
        <v>2102</v>
      </c>
      <c r="AD203" s="47">
        <f t="shared" si="73"/>
        <v>2102</v>
      </c>
      <c r="AE203" s="47">
        <f t="shared" si="74"/>
        <v>0</v>
      </c>
      <c r="AG203" s="47">
        <f t="shared" si="75"/>
        <v>2102</v>
      </c>
      <c r="AH203" s="47">
        <f t="shared" si="76"/>
        <v>2102</v>
      </c>
      <c r="AI203" s="208">
        <f t="shared" si="77"/>
        <v>0</v>
      </c>
    </row>
    <row r="204" spans="1:35">
      <c r="A204" t="s">
        <v>2096</v>
      </c>
      <c r="B204" t="s">
        <v>3160</v>
      </c>
      <c r="C204" t="s">
        <v>2278</v>
      </c>
      <c r="D204" t="s">
        <v>3379</v>
      </c>
      <c r="F204" t="s">
        <v>192</v>
      </c>
      <c r="G204" s="126">
        <f>SUMIFS('Support - Transition'!F:F,'Support - Transition'!B:B,'Step 2'!A204,'Support - Transition'!C:C,'Step 2'!B204,'Support - Transition'!D:D,'Step 2'!C204,'Support - Transition'!E:E,"CIVIL")</f>
        <v>0</v>
      </c>
      <c r="H204" s="126">
        <f>SUMIFS('Support - Transition'!F:F,'Support - Transition'!B:B,'Step 2'!A204,'Support - Transition'!C:C,'Step 2'!B204,'Support - Transition'!D:D,'Step 2'!C204,'Support - Transition'!E:E,"FIRE")</f>
        <v>0</v>
      </c>
      <c r="I204" s="126">
        <f>IF(B204="0",SUMIFS('Support - Transition'!F:F,'Support - Transition'!J:J,'Step 2'!D204,'Support - Transition'!E:E,"STATE UNIT"),SUMIFS('Support - Transition'!F:F,'Support - Transition'!J:J,'Step 2'!D204))</f>
        <v>0.101062</v>
      </c>
      <c r="J204" s="126">
        <f>SUMIFS('Support - Unit Adjustments'!E:E,'Support - Unit Adjustments'!F:F,'Step 2'!D204)</f>
        <v>0</v>
      </c>
      <c r="K204" s="126">
        <f t="shared" si="59"/>
        <v>0.101062</v>
      </c>
      <c r="L204" s="174">
        <f>VLOOKUP(A204,'Step 1'!$A:$E,4,FALSE)</f>
        <v>234042</v>
      </c>
      <c r="M204" s="47">
        <f t="shared" si="60"/>
        <v>23653</v>
      </c>
      <c r="N204" s="177">
        <f>SUMIFS('Support - Transition'!G:G,'Support - Transition'!J:J,'Step 2'!D204,'Support - Transition'!E:E,"2009 WELFARE ALLOCATION FACTOR")</f>
        <v>0</v>
      </c>
      <c r="O204" s="152">
        <f t="shared" si="66"/>
        <v>0</v>
      </c>
      <c r="P204" s="126">
        <f>IF(E204="Y",0,SUMIFS('Support - Transition'!G:G,'Support - Transition'!J:J,'Step 2'!D204,'Support - Transition'!E:E,"2009 SCHOOL ALLOCATION FACTOR"))</f>
        <v>0.49465300000000001</v>
      </c>
      <c r="Q204" s="126">
        <f>IF(E204="Y",VLOOKUP(D204,'Support - Unit Adjustments'!F:G,2,FALSE),0)</f>
        <v>0</v>
      </c>
      <c r="R204" s="155">
        <f t="shared" si="61"/>
        <v>0.49465300000000001</v>
      </c>
      <c r="S204" s="47">
        <f t="shared" si="67"/>
        <v>11700</v>
      </c>
      <c r="T204" s="151">
        <f t="shared" si="62"/>
        <v>11953</v>
      </c>
      <c r="U204" s="151">
        <f t="shared" si="63"/>
        <v>0</v>
      </c>
      <c r="V204" s="139">
        <f t="shared" si="64"/>
        <v>0</v>
      </c>
      <c r="W204" s="152">
        <f t="shared" si="68"/>
        <v>11953</v>
      </c>
      <c r="X204" s="127" t="str">
        <f t="shared" si="65"/>
        <v/>
      </c>
      <c r="Y204" s="207">
        <f t="shared" si="69"/>
        <v>11953</v>
      </c>
      <c r="Z204" s="139">
        <f t="shared" si="70"/>
        <v>11953</v>
      </c>
      <c r="AA204" s="139">
        <f t="shared" si="71"/>
        <v>0</v>
      </c>
      <c r="AC204" s="47">
        <f t="shared" si="72"/>
        <v>5977</v>
      </c>
      <c r="AD204" s="47">
        <f t="shared" si="73"/>
        <v>5977</v>
      </c>
      <c r="AE204" s="47">
        <f t="shared" si="74"/>
        <v>0</v>
      </c>
      <c r="AG204" s="47">
        <f t="shared" si="75"/>
        <v>5976</v>
      </c>
      <c r="AH204" s="47">
        <f t="shared" si="76"/>
        <v>5976</v>
      </c>
      <c r="AI204" s="208">
        <f t="shared" si="77"/>
        <v>0</v>
      </c>
    </row>
    <row r="205" spans="1:35">
      <c r="A205" t="s">
        <v>2096</v>
      </c>
      <c r="B205" t="s">
        <v>3166</v>
      </c>
      <c r="C205" t="s">
        <v>2212</v>
      </c>
      <c r="D205" t="s">
        <v>3380</v>
      </c>
      <c r="F205" t="s">
        <v>3381</v>
      </c>
      <c r="G205" s="126">
        <f>SUMIFS('Support - Transition'!F:F,'Support - Transition'!B:B,'Step 2'!A205,'Support - Transition'!C:C,'Step 2'!B205,'Support - Transition'!D:D,'Step 2'!C205,'Support - Transition'!E:E,"CIVIL")</f>
        <v>0</v>
      </c>
      <c r="H205" s="126">
        <f>SUMIFS('Support - Transition'!F:F,'Support - Transition'!B:B,'Step 2'!A205,'Support - Transition'!C:C,'Step 2'!B205,'Support - Transition'!D:D,'Step 2'!C205,'Support - Transition'!E:E,"FIRE")</f>
        <v>0</v>
      </c>
      <c r="I205" s="126">
        <f>IF(B205="0",SUMIFS('Support - Transition'!F:F,'Support - Transition'!J:J,'Step 2'!D205,'Support - Transition'!E:E,"STATE UNIT"),SUMIFS('Support - Transition'!F:F,'Support - Transition'!J:J,'Step 2'!D205))</f>
        <v>1.456E-3</v>
      </c>
      <c r="J205" s="126">
        <f>SUMIFS('Support - Unit Adjustments'!E:E,'Support - Unit Adjustments'!F:F,'Step 2'!D205)</f>
        <v>0</v>
      </c>
      <c r="K205" s="126">
        <f t="shared" si="59"/>
        <v>1.456E-3</v>
      </c>
      <c r="L205" s="174">
        <f>VLOOKUP(A205,'Step 1'!$A:$E,4,FALSE)</f>
        <v>234042</v>
      </c>
      <c r="M205" s="47">
        <f t="shared" si="60"/>
        <v>341</v>
      </c>
      <c r="N205" s="177">
        <f>SUMIFS('Support - Transition'!G:G,'Support - Transition'!J:J,'Step 2'!D205,'Support - Transition'!E:E,"2009 WELFARE ALLOCATION FACTOR")</f>
        <v>0</v>
      </c>
      <c r="O205" s="152">
        <f t="shared" si="66"/>
        <v>0</v>
      </c>
      <c r="P205" s="126">
        <f>IF(E205="Y",0,SUMIFS('Support - Transition'!G:G,'Support - Transition'!J:J,'Step 2'!D205,'Support - Transition'!E:E,"2009 SCHOOL ALLOCATION FACTOR"))</f>
        <v>0</v>
      </c>
      <c r="Q205" s="126">
        <f>IF(E205="Y",VLOOKUP(D205,'Support - Unit Adjustments'!F:G,2,FALSE),0)</f>
        <v>0</v>
      </c>
      <c r="R205" s="155">
        <f t="shared" si="61"/>
        <v>0</v>
      </c>
      <c r="S205" s="47">
        <f t="shared" si="67"/>
        <v>0</v>
      </c>
      <c r="T205" s="151">
        <f t="shared" si="62"/>
        <v>341</v>
      </c>
      <c r="U205" s="151">
        <f t="shared" si="63"/>
        <v>0</v>
      </c>
      <c r="V205" s="139">
        <f t="shared" si="64"/>
        <v>0</v>
      </c>
      <c r="W205" s="152">
        <f t="shared" si="68"/>
        <v>341</v>
      </c>
      <c r="X205" s="127" t="str">
        <f t="shared" si="65"/>
        <v/>
      </c>
      <c r="Y205" s="207">
        <f t="shared" si="69"/>
        <v>341</v>
      </c>
      <c r="Z205" s="139">
        <f t="shared" si="70"/>
        <v>341</v>
      </c>
      <c r="AA205" s="139">
        <f t="shared" si="71"/>
        <v>0</v>
      </c>
      <c r="AC205" s="47">
        <f t="shared" si="72"/>
        <v>171</v>
      </c>
      <c r="AD205" s="47">
        <f t="shared" si="73"/>
        <v>171</v>
      </c>
      <c r="AE205" s="47">
        <f t="shared" si="74"/>
        <v>0</v>
      </c>
      <c r="AG205" s="47">
        <f t="shared" si="75"/>
        <v>170</v>
      </c>
      <c r="AH205" s="47">
        <f t="shared" si="76"/>
        <v>170</v>
      </c>
      <c r="AI205" s="208">
        <f t="shared" si="77"/>
        <v>0</v>
      </c>
    </row>
    <row r="206" spans="1:35">
      <c r="A206" t="s">
        <v>2096</v>
      </c>
      <c r="B206" t="s">
        <v>3166</v>
      </c>
      <c r="C206" t="s">
        <v>2213</v>
      </c>
      <c r="D206" t="s">
        <v>3382</v>
      </c>
      <c r="F206" t="s">
        <v>194</v>
      </c>
      <c r="G206" s="126">
        <f>SUMIFS('Support - Transition'!F:F,'Support - Transition'!B:B,'Step 2'!A206,'Support - Transition'!C:C,'Step 2'!B206,'Support - Transition'!D:D,'Step 2'!C206,'Support - Transition'!E:E,"CIVIL")</f>
        <v>0</v>
      </c>
      <c r="H206" s="126">
        <f>SUMIFS('Support - Transition'!F:F,'Support - Transition'!B:B,'Step 2'!A206,'Support - Transition'!C:C,'Step 2'!B206,'Support - Transition'!D:D,'Step 2'!C206,'Support - Transition'!E:E,"FIRE")</f>
        <v>0</v>
      </c>
      <c r="I206" s="126">
        <f>IF(B206="0",SUMIFS('Support - Transition'!F:F,'Support - Transition'!J:J,'Step 2'!D206,'Support - Transition'!E:E,"STATE UNIT"),SUMIFS('Support - Transition'!F:F,'Support - Transition'!J:J,'Step 2'!D206))</f>
        <v>1.4938E-2</v>
      </c>
      <c r="J206" s="126">
        <f>SUMIFS('Support - Unit Adjustments'!E:E,'Support - Unit Adjustments'!F:F,'Step 2'!D206)</f>
        <v>0</v>
      </c>
      <c r="K206" s="126">
        <f t="shared" si="59"/>
        <v>1.4938E-2</v>
      </c>
      <c r="L206" s="174">
        <f>VLOOKUP(A206,'Step 1'!$A:$E,4,FALSE)</f>
        <v>234042</v>
      </c>
      <c r="M206" s="47">
        <f t="shared" si="60"/>
        <v>3496</v>
      </c>
      <c r="N206" s="177">
        <f>SUMIFS('Support - Transition'!G:G,'Support - Transition'!J:J,'Step 2'!D206,'Support - Transition'!E:E,"2009 WELFARE ALLOCATION FACTOR")</f>
        <v>0</v>
      </c>
      <c r="O206" s="152">
        <f t="shared" si="66"/>
        <v>0</v>
      </c>
      <c r="P206" s="126">
        <f>IF(E206="Y",0,SUMIFS('Support - Transition'!G:G,'Support - Transition'!J:J,'Step 2'!D206,'Support - Transition'!E:E,"2009 SCHOOL ALLOCATION FACTOR"))</f>
        <v>0</v>
      </c>
      <c r="Q206" s="126">
        <f>IF(E206="Y",VLOOKUP(D206,'Support - Unit Adjustments'!F:G,2,FALSE),0)</f>
        <v>0</v>
      </c>
      <c r="R206" s="155">
        <f t="shared" si="61"/>
        <v>0</v>
      </c>
      <c r="S206" s="47">
        <f t="shared" si="67"/>
        <v>0</v>
      </c>
      <c r="T206" s="151">
        <f t="shared" si="62"/>
        <v>3496</v>
      </c>
      <c r="U206" s="151">
        <f t="shared" si="63"/>
        <v>0</v>
      </c>
      <c r="V206" s="139">
        <f t="shared" si="64"/>
        <v>0</v>
      </c>
      <c r="W206" s="152">
        <f t="shared" si="68"/>
        <v>3496</v>
      </c>
      <c r="X206" s="127" t="str">
        <f t="shared" si="65"/>
        <v/>
      </c>
      <c r="Y206" s="207">
        <f t="shared" si="69"/>
        <v>3496</v>
      </c>
      <c r="Z206" s="139">
        <f t="shared" si="70"/>
        <v>3496</v>
      </c>
      <c r="AA206" s="139">
        <f t="shared" si="71"/>
        <v>0</v>
      </c>
      <c r="AC206" s="47">
        <f t="shared" si="72"/>
        <v>1748</v>
      </c>
      <c r="AD206" s="47">
        <f t="shared" si="73"/>
        <v>1748</v>
      </c>
      <c r="AE206" s="47">
        <f t="shared" si="74"/>
        <v>0</v>
      </c>
      <c r="AG206" s="47">
        <f t="shared" si="75"/>
        <v>1748</v>
      </c>
      <c r="AH206" s="47">
        <f t="shared" si="76"/>
        <v>1748</v>
      </c>
      <c r="AI206" s="208">
        <f t="shared" si="77"/>
        <v>0</v>
      </c>
    </row>
    <row r="207" spans="1:35">
      <c r="A207" t="s">
        <v>2096</v>
      </c>
      <c r="B207" t="s">
        <v>3166</v>
      </c>
      <c r="C207" t="s">
        <v>2214</v>
      </c>
      <c r="D207" t="s">
        <v>3383</v>
      </c>
      <c r="F207" t="s">
        <v>195</v>
      </c>
      <c r="G207" s="126">
        <f>SUMIFS('Support - Transition'!F:F,'Support - Transition'!B:B,'Step 2'!A207,'Support - Transition'!C:C,'Step 2'!B207,'Support - Transition'!D:D,'Step 2'!C207,'Support - Transition'!E:E,"CIVIL")</f>
        <v>0</v>
      </c>
      <c r="H207" s="126">
        <f>SUMIFS('Support - Transition'!F:F,'Support - Transition'!B:B,'Step 2'!A207,'Support - Transition'!C:C,'Step 2'!B207,'Support - Transition'!D:D,'Step 2'!C207,'Support - Transition'!E:E,"FIRE")</f>
        <v>0</v>
      </c>
      <c r="I207" s="126">
        <f>IF(B207="0",SUMIFS('Support - Transition'!F:F,'Support - Transition'!J:J,'Step 2'!D207,'Support - Transition'!E:E,"STATE UNIT"),SUMIFS('Support - Transition'!F:F,'Support - Transition'!J:J,'Step 2'!D207))</f>
        <v>1.4591E-2</v>
      </c>
      <c r="J207" s="126">
        <f>SUMIFS('Support - Unit Adjustments'!E:E,'Support - Unit Adjustments'!F:F,'Step 2'!D207)</f>
        <v>0</v>
      </c>
      <c r="K207" s="126">
        <f t="shared" si="59"/>
        <v>1.4591E-2</v>
      </c>
      <c r="L207" s="174">
        <f>VLOOKUP(A207,'Step 1'!$A:$E,4,FALSE)</f>
        <v>234042</v>
      </c>
      <c r="M207" s="47">
        <f t="shared" si="60"/>
        <v>3415</v>
      </c>
      <c r="N207" s="177">
        <f>SUMIFS('Support - Transition'!G:G,'Support - Transition'!J:J,'Step 2'!D207,'Support - Transition'!E:E,"2009 WELFARE ALLOCATION FACTOR")</f>
        <v>0</v>
      </c>
      <c r="O207" s="152">
        <f t="shared" si="66"/>
        <v>0</v>
      </c>
      <c r="P207" s="126">
        <f>IF(E207="Y",0,SUMIFS('Support - Transition'!G:G,'Support - Transition'!J:J,'Step 2'!D207,'Support - Transition'!E:E,"2009 SCHOOL ALLOCATION FACTOR"))</f>
        <v>0</v>
      </c>
      <c r="Q207" s="126">
        <f>IF(E207="Y",VLOOKUP(D207,'Support - Unit Adjustments'!F:G,2,FALSE),0)</f>
        <v>0</v>
      </c>
      <c r="R207" s="155">
        <f t="shared" si="61"/>
        <v>0</v>
      </c>
      <c r="S207" s="47">
        <f t="shared" si="67"/>
        <v>0</v>
      </c>
      <c r="T207" s="151">
        <f t="shared" si="62"/>
        <v>3415</v>
      </c>
      <c r="U207" s="151">
        <f t="shared" si="63"/>
        <v>0</v>
      </c>
      <c r="V207" s="139">
        <f t="shared" si="64"/>
        <v>0</v>
      </c>
      <c r="W207" s="152">
        <f t="shared" si="68"/>
        <v>3415</v>
      </c>
      <c r="X207" s="127" t="str">
        <f t="shared" si="65"/>
        <v/>
      </c>
      <c r="Y207" s="207">
        <f t="shared" si="69"/>
        <v>3415</v>
      </c>
      <c r="Z207" s="139">
        <f t="shared" si="70"/>
        <v>3415</v>
      </c>
      <c r="AA207" s="139">
        <f t="shared" si="71"/>
        <v>0</v>
      </c>
      <c r="AC207" s="47">
        <f t="shared" si="72"/>
        <v>1708</v>
      </c>
      <c r="AD207" s="47">
        <f t="shared" si="73"/>
        <v>1708</v>
      </c>
      <c r="AE207" s="47">
        <f t="shared" si="74"/>
        <v>0</v>
      </c>
      <c r="AG207" s="47">
        <f t="shared" si="75"/>
        <v>1707</v>
      </c>
      <c r="AH207" s="47">
        <f t="shared" si="76"/>
        <v>1707</v>
      </c>
      <c r="AI207" s="208">
        <f t="shared" si="77"/>
        <v>0</v>
      </c>
    </row>
    <row r="208" spans="1:35">
      <c r="A208" t="s">
        <v>2096</v>
      </c>
      <c r="B208" t="s">
        <v>3170</v>
      </c>
      <c r="C208" t="s">
        <v>3281</v>
      </c>
      <c r="D208" t="s">
        <v>3384</v>
      </c>
      <c r="F208" t="s">
        <v>131</v>
      </c>
      <c r="G208" s="126">
        <f>SUMIFS('Support - Transition'!F:F,'Support - Transition'!B:B,'Step 2'!A208,'Support - Transition'!C:C,'Step 2'!B208,'Support - Transition'!D:D,'Step 2'!C208,'Support - Transition'!E:E,"CIVIL")</f>
        <v>0</v>
      </c>
      <c r="H208" s="126">
        <f>SUMIFS('Support - Transition'!F:F,'Support - Transition'!B:B,'Step 2'!A208,'Support - Transition'!C:C,'Step 2'!B208,'Support - Transition'!D:D,'Step 2'!C208,'Support - Transition'!E:E,"FIRE")</f>
        <v>0</v>
      </c>
      <c r="I208" s="126">
        <f>IF(B208="0",SUMIFS('Support - Transition'!F:F,'Support - Transition'!J:J,'Step 2'!D208,'Support - Transition'!E:E,"STATE UNIT"),SUMIFS('Support - Transition'!F:F,'Support - Transition'!J:J,'Step 2'!D208))</f>
        <v>0</v>
      </c>
      <c r="J208" s="126">
        <f>SUMIFS('Support - Unit Adjustments'!E:E,'Support - Unit Adjustments'!F:F,'Step 2'!D208)</f>
        <v>0</v>
      </c>
      <c r="K208" s="126">
        <f t="shared" si="59"/>
        <v>0</v>
      </c>
      <c r="L208" s="174">
        <f>VLOOKUP(A208,'Step 1'!$A:$E,4,FALSE)</f>
        <v>234042</v>
      </c>
      <c r="M208" s="47">
        <f t="shared" si="60"/>
        <v>0</v>
      </c>
      <c r="N208" s="177">
        <f>SUMIFS('Support - Transition'!G:G,'Support - Transition'!J:J,'Step 2'!D208,'Support - Transition'!E:E,"2009 WELFARE ALLOCATION FACTOR")</f>
        <v>0</v>
      </c>
      <c r="O208" s="152">
        <f t="shared" si="66"/>
        <v>0</v>
      </c>
      <c r="P208" s="126">
        <f>IF(E208="Y",0,SUMIFS('Support - Transition'!G:G,'Support - Transition'!J:J,'Step 2'!D208,'Support - Transition'!E:E,"2009 SCHOOL ALLOCATION FACTOR"))</f>
        <v>0</v>
      </c>
      <c r="Q208" s="126">
        <f>IF(E208="Y",VLOOKUP(D208,'Support - Unit Adjustments'!F:G,2,FALSE),0)</f>
        <v>0</v>
      </c>
      <c r="R208" s="155">
        <f t="shared" si="61"/>
        <v>0</v>
      </c>
      <c r="S208" s="47">
        <f t="shared" si="67"/>
        <v>0</v>
      </c>
      <c r="T208" s="151">
        <f t="shared" si="62"/>
        <v>0</v>
      </c>
      <c r="U208" s="151">
        <f t="shared" si="63"/>
        <v>0</v>
      </c>
      <c r="V208" s="139">
        <f t="shared" si="64"/>
        <v>0</v>
      </c>
      <c r="W208" s="152">
        <f t="shared" si="68"/>
        <v>0</v>
      </c>
      <c r="X208" s="127" t="str">
        <f t="shared" si="65"/>
        <v/>
      </c>
      <c r="Y208" s="207">
        <f t="shared" si="69"/>
        <v>0</v>
      </c>
      <c r="Z208" s="139">
        <f t="shared" si="70"/>
        <v>0</v>
      </c>
      <c r="AA208" s="139">
        <f t="shared" si="71"/>
        <v>0</v>
      </c>
      <c r="AC208" s="47">
        <f t="shared" si="72"/>
        <v>0</v>
      </c>
      <c r="AD208" s="47">
        <f t="shared" si="73"/>
        <v>0</v>
      </c>
      <c r="AE208" s="47">
        <f t="shared" si="74"/>
        <v>0</v>
      </c>
      <c r="AG208" s="47">
        <f t="shared" si="75"/>
        <v>0</v>
      </c>
      <c r="AH208" s="47">
        <f t="shared" si="76"/>
        <v>0</v>
      </c>
      <c r="AI208" s="208">
        <f t="shared" si="77"/>
        <v>0</v>
      </c>
    </row>
    <row r="209" spans="1:35">
      <c r="A209" t="s">
        <v>2096</v>
      </c>
      <c r="B209" t="s">
        <v>3286</v>
      </c>
      <c r="C209" t="s">
        <v>2189</v>
      </c>
      <c r="D209" t="s">
        <v>3385</v>
      </c>
      <c r="F209" t="s">
        <v>3386</v>
      </c>
      <c r="G209" s="126">
        <f>SUMIFS('Support - Transition'!F:F,'Support - Transition'!B:B,'Step 2'!A209,'Support - Transition'!C:C,'Step 2'!B209,'Support - Transition'!D:D,'Step 2'!C209,'Support - Transition'!E:E,"CIVIL")</f>
        <v>0</v>
      </c>
      <c r="H209" s="126">
        <f>SUMIFS('Support - Transition'!F:F,'Support - Transition'!B:B,'Step 2'!A209,'Support - Transition'!C:C,'Step 2'!B209,'Support - Transition'!D:D,'Step 2'!C209,'Support - Transition'!E:E,"FIRE")</f>
        <v>0</v>
      </c>
      <c r="I209" s="126">
        <f>IF(B209="0",SUMIFS('Support - Transition'!F:F,'Support - Transition'!J:J,'Step 2'!D209,'Support - Transition'!E:E,"STATE UNIT"),SUMIFS('Support - Transition'!F:F,'Support - Transition'!J:J,'Step 2'!D209))</f>
        <v>0</v>
      </c>
      <c r="J209" s="126">
        <f>SUMIFS('Support - Unit Adjustments'!E:E,'Support - Unit Adjustments'!F:F,'Step 2'!D209)</f>
        <v>0</v>
      </c>
      <c r="K209" s="126">
        <f t="shared" si="59"/>
        <v>0</v>
      </c>
      <c r="L209" s="174">
        <f>VLOOKUP(A209,'Step 1'!$A:$E,4,FALSE)</f>
        <v>234042</v>
      </c>
      <c r="M209" s="47">
        <f t="shared" si="60"/>
        <v>0</v>
      </c>
      <c r="N209" s="177">
        <f>SUMIFS('Support - Transition'!G:G,'Support - Transition'!J:J,'Step 2'!D209,'Support - Transition'!E:E,"2009 WELFARE ALLOCATION FACTOR")</f>
        <v>0</v>
      </c>
      <c r="O209" s="152">
        <f t="shared" si="66"/>
        <v>0</v>
      </c>
      <c r="P209" s="126">
        <f>IF(E209="Y",0,SUMIFS('Support - Transition'!G:G,'Support - Transition'!J:J,'Step 2'!D209,'Support - Transition'!E:E,"2009 SCHOOL ALLOCATION FACTOR"))</f>
        <v>0</v>
      </c>
      <c r="Q209" s="126">
        <f>IF(E209="Y",VLOOKUP(D209,'Support - Unit Adjustments'!F:G,2,FALSE),0)</f>
        <v>0</v>
      </c>
      <c r="R209" s="155">
        <f t="shared" si="61"/>
        <v>0</v>
      </c>
      <c r="S209" s="47">
        <f t="shared" si="67"/>
        <v>0</v>
      </c>
      <c r="T209" s="151">
        <f t="shared" si="62"/>
        <v>0</v>
      </c>
      <c r="U209" s="151">
        <f t="shared" si="63"/>
        <v>0</v>
      </c>
      <c r="V209" s="139">
        <f t="shared" si="64"/>
        <v>0</v>
      </c>
      <c r="W209" s="152">
        <f t="shared" si="68"/>
        <v>0</v>
      </c>
      <c r="X209" s="127" t="str">
        <f t="shared" si="65"/>
        <v/>
      </c>
      <c r="Y209" s="207">
        <f t="shared" si="69"/>
        <v>0</v>
      </c>
      <c r="Z209" s="139">
        <f t="shared" si="70"/>
        <v>0</v>
      </c>
      <c r="AA209" s="139">
        <f t="shared" si="71"/>
        <v>0</v>
      </c>
      <c r="AC209" s="47">
        <f t="shared" si="72"/>
        <v>0</v>
      </c>
      <c r="AD209" s="47">
        <f t="shared" si="73"/>
        <v>0</v>
      </c>
      <c r="AE209" s="47">
        <f t="shared" si="74"/>
        <v>0</v>
      </c>
      <c r="AG209" s="47">
        <f t="shared" si="75"/>
        <v>0</v>
      </c>
      <c r="AH209" s="47">
        <f t="shared" si="76"/>
        <v>0</v>
      </c>
      <c r="AI209" s="208">
        <f t="shared" si="77"/>
        <v>0</v>
      </c>
    </row>
    <row r="210" spans="1:35">
      <c r="A210" t="s">
        <v>2096</v>
      </c>
      <c r="B210" t="s">
        <v>3286</v>
      </c>
      <c r="C210" t="s">
        <v>2190</v>
      </c>
      <c r="D210" t="s">
        <v>3387</v>
      </c>
      <c r="F210" t="s">
        <v>3388</v>
      </c>
      <c r="G210" s="126">
        <f>SUMIFS('Support - Transition'!F:F,'Support - Transition'!B:B,'Step 2'!A210,'Support - Transition'!C:C,'Step 2'!B210,'Support - Transition'!D:D,'Step 2'!C210,'Support - Transition'!E:E,"CIVIL")</f>
        <v>0</v>
      </c>
      <c r="H210" s="126">
        <f>SUMIFS('Support - Transition'!F:F,'Support - Transition'!B:B,'Step 2'!A210,'Support - Transition'!C:C,'Step 2'!B210,'Support - Transition'!D:D,'Step 2'!C210,'Support - Transition'!E:E,"FIRE")</f>
        <v>0</v>
      </c>
      <c r="I210" s="126">
        <f>IF(B210="0",SUMIFS('Support - Transition'!F:F,'Support - Transition'!J:J,'Step 2'!D210,'Support - Transition'!E:E,"STATE UNIT"),SUMIFS('Support - Transition'!F:F,'Support - Transition'!J:J,'Step 2'!D210))</f>
        <v>0</v>
      </c>
      <c r="J210" s="126">
        <f>SUMIFS('Support - Unit Adjustments'!E:E,'Support - Unit Adjustments'!F:F,'Step 2'!D210)</f>
        <v>0</v>
      </c>
      <c r="K210" s="126">
        <f t="shared" si="59"/>
        <v>0</v>
      </c>
      <c r="L210" s="174">
        <f>VLOOKUP(A210,'Step 1'!$A:$E,4,FALSE)</f>
        <v>234042</v>
      </c>
      <c r="M210" s="47">
        <f t="shared" si="60"/>
        <v>0</v>
      </c>
      <c r="N210" s="177">
        <f>SUMIFS('Support - Transition'!G:G,'Support - Transition'!J:J,'Step 2'!D210,'Support - Transition'!E:E,"2009 WELFARE ALLOCATION FACTOR")</f>
        <v>0</v>
      </c>
      <c r="O210" s="152">
        <f t="shared" si="66"/>
        <v>0</v>
      </c>
      <c r="P210" s="126">
        <f>IF(E210="Y",0,SUMIFS('Support - Transition'!G:G,'Support - Transition'!J:J,'Step 2'!D210,'Support - Transition'!E:E,"2009 SCHOOL ALLOCATION FACTOR"))</f>
        <v>0</v>
      </c>
      <c r="Q210" s="126">
        <f>IF(E210="Y",VLOOKUP(D210,'Support - Unit Adjustments'!F:G,2,FALSE),0)</f>
        <v>0</v>
      </c>
      <c r="R210" s="155">
        <f t="shared" si="61"/>
        <v>0</v>
      </c>
      <c r="S210" s="47">
        <f t="shared" si="67"/>
        <v>0</v>
      </c>
      <c r="T210" s="151">
        <f t="shared" si="62"/>
        <v>0</v>
      </c>
      <c r="U210" s="151">
        <f t="shared" si="63"/>
        <v>0</v>
      </c>
      <c r="V210" s="139">
        <f t="shared" si="64"/>
        <v>0</v>
      </c>
      <c r="W210" s="152">
        <f t="shared" si="68"/>
        <v>0</v>
      </c>
      <c r="X210" s="127" t="str">
        <f t="shared" si="65"/>
        <v/>
      </c>
      <c r="Y210" s="207">
        <f t="shared" si="69"/>
        <v>0</v>
      </c>
      <c r="Z210" s="139">
        <f t="shared" si="70"/>
        <v>0</v>
      </c>
      <c r="AA210" s="139">
        <f t="shared" si="71"/>
        <v>0</v>
      </c>
      <c r="AC210" s="47">
        <f t="shared" si="72"/>
        <v>0</v>
      </c>
      <c r="AD210" s="47">
        <f t="shared" si="73"/>
        <v>0</v>
      </c>
      <c r="AE210" s="47">
        <f t="shared" si="74"/>
        <v>0</v>
      </c>
      <c r="AG210" s="47">
        <f t="shared" si="75"/>
        <v>0</v>
      </c>
      <c r="AH210" s="47">
        <f t="shared" si="76"/>
        <v>0</v>
      </c>
      <c r="AI210" s="208">
        <f t="shared" si="77"/>
        <v>0</v>
      </c>
    </row>
    <row r="211" spans="1:35">
      <c r="A211" t="s">
        <v>2097</v>
      </c>
      <c r="B211" s="48" t="s">
        <v>6274</v>
      </c>
      <c r="C211" t="s">
        <v>2187</v>
      </c>
      <c r="D211" t="str">
        <f>A211&amp;B211&amp;C211</f>
        <v>0900000</v>
      </c>
      <c r="F211" t="s">
        <v>6283</v>
      </c>
      <c r="G211" s="126">
        <f>SUMIFS('Support - Transition'!F:F,'Support - Transition'!B:B,'Step 2'!A211,'Support - Transition'!C:C,'Step 2'!B211,'Support - Transition'!D:D,'Step 2'!C211,'Support - Transition'!E:E,"CIVIL")</f>
        <v>0</v>
      </c>
      <c r="H211" s="126">
        <f>SUMIFS('Support - Transition'!F:F,'Support - Transition'!B:B,'Step 2'!A211,'Support - Transition'!C:C,'Step 2'!B211,'Support - Transition'!D:D,'Step 2'!C211,'Support - Transition'!E:E,"FIRE")</f>
        <v>0</v>
      </c>
      <c r="I211" s="126">
        <f>IF(B211="0",SUMIFS('Support - Transition'!F:F,'Support - Transition'!J:J,'Step 2'!D211,'Support - Transition'!E:E,"STATE UNIT"),SUMIFS('Support - Transition'!F:F,'Support - Transition'!J:J,'Step 2'!D211))</f>
        <v>1.036E-3</v>
      </c>
      <c r="J211" s="126">
        <f>SUMIFS('Support - Unit Adjustments'!E:E,'Support - Unit Adjustments'!F:F,'Step 2'!D211)</f>
        <v>0</v>
      </c>
      <c r="K211" s="126">
        <f t="shared" si="59"/>
        <v>1.036E-3</v>
      </c>
      <c r="L211" s="174">
        <f>VLOOKUP(A211,'Step 1'!$A:$E,4,FALSE)</f>
        <v>366695</v>
      </c>
      <c r="M211" s="47">
        <f t="shared" si="60"/>
        <v>380</v>
      </c>
      <c r="N211" s="177">
        <f>SUMIFS('Support - Transition'!G:G,'Support - Transition'!J:J,'Step 2'!D211,'Support - Transition'!E:E,"2009 WELFARE ALLOCATION FACTOR")</f>
        <v>0</v>
      </c>
      <c r="O211" s="152">
        <f t="shared" si="66"/>
        <v>0</v>
      </c>
      <c r="P211" s="126">
        <f>IF(E211="Y",0,SUMIFS('Support - Transition'!G:G,'Support - Transition'!J:J,'Step 2'!D211,'Support - Transition'!E:E,"2009 SCHOOL ALLOCATION FACTOR"))</f>
        <v>0</v>
      </c>
      <c r="Q211" s="126">
        <f>IF(E211="Y",VLOOKUP(D211,'Support - Unit Adjustments'!F:G,2,FALSE),0)</f>
        <v>0</v>
      </c>
      <c r="R211" s="155">
        <f t="shared" si="61"/>
        <v>0</v>
      </c>
      <c r="S211" s="47">
        <f t="shared" si="67"/>
        <v>0</v>
      </c>
      <c r="T211" s="151">
        <f t="shared" si="62"/>
        <v>380</v>
      </c>
      <c r="U211" s="151">
        <f t="shared" si="63"/>
        <v>366694</v>
      </c>
      <c r="V211" s="139">
        <f t="shared" si="64"/>
        <v>-1</v>
      </c>
      <c r="W211" s="152">
        <f t="shared" si="68"/>
        <v>381</v>
      </c>
      <c r="X211" s="127">
        <f t="shared" si="65"/>
        <v>0</v>
      </c>
      <c r="Y211" s="207">
        <f t="shared" si="69"/>
        <v>381</v>
      </c>
      <c r="Z211" s="139">
        <f t="shared" si="70"/>
        <v>381</v>
      </c>
      <c r="AA211" s="139">
        <f t="shared" si="71"/>
        <v>0</v>
      </c>
      <c r="AC211" s="47">
        <f t="shared" si="72"/>
        <v>191</v>
      </c>
      <c r="AD211" s="47">
        <f t="shared" si="73"/>
        <v>191</v>
      </c>
      <c r="AE211" s="47">
        <f t="shared" si="74"/>
        <v>0</v>
      </c>
      <c r="AG211" s="47">
        <f t="shared" si="75"/>
        <v>190</v>
      </c>
      <c r="AH211" s="47">
        <f t="shared" si="76"/>
        <v>190</v>
      </c>
      <c r="AI211" s="208">
        <f t="shared" si="77"/>
        <v>0</v>
      </c>
    </row>
    <row r="212" spans="1:35">
      <c r="A212" t="s">
        <v>2097</v>
      </c>
      <c r="B212" t="s">
        <v>3140</v>
      </c>
      <c r="C212" t="s">
        <v>2187</v>
      </c>
      <c r="D212" t="s">
        <v>3389</v>
      </c>
      <c r="F212" t="s">
        <v>198</v>
      </c>
      <c r="G212" s="126">
        <f>SUMIFS('Support - Transition'!F:F,'Support - Transition'!B:B,'Step 2'!A212,'Support - Transition'!C:C,'Step 2'!B212,'Support - Transition'!D:D,'Step 2'!C212,'Support - Transition'!E:E,"CIVIL")</f>
        <v>0</v>
      </c>
      <c r="H212" s="126">
        <f>SUMIFS('Support - Transition'!F:F,'Support - Transition'!B:B,'Step 2'!A212,'Support - Transition'!C:C,'Step 2'!B212,'Support - Transition'!D:D,'Step 2'!C212,'Support - Transition'!E:E,"FIRE")</f>
        <v>0</v>
      </c>
      <c r="I212" s="126">
        <f>IF(B212="0",SUMIFS('Support - Transition'!F:F,'Support - Transition'!J:J,'Step 2'!D212,'Support - Transition'!E:E,"STATE UNIT"),SUMIFS('Support - Transition'!F:F,'Support - Transition'!J:J,'Step 2'!D212))</f>
        <v>0.23255999999999999</v>
      </c>
      <c r="J212" s="126">
        <f>SUMIFS('Support - Unit Adjustments'!E:E,'Support - Unit Adjustments'!F:F,'Step 2'!D212)</f>
        <v>0</v>
      </c>
      <c r="K212" s="126">
        <f t="shared" si="59"/>
        <v>0.23255999999999999</v>
      </c>
      <c r="L212" s="174">
        <f>VLOOKUP(A212,'Step 1'!$A:$E,4,FALSE)</f>
        <v>366695</v>
      </c>
      <c r="M212" s="47">
        <f t="shared" si="60"/>
        <v>85279</v>
      </c>
      <c r="N212" s="177">
        <f>SUMIFS('Support - Transition'!G:G,'Support - Transition'!J:J,'Step 2'!D212,'Support - Transition'!E:E,"2009 WELFARE ALLOCATION FACTOR")</f>
        <v>0.28138800000000003</v>
      </c>
      <c r="O212" s="152">
        <f t="shared" si="66"/>
        <v>23996</v>
      </c>
      <c r="P212" s="126">
        <f>IF(E212="Y",0,SUMIFS('Support - Transition'!G:G,'Support - Transition'!J:J,'Step 2'!D212,'Support - Transition'!E:E,"2009 SCHOOL ALLOCATION FACTOR"))</f>
        <v>0</v>
      </c>
      <c r="Q212" s="126">
        <f>IF(E212="Y",VLOOKUP(D212,'Support - Unit Adjustments'!F:G,2,FALSE),0)</f>
        <v>0</v>
      </c>
      <c r="R212" s="155">
        <f t="shared" si="61"/>
        <v>0</v>
      </c>
      <c r="S212" s="47">
        <f t="shared" si="67"/>
        <v>0</v>
      </c>
      <c r="T212" s="151">
        <f t="shared" si="62"/>
        <v>61283</v>
      </c>
      <c r="U212" s="151">
        <f t="shared" si="63"/>
        <v>0</v>
      </c>
      <c r="V212" s="139">
        <f t="shared" si="64"/>
        <v>0</v>
      </c>
      <c r="W212" s="152">
        <f t="shared" si="68"/>
        <v>61283</v>
      </c>
      <c r="X212" s="127" t="str">
        <f t="shared" si="65"/>
        <v/>
      </c>
      <c r="Y212" s="207">
        <f t="shared" si="69"/>
        <v>61283</v>
      </c>
      <c r="Z212" s="139">
        <f t="shared" si="70"/>
        <v>61283</v>
      </c>
      <c r="AA212" s="139">
        <f t="shared" si="71"/>
        <v>0</v>
      </c>
      <c r="AC212" s="47">
        <f t="shared" si="72"/>
        <v>30642</v>
      </c>
      <c r="AD212" s="47">
        <f t="shared" si="73"/>
        <v>30642</v>
      </c>
      <c r="AE212" s="47">
        <f t="shared" si="74"/>
        <v>0</v>
      </c>
      <c r="AG212" s="47">
        <f t="shared" si="75"/>
        <v>30641</v>
      </c>
      <c r="AH212" s="47">
        <f t="shared" si="76"/>
        <v>30641</v>
      </c>
      <c r="AI212" s="208">
        <f t="shared" si="77"/>
        <v>0</v>
      </c>
    </row>
    <row r="213" spans="1:35">
      <c r="A213" t="s">
        <v>2097</v>
      </c>
      <c r="B213" t="s">
        <v>3142</v>
      </c>
      <c r="C213" t="s">
        <v>2188</v>
      </c>
      <c r="D213" t="s">
        <v>3390</v>
      </c>
      <c r="F213" t="s">
        <v>46</v>
      </c>
      <c r="G213" s="126">
        <f>SUMIFS('Support - Transition'!F:F,'Support - Transition'!B:B,'Step 2'!A213,'Support - Transition'!C:C,'Step 2'!B213,'Support - Transition'!D:D,'Step 2'!C213,'Support - Transition'!E:E,"CIVIL")</f>
        <v>7.1599999999999995E-4</v>
      </c>
      <c r="H213" s="126">
        <f>SUMIFS('Support - Transition'!F:F,'Support - Transition'!B:B,'Step 2'!A213,'Support - Transition'!C:C,'Step 2'!B213,'Support - Transition'!D:D,'Step 2'!C213,'Support - Transition'!E:E,"FIRE")</f>
        <v>4.15E-4</v>
      </c>
      <c r="I213" s="126">
        <f>IF(B213="0",SUMIFS('Support - Transition'!F:F,'Support - Transition'!J:J,'Step 2'!D213,'Support - Transition'!E:E,"STATE UNIT"),SUMIFS('Support - Transition'!F:F,'Support - Transition'!J:J,'Step 2'!D213))</f>
        <v>1.1310000000000001E-3</v>
      </c>
      <c r="J213" s="126">
        <f>SUMIFS('Support - Unit Adjustments'!E:E,'Support - Unit Adjustments'!F:F,'Step 2'!D213)</f>
        <v>0</v>
      </c>
      <c r="K213" s="126">
        <f t="shared" si="59"/>
        <v>1.1310000000000001E-3</v>
      </c>
      <c r="L213" s="174">
        <f>VLOOKUP(A213,'Step 1'!$A:$E,4,FALSE)</f>
        <v>366695</v>
      </c>
      <c r="M213" s="47">
        <f t="shared" si="60"/>
        <v>415</v>
      </c>
      <c r="N213" s="177">
        <f>SUMIFS('Support - Transition'!G:G,'Support - Transition'!J:J,'Step 2'!D213,'Support - Transition'!E:E,"2009 WELFARE ALLOCATION FACTOR")</f>
        <v>0</v>
      </c>
      <c r="O213" s="152">
        <f t="shared" si="66"/>
        <v>0</v>
      </c>
      <c r="P213" s="126">
        <f>IF(E213="Y",0,SUMIFS('Support - Transition'!G:G,'Support - Transition'!J:J,'Step 2'!D213,'Support - Transition'!E:E,"2009 SCHOOL ALLOCATION FACTOR"))</f>
        <v>0</v>
      </c>
      <c r="Q213" s="126">
        <f>IF(E213="Y",VLOOKUP(D213,'Support - Unit Adjustments'!F:G,2,FALSE),0)</f>
        <v>0</v>
      </c>
      <c r="R213" s="155">
        <f t="shared" si="61"/>
        <v>0</v>
      </c>
      <c r="S213" s="47">
        <f t="shared" si="67"/>
        <v>0</v>
      </c>
      <c r="T213" s="151">
        <f t="shared" si="62"/>
        <v>415</v>
      </c>
      <c r="U213" s="151">
        <f t="shared" si="63"/>
        <v>0</v>
      </c>
      <c r="V213" s="139">
        <f t="shared" si="64"/>
        <v>0</v>
      </c>
      <c r="W213" s="152">
        <f t="shared" si="68"/>
        <v>415</v>
      </c>
      <c r="X213" s="127" t="str">
        <f t="shared" si="65"/>
        <v/>
      </c>
      <c r="Y213" s="207">
        <f t="shared" si="69"/>
        <v>415</v>
      </c>
      <c r="Z213" s="139">
        <f t="shared" si="70"/>
        <v>263</v>
      </c>
      <c r="AA213" s="139">
        <f t="shared" si="71"/>
        <v>152</v>
      </c>
      <c r="AC213" s="47">
        <f t="shared" si="72"/>
        <v>208</v>
      </c>
      <c r="AD213" s="47">
        <f t="shared" si="73"/>
        <v>132</v>
      </c>
      <c r="AE213" s="47">
        <f t="shared" si="74"/>
        <v>76</v>
      </c>
      <c r="AG213" s="47">
        <f t="shared" si="75"/>
        <v>207</v>
      </c>
      <c r="AH213" s="47">
        <f t="shared" si="76"/>
        <v>131</v>
      </c>
      <c r="AI213" s="208">
        <f t="shared" si="77"/>
        <v>76</v>
      </c>
    </row>
    <row r="214" spans="1:35">
      <c r="A214" t="s">
        <v>2097</v>
      </c>
      <c r="B214" t="s">
        <v>3142</v>
      </c>
      <c r="C214" t="s">
        <v>2189</v>
      </c>
      <c r="D214" t="s">
        <v>3391</v>
      </c>
      <c r="F214" t="s">
        <v>199</v>
      </c>
      <c r="G214" s="126">
        <f>SUMIFS('Support - Transition'!F:F,'Support - Transition'!B:B,'Step 2'!A214,'Support - Transition'!C:C,'Step 2'!B214,'Support - Transition'!D:D,'Step 2'!C214,'Support - Transition'!E:E,"CIVIL")</f>
        <v>3.5E-4</v>
      </c>
      <c r="H214" s="126">
        <f>SUMIFS('Support - Transition'!F:F,'Support - Transition'!B:B,'Step 2'!A214,'Support - Transition'!C:C,'Step 2'!B214,'Support - Transition'!D:D,'Step 2'!C214,'Support - Transition'!E:E,"FIRE")</f>
        <v>2.5599999999999999E-4</v>
      </c>
      <c r="I214" s="126">
        <f>IF(B214="0",SUMIFS('Support - Transition'!F:F,'Support - Transition'!J:J,'Step 2'!D214,'Support - Transition'!E:E,"STATE UNIT"),SUMIFS('Support - Transition'!F:F,'Support - Transition'!J:J,'Step 2'!D214))</f>
        <v>6.0599999999999998E-4</v>
      </c>
      <c r="J214" s="126">
        <f>SUMIFS('Support - Unit Adjustments'!E:E,'Support - Unit Adjustments'!F:F,'Step 2'!D214)</f>
        <v>0</v>
      </c>
      <c r="K214" s="126">
        <f t="shared" si="59"/>
        <v>6.0599999999999998E-4</v>
      </c>
      <c r="L214" s="174">
        <f>VLOOKUP(A214,'Step 1'!$A:$E,4,FALSE)</f>
        <v>366695</v>
      </c>
      <c r="M214" s="47">
        <f t="shared" si="60"/>
        <v>222</v>
      </c>
      <c r="N214" s="177">
        <f>SUMIFS('Support - Transition'!G:G,'Support - Transition'!J:J,'Step 2'!D214,'Support - Transition'!E:E,"2009 WELFARE ALLOCATION FACTOR")</f>
        <v>0</v>
      </c>
      <c r="O214" s="152">
        <f t="shared" si="66"/>
        <v>0</v>
      </c>
      <c r="P214" s="126">
        <f>IF(E214="Y",0,SUMIFS('Support - Transition'!G:G,'Support - Transition'!J:J,'Step 2'!D214,'Support - Transition'!E:E,"2009 SCHOOL ALLOCATION FACTOR"))</f>
        <v>0</v>
      </c>
      <c r="Q214" s="126">
        <f>IF(E214="Y",VLOOKUP(D214,'Support - Unit Adjustments'!F:G,2,FALSE),0)</f>
        <v>0</v>
      </c>
      <c r="R214" s="155">
        <f t="shared" si="61"/>
        <v>0</v>
      </c>
      <c r="S214" s="47">
        <f t="shared" si="67"/>
        <v>0</v>
      </c>
      <c r="T214" s="151">
        <f t="shared" si="62"/>
        <v>222</v>
      </c>
      <c r="U214" s="151">
        <f t="shared" si="63"/>
        <v>0</v>
      </c>
      <c r="V214" s="139">
        <f t="shared" si="64"/>
        <v>0</v>
      </c>
      <c r="W214" s="152">
        <f t="shared" si="68"/>
        <v>222</v>
      </c>
      <c r="X214" s="127" t="str">
        <f t="shared" si="65"/>
        <v/>
      </c>
      <c r="Y214" s="207">
        <f t="shared" si="69"/>
        <v>222</v>
      </c>
      <c r="Z214" s="139">
        <f t="shared" si="70"/>
        <v>128</v>
      </c>
      <c r="AA214" s="139">
        <f t="shared" si="71"/>
        <v>94</v>
      </c>
      <c r="AC214" s="47">
        <f t="shared" si="72"/>
        <v>111</v>
      </c>
      <c r="AD214" s="47">
        <f t="shared" si="73"/>
        <v>64</v>
      </c>
      <c r="AE214" s="47">
        <f t="shared" si="74"/>
        <v>47</v>
      </c>
      <c r="AG214" s="47">
        <f t="shared" si="75"/>
        <v>111</v>
      </c>
      <c r="AH214" s="47">
        <f t="shared" si="76"/>
        <v>64</v>
      </c>
      <c r="AI214" s="208">
        <f t="shared" si="77"/>
        <v>47</v>
      </c>
    </row>
    <row r="215" spans="1:35">
      <c r="A215" t="s">
        <v>2097</v>
      </c>
      <c r="B215" t="s">
        <v>3142</v>
      </c>
      <c r="C215" t="s">
        <v>2190</v>
      </c>
      <c r="D215" t="s">
        <v>3392</v>
      </c>
      <c r="F215" t="s">
        <v>200</v>
      </c>
      <c r="G215" s="126">
        <f>SUMIFS('Support - Transition'!F:F,'Support - Transition'!B:B,'Step 2'!A215,'Support - Transition'!C:C,'Step 2'!B215,'Support - Transition'!D:D,'Step 2'!C215,'Support - Transition'!E:E,"CIVIL")</f>
        <v>5.1400000000000003E-4</v>
      </c>
      <c r="H215" s="126">
        <f>SUMIFS('Support - Transition'!F:F,'Support - Transition'!B:B,'Step 2'!A215,'Support - Transition'!C:C,'Step 2'!B215,'Support - Transition'!D:D,'Step 2'!C215,'Support - Transition'!E:E,"FIRE")</f>
        <v>1.0900000000000001E-4</v>
      </c>
      <c r="I215" s="126">
        <f>IF(B215="0",SUMIFS('Support - Transition'!F:F,'Support - Transition'!J:J,'Step 2'!D215,'Support - Transition'!E:E,"STATE UNIT"),SUMIFS('Support - Transition'!F:F,'Support - Transition'!J:J,'Step 2'!D215))</f>
        <v>6.2300000000000007E-4</v>
      </c>
      <c r="J215" s="126">
        <f>SUMIFS('Support - Unit Adjustments'!E:E,'Support - Unit Adjustments'!F:F,'Step 2'!D215)</f>
        <v>0</v>
      </c>
      <c r="K215" s="126">
        <f t="shared" si="59"/>
        <v>6.2300000000000007E-4</v>
      </c>
      <c r="L215" s="174">
        <f>VLOOKUP(A215,'Step 1'!$A:$E,4,FALSE)</f>
        <v>366695</v>
      </c>
      <c r="M215" s="47">
        <f t="shared" si="60"/>
        <v>228</v>
      </c>
      <c r="N215" s="177">
        <f>SUMIFS('Support - Transition'!G:G,'Support - Transition'!J:J,'Step 2'!D215,'Support - Transition'!E:E,"2009 WELFARE ALLOCATION FACTOR")</f>
        <v>0</v>
      </c>
      <c r="O215" s="152">
        <f t="shared" si="66"/>
        <v>0</v>
      </c>
      <c r="P215" s="126">
        <f>IF(E215="Y",0,SUMIFS('Support - Transition'!G:G,'Support - Transition'!J:J,'Step 2'!D215,'Support - Transition'!E:E,"2009 SCHOOL ALLOCATION FACTOR"))</f>
        <v>0</v>
      </c>
      <c r="Q215" s="126">
        <f>IF(E215="Y",VLOOKUP(D215,'Support - Unit Adjustments'!F:G,2,FALSE),0)</f>
        <v>0</v>
      </c>
      <c r="R215" s="155">
        <f t="shared" si="61"/>
        <v>0</v>
      </c>
      <c r="S215" s="47">
        <f t="shared" si="67"/>
        <v>0</v>
      </c>
      <c r="T215" s="151">
        <f t="shared" si="62"/>
        <v>228</v>
      </c>
      <c r="U215" s="151">
        <f t="shared" si="63"/>
        <v>0</v>
      </c>
      <c r="V215" s="139">
        <f t="shared" si="64"/>
        <v>0</v>
      </c>
      <c r="W215" s="152">
        <f t="shared" si="68"/>
        <v>228</v>
      </c>
      <c r="X215" s="127" t="str">
        <f t="shared" si="65"/>
        <v/>
      </c>
      <c r="Y215" s="207">
        <f t="shared" si="69"/>
        <v>228</v>
      </c>
      <c r="Z215" s="139">
        <f t="shared" si="70"/>
        <v>188</v>
      </c>
      <c r="AA215" s="139">
        <f t="shared" si="71"/>
        <v>40</v>
      </c>
      <c r="AC215" s="47">
        <f t="shared" si="72"/>
        <v>114</v>
      </c>
      <c r="AD215" s="47">
        <f t="shared" si="73"/>
        <v>94</v>
      </c>
      <c r="AE215" s="47">
        <f t="shared" si="74"/>
        <v>20</v>
      </c>
      <c r="AG215" s="47">
        <f t="shared" si="75"/>
        <v>114</v>
      </c>
      <c r="AH215" s="47">
        <f t="shared" si="76"/>
        <v>94</v>
      </c>
      <c r="AI215" s="208">
        <f t="shared" si="77"/>
        <v>20</v>
      </c>
    </row>
    <row r="216" spans="1:35">
      <c r="A216" t="s">
        <v>2097</v>
      </c>
      <c r="B216" t="s">
        <v>3142</v>
      </c>
      <c r="C216" t="s">
        <v>2191</v>
      </c>
      <c r="D216" t="s">
        <v>3393</v>
      </c>
      <c r="F216" t="s">
        <v>81</v>
      </c>
      <c r="G216" s="126">
        <f>SUMIFS('Support - Transition'!F:F,'Support - Transition'!B:B,'Step 2'!A216,'Support - Transition'!C:C,'Step 2'!B216,'Support - Transition'!D:D,'Step 2'!C216,'Support - Transition'!E:E,"CIVIL")</f>
        <v>8.0000000000000007E-5</v>
      </c>
      <c r="H216" s="126">
        <f>SUMIFS('Support - Transition'!F:F,'Support - Transition'!B:B,'Step 2'!A216,'Support - Transition'!C:C,'Step 2'!B216,'Support - Transition'!D:D,'Step 2'!C216,'Support - Transition'!E:E,"FIRE")</f>
        <v>2.2900000000000001E-4</v>
      </c>
      <c r="I216" s="126">
        <f>IF(B216="0",SUMIFS('Support - Transition'!F:F,'Support - Transition'!J:J,'Step 2'!D216,'Support - Transition'!E:E,"STATE UNIT"),SUMIFS('Support - Transition'!F:F,'Support - Transition'!J:J,'Step 2'!D216))</f>
        <v>3.0900000000000003E-4</v>
      </c>
      <c r="J216" s="126">
        <f>SUMIFS('Support - Unit Adjustments'!E:E,'Support - Unit Adjustments'!F:F,'Step 2'!D216)</f>
        <v>0</v>
      </c>
      <c r="K216" s="126">
        <f t="shared" si="59"/>
        <v>3.0900000000000003E-4</v>
      </c>
      <c r="L216" s="174">
        <f>VLOOKUP(A216,'Step 1'!$A:$E,4,FALSE)</f>
        <v>366695</v>
      </c>
      <c r="M216" s="47">
        <f t="shared" si="60"/>
        <v>113</v>
      </c>
      <c r="N216" s="177">
        <f>SUMIFS('Support - Transition'!G:G,'Support - Transition'!J:J,'Step 2'!D216,'Support - Transition'!E:E,"2009 WELFARE ALLOCATION FACTOR")</f>
        <v>0</v>
      </c>
      <c r="O216" s="152">
        <f t="shared" si="66"/>
        <v>0</v>
      </c>
      <c r="P216" s="126">
        <f>IF(E216="Y",0,SUMIFS('Support - Transition'!G:G,'Support - Transition'!J:J,'Step 2'!D216,'Support - Transition'!E:E,"2009 SCHOOL ALLOCATION FACTOR"))</f>
        <v>0</v>
      </c>
      <c r="Q216" s="126">
        <f>IF(E216="Y",VLOOKUP(D216,'Support - Unit Adjustments'!F:G,2,FALSE),0)</f>
        <v>0</v>
      </c>
      <c r="R216" s="155">
        <f t="shared" si="61"/>
        <v>0</v>
      </c>
      <c r="S216" s="47">
        <f t="shared" si="67"/>
        <v>0</v>
      </c>
      <c r="T216" s="151">
        <f t="shared" si="62"/>
        <v>113</v>
      </c>
      <c r="U216" s="151">
        <f t="shared" si="63"/>
        <v>0</v>
      </c>
      <c r="V216" s="139">
        <f t="shared" si="64"/>
        <v>0</v>
      </c>
      <c r="W216" s="152">
        <f t="shared" si="68"/>
        <v>113</v>
      </c>
      <c r="X216" s="127" t="str">
        <f t="shared" si="65"/>
        <v/>
      </c>
      <c r="Y216" s="207">
        <f t="shared" si="69"/>
        <v>113</v>
      </c>
      <c r="Z216" s="139">
        <f t="shared" si="70"/>
        <v>29</v>
      </c>
      <c r="AA216" s="139">
        <f t="shared" si="71"/>
        <v>84</v>
      </c>
      <c r="AC216" s="47">
        <f t="shared" si="72"/>
        <v>57</v>
      </c>
      <c r="AD216" s="47">
        <f t="shared" si="73"/>
        <v>15</v>
      </c>
      <c r="AE216" s="47">
        <f t="shared" si="74"/>
        <v>42</v>
      </c>
      <c r="AG216" s="47">
        <f t="shared" si="75"/>
        <v>56</v>
      </c>
      <c r="AH216" s="47">
        <f t="shared" si="76"/>
        <v>14</v>
      </c>
      <c r="AI216" s="208">
        <f t="shared" si="77"/>
        <v>42</v>
      </c>
    </row>
    <row r="217" spans="1:35">
      <c r="A217" t="s">
        <v>2097</v>
      </c>
      <c r="B217" t="s">
        <v>3142</v>
      </c>
      <c r="C217" t="s">
        <v>2192</v>
      </c>
      <c r="D217" t="s">
        <v>3394</v>
      </c>
      <c r="F217" t="s">
        <v>147</v>
      </c>
      <c r="G217" s="126">
        <f>SUMIFS('Support - Transition'!F:F,'Support - Transition'!B:B,'Step 2'!A217,'Support - Transition'!C:C,'Step 2'!B217,'Support - Transition'!D:D,'Step 2'!C217,'Support - Transition'!E:E,"CIVIL")</f>
        <v>7.3099999999999999E-4</v>
      </c>
      <c r="H217" s="126">
        <f>SUMIFS('Support - Transition'!F:F,'Support - Transition'!B:B,'Step 2'!A217,'Support - Transition'!C:C,'Step 2'!B217,'Support - Transition'!D:D,'Step 2'!C217,'Support - Transition'!E:E,"FIRE")</f>
        <v>6.4599999999999998E-4</v>
      </c>
      <c r="I217" s="126">
        <f>IF(B217="0",SUMIFS('Support - Transition'!F:F,'Support - Transition'!J:J,'Step 2'!D217,'Support - Transition'!E:E,"STATE UNIT"),SUMIFS('Support - Transition'!F:F,'Support - Transition'!J:J,'Step 2'!D217))</f>
        <v>1.377E-3</v>
      </c>
      <c r="J217" s="126">
        <f>SUMIFS('Support - Unit Adjustments'!E:E,'Support - Unit Adjustments'!F:F,'Step 2'!D217)</f>
        <v>0</v>
      </c>
      <c r="K217" s="126">
        <f t="shared" si="59"/>
        <v>1.377E-3</v>
      </c>
      <c r="L217" s="174">
        <f>VLOOKUP(A217,'Step 1'!$A:$E,4,FALSE)</f>
        <v>366695</v>
      </c>
      <c r="M217" s="47">
        <f t="shared" si="60"/>
        <v>505</v>
      </c>
      <c r="N217" s="177">
        <f>SUMIFS('Support - Transition'!G:G,'Support - Transition'!J:J,'Step 2'!D217,'Support - Transition'!E:E,"2009 WELFARE ALLOCATION FACTOR")</f>
        <v>0</v>
      </c>
      <c r="O217" s="152">
        <f t="shared" si="66"/>
        <v>0</v>
      </c>
      <c r="P217" s="126">
        <f>IF(E217="Y",0,SUMIFS('Support - Transition'!G:G,'Support - Transition'!J:J,'Step 2'!D217,'Support - Transition'!E:E,"2009 SCHOOL ALLOCATION FACTOR"))</f>
        <v>0</v>
      </c>
      <c r="Q217" s="126">
        <f>IF(E217="Y",VLOOKUP(D217,'Support - Unit Adjustments'!F:G,2,FALSE),0)</f>
        <v>0</v>
      </c>
      <c r="R217" s="155">
        <f t="shared" si="61"/>
        <v>0</v>
      </c>
      <c r="S217" s="47">
        <f t="shared" si="67"/>
        <v>0</v>
      </c>
      <c r="T217" s="151">
        <f t="shared" si="62"/>
        <v>505</v>
      </c>
      <c r="U217" s="151">
        <f t="shared" si="63"/>
        <v>0</v>
      </c>
      <c r="V217" s="139">
        <f t="shared" si="64"/>
        <v>0</v>
      </c>
      <c r="W217" s="152">
        <f t="shared" si="68"/>
        <v>505</v>
      </c>
      <c r="X217" s="127" t="str">
        <f t="shared" si="65"/>
        <v/>
      </c>
      <c r="Y217" s="207">
        <f t="shared" si="69"/>
        <v>505</v>
      </c>
      <c r="Z217" s="139">
        <f t="shared" si="70"/>
        <v>268</v>
      </c>
      <c r="AA217" s="139">
        <f t="shared" si="71"/>
        <v>237</v>
      </c>
      <c r="AC217" s="47">
        <f t="shared" si="72"/>
        <v>253</v>
      </c>
      <c r="AD217" s="47">
        <f t="shared" si="73"/>
        <v>134</v>
      </c>
      <c r="AE217" s="47">
        <f t="shared" si="74"/>
        <v>119</v>
      </c>
      <c r="AG217" s="47">
        <f t="shared" si="75"/>
        <v>252</v>
      </c>
      <c r="AH217" s="47">
        <f t="shared" si="76"/>
        <v>134</v>
      </c>
      <c r="AI217" s="208">
        <f t="shared" si="77"/>
        <v>118</v>
      </c>
    </row>
    <row r="218" spans="1:35">
      <c r="A218" t="s">
        <v>2097</v>
      </c>
      <c r="B218" t="s">
        <v>3142</v>
      </c>
      <c r="C218" t="s">
        <v>2193</v>
      </c>
      <c r="D218" t="s">
        <v>3395</v>
      </c>
      <c r="F218" t="s">
        <v>179</v>
      </c>
      <c r="G218" s="126">
        <f>SUMIFS('Support - Transition'!F:F,'Support - Transition'!B:B,'Step 2'!A218,'Support - Transition'!C:C,'Step 2'!B218,'Support - Transition'!D:D,'Step 2'!C218,'Support - Transition'!E:E,"CIVIL")</f>
        <v>4.9700000000000005E-4</v>
      </c>
      <c r="H218" s="126">
        <f>SUMIFS('Support - Transition'!F:F,'Support - Transition'!B:B,'Step 2'!A218,'Support - Transition'!C:C,'Step 2'!B218,'Support - Transition'!D:D,'Step 2'!C218,'Support - Transition'!E:E,"FIRE")</f>
        <v>3.2299999999999999E-4</v>
      </c>
      <c r="I218" s="126">
        <f>IF(B218="0",SUMIFS('Support - Transition'!F:F,'Support - Transition'!J:J,'Step 2'!D218,'Support - Transition'!E:E,"STATE UNIT"),SUMIFS('Support - Transition'!F:F,'Support - Transition'!J:J,'Step 2'!D218))</f>
        <v>8.1999999999999998E-4</v>
      </c>
      <c r="J218" s="126">
        <f>SUMIFS('Support - Unit Adjustments'!E:E,'Support - Unit Adjustments'!F:F,'Step 2'!D218)</f>
        <v>0</v>
      </c>
      <c r="K218" s="126">
        <f t="shared" si="59"/>
        <v>8.1999999999999998E-4</v>
      </c>
      <c r="L218" s="174">
        <f>VLOOKUP(A218,'Step 1'!$A:$E,4,FALSE)</f>
        <v>366695</v>
      </c>
      <c r="M218" s="47">
        <f t="shared" si="60"/>
        <v>301</v>
      </c>
      <c r="N218" s="177">
        <f>SUMIFS('Support - Transition'!G:G,'Support - Transition'!J:J,'Step 2'!D218,'Support - Transition'!E:E,"2009 WELFARE ALLOCATION FACTOR")</f>
        <v>0</v>
      </c>
      <c r="O218" s="152">
        <f t="shared" si="66"/>
        <v>0</v>
      </c>
      <c r="P218" s="126">
        <f>IF(E218="Y",0,SUMIFS('Support - Transition'!G:G,'Support - Transition'!J:J,'Step 2'!D218,'Support - Transition'!E:E,"2009 SCHOOL ALLOCATION FACTOR"))</f>
        <v>0</v>
      </c>
      <c r="Q218" s="126">
        <f>IF(E218="Y",VLOOKUP(D218,'Support - Unit Adjustments'!F:G,2,FALSE),0)</f>
        <v>0</v>
      </c>
      <c r="R218" s="155">
        <f t="shared" si="61"/>
        <v>0</v>
      </c>
      <c r="S218" s="47">
        <f t="shared" si="67"/>
        <v>0</v>
      </c>
      <c r="T218" s="151">
        <f t="shared" si="62"/>
        <v>301</v>
      </c>
      <c r="U218" s="151">
        <f t="shared" si="63"/>
        <v>0</v>
      </c>
      <c r="V218" s="139">
        <f t="shared" si="64"/>
        <v>0</v>
      </c>
      <c r="W218" s="152">
        <f t="shared" si="68"/>
        <v>301</v>
      </c>
      <c r="X218" s="127" t="str">
        <f t="shared" si="65"/>
        <v/>
      </c>
      <c r="Y218" s="207">
        <f t="shared" si="69"/>
        <v>301</v>
      </c>
      <c r="Z218" s="139">
        <f t="shared" si="70"/>
        <v>182</v>
      </c>
      <c r="AA218" s="139">
        <f t="shared" si="71"/>
        <v>119</v>
      </c>
      <c r="AC218" s="47">
        <f t="shared" si="72"/>
        <v>151</v>
      </c>
      <c r="AD218" s="47">
        <f t="shared" si="73"/>
        <v>91</v>
      </c>
      <c r="AE218" s="47">
        <f t="shared" si="74"/>
        <v>60</v>
      </c>
      <c r="AG218" s="47">
        <f t="shared" si="75"/>
        <v>150</v>
      </c>
      <c r="AH218" s="47">
        <f t="shared" si="76"/>
        <v>91</v>
      </c>
      <c r="AI218" s="208">
        <f t="shared" si="77"/>
        <v>59</v>
      </c>
    </row>
    <row r="219" spans="1:35">
      <c r="A219" t="s">
        <v>2097</v>
      </c>
      <c r="B219" t="s">
        <v>3142</v>
      </c>
      <c r="C219" t="s">
        <v>2194</v>
      </c>
      <c r="D219" t="s">
        <v>3396</v>
      </c>
      <c r="F219" t="s">
        <v>201</v>
      </c>
      <c r="G219" s="126">
        <f>SUMIFS('Support - Transition'!F:F,'Support - Transition'!B:B,'Step 2'!A219,'Support - Transition'!C:C,'Step 2'!B219,'Support - Transition'!D:D,'Step 2'!C219,'Support - Transition'!E:E,"CIVIL")</f>
        <v>4.3470000000000002E-3</v>
      </c>
      <c r="H219" s="126">
        <f>SUMIFS('Support - Transition'!F:F,'Support - Transition'!B:B,'Step 2'!A219,'Support - Transition'!C:C,'Step 2'!B219,'Support - Transition'!D:D,'Step 2'!C219,'Support - Transition'!E:E,"FIRE")</f>
        <v>4.2700000000000002E-4</v>
      </c>
      <c r="I219" s="126">
        <f>IF(B219="0",SUMIFS('Support - Transition'!F:F,'Support - Transition'!J:J,'Step 2'!D219,'Support - Transition'!E:E,"STATE UNIT"),SUMIFS('Support - Transition'!F:F,'Support - Transition'!J:J,'Step 2'!D219))</f>
        <v>4.7740000000000005E-3</v>
      </c>
      <c r="J219" s="126">
        <f>SUMIFS('Support - Unit Adjustments'!E:E,'Support - Unit Adjustments'!F:F,'Step 2'!D219)</f>
        <v>0</v>
      </c>
      <c r="K219" s="126">
        <f t="shared" si="59"/>
        <v>4.7740000000000005E-3</v>
      </c>
      <c r="L219" s="174">
        <f>VLOOKUP(A219,'Step 1'!$A:$E,4,FALSE)</f>
        <v>366695</v>
      </c>
      <c r="M219" s="47">
        <f t="shared" si="60"/>
        <v>1751</v>
      </c>
      <c r="N219" s="177">
        <f>SUMIFS('Support - Transition'!G:G,'Support - Transition'!J:J,'Step 2'!D219,'Support - Transition'!E:E,"2009 WELFARE ALLOCATION FACTOR")</f>
        <v>0</v>
      </c>
      <c r="O219" s="152">
        <f t="shared" si="66"/>
        <v>0</v>
      </c>
      <c r="P219" s="126">
        <f>IF(E219="Y",0,SUMIFS('Support - Transition'!G:G,'Support - Transition'!J:J,'Step 2'!D219,'Support - Transition'!E:E,"2009 SCHOOL ALLOCATION FACTOR"))</f>
        <v>0</v>
      </c>
      <c r="Q219" s="126">
        <f>IF(E219="Y",VLOOKUP(D219,'Support - Unit Adjustments'!F:G,2,FALSE),0)</f>
        <v>0</v>
      </c>
      <c r="R219" s="155">
        <f t="shared" si="61"/>
        <v>0</v>
      </c>
      <c r="S219" s="47">
        <f t="shared" si="67"/>
        <v>0</v>
      </c>
      <c r="T219" s="151">
        <f t="shared" si="62"/>
        <v>1751</v>
      </c>
      <c r="U219" s="151">
        <f t="shared" si="63"/>
        <v>0</v>
      </c>
      <c r="V219" s="139">
        <f t="shared" si="64"/>
        <v>0</v>
      </c>
      <c r="W219" s="152">
        <f t="shared" si="68"/>
        <v>1751</v>
      </c>
      <c r="X219" s="127" t="str">
        <f t="shared" si="65"/>
        <v/>
      </c>
      <c r="Y219" s="207">
        <f t="shared" si="69"/>
        <v>1751</v>
      </c>
      <c r="Z219" s="139">
        <f t="shared" si="70"/>
        <v>1594</v>
      </c>
      <c r="AA219" s="139">
        <f t="shared" si="71"/>
        <v>157</v>
      </c>
      <c r="AC219" s="47">
        <f t="shared" si="72"/>
        <v>876</v>
      </c>
      <c r="AD219" s="47">
        <f t="shared" si="73"/>
        <v>797</v>
      </c>
      <c r="AE219" s="47">
        <f t="shared" si="74"/>
        <v>79</v>
      </c>
      <c r="AG219" s="47">
        <f t="shared" si="75"/>
        <v>875</v>
      </c>
      <c r="AH219" s="47">
        <f t="shared" si="76"/>
        <v>797</v>
      </c>
      <c r="AI219" s="208">
        <f t="shared" si="77"/>
        <v>78</v>
      </c>
    </row>
    <row r="220" spans="1:35">
      <c r="A220" t="s">
        <v>2097</v>
      </c>
      <c r="B220" t="s">
        <v>3142</v>
      </c>
      <c r="C220" t="s">
        <v>2195</v>
      </c>
      <c r="D220" t="s">
        <v>3397</v>
      </c>
      <c r="F220" t="s">
        <v>86</v>
      </c>
      <c r="G220" s="126">
        <f>SUMIFS('Support - Transition'!F:F,'Support - Transition'!B:B,'Step 2'!A220,'Support - Transition'!C:C,'Step 2'!B220,'Support - Transition'!D:D,'Step 2'!C220,'Support - Transition'!E:E,"CIVIL")</f>
        <v>7.4600000000000003E-4</v>
      </c>
      <c r="H220" s="126">
        <f>SUMIFS('Support - Transition'!F:F,'Support - Transition'!B:B,'Step 2'!A220,'Support - Transition'!C:C,'Step 2'!B220,'Support - Transition'!D:D,'Step 2'!C220,'Support - Transition'!E:E,"FIRE")</f>
        <v>5.8399999999999999E-4</v>
      </c>
      <c r="I220" s="126">
        <f>IF(B220="0",SUMIFS('Support - Transition'!F:F,'Support - Transition'!J:J,'Step 2'!D220,'Support - Transition'!E:E,"STATE UNIT"),SUMIFS('Support - Transition'!F:F,'Support - Transition'!J:J,'Step 2'!D220))</f>
        <v>1.33E-3</v>
      </c>
      <c r="J220" s="126">
        <f>SUMIFS('Support - Unit Adjustments'!E:E,'Support - Unit Adjustments'!F:F,'Step 2'!D220)</f>
        <v>0</v>
      </c>
      <c r="K220" s="126">
        <f t="shared" si="59"/>
        <v>1.33E-3</v>
      </c>
      <c r="L220" s="174">
        <f>VLOOKUP(A220,'Step 1'!$A:$E,4,FALSE)</f>
        <v>366695</v>
      </c>
      <c r="M220" s="47">
        <f t="shared" si="60"/>
        <v>488</v>
      </c>
      <c r="N220" s="177">
        <f>SUMIFS('Support - Transition'!G:G,'Support - Transition'!J:J,'Step 2'!D220,'Support - Transition'!E:E,"2009 WELFARE ALLOCATION FACTOR")</f>
        <v>0</v>
      </c>
      <c r="O220" s="152">
        <f t="shared" si="66"/>
        <v>0</v>
      </c>
      <c r="P220" s="126">
        <f>IF(E220="Y",0,SUMIFS('Support - Transition'!G:G,'Support - Transition'!J:J,'Step 2'!D220,'Support - Transition'!E:E,"2009 SCHOOL ALLOCATION FACTOR"))</f>
        <v>0</v>
      </c>
      <c r="Q220" s="126">
        <f>IF(E220="Y",VLOOKUP(D220,'Support - Unit Adjustments'!F:G,2,FALSE),0)</f>
        <v>0</v>
      </c>
      <c r="R220" s="155">
        <f t="shared" si="61"/>
        <v>0</v>
      </c>
      <c r="S220" s="47">
        <f t="shared" si="67"/>
        <v>0</v>
      </c>
      <c r="T220" s="151">
        <f t="shared" si="62"/>
        <v>488</v>
      </c>
      <c r="U220" s="151">
        <f t="shared" si="63"/>
        <v>0</v>
      </c>
      <c r="V220" s="139">
        <f t="shared" si="64"/>
        <v>0</v>
      </c>
      <c r="W220" s="152">
        <f t="shared" si="68"/>
        <v>488</v>
      </c>
      <c r="X220" s="127" t="str">
        <f t="shared" si="65"/>
        <v/>
      </c>
      <c r="Y220" s="207">
        <f t="shared" si="69"/>
        <v>488</v>
      </c>
      <c r="Z220" s="139">
        <f t="shared" si="70"/>
        <v>274</v>
      </c>
      <c r="AA220" s="139">
        <f t="shared" si="71"/>
        <v>214</v>
      </c>
      <c r="AC220" s="47">
        <f t="shared" si="72"/>
        <v>244</v>
      </c>
      <c r="AD220" s="47">
        <f t="shared" si="73"/>
        <v>137</v>
      </c>
      <c r="AE220" s="47">
        <f t="shared" si="74"/>
        <v>107</v>
      </c>
      <c r="AG220" s="47">
        <f t="shared" si="75"/>
        <v>244</v>
      </c>
      <c r="AH220" s="47">
        <f t="shared" si="76"/>
        <v>137</v>
      </c>
      <c r="AI220" s="208">
        <f t="shared" si="77"/>
        <v>107</v>
      </c>
    </row>
    <row r="221" spans="1:35">
      <c r="A221" t="s">
        <v>2097</v>
      </c>
      <c r="B221" t="s">
        <v>3142</v>
      </c>
      <c r="C221" t="s">
        <v>2196</v>
      </c>
      <c r="D221" t="s">
        <v>3398</v>
      </c>
      <c r="F221" t="s">
        <v>49</v>
      </c>
      <c r="G221" s="126">
        <f>SUMIFS('Support - Transition'!F:F,'Support - Transition'!B:B,'Step 2'!A221,'Support - Transition'!C:C,'Step 2'!B221,'Support - Transition'!D:D,'Step 2'!C221,'Support - Transition'!E:E,"CIVIL")</f>
        <v>5.9599999999999996E-4</v>
      </c>
      <c r="H221" s="126">
        <f>SUMIFS('Support - Transition'!F:F,'Support - Transition'!B:B,'Step 2'!A221,'Support - Transition'!C:C,'Step 2'!B221,'Support - Transition'!D:D,'Step 2'!C221,'Support - Transition'!E:E,"FIRE")</f>
        <v>3.8000000000000002E-4</v>
      </c>
      <c r="I221" s="126">
        <f>IF(B221="0",SUMIFS('Support - Transition'!F:F,'Support - Transition'!J:J,'Step 2'!D221,'Support - Transition'!E:E,"STATE UNIT"),SUMIFS('Support - Transition'!F:F,'Support - Transition'!J:J,'Step 2'!D221))</f>
        <v>9.7599999999999998E-4</v>
      </c>
      <c r="J221" s="126">
        <f>SUMIFS('Support - Unit Adjustments'!E:E,'Support - Unit Adjustments'!F:F,'Step 2'!D221)</f>
        <v>0</v>
      </c>
      <c r="K221" s="126">
        <f t="shared" si="59"/>
        <v>9.7599999999999998E-4</v>
      </c>
      <c r="L221" s="174">
        <f>VLOOKUP(A221,'Step 1'!$A:$E,4,FALSE)</f>
        <v>366695</v>
      </c>
      <c r="M221" s="47">
        <f t="shared" si="60"/>
        <v>358</v>
      </c>
      <c r="N221" s="177">
        <f>SUMIFS('Support - Transition'!G:G,'Support - Transition'!J:J,'Step 2'!D221,'Support - Transition'!E:E,"2009 WELFARE ALLOCATION FACTOR")</f>
        <v>0</v>
      </c>
      <c r="O221" s="152">
        <f t="shared" si="66"/>
        <v>0</v>
      </c>
      <c r="P221" s="126">
        <f>IF(E221="Y",0,SUMIFS('Support - Transition'!G:G,'Support - Transition'!J:J,'Step 2'!D221,'Support - Transition'!E:E,"2009 SCHOOL ALLOCATION FACTOR"))</f>
        <v>0</v>
      </c>
      <c r="Q221" s="126">
        <f>IF(E221="Y",VLOOKUP(D221,'Support - Unit Adjustments'!F:G,2,FALSE),0)</f>
        <v>0</v>
      </c>
      <c r="R221" s="155">
        <f t="shared" si="61"/>
        <v>0</v>
      </c>
      <c r="S221" s="47">
        <f t="shared" si="67"/>
        <v>0</v>
      </c>
      <c r="T221" s="151">
        <f t="shared" si="62"/>
        <v>358</v>
      </c>
      <c r="U221" s="151">
        <f t="shared" si="63"/>
        <v>0</v>
      </c>
      <c r="V221" s="139">
        <f t="shared" si="64"/>
        <v>0</v>
      </c>
      <c r="W221" s="152">
        <f t="shared" si="68"/>
        <v>358</v>
      </c>
      <c r="X221" s="127" t="str">
        <f t="shared" si="65"/>
        <v/>
      </c>
      <c r="Y221" s="207">
        <f t="shared" si="69"/>
        <v>358</v>
      </c>
      <c r="Z221" s="139">
        <f t="shared" si="70"/>
        <v>219</v>
      </c>
      <c r="AA221" s="139">
        <f t="shared" si="71"/>
        <v>139</v>
      </c>
      <c r="AC221" s="47">
        <f t="shared" si="72"/>
        <v>179</v>
      </c>
      <c r="AD221" s="47">
        <f t="shared" si="73"/>
        <v>110</v>
      </c>
      <c r="AE221" s="47">
        <f t="shared" si="74"/>
        <v>70</v>
      </c>
      <c r="AG221" s="47">
        <f t="shared" si="75"/>
        <v>179</v>
      </c>
      <c r="AH221" s="47">
        <f t="shared" si="76"/>
        <v>109</v>
      </c>
      <c r="AI221" s="208">
        <f t="shared" si="77"/>
        <v>69</v>
      </c>
    </row>
    <row r="222" spans="1:35">
      <c r="A222" t="s">
        <v>2097</v>
      </c>
      <c r="B222" t="s">
        <v>3142</v>
      </c>
      <c r="C222" t="s">
        <v>2197</v>
      </c>
      <c r="D222" t="s">
        <v>3399</v>
      </c>
      <c r="F222" t="s">
        <v>14</v>
      </c>
      <c r="G222" s="126">
        <f>SUMIFS('Support - Transition'!F:F,'Support - Transition'!B:B,'Step 2'!A222,'Support - Transition'!C:C,'Step 2'!B222,'Support - Transition'!D:D,'Step 2'!C222,'Support - Transition'!E:E,"CIVIL")</f>
        <v>4.0000000000000002E-4</v>
      </c>
      <c r="H222" s="126">
        <f>SUMIFS('Support - Transition'!F:F,'Support - Transition'!B:B,'Step 2'!A222,'Support - Transition'!C:C,'Step 2'!B222,'Support - Transition'!D:D,'Step 2'!C222,'Support - Transition'!E:E,"FIRE")</f>
        <v>2.7300000000000002E-4</v>
      </c>
      <c r="I222" s="126">
        <f>IF(B222="0",SUMIFS('Support - Transition'!F:F,'Support - Transition'!J:J,'Step 2'!D222,'Support - Transition'!E:E,"STATE UNIT"),SUMIFS('Support - Transition'!F:F,'Support - Transition'!J:J,'Step 2'!D222))</f>
        <v>6.7299999999999999E-4</v>
      </c>
      <c r="J222" s="126">
        <f>SUMIFS('Support - Unit Adjustments'!E:E,'Support - Unit Adjustments'!F:F,'Step 2'!D222)</f>
        <v>0</v>
      </c>
      <c r="K222" s="126">
        <f t="shared" si="59"/>
        <v>6.7299999999999999E-4</v>
      </c>
      <c r="L222" s="174">
        <f>VLOOKUP(A222,'Step 1'!$A:$E,4,FALSE)</f>
        <v>366695</v>
      </c>
      <c r="M222" s="47">
        <f t="shared" si="60"/>
        <v>247</v>
      </c>
      <c r="N222" s="177">
        <f>SUMIFS('Support - Transition'!G:G,'Support - Transition'!J:J,'Step 2'!D222,'Support - Transition'!E:E,"2009 WELFARE ALLOCATION FACTOR")</f>
        <v>0</v>
      </c>
      <c r="O222" s="152">
        <f t="shared" si="66"/>
        <v>0</v>
      </c>
      <c r="P222" s="126">
        <f>IF(E222="Y",0,SUMIFS('Support - Transition'!G:G,'Support - Transition'!J:J,'Step 2'!D222,'Support - Transition'!E:E,"2009 SCHOOL ALLOCATION FACTOR"))</f>
        <v>0</v>
      </c>
      <c r="Q222" s="126">
        <f>IF(E222="Y",VLOOKUP(D222,'Support - Unit Adjustments'!F:G,2,FALSE),0)</f>
        <v>0</v>
      </c>
      <c r="R222" s="155">
        <f t="shared" si="61"/>
        <v>0</v>
      </c>
      <c r="S222" s="47">
        <f t="shared" si="67"/>
        <v>0</v>
      </c>
      <c r="T222" s="151">
        <f t="shared" si="62"/>
        <v>247</v>
      </c>
      <c r="U222" s="151">
        <f t="shared" si="63"/>
        <v>0</v>
      </c>
      <c r="V222" s="139">
        <f t="shared" si="64"/>
        <v>0</v>
      </c>
      <c r="W222" s="152">
        <f t="shared" si="68"/>
        <v>247</v>
      </c>
      <c r="X222" s="127" t="str">
        <f t="shared" si="65"/>
        <v/>
      </c>
      <c r="Y222" s="207">
        <f t="shared" si="69"/>
        <v>247</v>
      </c>
      <c r="Z222" s="139">
        <f t="shared" si="70"/>
        <v>147</v>
      </c>
      <c r="AA222" s="139">
        <f t="shared" si="71"/>
        <v>100</v>
      </c>
      <c r="AC222" s="47">
        <f t="shared" si="72"/>
        <v>124</v>
      </c>
      <c r="AD222" s="47">
        <f t="shared" si="73"/>
        <v>74</v>
      </c>
      <c r="AE222" s="47">
        <f t="shared" si="74"/>
        <v>50</v>
      </c>
      <c r="AG222" s="47">
        <f t="shared" si="75"/>
        <v>123</v>
      </c>
      <c r="AH222" s="47">
        <f t="shared" si="76"/>
        <v>73</v>
      </c>
      <c r="AI222" s="208">
        <f t="shared" si="77"/>
        <v>50</v>
      </c>
    </row>
    <row r="223" spans="1:35">
      <c r="A223" t="s">
        <v>2097</v>
      </c>
      <c r="B223" t="s">
        <v>3142</v>
      </c>
      <c r="C223" t="s">
        <v>2198</v>
      </c>
      <c r="D223" t="s">
        <v>3400</v>
      </c>
      <c r="F223" t="s">
        <v>202</v>
      </c>
      <c r="G223" s="126">
        <f>SUMIFS('Support - Transition'!F:F,'Support - Transition'!B:B,'Step 2'!A223,'Support - Transition'!C:C,'Step 2'!B223,'Support - Transition'!D:D,'Step 2'!C223,'Support - Transition'!E:E,"CIVIL")</f>
        <v>3.4499999999999998E-4</v>
      </c>
      <c r="H223" s="126">
        <f>SUMIFS('Support - Transition'!F:F,'Support - Transition'!B:B,'Step 2'!A223,'Support - Transition'!C:C,'Step 2'!B223,'Support - Transition'!D:D,'Step 2'!C223,'Support - Transition'!E:E,"FIRE")</f>
        <v>2.3900000000000001E-4</v>
      </c>
      <c r="I223" s="126">
        <f>IF(B223="0",SUMIFS('Support - Transition'!F:F,'Support - Transition'!J:J,'Step 2'!D223,'Support - Transition'!E:E,"STATE UNIT"),SUMIFS('Support - Transition'!F:F,'Support - Transition'!J:J,'Step 2'!D223))</f>
        <v>5.8399999999999999E-4</v>
      </c>
      <c r="J223" s="126">
        <f>SUMIFS('Support - Unit Adjustments'!E:E,'Support - Unit Adjustments'!F:F,'Step 2'!D223)</f>
        <v>0</v>
      </c>
      <c r="K223" s="126">
        <f t="shared" si="59"/>
        <v>5.8399999999999999E-4</v>
      </c>
      <c r="L223" s="174">
        <f>VLOOKUP(A223,'Step 1'!$A:$E,4,FALSE)</f>
        <v>366695</v>
      </c>
      <c r="M223" s="47">
        <f t="shared" si="60"/>
        <v>214</v>
      </c>
      <c r="N223" s="177">
        <f>SUMIFS('Support - Transition'!G:G,'Support - Transition'!J:J,'Step 2'!D223,'Support - Transition'!E:E,"2009 WELFARE ALLOCATION FACTOR")</f>
        <v>0</v>
      </c>
      <c r="O223" s="152">
        <f t="shared" si="66"/>
        <v>0</v>
      </c>
      <c r="P223" s="126">
        <f>IF(E223="Y",0,SUMIFS('Support - Transition'!G:G,'Support - Transition'!J:J,'Step 2'!D223,'Support - Transition'!E:E,"2009 SCHOOL ALLOCATION FACTOR"))</f>
        <v>0</v>
      </c>
      <c r="Q223" s="126">
        <f>IF(E223="Y",VLOOKUP(D223,'Support - Unit Adjustments'!F:G,2,FALSE),0)</f>
        <v>0</v>
      </c>
      <c r="R223" s="155">
        <f t="shared" si="61"/>
        <v>0</v>
      </c>
      <c r="S223" s="47">
        <f t="shared" si="67"/>
        <v>0</v>
      </c>
      <c r="T223" s="151">
        <f t="shared" si="62"/>
        <v>214</v>
      </c>
      <c r="U223" s="151">
        <f t="shared" si="63"/>
        <v>0</v>
      </c>
      <c r="V223" s="139">
        <f t="shared" si="64"/>
        <v>0</v>
      </c>
      <c r="W223" s="152">
        <f t="shared" si="68"/>
        <v>214</v>
      </c>
      <c r="X223" s="127" t="str">
        <f t="shared" si="65"/>
        <v/>
      </c>
      <c r="Y223" s="207">
        <f t="shared" si="69"/>
        <v>214</v>
      </c>
      <c r="Z223" s="139">
        <f t="shared" si="70"/>
        <v>126</v>
      </c>
      <c r="AA223" s="139">
        <f t="shared" si="71"/>
        <v>88</v>
      </c>
      <c r="AC223" s="47">
        <f t="shared" si="72"/>
        <v>107</v>
      </c>
      <c r="AD223" s="47">
        <f t="shared" si="73"/>
        <v>63</v>
      </c>
      <c r="AE223" s="47">
        <f t="shared" si="74"/>
        <v>44</v>
      </c>
      <c r="AG223" s="47">
        <f t="shared" si="75"/>
        <v>107</v>
      </c>
      <c r="AH223" s="47">
        <f t="shared" si="76"/>
        <v>63</v>
      </c>
      <c r="AI223" s="208">
        <f t="shared" si="77"/>
        <v>44</v>
      </c>
    </row>
    <row r="224" spans="1:35">
      <c r="A224" t="s">
        <v>2097</v>
      </c>
      <c r="B224" t="s">
        <v>3142</v>
      </c>
      <c r="C224" t="s">
        <v>2199</v>
      </c>
      <c r="D224" t="s">
        <v>3401</v>
      </c>
      <c r="F224" t="s">
        <v>203</v>
      </c>
      <c r="G224" s="126">
        <f>SUMIFS('Support - Transition'!F:F,'Support - Transition'!B:B,'Step 2'!A224,'Support - Transition'!C:C,'Step 2'!B224,'Support - Transition'!D:D,'Step 2'!C224,'Support - Transition'!E:E,"CIVIL")</f>
        <v>4.1800000000000002E-4</v>
      </c>
      <c r="H224" s="126">
        <f>SUMIFS('Support - Transition'!F:F,'Support - Transition'!B:B,'Step 2'!A224,'Support - Transition'!C:C,'Step 2'!B224,'Support - Transition'!D:D,'Step 2'!C224,'Support - Transition'!E:E,"FIRE")</f>
        <v>7.7800000000000005E-4</v>
      </c>
      <c r="I224" s="126">
        <f>IF(B224="0",SUMIFS('Support - Transition'!F:F,'Support - Transition'!J:J,'Step 2'!D224,'Support - Transition'!E:E,"STATE UNIT"),SUMIFS('Support - Transition'!F:F,'Support - Transition'!J:J,'Step 2'!D224))</f>
        <v>1.196E-3</v>
      </c>
      <c r="J224" s="126">
        <f>SUMIFS('Support - Unit Adjustments'!E:E,'Support - Unit Adjustments'!F:F,'Step 2'!D224)</f>
        <v>0</v>
      </c>
      <c r="K224" s="126">
        <f t="shared" si="59"/>
        <v>1.196E-3</v>
      </c>
      <c r="L224" s="174">
        <f>VLOOKUP(A224,'Step 1'!$A:$E,4,FALSE)</f>
        <v>366695</v>
      </c>
      <c r="M224" s="47">
        <f t="shared" si="60"/>
        <v>439</v>
      </c>
      <c r="N224" s="177">
        <f>SUMIFS('Support - Transition'!G:G,'Support - Transition'!J:J,'Step 2'!D224,'Support - Transition'!E:E,"2009 WELFARE ALLOCATION FACTOR")</f>
        <v>0</v>
      </c>
      <c r="O224" s="152">
        <f t="shared" si="66"/>
        <v>0</v>
      </c>
      <c r="P224" s="126">
        <f>IF(E224="Y",0,SUMIFS('Support - Transition'!G:G,'Support - Transition'!J:J,'Step 2'!D224,'Support - Transition'!E:E,"2009 SCHOOL ALLOCATION FACTOR"))</f>
        <v>0</v>
      </c>
      <c r="Q224" s="126">
        <f>IF(E224="Y",VLOOKUP(D224,'Support - Unit Adjustments'!F:G,2,FALSE),0)</f>
        <v>0</v>
      </c>
      <c r="R224" s="155">
        <f t="shared" si="61"/>
        <v>0</v>
      </c>
      <c r="S224" s="47">
        <f t="shared" si="67"/>
        <v>0</v>
      </c>
      <c r="T224" s="151">
        <f t="shared" si="62"/>
        <v>439</v>
      </c>
      <c r="U224" s="151">
        <f t="shared" si="63"/>
        <v>0</v>
      </c>
      <c r="V224" s="139">
        <f t="shared" si="64"/>
        <v>0</v>
      </c>
      <c r="W224" s="152">
        <f t="shared" si="68"/>
        <v>439</v>
      </c>
      <c r="X224" s="127" t="str">
        <f t="shared" si="65"/>
        <v/>
      </c>
      <c r="Y224" s="207">
        <f t="shared" si="69"/>
        <v>439</v>
      </c>
      <c r="Z224" s="139">
        <f t="shared" si="70"/>
        <v>153</v>
      </c>
      <c r="AA224" s="139">
        <f t="shared" si="71"/>
        <v>286</v>
      </c>
      <c r="AC224" s="47">
        <f t="shared" si="72"/>
        <v>220</v>
      </c>
      <c r="AD224" s="47">
        <f t="shared" si="73"/>
        <v>77</v>
      </c>
      <c r="AE224" s="47">
        <f t="shared" si="74"/>
        <v>143</v>
      </c>
      <c r="AG224" s="47">
        <f t="shared" si="75"/>
        <v>219</v>
      </c>
      <c r="AH224" s="47">
        <f t="shared" si="76"/>
        <v>76</v>
      </c>
      <c r="AI224" s="208">
        <f t="shared" si="77"/>
        <v>143</v>
      </c>
    </row>
    <row r="225" spans="1:35">
      <c r="A225" t="s">
        <v>2097</v>
      </c>
      <c r="B225" t="s">
        <v>3142</v>
      </c>
      <c r="C225" t="s">
        <v>2208</v>
      </c>
      <c r="D225" t="s">
        <v>3402</v>
      </c>
      <c r="F225" t="s">
        <v>204</v>
      </c>
      <c r="G225" s="126">
        <f>SUMIFS('Support - Transition'!F:F,'Support - Transition'!B:B,'Step 2'!A225,'Support - Transition'!C:C,'Step 2'!B225,'Support - Transition'!D:D,'Step 2'!C225,'Support - Transition'!E:E,"CIVIL")</f>
        <v>5.0900000000000001E-4</v>
      </c>
      <c r="H225" s="126">
        <f>SUMIFS('Support - Transition'!F:F,'Support - Transition'!B:B,'Step 2'!A225,'Support - Transition'!C:C,'Step 2'!B225,'Support - Transition'!D:D,'Step 2'!C225,'Support - Transition'!E:E,"FIRE")</f>
        <v>6.5399999999999996E-4</v>
      </c>
      <c r="I225" s="126">
        <f>IF(B225="0",SUMIFS('Support - Transition'!F:F,'Support - Transition'!J:J,'Step 2'!D225,'Support - Transition'!E:E,"STATE UNIT"),SUMIFS('Support - Transition'!F:F,'Support - Transition'!J:J,'Step 2'!D225))</f>
        <v>1.163E-3</v>
      </c>
      <c r="J225" s="126">
        <f>SUMIFS('Support - Unit Adjustments'!E:E,'Support - Unit Adjustments'!F:F,'Step 2'!D225)</f>
        <v>0</v>
      </c>
      <c r="K225" s="126">
        <f t="shared" si="59"/>
        <v>1.163E-3</v>
      </c>
      <c r="L225" s="174">
        <f>VLOOKUP(A225,'Step 1'!$A:$E,4,FALSE)</f>
        <v>366695</v>
      </c>
      <c r="M225" s="47">
        <f t="shared" si="60"/>
        <v>426</v>
      </c>
      <c r="N225" s="177">
        <f>SUMIFS('Support - Transition'!G:G,'Support - Transition'!J:J,'Step 2'!D225,'Support - Transition'!E:E,"2009 WELFARE ALLOCATION FACTOR")</f>
        <v>0</v>
      </c>
      <c r="O225" s="152">
        <f t="shared" si="66"/>
        <v>0</v>
      </c>
      <c r="P225" s="126">
        <f>IF(E225="Y",0,SUMIFS('Support - Transition'!G:G,'Support - Transition'!J:J,'Step 2'!D225,'Support - Transition'!E:E,"2009 SCHOOL ALLOCATION FACTOR"))</f>
        <v>0</v>
      </c>
      <c r="Q225" s="126">
        <f>IF(E225="Y",VLOOKUP(D225,'Support - Unit Adjustments'!F:G,2,FALSE),0)</f>
        <v>0</v>
      </c>
      <c r="R225" s="155">
        <f t="shared" si="61"/>
        <v>0</v>
      </c>
      <c r="S225" s="47">
        <f t="shared" si="67"/>
        <v>0</v>
      </c>
      <c r="T225" s="151">
        <f t="shared" si="62"/>
        <v>426</v>
      </c>
      <c r="U225" s="151">
        <f t="shared" si="63"/>
        <v>0</v>
      </c>
      <c r="V225" s="139">
        <f t="shared" si="64"/>
        <v>0</v>
      </c>
      <c r="W225" s="152">
        <f t="shared" si="68"/>
        <v>426</v>
      </c>
      <c r="X225" s="127" t="str">
        <f t="shared" si="65"/>
        <v/>
      </c>
      <c r="Y225" s="207">
        <f t="shared" si="69"/>
        <v>426</v>
      </c>
      <c r="Z225" s="139">
        <f t="shared" si="70"/>
        <v>186</v>
      </c>
      <c r="AA225" s="139">
        <f t="shared" si="71"/>
        <v>240</v>
      </c>
      <c r="AC225" s="47">
        <f t="shared" si="72"/>
        <v>213</v>
      </c>
      <c r="AD225" s="47">
        <f t="shared" si="73"/>
        <v>93</v>
      </c>
      <c r="AE225" s="47">
        <f t="shared" si="74"/>
        <v>120</v>
      </c>
      <c r="AG225" s="47">
        <f t="shared" si="75"/>
        <v>213</v>
      </c>
      <c r="AH225" s="47">
        <f t="shared" si="76"/>
        <v>93</v>
      </c>
      <c r="AI225" s="208">
        <f t="shared" si="77"/>
        <v>120</v>
      </c>
    </row>
    <row r="226" spans="1:35">
      <c r="A226" t="s">
        <v>2097</v>
      </c>
      <c r="B226" t="s">
        <v>3142</v>
      </c>
      <c r="C226" t="s">
        <v>2209</v>
      </c>
      <c r="D226" t="s">
        <v>3403</v>
      </c>
      <c r="F226" t="s">
        <v>22</v>
      </c>
      <c r="G226" s="126">
        <f>SUMIFS('Support - Transition'!F:F,'Support - Transition'!B:B,'Step 2'!A226,'Support - Transition'!C:C,'Step 2'!B226,'Support - Transition'!D:D,'Step 2'!C226,'Support - Transition'!E:E,"CIVIL")</f>
        <v>1.9380000000000001E-3</v>
      </c>
      <c r="H226" s="126">
        <f>SUMIFS('Support - Transition'!F:F,'Support - Transition'!B:B,'Step 2'!A226,'Support - Transition'!C:C,'Step 2'!B226,'Support - Transition'!D:D,'Step 2'!C226,'Support - Transition'!E:E,"FIRE")</f>
        <v>1.0889999999999999E-3</v>
      </c>
      <c r="I226" s="126">
        <f>IF(B226="0",SUMIFS('Support - Transition'!F:F,'Support - Transition'!J:J,'Step 2'!D226,'Support - Transition'!E:E,"STATE UNIT"),SUMIFS('Support - Transition'!F:F,'Support - Transition'!J:J,'Step 2'!D226))</f>
        <v>3.0270000000000002E-3</v>
      </c>
      <c r="J226" s="126">
        <f>SUMIFS('Support - Unit Adjustments'!E:E,'Support - Unit Adjustments'!F:F,'Step 2'!D226)</f>
        <v>0</v>
      </c>
      <c r="K226" s="126">
        <f t="shared" si="59"/>
        <v>3.0270000000000002E-3</v>
      </c>
      <c r="L226" s="174">
        <f>VLOOKUP(A226,'Step 1'!$A:$E,4,FALSE)</f>
        <v>366695</v>
      </c>
      <c r="M226" s="47">
        <f t="shared" si="60"/>
        <v>1110</v>
      </c>
      <c r="N226" s="177">
        <f>SUMIFS('Support - Transition'!G:G,'Support - Transition'!J:J,'Step 2'!D226,'Support - Transition'!E:E,"2009 WELFARE ALLOCATION FACTOR")</f>
        <v>0</v>
      </c>
      <c r="O226" s="152">
        <f t="shared" si="66"/>
        <v>0</v>
      </c>
      <c r="P226" s="126">
        <f>IF(E226="Y",0,SUMIFS('Support - Transition'!G:G,'Support - Transition'!J:J,'Step 2'!D226,'Support - Transition'!E:E,"2009 SCHOOL ALLOCATION FACTOR"))</f>
        <v>0</v>
      </c>
      <c r="Q226" s="126">
        <f>IF(E226="Y",VLOOKUP(D226,'Support - Unit Adjustments'!F:G,2,FALSE),0)</f>
        <v>0</v>
      </c>
      <c r="R226" s="155">
        <f t="shared" si="61"/>
        <v>0</v>
      </c>
      <c r="S226" s="47">
        <f t="shared" si="67"/>
        <v>0</v>
      </c>
      <c r="T226" s="151">
        <f t="shared" si="62"/>
        <v>1110</v>
      </c>
      <c r="U226" s="151">
        <f t="shared" si="63"/>
        <v>0</v>
      </c>
      <c r="V226" s="139">
        <f t="shared" si="64"/>
        <v>0</v>
      </c>
      <c r="W226" s="152">
        <f t="shared" si="68"/>
        <v>1110</v>
      </c>
      <c r="X226" s="127" t="str">
        <f t="shared" si="65"/>
        <v/>
      </c>
      <c r="Y226" s="207">
        <f t="shared" si="69"/>
        <v>1110</v>
      </c>
      <c r="Z226" s="139">
        <f t="shared" si="70"/>
        <v>711</v>
      </c>
      <c r="AA226" s="139">
        <f t="shared" si="71"/>
        <v>399</v>
      </c>
      <c r="AC226" s="47">
        <f t="shared" si="72"/>
        <v>555</v>
      </c>
      <c r="AD226" s="47">
        <f t="shared" si="73"/>
        <v>356</v>
      </c>
      <c r="AE226" s="47">
        <f t="shared" si="74"/>
        <v>200</v>
      </c>
      <c r="AG226" s="47">
        <f t="shared" si="75"/>
        <v>555</v>
      </c>
      <c r="AH226" s="47">
        <f t="shared" si="76"/>
        <v>355</v>
      </c>
      <c r="AI226" s="208">
        <f t="shared" si="77"/>
        <v>199</v>
      </c>
    </row>
    <row r="227" spans="1:35">
      <c r="A227" t="s">
        <v>2097</v>
      </c>
      <c r="B227" t="s">
        <v>3155</v>
      </c>
      <c r="C227" t="s">
        <v>2279</v>
      </c>
      <c r="D227" t="s">
        <v>3404</v>
      </c>
      <c r="F227" t="s">
        <v>206</v>
      </c>
      <c r="G227" s="126">
        <f>SUMIFS('Support - Transition'!F:F,'Support - Transition'!B:B,'Step 2'!A227,'Support - Transition'!C:C,'Step 2'!B227,'Support - Transition'!D:D,'Step 2'!C227,'Support - Transition'!E:E,"CIVIL")</f>
        <v>0</v>
      </c>
      <c r="H227" s="126">
        <f>SUMIFS('Support - Transition'!F:F,'Support - Transition'!B:B,'Step 2'!A227,'Support - Transition'!C:C,'Step 2'!B227,'Support - Transition'!D:D,'Step 2'!C227,'Support - Transition'!E:E,"FIRE")</f>
        <v>0</v>
      </c>
      <c r="I227" s="126">
        <f>IF(B227="0",SUMIFS('Support - Transition'!F:F,'Support - Transition'!J:J,'Step 2'!D227,'Support - Transition'!E:E,"STATE UNIT"),SUMIFS('Support - Transition'!F:F,'Support - Transition'!J:J,'Step 2'!D227))</f>
        <v>0.14824799999999999</v>
      </c>
      <c r="J227" s="126">
        <f>SUMIFS('Support - Unit Adjustments'!E:E,'Support - Unit Adjustments'!F:F,'Step 2'!D227)</f>
        <v>0</v>
      </c>
      <c r="K227" s="126">
        <f t="shared" si="59"/>
        <v>0.14824799999999999</v>
      </c>
      <c r="L227" s="174">
        <f>VLOOKUP(A227,'Step 1'!$A:$E,4,FALSE)</f>
        <v>366695</v>
      </c>
      <c r="M227" s="47">
        <f t="shared" si="60"/>
        <v>54362</v>
      </c>
      <c r="N227" s="177">
        <f>SUMIFS('Support - Transition'!G:G,'Support - Transition'!J:J,'Step 2'!D227,'Support - Transition'!E:E,"2009 WELFARE ALLOCATION FACTOR")</f>
        <v>0</v>
      </c>
      <c r="O227" s="152">
        <f t="shared" si="66"/>
        <v>0</v>
      </c>
      <c r="P227" s="126">
        <f>IF(E227="Y",0,SUMIFS('Support - Transition'!G:G,'Support - Transition'!J:J,'Step 2'!D227,'Support - Transition'!E:E,"2009 SCHOOL ALLOCATION FACTOR"))</f>
        <v>0</v>
      </c>
      <c r="Q227" s="126">
        <f>IF(E227="Y",VLOOKUP(D227,'Support - Unit Adjustments'!F:G,2,FALSE),0)</f>
        <v>0</v>
      </c>
      <c r="R227" s="155">
        <f t="shared" si="61"/>
        <v>0</v>
      </c>
      <c r="S227" s="47">
        <f t="shared" si="67"/>
        <v>0</v>
      </c>
      <c r="T227" s="151">
        <f t="shared" si="62"/>
        <v>54362</v>
      </c>
      <c r="U227" s="151">
        <f t="shared" si="63"/>
        <v>0</v>
      </c>
      <c r="V227" s="139">
        <f t="shared" si="64"/>
        <v>0</v>
      </c>
      <c r="W227" s="152">
        <f t="shared" si="68"/>
        <v>54362</v>
      </c>
      <c r="X227" s="127" t="str">
        <f t="shared" si="65"/>
        <v/>
      </c>
      <c r="Y227" s="207">
        <f t="shared" si="69"/>
        <v>54362</v>
      </c>
      <c r="Z227" s="139">
        <f t="shared" si="70"/>
        <v>54362</v>
      </c>
      <c r="AA227" s="139">
        <f t="shared" si="71"/>
        <v>0</v>
      </c>
      <c r="AC227" s="47">
        <f t="shared" si="72"/>
        <v>27181</v>
      </c>
      <c r="AD227" s="47">
        <f t="shared" si="73"/>
        <v>27181</v>
      </c>
      <c r="AE227" s="47">
        <f t="shared" si="74"/>
        <v>0</v>
      </c>
      <c r="AG227" s="47">
        <f t="shared" si="75"/>
        <v>27181</v>
      </c>
      <c r="AH227" s="47">
        <f t="shared" si="76"/>
        <v>27181</v>
      </c>
      <c r="AI227" s="208">
        <f t="shared" si="77"/>
        <v>0</v>
      </c>
    </row>
    <row r="228" spans="1:35">
      <c r="A228" t="s">
        <v>2097</v>
      </c>
      <c r="B228" t="s">
        <v>3155</v>
      </c>
      <c r="C228" t="s">
        <v>2280</v>
      </c>
      <c r="D228" t="s">
        <v>3405</v>
      </c>
      <c r="F228" t="s">
        <v>205</v>
      </c>
      <c r="G228" s="126">
        <f>SUMIFS('Support - Transition'!F:F,'Support - Transition'!B:B,'Step 2'!A228,'Support - Transition'!C:C,'Step 2'!B228,'Support - Transition'!D:D,'Step 2'!C228,'Support - Transition'!E:E,"CIVIL")</f>
        <v>0</v>
      </c>
      <c r="H228" s="126">
        <f>SUMIFS('Support - Transition'!F:F,'Support - Transition'!B:B,'Step 2'!A228,'Support - Transition'!C:C,'Step 2'!B228,'Support - Transition'!D:D,'Step 2'!C228,'Support - Transition'!E:E,"FIRE")</f>
        <v>0</v>
      </c>
      <c r="I228" s="126">
        <f>IF(B228="0",SUMIFS('Support - Transition'!F:F,'Support - Transition'!J:J,'Step 2'!D228,'Support - Transition'!E:E,"STATE UNIT"),SUMIFS('Support - Transition'!F:F,'Support - Transition'!J:J,'Step 2'!D228))</f>
        <v>4.8060000000000004E-3</v>
      </c>
      <c r="J228" s="126">
        <f>SUMIFS('Support - Unit Adjustments'!E:E,'Support - Unit Adjustments'!F:F,'Step 2'!D228)</f>
        <v>0</v>
      </c>
      <c r="K228" s="126">
        <f t="shared" si="59"/>
        <v>4.8060000000000004E-3</v>
      </c>
      <c r="L228" s="174">
        <f>VLOOKUP(A228,'Step 1'!$A:$E,4,FALSE)</f>
        <v>366695</v>
      </c>
      <c r="M228" s="47">
        <f t="shared" si="60"/>
        <v>1762</v>
      </c>
      <c r="N228" s="177">
        <f>SUMIFS('Support - Transition'!G:G,'Support - Transition'!J:J,'Step 2'!D228,'Support - Transition'!E:E,"2009 WELFARE ALLOCATION FACTOR")</f>
        <v>0</v>
      </c>
      <c r="O228" s="152">
        <f t="shared" si="66"/>
        <v>0</v>
      </c>
      <c r="P228" s="126">
        <f>IF(E228="Y",0,SUMIFS('Support - Transition'!G:G,'Support - Transition'!J:J,'Step 2'!D228,'Support - Transition'!E:E,"2009 SCHOOL ALLOCATION FACTOR"))</f>
        <v>0</v>
      </c>
      <c r="Q228" s="126">
        <f>IF(E228="Y",VLOOKUP(D228,'Support - Unit Adjustments'!F:G,2,FALSE),0)</f>
        <v>0</v>
      </c>
      <c r="R228" s="155">
        <f t="shared" si="61"/>
        <v>0</v>
      </c>
      <c r="S228" s="47">
        <f t="shared" si="67"/>
        <v>0</v>
      </c>
      <c r="T228" s="151">
        <f t="shared" si="62"/>
        <v>1762</v>
      </c>
      <c r="U228" s="151">
        <f t="shared" si="63"/>
        <v>0</v>
      </c>
      <c r="V228" s="139">
        <f t="shared" si="64"/>
        <v>0</v>
      </c>
      <c r="W228" s="152">
        <f t="shared" si="68"/>
        <v>1762</v>
      </c>
      <c r="X228" s="127" t="str">
        <f t="shared" si="65"/>
        <v/>
      </c>
      <c r="Y228" s="207">
        <f t="shared" si="69"/>
        <v>1762</v>
      </c>
      <c r="Z228" s="139">
        <f t="shared" si="70"/>
        <v>1762</v>
      </c>
      <c r="AA228" s="139">
        <f t="shared" si="71"/>
        <v>0</v>
      </c>
      <c r="AC228" s="47">
        <f t="shared" si="72"/>
        <v>881</v>
      </c>
      <c r="AD228" s="47">
        <f t="shared" si="73"/>
        <v>881</v>
      </c>
      <c r="AE228" s="47">
        <f t="shared" si="74"/>
        <v>0</v>
      </c>
      <c r="AG228" s="47">
        <f t="shared" si="75"/>
        <v>881</v>
      </c>
      <c r="AH228" s="47">
        <f t="shared" si="76"/>
        <v>881</v>
      </c>
      <c r="AI228" s="208">
        <f t="shared" si="77"/>
        <v>0</v>
      </c>
    </row>
    <row r="229" spans="1:35">
      <c r="A229" t="s">
        <v>2097</v>
      </c>
      <c r="B229" t="s">
        <v>3155</v>
      </c>
      <c r="C229" t="s">
        <v>2281</v>
      </c>
      <c r="D229" t="s">
        <v>3406</v>
      </c>
      <c r="F229" t="s">
        <v>207</v>
      </c>
      <c r="G229" s="126">
        <f>SUMIFS('Support - Transition'!F:F,'Support - Transition'!B:B,'Step 2'!A229,'Support - Transition'!C:C,'Step 2'!B229,'Support - Transition'!D:D,'Step 2'!C229,'Support - Transition'!E:E,"CIVIL")</f>
        <v>0</v>
      </c>
      <c r="H229" s="126">
        <f>SUMIFS('Support - Transition'!F:F,'Support - Transition'!B:B,'Step 2'!A229,'Support - Transition'!C:C,'Step 2'!B229,'Support - Transition'!D:D,'Step 2'!C229,'Support - Transition'!E:E,"FIRE")</f>
        <v>0</v>
      </c>
      <c r="I229" s="126">
        <f>IF(B229="0",SUMIFS('Support - Transition'!F:F,'Support - Transition'!J:J,'Step 2'!D229,'Support - Transition'!E:E,"STATE UNIT"),SUMIFS('Support - Transition'!F:F,'Support - Transition'!J:J,'Step 2'!D229))</f>
        <v>2.1999999999999999E-5</v>
      </c>
      <c r="J229" s="126">
        <f>SUMIFS('Support - Unit Adjustments'!E:E,'Support - Unit Adjustments'!F:F,'Step 2'!D229)</f>
        <v>0</v>
      </c>
      <c r="K229" s="126">
        <f t="shared" si="59"/>
        <v>2.1999999999999999E-5</v>
      </c>
      <c r="L229" s="174">
        <f>VLOOKUP(A229,'Step 1'!$A:$E,4,FALSE)</f>
        <v>366695</v>
      </c>
      <c r="M229" s="47">
        <f t="shared" si="60"/>
        <v>8</v>
      </c>
      <c r="N229" s="177">
        <f>SUMIFS('Support - Transition'!G:G,'Support - Transition'!J:J,'Step 2'!D229,'Support - Transition'!E:E,"2009 WELFARE ALLOCATION FACTOR")</f>
        <v>0</v>
      </c>
      <c r="O229" s="152">
        <f t="shared" si="66"/>
        <v>0</v>
      </c>
      <c r="P229" s="126">
        <f>IF(E229="Y",0,SUMIFS('Support - Transition'!G:G,'Support - Transition'!J:J,'Step 2'!D229,'Support - Transition'!E:E,"2009 SCHOOL ALLOCATION FACTOR"))</f>
        <v>0</v>
      </c>
      <c r="Q229" s="126">
        <f>IF(E229="Y",VLOOKUP(D229,'Support - Unit Adjustments'!F:G,2,FALSE),0)</f>
        <v>0</v>
      </c>
      <c r="R229" s="155">
        <f t="shared" si="61"/>
        <v>0</v>
      </c>
      <c r="S229" s="47">
        <f t="shared" si="67"/>
        <v>0</v>
      </c>
      <c r="T229" s="151">
        <f t="shared" si="62"/>
        <v>8</v>
      </c>
      <c r="U229" s="151">
        <f t="shared" si="63"/>
        <v>0</v>
      </c>
      <c r="V229" s="139">
        <f t="shared" si="64"/>
        <v>0</v>
      </c>
      <c r="W229" s="152">
        <f t="shared" si="68"/>
        <v>8</v>
      </c>
      <c r="X229" s="127" t="str">
        <f t="shared" si="65"/>
        <v/>
      </c>
      <c r="Y229" s="207">
        <f t="shared" si="69"/>
        <v>8</v>
      </c>
      <c r="Z229" s="139">
        <f t="shared" si="70"/>
        <v>8</v>
      </c>
      <c r="AA229" s="139">
        <f t="shared" si="71"/>
        <v>0</v>
      </c>
      <c r="AC229" s="47">
        <f t="shared" si="72"/>
        <v>4</v>
      </c>
      <c r="AD229" s="47">
        <f t="shared" si="73"/>
        <v>4</v>
      </c>
      <c r="AE229" s="47">
        <f t="shared" si="74"/>
        <v>0</v>
      </c>
      <c r="AG229" s="47">
        <f t="shared" si="75"/>
        <v>4</v>
      </c>
      <c r="AH229" s="47">
        <f t="shared" si="76"/>
        <v>4</v>
      </c>
      <c r="AI229" s="208">
        <f t="shared" si="77"/>
        <v>0</v>
      </c>
    </row>
    <row r="230" spans="1:35">
      <c r="A230" t="s">
        <v>2097</v>
      </c>
      <c r="B230" t="s">
        <v>3155</v>
      </c>
      <c r="C230" t="s">
        <v>2282</v>
      </c>
      <c r="D230" t="s">
        <v>3407</v>
      </c>
      <c r="F230" t="s">
        <v>208</v>
      </c>
      <c r="G230" s="126">
        <f>SUMIFS('Support - Transition'!F:F,'Support - Transition'!B:B,'Step 2'!A230,'Support - Transition'!C:C,'Step 2'!B230,'Support - Transition'!D:D,'Step 2'!C230,'Support - Transition'!E:E,"CIVIL")</f>
        <v>0</v>
      </c>
      <c r="H230" s="126">
        <f>SUMIFS('Support - Transition'!F:F,'Support - Transition'!B:B,'Step 2'!A230,'Support - Transition'!C:C,'Step 2'!B230,'Support - Transition'!D:D,'Step 2'!C230,'Support - Transition'!E:E,"FIRE")</f>
        <v>0</v>
      </c>
      <c r="I230" s="126">
        <f>IF(B230="0",SUMIFS('Support - Transition'!F:F,'Support - Transition'!J:J,'Step 2'!D230,'Support - Transition'!E:E,"STATE UNIT"),SUMIFS('Support - Transition'!F:F,'Support - Transition'!J:J,'Step 2'!D230))</f>
        <v>3.5300000000000002E-4</v>
      </c>
      <c r="J230" s="126">
        <f>SUMIFS('Support - Unit Adjustments'!E:E,'Support - Unit Adjustments'!F:F,'Step 2'!D230)</f>
        <v>0</v>
      </c>
      <c r="K230" s="126">
        <f t="shared" si="59"/>
        <v>3.5300000000000002E-4</v>
      </c>
      <c r="L230" s="174">
        <f>VLOOKUP(A230,'Step 1'!$A:$E,4,FALSE)</f>
        <v>366695</v>
      </c>
      <c r="M230" s="47">
        <f t="shared" si="60"/>
        <v>129</v>
      </c>
      <c r="N230" s="177">
        <f>SUMIFS('Support - Transition'!G:G,'Support - Transition'!J:J,'Step 2'!D230,'Support - Transition'!E:E,"2009 WELFARE ALLOCATION FACTOR")</f>
        <v>0</v>
      </c>
      <c r="O230" s="152">
        <f t="shared" si="66"/>
        <v>0</v>
      </c>
      <c r="P230" s="126">
        <f>IF(E230="Y",0,SUMIFS('Support - Transition'!G:G,'Support - Transition'!J:J,'Step 2'!D230,'Support - Transition'!E:E,"2009 SCHOOL ALLOCATION FACTOR"))</f>
        <v>0</v>
      </c>
      <c r="Q230" s="126">
        <f>IF(E230="Y",VLOOKUP(D230,'Support - Unit Adjustments'!F:G,2,FALSE),0)</f>
        <v>0</v>
      </c>
      <c r="R230" s="155">
        <f t="shared" si="61"/>
        <v>0</v>
      </c>
      <c r="S230" s="47">
        <f t="shared" si="67"/>
        <v>0</v>
      </c>
      <c r="T230" s="151">
        <f t="shared" si="62"/>
        <v>129</v>
      </c>
      <c r="U230" s="151">
        <f t="shared" si="63"/>
        <v>0</v>
      </c>
      <c r="V230" s="139">
        <f t="shared" si="64"/>
        <v>0</v>
      </c>
      <c r="W230" s="152">
        <f t="shared" si="68"/>
        <v>129</v>
      </c>
      <c r="X230" s="127" t="str">
        <f t="shared" si="65"/>
        <v/>
      </c>
      <c r="Y230" s="207">
        <f t="shared" si="69"/>
        <v>129</v>
      </c>
      <c r="Z230" s="139">
        <f t="shared" si="70"/>
        <v>129</v>
      </c>
      <c r="AA230" s="139">
        <f t="shared" si="71"/>
        <v>0</v>
      </c>
      <c r="AC230" s="47">
        <f t="shared" si="72"/>
        <v>65</v>
      </c>
      <c r="AD230" s="47">
        <f t="shared" si="73"/>
        <v>65</v>
      </c>
      <c r="AE230" s="47">
        <f t="shared" si="74"/>
        <v>0</v>
      </c>
      <c r="AG230" s="47">
        <f t="shared" si="75"/>
        <v>64</v>
      </c>
      <c r="AH230" s="47">
        <f t="shared" si="76"/>
        <v>64</v>
      </c>
      <c r="AI230" s="208">
        <f t="shared" si="77"/>
        <v>0</v>
      </c>
    </row>
    <row r="231" spans="1:35">
      <c r="A231" t="s">
        <v>2097</v>
      </c>
      <c r="B231" t="s">
        <v>3155</v>
      </c>
      <c r="C231" t="s">
        <v>2283</v>
      </c>
      <c r="D231" t="s">
        <v>3408</v>
      </c>
      <c r="F231" t="s">
        <v>209</v>
      </c>
      <c r="G231" s="126">
        <f>SUMIFS('Support - Transition'!F:F,'Support - Transition'!B:B,'Step 2'!A231,'Support - Transition'!C:C,'Step 2'!B231,'Support - Transition'!D:D,'Step 2'!C231,'Support - Transition'!E:E,"CIVIL")</f>
        <v>0</v>
      </c>
      <c r="H231" s="126">
        <f>SUMIFS('Support - Transition'!F:F,'Support - Transition'!B:B,'Step 2'!A231,'Support - Transition'!C:C,'Step 2'!B231,'Support - Transition'!D:D,'Step 2'!C231,'Support - Transition'!E:E,"FIRE")</f>
        <v>0</v>
      </c>
      <c r="I231" s="126">
        <f>IF(B231="0",SUMIFS('Support - Transition'!F:F,'Support - Transition'!J:J,'Step 2'!D231,'Support - Transition'!E:E,"STATE UNIT"),SUMIFS('Support - Transition'!F:F,'Support - Transition'!J:J,'Step 2'!D231))</f>
        <v>3.2810000000000001E-3</v>
      </c>
      <c r="J231" s="126">
        <f>SUMIFS('Support - Unit Adjustments'!E:E,'Support - Unit Adjustments'!F:F,'Step 2'!D231)</f>
        <v>0</v>
      </c>
      <c r="K231" s="126">
        <f t="shared" si="59"/>
        <v>3.2810000000000001E-3</v>
      </c>
      <c r="L231" s="174">
        <f>VLOOKUP(A231,'Step 1'!$A:$E,4,FALSE)</f>
        <v>366695</v>
      </c>
      <c r="M231" s="47">
        <f t="shared" si="60"/>
        <v>1203</v>
      </c>
      <c r="N231" s="177">
        <f>SUMIFS('Support - Transition'!G:G,'Support - Transition'!J:J,'Step 2'!D231,'Support - Transition'!E:E,"2009 WELFARE ALLOCATION FACTOR")</f>
        <v>0</v>
      </c>
      <c r="O231" s="152">
        <f t="shared" si="66"/>
        <v>0</v>
      </c>
      <c r="P231" s="126">
        <f>IF(E231="Y",0,SUMIFS('Support - Transition'!G:G,'Support - Transition'!J:J,'Step 2'!D231,'Support - Transition'!E:E,"2009 SCHOOL ALLOCATION FACTOR"))</f>
        <v>0</v>
      </c>
      <c r="Q231" s="126">
        <f>IF(E231="Y",VLOOKUP(D231,'Support - Unit Adjustments'!F:G,2,FALSE),0)</f>
        <v>0</v>
      </c>
      <c r="R231" s="155">
        <f t="shared" si="61"/>
        <v>0</v>
      </c>
      <c r="S231" s="47">
        <f t="shared" si="67"/>
        <v>0</v>
      </c>
      <c r="T231" s="151">
        <f t="shared" si="62"/>
        <v>1203</v>
      </c>
      <c r="U231" s="151">
        <f t="shared" si="63"/>
        <v>0</v>
      </c>
      <c r="V231" s="139">
        <f t="shared" si="64"/>
        <v>0</v>
      </c>
      <c r="W231" s="152">
        <f t="shared" si="68"/>
        <v>1203</v>
      </c>
      <c r="X231" s="127" t="str">
        <f t="shared" si="65"/>
        <v/>
      </c>
      <c r="Y231" s="207">
        <f t="shared" si="69"/>
        <v>1203</v>
      </c>
      <c r="Z231" s="139">
        <f t="shared" si="70"/>
        <v>1203</v>
      </c>
      <c r="AA231" s="139">
        <f t="shared" si="71"/>
        <v>0</v>
      </c>
      <c r="AC231" s="47">
        <f t="shared" si="72"/>
        <v>602</v>
      </c>
      <c r="AD231" s="47">
        <f t="shared" si="73"/>
        <v>602</v>
      </c>
      <c r="AE231" s="47">
        <f t="shared" si="74"/>
        <v>0</v>
      </c>
      <c r="AG231" s="47">
        <f t="shared" si="75"/>
        <v>601</v>
      </c>
      <c r="AH231" s="47">
        <f t="shared" si="76"/>
        <v>601</v>
      </c>
      <c r="AI231" s="208">
        <f t="shared" si="77"/>
        <v>0</v>
      </c>
    </row>
    <row r="232" spans="1:35">
      <c r="A232" t="s">
        <v>2097</v>
      </c>
      <c r="B232" t="s">
        <v>3160</v>
      </c>
      <c r="C232" t="s">
        <v>2284</v>
      </c>
      <c r="D232" t="s">
        <v>3409</v>
      </c>
      <c r="F232" t="s">
        <v>212</v>
      </c>
      <c r="G232" s="126">
        <f>SUMIFS('Support - Transition'!F:F,'Support - Transition'!B:B,'Step 2'!A232,'Support - Transition'!C:C,'Step 2'!B232,'Support - Transition'!D:D,'Step 2'!C232,'Support - Transition'!E:E,"CIVIL")</f>
        <v>0</v>
      </c>
      <c r="H232" s="126">
        <f>SUMIFS('Support - Transition'!F:F,'Support - Transition'!B:B,'Step 2'!A232,'Support - Transition'!C:C,'Step 2'!B232,'Support - Transition'!D:D,'Step 2'!C232,'Support - Transition'!E:E,"FIRE")</f>
        <v>0</v>
      </c>
      <c r="I232" s="126">
        <f>IF(B232="0",SUMIFS('Support - Transition'!F:F,'Support - Transition'!J:J,'Step 2'!D232,'Support - Transition'!E:E,"STATE UNIT"),SUMIFS('Support - Transition'!F:F,'Support - Transition'!J:J,'Step 2'!D232))</f>
        <v>8.1248000000000001E-2</v>
      </c>
      <c r="J232" s="126">
        <f>SUMIFS('Support - Unit Adjustments'!E:E,'Support - Unit Adjustments'!F:F,'Step 2'!D232)</f>
        <v>0</v>
      </c>
      <c r="K232" s="126">
        <f t="shared" si="59"/>
        <v>8.1248000000000001E-2</v>
      </c>
      <c r="L232" s="174">
        <f>VLOOKUP(A232,'Step 1'!$A:$E,4,FALSE)</f>
        <v>366695</v>
      </c>
      <c r="M232" s="47">
        <f t="shared" si="60"/>
        <v>29793</v>
      </c>
      <c r="N232" s="177">
        <f>SUMIFS('Support - Transition'!G:G,'Support - Transition'!J:J,'Step 2'!D232,'Support - Transition'!E:E,"2009 WELFARE ALLOCATION FACTOR")</f>
        <v>0</v>
      </c>
      <c r="O232" s="152">
        <f t="shared" si="66"/>
        <v>0</v>
      </c>
      <c r="P232" s="126">
        <f>IF(E232="Y",0,SUMIFS('Support - Transition'!G:G,'Support - Transition'!J:J,'Step 2'!D232,'Support - Transition'!E:E,"2009 SCHOOL ALLOCATION FACTOR"))</f>
        <v>0.42049799999999998</v>
      </c>
      <c r="Q232" s="126">
        <f>IF(E232="Y",VLOOKUP(D232,'Support - Unit Adjustments'!F:G,2,FALSE),0)</f>
        <v>0</v>
      </c>
      <c r="R232" s="155">
        <f t="shared" si="61"/>
        <v>0.42049799999999998</v>
      </c>
      <c r="S232" s="47">
        <f t="shared" si="67"/>
        <v>12528</v>
      </c>
      <c r="T232" s="151">
        <f t="shared" si="62"/>
        <v>17265</v>
      </c>
      <c r="U232" s="151">
        <f t="shared" si="63"/>
        <v>0</v>
      </c>
      <c r="V232" s="139">
        <f t="shared" si="64"/>
        <v>0</v>
      </c>
      <c r="W232" s="152">
        <f t="shared" si="68"/>
        <v>17265</v>
      </c>
      <c r="X232" s="127" t="str">
        <f t="shared" si="65"/>
        <v/>
      </c>
      <c r="Y232" s="207">
        <f t="shared" si="69"/>
        <v>17265</v>
      </c>
      <c r="Z232" s="139">
        <f t="shared" si="70"/>
        <v>17265</v>
      </c>
      <c r="AA232" s="139">
        <f t="shared" si="71"/>
        <v>0</v>
      </c>
      <c r="AC232" s="47">
        <f t="shared" si="72"/>
        <v>8633</v>
      </c>
      <c r="AD232" s="47">
        <f t="shared" si="73"/>
        <v>8633</v>
      </c>
      <c r="AE232" s="47">
        <f t="shared" si="74"/>
        <v>0</v>
      </c>
      <c r="AG232" s="47">
        <f t="shared" si="75"/>
        <v>8632</v>
      </c>
      <c r="AH232" s="47">
        <f t="shared" si="76"/>
        <v>8632</v>
      </c>
      <c r="AI232" s="208">
        <f t="shared" si="77"/>
        <v>0</v>
      </c>
    </row>
    <row r="233" spans="1:35">
      <c r="A233" t="s">
        <v>2097</v>
      </c>
      <c r="B233" t="s">
        <v>3160</v>
      </c>
      <c r="C233" t="s">
        <v>2285</v>
      </c>
      <c r="D233" t="s">
        <v>3410</v>
      </c>
      <c r="F233" t="s">
        <v>3411</v>
      </c>
      <c r="G233" s="126">
        <f>SUMIFS('Support - Transition'!F:F,'Support - Transition'!B:B,'Step 2'!A233,'Support - Transition'!C:C,'Step 2'!B233,'Support - Transition'!D:D,'Step 2'!C233,'Support - Transition'!E:E,"CIVIL")</f>
        <v>0</v>
      </c>
      <c r="H233" s="126">
        <f>SUMIFS('Support - Transition'!F:F,'Support - Transition'!B:B,'Step 2'!A233,'Support - Transition'!C:C,'Step 2'!B233,'Support - Transition'!D:D,'Step 2'!C233,'Support - Transition'!E:E,"FIRE")</f>
        <v>0</v>
      </c>
      <c r="I233" s="126">
        <f>IF(B233="0",SUMIFS('Support - Transition'!F:F,'Support - Transition'!J:J,'Step 2'!D233,'Support - Transition'!E:E,"STATE UNIT"),SUMIFS('Support - Transition'!F:F,'Support - Transition'!J:J,'Step 2'!D233))</f>
        <v>0.20543600000000001</v>
      </c>
      <c r="J233" s="126">
        <f>SUMIFS('Support - Unit Adjustments'!E:E,'Support - Unit Adjustments'!F:F,'Step 2'!D233)</f>
        <v>0</v>
      </c>
      <c r="K233" s="126">
        <f t="shared" si="59"/>
        <v>0.20543600000000001</v>
      </c>
      <c r="L233" s="174">
        <f>VLOOKUP(A233,'Step 1'!$A:$E,4,FALSE)</f>
        <v>366695</v>
      </c>
      <c r="M233" s="47">
        <f t="shared" si="60"/>
        <v>75332</v>
      </c>
      <c r="N233" s="177">
        <f>SUMIFS('Support - Transition'!G:G,'Support - Transition'!J:J,'Step 2'!D233,'Support - Transition'!E:E,"2009 WELFARE ALLOCATION FACTOR")</f>
        <v>0</v>
      </c>
      <c r="O233" s="152">
        <f t="shared" si="66"/>
        <v>0</v>
      </c>
      <c r="P233" s="126">
        <f>IF(E233="Y",0,SUMIFS('Support - Transition'!G:G,'Support - Transition'!J:J,'Step 2'!D233,'Support - Transition'!E:E,"2009 SCHOOL ALLOCATION FACTOR"))</f>
        <v>0.48886400000000002</v>
      </c>
      <c r="Q233" s="126">
        <f>IF(E233="Y",VLOOKUP(D233,'Support - Unit Adjustments'!F:G,2,FALSE),0)</f>
        <v>0</v>
      </c>
      <c r="R233" s="155">
        <f t="shared" si="61"/>
        <v>0.48886400000000002</v>
      </c>
      <c r="S233" s="47">
        <f t="shared" si="67"/>
        <v>36827</v>
      </c>
      <c r="T233" s="151">
        <f t="shared" si="62"/>
        <v>38505</v>
      </c>
      <c r="U233" s="151">
        <f t="shared" si="63"/>
        <v>0</v>
      </c>
      <c r="V233" s="139">
        <f t="shared" si="64"/>
        <v>0</v>
      </c>
      <c r="W233" s="152">
        <f t="shared" si="68"/>
        <v>38505</v>
      </c>
      <c r="X233" s="127" t="str">
        <f t="shared" si="65"/>
        <v/>
      </c>
      <c r="Y233" s="207">
        <f t="shared" si="69"/>
        <v>38505</v>
      </c>
      <c r="Z233" s="139">
        <f t="shared" si="70"/>
        <v>38505</v>
      </c>
      <c r="AA233" s="139">
        <f t="shared" si="71"/>
        <v>0</v>
      </c>
      <c r="AC233" s="47">
        <f t="shared" si="72"/>
        <v>19253</v>
      </c>
      <c r="AD233" s="47">
        <f t="shared" si="73"/>
        <v>19253</v>
      </c>
      <c r="AE233" s="47">
        <f t="shared" si="74"/>
        <v>0</v>
      </c>
      <c r="AG233" s="47">
        <f t="shared" si="75"/>
        <v>19252</v>
      </c>
      <c r="AH233" s="47">
        <f t="shared" si="76"/>
        <v>19252</v>
      </c>
      <c r="AI233" s="208">
        <f t="shared" si="77"/>
        <v>0</v>
      </c>
    </row>
    <row r="234" spans="1:35">
      <c r="A234" t="s">
        <v>2097</v>
      </c>
      <c r="B234" t="s">
        <v>3160</v>
      </c>
      <c r="C234" t="s">
        <v>2286</v>
      </c>
      <c r="D234" t="s">
        <v>3412</v>
      </c>
      <c r="F234" t="s">
        <v>211</v>
      </c>
      <c r="G234" s="126">
        <f>SUMIFS('Support - Transition'!F:F,'Support - Transition'!B:B,'Step 2'!A234,'Support - Transition'!C:C,'Step 2'!B234,'Support - Transition'!D:D,'Step 2'!C234,'Support - Transition'!E:E,"CIVIL")</f>
        <v>0</v>
      </c>
      <c r="H234" s="126">
        <f>SUMIFS('Support - Transition'!F:F,'Support - Transition'!B:B,'Step 2'!A234,'Support - Transition'!C:C,'Step 2'!B234,'Support - Transition'!D:D,'Step 2'!C234,'Support - Transition'!E:E,"FIRE")</f>
        <v>0</v>
      </c>
      <c r="I234" s="126">
        <f>IF(B234="0",SUMIFS('Support - Transition'!F:F,'Support - Transition'!J:J,'Step 2'!D234,'Support - Transition'!E:E,"STATE UNIT"),SUMIFS('Support - Transition'!F:F,'Support - Transition'!J:J,'Step 2'!D234))</f>
        <v>0.22808100000000001</v>
      </c>
      <c r="J234" s="126">
        <f>SUMIFS('Support - Unit Adjustments'!E:E,'Support - Unit Adjustments'!F:F,'Step 2'!D234)</f>
        <v>0</v>
      </c>
      <c r="K234" s="126">
        <f t="shared" si="59"/>
        <v>0.22808100000000001</v>
      </c>
      <c r="L234" s="174">
        <f>VLOOKUP(A234,'Step 1'!$A:$E,4,FALSE)</f>
        <v>366695</v>
      </c>
      <c r="M234" s="47">
        <f t="shared" si="60"/>
        <v>83636</v>
      </c>
      <c r="N234" s="177">
        <f>SUMIFS('Support - Transition'!G:G,'Support - Transition'!J:J,'Step 2'!D234,'Support - Transition'!E:E,"2009 WELFARE ALLOCATION FACTOR")</f>
        <v>0</v>
      </c>
      <c r="O234" s="152">
        <f t="shared" si="66"/>
        <v>0</v>
      </c>
      <c r="P234" s="126">
        <f>IF(E234="Y",0,SUMIFS('Support - Transition'!G:G,'Support - Transition'!J:J,'Step 2'!D234,'Support - Transition'!E:E,"2009 SCHOOL ALLOCATION FACTOR"))</f>
        <v>0.32965800000000001</v>
      </c>
      <c r="Q234" s="126">
        <f>IF(E234="Y",VLOOKUP(D234,'Support - Unit Adjustments'!F:G,2,FALSE),0)</f>
        <v>0</v>
      </c>
      <c r="R234" s="155">
        <f t="shared" si="61"/>
        <v>0.32965800000000001</v>
      </c>
      <c r="S234" s="47">
        <f t="shared" si="67"/>
        <v>27571</v>
      </c>
      <c r="T234" s="151">
        <f t="shared" si="62"/>
        <v>56065</v>
      </c>
      <c r="U234" s="151">
        <f t="shared" si="63"/>
        <v>0</v>
      </c>
      <c r="V234" s="139">
        <f t="shared" si="64"/>
        <v>0</v>
      </c>
      <c r="W234" s="152">
        <f t="shared" si="68"/>
        <v>56065</v>
      </c>
      <c r="X234" s="127" t="str">
        <f t="shared" si="65"/>
        <v/>
      </c>
      <c r="Y234" s="207">
        <f t="shared" si="69"/>
        <v>56065</v>
      </c>
      <c r="Z234" s="139">
        <f t="shared" si="70"/>
        <v>56065</v>
      </c>
      <c r="AA234" s="139">
        <f t="shared" si="71"/>
        <v>0</v>
      </c>
      <c r="AC234" s="47">
        <f t="shared" si="72"/>
        <v>28033</v>
      </c>
      <c r="AD234" s="47">
        <f t="shared" si="73"/>
        <v>28033</v>
      </c>
      <c r="AE234" s="47">
        <f t="shared" si="74"/>
        <v>0</v>
      </c>
      <c r="AG234" s="47">
        <f t="shared" si="75"/>
        <v>28032</v>
      </c>
      <c r="AH234" s="47">
        <f t="shared" si="76"/>
        <v>28032</v>
      </c>
      <c r="AI234" s="208">
        <f t="shared" si="77"/>
        <v>0</v>
      </c>
    </row>
    <row r="235" spans="1:35">
      <c r="A235" t="s">
        <v>2097</v>
      </c>
      <c r="B235" t="s">
        <v>3160</v>
      </c>
      <c r="C235" t="s">
        <v>2287</v>
      </c>
      <c r="D235" t="s">
        <v>3413</v>
      </c>
      <c r="F235" t="s">
        <v>210</v>
      </c>
      <c r="G235" s="126">
        <f>SUMIFS('Support - Transition'!F:F,'Support - Transition'!B:B,'Step 2'!A235,'Support - Transition'!C:C,'Step 2'!B235,'Support - Transition'!D:D,'Step 2'!C235,'Support - Transition'!E:E,"CIVIL")</f>
        <v>0</v>
      </c>
      <c r="H235" s="126">
        <f>SUMIFS('Support - Transition'!F:F,'Support - Transition'!B:B,'Step 2'!A235,'Support - Transition'!C:C,'Step 2'!B235,'Support - Transition'!D:D,'Step 2'!C235,'Support - Transition'!E:E,"FIRE")</f>
        <v>0</v>
      </c>
      <c r="I235" s="126">
        <f>IF(B235="0",SUMIFS('Support - Transition'!F:F,'Support - Transition'!J:J,'Step 2'!D235,'Support - Transition'!E:E,"STATE UNIT"),SUMIFS('Support - Transition'!F:F,'Support - Transition'!J:J,'Step 2'!D235))</f>
        <v>4.7120000000000002E-2</v>
      </c>
      <c r="J235" s="126">
        <f>SUMIFS('Support - Unit Adjustments'!E:E,'Support - Unit Adjustments'!F:F,'Step 2'!D235)</f>
        <v>0</v>
      </c>
      <c r="K235" s="126">
        <f t="shared" si="59"/>
        <v>4.7120000000000002E-2</v>
      </c>
      <c r="L235" s="174">
        <f>VLOOKUP(A235,'Step 1'!$A:$E,4,FALSE)</f>
        <v>366695</v>
      </c>
      <c r="M235" s="47">
        <f t="shared" si="60"/>
        <v>17279</v>
      </c>
      <c r="N235" s="177">
        <f>SUMIFS('Support - Transition'!G:G,'Support - Transition'!J:J,'Step 2'!D235,'Support - Transition'!E:E,"2009 WELFARE ALLOCATION FACTOR")</f>
        <v>0</v>
      </c>
      <c r="O235" s="152">
        <f t="shared" si="66"/>
        <v>0</v>
      </c>
      <c r="P235" s="126">
        <f>IF(E235="Y",0,SUMIFS('Support - Transition'!G:G,'Support - Transition'!J:J,'Step 2'!D235,'Support - Transition'!E:E,"2009 SCHOOL ALLOCATION FACTOR"))</f>
        <v>0.54480600000000001</v>
      </c>
      <c r="Q235" s="126">
        <f>IF(E235="Y",VLOOKUP(D235,'Support - Unit Adjustments'!F:G,2,FALSE),0)</f>
        <v>0</v>
      </c>
      <c r="R235" s="155">
        <f t="shared" si="61"/>
        <v>0.54480600000000001</v>
      </c>
      <c r="S235" s="47">
        <f t="shared" si="67"/>
        <v>9414</v>
      </c>
      <c r="T235" s="151">
        <f t="shared" si="62"/>
        <v>7865</v>
      </c>
      <c r="U235" s="151">
        <f t="shared" si="63"/>
        <v>0</v>
      </c>
      <c r="V235" s="139">
        <f t="shared" si="64"/>
        <v>0</v>
      </c>
      <c r="W235" s="152">
        <f t="shared" si="68"/>
        <v>7865</v>
      </c>
      <c r="X235" s="127" t="str">
        <f t="shared" si="65"/>
        <v/>
      </c>
      <c r="Y235" s="207">
        <f t="shared" si="69"/>
        <v>7865</v>
      </c>
      <c r="Z235" s="139">
        <f t="shared" si="70"/>
        <v>7865</v>
      </c>
      <c r="AA235" s="139">
        <f t="shared" si="71"/>
        <v>0</v>
      </c>
      <c r="AC235" s="47">
        <f t="shared" si="72"/>
        <v>3933</v>
      </c>
      <c r="AD235" s="47">
        <f t="shared" si="73"/>
        <v>3933</v>
      </c>
      <c r="AE235" s="47">
        <f t="shared" si="74"/>
        <v>0</v>
      </c>
      <c r="AG235" s="47">
        <f t="shared" si="75"/>
        <v>3932</v>
      </c>
      <c r="AH235" s="47">
        <f t="shared" si="76"/>
        <v>3932</v>
      </c>
      <c r="AI235" s="208">
        <f t="shared" si="77"/>
        <v>0</v>
      </c>
    </row>
    <row r="236" spans="1:35">
      <c r="A236" t="s">
        <v>2097</v>
      </c>
      <c r="B236" t="s">
        <v>3166</v>
      </c>
      <c r="C236" t="s">
        <v>2288</v>
      </c>
      <c r="D236" t="s">
        <v>3414</v>
      </c>
      <c r="F236" t="s">
        <v>214</v>
      </c>
      <c r="G236" s="126">
        <f>SUMIFS('Support - Transition'!F:F,'Support - Transition'!B:B,'Step 2'!A236,'Support - Transition'!C:C,'Step 2'!B236,'Support - Transition'!D:D,'Step 2'!C236,'Support - Transition'!E:E,"CIVIL")</f>
        <v>0</v>
      </c>
      <c r="H236" s="126">
        <f>SUMIFS('Support - Transition'!F:F,'Support - Transition'!B:B,'Step 2'!A236,'Support - Transition'!C:C,'Step 2'!B236,'Support - Transition'!D:D,'Step 2'!C236,'Support - Transition'!E:E,"FIRE")</f>
        <v>0</v>
      </c>
      <c r="I236" s="126">
        <f>IF(B236="0",SUMIFS('Support - Transition'!F:F,'Support - Transition'!J:J,'Step 2'!D236,'Support - Transition'!E:E,"STATE UNIT"),SUMIFS('Support - Transition'!F:F,'Support - Transition'!J:J,'Step 2'!D236))</f>
        <v>2.4320999999999999E-2</v>
      </c>
      <c r="J236" s="126">
        <f>SUMIFS('Support - Unit Adjustments'!E:E,'Support - Unit Adjustments'!F:F,'Step 2'!D236)</f>
        <v>0</v>
      </c>
      <c r="K236" s="126">
        <f t="shared" si="59"/>
        <v>2.4320999999999999E-2</v>
      </c>
      <c r="L236" s="174">
        <f>VLOOKUP(A236,'Step 1'!$A:$E,4,FALSE)</f>
        <v>366695</v>
      </c>
      <c r="M236" s="47">
        <f t="shared" si="60"/>
        <v>8918</v>
      </c>
      <c r="N236" s="177">
        <f>SUMIFS('Support - Transition'!G:G,'Support - Transition'!J:J,'Step 2'!D236,'Support - Transition'!E:E,"2009 WELFARE ALLOCATION FACTOR")</f>
        <v>0</v>
      </c>
      <c r="O236" s="152">
        <f t="shared" si="66"/>
        <v>0</v>
      </c>
      <c r="P236" s="126">
        <f>IF(E236="Y",0,SUMIFS('Support - Transition'!G:G,'Support - Transition'!J:J,'Step 2'!D236,'Support - Transition'!E:E,"2009 SCHOOL ALLOCATION FACTOR"))</f>
        <v>0</v>
      </c>
      <c r="Q236" s="126">
        <f>IF(E236="Y",VLOOKUP(D236,'Support - Unit Adjustments'!F:G,2,FALSE),0)</f>
        <v>0</v>
      </c>
      <c r="R236" s="155">
        <f t="shared" si="61"/>
        <v>0</v>
      </c>
      <c r="S236" s="47">
        <f t="shared" si="67"/>
        <v>0</v>
      </c>
      <c r="T236" s="151">
        <f t="shared" si="62"/>
        <v>8918</v>
      </c>
      <c r="U236" s="151">
        <f t="shared" si="63"/>
        <v>0</v>
      </c>
      <c r="V236" s="139">
        <f t="shared" si="64"/>
        <v>0</v>
      </c>
      <c r="W236" s="152">
        <f t="shared" si="68"/>
        <v>8918</v>
      </c>
      <c r="X236" s="127" t="str">
        <f t="shared" si="65"/>
        <v/>
      </c>
      <c r="Y236" s="207">
        <f t="shared" si="69"/>
        <v>8918</v>
      </c>
      <c r="Z236" s="139">
        <f t="shared" si="70"/>
        <v>8918</v>
      </c>
      <c r="AA236" s="139">
        <f t="shared" si="71"/>
        <v>0</v>
      </c>
      <c r="AC236" s="47">
        <f t="shared" si="72"/>
        <v>4459</v>
      </c>
      <c r="AD236" s="47">
        <f t="shared" si="73"/>
        <v>4459</v>
      </c>
      <c r="AE236" s="47">
        <f t="shared" si="74"/>
        <v>0</v>
      </c>
      <c r="AG236" s="47">
        <f t="shared" si="75"/>
        <v>4459</v>
      </c>
      <c r="AH236" s="47">
        <f t="shared" si="76"/>
        <v>4459</v>
      </c>
      <c r="AI236" s="208">
        <f t="shared" si="77"/>
        <v>0</v>
      </c>
    </row>
    <row r="237" spans="1:35">
      <c r="A237" t="s">
        <v>2097</v>
      </c>
      <c r="B237" t="s">
        <v>3166</v>
      </c>
      <c r="C237" t="s">
        <v>3415</v>
      </c>
      <c r="D237" t="s">
        <v>3416</v>
      </c>
      <c r="F237" t="s">
        <v>215</v>
      </c>
      <c r="G237" s="126">
        <f>SUMIFS('Support - Transition'!F:F,'Support - Transition'!B:B,'Step 2'!A237,'Support - Transition'!C:C,'Step 2'!B237,'Support - Transition'!D:D,'Step 2'!C237,'Support - Transition'!E:E,"CIVIL")</f>
        <v>0</v>
      </c>
      <c r="H237" s="126">
        <f>SUMIFS('Support - Transition'!F:F,'Support - Transition'!B:B,'Step 2'!A237,'Support - Transition'!C:C,'Step 2'!B237,'Support - Transition'!D:D,'Step 2'!C237,'Support - Transition'!E:E,"FIRE")</f>
        <v>0</v>
      </c>
      <c r="I237" s="126">
        <f>IF(B237="0",SUMIFS('Support - Transition'!F:F,'Support - Transition'!J:J,'Step 2'!D237,'Support - Transition'!E:E,"STATE UNIT"),SUMIFS('Support - Transition'!F:F,'Support - Transition'!J:J,'Step 2'!D237))</f>
        <v>1.683E-3</v>
      </c>
      <c r="J237" s="126">
        <f>SUMIFS('Support - Unit Adjustments'!E:E,'Support - Unit Adjustments'!F:F,'Step 2'!D237)</f>
        <v>0</v>
      </c>
      <c r="K237" s="126">
        <f t="shared" si="59"/>
        <v>1.683E-3</v>
      </c>
      <c r="L237" s="174">
        <f>VLOOKUP(A237,'Step 1'!$A:$E,4,FALSE)</f>
        <v>366695</v>
      </c>
      <c r="M237" s="47">
        <f t="shared" si="60"/>
        <v>617</v>
      </c>
      <c r="N237" s="177">
        <f>SUMIFS('Support - Transition'!G:G,'Support - Transition'!J:J,'Step 2'!D237,'Support - Transition'!E:E,"2009 WELFARE ALLOCATION FACTOR")</f>
        <v>0</v>
      </c>
      <c r="O237" s="152">
        <f t="shared" si="66"/>
        <v>0</v>
      </c>
      <c r="P237" s="126">
        <f>IF(E237="Y",0,SUMIFS('Support - Transition'!G:G,'Support - Transition'!J:J,'Step 2'!D237,'Support - Transition'!E:E,"2009 SCHOOL ALLOCATION FACTOR"))</f>
        <v>0</v>
      </c>
      <c r="Q237" s="126">
        <f>IF(E237="Y",VLOOKUP(D237,'Support - Unit Adjustments'!F:G,2,FALSE),0)</f>
        <v>0</v>
      </c>
      <c r="R237" s="155">
        <f t="shared" si="61"/>
        <v>0</v>
      </c>
      <c r="S237" s="47">
        <f t="shared" si="67"/>
        <v>0</v>
      </c>
      <c r="T237" s="151">
        <f t="shared" si="62"/>
        <v>617</v>
      </c>
      <c r="U237" s="151">
        <f t="shared" si="63"/>
        <v>0</v>
      </c>
      <c r="V237" s="139">
        <f t="shared" si="64"/>
        <v>0</v>
      </c>
      <c r="W237" s="152">
        <f t="shared" si="68"/>
        <v>617</v>
      </c>
      <c r="X237" s="127" t="str">
        <f t="shared" si="65"/>
        <v/>
      </c>
      <c r="Y237" s="207">
        <f t="shared" si="69"/>
        <v>617</v>
      </c>
      <c r="Z237" s="139">
        <f t="shared" si="70"/>
        <v>617</v>
      </c>
      <c r="AA237" s="139">
        <f t="shared" si="71"/>
        <v>0</v>
      </c>
      <c r="AC237" s="47">
        <f t="shared" si="72"/>
        <v>309</v>
      </c>
      <c r="AD237" s="47">
        <f t="shared" si="73"/>
        <v>309</v>
      </c>
      <c r="AE237" s="47">
        <f t="shared" si="74"/>
        <v>0</v>
      </c>
      <c r="AG237" s="47">
        <f t="shared" si="75"/>
        <v>308</v>
      </c>
      <c r="AH237" s="47">
        <f t="shared" si="76"/>
        <v>308</v>
      </c>
      <c r="AI237" s="208">
        <f t="shared" si="77"/>
        <v>0</v>
      </c>
    </row>
    <row r="238" spans="1:35">
      <c r="A238" t="s">
        <v>2097</v>
      </c>
      <c r="B238" t="s">
        <v>3166</v>
      </c>
      <c r="C238" t="s">
        <v>2289</v>
      </c>
      <c r="D238" t="s">
        <v>3417</v>
      </c>
      <c r="F238" t="s">
        <v>216</v>
      </c>
      <c r="G238" s="126">
        <f>SUMIFS('Support - Transition'!F:F,'Support - Transition'!B:B,'Step 2'!A238,'Support - Transition'!C:C,'Step 2'!B238,'Support - Transition'!D:D,'Step 2'!C238,'Support - Transition'!E:E,"CIVIL")</f>
        <v>0</v>
      </c>
      <c r="H238" s="126">
        <f>SUMIFS('Support - Transition'!F:F,'Support - Transition'!B:B,'Step 2'!A238,'Support - Transition'!C:C,'Step 2'!B238,'Support - Transition'!D:D,'Step 2'!C238,'Support - Transition'!E:E,"FIRE")</f>
        <v>0</v>
      </c>
      <c r="I238" s="126">
        <f>IF(B238="0",SUMIFS('Support - Transition'!F:F,'Support - Transition'!J:J,'Step 2'!D238,'Support - Transition'!E:E,"STATE UNIT"),SUMIFS('Support - Transition'!F:F,'Support - Transition'!J:J,'Step 2'!D238))</f>
        <v>3.2160000000000001E-3</v>
      </c>
      <c r="J238" s="126">
        <f>SUMIFS('Support - Unit Adjustments'!E:E,'Support - Unit Adjustments'!F:F,'Step 2'!D238)</f>
        <v>0</v>
      </c>
      <c r="K238" s="126">
        <f t="shared" si="59"/>
        <v>3.2160000000000001E-3</v>
      </c>
      <c r="L238" s="174">
        <f>VLOOKUP(A238,'Step 1'!$A:$E,4,FALSE)</f>
        <v>366695</v>
      </c>
      <c r="M238" s="47">
        <f t="shared" si="60"/>
        <v>1179</v>
      </c>
      <c r="N238" s="177">
        <f>SUMIFS('Support - Transition'!G:G,'Support - Transition'!J:J,'Step 2'!D238,'Support - Transition'!E:E,"2009 WELFARE ALLOCATION FACTOR")</f>
        <v>0</v>
      </c>
      <c r="O238" s="152">
        <f t="shared" si="66"/>
        <v>0</v>
      </c>
      <c r="P238" s="126">
        <f>IF(E238="Y",0,SUMIFS('Support - Transition'!G:G,'Support - Transition'!J:J,'Step 2'!D238,'Support - Transition'!E:E,"2009 SCHOOL ALLOCATION FACTOR"))</f>
        <v>0</v>
      </c>
      <c r="Q238" s="126">
        <f>IF(E238="Y",VLOOKUP(D238,'Support - Unit Adjustments'!F:G,2,FALSE),0)</f>
        <v>0</v>
      </c>
      <c r="R238" s="155">
        <f t="shared" si="61"/>
        <v>0</v>
      </c>
      <c r="S238" s="47">
        <f t="shared" si="67"/>
        <v>0</v>
      </c>
      <c r="T238" s="151">
        <f t="shared" si="62"/>
        <v>1179</v>
      </c>
      <c r="U238" s="151">
        <f t="shared" si="63"/>
        <v>0</v>
      </c>
      <c r="V238" s="139">
        <f t="shared" si="64"/>
        <v>0</v>
      </c>
      <c r="W238" s="152">
        <f t="shared" si="68"/>
        <v>1179</v>
      </c>
      <c r="X238" s="127" t="str">
        <f t="shared" si="65"/>
        <v/>
      </c>
      <c r="Y238" s="207">
        <f t="shared" si="69"/>
        <v>1179</v>
      </c>
      <c r="Z238" s="139">
        <f t="shared" si="70"/>
        <v>1179</v>
      </c>
      <c r="AA238" s="139">
        <f t="shared" si="71"/>
        <v>0</v>
      </c>
      <c r="AC238" s="47">
        <f t="shared" si="72"/>
        <v>590</v>
      </c>
      <c r="AD238" s="47">
        <f t="shared" si="73"/>
        <v>590</v>
      </c>
      <c r="AE238" s="47">
        <f t="shared" si="74"/>
        <v>0</v>
      </c>
      <c r="AG238" s="47">
        <f t="shared" si="75"/>
        <v>589</v>
      </c>
      <c r="AH238" s="47">
        <f t="shared" si="76"/>
        <v>589</v>
      </c>
      <c r="AI238" s="208">
        <f t="shared" si="77"/>
        <v>0</v>
      </c>
    </row>
    <row r="239" spans="1:35">
      <c r="A239" t="s">
        <v>2097</v>
      </c>
      <c r="B239" t="s">
        <v>3170</v>
      </c>
      <c r="C239" t="s">
        <v>3418</v>
      </c>
      <c r="D239" t="s">
        <v>3419</v>
      </c>
      <c r="F239" t="s">
        <v>3420</v>
      </c>
      <c r="G239" s="126">
        <f>SUMIFS('Support - Transition'!F:F,'Support - Transition'!B:B,'Step 2'!A239,'Support - Transition'!C:C,'Step 2'!B239,'Support - Transition'!D:D,'Step 2'!C239,'Support - Transition'!E:E,"CIVIL")</f>
        <v>0</v>
      </c>
      <c r="H239" s="126">
        <f>SUMIFS('Support - Transition'!F:F,'Support - Transition'!B:B,'Step 2'!A239,'Support - Transition'!C:C,'Step 2'!B239,'Support - Transition'!D:D,'Step 2'!C239,'Support - Transition'!E:E,"FIRE")</f>
        <v>0</v>
      </c>
      <c r="I239" s="126">
        <f>IF(B239="0",SUMIFS('Support - Transition'!F:F,'Support - Transition'!J:J,'Step 2'!D239,'Support - Transition'!E:E,"STATE UNIT"),SUMIFS('Support - Transition'!F:F,'Support - Transition'!J:J,'Step 2'!D239))</f>
        <v>0</v>
      </c>
      <c r="J239" s="126">
        <f>SUMIFS('Support - Unit Adjustments'!E:E,'Support - Unit Adjustments'!F:F,'Step 2'!D239)</f>
        <v>0</v>
      </c>
      <c r="K239" s="126">
        <f t="shared" si="59"/>
        <v>0</v>
      </c>
      <c r="L239" s="174">
        <f>VLOOKUP(A239,'Step 1'!$A:$E,4,FALSE)</f>
        <v>366695</v>
      </c>
      <c r="M239" s="47">
        <f t="shared" si="60"/>
        <v>0</v>
      </c>
      <c r="N239" s="177">
        <f>SUMIFS('Support - Transition'!G:G,'Support - Transition'!J:J,'Step 2'!D239,'Support - Transition'!E:E,"2009 WELFARE ALLOCATION FACTOR")</f>
        <v>0</v>
      </c>
      <c r="O239" s="152">
        <f t="shared" si="66"/>
        <v>0</v>
      </c>
      <c r="P239" s="126">
        <f>IF(E239="Y",0,SUMIFS('Support - Transition'!G:G,'Support - Transition'!J:J,'Step 2'!D239,'Support - Transition'!E:E,"2009 SCHOOL ALLOCATION FACTOR"))</f>
        <v>0</v>
      </c>
      <c r="Q239" s="126">
        <f>IF(E239="Y",VLOOKUP(D239,'Support - Unit Adjustments'!F:G,2,FALSE),0)</f>
        <v>0</v>
      </c>
      <c r="R239" s="155">
        <f t="shared" si="61"/>
        <v>0</v>
      </c>
      <c r="S239" s="47">
        <f t="shared" si="67"/>
        <v>0</v>
      </c>
      <c r="T239" s="151">
        <f t="shared" si="62"/>
        <v>0</v>
      </c>
      <c r="U239" s="151">
        <f t="shared" si="63"/>
        <v>0</v>
      </c>
      <c r="V239" s="139">
        <f t="shared" si="64"/>
        <v>0</v>
      </c>
      <c r="W239" s="152">
        <f t="shared" si="68"/>
        <v>0</v>
      </c>
      <c r="X239" s="127" t="str">
        <f t="shared" si="65"/>
        <v/>
      </c>
      <c r="Y239" s="207">
        <f t="shared" si="69"/>
        <v>0</v>
      </c>
      <c r="Z239" s="139">
        <f t="shared" si="70"/>
        <v>0</v>
      </c>
      <c r="AA239" s="139">
        <f t="shared" si="71"/>
        <v>0</v>
      </c>
      <c r="AC239" s="47">
        <f t="shared" si="72"/>
        <v>0</v>
      </c>
      <c r="AD239" s="47">
        <f t="shared" si="73"/>
        <v>0</v>
      </c>
      <c r="AE239" s="47">
        <f t="shared" si="74"/>
        <v>0</v>
      </c>
      <c r="AG239" s="47">
        <f t="shared" si="75"/>
        <v>0</v>
      </c>
      <c r="AH239" s="47">
        <f t="shared" si="76"/>
        <v>0</v>
      </c>
      <c r="AI239" s="208">
        <f t="shared" si="77"/>
        <v>0</v>
      </c>
    </row>
    <row r="240" spans="1:35">
      <c r="A240" t="s">
        <v>2097</v>
      </c>
      <c r="B240" t="s">
        <v>3170</v>
      </c>
      <c r="C240" t="s">
        <v>3421</v>
      </c>
      <c r="D240" t="s">
        <v>3422</v>
      </c>
      <c r="F240" t="s">
        <v>3423</v>
      </c>
      <c r="G240" s="126">
        <f>SUMIFS('Support - Transition'!F:F,'Support - Transition'!B:B,'Step 2'!A240,'Support - Transition'!C:C,'Step 2'!B240,'Support - Transition'!D:D,'Step 2'!C240,'Support - Transition'!E:E,"CIVIL")</f>
        <v>0</v>
      </c>
      <c r="H240" s="126">
        <f>SUMIFS('Support - Transition'!F:F,'Support - Transition'!B:B,'Step 2'!A240,'Support - Transition'!C:C,'Step 2'!B240,'Support - Transition'!D:D,'Step 2'!C240,'Support - Transition'!E:E,"FIRE")</f>
        <v>0</v>
      </c>
      <c r="I240" s="126">
        <f>IF(B240="0",SUMIFS('Support - Transition'!F:F,'Support - Transition'!J:J,'Step 2'!D240,'Support - Transition'!E:E,"STATE UNIT"),SUMIFS('Support - Transition'!F:F,'Support - Transition'!J:J,'Step 2'!D240))</f>
        <v>0</v>
      </c>
      <c r="J240" s="126">
        <f>SUMIFS('Support - Unit Adjustments'!E:E,'Support - Unit Adjustments'!F:F,'Step 2'!D240)</f>
        <v>0</v>
      </c>
      <c r="K240" s="126">
        <f t="shared" si="59"/>
        <v>0</v>
      </c>
      <c r="L240" s="174">
        <f>VLOOKUP(A240,'Step 1'!$A:$E,4,FALSE)</f>
        <v>366695</v>
      </c>
      <c r="M240" s="47">
        <f t="shared" si="60"/>
        <v>0</v>
      </c>
      <c r="N240" s="177">
        <f>SUMIFS('Support - Transition'!G:G,'Support - Transition'!J:J,'Step 2'!D240,'Support - Transition'!E:E,"2009 WELFARE ALLOCATION FACTOR")</f>
        <v>0</v>
      </c>
      <c r="O240" s="152">
        <f t="shared" si="66"/>
        <v>0</v>
      </c>
      <c r="P240" s="126">
        <f>IF(E240="Y",0,SUMIFS('Support - Transition'!G:G,'Support - Transition'!J:J,'Step 2'!D240,'Support - Transition'!E:E,"2009 SCHOOL ALLOCATION FACTOR"))</f>
        <v>0</v>
      </c>
      <c r="Q240" s="126">
        <f>IF(E240="Y",VLOOKUP(D240,'Support - Unit Adjustments'!F:G,2,FALSE),0)</f>
        <v>0</v>
      </c>
      <c r="R240" s="155">
        <f t="shared" si="61"/>
        <v>0</v>
      </c>
      <c r="S240" s="47">
        <f t="shared" si="67"/>
        <v>0</v>
      </c>
      <c r="T240" s="151">
        <f t="shared" si="62"/>
        <v>0</v>
      </c>
      <c r="U240" s="151">
        <f t="shared" si="63"/>
        <v>0</v>
      </c>
      <c r="V240" s="139">
        <f t="shared" si="64"/>
        <v>0</v>
      </c>
      <c r="W240" s="152">
        <f t="shared" si="68"/>
        <v>0</v>
      </c>
      <c r="X240" s="127" t="str">
        <f t="shared" si="65"/>
        <v/>
      </c>
      <c r="Y240" s="207">
        <f t="shared" si="69"/>
        <v>0</v>
      </c>
      <c r="Z240" s="139">
        <f t="shared" si="70"/>
        <v>0</v>
      </c>
      <c r="AA240" s="139">
        <f t="shared" si="71"/>
        <v>0</v>
      </c>
      <c r="AC240" s="47">
        <f t="shared" si="72"/>
        <v>0</v>
      </c>
      <c r="AD240" s="47">
        <f t="shared" si="73"/>
        <v>0</v>
      </c>
      <c r="AE240" s="47">
        <f t="shared" si="74"/>
        <v>0</v>
      </c>
      <c r="AG240" s="47">
        <f t="shared" si="75"/>
        <v>0</v>
      </c>
      <c r="AH240" s="47">
        <f t="shared" si="76"/>
        <v>0</v>
      </c>
      <c r="AI240" s="208">
        <f t="shared" si="77"/>
        <v>0</v>
      </c>
    </row>
    <row r="241" spans="1:35">
      <c r="A241" t="s">
        <v>2097</v>
      </c>
      <c r="B241" t="s">
        <v>3170</v>
      </c>
      <c r="C241" t="s">
        <v>3424</v>
      </c>
      <c r="D241" t="s">
        <v>3425</v>
      </c>
      <c r="F241" t="s">
        <v>3426</v>
      </c>
      <c r="G241" s="126">
        <f>SUMIFS('Support - Transition'!F:F,'Support - Transition'!B:B,'Step 2'!A241,'Support - Transition'!C:C,'Step 2'!B241,'Support - Transition'!D:D,'Step 2'!C241,'Support - Transition'!E:E,"CIVIL")</f>
        <v>0</v>
      </c>
      <c r="H241" s="126">
        <f>SUMIFS('Support - Transition'!F:F,'Support - Transition'!B:B,'Step 2'!A241,'Support - Transition'!C:C,'Step 2'!B241,'Support - Transition'!D:D,'Step 2'!C241,'Support - Transition'!E:E,"FIRE")</f>
        <v>0</v>
      </c>
      <c r="I241" s="126">
        <f>IF(B241="0",SUMIFS('Support - Transition'!F:F,'Support - Transition'!J:J,'Step 2'!D241,'Support - Transition'!E:E,"STATE UNIT"),SUMIFS('Support - Transition'!F:F,'Support - Transition'!J:J,'Step 2'!D241))</f>
        <v>0</v>
      </c>
      <c r="J241" s="126">
        <f>SUMIFS('Support - Unit Adjustments'!E:E,'Support - Unit Adjustments'!F:F,'Step 2'!D241)</f>
        <v>0</v>
      </c>
      <c r="K241" s="126">
        <f t="shared" si="59"/>
        <v>0</v>
      </c>
      <c r="L241" s="174">
        <f>VLOOKUP(A241,'Step 1'!$A:$E,4,FALSE)</f>
        <v>366695</v>
      </c>
      <c r="M241" s="47">
        <f t="shared" si="60"/>
        <v>0</v>
      </c>
      <c r="N241" s="177">
        <f>SUMIFS('Support - Transition'!G:G,'Support - Transition'!J:J,'Step 2'!D241,'Support - Transition'!E:E,"2009 WELFARE ALLOCATION FACTOR")</f>
        <v>0</v>
      </c>
      <c r="O241" s="152">
        <f t="shared" si="66"/>
        <v>0</v>
      </c>
      <c r="P241" s="126">
        <f>IF(E241="Y",0,SUMIFS('Support - Transition'!G:G,'Support - Transition'!J:J,'Step 2'!D241,'Support - Transition'!E:E,"2009 SCHOOL ALLOCATION FACTOR"))</f>
        <v>0</v>
      </c>
      <c r="Q241" s="126">
        <f>IF(E241="Y",VLOOKUP(D241,'Support - Unit Adjustments'!F:G,2,FALSE),0)</f>
        <v>0</v>
      </c>
      <c r="R241" s="155">
        <f t="shared" si="61"/>
        <v>0</v>
      </c>
      <c r="S241" s="47">
        <f t="shared" si="67"/>
        <v>0</v>
      </c>
      <c r="T241" s="151">
        <f t="shared" si="62"/>
        <v>0</v>
      </c>
      <c r="U241" s="151">
        <f t="shared" si="63"/>
        <v>0</v>
      </c>
      <c r="V241" s="139">
        <f t="shared" si="64"/>
        <v>0</v>
      </c>
      <c r="W241" s="152">
        <f t="shared" si="68"/>
        <v>0</v>
      </c>
      <c r="X241" s="127" t="str">
        <f t="shared" si="65"/>
        <v/>
      </c>
      <c r="Y241" s="207">
        <f t="shared" si="69"/>
        <v>0</v>
      </c>
      <c r="Z241" s="139">
        <f t="shared" si="70"/>
        <v>0</v>
      </c>
      <c r="AA241" s="139">
        <f t="shared" si="71"/>
        <v>0</v>
      </c>
      <c r="AC241" s="47">
        <f t="shared" si="72"/>
        <v>0</v>
      </c>
      <c r="AD241" s="47">
        <f t="shared" si="73"/>
        <v>0</v>
      </c>
      <c r="AE241" s="47">
        <f t="shared" si="74"/>
        <v>0</v>
      </c>
      <c r="AG241" s="47">
        <f t="shared" si="75"/>
        <v>0</v>
      </c>
      <c r="AH241" s="47">
        <f t="shared" si="76"/>
        <v>0</v>
      </c>
      <c r="AI241" s="208">
        <f t="shared" si="77"/>
        <v>0</v>
      </c>
    </row>
    <row r="242" spans="1:35">
      <c r="A242" t="s">
        <v>2097</v>
      </c>
      <c r="B242" t="s">
        <v>3286</v>
      </c>
      <c r="C242" t="s">
        <v>2190</v>
      </c>
      <c r="D242" t="s">
        <v>3427</v>
      </c>
      <c r="F242" t="s">
        <v>3388</v>
      </c>
      <c r="G242" s="126">
        <f>SUMIFS('Support - Transition'!F:F,'Support - Transition'!B:B,'Step 2'!A242,'Support - Transition'!C:C,'Step 2'!B242,'Support - Transition'!D:D,'Step 2'!C242,'Support - Transition'!E:E,"CIVIL")</f>
        <v>0</v>
      </c>
      <c r="H242" s="126">
        <f>SUMIFS('Support - Transition'!F:F,'Support - Transition'!B:B,'Step 2'!A242,'Support - Transition'!C:C,'Step 2'!B242,'Support - Transition'!D:D,'Step 2'!C242,'Support - Transition'!E:E,"FIRE")</f>
        <v>0</v>
      </c>
      <c r="I242" s="126">
        <f>IF(B242="0",SUMIFS('Support - Transition'!F:F,'Support - Transition'!J:J,'Step 2'!D242,'Support - Transition'!E:E,"STATE UNIT"),SUMIFS('Support - Transition'!F:F,'Support - Transition'!J:J,'Step 2'!D242))</f>
        <v>0</v>
      </c>
      <c r="J242" s="126">
        <f>SUMIFS('Support - Unit Adjustments'!E:E,'Support - Unit Adjustments'!F:F,'Step 2'!D242)</f>
        <v>0</v>
      </c>
      <c r="K242" s="126">
        <f t="shared" si="59"/>
        <v>0</v>
      </c>
      <c r="L242" s="174">
        <f>VLOOKUP(A242,'Step 1'!$A:$E,4,FALSE)</f>
        <v>366695</v>
      </c>
      <c r="M242" s="47">
        <f t="shared" si="60"/>
        <v>0</v>
      </c>
      <c r="N242" s="177">
        <f>SUMIFS('Support - Transition'!G:G,'Support - Transition'!J:J,'Step 2'!D242,'Support - Transition'!E:E,"2009 WELFARE ALLOCATION FACTOR")</f>
        <v>0</v>
      </c>
      <c r="O242" s="152">
        <f t="shared" si="66"/>
        <v>0</v>
      </c>
      <c r="P242" s="126">
        <f>IF(E242="Y",0,SUMIFS('Support - Transition'!G:G,'Support - Transition'!J:J,'Step 2'!D242,'Support - Transition'!E:E,"2009 SCHOOL ALLOCATION FACTOR"))</f>
        <v>0</v>
      </c>
      <c r="Q242" s="126">
        <f>IF(E242="Y",VLOOKUP(D242,'Support - Unit Adjustments'!F:G,2,FALSE),0)</f>
        <v>0</v>
      </c>
      <c r="R242" s="155">
        <f t="shared" si="61"/>
        <v>0</v>
      </c>
      <c r="S242" s="47">
        <f t="shared" si="67"/>
        <v>0</v>
      </c>
      <c r="T242" s="151">
        <f t="shared" si="62"/>
        <v>0</v>
      </c>
      <c r="U242" s="151">
        <f t="shared" si="63"/>
        <v>0</v>
      </c>
      <c r="V242" s="139">
        <f t="shared" si="64"/>
        <v>0</v>
      </c>
      <c r="W242" s="152">
        <f t="shared" si="68"/>
        <v>0</v>
      </c>
      <c r="X242" s="127" t="str">
        <f t="shared" si="65"/>
        <v/>
      </c>
      <c r="Y242" s="207">
        <f t="shared" si="69"/>
        <v>0</v>
      </c>
      <c r="Z242" s="139">
        <f t="shared" si="70"/>
        <v>0</v>
      </c>
      <c r="AA242" s="139">
        <f t="shared" si="71"/>
        <v>0</v>
      </c>
      <c r="AC242" s="47">
        <f t="shared" si="72"/>
        <v>0</v>
      </c>
      <c r="AD242" s="47">
        <f t="shared" si="73"/>
        <v>0</v>
      </c>
      <c r="AE242" s="47">
        <f t="shared" si="74"/>
        <v>0</v>
      </c>
      <c r="AG242" s="47">
        <f t="shared" si="75"/>
        <v>0</v>
      </c>
      <c r="AH242" s="47">
        <f t="shared" si="76"/>
        <v>0</v>
      </c>
      <c r="AI242" s="208">
        <f t="shared" si="77"/>
        <v>0</v>
      </c>
    </row>
    <row r="243" spans="1:35">
      <c r="A243" t="s">
        <v>2098</v>
      </c>
      <c r="B243" s="48" t="s">
        <v>6274</v>
      </c>
      <c r="C243" t="s">
        <v>2187</v>
      </c>
      <c r="D243" t="str">
        <f>A243&amp;B243&amp;C243</f>
        <v>1000000</v>
      </c>
      <c r="F243" t="s">
        <v>6284</v>
      </c>
      <c r="G243" s="126">
        <f>SUMIFS('Support - Transition'!F:F,'Support - Transition'!B:B,'Step 2'!A243,'Support - Transition'!C:C,'Step 2'!B243,'Support - Transition'!D:D,'Step 2'!C243,'Support - Transition'!E:E,"CIVIL")</f>
        <v>0</v>
      </c>
      <c r="H243" s="126">
        <f>SUMIFS('Support - Transition'!F:F,'Support - Transition'!B:B,'Step 2'!A243,'Support - Transition'!C:C,'Step 2'!B243,'Support - Transition'!D:D,'Step 2'!C243,'Support - Transition'!E:E,"FIRE")</f>
        <v>0</v>
      </c>
      <c r="I243" s="126">
        <f>IF(B243="0",SUMIFS('Support - Transition'!F:F,'Support - Transition'!J:J,'Step 2'!D243,'Support - Transition'!E:E,"STATE UNIT"),SUMIFS('Support - Transition'!F:F,'Support - Transition'!J:J,'Step 2'!D243))</f>
        <v>8.9999999999999998E-4</v>
      </c>
      <c r="J243" s="126">
        <f>SUMIFS('Support - Unit Adjustments'!E:E,'Support - Unit Adjustments'!F:F,'Step 2'!D243)</f>
        <v>0</v>
      </c>
      <c r="K243" s="126">
        <f t="shared" si="59"/>
        <v>8.9999999999999998E-4</v>
      </c>
      <c r="L243" s="174">
        <f>VLOOKUP(A243,'Step 1'!$A:$E,4,FALSE)</f>
        <v>1494199</v>
      </c>
      <c r="M243" s="47">
        <f t="shared" si="60"/>
        <v>1345</v>
      </c>
      <c r="N243" s="177">
        <f>SUMIFS('Support - Transition'!G:G,'Support - Transition'!J:J,'Step 2'!D243,'Support - Transition'!E:E,"2009 WELFARE ALLOCATION FACTOR")</f>
        <v>0</v>
      </c>
      <c r="O243" s="152">
        <f t="shared" si="66"/>
        <v>0</v>
      </c>
      <c r="P243" s="126">
        <f>IF(E243="Y",0,SUMIFS('Support - Transition'!G:G,'Support - Transition'!J:J,'Step 2'!D243,'Support - Transition'!E:E,"2009 SCHOOL ALLOCATION FACTOR"))</f>
        <v>0</v>
      </c>
      <c r="Q243" s="126">
        <f>IF(E243="Y",VLOOKUP(D243,'Support - Unit Adjustments'!F:G,2,FALSE),0)</f>
        <v>0</v>
      </c>
      <c r="R243" s="155">
        <f t="shared" ref="R243:R262" si="78">+P243+Q243</f>
        <v>0</v>
      </c>
      <c r="S243" s="47">
        <f t="shared" si="67"/>
        <v>0</v>
      </c>
      <c r="T243" s="151">
        <f t="shared" si="62"/>
        <v>1345</v>
      </c>
      <c r="U243" s="151">
        <f t="shared" si="63"/>
        <v>1494197</v>
      </c>
      <c r="V243" s="139">
        <f t="shared" si="64"/>
        <v>-2</v>
      </c>
      <c r="W243" s="152">
        <f t="shared" si="68"/>
        <v>1347</v>
      </c>
      <c r="X243" s="127">
        <f t="shared" si="65"/>
        <v>0</v>
      </c>
      <c r="Y243" s="207">
        <f t="shared" si="69"/>
        <v>1347</v>
      </c>
      <c r="Z243" s="139">
        <f t="shared" si="70"/>
        <v>1347</v>
      </c>
      <c r="AA243" s="139">
        <f t="shared" si="71"/>
        <v>0</v>
      </c>
      <c r="AC243" s="47">
        <f t="shared" si="72"/>
        <v>674</v>
      </c>
      <c r="AD243" s="47">
        <f t="shared" si="73"/>
        <v>674</v>
      </c>
      <c r="AE243" s="47">
        <f t="shared" si="74"/>
        <v>0</v>
      </c>
      <c r="AG243" s="47">
        <f t="shared" si="75"/>
        <v>673</v>
      </c>
      <c r="AH243" s="47">
        <f t="shared" si="76"/>
        <v>673</v>
      </c>
      <c r="AI243" s="208">
        <f t="shared" si="77"/>
        <v>0</v>
      </c>
    </row>
    <row r="244" spans="1:35">
      <c r="A244" t="s">
        <v>2098</v>
      </c>
      <c r="B244" t="s">
        <v>3140</v>
      </c>
      <c r="C244" t="s">
        <v>2187</v>
      </c>
      <c r="D244" t="s">
        <v>3428</v>
      </c>
      <c r="F244" t="s">
        <v>219</v>
      </c>
      <c r="G244" s="126">
        <f>SUMIFS('Support - Transition'!F:F,'Support - Transition'!B:B,'Step 2'!A244,'Support - Transition'!C:C,'Step 2'!B244,'Support - Transition'!D:D,'Step 2'!C244,'Support - Transition'!E:E,"CIVIL")</f>
        <v>0</v>
      </c>
      <c r="H244" s="126">
        <f>SUMIFS('Support - Transition'!F:F,'Support - Transition'!B:B,'Step 2'!A244,'Support - Transition'!C:C,'Step 2'!B244,'Support - Transition'!D:D,'Step 2'!C244,'Support - Transition'!E:E,"FIRE")</f>
        <v>0</v>
      </c>
      <c r="I244" s="126">
        <f>IF(B244="0",SUMIFS('Support - Transition'!F:F,'Support - Transition'!J:J,'Step 2'!D244,'Support - Transition'!E:E,"STATE UNIT"),SUMIFS('Support - Transition'!F:F,'Support - Transition'!J:J,'Step 2'!D244))</f>
        <v>0.16949500000000001</v>
      </c>
      <c r="J244" s="126">
        <f>SUMIFS('Support - Unit Adjustments'!E:E,'Support - Unit Adjustments'!F:F,'Step 2'!D244)</f>
        <v>0</v>
      </c>
      <c r="K244" s="126">
        <f t="shared" si="59"/>
        <v>0.16949500000000001</v>
      </c>
      <c r="L244" s="174">
        <f>VLOOKUP(A244,'Step 1'!$A:$E,4,FALSE)</f>
        <v>1494199</v>
      </c>
      <c r="M244" s="47">
        <f t="shared" si="60"/>
        <v>253259</v>
      </c>
      <c r="N244" s="177">
        <f>SUMIFS('Support - Transition'!G:G,'Support - Transition'!J:J,'Step 2'!D244,'Support - Transition'!E:E,"2009 WELFARE ALLOCATION FACTOR")</f>
        <v>0.38001600000000002</v>
      </c>
      <c r="O244" s="152">
        <f t="shared" si="66"/>
        <v>96242</v>
      </c>
      <c r="P244" s="126">
        <f>IF(E244="Y",0,SUMIFS('Support - Transition'!G:G,'Support - Transition'!J:J,'Step 2'!D244,'Support - Transition'!E:E,"2009 SCHOOL ALLOCATION FACTOR"))</f>
        <v>0</v>
      </c>
      <c r="Q244" s="126">
        <f>IF(E244="Y",VLOOKUP(D244,'Support - Unit Adjustments'!F:G,2,FALSE),0)</f>
        <v>0</v>
      </c>
      <c r="R244" s="155">
        <f t="shared" si="78"/>
        <v>0</v>
      </c>
      <c r="S244" s="47">
        <f t="shared" si="67"/>
        <v>0</v>
      </c>
      <c r="T244" s="151">
        <f t="shared" si="62"/>
        <v>157017</v>
      </c>
      <c r="U244" s="151">
        <f t="shared" si="63"/>
        <v>0</v>
      </c>
      <c r="V244" s="139">
        <f t="shared" si="64"/>
        <v>0</v>
      </c>
      <c r="W244" s="152">
        <f t="shared" si="68"/>
        <v>157017</v>
      </c>
      <c r="X244" s="127" t="str">
        <f t="shared" si="65"/>
        <v/>
      </c>
      <c r="Y244" s="207">
        <f t="shared" si="69"/>
        <v>157017</v>
      </c>
      <c r="Z244" s="139">
        <f t="shared" si="70"/>
        <v>157017</v>
      </c>
      <c r="AA244" s="139">
        <f t="shared" si="71"/>
        <v>0</v>
      </c>
      <c r="AC244" s="47">
        <f t="shared" si="72"/>
        <v>78509</v>
      </c>
      <c r="AD244" s="47">
        <f t="shared" si="73"/>
        <v>78509</v>
      </c>
      <c r="AE244" s="47">
        <f t="shared" si="74"/>
        <v>0</v>
      </c>
      <c r="AG244" s="47">
        <f t="shared" si="75"/>
        <v>78508</v>
      </c>
      <c r="AH244" s="47">
        <f t="shared" si="76"/>
        <v>78508</v>
      </c>
      <c r="AI244" s="208">
        <f t="shared" si="77"/>
        <v>0</v>
      </c>
    </row>
    <row r="245" spans="1:35">
      <c r="A245" t="s">
        <v>2098</v>
      </c>
      <c r="B245" t="s">
        <v>3142</v>
      </c>
      <c r="C245" t="s">
        <v>2188</v>
      </c>
      <c r="D245" t="s">
        <v>3429</v>
      </c>
      <c r="F245" t="s">
        <v>199</v>
      </c>
      <c r="G245" s="126">
        <f>SUMIFS('Support - Transition'!F:F,'Support - Transition'!B:B,'Step 2'!A245,'Support - Transition'!C:C,'Step 2'!B245,'Support - Transition'!D:D,'Step 2'!C245,'Support - Transition'!E:E,"CIVIL")</f>
        <v>0</v>
      </c>
      <c r="H245" s="126">
        <f>SUMIFS('Support - Transition'!F:F,'Support - Transition'!B:B,'Step 2'!A245,'Support - Transition'!C:C,'Step 2'!B245,'Support - Transition'!D:D,'Step 2'!C245,'Support - Transition'!E:E,"FIRE")</f>
        <v>0</v>
      </c>
      <c r="I245" s="126">
        <f>IF(B245="0",SUMIFS('Support - Transition'!F:F,'Support - Transition'!J:J,'Step 2'!D245,'Support - Transition'!E:E,"STATE UNIT"),SUMIFS('Support - Transition'!F:F,'Support - Transition'!J:J,'Step 2'!D245))</f>
        <v>0</v>
      </c>
      <c r="J245" s="126">
        <f>SUMIFS('Support - Unit Adjustments'!E:E,'Support - Unit Adjustments'!F:F,'Step 2'!D245)</f>
        <v>0</v>
      </c>
      <c r="K245" s="126">
        <f t="shared" si="59"/>
        <v>0</v>
      </c>
      <c r="L245" s="174">
        <f>VLOOKUP(A245,'Step 1'!$A:$E,4,FALSE)</f>
        <v>1494199</v>
      </c>
      <c r="M245" s="47">
        <f t="shared" si="60"/>
        <v>0</v>
      </c>
      <c r="N245" s="177">
        <f>SUMIFS('Support - Transition'!G:G,'Support - Transition'!J:J,'Step 2'!D245,'Support - Transition'!E:E,"2009 WELFARE ALLOCATION FACTOR")</f>
        <v>0</v>
      </c>
      <c r="O245" s="152">
        <f t="shared" si="66"/>
        <v>0</v>
      </c>
      <c r="P245" s="126">
        <f>IF(E245="Y",0,SUMIFS('Support - Transition'!G:G,'Support - Transition'!J:J,'Step 2'!D245,'Support - Transition'!E:E,"2009 SCHOOL ALLOCATION FACTOR"))</f>
        <v>0</v>
      </c>
      <c r="Q245" s="126">
        <f>IF(E245="Y",VLOOKUP(D245,'Support - Unit Adjustments'!F:G,2,FALSE),0)</f>
        <v>0</v>
      </c>
      <c r="R245" s="155">
        <f t="shared" si="78"/>
        <v>0</v>
      </c>
      <c r="S245" s="47">
        <f t="shared" si="67"/>
        <v>0</v>
      </c>
      <c r="T245" s="151">
        <f t="shared" si="62"/>
        <v>0</v>
      </c>
      <c r="U245" s="151">
        <f t="shared" si="63"/>
        <v>0</v>
      </c>
      <c r="V245" s="139">
        <f t="shared" si="64"/>
        <v>0</v>
      </c>
      <c r="W245" s="152">
        <f t="shared" si="68"/>
        <v>0</v>
      </c>
      <c r="X245" s="127" t="str">
        <f t="shared" si="65"/>
        <v/>
      </c>
      <c r="Y245" s="207">
        <f t="shared" si="69"/>
        <v>0</v>
      </c>
      <c r="Z245" s="139">
        <f t="shared" si="70"/>
        <v>0</v>
      </c>
      <c r="AA245" s="139">
        <f t="shared" si="71"/>
        <v>0</v>
      </c>
      <c r="AC245" s="47">
        <f t="shared" si="72"/>
        <v>0</v>
      </c>
      <c r="AD245" s="47">
        <f t="shared" si="73"/>
        <v>0</v>
      </c>
      <c r="AE245" s="47">
        <f t="shared" si="74"/>
        <v>0</v>
      </c>
      <c r="AG245" s="47">
        <f t="shared" si="75"/>
        <v>0</v>
      </c>
      <c r="AH245" s="47">
        <f t="shared" si="76"/>
        <v>0</v>
      </c>
      <c r="AI245" s="208">
        <f t="shared" si="77"/>
        <v>0</v>
      </c>
    </row>
    <row r="246" spans="1:35">
      <c r="A246" t="s">
        <v>2098</v>
      </c>
      <c r="B246" t="s">
        <v>3142</v>
      </c>
      <c r="C246" t="s">
        <v>2189</v>
      </c>
      <c r="D246" t="s">
        <v>3430</v>
      </c>
      <c r="F246" t="s">
        <v>220</v>
      </c>
      <c r="G246" s="126">
        <f>SUMIFS('Support - Transition'!F:F,'Support - Transition'!B:B,'Step 2'!A246,'Support - Transition'!C:C,'Step 2'!B246,'Support - Transition'!D:D,'Step 2'!C246,'Support - Transition'!E:E,"CIVIL")</f>
        <v>4.3399999999999998E-4</v>
      </c>
      <c r="H246" s="126">
        <f>SUMIFS('Support - Transition'!F:F,'Support - Transition'!B:B,'Step 2'!A246,'Support - Transition'!C:C,'Step 2'!B246,'Support - Transition'!D:D,'Step 2'!C246,'Support - Transition'!E:E,"FIRE")</f>
        <v>0</v>
      </c>
      <c r="I246" s="126">
        <f>IF(B246="0",SUMIFS('Support - Transition'!F:F,'Support - Transition'!J:J,'Step 2'!D246,'Support - Transition'!E:E,"STATE UNIT"),SUMIFS('Support - Transition'!F:F,'Support - Transition'!J:J,'Step 2'!D246))</f>
        <v>4.3399999999999998E-4</v>
      </c>
      <c r="J246" s="126">
        <f>SUMIFS('Support - Unit Adjustments'!E:E,'Support - Unit Adjustments'!F:F,'Step 2'!D246)</f>
        <v>0</v>
      </c>
      <c r="K246" s="126">
        <f t="shared" si="59"/>
        <v>4.3399999999999998E-4</v>
      </c>
      <c r="L246" s="174">
        <f>VLOOKUP(A246,'Step 1'!$A:$E,4,FALSE)</f>
        <v>1494199</v>
      </c>
      <c r="M246" s="47">
        <f t="shared" si="60"/>
        <v>648</v>
      </c>
      <c r="N246" s="177">
        <f>SUMIFS('Support - Transition'!G:G,'Support - Transition'!J:J,'Step 2'!D246,'Support - Transition'!E:E,"2009 WELFARE ALLOCATION FACTOR")</f>
        <v>0</v>
      </c>
      <c r="O246" s="152">
        <f t="shared" si="66"/>
        <v>0</v>
      </c>
      <c r="P246" s="126">
        <f>IF(E246="Y",0,SUMIFS('Support - Transition'!G:G,'Support - Transition'!J:J,'Step 2'!D246,'Support - Transition'!E:E,"2009 SCHOOL ALLOCATION FACTOR"))</f>
        <v>0</v>
      </c>
      <c r="Q246" s="126">
        <f>IF(E246="Y",VLOOKUP(D246,'Support - Unit Adjustments'!F:G,2,FALSE),0)</f>
        <v>0</v>
      </c>
      <c r="R246" s="155">
        <f t="shared" si="78"/>
        <v>0</v>
      </c>
      <c r="S246" s="47">
        <f t="shared" si="67"/>
        <v>0</v>
      </c>
      <c r="T246" s="151">
        <f t="shared" si="62"/>
        <v>648</v>
      </c>
      <c r="U246" s="151">
        <f t="shared" si="63"/>
        <v>0</v>
      </c>
      <c r="V246" s="139">
        <f t="shared" si="64"/>
        <v>0</v>
      </c>
      <c r="W246" s="152">
        <f t="shared" si="68"/>
        <v>648</v>
      </c>
      <c r="X246" s="127" t="str">
        <f t="shared" si="65"/>
        <v/>
      </c>
      <c r="Y246" s="207">
        <f t="shared" si="69"/>
        <v>648</v>
      </c>
      <c r="Z246" s="139">
        <f t="shared" si="70"/>
        <v>648</v>
      </c>
      <c r="AA246" s="139">
        <f t="shared" si="71"/>
        <v>0</v>
      </c>
      <c r="AC246" s="47">
        <f t="shared" si="72"/>
        <v>324</v>
      </c>
      <c r="AD246" s="47">
        <f t="shared" si="73"/>
        <v>324</v>
      </c>
      <c r="AE246" s="47">
        <f t="shared" si="74"/>
        <v>0</v>
      </c>
      <c r="AG246" s="47">
        <f t="shared" si="75"/>
        <v>324</v>
      </c>
      <c r="AH246" s="47">
        <f t="shared" si="76"/>
        <v>324</v>
      </c>
      <c r="AI246" s="208">
        <f t="shared" si="77"/>
        <v>0</v>
      </c>
    </row>
    <row r="247" spans="1:35">
      <c r="A247" t="s">
        <v>2098</v>
      </c>
      <c r="B247" t="s">
        <v>3142</v>
      </c>
      <c r="C247" t="s">
        <v>2190</v>
      </c>
      <c r="D247" t="s">
        <v>3431</v>
      </c>
      <c r="F247" t="s">
        <v>221</v>
      </c>
      <c r="G247" s="126">
        <f>SUMIFS('Support - Transition'!F:F,'Support - Transition'!B:B,'Step 2'!A247,'Support - Transition'!C:C,'Step 2'!B247,'Support - Transition'!D:D,'Step 2'!C247,'Support - Transition'!E:E,"CIVIL")</f>
        <v>4.64E-4</v>
      </c>
      <c r="H247" s="126">
        <f>SUMIFS('Support - Transition'!F:F,'Support - Transition'!B:B,'Step 2'!A247,'Support - Transition'!C:C,'Step 2'!B247,'Support - Transition'!D:D,'Step 2'!C247,'Support - Transition'!E:E,"FIRE")</f>
        <v>0</v>
      </c>
      <c r="I247" s="126">
        <f>IF(B247="0",SUMIFS('Support - Transition'!F:F,'Support - Transition'!J:J,'Step 2'!D247,'Support - Transition'!E:E,"STATE UNIT"),SUMIFS('Support - Transition'!F:F,'Support - Transition'!J:J,'Step 2'!D247))</f>
        <v>4.64E-4</v>
      </c>
      <c r="J247" s="126">
        <f>SUMIFS('Support - Unit Adjustments'!E:E,'Support - Unit Adjustments'!F:F,'Step 2'!D247)</f>
        <v>0</v>
      </c>
      <c r="K247" s="126">
        <f t="shared" si="59"/>
        <v>4.64E-4</v>
      </c>
      <c r="L247" s="174">
        <f>VLOOKUP(A247,'Step 1'!$A:$E,4,FALSE)</f>
        <v>1494199</v>
      </c>
      <c r="M247" s="47">
        <f t="shared" si="60"/>
        <v>693</v>
      </c>
      <c r="N247" s="177">
        <f>SUMIFS('Support - Transition'!G:G,'Support - Transition'!J:J,'Step 2'!D247,'Support - Transition'!E:E,"2009 WELFARE ALLOCATION FACTOR")</f>
        <v>0</v>
      </c>
      <c r="O247" s="152">
        <f t="shared" si="66"/>
        <v>0</v>
      </c>
      <c r="P247" s="126">
        <f>IF(E247="Y",0,SUMIFS('Support - Transition'!G:G,'Support - Transition'!J:J,'Step 2'!D247,'Support - Transition'!E:E,"2009 SCHOOL ALLOCATION FACTOR"))</f>
        <v>0</v>
      </c>
      <c r="Q247" s="126">
        <f>IF(E247="Y",VLOOKUP(D247,'Support - Unit Adjustments'!F:G,2,FALSE),0)</f>
        <v>0</v>
      </c>
      <c r="R247" s="155">
        <f t="shared" si="78"/>
        <v>0</v>
      </c>
      <c r="S247" s="47">
        <f t="shared" si="67"/>
        <v>0</v>
      </c>
      <c r="T247" s="151">
        <f t="shared" si="62"/>
        <v>693</v>
      </c>
      <c r="U247" s="151">
        <f t="shared" si="63"/>
        <v>0</v>
      </c>
      <c r="V247" s="139">
        <f t="shared" si="64"/>
        <v>0</v>
      </c>
      <c r="W247" s="152">
        <f t="shared" si="68"/>
        <v>693</v>
      </c>
      <c r="X247" s="127" t="str">
        <f t="shared" si="65"/>
        <v/>
      </c>
      <c r="Y247" s="207">
        <f t="shared" si="69"/>
        <v>693</v>
      </c>
      <c r="Z247" s="139">
        <f t="shared" si="70"/>
        <v>693</v>
      </c>
      <c r="AA247" s="139">
        <f t="shared" si="71"/>
        <v>0</v>
      </c>
      <c r="AC247" s="47">
        <f t="shared" si="72"/>
        <v>347</v>
      </c>
      <c r="AD247" s="47">
        <f t="shared" si="73"/>
        <v>347</v>
      </c>
      <c r="AE247" s="47">
        <f t="shared" si="74"/>
        <v>0</v>
      </c>
      <c r="AG247" s="47">
        <f t="shared" si="75"/>
        <v>346</v>
      </c>
      <c r="AH247" s="47">
        <f t="shared" si="76"/>
        <v>346</v>
      </c>
      <c r="AI247" s="208">
        <f t="shared" si="77"/>
        <v>0</v>
      </c>
    </row>
    <row r="248" spans="1:35">
      <c r="A248" t="s">
        <v>2098</v>
      </c>
      <c r="B248" t="s">
        <v>3142</v>
      </c>
      <c r="C248" t="s">
        <v>2191</v>
      </c>
      <c r="D248" t="s">
        <v>3432</v>
      </c>
      <c r="F248" t="s">
        <v>222</v>
      </c>
      <c r="G248" s="126">
        <f>SUMIFS('Support - Transition'!F:F,'Support - Transition'!B:B,'Step 2'!A248,'Support - Transition'!C:C,'Step 2'!B248,'Support - Transition'!D:D,'Step 2'!C248,'Support - Transition'!E:E,"CIVIL")</f>
        <v>9.7850000000000003E-3</v>
      </c>
      <c r="H248" s="126">
        <f>SUMIFS('Support - Transition'!F:F,'Support - Transition'!B:B,'Step 2'!A248,'Support - Transition'!C:C,'Step 2'!B248,'Support - Transition'!D:D,'Step 2'!C248,'Support - Transition'!E:E,"FIRE")</f>
        <v>8.8099999999999995E-4</v>
      </c>
      <c r="I248" s="126">
        <f>IF(B248="0",SUMIFS('Support - Transition'!F:F,'Support - Transition'!J:J,'Step 2'!D248,'Support - Transition'!E:E,"STATE UNIT"),SUMIFS('Support - Transition'!F:F,'Support - Transition'!J:J,'Step 2'!D248))</f>
        <v>1.0666E-2</v>
      </c>
      <c r="J248" s="126">
        <f>SUMIFS('Support - Unit Adjustments'!E:E,'Support - Unit Adjustments'!F:F,'Step 2'!D248)</f>
        <v>0</v>
      </c>
      <c r="K248" s="126">
        <f t="shared" si="59"/>
        <v>1.0666E-2</v>
      </c>
      <c r="L248" s="174">
        <f>VLOOKUP(A248,'Step 1'!$A:$E,4,FALSE)</f>
        <v>1494199</v>
      </c>
      <c r="M248" s="47">
        <f t="shared" si="60"/>
        <v>15937</v>
      </c>
      <c r="N248" s="177">
        <f>SUMIFS('Support - Transition'!G:G,'Support - Transition'!J:J,'Step 2'!D248,'Support - Transition'!E:E,"2009 WELFARE ALLOCATION FACTOR")</f>
        <v>0</v>
      </c>
      <c r="O248" s="152">
        <f t="shared" si="66"/>
        <v>0</v>
      </c>
      <c r="P248" s="126">
        <f>IF(E248="Y",0,SUMIFS('Support - Transition'!G:G,'Support - Transition'!J:J,'Step 2'!D248,'Support - Transition'!E:E,"2009 SCHOOL ALLOCATION FACTOR"))</f>
        <v>0</v>
      </c>
      <c r="Q248" s="126">
        <f>IF(E248="Y",VLOOKUP(D248,'Support - Unit Adjustments'!F:G,2,FALSE),0)</f>
        <v>0</v>
      </c>
      <c r="R248" s="155">
        <f t="shared" si="78"/>
        <v>0</v>
      </c>
      <c r="S248" s="47">
        <f t="shared" si="67"/>
        <v>0</v>
      </c>
      <c r="T248" s="151">
        <f t="shared" si="62"/>
        <v>15937</v>
      </c>
      <c r="U248" s="151">
        <f t="shared" si="63"/>
        <v>0</v>
      </c>
      <c r="V248" s="139">
        <f t="shared" si="64"/>
        <v>0</v>
      </c>
      <c r="W248" s="152">
        <f t="shared" si="68"/>
        <v>15937</v>
      </c>
      <c r="X248" s="127" t="str">
        <f t="shared" si="65"/>
        <v/>
      </c>
      <c r="Y248" s="207">
        <f t="shared" si="69"/>
        <v>15937</v>
      </c>
      <c r="Z248" s="139">
        <f t="shared" si="70"/>
        <v>14621</v>
      </c>
      <c r="AA248" s="139">
        <f t="shared" si="71"/>
        <v>1316</v>
      </c>
      <c r="AC248" s="47">
        <f t="shared" si="72"/>
        <v>7969</v>
      </c>
      <c r="AD248" s="47">
        <f t="shared" si="73"/>
        <v>7311</v>
      </c>
      <c r="AE248" s="47">
        <f t="shared" si="74"/>
        <v>658</v>
      </c>
      <c r="AG248" s="47">
        <f t="shared" si="75"/>
        <v>7968</v>
      </c>
      <c r="AH248" s="47">
        <f t="shared" si="76"/>
        <v>7310</v>
      </c>
      <c r="AI248" s="208">
        <f t="shared" si="77"/>
        <v>658</v>
      </c>
    </row>
    <row r="249" spans="1:35">
      <c r="A249" t="s">
        <v>2098</v>
      </c>
      <c r="B249" t="s">
        <v>3142</v>
      </c>
      <c r="C249" t="s">
        <v>2192</v>
      </c>
      <c r="D249" t="s">
        <v>3433</v>
      </c>
      <c r="F249" t="s">
        <v>16</v>
      </c>
      <c r="G249" s="126">
        <f>SUMIFS('Support - Transition'!F:F,'Support - Transition'!B:B,'Step 2'!A249,'Support - Transition'!C:C,'Step 2'!B249,'Support - Transition'!D:D,'Step 2'!C249,'Support - Transition'!E:E,"CIVIL")</f>
        <v>3.9999999999999998E-6</v>
      </c>
      <c r="H249" s="126">
        <f>SUMIFS('Support - Transition'!F:F,'Support - Transition'!B:B,'Step 2'!A249,'Support - Transition'!C:C,'Step 2'!B249,'Support - Transition'!D:D,'Step 2'!C249,'Support - Transition'!E:E,"FIRE")</f>
        <v>0</v>
      </c>
      <c r="I249" s="126">
        <f>IF(B249="0",SUMIFS('Support - Transition'!F:F,'Support - Transition'!J:J,'Step 2'!D249,'Support - Transition'!E:E,"STATE UNIT"),SUMIFS('Support - Transition'!F:F,'Support - Transition'!J:J,'Step 2'!D249))</f>
        <v>3.9999999999999998E-6</v>
      </c>
      <c r="J249" s="126">
        <f>SUMIFS('Support - Unit Adjustments'!E:E,'Support - Unit Adjustments'!F:F,'Step 2'!D249)</f>
        <v>0</v>
      </c>
      <c r="K249" s="126">
        <f t="shared" si="59"/>
        <v>3.9999999999999998E-6</v>
      </c>
      <c r="L249" s="174">
        <f>VLOOKUP(A249,'Step 1'!$A:$E,4,FALSE)</f>
        <v>1494199</v>
      </c>
      <c r="M249" s="47">
        <f t="shared" si="60"/>
        <v>6</v>
      </c>
      <c r="N249" s="177">
        <f>SUMIFS('Support - Transition'!G:G,'Support - Transition'!J:J,'Step 2'!D249,'Support - Transition'!E:E,"2009 WELFARE ALLOCATION FACTOR")</f>
        <v>0</v>
      </c>
      <c r="O249" s="152">
        <f t="shared" si="66"/>
        <v>0</v>
      </c>
      <c r="P249" s="126">
        <f>IF(E249="Y",0,SUMIFS('Support - Transition'!G:G,'Support - Transition'!J:J,'Step 2'!D249,'Support - Transition'!E:E,"2009 SCHOOL ALLOCATION FACTOR"))</f>
        <v>0</v>
      </c>
      <c r="Q249" s="126">
        <f>IF(E249="Y",VLOOKUP(D249,'Support - Unit Adjustments'!F:G,2,FALSE),0)</f>
        <v>0</v>
      </c>
      <c r="R249" s="155">
        <f t="shared" si="78"/>
        <v>0</v>
      </c>
      <c r="S249" s="47">
        <f t="shared" si="67"/>
        <v>0</v>
      </c>
      <c r="T249" s="151">
        <f t="shared" si="62"/>
        <v>6</v>
      </c>
      <c r="U249" s="151">
        <f t="shared" si="63"/>
        <v>0</v>
      </c>
      <c r="V249" s="139">
        <f t="shared" si="64"/>
        <v>0</v>
      </c>
      <c r="W249" s="152">
        <f t="shared" si="68"/>
        <v>6</v>
      </c>
      <c r="X249" s="127" t="str">
        <f t="shared" si="65"/>
        <v/>
      </c>
      <c r="Y249" s="207">
        <f t="shared" si="69"/>
        <v>6</v>
      </c>
      <c r="Z249" s="139">
        <f t="shared" si="70"/>
        <v>6</v>
      </c>
      <c r="AA249" s="139">
        <f t="shared" si="71"/>
        <v>0</v>
      </c>
      <c r="AC249" s="47">
        <f t="shared" si="72"/>
        <v>3</v>
      </c>
      <c r="AD249" s="47">
        <f t="shared" si="73"/>
        <v>3</v>
      </c>
      <c r="AE249" s="47">
        <f t="shared" si="74"/>
        <v>0</v>
      </c>
      <c r="AG249" s="47">
        <f t="shared" si="75"/>
        <v>3</v>
      </c>
      <c r="AH249" s="47">
        <f t="shared" si="76"/>
        <v>3</v>
      </c>
      <c r="AI249" s="208">
        <f t="shared" si="77"/>
        <v>0</v>
      </c>
    </row>
    <row r="250" spans="1:35">
      <c r="A250" t="s">
        <v>2098</v>
      </c>
      <c r="B250" t="s">
        <v>3142</v>
      </c>
      <c r="C250" t="s">
        <v>2193</v>
      </c>
      <c r="D250" t="s">
        <v>3434</v>
      </c>
      <c r="F250" t="s">
        <v>223</v>
      </c>
      <c r="G250" s="126">
        <f>SUMIFS('Support - Transition'!F:F,'Support - Transition'!B:B,'Step 2'!A250,'Support - Transition'!C:C,'Step 2'!B250,'Support - Transition'!D:D,'Step 2'!C250,'Support - Transition'!E:E,"CIVIL")</f>
        <v>1.5E-5</v>
      </c>
      <c r="H250" s="126">
        <f>SUMIFS('Support - Transition'!F:F,'Support - Transition'!B:B,'Step 2'!A250,'Support - Transition'!C:C,'Step 2'!B250,'Support - Transition'!D:D,'Step 2'!C250,'Support - Transition'!E:E,"FIRE")</f>
        <v>0</v>
      </c>
      <c r="I250" s="126">
        <f>IF(B250="0",SUMIFS('Support - Transition'!F:F,'Support - Transition'!J:J,'Step 2'!D250,'Support - Transition'!E:E,"STATE UNIT"),SUMIFS('Support - Transition'!F:F,'Support - Transition'!J:J,'Step 2'!D250))</f>
        <v>1.5E-5</v>
      </c>
      <c r="J250" s="126">
        <f>SUMIFS('Support - Unit Adjustments'!E:E,'Support - Unit Adjustments'!F:F,'Step 2'!D250)</f>
        <v>0</v>
      </c>
      <c r="K250" s="126">
        <f t="shared" si="59"/>
        <v>1.5E-5</v>
      </c>
      <c r="L250" s="174">
        <f>VLOOKUP(A250,'Step 1'!$A:$E,4,FALSE)</f>
        <v>1494199</v>
      </c>
      <c r="M250" s="47">
        <f t="shared" si="60"/>
        <v>22</v>
      </c>
      <c r="N250" s="177">
        <f>SUMIFS('Support - Transition'!G:G,'Support - Transition'!J:J,'Step 2'!D250,'Support - Transition'!E:E,"2009 WELFARE ALLOCATION FACTOR")</f>
        <v>0</v>
      </c>
      <c r="O250" s="152">
        <f t="shared" si="66"/>
        <v>0</v>
      </c>
      <c r="P250" s="126">
        <f>IF(E250="Y",0,SUMIFS('Support - Transition'!G:G,'Support - Transition'!J:J,'Step 2'!D250,'Support - Transition'!E:E,"2009 SCHOOL ALLOCATION FACTOR"))</f>
        <v>0</v>
      </c>
      <c r="Q250" s="126">
        <f>IF(E250="Y",VLOOKUP(D250,'Support - Unit Adjustments'!F:G,2,FALSE),0)</f>
        <v>0</v>
      </c>
      <c r="R250" s="155">
        <f t="shared" si="78"/>
        <v>0</v>
      </c>
      <c r="S250" s="47">
        <f t="shared" si="67"/>
        <v>0</v>
      </c>
      <c r="T250" s="151">
        <f t="shared" si="62"/>
        <v>22</v>
      </c>
      <c r="U250" s="151">
        <f t="shared" si="63"/>
        <v>0</v>
      </c>
      <c r="V250" s="139">
        <f t="shared" si="64"/>
        <v>0</v>
      </c>
      <c r="W250" s="152">
        <f t="shared" si="68"/>
        <v>22</v>
      </c>
      <c r="X250" s="127" t="str">
        <f t="shared" si="65"/>
        <v/>
      </c>
      <c r="Y250" s="207">
        <f t="shared" si="69"/>
        <v>22</v>
      </c>
      <c r="Z250" s="139">
        <f t="shared" si="70"/>
        <v>22</v>
      </c>
      <c r="AA250" s="139">
        <f t="shared" si="71"/>
        <v>0</v>
      </c>
      <c r="AC250" s="47">
        <f t="shared" si="72"/>
        <v>11</v>
      </c>
      <c r="AD250" s="47">
        <f t="shared" si="73"/>
        <v>11</v>
      </c>
      <c r="AE250" s="47">
        <f t="shared" si="74"/>
        <v>0</v>
      </c>
      <c r="AG250" s="47">
        <f t="shared" si="75"/>
        <v>11</v>
      </c>
      <c r="AH250" s="47">
        <f t="shared" si="76"/>
        <v>11</v>
      </c>
      <c r="AI250" s="208">
        <f t="shared" si="77"/>
        <v>0</v>
      </c>
    </row>
    <row r="251" spans="1:35">
      <c r="A251" t="s">
        <v>2098</v>
      </c>
      <c r="B251" t="s">
        <v>3142</v>
      </c>
      <c r="C251" t="s">
        <v>2194</v>
      </c>
      <c r="D251" t="s">
        <v>3435</v>
      </c>
      <c r="F251" t="s">
        <v>224</v>
      </c>
      <c r="G251" s="126">
        <f>SUMIFS('Support - Transition'!F:F,'Support - Transition'!B:B,'Step 2'!A251,'Support - Transition'!C:C,'Step 2'!B251,'Support - Transition'!D:D,'Step 2'!C251,'Support - Transition'!E:E,"CIVIL")</f>
        <v>5.0000000000000004E-6</v>
      </c>
      <c r="H251" s="126">
        <f>SUMIFS('Support - Transition'!F:F,'Support - Transition'!B:B,'Step 2'!A251,'Support - Transition'!C:C,'Step 2'!B251,'Support - Transition'!D:D,'Step 2'!C251,'Support - Transition'!E:E,"FIRE")</f>
        <v>0</v>
      </c>
      <c r="I251" s="126">
        <f>IF(B251="0",SUMIFS('Support - Transition'!F:F,'Support - Transition'!J:J,'Step 2'!D251,'Support - Transition'!E:E,"STATE UNIT"),SUMIFS('Support - Transition'!F:F,'Support - Transition'!J:J,'Step 2'!D251))</f>
        <v>5.0000000000000004E-6</v>
      </c>
      <c r="J251" s="126">
        <f>SUMIFS('Support - Unit Adjustments'!E:E,'Support - Unit Adjustments'!F:F,'Step 2'!D251)</f>
        <v>0</v>
      </c>
      <c r="K251" s="126">
        <f t="shared" si="59"/>
        <v>5.0000000000000004E-6</v>
      </c>
      <c r="L251" s="174">
        <f>VLOOKUP(A251,'Step 1'!$A:$E,4,FALSE)</f>
        <v>1494199</v>
      </c>
      <c r="M251" s="47">
        <f t="shared" si="60"/>
        <v>7</v>
      </c>
      <c r="N251" s="177">
        <f>SUMIFS('Support - Transition'!G:G,'Support - Transition'!J:J,'Step 2'!D251,'Support - Transition'!E:E,"2009 WELFARE ALLOCATION FACTOR")</f>
        <v>0</v>
      </c>
      <c r="O251" s="152">
        <f t="shared" si="66"/>
        <v>0</v>
      </c>
      <c r="P251" s="126">
        <f>IF(E251="Y",0,SUMIFS('Support - Transition'!G:G,'Support - Transition'!J:J,'Step 2'!D251,'Support - Transition'!E:E,"2009 SCHOOL ALLOCATION FACTOR"))</f>
        <v>0</v>
      </c>
      <c r="Q251" s="126">
        <f>IF(E251="Y",VLOOKUP(D251,'Support - Unit Adjustments'!F:G,2,FALSE),0)</f>
        <v>0</v>
      </c>
      <c r="R251" s="155">
        <f t="shared" si="78"/>
        <v>0</v>
      </c>
      <c r="S251" s="47">
        <f t="shared" si="67"/>
        <v>0</v>
      </c>
      <c r="T251" s="151">
        <f t="shared" si="62"/>
        <v>7</v>
      </c>
      <c r="U251" s="151">
        <f t="shared" si="63"/>
        <v>0</v>
      </c>
      <c r="V251" s="139">
        <f t="shared" si="64"/>
        <v>0</v>
      </c>
      <c r="W251" s="152">
        <f t="shared" si="68"/>
        <v>7</v>
      </c>
      <c r="X251" s="127" t="str">
        <f t="shared" si="65"/>
        <v/>
      </c>
      <c r="Y251" s="207">
        <f t="shared" si="69"/>
        <v>7</v>
      </c>
      <c r="Z251" s="139">
        <f t="shared" si="70"/>
        <v>7</v>
      </c>
      <c r="AA251" s="139">
        <f t="shared" si="71"/>
        <v>0</v>
      </c>
      <c r="AC251" s="47">
        <f t="shared" si="72"/>
        <v>4</v>
      </c>
      <c r="AD251" s="47">
        <f t="shared" si="73"/>
        <v>4</v>
      </c>
      <c r="AE251" s="47">
        <f t="shared" si="74"/>
        <v>0</v>
      </c>
      <c r="AG251" s="47">
        <f t="shared" si="75"/>
        <v>3</v>
      </c>
      <c r="AH251" s="47">
        <f t="shared" si="76"/>
        <v>3</v>
      </c>
      <c r="AI251" s="208">
        <f t="shared" si="77"/>
        <v>0</v>
      </c>
    </row>
    <row r="252" spans="1:35">
      <c r="A252" t="s">
        <v>2098</v>
      </c>
      <c r="B252" t="s">
        <v>3142</v>
      </c>
      <c r="C252" t="s">
        <v>2195</v>
      </c>
      <c r="D252" t="s">
        <v>3436</v>
      </c>
      <c r="F252" t="s">
        <v>225</v>
      </c>
      <c r="G252" s="126">
        <f>SUMIFS('Support - Transition'!F:F,'Support - Transition'!B:B,'Step 2'!A252,'Support - Transition'!C:C,'Step 2'!B252,'Support - Transition'!D:D,'Step 2'!C252,'Support - Transition'!E:E,"CIVIL")</f>
        <v>4.8899999999999996E-4</v>
      </c>
      <c r="H252" s="126">
        <f>SUMIFS('Support - Transition'!F:F,'Support - Transition'!B:B,'Step 2'!A252,'Support - Transition'!C:C,'Step 2'!B252,'Support - Transition'!D:D,'Step 2'!C252,'Support - Transition'!E:E,"FIRE")</f>
        <v>0</v>
      </c>
      <c r="I252" s="126">
        <f>IF(B252="0",SUMIFS('Support - Transition'!F:F,'Support - Transition'!J:J,'Step 2'!D252,'Support - Transition'!E:E,"STATE UNIT"),SUMIFS('Support - Transition'!F:F,'Support - Transition'!J:J,'Step 2'!D252))</f>
        <v>4.8899999999999996E-4</v>
      </c>
      <c r="J252" s="126">
        <f>SUMIFS('Support - Unit Adjustments'!E:E,'Support - Unit Adjustments'!F:F,'Step 2'!D252)</f>
        <v>0</v>
      </c>
      <c r="K252" s="126">
        <f t="shared" si="59"/>
        <v>4.8899999999999996E-4</v>
      </c>
      <c r="L252" s="174">
        <f>VLOOKUP(A252,'Step 1'!$A:$E,4,FALSE)</f>
        <v>1494199</v>
      </c>
      <c r="M252" s="47">
        <f t="shared" si="60"/>
        <v>731</v>
      </c>
      <c r="N252" s="177">
        <f>SUMIFS('Support - Transition'!G:G,'Support - Transition'!J:J,'Step 2'!D252,'Support - Transition'!E:E,"2009 WELFARE ALLOCATION FACTOR")</f>
        <v>0</v>
      </c>
      <c r="O252" s="152">
        <f t="shared" si="66"/>
        <v>0</v>
      </c>
      <c r="P252" s="126">
        <f>IF(E252="Y",0,SUMIFS('Support - Transition'!G:G,'Support - Transition'!J:J,'Step 2'!D252,'Support - Transition'!E:E,"2009 SCHOOL ALLOCATION FACTOR"))</f>
        <v>0</v>
      </c>
      <c r="Q252" s="126">
        <f>IF(E252="Y",VLOOKUP(D252,'Support - Unit Adjustments'!F:G,2,FALSE),0)</f>
        <v>0</v>
      </c>
      <c r="R252" s="155">
        <f t="shared" si="78"/>
        <v>0</v>
      </c>
      <c r="S252" s="47">
        <f t="shared" si="67"/>
        <v>0</v>
      </c>
      <c r="T252" s="151">
        <f t="shared" si="62"/>
        <v>731</v>
      </c>
      <c r="U252" s="151">
        <f t="shared" si="63"/>
        <v>0</v>
      </c>
      <c r="V252" s="139">
        <f t="shared" si="64"/>
        <v>0</v>
      </c>
      <c r="W252" s="152">
        <f t="shared" si="68"/>
        <v>731</v>
      </c>
      <c r="X252" s="127" t="str">
        <f t="shared" si="65"/>
        <v/>
      </c>
      <c r="Y252" s="207">
        <f t="shared" si="69"/>
        <v>731</v>
      </c>
      <c r="Z252" s="139">
        <f t="shared" si="70"/>
        <v>731</v>
      </c>
      <c r="AA252" s="139">
        <f t="shared" si="71"/>
        <v>0</v>
      </c>
      <c r="AC252" s="47">
        <f t="shared" si="72"/>
        <v>366</v>
      </c>
      <c r="AD252" s="47">
        <f t="shared" si="73"/>
        <v>366</v>
      </c>
      <c r="AE252" s="47">
        <f t="shared" si="74"/>
        <v>0</v>
      </c>
      <c r="AG252" s="47">
        <f t="shared" si="75"/>
        <v>365</v>
      </c>
      <c r="AH252" s="47">
        <f t="shared" si="76"/>
        <v>365</v>
      </c>
      <c r="AI252" s="208">
        <f t="shared" si="77"/>
        <v>0</v>
      </c>
    </row>
    <row r="253" spans="1:35">
      <c r="A253" t="s">
        <v>2098</v>
      </c>
      <c r="B253" t="s">
        <v>3142</v>
      </c>
      <c r="C253" t="s">
        <v>2196</v>
      </c>
      <c r="D253" t="s">
        <v>3437</v>
      </c>
      <c r="F253" t="s">
        <v>20</v>
      </c>
      <c r="G253" s="126">
        <f>SUMIFS('Support - Transition'!F:F,'Support - Transition'!B:B,'Step 2'!A253,'Support - Transition'!C:C,'Step 2'!B253,'Support - Transition'!D:D,'Step 2'!C253,'Support - Transition'!E:E,"CIVIL")</f>
        <v>2.7300000000000002E-4</v>
      </c>
      <c r="H253" s="126">
        <f>SUMIFS('Support - Transition'!F:F,'Support - Transition'!B:B,'Step 2'!A253,'Support - Transition'!C:C,'Step 2'!B253,'Support - Transition'!D:D,'Step 2'!C253,'Support - Transition'!E:E,"FIRE")</f>
        <v>0</v>
      </c>
      <c r="I253" s="126">
        <f>IF(B253="0",SUMIFS('Support - Transition'!F:F,'Support - Transition'!J:J,'Step 2'!D253,'Support - Transition'!E:E,"STATE UNIT"),SUMIFS('Support - Transition'!F:F,'Support - Transition'!J:J,'Step 2'!D253))</f>
        <v>2.7300000000000002E-4</v>
      </c>
      <c r="J253" s="126">
        <f>SUMIFS('Support - Unit Adjustments'!E:E,'Support - Unit Adjustments'!F:F,'Step 2'!D253)</f>
        <v>0</v>
      </c>
      <c r="K253" s="126">
        <f t="shared" si="59"/>
        <v>2.7300000000000002E-4</v>
      </c>
      <c r="L253" s="174">
        <f>VLOOKUP(A253,'Step 1'!$A:$E,4,FALSE)</f>
        <v>1494199</v>
      </c>
      <c r="M253" s="47">
        <f t="shared" si="60"/>
        <v>408</v>
      </c>
      <c r="N253" s="177">
        <f>SUMIFS('Support - Transition'!G:G,'Support - Transition'!J:J,'Step 2'!D253,'Support - Transition'!E:E,"2009 WELFARE ALLOCATION FACTOR")</f>
        <v>0</v>
      </c>
      <c r="O253" s="152">
        <f t="shared" si="66"/>
        <v>0</v>
      </c>
      <c r="P253" s="126">
        <f>IF(E253="Y",0,SUMIFS('Support - Transition'!G:G,'Support - Transition'!J:J,'Step 2'!D253,'Support - Transition'!E:E,"2009 SCHOOL ALLOCATION FACTOR"))</f>
        <v>0</v>
      </c>
      <c r="Q253" s="126">
        <f>IF(E253="Y",VLOOKUP(D253,'Support - Unit Adjustments'!F:G,2,FALSE),0)</f>
        <v>0</v>
      </c>
      <c r="R253" s="155">
        <f t="shared" si="78"/>
        <v>0</v>
      </c>
      <c r="S253" s="47">
        <f t="shared" si="67"/>
        <v>0</v>
      </c>
      <c r="T253" s="151">
        <f t="shared" si="62"/>
        <v>408</v>
      </c>
      <c r="U253" s="151">
        <f t="shared" si="63"/>
        <v>0</v>
      </c>
      <c r="V253" s="139">
        <f t="shared" si="64"/>
        <v>0</v>
      </c>
      <c r="W253" s="152">
        <f t="shared" si="68"/>
        <v>408</v>
      </c>
      <c r="X253" s="127" t="str">
        <f t="shared" si="65"/>
        <v/>
      </c>
      <c r="Y253" s="207">
        <f t="shared" si="69"/>
        <v>408</v>
      </c>
      <c r="Z253" s="139">
        <f t="shared" si="70"/>
        <v>408</v>
      </c>
      <c r="AA253" s="139">
        <f t="shared" si="71"/>
        <v>0</v>
      </c>
      <c r="AC253" s="47">
        <f t="shared" si="72"/>
        <v>204</v>
      </c>
      <c r="AD253" s="47">
        <f t="shared" si="73"/>
        <v>204</v>
      </c>
      <c r="AE253" s="47">
        <f t="shared" si="74"/>
        <v>0</v>
      </c>
      <c r="AG253" s="47">
        <f t="shared" si="75"/>
        <v>204</v>
      </c>
      <c r="AH253" s="47">
        <f t="shared" si="76"/>
        <v>204</v>
      </c>
      <c r="AI253" s="208">
        <f t="shared" si="77"/>
        <v>0</v>
      </c>
    </row>
    <row r="254" spans="1:35">
      <c r="A254" t="s">
        <v>2098</v>
      </c>
      <c r="B254" t="s">
        <v>3142</v>
      </c>
      <c r="C254" t="s">
        <v>2197</v>
      </c>
      <c r="D254" t="s">
        <v>3438</v>
      </c>
      <c r="F254" t="s">
        <v>226</v>
      </c>
      <c r="G254" s="126">
        <f>SUMIFS('Support - Transition'!F:F,'Support - Transition'!B:B,'Step 2'!A254,'Support - Transition'!C:C,'Step 2'!B254,'Support - Transition'!D:D,'Step 2'!C254,'Support - Transition'!E:E,"CIVIL")</f>
        <v>4.6E-5</v>
      </c>
      <c r="H254" s="126">
        <f>SUMIFS('Support - Transition'!F:F,'Support - Transition'!B:B,'Step 2'!A254,'Support - Transition'!C:C,'Step 2'!B254,'Support - Transition'!D:D,'Step 2'!C254,'Support - Transition'!E:E,"FIRE")</f>
        <v>0</v>
      </c>
      <c r="I254" s="126">
        <f>IF(B254="0",SUMIFS('Support - Transition'!F:F,'Support - Transition'!J:J,'Step 2'!D254,'Support - Transition'!E:E,"STATE UNIT"),SUMIFS('Support - Transition'!F:F,'Support - Transition'!J:J,'Step 2'!D254))</f>
        <v>4.6E-5</v>
      </c>
      <c r="J254" s="126">
        <f>SUMIFS('Support - Unit Adjustments'!E:E,'Support - Unit Adjustments'!F:F,'Step 2'!D254)</f>
        <v>0</v>
      </c>
      <c r="K254" s="126">
        <f t="shared" si="59"/>
        <v>4.6E-5</v>
      </c>
      <c r="L254" s="174">
        <f>VLOOKUP(A254,'Step 1'!$A:$E,4,FALSE)</f>
        <v>1494199</v>
      </c>
      <c r="M254" s="47">
        <f t="shared" si="60"/>
        <v>69</v>
      </c>
      <c r="N254" s="177">
        <f>SUMIFS('Support - Transition'!G:G,'Support - Transition'!J:J,'Step 2'!D254,'Support - Transition'!E:E,"2009 WELFARE ALLOCATION FACTOR")</f>
        <v>0</v>
      </c>
      <c r="O254" s="152">
        <f t="shared" si="66"/>
        <v>0</v>
      </c>
      <c r="P254" s="126">
        <f>IF(E254="Y",0,SUMIFS('Support - Transition'!G:G,'Support - Transition'!J:J,'Step 2'!D254,'Support - Transition'!E:E,"2009 SCHOOL ALLOCATION FACTOR"))</f>
        <v>0</v>
      </c>
      <c r="Q254" s="126">
        <f>IF(E254="Y",VLOOKUP(D254,'Support - Unit Adjustments'!F:G,2,FALSE),0)</f>
        <v>0</v>
      </c>
      <c r="R254" s="155">
        <f t="shared" si="78"/>
        <v>0</v>
      </c>
      <c r="S254" s="47">
        <f t="shared" si="67"/>
        <v>0</v>
      </c>
      <c r="T254" s="151">
        <f t="shared" si="62"/>
        <v>69</v>
      </c>
      <c r="U254" s="151">
        <f t="shared" si="63"/>
        <v>0</v>
      </c>
      <c r="V254" s="139">
        <f t="shared" si="64"/>
        <v>0</v>
      </c>
      <c r="W254" s="152">
        <f t="shared" si="68"/>
        <v>69</v>
      </c>
      <c r="X254" s="127" t="str">
        <f t="shared" si="65"/>
        <v/>
      </c>
      <c r="Y254" s="207">
        <f t="shared" si="69"/>
        <v>69</v>
      </c>
      <c r="Z254" s="139">
        <f t="shared" si="70"/>
        <v>69</v>
      </c>
      <c r="AA254" s="139">
        <f t="shared" si="71"/>
        <v>0</v>
      </c>
      <c r="AC254" s="47">
        <f t="shared" si="72"/>
        <v>35</v>
      </c>
      <c r="AD254" s="47">
        <f t="shared" si="73"/>
        <v>35</v>
      </c>
      <c r="AE254" s="47">
        <f t="shared" si="74"/>
        <v>0</v>
      </c>
      <c r="AG254" s="47">
        <f t="shared" si="75"/>
        <v>34</v>
      </c>
      <c r="AH254" s="47">
        <f t="shared" si="76"/>
        <v>34</v>
      </c>
      <c r="AI254" s="208">
        <f t="shared" si="77"/>
        <v>0</v>
      </c>
    </row>
    <row r="255" spans="1:35">
      <c r="A255" t="s">
        <v>2098</v>
      </c>
      <c r="B255" t="s">
        <v>3142</v>
      </c>
      <c r="C255" t="s">
        <v>2198</v>
      </c>
      <c r="D255" t="s">
        <v>3439</v>
      </c>
      <c r="F255" t="s">
        <v>22</v>
      </c>
      <c r="G255" s="126">
        <f>SUMIFS('Support - Transition'!F:F,'Support - Transition'!B:B,'Step 2'!A255,'Support - Transition'!C:C,'Step 2'!B255,'Support - Transition'!D:D,'Step 2'!C255,'Support - Transition'!E:E,"CIVIL")</f>
        <v>1.2999999999999999E-5</v>
      </c>
      <c r="H255" s="126">
        <f>SUMIFS('Support - Transition'!F:F,'Support - Transition'!B:B,'Step 2'!A255,'Support - Transition'!C:C,'Step 2'!B255,'Support - Transition'!D:D,'Step 2'!C255,'Support - Transition'!E:E,"FIRE")</f>
        <v>0</v>
      </c>
      <c r="I255" s="126">
        <f>IF(B255="0",SUMIFS('Support - Transition'!F:F,'Support - Transition'!J:J,'Step 2'!D255,'Support - Transition'!E:E,"STATE UNIT"),SUMIFS('Support - Transition'!F:F,'Support - Transition'!J:J,'Step 2'!D255))</f>
        <v>1.2999999999999999E-5</v>
      </c>
      <c r="J255" s="126">
        <f>SUMIFS('Support - Unit Adjustments'!E:E,'Support - Unit Adjustments'!F:F,'Step 2'!D255)</f>
        <v>0</v>
      </c>
      <c r="K255" s="126">
        <f t="shared" si="59"/>
        <v>1.2999999999999999E-5</v>
      </c>
      <c r="L255" s="174">
        <f>VLOOKUP(A255,'Step 1'!$A:$E,4,FALSE)</f>
        <v>1494199</v>
      </c>
      <c r="M255" s="47">
        <f t="shared" si="60"/>
        <v>19</v>
      </c>
      <c r="N255" s="177">
        <f>SUMIFS('Support - Transition'!G:G,'Support - Transition'!J:J,'Step 2'!D255,'Support - Transition'!E:E,"2009 WELFARE ALLOCATION FACTOR")</f>
        <v>0</v>
      </c>
      <c r="O255" s="152">
        <f t="shared" si="66"/>
        <v>0</v>
      </c>
      <c r="P255" s="126">
        <f>IF(E255="Y",0,SUMIFS('Support - Transition'!G:G,'Support - Transition'!J:J,'Step 2'!D255,'Support - Transition'!E:E,"2009 SCHOOL ALLOCATION FACTOR"))</f>
        <v>0</v>
      </c>
      <c r="Q255" s="126">
        <f>IF(E255="Y",VLOOKUP(D255,'Support - Unit Adjustments'!F:G,2,FALSE),0)</f>
        <v>0</v>
      </c>
      <c r="R255" s="155">
        <f t="shared" si="78"/>
        <v>0</v>
      </c>
      <c r="S255" s="47">
        <f t="shared" si="67"/>
        <v>0</v>
      </c>
      <c r="T255" s="151">
        <f t="shared" si="62"/>
        <v>19</v>
      </c>
      <c r="U255" s="151">
        <f t="shared" si="63"/>
        <v>0</v>
      </c>
      <c r="V255" s="139">
        <f t="shared" si="64"/>
        <v>0</v>
      </c>
      <c r="W255" s="152">
        <f t="shared" si="68"/>
        <v>19</v>
      </c>
      <c r="X255" s="127" t="str">
        <f t="shared" si="65"/>
        <v/>
      </c>
      <c r="Y255" s="207">
        <f t="shared" si="69"/>
        <v>19</v>
      </c>
      <c r="Z255" s="139">
        <f t="shared" si="70"/>
        <v>19</v>
      </c>
      <c r="AA255" s="139">
        <f t="shared" si="71"/>
        <v>0</v>
      </c>
      <c r="AC255" s="47">
        <f t="shared" si="72"/>
        <v>10</v>
      </c>
      <c r="AD255" s="47">
        <f t="shared" si="73"/>
        <v>10</v>
      </c>
      <c r="AE255" s="47">
        <f t="shared" si="74"/>
        <v>0</v>
      </c>
      <c r="AG255" s="47">
        <f t="shared" si="75"/>
        <v>9</v>
      </c>
      <c r="AH255" s="47">
        <f t="shared" si="76"/>
        <v>9</v>
      </c>
      <c r="AI255" s="208">
        <f t="shared" si="77"/>
        <v>0</v>
      </c>
    </row>
    <row r="256" spans="1:35">
      <c r="A256" t="s">
        <v>2098</v>
      </c>
      <c r="B256" t="s">
        <v>3142</v>
      </c>
      <c r="C256" t="s">
        <v>2199</v>
      </c>
      <c r="D256" t="s">
        <v>3440</v>
      </c>
      <c r="F256" t="s">
        <v>227</v>
      </c>
      <c r="G256" s="126">
        <f>SUMIFS('Support - Transition'!F:F,'Support - Transition'!B:B,'Step 2'!A256,'Support - Transition'!C:C,'Step 2'!B256,'Support - Transition'!D:D,'Step 2'!C256,'Support - Transition'!E:E,"CIVIL")</f>
        <v>1.93E-4</v>
      </c>
      <c r="H256" s="126">
        <f>SUMIFS('Support - Transition'!F:F,'Support - Transition'!B:B,'Step 2'!A256,'Support - Transition'!C:C,'Step 2'!B256,'Support - Transition'!D:D,'Step 2'!C256,'Support - Transition'!E:E,"FIRE")</f>
        <v>8.3999999999999995E-5</v>
      </c>
      <c r="I256" s="126">
        <f>IF(B256="0",SUMIFS('Support - Transition'!F:F,'Support - Transition'!J:J,'Step 2'!D256,'Support - Transition'!E:E,"STATE UNIT"),SUMIFS('Support - Transition'!F:F,'Support - Transition'!J:J,'Step 2'!D256))</f>
        <v>2.7700000000000001E-4</v>
      </c>
      <c r="J256" s="126">
        <f>SUMIFS('Support - Unit Adjustments'!E:E,'Support - Unit Adjustments'!F:F,'Step 2'!D256)</f>
        <v>0</v>
      </c>
      <c r="K256" s="126">
        <f t="shared" si="59"/>
        <v>2.7700000000000001E-4</v>
      </c>
      <c r="L256" s="174">
        <f>VLOOKUP(A256,'Step 1'!$A:$E,4,FALSE)</f>
        <v>1494199</v>
      </c>
      <c r="M256" s="47">
        <f t="shared" si="60"/>
        <v>414</v>
      </c>
      <c r="N256" s="177">
        <f>SUMIFS('Support - Transition'!G:G,'Support - Transition'!J:J,'Step 2'!D256,'Support - Transition'!E:E,"2009 WELFARE ALLOCATION FACTOR")</f>
        <v>0</v>
      </c>
      <c r="O256" s="152">
        <f t="shared" si="66"/>
        <v>0</v>
      </c>
      <c r="P256" s="126">
        <f>IF(E256="Y",0,SUMIFS('Support - Transition'!G:G,'Support - Transition'!J:J,'Step 2'!D256,'Support - Transition'!E:E,"2009 SCHOOL ALLOCATION FACTOR"))</f>
        <v>0</v>
      </c>
      <c r="Q256" s="126">
        <f>IF(E256="Y",VLOOKUP(D256,'Support - Unit Adjustments'!F:G,2,FALSE),0)</f>
        <v>0</v>
      </c>
      <c r="R256" s="155">
        <f t="shared" si="78"/>
        <v>0</v>
      </c>
      <c r="S256" s="47">
        <f t="shared" si="67"/>
        <v>0</v>
      </c>
      <c r="T256" s="151">
        <f t="shared" si="62"/>
        <v>414</v>
      </c>
      <c r="U256" s="151">
        <f t="shared" si="63"/>
        <v>0</v>
      </c>
      <c r="V256" s="139">
        <f t="shared" si="64"/>
        <v>0</v>
      </c>
      <c r="W256" s="152">
        <f t="shared" si="68"/>
        <v>414</v>
      </c>
      <c r="X256" s="127" t="str">
        <f t="shared" si="65"/>
        <v/>
      </c>
      <c r="Y256" s="207">
        <f t="shared" si="69"/>
        <v>414</v>
      </c>
      <c r="Z256" s="139">
        <f t="shared" si="70"/>
        <v>288</v>
      </c>
      <c r="AA256" s="139">
        <f t="shared" si="71"/>
        <v>126</v>
      </c>
      <c r="AC256" s="47">
        <f t="shared" si="72"/>
        <v>207</v>
      </c>
      <c r="AD256" s="47">
        <f t="shared" si="73"/>
        <v>144</v>
      </c>
      <c r="AE256" s="47">
        <f t="shared" si="74"/>
        <v>63</v>
      </c>
      <c r="AG256" s="47">
        <f t="shared" si="75"/>
        <v>207</v>
      </c>
      <c r="AH256" s="47">
        <f t="shared" si="76"/>
        <v>144</v>
      </c>
      <c r="AI256" s="208">
        <f t="shared" si="77"/>
        <v>63</v>
      </c>
    </row>
    <row r="257" spans="1:35">
      <c r="A257" t="s">
        <v>2098</v>
      </c>
      <c r="B257" t="s">
        <v>3155</v>
      </c>
      <c r="C257" t="s">
        <v>2290</v>
      </c>
      <c r="D257" t="s">
        <v>3441</v>
      </c>
      <c r="F257" t="s">
        <v>230</v>
      </c>
      <c r="G257" s="126">
        <f>SUMIFS('Support - Transition'!F:F,'Support - Transition'!B:B,'Step 2'!A257,'Support - Transition'!C:C,'Step 2'!B257,'Support - Transition'!D:D,'Step 2'!C257,'Support - Transition'!E:E,"CIVIL")</f>
        <v>0</v>
      </c>
      <c r="H257" s="126">
        <f>SUMIFS('Support - Transition'!F:F,'Support - Transition'!B:B,'Step 2'!A257,'Support - Transition'!C:C,'Step 2'!B257,'Support - Transition'!D:D,'Step 2'!C257,'Support - Transition'!E:E,"FIRE")</f>
        <v>0</v>
      </c>
      <c r="I257" s="126">
        <f>IF(B257="0",SUMIFS('Support - Transition'!F:F,'Support - Transition'!J:J,'Step 2'!D257,'Support - Transition'!E:E,"STATE UNIT"),SUMIFS('Support - Transition'!F:F,'Support - Transition'!J:J,'Step 2'!D257))</f>
        <v>0.169097</v>
      </c>
      <c r="J257" s="126">
        <f>SUMIFS('Support - Unit Adjustments'!E:E,'Support - Unit Adjustments'!F:F,'Step 2'!D257)</f>
        <v>0</v>
      </c>
      <c r="K257" s="126">
        <f t="shared" si="59"/>
        <v>0.169097</v>
      </c>
      <c r="L257" s="174">
        <f>VLOOKUP(A257,'Step 1'!$A:$E,4,FALSE)</f>
        <v>1494199</v>
      </c>
      <c r="M257" s="47">
        <f t="shared" si="60"/>
        <v>252665</v>
      </c>
      <c r="N257" s="177">
        <f>SUMIFS('Support - Transition'!G:G,'Support - Transition'!J:J,'Step 2'!D257,'Support - Transition'!E:E,"2009 WELFARE ALLOCATION FACTOR")</f>
        <v>0</v>
      </c>
      <c r="O257" s="152">
        <f t="shared" si="66"/>
        <v>0</v>
      </c>
      <c r="P257" s="126">
        <f>IF(E257="Y",0,SUMIFS('Support - Transition'!G:G,'Support - Transition'!J:J,'Step 2'!D257,'Support - Transition'!E:E,"2009 SCHOOL ALLOCATION FACTOR"))</f>
        <v>0</v>
      </c>
      <c r="Q257" s="126">
        <f>IF(E257="Y",VLOOKUP(D257,'Support - Unit Adjustments'!F:G,2,FALSE),0)</f>
        <v>0</v>
      </c>
      <c r="R257" s="155">
        <f t="shared" si="78"/>
        <v>0</v>
      </c>
      <c r="S257" s="47">
        <f t="shared" si="67"/>
        <v>0</v>
      </c>
      <c r="T257" s="151">
        <f t="shared" si="62"/>
        <v>252665</v>
      </c>
      <c r="U257" s="151">
        <f t="shared" si="63"/>
        <v>0</v>
      </c>
      <c r="V257" s="139">
        <f t="shared" si="64"/>
        <v>0</v>
      </c>
      <c r="W257" s="152">
        <f t="shared" si="68"/>
        <v>252665</v>
      </c>
      <c r="X257" s="127" t="str">
        <f t="shared" si="65"/>
        <v/>
      </c>
      <c r="Y257" s="207">
        <f t="shared" si="69"/>
        <v>252665</v>
      </c>
      <c r="Z257" s="139">
        <f t="shared" si="70"/>
        <v>252665</v>
      </c>
      <c r="AA257" s="139">
        <f t="shared" si="71"/>
        <v>0</v>
      </c>
      <c r="AC257" s="47">
        <f t="shared" si="72"/>
        <v>126333</v>
      </c>
      <c r="AD257" s="47">
        <f t="shared" si="73"/>
        <v>126333</v>
      </c>
      <c r="AE257" s="47">
        <f t="shared" si="74"/>
        <v>0</v>
      </c>
      <c r="AG257" s="47">
        <f t="shared" si="75"/>
        <v>126332</v>
      </c>
      <c r="AH257" s="47">
        <f t="shared" si="76"/>
        <v>126332</v>
      </c>
      <c r="AI257" s="208">
        <f t="shared" si="77"/>
        <v>0</v>
      </c>
    </row>
    <row r="258" spans="1:35">
      <c r="A258" t="s">
        <v>2098</v>
      </c>
      <c r="B258" t="s">
        <v>3155</v>
      </c>
      <c r="C258" t="s">
        <v>2291</v>
      </c>
      <c r="D258" t="s">
        <v>3442</v>
      </c>
      <c r="F258" t="s">
        <v>228</v>
      </c>
      <c r="G258" s="126">
        <f>SUMIFS('Support - Transition'!F:F,'Support - Transition'!B:B,'Step 2'!A258,'Support - Transition'!C:C,'Step 2'!B258,'Support - Transition'!D:D,'Step 2'!C258,'Support - Transition'!E:E,"CIVIL")</f>
        <v>0</v>
      </c>
      <c r="H258" s="126">
        <f>SUMIFS('Support - Transition'!F:F,'Support - Transition'!B:B,'Step 2'!A258,'Support - Transition'!C:C,'Step 2'!B258,'Support - Transition'!D:D,'Step 2'!C258,'Support - Transition'!E:E,"FIRE")</f>
        <v>0</v>
      </c>
      <c r="I258" s="126">
        <f>IF(B258="0",SUMIFS('Support - Transition'!F:F,'Support - Transition'!J:J,'Step 2'!D258,'Support - Transition'!E:E,"STATE UNIT"),SUMIFS('Support - Transition'!F:F,'Support - Transition'!J:J,'Step 2'!D258))</f>
        <v>1.9919999999999998E-3</v>
      </c>
      <c r="J258" s="126">
        <f>SUMIFS('Support - Unit Adjustments'!E:E,'Support - Unit Adjustments'!F:F,'Step 2'!D258)</f>
        <v>0</v>
      </c>
      <c r="K258" s="126">
        <f t="shared" ref="K258:K321" si="79">+I258+J258</f>
        <v>1.9919999999999998E-3</v>
      </c>
      <c r="L258" s="174">
        <f>VLOOKUP(A258,'Step 1'!$A:$E,4,FALSE)</f>
        <v>1494199</v>
      </c>
      <c r="M258" s="47">
        <f t="shared" ref="M258:M321" si="80">ROUND(+K258*L258,0)</f>
        <v>2976</v>
      </c>
      <c r="N258" s="177">
        <f>SUMIFS('Support - Transition'!G:G,'Support - Transition'!J:J,'Step 2'!D258,'Support - Transition'!E:E,"2009 WELFARE ALLOCATION FACTOR")</f>
        <v>0</v>
      </c>
      <c r="O258" s="152">
        <f t="shared" si="66"/>
        <v>0</v>
      </c>
      <c r="P258" s="126">
        <f>IF(E258="Y",0,SUMIFS('Support - Transition'!G:G,'Support - Transition'!J:J,'Step 2'!D258,'Support - Transition'!E:E,"2009 SCHOOL ALLOCATION FACTOR"))</f>
        <v>0</v>
      </c>
      <c r="Q258" s="126">
        <f>IF(E258="Y",VLOOKUP(D258,'Support - Unit Adjustments'!F:G,2,FALSE),0)</f>
        <v>0</v>
      </c>
      <c r="R258" s="155">
        <f t="shared" si="78"/>
        <v>0</v>
      </c>
      <c r="S258" s="47">
        <f t="shared" si="67"/>
        <v>0</v>
      </c>
      <c r="T258" s="151">
        <f t="shared" ref="T258:T321" si="81">ROUND(+M258-O258-S258,2)</f>
        <v>2976</v>
      </c>
      <c r="U258" s="151">
        <f t="shared" ref="U258:U321" si="82">IF(B258="0",SUMIFS(O:O,A:A,A258)+SUMIFS(S:S,A:A,A258)+SUMIFS(T:T,A:A,A258),0)</f>
        <v>0</v>
      </c>
      <c r="V258" s="139">
        <f t="shared" ref="V258:V321" si="83">IF(B258="0",U258-L258,0)</f>
        <v>0</v>
      </c>
      <c r="W258" s="152">
        <f t="shared" si="68"/>
        <v>2976</v>
      </c>
      <c r="X258" s="127" t="str">
        <f t="shared" ref="X258:X321" si="84">IF(B258="0",SUMIFS(O:O,A:A,A258)+SUMIFS(S:S,A:A,A258)+SUMIFS(W:W,A:A,A258)-L258,"")</f>
        <v/>
      </c>
      <c r="Y258" s="207">
        <f t="shared" si="69"/>
        <v>2976</v>
      </c>
      <c r="Z258" s="139">
        <f t="shared" si="70"/>
        <v>2976</v>
      </c>
      <c r="AA258" s="139">
        <f t="shared" si="71"/>
        <v>0</v>
      </c>
      <c r="AC258" s="47">
        <f t="shared" si="72"/>
        <v>1488</v>
      </c>
      <c r="AD258" s="47">
        <f t="shared" si="73"/>
        <v>1488</v>
      </c>
      <c r="AE258" s="47">
        <f t="shared" si="74"/>
        <v>0</v>
      </c>
      <c r="AG258" s="47">
        <f t="shared" si="75"/>
        <v>1488</v>
      </c>
      <c r="AH258" s="47">
        <f t="shared" si="76"/>
        <v>1488</v>
      </c>
      <c r="AI258" s="208">
        <f t="shared" si="77"/>
        <v>0</v>
      </c>
    </row>
    <row r="259" spans="1:35">
      <c r="A259" t="s">
        <v>2098</v>
      </c>
      <c r="B259" t="s">
        <v>3155</v>
      </c>
      <c r="C259" t="s">
        <v>2292</v>
      </c>
      <c r="D259" t="s">
        <v>3443</v>
      </c>
      <c r="F259" t="s">
        <v>229</v>
      </c>
      <c r="G259" s="126">
        <f>SUMIFS('Support - Transition'!F:F,'Support - Transition'!B:B,'Step 2'!A259,'Support - Transition'!C:C,'Step 2'!B259,'Support - Transition'!D:D,'Step 2'!C259,'Support - Transition'!E:E,"CIVIL")</f>
        <v>0</v>
      </c>
      <c r="H259" s="126">
        <f>SUMIFS('Support - Transition'!F:F,'Support - Transition'!B:B,'Step 2'!A259,'Support - Transition'!C:C,'Step 2'!B259,'Support - Transition'!D:D,'Step 2'!C259,'Support - Transition'!E:E,"FIRE")</f>
        <v>0</v>
      </c>
      <c r="I259" s="126">
        <f>IF(B259="0",SUMIFS('Support - Transition'!F:F,'Support - Transition'!J:J,'Step 2'!D259,'Support - Transition'!E:E,"STATE UNIT"),SUMIFS('Support - Transition'!F:F,'Support - Transition'!J:J,'Step 2'!D259))</f>
        <v>0.117618</v>
      </c>
      <c r="J259" s="126">
        <f>SUMIFS('Support - Unit Adjustments'!E:E,'Support - Unit Adjustments'!F:F,'Step 2'!D259)</f>
        <v>0</v>
      </c>
      <c r="K259" s="126">
        <f t="shared" si="79"/>
        <v>0.117618</v>
      </c>
      <c r="L259" s="174">
        <f>VLOOKUP(A259,'Step 1'!$A:$E,4,FALSE)</f>
        <v>1494199</v>
      </c>
      <c r="M259" s="47">
        <f t="shared" si="80"/>
        <v>175745</v>
      </c>
      <c r="N259" s="177">
        <f>SUMIFS('Support - Transition'!G:G,'Support - Transition'!J:J,'Step 2'!D259,'Support - Transition'!E:E,"2009 WELFARE ALLOCATION FACTOR")</f>
        <v>0</v>
      </c>
      <c r="O259" s="152">
        <f t="shared" ref="O259:O322" si="85">ROUND(+N259*M259,0)</f>
        <v>0</v>
      </c>
      <c r="P259" s="126">
        <f>IF(E259="Y",0,SUMIFS('Support - Transition'!G:G,'Support - Transition'!J:J,'Step 2'!D259,'Support - Transition'!E:E,"2009 SCHOOL ALLOCATION FACTOR"))</f>
        <v>0</v>
      </c>
      <c r="Q259" s="126">
        <f>IF(E259="Y",VLOOKUP(D259,'Support - Unit Adjustments'!F:G,2,FALSE),0)</f>
        <v>0</v>
      </c>
      <c r="R259" s="155">
        <f t="shared" si="78"/>
        <v>0</v>
      </c>
      <c r="S259" s="47">
        <f t="shared" ref="S259:S262" si="86">ROUND(+P259*M259,0)</f>
        <v>0</v>
      </c>
      <c r="T259" s="151">
        <f t="shared" si="81"/>
        <v>175745</v>
      </c>
      <c r="U259" s="151">
        <f t="shared" si="82"/>
        <v>0</v>
      </c>
      <c r="V259" s="139">
        <f t="shared" si="83"/>
        <v>0</v>
      </c>
      <c r="W259" s="152">
        <f t="shared" ref="W259:W322" si="87">+T259-V259</f>
        <v>175745</v>
      </c>
      <c r="X259" s="127" t="str">
        <f t="shared" si="84"/>
        <v/>
      </c>
      <c r="Y259" s="207">
        <f t="shared" ref="Y259:Y322" si="88">W259</f>
        <v>175745</v>
      </c>
      <c r="Z259" s="139">
        <f t="shared" ref="Z259:Z322" si="89">IFERROR(IF(B259="2",ROUND(Y259*G259/I259,0),Y259),0)</f>
        <v>175745</v>
      </c>
      <c r="AA259" s="139">
        <f t="shared" ref="AA259:AA322" si="90">+Y259-Z259</f>
        <v>0</v>
      </c>
      <c r="AC259" s="47">
        <f t="shared" ref="AC259:AC322" si="91">ROUND(Y259/2,0)</f>
        <v>87873</v>
      </c>
      <c r="AD259" s="47">
        <f t="shared" ref="AD259:AD322" si="92">ROUND(Z259/2,0)</f>
        <v>87873</v>
      </c>
      <c r="AE259" s="47">
        <f t="shared" ref="AE259:AE322" si="93">ROUND(AA259/2,0)</f>
        <v>0</v>
      </c>
      <c r="AG259" s="47">
        <f t="shared" ref="AG259:AG322" si="94">+Y259-AC259</f>
        <v>87872</v>
      </c>
      <c r="AH259" s="47">
        <f t="shared" ref="AH259:AH322" si="95">+Z259-AD259</f>
        <v>87872</v>
      </c>
      <c r="AI259" s="208">
        <f t="shared" ref="AI259:AI322" si="96">+AA259-AE259</f>
        <v>0</v>
      </c>
    </row>
    <row r="260" spans="1:35">
      <c r="A260" t="s">
        <v>2098</v>
      </c>
      <c r="B260" t="s">
        <v>3155</v>
      </c>
      <c r="C260" t="s">
        <v>2293</v>
      </c>
      <c r="D260" t="s">
        <v>3444</v>
      </c>
      <c r="F260" t="s">
        <v>3445</v>
      </c>
      <c r="G260" s="126">
        <f>SUMIFS('Support - Transition'!F:F,'Support - Transition'!B:B,'Step 2'!A260,'Support - Transition'!C:C,'Step 2'!B260,'Support - Transition'!D:D,'Step 2'!C260,'Support - Transition'!E:E,"CIVIL")</f>
        <v>0</v>
      </c>
      <c r="H260" s="126">
        <f>SUMIFS('Support - Transition'!F:F,'Support - Transition'!B:B,'Step 2'!A260,'Support - Transition'!C:C,'Step 2'!B260,'Support - Transition'!D:D,'Step 2'!C260,'Support - Transition'!E:E,"FIRE")</f>
        <v>0</v>
      </c>
      <c r="I260" s="126">
        <f>IF(B260="0",SUMIFS('Support - Transition'!F:F,'Support - Transition'!J:J,'Step 2'!D260,'Support - Transition'!E:E,"STATE UNIT"),SUMIFS('Support - Transition'!F:F,'Support - Transition'!J:J,'Step 2'!D260))</f>
        <v>7.6499999999999995E-4</v>
      </c>
      <c r="J260" s="126">
        <f>SUMIFS('Support - Unit Adjustments'!E:E,'Support - Unit Adjustments'!F:F,'Step 2'!D260)</f>
        <v>0</v>
      </c>
      <c r="K260" s="126">
        <f t="shared" si="79"/>
        <v>7.6499999999999995E-4</v>
      </c>
      <c r="L260" s="174">
        <f>VLOOKUP(A260,'Step 1'!$A:$E,4,FALSE)</f>
        <v>1494199</v>
      </c>
      <c r="M260" s="47">
        <f t="shared" si="80"/>
        <v>1143</v>
      </c>
      <c r="N260" s="177">
        <f>SUMIFS('Support - Transition'!G:G,'Support - Transition'!J:J,'Step 2'!D260,'Support - Transition'!E:E,"2009 WELFARE ALLOCATION FACTOR")</f>
        <v>0</v>
      </c>
      <c r="O260" s="152">
        <f t="shared" si="85"/>
        <v>0</v>
      </c>
      <c r="P260" s="126">
        <f>IF(E260="Y",0,SUMIFS('Support - Transition'!G:G,'Support - Transition'!J:J,'Step 2'!D260,'Support - Transition'!E:E,"2009 SCHOOL ALLOCATION FACTOR"))</f>
        <v>0</v>
      </c>
      <c r="Q260" s="126">
        <f>IF(E260="Y",VLOOKUP(D260,'Support - Unit Adjustments'!F:G,2,FALSE),0)</f>
        <v>0</v>
      </c>
      <c r="R260" s="155">
        <f t="shared" si="78"/>
        <v>0</v>
      </c>
      <c r="S260" s="47">
        <f t="shared" si="86"/>
        <v>0</v>
      </c>
      <c r="T260" s="151">
        <f t="shared" si="81"/>
        <v>1143</v>
      </c>
      <c r="U260" s="151">
        <f t="shared" si="82"/>
        <v>0</v>
      </c>
      <c r="V260" s="139">
        <f t="shared" si="83"/>
        <v>0</v>
      </c>
      <c r="W260" s="152">
        <f t="shared" si="87"/>
        <v>1143</v>
      </c>
      <c r="X260" s="127" t="str">
        <f t="shared" si="84"/>
        <v/>
      </c>
      <c r="Y260" s="207">
        <f t="shared" si="88"/>
        <v>1143</v>
      </c>
      <c r="Z260" s="139">
        <f t="shared" si="89"/>
        <v>1143</v>
      </c>
      <c r="AA260" s="139">
        <f t="shared" si="90"/>
        <v>0</v>
      </c>
      <c r="AC260" s="47">
        <f t="shared" si="91"/>
        <v>572</v>
      </c>
      <c r="AD260" s="47">
        <f t="shared" si="92"/>
        <v>572</v>
      </c>
      <c r="AE260" s="47">
        <f t="shared" si="93"/>
        <v>0</v>
      </c>
      <c r="AG260" s="47">
        <f t="shared" si="94"/>
        <v>571</v>
      </c>
      <c r="AH260" s="47">
        <f t="shared" si="95"/>
        <v>571</v>
      </c>
      <c r="AI260" s="208">
        <f t="shared" si="96"/>
        <v>0</v>
      </c>
    </row>
    <row r="261" spans="1:35">
      <c r="A261" t="s">
        <v>2098</v>
      </c>
      <c r="B261" t="s">
        <v>3155</v>
      </c>
      <c r="C261" t="s">
        <v>2294</v>
      </c>
      <c r="D261" t="s">
        <v>3446</v>
      </c>
      <c r="F261" t="s">
        <v>232</v>
      </c>
      <c r="G261" s="126">
        <f>SUMIFS('Support - Transition'!F:F,'Support - Transition'!B:B,'Step 2'!A261,'Support - Transition'!C:C,'Step 2'!B261,'Support - Transition'!D:D,'Step 2'!C261,'Support - Transition'!E:E,"CIVIL")</f>
        <v>0</v>
      </c>
      <c r="H261" s="126">
        <f>SUMIFS('Support - Transition'!F:F,'Support - Transition'!B:B,'Step 2'!A261,'Support - Transition'!C:C,'Step 2'!B261,'Support - Transition'!D:D,'Step 2'!C261,'Support - Transition'!E:E,"FIRE")</f>
        <v>0</v>
      </c>
      <c r="I261" s="126">
        <f>IF(B261="0",SUMIFS('Support - Transition'!F:F,'Support - Transition'!J:J,'Step 2'!D261,'Support - Transition'!E:E,"STATE UNIT"),SUMIFS('Support - Transition'!F:F,'Support - Transition'!J:J,'Step 2'!D261))</f>
        <v>9.4830000000000001E-3</v>
      </c>
      <c r="J261" s="126">
        <f>SUMIFS('Support - Unit Adjustments'!E:E,'Support - Unit Adjustments'!F:F,'Step 2'!D261)</f>
        <v>0</v>
      </c>
      <c r="K261" s="126">
        <f t="shared" si="79"/>
        <v>9.4830000000000001E-3</v>
      </c>
      <c r="L261" s="174">
        <f>VLOOKUP(A261,'Step 1'!$A:$E,4,FALSE)</f>
        <v>1494199</v>
      </c>
      <c r="M261" s="47">
        <f t="shared" si="80"/>
        <v>14169</v>
      </c>
      <c r="N261" s="177">
        <f>SUMIFS('Support - Transition'!G:G,'Support - Transition'!J:J,'Step 2'!D261,'Support - Transition'!E:E,"2009 WELFARE ALLOCATION FACTOR")</f>
        <v>0</v>
      </c>
      <c r="O261" s="152">
        <f t="shared" si="85"/>
        <v>0</v>
      </c>
      <c r="P261" s="126">
        <f>IF(E261="Y",0,SUMIFS('Support - Transition'!G:G,'Support - Transition'!J:J,'Step 2'!D261,'Support - Transition'!E:E,"2009 SCHOOL ALLOCATION FACTOR"))</f>
        <v>0</v>
      </c>
      <c r="Q261" s="126">
        <f>IF(E261="Y",VLOOKUP(D261,'Support - Unit Adjustments'!F:G,2,FALSE),0)</f>
        <v>0</v>
      </c>
      <c r="R261" s="155">
        <f t="shared" si="78"/>
        <v>0</v>
      </c>
      <c r="S261" s="47">
        <f t="shared" si="86"/>
        <v>0</v>
      </c>
      <c r="T261" s="151">
        <f t="shared" si="81"/>
        <v>14169</v>
      </c>
      <c r="U261" s="151">
        <f t="shared" si="82"/>
        <v>0</v>
      </c>
      <c r="V261" s="139">
        <f t="shared" si="83"/>
        <v>0</v>
      </c>
      <c r="W261" s="152">
        <f t="shared" si="87"/>
        <v>14169</v>
      </c>
      <c r="X261" s="127" t="str">
        <f t="shared" si="84"/>
        <v/>
      </c>
      <c r="Y261" s="207">
        <f t="shared" si="88"/>
        <v>14169</v>
      </c>
      <c r="Z261" s="139">
        <f t="shared" si="89"/>
        <v>14169</v>
      </c>
      <c r="AA261" s="139">
        <f t="shared" si="90"/>
        <v>0</v>
      </c>
      <c r="AC261" s="47">
        <f t="shared" si="91"/>
        <v>7085</v>
      </c>
      <c r="AD261" s="47">
        <f t="shared" si="92"/>
        <v>7085</v>
      </c>
      <c r="AE261" s="47">
        <f t="shared" si="93"/>
        <v>0</v>
      </c>
      <c r="AG261" s="47">
        <f t="shared" si="94"/>
        <v>7084</v>
      </c>
      <c r="AH261" s="47">
        <f t="shared" si="95"/>
        <v>7084</v>
      </c>
      <c r="AI261" s="208">
        <f t="shared" si="96"/>
        <v>0</v>
      </c>
    </row>
    <row r="262" spans="1:35">
      <c r="A262" t="s">
        <v>2098</v>
      </c>
      <c r="B262" t="s">
        <v>3155</v>
      </c>
      <c r="C262" t="s">
        <v>2295</v>
      </c>
      <c r="D262" t="s">
        <v>3447</v>
      </c>
      <c r="F262" t="s">
        <v>233</v>
      </c>
      <c r="G262" s="126">
        <f>SUMIFS('Support - Transition'!F:F,'Support - Transition'!B:B,'Step 2'!A262,'Support - Transition'!C:C,'Step 2'!B262,'Support - Transition'!D:D,'Step 2'!C262,'Support - Transition'!E:E,"CIVIL")</f>
        <v>0</v>
      </c>
      <c r="H262" s="126">
        <f>SUMIFS('Support - Transition'!F:F,'Support - Transition'!B:B,'Step 2'!A262,'Support - Transition'!C:C,'Step 2'!B262,'Support - Transition'!D:D,'Step 2'!C262,'Support - Transition'!E:E,"FIRE")</f>
        <v>0</v>
      </c>
      <c r="I262" s="126">
        <f>IF(B262="0",SUMIFS('Support - Transition'!F:F,'Support - Transition'!J:J,'Step 2'!D262,'Support - Transition'!E:E,"STATE UNIT"),SUMIFS('Support - Transition'!F:F,'Support - Transition'!J:J,'Step 2'!D262))</f>
        <v>4.2400000000000001E-4</v>
      </c>
      <c r="J262" s="126">
        <f>SUMIFS('Support - Unit Adjustments'!E:E,'Support - Unit Adjustments'!F:F,'Step 2'!D262)</f>
        <v>0</v>
      </c>
      <c r="K262" s="126">
        <f t="shared" si="79"/>
        <v>4.2400000000000001E-4</v>
      </c>
      <c r="L262" s="174">
        <f>VLOOKUP(A262,'Step 1'!$A:$E,4,FALSE)</f>
        <v>1494199</v>
      </c>
      <c r="M262" s="47">
        <f t="shared" si="80"/>
        <v>634</v>
      </c>
      <c r="N262" s="177">
        <f>SUMIFS('Support - Transition'!G:G,'Support - Transition'!J:J,'Step 2'!D262,'Support - Transition'!E:E,"2009 WELFARE ALLOCATION FACTOR")</f>
        <v>0</v>
      </c>
      <c r="O262" s="152">
        <f t="shared" si="85"/>
        <v>0</v>
      </c>
      <c r="P262" s="126">
        <f>IF(E262="Y",0,SUMIFS('Support - Transition'!G:G,'Support - Transition'!J:J,'Step 2'!D262,'Support - Transition'!E:E,"2009 SCHOOL ALLOCATION FACTOR"))</f>
        <v>0</v>
      </c>
      <c r="Q262" s="126">
        <f>IF(E262="Y",VLOOKUP(D262,'Support - Unit Adjustments'!F:G,2,FALSE),0)</f>
        <v>0</v>
      </c>
      <c r="R262" s="155">
        <f t="shared" si="78"/>
        <v>0</v>
      </c>
      <c r="S262" s="47">
        <f t="shared" si="86"/>
        <v>0</v>
      </c>
      <c r="T262" s="151">
        <f t="shared" si="81"/>
        <v>634</v>
      </c>
      <c r="U262" s="151">
        <f t="shared" si="82"/>
        <v>0</v>
      </c>
      <c r="V262" s="139">
        <f t="shared" si="83"/>
        <v>0</v>
      </c>
      <c r="W262" s="152">
        <f t="shared" si="87"/>
        <v>634</v>
      </c>
      <c r="X262" s="127" t="str">
        <f t="shared" si="84"/>
        <v/>
      </c>
      <c r="Y262" s="207">
        <f t="shared" si="88"/>
        <v>634</v>
      </c>
      <c r="Z262" s="139">
        <f t="shared" si="89"/>
        <v>634</v>
      </c>
      <c r="AA262" s="139">
        <f t="shared" si="90"/>
        <v>0</v>
      </c>
      <c r="AC262" s="47">
        <f t="shared" si="91"/>
        <v>317</v>
      </c>
      <c r="AD262" s="47">
        <f t="shared" si="92"/>
        <v>317</v>
      </c>
      <c r="AE262" s="47">
        <f t="shared" si="93"/>
        <v>0</v>
      </c>
      <c r="AG262" s="47">
        <f t="shared" si="94"/>
        <v>317</v>
      </c>
      <c r="AH262" s="47">
        <f t="shared" si="95"/>
        <v>317</v>
      </c>
      <c r="AI262" s="208">
        <f t="shared" si="96"/>
        <v>0</v>
      </c>
    </row>
    <row r="263" spans="1:35" s="154" customFormat="1">
      <c r="A263" t="s">
        <v>2098</v>
      </c>
      <c r="B263" t="s">
        <v>3160</v>
      </c>
      <c r="C263" t="s">
        <v>2296</v>
      </c>
      <c r="D263" t="s">
        <v>3448</v>
      </c>
      <c r="E263" t="s">
        <v>6384</v>
      </c>
      <c r="F263" t="s">
        <v>3449</v>
      </c>
      <c r="G263" s="126">
        <f>SUMIFS('Support - Transition'!F:F,'Support - Transition'!B:B,'Step 2'!A263,'Support - Transition'!C:C,'Step 2'!B263,'Support - Transition'!D:D,'Step 2'!C263,'Support - Transition'!E:E,"CIVIL")</f>
        <v>0</v>
      </c>
      <c r="H263" s="126">
        <f>SUMIFS('Support - Transition'!F:F,'Support - Transition'!B:B,'Step 2'!A263,'Support - Transition'!C:C,'Step 2'!B263,'Support - Transition'!D:D,'Step 2'!C263,'Support - Transition'!E:E,"FIRE")</f>
        <v>0</v>
      </c>
      <c r="I263" s="155">
        <f>IF(B263="0",SUMIFS('Support - Transition'!F:F,'Support - Transition'!J:J,'Step 2'!D263,'Support - Transition'!E:E,"STATE UNIT"),SUMIFS('Support - Transition'!F:F,'Support - Transition'!J:J,'Step 2'!D263))</f>
        <v>0</v>
      </c>
      <c r="J263" s="155">
        <f>SUMIFS('Support - Unit Adjustments'!E:E,'Support - Unit Adjustments'!F:F,'Step 2'!D263)</f>
        <v>3.1420799999999999E-2</v>
      </c>
      <c r="K263" s="155">
        <f t="shared" si="79"/>
        <v>3.1420799999999999E-2</v>
      </c>
      <c r="L263" s="175">
        <f>VLOOKUP(A263,'Step 1'!$A:$E,4,FALSE)</f>
        <v>1494199</v>
      </c>
      <c r="M263" s="47">
        <f t="shared" si="80"/>
        <v>46949</v>
      </c>
      <c r="N263" s="178">
        <f>SUMIFS('Support - Transition'!G:G,'Support - Transition'!J:J,'Step 2'!D263,'Support - Transition'!E:E,"2009 WELFARE ALLOCATION FACTOR")</f>
        <v>0</v>
      </c>
      <c r="O263" s="158">
        <f t="shared" si="85"/>
        <v>0</v>
      </c>
      <c r="P263" s="155">
        <f>IF(E263="Y",0,SUMIFS('Support - Transition'!G:G,'Support - Transition'!J:J,'Step 2'!D263,'Support - Transition'!E:E,"2009 SCHOOL ALLOCATION FACTOR"))</f>
        <v>0</v>
      </c>
      <c r="Q263" s="155">
        <f>IF(E263="Y",VLOOKUP(D263,'Support - Unit Adjustments'!F:G,2,FALSE),0)</f>
        <v>0.40516000000000002</v>
      </c>
      <c r="R263" s="155">
        <f>+P263+Q263</f>
        <v>0.40516000000000002</v>
      </c>
      <c r="S263" s="47">
        <f>ROUND(+R263*M263,0)</f>
        <v>19022</v>
      </c>
      <c r="T263" s="156">
        <f t="shared" si="81"/>
        <v>27927</v>
      </c>
      <c r="U263" s="156">
        <f t="shared" si="82"/>
        <v>0</v>
      </c>
      <c r="V263" s="157">
        <f t="shared" si="83"/>
        <v>0</v>
      </c>
      <c r="W263" s="158">
        <f t="shared" si="87"/>
        <v>27927</v>
      </c>
      <c r="X263" s="127" t="str">
        <f t="shared" si="84"/>
        <v/>
      </c>
      <c r="Y263" s="207">
        <f t="shared" si="88"/>
        <v>27927</v>
      </c>
      <c r="Z263" s="139">
        <f t="shared" si="89"/>
        <v>27927</v>
      </c>
      <c r="AA263" s="139">
        <f t="shared" si="90"/>
        <v>0</v>
      </c>
      <c r="AC263" s="47">
        <f t="shared" si="91"/>
        <v>13964</v>
      </c>
      <c r="AD263" s="47">
        <f t="shared" si="92"/>
        <v>13964</v>
      </c>
      <c r="AE263" s="47">
        <f t="shared" si="93"/>
        <v>0</v>
      </c>
      <c r="AF263"/>
      <c r="AG263" s="47">
        <f t="shared" si="94"/>
        <v>13963</v>
      </c>
      <c r="AH263" s="47">
        <f t="shared" si="95"/>
        <v>13963</v>
      </c>
      <c r="AI263" s="208">
        <f t="shared" si="96"/>
        <v>0</v>
      </c>
    </row>
    <row r="264" spans="1:35" s="154" customFormat="1">
      <c r="A264" t="s">
        <v>2098</v>
      </c>
      <c r="B264" t="s">
        <v>3160</v>
      </c>
      <c r="C264" t="s">
        <v>2297</v>
      </c>
      <c r="D264" t="s">
        <v>3450</v>
      </c>
      <c r="E264" t="s">
        <v>6384</v>
      </c>
      <c r="F264" t="s">
        <v>3451</v>
      </c>
      <c r="G264" s="126">
        <f>SUMIFS('Support - Transition'!F:F,'Support - Transition'!B:B,'Step 2'!A264,'Support - Transition'!C:C,'Step 2'!B264,'Support - Transition'!D:D,'Step 2'!C264,'Support - Transition'!E:E,"CIVIL")</f>
        <v>0</v>
      </c>
      <c r="H264" s="126">
        <f>SUMIFS('Support - Transition'!F:F,'Support - Transition'!B:B,'Step 2'!A264,'Support - Transition'!C:C,'Step 2'!B264,'Support - Transition'!D:D,'Step 2'!C264,'Support - Transition'!E:E,"FIRE")</f>
        <v>0</v>
      </c>
      <c r="I264" s="155">
        <f>IF(B264="0",SUMIFS('Support - Transition'!F:F,'Support - Transition'!J:J,'Step 2'!D264,'Support - Transition'!E:E,"STATE UNIT"),SUMIFS('Support - Transition'!F:F,'Support - Transition'!J:J,'Step 2'!D264))</f>
        <v>0</v>
      </c>
      <c r="J264" s="155">
        <f>SUMIFS('Support - Unit Adjustments'!E:E,'Support - Unit Adjustments'!F:F,'Step 2'!D264)</f>
        <v>3.8403199999999998E-2</v>
      </c>
      <c r="K264" s="155">
        <f t="shared" si="79"/>
        <v>3.8403199999999998E-2</v>
      </c>
      <c r="L264" s="175">
        <f>VLOOKUP(A264,'Step 1'!$A:$E,4,FALSE)</f>
        <v>1494199</v>
      </c>
      <c r="M264" s="47">
        <f t="shared" si="80"/>
        <v>57382</v>
      </c>
      <c r="N264" s="178">
        <f>SUMIFS('Support - Transition'!G:G,'Support - Transition'!J:J,'Step 2'!D264,'Support - Transition'!E:E,"2009 WELFARE ALLOCATION FACTOR")</f>
        <v>0</v>
      </c>
      <c r="O264" s="158">
        <f t="shared" si="85"/>
        <v>0</v>
      </c>
      <c r="P264" s="155">
        <f>IF(E264="Y",0,SUMIFS('Support - Transition'!G:G,'Support - Transition'!J:J,'Step 2'!D264,'Support - Transition'!E:E,"2009 SCHOOL ALLOCATION FACTOR"))</f>
        <v>0</v>
      </c>
      <c r="Q264" s="155">
        <f>IF(E264="Y",VLOOKUP(D264,'Support - Unit Adjustments'!F:G,2,FALSE),0)</f>
        <v>0.40516000000000002</v>
      </c>
      <c r="R264" s="155">
        <f>+P264+Q264</f>
        <v>0.40516000000000002</v>
      </c>
      <c r="S264" s="47">
        <f t="shared" ref="S264:S327" si="97">ROUND(+R264*M264,0)</f>
        <v>23249</v>
      </c>
      <c r="T264" s="156">
        <f t="shared" si="81"/>
        <v>34133</v>
      </c>
      <c r="U264" s="156">
        <f t="shared" si="82"/>
        <v>0</v>
      </c>
      <c r="V264" s="157">
        <f t="shared" si="83"/>
        <v>0</v>
      </c>
      <c r="W264" s="158">
        <f t="shared" si="87"/>
        <v>34133</v>
      </c>
      <c r="X264" s="127" t="str">
        <f t="shared" si="84"/>
        <v/>
      </c>
      <c r="Y264" s="207">
        <f t="shared" si="88"/>
        <v>34133</v>
      </c>
      <c r="Z264" s="139">
        <f t="shared" si="89"/>
        <v>34133</v>
      </c>
      <c r="AA264" s="139">
        <f t="shared" si="90"/>
        <v>0</v>
      </c>
      <c r="AC264" s="47">
        <f t="shared" si="91"/>
        <v>17067</v>
      </c>
      <c r="AD264" s="47">
        <f t="shared" si="92"/>
        <v>17067</v>
      </c>
      <c r="AE264" s="47">
        <f t="shared" si="93"/>
        <v>0</v>
      </c>
      <c r="AF264"/>
      <c r="AG264" s="47">
        <f t="shared" si="94"/>
        <v>17066</v>
      </c>
      <c r="AH264" s="47">
        <f t="shared" si="95"/>
        <v>17066</v>
      </c>
      <c r="AI264" s="208">
        <f t="shared" si="96"/>
        <v>0</v>
      </c>
    </row>
    <row r="265" spans="1:35">
      <c r="A265" t="s">
        <v>2098</v>
      </c>
      <c r="B265" t="s">
        <v>3160</v>
      </c>
      <c r="C265" t="s">
        <v>2298</v>
      </c>
      <c r="D265" t="s">
        <v>3452</v>
      </c>
      <c r="F265" t="s">
        <v>234</v>
      </c>
      <c r="G265" s="126">
        <f>SUMIFS('Support - Transition'!F:F,'Support - Transition'!B:B,'Step 2'!A265,'Support - Transition'!C:C,'Step 2'!B265,'Support - Transition'!D:D,'Step 2'!C265,'Support - Transition'!E:E,"CIVIL")</f>
        <v>0</v>
      </c>
      <c r="H265" s="126">
        <f>SUMIFS('Support - Transition'!F:F,'Support - Transition'!B:B,'Step 2'!A265,'Support - Transition'!C:C,'Step 2'!B265,'Support - Transition'!D:D,'Step 2'!C265,'Support - Transition'!E:E,"FIRE")</f>
        <v>0</v>
      </c>
      <c r="I265" s="126">
        <f>IF(B265="0",SUMIFS('Support - Transition'!F:F,'Support - Transition'!J:J,'Step 2'!D265,'Support - Transition'!E:E,"STATE UNIT"),SUMIFS('Support - Transition'!F:F,'Support - Transition'!J:J,'Step 2'!D265))</f>
        <v>9.9511000000000002E-2</v>
      </c>
      <c r="J265" s="126">
        <f>SUMIFS('Support - Unit Adjustments'!E:E,'Support - Unit Adjustments'!F:F,'Step 2'!D265)</f>
        <v>0</v>
      </c>
      <c r="K265" s="126">
        <f t="shared" si="79"/>
        <v>9.9511000000000002E-2</v>
      </c>
      <c r="L265" s="174">
        <f>VLOOKUP(A265,'Step 1'!$A:$E,4,FALSE)</f>
        <v>1494199</v>
      </c>
      <c r="M265" s="47">
        <f t="shared" si="80"/>
        <v>148689</v>
      </c>
      <c r="N265" s="177">
        <f>SUMIFS('Support - Transition'!G:G,'Support - Transition'!J:J,'Step 2'!D265,'Support - Transition'!E:E,"2009 WELFARE ALLOCATION FACTOR")</f>
        <v>0</v>
      </c>
      <c r="O265" s="152">
        <f t="shared" si="85"/>
        <v>0</v>
      </c>
      <c r="P265" s="126">
        <f>IF(E265="Y",0,SUMIFS('Support - Transition'!G:G,'Support - Transition'!J:J,'Step 2'!D265,'Support - Transition'!E:E,"2009 SCHOOL ALLOCATION FACTOR"))</f>
        <v>0.40416099999999999</v>
      </c>
      <c r="Q265" s="126">
        <f>IF(E265="Y",VLOOKUP(D265,'Support - Unit Adjustments'!F:G,2,FALSE),0)</f>
        <v>0</v>
      </c>
      <c r="R265" s="155">
        <f t="shared" ref="R265:R328" si="98">+P265+Q265</f>
        <v>0.40416099999999999</v>
      </c>
      <c r="S265" s="47">
        <f t="shared" si="97"/>
        <v>60094</v>
      </c>
      <c r="T265" s="151">
        <f t="shared" si="81"/>
        <v>88595</v>
      </c>
      <c r="U265" s="151">
        <f t="shared" si="82"/>
        <v>0</v>
      </c>
      <c r="V265" s="139">
        <f t="shared" si="83"/>
        <v>0</v>
      </c>
      <c r="W265" s="152">
        <f t="shared" si="87"/>
        <v>88595</v>
      </c>
      <c r="X265" s="127" t="str">
        <f t="shared" si="84"/>
        <v/>
      </c>
      <c r="Y265" s="207">
        <f t="shared" si="88"/>
        <v>88595</v>
      </c>
      <c r="Z265" s="139">
        <f t="shared" si="89"/>
        <v>88595</v>
      </c>
      <c r="AA265" s="139">
        <f t="shared" si="90"/>
        <v>0</v>
      </c>
      <c r="AC265" s="47">
        <f t="shared" si="91"/>
        <v>44298</v>
      </c>
      <c r="AD265" s="47">
        <f t="shared" si="92"/>
        <v>44298</v>
      </c>
      <c r="AE265" s="47">
        <f t="shared" si="93"/>
        <v>0</v>
      </c>
      <c r="AG265" s="47">
        <f t="shared" si="94"/>
        <v>44297</v>
      </c>
      <c r="AH265" s="47">
        <f t="shared" si="95"/>
        <v>44297</v>
      </c>
      <c r="AI265" s="208">
        <f t="shared" si="96"/>
        <v>0</v>
      </c>
    </row>
    <row r="266" spans="1:35">
      <c r="A266" t="s">
        <v>2098</v>
      </c>
      <c r="B266" t="s">
        <v>3160</v>
      </c>
      <c r="C266" t="s">
        <v>2299</v>
      </c>
      <c r="D266" t="s">
        <v>3453</v>
      </c>
      <c r="F266" t="s">
        <v>235</v>
      </c>
      <c r="G266" s="126">
        <f>SUMIFS('Support - Transition'!F:F,'Support - Transition'!B:B,'Step 2'!A266,'Support - Transition'!C:C,'Step 2'!B266,'Support - Transition'!D:D,'Step 2'!C266,'Support - Transition'!E:E,"CIVIL")</f>
        <v>0</v>
      </c>
      <c r="H266" s="126">
        <f>SUMIFS('Support - Transition'!F:F,'Support - Transition'!B:B,'Step 2'!A266,'Support - Transition'!C:C,'Step 2'!B266,'Support - Transition'!D:D,'Step 2'!C266,'Support - Transition'!E:E,"FIRE")</f>
        <v>0</v>
      </c>
      <c r="I266" s="126">
        <f>IF(B266="0",SUMIFS('Support - Transition'!F:F,'Support - Transition'!J:J,'Step 2'!D266,'Support - Transition'!E:E,"STATE UNIT"),SUMIFS('Support - Transition'!F:F,'Support - Transition'!J:J,'Step 2'!D266))</f>
        <v>0.30374499999999999</v>
      </c>
      <c r="J266" s="126">
        <f>SUMIFS('Support - Unit Adjustments'!E:E,'Support - Unit Adjustments'!F:F,'Step 2'!D266)</f>
        <v>0</v>
      </c>
      <c r="K266" s="126">
        <f t="shared" si="79"/>
        <v>0.30374499999999999</v>
      </c>
      <c r="L266" s="174">
        <f>VLOOKUP(A266,'Step 1'!$A:$E,4,FALSE)</f>
        <v>1494199</v>
      </c>
      <c r="M266" s="47">
        <f t="shared" si="80"/>
        <v>453855</v>
      </c>
      <c r="N266" s="177">
        <f>SUMIFS('Support - Transition'!G:G,'Support - Transition'!J:J,'Step 2'!D266,'Support - Transition'!E:E,"2009 WELFARE ALLOCATION FACTOR")</f>
        <v>0</v>
      </c>
      <c r="O266" s="152">
        <f t="shared" si="85"/>
        <v>0</v>
      </c>
      <c r="P266" s="126">
        <f>IF(E266="Y",0,SUMIFS('Support - Transition'!G:G,'Support - Transition'!J:J,'Step 2'!D266,'Support - Transition'!E:E,"2009 SCHOOL ALLOCATION FACTOR"))</f>
        <v>0.48830000000000001</v>
      </c>
      <c r="Q266" s="126">
        <f>IF(E266="Y",VLOOKUP(D266,'Support - Unit Adjustments'!F:G,2,FALSE),0)</f>
        <v>0</v>
      </c>
      <c r="R266" s="155">
        <f t="shared" si="98"/>
        <v>0.48830000000000001</v>
      </c>
      <c r="S266" s="47">
        <f t="shared" si="97"/>
        <v>221617</v>
      </c>
      <c r="T266" s="151">
        <f t="shared" si="81"/>
        <v>232238</v>
      </c>
      <c r="U266" s="151">
        <f t="shared" si="82"/>
        <v>0</v>
      </c>
      <c r="V266" s="139">
        <f t="shared" si="83"/>
        <v>0</v>
      </c>
      <c r="W266" s="152">
        <f t="shared" si="87"/>
        <v>232238</v>
      </c>
      <c r="X266" s="127" t="str">
        <f t="shared" si="84"/>
        <v/>
      </c>
      <c r="Y266" s="207">
        <f t="shared" si="88"/>
        <v>232238</v>
      </c>
      <c r="Z266" s="139">
        <f t="shared" si="89"/>
        <v>232238</v>
      </c>
      <c r="AA266" s="139">
        <f t="shared" si="90"/>
        <v>0</v>
      </c>
      <c r="AC266" s="47">
        <f t="shared" si="91"/>
        <v>116119</v>
      </c>
      <c r="AD266" s="47">
        <f t="shared" si="92"/>
        <v>116119</v>
      </c>
      <c r="AE266" s="47">
        <f t="shared" si="93"/>
        <v>0</v>
      </c>
      <c r="AG266" s="47">
        <f t="shared" si="94"/>
        <v>116119</v>
      </c>
      <c r="AH266" s="47">
        <f t="shared" si="95"/>
        <v>116119</v>
      </c>
      <c r="AI266" s="208">
        <f t="shared" si="96"/>
        <v>0</v>
      </c>
    </row>
    <row r="267" spans="1:35">
      <c r="A267" t="s">
        <v>2098</v>
      </c>
      <c r="B267" t="s">
        <v>3166</v>
      </c>
      <c r="C267" t="s">
        <v>2205</v>
      </c>
      <c r="D267" t="s">
        <v>3454</v>
      </c>
      <c r="F267" t="s">
        <v>238</v>
      </c>
      <c r="G267" s="126">
        <f>SUMIFS('Support - Transition'!F:F,'Support - Transition'!B:B,'Step 2'!A267,'Support - Transition'!C:C,'Step 2'!B267,'Support - Transition'!D:D,'Step 2'!C267,'Support - Transition'!E:E,"CIVIL")</f>
        <v>0</v>
      </c>
      <c r="H267" s="126">
        <f>SUMIFS('Support - Transition'!F:F,'Support - Transition'!B:B,'Step 2'!A267,'Support - Transition'!C:C,'Step 2'!B267,'Support - Transition'!D:D,'Step 2'!C267,'Support - Transition'!E:E,"FIRE")</f>
        <v>0</v>
      </c>
      <c r="I267" s="126">
        <f>IF(B267="0",SUMIFS('Support - Transition'!F:F,'Support - Transition'!J:J,'Step 2'!D267,'Support - Transition'!E:E,"STATE UNIT"),SUMIFS('Support - Transition'!F:F,'Support - Transition'!J:J,'Step 2'!D267))</f>
        <v>2.4490000000000001E-2</v>
      </c>
      <c r="J267" s="126">
        <f>SUMIFS('Support - Unit Adjustments'!E:E,'Support - Unit Adjustments'!F:F,'Step 2'!D267)</f>
        <v>0</v>
      </c>
      <c r="K267" s="126">
        <f t="shared" si="79"/>
        <v>2.4490000000000001E-2</v>
      </c>
      <c r="L267" s="174">
        <f>VLOOKUP(A267,'Step 1'!$A:$E,4,FALSE)</f>
        <v>1494199</v>
      </c>
      <c r="M267" s="47">
        <f t="shared" si="80"/>
        <v>36593</v>
      </c>
      <c r="N267" s="177">
        <f>SUMIFS('Support - Transition'!G:G,'Support - Transition'!J:J,'Step 2'!D267,'Support - Transition'!E:E,"2009 WELFARE ALLOCATION FACTOR")</f>
        <v>0</v>
      </c>
      <c r="O267" s="152">
        <f t="shared" si="85"/>
        <v>0</v>
      </c>
      <c r="P267" s="126">
        <f>IF(E267="Y",0,SUMIFS('Support - Transition'!G:G,'Support - Transition'!J:J,'Step 2'!D267,'Support - Transition'!E:E,"2009 SCHOOL ALLOCATION FACTOR"))</f>
        <v>0</v>
      </c>
      <c r="Q267" s="126">
        <f>IF(E267="Y",VLOOKUP(D267,'Support - Unit Adjustments'!F:G,2,FALSE),0)</f>
        <v>0</v>
      </c>
      <c r="R267" s="155">
        <f t="shared" si="98"/>
        <v>0</v>
      </c>
      <c r="S267" s="47">
        <f t="shared" si="97"/>
        <v>0</v>
      </c>
      <c r="T267" s="151">
        <f t="shared" si="81"/>
        <v>36593</v>
      </c>
      <c r="U267" s="151">
        <f t="shared" si="82"/>
        <v>0</v>
      </c>
      <c r="V267" s="139">
        <f t="shared" si="83"/>
        <v>0</v>
      </c>
      <c r="W267" s="152">
        <f t="shared" si="87"/>
        <v>36593</v>
      </c>
      <c r="X267" s="127" t="str">
        <f t="shared" si="84"/>
        <v/>
      </c>
      <c r="Y267" s="207">
        <f t="shared" si="88"/>
        <v>36593</v>
      </c>
      <c r="Z267" s="139">
        <f t="shared" si="89"/>
        <v>36593</v>
      </c>
      <c r="AA267" s="139">
        <f t="shared" si="90"/>
        <v>0</v>
      </c>
      <c r="AC267" s="47">
        <f t="shared" si="91"/>
        <v>18297</v>
      </c>
      <c r="AD267" s="47">
        <f t="shared" si="92"/>
        <v>18297</v>
      </c>
      <c r="AE267" s="47">
        <f t="shared" si="93"/>
        <v>0</v>
      </c>
      <c r="AG267" s="47">
        <f t="shared" si="94"/>
        <v>18296</v>
      </c>
      <c r="AH267" s="47">
        <f t="shared" si="95"/>
        <v>18296</v>
      </c>
      <c r="AI267" s="208">
        <f t="shared" si="96"/>
        <v>0</v>
      </c>
    </row>
    <row r="268" spans="1:35">
      <c r="A268" t="s">
        <v>2098</v>
      </c>
      <c r="B268" t="s">
        <v>3166</v>
      </c>
      <c r="C268" t="s">
        <v>3455</v>
      </c>
      <c r="D268" t="s">
        <v>3456</v>
      </c>
      <c r="F268" t="s">
        <v>237</v>
      </c>
      <c r="G268" s="126">
        <f>SUMIFS('Support - Transition'!F:F,'Support - Transition'!B:B,'Step 2'!A268,'Support - Transition'!C:C,'Step 2'!B268,'Support - Transition'!D:D,'Step 2'!C268,'Support - Transition'!E:E,"CIVIL")</f>
        <v>0</v>
      </c>
      <c r="H268" s="126">
        <f>SUMIFS('Support - Transition'!F:F,'Support - Transition'!B:B,'Step 2'!A268,'Support - Transition'!C:C,'Step 2'!B268,'Support - Transition'!D:D,'Step 2'!C268,'Support - Transition'!E:E,"FIRE")</f>
        <v>0</v>
      </c>
      <c r="I268" s="126">
        <f>IF(B268="0",SUMIFS('Support - Transition'!F:F,'Support - Transition'!J:J,'Step 2'!D268,'Support - Transition'!E:E,"STATE UNIT"),SUMIFS('Support - Transition'!F:F,'Support - Transition'!J:J,'Step 2'!D268))</f>
        <v>5.7390000000000002E-3</v>
      </c>
      <c r="J268" s="126">
        <f>SUMIFS('Support - Unit Adjustments'!E:E,'Support - Unit Adjustments'!F:F,'Step 2'!D268)</f>
        <v>0</v>
      </c>
      <c r="K268" s="126">
        <f t="shared" si="79"/>
        <v>5.7390000000000002E-3</v>
      </c>
      <c r="L268" s="174">
        <f>VLOOKUP(A268,'Step 1'!$A:$E,4,FALSE)</f>
        <v>1494199</v>
      </c>
      <c r="M268" s="47">
        <f t="shared" si="80"/>
        <v>8575</v>
      </c>
      <c r="N268" s="177">
        <f>SUMIFS('Support - Transition'!G:G,'Support - Transition'!J:J,'Step 2'!D268,'Support - Transition'!E:E,"2009 WELFARE ALLOCATION FACTOR")</f>
        <v>0</v>
      </c>
      <c r="O268" s="152">
        <f t="shared" si="85"/>
        <v>0</v>
      </c>
      <c r="P268" s="126">
        <f>IF(E268="Y",0,SUMIFS('Support - Transition'!G:G,'Support - Transition'!J:J,'Step 2'!D268,'Support - Transition'!E:E,"2009 SCHOOL ALLOCATION FACTOR"))</f>
        <v>0</v>
      </c>
      <c r="Q268" s="126">
        <f>IF(E268="Y",VLOOKUP(D268,'Support - Unit Adjustments'!F:G,2,FALSE),0)</f>
        <v>0</v>
      </c>
      <c r="R268" s="155">
        <f t="shared" si="98"/>
        <v>0</v>
      </c>
      <c r="S268" s="47">
        <f t="shared" si="97"/>
        <v>0</v>
      </c>
      <c r="T268" s="151">
        <f t="shared" si="81"/>
        <v>8575</v>
      </c>
      <c r="U268" s="151">
        <f t="shared" si="82"/>
        <v>0</v>
      </c>
      <c r="V268" s="139">
        <f t="shared" si="83"/>
        <v>0</v>
      </c>
      <c r="W268" s="152">
        <f t="shared" si="87"/>
        <v>8575</v>
      </c>
      <c r="X268" s="127" t="str">
        <f t="shared" si="84"/>
        <v/>
      </c>
      <c r="Y268" s="207">
        <f t="shared" si="88"/>
        <v>8575</v>
      </c>
      <c r="Z268" s="139">
        <f t="shared" si="89"/>
        <v>8575</v>
      </c>
      <c r="AA268" s="139">
        <f t="shared" si="90"/>
        <v>0</v>
      </c>
      <c r="AC268" s="47">
        <f t="shared" si="91"/>
        <v>4288</v>
      </c>
      <c r="AD268" s="47">
        <f t="shared" si="92"/>
        <v>4288</v>
      </c>
      <c r="AE268" s="47">
        <f t="shared" si="93"/>
        <v>0</v>
      </c>
      <c r="AG268" s="47">
        <f t="shared" si="94"/>
        <v>4287</v>
      </c>
      <c r="AH268" s="47">
        <f t="shared" si="95"/>
        <v>4287</v>
      </c>
      <c r="AI268" s="208">
        <f t="shared" si="96"/>
        <v>0</v>
      </c>
    </row>
    <row r="269" spans="1:35">
      <c r="A269" t="s">
        <v>2098</v>
      </c>
      <c r="B269" t="s">
        <v>3170</v>
      </c>
      <c r="C269" t="s">
        <v>2300</v>
      </c>
      <c r="D269" t="s">
        <v>3457</v>
      </c>
      <c r="F269" t="s">
        <v>241</v>
      </c>
      <c r="G269" s="126">
        <f>SUMIFS('Support - Transition'!F:F,'Support - Transition'!B:B,'Step 2'!A269,'Support - Transition'!C:C,'Step 2'!B269,'Support - Transition'!D:D,'Step 2'!C269,'Support - Transition'!E:E,"CIVIL")</f>
        <v>0</v>
      </c>
      <c r="H269" s="126">
        <f>SUMIFS('Support - Transition'!F:F,'Support - Transition'!B:B,'Step 2'!A269,'Support - Transition'!C:C,'Step 2'!B269,'Support - Transition'!D:D,'Step 2'!C269,'Support - Transition'!E:E,"FIRE")</f>
        <v>0</v>
      </c>
      <c r="I269" s="126">
        <f>IF(B269="0",SUMIFS('Support - Transition'!F:F,'Support - Transition'!J:J,'Step 2'!D269,'Support - Transition'!E:E,"STATE UNIT"),SUMIFS('Support - Transition'!F:F,'Support - Transition'!J:J,'Step 2'!D269))</f>
        <v>5.7910000000000001E-3</v>
      </c>
      <c r="J269" s="126">
        <f>SUMIFS('Support - Unit Adjustments'!E:E,'Support - Unit Adjustments'!F:F,'Step 2'!D269)</f>
        <v>0</v>
      </c>
      <c r="K269" s="126">
        <f t="shared" si="79"/>
        <v>5.7910000000000001E-3</v>
      </c>
      <c r="L269" s="174">
        <f>VLOOKUP(A269,'Step 1'!$A:$E,4,FALSE)</f>
        <v>1494199</v>
      </c>
      <c r="M269" s="47">
        <f t="shared" si="80"/>
        <v>8653</v>
      </c>
      <c r="N269" s="177">
        <f>SUMIFS('Support - Transition'!G:G,'Support - Transition'!J:J,'Step 2'!D269,'Support - Transition'!E:E,"2009 WELFARE ALLOCATION FACTOR")</f>
        <v>0</v>
      </c>
      <c r="O269" s="152">
        <f t="shared" si="85"/>
        <v>0</v>
      </c>
      <c r="P269" s="126">
        <f>IF(E269="Y",0,SUMIFS('Support - Transition'!G:G,'Support - Transition'!J:J,'Step 2'!D269,'Support - Transition'!E:E,"2009 SCHOOL ALLOCATION FACTOR"))</f>
        <v>0</v>
      </c>
      <c r="Q269" s="126">
        <f>IF(E269="Y",VLOOKUP(D269,'Support - Unit Adjustments'!F:G,2,FALSE),0)</f>
        <v>0</v>
      </c>
      <c r="R269" s="155">
        <f t="shared" si="98"/>
        <v>0</v>
      </c>
      <c r="S269" s="47">
        <f t="shared" si="97"/>
        <v>0</v>
      </c>
      <c r="T269" s="151">
        <f t="shared" si="81"/>
        <v>8653</v>
      </c>
      <c r="U269" s="151">
        <f t="shared" si="82"/>
        <v>0</v>
      </c>
      <c r="V269" s="139">
        <f t="shared" si="83"/>
        <v>0</v>
      </c>
      <c r="W269" s="152">
        <f t="shared" si="87"/>
        <v>8653</v>
      </c>
      <c r="X269" s="127" t="str">
        <f t="shared" si="84"/>
        <v/>
      </c>
      <c r="Y269" s="207">
        <f t="shared" si="88"/>
        <v>8653</v>
      </c>
      <c r="Z269" s="139">
        <f t="shared" si="89"/>
        <v>8653</v>
      </c>
      <c r="AA269" s="139">
        <f t="shared" si="90"/>
        <v>0</v>
      </c>
      <c r="AC269" s="47">
        <f t="shared" si="91"/>
        <v>4327</v>
      </c>
      <c r="AD269" s="47">
        <f t="shared" si="92"/>
        <v>4327</v>
      </c>
      <c r="AE269" s="47">
        <f t="shared" si="93"/>
        <v>0</v>
      </c>
      <c r="AG269" s="47">
        <f t="shared" si="94"/>
        <v>4326</v>
      </c>
      <c r="AH269" s="47">
        <f t="shared" si="95"/>
        <v>4326</v>
      </c>
      <c r="AI269" s="208">
        <f t="shared" si="96"/>
        <v>0</v>
      </c>
    </row>
    <row r="270" spans="1:35">
      <c r="A270" t="s">
        <v>2098</v>
      </c>
      <c r="B270" t="s">
        <v>3170</v>
      </c>
      <c r="C270" t="s">
        <v>2295</v>
      </c>
      <c r="D270" t="s">
        <v>3458</v>
      </c>
      <c r="F270" t="s">
        <v>239</v>
      </c>
      <c r="G270" s="126">
        <f>SUMIFS('Support - Transition'!F:F,'Support - Transition'!B:B,'Step 2'!A270,'Support - Transition'!C:C,'Step 2'!B270,'Support - Transition'!D:D,'Step 2'!C270,'Support - Transition'!E:E,"CIVIL")</f>
        <v>0</v>
      </c>
      <c r="H270" s="126">
        <f>SUMIFS('Support - Transition'!F:F,'Support - Transition'!B:B,'Step 2'!A270,'Support - Transition'!C:C,'Step 2'!B270,'Support - Transition'!D:D,'Step 2'!C270,'Support - Transition'!E:E,"FIRE")</f>
        <v>0</v>
      </c>
      <c r="I270" s="126">
        <f>IF(B270="0",SUMIFS('Support - Transition'!F:F,'Support - Transition'!J:J,'Step 2'!D270,'Support - Transition'!E:E,"STATE UNIT"),SUMIFS('Support - Transition'!F:F,'Support - Transition'!J:J,'Step 2'!D270))</f>
        <v>1.232E-3</v>
      </c>
      <c r="J270" s="126">
        <f>SUMIFS('Support - Unit Adjustments'!E:E,'Support - Unit Adjustments'!F:F,'Step 2'!D270)</f>
        <v>0</v>
      </c>
      <c r="K270" s="126">
        <f t="shared" si="79"/>
        <v>1.232E-3</v>
      </c>
      <c r="L270" s="174">
        <f>VLOOKUP(A270,'Step 1'!$A:$E,4,FALSE)</f>
        <v>1494199</v>
      </c>
      <c r="M270" s="47">
        <f t="shared" si="80"/>
        <v>1841</v>
      </c>
      <c r="N270" s="177">
        <f>SUMIFS('Support - Transition'!G:G,'Support - Transition'!J:J,'Step 2'!D270,'Support - Transition'!E:E,"2009 WELFARE ALLOCATION FACTOR")</f>
        <v>0</v>
      </c>
      <c r="O270" s="152">
        <f t="shared" si="85"/>
        <v>0</v>
      </c>
      <c r="P270" s="126">
        <f>IF(E270="Y",0,SUMIFS('Support - Transition'!G:G,'Support - Transition'!J:J,'Step 2'!D270,'Support - Transition'!E:E,"2009 SCHOOL ALLOCATION FACTOR"))</f>
        <v>0</v>
      </c>
      <c r="Q270" s="126">
        <f>IF(E270="Y",VLOOKUP(D270,'Support - Unit Adjustments'!F:G,2,FALSE),0)</f>
        <v>0</v>
      </c>
      <c r="R270" s="155">
        <f t="shared" si="98"/>
        <v>0</v>
      </c>
      <c r="S270" s="47">
        <f t="shared" si="97"/>
        <v>0</v>
      </c>
      <c r="T270" s="151">
        <f t="shared" si="81"/>
        <v>1841</v>
      </c>
      <c r="U270" s="151">
        <f t="shared" si="82"/>
        <v>0</v>
      </c>
      <c r="V270" s="139">
        <f t="shared" si="83"/>
        <v>0</v>
      </c>
      <c r="W270" s="152">
        <f t="shared" si="87"/>
        <v>1841</v>
      </c>
      <c r="X270" s="127" t="str">
        <f t="shared" si="84"/>
        <v/>
      </c>
      <c r="Y270" s="207">
        <f t="shared" si="88"/>
        <v>1841</v>
      </c>
      <c r="Z270" s="139">
        <f t="shared" si="89"/>
        <v>1841</v>
      </c>
      <c r="AA270" s="139">
        <f t="shared" si="90"/>
        <v>0</v>
      </c>
      <c r="AC270" s="47">
        <f t="shared" si="91"/>
        <v>921</v>
      </c>
      <c r="AD270" s="47">
        <f t="shared" si="92"/>
        <v>921</v>
      </c>
      <c r="AE270" s="47">
        <f t="shared" si="93"/>
        <v>0</v>
      </c>
      <c r="AG270" s="47">
        <f t="shared" si="94"/>
        <v>920</v>
      </c>
      <c r="AH270" s="47">
        <f t="shared" si="95"/>
        <v>920</v>
      </c>
      <c r="AI270" s="208">
        <f t="shared" si="96"/>
        <v>0</v>
      </c>
    </row>
    <row r="271" spans="1:35">
      <c r="A271" t="s">
        <v>2098</v>
      </c>
      <c r="B271" t="s">
        <v>3170</v>
      </c>
      <c r="C271" t="s">
        <v>3459</v>
      </c>
      <c r="D271" t="s">
        <v>3460</v>
      </c>
      <c r="F271" t="s">
        <v>244</v>
      </c>
      <c r="G271" s="126">
        <f>SUMIFS('Support - Transition'!F:F,'Support - Transition'!B:B,'Step 2'!A271,'Support - Transition'!C:C,'Step 2'!B271,'Support - Transition'!D:D,'Step 2'!C271,'Support - Transition'!E:E,"CIVIL")</f>
        <v>0</v>
      </c>
      <c r="H271" s="126">
        <f>SUMIFS('Support - Transition'!F:F,'Support - Transition'!B:B,'Step 2'!A271,'Support - Transition'!C:C,'Step 2'!B271,'Support - Transition'!D:D,'Step 2'!C271,'Support - Transition'!E:E,"FIRE")</f>
        <v>0</v>
      </c>
      <c r="I271" s="126">
        <f>IF(B271="0",SUMIFS('Support - Transition'!F:F,'Support - Transition'!J:J,'Step 2'!D271,'Support - Transition'!E:E,"STATE UNIT"),SUMIFS('Support - Transition'!F:F,'Support - Transition'!J:J,'Step 2'!D271))</f>
        <v>6.9620000000000003E-3</v>
      </c>
      <c r="J271" s="126">
        <f>SUMIFS('Support - Unit Adjustments'!E:E,'Support - Unit Adjustments'!F:F,'Step 2'!D271)</f>
        <v>0</v>
      </c>
      <c r="K271" s="126">
        <f t="shared" si="79"/>
        <v>6.9620000000000003E-3</v>
      </c>
      <c r="L271" s="174">
        <f>VLOOKUP(A271,'Step 1'!$A:$E,4,FALSE)</f>
        <v>1494199</v>
      </c>
      <c r="M271" s="47">
        <f t="shared" si="80"/>
        <v>10403</v>
      </c>
      <c r="N271" s="177">
        <f>SUMIFS('Support - Transition'!G:G,'Support - Transition'!J:J,'Step 2'!D271,'Support - Transition'!E:E,"2009 WELFARE ALLOCATION FACTOR")</f>
        <v>0</v>
      </c>
      <c r="O271" s="152">
        <f t="shared" si="85"/>
        <v>0</v>
      </c>
      <c r="P271" s="126">
        <f>IF(E271="Y",0,SUMIFS('Support - Transition'!G:G,'Support - Transition'!J:J,'Step 2'!D271,'Support - Transition'!E:E,"2009 SCHOOL ALLOCATION FACTOR"))</f>
        <v>0</v>
      </c>
      <c r="Q271" s="126">
        <f>IF(E271="Y",VLOOKUP(D271,'Support - Unit Adjustments'!F:G,2,FALSE),0)</f>
        <v>0</v>
      </c>
      <c r="R271" s="155">
        <f t="shared" si="98"/>
        <v>0</v>
      </c>
      <c r="S271" s="47">
        <f t="shared" si="97"/>
        <v>0</v>
      </c>
      <c r="T271" s="151">
        <f t="shared" si="81"/>
        <v>10403</v>
      </c>
      <c r="U271" s="151">
        <f t="shared" si="82"/>
        <v>0</v>
      </c>
      <c r="V271" s="139">
        <f t="shared" si="83"/>
        <v>0</v>
      </c>
      <c r="W271" s="152">
        <f t="shared" si="87"/>
        <v>10403</v>
      </c>
      <c r="X271" s="127" t="str">
        <f t="shared" si="84"/>
        <v/>
      </c>
      <c r="Y271" s="207">
        <f t="shared" si="88"/>
        <v>10403</v>
      </c>
      <c r="Z271" s="139">
        <f t="shared" si="89"/>
        <v>10403</v>
      </c>
      <c r="AA271" s="139">
        <f t="shared" si="90"/>
        <v>0</v>
      </c>
      <c r="AC271" s="47">
        <f t="shared" si="91"/>
        <v>5202</v>
      </c>
      <c r="AD271" s="47">
        <f t="shared" si="92"/>
        <v>5202</v>
      </c>
      <c r="AE271" s="47">
        <f t="shared" si="93"/>
        <v>0</v>
      </c>
      <c r="AG271" s="47">
        <f t="shared" si="94"/>
        <v>5201</v>
      </c>
      <c r="AH271" s="47">
        <f t="shared" si="95"/>
        <v>5201</v>
      </c>
      <c r="AI271" s="208">
        <f t="shared" si="96"/>
        <v>0</v>
      </c>
    </row>
    <row r="272" spans="1:35">
      <c r="A272" t="s">
        <v>2098</v>
      </c>
      <c r="B272" t="s">
        <v>3170</v>
      </c>
      <c r="C272" t="s">
        <v>3461</v>
      </c>
      <c r="D272" t="s">
        <v>3462</v>
      </c>
      <c r="F272" t="s">
        <v>242</v>
      </c>
      <c r="G272" s="126">
        <f>SUMIFS('Support - Transition'!F:F,'Support - Transition'!B:B,'Step 2'!A272,'Support - Transition'!C:C,'Step 2'!B272,'Support - Transition'!D:D,'Step 2'!C272,'Support - Transition'!E:E,"CIVIL")</f>
        <v>0</v>
      </c>
      <c r="H272" s="126">
        <f>SUMIFS('Support - Transition'!F:F,'Support - Transition'!B:B,'Step 2'!A272,'Support - Transition'!C:C,'Step 2'!B272,'Support - Transition'!D:D,'Step 2'!C272,'Support - Transition'!E:E,"FIRE")</f>
        <v>0</v>
      </c>
      <c r="I272" s="126">
        <f>IF(B272="0",SUMIFS('Support - Transition'!F:F,'Support - Transition'!J:J,'Step 2'!D272,'Support - Transition'!E:E,"STATE UNIT"),SUMIFS('Support - Transition'!F:F,'Support - Transition'!J:J,'Step 2'!D272))</f>
        <v>1.8E-5</v>
      </c>
      <c r="J272" s="126">
        <f>SUMIFS('Support - Unit Adjustments'!E:E,'Support - Unit Adjustments'!F:F,'Step 2'!D272)</f>
        <v>0</v>
      </c>
      <c r="K272" s="126">
        <f t="shared" si="79"/>
        <v>1.8E-5</v>
      </c>
      <c r="L272" s="174">
        <f>VLOOKUP(A272,'Step 1'!$A:$E,4,FALSE)</f>
        <v>1494199</v>
      </c>
      <c r="M272" s="47">
        <f t="shared" si="80"/>
        <v>27</v>
      </c>
      <c r="N272" s="177">
        <f>SUMIFS('Support - Transition'!G:G,'Support - Transition'!J:J,'Step 2'!D272,'Support - Transition'!E:E,"2009 WELFARE ALLOCATION FACTOR")</f>
        <v>0</v>
      </c>
      <c r="O272" s="152">
        <f t="shared" si="85"/>
        <v>0</v>
      </c>
      <c r="P272" s="126">
        <f>IF(E272="Y",0,SUMIFS('Support - Transition'!G:G,'Support - Transition'!J:J,'Step 2'!D272,'Support - Transition'!E:E,"2009 SCHOOL ALLOCATION FACTOR"))</f>
        <v>0</v>
      </c>
      <c r="Q272" s="126">
        <f>IF(E272="Y",VLOOKUP(D272,'Support - Unit Adjustments'!F:G,2,FALSE),0)</f>
        <v>0</v>
      </c>
      <c r="R272" s="155">
        <f t="shared" si="98"/>
        <v>0</v>
      </c>
      <c r="S272" s="47">
        <f t="shared" si="97"/>
        <v>0</v>
      </c>
      <c r="T272" s="151">
        <f t="shared" si="81"/>
        <v>27</v>
      </c>
      <c r="U272" s="151">
        <f t="shared" si="82"/>
        <v>0</v>
      </c>
      <c r="V272" s="139">
        <f t="shared" si="83"/>
        <v>0</v>
      </c>
      <c r="W272" s="152">
        <f t="shared" si="87"/>
        <v>27</v>
      </c>
      <c r="X272" s="127" t="str">
        <f t="shared" si="84"/>
        <v/>
      </c>
      <c r="Y272" s="207">
        <f t="shared" si="88"/>
        <v>27</v>
      </c>
      <c r="Z272" s="139">
        <f t="shared" si="89"/>
        <v>27</v>
      </c>
      <c r="AA272" s="139">
        <f t="shared" si="90"/>
        <v>0</v>
      </c>
      <c r="AC272" s="47">
        <f t="shared" si="91"/>
        <v>14</v>
      </c>
      <c r="AD272" s="47">
        <f t="shared" si="92"/>
        <v>14</v>
      </c>
      <c r="AE272" s="47">
        <f t="shared" si="93"/>
        <v>0</v>
      </c>
      <c r="AG272" s="47">
        <f t="shared" si="94"/>
        <v>13</v>
      </c>
      <c r="AH272" s="47">
        <f t="shared" si="95"/>
        <v>13</v>
      </c>
      <c r="AI272" s="208">
        <f t="shared" si="96"/>
        <v>0</v>
      </c>
    </row>
    <row r="273" spans="1:35">
      <c r="A273" t="s">
        <v>2098</v>
      </c>
      <c r="B273" t="s">
        <v>3170</v>
      </c>
      <c r="C273" t="s">
        <v>3463</v>
      </c>
      <c r="D273" t="s">
        <v>3464</v>
      </c>
      <c r="F273" t="s">
        <v>245</v>
      </c>
      <c r="G273" s="126">
        <f>SUMIFS('Support - Transition'!F:F,'Support - Transition'!B:B,'Step 2'!A273,'Support - Transition'!C:C,'Step 2'!B273,'Support - Transition'!D:D,'Step 2'!C273,'Support - Transition'!E:E,"CIVIL")</f>
        <v>0</v>
      </c>
      <c r="H273" s="126">
        <f>SUMIFS('Support - Transition'!F:F,'Support - Transition'!B:B,'Step 2'!A273,'Support - Transition'!C:C,'Step 2'!B273,'Support - Transition'!D:D,'Step 2'!C273,'Support - Transition'!E:E,"FIRE")</f>
        <v>0</v>
      </c>
      <c r="I273" s="126">
        <f>IF(B273="0",SUMIFS('Support - Transition'!F:F,'Support - Transition'!J:J,'Step 2'!D273,'Support - Transition'!E:E,"STATE UNIT"),SUMIFS('Support - Transition'!F:F,'Support - Transition'!J:J,'Step 2'!D273))</f>
        <v>1.2E-4</v>
      </c>
      <c r="J273" s="126">
        <f>SUMIFS('Support - Unit Adjustments'!E:E,'Support - Unit Adjustments'!F:F,'Step 2'!D273)</f>
        <v>0</v>
      </c>
      <c r="K273" s="126">
        <f t="shared" si="79"/>
        <v>1.2E-4</v>
      </c>
      <c r="L273" s="174">
        <f>VLOOKUP(A273,'Step 1'!$A:$E,4,FALSE)</f>
        <v>1494199</v>
      </c>
      <c r="M273" s="47">
        <f t="shared" si="80"/>
        <v>179</v>
      </c>
      <c r="N273" s="177">
        <f>SUMIFS('Support - Transition'!G:G,'Support - Transition'!J:J,'Step 2'!D273,'Support - Transition'!E:E,"2009 WELFARE ALLOCATION FACTOR")</f>
        <v>0</v>
      </c>
      <c r="O273" s="152">
        <f t="shared" si="85"/>
        <v>0</v>
      </c>
      <c r="P273" s="126">
        <f>IF(E273="Y",0,SUMIFS('Support - Transition'!G:G,'Support - Transition'!J:J,'Step 2'!D273,'Support - Transition'!E:E,"2009 SCHOOL ALLOCATION FACTOR"))</f>
        <v>0</v>
      </c>
      <c r="Q273" s="126">
        <f>IF(E273="Y",VLOOKUP(D273,'Support - Unit Adjustments'!F:G,2,FALSE),0)</f>
        <v>0</v>
      </c>
      <c r="R273" s="155">
        <f t="shared" si="98"/>
        <v>0</v>
      </c>
      <c r="S273" s="47">
        <f t="shared" si="97"/>
        <v>0</v>
      </c>
      <c r="T273" s="151">
        <f t="shared" si="81"/>
        <v>179</v>
      </c>
      <c r="U273" s="151">
        <f t="shared" si="82"/>
        <v>0</v>
      </c>
      <c r="V273" s="139">
        <f t="shared" si="83"/>
        <v>0</v>
      </c>
      <c r="W273" s="152">
        <f t="shared" si="87"/>
        <v>179</v>
      </c>
      <c r="X273" s="127" t="str">
        <f t="shared" si="84"/>
        <v/>
      </c>
      <c r="Y273" s="207">
        <f t="shared" si="88"/>
        <v>179</v>
      </c>
      <c r="Z273" s="139">
        <f t="shared" si="89"/>
        <v>179</v>
      </c>
      <c r="AA273" s="139">
        <f t="shared" si="90"/>
        <v>0</v>
      </c>
      <c r="AC273" s="47">
        <f t="shared" si="91"/>
        <v>90</v>
      </c>
      <c r="AD273" s="47">
        <f t="shared" si="92"/>
        <v>90</v>
      </c>
      <c r="AE273" s="47">
        <f t="shared" si="93"/>
        <v>0</v>
      </c>
      <c r="AG273" s="47">
        <f t="shared" si="94"/>
        <v>89</v>
      </c>
      <c r="AH273" s="47">
        <f t="shared" si="95"/>
        <v>89</v>
      </c>
      <c r="AI273" s="208">
        <f t="shared" si="96"/>
        <v>0</v>
      </c>
    </row>
    <row r="274" spans="1:35">
      <c r="A274" t="s">
        <v>2098</v>
      </c>
      <c r="B274" t="s">
        <v>3170</v>
      </c>
      <c r="C274" t="s">
        <v>3465</v>
      </c>
      <c r="D274" t="s">
        <v>3466</v>
      </c>
      <c r="F274" t="s">
        <v>243</v>
      </c>
      <c r="G274" s="126">
        <f>SUMIFS('Support - Transition'!F:F,'Support - Transition'!B:B,'Step 2'!A274,'Support - Transition'!C:C,'Step 2'!B274,'Support - Transition'!D:D,'Step 2'!C274,'Support - Transition'!E:E,"CIVIL")</f>
        <v>0</v>
      </c>
      <c r="H274" s="126">
        <f>SUMIFS('Support - Transition'!F:F,'Support - Transition'!B:B,'Step 2'!A274,'Support - Transition'!C:C,'Step 2'!B274,'Support - Transition'!D:D,'Step 2'!C274,'Support - Transition'!E:E,"FIRE")</f>
        <v>0</v>
      </c>
      <c r="I274" s="126">
        <f>IF(B274="0",SUMIFS('Support - Transition'!F:F,'Support - Transition'!J:J,'Step 2'!D274,'Support - Transition'!E:E,"STATE UNIT"),SUMIFS('Support - Transition'!F:F,'Support - Transition'!J:J,'Step 2'!D274))</f>
        <v>1.08E-4</v>
      </c>
      <c r="J274" s="126">
        <f>SUMIFS('Support - Unit Adjustments'!E:E,'Support - Unit Adjustments'!F:F,'Step 2'!D274)</f>
        <v>0</v>
      </c>
      <c r="K274" s="126">
        <f t="shared" si="79"/>
        <v>1.08E-4</v>
      </c>
      <c r="L274" s="174">
        <f>VLOOKUP(A274,'Step 1'!$A:$E,4,FALSE)</f>
        <v>1494199</v>
      </c>
      <c r="M274" s="47">
        <f t="shared" si="80"/>
        <v>161</v>
      </c>
      <c r="N274" s="177">
        <f>SUMIFS('Support - Transition'!G:G,'Support - Transition'!J:J,'Step 2'!D274,'Support - Transition'!E:E,"2009 WELFARE ALLOCATION FACTOR")</f>
        <v>0</v>
      </c>
      <c r="O274" s="152">
        <f t="shared" si="85"/>
        <v>0</v>
      </c>
      <c r="P274" s="126">
        <f>IF(E274="Y",0,SUMIFS('Support - Transition'!G:G,'Support - Transition'!J:J,'Step 2'!D274,'Support - Transition'!E:E,"2009 SCHOOL ALLOCATION FACTOR"))</f>
        <v>0</v>
      </c>
      <c r="Q274" s="126">
        <f>IF(E274="Y",VLOOKUP(D274,'Support - Unit Adjustments'!F:G,2,FALSE),0)</f>
        <v>0</v>
      </c>
      <c r="R274" s="155">
        <f t="shared" si="98"/>
        <v>0</v>
      </c>
      <c r="S274" s="47">
        <f t="shared" si="97"/>
        <v>0</v>
      </c>
      <c r="T274" s="151">
        <f t="shared" si="81"/>
        <v>161</v>
      </c>
      <c r="U274" s="151">
        <f t="shared" si="82"/>
        <v>0</v>
      </c>
      <c r="V274" s="139">
        <f t="shared" si="83"/>
        <v>0</v>
      </c>
      <c r="W274" s="152">
        <f t="shared" si="87"/>
        <v>161</v>
      </c>
      <c r="X274" s="127" t="str">
        <f t="shared" si="84"/>
        <v/>
      </c>
      <c r="Y274" s="207">
        <f t="shared" si="88"/>
        <v>161</v>
      </c>
      <c r="Z274" s="139">
        <f t="shared" si="89"/>
        <v>161</v>
      </c>
      <c r="AA274" s="139">
        <f t="shared" si="90"/>
        <v>0</v>
      </c>
      <c r="AC274" s="47">
        <f t="shared" si="91"/>
        <v>81</v>
      </c>
      <c r="AD274" s="47">
        <f t="shared" si="92"/>
        <v>81</v>
      </c>
      <c r="AE274" s="47">
        <f t="shared" si="93"/>
        <v>0</v>
      </c>
      <c r="AG274" s="47">
        <f t="shared" si="94"/>
        <v>80</v>
      </c>
      <c r="AH274" s="47">
        <f t="shared" si="95"/>
        <v>80</v>
      </c>
      <c r="AI274" s="208">
        <f t="shared" si="96"/>
        <v>0</v>
      </c>
    </row>
    <row r="275" spans="1:35">
      <c r="A275" t="s">
        <v>2098</v>
      </c>
      <c r="B275" t="s">
        <v>3170</v>
      </c>
      <c r="C275" t="s">
        <v>3467</v>
      </c>
      <c r="D275" t="s">
        <v>3468</v>
      </c>
      <c r="F275" t="s">
        <v>240</v>
      </c>
      <c r="G275" s="126">
        <f>SUMIFS('Support - Transition'!F:F,'Support - Transition'!B:B,'Step 2'!A275,'Support - Transition'!C:C,'Step 2'!B275,'Support - Transition'!D:D,'Step 2'!C275,'Support - Transition'!E:E,"CIVIL")</f>
        <v>0</v>
      </c>
      <c r="H275" s="126">
        <f>SUMIFS('Support - Transition'!F:F,'Support - Transition'!B:B,'Step 2'!A275,'Support - Transition'!C:C,'Step 2'!B275,'Support - Transition'!D:D,'Step 2'!C275,'Support - Transition'!E:E,"FIRE")</f>
        <v>0</v>
      </c>
      <c r="I275" s="126">
        <f>IF(B275="0",SUMIFS('Support - Transition'!F:F,'Support - Transition'!J:J,'Step 2'!D275,'Support - Transition'!E:E,"STATE UNIT"),SUMIFS('Support - Transition'!F:F,'Support - Transition'!J:J,'Step 2'!D275))</f>
        <v>0</v>
      </c>
      <c r="J275" s="126">
        <f>SUMIFS('Support - Unit Adjustments'!E:E,'Support - Unit Adjustments'!F:F,'Step 2'!D275)</f>
        <v>0</v>
      </c>
      <c r="K275" s="126">
        <f t="shared" si="79"/>
        <v>0</v>
      </c>
      <c r="L275" s="174">
        <f>VLOOKUP(A275,'Step 1'!$A:$E,4,FALSE)</f>
        <v>1494199</v>
      </c>
      <c r="M275" s="47">
        <f t="shared" si="80"/>
        <v>0</v>
      </c>
      <c r="N275" s="177">
        <f>SUMIFS('Support - Transition'!G:G,'Support - Transition'!J:J,'Step 2'!D275,'Support - Transition'!E:E,"2009 WELFARE ALLOCATION FACTOR")</f>
        <v>0</v>
      </c>
      <c r="O275" s="152">
        <f t="shared" si="85"/>
        <v>0</v>
      </c>
      <c r="P275" s="126">
        <f>IF(E275="Y",0,SUMIFS('Support - Transition'!G:G,'Support - Transition'!J:J,'Step 2'!D275,'Support - Transition'!E:E,"2009 SCHOOL ALLOCATION FACTOR"))</f>
        <v>0</v>
      </c>
      <c r="Q275" s="126">
        <f>IF(E275="Y",VLOOKUP(D275,'Support - Unit Adjustments'!F:G,2,FALSE),0)</f>
        <v>0</v>
      </c>
      <c r="R275" s="155">
        <f t="shared" si="98"/>
        <v>0</v>
      </c>
      <c r="S275" s="47">
        <f t="shared" si="97"/>
        <v>0</v>
      </c>
      <c r="T275" s="151">
        <f t="shared" si="81"/>
        <v>0</v>
      </c>
      <c r="U275" s="151">
        <f t="shared" si="82"/>
        <v>0</v>
      </c>
      <c r="V275" s="139">
        <f t="shared" si="83"/>
        <v>0</v>
      </c>
      <c r="W275" s="152">
        <f t="shared" si="87"/>
        <v>0</v>
      </c>
      <c r="X275" s="127" t="str">
        <f t="shared" si="84"/>
        <v/>
      </c>
      <c r="Y275" s="207">
        <f t="shared" si="88"/>
        <v>0</v>
      </c>
      <c r="Z275" s="139">
        <f t="shared" si="89"/>
        <v>0</v>
      </c>
      <c r="AA275" s="139">
        <f t="shared" si="90"/>
        <v>0</v>
      </c>
      <c r="AC275" s="47">
        <f t="shared" si="91"/>
        <v>0</v>
      </c>
      <c r="AD275" s="47">
        <f t="shared" si="92"/>
        <v>0</v>
      </c>
      <c r="AE275" s="47">
        <f t="shared" si="93"/>
        <v>0</v>
      </c>
      <c r="AG275" s="47">
        <f t="shared" si="94"/>
        <v>0</v>
      </c>
      <c r="AH275" s="47">
        <f t="shared" si="95"/>
        <v>0</v>
      </c>
      <c r="AI275" s="208">
        <f t="shared" si="96"/>
        <v>0</v>
      </c>
    </row>
    <row r="276" spans="1:35">
      <c r="A276" t="s">
        <v>2098</v>
      </c>
      <c r="B276" t="s">
        <v>3286</v>
      </c>
      <c r="C276" t="s">
        <v>2191</v>
      </c>
      <c r="D276" t="s">
        <v>3469</v>
      </c>
      <c r="F276" t="s">
        <v>3470</v>
      </c>
      <c r="G276" s="126">
        <f>SUMIFS('Support - Transition'!F:F,'Support - Transition'!B:B,'Step 2'!A276,'Support - Transition'!C:C,'Step 2'!B276,'Support - Transition'!D:D,'Step 2'!C276,'Support - Transition'!E:E,"CIVIL")</f>
        <v>0</v>
      </c>
      <c r="H276" s="126">
        <f>SUMIFS('Support - Transition'!F:F,'Support - Transition'!B:B,'Step 2'!A276,'Support - Transition'!C:C,'Step 2'!B276,'Support - Transition'!D:D,'Step 2'!C276,'Support - Transition'!E:E,"FIRE")</f>
        <v>0</v>
      </c>
      <c r="I276" s="126">
        <f>IF(B276="0",SUMIFS('Support - Transition'!F:F,'Support - Transition'!J:J,'Step 2'!D276,'Support - Transition'!E:E,"STATE UNIT"),SUMIFS('Support - Transition'!F:F,'Support - Transition'!J:J,'Step 2'!D276))</f>
        <v>0</v>
      </c>
      <c r="J276" s="126">
        <f>SUMIFS('Support - Unit Adjustments'!E:E,'Support - Unit Adjustments'!F:F,'Step 2'!D276)</f>
        <v>0</v>
      </c>
      <c r="K276" s="126">
        <f t="shared" si="79"/>
        <v>0</v>
      </c>
      <c r="L276" s="174">
        <f>VLOOKUP(A276,'Step 1'!$A:$E,4,FALSE)</f>
        <v>1494199</v>
      </c>
      <c r="M276" s="47">
        <f t="shared" si="80"/>
        <v>0</v>
      </c>
      <c r="N276" s="177">
        <f>SUMIFS('Support - Transition'!G:G,'Support - Transition'!J:J,'Step 2'!D276,'Support - Transition'!E:E,"2009 WELFARE ALLOCATION FACTOR")</f>
        <v>0</v>
      </c>
      <c r="O276" s="152">
        <f t="shared" si="85"/>
        <v>0</v>
      </c>
      <c r="P276" s="126">
        <f>IF(E276="Y",0,SUMIFS('Support - Transition'!G:G,'Support - Transition'!J:J,'Step 2'!D276,'Support - Transition'!E:E,"2009 SCHOOL ALLOCATION FACTOR"))</f>
        <v>0</v>
      </c>
      <c r="Q276" s="126">
        <f>IF(E276="Y",VLOOKUP(D276,'Support - Unit Adjustments'!F:G,2,FALSE),0)</f>
        <v>0</v>
      </c>
      <c r="R276" s="155">
        <f t="shared" si="98"/>
        <v>0</v>
      </c>
      <c r="S276" s="47">
        <f t="shared" si="97"/>
        <v>0</v>
      </c>
      <c r="T276" s="151">
        <f t="shared" si="81"/>
        <v>0</v>
      </c>
      <c r="U276" s="151">
        <f t="shared" si="82"/>
        <v>0</v>
      </c>
      <c r="V276" s="139">
        <f t="shared" si="83"/>
        <v>0</v>
      </c>
      <c r="W276" s="152">
        <f t="shared" si="87"/>
        <v>0</v>
      </c>
      <c r="X276" s="127" t="str">
        <f t="shared" si="84"/>
        <v/>
      </c>
      <c r="Y276" s="207">
        <f t="shared" si="88"/>
        <v>0</v>
      </c>
      <c r="Z276" s="139">
        <f t="shared" si="89"/>
        <v>0</v>
      </c>
      <c r="AA276" s="139">
        <f t="shared" si="90"/>
        <v>0</v>
      </c>
      <c r="AC276" s="47">
        <f t="shared" si="91"/>
        <v>0</v>
      </c>
      <c r="AD276" s="47">
        <f t="shared" si="92"/>
        <v>0</v>
      </c>
      <c r="AE276" s="47">
        <f t="shared" si="93"/>
        <v>0</v>
      </c>
      <c r="AG276" s="47">
        <f t="shared" si="94"/>
        <v>0</v>
      </c>
      <c r="AH276" s="47">
        <f t="shared" si="95"/>
        <v>0</v>
      </c>
      <c r="AI276" s="208">
        <f t="shared" si="96"/>
        <v>0</v>
      </c>
    </row>
    <row r="277" spans="1:35">
      <c r="A277" t="s">
        <v>2098</v>
      </c>
      <c r="B277" t="s">
        <v>3286</v>
      </c>
      <c r="C277" t="s">
        <v>2301</v>
      </c>
      <c r="D277" t="s">
        <v>3471</v>
      </c>
      <c r="F277" t="s">
        <v>3472</v>
      </c>
      <c r="G277" s="126">
        <f>SUMIFS('Support - Transition'!F:F,'Support - Transition'!B:B,'Step 2'!A277,'Support - Transition'!C:C,'Step 2'!B277,'Support - Transition'!D:D,'Step 2'!C277,'Support - Transition'!E:E,"CIVIL")</f>
        <v>0</v>
      </c>
      <c r="H277" s="126">
        <f>SUMIFS('Support - Transition'!F:F,'Support - Transition'!B:B,'Step 2'!A277,'Support - Transition'!C:C,'Step 2'!B277,'Support - Transition'!D:D,'Step 2'!C277,'Support - Transition'!E:E,"FIRE")</f>
        <v>0</v>
      </c>
      <c r="I277" s="126">
        <f>IF(B277="0",SUMIFS('Support - Transition'!F:F,'Support - Transition'!J:J,'Step 2'!D277,'Support - Transition'!E:E,"STATE UNIT"),SUMIFS('Support - Transition'!F:F,'Support - Transition'!J:J,'Step 2'!D277))</f>
        <v>0</v>
      </c>
      <c r="J277" s="126">
        <f>SUMIFS('Support - Unit Adjustments'!E:E,'Support - Unit Adjustments'!F:F,'Step 2'!D277)</f>
        <v>0</v>
      </c>
      <c r="K277" s="126">
        <f t="shared" si="79"/>
        <v>0</v>
      </c>
      <c r="L277" s="174">
        <f>VLOOKUP(A277,'Step 1'!$A:$E,4,FALSE)</f>
        <v>1494199</v>
      </c>
      <c r="M277" s="47">
        <f t="shared" si="80"/>
        <v>0</v>
      </c>
      <c r="N277" s="177">
        <f>SUMIFS('Support - Transition'!G:G,'Support - Transition'!J:J,'Step 2'!D277,'Support - Transition'!E:E,"2009 WELFARE ALLOCATION FACTOR")</f>
        <v>0</v>
      </c>
      <c r="O277" s="152">
        <f t="shared" si="85"/>
        <v>0</v>
      </c>
      <c r="P277" s="126">
        <f>IF(E277="Y",0,SUMIFS('Support - Transition'!G:G,'Support - Transition'!J:J,'Step 2'!D277,'Support - Transition'!E:E,"2009 SCHOOL ALLOCATION FACTOR"))</f>
        <v>0</v>
      </c>
      <c r="Q277" s="126">
        <f>IF(E277="Y",VLOOKUP(D277,'Support - Unit Adjustments'!F:G,2,FALSE),0)</f>
        <v>0</v>
      </c>
      <c r="R277" s="155">
        <f t="shared" si="98"/>
        <v>0</v>
      </c>
      <c r="S277" s="47">
        <f t="shared" si="97"/>
        <v>0</v>
      </c>
      <c r="T277" s="151">
        <f t="shared" si="81"/>
        <v>0</v>
      </c>
      <c r="U277" s="151">
        <f t="shared" si="82"/>
        <v>0</v>
      </c>
      <c r="V277" s="139">
        <f t="shared" si="83"/>
        <v>0</v>
      </c>
      <c r="W277" s="152">
        <f t="shared" si="87"/>
        <v>0</v>
      </c>
      <c r="X277" s="127" t="str">
        <f t="shared" si="84"/>
        <v/>
      </c>
      <c r="Y277" s="207">
        <f t="shared" si="88"/>
        <v>0</v>
      </c>
      <c r="Z277" s="139">
        <f t="shared" si="89"/>
        <v>0</v>
      </c>
      <c r="AA277" s="139">
        <f t="shared" si="90"/>
        <v>0</v>
      </c>
      <c r="AC277" s="47">
        <f t="shared" si="91"/>
        <v>0</v>
      </c>
      <c r="AD277" s="47">
        <f t="shared" si="92"/>
        <v>0</v>
      </c>
      <c r="AE277" s="47">
        <f t="shared" si="93"/>
        <v>0</v>
      </c>
      <c r="AG277" s="47">
        <f t="shared" si="94"/>
        <v>0</v>
      </c>
      <c r="AH277" s="47">
        <f t="shared" si="95"/>
        <v>0</v>
      </c>
      <c r="AI277" s="208">
        <f t="shared" si="96"/>
        <v>0</v>
      </c>
    </row>
    <row r="278" spans="1:35">
      <c r="A278" t="s">
        <v>2099</v>
      </c>
      <c r="B278" s="48" t="s">
        <v>6274</v>
      </c>
      <c r="C278" t="s">
        <v>2187</v>
      </c>
      <c r="D278" t="str">
        <f>A278&amp;B278&amp;C278</f>
        <v>1100000</v>
      </c>
      <c r="F278" t="s">
        <v>6285</v>
      </c>
      <c r="G278" s="126">
        <f>SUMIFS('Support - Transition'!F:F,'Support - Transition'!B:B,'Step 2'!A278,'Support - Transition'!C:C,'Step 2'!B278,'Support - Transition'!D:D,'Step 2'!C278,'Support - Transition'!E:E,"CIVIL")</f>
        <v>0</v>
      </c>
      <c r="H278" s="126">
        <f>SUMIFS('Support - Transition'!F:F,'Support - Transition'!B:B,'Step 2'!A278,'Support - Transition'!C:C,'Step 2'!B278,'Support - Transition'!D:D,'Step 2'!C278,'Support - Transition'!E:E,"FIRE")</f>
        <v>0</v>
      </c>
      <c r="I278" s="126">
        <f>IF(B278="0",SUMIFS('Support - Transition'!F:F,'Support - Transition'!J:J,'Step 2'!D278,'Support - Transition'!E:E,"STATE UNIT"),SUMIFS('Support - Transition'!F:F,'Support - Transition'!J:J,'Step 2'!D278))</f>
        <v>1.325E-3</v>
      </c>
      <c r="J278" s="126">
        <f>SUMIFS('Support - Unit Adjustments'!E:E,'Support - Unit Adjustments'!F:F,'Step 2'!D278)</f>
        <v>0</v>
      </c>
      <c r="K278" s="126">
        <f t="shared" si="79"/>
        <v>1.325E-3</v>
      </c>
      <c r="L278" s="174">
        <f>VLOOKUP(A278,'Step 1'!$A:$E,4,FALSE)</f>
        <v>250440</v>
      </c>
      <c r="M278" s="47">
        <f t="shared" si="80"/>
        <v>332</v>
      </c>
      <c r="N278" s="177">
        <f>SUMIFS('Support - Transition'!G:G,'Support - Transition'!J:J,'Step 2'!D278,'Support - Transition'!E:E,"2009 WELFARE ALLOCATION FACTOR")</f>
        <v>0</v>
      </c>
      <c r="O278" s="152">
        <f t="shared" si="85"/>
        <v>0</v>
      </c>
      <c r="P278" s="126">
        <f>IF(E278="Y",0,SUMIFS('Support - Transition'!G:G,'Support - Transition'!J:J,'Step 2'!D278,'Support - Transition'!E:E,"2009 SCHOOL ALLOCATION FACTOR"))</f>
        <v>0</v>
      </c>
      <c r="Q278" s="126">
        <f>IF(E278="Y",VLOOKUP(D278,'Support - Unit Adjustments'!F:G,2,FALSE),0)</f>
        <v>0</v>
      </c>
      <c r="R278" s="155">
        <f t="shared" si="98"/>
        <v>0</v>
      </c>
      <c r="S278" s="47">
        <f t="shared" si="97"/>
        <v>0</v>
      </c>
      <c r="T278" s="151">
        <f t="shared" si="81"/>
        <v>332</v>
      </c>
      <c r="U278" s="151">
        <f t="shared" si="82"/>
        <v>250440</v>
      </c>
      <c r="V278" s="139">
        <f t="shared" si="83"/>
        <v>0</v>
      </c>
      <c r="W278" s="152">
        <f t="shared" si="87"/>
        <v>332</v>
      </c>
      <c r="X278" s="127">
        <f t="shared" si="84"/>
        <v>0</v>
      </c>
      <c r="Y278" s="207">
        <f t="shared" si="88"/>
        <v>332</v>
      </c>
      <c r="Z278" s="139">
        <f t="shared" si="89"/>
        <v>332</v>
      </c>
      <c r="AA278" s="139">
        <f t="shared" si="90"/>
        <v>0</v>
      </c>
      <c r="AC278" s="47">
        <f t="shared" si="91"/>
        <v>166</v>
      </c>
      <c r="AD278" s="47">
        <f t="shared" si="92"/>
        <v>166</v>
      </c>
      <c r="AE278" s="47">
        <f t="shared" si="93"/>
        <v>0</v>
      </c>
      <c r="AG278" s="47">
        <f t="shared" si="94"/>
        <v>166</v>
      </c>
      <c r="AH278" s="47">
        <f t="shared" si="95"/>
        <v>166</v>
      </c>
      <c r="AI278" s="208">
        <f t="shared" si="96"/>
        <v>0</v>
      </c>
    </row>
    <row r="279" spans="1:35">
      <c r="A279" t="s">
        <v>2099</v>
      </c>
      <c r="B279" t="s">
        <v>3140</v>
      </c>
      <c r="C279" t="s">
        <v>2187</v>
      </c>
      <c r="D279" t="s">
        <v>3473</v>
      </c>
      <c r="F279" t="s">
        <v>247</v>
      </c>
      <c r="G279" s="126">
        <f>SUMIFS('Support - Transition'!F:F,'Support - Transition'!B:B,'Step 2'!A279,'Support - Transition'!C:C,'Step 2'!B279,'Support - Transition'!D:D,'Step 2'!C279,'Support - Transition'!E:E,"CIVIL")</f>
        <v>0</v>
      </c>
      <c r="H279" s="126">
        <f>SUMIFS('Support - Transition'!F:F,'Support - Transition'!B:B,'Step 2'!A279,'Support - Transition'!C:C,'Step 2'!B279,'Support - Transition'!D:D,'Step 2'!C279,'Support - Transition'!E:E,"FIRE")</f>
        <v>0</v>
      </c>
      <c r="I279" s="126">
        <f>IF(B279="0",SUMIFS('Support - Transition'!F:F,'Support - Transition'!J:J,'Step 2'!D279,'Support - Transition'!E:E,"STATE UNIT"),SUMIFS('Support - Transition'!F:F,'Support - Transition'!J:J,'Step 2'!D279))</f>
        <v>0.16377900000000001</v>
      </c>
      <c r="J279" s="126">
        <f>SUMIFS('Support - Unit Adjustments'!E:E,'Support - Unit Adjustments'!F:F,'Step 2'!D279)</f>
        <v>0</v>
      </c>
      <c r="K279" s="126">
        <f t="shared" si="79"/>
        <v>0.16377900000000001</v>
      </c>
      <c r="L279" s="174">
        <f>VLOOKUP(A279,'Step 1'!$A:$E,4,FALSE)</f>
        <v>250440</v>
      </c>
      <c r="M279" s="47">
        <f t="shared" si="80"/>
        <v>41017</v>
      </c>
      <c r="N279" s="177">
        <f>SUMIFS('Support - Transition'!G:G,'Support - Transition'!J:J,'Step 2'!D279,'Support - Transition'!E:E,"2009 WELFARE ALLOCATION FACTOR")</f>
        <v>0.109068</v>
      </c>
      <c r="O279" s="152">
        <f t="shared" si="85"/>
        <v>4474</v>
      </c>
      <c r="P279" s="126">
        <f>IF(E279="Y",0,SUMIFS('Support - Transition'!G:G,'Support - Transition'!J:J,'Step 2'!D279,'Support - Transition'!E:E,"2009 SCHOOL ALLOCATION FACTOR"))</f>
        <v>0</v>
      </c>
      <c r="Q279" s="126">
        <f>IF(E279="Y",VLOOKUP(D279,'Support - Unit Adjustments'!F:G,2,FALSE),0)</f>
        <v>0</v>
      </c>
      <c r="R279" s="155">
        <f t="shared" si="98"/>
        <v>0</v>
      </c>
      <c r="S279" s="47">
        <f t="shared" si="97"/>
        <v>0</v>
      </c>
      <c r="T279" s="151">
        <f t="shared" si="81"/>
        <v>36543</v>
      </c>
      <c r="U279" s="151">
        <f t="shared" si="82"/>
        <v>0</v>
      </c>
      <c r="V279" s="139">
        <f t="shared" si="83"/>
        <v>0</v>
      </c>
      <c r="W279" s="152">
        <f t="shared" si="87"/>
        <v>36543</v>
      </c>
      <c r="X279" s="127" t="str">
        <f t="shared" si="84"/>
        <v/>
      </c>
      <c r="Y279" s="207">
        <f t="shared" si="88"/>
        <v>36543</v>
      </c>
      <c r="Z279" s="139">
        <f t="shared" si="89"/>
        <v>36543</v>
      </c>
      <c r="AA279" s="139">
        <f t="shared" si="90"/>
        <v>0</v>
      </c>
      <c r="AC279" s="47">
        <f t="shared" si="91"/>
        <v>18272</v>
      </c>
      <c r="AD279" s="47">
        <f t="shared" si="92"/>
        <v>18272</v>
      </c>
      <c r="AE279" s="47">
        <f t="shared" si="93"/>
        <v>0</v>
      </c>
      <c r="AG279" s="47">
        <f t="shared" si="94"/>
        <v>18271</v>
      </c>
      <c r="AH279" s="47">
        <f t="shared" si="95"/>
        <v>18271</v>
      </c>
      <c r="AI279" s="208">
        <f t="shared" si="96"/>
        <v>0</v>
      </c>
    </row>
    <row r="280" spans="1:35">
      <c r="A280" t="s">
        <v>2099</v>
      </c>
      <c r="B280" t="s">
        <v>3142</v>
      </c>
      <c r="C280" t="s">
        <v>2188</v>
      </c>
      <c r="D280" t="s">
        <v>3474</v>
      </c>
      <c r="F280" t="s">
        <v>248</v>
      </c>
      <c r="G280" s="126">
        <f>SUMIFS('Support - Transition'!F:F,'Support - Transition'!B:B,'Step 2'!A280,'Support - Transition'!C:C,'Step 2'!B280,'Support - Transition'!D:D,'Step 2'!C280,'Support - Transition'!E:E,"CIVIL")</f>
        <v>2.4710000000000001E-3</v>
      </c>
      <c r="H280" s="126">
        <f>SUMIFS('Support - Transition'!F:F,'Support - Transition'!B:B,'Step 2'!A280,'Support - Transition'!C:C,'Step 2'!B280,'Support - Transition'!D:D,'Step 2'!C280,'Support - Transition'!E:E,"FIRE")</f>
        <v>3.1300000000000002E-4</v>
      </c>
      <c r="I280" s="126">
        <f>IF(B280="0",SUMIFS('Support - Transition'!F:F,'Support - Transition'!J:J,'Step 2'!D280,'Support - Transition'!E:E,"STATE UNIT"),SUMIFS('Support - Transition'!F:F,'Support - Transition'!J:J,'Step 2'!D280))</f>
        <v>2.784E-3</v>
      </c>
      <c r="J280" s="126">
        <f>SUMIFS('Support - Unit Adjustments'!E:E,'Support - Unit Adjustments'!F:F,'Step 2'!D280)</f>
        <v>0</v>
      </c>
      <c r="K280" s="126">
        <f t="shared" si="79"/>
        <v>2.784E-3</v>
      </c>
      <c r="L280" s="174">
        <f>VLOOKUP(A280,'Step 1'!$A:$E,4,FALSE)</f>
        <v>250440</v>
      </c>
      <c r="M280" s="47">
        <f t="shared" si="80"/>
        <v>697</v>
      </c>
      <c r="N280" s="177">
        <f>SUMIFS('Support - Transition'!G:G,'Support - Transition'!J:J,'Step 2'!D280,'Support - Transition'!E:E,"2009 WELFARE ALLOCATION FACTOR")</f>
        <v>0</v>
      </c>
      <c r="O280" s="152">
        <f t="shared" si="85"/>
        <v>0</v>
      </c>
      <c r="P280" s="126">
        <f>IF(E280="Y",0,SUMIFS('Support - Transition'!G:G,'Support - Transition'!J:J,'Step 2'!D280,'Support - Transition'!E:E,"2009 SCHOOL ALLOCATION FACTOR"))</f>
        <v>0</v>
      </c>
      <c r="Q280" s="126">
        <f>IF(E280="Y",VLOOKUP(D280,'Support - Unit Adjustments'!F:G,2,FALSE),0)</f>
        <v>0</v>
      </c>
      <c r="R280" s="155">
        <f t="shared" si="98"/>
        <v>0</v>
      </c>
      <c r="S280" s="47">
        <f t="shared" si="97"/>
        <v>0</v>
      </c>
      <c r="T280" s="151">
        <f t="shared" si="81"/>
        <v>697</v>
      </c>
      <c r="U280" s="151">
        <f t="shared" si="82"/>
        <v>0</v>
      </c>
      <c r="V280" s="139">
        <f t="shared" si="83"/>
        <v>0</v>
      </c>
      <c r="W280" s="152">
        <f t="shared" si="87"/>
        <v>697</v>
      </c>
      <c r="X280" s="127" t="str">
        <f t="shared" si="84"/>
        <v/>
      </c>
      <c r="Y280" s="207">
        <f t="shared" si="88"/>
        <v>697</v>
      </c>
      <c r="Z280" s="139">
        <f t="shared" si="89"/>
        <v>619</v>
      </c>
      <c r="AA280" s="139">
        <f t="shared" si="90"/>
        <v>78</v>
      </c>
      <c r="AC280" s="47">
        <f t="shared" si="91"/>
        <v>349</v>
      </c>
      <c r="AD280" s="47">
        <f t="shared" si="92"/>
        <v>310</v>
      </c>
      <c r="AE280" s="47">
        <f t="shared" si="93"/>
        <v>39</v>
      </c>
      <c r="AG280" s="47">
        <f t="shared" si="94"/>
        <v>348</v>
      </c>
      <c r="AH280" s="47">
        <f t="shared" si="95"/>
        <v>309</v>
      </c>
      <c r="AI280" s="208">
        <f t="shared" si="96"/>
        <v>39</v>
      </c>
    </row>
    <row r="281" spans="1:35">
      <c r="A281" t="s">
        <v>2099</v>
      </c>
      <c r="B281" t="s">
        <v>3142</v>
      </c>
      <c r="C281" t="s">
        <v>2189</v>
      </c>
      <c r="D281" t="s">
        <v>3475</v>
      </c>
      <c r="F281" t="s">
        <v>249</v>
      </c>
      <c r="G281" s="126">
        <f>SUMIFS('Support - Transition'!F:F,'Support - Transition'!B:B,'Step 2'!A281,'Support - Transition'!C:C,'Step 2'!B281,'Support - Transition'!D:D,'Step 2'!C281,'Support - Transition'!E:E,"CIVIL")</f>
        <v>2.2599999999999999E-4</v>
      </c>
      <c r="H281" s="126">
        <f>SUMIFS('Support - Transition'!F:F,'Support - Transition'!B:B,'Step 2'!A281,'Support - Transition'!C:C,'Step 2'!B281,'Support - Transition'!D:D,'Step 2'!C281,'Support - Transition'!E:E,"FIRE")</f>
        <v>1.7799999999999999E-4</v>
      </c>
      <c r="I281" s="126">
        <f>IF(B281="0",SUMIFS('Support - Transition'!F:F,'Support - Transition'!J:J,'Step 2'!D281,'Support - Transition'!E:E,"STATE UNIT"),SUMIFS('Support - Transition'!F:F,'Support - Transition'!J:J,'Step 2'!D281))</f>
        <v>4.0399999999999995E-4</v>
      </c>
      <c r="J281" s="126">
        <f>SUMIFS('Support - Unit Adjustments'!E:E,'Support - Unit Adjustments'!F:F,'Step 2'!D281)</f>
        <v>0</v>
      </c>
      <c r="K281" s="126">
        <f t="shared" si="79"/>
        <v>4.0399999999999995E-4</v>
      </c>
      <c r="L281" s="174">
        <f>VLOOKUP(A281,'Step 1'!$A:$E,4,FALSE)</f>
        <v>250440</v>
      </c>
      <c r="M281" s="47">
        <f t="shared" si="80"/>
        <v>101</v>
      </c>
      <c r="N281" s="177">
        <f>SUMIFS('Support - Transition'!G:G,'Support - Transition'!J:J,'Step 2'!D281,'Support - Transition'!E:E,"2009 WELFARE ALLOCATION FACTOR")</f>
        <v>0</v>
      </c>
      <c r="O281" s="152">
        <f t="shared" si="85"/>
        <v>0</v>
      </c>
      <c r="P281" s="126">
        <f>IF(E281="Y",0,SUMIFS('Support - Transition'!G:G,'Support - Transition'!J:J,'Step 2'!D281,'Support - Transition'!E:E,"2009 SCHOOL ALLOCATION FACTOR"))</f>
        <v>0</v>
      </c>
      <c r="Q281" s="126">
        <f>IF(E281="Y",VLOOKUP(D281,'Support - Unit Adjustments'!F:G,2,FALSE),0)</f>
        <v>0</v>
      </c>
      <c r="R281" s="155">
        <f t="shared" si="98"/>
        <v>0</v>
      </c>
      <c r="S281" s="47">
        <f t="shared" si="97"/>
        <v>0</v>
      </c>
      <c r="T281" s="151">
        <f t="shared" si="81"/>
        <v>101</v>
      </c>
      <c r="U281" s="151">
        <f t="shared" si="82"/>
        <v>0</v>
      </c>
      <c r="V281" s="139">
        <f t="shared" si="83"/>
        <v>0</v>
      </c>
      <c r="W281" s="152">
        <f t="shared" si="87"/>
        <v>101</v>
      </c>
      <c r="X281" s="127" t="str">
        <f t="shared" si="84"/>
        <v/>
      </c>
      <c r="Y281" s="207">
        <f t="shared" si="88"/>
        <v>101</v>
      </c>
      <c r="Z281" s="139">
        <f t="shared" si="89"/>
        <v>57</v>
      </c>
      <c r="AA281" s="139">
        <f t="shared" si="90"/>
        <v>44</v>
      </c>
      <c r="AC281" s="47">
        <f t="shared" si="91"/>
        <v>51</v>
      </c>
      <c r="AD281" s="47">
        <f t="shared" si="92"/>
        <v>29</v>
      </c>
      <c r="AE281" s="47">
        <f t="shared" si="93"/>
        <v>22</v>
      </c>
      <c r="AG281" s="47">
        <f t="shared" si="94"/>
        <v>50</v>
      </c>
      <c r="AH281" s="47">
        <f t="shared" si="95"/>
        <v>28</v>
      </c>
      <c r="AI281" s="208">
        <f t="shared" si="96"/>
        <v>22</v>
      </c>
    </row>
    <row r="282" spans="1:35">
      <c r="A282" t="s">
        <v>2099</v>
      </c>
      <c r="B282" t="s">
        <v>3142</v>
      </c>
      <c r="C282" t="s">
        <v>2190</v>
      </c>
      <c r="D282" t="s">
        <v>3476</v>
      </c>
      <c r="F282" t="s">
        <v>250</v>
      </c>
      <c r="G282" s="126">
        <f>SUMIFS('Support - Transition'!F:F,'Support - Transition'!B:B,'Step 2'!A282,'Support - Transition'!C:C,'Step 2'!B282,'Support - Transition'!D:D,'Step 2'!C282,'Support - Transition'!E:E,"CIVIL")</f>
        <v>2.464E-3</v>
      </c>
      <c r="H282" s="126">
        <f>SUMIFS('Support - Transition'!F:F,'Support - Transition'!B:B,'Step 2'!A282,'Support - Transition'!C:C,'Step 2'!B282,'Support - Transition'!D:D,'Step 2'!C282,'Support - Transition'!E:E,"FIRE")</f>
        <v>2.3470000000000001E-3</v>
      </c>
      <c r="I282" s="126">
        <f>IF(B282="0",SUMIFS('Support - Transition'!F:F,'Support - Transition'!J:J,'Step 2'!D282,'Support - Transition'!E:E,"STATE UNIT"),SUMIFS('Support - Transition'!F:F,'Support - Transition'!J:J,'Step 2'!D282))</f>
        <v>4.8110000000000002E-3</v>
      </c>
      <c r="J282" s="126">
        <f>SUMIFS('Support - Unit Adjustments'!E:E,'Support - Unit Adjustments'!F:F,'Step 2'!D282)</f>
        <v>0</v>
      </c>
      <c r="K282" s="126">
        <f t="shared" si="79"/>
        <v>4.8110000000000002E-3</v>
      </c>
      <c r="L282" s="174">
        <f>VLOOKUP(A282,'Step 1'!$A:$E,4,FALSE)</f>
        <v>250440</v>
      </c>
      <c r="M282" s="47">
        <f t="shared" si="80"/>
        <v>1205</v>
      </c>
      <c r="N282" s="177">
        <f>SUMIFS('Support - Transition'!G:G,'Support - Transition'!J:J,'Step 2'!D282,'Support - Transition'!E:E,"2009 WELFARE ALLOCATION FACTOR")</f>
        <v>0</v>
      </c>
      <c r="O282" s="152">
        <f t="shared" si="85"/>
        <v>0</v>
      </c>
      <c r="P282" s="126">
        <f>IF(E282="Y",0,SUMIFS('Support - Transition'!G:G,'Support - Transition'!J:J,'Step 2'!D282,'Support - Transition'!E:E,"2009 SCHOOL ALLOCATION FACTOR"))</f>
        <v>0</v>
      </c>
      <c r="Q282" s="126">
        <f>IF(E282="Y",VLOOKUP(D282,'Support - Unit Adjustments'!F:G,2,FALSE),0)</f>
        <v>0</v>
      </c>
      <c r="R282" s="155">
        <f t="shared" si="98"/>
        <v>0</v>
      </c>
      <c r="S282" s="47">
        <f t="shared" si="97"/>
        <v>0</v>
      </c>
      <c r="T282" s="151">
        <f t="shared" si="81"/>
        <v>1205</v>
      </c>
      <c r="U282" s="151">
        <f t="shared" si="82"/>
        <v>0</v>
      </c>
      <c r="V282" s="139">
        <f t="shared" si="83"/>
        <v>0</v>
      </c>
      <c r="W282" s="152">
        <f t="shared" si="87"/>
        <v>1205</v>
      </c>
      <c r="X282" s="127" t="str">
        <f t="shared" si="84"/>
        <v/>
      </c>
      <c r="Y282" s="207">
        <f t="shared" si="88"/>
        <v>1205</v>
      </c>
      <c r="Z282" s="139">
        <f t="shared" si="89"/>
        <v>617</v>
      </c>
      <c r="AA282" s="139">
        <f t="shared" si="90"/>
        <v>588</v>
      </c>
      <c r="AC282" s="47">
        <f t="shared" si="91"/>
        <v>603</v>
      </c>
      <c r="AD282" s="47">
        <f t="shared" si="92"/>
        <v>309</v>
      </c>
      <c r="AE282" s="47">
        <f t="shared" si="93"/>
        <v>294</v>
      </c>
      <c r="AG282" s="47">
        <f t="shared" si="94"/>
        <v>602</v>
      </c>
      <c r="AH282" s="47">
        <f t="shared" si="95"/>
        <v>308</v>
      </c>
      <c r="AI282" s="208">
        <f t="shared" si="96"/>
        <v>294</v>
      </c>
    </row>
    <row r="283" spans="1:35">
      <c r="A283" t="s">
        <v>2099</v>
      </c>
      <c r="B283" t="s">
        <v>3142</v>
      </c>
      <c r="C283" t="s">
        <v>2191</v>
      </c>
      <c r="D283" t="s">
        <v>3477</v>
      </c>
      <c r="F283" t="s">
        <v>86</v>
      </c>
      <c r="G283" s="126">
        <f>SUMIFS('Support - Transition'!F:F,'Support - Transition'!B:B,'Step 2'!A283,'Support - Transition'!C:C,'Step 2'!B283,'Support - Transition'!D:D,'Step 2'!C283,'Support - Transition'!E:E,"CIVIL")</f>
        <v>9.8829999999999994E-3</v>
      </c>
      <c r="H283" s="126">
        <f>SUMIFS('Support - Transition'!F:F,'Support - Transition'!B:B,'Step 2'!A283,'Support - Transition'!C:C,'Step 2'!B283,'Support - Transition'!D:D,'Step 2'!C283,'Support - Transition'!E:E,"FIRE")</f>
        <v>2.307E-3</v>
      </c>
      <c r="I283" s="126">
        <f>IF(B283="0",SUMIFS('Support - Transition'!F:F,'Support - Transition'!J:J,'Step 2'!D283,'Support - Transition'!E:E,"STATE UNIT"),SUMIFS('Support - Transition'!F:F,'Support - Transition'!J:J,'Step 2'!D283))</f>
        <v>1.2189999999999999E-2</v>
      </c>
      <c r="J283" s="126">
        <f>SUMIFS('Support - Unit Adjustments'!E:E,'Support - Unit Adjustments'!F:F,'Step 2'!D283)</f>
        <v>0</v>
      </c>
      <c r="K283" s="126">
        <f t="shared" si="79"/>
        <v>1.2189999999999999E-2</v>
      </c>
      <c r="L283" s="174">
        <f>VLOOKUP(A283,'Step 1'!$A:$E,4,FALSE)</f>
        <v>250440</v>
      </c>
      <c r="M283" s="47">
        <f t="shared" si="80"/>
        <v>3053</v>
      </c>
      <c r="N283" s="177">
        <f>SUMIFS('Support - Transition'!G:G,'Support - Transition'!J:J,'Step 2'!D283,'Support - Transition'!E:E,"2009 WELFARE ALLOCATION FACTOR")</f>
        <v>0</v>
      </c>
      <c r="O283" s="152">
        <f t="shared" si="85"/>
        <v>0</v>
      </c>
      <c r="P283" s="126">
        <f>IF(E283="Y",0,SUMIFS('Support - Transition'!G:G,'Support - Transition'!J:J,'Step 2'!D283,'Support - Transition'!E:E,"2009 SCHOOL ALLOCATION FACTOR"))</f>
        <v>0</v>
      </c>
      <c r="Q283" s="126">
        <f>IF(E283="Y",VLOOKUP(D283,'Support - Unit Adjustments'!F:G,2,FALSE),0)</f>
        <v>0</v>
      </c>
      <c r="R283" s="155">
        <f t="shared" si="98"/>
        <v>0</v>
      </c>
      <c r="S283" s="47">
        <f t="shared" si="97"/>
        <v>0</v>
      </c>
      <c r="T283" s="151">
        <f t="shared" si="81"/>
        <v>3053</v>
      </c>
      <c r="U283" s="151">
        <f t="shared" si="82"/>
        <v>0</v>
      </c>
      <c r="V283" s="139">
        <f t="shared" si="83"/>
        <v>0</v>
      </c>
      <c r="W283" s="152">
        <f t="shared" si="87"/>
        <v>3053</v>
      </c>
      <c r="X283" s="127" t="str">
        <f t="shared" si="84"/>
        <v/>
      </c>
      <c r="Y283" s="207">
        <f t="shared" si="88"/>
        <v>3053</v>
      </c>
      <c r="Z283" s="139">
        <f t="shared" si="89"/>
        <v>2475</v>
      </c>
      <c r="AA283" s="139">
        <f t="shared" si="90"/>
        <v>578</v>
      </c>
      <c r="AC283" s="47">
        <f t="shared" si="91"/>
        <v>1527</v>
      </c>
      <c r="AD283" s="47">
        <f t="shared" si="92"/>
        <v>1238</v>
      </c>
      <c r="AE283" s="47">
        <f t="shared" si="93"/>
        <v>289</v>
      </c>
      <c r="AG283" s="47">
        <f t="shared" si="94"/>
        <v>1526</v>
      </c>
      <c r="AH283" s="47">
        <f t="shared" si="95"/>
        <v>1237</v>
      </c>
      <c r="AI283" s="208">
        <f t="shared" si="96"/>
        <v>289</v>
      </c>
    </row>
    <row r="284" spans="1:35">
      <c r="A284" t="s">
        <v>2099</v>
      </c>
      <c r="B284" t="s">
        <v>3142</v>
      </c>
      <c r="C284" t="s">
        <v>2192</v>
      </c>
      <c r="D284" t="s">
        <v>3478</v>
      </c>
      <c r="F284" t="s">
        <v>49</v>
      </c>
      <c r="G284" s="126">
        <f>SUMIFS('Support - Transition'!F:F,'Support - Transition'!B:B,'Step 2'!A284,'Support - Transition'!C:C,'Step 2'!B284,'Support - Transition'!D:D,'Step 2'!C284,'Support - Transition'!E:E,"CIVIL")</f>
        <v>9.3499999999999996E-4</v>
      </c>
      <c r="H284" s="126">
        <f>SUMIFS('Support - Transition'!F:F,'Support - Transition'!B:B,'Step 2'!A284,'Support - Transition'!C:C,'Step 2'!B284,'Support - Transition'!D:D,'Step 2'!C284,'Support - Transition'!E:E,"FIRE")</f>
        <v>1.3760000000000001E-3</v>
      </c>
      <c r="I284" s="126">
        <f>IF(B284="0",SUMIFS('Support - Transition'!F:F,'Support - Transition'!J:J,'Step 2'!D284,'Support - Transition'!E:E,"STATE UNIT"),SUMIFS('Support - Transition'!F:F,'Support - Transition'!J:J,'Step 2'!D284))</f>
        <v>2.3110000000000001E-3</v>
      </c>
      <c r="J284" s="126">
        <f>SUMIFS('Support - Unit Adjustments'!E:E,'Support - Unit Adjustments'!F:F,'Step 2'!D284)</f>
        <v>0</v>
      </c>
      <c r="K284" s="126">
        <f t="shared" si="79"/>
        <v>2.3110000000000001E-3</v>
      </c>
      <c r="L284" s="174">
        <f>VLOOKUP(A284,'Step 1'!$A:$E,4,FALSE)</f>
        <v>250440</v>
      </c>
      <c r="M284" s="47">
        <f t="shared" si="80"/>
        <v>579</v>
      </c>
      <c r="N284" s="177">
        <f>SUMIFS('Support - Transition'!G:G,'Support - Transition'!J:J,'Step 2'!D284,'Support - Transition'!E:E,"2009 WELFARE ALLOCATION FACTOR")</f>
        <v>0</v>
      </c>
      <c r="O284" s="152">
        <f t="shared" si="85"/>
        <v>0</v>
      </c>
      <c r="P284" s="126">
        <f>IF(E284="Y",0,SUMIFS('Support - Transition'!G:G,'Support - Transition'!J:J,'Step 2'!D284,'Support - Transition'!E:E,"2009 SCHOOL ALLOCATION FACTOR"))</f>
        <v>0</v>
      </c>
      <c r="Q284" s="126">
        <f>IF(E284="Y",VLOOKUP(D284,'Support - Unit Adjustments'!F:G,2,FALSE),0)</f>
        <v>0</v>
      </c>
      <c r="R284" s="155">
        <f t="shared" si="98"/>
        <v>0</v>
      </c>
      <c r="S284" s="47">
        <f t="shared" si="97"/>
        <v>0</v>
      </c>
      <c r="T284" s="151">
        <f t="shared" si="81"/>
        <v>579</v>
      </c>
      <c r="U284" s="151">
        <f t="shared" si="82"/>
        <v>0</v>
      </c>
      <c r="V284" s="139">
        <f t="shared" si="83"/>
        <v>0</v>
      </c>
      <c r="W284" s="152">
        <f t="shared" si="87"/>
        <v>579</v>
      </c>
      <c r="X284" s="127" t="str">
        <f t="shared" si="84"/>
        <v/>
      </c>
      <c r="Y284" s="207">
        <f t="shared" si="88"/>
        <v>579</v>
      </c>
      <c r="Z284" s="139">
        <f t="shared" si="89"/>
        <v>234</v>
      </c>
      <c r="AA284" s="139">
        <f t="shared" si="90"/>
        <v>345</v>
      </c>
      <c r="AC284" s="47">
        <f t="shared" si="91"/>
        <v>290</v>
      </c>
      <c r="AD284" s="47">
        <f t="shared" si="92"/>
        <v>117</v>
      </c>
      <c r="AE284" s="47">
        <f t="shared" si="93"/>
        <v>173</v>
      </c>
      <c r="AG284" s="47">
        <f t="shared" si="94"/>
        <v>289</v>
      </c>
      <c r="AH284" s="47">
        <f t="shared" si="95"/>
        <v>117</v>
      </c>
      <c r="AI284" s="208">
        <f t="shared" si="96"/>
        <v>172</v>
      </c>
    </row>
    <row r="285" spans="1:35">
      <c r="A285" t="s">
        <v>2099</v>
      </c>
      <c r="B285" t="s">
        <v>3142</v>
      </c>
      <c r="C285" t="s">
        <v>2193</v>
      </c>
      <c r="D285" t="s">
        <v>3479</v>
      </c>
      <c r="F285" t="s">
        <v>251</v>
      </c>
      <c r="G285" s="126">
        <f>SUMIFS('Support - Transition'!F:F,'Support - Transition'!B:B,'Step 2'!A285,'Support - Transition'!C:C,'Step 2'!B285,'Support - Transition'!D:D,'Step 2'!C285,'Support - Transition'!E:E,"CIVIL")</f>
        <v>1.8270000000000001E-3</v>
      </c>
      <c r="H285" s="126">
        <f>SUMIFS('Support - Transition'!F:F,'Support - Transition'!B:B,'Step 2'!A285,'Support - Transition'!C:C,'Step 2'!B285,'Support - Transition'!D:D,'Step 2'!C285,'Support - Transition'!E:E,"FIRE")</f>
        <v>3.68E-4</v>
      </c>
      <c r="I285" s="126">
        <f>IF(B285="0",SUMIFS('Support - Transition'!F:F,'Support - Transition'!J:J,'Step 2'!D285,'Support - Transition'!E:E,"STATE UNIT"),SUMIFS('Support - Transition'!F:F,'Support - Transition'!J:J,'Step 2'!D285))</f>
        <v>2.1949999999999999E-3</v>
      </c>
      <c r="J285" s="126">
        <f>SUMIFS('Support - Unit Adjustments'!E:E,'Support - Unit Adjustments'!F:F,'Step 2'!D285)</f>
        <v>0</v>
      </c>
      <c r="K285" s="126">
        <f t="shared" si="79"/>
        <v>2.1949999999999999E-3</v>
      </c>
      <c r="L285" s="174">
        <f>VLOOKUP(A285,'Step 1'!$A:$E,4,FALSE)</f>
        <v>250440</v>
      </c>
      <c r="M285" s="47">
        <f t="shared" si="80"/>
        <v>550</v>
      </c>
      <c r="N285" s="177">
        <f>SUMIFS('Support - Transition'!G:G,'Support - Transition'!J:J,'Step 2'!D285,'Support - Transition'!E:E,"2009 WELFARE ALLOCATION FACTOR")</f>
        <v>0</v>
      </c>
      <c r="O285" s="152">
        <f t="shared" si="85"/>
        <v>0</v>
      </c>
      <c r="P285" s="126">
        <f>IF(E285="Y",0,SUMIFS('Support - Transition'!G:G,'Support - Transition'!J:J,'Step 2'!D285,'Support - Transition'!E:E,"2009 SCHOOL ALLOCATION FACTOR"))</f>
        <v>0</v>
      </c>
      <c r="Q285" s="126">
        <f>IF(E285="Y",VLOOKUP(D285,'Support - Unit Adjustments'!F:G,2,FALSE),0)</f>
        <v>0</v>
      </c>
      <c r="R285" s="155">
        <f t="shared" si="98"/>
        <v>0</v>
      </c>
      <c r="S285" s="47">
        <f t="shared" si="97"/>
        <v>0</v>
      </c>
      <c r="T285" s="151">
        <f t="shared" si="81"/>
        <v>550</v>
      </c>
      <c r="U285" s="151">
        <f t="shared" si="82"/>
        <v>0</v>
      </c>
      <c r="V285" s="139">
        <f t="shared" si="83"/>
        <v>0</v>
      </c>
      <c r="W285" s="152">
        <f t="shared" si="87"/>
        <v>550</v>
      </c>
      <c r="X285" s="127" t="str">
        <f t="shared" si="84"/>
        <v/>
      </c>
      <c r="Y285" s="207">
        <f t="shared" si="88"/>
        <v>550</v>
      </c>
      <c r="Z285" s="139">
        <f t="shared" si="89"/>
        <v>458</v>
      </c>
      <c r="AA285" s="139">
        <f t="shared" si="90"/>
        <v>92</v>
      </c>
      <c r="AC285" s="47">
        <f t="shared" si="91"/>
        <v>275</v>
      </c>
      <c r="AD285" s="47">
        <f t="shared" si="92"/>
        <v>229</v>
      </c>
      <c r="AE285" s="47">
        <f t="shared" si="93"/>
        <v>46</v>
      </c>
      <c r="AG285" s="47">
        <f t="shared" si="94"/>
        <v>275</v>
      </c>
      <c r="AH285" s="47">
        <f t="shared" si="95"/>
        <v>229</v>
      </c>
      <c r="AI285" s="208">
        <f t="shared" si="96"/>
        <v>46</v>
      </c>
    </row>
    <row r="286" spans="1:35">
      <c r="A286" t="s">
        <v>2099</v>
      </c>
      <c r="B286" t="s">
        <v>3142</v>
      </c>
      <c r="C286" t="s">
        <v>2194</v>
      </c>
      <c r="D286" t="s">
        <v>3480</v>
      </c>
      <c r="F286" t="s">
        <v>56</v>
      </c>
      <c r="G286" s="126">
        <f>SUMIFS('Support - Transition'!F:F,'Support - Transition'!B:B,'Step 2'!A286,'Support - Transition'!C:C,'Step 2'!B286,'Support - Transition'!D:D,'Step 2'!C286,'Support - Transition'!E:E,"CIVIL")</f>
        <v>2.9100000000000003E-4</v>
      </c>
      <c r="H286" s="126">
        <f>SUMIFS('Support - Transition'!F:F,'Support - Transition'!B:B,'Step 2'!A286,'Support - Transition'!C:C,'Step 2'!B286,'Support - Transition'!D:D,'Step 2'!C286,'Support - Transition'!E:E,"FIRE")</f>
        <v>1.16E-4</v>
      </c>
      <c r="I286" s="126">
        <f>IF(B286="0",SUMIFS('Support - Transition'!F:F,'Support - Transition'!J:J,'Step 2'!D286,'Support - Transition'!E:E,"STATE UNIT"),SUMIFS('Support - Transition'!F:F,'Support - Transition'!J:J,'Step 2'!D286))</f>
        <v>4.0700000000000003E-4</v>
      </c>
      <c r="J286" s="126">
        <f>SUMIFS('Support - Unit Adjustments'!E:E,'Support - Unit Adjustments'!F:F,'Step 2'!D286)</f>
        <v>0</v>
      </c>
      <c r="K286" s="126">
        <f t="shared" si="79"/>
        <v>4.0700000000000003E-4</v>
      </c>
      <c r="L286" s="174">
        <f>VLOOKUP(A286,'Step 1'!$A:$E,4,FALSE)</f>
        <v>250440</v>
      </c>
      <c r="M286" s="47">
        <f t="shared" si="80"/>
        <v>102</v>
      </c>
      <c r="N286" s="177">
        <f>SUMIFS('Support - Transition'!G:G,'Support - Transition'!J:J,'Step 2'!D286,'Support - Transition'!E:E,"2009 WELFARE ALLOCATION FACTOR")</f>
        <v>0</v>
      </c>
      <c r="O286" s="152">
        <f t="shared" si="85"/>
        <v>0</v>
      </c>
      <c r="P286" s="126">
        <f>IF(E286="Y",0,SUMIFS('Support - Transition'!G:G,'Support - Transition'!J:J,'Step 2'!D286,'Support - Transition'!E:E,"2009 SCHOOL ALLOCATION FACTOR"))</f>
        <v>0</v>
      </c>
      <c r="Q286" s="126">
        <f>IF(E286="Y",VLOOKUP(D286,'Support - Unit Adjustments'!F:G,2,FALSE),0)</f>
        <v>0</v>
      </c>
      <c r="R286" s="155">
        <f t="shared" si="98"/>
        <v>0</v>
      </c>
      <c r="S286" s="47">
        <f t="shared" si="97"/>
        <v>0</v>
      </c>
      <c r="T286" s="151">
        <f t="shared" si="81"/>
        <v>102</v>
      </c>
      <c r="U286" s="151">
        <f t="shared" si="82"/>
        <v>0</v>
      </c>
      <c r="V286" s="139">
        <f t="shared" si="83"/>
        <v>0</v>
      </c>
      <c r="W286" s="152">
        <f t="shared" si="87"/>
        <v>102</v>
      </c>
      <c r="X286" s="127" t="str">
        <f t="shared" si="84"/>
        <v/>
      </c>
      <c r="Y286" s="207">
        <f t="shared" si="88"/>
        <v>102</v>
      </c>
      <c r="Z286" s="139">
        <f t="shared" si="89"/>
        <v>73</v>
      </c>
      <c r="AA286" s="139">
        <f t="shared" si="90"/>
        <v>29</v>
      </c>
      <c r="AC286" s="47">
        <f t="shared" si="91"/>
        <v>51</v>
      </c>
      <c r="AD286" s="47">
        <f t="shared" si="92"/>
        <v>37</v>
      </c>
      <c r="AE286" s="47">
        <f t="shared" si="93"/>
        <v>15</v>
      </c>
      <c r="AG286" s="47">
        <f t="shared" si="94"/>
        <v>51</v>
      </c>
      <c r="AH286" s="47">
        <f t="shared" si="95"/>
        <v>36</v>
      </c>
      <c r="AI286" s="208">
        <f t="shared" si="96"/>
        <v>14</v>
      </c>
    </row>
    <row r="287" spans="1:35">
      <c r="A287" t="s">
        <v>2099</v>
      </c>
      <c r="B287" t="s">
        <v>3142</v>
      </c>
      <c r="C287" t="s">
        <v>2195</v>
      </c>
      <c r="D287" t="s">
        <v>3481</v>
      </c>
      <c r="F287" t="s">
        <v>252</v>
      </c>
      <c r="G287" s="126">
        <f>SUMIFS('Support - Transition'!F:F,'Support - Transition'!B:B,'Step 2'!A287,'Support - Transition'!C:C,'Step 2'!B287,'Support - Transition'!D:D,'Step 2'!C287,'Support - Transition'!E:E,"CIVIL")</f>
        <v>1.0900000000000001E-4</v>
      </c>
      <c r="H287" s="126">
        <f>SUMIFS('Support - Transition'!F:F,'Support - Transition'!B:B,'Step 2'!A287,'Support - Transition'!C:C,'Step 2'!B287,'Support - Transition'!D:D,'Step 2'!C287,'Support - Transition'!E:E,"FIRE")</f>
        <v>4.5100000000000001E-4</v>
      </c>
      <c r="I287" s="126">
        <f>IF(B287="0",SUMIFS('Support - Transition'!F:F,'Support - Transition'!J:J,'Step 2'!D287,'Support - Transition'!E:E,"STATE UNIT"),SUMIFS('Support - Transition'!F:F,'Support - Transition'!J:J,'Step 2'!D287))</f>
        <v>5.6000000000000006E-4</v>
      </c>
      <c r="J287" s="126">
        <f>SUMIFS('Support - Unit Adjustments'!E:E,'Support - Unit Adjustments'!F:F,'Step 2'!D287)</f>
        <v>0</v>
      </c>
      <c r="K287" s="126">
        <f t="shared" si="79"/>
        <v>5.6000000000000006E-4</v>
      </c>
      <c r="L287" s="174">
        <f>VLOOKUP(A287,'Step 1'!$A:$E,4,FALSE)</f>
        <v>250440</v>
      </c>
      <c r="M287" s="47">
        <f t="shared" si="80"/>
        <v>140</v>
      </c>
      <c r="N287" s="177">
        <f>SUMIFS('Support - Transition'!G:G,'Support - Transition'!J:J,'Step 2'!D287,'Support - Transition'!E:E,"2009 WELFARE ALLOCATION FACTOR")</f>
        <v>0</v>
      </c>
      <c r="O287" s="152">
        <f t="shared" si="85"/>
        <v>0</v>
      </c>
      <c r="P287" s="126">
        <f>IF(E287="Y",0,SUMIFS('Support - Transition'!G:G,'Support - Transition'!J:J,'Step 2'!D287,'Support - Transition'!E:E,"2009 SCHOOL ALLOCATION FACTOR"))</f>
        <v>0</v>
      </c>
      <c r="Q287" s="126">
        <f>IF(E287="Y",VLOOKUP(D287,'Support - Unit Adjustments'!F:G,2,FALSE),0)</f>
        <v>0</v>
      </c>
      <c r="R287" s="155">
        <f t="shared" si="98"/>
        <v>0</v>
      </c>
      <c r="S287" s="47">
        <f t="shared" si="97"/>
        <v>0</v>
      </c>
      <c r="T287" s="151">
        <f t="shared" si="81"/>
        <v>140</v>
      </c>
      <c r="U287" s="151">
        <f t="shared" si="82"/>
        <v>0</v>
      </c>
      <c r="V287" s="139">
        <f t="shared" si="83"/>
        <v>0</v>
      </c>
      <c r="W287" s="152">
        <f t="shared" si="87"/>
        <v>140</v>
      </c>
      <c r="X287" s="127" t="str">
        <f t="shared" si="84"/>
        <v/>
      </c>
      <c r="Y287" s="207">
        <f t="shared" si="88"/>
        <v>140</v>
      </c>
      <c r="Z287" s="139">
        <f t="shared" si="89"/>
        <v>27</v>
      </c>
      <c r="AA287" s="139">
        <f t="shared" si="90"/>
        <v>113</v>
      </c>
      <c r="AC287" s="47">
        <f t="shared" si="91"/>
        <v>70</v>
      </c>
      <c r="AD287" s="47">
        <f t="shared" si="92"/>
        <v>14</v>
      </c>
      <c r="AE287" s="47">
        <f t="shared" si="93"/>
        <v>57</v>
      </c>
      <c r="AG287" s="47">
        <f t="shared" si="94"/>
        <v>70</v>
      </c>
      <c r="AH287" s="47">
        <f t="shared" si="95"/>
        <v>13</v>
      </c>
      <c r="AI287" s="208">
        <f t="shared" si="96"/>
        <v>56</v>
      </c>
    </row>
    <row r="288" spans="1:35">
      <c r="A288" t="s">
        <v>2099</v>
      </c>
      <c r="B288" t="s">
        <v>3142</v>
      </c>
      <c r="C288" t="s">
        <v>2196</v>
      </c>
      <c r="D288" t="s">
        <v>3482</v>
      </c>
      <c r="F288" t="s">
        <v>253</v>
      </c>
      <c r="G288" s="126">
        <f>SUMIFS('Support - Transition'!F:F,'Support - Transition'!B:B,'Step 2'!A288,'Support - Transition'!C:C,'Step 2'!B288,'Support - Transition'!D:D,'Step 2'!C288,'Support - Transition'!E:E,"CIVIL")</f>
        <v>4.7699999999999999E-4</v>
      </c>
      <c r="H288" s="126">
        <f>SUMIFS('Support - Transition'!F:F,'Support - Transition'!B:B,'Step 2'!A288,'Support - Transition'!C:C,'Step 2'!B288,'Support - Transition'!D:D,'Step 2'!C288,'Support - Transition'!E:E,"FIRE")</f>
        <v>2.5799999999999998E-4</v>
      </c>
      <c r="I288" s="126">
        <f>IF(B288="0",SUMIFS('Support - Transition'!F:F,'Support - Transition'!J:J,'Step 2'!D288,'Support - Transition'!E:E,"STATE UNIT"),SUMIFS('Support - Transition'!F:F,'Support - Transition'!J:J,'Step 2'!D288))</f>
        <v>7.3499999999999998E-4</v>
      </c>
      <c r="J288" s="126">
        <f>SUMIFS('Support - Unit Adjustments'!E:E,'Support - Unit Adjustments'!F:F,'Step 2'!D288)</f>
        <v>0</v>
      </c>
      <c r="K288" s="126">
        <f t="shared" si="79"/>
        <v>7.3499999999999998E-4</v>
      </c>
      <c r="L288" s="174">
        <f>VLOOKUP(A288,'Step 1'!$A:$E,4,FALSE)</f>
        <v>250440</v>
      </c>
      <c r="M288" s="47">
        <f t="shared" si="80"/>
        <v>184</v>
      </c>
      <c r="N288" s="177">
        <f>SUMIFS('Support - Transition'!G:G,'Support - Transition'!J:J,'Step 2'!D288,'Support - Transition'!E:E,"2009 WELFARE ALLOCATION FACTOR")</f>
        <v>0</v>
      </c>
      <c r="O288" s="152">
        <f t="shared" si="85"/>
        <v>0</v>
      </c>
      <c r="P288" s="126">
        <f>IF(E288="Y",0,SUMIFS('Support - Transition'!G:G,'Support - Transition'!J:J,'Step 2'!D288,'Support - Transition'!E:E,"2009 SCHOOL ALLOCATION FACTOR"))</f>
        <v>0</v>
      </c>
      <c r="Q288" s="126">
        <f>IF(E288="Y",VLOOKUP(D288,'Support - Unit Adjustments'!F:G,2,FALSE),0)</f>
        <v>0</v>
      </c>
      <c r="R288" s="155">
        <f t="shared" si="98"/>
        <v>0</v>
      </c>
      <c r="S288" s="47">
        <f t="shared" si="97"/>
        <v>0</v>
      </c>
      <c r="T288" s="151">
        <f t="shared" si="81"/>
        <v>184</v>
      </c>
      <c r="U288" s="151">
        <f t="shared" si="82"/>
        <v>0</v>
      </c>
      <c r="V288" s="139">
        <f t="shared" si="83"/>
        <v>0</v>
      </c>
      <c r="W288" s="152">
        <f t="shared" si="87"/>
        <v>184</v>
      </c>
      <c r="X288" s="127" t="str">
        <f t="shared" si="84"/>
        <v/>
      </c>
      <c r="Y288" s="207">
        <f t="shared" si="88"/>
        <v>184</v>
      </c>
      <c r="Z288" s="139">
        <f t="shared" si="89"/>
        <v>119</v>
      </c>
      <c r="AA288" s="139">
        <f t="shared" si="90"/>
        <v>65</v>
      </c>
      <c r="AC288" s="47">
        <f t="shared" si="91"/>
        <v>92</v>
      </c>
      <c r="AD288" s="47">
        <f t="shared" si="92"/>
        <v>60</v>
      </c>
      <c r="AE288" s="47">
        <f t="shared" si="93"/>
        <v>33</v>
      </c>
      <c r="AG288" s="47">
        <f t="shared" si="94"/>
        <v>92</v>
      </c>
      <c r="AH288" s="47">
        <f t="shared" si="95"/>
        <v>59</v>
      </c>
      <c r="AI288" s="208">
        <f t="shared" si="96"/>
        <v>32</v>
      </c>
    </row>
    <row r="289" spans="1:35">
      <c r="A289" t="s">
        <v>2099</v>
      </c>
      <c r="B289" t="s">
        <v>3142</v>
      </c>
      <c r="C289" t="s">
        <v>2197</v>
      </c>
      <c r="D289" t="s">
        <v>3483</v>
      </c>
      <c r="F289" t="s">
        <v>169</v>
      </c>
      <c r="G289" s="126">
        <f>SUMIFS('Support - Transition'!F:F,'Support - Transition'!B:B,'Step 2'!A289,'Support - Transition'!C:C,'Step 2'!B289,'Support - Transition'!D:D,'Step 2'!C289,'Support - Transition'!E:E,"CIVIL")</f>
        <v>1.0839999999999999E-3</v>
      </c>
      <c r="H289" s="126">
        <f>SUMIFS('Support - Transition'!F:F,'Support - Transition'!B:B,'Step 2'!A289,'Support - Transition'!C:C,'Step 2'!B289,'Support - Transition'!D:D,'Step 2'!C289,'Support - Transition'!E:E,"FIRE")</f>
        <v>1.1169999999999999E-3</v>
      </c>
      <c r="I289" s="126">
        <f>IF(B289="0",SUMIFS('Support - Transition'!F:F,'Support - Transition'!J:J,'Step 2'!D289,'Support - Transition'!E:E,"STATE UNIT"),SUMIFS('Support - Transition'!F:F,'Support - Transition'!J:J,'Step 2'!D289))</f>
        <v>2.2009999999999998E-3</v>
      </c>
      <c r="J289" s="126">
        <f>SUMIFS('Support - Unit Adjustments'!E:E,'Support - Unit Adjustments'!F:F,'Step 2'!D289)</f>
        <v>0</v>
      </c>
      <c r="K289" s="126">
        <f t="shared" si="79"/>
        <v>2.2009999999999998E-3</v>
      </c>
      <c r="L289" s="174">
        <f>VLOOKUP(A289,'Step 1'!$A:$E,4,FALSE)</f>
        <v>250440</v>
      </c>
      <c r="M289" s="47">
        <f t="shared" si="80"/>
        <v>551</v>
      </c>
      <c r="N289" s="177">
        <f>SUMIFS('Support - Transition'!G:G,'Support - Transition'!J:J,'Step 2'!D289,'Support - Transition'!E:E,"2009 WELFARE ALLOCATION FACTOR")</f>
        <v>0</v>
      </c>
      <c r="O289" s="152">
        <f t="shared" si="85"/>
        <v>0</v>
      </c>
      <c r="P289" s="126">
        <f>IF(E289="Y",0,SUMIFS('Support - Transition'!G:G,'Support - Transition'!J:J,'Step 2'!D289,'Support - Transition'!E:E,"2009 SCHOOL ALLOCATION FACTOR"))</f>
        <v>0</v>
      </c>
      <c r="Q289" s="126">
        <f>IF(E289="Y",VLOOKUP(D289,'Support - Unit Adjustments'!F:G,2,FALSE),0)</f>
        <v>0</v>
      </c>
      <c r="R289" s="155">
        <f t="shared" si="98"/>
        <v>0</v>
      </c>
      <c r="S289" s="47">
        <f t="shared" si="97"/>
        <v>0</v>
      </c>
      <c r="T289" s="151">
        <f t="shared" si="81"/>
        <v>551</v>
      </c>
      <c r="U289" s="151">
        <f t="shared" si="82"/>
        <v>0</v>
      </c>
      <c r="V289" s="139">
        <f t="shared" si="83"/>
        <v>0</v>
      </c>
      <c r="W289" s="152">
        <f t="shared" si="87"/>
        <v>551</v>
      </c>
      <c r="X289" s="127" t="str">
        <f t="shared" si="84"/>
        <v/>
      </c>
      <c r="Y289" s="207">
        <f t="shared" si="88"/>
        <v>551</v>
      </c>
      <c r="Z289" s="139">
        <f t="shared" si="89"/>
        <v>271</v>
      </c>
      <c r="AA289" s="139">
        <f t="shared" si="90"/>
        <v>280</v>
      </c>
      <c r="AC289" s="47">
        <f t="shared" si="91"/>
        <v>276</v>
      </c>
      <c r="AD289" s="47">
        <f t="shared" si="92"/>
        <v>136</v>
      </c>
      <c r="AE289" s="47">
        <f t="shared" si="93"/>
        <v>140</v>
      </c>
      <c r="AG289" s="47">
        <f t="shared" si="94"/>
        <v>275</v>
      </c>
      <c r="AH289" s="47">
        <f t="shared" si="95"/>
        <v>135</v>
      </c>
      <c r="AI289" s="208">
        <f t="shared" si="96"/>
        <v>140</v>
      </c>
    </row>
    <row r="290" spans="1:35">
      <c r="A290" t="s">
        <v>2099</v>
      </c>
      <c r="B290" t="s">
        <v>3142</v>
      </c>
      <c r="C290" t="s">
        <v>2198</v>
      </c>
      <c r="D290" t="s">
        <v>3484</v>
      </c>
      <c r="F290" t="s">
        <v>22</v>
      </c>
      <c r="G290" s="126">
        <f>SUMIFS('Support - Transition'!F:F,'Support - Transition'!B:B,'Step 2'!A290,'Support - Transition'!C:C,'Step 2'!B290,'Support - Transition'!D:D,'Step 2'!C290,'Support - Transition'!E:E,"CIVIL")</f>
        <v>1.8200000000000001E-4</v>
      </c>
      <c r="H290" s="126">
        <f>SUMIFS('Support - Transition'!F:F,'Support - Transition'!B:B,'Step 2'!A290,'Support - Transition'!C:C,'Step 2'!B290,'Support - Transition'!D:D,'Step 2'!C290,'Support - Transition'!E:E,"FIRE")</f>
        <v>1.3100000000000001E-4</v>
      </c>
      <c r="I290" s="126">
        <f>IF(B290="0",SUMIFS('Support - Transition'!F:F,'Support - Transition'!J:J,'Step 2'!D290,'Support - Transition'!E:E,"STATE UNIT"),SUMIFS('Support - Transition'!F:F,'Support - Transition'!J:J,'Step 2'!D290))</f>
        <v>3.1300000000000002E-4</v>
      </c>
      <c r="J290" s="126">
        <f>SUMIFS('Support - Unit Adjustments'!E:E,'Support - Unit Adjustments'!F:F,'Step 2'!D290)</f>
        <v>0</v>
      </c>
      <c r="K290" s="126">
        <f t="shared" si="79"/>
        <v>3.1300000000000002E-4</v>
      </c>
      <c r="L290" s="174">
        <f>VLOOKUP(A290,'Step 1'!$A:$E,4,FALSE)</f>
        <v>250440</v>
      </c>
      <c r="M290" s="47">
        <f t="shared" si="80"/>
        <v>78</v>
      </c>
      <c r="N290" s="177">
        <f>SUMIFS('Support - Transition'!G:G,'Support - Transition'!J:J,'Step 2'!D290,'Support - Transition'!E:E,"2009 WELFARE ALLOCATION FACTOR")</f>
        <v>0</v>
      </c>
      <c r="O290" s="152">
        <f t="shared" si="85"/>
        <v>0</v>
      </c>
      <c r="P290" s="126">
        <f>IF(E290="Y",0,SUMIFS('Support - Transition'!G:G,'Support - Transition'!J:J,'Step 2'!D290,'Support - Transition'!E:E,"2009 SCHOOL ALLOCATION FACTOR"))</f>
        <v>0</v>
      </c>
      <c r="Q290" s="126">
        <f>IF(E290="Y",VLOOKUP(D290,'Support - Unit Adjustments'!F:G,2,FALSE),0)</f>
        <v>0</v>
      </c>
      <c r="R290" s="155">
        <f t="shared" si="98"/>
        <v>0</v>
      </c>
      <c r="S290" s="47">
        <f t="shared" si="97"/>
        <v>0</v>
      </c>
      <c r="T290" s="151">
        <f t="shared" si="81"/>
        <v>78</v>
      </c>
      <c r="U290" s="151">
        <f t="shared" si="82"/>
        <v>0</v>
      </c>
      <c r="V290" s="139">
        <f t="shared" si="83"/>
        <v>0</v>
      </c>
      <c r="W290" s="152">
        <f t="shared" si="87"/>
        <v>78</v>
      </c>
      <c r="X290" s="127" t="str">
        <f t="shared" si="84"/>
        <v/>
      </c>
      <c r="Y290" s="207">
        <f t="shared" si="88"/>
        <v>78</v>
      </c>
      <c r="Z290" s="139">
        <f t="shared" si="89"/>
        <v>45</v>
      </c>
      <c r="AA290" s="139">
        <f t="shared" si="90"/>
        <v>33</v>
      </c>
      <c r="AC290" s="47">
        <f t="shared" si="91"/>
        <v>39</v>
      </c>
      <c r="AD290" s="47">
        <f t="shared" si="92"/>
        <v>23</v>
      </c>
      <c r="AE290" s="47">
        <f t="shared" si="93"/>
        <v>17</v>
      </c>
      <c r="AG290" s="47">
        <f t="shared" si="94"/>
        <v>39</v>
      </c>
      <c r="AH290" s="47">
        <f t="shared" si="95"/>
        <v>22</v>
      </c>
      <c r="AI290" s="208">
        <f t="shared" si="96"/>
        <v>16</v>
      </c>
    </row>
    <row r="291" spans="1:35">
      <c r="A291" t="s">
        <v>2099</v>
      </c>
      <c r="B291" t="s">
        <v>3155</v>
      </c>
      <c r="C291" t="s">
        <v>2302</v>
      </c>
      <c r="D291" t="s">
        <v>3485</v>
      </c>
      <c r="F291" t="s">
        <v>254</v>
      </c>
      <c r="G291" s="126">
        <f>SUMIFS('Support - Transition'!F:F,'Support - Transition'!B:B,'Step 2'!A291,'Support - Transition'!C:C,'Step 2'!B291,'Support - Transition'!D:D,'Step 2'!C291,'Support - Transition'!E:E,"CIVIL")</f>
        <v>0</v>
      </c>
      <c r="H291" s="126">
        <f>SUMIFS('Support - Transition'!F:F,'Support - Transition'!B:B,'Step 2'!A291,'Support - Transition'!C:C,'Step 2'!B291,'Support - Transition'!D:D,'Step 2'!C291,'Support - Transition'!E:E,"FIRE")</f>
        <v>0</v>
      </c>
      <c r="I291" s="126">
        <f>IF(B291="0",SUMIFS('Support - Transition'!F:F,'Support - Transition'!J:J,'Step 2'!D291,'Support - Transition'!E:E,"STATE UNIT"),SUMIFS('Support - Transition'!F:F,'Support - Transition'!J:J,'Step 2'!D291))</f>
        <v>2.9363E-2</v>
      </c>
      <c r="J291" s="126">
        <f>SUMIFS('Support - Unit Adjustments'!E:E,'Support - Unit Adjustments'!F:F,'Step 2'!D291)</f>
        <v>0</v>
      </c>
      <c r="K291" s="126">
        <f t="shared" si="79"/>
        <v>2.9363E-2</v>
      </c>
      <c r="L291" s="174">
        <f>VLOOKUP(A291,'Step 1'!$A:$E,4,FALSE)</f>
        <v>250440</v>
      </c>
      <c r="M291" s="47">
        <f t="shared" si="80"/>
        <v>7354</v>
      </c>
      <c r="N291" s="177">
        <f>SUMIFS('Support - Transition'!G:G,'Support - Transition'!J:J,'Step 2'!D291,'Support - Transition'!E:E,"2009 WELFARE ALLOCATION FACTOR")</f>
        <v>0</v>
      </c>
      <c r="O291" s="152">
        <f t="shared" si="85"/>
        <v>0</v>
      </c>
      <c r="P291" s="126">
        <f>IF(E291="Y",0,SUMIFS('Support - Transition'!G:G,'Support - Transition'!J:J,'Step 2'!D291,'Support - Transition'!E:E,"2009 SCHOOL ALLOCATION FACTOR"))</f>
        <v>0</v>
      </c>
      <c r="Q291" s="126">
        <f>IF(E291="Y",VLOOKUP(D291,'Support - Unit Adjustments'!F:G,2,FALSE),0)</f>
        <v>0</v>
      </c>
      <c r="R291" s="155">
        <f t="shared" si="98"/>
        <v>0</v>
      </c>
      <c r="S291" s="47">
        <f t="shared" si="97"/>
        <v>0</v>
      </c>
      <c r="T291" s="151">
        <f t="shared" si="81"/>
        <v>7354</v>
      </c>
      <c r="U291" s="151">
        <f t="shared" si="82"/>
        <v>0</v>
      </c>
      <c r="V291" s="139">
        <f t="shared" si="83"/>
        <v>0</v>
      </c>
      <c r="W291" s="152">
        <f t="shared" si="87"/>
        <v>7354</v>
      </c>
      <c r="X291" s="127" t="str">
        <f t="shared" si="84"/>
        <v/>
      </c>
      <c r="Y291" s="207">
        <f t="shared" si="88"/>
        <v>7354</v>
      </c>
      <c r="Z291" s="139">
        <f t="shared" si="89"/>
        <v>7354</v>
      </c>
      <c r="AA291" s="139">
        <f t="shared" si="90"/>
        <v>0</v>
      </c>
      <c r="AC291" s="47">
        <f t="shared" si="91"/>
        <v>3677</v>
      </c>
      <c r="AD291" s="47">
        <f t="shared" si="92"/>
        <v>3677</v>
      </c>
      <c r="AE291" s="47">
        <f t="shared" si="93"/>
        <v>0</v>
      </c>
      <c r="AG291" s="47">
        <f t="shared" si="94"/>
        <v>3677</v>
      </c>
      <c r="AH291" s="47">
        <f t="shared" si="95"/>
        <v>3677</v>
      </c>
      <c r="AI291" s="208">
        <f t="shared" si="96"/>
        <v>0</v>
      </c>
    </row>
    <row r="292" spans="1:35">
      <c r="A292" t="s">
        <v>2099</v>
      </c>
      <c r="B292" t="s">
        <v>3155</v>
      </c>
      <c r="C292" t="s">
        <v>2303</v>
      </c>
      <c r="D292" t="s">
        <v>3486</v>
      </c>
      <c r="F292" t="s">
        <v>255</v>
      </c>
      <c r="G292" s="126">
        <f>SUMIFS('Support - Transition'!F:F,'Support - Transition'!B:B,'Step 2'!A292,'Support - Transition'!C:C,'Step 2'!B292,'Support - Transition'!D:D,'Step 2'!C292,'Support - Transition'!E:E,"CIVIL")</f>
        <v>0</v>
      </c>
      <c r="H292" s="126">
        <f>SUMIFS('Support - Transition'!F:F,'Support - Transition'!B:B,'Step 2'!A292,'Support - Transition'!C:C,'Step 2'!B292,'Support - Transition'!D:D,'Step 2'!C292,'Support - Transition'!E:E,"FIRE")</f>
        <v>0</v>
      </c>
      <c r="I292" s="126">
        <f>IF(B292="0",SUMIFS('Support - Transition'!F:F,'Support - Transition'!J:J,'Step 2'!D292,'Support - Transition'!E:E,"STATE UNIT"),SUMIFS('Support - Transition'!F:F,'Support - Transition'!J:J,'Step 2'!D292))</f>
        <v>2.9E-5</v>
      </c>
      <c r="J292" s="126">
        <f>SUMIFS('Support - Unit Adjustments'!E:E,'Support - Unit Adjustments'!F:F,'Step 2'!D292)</f>
        <v>0</v>
      </c>
      <c r="K292" s="126">
        <f t="shared" si="79"/>
        <v>2.9E-5</v>
      </c>
      <c r="L292" s="174">
        <f>VLOOKUP(A292,'Step 1'!$A:$E,4,FALSE)</f>
        <v>250440</v>
      </c>
      <c r="M292" s="47">
        <f t="shared" si="80"/>
        <v>7</v>
      </c>
      <c r="N292" s="177">
        <f>SUMIFS('Support - Transition'!G:G,'Support - Transition'!J:J,'Step 2'!D292,'Support - Transition'!E:E,"2009 WELFARE ALLOCATION FACTOR")</f>
        <v>0</v>
      </c>
      <c r="O292" s="152">
        <f t="shared" si="85"/>
        <v>0</v>
      </c>
      <c r="P292" s="126">
        <f>IF(E292="Y",0,SUMIFS('Support - Transition'!G:G,'Support - Transition'!J:J,'Step 2'!D292,'Support - Transition'!E:E,"2009 SCHOOL ALLOCATION FACTOR"))</f>
        <v>0</v>
      </c>
      <c r="Q292" s="126">
        <f>IF(E292="Y",VLOOKUP(D292,'Support - Unit Adjustments'!F:G,2,FALSE),0)</f>
        <v>0</v>
      </c>
      <c r="R292" s="155">
        <f t="shared" si="98"/>
        <v>0</v>
      </c>
      <c r="S292" s="47">
        <f t="shared" si="97"/>
        <v>0</v>
      </c>
      <c r="T292" s="151">
        <f t="shared" si="81"/>
        <v>7</v>
      </c>
      <c r="U292" s="151">
        <f t="shared" si="82"/>
        <v>0</v>
      </c>
      <c r="V292" s="139">
        <f t="shared" si="83"/>
        <v>0</v>
      </c>
      <c r="W292" s="152">
        <f t="shared" si="87"/>
        <v>7</v>
      </c>
      <c r="X292" s="127" t="str">
        <f t="shared" si="84"/>
        <v/>
      </c>
      <c r="Y292" s="207">
        <f t="shared" si="88"/>
        <v>7</v>
      </c>
      <c r="Z292" s="139">
        <f t="shared" si="89"/>
        <v>7</v>
      </c>
      <c r="AA292" s="139">
        <f t="shared" si="90"/>
        <v>0</v>
      </c>
      <c r="AC292" s="47">
        <f t="shared" si="91"/>
        <v>4</v>
      </c>
      <c r="AD292" s="47">
        <f t="shared" si="92"/>
        <v>4</v>
      </c>
      <c r="AE292" s="47">
        <f t="shared" si="93"/>
        <v>0</v>
      </c>
      <c r="AG292" s="47">
        <f t="shared" si="94"/>
        <v>3</v>
      </c>
      <c r="AH292" s="47">
        <f t="shared" si="95"/>
        <v>3</v>
      </c>
      <c r="AI292" s="208">
        <f t="shared" si="96"/>
        <v>0</v>
      </c>
    </row>
    <row r="293" spans="1:35">
      <c r="A293" t="s">
        <v>2099</v>
      </c>
      <c r="B293" t="s">
        <v>3155</v>
      </c>
      <c r="C293" t="s">
        <v>2304</v>
      </c>
      <c r="D293" t="s">
        <v>3487</v>
      </c>
      <c r="F293" t="s">
        <v>256</v>
      </c>
      <c r="G293" s="126">
        <f>SUMIFS('Support - Transition'!F:F,'Support - Transition'!B:B,'Step 2'!A293,'Support - Transition'!C:C,'Step 2'!B293,'Support - Transition'!D:D,'Step 2'!C293,'Support - Transition'!E:E,"CIVIL")</f>
        <v>0</v>
      </c>
      <c r="H293" s="126">
        <f>SUMIFS('Support - Transition'!F:F,'Support - Transition'!B:B,'Step 2'!A293,'Support - Transition'!C:C,'Step 2'!B293,'Support - Transition'!D:D,'Step 2'!C293,'Support - Transition'!E:E,"FIRE")</f>
        <v>0</v>
      </c>
      <c r="I293" s="126">
        <f>IF(B293="0",SUMIFS('Support - Transition'!F:F,'Support - Transition'!J:J,'Step 2'!D293,'Support - Transition'!E:E,"STATE UNIT"),SUMIFS('Support - Transition'!F:F,'Support - Transition'!J:J,'Step 2'!D293))</f>
        <v>0</v>
      </c>
      <c r="J293" s="126">
        <f>SUMIFS('Support - Unit Adjustments'!E:E,'Support - Unit Adjustments'!F:F,'Step 2'!D293)</f>
        <v>0</v>
      </c>
      <c r="K293" s="126">
        <f t="shared" si="79"/>
        <v>0</v>
      </c>
      <c r="L293" s="174">
        <f>VLOOKUP(A293,'Step 1'!$A:$E,4,FALSE)</f>
        <v>250440</v>
      </c>
      <c r="M293" s="47">
        <f t="shared" si="80"/>
        <v>0</v>
      </c>
      <c r="N293" s="177">
        <f>SUMIFS('Support - Transition'!G:G,'Support - Transition'!J:J,'Step 2'!D293,'Support - Transition'!E:E,"2009 WELFARE ALLOCATION FACTOR")</f>
        <v>0</v>
      </c>
      <c r="O293" s="152">
        <f t="shared" si="85"/>
        <v>0</v>
      </c>
      <c r="P293" s="126">
        <f>IF(E293="Y",0,SUMIFS('Support - Transition'!G:G,'Support - Transition'!J:J,'Step 2'!D293,'Support - Transition'!E:E,"2009 SCHOOL ALLOCATION FACTOR"))</f>
        <v>0</v>
      </c>
      <c r="Q293" s="126">
        <f>IF(E293="Y",VLOOKUP(D293,'Support - Unit Adjustments'!F:G,2,FALSE),0)</f>
        <v>0</v>
      </c>
      <c r="R293" s="155">
        <f t="shared" si="98"/>
        <v>0</v>
      </c>
      <c r="S293" s="47">
        <f t="shared" si="97"/>
        <v>0</v>
      </c>
      <c r="T293" s="151">
        <f t="shared" si="81"/>
        <v>0</v>
      </c>
      <c r="U293" s="151">
        <f t="shared" si="82"/>
        <v>0</v>
      </c>
      <c r="V293" s="139">
        <f t="shared" si="83"/>
        <v>0</v>
      </c>
      <c r="W293" s="152">
        <f t="shared" si="87"/>
        <v>0</v>
      </c>
      <c r="X293" s="127" t="str">
        <f t="shared" si="84"/>
        <v/>
      </c>
      <c r="Y293" s="207">
        <f t="shared" si="88"/>
        <v>0</v>
      </c>
      <c r="Z293" s="139">
        <f t="shared" si="89"/>
        <v>0</v>
      </c>
      <c r="AA293" s="139">
        <f t="shared" si="90"/>
        <v>0</v>
      </c>
      <c r="AC293" s="47">
        <f t="shared" si="91"/>
        <v>0</v>
      </c>
      <c r="AD293" s="47">
        <f t="shared" si="92"/>
        <v>0</v>
      </c>
      <c r="AE293" s="47">
        <f t="shared" si="93"/>
        <v>0</v>
      </c>
      <c r="AG293" s="47">
        <f t="shared" si="94"/>
        <v>0</v>
      </c>
      <c r="AH293" s="47">
        <f t="shared" si="95"/>
        <v>0</v>
      </c>
      <c r="AI293" s="208">
        <f t="shared" si="96"/>
        <v>0</v>
      </c>
    </row>
    <row r="294" spans="1:35">
      <c r="A294" t="s">
        <v>2099</v>
      </c>
      <c r="B294" t="s">
        <v>3155</v>
      </c>
      <c r="C294" t="s">
        <v>2305</v>
      </c>
      <c r="D294" t="s">
        <v>3488</v>
      </c>
      <c r="F294" t="s">
        <v>257</v>
      </c>
      <c r="G294" s="126">
        <f>SUMIFS('Support - Transition'!F:F,'Support - Transition'!B:B,'Step 2'!A294,'Support - Transition'!C:C,'Step 2'!B294,'Support - Transition'!D:D,'Step 2'!C294,'Support - Transition'!E:E,"CIVIL")</f>
        <v>0</v>
      </c>
      <c r="H294" s="126">
        <f>SUMIFS('Support - Transition'!F:F,'Support - Transition'!B:B,'Step 2'!A294,'Support - Transition'!C:C,'Step 2'!B294,'Support - Transition'!D:D,'Step 2'!C294,'Support - Transition'!E:E,"FIRE")</f>
        <v>0</v>
      </c>
      <c r="I294" s="126">
        <f>IF(B294="0",SUMIFS('Support - Transition'!F:F,'Support - Transition'!J:J,'Step 2'!D294,'Support - Transition'!E:E,"STATE UNIT"),SUMIFS('Support - Transition'!F:F,'Support - Transition'!J:J,'Step 2'!D294))</f>
        <v>0</v>
      </c>
      <c r="J294" s="126">
        <f>SUMIFS('Support - Unit Adjustments'!E:E,'Support - Unit Adjustments'!F:F,'Step 2'!D294)</f>
        <v>0</v>
      </c>
      <c r="K294" s="126">
        <f t="shared" si="79"/>
        <v>0</v>
      </c>
      <c r="L294" s="174">
        <f>VLOOKUP(A294,'Step 1'!$A:$E,4,FALSE)</f>
        <v>250440</v>
      </c>
      <c r="M294" s="47">
        <f t="shared" si="80"/>
        <v>0</v>
      </c>
      <c r="N294" s="177">
        <f>SUMIFS('Support - Transition'!G:G,'Support - Transition'!J:J,'Step 2'!D294,'Support - Transition'!E:E,"2009 WELFARE ALLOCATION FACTOR")</f>
        <v>0</v>
      </c>
      <c r="O294" s="152">
        <f t="shared" si="85"/>
        <v>0</v>
      </c>
      <c r="P294" s="126">
        <f>IF(E294="Y",0,SUMIFS('Support - Transition'!G:G,'Support - Transition'!J:J,'Step 2'!D294,'Support - Transition'!E:E,"2009 SCHOOL ALLOCATION FACTOR"))</f>
        <v>0</v>
      </c>
      <c r="Q294" s="126">
        <f>IF(E294="Y",VLOOKUP(D294,'Support - Unit Adjustments'!F:G,2,FALSE),0)</f>
        <v>0</v>
      </c>
      <c r="R294" s="155">
        <f t="shared" si="98"/>
        <v>0</v>
      </c>
      <c r="S294" s="47">
        <f t="shared" si="97"/>
        <v>0</v>
      </c>
      <c r="T294" s="151">
        <f t="shared" si="81"/>
        <v>0</v>
      </c>
      <c r="U294" s="151">
        <f t="shared" si="82"/>
        <v>0</v>
      </c>
      <c r="V294" s="139">
        <f t="shared" si="83"/>
        <v>0</v>
      </c>
      <c r="W294" s="152">
        <f t="shared" si="87"/>
        <v>0</v>
      </c>
      <c r="X294" s="127" t="str">
        <f t="shared" si="84"/>
        <v/>
      </c>
      <c r="Y294" s="207">
        <f t="shared" si="88"/>
        <v>0</v>
      </c>
      <c r="Z294" s="139">
        <f t="shared" si="89"/>
        <v>0</v>
      </c>
      <c r="AA294" s="139">
        <f t="shared" si="90"/>
        <v>0</v>
      </c>
      <c r="AC294" s="47">
        <f t="shared" si="91"/>
        <v>0</v>
      </c>
      <c r="AD294" s="47">
        <f t="shared" si="92"/>
        <v>0</v>
      </c>
      <c r="AE294" s="47">
        <f t="shared" si="93"/>
        <v>0</v>
      </c>
      <c r="AG294" s="47">
        <f t="shared" si="94"/>
        <v>0</v>
      </c>
      <c r="AH294" s="47">
        <f t="shared" si="95"/>
        <v>0</v>
      </c>
      <c r="AI294" s="208">
        <f t="shared" si="96"/>
        <v>0</v>
      </c>
    </row>
    <row r="295" spans="1:35">
      <c r="A295" t="s">
        <v>2099</v>
      </c>
      <c r="B295" t="s">
        <v>3155</v>
      </c>
      <c r="C295" t="s">
        <v>2306</v>
      </c>
      <c r="D295" t="s">
        <v>3489</v>
      </c>
      <c r="F295" t="s">
        <v>259</v>
      </c>
      <c r="G295" s="126">
        <f>SUMIFS('Support - Transition'!F:F,'Support - Transition'!B:B,'Step 2'!A295,'Support - Transition'!C:C,'Step 2'!B295,'Support - Transition'!D:D,'Step 2'!C295,'Support - Transition'!E:E,"CIVIL")</f>
        <v>0</v>
      </c>
      <c r="H295" s="126">
        <f>SUMIFS('Support - Transition'!F:F,'Support - Transition'!B:B,'Step 2'!A295,'Support - Transition'!C:C,'Step 2'!B295,'Support - Transition'!D:D,'Step 2'!C295,'Support - Transition'!E:E,"FIRE")</f>
        <v>0</v>
      </c>
      <c r="I295" s="126">
        <f>IF(B295="0",SUMIFS('Support - Transition'!F:F,'Support - Transition'!J:J,'Step 2'!D295,'Support - Transition'!E:E,"STATE UNIT"),SUMIFS('Support - Transition'!F:F,'Support - Transition'!J:J,'Step 2'!D295))</f>
        <v>8.3299999999999997E-4</v>
      </c>
      <c r="J295" s="126">
        <f>SUMIFS('Support - Unit Adjustments'!E:E,'Support - Unit Adjustments'!F:F,'Step 2'!D295)</f>
        <v>0</v>
      </c>
      <c r="K295" s="126">
        <f t="shared" si="79"/>
        <v>8.3299999999999997E-4</v>
      </c>
      <c r="L295" s="174">
        <f>VLOOKUP(A295,'Step 1'!$A:$E,4,FALSE)</f>
        <v>250440</v>
      </c>
      <c r="M295" s="47">
        <f t="shared" si="80"/>
        <v>209</v>
      </c>
      <c r="N295" s="177">
        <f>SUMIFS('Support - Transition'!G:G,'Support - Transition'!J:J,'Step 2'!D295,'Support - Transition'!E:E,"2009 WELFARE ALLOCATION FACTOR")</f>
        <v>0</v>
      </c>
      <c r="O295" s="152">
        <f t="shared" si="85"/>
        <v>0</v>
      </c>
      <c r="P295" s="126">
        <f>IF(E295="Y",0,SUMIFS('Support - Transition'!G:G,'Support - Transition'!J:J,'Step 2'!D295,'Support - Transition'!E:E,"2009 SCHOOL ALLOCATION FACTOR"))</f>
        <v>0</v>
      </c>
      <c r="Q295" s="126">
        <f>IF(E295="Y",VLOOKUP(D295,'Support - Unit Adjustments'!F:G,2,FALSE),0)</f>
        <v>0</v>
      </c>
      <c r="R295" s="155">
        <f t="shared" si="98"/>
        <v>0</v>
      </c>
      <c r="S295" s="47">
        <f t="shared" si="97"/>
        <v>0</v>
      </c>
      <c r="T295" s="151">
        <f t="shared" si="81"/>
        <v>209</v>
      </c>
      <c r="U295" s="151">
        <f t="shared" si="82"/>
        <v>0</v>
      </c>
      <c r="V295" s="139">
        <f t="shared" si="83"/>
        <v>0</v>
      </c>
      <c r="W295" s="152">
        <f t="shared" si="87"/>
        <v>209</v>
      </c>
      <c r="X295" s="127" t="str">
        <f t="shared" si="84"/>
        <v/>
      </c>
      <c r="Y295" s="207">
        <f t="shared" si="88"/>
        <v>209</v>
      </c>
      <c r="Z295" s="139">
        <f t="shared" si="89"/>
        <v>209</v>
      </c>
      <c r="AA295" s="139">
        <f t="shared" si="90"/>
        <v>0</v>
      </c>
      <c r="AC295" s="47">
        <f t="shared" si="91"/>
        <v>105</v>
      </c>
      <c r="AD295" s="47">
        <f t="shared" si="92"/>
        <v>105</v>
      </c>
      <c r="AE295" s="47">
        <f t="shared" si="93"/>
        <v>0</v>
      </c>
      <c r="AG295" s="47">
        <f t="shared" si="94"/>
        <v>104</v>
      </c>
      <c r="AH295" s="47">
        <f t="shared" si="95"/>
        <v>104</v>
      </c>
      <c r="AI295" s="208">
        <f t="shared" si="96"/>
        <v>0</v>
      </c>
    </row>
    <row r="296" spans="1:35">
      <c r="A296" t="s">
        <v>2099</v>
      </c>
      <c r="B296" t="s">
        <v>3155</v>
      </c>
      <c r="C296" t="s">
        <v>2307</v>
      </c>
      <c r="D296" t="s">
        <v>3490</v>
      </c>
      <c r="F296" t="s">
        <v>260</v>
      </c>
      <c r="G296" s="126">
        <f>SUMIFS('Support - Transition'!F:F,'Support - Transition'!B:B,'Step 2'!A296,'Support - Transition'!C:C,'Step 2'!B296,'Support - Transition'!D:D,'Step 2'!C296,'Support - Transition'!E:E,"CIVIL")</f>
        <v>0</v>
      </c>
      <c r="H296" s="126">
        <f>SUMIFS('Support - Transition'!F:F,'Support - Transition'!B:B,'Step 2'!A296,'Support - Transition'!C:C,'Step 2'!B296,'Support - Transition'!D:D,'Step 2'!C296,'Support - Transition'!E:E,"FIRE")</f>
        <v>0</v>
      </c>
      <c r="I296" s="126">
        <f>IF(B296="0",SUMIFS('Support - Transition'!F:F,'Support - Transition'!J:J,'Step 2'!D296,'Support - Transition'!E:E,"STATE UNIT"),SUMIFS('Support - Transition'!F:F,'Support - Transition'!J:J,'Step 2'!D296))</f>
        <v>0</v>
      </c>
      <c r="J296" s="126">
        <f>SUMIFS('Support - Unit Adjustments'!E:E,'Support - Unit Adjustments'!F:F,'Step 2'!D296)</f>
        <v>0</v>
      </c>
      <c r="K296" s="126">
        <f t="shared" si="79"/>
        <v>0</v>
      </c>
      <c r="L296" s="174">
        <f>VLOOKUP(A296,'Step 1'!$A:$E,4,FALSE)</f>
        <v>250440</v>
      </c>
      <c r="M296" s="47">
        <f t="shared" si="80"/>
        <v>0</v>
      </c>
      <c r="N296" s="177">
        <f>SUMIFS('Support - Transition'!G:G,'Support - Transition'!J:J,'Step 2'!D296,'Support - Transition'!E:E,"2009 WELFARE ALLOCATION FACTOR")</f>
        <v>0</v>
      </c>
      <c r="O296" s="152">
        <f t="shared" si="85"/>
        <v>0</v>
      </c>
      <c r="P296" s="126">
        <f>IF(E296="Y",0,SUMIFS('Support - Transition'!G:G,'Support - Transition'!J:J,'Step 2'!D296,'Support - Transition'!E:E,"2009 SCHOOL ALLOCATION FACTOR"))</f>
        <v>0</v>
      </c>
      <c r="Q296" s="126">
        <f>IF(E296="Y",VLOOKUP(D296,'Support - Unit Adjustments'!F:G,2,FALSE),0)</f>
        <v>0</v>
      </c>
      <c r="R296" s="155">
        <f t="shared" si="98"/>
        <v>0</v>
      </c>
      <c r="S296" s="47">
        <f t="shared" si="97"/>
        <v>0</v>
      </c>
      <c r="T296" s="151">
        <f t="shared" si="81"/>
        <v>0</v>
      </c>
      <c r="U296" s="151">
        <f t="shared" si="82"/>
        <v>0</v>
      </c>
      <c r="V296" s="139">
        <f t="shared" si="83"/>
        <v>0</v>
      </c>
      <c r="W296" s="152">
        <f t="shared" si="87"/>
        <v>0</v>
      </c>
      <c r="X296" s="127" t="str">
        <f t="shared" si="84"/>
        <v/>
      </c>
      <c r="Y296" s="207">
        <f t="shared" si="88"/>
        <v>0</v>
      </c>
      <c r="Z296" s="139">
        <f t="shared" si="89"/>
        <v>0</v>
      </c>
      <c r="AA296" s="139">
        <f t="shared" si="90"/>
        <v>0</v>
      </c>
      <c r="AC296" s="47">
        <f t="shared" si="91"/>
        <v>0</v>
      </c>
      <c r="AD296" s="47">
        <f t="shared" si="92"/>
        <v>0</v>
      </c>
      <c r="AE296" s="47">
        <f t="shared" si="93"/>
        <v>0</v>
      </c>
      <c r="AG296" s="47">
        <f t="shared" si="94"/>
        <v>0</v>
      </c>
      <c r="AH296" s="47">
        <f t="shared" si="95"/>
        <v>0</v>
      </c>
      <c r="AI296" s="208">
        <f t="shared" si="96"/>
        <v>0</v>
      </c>
    </row>
    <row r="297" spans="1:35">
      <c r="A297" t="s">
        <v>2099</v>
      </c>
      <c r="B297" t="s">
        <v>3155</v>
      </c>
      <c r="C297" t="s">
        <v>2308</v>
      </c>
      <c r="D297" t="s">
        <v>3491</v>
      </c>
      <c r="F297" t="s">
        <v>258</v>
      </c>
      <c r="G297" s="126">
        <f>SUMIFS('Support - Transition'!F:F,'Support - Transition'!B:B,'Step 2'!A297,'Support - Transition'!C:C,'Step 2'!B297,'Support - Transition'!D:D,'Step 2'!C297,'Support - Transition'!E:E,"CIVIL")</f>
        <v>0</v>
      </c>
      <c r="H297" s="126">
        <f>SUMIFS('Support - Transition'!F:F,'Support - Transition'!B:B,'Step 2'!A297,'Support - Transition'!C:C,'Step 2'!B297,'Support - Transition'!D:D,'Step 2'!C297,'Support - Transition'!E:E,"FIRE")</f>
        <v>0</v>
      </c>
      <c r="I297" s="126">
        <f>IF(B297="0",SUMIFS('Support - Transition'!F:F,'Support - Transition'!J:J,'Step 2'!D297,'Support - Transition'!E:E,"STATE UNIT"),SUMIFS('Support - Transition'!F:F,'Support - Transition'!J:J,'Step 2'!D297))</f>
        <v>1.1280000000000001E-3</v>
      </c>
      <c r="J297" s="126">
        <f>SUMIFS('Support - Unit Adjustments'!E:E,'Support - Unit Adjustments'!F:F,'Step 2'!D297)</f>
        <v>0</v>
      </c>
      <c r="K297" s="126">
        <f t="shared" si="79"/>
        <v>1.1280000000000001E-3</v>
      </c>
      <c r="L297" s="174">
        <f>VLOOKUP(A297,'Step 1'!$A:$E,4,FALSE)</f>
        <v>250440</v>
      </c>
      <c r="M297" s="47">
        <f t="shared" si="80"/>
        <v>282</v>
      </c>
      <c r="N297" s="177">
        <f>SUMIFS('Support - Transition'!G:G,'Support - Transition'!J:J,'Step 2'!D297,'Support - Transition'!E:E,"2009 WELFARE ALLOCATION FACTOR")</f>
        <v>0</v>
      </c>
      <c r="O297" s="152">
        <f t="shared" si="85"/>
        <v>0</v>
      </c>
      <c r="P297" s="126">
        <f>IF(E297="Y",0,SUMIFS('Support - Transition'!G:G,'Support - Transition'!J:J,'Step 2'!D297,'Support - Transition'!E:E,"2009 SCHOOL ALLOCATION FACTOR"))</f>
        <v>0</v>
      </c>
      <c r="Q297" s="126">
        <f>IF(E297="Y",VLOOKUP(D297,'Support - Unit Adjustments'!F:G,2,FALSE),0)</f>
        <v>0</v>
      </c>
      <c r="R297" s="155">
        <f t="shared" si="98"/>
        <v>0</v>
      </c>
      <c r="S297" s="47">
        <f t="shared" si="97"/>
        <v>0</v>
      </c>
      <c r="T297" s="151">
        <f t="shared" si="81"/>
        <v>282</v>
      </c>
      <c r="U297" s="151">
        <f t="shared" si="82"/>
        <v>0</v>
      </c>
      <c r="V297" s="139">
        <f t="shared" si="83"/>
        <v>0</v>
      </c>
      <c r="W297" s="152">
        <f t="shared" si="87"/>
        <v>282</v>
      </c>
      <c r="X297" s="127" t="str">
        <f t="shared" si="84"/>
        <v/>
      </c>
      <c r="Y297" s="207">
        <f t="shared" si="88"/>
        <v>282</v>
      </c>
      <c r="Z297" s="139">
        <f t="shared" si="89"/>
        <v>282</v>
      </c>
      <c r="AA297" s="139">
        <f t="shared" si="90"/>
        <v>0</v>
      </c>
      <c r="AC297" s="47">
        <f t="shared" si="91"/>
        <v>141</v>
      </c>
      <c r="AD297" s="47">
        <f t="shared" si="92"/>
        <v>141</v>
      </c>
      <c r="AE297" s="47">
        <f t="shared" si="93"/>
        <v>0</v>
      </c>
      <c r="AG297" s="47">
        <f t="shared" si="94"/>
        <v>141</v>
      </c>
      <c r="AH297" s="47">
        <f t="shared" si="95"/>
        <v>141</v>
      </c>
      <c r="AI297" s="208">
        <f t="shared" si="96"/>
        <v>0</v>
      </c>
    </row>
    <row r="298" spans="1:35">
      <c r="A298" t="s">
        <v>2099</v>
      </c>
      <c r="B298" t="s">
        <v>3160</v>
      </c>
      <c r="C298" t="s">
        <v>2309</v>
      </c>
      <c r="D298" t="s">
        <v>3492</v>
      </c>
      <c r="F298" t="s">
        <v>261</v>
      </c>
      <c r="G298" s="126">
        <f>SUMIFS('Support - Transition'!F:F,'Support - Transition'!B:B,'Step 2'!A298,'Support - Transition'!C:C,'Step 2'!B298,'Support - Transition'!D:D,'Step 2'!C298,'Support - Transition'!E:E,"CIVIL")</f>
        <v>0</v>
      </c>
      <c r="H298" s="126">
        <f>SUMIFS('Support - Transition'!F:F,'Support - Transition'!B:B,'Step 2'!A298,'Support - Transition'!C:C,'Step 2'!B298,'Support - Transition'!D:D,'Step 2'!C298,'Support - Transition'!E:E,"FIRE")</f>
        <v>0</v>
      </c>
      <c r="I298" s="126">
        <f>IF(B298="0",SUMIFS('Support - Transition'!F:F,'Support - Transition'!J:J,'Step 2'!D298,'Support - Transition'!E:E,"STATE UNIT"),SUMIFS('Support - Transition'!F:F,'Support - Transition'!J:J,'Step 2'!D298))</f>
        <v>0.70628500000000005</v>
      </c>
      <c r="J298" s="126">
        <f>SUMIFS('Support - Unit Adjustments'!E:E,'Support - Unit Adjustments'!F:F,'Step 2'!D298)</f>
        <v>0</v>
      </c>
      <c r="K298" s="126">
        <f t="shared" si="79"/>
        <v>0.70628500000000005</v>
      </c>
      <c r="L298" s="174">
        <f>VLOOKUP(A298,'Step 1'!$A:$E,4,FALSE)</f>
        <v>250440</v>
      </c>
      <c r="M298" s="47">
        <f t="shared" si="80"/>
        <v>176882</v>
      </c>
      <c r="N298" s="177">
        <f>SUMIFS('Support - Transition'!G:G,'Support - Transition'!J:J,'Step 2'!D298,'Support - Transition'!E:E,"2009 WELFARE ALLOCATION FACTOR")</f>
        <v>0</v>
      </c>
      <c r="O298" s="152">
        <f t="shared" si="85"/>
        <v>0</v>
      </c>
      <c r="P298" s="126">
        <f>IF(E298="Y",0,SUMIFS('Support - Transition'!G:G,'Support - Transition'!J:J,'Step 2'!D298,'Support - Transition'!E:E,"2009 SCHOOL ALLOCATION FACTOR"))</f>
        <v>0.37822099999999997</v>
      </c>
      <c r="Q298" s="126">
        <f>IF(E298="Y",VLOOKUP(D298,'Support - Unit Adjustments'!F:G,2,FALSE),0)</f>
        <v>0</v>
      </c>
      <c r="R298" s="155">
        <f t="shared" si="98"/>
        <v>0.37822099999999997</v>
      </c>
      <c r="S298" s="47">
        <f t="shared" si="97"/>
        <v>66900</v>
      </c>
      <c r="T298" s="151">
        <f t="shared" si="81"/>
        <v>109982</v>
      </c>
      <c r="U298" s="151">
        <f t="shared" si="82"/>
        <v>0</v>
      </c>
      <c r="V298" s="139">
        <f t="shared" si="83"/>
        <v>0</v>
      </c>
      <c r="W298" s="152">
        <f t="shared" si="87"/>
        <v>109982</v>
      </c>
      <c r="X298" s="127" t="str">
        <f t="shared" si="84"/>
        <v/>
      </c>
      <c r="Y298" s="207">
        <f t="shared" si="88"/>
        <v>109982</v>
      </c>
      <c r="Z298" s="139">
        <f t="shared" si="89"/>
        <v>109982</v>
      </c>
      <c r="AA298" s="139">
        <f t="shared" si="90"/>
        <v>0</v>
      </c>
      <c r="AC298" s="47">
        <f t="shared" si="91"/>
        <v>54991</v>
      </c>
      <c r="AD298" s="47">
        <f t="shared" si="92"/>
        <v>54991</v>
      </c>
      <c r="AE298" s="47">
        <f t="shared" si="93"/>
        <v>0</v>
      </c>
      <c r="AG298" s="47">
        <f t="shared" si="94"/>
        <v>54991</v>
      </c>
      <c r="AH298" s="47">
        <f t="shared" si="95"/>
        <v>54991</v>
      </c>
      <c r="AI298" s="208">
        <f t="shared" si="96"/>
        <v>0</v>
      </c>
    </row>
    <row r="299" spans="1:35">
      <c r="A299" t="s">
        <v>2099</v>
      </c>
      <c r="B299" t="s">
        <v>3160</v>
      </c>
      <c r="C299" t="s">
        <v>2310</v>
      </c>
      <c r="D299" t="s">
        <v>3493</v>
      </c>
      <c r="F299" t="s">
        <v>262</v>
      </c>
      <c r="G299" s="126">
        <f>SUMIFS('Support - Transition'!F:F,'Support - Transition'!B:B,'Step 2'!A299,'Support - Transition'!C:C,'Step 2'!B299,'Support - Transition'!D:D,'Step 2'!C299,'Support - Transition'!E:E,"CIVIL")</f>
        <v>0</v>
      </c>
      <c r="H299" s="126">
        <f>SUMIFS('Support - Transition'!F:F,'Support - Transition'!B:B,'Step 2'!A299,'Support - Transition'!C:C,'Step 2'!B299,'Support - Transition'!D:D,'Step 2'!C299,'Support - Transition'!E:E,"FIRE")</f>
        <v>0</v>
      </c>
      <c r="I299" s="126">
        <f>IF(B299="0",SUMIFS('Support - Transition'!F:F,'Support - Transition'!J:J,'Step 2'!D299,'Support - Transition'!E:E,"STATE UNIT"),SUMIFS('Support - Transition'!F:F,'Support - Transition'!J:J,'Step 2'!D299))</f>
        <v>6.0432E-2</v>
      </c>
      <c r="J299" s="126">
        <f>SUMIFS('Support - Unit Adjustments'!E:E,'Support - Unit Adjustments'!F:F,'Step 2'!D299)</f>
        <v>0</v>
      </c>
      <c r="K299" s="126">
        <f t="shared" si="79"/>
        <v>6.0432E-2</v>
      </c>
      <c r="L299" s="174">
        <f>VLOOKUP(A299,'Step 1'!$A:$E,4,FALSE)</f>
        <v>250440</v>
      </c>
      <c r="M299" s="47">
        <f t="shared" si="80"/>
        <v>15135</v>
      </c>
      <c r="N299" s="177">
        <f>SUMIFS('Support - Transition'!G:G,'Support - Transition'!J:J,'Step 2'!D299,'Support - Transition'!E:E,"2009 WELFARE ALLOCATION FACTOR")</f>
        <v>0</v>
      </c>
      <c r="O299" s="152">
        <f t="shared" si="85"/>
        <v>0</v>
      </c>
      <c r="P299" s="126">
        <f>IF(E299="Y",0,SUMIFS('Support - Transition'!G:G,'Support - Transition'!J:J,'Step 2'!D299,'Support - Transition'!E:E,"2009 SCHOOL ALLOCATION FACTOR"))</f>
        <v>0.38711699999999999</v>
      </c>
      <c r="Q299" s="126">
        <f>IF(E299="Y",VLOOKUP(D299,'Support - Unit Adjustments'!F:G,2,FALSE),0)</f>
        <v>0</v>
      </c>
      <c r="R299" s="155">
        <f t="shared" si="98"/>
        <v>0.38711699999999999</v>
      </c>
      <c r="S299" s="47">
        <f t="shared" si="97"/>
        <v>5859</v>
      </c>
      <c r="T299" s="151">
        <f t="shared" si="81"/>
        <v>9276</v>
      </c>
      <c r="U299" s="151">
        <f t="shared" si="82"/>
        <v>0</v>
      </c>
      <c r="V299" s="139">
        <f t="shared" si="83"/>
        <v>0</v>
      </c>
      <c r="W299" s="152">
        <f t="shared" si="87"/>
        <v>9276</v>
      </c>
      <c r="X299" s="127" t="str">
        <f t="shared" si="84"/>
        <v/>
      </c>
      <c r="Y299" s="207">
        <f t="shared" si="88"/>
        <v>9276</v>
      </c>
      <c r="Z299" s="139">
        <f t="shared" si="89"/>
        <v>9276</v>
      </c>
      <c r="AA299" s="139">
        <f t="shared" si="90"/>
        <v>0</v>
      </c>
      <c r="AC299" s="47">
        <f t="shared" si="91"/>
        <v>4638</v>
      </c>
      <c r="AD299" s="47">
        <f t="shared" si="92"/>
        <v>4638</v>
      </c>
      <c r="AE299" s="47">
        <f t="shared" si="93"/>
        <v>0</v>
      </c>
      <c r="AG299" s="47">
        <f t="shared" si="94"/>
        <v>4638</v>
      </c>
      <c r="AH299" s="47">
        <f t="shared" si="95"/>
        <v>4638</v>
      </c>
      <c r="AI299" s="208">
        <f t="shared" si="96"/>
        <v>0</v>
      </c>
    </row>
    <row r="300" spans="1:35">
      <c r="A300" t="s">
        <v>2099</v>
      </c>
      <c r="B300" t="s">
        <v>3166</v>
      </c>
      <c r="C300" t="s">
        <v>2311</v>
      </c>
      <c r="D300" t="s">
        <v>3494</v>
      </c>
      <c r="F300" t="s">
        <v>263</v>
      </c>
      <c r="G300" s="126">
        <f>SUMIFS('Support - Transition'!F:F,'Support - Transition'!B:B,'Step 2'!A300,'Support - Transition'!C:C,'Step 2'!B300,'Support - Transition'!D:D,'Step 2'!C300,'Support - Transition'!E:E,"CIVIL")</f>
        <v>0</v>
      </c>
      <c r="H300" s="126">
        <f>SUMIFS('Support - Transition'!F:F,'Support - Transition'!B:B,'Step 2'!A300,'Support - Transition'!C:C,'Step 2'!B300,'Support - Transition'!D:D,'Step 2'!C300,'Support - Transition'!E:E,"FIRE")</f>
        <v>0</v>
      </c>
      <c r="I300" s="126">
        <f>IF(B300="0",SUMIFS('Support - Transition'!F:F,'Support - Transition'!J:J,'Step 2'!D300,'Support - Transition'!E:E,"STATE UNIT"),SUMIFS('Support - Transition'!F:F,'Support - Transition'!J:J,'Step 2'!D300))</f>
        <v>7.9150000000000002E-3</v>
      </c>
      <c r="J300" s="126">
        <f>SUMIFS('Support - Unit Adjustments'!E:E,'Support - Unit Adjustments'!F:F,'Step 2'!D300)</f>
        <v>0</v>
      </c>
      <c r="K300" s="126">
        <f t="shared" si="79"/>
        <v>7.9150000000000002E-3</v>
      </c>
      <c r="L300" s="174">
        <f>VLOOKUP(A300,'Step 1'!$A:$E,4,FALSE)</f>
        <v>250440</v>
      </c>
      <c r="M300" s="47">
        <f t="shared" si="80"/>
        <v>1982</v>
      </c>
      <c r="N300" s="177">
        <f>SUMIFS('Support - Transition'!G:G,'Support - Transition'!J:J,'Step 2'!D300,'Support - Transition'!E:E,"2009 WELFARE ALLOCATION FACTOR")</f>
        <v>0</v>
      </c>
      <c r="O300" s="152">
        <f t="shared" si="85"/>
        <v>0</v>
      </c>
      <c r="P300" s="126">
        <f>IF(E300="Y",0,SUMIFS('Support - Transition'!G:G,'Support - Transition'!J:J,'Step 2'!D300,'Support - Transition'!E:E,"2009 SCHOOL ALLOCATION FACTOR"))</f>
        <v>0</v>
      </c>
      <c r="Q300" s="126">
        <f>IF(E300="Y",VLOOKUP(D300,'Support - Unit Adjustments'!F:G,2,FALSE),0)</f>
        <v>0</v>
      </c>
      <c r="R300" s="155">
        <f t="shared" si="98"/>
        <v>0</v>
      </c>
      <c r="S300" s="47">
        <f t="shared" si="97"/>
        <v>0</v>
      </c>
      <c r="T300" s="151">
        <f t="shared" si="81"/>
        <v>1982</v>
      </c>
      <c r="U300" s="151">
        <f t="shared" si="82"/>
        <v>0</v>
      </c>
      <c r="V300" s="139">
        <f t="shared" si="83"/>
        <v>0</v>
      </c>
      <c r="W300" s="152">
        <f t="shared" si="87"/>
        <v>1982</v>
      </c>
      <c r="X300" s="127" t="str">
        <f t="shared" si="84"/>
        <v/>
      </c>
      <c r="Y300" s="207">
        <f t="shared" si="88"/>
        <v>1982</v>
      </c>
      <c r="Z300" s="139">
        <f t="shared" si="89"/>
        <v>1982</v>
      </c>
      <c r="AA300" s="139">
        <f t="shared" si="90"/>
        <v>0</v>
      </c>
      <c r="AC300" s="47">
        <f t="shared" si="91"/>
        <v>991</v>
      </c>
      <c r="AD300" s="47">
        <f t="shared" si="92"/>
        <v>991</v>
      </c>
      <c r="AE300" s="47">
        <f t="shared" si="93"/>
        <v>0</v>
      </c>
      <c r="AG300" s="47">
        <f t="shared" si="94"/>
        <v>991</v>
      </c>
      <c r="AH300" s="47">
        <f t="shared" si="95"/>
        <v>991</v>
      </c>
      <c r="AI300" s="208">
        <f t="shared" si="96"/>
        <v>0</v>
      </c>
    </row>
    <row r="301" spans="1:35">
      <c r="A301" t="s">
        <v>2099</v>
      </c>
      <c r="B301" t="s">
        <v>3170</v>
      </c>
      <c r="C301" t="s">
        <v>3495</v>
      </c>
      <c r="D301" t="s">
        <v>3496</v>
      </c>
      <c r="F301" t="s">
        <v>3497</v>
      </c>
      <c r="G301" s="126">
        <f>SUMIFS('Support - Transition'!F:F,'Support - Transition'!B:B,'Step 2'!A301,'Support - Transition'!C:C,'Step 2'!B301,'Support - Transition'!D:D,'Step 2'!C301,'Support - Transition'!E:E,"CIVIL")</f>
        <v>0</v>
      </c>
      <c r="H301" s="126">
        <f>SUMIFS('Support - Transition'!F:F,'Support - Transition'!B:B,'Step 2'!A301,'Support - Transition'!C:C,'Step 2'!B301,'Support - Transition'!D:D,'Step 2'!C301,'Support - Transition'!E:E,"FIRE")</f>
        <v>0</v>
      </c>
      <c r="I301" s="126">
        <f>IF(B301="0",SUMIFS('Support - Transition'!F:F,'Support - Transition'!J:J,'Step 2'!D301,'Support - Transition'!E:E,"STATE UNIT"),SUMIFS('Support - Transition'!F:F,'Support - Transition'!J:J,'Step 2'!D301))</f>
        <v>0</v>
      </c>
      <c r="J301" s="126">
        <f>SUMIFS('Support - Unit Adjustments'!E:E,'Support - Unit Adjustments'!F:F,'Step 2'!D301)</f>
        <v>0</v>
      </c>
      <c r="K301" s="126">
        <f t="shared" si="79"/>
        <v>0</v>
      </c>
      <c r="L301" s="174">
        <f>VLOOKUP(A301,'Step 1'!$A:$E,4,FALSE)</f>
        <v>250440</v>
      </c>
      <c r="M301" s="47">
        <f t="shared" si="80"/>
        <v>0</v>
      </c>
      <c r="N301" s="177">
        <f>SUMIFS('Support - Transition'!G:G,'Support - Transition'!J:J,'Step 2'!D301,'Support - Transition'!E:E,"2009 WELFARE ALLOCATION FACTOR")</f>
        <v>0</v>
      </c>
      <c r="O301" s="152">
        <f t="shared" si="85"/>
        <v>0</v>
      </c>
      <c r="P301" s="126">
        <f>IF(E301="Y",0,SUMIFS('Support - Transition'!G:G,'Support - Transition'!J:J,'Step 2'!D301,'Support - Transition'!E:E,"2009 SCHOOL ALLOCATION FACTOR"))</f>
        <v>0</v>
      </c>
      <c r="Q301" s="126">
        <f>IF(E301="Y",VLOOKUP(D301,'Support - Unit Adjustments'!F:G,2,FALSE),0)</f>
        <v>0</v>
      </c>
      <c r="R301" s="155">
        <f t="shared" si="98"/>
        <v>0</v>
      </c>
      <c r="S301" s="47">
        <f t="shared" si="97"/>
        <v>0</v>
      </c>
      <c r="T301" s="151">
        <f t="shared" si="81"/>
        <v>0</v>
      </c>
      <c r="U301" s="151">
        <f t="shared" si="82"/>
        <v>0</v>
      </c>
      <c r="V301" s="139">
        <f t="shared" si="83"/>
        <v>0</v>
      </c>
      <c r="W301" s="152">
        <f t="shared" si="87"/>
        <v>0</v>
      </c>
      <c r="X301" s="127" t="str">
        <f t="shared" si="84"/>
        <v/>
      </c>
      <c r="Y301" s="207">
        <f t="shared" si="88"/>
        <v>0</v>
      </c>
      <c r="Z301" s="139">
        <f t="shared" si="89"/>
        <v>0</v>
      </c>
      <c r="AA301" s="139">
        <f t="shared" si="90"/>
        <v>0</v>
      </c>
      <c r="AC301" s="47">
        <f t="shared" si="91"/>
        <v>0</v>
      </c>
      <c r="AD301" s="47">
        <f t="shared" si="92"/>
        <v>0</v>
      </c>
      <c r="AE301" s="47">
        <f t="shared" si="93"/>
        <v>0</v>
      </c>
      <c r="AG301" s="47">
        <f t="shared" si="94"/>
        <v>0</v>
      </c>
      <c r="AH301" s="47">
        <f t="shared" si="95"/>
        <v>0</v>
      </c>
      <c r="AI301" s="208">
        <f t="shared" si="96"/>
        <v>0</v>
      </c>
    </row>
    <row r="302" spans="1:35">
      <c r="A302" t="s">
        <v>2099</v>
      </c>
      <c r="B302" t="s">
        <v>3170</v>
      </c>
      <c r="C302" t="s">
        <v>3498</v>
      </c>
      <c r="D302" t="s">
        <v>3499</v>
      </c>
      <c r="F302" t="s">
        <v>3500</v>
      </c>
      <c r="G302" s="126">
        <f>SUMIFS('Support - Transition'!F:F,'Support - Transition'!B:B,'Step 2'!A302,'Support - Transition'!C:C,'Step 2'!B302,'Support - Transition'!D:D,'Step 2'!C302,'Support - Transition'!E:E,"CIVIL")</f>
        <v>0</v>
      </c>
      <c r="H302" s="126">
        <f>SUMIFS('Support - Transition'!F:F,'Support - Transition'!B:B,'Step 2'!A302,'Support - Transition'!C:C,'Step 2'!B302,'Support - Transition'!D:D,'Step 2'!C302,'Support - Transition'!E:E,"FIRE")</f>
        <v>0</v>
      </c>
      <c r="I302" s="126">
        <f>IF(B302="0",SUMIFS('Support - Transition'!F:F,'Support - Transition'!J:J,'Step 2'!D302,'Support - Transition'!E:E,"STATE UNIT"),SUMIFS('Support - Transition'!F:F,'Support - Transition'!J:J,'Step 2'!D302))</f>
        <v>0</v>
      </c>
      <c r="J302" s="126">
        <f>SUMIFS('Support - Unit Adjustments'!E:E,'Support - Unit Adjustments'!F:F,'Step 2'!D302)</f>
        <v>0</v>
      </c>
      <c r="K302" s="126">
        <f t="shared" si="79"/>
        <v>0</v>
      </c>
      <c r="L302" s="174">
        <f>VLOOKUP(A302,'Step 1'!$A:$E,4,FALSE)</f>
        <v>250440</v>
      </c>
      <c r="M302" s="47">
        <f t="shared" si="80"/>
        <v>0</v>
      </c>
      <c r="N302" s="177">
        <f>SUMIFS('Support - Transition'!G:G,'Support - Transition'!J:J,'Step 2'!D302,'Support - Transition'!E:E,"2009 WELFARE ALLOCATION FACTOR")</f>
        <v>0</v>
      </c>
      <c r="O302" s="152">
        <f t="shared" si="85"/>
        <v>0</v>
      </c>
      <c r="P302" s="126">
        <f>IF(E302="Y",0,SUMIFS('Support - Transition'!G:G,'Support - Transition'!J:J,'Step 2'!D302,'Support - Transition'!E:E,"2009 SCHOOL ALLOCATION FACTOR"))</f>
        <v>0</v>
      </c>
      <c r="Q302" s="126">
        <f>IF(E302="Y",VLOOKUP(D302,'Support - Unit Adjustments'!F:G,2,FALSE),0)</f>
        <v>0</v>
      </c>
      <c r="R302" s="155">
        <f t="shared" si="98"/>
        <v>0</v>
      </c>
      <c r="S302" s="47">
        <f t="shared" si="97"/>
        <v>0</v>
      </c>
      <c r="T302" s="151">
        <f t="shared" si="81"/>
        <v>0</v>
      </c>
      <c r="U302" s="151">
        <f t="shared" si="82"/>
        <v>0</v>
      </c>
      <c r="V302" s="139">
        <f t="shared" si="83"/>
        <v>0</v>
      </c>
      <c r="W302" s="152">
        <f t="shared" si="87"/>
        <v>0</v>
      </c>
      <c r="X302" s="127" t="str">
        <f t="shared" si="84"/>
        <v/>
      </c>
      <c r="Y302" s="207">
        <f t="shared" si="88"/>
        <v>0</v>
      </c>
      <c r="Z302" s="139">
        <f t="shared" si="89"/>
        <v>0</v>
      </c>
      <c r="AA302" s="139">
        <f t="shared" si="90"/>
        <v>0</v>
      </c>
      <c r="AC302" s="47">
        <f t="shared" si="91"/>
        <v>0</v>
      </c>
      <c r="AD302" s="47">
        <f t="shared" si="92"/>
        <v>0</v>
      </c>
      <c r="AE302" s="47">
        <f t="shared" si="93"/>
        <v>0</v>
      </c>
      <c r="AG302" s="47">
        <f t="shared" si="94"/>
        <v>0</v>
      </c>
      <c r="AH302" s="47">
        <f t="shared" si="95"/>
        <v>0</v>
      </c>
      <c r="AI302" s="208">
        <f t="shared" si="96"/>
        <v>0</v>
      </c>
    </row>
    <row r="303" spans="1:35">
      <c r="A303" t="s">
        <v>2099</v>
      </c>
      <c r="B303" t="s">
        <v>3170</v>
      </c>
      <c r="C303" t="s">
        <v>3501</v>
      </c>
      <c r="D303" t="s">
        <v>3502</v>
      </c>
      <c r="F303" t="s">
        <v>3503</v>
      </c>
      <c r="G303" s="126">
        <f>SUMIFS('Support - Transition'!F:F,'Support - Transition'!B:B,'Step 2'!A303,'Support - Transition'!C:C,'Step 2'!B303,'Support - Transition'!D:D,'Step 2'!C303,'Support - Transition'!E:E,"CIVIL")</f>
        <v>0</v>
      </c>
      <c r="H303" s="126">
        <f>SUMIFS('Support - Transition'!F:F,'Support - Transition'!B:B,'Step 2'!A303,'Support - Transition'!C:C,'Step 2'!B303,'Support - Transition'!D:D,'Step 2'!C303,'Support - Transition'!E:E,"FIRE")</f>
        <v>0</v>
      </c>
      <c r="I303" s="126">
        <f>IF(B303="0",SUMIFS('Support - Transition'!F:F,'Support - Transition'!J:J,'Step 2'!D303,'Support - Transition'!E:E,"STATE UNIT"),SUMIFS('Support - Transition'!F:F,'Support - Transition'!J:J,'Step 2'!D303))</f>
        <v>0</v>
      </c>
      <c r="J303" s="126">
        <f>SUMIFS('Support - Unit Adjustments'!E:E,'Support - Unit Adjustments'!F:F,'Step 2'!D303)</f>
        <v>0</v>
      </c>
      <c r="K303" s="126">
        <f t="shared" si="79"/>
        <v>0</v>
      </c>
      <c r="L303" s="174">
        <f>VLOOKUP(A303,'Step 1'!$A:$E,4,FALSE)</f>
        <v>250440</v>
      </c>
      <c r="M303" s="47">
        <f t="shared" si="80"/>
        <v>0</v>
      </c>
      <c r="N303" s="177">
        <f>SUMIFS('Support - Transition'!G:G,'Support - Transition'!J:J,'Step 2'!D303,'Support - Transition'!E:E,"2009 WELFARE ALLOCATION FACTOR")</f>
        <v>0</v>
      </c>
      <c r="O303" s="152">
        <f t="shared" si="85"/>
        <v>0</v>
      </c>
      <c r="P303" s="126">
        <f>IF(E303="Y",0,SUMIFS('Support - Transition'!G:G,'Support - Transition'!J:J,'Step 2'!D303,'Support - Transition'!E:E,"2009 SCHOOL ALLOCATION FACTOR"))</f>
        <v>0</v>
      </c>
      <c r="Q303" s="126">
        <f>IF(E303="Y",VLOOKUP(D303,'Support - Unit Adjustments'!F:G,2,FALSE),0)</f>
        <v>0</v>
      </c>
      <c r="R303" s="155">
        <f t="shared" si="98"/>
        <v>0</v>
      </c>
      <c r="S303" s="47">
        <f t="shared" si="97"/>
        <v>0</v>
      </c>
      <c r="T303" s="151">
        <f t="shared" si="81"/>
        <v>0</v>
      </c>
      <c r="U303" s="151">
        <f t="shared" si="82"/>
        <v>0</v>
      </c>
      <c r="V303" s="139">
        <f t="shared" si="83"/>
        <v>0</v>
      </c>
      <c r="W303" s="152">
        <f t="shared" si="87"/>
        <v>0</v>
      </c>
      <c r="X303" s="127" t="str">
        <f t="shared" si="84"/>
        <v/>
      </c>
      <c r="Y303" s="207">
        <f t="shared" si="88"/>
        <v>0</v>
      </c>
      <c r="Z303" s="139">
        <f t="shared" si="89"/>
        <v>0</v>
      </c>
      <c r="AA303" s="139">
        <f t="shared" si="90"/>
        <v>0</v>
      </c>
      <c r="AC303" s="47">
        <f t="shared" si="91"/>
        <v>0</v>
      </c>
      <c r="AD303" s="47">
        <f t="shared" si="92"/>
        <v>0</v>
      </c>
      <c r="AE303" s="47">
        <f t="shared" si="93"/>
        <v>0</v>
      </c>
      <c r="AG303" s="47">
        <f t="shared" si="94"/>
        <v>0</v>
      </c>
      <c r="AH303" s="47">
        <f t="shared" si="95"/>
        <v>0</v>
      </c>
      <c r="AI303" s="208">
        <f t="shared" si="96"/>
        <v>0</v>
      </c>
    </row>
    <row r="304" spans="1:35">
      <c r="A304" t="s">
        <v>2099</v>
      </c>
      <c r="B304" t="s">
        <v>3170</v>
      </c>
      <c r="C304" t="s">
        <v>3504</v>
      </c>
      <c r="D304" t="s">
        <v>3505</v>
      </c>
      <c r="F304" t="s">
        <v>3506</v>
      </c>
      <c r="G304" s="126">
        <f>SUMIFS('Support - Transition'!F:F,'Support - Transition'!B:B,'Step 2'!A304,'Support - Transition'!C:C,'Step 2'!B304,'Support - Transition'!D:D,'Step 2'!C304,'Support - Transition'!E:E,"CIVIL")</f>
        <v>0</v>
      </c>
      <c r="H304" s="126">
        <f>SUMIFS('Support - Transition'!F:F,'Support - Transition'!B:B,'Step 2'!A304,'Support - Transition'!C:C,'Step 2'!B304,'Support - Transition'!D:D,'Step 2'!C304,'Support - Transition'!E:E,"FIRE")</f>
        <v>0</v>
      </c>
      <c r="I304" s="126">
        <f>IF(B304="0",SUMIFS('Support - Transition'!F:F,'Support - Transition'!J:J,'Step 2'!D304,'Support - Transition'!E:E,"STATE UNIT"),SUMIFS('Support - Transition'!F:F,'Support - Transition'!J:J,'Step 2'!D304))</f>
        <v>0</v>
      </c>
      <c r="J304" s="126">
        <f>SUMIFS('Support - Unit Adjustments'!E:E,'Support - Unit Adjustments'!F:F,'Step 2'!D304)</f>
        <v>0</v>
      </c>
      <c r="K304" s="126">
        <f t="shared" si="79"/>
        <v>0</v>
      </c>
      <c r="L304" s="174">
        <f>VLOOKUP(A304,'Step 1'!$A:$E,4,FALSE)</f>
        <v>250440</v>
      </c>
      <c r="M304" s="47">
        <f t="shared" si="80"/>
        <v>0</v>
      </c>
      <c r="N304" s="177">
        <f>SUMIFS('Support - Transition'!G:G,'Support - Transition'!J:J,'Step 2'!D304,'Support - Transition'!E:E,"2009 WELFARE ALLOCATION FACTOR")</f>
        <v>0</v>
      </c>
      <c r="O304" s="152">
        <f t="shared" si="85"/>
        <v>0</v>
      </c>
      <c r="P304" s="126">
        <f>IF(E304="Y",0,SUMIFS('Support - Transition'!G:G,'Support - Transition'!J:J,'Step 2'!D304,'Support - Transition'!E:E,"2009 SCHOOL ALLOCATION FACTOR"))</f>
        <v>0</v>
      </c>
      <c r="Q304" s="126">
        <f>IF(E304="Y",VLOOKUP(D304,'Support - Unit Adjustments'!F:G,2,FALSE),0)</f>
        <v>0</v>
      </c>
      <c r="R304" s="155">
        <f t="shared" si="98"/>
        <v>0</v>
      </c>
      <c r="S304" s="47">
        <f t="shared" si="97"/>
        <v>0</v>
      </c>
      <c r="T304" s="151">
        <f t="shared" si="81"/>
        <v>0</v>
      </c>
      <c r="U304" s="151">
        <f t="shared" si="82"/>
        <v>0</v>
      </c>
      <c r="V304" s="139">
        <f t="shared" si="83"/>
        <v>0</v>
      </c>
      <c r="W304" s="152">
        <f t="shared" si="87"/>
        <v>0</v>
      </c>
      <c r="X304" s="127" t="str">
        <f t="shared" si="84"/>
        <v/>
      </c>
      <c r="Y304" s="207">
        <f t="shared" si="88"/>
        <v>0</v>
      </c>
      <c r="Z304" s="139">
        <f t="shared" si="89"/>
        <v>0</v>
      </c>
      <c r="AA304" s="139">
        <f t="shared" si="90"/>
        <v>0</v>
      </c>
      <c r="AC304" s="47">
        <f t="shared" si="91"/>
        <v>0</v>
      </c>
      <c r="AD304" s="47">
        <f t="shared" si="92"/>
        <v>0</v>
      </c>
      <c r="AE304" s="47">
        <f t="shared" si="93"/>
        <v>0</v>
      </c>
      <c r="AG304" s="47">
        <f t="shared" si="94"/>
        <v>0</v>
      </c>
      <c r="AH304" s="47">
        <f t="shared" si="95"/>
        <v>0</v>
      </c>
      <c r="AI304" s="208">
        <f t="shared" si="96"/>
        <v>0</v>
      </c>
    </row>
    <row r="305" spans="1:35">
      <c r="A305" t="s">
        <v>2099</v>
      </c>
      <c r="B305" t="s">
        <v>3170</v>
      </c>
      <c r="C305" t="s">
        <v>3507</v>
      </c>
      <c r="D305" t="s">
        <v>3508</v>
      </c>
      <c r="F305" t="s">
        <v>3509</v>
      </c>
      <c r="G305" s="126">
        <f>SUMIFS('Support - Transition'!F:F,'Support - Transition'!B:B,'Step 2'!A305,'Support - Transition'!C:C,'Step 2'!B305,'Support - Transition'!D:D,'Step 2'!C305,'Support - Transition'!E:E,"CIVIL")</f>
        <v>0</v>
      </c>
      <c r="H305" s="126">
        <f>SUMIFS('Support - Transition'!F:F,'Support - Transition'!B:B,'Step 2'!A305,'Support - Transition'!C:C,'Step 2'!B305,'Support - Transition'!D:D,'Step 2'!C305,'Support - Transition'!E:E,"FIRE")</f>
        <v>0</v>
      </c>
      <c r="I305" s="126">
        <f>IF(B305="0",SUMIFS('Support - Transition'!F:F,'Support - Transition'!J:J,'Step 2'!D305,'Support - Transition'!E:E,"STATE UNIT"),SUMIFS('Support - Transition'!F:F,'Support - Transition'!J:J,'Step 2'!D305))</f>
        <v>0</v>
      </c>
      <c r="J305" s="126">
        <f>SUMIFS('Support - Unit Adjustments'!E:E,'Support - Unit Adjustments'!F:F,'Step 2'!D305)</f>
        <v>0</v>
      </c>
      <c r="K305" s="126">
        <f t="shared" si="79"/>
        <v>0</v>
      </c>
      <c r="L305" s="174">
        <f>VLOOKUP(A305,'Step 1'!$A:$E,4,FALSE)</f>
        <v>250440</v>
      </c>
      <c r="M305" s="47">
        <f t="shared" si="80"/>
        <v>0</v>
      </c>
      <c r="N305" s="177">
        <f>SUMIFS('Support - Transition'!G:G,'Support - Transition'!J:J,'Step 2'!D305,'Support - Transition'!E:E,"2009 WELFARE ALLOCATION FACTOR")</f>
        <v>0</v>
      </c>
      <c r="O305" s="152">
        <f t="shared" si="85"/>
        <v>0</v>
      </c>
      <c r="P305" s="126">
        <f>IF(E305="Y",0,SUMIFS('Support - Transition'!G:G,'Support - Transition'!J:J,'Step 2'!D305,'Support - Transition'!E:E,"2009 SCHOOL ALLOCATION FACTOR"))</f>
        <v>0</v>
      </c>
      <c r="Q305" s="126">
        <f>IF(E305="Y",VLOOKUP(D305,'Support - Unit Adjustments'!F:G,2,FALSE),0)</f>
        <v>0</v>
      </c>
      <c r="R305" s="155">
        <f t="shared" si="98"/>
        <v>0</v>
      </c>
      <c r="S305" s="47">
        <f t="shared" si="97"/>
        <v>0</v>
      </c>
      <c r="T305" s="151">
        <f t="shared" si="81"/>
        <v>0</v>
      </c>
      <c r="U305" s="151">
        <f t="shared" si="82"/>
        <v>0</v>
      </c>
      <c r="V305" s="139">
        <f t="shared" si="83"/>
        <v>0</v>
      </c>
      <c r="W305" s="152">
        <f t="shared" si="87"/>
        <v>0</v>
      </c>
      <c r="X305" s="127" t="str">
        <f t="shared" si="84"/>
        <v/>
      </c>
      <c r="Y305" s="207">
        <f t="shared" si="88"/>
        <v>0</v>
      </c>
      <c r="Z305" s="139">
        <f t="shared" si="89"/>
        <v>0</v>
      </c>
      <c r="AA305" s="139">
        <f t="shared" si="90"/>
        <v>0</v>
      </c>
      <c r="AC305" s="47">
        <f t="shared" si="91"/>
        <v>0</v>
      </c>
      <c r="AD305" s="47">
        <f t="shared" si="92"/>
        <v>0</v>
      </c>
      <c r="AE305" s="47">
        <f t="shared" si="93"/>
        <v>0</v>
      </c>
      <c r="AG305" s="47">
        <f t="shared" si="94"/>
        <v>0</v>
      </c>
      <c r="AH305" s="47">
        <f t="shared" si="95"/>
        <v>0</v>
      </c>
      <c r="AI305" s="208">
        <f t="shared" si="96"/>
        <v>0</v>
      </c>
    </row>
    <row r="306" spans="1:35">
      <c r="A306" t="s">
        <v>2182</v>
      </c>
      <c r="B306" s="48" t="s">
        <v>6274</v>
      </c>
      <c r="C306" t="s">
        <v>2187</v>
      </c>
      <c r="D306" t="str">
        <f>A306&amp;B306&amp;C306</f>
        <v>1200000</v>
      </c>
      <c r="F306" t="s">
        <v>6286</v>
      </c>
      <c r="G306" s="126">
        <f>SUMIFS('Support - Transition'!F:F,'Support - Transition'!B:B,'Step 2'!A306,'Support - Transition'!C:C,'Step 2'!B306,'Support - Transition'!D:D,'Step 2'!C306,'Support - Transition'!E:E,"CIVIL")</f>
        <v>0</v>
      </c>
      <c r="H306" s="126">
        <f>SUMIFS('Support - Transition'!F:F,'Support - Transition'!B:B,'Step 2'!A306,'Support - Transition'!C:C,'Step 2'!B306,'Support - Transition'!D:D,'Step 2'!C306,'Support - Transition'!E:E,"FIRE")</f>
        <v>0</v>
      </c>
      <c r="I306" s="126">
        <f>IF(B306="0",SUMIFS('Support - Transition'!F:F,'Support - Transition'!J:J,'Step 2'!D306,'Support - Transition'!E:E,"STATE UNIT"),SUMIFS('Support - Transition'!F:F,'Support - Transition'!J:J,'Step 2'!D306))</f>
        <v>1.0499999999999999E-3</v>
      </c>
      <c r="J306" s="126">
        <f>SUMIFS('Support - Unit Adjustments'!E:E,'Support - Unit Adjustments'!F:F,'Step 2'!D306)</f>
        <v>0</v>
      </c>
      <c r="K306" s="126">
        <f t="shared" si="79"/>
        <v>1.0499999999999999E-3</v>
      </c>
      <c r="L306" s="174">
        <f>VLOOKUP(A306,'Step 1'!$A:$E,4,FALSE)</f>
        <v>485063</v>
      </c>
      <c r="M306" s="47">
        <f t="shared" si="80"/>
        <v>509</v>
      </c>
      <c r="N306" s="177">
        <f>SUMIFS('Support - Transition'!G:G,'Support - Transition'!J:J,'Step 2'!D306,'Support - Transition'!E:E,"2009 WELFARE ALLOCATION FACTOR")</f>
        <v>0</v>
      </c>
      <c r="O306" s="152">
        <f t="shared" si="85"/>
        <v>0</v>
      </c>
      <c r="P306" s="126">
        <f>IF(E306="Y",0,SUMIFS('Support - Transition'!G:G,'Support - Transition'!J:J,'Step 2'!D306,'Support - Transition'!E:E,"2009 SCHOOL ALLOCATION FACTOR"))</f>
        <v>0</v>
      </c>
      <c r="Q306" s="126">
        <f>IF(E306="Y",VLOOKUP(D306,'Support - Unit Adjustments'!F:G,2,FALSE),0)</f>
        <v>0</v>
      </c>
      <c r="R306" s="155">
        <f t="shared" si="98"/>
        <v>0</v>
      </c>
      <c r="S306" s="47">
        <f t="shared" si="97"/>
        <v>0</v>
      </c>
      <c r="T306" s="151">
        <f t="shared" si="81"/>
        <v>509</v>
      </c>
      <c r="U306" s="151">
        <f t="shared" si="82"/>
        <v>485063</v>
      </c>
      <c r="V306" s="139">
        <f t="shared" si="83"/>
        <v>0</v>
      </c>
      <c r="W306" s="152">
        <f t="shared" si="87"/>
        <v>509</v>
      </c>
      <c r="X306" s="127">
        <f t="shared" si="84"/>
        <v>0</v>
      </c>
      <c r="Y306" s="207">
        <f t="shared" si="88"/>
        <v>509</v>
      </c>
      <c r="Z306" s="139">
        <f t="shared" si="89"/>
        <v>509</v>
      </c>
      <c r="AA306" s="139">
        <f t="shared" si="90"/>
        <v>0</v>
      </c>
      <c r="AC306" s="47">
        <f t="shared" si="91"/>
        <v>255</v>
      </c>
      <c r="AD306" s="47">
        <f t="shared" si="92"/>
        <v>255</v>
      </c>
      <c r="AE306" s="47">
        <f t="shared" si="93"/>
        <v>0</v>
      </c>
      <c r="AG306" s="47">
        <f t="shared" si="94"/>
        <v>254</v>
      </c>
      <c r="AH306" s="47">
        <f t="shared" si="95"/>
        <v>254</v>
      </c>
      <c r="AI306" s="208">
        <f t="shared" si="96"/>
        <v>0</v>
      </c>
    </row>
    <row r="307" spans="1:35">
      <c r="A307" t="s">
        <v>2182</v>
      </c>
      <c r="B307" t="s">
        <v>3140</v>
      </c>
      <c r="C307" t="s">
        <v>2187</v>
      </c>
      <c r="D307" t="s">
        <v>3510</v>
      </c>
      <c r="F307" t="s">
        <v>266</v>
      </c>
      <c r="G307" s="126">
        <f>SUMIFS('Support - Transition'!F:F,'Support - Transition'!B:B,'Step 2'!A307,'Support - Transition'!C:C,'Step 2'!B307,'Support - Transition'!D:D,'Step 2'!C307,'Support - Transition'!E:E,"CIVIL")</f>
        <v>0</v>
      </c>
      <c r="H307" s="126">
        <f>SUMIFS('Support - Transition'!F:F,'Support - Transition'!B:B,'Step 2'!A307,'Support - Transition'!C:C,'Step 2'!B307,'Support - Transition'!D:D,'Step 2'!C307,'Support - Transition'!E:E,"FIRE")</f>
        <v>0</v>
      </c>
      <c r="I307" s="126">
        <f>IF(B307="0",SUMIFS('Support - Transition'!F:F,'Support - Transition'!J:J,'Step 2'!D307,'Support - Transition'!E:E,"STATE UNIT"),SUMIFS('Support - Transition'!F:F,'Support - Transition'!J:J,'Step 2'!D307))</f>
        <v>0.34461999999999998</v>
      </c>
      <c r="J307" s="126">
        <f>SUMIFS('Support - Unit Adjustments'!E:E,'Support - Unit Adjustments'!F:F,'Step 2'!D307)</f>
        <v>0</v>
      </c>
      <c r="K307" s="126">
        <f t="shared" si="79"/>
        <v>0.34461999999999998</v>
      </c>
      <c r="L307" s="174">
        <f>VLOOKUP(A307,'Step 1'!$A:$E,4,FALSE)</f>
        <v>485063</v>
      </c>
      <c r="M307" s="47">
        <f t="shared" si="80"/>
        <v>167162</v>
      </c>
      <c r="N307" s="177">
        <f>SUMIFS('Support - Transition'!G:G,'Support - Transition'!J:J,'Step 2'!D307,'Support - Transition'!E:E,"2009 WELFARE ALLOCATION FACTOR")</f>
        <v>9.4759999999999997E-2</v>
      </c>
      <c r="O307" s="152">
        <f t="shared" si="85"/>
        <v>15840</v>
      </c>
      <c r="P307" s="126">
        <f>IF(E307="Y",0,SUMIFS('Support - Transition'!G:G,'Support - Transition'!J:J,'Step 2'!D307,'Support - Transition'!E:E,"2009 SCHOOL ALLOCATION FACTOR"))</f>
        <v>0</v>
      </c>
      <c r="Q307" s="126">
        <f>IF(E307="Y",VLOOKUP(D307,'Support - Unit Adjustments'!F:G,2,FALSE),0)</f>
        <v>0</v>
      </c>
      <c r="R307" s="155">
        <f t="shared" si="98"/>
        <v>0</v>
      </c>
      <c r="S307" s="47">
        <f t="shared" si="97"/>
        <v>0</v>
      </c>
      <c r="T307" s="151">
        <f t="shared" si="81"/>
        <v>151322</v>
      </c>
      <c r="U307" s="151">
        <f t="shared" si="82"/>
        <v>0</v>
      </c>
      <c r="V307" s="139">
        <f t="shared" si="83"/>
        <v>0</v>
      </c>
      <c r="W307" s="152">
        <f t="shared" si="87"/>
        <v>151322</v>
      </c>
      <c r="X307" s="127" t="str">
        <f t="shared" si="84"/>
        <v/>
      </c>
      <c r="Y307" s="207">
        <f t="shared" si="88"/>
        <v>151322</v>
      </c>
      <c r="Z307" s="139">
        <f t="shared" si="89"/>
        <v>151322</v>
      </c>
      <c r="AA307" s="139">
        <f t="shared" si="90"/>
        <v>0</v>
      </c>
      <c r="AC307" s="47">
        <f t="shared" si="91"/>
        <v>75661</v>
      </c>
      <c r="AD307" s="47">
        <f t="shared" si="92"/>
        <v>75661</v>
      </c>
      <c r="AE307" s="47">
        <f t="shared" si="93"/>
        <v>0</v>
      </c>
      <c r="AG307" s="47">
        <f t="shared" si="94"/>
        <v>75661</v>
      </c>
      <c r="AH307" s="47">
        <f t="shared" si="95"/>
        <v>75661</v>
      </c>
      <c r="AI307" s="208">
        <f t="shared" si="96"/>
        <v>0</v>
      </c>
    </row>
    <row r="308" spans="1:35">
      <c r="A308" t="s">
        <v>2182</v>
      </c>
      <c r="B308" t="s">
        <v>3142</v>
      </c>
      <c r="C308" t="s">
        <v>2188</v>
      </c>
      <c r="D308" t="s">
        <v>3511</v>
      </c>
      <c r="F308" t="s">
        <v>107</v>
      </c>
      <c r="G308" s="126">
        <f>SUMIFS('Support - Transition'!F:F,'Support - Transition'!B:B,'Step 2'!A308,'Support - Transition'!C:C,'Step 2'!B308,'Support - Transition'!D:D,'Step 2'!C308,'Support - Transition'!E:E,"CIVIL")</f>
        <v>7.0870000000000004E-3</v>
      </c>
      <c r="H308" s="126">
        <f>SUMIFS('Support - Transition'!F:F,'Support - Transition'!B:B,'Step 2'!A308,'Support - Transition'!C:C,'Step 2'!B308,'Support - Transition'!D:D,'Step 2'!C308,'Support - Transition'!E:E,"FIRE")</f>
        <v>1.3730000000000001E-3</v>
      </c>
      <c r="I308" s="126">
        <f>IF(B308="0",SUMIFS('Support - Transition'!F:F,'Support - Transition'!J:J,'Step 2'!D308,'Support - Transition'!E:E,"STATE UNIT"),SUMIFS('Support - Transition'!F:F,'Support - Transition'!J:J,'Step 2'!D308))</f>
        <v>8.4600000000000005E-3</v>
      </c>
      <c r="J308" s="126">
        <f>SUMIFS('Support - Unit Adjustments'!E:E,'Support - Unit Adjustments'!F:F,'Step 2'!D308)</f>
        <v>0</v>
      </c>
      <c r="K308" s="126">
        <f t="shared" si="79"/>
        <v>8.4600000000000005E-3</v>
      </c>
      <c r="L308" s="174">
        <f>VLOOKUP(A308,'Step 1'!$A:$E,4,FALSE)</f>
        <v>485063</v>
      </c>
      <c r="M308" s="47">
        <f t="shared" si="80"/>
        <v>4104</v>
      </c>
      <c r="N308" s="177">
        <f>SUMIFS('Support - Transition'!G:G,'Support - Transition'!J:J,'Step 2'!D308,'Support - Transition'!E:E,"2009 WELFARE ALLOCATION FACTOR")</f>
        <v>0</v>
      </c>
      <c r="O308" s="152">
        <f t="shared" si="85"/>
        <v>0</v>
      </c>
      <c r="P308" s="126">
        <f>IF(E308="Y",0,SUMIFS('Support - Transition'!G:G,'Support - Transition'!J:J,'Step 2'!D308,'Support - Transition'!E:E,"2009 SCHOOL ALLOCATION FACTOR"))</f>
        <v>0</v>
      </c>
      <c r="Q308" s="126">
        <f>IF(E308="Y",VLOOKUP(D308,'Support - Unit Adjustments'!F:G,2,FALSE),0)</f>
        <v>0</v>
      </c>
      <c r="R308" s="155">
        <f t="shared" si="98"/>
        <v>0</v>
      </c>
      <c r="S308" s="47">
        <f t="shared" si="97"/>
        <v>0</v>
      </c>
      <c r="T308" s="151">
        <f t="shared" si="81"/>
        <v>4104</v>
      </c>
      <c r="U308" s="151">
        <f t="shared" si="82"/>
        <v>0</v>
      </c>
      <c r="V308" s="139">
        <f t="shared" si="83"/>
        <v>0</v>
      </c>
      <c r="W308" s="152">
        <f t="shared" si="87"/>
        <v>4104</v>
      </c>
      <c r="X308" s="127" t="str">
        <f t="shared" si="84"/>
        <v/>
      </c>
      <c r="Y308" s="207">
        <f t="shared" si="88"/>
        <v>4104</v>
      </c>
      <c r="Z308" s="139">
        <f t="shared" si="89"/>
        <v>3438</v>
      </c>
      <c r="AA308" s="139">
        <f t="shared" si="90"/>
        <v>666</v>
      </c>
      <c r="AC308" s="47">
        <f t="shared" si="91"/>
        <v>2052</v>
      </c>
      <c r="AD308" s="47">
        <f t="shared" si="92"/>
        <v>1719</v>
      </c>
      <c r="AE308" s="47">
        <f t="shared" si="93"/>
        <v>333</v>
      </c>
      <c r="AG308" s="47">
        <f t="shared" si="94"/>
        <v>2052</v>
      </c>
      <c r="AH308" s="47">
        <f t="shared" si="95"/>
        <v>1719</v>
      </c>
      <c r="AI308" s="208">
        <f t="shared" si="96"/>
        <v>333</v>
      </c>
    </row>
    <row r="309" spans="1:35">
      <c r="A309" t="s">
        <v>2182</v>
      </c>
      <c r="B309" t="s">
        <v>3142</v>
      </c>
      <c r="C309" t="s">
        <v>2189</v>
      </c>
      <c r="D309" t="s">
        <v>3512</v>
      </c>
      <c r="F309" t="s">
        <v>267</v>
      </c>
      <c r="G309" s="126">
        <f>SUMIFS('Support - Transition'!F:F,'Support - Transition'!B:B,'Step 2'!A309,'Support - Transition'!C:C,'Step 2'!B309,'Support - Transition'!D:D,'Step 2'!C309,'Support - Transition'!E:E,"CIVIL")</f>
        <v>8.9400000000000005E-4</v>
      </c>
      <c r="H309" s="126">
        <f>SUMIFS('Support - Transition'!F:F,'Support - Transition'!B:B,'Step 2'!A309,'Support - Transition'!C:C,'Step 2'!B309,'Support - Transition'!D:D,'Step 2'!C309,'Support - Transition'!E:E,"FIRE")</f>
        <v>5.13E-4</v>
      </c>
      <c r="I309" s="126">
        <f>IF(B309="0",SUMIFS('Support - Transition'!F:F,'Support - Transition'!J:J,'Step 2'!D309,'Support - Transition'!E:E,"STATE UNIT"),SUMIFS('Support - Transition'!F:F,'Support - Transition'!J:J,'Step 2'!D309))</f>
        <v>1.407E-3</v>
      </c>
      <c r="J309" s="126">
        <f>SUMIFS('Support - Unit Adjustments'!E:E,'Support - Unit Adjustments'!F:F,'Step 2'!D309)</f>
        <v>0</v>
      </c>
      <c r="K309" s="126">
        <f t="shared" si="79"/>
        <v>1.407E-3</v>
      </c>
      <c r="L309" s="174">
        <f>VLOOKUP(A309,'Step 1'!$A:$E,4,FALSE)</f>
        <v>485063</v>
      </c>
      <c r="M309" s="47">
        <f t="shared" si="80"/>
        <v>682</v>
      </c>
      <c r="N309" s="177">
        <f>SUMIFS('Support - Transition'!G:G,'Support - Transition'!J:J,'Step 2'!D309,'Support - Transition'!E:E,"2009 WELFARE ALLOCATION FACTOR")</f>
        <v>0</v>
      </c>
      <c r="O309" s="152">
        <f t="shared" si="85"/>
        <v>0</v>
      </c>
      <c r="P309" s="126">
        <f>IF(E309="Y",0,SUMIFS('Support - Transition'!G:G,'Support - Transition'!J:J,'Step 2'!D309,'Support - Transition'!E:E,"2009 SCHOOL ALLOCATION FACTOR"))</f>
        <v>0</v>
      </c>
      <c r="Q309" s="126">
        <f>IF(E309="Y",VLOOKUP(D309,'Support - Unit Adjustments'!F:G,2,FALSE),0)</f>
        <v>0</v>
      </c>
      <c r="R309" s="155">
        <f t="shared" si="98"/>
        <v>0</v>
      </c>
      <c r="S309" s="47">
        <f t="shared" si="97"/>
        <v>0</v>
      </c>
      <c r="T309" s="151">
        <f t="shared" si="81"/>
        <v>682</v>
      </c>
      <c r="U309" s="151">
        <f t="shared" si="82"/>
        <v>0</v>
      </c>
      <c r="V309" s="139">
        <f t="shared" si="83"/>
        <v>0</v>
      </c>
      <c r="W309" s="152">
        <f t="shared" si="87"/>
        <v>682</v>
      </c>
      <c r="X309" s="127" t="str">
        <f t="shared" si="84"/>
        <v/>
      </c>
      <c r="Y309" s="207">
        <f t="shared" si="88"/>
        <v>682</v>
      </c>
      <c r="Z309" s="139">
        <f t="shared" si="89"/>
        <v>433</v>
      </c>
      <c r="AA309" s="139">
        <f t="shared" si="90"/>
        <v>249</v>
      </c>
      <c r="AC309" s="47">
        <f t="shared" si="91"/>
        <v>341</v>
      </c>
      <c r="AD309" s="47">
        <f t="shared" si="92"/>
        <v>217</v>
      </c>
      <c r="AE309" s="47">
        <f t="shared" si="93"/>
        <v>125</v>
      </c>
      <c r="AG309" s="47">
        <f t="shared" si="94"/>
        <v>341</v>
      </c>
      <c r="AH309" s="47">
        <f t="shared" si="95"/>
        <v>216</v>
      </c>
      <c r="AI309" s="208">
        <f t="shared" si="96"/>
        <v>124</v>
      </c>
    </row>
    <row r="310" spans="1:35">
      <c r="A310" t="s">
        <v>2182</v>
      </c>
      <c r="B310" t="s">
        <v>3142</v>
      </c>
      <c r="C310" t="s">
        <v>2190</v>
      </c>
      <c r="D310" t="s">
        <v>3513</v>
      </c>
      <c r="F310" t="s">
        <v>49</v>
      </c>
      <c r="G310" s="126">
        <f>SUMIFS('Support - Transition'!F:F,'Support - Transition'!B:B,'Step 2'!A310,'Support - Transition'!C:C,'Step 2'!B310,'Support - Transition'!D:D,'Step 2'!C310,'Support - Transition'!E:E,"CIVIL")</f>
        <v>4.6999999999999999E-4</v>
      </c>
      <c r="H310" s="126">
        <f>SUMIFS('Support - Transition'!F:F,'Support - Transition'!B:B,'Step 2'!A310,'Support - Transition'!C:C,'Step 2'!B310,'Support - Transition'!D:D,'Step 2'!C310,'Support - Transition'!E:E,"FIRE")</f>
        <v>3.8499999999999998E-4</v>
      </c>
      <c r="I310" s="126">
        <f>IF(B310="0",SUMIFS('Support - Transition'!F:F,'Support - Transition'!J:J,'Step 2'!D310,'Support - Transition'!E:E,"STATE UNIT"),SUMIFS('Support - Transition'!F:F,'Support - Transition'!J:J,'Step 2'!D310))</f>
        <v>8.5499999999999997E-4</v>
      </c>
      <c r="J310" s="126">
        <f>SUMIFS('Support - Unit Adjustments'!E:E,'Support - Unit Adjustments'!F:F,'Step 2'!D310)</f>
        <v>0</v>
      </c>
      <c r="K310" s="126">
        <f t="shared" si="79"/>
        <v>8.5499999999999997E-4</v>
      </c>
      <c r="L310" s="174">
        <f>VLOOKUP(A310,'Step 1'!$A:$E,4,FALSE)</f>
        <v>485063</v>
      </c>
      <c r="M310" s="47">
        <f t="shared" si="80"/>
        <v>415</v>
      </c>
      <c r="N310" s="177">
        <f>SUMIFS('Support - Transition'!G:G,'Support - Transition'!J:J,'Step 2'!D310,'Support - Transition'!E:E,"2009 WELFARE ALLOCATION FACTOR")</f>
        <v>0</v>
      </c>
      <c r="O310" s="152">
        <f t="shared" si="85"/>
        <v>0</v>
      </c>
      <c r="P310" s="126">
        <f>IF(E310="Y",0,SUMIFS('Support - Transition'!G:G,'Support - Transition'!J:J,'Step 2'!D310,'Support - Transition'!E:E,"2009 SCHOOL ALLOCATION FACTOR"))</f>
        <v>0</v>
      </c>
      <c r="Q310" s="126">
        <f>IF(E310="Y",VLOOKUP(D310,'Support - Unit Adjustments'!F:G,2,FALSE),0)</f>
        <v>0</v>
      </c>
      <c r="R310" s="155">
        <f t="shared" si="98"/>
        <v>0</v>
      </c>
      <c r="S310" s="47">
        <f t="shared" si="97"/>
        <v>0</v>
      </c>
      <c r="T310" s="151">
        <f t="shared" si="81"/>
        <v>415</v>
      </c>
      <c r="U310" s="151">
        <f t="shared" si="82"/>
        <v>0</v>
      </c>
      <c r="V310" s="139">
        <f t="shared" si="83"/>
        <v>0</v>
      </c>
      <c r="W310" s="152">
        <f t="shared" si="87"/>
        <v>415</v>
      </c>
      <c r="X310" s="127" t="str">
        <f t="shared" si="84"/>
        <v/>
      </c>
      <c r="Y310" s="207">
        <f t="shared" si="88"/>
        <v>415</v>
      </c>
      <c r="Z310" s="139">
        <f t="shared" si="89"/>
        <v>228</v>
      </c>
      <c r="AA310" s="139">
        <f t="shared" si="90"/>
        <v>187</v>
      </c>
      <c r="AC310" s="47">
        <f t="shared" si="91"/>
        <v>208</v>
      </c>
      <c r="AD310" s="47">
        <f t="shared" si="92"/>
        <v>114</v>
      </c>
      <c r="AE310" s="47">
        <f t="shared" si="93"/>
        <v>94</v>
      </c>
      <c r="AG310" s="47">
        <f t="shared" si="94"/>
        <v>207</v>
      </c>
      <c r="AH310" s="47">
        <f t="shared" si="95"/>
        <v>114</v>
      </c>
      <c r="AI310" s="208">
        <f t="shared" si="96"/>
        <v>93</v>
      </c>
    </row>
    <row r="311" spans="1:35">
      <c r="A311" t="s">
        <v>2182</v>
      </c>
      <c r="B311" t="s">
        <v>3142</v>
      </c>
      <c r="C311" t="s">
        <v>2191</v>
      </c>
      <c r="D311" t="s">
        <v>3514</v>
      </c>
      <c r="F311" t="s">
        <v>268</v>
      </c>
      <c r="G311" s="126">
        <f>SUMIFS('Support - Transition'!F:F,'Support - Transition'!B:B,'Step 2'!A311,'Support - Transition'!C:C,'Step 2'!B311,'Support - Transition'!D:D,'Step 2'!C311,'Support - Transition'!E:E,"CIVIL")</f>
        <v>1.358E-3</v>
      </c>
      <c r="H311" s="126">
        <f>SUMIFS('Support - Transition'!F:F,'Support - Transition'!B:B,'Step 2'!A311,'Support - Transition'!C:C,'Step 2'!B311,'Support - Transition'!D:D,'Step 2'!C311,'Support - Transition'!E:E,"FIRE")</f>
        <v>6.1200000000000002E-4</v>
      </c>
      <c r="I311" s="126">
        <f>IF(B311="0",SUMIFS('Support - Transition'!F:F,'Support - Transition'!J:J,'Step 2'!D311,'Support - Transition'!E:E,"STATE UNIT"),SUMIFS('Support - Transition'!F:F,'Support - Transition'!J:J,'Step 2'!D311))</f>
        <v>1.97E-3</v>
      </c>
      <c r="J311" s="126">
        <f>SUMIFS('Support - Unit Adjustments'!E:E,'Support - Unit Adjustments'!F:F,'Step 2'!D311)</f>
        <v>0</v>
      </c>
      <c r="K311" s="126">
        <f t="shared" si="79"/>
        <v>1.97E-3</v>
      </c>
      <c r="L311" s="174">
        <f>VLOOKUP(A311,'Step 1'!$A:$E,4,FALSE)</f>
        <v>485063</v>
      </c>
      <c r="M311" s="47">
        <f t="shared" si="80"/>
        <v>956</v>
      </c>
      <c r="N311" s="177">
        <f>SUMIFS('Support - Transition'!G:G,'Support - Transition'!J:J,'Step 2'!D311,'Support - Transition'!E:E,"2009 WELFARE ALLOCATION FACTOR")</f>
        <v>0</v>
      </c>
      <c r="O311" s="152">
        <f t="shared" si="85"/>
        <v>0</v>
      </c>
      <c r="P311" s="126">
        <f>IF(E311="Y",0,SUMIFS('Support - Transition'!G:G,'Support - Transition'!J:J,'Step 2'!D311,'Support - Transition'!E:E,"2009 SCHOOL ALLOCATION FACTOR"))</f>
        <v>0</v>
      </c>
      <c r="Q311" s="126">
        <f>IF(E311="Y",VLOOKUP(D311,'Support - Unit Adjustments'!F:G,2,FALSE),0)</f>
        <v>0</v>
      </c>
      <c r="R311" s="155">
        <f t="shared" si="98"/>
        <v>0</v>
      </c>
      <c r="S311" s="47">
        <f t="shared" si="97"/>
        <v>0</v>
      </c>
      <c r="T311" s="151">
        <f t="shared" si="81"/>
        <v>956</v>
      </c>
      <c r="U311" s="151">
        <f t="shared" si="82"/>
        <v>0</v>
      </c>
      <c r="V311" s="139">
        <f t="shared" si="83"/>
        <v>0</v>
      </c>
      <c r="W311" s="152">
        <f t="shared" si="87"/>
        <v>956</v>
      </c>
      <c r="X311" s="127" t="str">
        <f t="shared" si="84"/>
        <v/>
      </c>
      <c r="Y311" s="207">
        <f t="shared" si="88"/>
        <v>956</v>
      </c>
      <c r="Z311" s="139">
        <f t="shared" si="89"/>
        <v>659</v>
      </c>
      <c r="AA311" s="139">
        <f t="shared" si="90"/>
        <v>297</v>
      </c>
      <c r="AC311" s="47">
        <f t="shared" si="91"/>
        <v>478</v>
      </c>
      <c r="AD311" s="47">
        <f t="shared" si="92"/>
        <v>330</v>
      </c>
      <c r="AE311" s="47">
        <f t="shared" si="93"/>
        <v>149</v>
      </c>
      <c r="AG311" s="47">
        <f t="shared" si="94"/>
        <v>478</v>
      </c>
      <c r="AH311" s="47">
        <f t="shared" si="95"/>
        <v>329</v>
      </c>
      <c r="AI311" s="208">
        <f t="shared" si="96"/>
        <v>148</v>
      </c>
    </row>
    <row r="312" spans="1:35">
      <c r="A312" t="s">
        <v>2182</v>
      </c>
      <c r="B312" t="s">
        <v>3142</v>
      </c>
      <c r="C312" t="s">
        <v>2192</v>
      </c>
      <c r="D312" t="s">
        <v>3515</v>
      </c>
      <c r="F312" t="s">
        <v>269</v>
      </c>
      <c r="G312" s="126">
        <f>SUMIFS('Support - Transition'!F:F,'Support - Transition'!B:B,'Step 2'!A312,'Support - Transition'!C:C,'Step 2'!B312,'Support - Transition'!D:D,'Step 2'!C312,'Support - Transition'!E:E,"CIVIL")</f>
        <v>1.1969999999999999E-3</v>
      </c>
      <c r="H312" s="126">
        <f>SUMIFS('Support - Transition'!F:F,'Support - Transition'!B:B,'Step 2'!A312,'Support - Transition'!C:C,'Step 2'!B312,'Support - Transition'!D:D,'Step 2'!C312,'Support - Transition'!E:E,"FIRE")</f>
        <v>3.8299999999999999E-4</v>
      </c>
      <c r="I312" s="126">
        <f>IF(B312="0",SUMIFS('Support - Transition'!F:F,'Support - Transition'!J:J,'Step 2'!D312,'Support - Transition'!E:E,"STATE UNIT"),SUMIFS('Support - Transition'!F:F,'Support - Transition'!J:J,'Step 2'!D312))</f>
        <v>1.5799999999999998E-3</v>
      </c>
      <c r="J312" s="126">
        <f>SUMIFS('Support - Unit Adjustments'!E:E,'Support - Unit Adjustments'!F:F,'Step 2'!D312)</f>
        <v>0</v>
      </c>
      <c r="K312" s="126">
        <f t="shared" si="79"/>
        <v>1.5799999999999998E-3</v>
      </c>
      <c r="L312" s="174">
        <f>VLOOKUP(A312,'Step 1'!$A:$E,4,FALSE)</f>
        <v>485063</v>
      </c>
      <c r="M312" s="47">
        <f t="shared" si="80"/>
        <v>766</v>
      </c>
      <c r="N312" s="177">
        <f>SUMIFS('Support - Transition'!G:G,'Support - Transition'!J:J,'Step 2'!D312,'Support - Transition'!E:E,"2009 WELFARE ALLOCATION FACTOR")</f>
        <v>0</v>
      </c>
      <c r="O312" s="152">
        <f t="shared" si="85"/>
        <v>0</v>
      </c>
      <c r="P312" s="126">
        <f>IF(E312="Y",0,SUMIFS('Support - Transition'!G:G,'Support - Transition'!J:J,'Step 2'!D312,'Support - Transition'!E:E,"2009 SCHOOL ALLOCATION FACTOR"))</f>
        <v>0</v>
      </c>
      <c r="Q312" s="126">
        <f>IF(E312="Y",VLOOKUP(D312,'Support - Unit Adjustments'!F:G,2,FALSE),0)</f>
        <v>0</v>
      </c>
      <c r="R312" s="155">
        <f t="shared" si="98"/>
        <v>0</v>
      </c>
      <c r="S312" s="47">
        <f t="shared" si="97"/>
        <v>0</v>
      </c>
      <c r="T312" s="151">
        <f t="shared" si="81"/>
        <v>766</v>
      </c>
      <c r="U312" s="151">
        <f t="shared" si="82"/>
        <v>0</v>
      </c>
      <c r="V312" s="139">
        <f t="shared" si="83"/>
        <v>0</v>
      </c>
      <c r="W312" s="152">
        <f t="shared" si="87"/>
        <v>766</v>
      </c>
      <c r="X312" s="127" t="str">
        <f t="shared" si="84"/>
        <v/>
      </c>
      <c r="Y312" s="207">
        <f t="shared" si="88"/>
        <v>766</v>
      </c>
      <c r="Z312" s="139">
        <f t="shared" si="89"/>
        <v>580</v>
      </c>
      <c r="AA312" s="139">
        <f t="shared" si="90"/>
        <v>186</v>
      </c>
      <c r="AC312" s="47">
        <f t="shared" si="91"/>
        <v>383</v>
      </c>
      <c r="AD312" s="47">
        <f t="shared" si="92"/>
        <v>290</v>
      </c>
      <c r="AE312" s="47">
        <f t="shared" si="93"/>
        <v>93</v>
      </c>
      <c r="AG312" s="47">
        <f t="shared" si="94"/>
        <v>383</v>
      </c>
      <c r="AH312" s="47">
        <f t="shared" si="95"/>
        <v>290</v>
      </c>
      <c r="AI312" s="208">
        <f t="shared" si="96"/>
        <v>93</v>
      </c>
    </row>
    <row r="313" spans="1:35">
      <c r="A313" t="s">
        <v>2182</v>
      </c>
      <c r="B313" t="s">
        <v>3142</v>
      </c>
      <c r="C313" t="s">
        <v>2193</v>
      </c>
      <c r="D313" t="s">
        <v>3516</v>
      </c>
      <c r="F313" t="s">
        <v>52</v>
      </c>
      <c r="G313" s="126">
        <f>SUMIFS('Support - Transition'!F:F,'Support - Transition'!B:B,'Step 2'!A313,'Support - Transition'!C:C,'Step 2'!B313,'Support - Transition'!D:D,'Step 2'!C313,'Support - Transition'!E:E,"CIVIL")</f>
        <v>5.7700000000000004E-4</v>
      </c>
      <c r="H313" s="126">
        <f>SUMIFS('Support - Transition'!F:F,'Support - Transition'!B:B,'Step 2'!A313,'Support - Transition'!C:C,'Step 2'!B313,'Support - Transition'!D:D,'Step 2'!C313,'Support - Transition'!E:E,"FIRE")</f>
        <v>3.6400000000000001E-4</v>
      </c>
      <c r="I313" s="126">
        <f>IF(B313="0",SUMIFS('Support - Transition'!F:F,'Support - Transition'!J:J,'Step 2'!D313,'Support - Transition'!E:E,"STATE UNIT"),SUMIFS('Support - Transition'!F:F,'Support - Transition'!J:J,'Step 2'!D313))</f>
        <v>9.41E-4</v>
      </c>
      <c r="J313" s="126">
        <f>SUMIFS('Support - Unit Adjustments'!E:E,'Support - Unit Adjustments'!F:F,'Step 2'!D313)</f>
        <v>0</v>
      </c>
      <c r="K313" s="126">
        <f t="shared" si="79"/>
        <v>9.41E-4</v>
      </c>
      <c r="L313" s="174">
        <f>VLOOKUP(A313,'Step 1'!$A:$E,4,FALSE)</f>
        <v>485063</v>
      </c>
      <c r="M313" s="47">
        <f t="shared" si="80"/>
        <v>456</v>
      </c>
      <c r="N313" s="177">
        <f>SUMIFS('Support - Transition'!G:G,'Support - Transition'!J:J,'Step 2'!D313,'Support - Transition'!E:E,"2009 WELFARE ALLOCATION FACTOR")</f>
        <v>0</v>
      </c>
      <c r="O313" s="152">
        <f t="shared" si="85"/>
        <v>0</v>
      </c>
      <c r="P313" s="126">
        <f>IF(E313="Y",0,SUMIFS('Support - Transition'!G:G,'Support - Transition'!J:J,'Step 2'!D313,'Support - Transition'!E:E,"2009 SCHOOL ALLOCATION FACTOR"))</f>
        <v>0</v>
      </c>
      <c r="Q313" s="126">
        <f>IF(E313="Y",VLOOKUP(D313,'Support - Unit Adjustments'!F:G,2,FALSE),0)</f>
        <v>0</v>
      </c>
      <c r="R313" s="155">
        <f t="shared" si="98"/>
        <v>0</v>
      </c>
      <c r="S313" s="47">
        <f t="shared" si="97"/>
        <v>0</v>
      </c>
      <c r="T313" s="151">
        <f t="shared" si="81"/>
        <v>456</v>
      </c>
      <c r="U313" s="151">
        <f t="shared" si="82"/>
        <v>0</v>
      </c>
      <c r="V313" s="139">
        <f t="shared" si="83"/>
        <v>0</v>
      </c>
      <c r="W313" s="152">
        <f t="shared" si="87"/>
        <v>456</v>
      </c>
      <c r="X313" s="127" t="str">
        <f t="shared" si="84"/>
        <v/>
      </c>
      <c r="Y313" s="207">
        <f t="shared" si="88"/>
        <v>456</v>
      </c>
      <c r="Z313" s="139">
        <f t="shared" si="89"/>
        <v>280</v>
      </c>
      <c r="AA313" s="139">
        <f t="shared" si="90"/>
        <v>176</v>
      </c>
      <c r="AC313" s="47">
        <f t="shared" si="91"/>
        <v>228</v>
      </c>
      <c r="AD313" s="47">
        <f t="shared" si="92"/>
        <v>140</v>
      </c>
      <c r="AE313" s="47">
        <f t="shared" si="93"/>
        <v>88</v>
      </c>
      <c r="AG313" s="47">
        <f t="shared" si="94"/>
        <v>228</v>
      </c>
      <c r="AH313" s="47">
        <f t="shared" si="95"/>
        <v>140</v>
      </c>
      <c r="AI313" s="208">
        <f t="shared" si="96"/>
        <v>88</v>
      </c>
    </row>
    <row r="314" spans="1:35">
      <c r="A314" t="s">
        <v>2182</v>
      </c>
      <c r="B314" t="s">
        <v>3142</v>
      </c>
      <c r="C314" t="s">
        <v>2194</v>
      </c>
      <c r="D314" t="s">
        <v>3517</v>
      </c>
      <c r="F314" t="s">
        <v>270</v>
      </c>
      <c r="G314" s="126">
        <f>SUMIFS('Support - Transition'!F:F,'Support - Transition'!B:B,'Step 2'!A314,'Support - Transition'!C:C,'Step 2'!B314,'Support - Transition'!D:D,'Step 2'!C314,'Support - Transition'!E:E,"CIVIL")</f>
        <v>7.3800000000000005E-4</v>
      </c>
      <c r="H314" s="126">
        <f>SUMIFS('Support - Transition'!F:F,'Support - Transition'!B:B,'Step 2'!A314,'Support - Transition'!C:C,'Step 2'!B314,'Support - Transition'!D:D,'Step 2'!C314,'Support - Transition'!E:E,"FIRE")</f>
        <v>1.1440000000000001E-3</v>
      </c>
      <c r="I314" s="126">
        <f>IF(B314="0",SUMIFS('Support - Transition'!F:F,'Support - Transition'!J:J,'Step 2'!D314,'Support - Transition'!E:E,"STATE UNIT"),SUMIFS('Support - Transition'!F:F,'Support - Transition'!J:J,'Step 2'!D314))</f>
        <v>1.882E-3</v>
      </c>
      <c r="J314" s="126">
        <f>SUMIFS('Support - Unit Adjustments'!E:E,'Support - Unit Adjustments'!F:F,'Step 2'!D314)</f>
        <v>0</v>
      </c>
      <c r="K314" s="126">
        <f t="shared" si="79"/>
        <v>1.882E-3</v>
      </c>
      <c r="L314" s="174">
        <f>VLOOKUP(A314,'Step 1'!$A:$E,4,FALSE)</f>
        <v>485063</v>
      </c>
      <c r="M314" s="47">
        <f t="shared" si="80"/>
        <v>913</v>
      </c>
      <c r="N314" s="177">
        <f>SUMIFS('Support - Transition'!G:G,'Support - Transition'!J:J,'Step 2'!D314,'Support - Transition'!E:E,"2009 WELFARE ALLOCATION FACTOR")</f>
        <v>0</v>
      </c>
      <c r="O314" s="152">
        <f t="shared" si="85"/>
        <v>0</v>
      </c>
      <c r="P314" s="126">
        <f>IF(E314="Y",0,SUMIFS('Support - Transition'!G:G,'Support - Transition'!J:J,'Step 2'!D314,'Support - Transition'!E:E,"2009 SCHOOL ALLOCATION FACTOR"))</f>
        <v>0</v>
      </c>
      <c r="Q314" s="126">
        <f>IF(E314="Y",VLOOKUP(D314,'Support - Unit Adjustments'!F:G,2,FALSE),0)</f>
        <v>0</v>
      </c>
      <c r="R314" s="155">
        <f t="shared" si="98"/>
        <v>0</v>
      </c>
      <c r="S314" s="47">
        <f t="shared" si="97"/>
        <v>0</v>
      </c>
      <c r="T314" s="151">
        <f t="shared" si="81"/>
        <v>913</v>
      </c>
      <c r="U314" s="151">
        <f t="shared" si="82"/>
        <v>0</v>
      </c>
      <c r="V314" s="139">
        <f t="shared" si="83"/>
        <v>0</v>
      </c>
      <c r="W314" s="152">
        <f t="shared" si="87"/>
        <v>913</v>
      </c>
      <c r="X314" s="127" t="str">
        <f t="shared" si="84"/>
        <v/>
      </c>
      <c r="Y314" s="207">
        <f t="shared" si="88"/>
        <v>913</v>
      </c>
      <c r="Z314" s="139">
        <f t="shared" si="89"/>
        <v>358</v>
      </c>
      <c r="AA314" s="139">
        <f t="shared" si="90"/>
        <v>555</v>
      </c>
      <c r="AC314" s="47">
        <f t="shared" si="91"/>
        <v>457</v>
      </c>
      <c r="AD314" s="47">
        <f t="shared" si="92"/>
        <v>179</v>
      </c>
      <c r="AE314" s="47">
        <f t="shared" si="93"/>
        <v>278</v>
      </c>
      <c r="AG314" s="47">
        <f t="shared" si="94"/>
        <v>456</v>
      </c>
      <c r="AH314" s="47">
        <f t="shared" si="95"/>
        <v>179</v>
      </c>
      <c r="AI314" s="208">
        <f t="shared" si="96"/>
        <v>277</v>
      </c>
    </row>
    <row r="315" spans="1:35">
      <c r="A315" t="s">
        <v>2182</v>
      </c>
      <c r="B315" t="s">
        <v>3142</v>
      </c>
      <c r="C315" t="s">
        <v>2195</v>
      </c>
      <c r="D315" t="s">
        <v>3518</v>
      </c>
      <c r="F315" t="s">
        <v>224</v>
      </c>
      <c r="G315" s="126">
        <f>SUMIFS('Support - Transition'!F:F,'Support - Transition'!B:B,'Step 2'!A315,'Support - Transition'!C:C,'Step 2'!B315,'Support - Transition'!D:D,'Step 2'!C315,'Support - Transition'!E:E,"CIVIL")</f>
        <v>4.8299999999999998E-4</v>
      </c>
      <c r="H315" s="126">
        <f>SUMIFS('Support - Transition'!F:F,'Support - Transition'!B:B,'Step 2'!A315,'Support - Transition'!C:C,'Step 2'!B315,'Support - Transition'!D:D,'Step 2'!C315,'Support - Transition'!E:E,"FIRE")</f>
        <v>2.5900000000000001E-4</v>
      </c>
      <c r="I315" s="126">
        <f>IF(B315="0",SUMIFS('Support - Transition'!F:F,'Support - Transition'!J:J,'Step 2'!D315,'Support - Transition'!E:E,"STATE UNIT"),SUMIFS('Support - Transition'!F:F,'Support - Transition'!J:J,'Step 2'!D315))</f>
        <v>7.4200000000000004E-4</v>
      </c>
      <c r="J315" s="126">
        <f>SUMIFS('Support - Unit Adjustments'!E:E,'Support - Unit Adjustments'!F:F,'Step 2'!D315)</f>
        <v>0</v>
      </c>
      <c r="K315" s="126">
        <f t="shared" si="79"/>
        <v>7.4200000000000004E-4</v>
      </c>
      <c r="L315" s="174">
        <f>VLOOKUP(A315,'Step 1'!$A:$E,4,FALSE)</f>
        <v>485063</v>
      </c>
      <c r="M315" s="47">
        <f t="shared" si="80"/>
        <v>360</v>
      </c>
      <c r="N315" s="177">
        <f>SUMIFS('Support - Transition'!G:G,'Support - Transition'!J:J,'Step 2'!D315,'Support - Transition'!E:E,"2009 WELFARE ALLOCATION FACTOR")</f>
        <v>0</v>
      </c>
      <c r="O315" s="152">
        <f t="shared" si="85"/>
        <v>0</v>
      </c>
      <c r="P315" s="126">
        <f>IF(E315="Y",0,SUMIFS('Support - Transition'!G:G,'Support - Transition'!J:J,'Step 2'!D315,'Support - Transition'!E:E,"2009 SCHOOL ALLOCATION FACTOR"))</f>
        <v>0</v>
      </c>
      <c r="Q315" s="126">
        <f>IF(E315="Y",VLOOKUP(D315,'Support - Unit Adjustments'!F:G,2,FALSE),0)</f>
        <v>0</v>
      </c>
      <c r="R315" s="155">
        <f t="shared" si="98"/>
        <v>0</v>
      </c>
      <c r="S315" s="47">
        <f t="shared" si="97"/>
        <v>0</v>
      </c>
      <c r="T315" s="151">
        <f t="shared" si="81"/>
        <v>360</v>
      </c>
      <c r="U315" s="151">
        <f t="shared" si="82"/>
        <v>0</v>
      </c>
      <c r="V315" s="139">
        <f t="shared" si="83"/>
        <v>0</v>
      </c>
      <c r="W315" s="152">
        <f t="shared" si="87"/>
        <v>360</v>
      </c>
      <c r="X315" s="127" t="str">
        <f t="shared" si="84"/>
        <v/>
      </c>
      <c r="Y315" s="207">
        <f t="shared" si="88"/>
        <v>360</v>
      </c>
      <c r="Z315" s="139">
        <f t="shared" si="89"/>
        <v>234</v>
      </c>
      <c r="AA315" s="139">
        <f t="shared" si="90"/>
        <v>126</v>
      </c>
      <c r="AC315" s="47">
        <f t="shared" si="91"/>
        <v>180</v>
      </c>
      <c r="AD315" s="47">
        <f t="shared" si="92"/>
        <v>117</v>
      </c>
      <c r="AE315" s="47">
        <f t="shared" si="93"/>
        <v>63</v>
      </c>
      <c r="AG315" s="47">
        <f t="shared" si="94"/>
        <v>180</v>
      </c>
      <c r="AH315" s="47">
        <f t="shared" si="95"/>
        <v>117</v>
      </c>
      <c r="AI315" s="208">
        <f t="shared" si="96"/>
        <v>63</v>
      </c>
    </row>
    <row r="316" spans="1:35">
      <c r="A316" t="s">
        <v>2182</v>
      </c>
      <c r="B316" t="s">
        <v>3142</v>
      </c>
      <c r="C316" t="s">
        <v>2196</v>
      </c>
      <c r="D316" t="s">
        <v>3519</v>
      </c>
      <c r="F316" t="s">
        <v>56</v>
      </c>
      <c r="G316" s="126">
        <f>SUMIFS('Support - Transition'!F:F,'Support - Transition'!B:B,'Step 2'!A316,'Support - Transition'!C:C,'Step 2'!B316,'Support - Transition'!D:D,'Step 2'!C316,'Support - Transition'!E:E,"CIVIL")</f>
        <v>1.9989999999999999E-3</v>
      </c>
      <c r="H316" s="126">
        <f>SUMIFS('Support - Transition'!F:F,'Support - Transition'!B:B,'Step 2'!A316,'Support - Transition'!C:C,'Step 2'!B316,'Support - Transition'!D:D,'Step 2'!C316,'Support - Transition'!E:E,"FIRE")</f>
        <v>1.17E-3</v>
      </c>
      <c r="I316" s="126">
        <f>IF(B316="0",SUMIFS('Support - Transition'!F:F,'Support - Transition'!J:J,'Step 2'!D316,'Support - Transition'!E:E,"STATE UNIT"),SUMIFS('Support - Transition'!F:F,'Support - Transition'!J:J,'Step 2'!D316))</f>
        <v>3.1689999999999999E-3</v>
      </c>
      <c r="J316" s="126">
        <f>SUMIFS('Support - Unit Adjustments'!E:E,'Support - Unit Adjustments'!F:F,'Step 2'!D316)</f>
        <v>0</v>
      </c>
      <c r="K316" s="126">
        <f t="shared" si="79"/>
        <v>3.1689999999999999E-3</v>
      </c>
      <c r="L316" s="174">
        <f>VLOOKUP(A316,'Step 1'!$A:$E,4,FALSE)</f>
        <v>485063</v>
      </c>
      <c r="M316" s="47">
        <f t="shared" si="80"/>
        <v>1537</v>
      </c>
      <c r="N316" s="177">
        <f>SUMIFS('Support - Transition'!G:G,'Support - Transition'!J:J,'Step 2'!D316,'Support - Transition'!E:E,"2009 WELFARE ALLOCATION FACTOR")</f>
        <v>0</v>
      </c>
      <c r="O316" s="152">
        <f t="shared" si="85"/>
        <v>0</v>
      </c>
      <c r="P316" s="126">
        <f>IF(E316="Y",0,SUMIFS('Support - Transition'!G:G,'Support - Transition'!J:J,'Step 2'!D316,'Support - Transition'!E:E,"2009 SCHOOL ALLOCATION FACTOR"))</f>
        <v>0</v>
      </c>
      <c r="Q316" s="126">
        <f>IF(E316="Y",VLOOKUP(D316,'Support - Unit Adjustments'!F:G,2,FALSE),0)</f>
        <v>0</v>
      </c>
      <c r="R316" s="155">
        <f t="shared" si="98"/>
        <v>0</v>
      </c>
      <c r="S316" s="47">
        <f t="shared" si="97"/>
        <v>0</v>
      </c>
      <c r="T316" s="151">
        <f t="shared" si="81"/>
        <v>1537</v>
      </c>
      <c r="U316" s="151">
        <f t="shared" si="82"/>
        <v>0</v>
      </c>
      <c r="V316" s="139">
        <f t="shared" si="83"/>
        <v>0</v>
      </c>
      <c r="W316" s="152">
        <f t="shared" si="87"/>
        <v>1537</v>
      </c>
      <c r="X316" s="127" t="str">
        <f t="shared" si="84"/>
        <v/>
      </c>
      <c r="Y316" s="207">
        <f t="shared" si="88"/>
        <v>1537</v>
      </c>
      <c r="Z316" s="139">
        <f t="shared" si="89"/>
        <v>970</v>
      </c>
      <c r="AA316" s="139">
        <f t="shared" si="90"/>
        <v>567</v>
      </c>
      <c r="AC316" s="47">
        <f t="shared" si="91"/>
        <v>769</v>
      </c>
      <c r="AD316" s="47">
        <f t="shared" si="92"/>
        <v>485</v>
      </c>
      <c r="AE316" s="47">
        <f t="shared" si="93"/>
        <v>284</v>
      </c>
      <c r="AG316" s="47">
        <f t="shared" si="94"/>
        <v>768</v>
      </c>
      <c r="AH316" s="47">
        <f t="shared" si="95"/>
        <v>485</v>
      </c>
      <c r="AI316" s="208">
        <f t="shared" si="96"/>
        <v>283</v>
      </c>
    </row>
    <row r="317" spans="1:35">
      <c r="A317" t="s">
        <v>2182</v>
      </c>
      <c r="B317" t="s">
        <v>3142</v>
      </c>
      <c r="C317" t="s">
        <v>2197</v>
      </c>
      <c r="D317" t="s">
        <v>3520</v>
      </c>
      <c r="F317" t="s">
        <v>271</v>
      </c>
      <c r="G317" s="126">
        <f>SUMIFS('Support - Transition'!F:F,'Support - Transition'!B:B,'Step 2'!A317,'Support - Transition'!C:C,'Step 2'!B317,'Support - Transition'!D:D,'Step 2'!C317,'Support - Transition'!E:E,"CIVIL")</f>
        <v>1.268E-3</v>
      </c>
      <c r="H317" s="126">
        <f>SUMIFS('Support - Transition'!F:F,'Support - Transition'!B:B,'Step 2'!A317,'Support - Transition'!C:C,'Step 2'!B317,'Support - Transition'!D:D,'Step 2'!C317,'Support - Transition'!E:E,"FIRE")</f>
        <v>6.0899999999999995E-4</v>
      </c>
      <c r="I317" s="126">
        <f>IF(B317="0",SUMIFS('Support - Transition'!F:F,'Support - Transition'!J:J,'Step 2'!D317,'Support - Transition'!E:E,"STATE UNIT"),SUMIFS('Support - Transition'!F:F,'Support - Transition'!J:J,'Step 2'!D317))</f>
        <v>1.877E-3</v>
      </c>
      <c r="J317" s="126">
        <f>SUMIFS('Support - Unit Adjustments'!E:E,'Support - Unit Adjustments'!F:F,'Step 2'!D317)</f>
        <v>0</v>
      </c>
      <c r="K317" s="126">
        <f t="shared" si="79"/>
        <v>1.877E-3</v>
      </c>
      <c r="L317" s="174">
        <f>VLOOKUP(A317,'Step 1'!$A:$E,4,FALSE)</f>
        <v>485063</v>
      </c>
      <c r="M317" s="47">
        <f t="shared" si="80"/>
        <v>910</v>
      </c>
      <c r="N317" s="177">
        <f>SUMIFS('Support - Transition'!G:G,'Support - Transition'!J:J,'Step 2'!D317,'Support - Transition'!E:E,"2009 WELFARE ALLOCATION FACTOR")</f>
        <v>0</v>
      </c>
      <c r="O317" s="152">
        <f t="shared" si="85"/>
        <v>0</v>
      </c>
      <c r="P317" s="126">
        <f>IF(E317="Y",0,SUMIFS('Support - Transition'!G:G,'Support - Transition'!J:J,'Step 2'!D317,'Support - Transition'!E:E,"2009 SCHOOL ALLOCATION FACTOR"))</f>
        <v>0</v>
      </c>
      <c r="Q317" s="126">
        <f>IF(E317="Y",VLOOKUP(D317,'Support - Unit Adjustments'!F:G,2,FALSE),0)</f>
        <v>0</v>
      </c>
      <c r="R317" s="155">
        <f t="shared" si="98"/>
        <v>0</v>
      </c>
      <c r="S317" s="47">
        <f t="shared" si="97"/>
        <v>0</v>
      </c>
      <c r="T317" s="151">
        <f t="shared" si="81"/>
        <v>910</v>
      </c>
      <c r="U317" s="151">
        <f t="shared" si="82"/>
        <v>0</v>
      </c>
      <c r="V317" s="139">
        <f t="shared" si="83"/>
        <v>0</v>
      </c>
      <c r="W317" s="152">
        <f t="shared" si="87"/>
        <v>910</v>
      </c>
      <c r="X317" s="127" t="str">
        <f t="shared" si="84"/>
        <v/>
      </c>
      <c r="Y317" s="207">
        <f t="shared" si="88"/>
        <v>910</v>
      </c>
      <c r="Z317" s="139">
        <f t="shared" si="89"/>
        <v>615</v>
      </c>
      <c r="AA317" s="139">
        <f t="shared" si="90"/>
        <v>295</v>
      </c>
      <c r="AC317" s="47">
        <f t="shared" si="91"/>
        <v>455</v>
      </c>
      <c r="AD317" s="47">
        <f t="shared" si="92"/>
        <v>308</v>
      </c>
      <c r="AE317" s="47">
        <f t="shared" si="93"/>
        <v>148</v>
      </c>
      <c r="AG317" s="47">
        <f t="shared" si="94"/>
        <v>455</v>
      </c>
      <c r="AH317" s="47">
        <f t="shared" si="95"/>
        <v>307</v>
      </c>
      <c r="AI317" s="208">
        <f t="shared" si="96"/>
        <v>147</v>
      </c>
    </row>
    <row r="318" spans="1:35">
      <c r="A318" t="s">
        <v>2182</v>
      </c>
      <c r="B318" t="s">
        <v>3142</v>
      </c>
      <c r="C318" t="s">
        <v>2198</v>
      </c>
      <c r="D318" t="s">
        <v>3521</v>
      </c>
      <c r="F318" t="s">
        <v>149</v>
      </c>
      <c r="G318" s="126">
        <f>SUMIFS('Support - Transition'!F:F,'Support - Transition'!B:B,'Step 2'!A318,'Support - Transition'!C:C,'Step 2'!B318,'Support - Transition'!D:D,'Step 2'!C318,'Support - Transition'!E:E,"CIVIL")</f>
        <v>3.1399999999999999E-4</v>
      </c>
      <c r="H318" s="126">
        <f>SUMIFS('Support - Transition'!F:F,'Support - Transition'!B:B,'Step 2'!A318,'Support - Transition'!C:C,'Step 2'!B318,'Support - Transition'!D:D,'Step 2'!C318,'Support - Transition'!E:E,"FIRE")</f>
        <v>1.47E-4</v>
      </c>
      <c r="I318" s="126">
        <f>IF(B318="0",SUMIFS('Support - Transition'!F:F,'Support - Transition'!J:J,'Step 2'!D318,'Support - Transition'!E:E,"STATE UNIT"),SUMIFS('Support - Transition'!F:F,'Support - Transition'!J:J,'Step 2'!D318))</f>
        <v>4.6099999999999998E-4</v>
      </c>
      <c r="J318" s="126">
        <f>SUMIFS('Support - Unit Adjustments'!E:E,'Support - Unit Adjustments'!F:F,'Step 2'!D318)</f>
        <v>0</v>
      </c>
      <c r="K318" s="126">
        <f t="shared" si="79"/>
        <v>4.6099999999999998E-4</v>
      </c>
      <c r="L318" s="174">
        <f>VLOOKUP(A318,'Step 1'!$A:$E,4,FALSE)</f>
        <v>485063</v>
      </c>
      <c r="M318" s="47">
        <f t="shared" si="80"/>
        <v>224</v>
      </c>
      <c r="N318" s="177">
        <f>SUMIFS('Support - Transition'!G:G,'Support - Transition'!J:J,'Step 2'!D318,'Support - Transition'!E:E,"2009 WELFARE ALLOCATION FACTOR")</f>
        <v>0</v>
      </c>
      <c r="O318" s="152">
        <f t="shared" si="85"/>
        <v>0</v>
      </c>
      <c r="P318" s="126">
        <f>IF(E318="Y",0,SUMIFS('Support - Transition'!G:G,'Support - Transition'!J:J,'Step 2'!D318,'Support - Transition'!E:E,"2009 SCHOOL ALLOCATION FACTOR"))</f>
        <v>0</v>
      </c>
      <c r="Q318" s="126">
        <f>IF(E318="Y",VLOOKUP(D318,'Support - Unit Adjustments'!F:G,2,FALSE),0)</f>
        <v>0</v>
      </c>
      <c r="R318" s="155">
        <f t="shared" si="98"/>
        <v>0</v>
      </c>
      <c r="S318" s="47">
        <f t="shared" si="97"/>
        <v>0</v>
      </c>
      <c r="T318" s="151">
        <f t="shared" si="81"/>
        <v>224</v>
      </c>
      <c r="U318" s="151">
        <f t="shared" si="82"/>
        <v>0</v>
      </c>
      <c r="V318" s="139">
        <f t="shared" si="83"/>
        <v>0</v>
      </c>
      <c r="W318" s="152">
        <f t="shared" si="87"/>
        <v>224</v>
      </c>
      <c r="X318" s="127" t="str">
        <f t="shared" si="84"/>
        <v/>
      </c>
      <c r="Y318" s="207">
        <f t="shared" si="88"/>
        <v>224</v>
      </c>
      <c r="Z318" s="139">
        <f t="shared" si="89"/>
        <v>153</v>
      </c>
      <c r="AA318" s="139">
        <f t="shared" si="90"/>
        <v>71</v>
      </c>
      <c r="AC318" s="47">
        <f t="shared" si="91"/>
        <v>112</v>
      </c>
      <c r="AD318" s="47">
        <f t="shared" si="92"/>
        <v>77</v>
      </c>
      <c r="AE318" s="47">
        <f t="shared" si="93"/>
        <v>36</v>
      </c>
      <c r="AG318" s="47">
        <f t="shared" si="94"/>
        <v>112</v>
      </c>
      <c r="AH318" s="47">
        <f t="shared" si="95"/>
        <v>76</v>
      </c>
      <c r="AI318" s="208">
        <f t="shared" si="96"/>
        <v>35</v>
      </c>
    </row>
    <row r="319" spans="1:35">
      <c r="A319" t="s">
        <v>2182</v>
      </c>
      <c r="B319" t="s">
        <v>3142</v>
      </c>
      <c r="C319" t="s">
        <v>2199</v>
      </c>
      <c r="D319" t="s">
        <v>3522</v>
      </c>
      <c r="F319" t="s">
        <v>20</v>
      </c>
      <c r="G319" s="126">
        <f>SUMIFS('Support - Transition'!F:F,'Support - Transition'!B:B,'Step 2'!A319,'Support - Transition'!C:C,'Step 2'!B319,'Support - Transition'!D:D,'Step 2'!C319,'Support - Transition'!E:E,"CIVIL")</f>
        <v>2.61E-4</v>
      </c>
      <c r="H319" s="126">
        <f>SUMIFS('Support - Transition'!F:F,'Support - Transition'!B:B,'Step 2'!A319,'Support - Transition'!C:C,'Step 2'!B319,'Support - Transition'!D:D,'Step 2'!C319,'Support - Transition'!E:E,"FIRE")</f>
        <v>1.07E-4</v>
      </c>
      <c r="I319" s="126">
        <f>IF(B319="0",SUMIFS('Support - Transition'!F:F,'Support - Transition'!J:J,'Step 2'!D319,'Support - Transition'!E:E,"STATE UNIT"),SUMIFS('Support - Transition'!F:F,'Support - Transition'!J:J,'Step 2'!D319))</f>
        <v>3.68E-4</v>
      </c>
      <c r="J319" s="126">
        <f>SUMIFS('Support - Unit Adjustments'!E:E,'Support - Unit Adjustments'!F:F,'Step 2'!D319)</f>
        <v>0</v>
      </c>
      <c r="K319" s="126">
        <f t="shared" si="79"/>
        <v>3.68E-4</v>
      </c>
      <c r="L319" s="174">
        <f>VLOOKUP(A319,'Step 1'!$A:$E,4,FALSE)</f>
        <v>485063</v>
      </c>
      <c r="M319" s="47">
        <f t="shared" si="80"/>
        <v>179</v>
      </c>
      <c r="N319" s="177">
        <f>SUMIFS('Support - Transition'!G:G,'Support - Transition'!J:J,'Step 2'!D319,'Support - Transition'!E:E,"2009 WELFARE ALLOCATION FACTOR")</f>
        <v>0</v>
      </c>
      <c r="O319" s="152">
        <f t="shared" si="85"/>
        <v>0</v>
      </c>
      <c r="P319" s="126">
        <f>IF(E319="Y",0,SUMIFS('Support - Transition'!G:G,'Support - Transition'!J:J,'Step 2'!D319,'Support - Transition'!E:E,"2009 SCHOOL ALLOCATION FACTOR"))</f>
        <v>0</v>
      </c>
      <c r="Q319" s="126">
        <f>IF(E319="Y",VLOOKUP(D319,'Support - Unit Adjustments'!F:G,2,FALSE),0)</f>
        <v>0</v>
      </c>
      <c r="R319" s="155">
        <f t="shared" si="98"/>
        <v>0</v>
      </c>
      <c r="S319" s="47">
        <f t="shared" si="97"/>
        <v>0</v>
      </c>
      <c r="T319" s="151">
        <f t="shared" si="81"/>
        <v>179</v>
      </c>
      <c r="U319" s="151">
        <f t="shared" si="82"/>
        <v>0</v>
      </c>
      <c r="V319" s="139">
        <f t="shared" si="83"/>
        <v>0</v>
      </c>
      <c r="W319" s="152">
        <f t="shared" si="87"/>
        <v>179</v>
      </c>
      <c r="X319" s="127" t="str">
        <f t="shared" si="84"/>
        <v/>
      </c>
      <c r="Y319" s="207">
        <f t="shared" si="88"/>
        <v>179</v>
      </c>
      <c r="Z319" s="139">
        <f t="shared" si="89"/>
        <v>127</v>
      </c>
      <c r="AA319" s="139">
        <f t="shared" si="90"/>
        <v>52</v>
      </c>
      <c r="AC319" s="47">
        <f t="shared" si="91"/>
        <v>90</v>
      </c>
      <c r="AD319" s="47">
        <f t="shared" si="92"/>
        <v>64</v>
      </c>
      <c r="AE319" s="47">
        <f t="shared" si="93"/>
        <v>26</v>
      </c>
      <c r="AG319" s="47">
        <f t="shared" si="94"/>
        <v>89</v>
      </c>
      <c r="AH319" s="47">
        <f t="shared" si="95"/>
        <v>63</v>
      </c>
      <c r="AI319" s="208">
        <f t="shared" si="96"/>
        <v>26</v>
      </c>
    </row>
    <row r="320" spans="1:35">
      <c r="A320" t="s">
        <v>2182</v>
      </c>
      <c r="B320" t="s">
        <v>3142</v>
      </c>
      <c r="C320" t="s">
        <v>2208</v>
      </c>
      <c r="D320" t="s">
        <v>3523</v>
      </c>
      <c r="F320" t="s">
        <v>272</v>
      </c>
      <c r="G320" s="126">
        <f>SUMIFS('Support - Transition'!F:F,'Support - Transition'!B:B,'Step 2'!A320,'Support - Transition'!C:C,'Step 2'!B320,'Support - Transition'!D:D,'Step 2'!C320,'Support - Transition'!E:E,"CIVIL")</f>
        <v>2.8600000000000001E-4</v>
      </c>
      <c r="H320" s="126">
        <f>SUMIFS('Support - Transition'!F:F,'Support - Transition'!B:B,'Step 2'!A320,'Support - Transition'!C:C,'Step 2'!B320,'Support - Transition'!D:D,'Step 2'!C320,'Support - Transition'!E:E,"FIRE")</f>
        <v>1.4300000000000001E-4</v>
      </c>
      <c r="I320" s="126">
        <f>IF(B320="0",SUMIFS('Support - Transition'!F:F,'Support - Transition'!J:J,'Step 2'!D320,'Support - Transition'!E:E,"STATE UNIT"),SUMIFS('Support - Transition'!F:F,'Support - Transition'!J:J,'Step 2'!D320))</f>
        <v>4.2900000000000002E-4</v>
      </c>
      <c r="J320" s="126">
        <f>SUMIFS('Support - Unit Adjustments'!E:E,'Support - Unit Adjustments'!F:F,'Step 2'!D320)</f>
        <v>0</v>
      </c>
      <c r="K320" s="126">
        <f t="shared" si="79"/>
        <v>4.2900000000000002E-4</v>
      </c>
      <c r="L320" s="174">
        <f>VLOOKUP(A320,'Step 1'!$A:$E,4,FALSE)</f>
        <v>485063</v>
      </c>
      <c r="M320" s="47">
        <f t="shared" si="80"/>
        <v>208</v>
      </c>
      <c r="N320" s="177">
        <f>SUMIFS('Support - Transition'!G:G,'Support - Transition'!J:J,'Step 2'!D320,'Support - Transition'!E:E,"2009 WELFARE ALLOCATION FACTOR")</f>
        <v>0</v>
      </c>
      <c r="O320" s="152">
        <f t="shared" si="85"/>
        <v>0</v>
      </c>
      <c r="P320" s="126">
        <f>IF(E320="Y",0,SUMIFS('Support - Transition'!G:G,'Support - Transition'!J:J,'Step 2'!D320,'Support - Transition'!E:E,"2009 SCHOOL ALLOCATION FACTOR"))</f>
        <v>0</v>
      </c>
      <c r="Q320" s="126">
        <f>IF(E320="Y",VLOOKUP(D320,'Support - Unit Adjustments'!F:G,2,FALSE),0)</f>
        <v>0</v>
      </c>
      <c r="R320" s="155">
        <f t="shared" si="98"/>
        <v>0</v>
      </c>
      <c r="S320" s="47">
        <f t="shared" si="97"/>
        <v>0</v>
      </c>
      <c r="T320" s="151">
        <f t="shared" si="81"/>
        <v>208</v>
      </c>
      <c r="U320" s="151">
        <f t="shared" si="82"/>
        <v>0</v>
      </c>
      <c r="V320" s="139">
        <f t="shared" si="83"/>
        <v>0</v>
      </c>
      <c r="W320" s="152">
        <f t="shared" si="87"/>
        <v>208</v>
      </c>
      <c r="X320" s="127" t="str">
        <f t="shared" si="84"/>
        <v/>
      </c>
      <c r="Y320" s="207">
        <f t="shared" si="88"/>
        <v>208</v>
      </c>
      <c r="Z320" s="139">
        <f t="shared" si="89"/>
        <v>139</v>
      </c>
      <c r="AA320" s="139">
        <f t="shared" si="90"/>
        <v>69</v>
      </c>
      <c r="AC320" s="47">
        <f t="shared" si="91"/>
        <v>104</v>
      </c>
      <c r="AD320" s="47">
        <f t="shared" si="92"/>
        <v>70</v>
      </c>
      <c r="AE320" s="47">
        <f t="shared" si="93"/>
        <v>35</v>
      </c>
      <c r="AG320" s="47">
        <f t="shared" si="94"/>
        <v>104</v>
      </c>
      <c r="AH320" s="47">
        <f t="shared" si="95"/>
        <v>69</v>
      </c>
      <c r="AI320" s="208">
        <f t="shared" si="96"/>
        <v>34</v>
      </c>
    </row>
    <row r="321" spans="1:35">
      <c r="A321" t="s">
        <v>2182</v>
      </c>
      <c r="B321" t="s">
        <v>3142</v>
      </c>
      <c r="C321" t="s">
        <v>2209</v>
      </c>
      <c r="D321" t="s">
        <v>3524</v>
      </c>
      <c r="F321" t="s">
        <v>22</v>
      </c>
      <c r="G321" s="126">
        <f>SUMIFS('Support - Transition'!F:F,'Support - Transition'!B:B,'Step 2'!A321,'Support - Transition'!C:C,'Step 2'!B321,'Support - Transition'!D:D,'Step 2'!C321,'Support - Transition'!E:E,"CIVIL")</f>
        <v>8.6399999999999997E-4</v>
      </c>
      <c r="H321" s="126">
        <f>SUMIFS('Support - Transition'!F:F,'Support - Transition'!B:B,'Step 2'!A321,'Support - Transition'!C:C,'Step 2'!B321,'Support - Transition'!D:D,'Step 2'!C321,'Support - Transition'!E:E,"FIRE")</f>
        <v>4.0400000000000001E-4</v>
      </c>
      <c r="I321" s="126">
        <f>IF(B321="0",SUMIFS('Support - Transition'!F:F,'Support - Transition'!J:J,'Step 2'!D321,'Support - Transition'!E:E,"STATE UNIT"),SUMIFS('Support - Transition'!F:F,'Support - Transition'!J:J,'Step 2'!D321))</f>
        <v>1.268E-3</v>
      </c>
      <c r="J321" s="126">
        <f>SUMIFS('Support - Unit Adjustments'!E:E,'Support - Unit Adjustments'!F:F,'Step 2'!D321)</f>
        <v>0</v>
      </c>
      <c r="K321" s="126">
        <f t="shared" si="79"/>
        <v>1.268E-3</v>
      </c>
      <c r="L321" s="174">
        <f>VLOOKUP(A321,'Step 1'!$A:$E,4,FALSE)</f>
        <v>485063</v>
      </c>
      <c r="M321" s="47">
        <f t="shared" si="80"/>
        <v>615</v>
      </c>
      <c r="N321" s="177">
        <f>SUMIFS('Support - Transition'!G:G,'Support - Transition'!J:J,'Step 2'!D321,'Support - Transition'!E:E,"2009 WELFARE ALLOCATION FACTOR")</f>
        <v>0</v>
      </c>
      <c r="O321" s="152">
        <f t="shared" si="85"/>
        <v>0</v>
      </c>
      <c r="P321" s="126">
        <f>IF(E321="Y",0,SUMIFS('Support - Transition'!G:G,'Support - Transition'!J:J,'Step 2'!D321,'Support - Transition'!E:E,"2009 SCHOOL ALLOCATION FACTOR"))</f>
        <v>0</v>
      </c>
      <c r="Q321" s="126">
        <f>IF(E321="Y",VLOOKUP(D321,'Support - Unit Adjustments'!F:G,2,FALSE),0)</f>
        <v>0</v>
      </c>
      <c r="R321" s="155">
        <f t="shared" si="98"/>
        <v>0</v>
      </c>
      <c r="S321" s="47">
        <f t="shared" si="97"/>
        <v>0</v>
      </c>
      <c r="T321" s="151">
        <f t="shared" si="81"/>
        <v>615</v>
      </c>
      <c r="U321" s="151">
        <f t="shared" si="82"/>
        <v>0</v>
      </c>
      <c r="V321" s="139">
        <f t="shared" si="83"/>
        <v>0</v>
      </c>
      <c r="W321" s="152">
        <f t="shared" si="87"/>
        <v>615</v>
      </c>
      <c r="X321" s="127" t="str">
        <f t="shared" si="84"/>
        <v/>
      </c>
      <c r="Y321" s="207">
        <f t="shared" si="88"/>
        <v>615</v>
      </c>
      <c r="Z321" s="139">
        <f t="shared" si="89"/>
        <v>419</v>
      </c>
      <c r="AA321" s="139">
        <f t="shared" si="90"/>
        <v>196</v>
      </c>
      <c r="AC321" s="47">
        <f t="shared" si="91"/>
        <v>308</v>
      </c>
      <c r="AD321" s="47">
        <f t="shared" si="92"/>
        <v>210</v>
      </c>
      <c r="AE321" s="47">
        <f t="shared" si="93"/>
        <v>98</v>
      </c>
      <c r="AG321" s="47">
        <f t="shared" si="94"/>
        <v>307</v>
      </c>
      <c r="AH321" s="47">
        <f t="shared" si="95"/>
        <v>209</v>
      </c>
      <c r="AI321" s="208">
        <f t="shared" si="96"/>
        <v>98</v>
      </c>
    </row>
    <row r="322" spans="1:35">
      <c r="A322" t="s">
        <v>2182</v>
      </c>
      <c r="B322" t="s">
        <v>3155</v>
      </c>
      <c r="C322" t="s">
        <v>2312</v>
      </c>
      <c r="D322" t="s">
        <v>3525</v>
      </c>
      <c r="F322" t="s">
        <v>274</v>
      </c>
      <c r="G322" s="126">
        <f>SUMIFS('Support - Transition'!F:F,'Support - Transition'!B:B,'Step 2'!A322,'Support - Transition'!C:C,'Step 2'!B322,'Support - Transition'!D:D,'Step 2'!C322,'Support - Transition'!E:E,"CIVIL")</f>
        <v>0</v>
      </c>
      <c r="H322" s="126">
        <f>SUMIFS('Support - Transition'!F:F,'Support - Transition'!B:B,'Step 2'!A322,'Support - Transition'!C:C,'Step 2'!B322,'Support - Transition'!D:D,'Step 2'!C322,'Support - Transition'!E:E,"FIRE")</f>
        <v>0</v>
      </c>
      <c r="I322" s="126">
        <f>IF(B322="0",SUMIFS('Support - Transition'!F:F,'Support - Transition'!J:J,'Step 2'!D322,'Support - Transition'!E:E,"STATE UNIT"),SUMIFS('Support - Transition'!F:F,'Support - Transition'!J:J,'Step 2'!D322))</f>
        <v>5.8868999999999998E-2</v>
      </c>
      <c r="J322" s="126">
        <f>SUMIFS('Support - Unit Adjustments'!E:E,'Support - Unit Adjustments'!F:F,'Step 2'!D322)</f>
        <v>0</v>
      </c>
      <c r="K322" s="126">
        <f t="shared" ref="K322:K385" si="99">+I322+J322</f>
        <v>5.8868999999999998E-2</v>
      </c>
      <c r="L322" s="174">
        <f>VLOOKUP(A322,'Step 1'!$A:$E,4,FALSE)</f>
        <v>485063</v>
      </c>
      <c r="M322" s="47">
        <f t="shared" ref="M322:M385" si="100">ROUND(+K322*L322,0)</f>
        <v>28555</v>
      </c>
      <c r="N322" s="177">
        <f>SUMIFS('Support - Transition'!G:G,'Support - Transition'!J:J,'Step 2'!D322,'Support - Transition'!E:E,"2009 WELFARE ALLOCATION FACTOR")</f>
        <v>0</v>
      </c>
      <c r="O322" s="152">
        <f t="shared" si="85"/>
        <v>0</v>
      </c>
      <c r="P322" s="126">
        <f>IF(E322="Y",0,SUMIFS('Support - Transition'!G:G,'Support - Transition'!J:J,'Step 2'!D322,'Support - Transition'!E:E,"2009 SCHOOL ALLOCATION FACTOR"))</f>
        <v>0</v>
      </c>
      <c r="Q322" s="126">
        <f>IF(E322="Y",VLOOKUP(D322,'Support - Unit Adjustments'!F:G,2,FALSE),0)</f>
        <v>0</v>
      </c>
      <c r="R322" s="155">
        <f t="shared" si="98"/>
        <v>0</v>
      </c>
      <c r="S322" s="47">
        <f t="shared" si="97"/>
        <v>0</v>
      </c>
      <c r="T322" s="151">
        <f t="shared" ref="T322:T385" si="101">ROUND(+M322-O322-S322,2)</f>
        <v>28555</v>
      </c>
      <c r="U322" s="151">
        <f t="shared" ref="U322:U385" si="102">IF(B322="0",SUMIFS(O:O,A:A,A322)+SUMIFS(S:S,A:A,A322)+SUMIFS(T:T,A:A,A322),0)</f>
        <v>0</v>
      </c>
      <c r="V322" s="139">
        <f t="shared" ref="V322:V385" si="103">IF(B322="0",U322-L322,0)</f>
        <v>0</v>
      </c>
      <c r="W322" s="152">
        <f t="shared" si="87"/>
        <v>28555</v>
      </c>
      <c r="X322" s="127" t="str">
        <f t="shared" ref="X322:X385" si="104">IF(B322="0",SUMIFS(O:O,A:A,A322)+SUMIFS(S:S,A:A,A322)+SUMIFS(W:W,A:A,A322)-L322,"")</f>
        <v/>
      </c>
      <c r="Y322" s="207">
        <f t="shared" si="88"/>
        <v>28555</v>
      </c>
      <c r="Z322" s="139">
        <f t="shared" si="89"/>
        <v>28555</v>
      </c>
      <c r="AA322" s="139">
        <f t="shared" si="90"/>
        <v>0</v>
      </c>
      <c r="AC322" s="47">
        <f t="shared" si="91"/>
        <v>14278</v>
      </c>
      <c r="AD322" s="47">
        <f t="shared" si="92"/>
        <v>14278</v>
      </c>
      <c r="AE322" s="47">
        <f t="shared" si="93"/>
        <v>0</v>
      </c>
      <c r="AG322" s="47">
        <f t="shared" si="94"/>
        <v>14277</v>
      </c>
      <c r="AH322" s="47">
        <f t="shared" si="95"/>
        <v>14277</v>
      </c>
      <c r="AI322" s="208">
        <f t="shared" si="96"/>
        <v>0</v>
      </c>
    </row>
    <row r="323" spans="1:35">
      <c r="A323" t="s">
        <v>2182</v>
      </c>
      <c r="B323" t="s">
        <v>3155</v>
      </c>
      <c r="C323" t="s">
        <v>2313</v>
      </c>
      <c r="D323" t="s">
        <v>3526</v>
      </c>
      <c r="F323" t="s">
        <v>273</v>
      </c>
      <c r="G323" s="126">
        <f>SUMIFS('Support - Transition'!F:F,'Support - Transition'!B:B,'Step 2'!A323,'Support - Transition'!C:C,'Step 2'!B323,'Support - Transition'!D:D,'Step 2'!C323,'Support - Transition'!E:E,"CIVIL")</f>
        <v>0</v>
      </c>
      <c r="H323" s="126">
        <f>SUMIFS('Support - Transition'!F:F,'Support - Transition'!B:B,'Step 2'!A323,'Support - Transition'!C:C,'Step 2'!B323,'Support - Transition'!D:D,'Step 2'!C323,'Support - Transition'!E:E,"FIRE")</f>
        <v>0</v>
      </c>
      <c r="I323" s="126">
        <f>IF(B323="0",SUMIFS('Support - Transition'!F:F,'Support - Transition'!J:J,'Step 2'!D323,'Support - Transition'!E:E,"STATE UNIT"),SUMIFS('Support - Transition'!F:F,'Support - Transition'!J:J,'Step 2'!D323))</f>
        <v>6.0780000000000001E-3</v>
      </c>
      <c r="J323" s="126">
        <f>SUMIFS('Support - Unit Adjustments'!E:E,'Support - Unit Adjustments'!F:F,'Step 2'!D323)</f>
        <v>0</v>
      </c>
      <c r="K323" s="126">
        <f t="shared" si="99"/>
        <v>6.0780000000000001E-3</v>
      </c>
      <c r="L323" s="174">
        <f>VLOOKUP(A323,'Step 1'!$A:$E,4,FALSE)</f>
        <v>485063</v>
      </c>
      <c r="M323" s="47">
        <f t="shared" si="100"/>
        <v>2948</v>
      </c>
      <c r="N323" s="177">
        <f>SUMIFS('Support - Transition'!G:G,'Support - Transition'!J:J,'Step 2'!D323,'Support - Transition'!E:E,"2009 WELFARE ALLOCATION FACTOR")</f>
        <v>0</v>
      </c>
      <c r="O323" s="152">
        <f t="shared" ref="O323:O386" si="105">ROUND(+N323*M323,0)</f>
        <v>0</v>
      </c>
      <c r="P323" s="126">
        <f>IF(E323="Y",0,SUMIFS('Support - Transition'!G:G,'Support - Transition'!J:J,'Step 2'!D323,'Support - Transition'!E:E,"2009 SCHOOL ALLOCATION FACTOR"))</f>
        <v>0</v>
      </c>
      <c r="Q323" s="126">
        <f>IF(E323="Y",VLOOKUP(D323,'Support - Unit Adjustments'!F:G,2,FALSE),0)</f>
        <v>0</v>
      </c>
      <c r="R323" s="155">
        <f t="shared" si="98"/>
        <v>0</v>
      </c>
      <c r="S323" s="47">
        <f t="shared" si="97"/>
        <v>0</v>
      </c>
      <c r="T323" s="151">
        <f t="shared" si="101"/>
        <v>2948</v>
      </c>
      <c r="U323" s="151">
        <f t="shared" si="102"/>
        <v>0</v>
      </c>
      <c r="V323" s="139">
        <f t="shared" si="103"/>
        <v>0</v>
      </c>
      <c r="W323" s="152">
        <f t="shared" ref="W323:W386" si="106">+T323-V323</f>
        <v>2948</v>
      </c>
      <c r="X323" s="127" t="str">
        <f t="shared" si="104"/>
        <v/>
      </c>
      <c r="Y323" s="207">
        <f t="shared" ref="Y323:Y386" si="107">W323</f>
        <v>2948</v>
      </c>
      <c r="Z323" s="139">
        <f t="shared" ref="Z323:Z386" si="108">IFERROR(IF(B323="2",ROUND(Y323*G323/I323,0),Y323),0)</f>
        <v>2948</v>
      </c>
      <c r="AA323" s="139">
        <f t="shared" ref="AA323:AA386" si="109">+Y323-Z323</f>
        <v>0</v>
      </c>
      <c r="AC323" s="47">
        <f t="shared" ref="AC323:AC386" si="110">ROUND(Y323/2,0)</f>
        <v>1474</v>
      </c>
      <c r="AD323" s="47">
        <f t="shared" ref="AD323:AD386" si="111">ROUND(Z323/2,0)</f>
        <v>1474</v>
      </c>
      <c r="AE323" s="47">
        <f t="shared" ref="AE323:AE386" si="112">ROUND(AA323/2,0)</f>
        <v>0</v>
      </c>
      <c r="AG323" s="47">
        <f t="shared" ref="AG323:AG386" si="113">+Y323-AC323</f>
        <v>1474</v>
      </c>
      <c r="AH323" s="47">
        <f t="shared" ref="AH323:AH386" si="114">+Z323-AD323</f>
        <v>1474</v>
      </c>
      <c r="AI323" s="208">
        <f t="shared" ref="AI323:AI386" si="115">+AA323-AE323</f>
        <v>0</v>
      </c>
    </row>
    <row r="324" spans="1:35">
      <c r="A324" t="s">
        <v>2182</v>
      </c>
      <c r="B324" t="s">
        <v>3155</v>
      </c>
      <c r="C324" t="s">
        <v>2314</v>
      </c>
      <c r="D324" t="s">
        <v>3527</v>
      </c>
      <c r="F324" t="s">
        <v>275</v>
      </c>
      <c r="G324" s="126">
        <f>SUMIFS('Support - Transition'!F:F,'Support - Transition'!B:B,'Step 2'!A324,'Support - Transition'!C:C,'Step 2'!B324,'Support - Transition'!D:D,'Step 2'!C324,'Support - Transition'!E:E,"CIVIL")</f>
        <v>0</v>
      </c>
      <c r="H324" s="126">
        <f>SUMIFS('Support - Transition'!F:F,'Support - Transition'!B:B,'Step 2'!A324,'Support - Transition'!C:C,'Step 2'!B324,'Support - Transition'!D:D,'Step 2'!C324,'Support - Transition'!E:E,"FIRE")</f>
        <v>0</v>
      </c>
      <c r="I324" s="126">
        <f>IF(B324="0",SUMIFS('Support - Transition'!F:F,'Support - Transition'!J:J,'Step 2'!D324,'Support - Transition'!E:E,"STATE UNIT"),SUMIFS('Support - Transition'!F:F,'Support - Transition'!J:J,'Step 2'!D324))</f>
        <v>3.8700000000000002E-3</v>
      </c>
      <c r="J324" s="126">
        <f>SUMIFS('Support - Unit Adjustments'!E:E,'Support - Unit Adjustments'!F:F,'Step 2'!D324)</f>
        <v>0</v>
      </c>
      <c r="K324" s="126">
        <f t="shared" si="99"/>
        <v>3.8700000000000002E-3</v>
      </c>
      <c r="L324" s="174">
        <f>VLOOKUP(A324,'Step 1'!$A:$E,4,FALSE)</f>
        <v>485063</v>
      </c>
      <c r="M324" s="47">
        <f t="shared" si="100"/>
        <v>1877</v>
      </c>
      <c r="N324" s="177">
        <f>SUMIFS('Support - Transition'!G:G,'Support - Transition'!J:J,'Step 2'!D324,'Support - Transition'!E:E,"2009 WELFARE ALLOCATION FACTOR")</f>
        <v>0</v>
      </c>
      <c r="O324" s="152">
        <f t="shared" si="105"/>
        <v>0</v>
      </c>
      <c r="P324" s="126">
        <f>IF(E324="Y",0,SUMIFS('Support - Transition'!G:G,'Support - Transition'!J:J,'Step 2'!D324,'Support - Transition'!E:E,"2009 SCHOOL ALLOCATION FACTOR"))</f>
        <v>0</v>
      </c>
      <c r="Q324" s="126">
        <f>IF(E324="Y",VLOOKUP(D324,'Support - Unit Adjustments'!F:G,2,FALSE),0)</f>
        <v>0</v>
      </c>
      <c r="R324" s="155">
        <f t="shared" si="98"/>
        <v>0</v>
      </c>
      <c r="S324" s="47">
        <f t="shared" si="97"/>
        <v>0</v>
      </c>
      <c r="T324" s="151">
        <f t="shared" si="101"/>
        <v>1877</v>
      </c>
      <c r="U324" s="151">
        <f t="shared" si="102"/>
        <v>0</v>
      </c>
      <c r="V324" s="139">
        <f t="shared" si="103"/>
        <v>0</v>
      </c>
      <c r="W324" s="152">
        <f t="shared" si="106"/>
        <v>1877</v>
      </c>
      <c r="X324" s="127" t="str">
        <f t="shared" si="104"/>
        <v/>
      </c>
      <c r="Y324" s="207">
        <f t="shared" si="107"/>
        <v>1877</v>
      </c>
      <c r="Z324" s="139">
        <f t="shared" si="108"/>
        <v>1877</v>
      </c>
      <c r="AA324" s="139">
        <f t="shared" si="109"/>
        <v>0</v>
      </c>
      <c r="AC324" s="47">
        <f t="shared" si="110"/>
        <v>939</v>
      </c>
      <c r="AD324" s="47">
        <f t="shared" si="111"/>
        <v>939</v>
      </c>
      <c r="AE324" s="47">
        <f t="shared" si="112"/>
        <v>0</v>
      </c>
      <c r="AG324" s="47">
        <f t="shared" si="113"/>
        <v>938</v>
      </c>
      <c r="AH324" s="47">
        <f t="shared" si="114"/>
        <v>938</v>
      </c>
      <c r="AI324" s="208">
        <f t="shared" si="115"/>
        <v>0</v>
      </c>
    </row>
    <row r="325" spans="1:35">
      <c r="A325" t="s">
        <v>2182</v>
      </c>
      <c r="B325" t="s">
        <v>3155</v>
      </c>
      <c r="C325" t="s">
        <v>2315</v>
      </c>
      <c r="D325" t="s">
        <v>3528</v>
      </c>
      <c r="F325" t="s">
        <v>276</v>
      </c>
      <c r="G325" s="126">
        <f>SUMIFS('Support - Transition'!F:F,'Support - Transition'!B:B,'Step 2'!A325,'Support - Transition'!C:C,'Step 2'!B325,'Support - Transition'!D:D,'Step 2'!C325,'Support - Transition'!E:E,"CIVIL")</f>
        <v>0</v>
      </c>
      <c r="H325" s="126">
        <f>SUMIFS('Support - Transition'!F:F,'Support - Transition'!B:B,'Step 2'!A325,'Support - Transition'!C:C,'Step 2'!B325,'Support - Transition'!D:D,'Step 2'!C325,'Support - Transition'!E:E,"FIRE")</f>
        <v>0</v>
      </c>
      <c r="I325" s="126">
        <f>IF(B325="0",SUMIFS('Support - Transition'!F:F,'Support - Transition'!J:J,'Step 2'!D325,'Support - Transition'!E:E,"STATE UNIT"),SUMIFS('Support - Transition'!F:F,'Support - Transition'!J:J,'Step 2'!D325))</f>
        <v>1.6080000000000001E-3</v>
      </c>
      <c r="J325" s="126">
        <f>SUMIFS('Support - Unit Adjustments'!E:E,'Support - Unit Adjustments'!F:F,'Step 2'!D325)</f>
        <v>0</v>
      </c>
      <c r="K325" s="126">
        <f t="shared" si="99"/>
        <v>1.6080000000000001E-3</v>
      </c>
      <c r="L325" s="174">
        <f>VLOOKUP(A325,'Step 1'!$A:$E,4,FALSE)</f>
        <v>485063</v>
      </c>
      <c r="M325" s="47">
        <f t="shared" si="100"/>
        <v>780</v>
      </c>
      <c r="N325" s="177">
        <f>SUMIFS('Support - Transition'!G:G,'Support - Transition'!J:J,'Step 2'!D325,'Support - Transition'!E:E,"2009 WELFARE ALLOCATION FACTOR")</f>
        <v>0</v>
      </c>
      <c r="O325" s="152">
        <f t="shared" si="105"/>
        <v>0</v>
      </c>
      <c r="P325" s="126">
        <f>IF(E325="Y",0,SUMIFS('Support - Transition'!G:G,'Support - Transition'!J:J,'Step 2'!D325,'Support - Transition'!E:E,"2009 SCHOOL ALLOCATION FACTOR"))</f>
        <v>0</v>
      </c>
      <c r="Q325" s="126">
        <f>IF(E325="Y",VLOOKUP(D325,'Support - Unit Adjustments'!F:G,2,FALSE),0)</f>
        <v>0</v>
      </c>
      <c r="R325" s="155">
        <f t="shared" si="98"/>
        <v>0</v>
      </c>
      <c r="S325" s="47">
        <f t="shared" si="97"/>
        <v>0</v>
      </c>
      <c r="T325" s="151">
        <f t="shared" si="101"/>
        <v>780</v>
      </c>
      <c r="U325" s="151">
        <f t="shared" si="102"/>
        <v>0</v>
      </c>
      <c r="V325" s="139">
        <f t="shared" si="103"/>
        <v>0</v>
      </c>
      <c r="W325" s="152">
        <f t="shared" si="106"/>
        <v>780</v>
      </c>
      <c r="X325" s="127" t="str">
        <f t="shared" si="104"/>
        <v/>
      </c>
      <c r="Y325" s="207">
        <f t="shared" si="107"/>
        <v>780</v>
      </c>
      <c r="Z325" s="139">
        <f t="shared" si="108"/>
        <v>780</v>
      </c>
      <c r="AA325" s="139">
        <f t="shared" si="109"/>
        <v>0</v>
      </c>
      <c r="AC325" s="47">
        <f t="shared" si="110"/>
        <v>390</v>
      </c>
      <c r="AD325" s="47">
        <f t="shared" si="111"/>
        <v>390</v>
      </c>
      <c r="AE325" s="47">
        <f t="shared" si="112"/>
        <v>0</v>
      </c>
      <c r="AG325" s="47">
        <f t="shared" si="113"/>
        <v>390</v>
      </c>
      <c r="AH325" s="47">
        <f t="shared" si="114"/>
        <v>390</v>
      </c>
      <c r="AI325" s="208">
        <f t="shared" si="115"/>
        <v>0</v>
      </c>
    </row>
    <row r="326" spans="1:35">
      <c r="A326" t="s">
        <v>2182</v>
      </c>
      <c r="B326" t="s">
        <v>3155</v>
      </c>
      <c r="C326" t="s">
        <v>2316</v>
      </c>
      <c r="D326" t="s">
        <v>3529</v>
      </c>
      <c r="F326" t="s">
        <v>277</v>
      </c>
      <c r="G326" s="126">
        <f>SUMIFS('Support - Transition'!F:F,'Support - Transition'!B:B,'Step 2'!A326,'Support - Transition'!C:C,'Step 2'!B326,'Support - Transition'!D:D,'Step 2'!C326,'Support - Transition'!E:E,"CIVIL")</f>
        <v>0</v>
      </c>
      <c r="H326" s="126">
        <f>SUMIFS('Support - Transition'!F:F,'Support - Transition'!B:B,'Step 2'!A326,'Support - Transition'!C:C,'Step 2'!B326,'Support - Transition'!D:D,'Step 2'!C326,'Support - Transition'!E:E,"FIRE")</f>
        <v>0</v>
      </c>
      <c r="I326" s="126">
        <f>IF(B326="0",SUMIFS('Support - Transition'!F:F,'Support - Transition'!J:J,'Step 2'!D326,'Support - Transition'!E:E,"STATE UNIT"),SUMIFS('Support - Transition'!F:F,'Support - Transition'!J:J,'Step 2'!D326))</f>
        <v>1.768E-3</v>
      </c>
      <c r="J326" s="126">
        <f>SUMIFS('Support - Unit Adjustments'!E:E,'Support - Unit Adjustments'!F:F,'Step 2'!D326)</f>
        <v>0</v>
      </c>
      <c r="K326" s="126">
        <f t="shared" si="99"/>
        <v>1.768E-3</v>
      </c>
      <c r="L326" s="174">
        <f>VLOOKUP(A326,'Step 1'!$A:$E,4,FALSE)</f>
        <v>485063</v>
      </c>
      <c r="M326" s="47">
        <f t="shared" si="100"/>
        <v>858</v>
      </c>
      <c r="N326" s="177">
        <f>SUMIFS('Support - Transition'!G:G,'Support - Transition'!J:J,'Step 2'!D326,'Support - Transition'!E:E,"2009 WELFARE ALLOCATION FACTOR")</f>
        <v>0</v>
      </c>
      <c r="O326" s="152">
        <f t="shared" si="105"/>
        <v>0</v>
      </c>
      <c r="P326" s="126">
        <f>IF(E326="Y",0,SUMIFS('Support - Transition'!G:G,'Support - Transition'!J:J,'Step 2'!D326,'Support - Transition'!E:E,"2009 SCHOOL ALLOCATION FACTOR"))</f>
        <v>0</v>
      </c>
      <c r="Q326" s="126">
        <f>IF(E326="Y",VLOOKUP(D326,'Support - Unit Adjustments'!F:G,2,FALSE),0)</f>
        <v>0</v>
      </c>
      <c r="R326" s="155">
        <f t="shared" si="98"/>
        <v>0</v>
      </c>
      <c r="S326" s="47">
        <f t="shared" si="97"/>
        <v>0</v>
      </c>
      <c r="T326" s="151">
        <f t="shared" si="101"/>
        <v>858</v>
      </c>
      <c r="U326" s="151">
        <f t="shared" si="102"/>
        <v>0</v>
      </c>
      <c r="V326" s="139">
        <f t="shared" si="103"/>
        <v>0</v>
      </c>
      <c r="W326" s="152">
        <f t="shared" si="106"/>
        <v>858</v>
      </c>
      <c r="X326" s="127" t="str">
        <f t="shared" si="104"/>
        <v/>
      </c>
      <c r="Y326" s="207">
        <f t="shared" si="107"/>
        <v>858</v>
      </c>
      <c r="Z326" s="139">
        <f t="shared" si="108"/>
        <v>858</v>
      </c>
      <c r="AA326" s="139">
        <f t="shared" si="109"/>
        <v>0</v>
      </c>
      <c r="AC326" s="47">
        <f t="shared" si="110"/>
        <v>429</v>
      </c>
      <c r="AD326" s="47">
        <f t="shared" si="111"/>
        <v>429</v>
      </c>
      <c r="AE326" s="47">
        <f t="shared" si="112"/>
        <v>0</v>
      </c>
      <c r="AG326" s="47">
        <f t="shared" si="113"/>
        <v>429</v>
      </c>
      <c r="AH326" s="47">
        <f t="shared" si="114"/>
        <v>429</v>
      </c>
      <c r="AI326" s="208">
        <f t="shared" si="115"/>
        <v>0</v>
      </c>
    </row>
    <row r="327" spans="1:35">
      <c r="A327" t="s">
        <v>2182</v>
      </c>
      <c r="B327" t="s">
        <v>3155</v>
      </c>
      <c r="C327" t="s">
        <v>2317</v>
      </c>
      <c r="D327" t="s">
        <v>3530</v>
      </c>
      <c r="F327" t="s">
        <v>278</v>
      </c>
      <c r="G327" s="126">
        <f>SUMIFS('Support - Transition'!F:F,'Support - Transition'!B:B,'Step 2'!A327,'Support - Transition'!C:C,'Step 2'!B327,'Support - Transition'!D:D,'Step 2'!C327,'Support - Transition'!E:E,"CIVIL")</f>
        <v>0</v>
      </c>
      <c r="H327" s="126">
        <f>SUMIFS('Support - Transition'!F:F,'Support - Transition'!B:B,'Step 2'!A327,'Support - Transition'!C:C,'Step 2'!B327,'Support - Transition'!D:D,'Step 2'!C327,'Support - Transition'!E:E,"FIRE")</f>
        <v>0</v>
      </c>
      <c r="I327" s="126">
        <f>IF(B327="0",SUMIFS('Support - Transition'!F:F,'Support - Transition'!J:J,'Step 2'!D327,'Support - Transition'!E:E,"STATE UNIT"),SUMIFS('Support - Transition'!F:F,'Support - Transition'!J:J,'Step 2'!D327))</f>
        <v>2.3280000000000002E-3</v>
      </c>
      <c r="J327" s="126">
        <f>SUMIFS('Support - Unit Adjustments'!E:E,'Support - Unit Adjustments'!F:F,'Step 2'!D327)</f>
        <v>0</v>
      </c>
      <c r="K327" s="126">
        <f t="shared" si="99"/>
        <v>2.3280000000000002E-3</v>
      </c>
      <c r="L327" s="174">
        <f>VLOOKUP(A327,'Step 1'!$A:$E,4,FALSE)</f>
        <v>485063</v>
      </c>
      <c r="M327" s="47">
        <f t="shared" si="100"/>
        <v>1129</v>
      </c>
      <c r="N327" s="177">
        <f>SUMIFS('Support - Transition'!G:G,'Support - Transition'!J:J,'Step 2'!D327,'Support - Transition'!E:E,"2009 WELFARE ALLOCATION FACTOR")</f>
        <v>0</v>
      </c>
      <c r="O327" s="152">
        <f t="shared" si="105"/>
        <v>0</v>
      </c>
      <c r="P327" s="126">
        <f>IF(E327="Y",0,SUMIFS('Support - Transition'!G:G,'Support - Transition'!J:J,'Step 2'!D327,'Support - Transition'!E:E,"2009 SCHOOL ALLOCATION FACTOR"))</f>
        <v>0</v>
      </c>
      <c r="Q327" s="126">
        <f>IF(E327="Y",VLOOKUP(D327,'Support - Unit Adjustments'!F:G,2,FALSE),0)</f>
        <v>0</v>
      </c>
      <c r="R327" s="155">
        <f t="shared" si="98"/>
        <v>0</v>
      </c>
      <c r="S327" s="47">
        <f t="shared" si="97"/>
        <v>0</v>
      </c>
      <c r="T327" s="151">
        <f t="shared" si="101"/>
        <v>1129</v>
      </c>
      <c r="U327" s="151">
        <f t="shared" si="102"/>
        <v>0</v>
      </c>
      <c r="V327" s="139">
        <f t="shared" si="103"/>
        <v>0</v>
      </c>
      <c r="W327" s="152">
        <f t="shared" si="106"/>
        <v>1129</v>
      </c>
      <c r="X327" s="127" t="str">
        <f t="shared" si="104"/>
        <v/>
      </c>
      <c r="Y327" s="207">
        <f t="shared" si="107"/>
        <v>1129</v>
      </c>
      <c r="Z327" s="139">
        <f t="shared" si="108"/>
        <v>1129</v>
      </c>
      <c r="AA327" s="139">
        <f t="shared" si="109"/>
        <v>0</v>
      </c>
      <c r="AC327" s="47">
        <f t="shared" si="110"/>
        <v>565</v>
      </c>
      <c r="AD327" s="47">
        <f t="shared" si="111"/>
        <v>565</v>
      </c>
      <c r="AE327" s="47">
        <f t="shared" si="112"/>
        <v>0</v>
      </c>
      <c r="AG327" s="47">
        <f t="shared" si="113"/>
        <v>564</v>
      </c>
      <c r="AH327" s="47">
        <f t="shared" si="114"/>
        <v>564</v>
      </c>
      <c r="AI327" s="208">
        <f t="shared" si="115"/>
        <v>0</v>
      </c>
    </row>
    <row r="328" spans="1:35">
      <c r="A328" t="s">
        <v>2182</v>
      </c>
      <c r="B328" t="s">
        <v>3160</v>
      </c>
      <c r="C328" t="s">
        <v>2318</v>
      </c>
      <c r="D328" t="s">
        <v>3531</v>
      </c>
      <c r="F328" t="s">
        <v>279</v>
      </c>
      <c r="G328" s="126">
        <f>SUMIFS('Support - Transition'!F:F,'Support - Transition'!B:B,'Step 2'!A328,'Support - Transition'!C:C,'Step 2'!B328,'Support - Transition'!D:D,'Step 2'!C328,'Support - Transition'!E:E,"CIVIL")</f>
        <v>0</v>
      </c>
      <c r="H328" s="126">
        <f>SUMIFS('Support - Transition'!F:F,'Support - Transition'!B:B,'Step 2'!A328,'Support - Transition'!C:C,'Step 2'!B328,'Support - Transition'!D:D,'Step 2'!C328,'Support - Transition'!E:E,"FIRE")</f>
        <v>0</v>
      </c>
      <c r="I328" s="126">
        <f>IF(B328="0",SUMIFS('Support - Transition'!F:F,'Support - Transition'!J:J,'Step 2'!D328,'Support - Transition'!E:E,"STATE UNIT"),SUMIFS('Support - Transition'!F:F,'Support - Transition'!J:J,'Step 2'!D328))</f>
        <v>9.8963999999999996E-2</v>
      </c>
      <c r="J328" s="126">
        <f>SUMIFS('Support - Unit Adjustments'!E:E,'Support - Unit Adjustments'!F:F,'Step 2'!D328)</f>
        <v>0</v>
      </c>
      <c r="K328" s="126">
        <f t="shared" si="99"/>
        <v>9.8963999999999996E-2</v>
      </c>
      <c r="L328" s="174">
        <f>VLOOKUP(A328,'Step 1'!$A:$E,4,FALSE)</f>
        <v>485063</v>
      </c>
      <c r="M328" s="47">
        <f t="shared" si="100"/>
        <v>48004</v>
      </c>
      <c r="N328" s="177">
        <f>SUMIFS('Support - Transition'!G:G,'Support - Transition'!J:J,'Step 2'!D328,'Support - Transition'!E:E,"2009 WELFARE ALLOCATION FACTOR")</f>
        <v>0</v>
      </c>
      <c r="O328" s="152">
        <f t="shared" si="105"/>
        <v>0</v>
      </c>
      <c r="P328" s="126">
        <f>IF(E328="Y",0,SUMIFS('Support - Transition'!G:G,'Support - Transition'!J:J,'Step 2'!D328,'Support - Transition'!E:E,"2009 SCHOOL ALLOCATION FACTOR"))</f>
        <v>0.52315999999999996</v>
      </c>
      <c r="Q328" s="126">
        <f>IF(E328="Y",VLOOKUP(D328,'Support - Unit Adjustments'!F:G,2,FALSE),0)</f>
        <v>0</v>
      </c>
      <c r="R328" s="155">
        <f t="shared" si="98"/>
        <v>0.52315999999999996</v>
      </c>
      <c r="S328" s="47">
        <f t="shared" ref="S328:S391" si="116">ROUND(+R328*M328,0)</f>
        <v>25114</v>
      </c>
      <c r="T328" s="151">
        <f t="shared" si="101"/>
        <v>22890</v>
      </c>
      <c r="U328" s="151">
        <f t="shared" si="102"/>
        <v>0</v>
      </c>
      <c r="V328" s="139">
        <f t="shared" si="103"/>
        <v>0</v>
      </c>
      <c r="W328" s="152">
        <f t="shared" si="106"/>
        <v>22890</v>
      </c>
      <c r="X328" s="127" t="str">
        <f t="shared" si="104"/>
        <v/>
      </c>
      <c r="Y328" s="207">
        <f t="shared" si="107"/>
        <v>22890</v>
      </c>
      <c r="Z328" s="139">
        <f t="shared" si="108"/>
        <v>22890</v>
      </c>
      <c r="AA328" s="139">
        <f t="shared" si="109"/>
        <v>0</v>
      </c>
      <c r="AC328" s="47">
        <f t="shared" si="110"/>
        <v>11445</v>
      </c>
      <c r="AD328" s="47">
        <f t="shared" si="111"/>
        <v>11445</v>
      </c>
      <c r="AE328" s="47">
        <f t="shared" si="112"/>
        <v>0</v>
      </c>
      <c r="AG328" s="47">
        <f t="shared" si="113"/>
        <v>11445</v>
      </c>
      <c r="AH328" s="47">
        <f t="shared" si="114"/>
        <v>11445</v>
      </c>
      <c r="AI328" s="208">
        <f t="shared" si="115"/>
        <v>0</v>
      </c>
    </row>
    <row r="329" spans="1:35">
      <c r="A329" t="s">
        <v>2182</v>
      </c>
      <c r="B329" t="s">
        <v>3160</v>
      </c>
      <c r="C329" t="s">
        <v>2319</v>
      </c>
      <c r="D329" t="s">
        <v>3532</v>
      </c>
      <c r="F329" t="s">
        <v>280</v>
      </c>
      <c r="G329" s="126">
        <f>SUMIFS('Support - Transition'!F:F,'Support - Transition'!B:B,'Step 2'!A329,'Support - Transition'!C:C,'Step 2'!B329,'Support - Transition'!D:D,'Step 2'!C329,'Support - Transition'!E:E,"CIVIL")</f>
        <v>0</v>
      </c>
      <c r="H329" s="126">
        <f>SUMIFS('Support - Transition'!F:F,'Support - Transition'!B:B,'Step 2'!A329,'Support - Transition'!C:C,'Step 2'!B329,'Support - Transition'!D:D,'Step 2'!C329,'Support - Transition'!E:E,"FIRE")</f>
        <v>0</v>
      </c>
      <c r="I329" s="126">
        <f>IF(B329="0",SUMIFS('Support - Transition'!F:F,'Support - Transition'!J:J,'Step 2'!D329,'Support - Transition'!E:E,"STATE UNIT"),SUMIFS('Support - Transition'!F:F,'Support - Transition'!J:J,'Step 2'!D329))</f>
        <v>0.183749</v>
      </c>
      <c r="J329" s="126">
        <f>SUMIFS('Support - Unit Adjustments'!E:E,'Support - Unit Adjustments'!F:F,'Step 2'!D329)</f>
        <v>0</v>
      </c>
      <c r="K329" s="126">
        <f t="shared" si="99"/>
        <v>0.183749</v>
      </c>
      <c r="L329" s="174">
        <f>VLOOKUP(A329,'Step 1'!$A:$E,4,FALSE)</f>
        <v>485063</v>
      </c>
      <c r="M329" s="47">
        <f t="shared" si="100"/>
        <v>89130</v>
      </c>
      <c r="N329" s="177">
        <f>SUMIFS('Support - Transition'!G:G,'Support - Transition'!J:J,'Step 2'!D329,'Support - Transition'!E:E,"2009 WELFARE ALLOCATION FACTOR")</f>
        <v>0</v>
      </c>
      <c r="O329" s="152">
        <f t="shared" si="105"/>
        <v>0</v>
      </c>
      <c r="P329" s="126">
        <f>IF(E329="Y",0,SUMIFS('Support - Transition'!G:G,'Support - Transition'!J:J,'Step 2'!D329,'Support - Transition'!E:E,"2009 SCHOOL ALLOCATION FACTOR"))</f>
        <v>0.40146100000000001</v>
      </c>
      <c r="Q329" s="126">
        <f>IF(E329="Y",VLOOKUP(D329,'Support - Unit Adjustments'!F:G,2,FALSE),0)</f>
        <v>0</v>
      </c>
      <c r="R329" s="155">
        <f t="shared" ref="R329:R392" si="117">+P329+Q329</f>
        <v>0.40146100000000001</v>
      </c>
      <c r="S329" s="47">
        <f t="shared" si="116"/>
        <v>35782</v>
      </c>
      <c r="T329" s="151">
        <f t="shared" si="101"/>
        <v>53348</v>
      </c>
      <c r="U329" s="151">
        <f t="shared" si="102"/>
        <v>0</v>
      </c>
      <c r="V329" s="139">
        <f t="shared" si="103"/>
        <v>0</v>
      </c>
      <c r="W329" s="152">
        <f t="shared" si="106"/>
        <v>53348</v>
      </c>
      <c r="X329" s="127" t="str">
        <f t="shared" si="104"/>
        <v/>
      </c>
      <c r="Y329" s="207">
        <f t="shared" si="107"/>
        <v>53348</v>
      </c>
      <c r="Z329" s="139">
        <f t="shared" si="108"/>
        <v>53348</v>
      </c>
      <c r="AA329" s="139">
        <f t="shared" si="109"/>
        <v>0</v>
      </c>
      <c r="AC329" s="47">
        <f t="shared" si="110"/>
        <v>26674</v>
      </c>
      <c r="AD329" s="47">
        <f t="shared" si="111"/>
        <v>26674</v>
      </c>
      <c r="AE329" s="47">
        <f t="shared" si="112"/>
        <v>0</v>
      </c>
      <c r="AG329" s="47">
        <f t="shared" si="113"/>
        <v>26674</v>
      </c>
      <c r="AH329" s="47">
        <f t="shared" si="114"/>
        <v>26674</v>
      </c>
      <c r="AI329" s="208">
        <f t="shared" si="115"/>
        <v>0</v>
      </c>
    </row>
    <row r="330" spans="1:35">
      <c r="A330" t="s">
        <v>2182</v>
      </c>
      <c r="B330" t="s">
        <v>3160</v>
      </c>
      <c r="C330" t="s">
        <v>2320</v>
      </c>
      <c r="D330" t="s">
        <v>3533</v>
      </c>
      <c r="F330" t="s">
        <v>281</v>
      </c>
      <c r="G330" s="126">
        <f>SUMIFS('Support - Transition'!F:F,'Support - Transition'!B:B,'Step 2'!A330,'Support - Transition'!C:C,'Step 2'!B330,'Support - Transition'!D:D,'Step 2'!C330,'Support - Transition'!E:E,"CIVIL")</f>
        <v>0</v>
      </c>
      <c r="H330" s="126">
        <f>SUMIFS('Support - Transition'!F:F,'Support - Transition'!B:B,'Step 2'!A330,'Support - Transition'!C:C,'Step 2'!B330,'Support - Transition'!D:D,'Step 2'!C330,'Support - Transition'!E:E,"FIRE")</f>
        <v>0</v>
      </c>
      <c r="I330" s="126">
        <f>IF(B330="0",SUMIFS('Support - Transition'!F:F,'Support - Transition'!J:J,'Step 2'!D330,'Support - Transition'!E:E,"STATE UNIT"),SUMIFS('Support - Transition'!F:F,'Support - Transition'!J:J,'Step 2'!D330))</f>
        <v>0.18451200000000001</v>
      </c>
      <c r="J330" s="126">
        <f>SUMIFS('Support - Unit Adjustments'!E:E,'Support - Unit Adjustments'!F:F,'Step 2'!D330)</f>
        <v>0</v>
      </c>
      <c r="K330" s="126">
        <f t="shared" si="99"/>
        <v>0.18451200000000001</v>
      </c>
      <c r="L330" s="174">
        <f>VLOOKUP(A330,'Step 1'!$A:$E,4,FALSE)</f>
        <v>485063</v>
      </c>
      <c r="M330" s="47">
        <f t="shared" si="100"/>
        <v>89500</v>
      </c>
      <c r="N330" s="177">
        <f>SUMIFS('Support - Transition'!G:G,'Support - Transition'!J:J,'Step 2'!D330,'Support - Transition'!E:E,"2009 WELFARE ALLOCATION FACTOR")</f>
        <v>0</v>
      </c>
      <c r="O330" s="152">
        <f t="shared" si="105"/>
        <v>0</v>
      </c>
      <c r="P330" s="126">
        <f>IF(E330="Y",0,SUMIFS('Support - Transition'!G:G,'Support - Transition'!J:J,'Step 2'!D330,'Support - Transition'!E:E,"2009 SCHOOL ALLOCATION FACTOR"))</f>
        <v>0.40509600000000001</v>
      </c>
      <c r="Q330" s="126">
        <f>IF(E330="Y",VLOOKUP(D330,'Support - Unit Adjustments'!F:G,2,FALSE),0)</f>
        <v>0</v>
      </c>
      <c r="R330" s="155">
        <f t="shared" si="117"/>
        <v>0.40509600000000001</v>
      </c>
      <c r="S330" s="47">
        <f t="shared" si="116"/>
        <v>36256</v>
      </c>
      <c r="T330" s="151">
        <f t="shared" si="101"/>
        <v>53244</v>
      </c>
      <c r="U330" s="151">
        <f t="shared" si="102"/>
        <v>0</v>
      </c>
      <c r="V330" s="139">
        <f t="shared" si="103"/>
        <v>0</v>
      </c>
      <c r="W330" s="152">
        <f t="shared" si="106"/>
        <v>53244</v>
      </c>
      <c r="X330" s="127" t="str">
        <f t="shared" si="104"/>
        <v/>
      </c>
      <c r="Y330" s="207">
        <f t="shared" si="107"/>
        <v>53244</v>
      </c>
      <c r="Z330" s="139">
        <f t="shared" si="108"/>
        <v>53244</v>
      </c>
      <c r="AA330" s="139">
        <f t="shared" si="109"/>
        <v>0</v>
      </c>
      <c r="AC330" s="47">
        <f t="shared" si="110"/>
        <v>26622</v>
      </c>
      <c r="AD330" s="47">
        <f t="shared" si="111"/>
        <v>26622</v>
      </c>
      <c r="AE330" s="47">
        <f t="shared" si="112"/>
        <v>0</v>
      </c>
      <c r="AG330" s="47">
        <f t="shared" si="113"/>
        <v>26622</v>
      </c>
      <c r="AH330" s="47">
        <f t="shared" si="114"/>
        <v>26622</v>
      </c>
      <c r="AI330" s="208">
        <f t="shared" si="115"/>
        <v>0</v>
      </c>
    </row>
    <row r="331" spans="1:35">
      <c r="A331" t="s">
        <v>2182</v>
      </c>
      <c r="B331" t="s">
        <v>3160</v>
      </c>
      <c r="C331" t="s">
        <v>2277</v>
      </c>
      <c r="D331" t="s">
        <v>3534</v>
      </c>
      <c r="F331" t="s">
        <v>3378</v>
      </c>
      <c r="G331" s="126">
        <f>SUMIFS('Support - Transition'!F:F,'Support - Transition'!B:B,'Step 2'!A331,'Support - Transition'!C:C,'Step 2'!B331,'Support - Transition'!D:D,'Step 2'!C331,'Support - Transition'!E:E,"CIVIL")</f>
        <v>0</v>
      </c>
      <c r="H331" s="126">
        <f>SUMIFS('Support - Transition'!F:F,'Support - Transition'!B:B,'Step 2'!A331,'Support - Transition'!C:C,'Step 2'!B331,'Support - Transition'!D:D,'Step 2'!C331,'Support - Transition'!E:E,"FIRE")</f>
        <v>0</v>
      </c>
      <c r="I331" s="126">
        <f>IF(B331="0",SUMIFS('Support - Transition'!F:F,'Support - Transition'!J:J,'Step 2'!D331,'Support - Transition'!E:E,"STATE UNIT"),SUMIFS('Support - Transition'!F:F,'Support - Transition'!J:J,'Step 2'!D331))</f>
        <v>5.1616000000000002E-2</v>
      </c>
      <c r="J331" s="126">
        <f>SUMIFS('Support - Unit Adjustments'!E:E,'Support - Unit Adjustments'!F:F,'Step 2'!D331)</f>
        <v>0</v>
      </c>
      <c r="K331" s="126">
        <f t="shared" si="99"/>
        <v>5.1616000000000002E-2</v>
      </c>
      <c r="L331" s="174">
        <f>VLOOKUP(A331,'Step 1'!$A:$E,4,FALSE)</f>
        <v>485063</v>
      </c>
      <c r="M331" s="47">
        <f t="shared" si="100"/>
        <v>25037</v>
      </c>
      <c r="N331" s="177">
        <f>SUMIFS('Support - Transition'!G:G,'Support - Transition'!J:J,'Step 2'!D331,'Support - Transition'!E:E,"2009 WELFARE ALLOCATION FACTOR")</f>
        <v>0</v>
      </c>
      <c r="O331" s="152">
        <f t="shared" si="105"/>
        <v>0</v>
      </c>
      <c r="P331" s="126">
        <f>IF(E331="Y",0,SUMIFS('Support - Transition'!G:G,'Support - Transition'!J:J,'Step 2'!D331,'Support - Transition'!E:E,"2009 SCHOOL ALLOCATION FACTOR"))</f>
        <v>0.43918299999999999</v>
      </c>
      <c r="Q331" s="126">
        <f>IF(E331="Y",VLOOKUP(D331,'Support - Unit Adjustments'!F:G,2,FALSE),0)</f>
        <v>0</v>
      </c>
      <c r="R331" s="155">
        <f t="shared" si="117"/>
        <v>0.43918299999999999</v>
      </c>
      <c r="S331" s="47">
        <f t="shared" si="116"/>
        <v>10996</v>
      </c>
      <c r="T331" s="151">
        <f t="shared" si="101"/>
        <v>14041</v>
      </c>
      <c r="U331" s="151">
        <f t="shared" si="102"/>
        <v>0</v>
      </c>
      <c r="V331" s="139">
        <f t="shared" si="103"/>
        <v>0</v>
      </c>
      <c r="W331" s="152">
        <f t="shared" si="106"/>
        <v>14041</v>
      </c>
      <c r="X331" s="127" t="str">
        <f t="shared" si="104"/>
        <v/>
      </c>
      <c r="Y331" s="207">
        <f t="shared" si="107"/>
        <v>14041</v>
      </c>
      <c r="Z331" s="139">
        <f t="shared" si="108"/>
        <v>14041</v>
      </c>
      <c r="AA331" s="139">
        <f t="shared" si="109"/>
        <v>0</v>
      </c>
      <c r="AC331" s="47">
        <f t="shared" si="110"/>
        <v>7021</v>
      </c>
      <c r="AD331" s="47">
        <f t="shared" si="111"/>
        <v>7021</v>
      </c>
      <c r="AE331" s="47">
        <f t="shared" si="112"/>
        <v>0</v>
      </c>
      <c r="AG331" s="47">
        <f t="shared" si="113"/>
        <v>7020</v>
      </c>
      <c r="AH331" s="47">
        <f t="shared" si="114"/>
        <v>7020</v>
      </c>
      <c r="AI331" s="208">
        <f t="shared" si="115"/>
        <v>0</v>
      </c>
    </row>
    <row r="332" spans="1:35">
      <c r="A332" t="s">
        <v>2182</v>
      </c>
      <c r="B332" t="s">
        <v>3166</v>
      </c>
      <c r="C332" t="s">
        <v>2321</v>
      </c>
      <c r="D332" t="s">
        <v>3535</v>
      </c>
      <c r="F332" t="s">
        <v>3536</v>
      </c>
      <c r="G332" s="126">
        <f>SUMIFS('Support - Transition'!F:F,'Support - Transition'!B:B,'Step 2'!A332,'Support - Transition'!C:C,'Step 2'!B332,'Support - Transition'!D:D,'Step 2'!C332,'Support - Transition'!E:E,"CIVIL")</f>
        <v>0</v>
      </c>
      <c r="H332" s="126">
        <f>SUMIFS('Support - Transition'!F:F,'Support - Transition'!B:B,'Step 2'!A332,'Support - Transition'!C:C,'Step 2'!B332,'Support - Transition'!D:D,'Step 2'!C332,'Support - Transition'!E:E,"FIRE")</f>
        <v>0</v>
      </c>
      <c r="I332" s="126">
        <f>IF(B332="0",SUMIFS('Support - Transition'!F:F,'Support - Transition'!J:J,'Step 2'!D332,'Support - Transition'!E:E,"STATE UNIT"),SUMIFS('Support - Transition'!F:F,'Support - Transition'!J:J,'Step 2'!D332))</f>
        <v>2.3649999999999999E-3</v>
      </c>
      <c r="J332" s="126">
        <f>SUMIFS('Support - Unit Adjustments'!E:E,'Support - Unit Adjustments'!F:F,'Step 2'!D332)</f>
        <v>0</v>
      </c>
      <c r="K332" s="126">
        <f t="shared" si="99"/>
        <v>2.3649999999999999E-3</v>
      </c>
      <c r="L332" s="174">
        <f>VLOOKUP(A332,'Step 1'!$A:$E,4,FALSE)</f>
        <v>485063</v>
      </c>
      <c r="M332" s="47">
        <f t="shared" si="100"/>
        <v>1147</v>
      </c>
      <c r="N332" s="177">
        <f>SUMIFS('Support - Transition'!G:G,'Support - Transition'!J:J,'Step 2'!D332,'Support - Transition'!E:E,"2009 WELFARE ALLOCATION FACTOR")</f>
        <v>0</v>
      </c>
      <c r="O332" s="152">
        <f t="shared" si="105"/>
        <v>0</v>
      </c>
      <c r="P332" s="126">
        <f>IF(E332="Y",0,SUMIFS('Support - Transition'!G:G,'Support - Transition'!J:J,'Step 2'!D332,'Support - Transition'!E:E,"2009 SCHOOL ALLOCATION FACTOR"))</f>
        <v>0</v>
      </c>
      <c r="Q332" s="126">
        <f>IF(E332="Y",VLOOKUP(D332,'Support - Unit Adjustments'!F:G,2,FALSE),0)</f>
        <v>0</v>
      </c>
      <c r="R332" s="155">
        <f t="shared" si="117"/>
        <v>0</v>
      </c>
      <c r="S332" s="47">
        <f t="shared" si="116"/>
        <v>0</v>
      </c>
      <c r="T332" s="151">
        <f t="shared" si="101"/>
        <v>1147</v>
      </c>
      <c r="U332" s="151">
        <f t="shared" si="102"/>
        <v>0</v>
      </c>
      <c r="V332" s="139">
        <f t="shared" si="103"/>
        <v>0</v>
      </c>
      <c r="W332" s="152">
        <f t="shared" si="106"/>
        <v>1147</v>
      </c>
      <c r="X332" s="127" t="str">
        <f t="shared" si="104"/>
        <v/>
      </c>
      <c r="Y332" s="207">
        <f t="shared" si="107"/>
        <v>1147</v>
      </c>
      <c r="Z332" s="139">
        <f t="shared" si="108"/>
        <v>1147</v>
      </c>
      <c r="AA332" s="139">
        <f t="shared" si="109"/>
        <v>0</v>
      </c>
      <c r="AC332" s="47">
        <f t="shared" si="110"/>
        <v>574</v>
      </c>
      <c r="AD332" s="47">
        <f t="shared" si="111"/>
        <v>574</v>
      </c>
      <c r="AE332" s="47">
        <f t="shared" si="112"/>
        <v>0</v>
      </c>
      <c r="AG332" s="47">
        <f t="shared" si="113"/>
        <v>573</v>
      </c>
      <c r="AH332" s="47">
        <f t="shared" si="114"/>
        <v>573</v>
      </c>
      <c r="AI332" s="208">
        <f t="shared" si="115"/>
        <v>0</v>
      </c>
    </row>
    <row r="333" spans="1:35">
      <c r="A333" t="s">
        <v>2182</v>
      </c>
      <c r="B333" t="s">
        <v>3166</v>
      </c>
      <c r="C333" t="s">
        <v>3537</v>
      </c>
      <c r="D333" t="s">
        <v>3538</v>
      </c>
      <c r="F333" t="s">
        <v>284</v>
      </c>
      <c r="G333" s="126">
        <f>SUMIFS('Support - Transition'!F:F,'Support - Transition'!B:B,'Step 2'!A333,'Support - Transition'!C:C,'Step 2'!B333,'Support - Transition'!D:D,'Step 2'!C333,'Support - Transition'!E:E,"CIVIL")</f>
        <v>0</v>
      </c>
      <c r="H333" s="126">
        <f>SUMIFS('Support - Transition'!F:F,'Support - Transition'!B:B,'Step 2'!A333,'Support - Transition'!C:C,'Step 2'!B333,'Support - Transition'!D:D,'Step 2'!C333,'Support - Transition'!E:E,"FIRE")</f>
        <v>0</v>
      </c>
      <c r="I333" s="126">
        <f>IF(B333="0",SUMIFS('Support - Transition'!F:F,'Support - Transition'!J:J,'Step 2'!D333,'Support - Transition'!E:E,"STATE UNIT"),SUMIFS('Support - Transition'!F:F,'Support - Transition'!J:J,'Step 2'!D333))</f>
        <v>1.6146000000000001E-2</v>
      </c>
      <c r="J333" s="126">
        <f>SUMIFS('Support - Unit Adjustments'!E:E,'Support - Unit Adjustments'!F:F,'Step 2'!D333)</f>
        <v>0</v>
      </c>
      <c r="K333" s="126">
        <f t="shared" si="99"/>
        <v>1.6146000000000001E-2</v>
      </c>
      <c r="L333" s="174">
        <f>VLOOKUP(A333,'Step 1'!$A:$E,4,FALSE)</f>
        <v>485063</v>
      </c>
      <c r="M333" s="47">
        <f t="shared" si="100"/>
        <v>7832</v>
      </c>
      <c r="N333" s="177">
        <f>SUMIFS('Support - Transition'!G:G,'Support - Transition'!J:J,'Step 2'!D333,'Support - Transition'!E:E,"2009 WELFARE ALLOCATION FACTOR")</f>
        <v>0</v>
      </c>
      <c r="O333" s="152">
        <f t="shared" si="105"/>
        <v>0</v>
      </c>
      <c r="P333" s="126">
        <f>IF(E333="Y",0,SUMIFS('Support - Transition'!G:G,'Support - Transition'!J:J,'Step 2'!D333,'Support - Transition'!E:E,"2009 SCHOOL ALLOCATION FACTOR"))</f>
        <v>0</v>
      </c>
      <c r="Q333" s="126">
        <f>IF(E333="Y",VLOOKUP(D333,'Support - Unit Adjustments'!F:G,2,FALSE),0)</f>
        <v>0</v>
      </c>
      <c r="R333" s="155">
        <f t="shared" si="117"/>
        <v>0</v>
      </c>
      <c r="S333" s="47">
        <f t="shared" si="116"/>
        <v>0</v>
      </c>
      <c r="T333" s="151">
        <f t="shared" si="101"/>
        <v>7832</v>
      </c>
      <c r="U333" s="151">
        <f t="shared" si="102"/>
        <v>0</v>
      </c>
      <c r="V333" s="139">
        <f t="shared" si="103"/>
        <v>0</v>
      </c>
      <c r="W333" s="152">
        <f t="shared" si="106"/>
        <v>7832</v>
      </c>
      <c r="X333" s="127" t="str">
        <f t="shared" si="104"/>
        <v/>
      </c>
      <c r="Y333" s="207">
        <f t="shared" si="107"/>
        <v>7832</v>
      </c>
      <c r="Z333" s="139">
        <f t="shared" si="108"/>
        <v>7832</v>
      </c>
      <c r="AA333" s="139">
        <f t="shared" si="109"/>
        <v>0</v>
      </c>
      <c r="AC333" s="47">
        <f t="shared" si="110"/>
        <v>3916</v>
      </c>
      <c r="AD333" s="47">
        <f t="shared" si="111"/>
        <v>3916</v>
      </c>
      <c r="AE333" s="47">
        <f t="shared" si="112"/>
        <v>0</v>
      </c>
      <c r="AG333" s="47">
        <f t="shared" si="113"/>
        <v>3916</v>
      </c>
      <c r="AH333" s="47">
        <f t="shared" si="114"/>
        <v>3916</v>
      </c>
      <c r="AI333" s="208">
        <f t="shared" si="115"/>
        <v>0</v>
      </c>
    </row>
    <row r="334" spans="1:35">
      <c r="A334" t="s">
        <v>2182</v>
      </c>
      <c r="B334" t="s">
        <v>3166</v>
      </c>
      <c r="C334" t="s">
        <v>2322</v>
      </c>
      <c r="D334" t="s">
        <v>3539</v>
      </c>
      <c r="F334" t="s">
        <v>285</v>
      </c>
      <c r="G334" s="126">
        <f>SUMIFS('Support - Transition'!F:F,'Support - Transition'!B:B,'Step 2'!A334,'Support - Transition'!C:C,'Step 2'!B334,'Support - Transition'!D:D,'Step 2'!C334,'Support - Transition'!E:E,"CIVIL")</f>
        <v>0</v>
      </c>
      <c r="H334" s="126">
        <f>SUMIFS('Support - Transition'!F:F,'Support - Transition'!B:B,'Step 2'!A334,'Support - Transition'!C:C,'Step 2'!B334,'Support - Transition'!D:D,'Step 2'!C334,'Support - Transition'!E:E,"FIRE")</f>
        <v>0</v>
      </c>
      <c r="I334" s="126">
        <f>IF(B334="0",SUMIFS('Support - Transition'!F:F,'Support - Transition'!J:J,'Step 2'!D334,'Support - Transition'!E:E,"STATE UNIT"),SUMIFS('Support - Transition'!F:F,'Support - Transition'!J:J,'Step 2'!D334))</f>
        <v>2.3019999999999998E-3</v>
      </c>
      <c r="J334" s="126">
        <f>SUMIFS('Support - Unit Adjustments'!E:E,'Support - Unit Adjustments'!F:F,'Step 2'!D334)</f>
        <v>0</v>
      </c>
      <c r="K334" s="126">
        <f t="shared" si="99"/>
        <v>2.3019999999999998E-3</v>
      </c>
      <c r="L334" s="174">
        <f>VLOOKUP(A334,'Step 1'!$A:$E,4,FALSE)</f>
        <v>485063</v>
      </c>
      <c r="M334" s="47">
        <f t="shared" si="100"/>
        <v>1117</v>
      </c>
      <c r="N334" s="177">
        <f>SUMIFS('Support - Transition'!G:G,'Support - Transition'!J:J,'Step 2'!D334,'Support - Transition'!E:E,"2009 WELFARE ALLOCATION FACTOR")</f>
        <v>0</v>
      </c>
      <c r="O334" s="152">
        <f t="shared" si="105"/>
        <v>0</v>
      </c>
      <c r="P334" s="126">
        <f>IF(E334="Y",0,SUMIFS('Support - Transition'!G:G,'Support - Transition'!J:J,'Step 2'!D334,'Support - Transition'!E:E,"2009 SCHOOL ALLOCATION FACTOR"))</f>
        <v>0</v>
      </c>
      <c r="Q334" s="126">
        <f>IF(E334="Y",VLOOKUP(D334,'Support - Unit Adjustments'!F:G,2,FALSE),0)</f>
        <v>0</v>
      </c>
      <c r="R334" s="155">
        <f t="shared" si="117"/>
        <v>0</v>
      </c>
      <c r="S334" s="47">
        <f t="shared" si="116"/>
        <v>0</v>
      </c>
      <c r="T334" s="151">
        <f t="shared" si="101"/>
        <v>1117</v>
      </c>
      <c r="U334" s="151">
        <f t="shared" si="102"/>
        <v>0</v>
      </c>
      <c r="V334" s="139">
        <f t="shared" si="103"/>
        <v>0</v>
      </c>
      <c r="W334" s="152">
        <f t="shared" si="106"/>
        <v>1117</v>
      </c>
      <c r="X334" s="127" t="str">
        <f t="shared" si="104"/>
        <v/>
      </c>
      <c r="Y334" s="207">
        <f t="shared" si="107"/>
        <v>1117</v>
      </c>
      <c r="Z334" s="139">
        <f t="shared" si="108"/>
        <v>1117</v>
      </c>
      <c r="AA334" s="139">
        <f t="shared" si="109"/>
        <v>0</v>
      </c>
      <c r="AC334" s="47">
        <f t="shared" si="110"/>
        <v>559</v>
      </c>
      <c r="AD334" s="47">
        <f t="shared" si="111"/>
        <v>559</v>
      </c>
      <c r="AE334" s="47">
        <f t="shared" si="112"/>
        <v>0</v>
      </c>
      <c r="AG334" s="47">
        <f t="shared" si="113"/>
        <v>558</v>
      </c>
      <c r="AH334" s="47">
        <f t="shared" si="114"/>
        <v>558</v>
      </c>
      <c r="AI334" s="208">
        <f t="shared" si="115"/>
        <v>0</v>
      </c>
    </row>
    <row r="335" spans="1:35">
      <c r="A335" t="s">
        <v>2182</v>
      </c>
      <c r="B335" t="s">
        <v>3166</v>
      </c>
      <c r="C335" t="s">
        <v>3540</v>
      </c>
      <c r="D335" t="s">
        <v>3541</v>
      </c>
      <c r="F335" t="s">
        <v>3542</v>
      </c>
      <c r="G335" s="126">
        <f>SUMIFS('Support - Transition'!F:F,'Support - Transition'!B:B,'Step 2'!A335,'Support - Transition'!C:C,'Step 2'!B335,'Support - Transition'!D:D,'Step 2'!C335,'Support - Transition'!E:E,"CIVIL")</f>
        <v>0</v>
      </c>
      <c r="H335" s="126">
        <f>SUMIFS('Support - Transition'!F:F,'Support - Transition'!B:B,'Step 2'!A335,'Support - Transition'!C:C,'Step 2'!B335,'Support - Transition'!D:D,'Step 2'!C335,'Support - Transition'!E:E,"FIRE")</f>
        <v>0</v>
      </c>
      <c r="I335" s="126">
        <f>IF(B335="0",SUMIFS('Support - Transition'!F:F,'Support - Transition'!J:J,'Step 2'!D335,'Support - Transition'!E:E,"STATE UNIT"),SUMIFS('Support - Transition'!F:F,'Support - Transition'!J:J,'Step 2'!D335))</f>
        <v>1.3486E-2</v>
      </c>
      <c r="J335" s="126">
        <f>SUMIFS('Support - Unit Adjustments'!E:E,'Support - Unit Adjustments'!F:F,'Step 2'!D335)</f>
        <v>0</v>
      </c>
      <c r="K335" s="126">
        <f t="shared" si="99"/>
        <v>1.3486E-2</v>
      </c>
      <c r="L335" s="174">
        <f>VLOOKUP(A335,'Step 1'!$A:$E,4,FALSE)</f>
        <v>485063</v>
      </c>
      <c r="M335" s="47">
        <f t="shared" si="100"/>
        <v>6542</v>
      </c>
      <c r="N335" s="177">
        <f>SUMIFS('Support - Transition'!G:G,'Support - Transition'!J:J,'Step 2'!D335,'Support - Transition'!E:E,"2009 WELFARE ALLOCATION FACTOR")</f>
        <v>0</v>
      </c>
      <c r="O335" s="152">
        <f t="shared" si="105"/>
        <v>0</v>
      </c>
      <c r="P335" s="126">
        <f>IF(E335="Y",0,SUMIFS('Support - Transition'!G:G,'Support - Transition'!J:J,'Step 2'!D335,'Support - Transition'!E:E,"2009 SCHOOL ALLOCATION FACTOR"))</f>
        <v>0</v>
      </c>
      <c r="Q335" s="126">
        <f>IF(E335="Y",VLOOKUP(D335,'Support - Unit Adjustments'!F:G,2,FALSE),0)</f>
        <v>0</v>
      </c>
      <c r="R335" s="155">
        <f t="shared" si="117"/>
        <v>0</v>
      </c>
      <c r="S335" s="47">
        <f t="shared" si="116"/>
        <v>0</v>
      </c>
      <c r="T335" s="151">
        <f t="shared" si="101"/>
        <v>6542</v>
      </c>
      <c r="U335" s="151">
        <f t="shared" si="102"/>
        <v>0</v>
      </c>
      <c r="V335" s="139">
        <f t="shared" si="103"/>
        <v>0</v>
      </c>
      <c r="W335" s="152">
        <f t="shared" si="106"/>
        <v>6542</v>
      </c>
      <c r="X335" s="127" t="str">
        <f t="shared" si="104"/>
        <v/>
      </c>
      <c r="Y335" s="207">
        <f t="shared" si="107"/>
        <v>6542</v>
      </c>
      <c r="Z335" s="139">
        <f t="shared" si="108"/>
        <v>6542</v>
      </c>
      <c r="AA335" s="139">
        <f t="shared" si="109"/>
        <v>0</v>
      </c>
      <c r="AC335" s="47">
        <f t="shared" si="110"/>
        <v>3271</v>
      </c>
      <c r="AD335" s="47">
        <f t="shared" si="111"/>
        <v>3271</v>
      </c>
      <c r="AE335" s="47">
        <f t="shared" si="112"/>
        <v>0</v>
      </c>
      <c r="AG335" s="47">
        <f t="shared" si="113"/>
        <v>3271</v>
      </c>
      <c r="AH335" s="47">
        <f t="shared" si="114"/>
        <v>3271</v>
      </c>
      <c r="AI335" s="208">
        <f t="shared" si="115"/>
        <v>0</v>
      </c>
    </row>
    <row r="336" spans="1:35">
      <c r="A336" t="s">
        <v>2182</v>
      </c>
      <c r="B336" t="s">
        <v>3170</v>
      </c>
      <c r="C336" t="s">
        <v>2323</v>
      </c>
      <c r="D336" t="s">
        <v>3543</v>
      </c>
      <c r="F336" t="s">
        <v>3544</v>
      </c>
      <c r="G336" s="126">
        <f>SUMIFS('Support - Transition'!F:F,'Support - Transition'!B:B,'Step 2'!A336,'Support - Transition'!C:C,'Step 2'!B336,'Support - Transition'!D:D,'Step 2'!C336,'Support - Transition'!E:E,"CIVIL")</f>
        <v>0</v>
      </c>
      <c r="H336" s="126">
        <f>SUMIFS('Support - Transition'!F:F,'Support - Transition'!B:B,'Step 2'!A336,'Support - Transition'!C:C,'Step 2'!B336,'Support - Transition'!D:D,'Step 2'!C336,'Support - Transition'!E:E,"FIRE")</f>
        <v>0</v>
      </c>
      <c r="I336" s="126">
        <f>IF(B336="0",SUMIFS('Support - Transition'!F:F,'Support - Transition'!J:J,'Step 2'!D336,'Support - Transition'!E:E,"STATE UNIT"),SUMIFS('Support - Transition'!F:F,'Support - Transition'!J:J,'Step 2'!D336))</f>
        <v>1.2600000000000389E-3</v>
      </c>
      <c r="J336" s="126">
        <f>SUMIFS('Support - Unit Adjustments'!E:E,'Support - Unit Adjustments'!F:F,'Step 2'!D336)</f>
        <v>0</v>
      </c>
      <c r="K336" s="126">
        <f t="shared" si="99"/>
        <v>1.2600000000000389E-3</v>
      </c>
      <c r="L336" s="174">
        <f>VLOOKUP(A336,'Step 1'!$A:$E,4,FALSE)</f>
        <v>485063</v>
      </c>
      <c r="M336" s="47">
        <f t="shared" si="100"/>
        <v>611</v>
      </c>
      <c r="N336" s="177">
        <f>SUMIFS('Support - Transition'!G:G,'Support - Transition'!J:J,'Step 2'!D336,'Support - Transition'!E:E,"2009 WELFARE ALLOCATION FACTOR")</f>
        <v>0</v>
      </c>
      <c r="O336" s="152">
        <f t="shared" si="105"/>
        <v>0</v>
      </c>
      <c r="P336" s="126">
        <f>IF(E336="Y",0,SUMIFS('Support - Transition'!G:G,'Support - Transition'!J:J,'Step 2'!D336,'Support - Transition'!E:E,"2009 SCHOOL ALLOCATION FACTOR"))</f>
        <v>0</v>
      </c>
      <c r="Q336" s="126">
        <f>IF(E336="Y",VLOOKUP(D336,'Support - Unit Adjustments'!F:G,2,FALSE),0)</f>
        <v>0</v>
      </c>
      <c r="R336" s="155">
        <f t="shared" si="117"/>
        <v>0</v>
      </c>
      <c r="S336" s="47">
        <f t="shared" si="116"/>
        <v>0</v>
      </c>
      <c r="T336" s="151">
        <f t="shared" si="101"/>
        <v>611</v>
      </c>
      <c r="U336" s="151">
        <f t="shared" si="102"/>
        <v>0</v>
      </c>
      <c r="V336" s="139">
        <f t="shared" si="103"/>
        <v>0</v>
      </c>
      <c r="W336" s="152">
        <f t="shared" si="106"/>
        <v>611</v>
      </c>
      <c r="X336" s="127" t="str">
        <f t="shared" si="104"/>
        <v/>
      </c>
      <c r="Y336" s="207">
        <f t="shared" si="107"/>
        <v>611</v>
      </c>
      <c r="Z336" s="139">
        <f t="shared" si="108"/>
        <v>611</v>
      </c>
      <c r="AA336" s="139">
        <f t="shared" si="109"/>
        <v>0</v>
      </c>
      <c r="AC336" s="47">
        <f t="shared" si="110"/>
        <v>306</v>
      </c>
      <c r="AD336" s="47">
        <f t="shared" si="111"/>
        <v>306</v>
      </c>
      <c r="AE336" s="47">
        <f t="shared" si="112"/>
        <v>0</v>
      </c>
      <c r="AG336" s="47">
        <f t="shared" si="113"/>
        <v>305</v>
      </c>
      <c r="AH336" s="47">
        <f t="shared" si="114"/>
        <v>305</v>
      </c>
      <c r="AI336" s="208">
        <f t="shared" si="115"/>
        <v>0</v>
      </c>
    </row>
    <row r="337" spans="1:35">
      <c r="A337" t="s">
        <v>2182</v>
      </c>
      <c r="B337" t="s">
        <v>3170</v>
      </c>
      <c r="C337" t="s">
        <v>3545</v>
      </c>
      <c r="D337" t="s">
        <v>3546</v>
      </c>
      <c r="F337" t="s">
        <v>3547</v>
      </c>
      <c r="G337" s="126">
        <f>SUMIFS('Support - Transition'!F:F,'Support - Transition'!B:B,'Step 2'!A337,'Support - Transition'!C:C,'Step 2'!B337,'Support - Transition'!D:D,'Step 2'!C337,'Support - Transition'!E:E,"CIVIL")</f>
        <v>0</v>
      </c>
      <c r="H337" s="126">
        <f>SUMIFS('Support - Transition'!F:F,'Support - Transition'!B:B,'Step 2'!A337,'Support - Transition'!C:C,'Step 2'!B337,'Support - Transition'!D:D,'Step 2'!C337,'Support - Transition'!E:E,"FIRE")</f>
        <v>0</v>
      </c>
      <c r="I337" s="126">
        <f>IF(B337="0",SUMIFS('Support - Transition'!F:F,'Support - Transition'!J:J,'Step 2'!D337,'Support - Transition'!E:E,"STATE UNIT"),SUMIFS('Support - Transition'!F:F,'Support - Transition'!J:J,'Step 2'!D337))</f>
        <v>0</v>
      </c>
      <c r="J337" s="126">
        <f>SUMIFS('Support - Unit Adjustments'!E:E,'Support - Unit Adjustments'!F:F,'Step 2'!D337)</f>
        <v>0</v>
      </c>
      <c r="K337" s="126">
        <f t="shared" si="99"/>
        <v>0</v>
      </c>
      <c r="L337" s="174">
        <f>VLOOKUP(A337,'Step 1'!$A:$E,4,FALSE)</f>
        <v>485063</v>
      </c>
      <c r="M337" s="47">
        <f t="shared" si="100"/>
        <v>0</v>
      </c>
      <c r="N337" s="177">
        <f>SUMIFS('Support - Transition'!G:G,'Support - Transition'!J:J,'Step 2'!D337,'Support - Transition'!E:E,"2009 WELFARE ALLOCATION FACTOR")</f>
        <v>0</v>
      </c>
      <c r="O337" s="152">
        <f t="shared" si="105"/>
        <v>0</v>
      </c>
      <c r="P337" s="126">
        <f>IF(E337="Y",0,SUMIFS('Support - Transition'!G:G,'Support - Transition'!J:J,'Step 2'!D337,'Support - Transition'!E:E,"2009 SCHOOL ALLOCATION FACTOR"))</f>
        <v>0</v>
      </c>
      <c r="Q337" s="126">
        <f>IF(E337="Y",VLOOKUP(D337,'Support - Unit Adjustments'!F:G,2,FALSE),0)</f>
        <v>0</v>
      </c>
      <c r="R337" s="155">
        <f t="shared" si="117"/>
        <v>0</v>
      </c>
      <c r="S337" s="47">
        <f t="shared" si="116"/>
        <v>0</v>
      </c>
      <c r="T337" s="151">
        <f t="shared" si="101"/>
        <v>0</v>
      </c>
      <c r="U337" s="151">
        <f t="shared" si="102"/>
        <v>0</v>
      </c>
      <c r="V337" s="139">
        <f t="shared" si="103"/>
        <v>0</v>
      </c>
      <c r="W337" s="152">
        <f t="shared" si="106"/>
        <v>0</v>
      </c>
      <c r="X337" s="127" t="str">
        <f t="shared" si="104"/>
        <v/>
      </c>
      <c r="Y337" s="207">
        <f t="shared" si="107"/>
        <v>0</v>
      </c>
      <c r="Z337" s="139">
        <f t="shared" si="108"/>
        <v>0</v>
      </c>
      <c r="AA337" s="139">
        <f t="shared" si="109"/>
        <v>0</v>
      </c>
      <c r="AC337" s="47">
        <f t="shared" si="110"/>
        <v>0</v>
      </c>
      <c r="AD337" s="47">
        <f t="shared" si="111"/>
        <v>0</v>
      </c>
      <c r="AE337" s="47">
        <f t="shared" si="112"/>
        <v>0</v>
      </c>
      <c r="AG337" s="47">
        <f t="shared" si="113"/>
        <v>0</v>
      </c>
      <c r="AH337" s="47">
        <f t="shared" si="114"/>
        <v>0</v>
      </c>
      <c r="AI337" s="208">
        <f t="shared" si="115"/>
        <v>0</v>
      </c>
    </row>
    <row r="338" spans="1:35">
      <c r="A338" t="s">
        <v>2100</v>
      </c>
      <c r="B338" s="48" t="s">
        <v>6274</v>
      </c>
      <c r="C338" t="s">
        <v>2187</v>
      </c>
      <c r="D338" t="str">
        <f>A338&amp;B338&amp;C338</f>
        <v>1300000</v>
      </c>
      <c r="F338" t="s">
        <v>6287</v>
      </c>
      <c r="G338" s="126">
        <f>SUMIFS('Support - Transition'!F:F,'Support - Transition'!B:B,'Step 2'!A338,'Support - Transition'!C:C,'Step 2'!B338,'Support - Transition'!D:D,'Step 2'!C338,'Support - Transition'!E:E,"CIVIL")</f>
        <v>0</v>
      </c>
      <c r="H338" s="126">
        <f>SUMIFS('Support - Transition'!F:F,'Support - Transition'!B:B,'Step 2'!A338,'Support - Transition'!C:C,'Step 2'!B338,'Support - Transition'!D:D,'Step 2'!C338,'Support - Transition'!E:E,"FIRE")</f>
        <v>0</v>
      </c>
      <c r="I338" s="126">
        <f>IF(B338="0",SUMIFS('Support - Transition'!F:F,'Support - Transition'!J:J,'Step 2'!D338,'Support - Transition'!E:E,"STATE UNIT"),SUMIFS('Support - Transition'!F:F,'Support - Transition'!J:J,'Step 2'!D338))</f>
        <v>1.0089999999999999E-3</v>
      </c>
      <c r="J338" s="126">
        <f>SUMIFS('Support - Unit Adjustments'!E:E,'Support - Unit Adjustments'!F:F,'Step 2'!D338)</f>
        <v>0</v>
      </c>
      <c r="K338" s="126">
        <f t="shared" si="99"/>
        <v>1.0089999999999999E-3</v>
      </c>
      <c r="L338" s="174">
        <f>VLOOKUP(A338,'Step 1'!$A:$E,4,FALSE)</f>
        <v>21687</v>
      </c>
      <c r="M338" s="47">
        <f t="shared" si="100"/>
        <v>22</v>
      </c>
      <c r="N338" s="177">
        <f>SUMIFS('Support - Transition'!G:G,'Support - Transition'!J:J,'Step 2'!D338,'Support - Transition'!E:E,"2009 WELFARE ALLOCATION FACTOR")</f>
        <v>0</v>
      </c>
      <c r="O338" s="152">
        <f t="shared" si="105"/>
        <v>0</v>
      </c>
      <c r="P338" s="126">
        <f>IF(E338="Y",0,SUMIFS('Support - Transition'!G:G,'Support - Transition'!J:J,'Step 2'!D338,'Support - Transition'!E:E,"2009 SCHOOL ALLOCATION FACTOR"))</f>
        <v>0</v>
      </c>
      <c r="Q338" s="126">
        <f>IF(E338="Y",VLOOKUP(D338,'Support - Unit Adjustments'!F:G,2,FALSE),0)</f>
        <v>0</v>
      </c>
      <c r="R338" s="155">
        <f t="shared" si="117"/>
        <v>0</v>
      </c>
      <c r="S338" s="47">
        <f t="shared" si="116"/>
        <v>0</v>
      </c>
      <c r="T338" s="151">
        <f t="shared" si="101"/>
        <v>22</v>
      </c>
      <c r="U338" s="151">
        <f t="shared" si="102"/>
        <v>21686</v>
      </c>
      <c r="V338" s="139">
        <f t="shared" si="103"/>
        <v>-1</v>
      </c>
      <c r="W338" s="152">
        <f t="shared" si="106"/>
        <v>23</v>
      </c>
      <c r="X338" s="127">
        <f t="shared" si="104"/>
        <v>0</v>
      </c>
      <c r="Y338" s="207">
        <f t="shared" si="107"/>
        <v>23</v>
      </c>
      <c r="Z338" s="139">
        <f t="shared" si="108"/>
        <v>23</v>
      </c>
      <c r="AA338" s="139">
        <f t="shared" si="109"/>
        <v>0</v>
      </c>
      <c r="AC338" s="47">
        <f t="shared" si="110"/>
        <v>12</v>
      </c>
      <c r="AD338" s="47">
        <f t="shared" si="111"/>
        <v>12</v>
      </c>
      <c r="AE338" s="47">
        <f t="shared" si="112"/>
        <v>0</v>
      </c>
      <c r="AG338" s="47">
        <f t="shared" si="113"/>
        <v>11</v>
      </c>
      <c r="AH338" s="47">
        <f t="shared" si="114"/>
        <v>11</v>
      </c>
      <c r="AI338" s="208">
        <f t="shared" si="115"/>
        <v>0</v>
      </c>
    </row>
    <row r="339" spans="1:35">
      <c r="A339" t="s">
        <v>2100</v>
      </c>
      <c r="B339" t="s">
        <v>3140</v>
      </c>
      <c r="C339" t="s">
        <v>2187</v>
      </c>
      <c r="D339" t="s">
        <v>3548</v>
      </c>
      <c r="F339" t="s">
        <v>290</v>
      </c>
      <c r="G339" s="126">
        <f>SUMIFS('Support - Transition'!F:F,'Support - Transition'!B:B,'Step 2'!A339,'Support - Transition'!C:C,'Step 2'!B339,'Support - Transition'!D:D,'Step 2'!C339,'Support - Transition'!E:E,"CIVIL")</f>
        <v>0</v>
      </c>
      <c r="H339" s="126">
        <f>SUMIFS('Support - Transition'!F:F,'Support - Transition'!B:B,'Step 2'!A339,'Support - Transition'!C:C,'Step 2'!B339,'Support - Transition'!D:D,'Step 2'!C339,'Support - Transition'!E:E,"FIRE")</f>
        <v>0</v>
      </c>
      <c r="I339" s="126">
        <f>IF(B339="0",SUMIFS('Support - Transition'!F:F,'Support - Transition'!J:J,'Step 2'!D339,'Support - Transition'!E:E,"STATE UNIT"),SUMIFS('Support - Transition'!F:F,'Support - Transition'!J:J,'Step 2'!D339))</f>
        <v>0.32181399999999999</v>
      </c>
      <c r="J339" s="126">
        <f>SUMIFS('Support - Unit Adjustments'!E:E,'Support - Unit Adjustments'!F:F,'Step 2'!D339)</f>
        <v>0</v>
      </c>
      <c r="K339" s="126">
        <f t="shared" si="99"/>
        <v>0.32181399999999999</v>
      </c>
      <c r="L339" s="174">
        <f>VLOOKUP(A339,'Step 1'!$A:$E,4,FALSE)</f>
        <v>21687</v>
      </c>
      <c r="M339" s="47">
        <f t="shared" si="100"/>
        <v>6979</v>
      </c>
      <c r="N339" s="177">
        <f>SUMIFS('Support - Transition'!G:G,'Support - Transition'!J:J,'Step 2'!D339,'Support - Transition'!E:E,"2009 WELFARE ALLOCATION FACTOR")</f>
        <v>0.34007199999999999</v>
      </c>
      <c r="O339" s="152">
        <f t="shared" si="105"/>
        <v>2373</v>
      </c>
      <c r="P339" s="126">
        <f>IF(E339="Y",0,SUMIFS('Support - Transition'!G:G,'Support - Transition'!J:J,'Step 2'!D339,'Support - Transition'!E:E,"2009 SCHOOL ALLOCATION FACTOR"))</f>
        <v>0</v>
      </c>
      <c r="Q339" s="126">
        <f>IF(E339="Y",VLOOKUP(D339,'Support - Unit Adjustments'!F:G,2,FALSE),0)</f>
        <v>0</v>
      </c>
      <c r="R339" s="155">
        <f t="shared" si="117"/>
        <v>0</v>
      </c>
      <c r="S339" s="47">
        <f t="shared" si="116"/>
        <v>0</v>
      </c>
      <c r="T339" s="151">
        <f t="shared" si="101"/>
        <v>4606</v>
      </c>
      <c r="U339" s="151">
        <f t="shared" si="102"/>
        <v>0</v>
      </c>
      <c r="V339" s="139">
        <f t="shared" si="103"/>
        <v>0</v>
      </c>
      <c r="W339" s="152">
        <f t="shared" si="106"/>
        <v>4606</v>
      </c>
      <c r="X339" s="127" t="str">
        <f t="shared" si="104"/>
        <v/>
      </c>
      <c r="Y339" s="207">
        <f t="shared" si="107"/>
        <v>4606</v>
      </c>
      <c r="Z339" s="139">
        <f t="shared" si="108"/>
        <v>4606</v>
      </c>
      <c r="AA339" s="139">
        <f t="shared" si="109"/>
        <v>0</v>
      </c>
      <c r="AC339" s="47">
        <f t="shared" si="110"/>
        <v>2303</v>
      </c>
      <c r="AD339" s="47">
        <f t="shared" si="111"/>
        <v>2303</v>
      </c>
      <c r="AE339" s="47">
        <f t="shared" si="112"/>
        <v>0</v>
      </c>
      <c r="AG339" s="47">
        <f t="shared" si="113"/>
        <v>2303</v>
      </c>
      <c r="AH339" s="47">
        <f t="shared" si="114"/>
        <v>2303</v>
      </c>
      <c r="AI339" s="208">
        <f t="shared" si="115"/>
        <v>0</v>
      </c>
    </row>
    <row r="340" spans="1:35">
      <c r="A340" t="s">
        <v>2100</v>
      </c>
      <c r="B340" t="s">
        <v>3142</v>
      </c>
      <c r="C340" t="s">
        <v>2188</v>
      </c>
      <c r="D340" t="s">
        <v>3549</v>
      </c>
      <c r="F340" t="s">
        <v>200</v>
      </c>
      <c r="G340" s="126">
        <f>SUMIFS('Support - Transition'!F:F,'Support - Transition'!B:B,'Step 2'!A340,'Support - Transition'!C:C,'Step 2'!B340,'Support - Transition'!D:D,'Step 2'!C340,'Support - Transition'!E:E,"CIVIL")</f>
        <v>7.5699999999999997E-4</v>
      </c>
      <c r="H340" s="126">
        <f>SUMIFS('Support - Transition'!F:F,'Support - Transition'!B:B,'Step 2'!A340,'Support - Transition'!C:C,'Step 2'!B340,'Support - Transition'!D:D,'Step 2'!C340,'Support - Transition'!E:E,"FIRE")</f>
        <v>0</v>
      </c>
      <c r="I340" s="126">
        <f>IF(B340="0",SUMIFS('Support - Transition'!F:F,'Support - Transition'!J:J,'Step 2'!D340,'Support - Transition'!E:E,"STATE UNIT"),SUMIFS('Support - Transition'!F:F,'Support - Transition'!J:J,'Step 2'!D340))</f>
        <v>7.5699999999999997E-4</v>
      </c>
      <c r="J340" s="126">
        <f>SUMIFS('Support - Unit Adjustments'!E:E,'Support - Unit Adjustments'!F:F,'Step 2'!D340)</f>
        <v>0</v>
      </c>
      <c r="K340" s="126">
        <f t="shared" si="99"/>
        <v>7.5699999999999997E-4</v>
      </c>
      <c r="L340" s="174">
        <f>VLOOKUP(A340,'Step 1'!$A:$E,4,FALSE)</f>
        <v>21687</v>
      </c>
      <c r="M340" s="47">
        <f t="shared" si="100"/>
        <v>16</v>
      </c>
      <c r="N340" s="177">
        <f>SUMIFS('Support - Transition'!G:G,'Support - Transition'!J:J,'Step 2'!D340,'Support - Transition'!E:E,"2009 WELFARE ALLOCATION FACTOR")</f>
        <v>0</v>
      </c>
      <c r="O340" s="152">
        <f t="shared" si="105"/>
        <v>0</v>
      </c>
      <c r="P340" s="126">
        <f>IF(E340="Y",0,SUMIFS('Support - Transition'!G:G,'Support - Transition'!J:J,'Step 2'!D340,'Support - Transition'!E:E,"2009 SCHOOL ALLOCATION FACTOR"))</f>
        <v>0</v>
      </c>
      <c r="Q340" s="126">
        <f>IF(E340="Y",VLOOKUP(D340,'Support - Unit Adjustments'!F:G,2,FALSE),0)</f>
        <v>0</v>
      </c>
      <c r="R340" s="155">
        <f t="shared" si="117"/>
        <v>0</v>
      </c>
      <c r="S340" s="47">
        <f t="shared" si="116"/>
        <v>0</v>
      </c>
      <c r="T340" s="151">
        <f t="shared" si="101"/>
        <v>16</v>
      </c>
      <c r="U340" s="151">
        <f t="shared" si="102"/>
        <v>0</v>
      </c>
      <c r="V340" s="139">
        <f t="shared" si="103"/>
        <v>0</v>
      </c>
      <c r="W340" s="152">
        <f t="shared" si="106"/>
        <v>16</v>
      </c>
      <c r="X340" s="127" t="str">
        <f t="shared" si="104"/>
        <v/>
      </c>
      <c r="Y340" s="207">
        <f t="shared" si="107"/>
        <v>16</v>
      </c>
      <c r="Z340" s="139">
        <f t="shared" si="108"/>
        <v>16</v>
      </c>
      <c r="AA340" s="139">
        <f t="shared" si="109"/>
        <v>0</v>
      </c>
      <c r="AC340" s="47">
        <f t="shared" si="110"/>
        <v>8</v>
      </c>
      <c r="AD340" s="47">
        <f t="shared" si="111"/>
        <v>8</v>
      </c>
      <c r="AE340" s="47">
        <f t="shared" si="112"/>
        <v>0</v>
      </c>
      <c r="AG340" s="47">
        <f t="shared" si="113"/>
        <v>8</v>
      </c>
      <c r="AH340" s="47">
        <f t="shared" si="114"/>
        <v>8</v>
      </c>
      <c r="AI340" s="208">
        <f t="shared" si="115"/>
        <v>0</v>
      </c>
    </row>
    <row r="341" spans="1:35">
      <c r="A341" t="s">
        <v>2100</v>
      </c>
      <c r="B341" t="s">
        <v>3142</v>
      </c>
      <c r="C341" t="s">
        <v>2189</v>
      </c>
      <c r="D341" t="s">
        <v>3550</v>
      </c>
      <c r="F341" t="s">
        <v>291</v>
      </c>
      <c r="G341" s="126">
        <f>SUMIFS('Support - Transition'!F:F,'Support - Transition'!B:B,'Step 2'!A341,'Support - Transition'!C:C,'Step 2'!B341,'Support - Transition'!D:D,'Step 2'!C341,'Support - Transition'!E:E,"CIVIL")</f>
        <v>2.52E-4</v>
      </c>
      <c r="H341" s="126">
        <f>SUMIFS('Support - Transition'!F:F,'Support - Transition'!B:B,'Step 2'!A341,'Support - Transition'!C:C,'Step 2'!B341,'Support - Transition'!D:D,'Step 2'!C341,'Support - Transition'!E:E,"FIRE")</f>
        <v>2.9399999999999999E-4</v>
      </c>
      <c r="I341" s="126">
        <f>IF(B341="0",SUMIFS('Support - Transition'!F:F,'Support - Transition'!J:J,'Step 2'!D341,'Support - Transition'!E:E,"STATE UNIT"),SUMIFS('Support - Transition'!F:F,'Support - Transition'!J:J,'Step 2'!D341))</f>
        <v>5.4600000000000004E-4</v>
      </c>
      <c r="J341" s="126">
        <f>SUMIFS('Support - Unit Adjustments'!E:E,'Support - Unit Adjustments'!F:F,'Step 2'!D341)</f>
        <v>0</v>
      </c>
      <c r="K341" s="126">
        <f t="shared" si="99"/>
        <v>5.4600000000000004E-4</v>
      </c>
      <c r="L341" s="174">
        <f>VLOOKUP(A341,'Step 1'!$A:$E,4,FALSE)</f>
        <v>21687</v>
      </c>
      <c r="M341" s="47">
        <f t="shared" si="100"/>
        <v>12</v>
      </c>
      <c r="N341" s="177">
        <f>SUMIFS('Support - Transition'!G:G,'Support - Transition'!J:J,'Step 2'!D341,'Support - Transition'!E:E,"2009 WELFARE ALLOCATION FACTOR")</f>
        <v>0</v>
      </c>
      <c r="O341" s="152">
        <f t="shared" si="105"/>
        <v>0</v>
      </c>
      <c r="P341" s="126">
        <f>IF(E341="Y",0,SUMIFS('Support - Transition'!G:G,'Support - Transition'!J:J,'Step 2'!D341,'Support - Transition'!E:E,"2009 SCHOOL ALLOCATION FACTOR"))</f>
        <v>0</v>
      </c>
      <c r="Q341" s="126">
        <f>IF(E341="Y",VLOOKUP(D341,'Support - Unit Adjustments'!F:G,2,FALSE),0)</f>
        <v>0</v>
      </c>
      <c r="R341" s="155">
        <f t="shared" si="117"/>
        <v>0</v>
      </c>
      <c r="S341" s="47">
        <f t="shared" si="116"/>
        <v>0</v>
      </c>
      <c r="T341" s="151">
        <f t="shared" si="101"/>
        <v>12</v>
      </c>
      <c r="U341" s="151">
        <f t="shared" si="102"/>
        <v>0</v>
      </c>
      <c r="V341" s="139">
        <f t="shared" si="103"/>
        <v>0</v>
      </c>
      <c r="W341" s="152">
        <f t="shared" si="106"/>
        <v>12</v>
      </c>
      <c r="X341" s="127" t="str">
        <f t="shared" si="104"/>
        <v/>
      </c>
      <c r="Y341" s="207">
        <f t="shared" si="107"/>
        <v>12</v>
      </c>
      <c r="Z341" s="139">
        <f t="shared" si="108"/>
        <v>6</v>
      </c>
      <c r="AA341" s="139">
        <f t="shared" si="109"/>
        <v>6</v>
      </c>
      <c r="AC341" s="47">
        <f t="shared" si="110"/>
        <v>6</v>
      </c>
      <c r="AD341" s="47">
        <f t="shared" si="111"/>
        <v>3</v>
      </c>
      <c r="AE341" s="47">
        <f t="shared" si="112"/>
        <v>3</v>
      </c>
      <c r="AG341" s="47">
        <f t="shared" si="113"/>
        <v>6</v>
      </c>
      <c r="AH341" s="47">
        <f t="shared" si="114"/>
        <v>3</v>
      </c>
      <c r="AI341" s="208">
        <f t="shared" si="115"/>
        <v>3</v>
      </c>
    </row>
    <row r="342" spans="1:35">
      <c r="A342" t="s">
        <v>2100</v>
      </c>
      <c r="B342" t="s">
        <v>3142</v>
      </c>
      <c r="C342" t="s">
        <v>2190</v>
      </c>
      <c r="D342" t="s">
        <v>3551</v>
      </c>
      <c r="F342" t="s">
        <v>268</v>
      </c>
      <c r="G342" s="126">
        <f>SUMIFS('Support - Transition'!F:F,'Support - Transition'!B:B,'Step 2'!A342,'Support - Transition'!C:C,'Step 2'!B342,'Support - Transition'!D:D,'Step 2'!C342,'Support - Transition'!E:E,"CIVIL")</f>
        <v>0</v>
      </c>
      <c r="H342" s="126">
        <f>SUMIFS('Support - Transition'!F:F,'Support - Transition'!B:B,'Step 2'!A342,'Support - Transition'!C:C,'Step 2'!B342,'Support - Transition'!D:D,'Step 2'!C342,'Support - Transition'!E:E,"FIRE")</f>
        <v>0</v>
      </c>
      <c r="I342" s="126">
        <f>IF(B342="0",SUMIFS('Support - Transition'!F:F,'Support - Transition'!J:J,'Step 2'!D342,'Support - Transition'!E:E,"STATE UNIT"),SUMIFS('Support - Transition'!F:F,'Support - Transition'!J:J,'Step 2'!D342))</f>
        <v>0</v>
      </c>
      <c r="J342" s="126">
        <f>SUMIFS('Support - Unit Adjustments'!E:E,'Support - Unit Adjustments'!F:F,'Step 2'!D342)</f>
        <v>0</v>
      </c>
      <c r="K342" s="126">
        <f t="shared" si="99"/>
        <v>0</v>
      </c>
      <c r="L342" s="174">
        <f>VLOOKUP(A342,'Step 1'!$A:$E,4,FALSE)</f>
        <v>21687</v>
      </c>
      <c r="M342" s="47">
        <f t="shared" si="100"/>
        <v>0</v>
      </c>
      <c r="N342" s="177">
        <f>SUMIFS('Support - Transition'!G:G,'Support - Transition'!J:J,'Step 2'!D342,'Support - Transition'!E:E,"2009 WELFARE ALLOCATION FACTOR")</f>
        <v>0</v>
      </c>
      <c r="O342" s="152">
        <f t="shared" si="105"/>
        <v>0</v>
      </c>
      <c r="P342" s="126">
        <f>IF(E342="Y",0,SUMIFS('Support - Transition'!G:G,'Support - Transition'!J:J,'Step 2'!D342,'Support - Transition'!E:E,"2009 SCHOOL ALLOCATION FACTOR"))</f>
        <v>0</v>
      </c>
      <c r="Q342" s="126">
        <f>IF(E342="Y",VLOOKUP(D342,'Support - Unit Adjustments'!F:G,2,FALSE),0)</f>
        <v>0</v>
      </c>
      <c r="R342" s="155">
        <f t="shared" si="117"/>
        <v>0</v>
      </c>
      <c r="S342" s="47">
        <f t="shared" si="116"/>
        <v>0</v>
      </c>
      <c r="T342" s="151">
        <f t="shared" si="101"/>
        <v>0</v>
      </c>
      <c r="U342" s="151">
        <f t="shared" si="102"/>
        <v>0</v>
      </c>
      <c r="V342" s="139">
        <f t="shared" si="103"/>
        <v>0</v>
      </c>
      <c r="W342" s="152">
        <f t="shared" si="106"/>
        <v>0</v>
      </c>
      <c r="X342" s="127" t="str">
        <f t="shared" si="104"/>
        <v/>
      </c>
      <c r="Y342" s="207">
        <f t="shared" si="107"/>
        <v>0</v>
      </c>
      <c r="Z342" s="139">
        <f t="shared" si="108"/>
        <v>0</v>
      </c>
      <c r="AA342" s="139">
        <f t="shared" si="109"/>
        <v>0</v>
      </c>
      <c r="AC342" s="47">
        <f t="shared" si="110"/>
        <v>0</v>
      </c>
      <c r="AD342" s="47">
        <f t="shared" si="111"/>
        <v>0</v>
      </c>
      <c r="AE342" s="47">
        <f t="shared" si="112"/>
        <v>0</v>
      </c>
      <c r="AG342" s="47">
        <f t="shared" si="113"/>
        <v>0</v>
      </c>
      <c r="AH342" s="47">
        <f t="shared" si="114"/>
        <v>0</v>
      </c>
      <c r="AI342" s="208">
        <f t="shared" si="115"/>
        <v>0</v>
      </c>
    </row>
    <row r="343" spans="1:35">
      <c r="A343" t="s">
        <v>2100</v>
      </c>
      <c r="B343" t="s">
        <v>3142</v>
      </c>
      <c r="C343" t="s">
        <v>2191</v>
      </c>
      <c r="D343" t="s">
        <v>3552</v>
      </c>
      <c r="F343" t="s">
        <v>181</v>
      </c>
      <c r="G343" s="126">
        <f>SUMIFS('Support - Transition'!F:F,'Support - Transition'!B:B,'Step 2'!A343,'Support - Transition'!C:C,'Step 2'!B343,'Support - Transition'!D:D,'Step 2'!C343,'Support - Transition'!E:E,"CIVIL")</f>
        <v>3.4889999999999999E-3</v>
      </c>
      <c r="H343" s="126">
        <f>SUMIFS('Support - Transition'!F:F,'Support - Transition'!B:B,'Step 2'!A343,'Support - Transition'!C:C,'Step 2'!B343,'Support - Transition'!D:D,'Step 2'!C343,'Support - Transition'!E:E,"FIRE")</f>
        <v>0</v>
      </c>
      <c r="I343" s="126">
        <f>IF(B343="0",SUMIFS('Support - Transition'!F:F,'Support - Transition'!J:J,'Step 2'!D343,'Support - Transition'!E:E,"STATE UNIT"),SUMIFS('Support - Transition'!F:F,'Support - Transition'!J:J,'Step 2'!D343))</f>
        <v>3.4889999999999999E-3</v>
      </c>
      <c r="J343" s="126">
        <f>SUMIFS('Support - Unit Adjustments'!E:E,'Support - Unit Adjustments'!F:F,'Step 2'!D343)</f>
        <v>0</v>
      </c>
      <c r="K343" s="126">
        <f t="shared" si="99"/>
        <v>3.4889999999999999E-3</v>
      </c>
      <c r="L343" s="174">
        <f>VLOOKUP(A343,'Step 1'!$A:$E,4,FALSE)</f>
        <v>21687</v>
      </c>
      <c r="M343" s="47">
        <f t="shared" si="100"/>
        <v>76</v>
      </c>
      <c r="N343" s="177">
        <f>SUMIFS('Support - Transition'!G:G,'Support - Transition'!J:J,'Step 2'!D343,'Support - Transition'!E:E,"2009 WELFARE ALLOCATION FACTOR")</f>
        <v>0</v>
      </c>
      <c r="O343" s="152">
        <f t="shared" si="105"/>
        <v>0</v>
      </c>
      <c r="P343" s="126">
        <f>IF(E343="Y",0,SUMIFS('Support - Transition'!G:G,'Support - Transition'!J:J,'Step 2'!D343,'Support - Transition'!E:E,"2009 SCHOOL ALLOCATION FACTOR"))</f>
        <v>0</v>
      </c>
      <c r="Q343" s="126">
        <f>IF(E343="Y",VLOOKUP(D343,'Support - Unit Adjustments'!F:G,2,FALSE),0)</f>
        <v>0</v>
      </c>
      <c r="R343" s="155">
        <f t="shared" si="117"/>
        <v>0</v>
      </c>
      <c r="S343" s="47">
        <f t="shared" si="116"/>
        <v>0</v>
      </c>
      <c r="T343" s="151">
        <f t="shared" si="101"/>
        <v>76</v>
      </c>
      <c r="U343" s="151">
        <f t="shared" si="102"/>
        <v>0</v>
      </c>
      <c r="V343" s="139">
        <f t="shared" si="103"/>
        <v>0</v>
      </c>
      <c r="W343" s="152">
        <f t="shared" si="106"/>
        <v>76</v>
      </c>
      <c r="X343" s="127" t="str">
        <f t="shared" si="104"/>
        <v/>
      </c>
      <c r="Y343" s="207">
        <f t="shared" si="107"/>
        <v>76</v>
      </c>
      <c r="Z343" s="139">
        <f t="shared" si="108"/>
        <v>76</v>
      </c>
      <c r="AA343" s="139">
        <f t="shared" si="109"/>
        <v>0</v>
      </c>
      <c r="AC343" s="47">
        <f t="shared" si="110"/>
        <v>38</v>
      </c>
      <c r="AD343" s="47">
        <f t="shared" si="111"/>
        <v>38</v>
      </c>
      <c r="AE343" s="47">
        <f t="shared" si="112"/>
        <v>0</v>
      </c>
      <c r="AG343" s="47">
        <f t="shared" si="113"/>
        <v>38</v>
      </c>
      <c r="AH343" s="47">
        <f t="shared" si="114"/>
        <v>38</v>
      </c>
      <c r="AI343" s="208">
        <f t="shared" si="115"/>
        <v>0</v>
      </c>
    </row>
    <row r="344" spans="1:35">
      <c r="A344" t="s">
        <v>2100</v>
      </c>
      <c r="B344" t="s">
        <v>3142</v>
      </c>
      <c r="C344" t="s">
        <v>2192</v>
      </c>
      <c r="D344" t="s">
        <v>3553</v>
      </c>
      <c r="F344" t="s">
        <v>88</v>
      </c>
      <c r="G344" s="126">
        <f>SUMIFS('Support - Transition'!F:F,'Support - Transition'!B:B,'Step 2'!A344,'Support - Transition'!C:C,'Step 2'!B344,'Support - Transition'!D:D,'Step 2'!C344,'Support - Transition'!E:E,"CIVIL")</f>
        <v>4.1999999999999998E-5</v>
      </c>
      <c r="H344" s="126">
        <f>SUMIFS('Support - Transition'!F:F,'Support - Transition'!B:B,'Step 2'!A344,'Support - Transition'!C:C,'Step 2'!B344,'Support - Transition'!D:D,'Step 2'!C344,'Support - Transition'!E:E,"FIRE")</f>
        <v>4.1999999999999998E-5</v>
      </c>
      <c r="I344" s="126">
        <f>IF(B344="0",SUMIFS('Support - Transition'!F:F,'Support - Transition'!J:J,'Step 2'!D344,'Support - Transition'!E:E,"STATE UNIT"),SUMIFS('Support - Transition'!F:F,'Support - Transition'!J:J,'Step 2'!D344))</f>
        <v>8.3999999999999995E-5</v>
      </c>
      <c r="J344" s="126">
        <f>SUMIFS('Support - Unit Adjustments'!E:E,'Support - Unit Adjustments'!F:F,'Step 2'!D344)</f>
        <v>0</v>
      </c>
      <c r="K344" s="126">
        <f t="shared" si="99"/>
        <v>8.3999999999999995E-5</v>
      </c>
      <c r="L344" s="174">
        <f>VLOOKUP(A344,'Step 1'!$A:$E,4,FALSE)</f>
        <v>21687</v>
      </c>
      <c r="M344" s="47">
        <f t="shared" si="100"/>
        <v>2</v>
      </c>
      <c r="N344" s="177">
        <f>SUMIFS('Support - Transition'!G:G,'Support - Transition'!J:J,'Step 2'!D344,'Support - Transition'!E:E,"2009 WELFARE ALLOCATION FACTOR")</f>
        <v>0</v>
      </c>
      <c r="O344" s="152">
        <f t="shared" si="105"/>
        <v>0</v>
      </c>
      <c r="P344" s="126">
        <f>IF(E344="Y",0,SUMIFS('Support - Transition'!G:G,'Support - Transition'!J:J,'Step 2'!D344,'Support - Transition'!E:E,"2009 SCHOOL ALLOCATION FACTOR"))</f>
        <v>0</v>
      </c>
      <c r="Q344" s="126">
        <f>IF(E344="Y",VLOOKUP(D344,'Support - Unit Adjustments'!F:G,2,FALSE),0)</f>
        <v>0</v>
      </c>
      <c r="R344" s="155">
        <f t="shared" si="117"/>
        <v>0</v>
      </c>
      <c r="S344" s="47">
        <f t="shared" si="116"/>
        <v>0</v>
      </c>
      <c r="T344" s="151">
        <f t="shared" si="101"/>
        <v>2</v>
      </c>
      <c r="U344" s="151">
        <f t="shared" si="102"/>
        <v>0</v>
      </c>
      <c r="V344" s="139">
        <f t="shared" si="103"/>
        <v>0</v>
      </c>
      <c r="W344" s="152">
        <f t="shared" si="106"/>
        <v>2</v>
      </c>
      <c r="X344" s="127" t="str">
        <f t="shared" si="104"/>
        <v/>
      </c>
      <c r="Y344" s="207">
        <f t="shared" si="107"/>
        <v>2</v>
      </c>
      <c r="Z344" s="139">
        <f t="shared" si="108"/>
        <v>1</v>
      </c>
      <c r="AA344" s="139">
        <f t="shared" si="109"/>
        <v>1</v>
      </c>
      <c r="AC344" s="47">
        <f t="shared" si="110"/>
        <v>1</v>
      </c>
      <c r="AD344" s="47">
        <f t="shared" si="111"/>
        <v>1</v>
      </c>
      <c r="AE344" s="47">
        <f t="shared" si="112"/>
        <v>1</v>
      </c>
      <c r="AG344" s="47">
        <f t="shared" si="113"/>
        <v>1</v>
      </c>
      <c r="AH344" s="47">
        <f t="shared" si="114"/>
        <v>0</v>
      </c>
      <c r="AI344" s="208">
        <f t="shared" si="115"/>
        <v>0</v>
      </c>
    </row>
    <row r="345" spans="1:35">
      <c r="A345" t="s">
        <v>2100</v>
      </c>
      <c r="B345" t="s">
        <v>3142</v>
      </c>
      <c r="C345" t="s">
        <v>2193</v>
      </c>
      <c r="D345" t="s">
        <v>3554</v>
      </c>
      <c r="F345" t="s">
        <v>292</v>
      </c>
      <c r="G345" s="126">
        <f>SUMIFS('Support - Transition'!F:F,'Support - Transition'!B:B,'Step 2'!A345,'Support - Transition'!C:C,'Step 2'!B345,'Support - Transition'!D:D,'Step 2'!C345,'Support - Transition'!E:E,"CIVIL")</f>
        <v>1.6819999999999999E-3</v>
      </c>
      <c r="H345" s="126">
        <f>SUMIFS('Support - Transition'!F:F,'Support - Transition'!B:B,'Step 2'!A345,'Support - Transition'!C:C,'Step 2'!B345,'Support - Transition'!D:D,'Step 2'!C345,'Support - Transition'!E:E,"FIRE")</f>
        <v>0</v>
      </c>
      <c r="I345" s="126">
        <f>IF(B345="0",SUMIFS('Support - Transition'!F:F,'Support - Transition'!J:J,'Step 2'!D345,'Support - Transition'!E:E,"STATE UNIT"),SUMIFS('Support - Transition'!F:F,'Support - Transition'!J:J,'Step 2'!D345))</f>
        <v>1.6819999999999999E-3</v>
      </c>
      <c r="J345" s="126">
        <f>SUMIFS('Support - Unit Adjustments'!E:E,'Support - Unit Adjustments'!F:F,'Step 2'!D345)</f>
        <v>0</v>
      </c>
      <c r="K345" s="126">
        <f t="shared" si="99"/>
        <v>1.6819999999999999E-3</v>
      </c>
      <c r="L345" s="174">
        <f>VLOOKUP(A345,'Step 1'!$A:$E,4,FALSE)</f>
        <v>21687</v>
      </c>
      <c r="M345" s="47">
        <f t="shared" si="100"/>
        <v>36</v>
      </c>
      <c r="N345" s="177">
        <f>SUMIFS('Support - Transition'!G:G,'Support - Transition'!J:J,'Step 2'!D345,'Support - Transition'!E:E,"2009 WELFARE ALLOCATION FACTOR")</f>
        <v>0</v>
      </c>
      <c r="O345" s="152">
        <f t="shared" si="105"/>
        <v>0</v>
      </c>
      <c r="P345" s="126">
        <f>IF(E345="Y",0,SUMIFS('Support - Transition'!G:G,'Support - Transition'!J:J,'Step 2'!D345,'Support - Transition'!E:E,"2009 SCHOOL ALLOCATION FACTOR"))</f>
        <v>0</v>
      </c>
      <c r="Q345" s="126">
        <f>IF(E345="Y",VLOOKUP(D345,'Support - Unit Adjustments'!F:G,2,FALSE),0)</f>
        <v>0</v>
      </c>
      <c r="R345" s="155">
        <f t="shared" si="117"/>
        <v>0</v>
      </c>
      <c r="S345" s="47">
        <f t="shared" si="116"/>
        <v>0</v>
      </c>
      <c r="T345" s="151">
        <f t="shared" si="101"/>
        <v>36</v>
      </c>
      <c r="U345" s="151">
        <f t="shared" si="102"/>
        <v>0</v>
      </c>
      <c r="V345" s="139">
        <f t="shared" si="103"/>
        <v>0</v>
      </c>
      <c r="W345" s="152">
        <f t="shared" si="106"/>
        <v>36</v>
      </c>
      <c r="X345" s="127" t="str">
        <f t="shared" si="104"/>
        <v/>
      </c>
      <c r="Y345" s="207">
        <f t="shared" si="107"/>
        <v>36</v>
      </c>
      <c r="Z345" s="139">
        <f t="shared" si="108"/>
        <v>36</v>
      </c>
      <c r="AA345" s="139">
        <f t="shared" si="109"/>
        <v>0</v>
      </c>
      <c r="AC345" s="47">
        <f t="shared" si="110"/>
        <v>18</v>
      </c>
      <c r="AD345" s="47">
        <f t="shared" si="111"/>
        <v>18</v>
      </c>
      <c r="AE345" s="47">
        <f t="shared" si="112"/>
        <v>0</v>
      </c>
      <c r="AG345" s="47">
        <f t="shared" si="113"/>
        <v>18</v>
      </c>
      <c r="AH345" s="47">
        <f t="shared" si="114"/>
        <v>18</v>
      </c>
      <c r="AI345" s="208">
        <f t="shared" si="115"/>
        <v>0</v>
      </c>
    </row>
    <row r="346" spans="1:35">
      <c r="A346" t="s">
        <v>2100</v>
      </c>
      <c r="B346" t="s">
        <v>3142</v>
      </c>
      <c r="C346" t="s">
        <v>2194</v>
      </c>
      <c r="D346" t="s">
        <v>3555</v>
      </c>
      <c r="F346" t="s">
        <v>293</v>
      </c>
      <c r="G346" s="126">
        <f>SUMIFS('Support - Transition'!F:F,'Support - Transition'!B:B,'Step 2'!A346,'Support - Transition'!C:C,'Step 2'!B346,'Support - Transition'!D:D,'Step 2'!C346,'Support - Transition'!E:E,"CIVIL")</f>
        <v>1.766E-3</v>
      </c>
      <c r="H346" s="126">
        <f>SUMIFS('Support - Transition'!F:F,'Support - Transition'!B:B,'Step 2'!A346,'Support - Transition'!C:C,'Step 2'!B346,'Support - Transition'!D:D,'Step 2'!C346,'Support - Transition'!E:E,"FIRE")</f>
        <v>0</v>
      </c>
      <c r="I346" s="126">
        <f>IF(B346="0",SUMIFS('Support - Transition'!F:F,'Support - Transition'!J:J,'Step 2'!D346,'Support - Transition'!E:E,"STATE UNIT"),SUMIFS('Support - Transition'!F:F,'Support - Transition'!J:J,'Step 2'!D346))</f>
        <v>1.766E-3</v>
      </c>
      <c r="J346" s="126">
        <f>SUMIFS('Support - Unit Adjustments'!E:E,'Support - Unit Adjustments'!F:F,'Step 2'!D346)</f>
        <v>0</v>
      </c>
      <c r="K346" s="126">
        <f t="shared" si="99"/>
        <v>1.766E-3</v>
      </c>
      <c r="L346" s="174">
        <f>VLOOKUP(A346,'Step 1'!$A:$E,4,FALSE)</f>
        <v>21687</v>
      </c>
      <c r="M346" s="47">
        <f t="shared" si="100"/>
        <v>38</v>
      </c>
      <c r="N346" s="177">
        <f>SUMIFS('Support - Transition'!G:G,'Support - Transition'!J:J,'Step 2'!D346,'Support - Transition'!E:E,"2009 WELFARE ALLOCATION FACTOR")</f>
        <v>0</v>
      </c>
      <c r="O346" s="152">
        <f t="shared" si="105"/>
        <v>0</v>
      </c>
      <c r="P346" s="126">
        <f>IF(E346="Y",0,SUMIFS('Support - Transition'!G:G,'Support - Transition'!J:J,'Step 2'!D346,'Support - Transition'!E:E,"2009 SCHOOL ALLOCATION FACTOR"))</f>
        <v>0</v>
      </c>
      <c r="Q346" s="126">
        <f>IF(E346="Y",VLOOKUP(D346,'Support - Unit Adjustments'!F:G,2,FALSE),0)</f>
        <v>0</v>
      </c>
      <c r="R346" s="155">
        <f t="shared" si="117"/>
        <v>0</v>
      </c>
      <c r="S346" s="47">
        <f t="shared" si="116"/>
        <v>0</v>
      </c>
      <c r="T346" s="151">
        <f t="shared" si="101"/>
        <v>38</v>
      </c>
      <c r="U346" s="151">
        <f t="shared" si="102"/>
        <v>0</v>
      </c>
      <c r="V346" s="139">
        <f t="shared" si="103"/>
        <v>0</v>
      </c>
      <c r="W346" s="152">
        <f t="shared" si="106"/>
        <v>38</v>
      </c>
      <c r="X346" s="127" t="str">
        <f t="shared" si="104"/>
        <v/>
      </c>
      <c r="Y346" s="207">
        <f t="shared" si="107"/>
        <v>38</v>
      </c>
      <c r="Z346" s="139">
        <f t="shared" si="108"/>
        <v>38</v>
      </c>
      <c r="AA346" s="139">
        <f t="shared" si="109"/>
        <v>0</v>
      </c>
      <c r="AC346" s="47">
        <f t="shared" si="110"/>
        <v>19</v>
      </c>
      <c r="AD346" s="47">
        <f t="shared" si="111"/>
        <v>19</v>
      </c>
      <c r="AE346" s="47">
        <f t="shared" si="112"/>
        <v>0</v>
      </c>
      <c r="AG346" s="47">
        <f t="shared" si="113"/>
        <v>19</v>
      </c>
      <c r="AH346" s="47">
        <f t="shared" si="114"/>
        <v>19</v>
      </c>
      <c r="AI346" s="208">
        <f t="shared" si="115"/>
        <v>0</v>
      </c>
    </row>
    <row r="347" spans="1:35">
      <c r="A347" t="s">
        <v>2100</v>
      </c>
      <c r="B347" t="s">
        <v>3142</v>
      </c>
      <c r="C347" t="s">
        <v>2195</v>
      </c>
      <c r="D347" t="s">
        <v>3556</v>
      </c>
      <c r="F347" t="s">
        <v>20</v>
      </c>
      <c r="G347" s="126">
        <f>SUMIFS('Support - Transition'!F:F,'Support - Transition'!B:B,'Step 2'!A347,'Support - Transition'!C:C,'Step 2'!B347,'Support - Transition'!D:D,'Step 2'!C347,'Support - Transition'!E:E,"CIVIL")</f>
        <v>3.7800000000000003E-4</v>
      </c>
      <c r="H347" s="126">
        <f>SUMIFS('Support - Transition'!F:F,'Support - Transition'!B:B,'Step 2'!A347,'Support - Transition'!C:C,'Step 2'!B347,'Support - Transition'!D:D,'Step 2'!C347,'Support - Transition'!E:E,"FIRE")</f>
        <v>0</v>
      </c>
      <c r="I347" s="126">
        <f>IF(B347="0",SUMIFS('Support - Transition'!F:F,'Support - Transition'!J:J,'Step 2'!D347,'Support - Transition'!E:E,"STATE UNIT"),SUMIFS('Support - Transition'!F:F,'Support - Transition'!J:J,'Step 2'!D347))</f>
        <v>3.7800000000000003E-4</v>
      </c>
      <c r="J347" s="126">
        <f>SUMIFS('Support - Unit Adjustments'!E:E,'Support - Unit Adjustments'!F:F,'Step 2'!D347)</f>
        <v>0</v>
      </c>
      <c r="K347" s="126">
        <f t="shared" si="99"/>
        <v>3.7800000000000003E-4</v>
      </c>
      <c r="L347" s="174">
        <f>VLOOKUP(A347,'Step 1'!$A:$E,4,FALSE)</f>
        <v>21687</v>
      </c>
      <c r="M347" s="47">
        <f t="shared" si="100"/>
        <v>8</v>
      </c>
      <c r="N347" s="177">
        <f>SUMIFS('Support - Transition'!G:G,'Support - Transition'!J:J,'Step 2'!D347,'Support - Transition'!E:E,"2009 WELFARE ALLOCATION FACTOR")</f>
        <v>0</v>
      </c>
      <c r="O347" s="152">
        <f t="shared" si="105"/>
        <v>0</v>
      </c>
      <c r="P347" s="126">
        <f>IF(E347="Y",0,SUMIFS('Support - Transition'!G:G,'Support - Transition'!J:J,'Step 2'!D347,'Support - Transition'!E:E,"2009 SCHOOL ALLOCATION FACTOR"))</f>
        <v>0</v>
      </c>
      <c r="Q347" s="126">
        <f>IF(E347="Y",VLOOKUP(D347,'Support - Unit Adjustments'!F:G,2,FALSE),0)</f>
        <v>0</v>
      </c>
      <c r="R347" s="155">
        <f t="shared" si="117"/>
        <v>0</v>
      </c>
      <c r="S347" s="47">
        <f t="shared" si="116"/>
        <v>0</v>
      </c>
      <c r="T347" s="151">
        <f t="shared" si="101"/>
        <v>8</v>
      </c>
      <c r="U347" s="151">
        <f t="shared" si="102"/>
        <v>0</v>
      </c>
      <c r="V347" s="139">
        <f t="shared" si="103"/>
        <v>0</v>
      </c>
      <c r="W347" s="152">
        <f t="shared" si="106"/>
        <v>8</v>
      </c>
      <c r="X347" s="127" t="str">
        <f t="shared" si="104"/>
        <v/>
      </c>
      <c r="Y347" s="207">
        <f t="shared" si="107"/>
        <v>8</v>
      </c>
      <c r="Z347" s="139">
        <f t="shared" si="108"/>
        <v>8</v>
      </c>
      <c r="AA347" s="139">
        <f t="shared" si="109"/>
        <v>0</v>
      </c>
      <c r="AC347" s="47">
        <f t="shared" si="110"/>
        <v>4</v>
      </c>
      <c r="AD347" s="47">
        <f t="shared" si="111"/>
        <v>4</v>
      </c>
      <c r="AE347" s="47">
        <f t="shared" si="112"/>
        <v>0</v>
      </c>
      <c r="AG347" s="47">
        <f t="shared" si="113"/>
        <v>4</v>
      </c>
      <c r="AH347" s="47">
        <f t="shared" si="114"/>
        <v>4</v>
      </c>
      <c r="AI347" s="208">
        <f t="shared" si="115"/>
        <v>0</v>
      </c>
    </row>
    <row r="348" spans="1:35">
      <c r="A348" t="s">
        <v>2100</v>
      </c>
      <c r="B348" t="s">
        <v>3142</v>
      </c>
      <c r="C348" t="s">
        <v>2196</v>
      </c>
      <c r="D348" t="s">
        <v>3557</v>
      </c>
      <c r="F348" t="s">
        <v>294</v>
      </c>
      <c r="G348" s="126">
        <f>SUMIFS('Support - Transition'!F:F,'Support - Transition'!B:B,'Step 2'!A348,'Support - Transition'!C:C,'Step 2'!B348,'Support - Transition'!D:D,'Step 2'!C348,'Support - Transition'!E:E,"CIVIL")</f>
        <v>2.3960000000000001E-3</v>
      </c>
      <c r="H348" s="126">
        <f>SUMIFS('Support - Transition'!F:F,'Support - Transition'!B:B,'Step 2'!A348,'Support - Transition'!C:C,'Step 2'!B348,'Support - Transition'!D:D,'Step 2'!C348,'Support - Transition'!E:E,"FIRE")</f>
        <v>0</v>
      </c>
      <c r="I348" s="126">
        <f>IF(B348="0",SUMIFS('Support - Transition'!F:F,'Support - Transition'!J:J,'Step 2'!D348,'Support - Transition'!E:E,"STATE UNIT"),SUMIFS('Support - Transition'!F:F,'Support - Transition'!J:J,'Step 2'!D348))</f>
        <v>2.3960000000000001E-3</v>
      </c>
      <c r="J348" s="126">
        <f>SUMIFS('Support - Unit Adjustments'!E:E,'Support - Unit Adjustments'!F:F,'Step 2'!D348)</f>
        <v>0</v>
      </c>
      <c r="K348" s="126">
        <f t="shared" si="99"/>
        <v>2.3960000000000001E-3</v>
      </c>
      <c r="L348" s="174">
        <f>VLOOKUP(A348,'Step 1'!$A:$E,4,FALSE)</f>
        <v>21687</v>
      </c>
      <c r="M348" s="47">
        <f t="shared" si="100"/>
        <v>52</v>
      </c>
      <c r="N348" s="177">
        <f>SUMIFS('Support - Transition'!G:G,'Support - Transition'!J:J,'Step 2'!D348,'Support - Transition'!E:E,"2009 WELFARE ALLOCATION FACTOR")</f>
        <v>0</v>
      </c>
      <c r="O348" s="152">
        <f t="shared" si="105"/>
        <v>0</v>
      </c>
      <c r="P348" s="126">
        <f>IF(E348="Y",0,SUMIFS('Support - Transition'!G:G,'Support - Transition'!J:J,'Step 2'!D348,'Support - Transition'!E:E,"2009 SCHOOL ALLOCATION FACTOR"))</f>
        <v>0</v>
      </c>
      <c r="Q348" s="126">
        <f>IF(E348="Y",VLOOKUP(D348,'Support - Unit Adjustments'!F:G,2,FALSE),0)</f>
        <v>0</v>
      </c>
      <c r="R348" s="155">
        <f t="shared" si="117"/>
        <v>0</v>
      </c>
      <c r="S348" s="47">
        <f t="shared" si="116"/>
        <v>0</v>
      </c>
      <c r="T348" s="151">
        <f t="shared" si="101"/>
        <v>52</v>
      </c>
      <c r="U348" s="151">
        <f t="shared" si="102"/>
        <v>0</v>
      </c>
      <c r="V348" s="139">
        <f t="shared" si="103"/>
        <v>0</v>
      </c>
      <c r="W348" s="152">
        <f t="shared" si="106"/>
        <v>52</v>
      </c>
      <c r="X348" s="127" t="str">
        <f t="shared" si="104"/>
        <v/>
      </c>
      <c r="Y348" s="207">
        <f t="shared" si="107"/>
        <v>52</v>
      </c>
      <c r="Z348" s="139">
        <f t="shared" si="108"/>
        <v>52</v>
      </c>
      <c r="AA348" s="139">
        <f t="shared" si="109"/>
        <v>0</v>
      </c>
      <c r="AC348" s="47">
        <f t="shared" si="110"/>
        <v>26</v>
      </c>
      <c r="AD348" s="47">
        <f t="shared" si="111"/>
        <v>26</v>
      </c>
      <c r="AE348" s="47">
        <f t="shared" si="112"/>
        <v>0</v>
      </c>
      <c r="AG348" s="47">
        <f t="shared" si="113"/>
        <v>26</v>
      </c>
      <c r="AH348" s="47">
        <f t="shared" si="114"/>
        <v>26</v>
      </c>
      <c r="AI348" s="208">
        <f t="shared" si="115"/>
        <v>0</v>
      </c>
    </row>
    <row r="349" spans="1:35">
      <c r="A349" t="s">
        <v>2100</v>
      </c>
      <c r="B349" t="s">
        <v>3155</v>
      </c>
      <c r="C349" t="s">
        <v>2324</v>
      </c>
      <c r="D349" t="s">
        <v>3558</v>
      </c>
      <c r="F349" t="s">
        <v>295</v>
      </c>
      <c r="G349" s="126">
        <f>SUMIFS('Support - Transition'!F:F,'Support - Transition'!B:B,'Step 2'!A349,'Support - Transition'!C:C,'Step 2'!B349,'Support - Transition'!D:D,'Step 2'!C349,'Support - Transition'!E:E,"CIVIL")</f>
        <v>0</v>
      </c>
      <c r="H349" s="126">
        <f>SUMIFS('Support - Transition'!F:F,'Support - Transition'!B:B,'Step 2'!A349,'Support - Transition'!C:C,'Step 2'!B349,'Support - Transition'!D:D,'Step 2'!C349,'Support - Transition'!E:E,"FIRE")</f>
        <v>0</v>
      </c>
      <c r="I349" s="126">
        <f>IF(B349="0",SUMIFS('Support - Transition'!F:F,'Support - Transition'!J:J,'Step 2'!D349,'Support - Transition'!E:E,"STATE UNIT"),SUMIFS('Support - Transition'!F:F,'Support - Transition'!J:J,'Step 2'!D349))</f>
        <v>0</v>
      </c>
      <c r="J349" s="126">
        <f>SUMIFS('Support - Unit Adjustments'!E:E,'Support - Unit Adjustments'!F:F,'Step 2'!D349)</f>
        <v>0</v>
      </c>
      <c r="K349" s="126">
        <f t="shared" si="99"/>
        <v>0</v>
      </c>
      <c r="L349" s="174">
        <f>VLOOKUP(A349,'Step 1'!$A:$E,4,FALSE)</f>
        <v>21687</v>
      </c>
      <c r="M349" s="47">
        <f t="shared" si="100"/>
        <v>0</v>
      </c>
      <c r="N349" s="177">
        <f>SUMIFS('Support - Transition'!G:G,'Support - Transition'!J:J,'Step 2'!D349,'Support - Transition'!E:E,"2009 WELFARE ALLOCATION FACTOR")</f>
        <v>0</v>
      </c>
      <c r="O349" s="152">
        <f t="shared" si="105"/>
        <v>0</v>
      </c>
      <c r="P349" s="126">
        <f>IF(E349="Y",0,SUMIFS('Support - Transition'!G:G,'Support - Transition'!J:J,'Step 2'!D349,'Support - Transition'!E:E,"2009 SCHOOL ALLOCATION FACTOR"))</f>
        <v>0</v>
      </c>
      <c r="Q349" s="126">
        <f>IF(E349="Y",VLOOKUP(D349,'Support - Unit Adjustments'!F:G,2,FALSE),0)</f>
        <v>0</v>
      </c>
      <c r="R349" s="155">
        <f t="shared" si="117"/>
        <v>0</v>
      </c>
      <c r="S349" s="47">
        <f t="shared" si="116"/>
        <v>0</v>
      </c>
      <c r="T349" s="151">
        <f t="shared" si="101"/>
        <v>0</v>
      </c>
      <c r="U349" s="151">
        <f t="shared" si="102"/>
        <v>0</v>
      </c>
      <c r="V349" s="139">
        <f t="shared" si="103"/>
        <v>0</v>
      </c>
      <c r="W349" s="152">
        <f t="shared" si="106"/>
        <v>0</v>
      </c>
      <c r="X349" s="127" t="str">
        <f t="shared" si="104"/>
        <v/>
      </c>
      <c r="Y349" s="207">
        <f t="shared" si="107"/>
        <v>0</v>
      </c>
      <c r="Z349" s="139">
        <f t="shared" si="108"/>
        <v>0</v>
      </c>
      <c r="AA349" s="139">
        <f t="shared" si="109"/>
        <v>0</v>
      </c>
      <c r="AC349" s="47">
        <f t="shared" si="110"/>
        <v>0</v>
      </c>
      <c r="AD349" s="47">
        <f t="shared" si="111"/>
        <v>0</v>
      </c>
      <c r="AE349" s="47">
        <f t="shared" si="112"/>
        <v>0</v>
      </c>
      <c r="AG349" s="47">
        <f t="shared" si="113"/>
        <v>0</v>
      </c>
      <c r="AH349" s="47">
        <f t="shared" si="114"/>
        <v>0</v>
      </c>
      <c r="AI349" s="208">
        <f t="shared" si="115"/>
        <v>0</v>
      </c>
    </row>
    <row r="350" spans="1:35">
      <c r="A350" t="s">
        <v>2100</v>
      </c>
      <c r="B350" t="s">
        <v>3155</v>
      </c>
      <c r="C350" t="s">
        <v>2325</v>
      </c>
      <c r="D350" t="s">
        <v>3559</v>
      </c>
      <c r="F350" t="s">
        <v>296</v>
      </c>
      <c r="G350" s="126">
        <f>SUMIFS('Support - Transition'!F:F,'Support - Transition'!B:B,'Step 2'!A350,'Support - Transition'!C:C,'Step 2'!B350,'Support - Transition'!D:D,'Step 2'!C350,'Support - Transition'!E:E,"CIVIL")</f>
        <v>0</v>
      </c>
      <c r="H350" s="126">
        <f>SUMIFS('Support - Transition'!F:F,'Support - Transition'!B:B,'Step 2'!A350,'Support - Transition'!C:C,'Step 2'!B350,'Support - Transition'!D:D,'Step 2'!C350,'Support - Transition'!E:E,"FIRE")</f>
        <v>0</v>
      </c>
      <c r="I350" s="126">
        <f>IF(B350="0",SUMIFS('Support - Transition'!F:F,'Support - Transition'!J:J,'Step 2'!D350,'Support - Transition'!E:E,"STATE UNIT"),SUMIFS('Support - Transition'!F:F,'Support - Transition'!J:J,'Step 2'!D350))</f>
        <v>8.4919999999999995E-3</v>
      </c>
      <c r="J350" s="126">
        <f>SUMIFS('Support - Unit Adjustments'!E:E,'Support - Unit Adjustments'!F:F,'Step 2'!D350)</f>
        <v>0</v>
      </c>
      <c r="K350" s="126">
        <f t="shared" si="99"/>
        <v>8.4919999999999995E-3</v>
      </c>
      <c r="L350" s="174">
        <f>VLOOKUP(A350,'Step 1'!$A:$E,4,FALSE)</f>
        <v>21687</v>
      </c>
      <c r="M350" s="47">
        <f t="shared" si="100"/>
        <v>184</v>
      </c>
      <c r="N350" s="177">
        <f>SUMIFS('Support - Transition'!G:G,'Support - Transition'!J:J,'Step 2'!D350,'Support - Transition'!E:E,"2009 WELFARE ALLOCATION FACTOR")</f>
        <v>0</v>
      </c>
      <c r="O350" s="152">
        <f t="shared" si="105"/>
        <v>0</v>
      </c>
      <c r="P350" s="126">
        <f>IF(E350="Y",0,SUMIFS('Support - Transition'!G:G,'Support - Transition'!J:J,'Step 2'!D350,'Support - Transition'!E:E,"2009 SCHOOL ALLOCATION FACTOR"))</f>
        <v>0</v>
      </c>
      <c r="Q350" s="126">
        <f>IF(E350="Y",VLOOKUP(D350,'Support - Unit Adjustments'!F:G,2,FALSE),0)</f>
        <v>0</v>
      </c>
      <c r="R350" s="155">
        <f t="shared" si="117"/>
        <v>0</v>
      </c>
      <c r="S350" s="47">
        <f t="shared" si="116"/>
        <v>0</v>
      </c>
      <c r="T350" s="151">
        <f t="shared" si="101"/>
        <v>184</v>
      </c>
      <c r="U350" s="151">
        <f t="shared" si="102"/>
        <v>0</v>
      </c>
      <c r="V350" s="139">
        <f t="shared" si="103"/>
        <v>0</v>
      </c>
      <c r="W350" s="152">
        <f t="shared" si="106"/>
        <v>184</v>
      </c>
      <c r="X350" s="127" t="str">
        <f t="shared" si="104"/>
        <v/>
      </c>
      <c r="Y350" s="207">
        <f t="shared" si="107"/>
        <v>184</v>
      </c>
      <c r="Z350" s="139">
        <f t="shared" si="108"/>
        <v>184</v>
      </c>
      <c r="AA350" s="139">
        <f t="shared" si="109"/>
        <v>0</v>
      </c>
      <c r="AC350" s="47">
        <f t="shared" si="110"/>
        <v>92</v>
      </c>
      <c r="AD350" s="47">
        <f t="shared" si="111"/>
        <v>92</v>
      </c>
      <c r="AE350" s="47">
        <f t="shared" si="112"/>
        <v>0</v>
      </c>
      <c r="AG350" s="47">
        <f t="shared" si="113"/>
        <v>92</v>
      </c>
      <c r="AH350" s="47">
        <f t="shared" si="114"/>
        <v>92</v>
      </c>
      <c r="AI350" s="208">
        <f t="shared" si="115"/>
        <v>0</v>
      </c>
    </row>
    <row r="351" spans="1:35">
      <c r="A351" t="s">
        <v>2100</v>
      </c>
      <c r="B351" t="s">
        <v>3155</v>
      </c>
      <c r="C351" t="s">
        <v>2326</v>
      </c>
      <c r="D351" t="s">
        <v>3560</v>
      </c>
      <c r="F351" t="s">
        <v>297</v>
      </c>
      <c r="G351" s="126">
        <f>SUMIFS('Support - Transition'!F:F,'Support - Transition'!B:B,'Step 2'!A351,'Support - Transition'!C:C,'Step 2'!B351,'Support - Transition'!D:D,'Step 2'!C351,'Support - Transition'!E:E,"CIVIL")</f>
        <v>0</v>
      </c>
      <c r="H351" s="126">
        <f>SUMIFS('Support - Transition'!F:F,'Support - Transition'!B:B,'Step 2'!A351,'Support - Transition'!C:C,'Step 2'!B351,'Support - Transition'!D:D,'Step 2'!C351,'Support - Transition'!E:E,"FIRE")</f>
        <v>0</v>
      </c>
      <c r="I351" s="126">
        <f>IF(B351="0",SUMIFS('Support - Transition'!F:F,'Support - Transition'!J:J,'Step 2'!D351,'Support - Transition'!E:E,"STATE UNIT"),SUMIFS('Support - Transition'!F:F,'Support - Transition'!J:J,'Step 2'!D351))</f>
        <v>0</v>
      </c>
      <c r="J351" s="126">
        <f>SUMIFS('Support - Unit Adjustments'!E:E,'Support - Unit Adjustments'!F:F,'Step 2'!D351)</f>
        <v>0</v>
      </c>
      <c r="K351" s="126">
        <f t="shared" si="99"/>
        <v>0</v>
      </c>
      <c r="L351" s="174">
        <f>VLOOKUP(A351,'Step 1'!$A:$E,4,FALSE)</f>
        <v>21687</v>
      </c>
      <c r="M351" s="47">
        <f t="shared" si="100"/>
        <v>0</v>
      </c>
      <c r="N351" s="177">
        <f>SUMIFS('Support - Transition'!G:G,'Support - Transition'!J:J,'Step 2'!D351,'Support - Transition'!E:E,"2009 WELFARE ALLOCATION FACTOR")</f>
        <v>0</v>
      </c>
      <c r="O351" s="152">
        <f t="shared" si="105"/>
        <v>0</v>
      </c>
      <c r="P351" s="126">
        <f>IF(E351="Y",0,SUMIFS('Support - Transition'!G:G,'Support - Transition'!J:J,'Step 2'!D351,'Support - Transition'!E:E,"2009 SCHOOL ALLOCATION FACTOR"))</f>
        <v>0</v>
      </c>
      <c r="Q351" s="126">
        <f>IF(E351="Y",VLOOKUP(D351,'Support - Unit Adjustments'!F:G,2,FALSE),0)</f>
        <v>0</v>
      </c>
      <c r="R351" s="155">
        <f t="shared" si="117"/>
        <v>0</v>
      </c>
      <c r="S351" s="47">
        <f t="shared" si="116"/>
        <v>0</v>
      </c>
      <c r="T351" s="151">
        <f t="shared" si="101"/>
        <v>0</v>
      </c>
      <c r="U351" s="151">
        <f t="shared" si="102"/>
        <v>0</v>
      </c>
      <c r="V351" s="139">
        <f t="shared" si="103"/>
        <v>0</v>
      </c>
      <c r="W351" s="152">
        <f t="shared" si="106"/>
        <v>0</v>
      </c>
      <c r="X351" s="127" t="str">
        <f t="shared" si="104"/>
        <v/>
      </c>
      <c r="Y351" s="207">
        <f t="shared" si="107"/>
        <v>0</v>
      </c>
      <c r="Z351" s="139">
        <f t="shared" si="108"/>
        <v>0</v>
      </c>
      <c r="AA351" s="139">
        <f t="shared" si="109"/>
        <v>0</v>
      </c>
      <c r="AC351" s="47">
        <f t="shared" si="110"/>
        <v>0</v>
      </c>
      <c r="AD351" s="47">
        <f t="shared" si="111"/>
        <v>0</v>
      </c>
      <c r="AE351" s="47">
        <f t="shared" si="112"/>
        <v>0</v>
      </c>
      <c r="AG351" s="47">
        <f t="shared" si="113"/>
        <v>0</v>
      </c>
      <c r="AH351" s="47">
        <f t="shared" si="114"/>
        <v>0</v>
      </c>
      <c r="AI351" s="208">
        <f t="shared" si="115"/>
        <v>0</v>
      </c>
    </row>
    <row r="352" spans="1:35">
      <c r="A352" t="s">
        <v>2100</v>
      </c>
      <c r="B352" t="s">
        <v>3155</v>
      </c>
      <c r="C352" t="s">
        <v>2327</v>
      </c>
      <c r="D352" t="s">
        <v>3561</v>
      </c>
      <c r="F352" t="s">
        <v>298</v>
      </c>
      <c r="G352" s="126">
        <f>SUMIFS('Support - Transition'!F:F,'Support - Transition'!B:B,'Step 2'!A352,'Support - Transition'!C:C,'Step 2'!B352,'Support - Transition'!D:D,'Step 2'!C352,'Support - Transition'!E:E,"CIVIL")</f>
        <v>0</v>
      </c>
      <c r="H352" s="126">
        <f>SUMIFS('Support - Transition'!F:F,'Support - Transition'!B:B,'Step 2'!A352,'Support - Transition'!C:C,'Step 2'!B352,'Support - Transition'!D:D,'Step 2'!C352,'Support - Transition'!E:E,"FIRE")</f>
        <v>0</v>
      </c>
      <c r="I352" s="126">
        <f>IF(B352="0",SUMIFS('Support - Transition'!F:F,'Support - Transition'!J:J,'Step 2'!D352,'Support - Transition'!E:E,"STATE UNIT"),SUMIFS('Support - Transition'!F:F,'Support - Transition'!J:J,'Step 2'!D352))</f>
        <v>3.447E-3</v>
      </c>
      <c r="J352" s="126">
        <f>SUMIFS('Support - Unit Adjustments'!E:E,'Support - Unit Adjustments'!F:F,'Step 2'!D352)</f>
        <v>0</v>
      </c>
      <c r="K352" s="126">
        <f t="shared" si="99"/>
        <v>3.447E-3</v>
      </c>
      <c r="L352" s="174">
        <f>VLOOKUP(A352,'Step 1'!$A:$E,4,FALSE)</f>
        <v>21687</v>
      </c>
      <c r="M352" s="47">
        <f t="shared" si="100"/>
        <v>75</v>
      </c>
      <c r="N352" s="177">
        <f>SUMIFS('Support - Transition'!G:G,'Support - Transition'!J:J,'Step 2'!D352,'Support - Transition'!E:E,"2009 WELFARE ALLOCATION FACTOR")</f>
        <v>0</v>
      </c>
      <c r="O352" s="152">
        <f t="shared" si="105"/>
        <v>0</v>
      </c>
      <c r="P352" s="126">
        <f>IF(E352="Y",0,SUMIFS('Support - Transition'!G:G,'Support - Transition'!J:J,'Step 2'!D352,'Support - Transition'!E:E,"2009 SCHOOL ALLOCATION FACTOR"))</f>
        <v>0</v>
      </c>
      <c r="Q352" s="126">
        <f>IF(E352="Y",VLOOKUP(D352,'Support - Unit Adjustments'!F:G,2,FALSE),0)</f>
        <v>0</v>
      </c>
      <c r="R352" s="155">
        <f t="shared" si="117"/>
        <v>0</v>
      </c>
      <c r="S352" s="47">
        <f t="shared" si="116"/>
        <v>0</v>
      </c>
      <c r="T352" s="151">
        <f t="shared" si="101"/>
        <v>75</v>
      </c>
      <c r="U352" s="151">
        <f t="shared" si="102"/>
        <v>0</v>
      </c>
      <c r="V352" s="139">
        <f t="shared" si="103"/>
        <v>0</v>
      </c>
      <c r="W352" s="152">
        <f t="shared" si="106"/>
        <v>75</v>
      </c>
      <c r="X352" s="127" t="str">
        <f t="shared" si="104"/>
        <v/>
      </c>
      <c r="Y352" s="207">
        <f t="shared" si="107"/>
        <v>75</v>
      </c>
      <c r="Z352" s="139">
        <f t="shared" si="108"/>
        <v>75</v>
      </c>
      <c r="AA352" s="139">
        <f t="shared" si="109"/>
        <v>0</v>
      </c>
      <c r="AC352" s="47">
        <f t="shared" si="110"/>
        <v>38</v>
      </c>
      <c r="AD352" s="47">
        <f t="shared" si="111"/>
        <v>38</v>
      </c>
      <c r="AE352" s="47">
        <f t="shared" si="112"/>
        <v>0</v>
      </c>
      <c r="AG352" s="47">
        <f t="shared" si="113"/>
        <v>37</v>
      </c>
      <c r="AH352" s="47">
        <f t="shared" si="114"/>
        <v>37</v>
      </c>
      <c r="AI352" s="208">
        <f t="shared" si="115"/>
        <v>0</v>
      </c>
    </row>
    <row r="353" spans="1:35">
      <c r="A353" t="s">
        <v>2100</v>
      </c>
      <c r="B353" t="s">
        <v>3155</v>
      </c>
      <c r="C353" t="s">
        <v>2328</v>
      </c>
      <c r="D353" t="s">
        <v>3562</v>
      </c>
      <c r="F353" t="s">
        <v>299</v>
      </c>
      <c r="G353" s="126">
        <f>SUMIFS('Support - Transition'!F:F,'Support - Transition'!B:B,'Step 2'!A353,'Support - Transition'!C:C,'Step 2'!B353,'Support - Transition'!D:D,'Step 2'!C353,'Support - Transition'!E:E,"CIVIL")</f>
        <v>0</v>
      </c>
      <c r="H353" s="126">
        <f>SUMIFS('Support - Transition'!F:F,'Support - Transition'!B:B,'Step 2'!A353,'Support - Transition'!C:C,'Step 2'!B353,'Support - Transition'!D:D,'Step 2'!C353,'Support - Transition'!E:E,"FIRE")</f>
        <v>0</v>
      </c>
      <c r="I353" s="126">
        <f>IF(B353="0",SUMIFS('Support - Transition'!F:F,'Support - Transition'!J:J,'Step 2'!D353,'Support - Transition'!E:E,"STATE UNIT"),SUMIFS('Support - Transition'!F:F,'Support - Transition'!J:J,'Step 2'!D353))</f>
        <v>1.219E-3</v>
      </c>
      <c r="J353" s="126">
        <f>SUMIFS('Support - Unit Adjustments'!E:E,'Support - Unit Adjustments'!F:F,'Step 2'!D353)</f>
        <v>0</v>
      </c>
      <c r="K353" s="126">
        <f t="shared" si="99"/>
        <v>1.219E-3</v>
      </c>
      <c r="L353" s="174">
        <f>VLOOKUP(A353,'Step 1'!$A:$E,4,FALSE)</f>
        <v>21687</v>
      </c>
      <c r="M353" s="47">
        <f t="shared" si="100"/>
        <v>26</v>
      </c>
      <c r="N353" s="177">
        <f>SUMIFS('Support - Transition'!G:G,'Support - Transition'!J:J,'Step 2'!D353,'Support - Transition'!E:E,"2009 WELFARE ALLOCATION FACTOR")</f>
        <v>0</v>
      </c>
      <c r="O353" s="152">
        <f t="shared" si="105"/>
        <v>0</v>
      </c>
      <c r="P353" s="126">
        <f>IF(E353="Y",0,SUMIFS('Support - Transition'!G:G,'Support - Transition'!J:J,'Step 2'!D353,'Support - Transition'!E:E,"2009 SCHOOL ALLOCATION FACTOR"))</f>
        <v>0</v>
      </c>
      <c r="Q353" s="126">
        <f>IF(E353="Y",VLOOKUP(D353,'Support - Unit Adjustments'!F:G,2,FALSE),0)</f>
        <v>0</v>
      </c>
      <c r="R353" s="155">
        <f t="shared" si="117"/>
        <v>0</v>
      </c>
      <c r="S353" s="47">
        <f t="shared" si="116"/>
        <v>0</v>
      </c>
      <c r="T353" s="151">
        <f t="shared" si="101"/>
        <v>26</v>
      </c>
      <c r="U353" s="151">
        <f t="shared" si="102"/>
        <v>0</v>
      </c>
      <c r="V353" s="139">
        <f t="shared" si="103"/>
        <v>0</v>
      </c>
      <c r="W353" s="152">
        <f t="shared" si="106"/>
        <v>26</v>
      </c>
      <c r="X353" s="127" t="str">
        <f t="shared" si="104"/>
        <v/>
      </c>
      <c r="Y353" s="207">
        <f t="shared" si="107"/>
        <v>26</v>
      </c>
      <c r="Z353" s="139">
        <f t="shared" si="108"/>
        <v>26</v>
      </c>
      <c r="AA353" s="139">
        <f t="shared" si="109"/>
        <v>0</v>
      </c>
      <c r="AC353" s="47">
        <f t="shared" si="110"/>
        <v>13</v>
      </c>
      <c r="AD353" s="47">
        <f t="shared" si="111"/>
        <v>13</v>
      </c>
      <c r="AE353" s="47">
        <f t="shared" si="112"/>
        <v>0</v>
      </c>
      <c r="AG353" s="47">
        <f t="shared" si="113"/>
        <v>13</v>
      </c>
      <c r="AH353" s="47">
        <f t="shared" si="114"/>
        <v>13</v>
      </c>
      <c r="AI353" s="208">
        <f t="shared" si="115"/>
        <v>0</v>
      </c>
    </row>
    <row r="354" spans="1:35">
      <c r="A354" t="s">
        <v>2100</v>
      </c>
      <c r="B354" t="s">
        <v>3160</v>
      </c>
      <c r="C354" t="s">
        <v>2329</v>
      </c>
      <c r="D354" t="s">
        <v>3563</v>
      </c>
      <c r="F354" t="s">
        <v>3564</v>
      </c>
      <c r="G354" s="126">
        <f>SUMIFS('Support - Transition'!F:F,'Support - Transition'!B:B,'Step 2'!A354,'Support - Transition'!C:C,'Step 2'!B354,'Support - Transition'!D:D,'Step 2'!C354,'Support - Transition'!E:E,"CIVIL")</f>
        <v>0</v>
      </c>
      <c r="H354" s="126">
        <f>SUMIFS('Support - Transition'!F:F,'Support - Transition'!B:B,'Step 2'!A354,'Support - Transition'!C:C,'Step 2'!B354,'Support - Transition'!D:D,'Step 2'!C354,'Support - Transition'!E:E,"FIRE")</f>
        <v>0</v>
      </c>
      <c r="I354" s="126">
        <f>IF(B354="0",SUMIFS('Support - Transition'!F:F,'Support - Transition'!J:J,'Step 2'!D354,'Support - Transition'!E:E,"STATE UNIT"),SUMIFS('Support - Transition'!F:F,'Support - Transition'!J:J,'Step 2'!D354))</f>
        <v>0.57977000000000001</v>
      </c>
      <c r="J354" s="126">
        <f>SUMIFS('Support - Unit Adjustments'!E:E,'Support - Unit Adjustments'!F:F,'Step 2'!D354)</f>
        <v>0</v>
      </c>
      <c r="K354" s="126">
        <f t="shared" si="99"/>
        <v>0.57977000000000001</v>
      </c>
      <c r="L354" s="174">
        <f>VLOOKUP(A354,'Step 1'!$A:$E,4,FALSE)</f>
        <v>21687</v>
      </c>
      <c r="M354" s="47">
        <f t="shared" si="100"/>
        <v>12573</v>
      </c>
      <c r="N354" s="177">
        <f>SUMIFS('Support - Transition'!G:G,'Support - Transition'!J:J,'Step 2'!D354,'Support - Transition'!E:E,"2009 WELFARE ALLOCATION FACTOR")</f>
        <v>0</v>
      </c>
      <c r="O354" s="152">
        <f t="shared" si="105"/>
        <v>0</v>
      </c>
      <c r="P354" s="126">
        <f>IF(E354="Y",0,SUMIFS('Support - Transition'!G:G,'Support - Transition'!J:J,'Step 2'!D354,'Support - Transition'!E:E,"2009 SCHOOL ALLOCATION FACTOR"))</f>
        <v>0.334123</v>
      </c>
      <c r="Q354" s="126">
        <f>IF(E354="Y",VLOOKUP(D354,'Support - Unit Adjustments'!F:G,2,FALSE),0)</f>
        <v>0</v>
      </c>
      <c r="R354" s="155">
        <f t="shared" si="117"/>
        <v>0.334123</v>
      </c>
      <c r="S354" s="47">
        <f t="shared" si="116"/>
        <v>4201</v>
      </c>
      <c r="T354" s="151">
        <f t="shared" si="101"/>
        <v>8372</v>
      </c>
      <c r="U354" s="151">
        <f t="shared" si="102"/>
        <v>0</v>
      </c>
      <c r="V354" s="139">
        <f t="shared" si="103"/>
        <v>0</v>
      </c>
      <c r="W354" s="152">
        <f t="shared" si="106"/>
        <v>8372</v>
      </c>
      <c r="X354" s="127" t="str">
        <f t="shared" si="104"/>
        <v/>
      </c>
      <c r="Y354" s="207">
        <f t="shared" si="107"/>
        <v>8372</v>
      </c>
      <c r="Z354" s="139">
        <f t="shared" si="108"/>
        <v>8372</v>
      </c>
      <c r="AA354" s="139">
        <f t="shared" si="109"/>
        <v>0</v>
      </c>
      <c r="AC354" s="47">
        <f t="shared" si="110"/>
        <v>4186</v>
      </c>
      <c r="AD354" s="47">
        <f t="shared" si="111"/>
        <v>4186</v>
      </c>
      <c r="AE354" s="47">
        <f t="shared" si="112"/>
        <v>0</v>
      </c>
      <c r="AG354" s="47">
        <f t="shared" si="113"/>
        <v>4186</v>
      </c>
      <c r="AH354" s="47">
        <f t="shared" si="114"/>
        <v>4186</v>
      </c>
      <c r="AI354" s="208">
        <f t="shared" si="115"/>
        <v>0</v>
      </c>
    </row>
    <row r="355" spans="1:35">
      <c r="A355" t="s">
        <v>2100</v>
      </c>
      <c r="B355" t="s">
        <v>3166</v>
      </c>
      <c r="C355" t="s">
        <v>3565</v>
      </c>
      <c r="D355" t="s">
        <v>3566</v>
      </c>
      <c r="F355" t="s">
        <v>301</v>
      </c>
      <c r="G355" s="126">
        <f>SUMIFS('Support - Transition'!F:F,'Support - Transition'!B:B,'Step 2'!A355,'Support - Transition'!C:C,'Step 2'!B355,'Support - Transition'!D:D,'Step 2'!C355,'Support - Transition'!E:E,"CIVIL")</f>
        <v>0</v>
      </c>
      <c r="H355" s="126">
        <f>SUMIFS('Support - Transition'!F:F,'Support - Transition'!B:B,'Step 2'!A355,'Support - Transition'!C:C,'Step 2'!B355,'Support - Transition'!D:D,'Step 2'!C355,'Support - Transition'!E:E,"FIRE")</f>
        <v>0</v>
      </c>
      <c r="I355" s="126">
        <f>IF(B355="0",SUMIFS('Support - Transition'!F:F,'Support - Transition'!J:J,'Step 2'!D355,'Support - Transition'!E:E,"STATE UNIT"),SUMIFS('Support - Transition'!F:F,'Support - Transition'!J:J,'Step 2'!D355))</f>
        <v>1.257E-2</v>
      </c>
      <c r="J355" s="126">
        <f>SUMIFS('Support - Unit Adjustments'!E:E,'Support - Unit Adjustments'!F:F,'Step 2'!D355)</f>
        <v>0</v>
      </c>
      <c r="K355" s="126">
        <f t="shared" si="99"/>
        <v>1.257E-2</v>
      </c>
      <c r="L355" s="174">
        <f>VLOOKUP(A355,'Step 1'!$A:$E,4,FALSE)</f>
        <v>21687</v>
      </c>
      <c r="M355" s="47">
        <f t="shared" si="100"/>
        <v>273</v>
      </c>
      <c r="N355" s="177">
        <f>SUMIFS('Support - Transition'!G:G,'Support - Transition'!J:J,'Step 2'!D355,'Support - Transition'!E:E,"2009 WELFARE ALLOCATION FACTOR")</f>
        <v>0</v>
      </c>
      <c r="O355" s="152">
        <f t="shared" si="105"/>
        <v>0</v>
      </c>
      <c r="P355" s="126">
        <f>IF(E355="Y",0,SUMIFS('Support - Transition'!G:G,'Support - Transition'!J:J,'Step 2'!D355,'Support - Transition'!E:E,"2009 SCHOOL ALLOCATION FACTOR"))</f>
        <v>0</v>
      </c>
      <c r="Q355" s="126">
        <f>IF(E355="Y",VLOOKUP(D355,'Support - Unit Adjustments'!F:G,2,FALSE),0)</f>
        <v>0</v>
      </c>
      <c r="R355" s="155">
        <f t="shared" si="117"/>
        <v>0</v>
      </c>
      <c r="S355" s="47">
        <f t="shared" si="116"/>
        <v>0</v>
      </c>
      <c r="T355" s="151">
        <f t="shared" si="101"/>
        <v>273</v>
      </c>
      <c r="U355" s="151">
        <f t="shared" si="102"/>
        <v>0</v>
      </c>
      <c r="V355" s="139">
        <f t="shared" si="103"/>
        <v>0</v>
      </c>
      <c r="W355" s="152">
        <f t="shared" si="106"/>
        <v>273</v>
      </c>
      <c r="X355" s="127" t="str">
        <f t="shared" si="104"/>
        <v/>
      </c>
      <c r="Y355" s="207">
        <f t="shared" si="107"/>
        <v>273</v>
      </c>
      <c r="Z355" s="139">
        <f t="shared" si="108"/>
        <v>273</v>
      </c>
      <c r="AA355" s="139">
        <f t="shared" si="109"/>
        <v>0</v>
      </c>
      <c r="AC355" s="47">
        <f t="shared" si="110"/>
        <v>137</v>
      </c>
      <c r="AD355" s="47">
        <f t="shared" si="111"/>
        <v>137</v>
      </c>
      <c r="AE355" s="47">
        <f t="shared" si="112"/>
        <v>0</v>
      </c>
      <c r="AG355" s="47">
        <f t="shared" si="113"/>
        <v>136</v>
      </c>
      <c r="AH355" s="47">
        <f t="shared" si="114"/>
        <v>136</v>
      </c>
      <c r="AI355" s="208">
        <f t="shared" si="115"/>
        <v>0</v>
      </c>
    </row>
    <row r="356" spans="1:35">
      <c r="A356" t="s">
        <v>2100</v>
      </c>
      <c r="B356" t="s">
        <v>3170</v>
      </c>
      <c r="C356" t="s">
        <v>2330</v>
      </c>
      <c r="D356" t="s">
        <v>3567</v>
      </c>
      <c r="F356" t="s">
        <v>304</v>
      </c>
      <c r="G356" s="126">
        <f>SUMIFS('Support - Transition'!F:F,'Support - Transition'!B:B,'Step 2'!A356,'Support - Transition'!C:C,'Step 2'!B356,'Support - Transition'!D:D,'Step 2'!C356,'Support - Transition'!E:E,"CIVIL")</f>
        <v>0</v>
      </c>
      <c r="H356" s="126">
        <f>SUMIFS('Support - Transition'!F:F,'Support - Transition'!B:B,'Step 2'!A356,'Support - Transition'!C:C,'Step 2'!B356,'Support - Transition'!D:D,'Step 2'!C356,'Support - Transition'!E:E,"FIRE")</f>
        <v>0</v>
      </c>
      <c r="I356" s="126">
        <f>IF(B356="0",SUMIFS('Support - Transition'!F:F,'Support - Transition'!J:J,'Step 2'!D356,'Support - Transition'!E:E,"STATE UNIT"),SUMIFS('Support - Transition'!F:F,'Support - Transition'!J:J,'Step 2'!D356))</f>
        <v>1.1393E-2</v>
      </c>
      <c r="J356" s="126">
        <f>SUMIFS('Support - Unit Adjustments'!E:E,'Support - Unit Adjustments'!F:F,'Step 2'!D356)</f>
        <v>0</v>
      </c>
      <c r="K356" s="126">
        <f t="shared" si="99"/>
        <v>1.1393E-2</v>
      </c>
      <c r="L356" s="174">
        <f>VLOOKUP(A356,'Step 1'!$A:$E,4,FALSE)</f>
        <v>21687</v>
      </c>
      <c r="M356" s="47">
        <f t="shared" si="100"/>
        <v>247</v>
      </c>
      <c r="N356" s="177">
        <f>SUMIFS('Support - Transition'!G:G,'Support - Transition'!J:J,'Step 2'!D356,'Support - Transition'!E:E,"2009 WELFARE ALLOCATION FACTOR")</f>
        <v>0</v>
      </c>
      <c r="O356" s="152">
        <f t="shared" si="105"/>
        <v>0</v>
      </c>
      <c r="P356" s="126">
        <f>IF(E356="Y",0,SUMIFS('Support - Transition'!G:G,'Support - Transition'!J:J,'Step 2'!D356,'Support - Transition'!E:E,"2009 SCHOOL ALLOCATION FACTOR"))</f>
        <v>0</v>
      </c>
      <c r="Q356" s="126">
        <f>IF(E356="Y",VLOOKUP(D356,'Support - Unit Adjustments'!F:G,2,FALSE),0)</f>
        <v>0</v>
      </c>
      <c r="R356" s="155">
        <f t="shared" si="117"/>
        <v>0</v>
      </c>
      <c r="S356" s="47">
        <f t="shared" si="116"/>
        <v>0</v>
      </c>
      <c r="T356" s="151">
        <f t="shared" si="101"/>
        <v>247</v>
      </c>
      <c r="U356" s="151">
        <f t="shared" si="102"/>
        <v>0</v>
      </c>
      <c r="V356" s="139">
        <f t="shared" si="103"/>
        <v>0</v>
      </c>
      <c r="W356" s="152">
        <f t="shared" si="106"/>
        <v>247</v>
      </c>
      <c r="X356" s="127" t="str">
        <f t="shared" si="104"/>
        <v/>
      </c>
      <c r="Y356" s="207">
        <f t="shared" si="107"/>
        <v>247</v>
      </c>
      <c r="Z356" s="139">
        <f t="shared" si="108"/>
        <v>247</v>
      </c>
      <c r="AA356" s="139">
        <f t="shared" si="109"/>
        <v>0</v>
      </c>
      <c r="AC356" s="47">
        <f t="shared" si="110"/>
        <v>124</v>
      </c>
      <c r="AD356" s="47">
        <f t="shared" si="111"/>
        <v>124</v>
      </c>
      <c r="AE356" s="47">
        <f t="shared" si="112"/>
        <v>0</v>
      </c>
      <c r="AG356" s="47">
        <f t="shared" si="113"/>
        <v>123</v>
      </c>
      <c r="AH356" s="47">
        <f t="shared" si="114"/>
        <v>123</v>
      </c>
      <c r="AI356" s="208">
        <f t="shared" si="115"/>
        <v>0</v>
      </c>
    </row>
    <row r="357" spans="1:35">
      <c r="A357" t="s">
        <v>2100</v>
      </c>
      <c r="B357" t="s">
        <v>3170</v>
      </c>
      <c r="C357" t="s">
        <v>2331</v>
      </c>
      <c r="D357" t="s">
        <v>3568</v>
      </c>
      <c r="F357" t="s">
        <v>303</v>
      </c>
      <c r="G357" s="126">
        <f>SUMIFS('Support - Transition'!F:F,'Support - Transition'!B:B,'Step 2'!A357,'Support - Transition'!C:C,'Step 2'!B357,'Support - Transition'!D:D,'Step 2'!C357,'Support - Transition'!E:E,"CIVIL")</f>
        <v>0</v>
      </c>
      <c r="H357" s="126">
        <f>SUMIFS('Support - Transition'!F:F,'Support - Transition'!B:B,'Step 2'!A357,'Support - Transition'!C:C,'Step 2'!B357,'Support - Transition'!D:D,'Step 2'!C357,'Support - Transition'!E:E,"FIRE")</f>
        <v>0</v>
      </c>
      <c r="I357" s="126">
        <f>IF(B357="0",SUMIFS('Support - Transition'!F:F,'Support - Transition'!J:J,'Step 2'!D357,'Support - Transition'!E:E,"STATE UNIT"),SUMIFS('Support - Transition'!F:F,'Support - Transition'!J:J,'Step 2'!D357))</f>
        <v>1.7319999999999999E-2</v>
      </c>
      <c r="J357" s="126">
        <f>SUMIFS('Support - Unit Adjustments'!E:E,'Support - Unit Adjustments'!F:F,'Step 2'!D357)</f>
        <v>0</v>
      </c>
      <c r="K357" s="126">
        <f t="shared" si="99"/>
        <v>1.7319999999999999E-2</v>
      </c>
      <c r="L357" s="174">
        <f>VLOOKUP(A357,'Step 1'!$A:$E,4,FALSE)</f>
        <v>21687</v>
      </c>
      <c r="M357" s="47">
        <f t="shared" si="100"/>
        <v>376</v>
      </c>
      <c r="N357" s="177">
        <f>SUMIFS('Support - Transition'!G:G,'Support - Transition'!J:J,'Step 2'!D357,'Support - Transition'!E:E,"2009 WELFARE ALLOCATION FACTOR")</f>
        <v>0</v>
      </c>
      <c r="O357" s="152">
        <f t="shared" si="105"/>
        <v>0</v>
      </c>
      <c r="P357" s="126">
        <f>IF(E357="Y",0,SUMIFS('Support - Transition'!G:G,'Support - Transition'!J:J,'Step 2'!D357,'Support - Transition'!E:E,"2009 SCHOOL ALLOCATION FACTOR"))</f>
        <v>0</v>
      </c>
      <c r="Q357" s="126">
        <f>IF(E357="Y",VLOOKUP(D357,'Support - Unit Adjustments'!F:G,2,FALSE),0)</f>
        <v>0</v>
      </c>
      <c r="R357" s="155">
        <f t="shared" si="117"/>
        <v>0</v>
      </c>
      <c r="S357" s="47">
        <f t="shared" si="116"/>
        <v>0</v>
      </c>
      <c r="T357" s="151">
        <f t="shared" si="101"/>
        <v>376</v>
      </c>
      <c r="U357" s="151">
        <f t="shared" si="102"/>
        <v>0</v>
      </c>
      <c r="V357" s="139">
        <f t="shared" si="103"/>
        <v>0</v>
      </c>
      <c r="W357" s="152">
        <f t="shared" si="106"/>
        <v>376</v>
      </c>
      <c r="X357" s="127" t="str">
        <f t="shared" si="104"/>
        <v/>
      </c>
      <c r="Y357" s="207">
        <f t="shared" si="107"/>
        <v>376</v>
      </c>
      <c r="Z357" s="139">
        <f t="shared" si="108"/>
        <v>376</v>
      </c>
      <c r="AA357" s="139">
        <f t="shared" si="109"/>
        <v>0</v>
      </c>
      <c r="AC357" s="47">
        <f t="shared" si="110"/>
        <v>188</v>
      </c>
      <c r="AD357" s="47">
        <f t="shared" si="111"/>
        <v>188</v>
      </c>
      <c r="AE357" s="47">
        <f t="shared" si="112"/>
        <v>0</v>
      </c>
      <c r="AG357" s="47">
        <f t="shared" si="113"/>
        <v>188</v>
      </c>
      <c r="AH357" s="47">
        <f t="shared" si="114"/>
        <v>188</v>
      </c>
      <c r="AI357" s="208">
        <f t="shared" si="115"/>
        <v>0</v>
      </c>
    </row>
    <row r="358" spans="1:35">
      <c r="A358" t="s">
        <v>2100</v>
      </c>
      <c r="B358" t="s">
        <v>3170</v>
      </c>
      <c r="C358" t="s">
        <v>3459</v>
      </c>
      <c r="D358" t="s">
        <v>3569</v>
      </c>
      <c r="F358" t="s">
        <v>305</v>
      </c>
      <c r="G358" s="126">
        <f>SUMIFS('Support - Transition'!F:F,'Support - Transition'!B:B,'Step 2'!A358,'Support - Transition'!C:C,'Step 2'!B358,'Support - Transition'!D:D,'Step 2'!C358,'Support - Transition'!E:E,"CIVIL")</f>
        <v>0</v>
      </c>
      <c r="H358" s="126">
        <f>SUMIFS('Support - Transition'!F:F,'Support - Transition'!B:B,'Step 2'!A358,'Support - Transition'!C:C,'Step 2'!B358,'Support - Transition'!D:D,'Step 2'!C358,'Support - Transition'!E:E,"FIRE")</f>
        <v>0</v>
      </c>
      <c r="I358" s="126">
        <f>IF(B358="0",SUMIFS('Support - Transition'!F:F,'Support - Transition'!J:J,'Step 2'!D358,'Support - Transition'!E:E,"STATE UNIT"),SUMIFS('Support - Transition'!F:F,'Support - Transition'!J:J,'Step 2'!D358))</f>
        <v>1.2697999999999987E-2</v>
      </c>
      <c r="J358" s="126">
        <f>SUMIFS('Support - Unit Adjustments'!E:E,'Support - Unit Adjustments'!F:F,'Step 2'!D358)</f>
        <v>0</v>
      </c>
      <c r="K358" s="126">
        <f t="shared" si="99"/>
        <v>1.2697999999999987E-2</v>
      </c>
      <c r="L358" s="174">
        <f>VLOOKUP(A358,'Step 1'!$A:$E,4,FALSE)</f>
        <v>21687</v>
      </c>
      <c r="M358" s="47">
        <f t="shared" si="100"/>
        <v>275</v>
      </c>
      <c r="N358" s="177">
        <f>SUMIFS('Support - Transition'!G:G,'Support - Transition'!J:J,'Step 2'!D358,'Support - Transition'!E:E,"2009 WELFARE ALLOCATION FACTOR")</f>
        <v>0</v>
      </c>
      <c r="O358" s="152">
        <f t="shared" si="105"/>
        <v>0</v>
      </c>
      <c r="P358" s="126">
        <f>IF(E358="Y",0,SUMIFS('Support - Transition'!G:G,'Support - Transition'!J:J,'Step 2'!D358,'Support - Transition'!E:E,"2009 SCHOOL ALLOCATION FACTOR"))</f>
        <v>0</v>
      </c>
      <c r="Q358" s="126">
        <f>IF(E358="Y",VLOOKUP(D358,'Support - Unit Adjustments'!F:G,2,FALSE),0)</f>
        <v>0</v>
      </c>
      <c r="R358" s="155">
        <f t="shared" si="117"/>
        <v>0</v>
      </c>
      <c r="S358" s="47">
        <f t="shared" si="116"/>
        <v>0</v>
      </c>
      <c r="T358" s="151">
        <f t="shared" si="101"/>
        <v>275</v>
      </c>
      <c r="U358" s="151">
        <f t="shared" si="102"/>
        <v>0</v>
      </c>
      <c r="V358" s="139">
        <f t="shared" si="103"/>
        <v>0</v>
      </c>
      <c r="W358" s="152">
        <f t="shared" si="106"/>
        <v>275</v>
      </c>
      <c r="X358" s="127" t="str">
        <f t="shared" si="104"/>
        <v/>
      </c>
      <c r="Y358" s="207">
        <f t="shared" si="107"/>
        <v>275</v>
      </c>
      <c r="Z358" s="139">
        <f t="shared" si="108"/>
        <v>275</v>
      </c>
      <c r="AA358" s="139">
        <f t="shared" si="109"/>
        <v>0</v>
      </c>
      <c r="AC358" s="47">
        <f t="shared" si="110"/>
        <v>138</v>
      </c>
      <c r="AD358" s="47">
        <f t="shared" si="111"/>
        <v>138</v>
      </c>
      <c r="AE358" s="47">
        <f t="shared" si="112"/>
        <v>0</v>
      </c>
      <c r="AG358" s="47">
        <f t="shared" si="113"/>
        <v>137</v>
      </c>
      <c r="AH358" s="47">
        <f t="shared" si="114"/>
        <v>137</v>
      </c>
      <c r="AI358" s="208">
        <f t="shared" si="115"/>
        <v>0</v>
      </c>
    </row>
    <row r="359" spans="1:35">
      <c r="A359" t="s">
        <v>2100</v>
      </c>
      <c r="B359" t="s">
        <v>3170</v>
      </c>
      <c r="C359" t="s">
        <v>2221</v>
      </c>
      <c r="D359" t="s">
        <v>3570</v>
      </c>
      <c r="F359" t="s">
        <v>3571</v>
      </c>
      <c r="G359" s="126">
        <f>SUMIFS('Support - Transition'!F:F,'Support - Transition'!B:B,'Step 2'!A359,'Support - Transition'!C:C,'Step 2'!B359,'Support - Transition'!D:D,'Step 2'!C359,'Support - Transition'!E:E,"CIVIL")</f>
        <v>0</v>
      </c>
      <c r="H359" s="126">
        <f>SUMIFS('Support - Transition'!F:F,'Support - Transition'!B:B,'Step 2'!A359,'Support - Transition'!C:C,'Step 2'!B359,'Support - Transition'!D:D,'Step 2'!C359,'Support - Transition'!E:E,"FIRE")</f>
        <v>0</v>
      </c>
      <c r="I359" s="126">
        <f>IF(B359="0",SUMIFS('Support - Transition'!F:F,'Support - Transition'!J:J,'Step 2'!D359,'Support - Transition'!E:E,"STATE UNIT"),SUMIFS('Support - Transition'!F:F,'Support - Transition'!J:J,'Step 2'!D359))</f>
        <v>0</v>
      </c>
      <c r="J359" s="126">
        <f>SUMIFS('Support - Unit Adjustments'!E:E,'Support - Unit Adjustments'!F:F,'Step 2'!D359)</f>
        <v>0</v>
      </c>
      <c r="K359" s="126">
        <f t="shared" si="99"/>
        <v>0</v>
      </c>
      <c r="L359" s="174">
        <f>VLOOKUP(A359,'Step 1'!$A:$E,4,FALSE)</f>
        <v>21687</v>
      </c>
      <c r="M359" s="47">
        <f t="shared" si="100"/>
        <v>0</v>
      </c>
      <c r="N359" s="177">
        <f>SUMIFS('Support - Transition'!G:G,'Support - Transition'!J:J,'Step 2'!D359,'Support - Transition'!E:E,"2009 WELFARE ALLOCATION FACTOR")</f>
        <v>0</v>
      </c>
      <c r="O359" s="152">
        <f t="shared" si="105"/>
        <v>0</v>
      </c>
      <c r="P359" s="126">
        <f>IF(E359="Y",0,SUMIFS('Support - Transition'!G:G,'Support - Transition'!J:J,'Step 2'!D359,'Support - Transition'!E:E,"2009 SCHOOL ALLOCATION FACTOR"))</f>
        <v>0</v>
      </c>
      <c r="Q359" s="126">
        <f>IF(E359="Y",VLOOKUP(D359,'Support - Unit Adjustments'!F:G,2,FALSE),0)</f>
        <v>0</v>
      </c>
      <c r="R359" s="155">
        <f t="shared" si="117"/>
        <v>0</v>
      </c>
      <c r="S359" s="47">
        <f t="shared" si="116"/>
        <v>0</v>
      </c>
      <c r="T359" s="151">
        <f t="shared" si="101"/>
        <v>0</v>
      </c>
      <c r="U359" s="151">
        <f t="shared" si="102"/>
        <v>0</v>
      </c>
      <c r="V359" s="139">
        <f t="shared" si="103"/>
        <v>0</v>
      </c>
      <c r="W359" s="152">
        <f t="shared" si="106"/>
        <v>0</v>
      </c>
      <c r="X359" s="127" t="str">
        <f t="shared" si="104"/>
        <v/>
      </c>
      <c r="Y359" s="207">
        <f t="shared" si="107"/>
        <v>0</v>
      </c>
      <c r="Z359" s="139">
        <f t="shared" si="108"/>
        <v>0</v>
      </c>
      <c r="AA359" s="139">
        <f t="shared" si="109"/>
        <v>0</v>
      </c>
      <c r="AC359" s="47">
        <f t="shared" si="110"/>
        <v>0</v>
      </c>
      <c r="AD359" s="47">
        <f t="shared" si="111"/>
        <v>0</v>
      </c>
      <c r="AE359" s="47">
        <f t="shared" si="112"/>
        <v>0</v>
      </c>
      <c r="AG359" s="47">
        <f t="shared" si="113"/>
        <v>0</v>
      </c>
      <c r="AH359" s="47">
        <f t="shared" si="114"/>
        <v>0</v>
      </c>
      <c r="AI359" s="208">
        <f t="shared" si="115"/>
        <v>0</v>
      </c>
    </row>
    <row r="360" spans="1:35">
      <c r="A360" t="s">
        <v>2100</v>
      </c>
      <c r="B360" t="s">
        <v>3170</v>
      </c>
      <c r="C360" t="s">
        <v>3572</v>
      </c>
      <c r="D360" t="s">
        <v>3573</v>
      </c>
      <c r="F360" t="s">
        <v>3574</v>
      </c>
      <c r="G360" s="126">
        <f>SUMIFS('Support - Transition'!F:F,'Support - Transition'!B:B,'Step 2'!A360,'Support - Transition'!C:C,'Step 2'!B360,'Support - Transition'!D:D,'Step 2'!C360,'Support - Transition'!E:E,"CIVIL")</f>
        <v>0</v>
      </c>
      <c r="H360" s="126">
        <f>SUMIFS('Support - Transition'!F:F,'Support - Transition'!B:B,'Step 2'!A360,'Support - Transition'!C:C,'Step 2'!B360,'Support - Transition'!D:D,'Step 2'!C360,'Support - Transition'!E:E,"FIRE")</f>
        <v>0</v>
      </c>
      <c r="I360" s="126">
        <f>IF(B360="0",SUMIFS('Support - Transition'!F:F,'Support - Transition'!J:J,'Step 2'!D360,'Support - Transition'!E:E,"STATE UNIT"),SUMIFS('Support - Transition'!F:F,'Support - Transition'!J:J,'Step 2'!D360))</f>
        <v>1.917E-2</v>
      </c>
      <c r="J360" s="126">
        <f>SUMIFS('Support - Unit Adjustments'!E:E,'Support - Unit Adjustments'!F:F,'Step 2'!D360)</f>
        <v>0</v>
      </c>
      <c r="K360" s="126">
        <f t="shared" si="99"/>
        <v>1.917E-2</v>
      </c>
      <c r="L360" s="174">
        <f>VLOOKUP(A360,'Step 1'!$A:$E,4,FALSE)</f>
        <v>21687</v>
      </c>
      <c r="M360" s="47">
        <f t="shared" si="100"/>
        <v>416</v>
      </c>
      <c r="N360" s="177">
        <f>SUMIFS('Support - Transition'!G:G,'Support - Transition'!J:J,'Step 2'!D360,'Support - Transition'!E:E,"2009 WELFARE ALLOCATION FACTOR")</f>
        <v>0</v>
      </c>
      <c r="O360" s="152">
        <f t="shared" si="105"/>
        <v>0</v>
      </c>
      <c r="P360" s="126">
        <f>IF(E360="Y",0,SUMIFS('Support - Transition'!G:G,'Support - Transition'!J:J,'Step 2'!D360,'Support - Transition'!E:E,"2009 SCHOOL ALLOCATION FACTOR"))</f>
        <v>0</v>
      </c>
      <c r="Q360" s="126">
        <f>IF(E360="Y",VLOOKUP(D360,'Support - Unit Adjustments'!F:G,2,FALSE),0)</f>
        <v>0</v>
      </c>
      <c r="R360" s="155">
        <f t="shared" si="117"/>
        <v>0</v>
      </c>
      <c r="S360" s="47">
        <f t="shared" si="116"/>
        <v>0</v>
      </c>
      <c r="T360" s="151">
        <f t="shared" si="101"/>
        <v>416</v>
      </c>
      <c r="U360" s="151">
        <f t="shared" si="102"/>
        <v>0</v>
      </c>
      <c r="V360" s="139">
        <f t="shared" si="103"/>
        <v>0</v>
      </c>
      <c r="W360" s="152">
        <f t="shared" si="106"/>
        <v>416</v>
      </c>
      <c r="X360" s="127" t="str">
        <f t="shared" si="104"/>
        <v/>
      </c>
      <c r="Y360" s="207">
        <f t="shared" si="107"/>
        <v>416</v>
      </c>
      <c r="Z360" s="139">
        <f t="shared" si="108"/>
        <v>416</v>
      </c>
      <c r="AA360" s="139">
        <f t="shared" si="109"/>
        <v>0</v>
      </c>
      <c r="AC360" s="47">
        <f t="shared" si="110"/>
        <v>208</v>
      </c>
      <c r="AD360" s="47">
        <f t="shared" si="111"/>
        <v>208</v>
      </c>
      <c r="AE360" s="47">
        <f t="shared" si="112"/>
        <v>0</v>
      </c>
      <c r="AG360" s="47">
        <f t="shared" si="113"/>
        <v>208</v>
      </c>
      <c r="AH360" s="47">
        <f t="shared" si="114"/>
        <v>208</v>
      </c>
      <c r="AI360" s="208">
        <f t="shared" si="115"/>
        <v>0</v>
      </c>
    </row>
    <row r="361" spans="1:35">
      <c r="A361" t="s">
        <v>2101</v>
      </c>
      <c r="B361" s="48" t="s">
        <v>6274</v>
      </c>
      <c r="C361" t="s">
        <v>2187</v>
      </c>
      <c r="D361" t="str">
        <f>A361&amp;B361&amp;C361</f>
        <v>1400000</v>
      </c>
      <c r="F361" t="s">
        <v>6288</v>
      </c>
      <c r="G361" s="126">
        <f>SUMIFS('Support - Transition'!F:F,'Support - Transition'!B:B,'Step 2'!A361,'Support - Transition'!C:C,'Step 2'!B361,'Support - Transition'!D:D,'Step 2'!C361,'Support - Transition'!E:E,"CIVIL")</f>
        <v>0</v>
      </c>
      <c r="H361" s="126">
        <f>SUMIFS('Support - Transition'!F:F,'Support - Transition'!B:B,'Step 2'!A361,'Support - Transition'!C:C,'Step 2'!B361,'Support - Transition'!D:D,'Step 2'!C361,'Support - Transition'!E:E,"FIRE")</f>
        <v>0</v>
      </c>
      <c r="I361" s="126">
        <f>IF(B361="0",SUMIFS('Support - Transition'!F:F,'Support - Transition'!J:J,'Step 2'!D361,'Support - Transition'!E:E,"STATE UNIT"),SUMIFS('Support - Transition'!F:F,'Support - Transition'!J:J,'Step 2'!D361))</f>
        <v>1.2359999999999999E-3</v>
      </c>
      <c r="J361" s="126">
        <f>SUMIFS('Support - Unit Adjustments'!E:E,'Support - Unit Adjustments'!F:F,'Step 2'!D361)</f>
        <v>0</v>
      </c>
      <c r="K361" s="126">
        <f t="shared" si="99"/>
        <v>1.2359999999999999E-3</v>
      </c>
      <c r="L361" s="174">
        <f>VLOOKUP(A361,'Step 1'!$A:$E,4,FALSE)</f>
        <v>476173</v>
      </c>
      <c r="M361" s="47">
        <f t="shared" si="100"/>
        <v>589</v>
      </c>
      <c r="N361" s="177">
        <f>SUMIFS('Support - Transition'!G:G,'Support - Transition'!J:J,'Step 2'!D361,'Support - Transition'!E:E,"2009 WELFARE ALLOCATION FACTOR")</f>
        <v>0</v>
      </c>
      <c r="O361" s="152">
        <f t="shared" si="105"/>
        <v>0</v>
      </c>
      <c r="P361" s="126">
        <f>IF(E361="Y",0,SUMIFS('Support - Transition'!G:G,'Support - Transition'!J:J,'Step 2'!D361,'Support - Transition'!E:E,"2009 SCHOOL ALLOCATION FACTOR"))</f>
        <v>0</v>
      </c>
      <c r="Q361" s="126">
        <f>IF(E361="Y",VLOOKUP(D361,'Support - Unit Adjustments'!F:G,2,FALSE),0)</f>
        <v>0</v>
      </c>
      <c r="R361" s="155">
        <f t="shared" si="117"/>
        <v>0</v>
      </c>
      <c r="S361" s="47">
        <f t="shared" si="116"/>
        <v>0</v>
      </c>
      <c r="T361" s="151">
        <f t="shared" si="101"/>
        <v>589</v>
      </c>
      <c r="U361" s="151">
        <f t="shared" si="102"/>
        <v>476174</v>
      </c>
      <c r="V361" s="139">
        <f t="shared" si="103"/>
        <v>1</v>
      </c>
      <c r="W361" s="152">
        <f t="shared" si="106"/>
        <v>588</v>
      </c>
      <c r="X361" s="127">
        <f t="shared" si="104"/>
        <v>0</v>
      </c>
      <c r="Y361" s="207">
        <f t="shared" si="107"/>
        <v>588</v>
      </c>
      <c r="Z361" s="139">
        <f t="shared" si="108"/>
        <v>588</v>
      </c>
      <c r="AA361" s="139">
        <f t="shared" si="109"/>
        <v>0</v>
      </c>
      <c r="AC361" s="47">
        <f t="shared" si="110"/>
        <v>294</v>
      </c>
      <c r="AD361" s="47">
        <f t="shared" si="111"/>
        <v>294</v>
      </c>
      <c r="AE361" s="47">
        <f t="shared" si="112"/>
        <v>0</v>
      </c>
      <c r="AG361" s="47">
        <f t="shared" si="113"/>
        <v>294</v>
      </c>
      <c r="AH361" s="47">
        <f t="shared" si="114"/>
        <v>294</v>
      </c>
      <c r="AI361" s="208">
        <f t="shared" si="115"/>
        <v>0</v>
      </c>
    </row>
    <row r="362" spans="1:35">
      <c r="A362" t="s">
        <v>2101</v>
      </c>
      <c r="B362" t="s">
        <v>3140</v>
      </c>
      <c r="C362" t="s">
        <v>2187</v>
      </c>
      <c r="D362" t="s">
        <v>3575</v>
      </c>
      <c r="F362" t="s">
        <v>307</v>
      </c>
      <c r="G362" s="126">
        <f>SUMIFS('Support - Transition'!F:F,'Support - Transition'!B:B,'Step 2'!A362,'Support - Transition'!C:C,'Step 2'!B362,'Support - Transition'!D:D,'Step 2'!C362,'Support - Transition'!E:E,"CIVIL")</f>
        <v>0</v>
      </c>
      <c r="H362" s="126">
        <f>SUMIFS('Support - Transition'!F:F,'Support - Transition'!B:B,'Step 2'!A362,'Support - Transition'!C:C,'Step 2'!B362,'Support - Transition'!D:D,'Step 2'!C362,'Support - Transition'!E:E,"FIRE")</f>
        <v>0</v>
      </c>
      <c r="I362" s="126">
        <f>IF(B362="0",SUMIFS('Support - Transition'!F:F,'Support - Transition'!J:J,'Step 2'!D362,'Support - Transition'!E:E,"STATE UNIT"),SUMIFS('Support - Transition'!F:F,'Support - Transition'!J:J,'Step 2'!D362))</f>
        <v>0.245833</v>
      </c>
      <c r="J362" s="126">
        <f>SUMIFS('Support - Unit Adjustments'!E:E,'Support - Unit Adjustments'!F:F,'Step 2'!D362)</f>
        <v>0</v>
      </c>
      <c r="K362" s="126">
        <f t="shared" si="99"/>
        <v>0.245833</v>
      </c>
      <c r="L362" s="174">
        <f>VLOOKUP(A362,'Step 1'!$A:$E,4,FALSE)</f>
        <v>476173</v>
      </c>
      <c r="M362" s="47">
        <f t="shared" si="100"/>
        <v>117059</v>
      </c>
      <c r="N362" s="177">
        <f>SUMIFS('Support - Transition'!G:G,'Support - Transition'!J:J,'Step 2'!D362,'Support - Transition'!E:E,"2009 WELFARE ALLOCATION FACTOR")</f>
        <v>0.11137900000000001</v>
      </c>
      <c r="O362" s="152">
        <f t="shared" si="105"/>
        <v>13038</v>
      </c>
      <c r="P362" s="126">
        <f>IF(E362="Y",0,SUMIFS('Support - Transition'!G:G,'Support - Transition'!J:J,'Step 2'!D362,'Support - Transition'!E:E,"2009 SCHOOL ALLOCATION FACTOR"))</f>
        <v>0</v>
      </c>
      <c r="Q362" s="126">
        <f>IF(E362="Y",VLOOKUP(D362,'Support - Unit Adjustments'!F:G,2,FALSE),0)</f>
        <v>0</v>
      </c>
      <c r="R362" s="155">
        <f t="shared" si="117"/>
        <v>0</v>
      </c>
      <c r="S362" s="47">
        <f t="shared" si="116"/>
        <v>0</v>
      </c>
      <c r="T362" s="151">
        <f t="shared" si="101"/>
        <v>104021</v>
      </c>
      <c r="U362" s="151">
        <f t="shared" si="102"/>
        <v>0</v>
      </c>
      <c r="V362" s="139">
        <f t="shared" si="103"/>
        <v>0</v>
      </c>
      <c r="W362" s="152">
        <f t="shared" si="106"/>
        <v>104021</v>
      </c>
      <c r="X362" s="127" t="str">
        <f t="shared" si="104"/>
        <v/>
      </c>
      <c r="Y362" s="207">
        <f t="shared" si="107"/>
        <v>104021</v>
      </c>
      <c r="Z362" s="139">
        <f t="shared" si="108"/>
        <v>104021</v>
      </c>
      <c r="AA362" s="139">
        <f t="shared" si="109"/>
        <v>0</v>
      </c>
      <c r="AC362" s="47">
        <f t="shared" si="110"/>
        <v>52011</v>
      </c>
      <c r="AD362" s="47">
        <f t="shared" si="111"/>
        <v>52011</v>
      </c>
      <c r="AE362" s="47">
        <f t="shared" si="112"/>
        <v>0</v>
      </c>
      <c r="AG362" s="47">
        <f t="shared" si="113"/>
        <v>52010</v>
      </c>
      <c r="AH362" s="47">
        <f t="shared" si="114"/>
        <v>52010</v>
      </c>
      <c r="AI362" s="208">
        <f t="shared" si="115"/>
        <v>0</v>
      </c>
    </row>
    <row r="363" spans="1:35">
      <c r="A363" t="s">
        <v>2101</v>
      </c>
      <c r="B363" t="s">
        <v>3142</v>
      </c>
      <c r="C363" t="s">
        <v>2188</v>
      </c>
      <c r="D363" t="s">
        <v>3576</v>
      </c>
      <c r="F363" t="s">
        <v>308</v>
      </c>
      <c r="G363" s="126">
        <f>SUMIFS('Support - Transition'!F:F,'Support - Transition'!B:B,'Step 2'!A363,'Support - Transition'!C:C,'Step 2'!B363,'Support - Transition'!D:D,'Step 2'!C363,'Support - Transition'!E:E,"CIVIL")</f>
        <v>1.0430000000000001E-3</v>
      </c>
      <c r="H363" s="126">
        <f>SUMIFS('Support - Transition'!F:F,'Support - Transition'!B:B,'Step 2'!A363,'Support - Transition'!C:C,'Step 2'!B363,'Support - Transition'!D:D,'Step 2'!C363,'Support - Transition'!E:E,"FIRE")</f>
        <v>9.19E-4</v>
      </c>
      <c r="I363" s="126">
        <f>IF(B363="0",SUMIFS('Support - Transition'!F:F,'Support - Transition'!J:J,'Step 2'!D363,'Support - Transition'!E:E,"STATE UNIT"),SUMIFS('Support - Transition'!F:F,'Support - Transition'!J:J,'Step 2'!D363))</f>
        <v>1.9620000000000002E-3</v>
      </c>
      <c r="J363" s="126">
        <f>SUMIFS('Support - Unit Adjustments'!E:E,'Support - Unit Adjustments'!F:F,'Step 2'!D363)</f>
        <v>0</v>
      </c>
      <c r="K363" s="126">
        <f t="shared" si="99"/>
        <v>1.9620000000000002E-3</v>
      </c>
      <c r="L363" s="174">
        <f>VLOOKUP(A363,'Step 1'!$A:$E,4,FALSE)</f>
        <v>476173</v>
      </c>
      <c r="M363" s="47">
        <f t="shared" si="100"/>
        <v>934</v>
      </c>
      <c r="N363" s="177">
        <f>SUMIFS('Support - Transition'!G:G,'Support - Transition'!J:J,'Step 2'!D363,'Support - Transition'!E:E,"2009 WELFARE ALLOCATION FACTOR")</f>
        <v>0</v>
      </c>
      <c r="O363" s="152">
        <f t="shared" si="105"/>
        <v>0</v>
      </c>
      <c r="P363" s="126">
        <f>IF(E363="Y",0,SUMIFS('Support - Transition'!G:G,'Support - Transition'!J:J,'Step 2'!D363,'Support - Transition'!E:E,"2009 SCHOOL ALLOCATION FACTOR"))</f>
        <v>0</v>
      </c>
      <c r="Q363" s="126">
        <f>IF(E363="Y",VLOOKUP(D363,'Support - Unit Adjustments'!F:G,2,FALSE),0)</f>
        <v>0</v>
      </c>
      <c r="R363" s="155">
        <f t="shared" si="117"/>
        <v>0</v>
      </c>
      <c r="S363" s="47">
        <f t="shared" si="116"/>
        <v>0</v>
      </c>
      <c r="T363" s="151">
        <f t="shared" si="101"/>
        <v>934</v>
      </c>
      <c r="U363" s="151">
        <f t="shared" si="102"/>
        <v>0</v>
      </c>
      <c r="V363" s="139">
        <f t="shared" si="103"/>
        <v>0</v>
      </c>
      <c r="W363" s="152">
        <f t="shared" si="106"/>
        <v>934</v>
      </c>
      <c r="X363" s="127" t="str">
        <f t="shared" si="104"/>
        <v/>
      </c>
      <c r="Y363" s="207">
        <f t="shared" si="107"/>
        <v>934</v>
      </c>
      <c r="Z363" s="139">
        <f t="shared" si="108"/>
        <v>497</v>
      </c>
      <c r="AA363" s="139">
        <f t="shared" si="109"/>
        <v>437</v>
      </c>
      <c r="AC363" s="47">
        <f t="shared" si="110"/>
        <v>467</v>
      </c>
      <c r="AD363" s="47">
        <f t="shared" si="111"/>
        <v>249</v>
      </c>
      <c r="AE363" s="47">
        <f t="shared" si="112"/>
        <v>219</v>
      </c>
      <c r="AG363" s="47">
        <f t="shared" si="113"/>
        <v>467</v>
      </c>
      <c r="AH363" s="47">
        <f t="shared" si="114"/>
        <v>248</v>
      </c>
      <c r="AI363" s="208">
        <f t="shared" si="115"/>
        <v>218</v>
      </c>
    </row>
    <row r="364" spans="1:35">
      <c r="A364" t="s">
        <v>2101</v>
      </c>
      <c r="B364" t="s">
        <v>3142</v>
      </c>
      <c r="C364" t="s">
        <v>2189</v>
      </c>
      <c r="D364" t="s">
        <v>3577</v>
      </c>
      <c r="F364" t="s">
        <v>309</v>
      </c>
      <c r="G364" s="126">
        <f>SUMIFS('Support - Transition'!F:F,'Support - Transition'!B:B,'Step 2'!A364,'Support - Transition'!C:C,'Step 2'!B364,'Support - Transition'!D:D,'Step 2'!C364,'Support - Transition'!E:E,"CIVIL")</f>
        <v>3.3500000000000001E-4</v>
      </c>
      <c r="H364" s="126">
        <f>SUMIFS('Support - Transition'!F:F,'Support - Transition'!B:B,'Step 2'!A364,'Support - Transition'!C:C,'Step 2'!B364,'Support - Transition'!D:D,'Step 2'!C364,'Support - Transition'!E:E,"FIRE")</f>
        <v>5.3999999999999998E-5</v>
      </c>
      <c r="I364" s="126">
        <f>IF(B364="0",SUMIFS('Support - Transition'!F:F,'Support - Transition'!J:J,'Step 2'!D364,'Support - Transition'!E:E,"STATE UNIT"),SUMIFS('Support - Transition'!F:F,'Support - Transition'!J:J,'Step 2'!D364))</f>
        <v>3.8900000000000002E-4</v>
      </c>
      <c r="J364" s="126">
        <f>SUMIFS('Support - Unit Adjustments'!E:E,'Support - Unit Adjustments'!F:F,'Step 2'!D364)</f>
        <v>0</v>
      </c>
      <c r="K364" s="126">
        <f t="shared" si="99"/>
        <v>3.8900000000000002E-4</v>
      </c>
      <c r="L364" s="174">
        <f>VLOOKUP(A364,'Step 1'!$A:$E,4,FALSE)</f>
        <v>476173</v>
      </c>
      <c r="M364" s="47">
        <f t="shared" si="100"/>
        <v>185</v>
      </c>
      <c r="N364" s="177">
        <f>SUMIFS('Support - Transition'!G:G,'Support - Transition'!J:J,'Step 2'!D364,'Support - Transition'!E:E,"2009 WELFARE ALLOCATION FACTOR")</f>
        <v>0</v>
      </c>
      <c r="O364" s="152">
        <f t="shared" si="105"/>
        <v>0</v>
      </c>
      <c r="P364" s="126">
        <f>IF(E364="Y",0,SUMIFS('Support - Transition'!G:G,'Support - Transition'!J:J,'Step 2'!D364,'Support - Transition'!E:E,"2009 SCHOOL ALLOCATION FACTOR"))</f>
        <v>0</v>
      </c>
      <c r="Q364" s="126">
        <f>IF(E364="Y",VLOOKUP(D364,'Support - Unit Adjustments'!F:G,2,FALSE),0)</f>
        <v>0</v>
      </c>
      <c r="R364" s="155">
        <f t="shared" si="117"/>
        <v>0</v>
      </c>
      <c r="S364" s="47">
        <f t="shared" si="116"/>
        <v>0</v>
      </c>
      <c r="T364" s="151">
        <f t="shared" si="101"/>
        <v>185</v>
      </c>
      <c r="U364" s="151">
        <f t="shared" si="102"/>
        <v>0</v>
      </c>
      <c r="V364" s="139">
        <f t="shared" si="103"/>
        <v>0</v>
      </c>
      <c r="W364" s="152">
        <f t="shared" si="106"/>
        <v>185</v>
      </c>
      <c r="X364" s="127" t="str">
        <f t="shared" si="104"/>
        <v/>
      </c>
      <c r="Y364" s="207">
        <f t="shared" si="107"/>
        <v>185</v>
      </c>
      <c r="Z364" s="139">
        <f t="shared" si="108"/>
        <v>159</v>
      </c>
      <c r="AA364" s="139">
        <f t="shared" si="109"/>
        <v>26</v>
      </c>
      <c r="AC364" s="47">
        <f t="shared" si="110"/>
        <v>93</v>
      </c>
      <c r="AD364" s="47">
        <f t="shared" si="111"/>
        <v>80</v>
      </c>
      <c r="AE364" s="47">
        <f t="shared" si="112"/>
        <v>13</v>
      </c>
      <c r="AG364" s="47">
        <f t="shared" si="113"/>
        <v>92</v>
      </c>
      <c r="AH364" s="47">
        <f t="shared" si="114"/>
        <v>79</v>
      </c>
      <c r="AI364" s="208">
        <f t="shared" si="115"/>
        <v>13</v>
      </c>
    </row>
    <row r="365" spans="1:35">
      <c r="A365" t="s">
        <v>2101</v>
      </c>
      <c r="B365" t="s">
        <v>3142</v>
      </c>
      <c r="C365" t="s">
        <v>2190</v>
      </c>
      <c r="D365" t="s">
        <v>3578</v>
      </c>
      <c r="F365" t="s">
        <v>310</v>
      </c>
      <c r="G365" s="126">
        <f>SUMIFS('Support - Transition'!F:F,'Support - Transition'!B:B,'Step 2'!A365,'Support - Transition'!C:C,'Step 2'!B365,'Support - Transition'!D:D,'Step 2'!C365,'Support - Transition'!E:E,"CIVIL")</f>
        <v>5.2400000000000005E-4</v>
      </c>
      <c r="H365" s="126">
        <f>SUMIFS('Support - Transition'!F:F,'Support - Transition'!B:B,'Step 2'!A365,'Support - Transition'!C:C,'Step 2'!B365,'Support - Transition'!D:D,'Step 2'!C365,'Support - Transition'!E:E,"FIRE")</f>
        <v>3.39E-4</v>
      </c>
      <c r="I365" s="126">
        <f>IF(B365="0",SUMIFS('Support - Transition'!F:F,'Support - Transition'!J:J,'Step 2'!D365,'Support - Transition'!E:E,"STATE UNIT"),SUMIFS('Support - Transition'!F:F,'Support - Transition'!J:J,'Step 2'!D365))</f>
        <v>8.6300000000000005E-4</v>
      </c>
      <c r="J365" s="126">
        <f>SUMIFS('Support - Unit Adjustments'!E:E,'Support - Unit Adjustments'!F:F,'Step 2'!D365)</f>
        <v>0</v>
      </c>
      <c r="K365" s="126">
        <f t="shared" si="99"/>
        <v>8.6300000000000005E-4</v>
      </c>
      <c r="L365" s="174">
        <f>VLOOKUP(A365,'Step 1'!$A:$E,4,FALSE)</f>
        <v>476173</v>
      </c>
      <c r="M365" s="47">
        <f t="shared" si="100"/>
        <v>411</v>
      </c>
      <c r="N365" s="177">
        <f>SUMIFS('Support - Transition'!G:G,'Support - Transition'!J:J,'Step 2'!D365,'Support - Transition'!E:E,"2009 WELFARE ALLOCATION FACTOR")</f>
        <v>0</v>
      </c>
      <c r="O365" s="152">
        <f t="shared" si="105"/>
        <v>0</v>
      </c>
      <c r="P365" s="126">
        <f>IF(E365="Y",0,SUMIFS('Support - Transition'!G:G,'Support - Transition'!J:J,'Step 2'!D365,'Support - Transition'!E:E,"2009 SCHOOL ALLOCATION FACTOR"))</f>
        <v>0</v>
      </c>
      <c r="Q365" s="126">
        <f>IF(E365="Y",VLOOKUP(D365,'Support - Unit Adjustments'!F:G,2,FALSE),0)</f>
        <v>0</v>
      </c>
      <c r="R365" s="155">
        <f t="shared" si="117"/>
        <v>0</v>
      </c>
      <c r="S365" s="47">
        <f t="shared" si="116"/>
        <v>0</v>
      </c>
      <c r="T365" s="151">
        <f t="shared" si="101"/>
        <v>411</v>
      </c>
      <c r="U365" s="151">
        <f t="shared" si="102"/>
        <v>0</v>
      </c>
      <c r="V365" s="139">
        <f t="shared" si="103"/>
        <v>0</v>
      </c>
      <c r="W365" s="152">
        <f t="shared" si="106"/>
        <v>411</v>
      </c>
      <c r="X365" s="127" t="str">
        <f t="shared" si="104"/>
        <v/>
      </c>
      <c r="Y365" s="207">
        <f t="shared" si="107"/>
        <v>411</v>
      </c>
      <c r="Z365" s="139">
        <f t="shared" si="108"/>
        <v>250</v>
      </c>
      <c r="AA365" s="139">
        <f t="shared" si="109"/>
        <v>161</v>
      </c>
      <c r="AC365" s="47">
        <f t="shared" si="110"/>
        <v>206</v>
      </c>
      <c r="AD365" s="47">
        <f t="shared" si="111"/>
        <v>125</v>
      </c>
      <c r="AE365" s="47">
        <f t="shared" si="112"/>
        <v>81</v>
      </c>
      <c r="AG365" s="47">
        <f t="shared" si="113"/>
        <v>205</v>
      </c>
      <c r="AH365" s="47">
        <f t="shared" si="114"/>
        <v>125</v>
      </c>
      <c r="AI365" s="208">
        <f t="shared" si="115"/>
        <v>80</v>
      </c>
    </row>
    <row r="366" spans="1:35">
      <c r="A366" t="s">
        <v>2101</v>
      </c>
      <c r="B366" t="s">
        <v>3142</v>
      </c>
      <c r="C366" t="s">
        <v>2191</v>
      </c>
      <c r="D366" t="s">
        <v>3579</v>
      </c>
      <c r="F366" t="s">
        <v>86</v>
      </c>
      <c r="G366" s="126">
        <f>SUMIFS('Support - Transition'!F:F,'Support - Transition'!B:B,'Step 2'!A366,'Support - Transition'!C:C,'Step 2'!B366,'Support - Transition'!D:D,'Step 2'!C366,'Support - Transition'!E:E,"CIVIL")</f>
        <v>1.36E-4</v>
      </c>
      <c r="H366" s="126">
        <f>SUMIFS('Support - Transition'!F:F,'Support - Transition'!B:B,'Step 2'!A366,'Support - Transition'!C:C,'Step 2'!B366,'Support - Transition'!D:D,'Step 2'!C366,'Support - Transition'!E:E,"FIRE")</f>
        <v>0</v>
      </c>
      <c r="I366" s="126">
        <f>IF(B366="0",SUMIFS('Support - Transition'!F:F,'Support - Transition'!J:J,'Step 2'!D366,'Support - Transition'!E:E,"STATE UNIT"),SUMIFS('Support - Transition'!F:F,'Support - Transition'!J:J,'Step 2'!D366))</f>
        <v>1.36E-4</v>
      </c>
      <c r="J366" s="126">
        <f>SUMIFS('Support - Unit Adjustments'!E:E,'Support - Unit Adjustments'!F:F,'Step 2'!D366)</f>
        <v>0</v>
      </c>
      <c r="K366" s="126">
        <f t="shared" si="99"/>
        <v>1.36E-4</v>
      </c>
      <c r="L366" s="174">
        <f>VLOOKUP(A366,'Step 1'!$A:$E,4,FALSE)</f>
        <v>476173</v>
      </c>
      <c r="M366" s="47">
        <f t="shared" si="100"/>
        <v>65</v>
      </c>
      <c r="N366" s="177">
        <f>SUMIFS('Support - Transition'!G:G,'Support - Transition'!J:J,'Step 2'!D366,'Support - Transition'!E:E,"2009 WELFARE ALLOCATION FACTOR")</f>
        <v>0</v>
      </c>
      <c r="O366" s="152">
        <f t="shared" si="105"/>
        <v>0</v>
      </c>
      <c r="P366" s="126">
        <f>IF(E366="Y",0,SUMIFS('Support - Transition'!G:G,'Support - Transition'!J:J,'Step 2'!D366,'Support - Transition'!E:E,"2009 SCHOOL ALLOCATION FACTOR"))</f>
        <v>0</v>
      </c>
      <c r="Q366" s="126">
        <f>IF(E366="Y",VLOOKUP(D366,'Support - Unit Adjustments'!F:G,2,FALSE),0)</f>
        <v>0</v>
      </c>
      <c r="R366" s="155">
        <f t="shared" si="117"/>
        <v>0</v>
      </c>
      <c r="S366" s="47">
        <f t="shared" si="116"/>
        <v>0</v>
      </c>
      <c r="T366" s="151">
        <f t="shared" si="101"/>
        <v>65</v>
      </c>
      <c r="U366" s="151">
        <f t="shared" si="102"/>
        <v>0</v>
      </c>
      <c r="V366" s="139">
        <f t="shared" si="103"/>
        <v>0</v>
      </c>
      <c r="W366" s="152">
        <f t="shared" si="106"/>
        <v>65</v>
      </c>
      <c r="X366" s="127" t="str">
        <f t="shared" si="104"/>
        <v/>
      </c>
      <c r="Y366" s="207">
        <f t="shared" si="107"/>
        <v>65</v>
      </c>
      <c r="Z366" s="139">
        <f t="shared" si="108"/>
        <v>65</v>
      </c>
      <c r="AA366" s="139">
        <f t="shared" si="109"/>
        <v>0</v>
      </c>
      <c r="AC366" s="47">
        <f t="shared" si="110"/>
        <v>33</v>
      </c>
      <c r="AD366" s="47">
        <f t="shared" si="111"/>
        <v>33</v>
      </c>
      <c r="AE366" s="47">
        <f t="shared" si="112"/>
        <v>0</v>
      </c>
      <c r="AG366" s="47">
        <f t="shared" si="113"/>
        <v>32</v>
      </c>
      <c r="AH366" s="47">
        <f t="shared" si="114"/>
        <v>32</v>
      </c>
      <c r="AI366" s="208">
        <f t="shared" si="115"/>
        <v>0</v>
      </c>
    </row>
    <row r="367" spans="1:35">
      <c r="A367" t="s">
        <v>2101</v>
      </c>
      <c r="B367" t="s">
        <v>3142</v>
      </c>
      <c r="C367" t="s">
        <v>2192</v>
      </c>
      <c r="D367" t="s">
        <v>3580</v>
      </c>
      <c r="F367" t="s">
        <v>52</v>
      </c>
      <c r="G367" s="126">
        <f>SUMIFS('Support - Transition'!F:F,'Support - Transition'!B:B,'Step 2'!A367,'Support - Transition'!C:C,'Step 2'!B367,'Support - Transition'!D:D,'Step 2'!C367,'Support - Transition'!E:E,"CIVIL")</f>
        <v>2.8499999999999999E-4</v>
      </c>
      <c r="H367" s="126">
        <f>SUMIFS('Support - Transition'!F:F,'Support - Transition'!B:B,'Step 2'!A367,'Support - Transition'!C:C,'Step 2'!B367,'Support - Transition'!D:D,'Step 2'!C367,'Support - Transition'!E:E,"FIRE")</f>
        <v>2.3900000000000001E-4</v>
      </c>
      <c r="I367" s="126">
        <f>IF(B367="0",SUMIFS('Support - Transition'!F:F,'Support - Transition'!J:J,'Step 2'!D367,'Support - Transition'!E:E,"STATE UNIT"),SUMIFS('Support - Transition'!F:F,'Support - Transition'!J:J,'Step 2'!D367))</f>
        <v>5.2399999999999994E-4</v>
      </c>
      <c r="J367" s="126">
        <f>SUMIFS('Support - Unit Adjustments'!E:E,'Support - Unit Adjustments'!F:F,'Step 2'!D367)</f>
        <v>0</v>
      </c>
      <c r="K367" s="126">
        <f t="shared" si="99"/>
        <v>5.2399999999999994E-4</v>
      </c>
      <c r="L367" s="174">
        <f>VLOOKUP(A367,'Step 1'!$A:$E,4,FALSE)</f>
        <v>476173</v>
      </c>
      <c r="M367" s="47">
        <f t="shared" si="100"/>
        <v>250</v>
      </c>
      <c r="N367" s="177">
        <f>SUMIFS('Support - Transition'!G:G,'Support - Transition'!J:J,'Step 2'!D367,'Support - Transition'!E:E,"2009 WELFARE ALLOCATION FACTOR")</f>
        <v>0</v>
      </c>
      <c r="O367" s="152">
        <f t="shared" si="105"/>
        <v>0</v>
      </c>
      <c r="P367" s="126">
        <f>IF(E367="Y",0,SUMIFS('Support - Transition'!G:G,'Support - Transition'!J:J,'Step 2'!D367,'Support - Transition'!E:E,"2009 SCHOOL ALLOCATION FACTOR"))</f>
        <v>0</v>
      </c>
      <c r="Q367" s="126">
        <f>IF(E367="Y",VLOOKUP(D367,'Support - Unit Adjustments'!F:G,2,FALSE),0)</f>
        <v>0</v>
      </c>
      <c r="R367" s="155">
        <f t="shared" si="117"/>
        <v>0</v>
      </c>
      <c r="S367" s="47">
        <f t="shared" si="116"/>
        <v>0</v>
      </c>
      <c r="T367" s="151">
        <f t="shared" si="101"/>
        <v>250</v>
      </c>
      <c r="U367" s="151">
        <f t="shared" si="102"/>
        <v>0</v>
      </c>
      <c r="V367" s="139">
        <f t="shared" si="103"/>
        <v>0</v>
      </c>
      <c r="W367" s="152">
        <f t="shared" si="106"/>
        <v>250</v>
      </c>
      <c r="X367" s="127" t="str">
        <f t="shared" si="104"/>
        <v/>
      </c>
      <c r="Y367" s="207">
        <f t="shared" si="107"/>
        <v>250</v>
      </c>
      <c r="Z367" s="139">
        <f t="shared" si="108"/>
        <v>136</v>
      </c>
      <c r="AA367" s="139">
        <f t="shared" si="109"/>
        <v>114</v>
      </c>
      <c r="AC367" s="47">
        <f t="shared" si="110"/>
        <v>125</v>
      </c>
      <c r="AD367" s="47">
        <f t="shared" si="111"/>
        <v>68</v>
      </c>
      <c r="AE367" s="47">
        <f t="shared" si="112"/>
        <v>57</v>
      </c>
      <c r="AG367" s="47">
        <f t="shared" si="113"/>
        <v>125</v>
      </c>
      <c r="AH367" s="47">
        <f t="shared" si="114"/>
        <v>68</v>
      </c>
      <c r="AI367" s="208">
        <f t="shared" si="115"/>
        <v>57</v>
      </c>
    </row>
    <row r="368" spans="1:35">
      <c r="A368" t="s">
        <v>2101</v>
      </c>
      <c r="B368" t="s">
        <v>3142</v>
      </c>
      <c r="C368" t="s">
        <v>2193</v>
      </c>
      <c r="D368" t="s">
        <v>3581</v>
      </c>
      <c r="F368" t="s">
        <v>311</v>
      </c>
      <c r="G368" s="126">
        <f>SUMIFS('Support - Transition'!F:F,'Support - Transition'!B:B,'Step 2'!A368,'Support - Transition'!C:C,'Step 2'!B368,'Support - Transition'!D:D,'Step 2'!C368,'Support - Transition'!E:E,"CIVIL")</f>
        <v>3.8699999999999997E-4</v>
      </c>
      <c r="H368" s="126">
        <f>SUMIFS('Support - Transition'!F:F,'Support - Transition'!B:B,'Step 2'!A368,'Support - Transition'!C:C,'Step 2'!B368,'Support - Transition'!D:D,'Step 2'!C368,'Support - Transition'!E:E,"FIRE")</f>
        <v>0</v>
      </c>
      <c r="I368" s="126">
        <f>IF(B368="0",SUMIFS('Support - Transition'!F:F,'Support - Transition'!J:J,'Step 2'!D368,'Support - Transition'!E:E,"STATE UNIT"),SUMIFS('Support - Transition'!F:F,'Support - Transition'!J:J,'Step 2'!D368))</f>
        <v>3.8699999999999997E-4</v>
      </c>
      <c r="J368" s="126">
        <f>SUMIFS('Support - Unit Adjustments'!E:E,'Support - Unit Adjustments'!F:F,'Step 2'!D368)</f>
        <v>0</v>
      </c>
      <c r="K368" s="126">
        <f t="shared" si="99"/>
        <v>3.8699999999999997E-4</v>
      </c>
      <c r="L368" s="174">
        <f>VLOOKUP(A368,'Step 1'!$A:$E,4,FALSE)</f>
        <v>476173</v>
      </c>
      <c r="M368" s="47">
        <f t="shared" si="100"/>
        <v>184</v>
      </c>
      <c r="N368" s="177">
        <f>SUMIFS('Support - Transition'!G:G,'Support - Transition'!J:J,'Step 2'!D368,'Support - Transition'!E:E,"2009 WELFARE ALLOCATION FACTOR")</f>
        <v>0</v>
      </c>
      <c r="O368" s="152">
        <f t="shared" si="105"/>
        <v>0</v>
      </c>
      <c r="P368" s="126">
        <f>IF(E368="Y",0,SUMIFS('Support - Transition'!G:G,'Support - Transition'!J:J,'Step 2'!D368,'Support - Transition'!E:E,"2009 SCHOOL ALLOCATION FACTOR"))</f>
        <v>0</v>
      </c>
      <c r="Q368" s="126">
        <f>IF(E368="Y",VLOOKUP(D368,'Support - Unit Adjustments'!F:G,2,FALSE),0)</f>
        <v>0</v>
      </c>
      <c r="R368" s="155">
        <f t="shared" si="117"/>
        <v>0</v>
      </c>
      <c r="S368" s="47">
        <f t="shared" si="116"/>
        <v>0</v>
      </c>
      <c r="T368" s="151">
        <f t="shared" si="101"/>
        <v>184</v>
      </c>
      <c r="U368" s="151">
        <f t="shared" si="102"/>
        <v>0</v>
      </c>
      <c r="V368" s="139">
        <f t="shared" si="103"/>
        <v>0</v>
      </c>
      <c r="W368" s="152">
        <f t="shared" si="106"/>
        <v>184</v>
      </c>
      <c r="X368" s="127" t="str">
        <f t="shared" si="104"/>
        <v/>
      </c>
      <c r="Y368" s="207">
        <f t="shared" si="107"/>
        <v>184</v>
      </c>
      <c r="Z368" s="139">
        <f t="shared" si="108"/>
        <v>184</v>
      </c>
      <c r="AA368" s="139">
        <f t="shared" si="109"/>
        <v>0</v>
      </c>
      <c r="AC368" s="47">
        <f t="shared" si="110"/>
        <v>92</v>
      </c>
      <c r="AD368" s="47">
        <f t="shared" si="111"/>
        <v>92</v>
      </c>
      <c r="AE368" s="47">
        <f t="shared" si="112"/>
        <v>0</v>
      </c>
      <c r="AG368" s="47">
        <f t="shared" si="113"/>
        <v>92</v>
      </c>
      <c r="AH368" s="47">
        <f t="shared" si="114"/>
        <v>92</v>
      </c>
      <c r="AI368" s="208">
        <f t="shared" si="115"/>
        <v>0</v>
      </c>
    </row>
    <row r="369" spans="1:35">
      <c r="A369" t="s">
        <v>2101</v>
      </c>
      <c r="B369" t="s">
        <v>3142</v>
      </c>
      <c r="C369" t="s">
        <v>2194</v>
      </c>
      <c r="D369" t="s">
        <v>3582</v>
      </c>
      <c r="F369" t="s">
        <v>312</v>
      </c>
      <c r="G369" s="126">
        <f>SUMIFS('Support - Transition'!F:F,'Support - Transition'!B:B,'Step 2'!A369,'Support - Transition'!C:C,'Step 2'!B369,'Support - Transition'!D:D,'Step 2'!C369,'Support - Transition'!E:E,"CIVIL")</f>
        <v>1.3990000000000001E-3</v>
      </c>
      <c r="H369" s="126">
        <f>SUMIFS('Support - Transition'!F:F,'Support - Transition'!B:B,'Step 2'!A369,'Support - Transition'!C:C,'Step 2'!B369,'Support - Transition'!D:D,'Step 2'!C369,'Support - Transition'!E:E,"FIRE")</f>
        <v>1.9100000000000001E-4</v>
      </c>
      <c r="I369" s="126">
        <f>IF(B369="0",SUMIFS('Support - Transition'!F:F,'Support - Transition'!J:J,'Step 2'!D369,'Support - Transition'!E:E,"STATE UNIT"),SUMIFS('Support - Transition'!F:F,'Support - Transition'!J:J,'Step 2'!D369))</f>
        <v>1.5900000000000001E-3</v>
      </c>
      <c r="J369" s="126">
        <f>SUMIFS('Support - Unit Adjustments'!E:E,'Support - Unit Adjustments'!F:F,'Step 2'!D369)</f>
        <v>0</v>
      </c>
      <c r="K369" s="126">
        <f t="shared" si="99"/>
        <v>1.5900000000000001E-3</v>
      </c>
      <c r="L369" s="174">
        <f>VLOOKUP(A369,'Step 1'!$A:$E,4,FALSE)</f>
        <v>476173</v>
      </c>
      <c r="M369" s="47">
        <f t="shared" si="100"/>
        <v>757</v>
      </c>
      <c r="N369" s="177">
        <f>SUMIFS('Support - Transition'!G:G,'Support - Transition'!J:J,'Step 2'!D369,'Support - Transition'!E:E,"2009 WELFARE ALLOCATION FACTOR")</f>
        <v>0</v>
      </c>
      <c r="O369" s="152">
        <f t="shared" si="105"/>
        <v>0</v>
      </c>
      <c r="P369" s="126">
        <f>IF(E369="Y",0,SUMIFS('Support - Transition'!G:G,'Support - Transition'!J:J,'Step 2'!D369,'Support - Transition'!E:E,"2009 SCHOOL ALLOCATION FACTOR"))</f>
        <v>0</v>
      </c>
      <c r="Q369" s="126">
        <f>IF(E369="Y",VLOOKUP(D369,'Support - Unit Adjustments'!F:G,2,FALSE),0)</f>
        <v>0</v>
      </c>
      <c r="R369" s="155">
        <f t="shared" si="117"/>
        <v>0</v>
      </c>
      <c r="S369" s="47">
        <f t="shared" si="116"/>
        <v>0</v>
      </c>
      <c r="T369" s="151">
        <f t="shared" si="101"/>
        <v>757</v>
      </c>
      <c r="U369" s="151">
        <f t="shared" si="102"/>
        <v>0</v>
      </c>
      <c r="V369" s="139">
        <f t="shared" si="103"/>
        <v>0</v>
      </c>
      <c r="W369" s="152">
        <f t="shared" si="106"/>
        <v>757</v>
      </c>
      <c r="X369" s="127" t="str">
        <f t="shared" si="104"/>
        <v/>
      </c>
      <c r="Y369" s="207">
        <f t="shared" si="107"/>
        <v>757</v>
      </c>
      <c r="Z369" s="139">
        <f t="shared" si="108"/>
        <v>666</v>
      </c>
      <c r="AA369" s="139">
        <f t="shared" si="109"/>
        <v>91</v>
      </c>
      <c r="AC369" s="47">
        <f t="shared" si="110"/>
        <v>379</v>
      </c>
      <c r="AD369" s="47">
        <f t="shared" si="111"/>
        <v>333</v>
      </c>
      <c r="AE369" s="47">
        <f t="shared" si="112"/>
        <v>46</v>
      </c>
      <c r="AG369" s="47">
        <f t="shared" si="113"/>
        <v>378</v>
      </c>
      <c r="AH369" s="47">
        <f t="shared" si="114"/>
        <v>333</v>
      </c>
      <c r="AI369" s="208">
        <f t="shared" si="115"/>
        <v>45</v>
      </c>
    </row>
    <row r="370" spans="1:35">
      <c r="A370" t="s">
        <v>2101</v>
      </c>
      <c r="B370" t="s">
        <v>3142</v>
      </c>
      <c r="C370" t="s">
        <v>2195</v>
      </c>
      <c r="D370" t="s">
        <v>3583</v>
      </c>
      <c r="F370" t="s">
        <v>169</v>
      </c>
      <c r="G370" s="126">
        <f>SUMIFS('Support - Transition'!F:F,'Support - Transition'!B:B,'Step 2'!A370,'Support - Transition'!C:C,'Step 2'!B370,'Support - Transition'!D:D,'Step 2'!C370,'Support - Transition'!E:E,"CIVIL")</f>
        <v>7.18E-4</v>
      </c>
      <c r="H370" s="126">
        <f>SUMIFS('Support - Transition'!F:F,'Support - Transition'!B:B,'Step 2'!A370,'Support - Transition'!C:C,'Step 2'!B370,'Support - Transition'!D:D,'Step 2'!C370,'Support - Transition'!E:E,"FIRE")</f>
        <v>1.8200000000000001E-4</v>
      </c>
      <c r="I370" s="126">
        <f>IF(B370="0",SUMIFS('Support - Transition'!F:F,'Support - Transition'!J:J,'Step 2'!D370,'Support - Transition'!E:E,"STATE UNIT"),SUMIFS('Support - Transition'!F:F,'Support - Transition'!J:J,'Step 2'!D370))</f>
        <v>8.9999999999999998E-4</v>
      </c>
      <c r="J370" s="126">
        <f>SUMIFS('Support - Unit Adjustments'!E:E,'Support - Unit Adjustments'!F:F,'Step 2'!D370)</f>
        <v>0</v>
      </c>
      <c r="K370" s="126">
        <f t="shared" si="99"/>
        <v>8.9999999999999998E-4</v>
      </c>
      <c r="L370" s="174">
        <f>VLOOKUP(A370,'Step 1'!$A:$E,4,FALSE)</f>
        <v>476173</v>
      </c>
      <c r="M370" s="47">
        <f t="shared" si="100"/>
        <v>429</v>
      </c>
      <c r="N370" s="177">
        <f>SUMIFS('Support - Transition'!G:G,'Support - Transition'!J:J,'Step 2'!D370,'Support - Transition'!E:E,"2009 WELFARE ALLOCATION FACTOR")</f>
        <v>0</v>
      </c>
      <c r="O370" s="152">
        <f t="shared" si="105"/>
        <v>0</v>
      </c>
      <c r="P370" s="126">
        <f>IF(E370="Y",0,SUMIFS('Support - Transition'!G:G,'Support - Transition'!J:J,'Step 2'!D370,'Support - Transition'!E:E,"2009 SCHOOL ALLOCATION FACTOR"))</f>
        <v>0</v>
      </c>
      <c r="Q370" s="126">
        <f>IF(E370="Y",VLOOKUP(D370,'Support - Unit Adjustments'!F:G,2,FALSE),0)</f>
        <v>0</v>
      </c>
      <c r="R370" s="155">
        <f t="shared" si="117"/>
        <v>0</v>
      </c>
      <c r="S370" s="47">
        <f t="shared" si="116"/>
        <v>0</v>
      </c>
      <c r="T370" s="151">
        <f t="shared" si="101"/>
        <v>429</v>
      </c>
      <c r="U370" s="151">
        <f t="shared" si="102"/>
        <v>0</v>
      </c>
      <c r="V370" s="139">
        <f t="shared" si="103"/>
        <v>0</v>
      </c>
      <c r="W370" s="152">
        <f t="shared" si="106"/>
        <v>429</v>
      </c>
      <c r="X370" s="127" t="str">
        <f t="shared" si="104"/>
        <v/>
      </c>
      <c r="Y370" s="207">
        <f t="shared" si="107"/>
        <v>429</v>
      </c>
      <c r="Z370" s="139">
        <f t="shared" si="108"/>
        <v>342</v>
      </c>
      <c r="AA370" s="139">
        <f t="shared" si="109"/>
        <v>87</v>
      </c>
      <c r="AC370" s="47">
        <f t="shared" si="110"/>
        <v>215</v>
      </c>
      <c r="AD370" s="47">
        <f t="shared" si="111"/>
        <v>171</v>
      </c>
      <c r="AE370" s="47">
        <f t="shared" si="112"/>
        <v>44</v>
      </c>
      <c r="AG370" s="47">
        <f t="shared" si="113"/>
        <v>214</v>
      </c>
      <c r="AH370" s="47">
        <f t="shared" si="114"/>
        <v>171</v>
      </c>
      <c r="AI370" s="208">
        <f t="shared" si="115"/>
        <v>43</v>
      </c>
    </row>
    <row r="371" spans="1:35">
      <c r="A371" t="s">
        <v>2101</v>
      </c>
      <c r="B371" t="s">
        <v>3142</v>
      </c>
      <c r="C371" t="s">
        <v>2196</v>
      </c>
      <c r="D371" t="s">
        <v>3584</v>
      </c>
      <c r="F371" t="s">
        <v>313</v>
      </c>
      <c r="G371" s="126">
        <f>SUMIFS('Support - Transition'!F:F,'Support - Transition'!B:B,'Step 2'!A371,'Support - Transition'!C:C,'Step 2'!B371,'Support - Transition'!D:D,'Step 2'!C371,'Support - Transition'!E:E,"CIVIL")</f>
        <v>2.14E-4</v>
      </c>
      <c r="H371" s="126">
        <f>SUMIFS('Support - Transition'!F:F,'Support - Transition'!B:B,'Step 2'!A371,'Support - Transition'!C:C,'Step 2'!B371,'Support - Transition'!D:D,'Step 2'!C371,'Support - Transition'!E:E,"FIRE")</f>
        <v>0</v>
      </c>
      <c r="I371" s="126">
        <f>IF(B371="0",SUMIFS('Support - Transition'!F:F,'Support - Transition'!J:J,'Step 2'!D371,'Support - Transition'!E:E,"STATE UNIT"),SUMIFS('Support - Transition'!F:F,'Support - Transition'!J:J,'Step 2'!D371))</f>
        <v>2.14E-4</v>
      </c>
      <c r="J371" s="126">
        <f>SUMIFS('Support - Unit Adjustments'!E:E,'Support - Unit Adjustments'!F:F,'Step 2'!D371)</f>
        <v>0</v>
      </c>
      <c r="K371" s="126">
        <f t="shared" si="99"/>
        <v>2.14E-4</v>
      </c>
      <c r="L371" s="174">
        <f>VLOOKUP(A371,'Step 1'!$A:$E,4,FALSE)</f>
        <v>476173</v>
      </c>
      <c r="M371" s="47">
        <f t="shared" si="100"/>
        <v>102</v>
      </c>
      <c r="N371" s="177">
        <f>SUMIFS('Support - Transition'!G:G,'Support - Transition'!J:J,'Step 2'!D371,'Support - Transition'!E:E,"2009 WELFARE ALLOCATION FACTOR")</f>
        <v>0</v>
      </c>
      <c r="O371" s="152">
        <f t="shared" si="105"/>
        <v>0</v>
      </c>
      <c r="P371" s="126">
        <f>IF(E371="Y",0,SUMIFS('Support - Transition'!G:G,'Support - Transition'!J:J,'Step 2'!D371,'Support - Transition'!E:E,"2009 SCHOOL ALLOCATION FACTOR"))</f>
        <v>0</v>
      </c>
      <c r="Q371" s="126">
        <f>IF(E371="Y",VLOOKUP(D371,'Support - Unit Adjustments'!F:G,2,FALSE),0)</f>
        <v>0</v>
      </c>
      <c r="R371" s="155">
        <f t="shared" si="117"/>
        <v>0</v>
      </c>
      <c r="S371" s="47">
        <f t="shared" si="116"/>
        <v>0</v>
      </c>
      <c r="T371" s="151">
        <f t="shared" si="101"/>
        <v>102</v>
      </c>
      <c r="U371" s="151">
        <f t="shared" si="102"/>
        <v>0</v>
      </c>
      <c r="V371" s="139">
        <f t="shared" si="103"/>
        <v>0</v>
      </c>
      <c r="W371" s="152">
        <f t="shared" si="106"/>
        <v>102</v>
      </c>
      <c r="X371" s="127" t="str">
        <f t="shared" si="104"/>
        <v/>
      </c>
      <c r="Y371" s="207">
        <f t="shared" si="107"/>
        <v>102</v>
      </c>
      <c r="Z371" s="139">
        <f t="shared" si="108"/>
        <v>102</v>
      </c>
      <c r="AA371" s="139">
        <f t="shared" si="109"/>
        <v>0</v>
      </c>
      <c r="AC371" s="47">
        <f t="shared" si="110"/>
        <v>51</v>
      </c>
      <c r="AD371" s="47">
        <f t="shared" si="111"/>
        <v>51</v>
      </c>
      <c r="AE371" s="47">
        <f t="shared" si="112"/>
        <v>0</v>
      </c>
      <c r="AG371" s="47">
        <f t="shared" si="113"/>
        <v>51</v>
      </c>
      <c r="AH371" s="47">
        <f t="shared" si="114"/>
        <v>51</v>
      </c>
      <c r="AI371" s="208">
        <f t="shared" si="115"/>
        <v>0</v>
      </c>
    </row>
    <row r="372" spans="1:35">
      <c r="A372" t="s">
        <v>2101</v>
      </c>
      <c r="B372" t="s">
        <v>3142</v>
      </c>
      <c r="C372" t="s">
        <v>2197</v>
      </c>
      <c r="D372" t="s">
        <v>3585</v>
      </c>
      <c r="F372" t="s">
        <v>22</v>
      </c>
      <c r="G372" s="126">
        <f>SUMIFS('Support - Transition'!F:F,'Support - Transition'!B:B,'Step 2'!A372,'Support - Transition'!C:C,'Step 2'!B372,'Support - Transition'!D:D,'Step 2'!C372,'Support - Transition'!E:E,"CIVIL")</f>
        <v>1.4161E-2</v>
      </c>
      <c r="H372" s="126">
        <f>SUMIFS('Support - Transition'!F:F,'Support - Transition'!B:B,'Step 2'!A372,'Support - Transition'!C:C,'Step 2'!B372,'Support - Transition'!D:D,'Step 2'!C372,'Support - Transition'!E:E,"FIRE")</f>
        <v>2.8499999999999999E-4</v>
      </c>
      <c r="I372" s="126">
        <f>IF(B372="0",SUMIFS('Support - Transition'!F:F,'Support - Transition'!J:J,'Step 2'!D372,'Support - Transition'!E:E,"STATE UNIT"),SUMIFS('Support - Transition'!F:F,'Support - Transition'!J:J,'Step 2'!D372))</f>
        <v>1.4446000000000001E-2</v>
      </c>
      <c r="J372" s="126">
        <f>SUMIFS('Support - Unit Adjustments'!E:E,'Support - Unit Adjustments'!F:F,'Step 2'!D372)</f>
        <v>0</v>
      </c>
      <c r="K372" s="126">
        <f t="shared" si="99"/>
        <v>1.4446000000000001E-2</v>
      </c>
      <c r="L372" s="174">
        <f>VLOOKUP(A372,'Step 1'!$A:$E,4,FALSE)</f>
        <v>476173</v>
      </c>
      <c r="M372" s="47">
        <f t="shared" si="100"/>
        <v>6879</v>
      </c>
      <c r="N372" s="177">
        <f>SUMIFS('Support - Transition'!G:G,'Support - Transition'!J:J,'Step 2'!D372,'Support - Transition'!E:E,"2009 WELFARE ALLOCATION FACTOR")</f>
        <v>0</v>
      </c>
      <c r="O372" s="152">
        <f t="shared" si="105"/>
        <v>0</v>
      </c>
      <c r="P372" s="126">
        <f>IF(E372="Y",0,SUMIFS('Support - Transition'!G:G,'Support - Transition'!J:J,'Step 2'!D372,'Support - Transition'!E:E,"2009 SCHOOL ALLOCATION FACTOR"))</f>
        <v>0</v>
      </c>
      <c r="Q372" s="126">
        <f>IF(E372="Y",VLOOKUP(D372,'Support - Unit Adjustments'!F:G,2,FALSE),0)</f>
        <v>0</v>
      </c>
      <c r="R372" s="155">
        <f t="shared" si="117"/>
        <v>0</v>
      </c>
      <c r="S372" s="47">
        <f t="shared" si="116"/>
        <v>0</v>
      </c>
      <c r="T372" s="151">
        <f t="shared" si="101"/>
        <v>6879</v>
      </c>
      <c r="U372" s="151">
        <f t="shared" si="102"/>
        <v>0</v>
      </c>
      <c r="V372" s="139">
        <f t="shared" si="103"/>
        <v>0</v>
      </c>
      <c r="W372" s="152">
        <f t="shared" si="106"/>
        <v>6879</v>
      </c>
      <c r="X372" s="127" t="str">
        <f t="shared" si="104"/>
        <v/>
      </c>
      <c r="Y372" s="207">
        <f t="shared" si="107"/>
        <v>6879</v>
      </c>
      <c r="Z372" s="139">
        <f t="shared" si="108"/>
        <v>6743</v>
      </c>
      <c r="AA372" s="139">
        <f t="shared" si="109"/>
        <v>136</v>
      </c>
      <c r="AC372" s="47">
        <f t="shared" si="110"/>
        <v>3440</v>
      </c>
      <c r="AD372" s="47">
        <f t="shared" si="111"/>
        <v>3372</v>
      </c>
      <c r="AE372" s="47">
        <f t="shared" si="112"/>
        <v>68</v>
      </c>
      <c r="AG372" s="47">
        <f t="shared" si="113"/>
        <v>3439</v>
      </c>
      <c r="AH372" s="47">
        <f t="shared" si="114"/>
        <v>3371</v>
      </c>
      <c r="AI372" s="208">
        <f t="shared" si="115"/>
        <v>68</v>
      </c>
    </row>
    <row r="373" spans="1:35">
      <c r="A373" t="s">
        <v>2101</v>
      </c>
      <c r="B373" t="s">
        <v>3155</v>
      </c>
      <c r="C373" t="s">
        <v>2332</v>
      </c>
      <c r="D373" t="s">
        <v>3586</v>
      </c>
      <c r="F373" t="s">
        <v>320</v>
      </c>
      <c r="G373" s="126">
        <f>SUMIFS('Support - Transition'!F:F,'Support - Transition'!B:B,'Step 2'!A373,'Support - Transition'!C:C,'Step 2'!B373,'Support - Transition'!D:D,'Step 2'!C373,'Support - Transition'!E:E,"CIVIL")</f>
        <v>0</v>
      </c>
      <c r="H373" s="126">
        <f>SUMIFS('Support - Transition'!F:F,'Support - Transition'!B:B,'Step 2'!A373,'Support - Transition'!C:C,'Step 2'!B373,'Support - Transition'!D:D,'Step 2'!C373,'Support - Transition'!E:E,"FIRE")</f>
        <v>0</v>
      </c>
      <c r="I373" s="126">
        <f>IF(B373="0",SUMIFS('Support - Transition'!F:F,'Support - Transition'!J:J,'Step 2'!D373,'Support - Transition'!E:E,"STATE UNIT"),SUMIFS('Support - Transition'!F:F,'Support - Transition'!J:J,'Step 2'!D373))</f>
        <v>0.100928</v>
      </c>
      <c r="J373" s="126">
        <f>SUMIFS('Support - Unit Adjustments'!E:E,'Support - Unit Adjustments'!F:F,'Step 2'!D373)</f>
        <v>0</v>
      </c>
      <c r="K373" s="126">
        <f t="shared" si="99"/>
        <v>0.100928</v>
      </c>
      <c r="L373" s="174">
        <f>VLOOKUP(A373,'Step 1'!$A:$E,4,FALSE)</f>
        <v>476173</v>
      </c>
      <c r="M373" s="47">
        <f t="shared" si="100"/>
        <v>48059</v>
      </c>
      <c r="N373" s="177">
        <f>SUMIFS('Support - Transition'!G:G,'Support - Transition'!J:J,'Step 2'!D373,'Support - Transition'!E:E,"2009 WELFARE ALLOCATION FACTOR")</f>
        <v>0</v>
      </c>
      <c r="O373" s="152">
        <f t="shared" si="105"/>
        <v>0</v>
      </c>
      <c r="P373" s="126">
        <f>IF(E373="Y",0,SUMIFS('Support - Transition'!G:G,'Support - Transition'!J:J,'Step 2'!D373,'Support - Transition'!E:E,"2009 SCHOOL ALLOCATION FACTOR"))</f>
        <v>0</v>
      </c>
      <c r="Q373" s="126">
        <f>IF(E373="Y",VLOOKUP(D373,'Support - Unit Adjustments'!F:G,2,FALSE),0)</f>
        <v>0</v>
      </c>
      <c r="R373" s="155">
        <f t="shared" si="117"/>
        <v>0</v>
      </c>
      <c r="S373" s="47">
        <f t="shared" si="116"/>
        <v>0</v>
      </c>
      <c r="T373" s="151">
        <f t="shared" si="101"/>
        <v>48059</v>
      </c>
      <c r="U373" s="151">
        <f t="shared" si="102"/>
        <v>0</v>
      </c>
      <c r="V373" s="139">
        <f t="shared" si="103"/>
        <v>0</v>
      </c>
      <c r="W373" s="152">
        <f t="shared" si="106"/>
        <v>48059</v>
      </c>
      <c r="X373" s="127" t="str">
        <f t="shared" si="104"/>
        <v/>
      </c>
      <c r="Y373" s="207">
        <f t="shared" si="107"/>
        <v>48059</v>
      </c>
      <c r="Z373" s="139">
        <f t="shared" si="108"/>
        <v>48059</v>
      </c>
      <c r="AA373" s="139">
        <f t="shared" si="109"/>
        <v>0</v>
      </c>
      <c r="AC373" s="47">
        <f t="shared" si="110"/>
        <v>24030</v>
      </c>
      <c r="AD373" s="47">
        <f t="shared" si="111"/>
        <v>24030</v>
      </c>
      <c r="AE373" s="47">
        <f t="shared" si="112"/>
        <v>0</v>
      </c>
      <c r="AG373" s="47">
        <f t="shared" si="113"/>
        <v>24029</v>
      </c>
      <c r="AH373" s="47">
        <f t="shared" si="114"/>
        <v>24029</v>
      </c>
      <c r="AI373" s="208">
        <f t="shared" si="115"/>
        <v>0</v>
      </c>
    </row>
    <row r="374" spans="1:35">
      <c r="A374" t="s">
        <v>2101</v>
      </c>
      <c r="B374" t="s">
        <v>3155</v>
      </c>
      <c r="C374" t="s">
        <v>2333</v>
      </c>
      <c r="D374" t="s">
        <v>3587</v>
      </c>
      <c r="F374" t="s">
        <v>314</v>
      </c>
      <c r="G374" s="126">
        <f>SUMIFS('Support - Transition'!F:F,'Support - Transition'!B:B,'Step 2'!A374,'Support - Transition'!C:C,'Step 2'!B374,'Support - Transition'!D:D,'Step 2'!C374,'Support - Transition'!E:E,"CIVIL")</f>
        <v>0</v>
      </c>
      <c r="H374" s="126">
        <f>SUMIFS('Support - Transition'!F:F,'Support - Transition'!B:B,'Step 2'!A374,'Support - Transition'!C:C,'Step 2'!B374,'Support - Transition'!D:D,'Step 2'!C374,'Support - Transition'!E:E,"FIRE")</f>
        <v>0</v>
      </c>
      <c r="I374" s="126">
        <f>IF(B374="0",SUMIFS('Support - Transition'!F:F,'Support - Transition'!J:J,'Step 2'!D374,'Support - Transition'!E:E,"STATE UNIT"),SUMIFS('Support - Transition'!F:F,'Support - Transition'!J:J,'Step 2'!D374))</f>
        <v>3.4E-5</v>
      </c>
      <c r="J374" s="126">
        <f>SUMIFS('Support - Unit Adjustments'!E:E,'Support - Unit Adjustments'!F:F,'Step 2'!D374)</f>
        <v>0</v>
      </c>
      <c r="K374" s="126">
        <f t="shared" si="99"/>
        <v>3.4E-5</v>
      </c>
      <c r="L374" s="174">
        <f>VLOOKUP(A374,'Step 1'!$A:$E,4,FALSE)</f>
        <v>476173</v>
      </c>
      <c r="M374" s="47">
        <f t="shared" si="100"/>
        <v>16</v>
      </c>
      <c r="N374" s="177">
        <f>SUMIFS('Support - Transition'!G:G,'Support - Transition'!J:J,'Step 2'!D374,'Support - Transition'!E:E,"2009 WELFARE ALLOCATION FACTOR")</f>
        <v>0</v>
      </c>
      <c r="O374" s="152">
        <f t="shared" si="105"/>
        <v>0</v>
      </c>
      <c r="P374" s="126">
        <f>IF(E374="Y",0,SUMIFS('Support - Transition'!G:G,'Support - Transition'!J:J,'Step 2'!D374,'Support - Transition'!E:E,"2009 SCHOOL ALLOCATION FACTOR"))</f>
        <v>0</v>
      </c>
      <c r="Q374" s="126">
        <f>IF(E374="Y",VLOOKUP(D374,'Support - Unit Adjustments'!F:G,2,FALSE),0)</f>
        <v>0</v>
      </c>
      <c r="R374" s="155">
        <f t="shared" si="117"/>
        <v>0</v>
      </c>
      <c r="S374" s="47">
        <f t="shared" si="116"/>
        <v>0</v>
      </c>
      <c r="T374" s="151">
        <f t="shared" si="101"/>
        <v>16</v>
      </c>
      <c r="U374" s="151">
        <f t="shared" si="102"/>
        <v>0</v>
      </c>
      <c r="V374" s="139">
        <f t="shared" si="103"/>
        <v>0</v>
      </c>
      <c r="W374" s="152">
        <f t="shared" si="106"/>
        <v>16</v>
      </c>
      <c r="X374" s="127" t="str">
        <f t="shared" si="104"/>
        <v/>
      </c>
      <c r="Y374" s="207">
        <f t="shared" si="107"/>
        <v>16</v>
      </c>
      <c r="Z374" s="139">
        <f t="shared" si="108"/>
        <v>16</v>
      </c>
      <c r="AA374" s="139">
        <f t="shared" si="109"/>
        <v>0</v>
      </c>
      <c r="AC374" s="47">
        <f t="shared" si="110"/>
        <v>8</v>
      </c>
      <c r="AD374" s="47">
        <f t="shared" si="111"/>
        <v>8</v>
      </c>
      <c r="AE374" s="47">
        <f t="shared" si="112"/>
        <v>0</v>
      </c>
      <c r="AG374" s="47">
        <f t="shared" si="113"/>
        <v>8</v>
      </c>
      <c r="AH374" s="47">
        <f t="shared" si="114"/>
        <v>8</v>
      </c>
      <c r="AI374" s="208">
        <f t="shared" si="115"/>
        <v>0</v>
      </c>
    </row>
    <row r="375" spans="1:35">
      <c r="A375" t="s">
        <v>2101</v>
      </c>
      <c r="B375" t="s">
        <v>3155</v>
      </c>
      <c r="C375" t="s">
        <v>2334</v>
      </c>
      <c r="D375" t="s">
        <v>3588</v>
      </c>
      <c r="F375" t="s">
        <v>315</v>
      </c>
      <c r="G375" s="126">
        <f>SUMIFS('Support - Transition'!F:F,'Support - Transition'!B:B,'Step 2'!A375,'Support - Transition'!C:C,'Step 2'!B375,'Support - Transition'!D:D,'Step 2'!C375,'Support - Transition'!E:E,"CIVIL")</f>
        <v>0</v>
      </c>
      <c r="H375" s="126">
        <f>SUMIFS('Support - Transition'!F:F,'Support - Transition'!B:B,'Step 2'!A375,'Support - Transition'!C:C,'Step 2'!B375,'Support - Transition'!D:D,'Step 2'!C375,'Support - Transition'!E:E,"FIRE")</f>
        <v>0</v>
      </c>
      <c r="I375" s="126">
        <f>IF(B375="0",SUMIFS('Support - Transition'!F:F,'Support - Transition'!J:J,'Step 2'!D375,'Support - Transition'!E:E,"STATE UNIT"),SUMIFS('Support - Transition'!F:F,'Support - Transition'!J:J,'Step 2'!D375))</f>
        <v>1.9100000000000001E-4</v>
      </c>
      <c r="J375" s="126">
        <f>SUMIFS('Support - Unit Adjustments'!E:E,'Support - Unit Adjustments'!F:F,'Step 2'!D375)</f>
        <v>0</v>
      </c>
      <c r="K375" s="126">
        <f t="shared" si="99"/>
        <v>1.9100000000000001E-4</v>
      </c>
      <c r="L375" s="174">
        <f>VLOOKUP(A375,'Step 1'!$A:$E,4,FALSE)</f>
        <v>476173</v>
      </c>
      <c r="M375" s="47">
        <f t="shared" si="100"/>
        <v>91</v>
      </c>
      <c r="N375" s="177">
        <f>SUMIFS('Support - Transition'!G:G,'Support - Transition'!J:J,'Step 2'!D375,'Support - Transition'!E:E,"2009 WELFARE ALLOCATION FACTOR")</f>
        <v>0</v>
      </c>
      <c r="O375" s="152">
        <f t="shared" si="105"/>
        <v>0</v>
      </c>
      <c r="P375" s="126">
        <f>IF(E375="Y",0,SUMIFS('Support - Transition'!G:G,'Support - Transition'!J:J,'Step 2'!D375,'Support - Transition'!E:E,"2009 SCHOOL ALLOCATION FACTOR"))</f>
        <v>0</v>
      </c>
      <c r="Q375" s="126">
        <f>IF(E375="Y",VLOOKUP(D375,'Support - Unit Adjustments'!F:G,2,FALSE),0)</f>
        <v>0</v>
      </c>
      <c r="R375" s="155">
        <f t="shared" si="117"/>
        <v>0</v>
      </c>
      <c r="S375" s="47">
        <f t="shared" si="116"/>
        <v>0</v>
      </c>
      <c r="T375" s="151">
        <f t="shared" si="101"/>
        <v>91</v>
      </c>
      <c r="U375" s="151">
        <f t="shared" si="102"/>
        <v>0</v>
      </c>
      <c r="V375" s="139">
        <f t="shared" si="103"/>
        <v>0</v>
      </c>
      <c r="W375" s="152">
        <f t="shared" si="106"/>
        <v>91</v>
      </c>
      <c r="X375" s="127" t="str">
        <f t="shared" si="104"/>
        <v/>
      </c>
      <c r="Y375" s="207">
        <f t="shared" si="107"/>
        <v>91</v>
      </c>
      <c r="Z375" s="139">
        <f t="shared" si="108"/>
        <v>91</v>
      </c>
      <c r="AA375" s="139">
        <f t="shared" si="109"/>
        <v>0</v>
      </c>
      <c r="AC375" s="47">
        <f t="shared" si="110"/>
        <v>46</v>
      </c>
      <c r="AD375" s="47">
        <f t="shared" si="111"/>
        <v>46</v>
      </c>
      <c r="AE375" s="47">
        <f t="shared" si="112"/>
        <v>0</v>
      </c>
      <c r="AG375" s="47">
        <f t="shared" si="113"/>
        <v>45</v>
      </c>
      <c r="AH375" s="47">
        <f t="shared" si="114"/>
        <v>45</v>
      </c>
      <c r="AI375" s="208">
        <f t="shared" si="115"/>
        <v>0</v>
      </c>
    </row>
    <row r="376" spans="1:35">
      <c r="A376" t="s">
        <v>2101</v>
      </c>
      <c r="B376" t="s">
        <v>3155</v>
      </c>
      <c r="C376" t="s">
        <v>2335</v>
      </c>
      <c r="D376" t="s">
        <v>3589</v>
      </c>
      <c r="F376" t="s">
        <v>316</v>
      </c>
      <c r="G376" s="126">
        <f>SUMIFS('Support - Transition'!F:F,'Support - Transition'!B:B,'Step 2'!A376,'Support - Transition'!C:C,'Step 2'!B376,'Support - Transition'!D:D,'Step 2'!C376,'Support - Transition'!E:E,"CIVIL")</f>
        <v>0</v>
      </c>
      <c r="H376" s="126">
        <f>SUMIFS('Support - Transition'!F:F,'Support - Transition'!B:B,'Step 2'!A376,'Support - Transition'!C:C,'Step 2'!B376,'Support - Transition'!D:D,'Step 2'!C376,'Support - Transition'!E:E,"FIRE")</f>
        <v>0</v>
      </c>
      <c r="I376" s="126">
        <f>IF(B376="0",SUMIFS('Support - Transition'!F:F,'Support - Transition'!J:J,'Step 2'!D376,'Support - Transition'!E:E,"STATE UNIT"),SUMIFS('Support - Transition'!F:F,'Support - Transition'!J:J,'Step 2'!D376))</f>
        <v>1.2570000000000001E-3</v>
      </c>
      <c r="J376" s="126">
        <f>SUMIFS('Support - Unit Adjustments'!E:E,'Support - Unit Adjustments'!F:F,'Step 2'!D376)</f>
        <v>0</v>
      </c>
      <c r="K376" s="126">
        <f t="shared" si="99"/>
        <v>1.2570000000000001E-3</v>
      </c>
      <c r="L376" s="174">
        <f>VLOOKUP(A376,'Step 1'!$A:$E,4,FALSE)</f>
        <v>476173</v>
      </c>
      <c r="M376" s="47">
        <f t="shared" si="100"/>
        <v>599</v>
      </c>
      <c r="N376" s="177">
        <f>SUMIFS('Support - Transition'!G:G,'Support - Transition'!J:J,'Step 2'!D376,'Support - Transition'!E:E,"2009 WELFARE ALLOCATION FACTOR")</f>
        <v>0</v>
      </c>
      <c r="O376" s="152">
        <f t="shared" si="105"/>
        <v>0</v>
      </c>
      <c r="P376" s="126">
        <f>IF(E376="Y",0,SUMIFS('Support - Transition'!G:G,'Support - Transition'!J:J,'Step 2'!D376,'Support - Transition'!E:E,"2009 SCHOOL ALLOCATION FACTOR"))</f>
        <v>0</v>
      </c>
      <c r="Q376" s="126">
        <f>IF(E376="Y",VLOOKUP(D376,'Support - Unit Adjustments'!F:G,2,FALSE),0)</f>
        <v>0</v>
      </c>
      <c r="R376" s="155">
        <f t="shared" si="117"/>
        <v>0</v>
      </c>
      <c r="S376" s="47">
        <f t="shared" si="116"/>
        <v>0</v>
      </c>
      <c r="T376" s="151">
        <f t="shared" si="101"/>
        <v>599</v>
      </c>
      <c r="U376" s="151">
        <f t="shared" si="102"/>
        <v>0</v>
      </c>
      <c r="V376" s="139">
        <f t="shared" si="103"/>
        <v>0</v>
      </c>
      <c r="W376" s="152">
        <f t="shared" si="106"/>
        <v>599</v>
      </c>
      <c r="X376" s="127" t="str">
        <f t="shared" si="104"/>
        <v/>
      </c>
      <c r="Y376" s="207">
        <f t="shared" si="107"/>
        <v>599</v>
      </c>
      <c r="Z376" s="139">
        <f t="shared" si="108"/>
        <v>599</v>
      </c>
      <c r="AA376" s="139">
        <f t="shared" si="109"/>
        <v>0</v>
      </c>
      <c r="AC376" s="47">
        <f t="shared" si="110"/>
        <v>300</v>
      </c>
      <c r="AD376" s="47">
        <f t="shared" si="111"/>
        <v>300</v>
      </c>
      <c r="AE376" s="47">
        <f t="shared" si="112"/>
        <v>0</v>
      </c>
      <c r="AG376" s="47">
        <f t="shared" si="113"/>
        <v>299</v>
      </c>
      <c r="AH376" s="47">
        <f t="shared" si="114"/>
        <v>299</v>
      </c>
      <c r="AI376" s="208">
        <f t="shared" si="115"/>
        <v>0</v>
      </c>
    </row>
    <row r="377" spans="1:35">
      <c r="A377" t="s">
        <v>2101</v>
      </c>
      <c r="B377" t="s">
        <v>3155</v>
      </c>
      <c r="C377" t="s">
        <v>2336</v>
      </c>
      <c r="D377" t="s">
        <v>3590</v>
      </c>
      <c r="F377" t="s">
        <v>317</v>
      </c>
      <c r="G377" s="126">
        <f>SUMIFS('Support - Transition'!F:F,'Support - Transition'!B:B,'Step 2'!A377,'Support - Transition'!C:C,'Step 2'!B377,'Support - Transition'!D:D,'Step 2'!C377,'Support - Transition'!E:E,"CIVIL")</f>
        <v>0</v>
      </c>
      <c r="H377" s="126">
        <f>SUMIFS('Support - Transition'!F:F,'Support - Transition'!B:B,'Step 2'!A377,'Support - Transition'!C:C,'Step 2'!B377,'Support - Transition'!D:D,'Step 2'!C377,'Support - Transition'!E:E,"FIRE")</f>
        <v>0</v>
      </c>
      <c r="I377" s="126">
        <f>IF(B377="0",SUMIFS('Support - Transition'!F:F,'Support - Transition'!J:J,'Step 2'!D377,'Support - Transition'!E:E,"STATE UNIT"),SUMIFS('Support - Transition'!F:F,'Support - Transition'!J:J,'Step 2'!D377))</f>
        <v>5.8640000000000003E-3</v>
      </c>
      <c r="J377" s="126">
        <f>SUMIFS('Support - Unit Adjustments'!E:E,'Support - Unit Adjustments'!F:F,'Step 2'!D377)</f>
        <v>0</v>
      </c>
      <c r="K377" s="126">
        <f t="shared" si="99"/>
        <v>5.8640000000000003E-3</v>
      </c>
      <c r="L377" s="174">
        <f>VLOOKUP(A377,'Step 1'!$A:$E,4,FALSE)</f>
        <v>476173</v>
      </c>
      <c r="M377" s="47">
        <f t="shared" si="100"/>
        <v>2792</v>
      </c>
      <c r="N377" s="177">
        <f>SUMIFS('Support - Transition'!G:G,'Support - Transition'!J:J,'Step 2'!D377,'Support - Transition'!E:E,"2009 WELFARE ALLOCATION FACTOR")</f>
        <v>0</v>
      </c>
      <c r="O377" s="152">
        <f t="shared" si="105"/>
        <v>0</v>
      </c>
      <c r="P377" s="126">
        <f>IF(E377="Y",0,SUMIFS('Support - Transition'!G:G,'Support - Transition'!J:J,'Step 2'!D377,'Support - Transition'!E:E,"2009 SCHOOL ALLOCATION FACTOR"))</f>
        <v>0</v>
      </c>
      <c r="Q377" s="126">
        <f>IF(E377="Y",VLOOKUP(D377,'Support - Unit Adjustments'!F:G,2,FALSE),0)</f>
        <v>0</v>
      </c>
      <c r="R377" s="155">
        <f t="shared" si="117"/>
        <v>0</v>
      </c>
      <c r="S377" s="47">
        <f t="shared" si="116"/>
        <v>0</v>
      </c>
      <c r="T377" s="151">
        <f t="shared" si="101"/>
        <v>2792</v>
      </c>
      <c r="U377" s="151">
        <f t="shared" si="102"/>
        <v>0</v>
      </c>
      <c r="V377" s="139">
        <f t="shared" si="103"/>
        <v>0</v>
      </c>
      <c r="W377" s="152">
        <f t="shared" si="106"/>
        <v>2792</v>
      </c>
      <c r="X377" s="127" t="str">
        <f t="shared" si="104"/>
        <v/>
      </c>
      <c r="Y377" s="207">
        <f t="shared" si="107"/>
        <v>2792</v>
      </c>
      <c r="Z377" s="139">
        <f t="shared" si="108"/>
        <v>2792</v>
      </c>
      <c r="AA377" s="139">
        <f t="shared" si="109"/>
        <v>0</v>
      </c>
      <c r="AC377" s="47">
        <f t="shared" si="110"/>
        <v>1396</v>
      </c>
      <c r="AD377" s="47">
        <f t="shared" si="111"/>
        <v>1396</v>
      </c>
      <c r="AE377" s="47">
        <f t="shared" si="112"/>
        <v>0</v>
      </c>
      <c r="AG377" s="47">
        <f t="shared" si="113"/>
        <v>1396</v>
      </c>
      <c r="AH377" s="47">
        <f t="shared" si="114"/>
        <v>1396</v>
      </c>
      <c r="AI377" s="208">
        <f t="shared" si="115"/>
        <v>0</v>
      </c>
    </row>
    <row r="378" spans="1:35">
      <c r="A378" t="s">
        <v>2101</v>
      </c>
      <c r="B378" t="s">
        <v>3155</v>
      </c>
      <c r="C378" t="s">
        <v>2337</v>
      </c>
      <c r="D378" t="s">
        <v>3591</v>
      </c>
      <c r="F378" t="s">
        <v>318</v>
      </c>
      <c r="G378" s="126">
        <f>SUMIFS('Support - Transition'!F:F,'Support - Transition'!B:B,'Step 2'!A378,'Support - Transition'!C:C,'Step 2'!B378,'Support - Transition'!D:D,'Step 2'!C378,'Support - Transition'!E:E,"CIVIL")</f>
        <v>0</v>
      </c>
      <c r="H378" s="126">
        <f>SUMIFS('Support - Transition'!F:F,'Support - Transition'!B:B,'Step 2'!A378,'Support - Transition'!C:C,'Step 2'!B378,'Support - Transition'!D:D,'Step 2'!C378,'Support - Transition'!E:E,"FIRE")</f>
        <v>0</v>
      </c>
      <c r="I378" s="126">
        <f>IF(B378="0",SUMIFS('Support - Transition'!F:F,'Support - Transition'!J:J,'Step 2'!D378,'Support - Transition'!E:E,"STATE UNIT"),SUMIFS('Support - Transition'!F:F,'Support - Transition'!J:J,'Step 2'!D378))</f>
        <v>1.7110000000000001E-3</v>
      </c>
      <c r="J378" s="126">
        <f>SUMIFS('Support - Unit Adjustments'!E:E,'Support - Unit Adjustments'!F:F,'Step 2'!D378)</f>
        <v>0</v>
      </c>
      <c r="K378" s="126">
        <f t="shared" si="99"/>
        <v>1.7110000000000001E-3</v>
      </c>
      <c r="L378" s="174">
        <f>VLOOKUP(A378,'Step 1'!$A:$E,4,FALSE)</f>
        <v>476173</v>
      </c>
      <c r="M378" s="47">
        <f t="shared" si="100"/>
        <v>815</v>
      </c>
      <c r="N378" s="177">
        <f>SUMIFS('Support - Transition'!G:G,'Support - Transition'!J:J,'Step 2'!D378,'Support - Transition'!E:E,"2009 WELFARE ALLOCATION FACTOR")</f>
        <v>0</v>
      </c>
      <c r="O378" s="152">
        <f t="shared" si="105"/>
        <v>0</v>
      </c>
      <c r="P378" s="126">
        <f>IF(E378="Y",0,SUMIFS('Support - Transition'!G:G,'Support - Transition'!J:J,'Step 2'!D378,'Support - Transition'!E:E,"2009 SCHOOL ALLOCATION FACTOR"))</f>
        <v>0</v>
      </c>
      <c r="Q378" s="126">
        <f>IF(E378="Y",VLOOKUP(D378,'Support - Unit Adjustments'!F:G,2,FALSE),0)</f>
        <v>0</v>
      </c>
      <c r="R378" s="155">
        <f t="shared" si="117"/>
        <v>0</v>
      </c>
      <c r="S378" s="47">
        <f t="shared" si="116"/>
        <v>0</v>
      </c>
      <c r="T378" s="151">
        <f t="shared" si="101"/>
        <v>815</v>
      </c>
      <c r="U378" s="151">
        <f t="shared" si="102"/>
        <v>0</v>
      </c>
      <c r="V378" s="139">
        <f t="shared" si="103"/>
        <v>0</v>
      </c>
      <c r="W378" s="152">
        <f t="shared" si="106"/>
        <v>815</v>
      </c>
      <c r="X378" s="127" t="str">
        <f t="shared" si="104"/>
        <v/>
      </c>
      <c r="Y378" s="207">
        <f t="shared" si="107"/>
        <v>815</v>
      </c>
      <c r="Z378" s="139">
        <f t="shared" si="108"/>
        <v>815</v>
      </c>
      <c r="AA378" s="139">
        <f t="shared" si="109"/>
        <v>0</v>
      </c>
      <c r="AC378" s="47">
        <f t="shared" si="110"/>
        <v>408</v>
      </c>
      <c r="AD378" s="47">
        <f t="shared" si="111"/>
        <v>408</v>
      </c>
      <c r="AE378" s="47">
        <f t="shared" si="112"/>
        <v>0</v>
      </c>
      <c r="AG378" s="47">
        <f t="shared" si="113"/>
        <v>407</v>
      </c>
      <c r="AH378" s="47">
        <f t="shared" si="114"/>
        <v>407</v>
      </c>
      <c r="AI378" s="208">
        <f t="shared" si="115"/>
        <v>0</v>
      </c>
    </row>
    <row r="379" spans="1:35">
      <c r="A379" t="s">
        <v>2101</v>
      </c>
      <c r="B379" t="s">
        <v>3155</v>
      </c>
      <c r="C379" t="s">
        <v>2338</v>
      </c>
      <c r="D379" t="s">
        <v>3592</v>
      </c>
      <c r="F379" t="s">
        <v>319</v>
      </c>
      <c r="G379" s="126">
        <f>SUMIFS('Support - Transition'!F:F,'Support - Transition'!B:B,'Step 2'!A379,'Support - Transition'!C:C,'Step 2'!B379,'Support - Transition'!D:D,'Step 2'!C379,'Support - Transition'!E:E,"CIVIL")</f>
        <v>0</v>
      </c>
      <c r="H379" s="126">
        <f>SUMIFS('Support - Transition'!F:F,'Support - Transition'!B:B,'Step 2'!A379,'Support - Transition'!C:C,'Step 2'!B379,'Support - Transition'!D:D,'Step 2'!C379,'Support - Transition'!E:E,"FIRE")</f>
        <v>0</v>
      </c>
      <c r="I379" s="126">
        <f>IF(B379="0",SUMIFS('Support - Transition'!F:F,'Support - Transition'!J:J,'Step 2'!D379,'Support - Transition'!E:E,"STATE UNIT"),SUMIFS('Support - Transition'!F:F,'Support - Transition'!J:J,'Step 2'!D379))</f>
        <v>1.673E-3</v>
      </c>
      <c r="J379" s="126">
        <f>SUMIFS('Support - Unit Adjustments'!E:E,'Support - Unit Adjustments'!F:F,'Step 2'!D379)</f>
        <v>0</v>
      </c>
      <c r="K379" s="126">
        <f t="shared" si="99"/>
        <v>1.673E-3</v>
      </c>
      <c r="L379" s="174">
        <f>VLOOKUP(A379,'Step 1'!$A:$E,4,FALSE)</f>
        <v>476173</v>
      </c>
      <c r="M379" s="47">
        <f t="shared" si="100"/>
        <v>797</v>
      </c>
      <c r="N379" s="177">
        <f>SUMIFS('Support - Transition'!G:G,'Support - Transition'!J:J,'Step 2'!D379,'Support - Transition'!E:E,"2009 WELFARE ALLOCATION FACTOR")</f>
        <v>0</v>
      </c>
      <c r="O379" s="152">
        <f t="shared" si="105"/>
        <v>0</v>
      </c>
      <c r="P379" s="126">
        <f>IF(E379="Y",0,SUMIFS('Support - Transition'!G:G,'Support - Transition'!J:J,'Step 2'!D379,'Support - Transition'!E:E,"2009 SCHOOL ALLOCATION FACTOR"))</f>
        <v>0</v>
      </c>
      <c r="Q379" s="126">
        <f>IF(E379="Y",VLOOKUP(D379,'Support - Unit Adjustments'!F:G,2,FALSE),0)</f>
        <v>0</v>
      </c>
      <c r="R379" s="155">
        <f t="shared" si="117"/>
        <v>0</v>
      </c>
      <c r="S379" s="47">
        <f t="shared" si="116"/>
        <v>0</v>
      </c>
      <c r="T379" s="151">
        <f t="shared" si="101"/>
        <v>797</v>
      </c>
      <c r="U379" s="151">
        <f t="shared" si="102"/>
        <v>0</v>
      </c>
      <c r="V379" s="139">
        <f t="shared" si="103"/>
        <v>0</v>
      </c>
      <c r="W379" s="152">
        <f t="shared" si="106"/>
        <v>797</v>
      </c>
      <c r="X379" s="127" t="str">
        <f t="shared" si="104"/>
        <v/>
      </c>
      <c r="Y379" s="207">
        <f t="shared" si="107"/>
        <v>797</v>
      </c>
      <c r="Z379" s="139">
        <f t="shared" si="108"/>
        <v>797</v>
      </c>
      <c r="AA379" s="139">
        <f t="shared" si="109"/>
        <v>0</v>
      </c>
      <c r="AC379" s="47">
        <f t="shared" si="110"/>
        <v>399</v>
      </c>
      <c r="AD379" s="47">
        <f t="shared" si="111"/>
        <v>399</v>
      </c>
      <c r="AE379" s="47">
        <f t="shared" si="112"/>
        <v>0</v>
      </c>
      <c r="AG379" s="47">
        <f t="shared" si="113"/>
        <v>398</v>
      </c>
      <c r="AH379" s="47">
        <f t="shared" si="114"/>
        <v>398</v>
      </c>
      <c r="AI379" s="208">
        <f t="shared" si="115"/>
        <v>0</v>
      </c>
    </row>
    <row r="380" spans="1:35">
      <c r="A380" t="s">
        <v>2101</v>
      </c>
      <c r="B380" t="s">
        <v>3160</v>
      </c>
      <c r="C380" t="s">
        <v>2339</v>
      </c>
      <c r="D380" t="s">
        <v>3593</v>
      </c>
      <c r="F380" t="s">
        <v>321</v>
      </c>
      <c r="G380" s="126">
        <f>SUMIFS('Support - Transition'!F:F,'Support - Transition'!B:B,'Step 2'!A380,'Support - Transition'!C:C,'Step 2'!B380,'Support - Transition'!D:D,'Step 2'!C380,'Support - Transition'!E:E,"CIVIL")</f>
        <v>0</v>
      </c>
      <c r="H380" s="126">
        <f>SUMIFS('Support - Transition'!F:F,'Support - Transition'!B:B,'Step 2'!A380,'Support - Transition'!C:C,'Step 2'!B380,'Support - Transition'!D:D,'Step 2'!C380,'Support - Transition'!E:E,"FIRE")</f>
        <v>0</v>
      </c>
      <c r="I380" s="126">
        <f>IF(B380="0",SUMIFS('Support - Transition'!F:F,'Support - Transition'!J:J,'Step 2'!D380,'Support - Transition'!E:E,"STATE UNIT"),SUMIFS('Support - Transition'!F:F,'Support - Transition'!J:J,'Step 2'!D380))</f>
        <v>9.9961999999999995E-2</v>
      </c>
      <c r="J380" s="126">
        <f>SUMIFS('Support - Unit Adjustments'!E:E,'Support - Unit Adjustments'!F:F,'Step 2'!D380)</f>
        <v>0</v>
      </c>
      <c r="K380" s="126">
        <f t="shared" si="99"/>
        <v>9.9961999999999995E-2</v>
      </c>
      <c r="L380" s="174">
        <f>VLOOKUP(A380,'Step 1'!$A:$E,4,FALSE)</f>
        <v>476173</v>
      </c>
      <c r="M380" s="47">
        <f t="shared" si="100"/>
        <v>47599</v>
      </c>
      <c r="N380" s="177">
        <f>SUMIFS('Support - Transition'!G:G,'Support - Transition'!J:J,'Step 2'!D380,'Support - Transition'!E:E,"2009 WELFARE ALLOCATION FACTOR")</f>
        <v>0</v>
      </c>
      <c r="O380" s="152">
        <f t="shared" si="105"/>
        <v>0</v>
      </c>
      <c r="P380" s="126">
        <f>IF(E380="Y",0,SUMIFS('Support - Transition'!G:G,'Support - Transition'!J:J,'Step 2'!D380,'Support - Transition'!E:E,"2009 SCHOOL ALLOCATION FACTOR"))</f>
        <v>0.476047</v>
      </c>
      <c r="Q380" s="126">
        <f>IF(E380="Y",VLOOKUP(D380,'Support - Unit Adjustments'!F:G,2,FALSE),0)</f>
        <v>0</v>
      </c>
      <c r="R380" s="155">
        <f t="shared" si="117"/>
        <v>0.476047</v>
      </c>
      <c r="S380" s="47">
        <f t="shared" si="116"/>
        <v>22659</v>
      </c>
      <c r="T380" s="151">
        <f t="shared" si="101"/>
        <v>24940</v>
      </c>
      <c r="U380" s="151">
        <f t="shared" si="102"/>
        <v>0</v>
      </c>
      <c r="V380" s="139">
        <f t="shared" si="103"/>
        <v>0</v>
      </c>
      <c r="W380" s="152">
        <f t="shared" si="106"/>
        <v>24940</v>
      </c>
      <c r="X380" s="127" t="str">
        <f t="shared" si="104"/>
        <v/>
      </c>
      <c r="Y380" s="207">
        <f t="shared" si="107"/>
        <v>24940</v>
      </c>
      <c r="Z380" s="139">
        <f t="shared" si="108"/>
        <v>24940</v>
      </c>
      <c r="AA380" s="139">
        <f t="shared" si="109"/>
        <v>0</v>
      </c>
      <c r="AC380" s="47">
        <f t="shared" si="110"/>
        <v>12470</v>
      </c>
      <c r="AD380" s="47">
        <f t="shared" si="111"/>
        <v>12470</v>
      </c>
      <c r="AE380" s="47">
        <f t="shared" si="112"/>
        <v>0</v>
      </c>
      <c r="AG380" s="47">
        <f t="shared" si="113"/>
        <v>12470</v>
      </c>
      <c r="AH380" s="47">
        <f t="shared" si="114"/>
        <v>12470</v>
      </c>
      <c r="AI380" s="208">
        <f t="shared" si="115"/>
        <v>0</v>
      </c>
    </row>
    <row r="381" spans="1:35">
      <c r="A381" t="s">
        <v>2101</v>
      </c>
      <c r="B381" t="s">
        <v>3160</v>
      </c>
      <c r="C381" t="s">
        <v>2340</v>
      </c>
      <c r="D381" t="s">
        <v>3594</v>
      </c>
      <c r="F381" t="s">
        <v>322</v>
      </c>
      <c r="G381" s="126">
        <f>SUMIFS('Support - Transition'!F:F,'Support - Transition'!B:B,'Step 2'!A381,'Support - Transition'!C:C,'Step 2'!B381,'Support - Transition'!D:D,'Step 2'!C381,'Support - Transition'!E:E,"CIVIL")</f>
        <v>0</v>
      </c>
      <c r="H381" s="126">
        <f>SUMIFS('Support - Transition'!F:F,'Support - Transition'!B:B,'Step 2'!A381,'Support - Transition'!C:C,'Step 2'!B381,'Support - Transition'!D:D,'Step 2'!C381,'Support - Transition'!E:E,"FIRE")</f>
        <v>0</v>
      </c>
      <c r="I381" s="126">
        <f>IF(B381="0",SUMIFS('Support - Transition'!F:F,'Support - Transition'!J:J,'Step 2'!D381,'Support - Transition'!E:E,"STATE UNIT"),SUMIFS('Support - Transition'!F:F,'Support - Transition'!J:J,'Step 2'!D381))</f>
        <v>0.11271</v>
      </c>
      <c r="J381" s="126">
        <f>SUMIFS('Support - Unit Adjustments'!E:E,'Support - Unit Adjustments'!F:F,'Step 2'!D381)</f>
        <v>0</v>
      </c>
      <c r="K381" s="126">
        <f t="shared" si="99"/>
        <v>0.11271</v>
      </c>
      <c r="L381" s="174">
        <f>VLOOKUP(A381,'Step 1'!$A:$E,4,FALSE)</f>
        <v>476173</v>
      </c>
      <c r="M381" s="47">
        <f t="shared" si="100"/>
        <v>53669</v>
      </c>
      <c r="N381" s="177">
        <f>SUMIFS('Support - Transition'!G:G,'Support - Transition'!J:J,'Step 2'!D381,'Support - Transition'!E:E,"2009 WELFARE ALLOCATION FACTOR")</f>
        <v>0</v>
      </c>
      <c r="O381" s="152">
        <f t="shared" si="105"/>
        <v>0</v>
      </c>
      <c r="P381" s="126">
        <f>IF(E381="Y",0,SUMIFS('Support - Transition'!G:G,'Support - Transition'!J:J,'Step 2'!D381,'Support - Transition'!E:E,"2009 SCHOOL ALLOCATION FACTOR"))</f>
        <v>0.42667899999999997</v>
      </c>
      <c r="Q381" s="126">
        <f>IF(E381="Y",VLOOKUP(D381,'Support - Unit Adjustments'!F:G,2,FALSE),0)</f>
        <v>0</v>
      </c>
      <c r="R381" s="155">
        <f t="shared" si="117"/>
        <v>0.42667899999999997</v>
      </c>
      <c r="S381" s="47">
        <f t="shared" si="116"/>
        <v>22899</v>
      </c>
      <c r="T381" s="151">
        <f t="shared" si="101"/>
        <v>30770</v>
      </c>
      <c r="U381" s="151">
        <f t="shared" si="102"/>
        <v>0</v>
      </c>
      <c r="V381" s="139">
        <f t="shared" si="103"/>
        <v>0</v>
      </c>
      <c r="W381" s="152">
        <f t="shared" si="106"/>
        <v>30770</v>
      </c>
      <c r="X381" s="127" t="str">
        <f t="shared" si="104"/>
        <v/>
      </c>
      <c r="Y381" s="207">
        <f t="shared" si="107"/>
        <v>30770</v>
      </c>
      <c r="Z381" s="139">
        <f t="shared" si="108"/>
        <v>30770</v>
      </c>
      <c r="AA381" s="139">
        <f t="shared" si="109"/>
        <v>0</v>
      </c>
      <c r="AC381" s="47">
        <f t="shared" si="110"/>
        <v>15385</v>
      </c>
      <c r="AD381" s="47">
        <f t="shared" si="111"/>
        <v>15385</v>
      </c>
      <c r="AE381" s="47">
        <f t="shared" si="112"/>
        <v>0</v>
      </c>
      <c r="AG381" s="47">
        <f t="shared" si="113"/>
        <v>15385</v>
      </c>
      <c r="AH381" s="47">
        <f t="shared" si="114"/>
        <v>15385</v>
      </c>
      <c r="AI381" s="208">
        <f t="shared" si="115"/>
        <v>0</v>
      </c>
    </row>
    <row r="382" spans="1:35">
      <c r="A382" t="s">
        <v>2101</v>
      </c>
      <c r="B382" t="s">
        <v>3160</v>
      </c>
      <c r="C382" t="s">
        <v>2341</v>
      </c>
      <c r="D382" t="s">
        <v>3595</v>
      </c>
      <c r="F382" t="s">
        <v>323</v>
      </c>
      <c r="G382" s="126">
        <f>SUMIFS('Support - Transition'!F:F,'Support - Transition'!B:B,'Step 2'!A382,'Support - Transition'!C:C,'Step 2'!B382,'Support - Transition'!D:D,'Step 2'!C382,'Support - Transition'!E:E,"CIVIL")</f>
        <v>0</v>
      </c>
      <c r="H382" s="126">
        <f>SUMIFS('Support - Transition'!F:F,'Support - Transition'!B:B,'Step 2'!A382,'Support - Transition'!C:C,'Step 2'!B382,'Support - Transition'!D:D,'Step 2'!C382,'Support - Transition'!E:E,"FIRE")</f>
        <v>0</v>
      </c>
      <c r="I382" s="126">
        <f>IF(B382="0",SUMIFS('Support - Transition'!F:F,'Support - Transition'!J:J,'Step 2'!D382,'Support - Transition'!E:E,"STATE UNIT"),SUMIFS('Support - Transition'!F:F,'Support - Transition'!J:J,'Step 2'!D382))</f>
        <v>0.38101200000000002</v>
      </c>
      <c r="J382" s="126">
        <f>SUMIFS('Support - Unit Adjustments'!E:E,'Support - Unit Adjustments'!F:F,'Step 2'!D382)</f>
        <v>0</v>
      </c>
      <c r="K382" s="126">
        <f t="shared" si="99"/>
        <v>0.38101200000000002</v>
      </c>
      <c r="L382" s="174">
        <f>VLOOKUP(A382,'Step 1'!$A:$E,4,FALSE)</f>
        <v>476173</v>
      </c>
      <c r="M382" s="47">
        <f t="shared" si="100"/>
        <v>181428</v>
      </c>
      <c r="N382" s="177">
        <f>SUMIFS('Support - Transition'!G:G,'Support - Transition'!J:J,'Step 2'!D382,'Support - Transition'!E:E,"2009 WELFARE ALLOCATION FACTOR")</f>
        <v>0</v>
      </c>
      <c r="O382" s="152">
        <f t="shared" si="105"/>
        <v>0</v>
      </c>
      <c r="P382" s="126">
        <f>IF(E382="Y",0,SUMIFS('Support - Transition'!G:G,'Support - Transition'!J:J,'Step 2'!D382,'Support - Transition'!E:E,"2009 SCHOOL ALLOCATION FACTOR"))</f>
        <v>0.400592</v>
      </c>
      <c r="Q382" s="126">
        <f>IF(E382="Y",VLOOKUP(D382,'Support - Unit Adjustments'!F:G,2,FALSE),0)</f>
        <v>0</v>
      </c>
      <c r="R382" s="155">
        <f t="shared" si="117"/>
        <v>0.400592</v>
      </c>
      <c r="S382" s="47">
        <f t="shared" si="116"/>
        <v>72679</v>
      </c>
      <c r="T382" s="151">
        <f t="shared" si="101"/>
        <v>108749</v>
      </c>
      <c r="U382" s="151">
        <f t="shared" si="102"/>
        <v>0</v>
      </c>
      <c r="V382" s="139">
        <f t="shared" si="103"/>
        <v>0</v>
      </c>
      <c r="W382" s="152">
        <f t="shared" si="106"/>
        <v>108749</v>
      </c>
      <c r="X382" s="127" t="str">
        <f t="shared" si="104"/>
        <v/>
      </c>
      <c r="Y382" s="207">
        <f t="shared" si="107"/>
        <v>108749</v>
      </c>
      <c r="Z382" s="139">
        <f t="shared" si="108"/>
        <v>108749</v>
      </c>
      <c r="AA382" s="139">
        <f t="shared" si="109"/>
        <v>0</v>
      </c>
      <c r="AC382" s="47">
        <f t="shared" si="110"/>
        <v>54375</v>
      </c>
      <c r="AD382" s="47">
        <f t="shared" si="111"/>
        <v>54375</v>
      </c>
      <c r="AE382" s="47">
        <f t="shared" si="112"/>
        <v>0</v>
      </c>
      <c r="AG382" s="47">
        <f t="shared" si="113"/>
        <v>54374</v>
      </c>
      <c r="AH382" s="47">
        <f t="shared" si="114"/>
        <v>54374</v>
      </c>
      <c r="AI382" s="208">
        <f t="shared" si="115"/>
        <v>0</v>
      </c>
    </row>
    <row r="383" spans="1:35">
      <c r="A383" t="s">
        <v>2101</v>
      </c>
      <c r="B383" t="s">
        <v>3166</v>
      </c>
      <c r="C383" t="s">
        <v>3596</v>
      </c>
      <c r="D383" t="s">
        <v>3597</v>
      </c>
      <c r="F383" t="s">
        <v>324</v>
      </c>
      <c r="G383" s="126">
        <f>SUMIFS('Support - Transition'!F:F,'Support - Transition'!B:B,'Step 2'!A383,'Support - Transition'!C:C,'Step 2'!B383,'Support - Transition'!D:D,'Step 2'!C383,'Support - Transition'!E:E,"CIVIL")</f>
        <v>0</v>
      </c>
      <c r="H383" s="126">
        <f>SUMIFS('Support - Transition'!F:F,'Support - Transition'!B:B,'Step 2'!A383,'Support - Transition'!C:C,'Step 2'!B383,'Support - Transition'!D:D,'Step 2'!C383,'Support - Transition'!E:E,"FIRE")</f>
        <v>0</v>
      </c>
      <c r="I383" s="126">
        <f>IF(B383="0",SUMIFS('Support - Transition'!F:F,'Support - Transition'!J:J,'Step 2'!D383,'Support - Transition'!E:E,"STATE UNIT"),SUMIFS('Support - Transition'!F:F,'Support - Transition'!J:J,'Step 2'!D383))</f>
        <v>3.4299999999999999E-4</v>
      </c>
      <c r="J383" s="126">
        <f>SUMIFS('Support - Unit Adjustments'!E:E,'Support - Unit Adjustments'!F:F,'Step 2'!D383)</f>
        <v>0</v>
      </c>
      <c r="K383" s="126">
        <f t="shared" si="99"/>
        <v>3.4299999999999999E-4</v>
      </c>
      <c r="L383" s="174">
        <f>VLOOKUP(A383,'Step 1'!$A:$E,4,FALSE)</f>
        <v>476173</v>
      </c>
      <c r="M383" s="47">
        <f t="shared" si="100"/>
        <v>163</v>
      </c>
      <c r="N383" s="177">
        <f>SUMIFS('Support - Transition'!G:G,'Support - Transition'!J:J,'Step 2'!D383,'Support - Transition'!E:E,"2009 WELFARE ALLOCATION FACTOR")</f>
        <v>0</v>
      </c>
      <c r="O383" s="152">
        <f t="shared" si="105"/>
        <v>0</v>
      </c>
      <c r="P383" s="126">
        <f>IF(E383="Y",0,SUMIFS('Support - Transition'!G:G,'Support - Transition'!J:J,'Step 2'!D383,'Support - Transition'!E:E,"2009 SCHOOL ALLOCATION FACTOR"))</f>
        <v>0</v>
      </c>
      <c r="Q383" s="126">
        <f>IF(E383="Y",VLOOKUP(D383,'Support - Unit Adjustments'!F:G,2,FALSE),0)</f>
        <v>0</v>
      </c>
      <c r="R383" s="155">
        <f t="shared" si="117"/>
        <v>0</v>
      </c>
      <c r="S383" s="47">
        <f t="shared" si="116"/>
        <v>0</v>
      </c>
      <c r="T383" s="151">
        <f t="shared" si="101"/>
        <v>163</v>
      </c>
      <c r="U383" s="151">
        <f t="shared" si="102"/>
        <v>0</v>
      </c>
      <c r="V383" s="139">
        <f t="shared" si="103"/>
        <v>0</v>
      </c>
      <c r="W383" s="152">
        <f t="shared" si="106"/>
        <v>163</v>
      </c>
      <c r="X383" s="127" t="str">
        <f t="shared" si="104"/>
        <v/>
      </c>
      <c r="Y383" s="207">
        <f t="shared" si="107"/>
        <v>163</v>
      </c>
      <c r="Z383" s="139">
        <f t="shared" si="108"/>
        <v>163</v>
      </c>
      <c r="AA383" s="139">
        <f t="shared" si="109"/>
        <v>0</v>
      </c>
      <c r="AC383" s="47">
        <f t="shared" si="110"/>
        <v>82</v>
      </c>
      <c r="AD383" s="47">
        <f t="shared" si="111"/>
        <v>82</v>
      </c>
      <c r="AE383" s="47">
        <f t="shared" si="112"/>
        <v>0</v>
      </c>
      <c r="AG383" s="47">
        <f t="shared" si="113"/>
        <v>81</v>
      </c>
      <c r="AH383" s="47">
        <f t="shared" si="114"/>
        <v>81</v>
      </c>
      <c r="AI383" s="208">
        <f t="shared" si="115"/>
        <v>0</v>
      </c>
    </row>
    <row r="384" spans="1:35">
      <c r="A384" t="s">
        <v>2101</v>
      </c>
      <c r="B384" t="s">
        <v>3166</v>
      </c>
      <c r="C384" t="s">
        <v>3598</v>
      </c>
      <c r="D384" t="s">
        <v>3599</v>
      </c>
      <c r="F384" t="s">
        <v>325</v>
      </c>
      <c r="G384" s="126">
        <f>SUMIFS('Support - Transition'!F:F,'Support - Transition'!B:B,'Step 2'!A384,'Support - Transition'!C:C,'Step 2'!B384,'Support - Transition'!D:D,'Step 2'!C384,'Support - Transition'!E:E,"CIVIL")</f>
        <v>0</v>
      </c>
      <c r="H384" s="126">
        <f>SUMIFS('Support - Transition'!F:F,'Support - Transition'!B:B,'Step 2'!A384,'Support - Transition'!C:C,'Step 2'!B384,'Support - Transition'!D:D,'Step 2'!C384,'Support - Transition'!E:E,"FIRE")</f>
        <v>0</v>
      </c>
      <c r="I384" s="126">
        <f>IF(B384="0",SUMIFS('Support - Transition'!F:F,'Support - Transition'!J:J,'Step 2'!D384,'Support - Transition'!E:E,"STATE UNIT"),SUMIFS('Support - Transition'!F:F,'Support - Transition'!J:J,'Step 2'!D384))</f>
        <v>2.0639000000000001E-2</v>
      </c>
      <c r="J384" s="126">
        <f>SUMIFS('Support - Unit Adjustments'!E:E,'Support - Unit Adjustments'!F:F,'Step 2'!D384)</f>
        <v>0</v>
      </c>
      <c r="K384" s="126">
        <f t="shared" si="99"/>
        <v>2.0639000000000001E-2</v>
      </c>
      <c r="L384" s="174">
        <f>VLOOKUP(A384,'Step 1'!$A:$E,4,FALSE)</f>
        <v>476173</v>
      </c>
      <c r="M384" s="47">
        <f t="shared" si="100"/>
        <v>9828</v>
      </c>
      <c r="N384" s="177">
        <f>SUMIFS('Support - Transition'!G:G,'Support - Transition'!J:J,'Step 2'!D384,'Support - Transition'!E:E,"2009 WELFARE ALLOCATION FACTOR")</f>
        <v>0</v>
      </c>
      <c r="O384" s="152">
        <f t="shared" si="105"/>
        <v>0</v>
      </c>
      <c r="P384" s="126">
        <f>IF(E384="Y",0,SUMIFS('Support - Transition'!G:G,'Support - Transition'!J:J,'Step 2'!D384,'Support - Transition'!E:E,"2009 SCHOOL ALLOCATION FACTOR"))</f>
        <v>0</v>
      </c>
      <c r="Q384" s="126">
        <f>IF(E384="Y",VLOOKUP(D384,'Support - Unit Adjustments'!F:G,2,FALSE),0)</f>
        <v>0</v>
      </c>
      <c r="R384" s="155">
        <f t="shared" si="117"/>
        <v>0</v>
      </c>
      <c r="S384" s="47">
        <f t="shared" si="116"/>
        <v>0</v>
      </c>
      <c r="T384" s="151">
        <f t="shared" si="101"/>
        <v>9828</v>
      </c>
      <c r="U384" s="151">
        <f t="shared" si="102"/>
        <v>0</v>
      </c>
      <c r="V384" s="139">
        <f t="shared" si="103"/>
        <v>0</v>
      </c>
      <c r="W384" s="152">
        <f t="shared" si="106"/>
        <v>9828</v>
      </c>
      <c r="X384" s="127" t="str">
        <f t="shared" si="104"/>
        <v/>
      </c>
      <c r="Y384" s="207">
        <f t="shared" si="107"/>
        <v>9828</v>
      </c>
      <c r="Z384" s="139">
        <f t="shared" si="108"/>
        <v>9828</v>
      </c>
      <c r="AA384" s="139">
        <f t="shared" si="109"/>
        <v>0</v>
      </c>
      <c r="AC384" s="47">
        <f t="shared" si="110"/>
        <v>4914</v>
      </c>
      <c r="AD384" s="47">
        <f t="shared" si="111"/>
        <v>4914</v>
      </c>
      <c r="AE384" s="47">
        <f t="shared" si="112"/>
        <v>0</v>
      </c>
      <c r="AG384" s="47">
        <f t="shared" si="113"/>
        <v>4914</v>
      </c>
      <c r="AH384" s="47">
        <f t="shared" si="114"/>
        <v>4914</v>
      </c>
      <c r="AI384" s="208">
        <f t="shared" si="115"/>
        <v>0</v>
      </c>
    </row>
    <row r="385" spans="1:35">
      <c r="A385" t="s">
        <v>2101</v>
      </c>
      <c r="B385" t="s">
        <v>3170</v>
      </c>
      <c r="C385" t="s">
        <v>2342</v>
      </c>
      <c r="D385" t="s">
        <v>3600</v>
      </c>
      <c r="F385" t="s">
        <v>328</v>
      </c>
      <c r="G385" s="126">
        <f>SUMIFS('Support - Transition'!F:F,'Support - Transition'!B:B,'Step 2'!A385,'Support - Transition'!C:C,'Step 2'!B385,'Support - Transition'!D:D,'Step 2'!C385,'Support - Transition'!E:E,"CIVIL")</f>
        <v>0</v>
      </c>
      <c r="H385" s="126">
        <f>SUMIFS('Support - Transition'!F:F,'Support - Transition'!B:B,'Step 2'!A385,'Support - Transition'!C:C,'Step 2'!B385,'Support - Transition'!D:D,'Step 2'!C385,'Support - Transition'!E:E,"FIRE")</f>
        <v>0</v>
      </c>
      <c r="I385" s="126">
        <f>IF(B385="0",SUMIFS('Support - Transition'!F:F,'Support - Transition'!J:J,'Step 2'!D385,'Support - Transition'!E:E,"STATE UNIT"),SUMIFS('Support - Transition'!F:F,'Support - Transition'!J:J,'Step 2'!D385))</f>
        <v>4.75E-4</v>
      </c>
      <c r="J385" s="126">
        <f>SUMIFS('Support - Unit Adjustments'!E:E,'Support - Unit Adjustments'!F:F,'Step 2'!D385)</f>
        <v>0</v>
      </c>
      <c r="K385" s="126">
        <f t="shared" si="99"/>
        <v>4.75E-4</v>
      </c>
      <c r="L385" s="174">
        <f>VLOOKUP(A385,'Step 1'!$A:$E,4,FALSE)</f>
        <v>476173</v>
      </c>
      <c r="M385" s="47">
        <f t="shared" si="100"/>
        <v>226</v>
      </c>
      <c r="N385" s="177">
        <f>SUMIFS('Support - Transition'!G:G,'Support - Transition'!J:J,'Step 2'!D385,'Support - Transition'!E:E,"2009 WELFARE ALLOCATION FACTOR")</f>
        <v>0</v>
      </c>
      <c r="O385" s="152">
        <f t="shared" si="105"/>
        <v>0</v>
      </c>
      <c r="P385" s="126">
        <f>IF(E385="Y",0,SUMIFS('Support - Transition'!G:G,'Support - Transition'!J:J,'Step 2'!D385,'Support - Transition'!E:E,"2009 SCHOOL ALLOCATION FACTOR"))</f>
        <v>0</v>
      </c>
      <c r="Q385" s="126">
        <f>IF(E385="Y",VLOOKUP(D385,'Support - Unit Adjustments'!F:G,2,FALSE),0)</f>
        <v>0</v>
      </c>
      <c r="R385" s="155">
        <f t="shared" si="117"/>
        <v>0</v>
      </c>
      <c r="S385" s="47">
        <f t="shared" si="116"/>
        <v>0</v>
      </c>
      <c r="T385" s="151">
        <f t="shared" si="101"/>
        <v>226</v>
      </c>
      <c r="U385" s="151">
        <f t="shared" si="102"/>
        <v>0</v>
      </c>
      <c r="V385" s="139">
        <f t="shared" si="103"/>
        <v>0</v>
      </c>
      <c r="W385" s="152">
        <f t="shared" si="106"/>
        <v>226</v>
      </c>
      <c r="X385" s="127" t="str">
        <f t="shared" si="104"/>
        <v/>
      </c>
      <c r="Y385" s="207">
        <f t="shared" si="107"/>
        <v>226</v>
      </c>
      <c r="Z385" s="139">
        <f t="shared" si="108"/>
        <v>226</v>
      </c>
      <c r="AA385" s="139">
        <f t="shared" si="109"/>
        <v>0</v>
      </c>
      <c r="AC385" s="47">
        <f t="shared" si="110"/>
        <v>113</v>
      </c>
      <c r="AD385" s="47">
        <f t="shared" si="111"/>
        <v>113</v>
      </c>
      <c r="AE385" s="47">
        <f t="shared" si="112"/>
        <v>0</v>
      </c>
      <c r="AG385" s="47">
        <f t="shared" si="113"/>
        <v>113</v>
      </c>
      <c r="AH385" s="47">
        <f t="shared" si="114"/>
        <v>113</v>
      </c>
      <c r="AI385" s="208">
        <f t="shared" si="115"/>
        <v>0</v>
      </c>
    </row>
    <row r="386" spans="1:35">
      <c r="A386" t="s">
        <v>2101</v>
      </c>
      <c r="B386" t="s">
        <v>3170</v>
      </c>
      <c r="C386" t="s">
        <v>3601</v>
      </c>
      <c r="D386" t="s">
        <v>3602</v>
      </c>
      <c r="F386" t="s">
        <v>3603</v>
      </c>
      <c r="G386" s="126">
        <f>SUMIFS('Support - Transition'!F:F,'Support - Transition'!B:B,'Step 2'!A386,'Support - Transition'!C:C,'Step 2'!B386,'Support - Transition'!D:D,'Step 2'!C386,'Support - Transition'!E:E,"CIVIL")</f>
        <v>0</v>
      </c>
      <c r="H386" s="126">
        <f>SUMIFS('Support - Transition'!F:F,'Support - Transition'!B:B,'Step 2'!A386,'Support - Transition'!C:C,'Step 2'!B386,'Support - Transition'!D:D,'Step 2'!C386,'Support - Transition'!E:E,"FIRE")</f>
        <v>0</v>
      </c>
      <c r="I386" s="126">
        <f>IF(B386="0",SUMIFS('Support - Transition'!F:F,'Support - Transition'!J:J,'Step 2'!D386,'Support - Transition'!E:E,"STATE UNIT"),SUMIFS('Support - Transition'!F:F,'Support - Transition'!J:J,'Step 2'!D386))</f>
        <v>1.634E-3</v>
      </c>
      <c r="J386" s="126">
        <f>SUMIFS('Support - Unit Adjustments'!E:E,'Support - Unit Adjustments'!F:F,'Step 2'!D386)</f>
        <v>0</v>
      </c>
      <c r="K386" s="126">
        <f t="shared" ref="K386:K449" si="118">+I386+J386</f>
        <v>1.634E-3</v>
      </c>
      <c r="L386" s="174">
        <f>VLOOKUP(A386,'Step 1'!$A:$E,4,FALSE)</f>
        <v>476173</v>
      </c>
      <c r="M386" s="47">
        <f t="shared" ref="M386:M449" si="119">ROUND(+K386*L386,0)</f>
        <v>778</v>
      </c>
      <c r="N386" s="177">
        <f>SUMIFS('Support - Transition'!G:G,'Support - Transition'!J:J,'Step 2'!D386,'Support - Transition'!E:E,"2009 WELFARE ALLOCATION FACTOR")</f>
        <v>0</v>
      </c>
      <c r="O386" s="152">
        <f t="shared" si="105"/>
        <v>0</v>
      </c>
      <c r="P386" s="126">
        <f>IF(E386="Y",0,SUMIFS('Support - Transition'!G:G,'Support - Transition'!J:J,'Step 2'!D386,'Support - Transition'!E:E,"2009 SCHOOL ALLOCATION FACTOR"))</f>
        <v>0</v>
      </c>
      <c r="Q386" s="126">
        <f>IF(E386="Y",VLOOKUP(D386,'Support - Unit Adjustments'!F:G,2,FALSE),0)</f>
        <v>0</v>
      </c>
      <c r="R386" s="155">
        <f t="shared" si="117"/>
        <v>0</v>
      </c>
      <c r="S386" s="47">
        <f t="shared" si="116"/>
        <v>0</v>
      </c>
      <c r="T386" s="151">
        <f t="shared" ref="T386:T449" si="120">ROUND(+M386-O386-S386,2)</f>
        <v>778</v>
      </c>
      <c r="U386" s="151">
        <f t="shared" ref="U386:U449" si="121">IF(B386="0",SUMIFS(O:O,A:A,A386)+SUMIFS(S:S,A:A,A386)+SUMIFS(T:T,A:A,A386),0)</f>
        <v>0</v>
      </c>
      <c r="V386" s="139">
        <f t="shared" ref="V386:V449" si="122">IF(B386="0",U386-L386,0)</f>
        <v>0</v>
      </c>
      <c r="W386" s="152">
        <f t="shared" si="106"/>
        <v>778</v>
      </c>
      <c r="X386" s="127" t="str">
        <f t="shared" ref="X386:X449" si="123">IF(B386="0",SUMIFS(O:O,A:A,A386)+SUMIFS(S:S,A:A,A386)+SUMIFS(W:W,A:A,A386)-L386,"")</f>
        <v/>
      </c>
      <c r="Y386" s="207">
        <f t="shared" si="107"/>
        <v>778</v>
      </c>
      <c r="Z386" s="139">
        <f t="shared" si="108"/>
        <v>778</v>
      </c>
      <c r="AA386" s="139">
        <f t="shared" si="109"/>
        <v>0</v>
      </c>
      <c r="AC386" s="47">
        <f t="shared" si="110"/>
        <v>389</v>
      </c>
      <c r="AD386" s="47">
        <f t="shared" si="111"/>
        <v>389</v>
      </c>
      <c r="AE386" s="47">
        <f t="shared" si="112"/>
        <v>0</v>
      </c>
      <c r="AG386" s="47">
        <f t="shared" si="113"/>
        <v>389</v>
      </c>
      <c r="AH386" s="47">
        <f t="shared" si="114"/>
        <v>389</v>
      </c>
      <c r="AI386" s="208">
        <f t="shared" si="115"/>
        <v>0</v>
      </c>
    </row>
    <row r="387" spans="1:35">
      <c r="A387" t="s">
        <v>2101</v>
      </c>
      <c r="B387" t="s">
        <v>3170</v>
      </c>
      <c r="C387" t="s">
        <v>3604</v>
      </c>
      <c r="D387" t="s">
        <v>3605</v>
      </c>
      <c r="F387" t="s">
        <v>326</v>
      </c>
      <c r="G387" s="126">
        <f>SUMIFS('Support - Transition'!F:F,'Support - Transition'!B:B,'Step 2'!A387,'Support - Transition'!C:C,'Step 2'!B387,'Support - Transition'!D:D,'Step 2'!C387,'Support - Transition'!E:E,"CIVIL")</f>
        <v>0</v>
      </c>
      <c r="H387" s="126">
        <f>SUMIFS('Support - Transition'!F:F,'Support - Transition'!B:B,'Step 2'!A387,'Support - Transition'!C:C,'Step 2'!B387,'Support - Transition'!D:D,'Step 2'!C387,'Support - Transition'!E:E,"FIRE")</f>
        <v>0</v>
      </c>
      <c r="I387" s="126">
        <f>IF(B387="0",SUMIFS('Support - Transition'!F:F,'Support - Transition'!J:J,'Step 2'!D387,'Support - Transition'!E:E,"STATE UNIT"),SUMIFS('Support - Transition'!F:F,'Support - Transition'!J:J,'Step 2'!D387))</f>
        <v>3.0869999999999999E-3</v>
      </c>
      <c r="J387" s="126">
        <f>SUMIFS('Support - Unit Adjustments'!E:E,'Support - Unit Adjustments'!F:F,'Step 2'!D387)</f>
        <v>0</v>
      </c>
      <c r="K387" s="126">
        <f t="shared" si="118"/>
        <v>3.0869999999999999E-3</v>
      </c>
      <c r="L387" s="174">
        <f>VLOOKUP(A387,'Step 1'!$A:$E,4,FALSE)</f>
        <v>476173</v>
      </c>
      <c r="M387" s="47">
        <f t="shared" si="119"/>
        <v>1470</v>
      </c>
      <c r="N387" s="177">
        <f>SUMIFS('Support - Transition'!G:G,'Support - Transition'!J:J,'Step 2'!D387,'Support - Transition'!E:E,"2009 WELFARE ALLOCATION FACTOR")</f>
        <v>0</v>
      </c>
      <c r="O387" s="152">
        <f t="shared" ref="O387:O450" si="124">ROUND(+N387*M387,0)</f>
        <v>0</v>
      </c>
      <c r="P387" s="126">
        <f>IF(E387="Y",0,SUMIFS('Support - Transition'!G:G,'Support - Transition'!J:J,'Step 2'!D387,'Support - Transition'!E:E,"2009 SCHOOL ALLOCATION FACTOR"))</f>
        <v>0</v>
      </c>
      <c r="Q387" s="126">
        <f>IF(E387="Y",VLOOKUP(D387,'Support - Unit Adjustments'!F:G,2,FALSE),0)</f>
        <v>0</v>
      </c>
      <c r="R387" s="155">
        <f t="shared" si="117"/>
        <v>0</v>
      </c>
      <c r="S387" s="47">
        <f t="shared" si="116"/>
        <v>0</v>
      </c>
      <c r="T387" s="151">
        <f t="shared" si="120"/>
        <v>1470</v>
      </c>
      <c r="U387" s="151">
        <f t="shared" si="121"/>
        <v>0</v>
      </c>
      <c r="V387" s="139">
        <f t="shared" si="122"/>
        <v>0</v>
      </c>
      <c r="W387" s="152">
        <f t="shared" ref="W387:W450" si="125">+T387-V387</f>
        <v>1470</v>
      </c>
      <c r="X387" s="127" t="str">
        <f t="shared" si="123"/>
        <v/>
      </c>
      <c r="Y387" s="207">
        <f t="shared" ref="Y387:Y450" si="126">W387</f>
        <v>1470</v>
      </c>
      <c r="Z387" s="139">
        <f t="shared" ref="Z387:Z450" si="127">IFERROR(IF(B387="2",ROUND(Y387*G387/I387,0),Y387),0)</f>
        <v>1470</v>
      </c>
      <c r="AA387" s="139">
        <f t="shared" ref="AA387:AA450" si="128">+Y387-Z387</f>
        <v>0</v>
      </c>
      <c r="AC387" s="47">
        <f t="shared" ref="AC387:AC450" si="129">ROUND(Y387/2,0)</f>
        <v>735</v>
      </c>
      <c r="AD387" s="47">
        <f t="shared" ref="AD387:AD450" si="130">ROUND(Z387/2,0)</f>
        <v>735</v>
      </c>
      <c r="AE387" s="47">
        <f t="shared" ref="AE387:AE450" si="131">ROUND(AA387/2,0)</f>
        <v>0</v>
      </c>
      <c r="AG387" s="47">
        <f t="shared" ref="AG387:AG450" si="132">+Y387-AC387</f>
        <v>735</v>
      </c>
      <c r="AH387" s="47">
        <f t="shared" ref="AH387:AH450" si="133">+Z387-AD387</f>
        <v>735</v>
      </c>
      <c r="AI387" s="208">
        <f t="shared" ref="AI387:AI450" si="134">+AA387-AE387</f>
        <v>0</v>
      </c>
    </row>
    <row r="388" spans="1:35">
      <c r="A388" t="s">
        <v>2101</v>
      </c>
      <c r="B388" t="s">
        <v>3286</v>
      </c>
      <c r="C388" t="s">
        <v>2192</v>
      </c>
      <c r="D388" t="s">
        <v>3606</v>
      </c>
      <c r="F388" t="s">
        <v>3607</v>
      </c>
      <c r="G388" s="126">
        <f>SUMIFS('Support - Transition'!F:F,'Support - Transition'!B:B,'Step 2'!A388,'Support - Transition'!C:C,'Step 2'!B388,'Support - Transition'!D:D,'Step 2'!C388,'Support - Transition'!E:E,"CIVIL")</f>
        <v>0</v>
      </c>
      <c r="H388" s="126">
        <f>SUMIFS('Support - Transition'!F:F,'Support - Transition'!B:B,'Step 2'!A388,'Support - Transition'!C:C,'Step 2'!B388,'Support - Transition'!D:D,'Step 2'!C388,'Support - Transition'!E:E,"FIRE")</f>
        <v>0</v>
      </c>
      <c r="I388" s="126">
        <f>IF(B388="0",SUMIFS('Support - Transition'!F:F,'Support - Transition'!J:J,'Step 2'!D388,'Support - Transition'!E:E,"STATE UNIT"),SUMIFS('Support - Transition'!F:F,'Support - Transition'!J:J,'Step 2'!D388))</f>
        <v>0</v>
      </c>
      <c r="J388" s="126">
        <f>SUMIFS('Support - Unit Adjustments'!E:E,'Support - Unit Adjustments'!F:F,'Step 2'!D388)</f>
        <v>0</v>
      </c>
      <c r="K388" s="126">
        <f t="shared" si="118"/>
        <v>0</v>
      </c>
      <c r="L388" s="174">
        <f>VLOOKUP(A388,'Step 1'!$A:$E,4,FALSE)</f>
        <v>476173</v>
      </c>
      <c r="M388" s="47">
        <f t="shared" si="119"/>
        <v>0</v>
      </c>
      <c r="N388" s="177">
        <f>SUMIFS('Support - Transition'!G:G,'Support - Transition'!J:J,'Step 2'!D388,'Support - Transition'!E:E,"2009 WELFARE ALLOCATION FACTOR")</f>
        <v>0</v>
      </c>
      <c r="O388" s="152">
        <f t="shared" si="124"/>
        <v>0</v>
      </c>
      <c r="P388" s="126">
        <f>IF(E388="Y",0,SUMIFS('Support - Transition'!G:G,'Support - Transition'!J:J,'Step 2'!D388,'Support - Transition'!E:E,"2009 SCHOOL ALLOCATION FACTOR"))</f>
        <v>0</v>
      </c>
      <c r="Q388" s="126">
        <f>IF(E388="Y",VLOOKUP(D388,'Support - Unit Adjustments'!F:G,2,FALSE),0)</f>
        <v>0</v>
      </c>
      <c r="R388" s="155">
        <f t="shared" si="117"/>
        <v>0</v>
      </c>
      <c r="S388" s="47">
        <f t="shared" si="116"/>
        <v>0</v>
      </c>
      <c r="T388" s="151">
        <f t="shared" si="120"/>
        <v>0</v>
      </c>
      <c r="U388" s="151">
        <f t="shared" si="121"/>
        <v>0</v>
      </c>
      <c r="V388" s="139">
        <f t="shared" si="122"/>
        <v>0</v>
      </c>
      <c r="W388" s="152">
        <f t="shared" si="125"/>
        <v>0</v>
      </c>
      <c r="X388" s="127" t="str">
        <f t="shared" si="123"/>
        <v/>
      </c>
      <c r="Y388" s="207">
        <f t="shared" si="126"/>
        <v>0</v>
      </c>
      <c r="Z388" s="139">
        <f t="shared" si="127"/>
        <v>0</v>
      </c>
      <c r="AA388" s="139">
        <f t="shared" si="128"/>
        <v>0</v>
      </c>
      <c r="AC388" s="47">
        <f t="shared" si="129"/>
        <v>0</v>
      </c>
      <c r="AD388" s="47">
        <f t="shared" si="130"/>
        <v>0</v>
      </c>
      <c r="AE388" s="47">
        <f t="shared" si="131"/>
        <v>0</v>
      </c>
      <c r="AG388" s="47">
        <f t="shared" si="132"/>
        <v>0</v>
      </c>
      <c r="AH388" s="47">
        <f t="shared" si="133"/>
        <v>0</v>
      </c>
      <c r="AI388" s="208">
        <f t="shared" si="134"/>
        <v>0</v>
      </c>
    </row>
    <row r="389" spans="1:35">
      <c r="A389" t="s">
        <v>2102</v>
      </c>
      <c r="B389" s="48" t="s">
        <v>6274</v>
      </c>
      <c r="C389" t="s">
        <v>2187</v>
      </c>
      <c r="D389" t="str">
        <f>A389&amp;B389&amp;C389</f>
        <v>1500000</v>
      </c>
      <c r="F389" t="s">
        <v>6289</v>
      </c>
      <c r="G389" s="126">
        <f>SUMIFS('Support - Transition'!F:F,'Support - Transition'!B:B,'Step 2'!A389,'Support - Transition'!C:C,'Step 2'!B389,'Support - Transition'!D:D,'Step 2'!C389,'Support - Transition'!E:E,"CIVIL")</f>
        <v>0</v>
      </c>
      <c r="H389" s="126">
        <f>SUMIFS('Support - Transition'!F:F,'Support - Transition'!B:B,'Step 2'!A389,'Support - Transition'!C:C,'Step 2'!B389,'Support - Transition'!D:D,'Step 2'!C389,'Support - Transition'!E:E,"FIRE")</f>
        <v>0</v>
      </c>
      <c r="I389" s="126">
        <f>IF(B389="0",SUMIFS('Support - Transition'!F:F,'Support - Transition'!J:J,'Step 2'!D389,'Support - Transition'!E:E,"STATE UNIT"),SUMIFS('Support - Transition'!F:F,'Support - Transition'!J:J,'Step 2'!D389))</f>
        <v>1.1720000000000001E-3</v>
      </c>
      <c r="J389" s="126">
        <f>SUMIFS('Support - Unit Adjustments'!E:E,'Support - Unit Adjustments'!F:F,'Step 2'!D389)</f>
        <v>0</v>
      </c>
      <c r="K389" s="126">
        <f t="shared" si="118"/>
        <v>1.1720000000000001E-3</v>
      </c>
      <c r="L389" s="174">
        <f>VLOOKUP(A389,'Step 1'!$A:$E,4,FALSE)</f>
        <v>195990</v>
      </c>
      <c r="M389" s="47">
        <f t="shared" si="119"/>
        <v>230</v>
      </c>
      <c r="N389" s="177">
        <f>SUMIFS('Support - Transition'!G:G,'Support - Transition'!J:J,'Step 2'!D389,'Support - Transition'!E:E,"2009 WELFARE ALLOCATION FACTOR")</f>
        <v>0</v>
      </c>
      <c r="O389" s="152">
        <f t="shared" si="124"/>
        <v>0</v>
      </c>
      <c r="P389" s="126">
        <f>IF(E389="Y",0,SUMIFS('Support - Transition'!G:G,'Support - Transition'!J:J,'Step 2'!D389,'Support - Transition'!E:E,"2009 SCHOOL ALLOCATION FACTOR"))</f>
        <v>0</v>
      </c>
      <c r="Q389" s="126">
        <f>IF(E389="Y",VLOOKUP(D389,'Support - Unit Adjustments'!F:G,2,FALSE),0)</f>
        <v>0</v>
      </c>
      <c r="R389" s="155">
        <f t="shared" si="117"/>
        <v>0</v>
      </c>
      <c r="S389" s="47">
        <f t="shared" si="116"/>
        <v>0</v>
      </c>
      <c r="T389" s="151">
        <f t="shared" si="120"/>
        <v>230</v>
      </c>
      <c r="U389" s="151">
        <f t="shared" si="121"/>
        <v>195992</v>
      </c>
      <c r="V389" s="139">
        <f t="shared" si="122"/>
        <v>2</v>
      </c>
      <c r="W389" s="152">
        <f t="shared" si="125"/>
        <v>228</v>
      </c>
      <c r="X389" s="127">
        <f t="shared" si="123"/>
        <v>0</v>
      </c>
      <c r="Y389" s="207">
        <f t="shared" si="126"/>
        <v>228</v>
      </c>
      <c r="Z389" s="139">
        <f t="shared" si="127"/>
        <v>228</v>
      </c>
      <c r="AA389" s="139">
        <f t="shared" si="128"/>
        <v>0</v>
      </c>
      <c r="AC389" s="47">
        <f t="shared" si="129"/>
        <v>114</v>
      </c>
      <c r="AD389" s="47">
        <f t="shared" si="130"/>
        <v>114</v>
      </c>
      <c r="AE389" s="47">
        <f t="shared" si="131"/>
        <v>0</v>
      </c>
      <c r="AG389" s="47">
        <f t="shared" si="132"/>
        <v>114</v>
      </c>
      <c r="AH389" s="47">
        <f t="shared" si="133"/>
        <v>114</v>
      </c>
      <c r="AI389" s="208">
        <f t="shared" si="134"/>
        <v>0</v>
      </c>
    </row>
    <row r="390" spans="1:35">
      <c r="A390" t="s">
        <v>2102</v>
      </c>
      <c r="B390" t="s">
        <v>3140</v>
      </c>
      <c r="C390" t="s">
        <v>2187</v>
      </c>
      <c r="D390" t="s">
        <v>3608</v>
      </c>
      <c r="F390" t="s">
        <v>330</v>
      </c>
      <c r="G390" s="126">
        <f>SUMIFS('Support - Transition'!F:F,'Support - Transition'!B:B,'Step 2'!A390,'Support - Transition'!C:C,'Step 2'!B390,'Support - Transition'!D:D,'Step 2'!C390,'Support - Transition'!E:E,"CIVIL")</f>
        <v>0</v>
      </c>
      <c r="H390" s="126">
        <f>SUMIFS('Support - Transition'!F:F,'Support - Transition'!B:B,'Step 2'!A390,'Support - Transition'!C:C,'Step 2'!B390,'Support - Transition'!D:D,'Step 2'!C390,'Support - Transition'!E:E,"FIRE")</f>
        <v>0</v>
      </c>
      <c r="I390" s="126">
        <f>IF(B390="0",SUMIFS('Support - Transition'!F:F,'Support - Transition'!J:J,'Step 2'!D390,'Support - Transition'!E:E,"STATE UNIT"),SUMIFS('Support - Transition'!F:F,'Support - Transition'!J:J,'Step 2'!D390))</f>
        <v>0.20582600000000001</v>
      </c>
      <c r="J390" s="126">
        <f>SUMIFS('Support - Unit Adjustments'!E:E,'Support - Unit Adjustments'!F:F,'Step 2'!D390)</f>
        <v>0</v>
      </c>
      <c r="K390" s="126">
        <f t="shared" si="118"/>
        <v>0.20582600000000001</v>
      </c>
      <c r="L390" s="174">
        <f>VLOOKUP(A390,'Step 1'!$A:$E,4,FALSE)</f>
        <v>195990</v>
      </c>
      <c r="M390" s="47">
        <f t="shared" si="119"/>
        <v>40340</v>
      </c>
      <c r="N390" s="177">
        <f>SUMIFS('Support - Transition'!G:G,'Support - Transition'!J:J,'Step 2'!D390,'Support - Transition'!E:E,"2009 WELFARE ALLOCATION FACTOR")</f>
        <v>0.23113700000000001</v>
      </c>
      <c r="O390" s="152">
        <f t="shared" si="124"/>
        <v>9324</v>
      </c>
      <c r="P390" s="126">
        <f>IF(E390="Y",0,SUMIFS('Support - Transition'!G:G,'Support - Transition'!J:J,'Step 2'!D390,'Support - Transition'!E:E,"2009 SCHOOL ALLOCATION FACTOR"))</f>
        <v>0</v>
      </c>
      <c r="Q390" s="126">
        <f>IF(E390="Y",VLOOKUP(D390,'Support - Unit Adjustments'!F:G,2,FALSE),0)</f>
        <v>0</v>
      </c>
      <c r="R390" s="155">
        <f t="shared" si="117"/>
        <v>0</v>
      </c>
      <c r="S390" s="47">
        <f t="shared" si="116"/>
        <v>0</v>
      </c>
      <c r="T390" s="151">
        <f t="shared" si="120"/>
        <v>31016</v>
      </c>
      <c r="U390" s="151">
        <f t="shared" si="121"/>
        <v>0</v>
      </c>
      <c r="V390" s="139">
        <f t="shared" si="122"/>
        <v>0</v>
      </c>
      <c r="W390" s="152">
        <f t="shared" si="125"/>
        <v>31016</v>
      </c>
      <c r="X390" s="127" t="str">
        <f t="shared" si="123"/>
        <v/>
      </c>
      <c r="Y390" s="207">
        <f t="shared" si="126"/>
        <v>31016</v>
      </c>
      <c r="Z390" s="139">
        <f t="shared" si="127"/>
        <v>31016</v>
      </c>
      <c r="AA390" s="139">
        <f t="shared" si="128"/>
        <v>0</v>
      </c>
      <c r="AC390" s="47">
        <f t="shared" si="129"/>
        <v>15508</v>
      </c>
      <c r="AD390" s="47">
        <f t="shared" si="130"/>
        <v>15508</v>
      </c>
      <c r="AE390" s="47">
        <f t="shared" si="131"/>
        <v>0</v>
      </c>
      <c r="AG390" s="47">
        <f t="shared" si="132"/>
        <v>15508</v>
      </c>
      <c r="AH390" s="47">
        <f t="shared" si="133"/>
        <v>15508</v>
      </c>
      <c r="AI390" s="208">
        <f t="shared" si="134"/>
        <v>0</v>
      </c>
    </row>
    <row r="391" spans="1:35">
      <c r="A391" t="s">
        <v>2102</v>
      </c>
      <c r="B391" t="s">
        <v>3142</v>
      </c>
      <c r="C391" t="s">
        <v>2188</v>
      </c>
      <c r="D391" t="s">
        <v>3609</v>
      </c>
      <c r="F391" t="s">
        <v>331</v>
      </c>
      <c r="G391" s="126">
        <f>SUMIFS('Support - Transition'!F:F,'Support - Transition'!B:B,'Step 2'!A391,'Support - Transition'!C:C,'Step 2'!B391,'Support - Transition'!D:D,'Step 2'!C391,'Support - Transition'!E:E,"CIVIL")</f>
        <v>8.5599999999999999E-4</v>
      </c>
      <c r="H391" s="126">
        <f>SUMIFS('Support - Transition'!F:F,'Support - Transition'!B:B,'Step 2'!A391,'Support - Transition'!C:C,'Step 2'!B391,'Support - Transition'!D:D,'Step 2'!C391,'Support - Transition'!E:E,"FIRE")</f>
        <v>1.5799999999999999E-4</v>
      </c>
      <c r="I391" s="126">
        <f>IF(B391="0",SUMIFS('Support - Transition'!F:F,'Support - Transition'!J:J,'Step 2'!D391,'Support - Transition'!E:E,"STATE UNIT"),SUMIFS('Support - Transition'!F:F,'Support - Transition'!J:J,'Step 2'!D391))</f>
        <v>1.0139999999999999E-3</v>
      </c>
      <c r="J391" s="126">
        <f>SUMIFS('Support - Unit Adjustments'!E:E,'Support - Unit Adjustments'!F:F,'Step 2'!D391)</f>
        <v>0</v>
      </c>
      <c r="K391" s="126">
        <f t="shared" si="118"/>
        <v>1.0139999999999999E-3</v>
      </c>
      <c r="L391" s="174">
        <f>VLOOKUP(A391,'Step 1'!$A:$E,4,FALSE)</f>
        <v>195990</v>
      </c>
      <c r="M391" s="47">
        <f t="shared" si="119"/>
        <v>199</v>
      </c>
      <c r="N391" s="177">
        <f>SUMIFS('Support - Transition'!G:G,'Support - Transition'!J:J,'Step 2'!D391,'Support - Transition'!E:E,"2009 WELFARE ALLOCATION FACTOR")</f>
        <v>0</v>
      </c>
      <c r="O391" s="152">
        <f t="shared" si="124"/>
        <v>0</v>
      </c>
      <c r="P391" s="126">
        <f>IF(E391="Y",0,SUMIFS('Support - Transition'!G:G,'Support - Transition'!J:J,'Step 2'!D391,'Support - Transition'!E:E,"2009 SCHOOL ALLOCATION FACTOR"))</f>
        <v>0</v>
      </c>
      <c r="Q391" s="126">
        <f>IF(E391="Y",VLOOKUP(D391,'Support - Unit Adjustments'!F:G,2,FALSE),0)</f>
        <v>0</v>
      </c>
      <c r="R391" s="155">
        <f t="shared" si="117"/>
        <v>0</v>
      </c>
      <c r="S391" s="47">
        <f t="shared" si="116"/>
        <v>0</v>
      </c>
      <c r="T391" s="151">
        <f t="shared" si="120"/>
        <v>199</v>
      </c>
      <c r="U391" s="151">
        <f t="shared" si="121"/>
        <v>0</v>
      </c>
      <c r="V391" s="139">
        <f t="shared" si="122"/>
        <v>0</v>
      </c>
      <c r="W391" s="152">
        <f t="shared" si="125"/>
        <v>199</v>
      </c>
      <c r="X391" s="127" t="str">
        <f t="shared" si="123"/>
        <v/>
      </c>
      <c r="Y391" s="207">
        <f t="shared" si="126"/>
        <v>199</v>
      </c>
      <c r="Z391" s="139">
        <f t="shared" si="127"/>
        <v>168</v>
      </c>
      <c r="AA391" s="139">
        <f t="shared" si="128"/>
        <v>31</v>
      </c>
      <c r="AC391" s="47">
        <f t="shared" si="129"/>
        <v>100</v>
      </c>
      <c r="AD391" s="47">
        <f t="shared" si="130"/>
        <v>84</v>
      </c>
      <c r="AE391" s="47">
        <f t="shared" si="131"/>
        <v>16</v>
      </c>
      <c r="AG391" s="47">
        <f t="shared" si="132"/>
        <v>99</v>
      </c>
      <c r="AH391" s="47">
        <f t="shared" si="133"/>
        <v>84</v>
      </c>
      <c r="AI391" s="208">
        <f t="shared" si="134"/>
        <v>15</v>
      </c>
    </row>
    <row r="392" spans="1:35">
      <c r="A392" t="s">
        <v>2102</v>
      </c>
      <c r="B392" t="s">
        <v>3142</v>
      </c>
      <c r="C392" t="s">
        <v>2189</v>
      </c>
      <c r="D392" t="s">
        <v>3610</v>
      </c>
      <c r="F392" t="s">
        <v>107</v>
      </c>
      <c r="G392" s="126">
        <f>SUMIFS('Support - Transition'!F:F,'Support - Transition'!B:B,'Step 2'!A392,'Support - Transition'!C:C,'Step 2'!B392,'Support - Transition'!D:D,'Step 2'!C392,'Support - Transition'!E:E,"CIVIL")</f>
        <v>1.0790000000000001E-3</v>
      </c>
      <c r="H392" s="126">
        <f>SUMIFS('Support - Transition'!F:F,'Support - Transition'!B:B,'Step 2'!A392,'Support - Transition'!C:C,'Step 2'!B392,'Support - Transition'!D:D,'Step 2'!C392,'Support - Transition'!E:E,"FIRE")</f>
        <v>2.23E-4</v>
      </c>
      <c r="I392" s="126">
        <f>IF(B392="0",SUMIFS('Support - Transition'!F:F,'Support - Transition'!J:J,'Step 2'!D392,'Support - Transition'!E:E,"STATE UNIT"),SUMIFS('Support - Transition'!F:F,'Support - Transition'!J:J,'Step 2'!D392))</f>
        <v>1.3020000000000002E-3</v>
      </c>
      <c r="J392" s="126">
        <f>SUMIFS('Support - Unit Adjustments'!E:E,'Support - Unit Adjustments'!F:F,'Step 2'!D392)</f>
        <v>0</v>
      </c>
      <c r="K392" s="126">
        <f t="shared" si="118"/>
        <v>1.3020000000000002E-3</v>
      </c>
      <c r="L392" s="174">
        <f>VLOOKUP(A392,'Step 1'!$A:$E,4,FALSE)</f>
        <v>195990</v>
      </c>
      <c r="M392" s="47">
        <f t="shared" si="119"/>
        <v>255</v>
      </c>
      <c r="N392" s="177">
        <f>SUMIFS('Support - Transition'!G:G,'Support - Transition'!J:J,'Step 2'!D392,'Support - Transition'!E:E,"2009 WELFARE ALLOCATION FACTOR")</f>
        <v>0</v>
      </c>
      <c r="O392" s="152">
        <f t="shared" si="124"/>
        <v>0</v>
      </c>
      <c r="P392" s="126">
        <f>IF(E392="Y",0,SUMIFS('Support - Transition'!G:G,'Support - Transition'!J:J,'Step 2'!D392,'Support - Transition'!E:E,"2009 SCHOOL ALLOCATION FACTOR"))</f>
        <v>0</v>
      </c>
      <c r="Q392" s="126">
        <f>IF(E392="Y",VLOOKUP(D392,'Support - Unit Adjustments'!F:G,2,FALSE),0)</f>
        <v>0</v>
      </c>
      <c r="R392" s="155">
        <f t="shared" si="117"/>
        <v>0</v>
      </c>
      <c r="S392" s="47">
        <f t="shared" ref="S392:S455" si="135">ROUND(+R392*M392,0)</f>
        <v>0</v>
      </c>
      <c r="T392" s="151">
        <f t="shared" si="120"/>
        <v>255</v>
      </c>
      <c r="U392" s="151">
        <f t="shared" si="121"/>
        <v>0</v>
      </c>
      <c r="V392" s="139">
        <f t="shared" si="122"/>
        <v>0</v>
      </c>
      <c r="W392" s="152">
        <f t="shared" si="125"/>
        <v>255</v>
      </c>
      <c r="X392" s="127" t="str">
        <f t="shared" si="123"/>
        <v/>
      </c>
      <c r="Y392" s="207">
        <f t="shared" si="126"/>
        <v>255</v>
      </c>
      <c r="Z392" s="139">
        <f t="shared" si="127"/>
        <v>211</v>
      </c>
      <c r="AA392" s="139">
        <f t="shared" si="128"/>
        <v>44</v>
      </c>
      <c r="AC392" s="47">
        <f t="shared" si="129"/>
        <v>128</v>
      </c>
      <c r="AD392" s="47">
        <f t="shared" si="130"/>
        <v>106</v>
      </c>
      <c r="AE392" s="47">
        <f t="shared" si="131"/>
        <v>22</v>
      </c>
      <c r="AG392" s="47">
        <f t="shared" si="132"/>
        <v>127</v>
      </c>
      <c r="AH392" s="47">
        <f t="shared" si="133"/>
        <v>105</v>
      </c>
      <c r="AI392" s="208">
        <f t="shared" si="134"/>
        <v>22</v>
      </c>
    </row>
    <row r="393" spans="1:35">
      <c r="A393" t="s">
        <v>2102</v>
      </c>
      <c r="B393" t="s">
        <v>3142</v>
      </c>
      <c r="C393" t="s">
        <v>2190</v>
      </c>
      <c r="D393" t="s">
        <v>3611</v>
      </c>
      <c r="F393" t="s">
        <v>81</v>
      </c>
      <c r="G393" s="126">
        <f>SUMIFS('Support - Transition'!F:F,'Support - Transition'!B:B,'Step 2'!A393,'Support - Transition'!C:C,'Step 2'!B393,'Support - Transition'!D:D,'Step 2'!C393,'Support - Transition'!E:E,"CIVIL")</f>
        <v>3.3E-4</v>
      </c>
      <c r="H393" s="126">
        <f>SUMIFS('Support - Transition'!F:F,'Support - Transition'!B:B,'Step 2'!A393,'Support - Transition'!C:C,'Step 2'!B393,'Support - Transition'!D:D,'Step 2'!C393,'Support - Transition'!E:E,"FIRE")</f>
        <v>3.86E-4</v>
      </c>
      <c r="I393" s="126">
        <f>IF(B393="0",SUMIFS('Support - Transition'!F:F,'Support - Transition'!J:J,'Step 2'!D393,'Support - Transition'!E:E,"STATE UNIT"),SUMIFS('Support - Transition'!F:F,'Support - Transition'!J:J,'Step 2'!D393))</f>
        <v>7.1600000000000006E-4</v>
      </c>
      <c r="J393" s="126">
        <f>SUMIFS('Support - Unit Adjustments'!E:E,'Support - Unit Adjustments'!F:F,'Step 2'!D393)</f>
        <v>0</v>
      </c>
      <c r="K393" s="126">
        <f t="shared" si="118"/>
        <v>7.1600000000000006E-4</v>
      </c>
      <c r="L393" s="174">
        <f>VLOOKUP(A393,'Step 1'!$A:$E,4,FALSE)</f>
        <v>195990</v>
      </c>
      <c r="M393" s="47">
        <f t="shared" si="119"/>
        <v>140</v>
      </c>
      <c r="N393" s="177">
        <f>SUMIFS('Support - Transition'!G:G,'Support - Transition'!J:J,'Step 2'!D393,'Support - Transition'!E:E,"2009 WELFARE ALLOCATION FACTOR")</f>
        <v>0</v>
      </c>
      <c r="O393" s="152">
        <f t="shared" si="124"/>
        <v>0</v>
      </c>
      <c r="P393" s="126">
        <f>IF(E393="Y",0,SUMIFS('Support - Transition'!G:G,'Support - Transition'!J:J,'Step 2'!D393,'Support - Transition'!E:E,"2009 SCHOOL ALLOCATION FACTOR"))</f>
        <v>0</v>
      </c>
      <c r="Q393" s="126">
        <f>IF(E393="Y",VLOOKUP(D393,'Support - Unit Adjustments'!F:G,2,FALSE),0)</f>
        <v>0</v>
      </c>
      <c r="R393" s="155">
        <f t="shared" ref="R393:R456" si="136">+P393+Q393</f>
        <v>0</v>
      </c>
      <c r="S393" s="47">
        <f t="shared" si="135"/>
        <v>0</v>
      </c>
      <c r="T393" s="151">
        <f t="shared" si="120"/>
        <v>140</v>
      </c>
      <c r="U393" s="151">
        <f t="shared" si="121"/>
        <v>0</v>
      </c>
      <c r="V393" s="139">
        <f t="shared" si="122"/>
        <v>0</v>
      </c>
      <c r="W393" s="152">
        <f t="shared" si="125"/>
        <v>140</v>
      </c>
      <c r="X393" s="127" t="str">
        <f t="shared" si="123"/>
        <v/>
      </c>
      <c r="Y393" s="207">
        <f t="shared" si="126"/>
        <v>140</v>
      </c>
      <c r="Z393" s="139">
        <f t="shared" si="127"/>
        <v>65</v>
      </c>
      <c r="AA393" s="139">
        <f t="shared" si="128"/>
        <v>75</v>
      </c>
      <c r="AC393" s="47">
        <f t="shared" si="129"/>
        <v>70</v>
      </c>
      <c r="AD393" s="47">
        <f t="shared" si="130"/>
        <v>33</v>
      </c>
      <c r="AE393" s="47">
        <f t="shared" si="131"/>
        <v>38</v>
      </c>
      <c r="AG393" s="47">
        <f t="shared" si="132"/>
        <v>70</v>
      </c>
      <c r="AH393" s="47">
        <f t="shared" si="133"/>
        <v>32</v>
      </c>
      <c r="AI393" s="208">
        <f t="shared" si="134"/>
        <v>37</v>
      </c>
    </row>
    <row r="394" spans="1:35">
      <c r="A394" t="s">
        <v>2102</v>
      </c>
      <c r="B394" t="s">
        <v>3142</v>
      </c>
      <c r="C394" t="s">
        <v>2191</v>
      </c>
      <c r="D394" t="s">
        <v>3612</v>
      </c>
      <c r="F394" t="s">
        <v>86</v>
      </c>
      <c r="G394" s="126">
        <f>SUMIFS('Support - Transition'!F:F,'Support - Transition'!B:B,'Step 2'!A394,'Support - Transition'!C:C,'Step 2'!B394,'Support - Transition'!D:D,'Step 2'!C394,'Support - Transition'!E:E,"CIVIL")</f>
        <v>5.9500000000000004E-4</v>
      </c>
      <c r="H394" s="126">
        <f>SUMIFS('Support - Transition'!F:F,'Support - Transition'!B:B,'Step 2'!A394,'Support - Transition'!C:C,'Step 2'!B394,'Support - Transition'!D:D,'Step 2'!C394,'Support - Transition'!E:E,"FIRE")</f>
        <v>7.4399999999999998E-4</v>
      </c>
      <c r="I394" s="126">
        <f>IF(B394="0",SUMIFS('Support - Transition'!F:F,'Support - Transition'!J:J,'Step 2'!D394,'Support - Transition'!E:E,"STATE UNIT"),SUMIFS('Support - Transition'!F:F,'Support - Transition'!J:J,'Step 2'!D394))</f>
        <v>1.3389999999999999E-3</v>
      </c>
      <c r="J394" s="126">
        <f>SUMIFS('Support - Unit Adjustments'!E:E,'Support - Unit Adjustments'!F:F,'Step 2'!D394)</f>
        <v>0</v>
      </c>
      <c r="K394" s="126">
        <f t="shared" si="118"/>
        <v>1.3389999999999999E-3</v>
      </c>
      <c r="L394" s="174">
        <f>VLOOKUP(A394,'Step 1'!$A:$E,4,FALSE)</f>
        <v>195990</v>
      </c>
      <c r="M394" s="47">
        <f t="shared" si="119"/>
        <v>262</v>
      </c>
      <c r="N394" s="177">
        <f>SUMIFS('Support - Transition'!G:G,'Support - Transition'!J:J,'Step 2'!D394,'Support - Transition'!E:E,"2009 WELFARE ALLOCATION FACTOR")</f>
        <v>0</v>
      </c>
      <c r="O394" s="152">
        <f t="shared" si="124"/>
        <v>0</v>
      </c>
      <c r="P394" s="126">
        <f>IF(E394="Y",0,SUMIFS('Support - Transition'!G:G,'Support - Transition'!J:J,'Step 2'!D394,'Support - Transition'!E:E,"2009 SCHOOL ALLOCATION FACTOR"))</f>
        <v>0</v>
      </c>
      <c r="Q394" s="126">
        <f>IF(E394="Y",VLOOKUP(D394,'Support - Unit Adjustments'!F:G,2,FALSE),0)</f>
        <v>0</v>
      </c>
      <c r="R394" s="155">
        <f t="shared" si="136"/>
        <v>0</v>
      </c>
      <c r="S394" s="47">
        <f t="shared" si="135"/>
        <v>0</v>
      </c>
      <c r="T394" s="151">
        <f t="shared" si="120"/>
        <v>262</v>
      </c>
      <c r="U394" s="151">
        <f t="shared" si="121"/>
        <v>0</v>
      </c>
      <c r="V394" s="139">
        <f t="shared" si="122"/>
        <v>0</v>
      </c>
      <c r="W394" s="152">
        <f t="shared" si="125"/>
        <v>262</v>
      </c>
      <c r="X394" s="127" t="str">
        <f t="shared" si="123"/>
        <v/>
      </c>
      <c r="Y394" s="207">
        <f t="shared" si="126"/>
        <v>262</v>
      </c>
      <c r="Z394" s="139">
        <f t="shared" si="127"/>
        <v>116</v>
      </c>
      <c r="AA394" s="139">
        <f t="shared" si="128"/>
        <v>146</v>
      </c>
      <c r="AC394" s="47">
        <f t="shared" si="129"/>
        <v>131</v>
      </c>
      <c r="AD394" s="47">
        <f t="shared" si="130"/>
        <v>58</v>
      </c>
      <c r="AE394" s="47">
        <f t="shared" si="131"/>
        <v>73</v>
      </c>
      <c r="AG394" s="47">
        <f t="shared" si="132"/>
        <v>131</v>
      </c>
      <c r="AH394" s="47">
        <f t="shared" si="133"/>
        <v>58</v>
      </c>
      <c r="AI394" s="208">
        <f t="shared" si="134"/>
        <v>73</v>
      </c>
    </row>
    <row r="395" spans="1:35">
      <c r="A395" t="s">
        <v>2102</v>
      </c>
      <c r="B395" t="s">
        <v>3142</v>
      </c>
      <c r="C395" t="s">
        <v>2192</v>
      </c>
      <c r="D395" t="s">
        <v>3613</v>
      </c>
      <c r="F395" t="s">
        <v>332</v>
      </c>
      <c r="G395" s="126">
        <f>SUMIFS('Support - Transition'!F:F,'Support - Transition'!B:B,'Step 2'!A395,'Support - Transition'!C:C,'Step 2'!B395,'Support - Transition'!D:D,'Step 2'!C395,'Support - Transition'!E:E,"CIVIL")</f>
        <v>5.0199999999999995E-4</v>
      </c>
      <c r="H395" s="126">
        <f>SUMIFS('Support - Transition'!F:F,'Support - Transition'!B:B,'Step 2'!A395,'Support - Transition'!C:C,'Step 2'!B395,'Support - Transition'!D:D,'Step 2'!C395,'Support - Transition'!E:E,"FIRE")</f>
        <v>2.3699999999999999E-4</v>
      </c>
      <c r="I395" s="126">
        <f>IF(B395="0",SUMIFS('Support - Transition'!F:F,'Support - Transition'!J:J,'Step 2'!D395,'Support - Transition'!E:E,"STATE UNIT"),SUMIFS('Support - Transition'!F:F,'Support - Transition'!J:J,'Step 2'!D395))</f>
        <v>7.3899999999999997E-4</v>
      </c>
      <c r="J395" s="126">
        <f>SUMIFS('Support - Unit Adjustments'!E:E,'Support - Unit Adjustments'!F:F,'Step 2'!D395)</f>
        <v>0</v>
      </c>
      <c r="K395" s="126">
        <f t="shared" si="118"/>
        <v>7.3899999999999997E-4</v>
      </c>
      <c r="L395" s="174">
        <f>VLOOKUP(A395,'Step 1'!$A:$E,4,FALSE)</f>
        <v>195990</v>
      </c>
      <c r="M395" s="47">
        <f t="shared" si="119"/>
        <v>145</v>
      </c>
      <c r="N395" s="177">
        <f>SUMIFS('Support - Transition'!G:G,'Support - Transition'!J:J,'Step 2'!D395,'Support - Transition'!E:E,"2009 WELFARE ALLOCATION FACTOR")</f>
        <v>0</v>
      </c>
      <c r="O395" s="152">
        <f t="shared" si="124"/>
        <v>0</v>
      </c>
      <c r="P395" s="126">
        <f>IF(E395="Y",0,SUMIFS('Support - Transition'!G:G,'Support - Transition'!J:J,'Step 2'!D395,'Support - Transition'!E:E,"2009 SCHOOL ALLOCATION FACTOR"))</f>
        <v>0</v>
      </c>
      <c r="Q395" s="126">
        <f>IF(E395="Y",VLOOKUP(D395,'Support - Unit Adjustments'!F:G,2,FALSE),0)</f>
        <v>0</v>
      </c>
      <c r="R395" s="155">
        <f t="shared" si="136"/>
        <v>0</v>
      </c>
      <c r="S395" s="47">
        <f t="shared" si="135"/>
        <v>0</v>
      </c>
      <c r="T395" s="151">
        <f t="shared" si="120"/>
        <v>145</v>
      </c>
      <c r="U395" s="151">
        <f t="shared" si="121"/>
        <v>0</v>
      </c>
      <c r="V395" s="139">
        <f t="shared" si="122"/>
        <v>0</v>
      </c>
      <c r="W395" s="152">
        <f t="shared" si="125"/>
        <v>145</v>
      </c>
      <c r="X395" s="127" t="str">
        <f t="shared" si="123"/>
        <v/>
      </c>
      <c r="Y395" s="207">
        <f t="shared" si="126"/>
        <v>145</v>
      </c>
      <c r="Z395" s="139">
        <f t="shared" si="127"/>
        <v>98</v>
      </c>
      <c r="AA395" s="139">
        <f t="shared" si="128"/>
        <v>47</v>
      </c>
      <c r="AC395" s="47">
        <f t="shared" si="129"/>
        <v>73</v>
      </c>
      <c r="AD395" s="47">
        <f t="shared" si="130"/>
        <v>49</v>
      </c>
      <c r="AE395" s="47">
        <f t="shared" si="131"/>
        <v>24</v>
      </c>
      <c r="AG395" s="47">
        <f t="shared" si="132"/>
        <v>72</v>
      </c>
      <c r="AH395" s="47">
        <f t="shared" si="133"/>
        <v>49</v>
      </c>
      <c r="AI395" s="208">
        <f t="shared" si="134"/>
        <v>23</v>
      </c>
    </row>
    <row r="396" spans="1:35">
      <c r="A396" t="s">
        <v>2102</v>
      </c>
      <c r="B396" t="s">
        <v>3142</v>
      </c>
      <c r="C396" t="s">
        <v>2193</v>
      </c>
      <c r="D396" t="s">
        <v>3614</v>
      </c>
      <c r="F396" t="s">
        <v>49</v>
      </c>
      <c r="G396" s="126">
        <f>SUMIFS('Support - Transition'!F:F,'Support - Transition'!B:B,'Step 2'!A396,'Support - Transition'!C:C,'Step 2'!B396,'Support - Transition'!D:D,'Step 2'!C396,'Support - Transition'!E:E,"CIVIL")</f>
        <v>8.2299999999999995E-4</v>
      </c>
      <c r="H396" s="126">
        <f>SUMIFS('Support - Transition'!F:F,'Support - Transition'!B:B,'Step 2'!A396,'Support - Transition'!C:C,'Step 2'!B396,'Support - Transition'!D:D,'Step 2'!C396,'Support - Transition'!E:E,"FIRE")</f>
        <v>5.1599999999999997E-4</v>
      </c>
      <c r="I396" s="126">
        <f>IF(B396="0",SUMIFS('Support - Transition'!F:F,'Support - Transition'!J:J,'Step 2'!D396,'Support - Transition'!E:E,"STATE UNIT"),SUMIFS('Support - Transition'!F:F,'Support - Transition'!J:J,'Step 2'!D396))</f>
        <v>1.3389999999999999E-3</v>
      </c>
      <c r="J396" s="126">
        <f>SUMIFS('Support - Unit Adjustments'!E:E,'Support - Unit Adjustments'!F:F,'Step 2'!D396)</f>
        <v>0</v>
      </c>
      <c r="K396" s="126">
        <f t="shared" si="118"/>
        <v>1.3389999999999999E-3</v>
      </c>
      <c r="L396" s="174">
        <f>VLOOKUP(A396,'Step 1'!$A:$E,4,FALSE)</f>
        <v>195990</v>
      </c>
      <c r="M396" s="47">
        <f t="shared" si="119"/>
        <v>262</v>
      </c>
      <c r="N396" s="177">
        <f>SUMIFS('Support - Transition'!G:G,'Support - Transition'!J:J,'Step 2'!D396,'Support - Transition'!E:E,"2009 WELFARE ALLOCATION FACTOR")</f>
        <v>0</v>
      </c>
      <c r="O396" s="152">
        <f t="shared" si="124"/>
        <v>0</v>
      </c>
      <c r="P396" s="126">
        <f>IF(E396="Y",0,SUMIFS('Support - Transition'!G:G,'Support - Transition'!J:J,'Step 2'!D396,'Support - Transition'!E:E,"2009 SCHOOL ALLOCATION FACTOR"))</f>
        <v>0</v>
      </c>
      <c r="Q396" s="126">
        <f>IF(E396="Y",VLOOKUP(D396,'Support - Unit Adjustments'!F:G,2,FALSE),0)</f>
        <v>0</v>
      </c>
      <c r="R396" s="155">
        <f t="shared" si="136"/>
        <v>0</v>
      </c>
      <c r="S396" s="47">
        <f t="shared" si="135"/>
        <v>0</v>
      </c>
      <c r="T396" s="151">
        <f t="shared" si="120"/>
        <v>262</v>
      </c>
      <c r="U396" s="151">
        <f t="shared" si="121"/>
        <v>0</v>
      </c>
      <c r="V396" s="139">
        <f t="shared" si="122"/>
        <v>0</v>
      </c>
      <c r="W396" s="152">
        <f t="shared" si="125"/>
        <v>262</v>
      </c>
      <c r="X396" s="127" t="str">
        <f t="shared" si="123"/>
        <v/>
      </c>
      <c r="Y396" s="207">
        <f t="shared" si="126"/>
        <v>262</v>
      </c>
      <c r="Z396" s="139">
        <f t="shared" si="127"/>
        <v>161</v>
      </c>
      <c r="AA396" s="139">
        <f t="shared" si="128"/>
        <v>101</v>
      </c>
      <c r="AC396" s="47">
        <f t="shared" si="129"/>
        <v>131</v>
      </c>
      <c r="AD396" s="47">
        <f t="shared" si="130"/>
        <v>81</v>
      </c>
      <c r="AE396" s="47">
        <f t="shared" si="131"/>
        <v>51</v>
      </c>
      <c r="AG396" s="47">
        <f t="shared" si="132"/>
        <v>131</v>
      </c>
      <c r="AH396" s="47">
        <f t="shared" si="133"/>
        <v>80</v>
      </c>
      <c r="AI396" s="208">
        <f t="shared" si="134"/>
        <v>50</v>
      </c>
    </row>
    <row r="397" spans="1:35">
      <c r="A397" t="s">
        <v>2102</v>
      </c>
      <c r="B397" t="s">
        <v>3142</v>
      </c>
      <c r="C397" t="s">
        <v>2194</v>
      </c>
      <c r="D397" t="s">
        <v>3615</v>
      </c>
      <c r="F397" t="s">
        <v>333</v>
      </c>
      <c r="G397" s="126">
        <f>SUMIFS('Support - Transition'!F:F,'Support - Transition'!B:B,'Step 2'!A397,'Support - Transition'!C:C,'Step 2'!B397,'Support - Transition'!D:D,'Step 2'!C397,'Support - Transition'!E:E,"CIVIL")</f>
        <v>2.5999999999999998E-4</v>
      </c>
      <c r="H397" s="126">
        <f>SUMIFS('Support - Transition'!F:F,'Support - Transition'!B:B,'Step 2'!A397,'Support - Transition'!C:C,'Step 2'!B397,'Support - Transition'!D:D,'Step 2'!C397,'Support - Transition'!E:E,"FIRE")</f>
        <v>2.2800000000000001E-4</v>
      </c>
      <c r="I397" s="126">
        <f>IF(B397="0",SUMIFS('Support - Transition'!F:F,'Support - Transition'!J:J,'Step 2'!D397,'Support - Transition'!E:E,"STATE UNIT"),SUMIFS('Support - Transition'!F:F,'Support - Transition'!J:J,'Step 2'!D397))</f>
        <v>4.8799999999999999E-4</v>
      </c>
      <c r="J397" s="126">
        <f>SUMIFS('Support - Unit Adjustments'!E:E,'Support - Unit Adjustments'!F:F,'Step 2'!D397)</f>
        <v>0</v>
      </c>
      <c r="K397" s="126">
        <f t="shared" si="118"/>
        <v>4.8799999999999999E-4</v>
      </c>
      <c r="L397" s="174">
        <f>VLOOKUP(A397,'Step 1'!$A:$E,4,FALSE)</f>
        <v>195990</v>
      </c>
      <c r="M397" s="47">
        <f t="shared" si="119"/>
        <v>96</v>
      </c>
      <c r="N397" s="177">
        <f>SUMIFS('Support - Transition'!G:G,'Support - Transition'!J:J,'Step 2'!D397,'Support - Transition'!E:E,"2009 WELFARE ALLOCATION FACTOR")</f>
        <v>0</v>
      </c>
      <c r="O397" s="152">
        <f t="shared" si="124"/>
        <v>0</v>
      </c>
      <c r="P397" s="126">
        <f>IF(E397="Y",0,SUMIFS('Support - Transition'!G:G,'Support - Transition'!J:J,'Step 2'!D397,'Support - Transition'!E:E,"2009 SCHOOL ALLOCATION FACTOR"))</f>
        <v>0</v>
      </c>
      <c r="Q397" s="126">
        <f>IF(E397="Y",VLOOKUP(D397,'Support - Unit Adjustments'!F:G,2,FALSE),0)</f>
        <v>0</v>
      </c>
      <c r="R397" s="155">
        <f t="shared" si="136"/>
        <v>0</v>
      </c>
      <c r="S397" s="47">
        <f t="shared" si="135"/>
        <v>0</v>
      </c>
      <c r="T397" s="151">
        <f t="shared" si="120"/>
        <v>96</v>
      </c>
      <c r="U397" s="151">
        <f t="shared" si="121"/>
        <v>0</v>
      </c>
      <c r="V397" s="139">
        <f t="shared" si="122"/>
        <v>0</v>
      </c>
      <c r="W397" s="152">
        <f t="shared" si="125"/>
        <v>96</v>
      </c>
      <c r="X397" s="127" t="str">
        <f t="shared" si="123"/>
        <v/>
      </c>
      <c r="Y397" s="207">
        <f t="shared" si="126"/>
        <v>96</v>
      </c>
      <c r="Z397" s="139">
        <f t="shared" si="127"/>
        <v>51</v>
      </c>
      <c r="AA397" s="139">
        <f t="shared" si="128"/>
        <v>45</v>
      </c>
      <c r="AC397" s="47">
        <f t="shared" si="129"/>
        <v>48</v>
      </c>
      <c r="AD397" s="47">
        <f t="shared" si="130"/>
        <v>26</v>
      </c>
      <c r="AE397" s="47">
        <f t="shared" si="131"/>
        <v>23</v>
      </c>
      <c r="AG397" s="47">
        <f t="shared" si="132"/>
        <v>48</v>
      </c>
      <c r="AH397" s="47">
        <f t="shared" si="133"/>
        <v>25</v>
      </c>
      <c r="AI397" s="208">
        <f t="shared" si="134"/>
        <v>22</v>
      </c>
    </row>
    <row r="398" spans="1:35">
      <c r="A398" t="s">
        <v>2102</v>
      </c>
      <c r="B398" t="s">
        <v>3142</v>
      </c>
      <c r="C398" t="s">
        <v>2195</v>
      </c>
      <c r="D398" t="s">
        <v>3616</v>
      </c>
      <c r="F398" t="s">
        <v>334</v>
      </c>
      <c r="G398" s="126">
        <f>SUMIFS('Support - Transition'!F:F,'Support - Transition'!B:B,'Step 2'!A398,'Support - Transition'!C:C,'Step 2'!B398,'Support - Transition'!D:D,'Step 2'!C398,'Support - Transition'!E:E,"CIVIL")</f>
        <v>1.6739999999999999E-3</v>
      </c>
      <c r="H398" s="126">
        <f>SUMIFS('Support - Transition'!F:F,'Support - Transition'!B:B,'Step 2'!A398,'Support - Transition'!C:C,'Step 2'!B398,'Support - Transition'!D:D,'Step 2'!C398,'Support - Transition'!E:E,"FIRE")</f>
        <v>1.26E-4</v>
      </c>
      <c r="I398" s="126">
        <f>IF(B398="0",SUMIFS('Support - Transition'!F:F,'Support - Transition'!J:J,'Step 2'!D398,'Support - Transition'!E:E,"STATE UNIT"),SUMIFS('Support - Transition'!F:F,'Support - Transition'!J:J,'Step 2'!D398))</f>
        <v>1.8E-3</v>
      </c>
      <c r="J398" s="126">
        <f>SUMIFS('Support - Unit Adjustments'!E:E,'Support - Unit Adjustments'!F:F,'Step 2'!D398)</f>
        <v>0</v>
      </c>
      <c r="K398" s="126">
        <f t="shared" si="118"/>
        <v>1.8E-3</v>
      </c>
      <c r="L398" s="174">
        <f>VLOOKUP(A398,'Step 1'!$A:$E,4,FALSE)</f>
        <v>195990</v>
      </c>
      <c r="M398" s="47">
        <f t="shared" si="119"/>
        <v>353</v>
      </c>
      <c r="N398" s="177">
        <f>SUMIFS('Support - Transition'!G:G,'Support - Transition'!J:J,'Step 2'!D398,'Support - Transition'!E:E,"2009 WELFARE ALLOCATION FACTOR")</f>
        <v>0</v>
      </c>
      <c r="O398" s="152">
        <f t="shared" si="124"/>
        <v>0</v>
      </c>
      <c r="P398" s="126">
        <f>IF(E398="Y",0,SUMIFS('Support - Transition'!G:G,'Support - Transition'!J:J,'Step 2'!D398,'Support - Transition'!E:E,"2009 SCHOOL ALLOCATION FACTOR"))</f>
        <v>0</v>
      </c>
      <c r="Q398" s="126">
        <f>IF(E398="Y",VLOOKUP(D398,'Support - Unit Adjustments'!F:G,2,FALSE),0)</f>
        <v>0</v>
      </c>
      <c r="R398" s="155">
        <f t="shared" si="136"/>
        <v>0</v>
      </c>
      <c r="S398" s="47">
        <f t="shared" si="135"/>
        <v>0</v>
      </c>
      <c r="T398" s="151">
        <f t="shared" si="120"/>
        <v>353</v>
      </c>
      <c r="U398" s="151">
        <f t="shared" si="121"/>
        <v>0</v>
      </c>
      <c r="V398" s="139">
        <f t="shared" si="122"/>
        <v>0</v>
      </c>
      <c r="W398" s="152">
        <f t="shared" si="125"/>
        <v>353</v>
      </c>
      <c r="X398" s="127" t="str">
        <f t="shared" si="123"/>
        <v/>
      </c>
      <c r="Y398" s="207">
        <f t="shared" si="126"/>
        <v>353</v>
      </c>
      <c r="Z398" s="139">
        <f t="shared" si="127"/>
        <v>328</v>
      </c>
      <c r="AA398" s="139">
        <f t="shared" si="128"/>
        <v>25</v>
      </c>
      <c r="AC398" s="47">
        <f t="shared" si="129"/>
        <v>177</v>
      </c>
      <c r="AD398" s="47">
        <f t="shared" si="130"/>
        <v>164</v>
      </c>
      <c r="AE398" s="47">
        <f t="shared" si="131"/>
        <v>13</v>
      </c>
      <c r="AG398" s="47">
        <f t="shared" si="132"/>
        <v>176</v>
      </c>
      <c r="AH398" s="47">
        <f t="shared" si="133"/>
        <v>164</v>
      </c>
      <c r="AI398" s="208">
        <f t="shared" si="134"/>
        <v>12</v>
      </c>
    </row>
    <row r="399" spans="1:35">
      <c r="A399" t="s">
        <v>2102</v>
      </c>
      <c r="B399" t="s">
        <v>3142</v>
      </c>
      <c r="C399" t="s">
        <v>2196</v>
      </c>
      <c r="D399" t="s">
        <v>3617</v>
      </c>
      <c r="F399" t="s">
        <v>335</v>
      </c>
      <c r="G399" s="126">
        <f>SUMIFS('Support - Transition'!F:F,'Support - Transition'!B:B,'Step 2'!A399,'Support - Transition'!C:C,'Step 2'!B399,'Support - Transition'!D:D,'Step 2'!C399,'Support - Transition'!E:E,"CIVIL")</f>
        <v>3.1599999999999998E-4</v>
      </c>
      <c r="H399" s="126">
        <f>SUMIFS('Support - Transition'!F:F,'Support - Transition'!B:B,'Step 2'!A399,'Support - Transition'!C:C,'Step 2'!B399,'Support - Transition'!D:D,'Step 2'!C399,'Support - Transition'!E:E,"FIRE")</f>
        <v>2.7399999999999999E-4</v>
      </c>
      <c r="I399" s="126">
        <f>IF(B399="0",SUMIFS('Support - Transition'!F:F,'Support - Transition'!J:J,'Step 2'!D399,'Support - Transition'!E:E,"STATE UNIT"),SUMIFS('Support - Transition'!F:F,'Support - Transition'!J:J,'Step 2'!D399))</f>
        <v>5.9000000000000003E-4</v>
      </c>
      <c r="J399" s="126">
        <f>SUMIFS('Support - Unit Adjustments'!E:E,'Support - Unit Adjustments'!F:F,'Step 2'!D399)</f>
        <v>0</v>
      </c>
      <c r="K399" s="126">
        <f t="shared" si="118"/>
        <v>5.9000000000000003E-4</v>
      </c>
      <c r="L399" s="174">
        <f>VLOOKUP(A399,'Step 1'!$A:$E,4,FALSE)</f>
        <v>195990</v>
      </c>
      <c r="M399" s="47">
        <f t="shared" si="119"/>
        <v>116</v>
      </c>
      <c r="N399" s="177">
        <f>SUMIFS('Support - Transition'!G:G,'Support - Transition'!J:J,'Step 2'!D399,'Support - Transition'!E:E,"2009 WELFARE ALLOCATION FACTOR")</f>
        <v>0</v>
      </c>
      <c r="O399" s="152">
        <f t="shared" si="124"/>
        <v>0</v>
      </c>
      <c r="P399" s="126">
        <f>IF(E399="Y",0,SUMIFS('Support - Transition'!G:G,'Support - Transition'!J:J,'Step 2'!D399,'Support - Transition'!E:E,"2009 SCHOOL ALLOCATION FACTOR"))</f>
        <v>0</v>
      </c>
      <c r="Q399" s="126">
        <f>IF(E399="Y",VLOOKUP(D399,'Support - Unit Adjustments'!F:G,2,FALSE),0)</f>
        <v>0</v>
      </c>
      <c r="R399" s="155">
        <f t="shared" si="136"/>
        <v>0</v>
      </c>
      <c r="S399" s="47">
        <f t="shared" si="135"/>
        <v>0</v>
      </c>
      <c r="T399" s="151">
        <f t="shared" si="120"/>
        <v>116</v>
      </c>
      <c r="U399" s="151">
        <f t="shared" si="121"/>
        <v>0</v>
      </c>
      <c r="V399" s="139">
        <f t="shared" si="122"/>
        <v>0</v>
      </c>
      <c r="W399" s="152">
        <f t="shared" si="125"/>
        <v>116</v>
      </c>
      <c r="X399" s="127" t="str">
        <f t="shared" si="123"/>
        <v/>
      </c>
      <c r="Y399" s="207">
        <f t="shared" si="126"/>
        <v>116</v>
      </c>
      <c r="Z399" s="139">
        <f t="shared" si="127"/>
        <v>62</v>
      </c>
      <c r="AA399" s="139">
        <f t="shared" si="128"/>
        <v>54</v>
      </c>
      <c r="AC399" s="47">
        <f t="shared" si="129"/>
        <v>58</v>
      </c>
      <c r="AD399" s="47">
        <f t="shared" si="130"/>
        <v>31</v>
      </c>
      <c r="AE399" s="47">
        <f t="shared" si="131"/>
        <v>27</v>
      </c>
      <c r="AG399" s="47">
        <f t="shared" si="132"/>
        <v>58</v>
      </c>
      <c r="AH399" s="47">
        <f t="shared" si="133"/>
        <v>31</v>
      </c>
      <c r="AI399" s="208">
        <f t="shared" si="134"/>
        <v>27</v>
      </c>
    </row>
    <row r="400" spans="1:35">
      <c r="A400" t="s">
        <v>2102</v>
      </c>
      <c r="B400" t="s">
        <v>3142</v>
      </c>
      <c r="C400" t="s">
        <v>2197</v>
      </c>
      <c r="D400" t="s">
        <v>3618</v>
      </c>
      <c r="F400" t="s">
        <v>336</v>
      </c>
      <c r="G400" s="126">
        <f>SUMIFS('Support - Transition'!F:F,'Support - Transition'!B:B,'Step 2'!A400,'Support - Transition'!C:C,'Step 2'!B400,'Support - Transition'!D:D,'Step 2'!C400,'Support - Transition'!E:E,"CIVIL")</f>
        <v>9.5299999999999996E-4</v>
      </c>
      <c r="H400" s="126">
        <f>SUMIFS('Support - Transition'!F:F,'Support - Transition'!B:B,'Step 2'!A400,'Support - Transition'!C:C,'Step 2'!B400,'Support - Transition'!D:D,'Step 2'!C400,'Support - Transition'!E:E,"FIRE")</f>
        <v>6.2799999999999998E-4</v>
      </c>
      <c r="I400" s="126">
        <f>IF(B400="0",SUMIFS('Support - Transition'!F:F,'Support - Transition'!J:J,'Step 2'!D400,'Support - Transition'!E:E,"STATE UNIT"),SUMIFS('Support - Transition'!F:F,'Support - Transition'!J:J,'Step 2'!D400))</f>
        <v>1.5809999999999999E-3</v>
      </c>
      <c r="J400" s="126">
        <f>SUMIFS('Support - Unit Adjustments'!E:E,'Support - Unit Adjustments'!F:F,'Step 2'!D400)</f>
        <v>0</v>
      </c>
      <c r="K400" s="126">
        <f t="shared" si="118"/>
        <v>1.5809999999999999E-3</v>
      </c>
      <c r="L400" s="174">
        <f>VLOOKUP(A400,'Step 1'!$A:$E,4,FALSE)</f>
        <v>195990</v>
      </c>
      <c r="M400" s="47">
        <f t="shared" si="119"/>
        <v>310</v>
      </c>
      <c r="N400" s="177">
        <f>SUMIFS('Support - Transition'!G:G,'Support - Transition'!J:J,'Step 2'!D400,'Support - Transition'!E:E,"2009 WELFARE ALLOCATION FACTOR")</f>
        <v>0</v>
      </c>
      <c r="O400" s="152">
        <f t="shared" si="124"/>
        <v>0</v>
      </c>
      <c r="P400" s="126">
        <f>IF(E400="Y",0,SUMIFS('Support - Transition'!G:G,'Support - Transition'!J:J,'Step 2'!D400,'Support - Transition'!E:E,"2009 SCHOOL ALLOCATION FACTOR"))</f>
        <v>0</v>
      </c>
      <c r="Q400" s="126">
        <f>IF(E400="Y",VLOOKUP(D400,'Support - Unit Adjustments'!F:G,2,FALSE),0)</f>
        <v>0</v>
      </c>
      <c r="R400" s="155">
        <f t="shared" si="136"/>
        <v>0</v>
      </c>
      <c r="S400" s="47">
        <f t="shared" si="135"/>
        <v>0</v>
      </c>
      <c r="T400" s="151">
        <f t="shared" si="120"/>
        <v>310</v>
      </c>
      <c r="U400" s="151">
        <f t="shared" si="121"/>
        <v>0</v>
      </c>
      <c r="V400" s="139">
        <f t="shared" si="122"/>
        <v>0</v>
      </c>
      <c r="W400" s="152">
        <f t="shared" si="125"/>
        <v>310</v>
      </c>
      <c r="X400" s="127" t="str">
        <f t="shared" si="123"/>
        <v/>
      </c>
      <c r="Y400" s="207">
        <f t="shared" si="126"/>
        <v>310</v>
      </c>
      <c r="Z400" s="139">
        <f t="shared" si="127"/>
        <v>187</v>
      </c>
      <c r="AA400" s="139">
        <f t="shared" si="128"/>
        <v>123</v>
      </c>
      <c r="AC400" s="47">
        <f t="shared" si="129"/>
        <v>155</v>
      </c>
      <c r="AD400" s="47">
        <f t="shared" si="130"/>
        <v>94</v>
      </c>
      <c r="AE400" s="47">
        <f t="shared" si="131"/>
        <v>62</v>
      </c>
      <c r="AG400" s="47">
        <f t="shared" si="132"/>
        <v>155</v>
      </c>
      <c r="AH400" s="47">
        <f t="shared" si="133"/>
        <v>93</v>
      </c>
      <c r="AI400" s="208">
        <f t="shared" si="134"/>
        <v>61</v>
      </c>
    </row>
    <row r="401" spans="1:35">
      <c r="A401" t="s">
        <v>2102</v>
      </c>
      <c r="B401" t="s">
        <v>3142</v>
      </c>
      <c r="C401" t="s">
        <v>2198</v>
      </c>
      <c r="D401" t="s">
        <v>3619</v>
      </c>
      <c r="F401" t="s">
        <v>337</v>
      </c>
      <c r="G401" s="126">
        <f>SUMIFS('Support - Transition'!F:F,'Support - Transition'!B:B,'Step 2'!A401,'Support - Transition'!C:C,'Step 2'!B401,'Support - Transition'!D:D,'Step 2'!C401,'Support - Transition'!E:E,"CIVIL")</f>
        <v>6.7900000000000002E-4</v>
      </c>
      <c r="H401" s="126">
        <f>SUMIFS('Support - Transition'!F:F,'Support - Transition'!B:B,'Step 2'!A401,'Support - Transition'!C:C,'Step 2'!B401,'Support - Transition'!D:D,'Step 2'!C401,'Support - Transition'!E:E,"FIRE")</f>
        <v>6.4599999999999998E-4</v>
      </c>
      <c r="I401" s="126">
        <f>IF(B401="0",SUMIFS('Support - Transition'!F:F,'Support - Transition'!J:J,'Step 2'!D401,'Support - Transition'!E:E,"STATE UNIT"),SUMIFS('Support - Transition'!F:F,'Support - Transition'!J:J,'Step 2'!D401))</f>
        <v>1.325E-3</v>
      </c>
      <c r="J401" s="126">
        <f>SUMIFS('Support - Unit Adjustments'!E:E,'Support - Unit Adjustments'!F:F,'Step 2'!D401)</f>
        <v>0</v>
      </c>
      <c r="K401" s="126">
        <f t="shared" si="118"/>
        <v>1.325E-3</v>
      </c>
      <c r="L401" s="174">
        <f>VLOOKUP(A401,'Step 1'!$A:$E,4,FALSE)</f>
        <v>195990</v>
      </c>
      <c r="M401" s="47">
        <f t="shared" si="119"/>
        <v>260</v>
      </c>
      <c r="N401" s="177">
        <f>SUMIFS('Support - Transition'!G:G,'Support - Transition'!J:J,'Step 2'!D401,'Support - Transition'!E:E,"2009 WELFARE ALLOCATION FACTOR")</f>
        <v>0</v>
      </c>
      <c r="O401" s="152">
        <f t="shared" si="124"/>
        <v>0</v>
      </c>
      <c r="P401" s="126">
        <f>IF(E401="Y",0,SUMIFS('Support - Transition'!G:G,'Support - Transition'!J:J,'Step 2'!D401,'Support - Transition'!E:E,"2009 SCHOOL ALLOCATION FACTOR"))</f>
        <v>0</v>
      </c>
      <c r="Q401" s="126">
        <f>IF(E401="Y",VLOOKUP(D401,'Support - Unit Adjustments'!F:G,2,FALSE),0)</f>
        <v>0</v>
      </c>
      <c r="R401" s="155">
        <f t="shared" si="136"/>
        <v>0</v>
      </c>
      <c r="S401" s="47">
        <f t="shared" si="135"/>
        <v>0</v>
      </c>
      <c r="T401" s="151">
        <f t="shared" si="120"/>
        <v>260</v>
      </c>
      <c r="U401" s="151">
        <f t="shared" si="121"/>
        <v>0</v>
      </c>
      <c r="V401" s="139">
        <f t="shared" si="122"/>
        <v>0</v>
      </c>
      <c r="W401" s="152">
        <f t="shared" si="125"/>
        <v>260</v>
      </c>
      <c r="X401" s="127" t="str">
        <f t="shared" si="123"/>
        <v/>
      </c>
      <c r="Y401" s="207">
        <f t="shared" si="126"/>
        <v>260</v>
      </c>
      <c r="Z401" s="139">
        <f t="shared" si="127"/>
        <v>133</v>
      </c>
      <c r="AA401" s="139">
        <f t="shared" si="128"/>
        <v>127</v>
      </c>
      <c r="AC401" s="47">
        <f t="shared" si="129"/>
        <v>130</v>
      </c>
      <c r="AD401" s="47">
        <f t="shared" si="130"/>
        <v>67</v>
      </c>
      <c r="AE401" s="47">
        <f t="shared" si="131"/>
        <v>64</v>
      </c>
      <c r="AG401" s="47">
        <f t="shared" si="132"/>
        <v>130</v>
      </c>
      <c r="AH401" s="47">
        <f t="shared" si="133"/>
        <v>66</v>
      </c>
      <c r="AI401" s="208">
        <f t="shared" si="134"/>
        <v>63</v>
      </c>
    </row>
    <row r="402" spans="1:35">
      <c r="A402" t="s">
        <v>2102</v>
      </c>
      <c r="B402" t="s">
        <v>3142</v>
      </c>
      <c r="C402" t="s">
        <v>2199</v>
      </c>
      <c r="D402" t="s">
        <v>3620</v>
      </c>
      <c r="F402" t="s">
        <v>338</v>
      </c>
      <c r="G402" s="126">
        <f>SUMIFS('Support - Transition'!F:F,'Support - Transition'!B:B,'Step 2'!A402,'Support - Transition'!C:C,'Step 2'!B402,'Support - Transition'!D:D,'Step 2'!C402,'Support - Transition'!E:E,"CIVIL")</f>
        <v>3.7199999999999999E-4</v>
      </c>
      <c r="H402" s="126">
        <f>SUMIFS('Support - Transition'!F:F,'Support - Transition'!B:B,'Step 2'!A402,'Support - Transition'!C:C,'Step 2'!B402,'Support - Transition'!D:D,'Step 2'!C402,'Support - Transition'!E:E,"FIRE")</f>
        <v>2.1900000000000001E-4</v>
      </c>
      <c r="I402" s="126">
        <f>IF(B402="0",SUMIFS('Support - Transition'!F:F,'Support - Transition'!J:J,'Step 2'!D402,'Support - Transition'!E:E,"STATE UNIT"),SUMIFS('Support - Transition'!F:F,'Support - Transition'!J:J,'Step 2'!D402))</f>
        <v>5.9099999999999995E-4</v>
      </c>
      <c r="J402" s="126">
        <f>SUMIFS('Support - Unit Adjustments'!E:E,'Support - Unit Adjustments'!F:F,'Step 2'!D402)</f>
        <v>0</v>
      </c>
      <c r="K402" s="126">
        <f t="shared" si="118"/>
        <v>5.9099999999999995E-4</v>
      </c>
      <c r="L402" s="174">
        <f>VLOOKUP(A402,'Step 1'!$A:$E,4,FALSE)</f>
        <v>195990</v>
      </c>
      <c r="M402" s="47">
        <f t="shared" si="119"/>
        <v>116</v>
      </c>
      <c r="N402" s="177">
        <f>SUMIFS('Support - Transition'!G:G,'Support - Transition'!J:J,'Step 2'!D402,'Support - Transition'!E:E,"2009 WELFARE ALLOCATION FACTOR")</f>
        <v>0</v>
      </c>
      <c r="O402" s="152">
        <f t="shared" si="124"/>
        <v>0</v>
      </c>
      <c r="P402" s="126">
        <f>IF(E402="Y",0,SUMIFS('Support - Transition'!G:G,'Support - Transition'!J:J,'Step 2'!D402,'Support - Transition'!E:E,"2009 SCHOOL ALLOCATION FACTOR"))</f>
        <v>0</v>
      </c>
      <c r="Q402" s="126">
        <f>IF(E402="Y",VLOOKUP(D402,'Support - Unit Adjustments'!F:G,2,FALSE),0)</f>
        <v>0</v>
      </c>
      <c r="R402" s="155">
        <f t="shared" si="136"/>
        <v>0</v>
      </c>
      <c r="S402" s="47">
        <f t="shared" si="135"/>
        <v>0</v>
      </c>
      <c r="T402" s="151">
        <f t="shared" si="120"/>
        <v>116</v>
      </c>
      <c r="U402" s="151">
        <f t="shared" si="121"/>
        <v>0</v>
      </c>
      <c r="V402" s="139">
        <f t="shared" si="122"/>
        <v>0</v>
      </c>
      <c r="W402" s="152">
        <f t="shared" si="125"/>
        <v>116</v>
      </c>
      <c r="X402" s="127" t="str">
        <f t="shared" si="123"/>
        <v/>
      </c>
      <c r="Y402" s="207">
        <f t="shared" si="126"/>
        <v>116</v>
      </c>
      <c r="Z402" s="139">
        <f t="shared" si="127"/>
        <v>73</v>
      </c>
      <c r="AA402" s="139">
        <f t="shared" si="128"/>
        <v>43</v>
      </c>
      <c r="AC402" s="47">
        <f t="shared" si="129"/>
        <v>58</v>
      </c>
      <c r="AD402" s="47">
        <f t="shared" si="130"/>
        <v>37</v>
      </c>
      <c r="AE402" s="47">
        <f t="shared" si="131"/>
        <v>22</v>
      </c>
      <c r="AG402" s="47">
        <f t="shared" si="132"/>
        <v>58</v>
      </c>
      <c r="AH402" s="47">
        <f t="shared" si="133"/>
        <v>36</v>
      </c>
      <c r="AI402" s="208">
        <f t="shared" si="134"/>
        <v>21</v>
      </c>
    </row>
    <row r="403" spans="1:35">
      <c r="A403" t="s">
        <v>2102</v>
      </c>
      <c r="B403" t="s">
        <v>3142</v>
      </c>
      <c r="C403" t="s">
        <v>2208</v>
      </c>
      <c r="D403" t="s">
        <v>3621</v>
      </c>
      <c r="F403" t="s">
        <v>22</v>
      </c>
      <c r="G403" s="126">
        <f>SUMIFS('Support - Transition'!F:F,'Support - Transition'!B:B,'Step 2'!A403,'Support - Transition'!C:C,'Step 2'!B403,'Support - Transition'!D:D,'Step 2'!C403,'Support - Transition'!E:E,"CIVIL")</f>
        <v>5.6700000000000001E-4</v>
      </c>
      <c r="H403" s="126">
        <f>SUMIFS('Support - Transition'!F:F,'Support - Transition'!B:B,'Step 2'!A403,'Support - Transition'!C:C,'Step 2'!B403,'Support - Transition'!D:D,'Step 2'!C403,'Support - Transition'!E:E,"FIRE")</f>
        <v>2.9300000000000002E-4</v>
      </c>
      <c r="I403" s="126">
        <f>IF(B403="0",SUMIFS('Support - Transition'!F:F,'Support - Transition'!J:J,'Step 2'!D403,'Support - Transition'!E:E,"STATE UNIT"),SUMIFS('Support - Transition'!F:F,'Support - Transition'!J:J,'Step 2'!D403))</f>
        <v>8.6000000000000009E-4</v>
      </c>
      <c r="J403" s="126">
        <f>SUMIFS('Support - Unit Adjustments'!E:E,'Support - Unit Adjustments'!F:F,'Step 2'!D403)</f>
        <v>0</v>
      </c>
      <c r="K403" s="126">
        <f t="shared" si="118"/>
        <v>8.6000000000000009E-4</v>
      </c>
      <c r="L403" s="174">
        <f>VLOOKUP(A403,'Step 1'!$A:$E,4,FALSE)</f>
        <v>195990</v>
      </c>
      <c r="M403" s="47">
        <f t="shared" si="119"/>
        <v>169</v>
      </c>
      <c r="N403" s="177">
        <f>SUMIFS('Support - Transition'!G:G,'Support - Transition'!J:J,'Step 2'!D403,'Support - Transition'!E:E,"2009 WELFARE ALLOCATION FACTOR")</f>
        <v>0</v>
      </c>
      <c r="O403" s="152">
        <f t="shared" si="124"/>
        <v>0</v>
      </c>
      <c r="P403" s="126">
        <f>IF(E403="Y",0,SUMIFS('Support - Transition'!G:G,'Support - Transition'!J:J,'Step 2'!D403,'Support - Transition'!E:E,"2009 SCHOOL ALLOCATION FACTOR"))</f>
        <v>0</v>
      </c>
      <c r="Q403" s="126">
        <f>IF(E403="Y",VLOOKUP(D403,'Support - Unit Adjustments'!F:G,2,FALSE),0)</f>
        <v>0</v>
      </c>
      <c r="R403" s="155">
        <f t="shared" si="136"/>
        <v>0</v>
      </c>
      <c r="S403" s="47">
        <f t="shared" si="135"/>
        <v>0</v>
      </c>
      <c r="T403" s="151">
        <f t="shared" si="120"/>
        <v>169</v>
      </c>
      <c r="U403" s="151">
        <f t="shared" si="121"/>
        <v>0</v>
      </c>
      <c r="V403" s="139">
        <f t="shared" si="122"/>
        <v>0</v>
      </c>
      <c r="W403" s="152">
        <f t="shared" si="125"/>
        <v>169</v>
      </c>
      <c r="X403" s="127" t="str">
        <f t="shared" si="123"/>
        <v/>
      </c>
      <c r="Y403" s="207">
        <f t="shared" si="126"/>
        <v>169</v>
      </c>
      <c r="Z403" s="139">
        <f t="shared" si="127"/>
        <v>111</v>
      </c>
      <c r="AA403" s="139">
        <f t="shared" si="128"/>
        <v>58</v>
      </c>
      <c r="AC403" s="47">
        <f t="shared" si="129"/>
        <v>85</v>
      </c>
      <c r="AD403" s="47">
        <f t="shared" si="130"/>
        <v>56</v>
      </c>
      <c r="AE403" s="47">
        <f t="shared" si="131"/>
        <v>29</v>
      </c>
      <c r="AG403" s="47">
        <f t="shared" si="132"/>
        <v>84</v>
      </c>
      <c r="AH403" s="47">
        <f t="shared" si="133"/>
        <v>55</v>
      </c>
      <c r="AI403" s="208">
        <f t="shared" si="134"/>
        <v>29</v>
      </c>
    </row>
    <row r="404" spans="1:35">
      <c r="A404" t="s">
        <v>2102</v>
      </c>
      <c r="B404" t="s">
        <v>3142</v>
      </c>
      <c r="C404" t="s">
        <v>2209</v>
      </c>
      <c r="D404" t="s">
        <v>3622</v>
      </c>
      <c r="F404" t="s">
        <v>115</v>
      </c>
      <c r="G404" s="126">
        <f>SUMIFS('Support - Transition'!F:F,'Support - Transition'!B:B,'Step 2'!A404,'Support - Transition'!C:C,'Step 2'!B404,'Support - Transition'!D:D,'Step 2'!C404,'Support - Transition'!E:E,"CIVIL")</f>
        <v>4.1999999999999998E-5</v>
      </c>
      <c r="H404" s="126">
        <f>SUMIFS('Support - Transition'!F:F,'Support - Transition'!B:B,'Step 2'!A404,'Support - Transition'!C:C,'Step 2'!B404,'Support - Transition'!D:D,'Step 2'!C404,'Support - Transition'!E:E,"FIRE")</f>
        <v>3.3000000000000003E-5</v>
      </c>
      <c r="I404" s="126">
        <f>IF(B404="0",SUMIFS('Support - Transition'!F:F,'Support - Transition'!J:J,'Step 2'!D404,'Support - Transition'!E:E,"STATE UNIT"),SUMIFS('Support - Transition'!F:F,'Support - Transition'!J:J,'Step 2'!D404))</f>
        <v>7.5000000000000007E-5</v>
      </c>
      <c r="J404" s="126">
        <f>SUMIFS('Support - Unit Adjustments'!E:E,'Support - Unit Adjustments'!F:F,'Step 2'!D404)</f>
        <v>0</v>
      </c>
      <c r="K404" s="126">
        <f t="shared" si="118"/>
        <v>7.5000000000000007E-5</v>
      </c>
      <c r="L404" s="174">
        <f>VLOOKUP(A404,'Step 1'!$A:$E,4,FALSE)</f>
        <v>195990</v>
      </c>
      <c r="M404" s="47">
        <f t="shared" si="119"/>
        <v>15</v>
      </c>
      <c r="N404" s="177">
        <f>SUMIFS('Support - Transition'!G:G,'Support - Transition'!J:J,'Step 2'!D404,'Support - Transition'!E:E,"2009 WELFARE ALLOCATION FACTOR")</f>
        <v>0</v>
      </c>
      <c r="O404" s="152">
        <f t="shared" si="124"/>
        <v>0</v>
      </c>
      <c r="P404" s="126">
        <f>IF(E404="Y",0,SUMIFS('Support - Transition'!G:G,'Support - Transition'!J:J,'Step 2'!D404,'Support - Transition'!E:E,"2009 SCHOOL ALLOCATION FACTOR"))</f>
        <v>0</v>
      </c>
      <c r="Q404" s="126">
        <f>IF(E404="Y",VLOOKUP(D404,'Support - Unit Adjustments'!F:G,2,FALSE),0)</f>
        <v>0</v>
      </c>
      <c r="R404" s="155">
        <f t="shared" si="136"/>
        <v>0</v>
      </c>
      <c r="S404" s="47">
        <f t="shared" si="135"/>
        <v>0</v>
      </c>
      <c r="T404" s="151">
        <f t="shared" si="120"/>
        <v>15</v>
      </c>
      <c r="U404" s="151">
        <f t="shared" si="121"/>
        <v>0</v>
      </c>
      <c r="V404" s="139">
        <f t="shared" si="122"/>
        <v>0</v>
      </c>
      <c r="W404" s="152">
        <f t="shared" si="125"/>
        <v>15</v>
      </c>
      <c r="X404" s="127" t="str">
        <f t="shared" si="123"/>
        <v/>
      </c>
      <c r="Y404" s="207">
        <f t="shared" si="126"/>
        <v>15</v>
      </c>
      <c r="Z404" s="139">
        <f t="shared" si="127"/>
        <v>8</v>
      </c>
      <c r="AA404" s="139">
        <f t="shared" si="128"/>
        <v>7</v>
      </c>
      <c r="AC404" s="47">
        <f t="shared" si="129"/>
        <v>8</v>
      </c>
      <c r="AD404" s="47">
        <f t="shared" si="130"/>
        <v>4</v>
      </c>
      <c r="AE404" s="47">
        <f t="shared" si="131"/>
        <v>4</v>
      </c>
      <c r="AG404" s="47">
        <f t="shared" si="132"/>
        <v>7</v>
      </c>
      <c r="AH404" s="47">
        <f t="shared" si="133"/>
        <v>4</v>
      </c>
      <c r="AI404" s="208">
        <f t="shared" si="134"/>
        <v>3</v>
      </c>
    </row>
    <row r="405" spans="1:35">
      <c r="A405" t="s">
        <v>2102</v>
      </c>
      <c r="B405" t="s">
        <v>3155</v>
      </c>
      <c r="C405" t="s">
        <v>2343</v>
      </c>
      <c r="D405" t="s">
        <v>3623</v>
      </c>
      <c r="F405" t="s">
        <v>342</v>
      </c>
      <c r="G405" s="126">
        <f>SUMIFS('Support - Transition'!F:F,'Support - Transition'!B:B,'Step 2'!A405,'Support - Transition'!C:C,'Step 2'!B405,'Support - Transition'!D:D,'Step 2'!C405,'Support - Transition'!E:E,"CIVIL")</f>
        <v>0</v>
      </c>
      <c r="H405" s="126">
        <f>SUMIFS('Support - Transition'!F:F,'Support - Transition'!B:B,'Step 2'!A405,'Support - Transition'!C:C,'Step 2'!B405,'Support - Transition'!D:D,'Step 2'!C405,'Support - Transition'!E:E,"FIRE")</f>
        <v>0</v>
      </c>
      <c r="I405" s="126">
        <f>IF(B405="0",SUMIFS('Support - Transition'!F:F,'Support - Transition'!J:J,'Step 2'!D405,'Support - Transition'!E:E,"STATE UNIT"),SUMIFS('Support - Transition'!F:F,'Support - Transition'!J:J,'Step 2'!D405))</f>
        <v>1.4578000000000001E-2</v>
      </c>
      <c r="J405" s="126">
        <f>SUMIFS('Support - Unit Adjustments'!E:E,'Support - Unit Adjustments'!F:F,'Step 2'!D405)</f>
        <v>0</v>
      </c>
      <c r="K405" s="126">
        <f t="shared" si="118"/>
        <v>1.4578000000000001E-2</v>
      </c>
      <c r="L405" s="174">
        <f>VLOOKUP(A405,'Step 1'!$A:$E,4,FALSE)</f>
        <v>195990</v>
      </c>
      <c r="M405" s="47">
        <f t="shared" si="119"/>
        <v>2857</v>
      </c>
      <c r="N405" s="177">
        <f>SUMIFS('Support - Transition'!G:G,'Support - Transition'!J:J,'Step 2'!D405,'Support - Transition'!E:E,"2009 WELFARE ALLOCATION FACTOR")</f>
        <v>0</v>
      </c>
      <c r="O405" s="152">
        <f t="shared" si="124"/>
        <v>0</v>
      </c>
      <c r="P405" s="126">
        <f>IF(E405="Y",0,SUMIFS('Support - Transition'!G:G,'Support - Transition'!J:J,'Step 2'!D405,'Support - Transition'!E:E,"2009 SCHOOL ALLOCATION FACTOR"))</f>
        <v>0</v>
      </c>
      <c r="Q405" s="126">
        <f>IF(E405="Y",VLOOKUP(D405,'Support - Unit Adjustments'!F:G,2,FALSE),0)</f>
        <v>0</v>
      </c>
      <c r="R405" s="155">
        <f t="shared" si="136"/>
        <v>0</v>
      </c>
      <c r="S405" s="47">
        <f t="shared" si="135"/>
        <v>0</v>
      </c>
      <c r="T405" s="151">
        <f t="shared" si="120"/>
        <v>2857</v>
      </c>
      <c r="U405" s="151">
        <f t="shared" si="121"/>
        <v>0</v>
      </c>
      <c r="V405" s="139">
        <f t="shared" si="122"/>
        <v>0</v>
      </c>
      <c r="W405" s="152">
        <f t="shared" si="125"/>
        <v>2857</v>
      </c>
      <c r="X405" s="127" t="str">
        <f t="shared" si="123"/>
        <v/>
      </c>
      <c r="Y405" s="207">
        <f t="shared" si="126"/>
        <v>2857</v>
      </c>
      <c r="Z405" s="139">
        <f t="shared" si="127"/>
        <v>2857</v>
      </c>
      <c r="AA405" s="139">
        <f t="shared" si="128"/>
        <v>0</v>
      </c>
      <c r="AC405" s="47">
        <f t="shared" si="129"/>
        <v>1429</v>
      </c>
      <c r="AD405" s="47">
        <f t="shared" si="130"/>
        <v>1429</v>
      </c>
      <c r="AE405" s="47">
        <f t="shared" si="131"/>
        <v>0</v>
      </c>
      <c r="AG405" s="47">
        <f t="shared" si="132"/>
        <v>1428</v>
      </c>
      <c r="AH405" s="47">
        <f t="shared" si="133"/>
        <v>1428</v>
      </c>
      <c r="AI405" s="208">
        <f t="shared" si="134"/>
        <v>0</v>
      </c>
    </row>
    <row r="406" spans="1:35">
      <c r="A406" t="s">
        <v>2102</v>
      </c>
      <c r="B406" t="s">
        <v>3155</v>
      </c>
      <c r="C406" t="s">
        <v>2344</v>
      </c>
      <c r="D406" t="s">
        <v>3624</v>
      </c>
      <c r="F406" t="s">
        <v>339</v>
      </c>
      <c r="G406" s="126">
        <f>SUMIFS('Support - Transition'!F:F,'Support - Transition'!B:B,'Step 2'!A406,'Support - Transition'!C:C,'Step 2'!B406,'Support - Transition'!D:D,'Step 2'!C406,'Support - Transition'!E:E,"CIVIL")</f>
        <v>0</v>
      </c>
      <c r="H406" s="126">
        <f>SUMIFS('Support - Transition'!F:F,'Support - Transition'!B:B,'Step 2'!A406,'Support - Transition'!C:C,'Step 2'!B406,'Support - Transition'!D:D,'Step 2'!C406,'Support - Transition'!E:E,"FIRE")</f>
        <v>0</v>
      </c>
      <c r="I406" s="126">
        <f>IF(B406="0",SUMIFS('Support - Transition'!F:F,'Support - Transition'!J:J,'Step 2'!D406,'Support - Transition'!E:E,"STATE UNIT"),SUMIFS('Support - Transition'!F:F,'Support - Transition'!J:J,'Step 2'!D406))</f>
        <v>4.5586000000000002E-2</v>
      </c>
      <c r="J406" s="126">
        <f>SUMIFS('Support - Unit Adjustments'!E:E,'Support - Unit Adjustments'!F:F,'Step 2'!D406)</f>
        <v>0</v>
      </c>
      <c r="K406" s="126">
        <f t="shared" si="118"/>
        <v>4.5586000000000002E-2</v>
      </c>
      <c r="L406" s="174">
        <f>VLOOKUP(A406,'Step 1'!$A:$E,4,FALSE)</f>
        <v>195990</v>
      </c>
      <c r="M406" s="47">
        <f t="shared" si="119"/>
        <v>8934</v>
      </c>
      <c r="N406" s="177">
        <f>SUMIFS('Support - Transition'!G:G,'Support - Transition'!J:J,'Step 2'!D406,'Support - Transition'!E:E,"2009 WELFARE ALLOCATION FACTOR")</f>
        <v>0</v>
      </c>
      <c r="O406" s="152">
        <f t="shared" si="124"/>
        <v>0</v>
      </c>
      <c r="P406" s="126">
        <f>IF(E406="Y",0,SUMIFS('Support - Transition'!G:G,'Support - Transition'!J:J,'Step 2'!D406,'Support - Transition'!E:E,"2009 SCHOOL ALLOCATION FACTOR"))</f>
        <v>0</v>
      </c>
      <c r="Q406" s="126">
        <f>IF(E406="Y",VLOOKUP(D406,'Support - Unit Adjustments'!F:G,2,FALSE),0)</f>
        <v>0</v>
      </c>
      <c r="R406" s="155">
        <f t="shared" si="136"/>
        <v>0</v>
      </c>
      <c r="S406" s="47">
        <f t="shared" si="135"/>
        <v>0</v>
      </c>
      <c r="T406" s="151">
        <f t="shared" si="120"/>
        <v>8934</v>
      </c>
      <c r="U406" s="151">
        <f t="shared" si="121"/>
        <v>0</v>
      </c>
      <c r="V406" s="139">
        <f t="shared" si="122"/>
        <v>0</v>
      </c>
      <c r="W406" s="152">
        <f t="shared" si="125"/>
        <v>8934</v>
      </c>
      <c r="X406" s="127" t="str">
        <f t="shared" si="123"/>
        <v/>
      </c>
      <c r="Y406" s="207">
        <f t="shared" si="126"/>
        <v>8934</v>
      </c>
      <c r="Z406" s="139">
        <f t="shared" si="127"/>
        <v>8934</v>
      </c>
      <c r="AA406" s="139">
        <f t="shared" si="128"/>
        <v>0</v>
      </c>
      <c r="AC406" s="47">
        <f t="shared" si="129"/>
        <v>4467</v>
      </c>
      <c r="AD406" s="47">
        <f t="shared" si="130"/>
        <v>4467</v>
      </c>
      <c r="AE406" s="47">
        <f t="shared" si="131"/>
        <v>0</v>
      </c>
      <c r="AG406" s="47">
        <f t="shared" si="132"/>
        <v>4467</v>
      </c>
      <c r="AH406" s="47">
        <f t="shared" si="133"/>
        <v>4467</v>
      </c>
      <c r="AI406" s="208">
        <f t="shared" si="134"/>
        <v>0</v>
      </c>
    </row>
    <row r="407" spans="1:35">
      <c r="A407" t="s">
        <v>2102</v>
      </c>
      <c r="B407" t="s">
        <v>3155</v>
      </c>
      <c r="C407" t="s">
        <v>2345</v>
      </c>
      <c r="D407" t="s">
        <v>3625</v>
      </c>
      <c r="F407" t="s">
        <v>340</v>
      </c>
      <c r="G407" s="126">
        <f>SUMIFS('Support - Transition'!F:F,'Support - Transition'!B:B,'Step 2'!A407,'Support - Transition'!C:C,'Step 2'!B407,'Support - Transition'!D:D,'Step 2'!C407,'Support - Transition'!E:E,"CIVIL")</f>
        <v>0</v>
      </c>
      <c r="H407" s="126">
        <f>SUMIFS('Support - Transition'!F:F,'Support - Transition'!B:B,'Step 2'!A407,'Support - Transition'!C:C,'Step 2'!B407,'Support - Transition'!D:D,'Step 2'!C407,'Support - Transition'!E:E,"FIRE")</f>
        <v>0</v>
      </c>
      <c r="I407" s="126">
        <f>IF(B407="0",SUMIFS('Support - Transition'!F:F,'Support - Transition'!J:J,'Step 2'!D407,'Support - Transition'!E:E,"STATE UNIT"),SUMIFS('Support - Transition'!F:F,'Support - Transition'!J:J,'Step 2'!D407))</f>
        <v>2.088E-3</v>
      </c>
      <c r="J407" s="126">
        <f>SUMIFS('Support - Unit Adjustments'!E:E,'Support - Unit Adjustments'!F:F,'Step 2'!D407)</f>
        <v>0</v>
      </c>
      <c r="K407" s="126">
        <f t="shared" si="118"/>
        <v>2.088E-3</v>
      </c>
      <c r="L407" s="174">
        <f>VLOOKUP(A407,'Step 1'!$A:$E,4,FALSE)</f>
        <v>195990</v>
      </c>
      <c r="M407" s="47">
        <f t="shared" si="119"/>
        <v>409</v>
      </c>
      <c r="N407" s="177">
        <f>SUMIFS('Support - Transition'!G:G,'Support - Transition'!J:J,'Step 2'!D407,'Support - Transition'!E:E,"2009 WELFARE ALLOCATION FACTOR")</f>
        <v>0</v>
      </c>
      <c r="O407" s="152">
        <f t="shared" si="124"/>
        <v>0</v>
      </c>
      <c r="P407" s="126">
        <f>IF(E407="Y",0,SUMIFS('Support - Transition'!G:G,'Support - Transition'!J:J,'Step 2'!D407,'Support - Transition'!E:E,"2009 SCHOOL ALLOCATION FACTOR"))</f>
        <v>0</v>
      </c>
      <c r="Q407" s="126">
        <f>IF(E407="Y",VLOOKUP(D407,'Support - Unit Adjustments'!F:G,2,FALSE),0)</f>
        <v>0</v>
      </c>
      <c r="R407" s="155">
        <f t="shared" si="136"/>
        <v>0</v>
      </c>
      <c r="S407" s="47">
        <f t="shared" si="135"/>
        <v>0</v>
      </c>
      <c r="T407" s="151">
        <f t="shared" si="120"/>
        <v>409</v>
      </c>
      <c r="U407" s="151">
        <f t="shared" si="121"/>
        <v>0</v>
      </c>
      <c r="V407" s="139">
        <f t="shared" si="122"/>
        <v>0</v>
      </c>
      <c r="W407" s="152">
        <f t="shared" si="125"/>
        <v>409</v>
      </c>
      <c r="X407" s="127" t="str">
        <f t="shared" si="123"/>
        <v/>
      </c>
      <c r="Y407" s="207">
        <f t="shared" si="126"/>
        <v>409</v>
      </c>
      <c r="Z407" s="139">
        <f t="shared" si="127"/>
        <v>409</v>
      </c>
      <c r="AA407" s="139">
        <f t="shared" si="128"/>
        <v>0</v>
      </c>
      <c r="AC407" s="47">
        <f t="shared" si="129"/>
        <v>205</v>
      </c>
      <c r="AD407" s="47">
        <f t="shared" si="130"/>
        <v>205</v>
      </c>
      <c r="AE407" s="47">
        <f t="shared" si="131"/>
        <v>0</v>
      </c>
      <c r="AG407" s="47">
        <f t="shared" si="132"/>
        <v>204</v>
      </c>
      <c r="AH407" s="47">
        <f t="shared" si="133"/>
        <v>204</v>
      </c>
      <c r="AI407" s="208">
        <f t="shared" si="134"/>
        <v>0</v>
      </c>
    </row>
    <row r="408" spans="1:35">
      <c r="A408" t="s">
        <v>2102</v>
      </c>
      <c r="B408" t="s">
        <v>3155</v>
      </c>
      <c r="C408" t="s">
        <v>2346</v>
      </c>
      <c r="D408" t="s">
        <v>3626</v>
      </c>
      <c r="F408" t="s">
        <v>3627</v>
      </c>
      <c r="G408" s="126">
        <f>SUMIFS('Support - Transition'!F:F,'Support - Transition'!B:B,'Step 2'!A408,'Support - Transition'!C:C,'Step 2'!B408,'Support - Transition'!D:D,'Step 2'!C408,'Support - Transition'!E:E,"CIVIL")</f>
        <v>0</v>
      </c>
      <c r="H408" s="126">
        <f>SUMIFS('Support - Transition'!F:F,'Support - Transition'!B:B,'Step 2'!A408,'Support - Transition'!C:C,'Step 2'!B408,'Support - Transition'!D:D,'Step 2'!C408,'Support - Transition'!E:E,"FIRE")</f>
        <v>0</v>
      </c>
      <c r="I408" s="126">
        <f>IF(B408="0",SUMIFS('Support - Transition'!F:F,'Support - Transition'!J:J,'Step 2'!D408,'Support - Transition'!E:E,"STATE UNIT"),SUMIFS('Support - Transition'!F:F,'Support - Transition'!J:J,'Step 2'!D408))</f>
        <v>3.7651999999999998E-2</v>
      </c>
      <c r="J408" s="126">
        <f>SUMIFS('Support - Unit Adjustments'!E:E,'Support - Unit Adjustments'!F:F,'Step 2'!D408)</f>
        <v>0</v>
      </c>
      <c r="K408" s="126">
        <f t="shared" si="118"/>
        <v>3.7651999999999998E-2</v>
      </c>
      <c r="L408" s="174">
        <f>VLOOKUP(A408,'Step 1'!$A:$E,4,FALSE)</f>
        <v>195990</v>
      </c>
      <c r="M408" s="47">
        <f t="shared" si="119"/>
        <v>7379</v>
      </c>
      <c r="N408" s="177">
        <f>SUMIFS('Support - Transition'!G:G,'Support - Transition'!J:J,'Step 2'!D408,'Support - Transition'!E:E,"2009 WELFARE ALLOCATION FACTOR")</f>
        <v>0</v>
      </c>
      <c r="O408" s="152">
        <f t="shared" si="124"/>
        <v>0</v>
      </c>
      <c r="P408" s="126">
        <f>IF(E408="Y",0,SUMIFS('Support - Transition'!G:G,'Support - Transition'!J:J,'Step 2'!D408,'Support - Transition'!E:E,"2009 SCHOOL ALLOCATION FACTOR"))</f>
        <v>0</v>
      </c>
      <c r="Q408" s="126">
        <f>IF(E408="Y",VLOOKUP(D408,'Support - Unit Adjustments'!F:G,2,FALSE),0)</f>
        <v>0</v>
      </c>
      <c r="R408" s="155">
        <f t="shared" si="136"/>
        <v>0</v>
      </c>
      <c r="S408" s="47">
        <f t="shared" si="135"/>
        <v>0</v>
      </c>
      <c r="T408" s="151">
        <f t="shared" si="120"/>
        <v>7379</v>
      </c>
      <c r="U408" s="151">
        <f t="shared" si="121"/>
        <v>0</v>
      </c>
      <c r="V408" s="139">
        <f t="shared" si="122"/>
        <v>0</v>
      </c>
      <c r="W408" s="152">
        <f t="shared" si="125"/>
        <v>7379</v>
      </c>
      <c r="X408" s="127" t="str">
        <f t="shared" si="123"/>
        <v/>
      </c>
      <c r="Y408" s="207">
        <f t="shared" si="126"/>
        <v>7379</v>
      </c>
      <c r="Z408" s="139">
        <f t="shared" si="127"/>
        <v>7379</v>
      </c>
      <c r="AA408" s="139">
        <f t="shared" si="128"/>
        <v>0</v>
      </c>
      <c r="AC408" s="47">
        <f t="shared" si="129"/>
        <v>3690</v>
      </c>
      <c r="AD408" s="47">
        <f t="shared" si="130"/>
        <v>3690</v>
      </c>
      <c r="AE408" s="47">
        <f t="shared" si="131"/>
        <v>0</v>
      </c>
      <c r="AG408" s="47">
        <f t="shared" si="132"/>
        <v>3689</v>
      </c>
      <c r="AH408" s="47">
        <f t="shared" si="133"/>
        <v>3689</v>
      </c>
      <c r="AI408" s="208">
        <f t="shared" si="134"/>
        <v>0</v>
      </c>
    </row>
    <row r="409" spans="1:35">
      <c r="A409" t="s">
        <v>2102</v>
      </c>
      <c r="B409" t="s">
        <v>3155</v>
      </c>
      <c r="C409" t="s">
        <v>2347</v>
      </c>
      <c r="D409" t="s">
        <v>3628</v>
      </c>
      <c r="F409" t="s">
        <v>343</v>
      </c>
      <c r="G409" s="126">
        <f>SUMIFS('Support - Transition'!F:F,'Support - Transition'!B:B,'Step 2'!A409,'Support - Transition'!C:C,'Step 2'!B409,'Support - Transition'!D:D,'Step 2'!C409,'Support - Transition'!E:E,"CIVIL")</f>
        <v>0</v>
      </c>
      <c r="H409" s="126">
        <f>SUMIFS('Support - Transition'!F:F,'Support - Transition'!B:B,'Step 2'!A409,'Support - Transition'!C:C,'Step 2'!B409,'Support - Transition'!D:D,'Step 2'!C409,'Support - Transition'!E:E,"FIRE")</f>
        <v>0</v>
      </c>
      <c r="I409" s="126">
        <f>IF(B409="0",SUMIFS('Support - Transition'!F:F,'Support - Transition'!J:J,'Step 2'!D409,'Support - Transition'!E:E,"STATE UNIT"),SUMIFS('Support - Transition'!F:F,'Support - Transition'!J:J,'Step 2'!D409))</f>
        <v>1.7699999999999999E-4</v>
      </c>
      <c r="J409" s="126">
        <f>SUMIFS('Support - Unit Adjustments'!E:E,'Support - Unit Adjustments'!F:F,'Step 2'!D409)</f>
        <v>0</v>
      </c>
      <c r="K409" s="126">
        <f t="shared" si="118"/>
        <v>1.7699999999999999E-4</v>
      </c>
      <c r="L409" s="174">
        <f>VLOOKUP(A409,'Step 1'!$A:$E,4,FALSE)</f>
        <v>195990</v>
      </c>
      <c r="M409" s="47">
        <f t="shared" si="119"/>
        <v>35</v>
      </c>
      <c r="N409" s="177">
        <f>SUMIFS('Support - Transition'!G:G,'Support - Transition'!J:J,'Step 2'!D409,'Support - Transition'!E:E,"2009 WELFARE ALLOCATION FACTOR")</f>
        <v>0</v>
      </c>
      <c r="O409" s="152">
        <f t="shared" si="124"/>
        <v>0</v>
      </c>
      <c r="P409" s="126">
        <f>IF(E409="Y",0,SUMIFS('Support - Transition'!G:G,'Support - Transition'!J:J,'Step 2'!D409,'Support - Transition'!E:E,"2009 SCHOOL ALLOCATION FACTOR"))</f>
        <v>0</v>
      </c>
      <c r="Q409" s="126">
        <f>IF(E409="Y",VLOOKUP(D409,'Support - Unit Adjustments'!F:G,2,FALSE),0)</f>
        <v>0</v>
      </c>
      <c r="R409" s="155">
        <f t="shared" si="136"/>
        <v>0</v>
      </c>
      <c r="S409" s="47">
        <f t="shared" si="135"/>
        <v>0</v>
      </c>
      <c r="T409" s="151">
        <f t="shared" si="120"/>
        <v>35</v>
      </c>
      <c r="U409" s="151">
        <f t="shared" si="121"/>
        <v>0</v>
      </c>
      <c r="V409" s="139">
        <f t="shared" si="122"/>
        <v>0</v>
      </c>
      <c r="W409" s="152">
        <f t="shared" si="125"/>
        <v>35</v>
      </c>
      <c r="X409" s="127" t="str">
        <f t="shared" si="123"/>
        <v/>
      </c>
      <c r="Y409" s="207">
        <f t="shared" si="126"/>
        <v>35</v>
      </c>
      <c r="Z409" s="139">
        <f t="shared" si="127"/>
        <v>35</v>
      </c>
      <c r="AA409" s="139">
        <f t="shared" si="128"/>
        <v>0</v>
      </c>
      <c r="AC409" s="47">
        <f t="shared" si="129"/>
        <v>18</v>
      </c>
      <c r="AD409" s="47">
        <f t="shared" si="130"/>
        <v>18</v>
      </c>
      <c r="AE409" s="47">
        <f t="shared" si="131"/>
        <v>0</v>
      </c>
      <c r="AG409" s="47">
        <f t="shared" si="132"/>
        <v>17</v>
      </c>
      <c r="AH409" s="47">
        <f t="shared" si="133"/>
        <v>17</v>
      </c>
      <c r="AI409" s="208">
        <f t="shared" si="134"/>
        <v>0</v>
      </c>
    </row>
    <row r="410" spans="1:35">
      <c r="A410" t="s">
        <v>2102</v>
      </c>
      <c r="B410" t="s">
        <v>3155</v>
      </c>
      <c r="C410" t="s">
        <v>2348</v>
      </c>
      <c r="D410" t="s">
        <v>3629</v>
      </c>
      <c r="F410" t="s">
        <v>344</v>
      </c>
      <c r="G410" s="126">
        <f>SUMIFS('Support - Transition'!F:F,'Support - Transition'!B:B,'Step 2'!A410,'Support - Transition'!C:C,'Step 2'!B410,'Support - Transition'!D:D,'Step 2'!C410,'Support - Transition'!E:E,"CIVIL")</f>
        <v>0</v>
      </c>
      <c r="H410" s="126">
        <f>SUMIFS('Support - Transition'!F:F,'Support - Transition'!B:B,'Step 2'!A410,'Support - Transition'!C:C,'Step 2'!B410,'Support - Transition'!D:D,'Step 2'!C410,'Support - Transition'!E:E,"FIRE")</f>
        <v>0</v>
      </c>
      <c r="I410" s="126">
        <f>IF(B410="0",SUMIFS('Support - Transition'!F:F,'Support - Transition'!J:J,'Step 2'!D410,'Support - Transition'!E:E,"STATE UNIT"),SUMIFS('Support - Transition'!F:F,'Support - Transition'!J:J,'Step 2'!D410))</f>
        <v>1.95E-4</v>
      </c>
      <c r="J410" s="126">
        <f>SUMIFS('Support - Unit Adjustments'!E:E,'Support - Unit Adjustments'!F:F,'Step 2'!D410)</f>
        <v>0</v>
      </c>
      <c r="K410" s="126">
        <f t="shared" si="118"/>
        <v>1.95E-4</v>
      </c>
      <c r="L410" s="174">
        <f>VLOOKUP(A410,'Step 1'!$A:$E,4,FALSE)</f>
        <v>195990</v>
      </c>
      <c r="M410" s="47">
        <f t="shared" si="119"/>
        <v>38</v>
      </c>
      <c r="N410" s="177">
        <f>SUMIFS('Support - Transition'!G:G,'Support - Transition'!J:J,'Step 2'!D410,'Support - Transition'!E:E,"2009 WELFARE ALLOCATION FACTOR")</f>
        <v>0</v>
      </c>
      <c r="O410" s="152">
        <f t="shared" si="124"/>
        <v>0</v>
      </c>
      <c r="P410" s="126">
        <f>IF(E410="Y",0,SUMIFS('Support - Transition'!G:G,'Support - Transition'!J:J,'Step 2'!D410,'Support - Transition'!E:E,"2009 SCHOOL ALLOCATION FACTOR"))</f>
        <v>0</v>
      </c>
      <c r="Q410" s="126">
        <f>IF(E410="Y",VLOOKUP(D410,'Support - Unit Adjustments'!F:G,2,FALSE),0)</f>
        <v>0</v>
      </c>
      <c r="R410" s="155">
        <f t="shared" si="136"/>
        <v>0</v>
      </c>
      <c r="S410" s="47">
        <f t="shared" si="135"/>
        <v>0</v>
      </c>
      <c r="T410" s="151">
        <f t="shared" si="120"/>
        <v>38</v>
      </c>
      <c r="U410" s="151">
        <f t="shared" si="121"/>
        <v>0</v>
      </c>
      <c r="V410" s="139">
        <f t="shared" si="122"/>
        <v>0</v>
      </c>
      <c r="W410" s="152">
        <f t="shared" si="125"/>
        <v>38</v>
      </c>
      <c r="X410" s="127" t="str">
        <f t="shared" si="123"/>
        <v/>
      </c>
      <c r="Y410" s="207">
        <f t="shared" si="126"/>
        <v>38</v>
      </c>
      <c r="Z410" s="139">
        <f t="shared" si="127"/>
        <v>38</v>
      </c>
      <c r="AA410" s="139">
        <f t="shared" si="128"/>
        <v>0</v>
      </c>
      <c r="AC410" s="47">
        <f t="shared" si="129"/>
        <v>19</v>
      </c>
      <c r="AD410" s="47">
        <f t="shared" si="130"/>
        <v>19</v>
      </c>
      <c r="AE410" s="47">
        <f t="shared" si="131"/>
        <v>0</v>
      </c>
      <c r="AG410" s="47">
        <f t="shared" si="132"/>
        <v>19</v>
      </c>
      <c r="AH410" s="47">
        <f t="shared" si="133"/>
        <v>19</v>
      </c>
      <c r="AI410" s="208">
        <f t="shared" si="134"/>
        <v>0</v>
      </c>
    </row>
    <row r="411" spans="1:35">
      <c r="A411" t="s">
        <v>2102</v>
      </c>
      <c r="B411" t="s">
        <v>3155</v>
      </c>
      <c r="C411" t="s">
        <v>2349</v>
      </c>
      <c r="D411" t="s">
        <v>3630</v>
      </c>
      <c r="F411" t="s">
        <v>345</v>
      </c>
      <c r="G411" s="126">
        <f>SUMIFS('Support - Transition'!F:F,'Support - Transition'!B:B,'Step 2'!A411,'Support - Transition'!C:C,'Step 2'!B411,'Support - Transition'!D:D,'Step 2'!C411,'Support - Transition'!E:E,"CIVIL")</f>
        <v>0</v>
      </c>
      <c r="H411" s="126">
        <f>SUMIFS('Support - Transition'!F:F,'Support - Transition'!B:B,'Step 2'!A411,'Support - Transition'!C:C,'Step 2'!B411,'Support - Transition'!D:D,'Step 2'!C411,'Support - Transition'!E:E,"FIRE")</f>
        <v>0</v>
      </c>
      <c r="I411" s="126">
        <f>IF(B411="0",SUMIFS('Support - Transition'!F:F,'Support - Transition'!J:J,'Step 2'!D411,'Support - Transition'!E:E,"STATE UNIT"),SUMIFS('Support - Transition'!F:F,'Support - Transition'!J:J,'Step 2'!D411))</f>
        <v>7.1050000000000002E-3</v>
      </c>
      <c r="J411" s="126">
        <f>SUMIFS('Support - Unit Adjustments'!E:E,'Support - Unit Adjustments'!F:F,'Step 2'!D411)</f>
        <v>0</v>
      </c>
      <c r="K411" s="126">
        <f t="shared" si="118"/>
        <v>7.1050000000000002E-3</v>
      </c>
      <c r="L411" s="174">
        <f>VLOOKUP(A411,'Step 1'!$A:$E,4,FALSE)</f>
        <v>195990</v>
      </c>
      <c r="M411" s="47">
        <f t="shared" si="119"/>
        <v>1393</v>
      </c>
      <c r="N411" s="177">
        <f>SUMIFS('Support - Transition'!G:G,'Support - Transition'!J:J,'Step 2'!D411,'Support - Transition'!E:E,"2009 WELFARE ALLOCATION FACTOR")</f>
        <v>0</v>
      </c>
      <c r="O411" s="152">
        <f t="shared" si="124"/>
        <v>0</v>
      </c>
      <c r="P411" s="126">
        <f>IF(E411="Y",0,SUMIFS('Support - Transition'!G:G,'Support - Transition'!J:J,'Step 2'!D411,'Support - Transition'!E:E,"2009 SCHOOL ALLOCATION FACTOR"))</f>
        <v>0</v>
      </c>
      <c r="Q411" s="126">
        <f>IF(E411="Y",VLOOKUP(D411,'Support - Unit Adjustments'!F:G,2,FALSE),0)</f>
        <v>0</v>
      </c>
      <c r="R411" s="155">
        <f t="shared" si="136"/>
        <v>0</v>
      </c>
      <c r="S411" s="47">
        <f t="shared" si="135"/>
        <v>0</v>
      </c>
      <c r="T411" s="151">
        <f t="shared" si="120"/>
        <v>1393</v>
      </c>
      <c r="U411" s="151">
        <f t="shared" si="121"/>
        <v>0</v>
      </c>
      <c r="V411" s="139">
        <f t="shared" si="122"/>
        <v>0</v>
      </c>
      <c r="W411" s="152">
        <f t="shared" si="125"/>
        <v>1393</v>
      </c>
      <c r="X411" s="127" t="str">
        <f t="shared" si="123"/>
        <v/>
      </c>
      <c r="Y411" s="207">
        <f t="shared" si="126"/>
        <v>1393</v>
      </c>
      <c r="Z411" s="139">
        <f t="shared" si="127"/>
        <v>1393</v>
      </c>
      <c r="AA411" s="139">
        <f t="shared" si="128"/>
        <v>0</v>
      </c>
      <c r="AC411" s="47">
        <f t="shared" si="129"/>
        <v>697</v>
      </c>
      <c r="AD411" s="47">
        <f t="shared" si="130"/>
        <v>697</v>
      </c>
      <c r="AE411" s="47">
        <f t="shared" si="131"/>
        <v>0</v>
      </c>
      <c r="AG411" s="47">
        <f t="shared" si="132"/>
        <v>696</v>
      </c>
      <c r="AH411" s="47">
        <f t="shared" si="133"/>
        <v>696</v>
      </c>
      <c r="AI411" s="208">
        <f t="shared" si="134"/>
        <v>0</v>
      </c>
    </row>
    <row r="412" spans="1:35">
      <c r="A412" t="s">
        <v>2102</v>
      </c>
      <c r="B412" t="s">
        <v>3160</v>
      </c>
      <c r="C412" t="s">
        <v>2350</v>
      </c>
      <c r="D412" t="s">
        <v>3631</v>
      </c>
      <c r="F412" t="s">
        <v>3632</v>
      </c>
      <c r="G412" s="126">
        <f>SUMIFS('Support - Transition'!F:F,'Support - Transition'!B:B,'Step 2'!A412,'Support - Transition'!C:C,'Step 2'!B412,'Support - Transition'!D:D,'Step 2'!C412,'Support - Transition'!E:E,"CIVIL")</f>
        <v>0</v>
      </c>
      <c r="H412" s="126">
        <f>SUMIFS('Support - Transition'!F:F,'Support - Transition'!B:B,'Step 2'!A412,'Support - Transition'!C:C,'Step 2'!B412,'Support - Transition'!D:D,'Step 2'!C412,'Support - Transition'!E:E,"FIRE")</f>
        <v>0</v>
      </c>
      <c r="I412" s="126">
        <f>IF(B412="0",SUMIFS('Support - Transition'!F:F,'Support - Transition'!J:J,'Step 2'!D412,'Support - Transition'!E:E,"STATE UNIT"),SUMIFS('Support - Transition'!F:F,'Support - Transition'!J:J,'Step 2'!D412))</f>
        <v>0.20757</v>
      </c>
      <c r="J412" s="126">
        <f>SUMIFS('Support - Unit Adjustments'!E:E,'Support - Unit Adjustments'!F:F,'Step 2'!D412)</f>
        <v>0</v>
      </c>
      <c r="K412" s="126">
        <f t="shared" si="118"/>
        <v>0.20757</v>
      </c>
      <c r="L412" s="174">
        <f>VLOOKUP(A412,'Step 1'!$A:$E,4,FALSE)</f>
        <v>195990</v>
      </c>
      <c r="M412" s="47">
        <f t="shared" si="119"/>
        <v>40682</v>
      </c>
      <c r="N412" s="177">
        <f>SUMIFS('Support - Transition'!G:G,'Support - Transition'!J:J,'Step 2'!D412,'Support - Transition'!E:E,"2009 WELFARE ALLOCATION FACTOR")</f>
        <v>0</v>
      </c>
      <c r="O412" s="152">
        <f t="shared" si="124"/>
        <v>0</v>
      </c>
      <c r="P412" s="126">
        <f>IF(E412="Y",0,SUMIFS('Support - Transition'!G:G,'Support - Transition'!J:J,'Step 2'!D412,'Support - Transition'!E:E,"2009 SCHOOL ALLOCATION FACTOR"))</f>
        <v>0.37912400000000002</v>
      </c>
      <c r="Q412" s="126">
        <f>IF(E412="Y",VLOOKUP(D412,'Support - Unit Adjustments'!F:G,2,FALSE),0)</f>
        <v>0</v>
      </c>
      <c r="R412" s="155">
        <f t="shared" si="136"/>
        <v>0.37912400000000002</v>
      </c>
      <c r="S412" s="47">
        <f t="shared" si="135"/>
        <v>15424</v>
      </c>
      <c r="T412" s="151">
        <f t="shared" si="120"/>
        <v>25258</v>
      </c>
      <c r="U412" s="151">
        <f t="shared" si="121"/>
        <v>0</v>
      </c>
      <c r="V412" s="139">
        <f t="shared" si="122"/>
        <v>0</v>
      </c>
      <c r="W412" s="152">
        <f t="shared" si="125"/>
        <v>25258</v>
      </c>
      <c r="X412" s="127" t="str">
        <f t="shared" si="123"/>
        <v/>
      </c>
      <c r="Y412" s="207">
        <f t="shared" si="126"/>
        <v>25258</v>
      </c>
      <c r="Z412" s="139">
        <f t="shared" si="127"/>
        <v>25258</v>
      </c>
      <c r="AA412" s="139">
        <f t="shared" si="128"/>
        <v>0</v>
      </c>
      <c r="AC412" s="47">
        <f t="shared" si="129"/>
        <v>12629</v>
      </c>
      <c r="AD412" s="47">
        <f t="shared" si="130"/>
        <v>12629</v>
      </c>
      <c r="AE412" s="47">
        <f t="shared" si="131"/>
        <v>0</v>
      </c>
      <c r="AG412" s="47">
        <f t="shared" si="132"/>
        <v>12629</v>
      </c>
      <c r="AH412" s="47">
        <f t="shared" si="133"/>
        <v>12629</v>
      </c>
      <c r="AI412" s="208">
        <f t="shared" si="134"/>
        <v>0</v>
      </c>
    </row>
    <row r="413" spans="1:35">
      <c r="A413" t="s">
        <v>2102</v>
      </c>
      <c r="B413" t="s">
        <v>3160</v>
      </c>
      <c r="C413" t="s">
        <v>2351</v>
      </c>
      <c r="D413" t="s">
        <v>3633</v>
      </c>
      <c r="F413" t="s">
        <v>3634</v>
      </c>
      <c r="G413" s="126">
        <f>SUMIFS('Support - Transition'!F:F,'Support - Transition'!B:B,'Step 2'!A413,'Support - Transition'!C:C,'Step 2'!B413,'Support - Transition'!D:D,'Step 2'!C413,'Support - Transition'!E:E,"CIVIL")</f>
        <v>0</v>
      </c>
      <c r="H413" s="126">
        <f>SUMIFS('Support - Transition'!F:F,'Support - Transition'!B:B,'Step 2'!A413,'Support - Transition'!C:C,'Step 2'!B413,'Support - Transition'!D:D,'Step 2'!C413,'Support - Transition'!E:E,"FIRE")</f>
        <v>0</v>
      </c>
      <c r="I413" s="126">
        <f>IF(B413="0",SUMIFS('Support - Transition'!F:F,'Support - Transition'!J:J,'Step 2'!D413,'Support - Transition'!E:E,"STATE UNIT"),SUMIFS('Support - Transition'!F:F,'Support - Transition'!J:J,'Step 2'!D413))</f>
        <v>0.25068099999999999</v>
      </c>
      <c r="J413" s="126">
        <f>SUMIFS('Support - Unit Adjustments'!E:E,'Support - Unit Adjustments'!F:F,'Step 2'!D413)</f>
        <v>0</v>
      </c>
      <c r="K413" s="126">
        <f t="shared" si="118"/>
        <v>0.25068099999999999</v>
      </c>
      <c r="L413" s="174">
        <f>VLOOKUP(A413,'Step 1'!$A:$E,4,FALSE)</f>
        <v>195990</v>
      </c>
      <c r="M413" s="47">
        <f t="shared" si="119"/>
        <v>49131</v>
      </c>
      <c r="N413" s="177">
        <f>SUMIFS('Support - Transition'!G:G,'Support - Transition'!J:J,'Step 2'!D413,'Support - Transition'!E:E,"2009 WELFARE ALLOCATION FACTOR")</f>
        <v>0</v>
      </c>
      <c r="O413" s="152">
        <f t="shared" si="124"/>
        <v>0</v>
      </c>
      <c r="P413" s="126">
        <f>IF(E413="Y",0,SUMIFS('Support - Transition'!G:G,'Support - Transition'!J:J,'Step 2'!D413,'Support - Transition'!E:E,"2009 SCHOOL ALLOCATION FACTOR"))</f>
        <v>0.412856</v>
      </c>
      <c r="Q413" s="126">
        <f>IF(E413="Y",VLOOKUP(D413,'Support - Unit Adjustments'!F:G,2,FALSE),0)</f>
        <v>0</v>
      </c>
      <c r="R413" s="155">
        <f t="shared" si="136"/>
        <v>0.412856</v>
      </c>
      <c r="S413" s="47">
        <f t="shared" si="135"/>
        <v>20284</v>
      </c>
      <c r="T413" s="151">
        <f t="shared" si="120"/>
        <v>28847</v>
      </c>
      <c r="U413" s="151">
        <f t="shared" si="121"/>
        <v>0</v>
      </c>
      <c r="V413" s="139">
        <f t="shared" si="122"/>
        <v>0</v>
      </c>
      <c r="W413" s="152">
        <f t="shared" si="125"/>
        <v>28847</v>
      </c>
      <c r="X413" s="127" t="str">
        <f t="shared" si="123"/>
        <v/>
      </c>
      <c r="Y413" s="207">
        <f t="shared" si="126"/>
        <v>28847</v>
      </c>
      <c r="Z413" s="139">
        <f t="shared" si="127"/>
        <v>28847</v>
      </c>
      <c r="AA413" s="139">
        <f t="shared" si="128"/>
        <v>0</v>
      </c>
      <c r="AC413" s="47">
        <f t="shared" si="129"/>
        <v>14424</v>
      </c>
      <c r="AD413" s="47">
        <f t="shared" si="130"/>
        <v>14424</v>
      </c>
      <c r="AE413" s="47">
        <f t="shared" si="131"/>
        <v>0</v>
      </c>
      <c r="AG413" s="47">
        <f t="shared" si="132"/>
        <v>14423</v>
      </c>
      <c r="AH413" s="47">
        <f t="shared" si="133"/>
        <v>14423</v>
      </c>
      <c r="AI413" s="208">
        <f t="shared" si="134"/>
        <v>0</v>
      </c>
    </row>
    <row r="414" spans="1:35">
      <c r="A414" t="s">
        <v>2102</v>
      </c>
      <c r="B414" t="s">
        <v>3160</v>
      </c>
      <c r="C414" t="s">
        <v>2352</v>
      </c>
      <c r="D414" t="s">
        <v>3635</v>
      </c>
      <c r="F414" t="s">
        <v>3636</v>
      </c>
      <c r="G414" s="126">
        <f>SUMIFS('Support - Transition'!F:F,'Support - Transition'!B:B,'Step 2'!A414,'Support - Transition'!C:C,'Step 2'!B414,'Support - Transition'!D:D,'Step 2'!C414,'Support - Transition'!E:E,"CIVIL")</f>
        <v>0</v>
      </c>
      <c r="H414" s="126">
        <f>SUMIFS('Support - Transition'!F:F,'Support - Transition'!B:B,'Step 2'!A414,'Support - Transition'!C:C,'Step 2'!B414,'Support - Transition'!D:D,'Step 2'!C414,'Support - Transition'!E:E,"FIRE")</f>
        <v>0</v>
      </c>
      <c r="I414" s="126">
        <f>IF(B414="0",SUMIFS('Support - Transition'!F:F,'Support - Transition'!J:J,'Step 2'!D414,'Support - Transition'!E:E,"STATE UNIT"),SUMIFS('Support - Transition'!F:F,'Support - Transition'!J:J,'Step 2'!D414))</f>
        <v>0.16728999999999999</v>
      </c>
      <c r="J414" s="126">
        <f>SUMIFS('Support - Unit Adjustments'!E:E,'Support - Unit Adjustments'!F:F,'Step 2'!D414)</f>
        <v>0</v>
      </c>
      <c r="K414" s="126">
        <f t="shared" si="118"/>
        <v>0.16728999999999999</v>
      </c>
      <c r="L414" s="174">
        <f>VLOOKUP(A414,'Step 1'!$A:$E,4,FALSE)</f>
        <v>195990</v>
      </c>
      <c r="M414" s="47">
        <f t="shared" si="119"/>
        <v>32787</v>
      </c>
      <c r="N414" s="177">
        <f>SUMIFS('Support - Transition'!G:G,'Support - Transition'!J:J,'Step 2'!D414,'Support - Transition'!E:E,"2009 WELFARE ALLOCATION FACTOR")</f>
        <v>0</v>
      </c>
      <c r="O414" s="152">
        <f t="shared" si="124"/>
        <v>0</v>
      </c>
      <c r="P414" s="126">
        <f>IF(E414="Y",0,SUMIFS('Support - Transition'!G:G,'Support - Transition'!J:J,'Step 2'!D414,'Support - Transition'!E:E,"2009 SCHOOL ALLOCATION FACTOR"))</f>
        <v>0.68069100000000005</v>
      </c>
      <c r="Q414" s="126">
        <f>IF(E414="Y",VLOOKUP(D414,'Support - Unit Adjustments'!F:G,2,FALSE),0)</f>
        <v>0</v>
      </c>
      <c r="R414" s="155">
        <f t="shared" si="136"/>
        <v>0.68069100000000005</v>
      </c>
      <c r="S414" s="47">
        <f t="shared" si="135"/>
        <v>22318</v>
      </c>
      <c r="T414" s="151">
        <f t="shared" si="120"/>
        <v>10469</v>
      </c>
      <c r="U414" s="151">
        <f t="shared" si="121"/>
        <v>0</v>
      </c>
      <c r="V414" s="139">
        <f t="shared" si="122"/>
        <v>0</v>
      </c>
      <c r="W414" s="152">
        <f t="shared" si="125"/>
        <v>10469</v>
      </c>
      <c r="X414" s="127" t="str">
        <f t="shared" si="123"/>
        <v/>
      </c>
      <c r="Y414" s="207">
        <f t="shared" si="126"/>
        <v>10469</v>
      </c>
      <c r="Z414" s="139">
        <f t="shared" si="127"/>
        <v>10469</v>
      </c>
      <c r="AA414" s="139">
        <f t="shared" si="128"/>
        <v>0</v>
      </c>
      <c r="AC414" s="47">
        <f t="shared" si="129"/>
        <v>5235</v>
      </c>
      <c r="AD414" s="47">
        <f t="shared" si="130"/>
        <v>5235</v>
      </c>
      <c r="AE414" s="47">
        <f t="shared" si="131"/>
        <v>0</v>
      </c>
      <c r="AG414" s="47">
        <f t="shared" si="132"/>
        <v>5234</v>
      </c>
      <c r="AH414" s="47">
        <f t="shared" si="133"/>
        <v>5234</v>
      </c>
      <c r="AI414" s="208">
        <f t="shared" si="134"/>
        <v>0</v>
      </c>
    </row>
    <row r="415" spans="1:35">
      <c r="A415" t="s">
        <v>2102</v>
      </c>
      <c r="B415" t="s">
        <v>3166</v>
      </c>
      <c r="C415" t="s">
        <v>2353</v>
      </c>
      <c r="D415" t="s">
        <v>3637</v>
      </c>
      <c r="F415" t="s">
        <v>349</v>
      </c>
      <c r="G415" s="126">
        <f>SUMIFS('Support - Transition'!F:F,'Support - Transition'!B:B,'Step 2'!A415,'Support - Transition'!C:C,'Step 2'!B415,'Support - Transition'!D:D,'Step 2'!C415,'Support - Transition'!E:E,"CIVIL")</f>
        <v>0</v>
      </c>
      <c r="H415" s="126">
        <f>SUMIFS('Support - Transition'!F:F,'Support - Transition'!B:B,'Step 2'!A415,'Support - Transition'!C:C,'Step 2'!B415,'Support - Transition'!D:D,'Step 2'!C415,'Support - Transition'!E:E,"FIRE")</f>
        <v>0</v>
      </c>
      <c r="I415" s="126">
        <f>IF(B415="0",SUMIFS('Support - Transition'!F:F,'Support - Transition'!J:J,'Step 2'!D415,'Support - Transition'!E:E,"STATE UNIT"),SUMIFS('Support - Transition'!F:F,'Support - Transition'!J:J,'Step 2'!D415))</f>
        <v>1.9805E-2</v>
      </c>
      <c r="J415" s="126">
        <f>SUMIFS('Support - Unit Adjustments'!E:E,'Support - Unit Adjustments'!F:F,'Step 2'!D415)</f>
        <v>0</v>
      </c>
      <c r="K415" s="126">
        <f t="shared" si="118"/>
        <v>1.9805E-2</v>
      </c>
      <c r="L415" s="174">
        <f>VLOOKUP(A415,'Step 1'!$A:$E,4,FALSE)</f>
        <v>195990</v>
      </c>
      <c r="M415" s="47">
        <f t="shared" si="119"/>
        <v>3882</v>
      </c>
      <c r="N415" s="177">
        <f>SUMIFS('Support - Transition'!G:G,'Support - Transition'!J:J,'Step 2'!D415,'Support - Transition'!E:E,"2009 WELFARE ALLOCATION FACTOR")</f>
        <v>0</v>
      </c>
      <c r="O415" s="152">
        <f t="shared" si="124"/>
        <v>0</v>
      </c>
      <c r="P415" s="126">
        <f>IF(E415="Y",0,SUMIFS('Support - Transition'!G:G,'Support - Transition'!J:J,'Step 2'!D415,'Support - Transition'!E:E,"2009 SCHOOL ALLOCATION FACTOR"))</f>
        <v>0</v>
      </c>
      <c r="Q415" s="126">
        <f>IF(E415="Y",VLOOKUP(D415,'Support - Unit Adjustments'!F:G,2,FALSE),0)</f>
        <v>0</v>
      </c>
      <c r="R415" s="155">
        <f t="shared" si="136"/>
        <v>0</v>
      </c>
      <c r="S415" s="47">
        <f t="shared" si="135"/>
        <v>0</v>
      </c>
      <c r="T415" s="151">
        <f t="shared" si="120"/>
        <v>3882</v>
      </c>
      <c r="U415" s="151">
        <f t="shared" si="121"/>
        <v>0</v>
      </c>
      <c r="V415" s="139">
        <f t="shared" si="122"/>
        <v>0</v>
      </c>
      <c r="W415" s="152">
        <f t="shared" si="125"/>
        <v>3882</v>
      </c>
      <c r="X415" s="127" t="str">
        <f t="shared" si="123"/>
        <v/>
      </c>
      <c r="Y415" s="207">
        <f t="shared" si="126"/>
        <v>3882</v>
      </c>
      <c r="Z415" s="139">
        <f t="shared" si="127"/>
        <v>3882</v>
      </c>
      <c r="AA415" s="139">
        <f t="shared" si="128"/>
        <v>0</v>
      </c>
      <c r="AC415" s="47">
        <f t="shared" si="129"/>
        <v>1941</v>
      </c>
      <c r="AD415" s="47">
        <f t="shared" si="130"/>
        <v>1941</v>
      </c>
      <c r="AE415" s="47">
        <f t="shared" si="131"/>
        <v>0</v>
      </c>
      <c r="AG415" s="47">
        <f t="shared" si="132"/>
        <v>1941</v>
      </c>
      <c r="AH415" s="47">
        <f t="shared" si="133"/>
        <v>1941</v>
      </c>
      <c r="AI415" s="208">
        <f t="shared" si="134"/>
        <v>0</v>
      </c>
    </row>
    <row r="416" spans="1:35">
      <c r="A416" t="s">
        <v>2102</v>
      </c>
      <c r="B416" t="s">
        <v>3166</v>
      </c>
      <c r="C416" t="s">
        <v>3638</v>
      </c>
      <c r="D416" t="s">
        <v>3639</v>
      </c>
      <c r="F416" t="s">
        <v>350</v>
      </c>
      <c r="G416" s="126">
        <f>SUMIFS('Support - Transition'!F:F,'Support - Transition'!B:B,'Step 2'!A416,'Support - Transition'!C:C,'Step 2'!B416,'Support - Transition'!D:D,'Step 2'!C416,'Support - Transition'!E:E,"CIVIL")</f>
        <v>0</v>
      </c>
      <c r="H416" s="126">
        <f>SUMIFS('Support - Transition'!F:F,'Support - Transition'!B:B,'Step 2'!A416,'Support - Transition'!C:C,'Step 2'!B416,'Support - Transition'!D:D,'Step 2'!C416,'Support - Transition'!E:E,"FIRE")</f>
        <v>0</v>
      </c>
      <c r="I416" s="126">
        <f>IF(B416="0",SUMIFS('Support - Transition'!F:F,'Support - Transition'!J:J,'Step 2'!D416,'Support - Transition'!E:E,"STATE UNIT"),SUMIFS('Support - Transition'!F:F,'Support - Transition'!J:J,'Step 2'!D416))</f>
        <v>2.3064999999999999E-2</v>
      </c>
      <c r="J416" s="126">
        <f>SUMIFS('Support - Unit Adjustments'!E:E,'Support - Unit Adjustments'!F:F,'Step 2'!D416)</f>
        <v>0</v>
      </c>
      <c r="K416" s="126">
        <f t="shared" si="118"/>
        <v>2.3064999999999999E-2</v>
      </c>
      <c r="L416" s="174">
        <f>VLOOKUP(A416,'Step 1'!$A:$E,4,FALSE)</f>
        <v>195990</v>
      </c>
      <c r="M416" s="47">
        <f t="shared" si="119"/>
        <v>4521</v>
      </c>
      <c r="N416" s="177">
        <f>SUMIFS('Support - Transition'!G:G,'Support - Transition'!J:J,'Step 2'!D416,'Support - Transition'!E:E,"2009 WELFARE ALLOCATION FACTOR")</f>
        <v>0</v>
      </c>
      <c r="O416" s="152">
        <f t="shared" si="124"/>
        <v>0</v>
      </c>
      <c r="P416" s="126">
        <f>IF(E416="Y",0,SUMIFS('Support - Transition'!G:G,'Support - Transition'!J:J,'Step 2'!D416,'Support - Transition'!E:E,"2009 SCHOOL ALLOCATION FACTOR"))</f>
        <v>0</v>
      </c>
      <c r="Q416" s="126">
        <f>IF(E416="Y",VLOOKUP(D416,'Support - Unit Adjustments'!F:G,2,FALSE),0)</f>
        <v>0</v>
      </c>
      <c r="R416" s="155">
        <f t="shared" si="136"/>
        <v>0</v>
      </c>
      <c r="S416" s="47">
        <f t="shared" si="135"/>
        <v>0</v>
      </c>
      <c r="T416" s="151">
        <f t="shared" si="120"/>
        <v>4521</v>
      </c>
      <c r="U416" s="151">
        <f t="shared" si="121"/>
        <v>0</v>
      </c>
      <c r="V416" s="139">
        <f t="shared" si="122"/>
        <v>0</v>
      </c>
      <c r="W416" s="152">
        <f t="shared" si="125"/>
        <v>4521</v>
      </c>
      <c r="X416" s="127" t="str">
        <f t="shared" si="123"/>
        <v/>
      </c>
      <c r="Y416" s="207">
        <f t="shared" si="126"/>
        <v>4521</v>
      </c>
      <c r="Z416" s="139">
        <f t="shared" si="127"/>
        <v>4521</v>
      </c>
      <c r="AA416" s="139">
        <f t="shared" si="128"/>
        <v>0</v>
      </c>
      <c r="AC416" s="47">
        <f t="shared" si="129"/>
        <v>2261</v>
      </c>
      <c r="AD416" s="47">
        <f t="shared" si="130"/>
        <v>2261</v>
      </c>
      <c r="AE416" s="47">
        <f t="shared" si="131"/>
        <v>0</v>
      </c>
      <c r="AG416" s="47">
        <f t="shared" si="132"/>
        <v>2260</v>
      </c>
      <c r="AH416" s="47">
        <f t="shared" si="133"/>
        <v>2260</v>
      </c>
      <c r="AI416" s="208">
        <f t="shared" si="134"/>
        <v>0</v>
      </c>
    </row>
    <row r="417" spans="1:35">
      <c r="A417" t="s">
        <v>2102</v>
      </c>
      <c r="B417" t="s">
        <v>3170</v>
      </c>
      <c r="C417" t="s">
        <v>3640</v>
      </c>
      <c r="D417" t="s">
        <v>3641</v>
      </c>
      <c r="F417" t="s">
        <v>351</v>
      </c>
      <c r="G417" s="126">
        <f>SUMIFS('Support - Transition'!F:F,'Support - Transition'!B:B,'Step 2'!A417,'Support - Transition'!C:C,'Step 2'!B417,'Support - Transition'!D:D,'Step 2'!C417,'Support - Transition'!E:E,"CIVIL")</f>
        <v>0</v>
      </c>
      <c r="H417" s="126">
        <f>SUMIFS('Support - Transition'!F:F,'Support - Transition'!B:B,'Step 2'!A417,'Support - Transition'!C:C,'Step 2'!B417,'Support - Transition'!D:D,'Step 2'!C417,'Support - Transition'!E:E,"FIRE")</f>
        <v>0</v>
      </c>
      <c r="I417" s="126">
        <f>IF(B417="0",SUMIFS('Support - Transition'!F:F,'Support - Transition'!J:J,'Step 2'!D417,'Support - Transition'!E:E,"STATE UNIT"),SUMIFS('Support - Transition'!F:F,'Support - Transition'!J:J,'Step 2'!D417))</f>
        <v>3.4510000000000929E-3</v>
      </c>
      <c r="J417" s="126">
        <f>SUMIFS('Support - Unit Adjustments'!E:E,'Support - Unit Adjustments'!F:F,'Step 2'!D417)</f>
        <v>0</v>
      </c>
      <c r="K417" s="126">
        <f t="shared" si="118"/>
        <v>3.4510000000000929E-3</v>
      </c>
      <c r="L417" s="174">
        <f>VLOOKUP(A417,'Step 1'!$A:$E,4,FALSE)</f>
        <v>195990</v>
      </c>
      <c r="M417" s="47">
        <f t="shared" si="119"/>
        <v>676</v>
      </c>
      <c r="N417" s="177">
        <f>SUMIFS('Support - Transition'!G:G,'Support - Transition'!J:J,'Step 2'!D417,'Support - Transition'!E:E,"2009 WELFARE ALLOCATION FACTOR")</f>
        <v>0</v>
      </c>
      <c r="O417" s="152">
        <f t="shared" si="124"/>
        <v>0</v>
      </c>
      <c r="P417" s="126">
        <f>IF(E417="Y",0,SUMIFS('Support - Transition'!G:G,'Support - Transition'!J:J,'Step 2'!D417,'Support - Transition'!E:E,"2009 SCHOOL ALLOCATION FACTOR"))</f>
        <v>0</v>
      </c>
      <c r="Q417" s="126">
        <f>IF(E417="Y",VLOOKUP(D417,'Support - Unit Adjustments'!F:G,2,FALSE),0)</f>
        <v>0</v>
      </c>
      <c r="R417" s="155">
        <f t="shared" si="136"/>
        <v>0</v>
      </c>
      <c r="S417" s="47">
        <f t="shared" si="135"/>
        <v>0</v>
      </c>
      <c r="T417" s="151">
        <f t="shared" si="120"/>
        <v>676</v>
      </c>
      <c r="U417" s="151">
        <f t="shared" si="121"/>
        <v>0</v>
      </c>
      <c r="V417" s="139">
        <f t="shared" si="122"/>
        <v>0</v>
      </c>
      <c r="W417" s="152">
        <f t="shared" si="125"/>
        <v>676</v>
      </c>
      <c r="X417" s="127" t="str">
        <f t="shared" si="123"/>
        <v/>
      </c>
      <c r="Y417" s="207">
        <f t="shared" si="126"/>
        <v>676</v>
      </c>
      <c r="Z417" s="139">
        <f t="shared" si="127"/>
        <v>676</v>
      </c>
      <c r="AA417" s="139">
        <f t="shared" si="128"/>
        <v>0</v>
      </c>
      <c r="AC417" s="47">
        <f t="shared" si="129"/>
        <v>338</v>
      </c>
      <c r="AD417" s="47">
        <f t="shared" si="130"/>
        <v>338</v>
      </c>
      <c r="AE417" s="47">
        <f t="shared" si="131"/>
        <v>0</v>
      </c>
      <c r="AG417" s="47">
        <f t="shared" si="132"/>
        <v>338</v>
      </c>
      <c r="AH417" s="47">
        <f t="shared" si="133"/>
        <v>338</v>
      </c>
      <c r="AI417" s="208">
        <f t="shared" si="134"/>
        <v>0</v>
      </c>
    </row>
    <row r="418" spans="1:35">
      <c r="A418" t="s">
        <v>2102</v>
      </c>
      <c r="B418" t="s">
        <v>3286</v>
      </c>
      <c r="C418" t="s">
        <v>2193</v>
      </c>
      <c r="D418" t="s">
        <v>3642</v>
      </c>
      <c r="F418" t="s">
        <v>3643</v>
      </c>
      <c r="G418" s="126">
        <f>SUMIFS('Support - Transition'!F:F,'Support - Transition'!B:B,'Step 2'!A418,'Support - Transition'!C:C,'Step 2'!B418,'Support - Transition'!D:D,'Step 2'!C418,'Support - Transition'!E:E,"CIVIL")</f>
        <v>0</v>
      </c>
      <c r="H418" s="126">
        <f>SUMIFS('Support - Transition'!F:F,'Support - Transition'!B:B,'Step 2'!A418,'Support - Transition'!C:C,'Step 2'!B418,'Support - Transition'!D:D,'Step 2'!C418,'Support - Transition'!E:E,"FIRE")</f>
        <v>0</v>
      </c>
      <c r="I418" s="126">
        <f>IF(B418="0",SUMIFS('Support - Transition'!F:F,'Support - Transition'!J:J,'Step 2'!D418,'Support - Transition'!E:E,"STATE UNIT"),SUMIFS('Support - Transition'!F:F,'Support - Transition'!J:J,'Step 2'!D418))</f>
        <v>0</v>
      </c>
      <c r="J418" s="126">
        <f>SUMIFS('Support - Unit Adjustments'!E:E,'Support - Unit Adjustments'!F:F,'Step 2'!D418)</f>
        <v>0</v>
      </c>
      <c r="K418" s="126">
        <f t="shared" si="118"/>
        <v>0</v>
      </c>
      <c r="L418" s="174">
        <f>VLOOKUP(A418,'Step 1'!$A:$E,4,FALSE)</f>
        <v>195990</v>
      </c>
      <c r="M418" s="47">
        <f t="shared" si="119"/>
        <v>0</v>
      </c>
      <c r="N418" s="177">
        <f>SUMIFS('Support - Transition'!G:G,'Support - Transition'!J:J,'Step 2'!D418,'Support - Transition'!E:E,"2009 WELFARE ALLOCATION FACTOR")</f>
        <v>0</v>
      </c>
      <c r="O418" s="152">
        <f t="shared" si="124"/>
        <v>0</v>
      </c>
      <c r="P418" s="126">
        <f>IF(E418="Y",0,SUMIFS('Support - Transition'!G:G,'Support - Transition'!J:J,'Step 2'!D418,'Support - Transition'!E:E,"2009 SCHOOL ALLOCATION FACTOR"))</f>
        <v>0</v>
      </c>
      <c r="Q418" s="126">
        <f>IF(E418="Y",VLOOKUP(D418,'Support - Unit Adjustments'!F:G,2,FALSE),0)</f>
        <v>0</v>
      </c>
      <c r="R418" s="155">
        <f t="shared" si="136"/>
        <v>0</v>
      </c>
      <c r="S418" s="47">
        <f t="shared" si="135"/>
        <v>0</v>
      </c>
      <c r="T418" s="151">
        <f t="shared" si="120"/>
        <v>0</v>
      </c>
      <c r="U418" s="151">
        <f t="shared" si="121"/>
        <v>0</v>
      </c>
      <c r="V418" s="139">
        <f t="shared" si="122"/>
        <v>0</v>
      </c>
      <c r="W418" s="152">
        <f t="shared" si="125"/>
        <v>0</v>
      </c>
      <c r="X418" s="127" t="str">
        <f t="shared" si="123"/>
        <v/>
      </c>
      <c r="Y418" s="207">
        <f t="shared" si="126"/>
        <v>0</v>
      </c>
      <c r="Z418" s="139">
        <f t="shared" si="127"/>
        <v>0</v>
      </c>
      <c r="AA418" s="139">
        <f t="shared" si="128"/>
        <v>0</v>
      </c>
      <c r="AC418" s="47">
        <f t="shared" si="129"/>
        <v>0</v>
      </c>
      <c r="AD418" s="47">
        <f t="shared" si="130"/>
        <v>0</v>
      </c>
      <c r="AE418" s="47">
        <f t="shared" si="131"/>
        <v>0</v>
      </c>
      <c r="AG418" s="47">
        <f t="shared" si="132"/>
        <v>0</v>
      </c>
      <c r="AH418" s="47">
        <f t="shared" si="133"/>
        <v>0</v>
      </c>
      <c r="AI418" s="208">
        <f t="shared" si="134"/>
        <v>0</v>
      </c>
    </row>
    <row r="419" spans="1:35">
      <c r="A419" t="s">
        <v>2103</v>
      </c>
      <c r="B419" s="48" t="s">
        <v>6274</v>
      </c>
      <c r="C419" t="s">
        <v>2187</v>
      </c>
      <c r="D419" t="str">
        <f>A419&amp;B419&amp;C419</f>
        <v>1600000</v>
      </c>
      <c r="F419" t="s">
        <v>6290</v>
      </c>
      <c r="G419" s="126">
        <f>SUMIFS('Support - Transition'!F:F,'Support - Transition'!B:B,'Step 2'!A419,'Support - Transition'!C:C,'Step 2'!B419,'Support - Transition'!D:D,'Step 2'!C419,'Support - Transition'!E:E,"CIVIL")</f>
        <v>0</v>
      </c>
      <c r="H419" s="126">
        <f>SUMIFS('Support - Transition'!F:F,'Support - Transition'!B:B,'Step 2'!A419,'Support - Transition'!C:C,'Step 2'!B419,'Support - Transition'!D:D,'Step 2'!C419,'Support - Transition'!E:E,"FIRE")</f>
        <v>0</v>
      </c>
      <c r="I419" s="126">
        <f>IF(B419="0",SUMIFS('Support - Transition'!F:F,'Support - Transition'!J:J,'Step 2'!D419,'Support - Transition'!E:E,"STATE UNIT"),SUMIFS('Support - Transition'!F:F,'Support - Transition'!J:J,'Step 2'!D419))</f>
        <v>1.5269999999999999E-3</v>
      </c>
      <c r="J419" s="126">
        <f>SUMIFS('Support - Unit Adjustments'!E:E,'Support - Unit Adjustments'!F:F,'Step 2'!D419)</f>
        <v>0</v>
      </c>
      <c r="K419" s="126">
        <f t="shared" si="118"/>
        <v>1.5269999999999999E-3</v>
      </c>
      <c r="L419" s="174">
        <f>VLOOKUP(A419,'Step 1'!$A:$E,4,FALSE)</f>
        <v>325842</v>
      </c>
      <c r="M419" s="47">
        <f t="shared" si="119"/>
        <v>498</v>
      </c>
      <c r="N419" s="177">
        <f>SUMIFS('Support - Transition'!G:G,'Support - Transition'!J:J,'Step 2'!D419,'Support - Transition'!E:E,"2009 WELFARE ALLOCATION FACTOR")</f>
        <v>0</v>
      </c>
      <c r="O419" s="152">
        <f t="shared" si="124"/>
        <v>0</v>
      </c>
      <c r="P419" s="126">
        <f>IF(E419="Y",0,SUMIFS('Support - Transition'!G:G,'Support - Transition'!J:J,'Step 2'!D419,'Support - Transition'!E:E,"2009 SCHOOL ALLOCATION FACTOR"))</f>
        <v>0</v>
      </c>
      <c r="Q419" s="126">
        <f>IF(E419="Y",VLOOKUP(D419,'Support - Unit Adjustments'!F:G,2,FALSE),0)</f>
        <v>0</v>
      </c>
      <c r="R419" s="155">
        <f t="shared" si="136"/>
        <v>0</v>
      </c>
      <c r="S419" s="47">
        <f t="shared" si="135"/>
        <v>0</v>
      </c>
      <c r="T419" s="151">
        <f t="shared" si="120"/>
        <v>498</v>
      </c>
      <c r="U419" s="151">
        <f t="shared" si="121"/>
        <v>325841</v>
      </c>
      <c r="V419" s="139">
        <f t="shared" si="122"/>
        <v>-1</v>
      </c>
      <c r="W419" s="152">
        <f t="shared" si="125"/>
        <v>499</v>
      </c>
      <c r="X419" s="127">
        <f t="shared" si="123"/>
        <v>0</v>
      </c>
      <c r="Y419" s="207">
        <f t="shared" si="126"/>
        <v>499</v>
      </c>
      <c r="Z419" s="139">
        <f t="shared" si="127"/>
        <v>499</v>
      </c>
      <c r="AA419" s="139">
        <f t="shared" si="128"/>
        <v>0</v>
      </c>
      <c r="AC419" s="47">
        <f t="shared" si="129"/>
        <v>250</v>
      </c>
      <c r="AD419" s="47">
        <f t="shared" si="130"/>
        <v>250</v>
      </c>
      <c r="AE419" s="47">
        <f t="shared" si="131"/>
        <v>0</v>
      </c>
      <c r="AG419" s="47">
        <f t="shared" si="132"/>
        <v>249</v>
      </c>
      <c r="AH419" s="47">
        <f t="shared" si="133"/>
        <v>249</v>
      </c>
      <c r="AI419" s="208">
        <f t="shared" si="134"/>
        <v>0</v>
      </c>
    </row>
    <row r="420" spans="1:35">
      <c r="A420" t="s">
        <v>2103</v>
      </c>
      <c r="B420" t="s">
        <v>3140</v>
      </c>
      <c r="C420" t="s">
        <v>2187</v>
      </c>
      <c r="D420" t="s">
        <v>3644</v>
      </c>
      <c r="F420" t="s">
        <v>353</v>
      </c>
      <c r="G420" s="126">
        <f>SUMIFS('Support - Transition'!F:F,'Support - Transition'!B:B,'Step 2'!A420,'Support - Transition'!C:C,'Step 2'!B420,'Support - Transition'!D:D,'Step 2'!C420,'Support - Transition'!E:E,"CIVIL")</f>
        <v>0</v>
      </c>
      <c r="H420" s="126">
        <f>SUMIFS('Support - Transition'!F:F,'Support - Transition'!B:B,'Step 2'!A420,'Support - Transition'!C:C,'Step 2'!B420,'Support - Transition'!D:D,'Step 2'!C420,'Support - Transition'!E:E,"FIRE")</f>
        <v>0</v>
      </c>
      <c r="I420" s="126">
        <f>IF(B420="0",SUMIFS('Support - Transition'!F:F,'Support - Transition'!J:J,'Step 2'!D420,'Support - Transition'!E:E,"STATE UNIT"),SUMIFS('Support - Transition'!F:F,'Support - Transition'!J:J,'Step 2'!D420))</f>
        <v>0.20996200000000001</v>
      </c>
      <c r="J420" s="126">
        <f>SUMIFS('Support - Unit Adjustments'!E:E,'Support - Unit Adjustments'!F:F,'Step 2'!D420)</f>
        <v>0</v>
      </c>
      <c r="K420" s="126">
        <f t="shared" si="118"/>
        <v>0.20996200000000001</v>
      </c>
      <c r="L420" s="174">
        <f>VLOOKUP(A420,'Step 1'!$A:$E,4,FALSE)</f>
        <v>325842</v>
      </c>
      <c r="M420" s="47">
        <f t="shared" si="119"/>
        <v>68414</v>
      </c>
      <c r="N420" s="177">
        <f>SUMIFS('Support - Transition'!G:G,'Support - Transition'!J:J,'Step 2'!D420,'Support - Transition'!E:E,"2009 WELFARE ALLOCATION FACTOR")</f>
        <v>0.20225299999999999</v>
      </c>
      <c r="O420" s="152">
        <f t="shared" si="124"/>
        <v>13837</v>
      </c>
      <c r="P420" s="126">
        <f>IF(E420="Y",0,SUMIFS('Support - Transition'!G:G,'Support - Transition'!J:J,'Step 2'!D420,'Support - Transition'!E:E,"2009 SCHOOL ALLOCATION FACTOR"))</f>
        <v>0</v>
      </c>
      <c r="Q420" s="126">
        <f>IF(E420="Y",VLOOKUP(D420,'Support - Unit Adjustments'!F:G,2,FALSE),0)</f>
        <v>0</v>
      </c>
      <c r="R420" s="155">
        <f t="shared" si="136"/>
        <v>0</v>
      </c>
      <c r="S420" s="47">
        <f t="shared" si="135"/>
        <v>0</v>
      </c>
      <c r="T420" s="151">
        <f t="shared" si="120"/>
        <v>54577</v>
      </c>
      <c r="U420" s="151">
        <f t="shared" si="121"/>
        <v>0</v>
      </c>
      <c r="V420" s="139">
        <f t="shared" si="122"/>
        <v>0</v>
      </c>
      <c r="W420" s="152">
        <f t="shared" si="125"/>
        <v>54577</v>
      </c>
      <c r="X420" s="127" t="str">
        <f t="shared" si="123"/>
        <v/>
      </c>
      <c r="Y420" s="207">
        <f t="shared" si="126"/>
        <v>54577</v>
      </c>
      <c r="Z420" s="139">
        <f t="shared" si="127"/>
        <v>54577</v>
      </c>
      <c r="AA420" s="139">
        <f t="shared" si="128"/>
        <v>0</v>
      </c>
      <c r="AC420" s="47">
        <f t="shared" si="129"/>
        <v>27289</v>
      </c>
      <c r="AD420" s="47">
        <f t="shared" si="130"/>
        <v>27289</v>
      </c>
      <c r="AE420" s="47">
        <f t="shared" si="131"/>
        <v>0</v>
      </c>
      <c r="AG420" s="47">
        <f t="shared" si="132"/>
        <v>27288</v>
      </c>
      <c r="AH420" s="47">
        <f t="shared" si="133"/>
        <v>27288</v>
      </c>
      <c r="AI420" s="208">
        <f t="shared" si="134"/>
        <v>0</v>
      </c>
    </row>
    <row r="421" spans="1:35">
      <c r="A421" t="s">
        <v>2103</v>
      </c>
      <c r="B421" t="s">
        <v>3142</v>
      </c>
      <c r="C421" t="s">
        <v>2188</v>
      </c>
      <c r="D421" t="s">
        <v>3645</v>
      </c>
      <c r="F421" t="s">
        <v>46</v>
      </c>
      <c r="G421" s="126">
        <f>SUMIFS('Support - Transition'!F:F,'Support - Transition'!B:B,'Step 2'!A421,'Support - Transition'!C:C,'Step 2'!B421,'Support - Transition'!D:D,'Step 2'!C421,'Support - Transition'!E:E,"CIVIL")</f>
        <v>4.08E-4</v>
      </c>
      <c r="H421" s="126">
        <f>SUMIFS('Support - Transition'!F:F,'Support - Transition'!B:B,'Step 2'!A421,'Support - Transition'!C:C,'Step 2'!B421,'Support - Transition'!D:D,'Step 2'!C421,'Support - Transition'!E:E,"FIRE")</f>
        <v>3.0800000000000001E-4</v>
      </c>
      <c r="I421" s="126">
        <f>IF(B421="0",SUMIFS('Support - Transition'!F:F,'Support - Transition'!J:J,'Step 2'!D421,'Support - Transition'!E:E,"STATE UNIT"),SUMIFS('Support - Transition'!F:F,'Support - Transition'!J:J,'Step 2'!D421))</f>
        <v>7.1600000000000006E-4</v>
      </c>
      <c r="J421" s="126">
        <f>SUMIFS('Support - Unit Adjustments'!E:E,'Support - Unit Adjustments'!F:F,'Step 2'!D421)</f>
        <v>0</v>
      </c>
      <c r="K421" s="126">
        <f t="shared" si="118"/>
        <v>7.1600000000000006E-4</v>
      </c>
      <c r="L421" s="174">
        <f>VLOOKUP(A421,'Step 1'!$A:$E,4,FALSE)</f>
        <v>325842</v>
      </c>
      <c r="M421" s="47">
        <f t="shared" si="119"/>
        <v>233</v>
      </c>
      <c r="N421" s="177">
        <f>SUMIFS('Support - Transition'!G:G,'Support - Transition'!J:J,'Step 2'!D421,'Support - Transition'!E:E,"2009 WELFARE ALLOCATION FACTOR")</f>
        <v>0</v>
      </c>
      <c r="O421" s="152">
        <f t="shared" si="124"/>
        <v>0</v>
      </c>
      <c r="P421" s="126">
        <f>IF(E421="Y",0,SUMIFS('Support - Transition'!G:G,'Support - Transition'!J:J,'Step 2'!D421,'Support - Transition'!E:E,"2009 SCHOOL ALLOCATION FACTOR"))</f>
        <v>0</v>
      </c>
      <c r="Q421" s="126">
        <f>IF(E421="Y",VLOOKUP(D421,'Support - Unit Adjustments'!F:G,2,FALSE),0)</f>
        <v>0</v>
      </c>
      <c r="R421" s="155">
        <f t="shared" si="136"/>
        <v>0</v>
      </c>
      <c r="S421" s="47">
        <f t="shared" si="135"/>
        <v>0</v>
      </c>
      <c r="T421" s="151">
        <f t="shared" si="120"/>
        <v>233</v>
      </c>
      <c r="U421" s="151">
        <f t="shared" si="121"/>
        <v>0</v>
      </c>
      <c r="V421" s="139">
        <f t="shared" si="122"/>
        <v>0</v>
      </c>
      <c r="W421" s="152">
        <f t="shared" si="125"/>
        <v>233</v>
      </c>
      <c r="X421" s="127" t="str">
        <f t="shared" si="123"/>
        <v/>
      </c>
      <c r="Y421" s="207">
        <f t="shared" si="126"/>
        <v>233</v>
      </c>
      <c r="Z421" s="139">
        <f t="shared" si="127"/>
        <v>133</v>
      </c>
      <c r="AA421" s="139">
        <f t="shared" si="128"/>
        <v>100</v>
      </c>
      <c r="AC421" s="47">
        <f t="shared" si="129"/>
        <v>117</v>
      </c>
      <c r="AD421" s="47">
        <f t="shared" si="130"/>
        <v>67</v>
      </c>
      <c r="AE421" s="47">
        <f t="shared" si="131"/>
        <v>50</v>
      </c>
      <c r="AG421" s="47">
        <f t="shared" si="132"/>
        <v>116</v>
      </c>
      <c r="AH421" s="47">
        <f t="shared" si="133"/>
        <v>66</v>
      </c>
      <c r="AI421" s="208">
        <f t="shared" si="134"/>
        <v>50</v>
      </c>
    </row>
    <row r="422" spans="1:35">
      <c r="A422" t="s">
        <v>2103</v>
      </c>
      <c r="B422" t="s">
        <v>3142</v>
      </c>
      <c r="C422" t="s">
        <v>2189</v>
      </c>
      <c r="D422" t="s">
        <v>3646</v>
      </c>
      <c r="F422" t="s">
        <v>81</v>
      </c>
      <c r="G422" s="126">
        <f>SUMIFS('Support - Transition'!F:F,'Support - Transition'!B:B,'Step 2'!A422,'Support - Transition'!C:C,'Step 2'!B422,'Support - Transition'!D:D,'Step 2'!C422,'Support - Transition'!E:E,"CIVIL")</f>
        <v>3.4459999999999998E-3</v>
      </c>
      <c r="H422" s="126">
        <f>SUMIFS('Support - Transition'!F:F,'Support - Transition'!B:B,'Step 2'!A422,'Support - Transition'!C:C,'Step 2'!B422,'Support - Transition'!D:D,'Step 2'!C422,'Support - Transition'!E:E,"FIRE")</f>
        <v>2.735E-3</v>
      </c>
      <c r="I422" s="126">
        <f>IF(B422="0",SUMIFS('Support - Transition'!F:F,'Support - Transition'!J:J,'Step 2'!D422,'Support - Transition'!E:E,"STATE UNIT"),SUMIFS('Support - Transition'!F:F,'Support - Transition'!J:J,'Step 2'!D422))</f>
        <v>6.1809999999999999E-3</v>
      </c>
      <c r="J422" s="126">
        <f>SUMIFS('Support - Unit Adjustments'!E:E,'Support - Unit Adjustments'!F:F,'Step 2'!D422)</f>
        <v>0</v>
      </c>
      <c r="K422" s="126">
        <f t="shared" si="118"/>
        <v>6.1809999999999999E-3</v>
      </c>
      <c r="L422" s="174">
        <f>VLOOKUP(A422,'Step 1'!$A:$E,4,FALSE)</f>
        <v>325842</v>
      </c>
      <c r="M422" s="47">
        <f t="shared" si="119"/>
        <v>2014</v>
      </c>
      <c r="N422" s="177">
        <f>SUMIFS('Support - Transition'!G:G,'Support - Transition'!J:J,'Step 2'!D422,'Support - Transition'!E:E,"2009 WELFARE ALLOCATION FACTOR")</f>
        <v>0</v>
      </c>
      <c r="O422" s="152">
        <f t="shared" si="124"/>
        <v>0</v>
      </c>
      <c r="P422" s="126">
        <f>IF(E422="Y",0,SUMIFS('Support - Transition'!G:G,'Support - Transition'!J:J,'Step 2'!D422,'Support - Transition'!E:E,"2009 SCHOOL ALLOCATION FACTOR"))</f>
        <v>0</v>
      </c>
      <c r="Q422" s="126">
        <f>IF(E422="Y",VLOOKUP(D422,'Support - Unit Adjustments'!F:G,2,FALSE),0)</f>
        <v>0</v>
      </c>
      <c r="R422" s="155">
        <f t="shared" si="136"/>
        <v>0</v>
      </c>
      <c r="S422" s="47">
        <f t="shared" si="135"/>
        <v>0</v>
      </c>
      <c r="T422" s="151">
        <f t="shared" si="120"/>
        <v>2014</v>
      </c>
      <c r="U422" s="151">
        <f t="shared" si="121"/>
        <v>0</v>
      </c>
      <c r="V422" s="139">
        <f t="shared" si="122"/>
        <v>0</v>
      </c>
      <c r="W422" s="152">
        <f t="shared" si="125"/>
        <v>2014</v>
      </c>
      <c r="X422" s="127" t="str">
        <f t="shared" si="123"/>
        <v/>
      </c>
      <c r="Y422" s="207">
        <f t="shared" si="126"/>
        <v>2014</v>
      </c>
      <c r="Z422" s="139">
        <f t="shared" si="127"/>
        <v>1123</v>
      </c>
      <c r="AA422" s="139">
        <f t="shared" si="128"/>
        <v>891</v>
      </c>
      <c r="AC422" s="47">
        <f t="shared" si="129"/>
        <v>1007</v>
      </c>
      <c r="AD422" s="47">
        <f t="shared" si="130"/>
        <v>562</v>
      </c>
      <c r="AE422" s="47">
        <f t="shared" si="131"/>
        <v>446</v>
      </c>
      <c r="AG422" s="47">
        <f t="shared" si="132"/>
        <v>1007</v>
      </c>
      <c r="AH422" s="47">
        <f t="shared" si="133"/>
        <v>561</v>
      </c>
      <c r="AI422" s="208">
        <f t="shared" si="134"/>
        <v>445</v>
      </c>
    </row>
    <row r="423" spans="1:35">
      <c r="A423" t="s">
        <v>2103</v>
      </c>
      <c r="B423" t="s">
        <v>3142</v>
      </c>
      <c r="C423" t="s">
        <v>2190</v>
      </c>
      <c r="D423" t="s">
        <v>3647</v>
      </c>
      <c r="F423" t="s">
        <v>147</v>
      </c>
      <c r="G423" s="126">
        <f>SUMIFS('Support - Transition'!F:F,'Support - Transition'!B:B,'Step 2'!A423,'Support - Transition'!C:C,'Step 2'!B423,'Support - Transition'!D:D,'Step 2'!C423,'Support - Transition'!E:E,"CIVIL")</f>
        <v>3.2400000000000001E-4</v>
      </c>
      <c r="H423" s="126">
        <f>SUMIFS('Support - Transition'!F:F,'Support - Transition'!B:B,'Step 2'!A423,'Support - Transition'!C:C,'Step 2'!B423,'Support - Transition'!D:D,'Step 2'!C423,'Support - Transition'!E:E,"FIRE")</f>
        <v>6.7000000000000002E-5</v>
      </c>
      <c r="I423" s="126">
        <f>IF(B423="0",SUMIFS('Support - Transition'!F:F,'Support - Transition'!J:J,'Step 2'!D423,'Support - Transition'!E:E,"STATE UNIT"),SUMIFS('Support - Transition'!F:F,'Support - Transition'!J:J,'Step 2'!D423))</f>
        <v>3.9100000000000002E-4</v>
      </c>
      <c r="J423" s="126">
        <f>SUMIFS('Support - Unit Adjustments'!E:E,'Support - Unit Adjustments'!F:F,'Step 2'!D423)</f>
        <v>0</v>
      </c>
      <c r="K423" s="126">
        <f t="shared" si="118"/>
        <v>3.9100000000000002E-4</v>
      </c>
      <c r="L423" s="174">
        <f>VLOOKUP(A423,'Step 1'!$A:$E,4,FALSE)</f>
        <v>325842</v>
      </c>
      <c r="M423" s="47">
        <f t="shared" si="119"/>
        <v>127</v>
      </c>
      <c r="N423" s="177">
        <f>SUMIFS('Support - Transition'!G:G,'Support - Transition'!J:J,'Step 2'!D423,'Support - Transition'!E:E,"2009 WELFARE ALLOCATION FACTOR")</f>
        <v>0</v>
      </c>
      <c r="O423" s="152">
        <f t="shared" si="124"/>
        <v>0</v>
      </c>
      <c r="P423" s="126">
        <f>IF(E423="Y",0,SUMIFS('Support - Transition'!G:G,'Support - Transition'!J:J,'Step 2'!D423,'Support - Transition'!E:E,"2009 SCHOOL ALLOCATION FACTOR"))</f>
        <v>0</v>
      </c>
      <c r="Q423" s="126">
        <f>IF(E423="Y",VLOOKUP(D423,'Support - Unit Adjustments'!F:G,2,FALSE),0)</f>
        <v>0</v>
      </c>
      <c r="R423" s="155">
        <f t="shared" si="136"/>
        <v>0</v>
      </c>
      <c r="S423" s="47">
        <f t="shared" si="135"/>
        <v>0</v>
      </c>
      <c r="T423" s="151">
        <f t="shared" si="120"/>
        <v>127</v>
      </c>
      <c r="U423" s="151">
        <f t="shared" si="121"/>
        <v>0</v>
      </c>
      <c r="V423" s="139">
        <f t="shared" si="122"/>
        <v>0</v>
      </c>
      <c r="W423" s="152">
        <f t="shared" si="125"/>
        <v>127</v>
      </c>
      <c r="X423" s="127" t="str">
        <f t="shared" si="123"/>
        <v/>
      </c>
      <c r="Y423" s="207">
        <f t="shared" si="126"/>
        <v>127</v>
      </c>
      <c r="Z423" s="139">
        <f t="shared" si="127"/>
        <v>105</v>
      </c>
      <c r="AA423" s="139">
        <f t="shared" si="128"/>
        <v>22</v>
      </c>
      <c r="AC423" s="47">
        <f t="shared" si="129"/>
        <v>64</v>
      </c>
      <c r="AD423" s="47">
        <f t="shared" si="130"/>
        <v>53</v>
      </c>
      <c r="AE423" s="47">
        <f t="shared" si="131"/>
        <v>11</v>
      </c>
      <c r="AG423" s="47">
        <f t="shared" si="132"/>
        <v>63</v>
      </c>
      <c r="AH423" s="47">
        <f t="shared" si="133"/>
        <v>52</v>
      </c>
      <c r="AI423" s="208">
        <f t="shared" si="134"/>
        <v>11</v>
      </c>
    </row>
    <row r="424" spans="1:35">
      <c r="A424" t="s">
        <v>2103</v>
      </c>
      <c r="B424" t="s">
        <v>3142</v>
      </c>
      <c r="C424" t="s">
        <v>2191</v>
      </c>
      <c r="D424" t="s">
        <v>3648</v>
      </c>
      <c r="F424" t="s">
        <v>354</v>
      </c>
      <c r="G424" s="126">
        <f>SUMIFS('Support - Transition'!F:F,'Support - Transition'!B:B,'Step 2'!A424,'Support - Transition'!C:C,'Step 2'!B424,'Support - Transition'!D:D,'Step 2'!C424,'Support - Transition'!E:E,"CIVIL")</f>
        <v>7.27E-4</v>
      </c>
      <c r="H424" s="126">
        <f>SUMIFS('Support - Transition'!F:F,'Support - Transition'!B:B,'Step 2'!A424,'Support - Transition'!C:C,'Step 2'!B424,'Support - Transition'!D:D,'Step 2'!C424,'Support - Transition'!E:E,"FIRE")</f>
        <v>1.4300000000000001E-4</v>
      </c>
      <c r="I424" s="126">
        <f>IF(B424="0",SUMIFS('Support - Transition'!F:F,'Support - Transition'!J:J,'Step 2'!D424,'Support - Transition'!E:E,"STATE UNIT"),SUMIFS('Support - Transition'!F:F,'Support - Transition'!J:J,'Step 2'!D424))</f>
        <v>8.7000000000000001E-4</v>
      </c>
      <c r="J424" s="126">
        <f>SUMIFS('Support - Unit Adjustments'!E:E,'Support - Unit Adjustments'!F:F,'Step 2'!D424)</f>
        <v>0</v>
      </c>
      <c r="K424" s="126">
        <f t="shared" si="118"/>
        <v>8.7000000000000001E-4</v>
      </c>
      <c r="L424" s="174">
        <f>VLOOKUP(A424,'Step 1'!$A:$E,4,FALSE)</f>
        <v>325842</v>
      </c>
      <c r="M424" s="47">
        <f t="shared" si="119"/>
        <v>283</v>
      </c>
      <c r="N424" s="177">
        <f>SUMIFS('Support - Transition'!G:G,'Support - Transition'!J:J,'Step 2'!D424,'Support - Transition'!E:E,"2009 WELFARE ALLOCATION FACTOR")</f>
        <v>0</v>
      </c>
      <c r="O424" s="152">
        <f t="shared" si="124"/>
        <v>0</v>
      </c>
      <c r="P424" s="126">
        <f>IF(E424="Y",0,SUMIFS('Support - Transition'!G:G,'Support - Transition'!J:J,'Step 2'!D424,'Support - Transition'!E:E,"2009 SCHOOL ALLOCATION FACTOR"))</f>
        <v>0</v>
      </c>
      <c r="Q424" s="126">
        <f>IF(E424="Y",VLOOKUP(D424,'Support - Unit Adjustments'!F:G,2,FALSE),0)</f>
        <v>0</v>
      </c>
      <c r="R424" s="155">
        <f t="shared" si="136"/>
        <v>0</v>
      </c>
      <c r="S424" s="47">
        <f t="shared" si="135"/>
        <v>0</v>
      </c>
      <c r="T424" s="151">
        <f t="shared" si="120"/>
        <v>283</v>
      </c>
      <c r="U424" s="151">
        <f t="shared" si="121"/>
        <v>0</v>
      </c>
      <c r="V424" s="139">
        <f t="shared" si="122"/>
        <v>0</v>
      </c>
      <c r="W424" s="152">
        <f t="shared" si="125"/>
        <v>283</v>
      </c>
      <c r="X424" s="127" t="str">
        <f t="shared" si="123"/>
        <v/>
      </c>
      <c r="Y424" s="207">
        <f t="shared" si="126"/>
        <v>283</v>
      </c>
      <c r="Z424" s="139">
        <f t="shared" si="127"/>
        <v>236</v>
      </c>
      <c r="AA424" s="139">
        <f t="shared" si="128"/>
        <v>47</v>
      </c>
      <c r="AC424" s="47">
        <f t="shared" si="129"/>
        <v>142</v>
      </c>
      <c r="AD424" s="47">
        <f t="shared" si="130"/>
        <v>118</v>
      </c>
      <c r="AE424" s="47">
        <f t="shared" si="131"/>
        <v>24</v>
      </c>
      <c r="AG424" s="47">
        <f t="shared" si="132"/>
        <v>141</v>
      </c>
      <c r="AH424" s="47">
        <f t="shared" si="133"/>
        <v>118</v>
      </c>
      <c r="AI424" s="208">
        <f t="shared" si="134"/>
        <v>23</v>
      </c>
    </row>
    <row r="425" spans="1:35">
      <c r="A425" t="s">
        <v>2103</v>
      </c>
      <c r="B425" t="s">
        <v>3142</v>
      </c>
      <c r="C425" t="s">
        <v>2192</v>
      </c>
      <c r="D425" t="s">
        <v>3649</v>
      </c>
      <c r="F425" t="s">
        <v>49</v>
      </c>
      <c r="G425" s="126">
        <f>SUMIFS('Support - Transition'!F:F,'Support - Transition'!B:B,'Step 2'!A425,'Support - Transition'!C:C,'Step 2'!B425,'Support - Transition'!D:D,'Step 2'!C425,'Support - Transition'!E:E,"CIVIL")</f>
        <v>1.854E-3</v>
      </c>
      <c r="H425" s="126">
        <f>SUMIFS('Support - Transition'!F:F,'Support - Transition'!B:B,'Step 2'!A425,'Support - Transition'!C:C,'Step 2'!B425,'Support - Transition'!D:D,'Step 2'!C425,'Support - Transition'!E:E,"FIRE")</f>
        <v>3.97E-4</v>
      </c>
      <c r="I425" s="126">
        <f>IF(B425="0",SUMIFS('Support - Transition'!F:F,'Support - Transition'!J:J,'Step 2'!D425,'Support - Transition'!E:E,"STATE UNIT"),SUMIFS('Support - Transition'!F:F,'Support - Transition'!J:J,'Step 2'!D425))</f>
        <v>2.251E-3</v>
      </c>
      <c r="J425" s="126">
        <f>SUMIFS('Support - Unit Adjustments'!E:E,'Support - Unit Adjustments'!F:F,'Step 2'!D425)</f>
        <v>0</v>
      </c>
      <c r="K425" s="126">
        <f t="shared" si="118"/>
        <v>2.251E-3</v>
      </c>
      <c r="L425" s="174">
        <f>VLOOKUP(A425,'Step 1'!$A:$E,4,FALSE)</f>
        <v>325842</v>
      </c>
      <c r="M425" s="47">
        <f t="shared" si="119"/>
        <v>733</v>
      </c>
      <c r="N425" s="177">
        <f>SUMIFS('Support - Transition'!G:G,'Support - Transition'!J:J,'Step 2'!D425,'Support - Transition'!E:E,"2009 WELFARE ALLOCATION FACTOR")</f>
        <v>0</v>
      </c>
      <c r="O425" s="152">
        <f t="shared" si="124"/>
        <v>0</v>
      </c>
      <c r="P425" s="126">
        <f>IF(E425="Y",0,SUMIFS('Support - Transition'!G:G,'Support - Transition'!J:J,'Step 2'!D425,'Support - Transition'!E:E,"2009 SCHOOL ALLOCATION FACTOR"))</f>
        <v>0</v>
      </c>
      <c r="Q425" s="126">
        <f>IF(E425="Y",VLOOKUP(D425,'Support - Unit Adjustments'!F:G,2,FALSE),0)</f>
        <v>0</v>
      </c>
      <c r="R425" s="155">
        <f t="shared" si="136"/>
        <v>0</v>
      </c>
      <c r="S425" s="47">
        <f t="shared" si="135"/>
        <v>0</v>
      </c>
      <c r="T425" s="151">
        <f t="shared" si="120"/>
        <v>733</v>
      </c>
      <c r="U425" s="151">
        <f t="shared" si="121"/>
        <v>0</v>
      </c>
      <c r="V425" s="139">
        <f t="shared" si="122"/>
        <v>0</v>
      </c>
      <c r="W425" s="152">
        <f t="shared" si="125"/>
        <v>733</v>
      </c>
      <c r="X425" s="127" t="str">
        <f t="shared" si="123"/>
        <v/>
      </c>
      <c r="Y425" s="207">
        <f t="shared" si="126"/>
        <v>733</v>
      </c>
      <c r="Z425" s="139">
        <f t="shared" si="127"/>
        <v>604</v>
      </c>
      <c r="AA425" s="139">
        <f t="shared" si="128"/>
        <v>129</v>
      </c>
      <c r="AC425" s="47">
        <f t="shared" si="129"/>
        <v>367</v>
      </c>
      <c r="AD425" s="47">
        <f t="shared" si="130"/>
        <v>302</v>
      </c>
      <c r="AE425" s="47">
        <f t="shared" si="131"/>
        <v>65</v>
      </c>
      <c r="AG425" s="47">
        <f t="shared" si="132"/>
        <v>366</v>
      </c>
      <c r="AH425" s="47">
        <f t="shared" si="133"/>
        <v>302</v>
      </c>
      <c r="AI425" s="208">
        <f t="shared" si="134"/>
        <v>64</v>
      </c>
    </row>
    <row r="426" spans="1:35">
      <c r="A426" t="s">
        <v>2103</v>
      </c>
      <c r="B426" t="s">
        <v>3142</v>
      </c>
      <c r="C426" t="s">
        <v>2193</v>
      </c>
      <c r="D426" t="s">
        <v>3650</v>
      </c>
      <c r="F426" t="s">
        <v>53</v>
      </c>
      <c r="G426" s="126">
        <f>SUMIFS('Support - Transition'!F:F,'Support - Transition'!B:B,'Step 2'!A426,'Support - Transition'!C:C,'Step 2'!B426,'Support - Transition'!D:D,'Step 2'!C426,'Support - Transition'!E:E,"CIVIL")</f>
        <v>1.3979999999999999E-3</v>
      </c>
      <c r="H426" s="126">
        <f>SUMIFS('Support - Transition'!F:F,'Support - Transition'!B:B,'Step 2'!A426,'Support - Transition'!C:C,'Step 2'!B426,'Support - Transition'!D:D,'Step 2'!C426,'Support - Transition'!E:E,"FIRE")</f>
        <v>7.8899999999999999E-4</v>
      </c>
      <c r="I426" s="126">
        <f>IF(B426="0",SUMIFS('Support - Transition'!F:F,'Support - Transition'!J:J,'Step 2'!D426,'Support - Transition'!E:E,"STATE UNIT"),SUMIFS('Support - Transition'!F:F,'Support - Transition'!J:J,'Step 2'!D426))</f>
        <v>2.1869999999999997E-3</v>
      </c>
      <c r="J426" s="126">
        <f>SUMIFS('Support - Unit Adjustments'!E:E,'Support - Unit Adjustments'!F:F,'Step 2'!D426)</f>
        <v>0</v>
      </c>
      <c r="K426" s="126">
        <f t="shared" si="118"/>
        <v>2.1869999999999997E-3</v>
      </c>
      <c r="L426" s="174">
        <f>VLOOKUP(A426,'Step 1'!$A:$E,4,FALSE)</f>
        <v>325842</v>
      </c>
      <c r="M426" s="47">
        <f t="shared" si="119"/>
        <v>713</v>
      </c>
      <c r="N426" s="177">
        <f>SUMIFS('Support - Transition'!G:G,'Support - Transition'!J:J,'Step 2'!D426,'Support - Transition'!E:E,"2009 WELFARE ALLOCATION FACTOR")</f>
        <v>0</v>
      </c>
      <c r="O426" s="152">
        <f t="shared" si="124"/>
        <v>0</v>
      </c>
      <c r="P426" s="126">
        <f>IF(E426="Y",0,SUMIFS('Support - Transition'!G:G,'Support - Transition'!J:J,'Step 2'!D426,'Support - Transition'!E:E,"2009 SCHOOL ALLOCATION FACTOR"))</f>
        <v>0</v>
      </c>
      <c r="Q426" s="126">
        <f>IF(E426="Y",VLOOKUP(D426,'Support - Unit Adjustments'!F:G,2,FALSE),0)</f>
        <v>0</v>
      </c>
      <c r="R426" s="155">
        <f t="shared" si="136"/>
        <v>0</v>
      </c>
      <c r="S426" s="47">
        <f t="shared" si="135"/>
        <v>0</v>
      </c>
      <c r="T426" s="151">
        <f t="shared" si="120"/>
        <v>713</v>
      </c>
      <c r="U426" s="151">
        <f t="shared" si="121"/>
        <v>0</v>
      </c>
      <c r="V426" s="139">
        <f t="shared" si="122"/>
        <v>0</v>
      </c>
      <c r="W426" s="152">
        <f t="shared" si="125"/>
        <v>713</v>
      </c>
      <c r="X426" s="127" t="str">
        <f t="shared" si="123"/>
        <v/>
      </c>
      <c r="Y426" s="207">
        <f t="shared" si="126"/>
        <v>713</v>
      </c>
      <c r="Z426" s="139">
        <f t="shared" si="127"/>
        <v>456</v>
      </c>
      <c r="AA426" s="139">
        <f t="shared" si="128"/>
        <v>257</v>
      </c>
      <c r="AC426" s="47">
        <f t="shared" si="129"/>
        <v>357</v>
      </c>
      <c r="AD426" s="47">
        <f t="shared" si="130"/>
        <v>228</v>
      </c>
      <c r="AE426" s="47">
        <f t="shared" si="131"/>
        <v>129</v>
      </c>
      <c r="AG426" s="47">
        <f t="shared" si="132"/>
        <v>356</v>
      </c>
      <c r="AH426" s="47">
        <f t="shared" si="133"/>
        <v>228</v>
      </c>
      <c r="AI426" s="208">
        <f t="shared" si="134"/>
        <v>128</v>
      </c>
    </row>
    <row r="427" spans="1:35">
      <c r="A427" t="s">
        <v>2103</v>
      </c>
      <c r="B427" t="s">
        <v>3142</v>
      </c>
      <c r="C427" t="s">
        <v>2194</v>
      </c>
      <c r="D427" t="s">
        <v>3651</v>
      </c>
      <c r="F427" t="s">
        <v>355</v>
      </c>
      <c r="G427" s="126">
        <f>SUMIFS('Support - Transition'!F:F,'Support - Transition'!B:B,'Step 2'!A427,'Support - Transition'!C:C,'Step 2'!B427,'Support - Transition'!D:D,'Step 2'!C427,'Support - Transition'!E:E,"CIVIL")</f>
        <v>1.6590000000000001E-3</v>
      </c>
      <c r="H427" s="126">
        <f>SUMIFS('Support - Transition'!F:F,'Support - Transition'!B:B,'Step 2'!A427,'Support - Transition'!C:C,'Step 2'!B427,'Support - Transition'!D:D,'Step 2'!C427,'Support - Transition'!E:E,"FIRE")</f>
        <v>7.7499999999999997E-4</v>
      </c>
      <c r="I427" s="126">
        <f>IF(B427="0",SUMIFS('Support - Transition'!F:F,'Support - Transition'!J:J,'Step 2'!D427,'Support - Transition'!E:E,"STATE UNIT"),SUMIFS('Support - Transition'!F:F,'Support - Transition'!J:J,'Step 2'!D427))</f>
        <v>2.434E-3</v>
      </c>
      <c r="J427" s="126">
        <f>SUMIFS('Support - Unit Adjustments'!E:E,'Support - Unit Adjustments'!F:F,'Step 2'!D427)</f>
        <v>0</v>
      </c>
      <c r="K427" s="126">
        <f t="shared" si="118"/>
        <v>2.434E-3</v>
      </c>
      <c r="L427" s="174">
        <f>VLOOKUP(A427,'Step 1'!$A:$E,4,FALSE)</f>
        <v>325842</v>
      </c>
      <c r="M427" s="47">
        <f t="shared" si="119"/>
        <v>793</v>
      </c>
      <c r="N427" s="177">
        <f>SUMIFS('Support - Transition'!G:G,'Support - Transition'!J:J,'Step 2'!D427,'Support - Transition'!E:E,"2009 WELFARE ALLOCATION FACTOR")</f>
        <v>0</v>
      </c>
      <c r="O427" s="152">
        <f t="shared" si="124"/>
        <v>0</v>
      </c>
      <c r="P427" s="126">
        <f>IF(E427="Y",0,SUMIFS('Support - Transition'!G:G,'Support - Transition'!J:J,'Step 2'!D427,'Support - Transition'!E:E,"2009 SCHOOL ALLOCATION FACTOR"))</f>
        <v>0</v>
      </c>
      <c r="Q427" s="126">
        <f>IF(E427="Y",VLOOKUP(D427,'Support - Unit Adjustments'!F:G,2,FALSE),0)</f>
        <v>0</v>
      </c>
      <c r="R427" s="155">
        <f t="shared" si="136"/>
        <v>0</v>
      </c>
      <c r="S427" s="47">
        <f t="shared" si="135"/>
        <v>0</v>
      </c>
      <c r="T427" s="151">
        <f t="shared" si="120"/>
        <v>793</v>
      </c>
      <c r="U427" s="151">
        <f t="shared" si="121"/>
        <v>0</v>
      </c>
      <c r="V427" s="139">
        <f t="shared" si="122"/>
        <v>0</v>
      </c>
      <c r="W427" s="152">
        <f t="shared" si="125"/>
        <v>793</v>
      </c>
      <c r="X427" s="127" t="str">
        <f t="shared" si="123"/>
        <v/>
      </c>
      <c r="Y427" s="207">
        <f t="shared" si="126"/>
        <v>793</v>
      </c>
      <c r="Z427" s="139">
        <f t="shared" si="127"/>
        <v>541</v>
      </c>
      <c r="AA427" s="139">
        <f t="shared" si="128"/>
        <v>252</v>
      </c>
      <c r="AC427" s="47">
        <f t="shared" si="129"/>
        <v>397</v>
      </c>
      <c r="AD427" s="47">
        <f t="shared" si="130"/>
        <v>271</v>
      </c>
      <c r="AE427" s="47">
        <f t="shared" si="131"/>
        <v>126</v>
      </c>
      <c r="AG427" s="47">
        <f t="shared" si="132"/>
        <v>396</v>
      </c>
      <c r="AH427" s="47">
        <f t="shared" si="133"/>
        <v>270</v>
      </c>
      <c r="AI427" s="208">
        <f t="shared" si="134"/>
        <v>126</v>
      </c>
    </row>
    <row r="428" spans="1:35">
      <c r="A428" t="s">
        <v>2103</v>
      </c>
      <c r="B428" t="s">
        <v>3142</v>
      </c>
      <c r="C428" t="s">
        <v>2195</v>
      </c>
      <c r="D428" t="s">
        <v>3652</v>
      </c>
      <c r="F428" t="s">
        <v>90</v>
      </c>
      <c r="G428" s="126">
        <f>SUMIFS('Support - Transition'!F:F,'Support - Transition'!B:B,'Step 2'!A428,'Support - Transition'!C:C,'Step 2'!B428,'Support - Transition'!D:D,'Step 2'!C428,'Support - Transition'!E:E,"CIVIL")</f>
        <v>4.5669999999999999E-3</v>
      </c>
      <c r="H428" s="126">
        <f>SUMIFS('Support - Transition'!F:F,'Support - Transition'!B:B,'Step 2'!A428,'Support - Transition'!C:C,'Step 2'!B428,'Support - Transition'!D:D,'Step 2'!C428,'Support - Transition'!E:E,"FIRE")</f>
        <v>6.9899999999999997E-4</v>
      </c>
      <c r="I428" s="126">
        <f>IF(B428="0",SUMIFS('Support - Transition'!F:F,'Support - Transition'!J:J,'Step 2'!D428,'Support - Transition'!E:E,"STATE UNIT"),SUMIFS('Support - Transition'!F:F,'Support - Transition'!J:J,'Step 2'!D428))</f>
        <v>5.2659999999999998E-3</v>
      </c>
      <c r="J428" s="126">
        <f>SUMIFS('Support - Unit Adjustments'!E:E,'Support - Unit Adjustments'!F:F,'Step 2'!D428)</f>
        <v>0</v>
      </c>
      <c r="K428" s="126">
        <f t="shared" si="118"/>
        <v>5.2659999999999998E-3</v>
      </c>
      <c r="L428" s="174">
        <f>VLOOKUP(A428,'Step 1'!$A:$E,4,FALSE)</f>
        <v>325842</v>
      </c>
      <c r="M428" s="47">
        <f t="shared" si="119"/>
        <v>1716</v>
      </c>
      <c r="N428" s="177">
        <f>SUMIFS('Support - Transition'!G:G,'Support - Transition'!J:J,'Step 2'!D428,'Support - Transition'!E:E,"2009 WELFARE ALLOCATION FACTOR")</f>
        <v>0</v>
      </c>
      <c r="O428" s="152">
        <f t="shared" si="124"/>
        <v>0</v>
      </c>
      <c r="P428" s="126">
        <f>IF(E428="Y",0,SUMIFS('Support - Transition'!G:G,'Support - Transition'!J:J,'Step 2'!D428,'Support - Transition'!E:E,"2009 SCHOOL ALLOCATION FACTOR"))</f>
        <v>0</v>
      </c>
      <c r="Q428" s="126">
        <f>IF(E428="Y",VLOOKUP(D428,'Support - Unit Adjustments'!F:G,2,FALSE),0)</f>
        <v>0</v>
      </c>
      <c r="R428" s="155">
        <f t="shared" si="136"/>
        <v>0</v>
      </c>
      <c r="S428" s="47">
        <f t="shared" si="135"/>
        <v>0</v>
      </c>
      <c r="T428" s="151">
        <f t="shared" si="120"/>
        <v>1716</v>
      </c>
      <c r="U428" s="151">
        <f t="shared" si="121"/>
        <v>0</v>
      </c>
      <c r="V428" s="139">
        <f t="shared" si="122"/>
        <v>0</v>
      </c>
      <c r="W428" s="152">
        <f t="shared" si="125"/>
        <v>1716</v>
      </c>
      <c r="X428" s="127" t="str">
        <f t="shared" si="123"/>
        <v/>
      </c>
      <c r="Y428" s="207">
        <f t="shared" si="126"/>
        <v>1716</v>
      </c>
      <c r="Z428" s="139">
        <f t="shared" si="127"/>
        <v>1488</v>
      </c>
      <c r="AA428" s="139">
        <f t="shared" si="128"/>
        <v>228</v>
      </c>
      <c r="AC428" s="47">
        <f t="shared" si="129"/>
        <v>858</v>
      </c>
      <c r="AD428" s="47">
        <f t="shared" si="130"/>
        <v>744</v>
      </c>
      <c r="AE428" s="47">
        <f t="shared" si="131"/>
        <v>114</v>
      </c>
      <c r="AG428" s="47">
        <f t="shared" si="132"/>
        <v>858</v>
      </c>
      <c r="AH428" s="47">
        <f t="shared" si="133"/>
        <v>744</v>
      </c>
      <c r="AI428" s="208">
        <f t="shared" si="134"/>
        <v>114</v>
      </c>
    </row>
    <row r="429" spans="1:35">
      <c r="A429" t="s">
        <v>2103</v>
      </c>
      <c r="B429" t="s">
        <v>3142</v>
      </c>
      <c r="C429" t="s">
        <v>2196</v>
      </c>
      <c r="D429" t="s">
        <v>3653</v>
      </c>
      <c r="F429" t="s">
        <v>22</v>
      </c>
      <c r="G429" s="126">
        <f>SUMIFS('Support - Transition'!F:F,'Support - Transition'!B:B,'Step 2'!A429,'Support - Transition'!C:C,'Step 2'!B429,'Support - Transition'!D:D,'Step 2'!C429,'Support - Transition'!E:E,"CIVIL")</f>
        <v>5.3200000000000001E-3</v>
      </c>
      <c r="H429" s="126">
        <f>SUMIFS('Support - Transition'!F:F,'Support - Transition'!B:B,'Step 2'!A429,'Support - Transition'!C:C,'Step 2'!B429,'Support - Transition'!D:D,'Step 2'!C429,'Support - Transition'!E:E,"FIRE")</f>
        <v>2.8609999999999998E-3</v>
      </c>
      <c r="I429" s="126">
        <f>IF(B429="0",SUMIFS('Support - Transition'!F:F,'Support - Transition'!J:J,'Step 2'!D429,'Support - Transition'!E:E,"STATE UNIT"),SUMIFS('Support - Transition'!F:F,'Support - Transition'!J:J,'Step 2'!D429))</f>
        <v>8.1810000000000008E-3</v>
      </c>
      <c r="J429" s="126">
        <f>SUMIFS('Support - Unit Adjustments'!E:E,'Support - Unit Adjustments'!F:F,'Step 2'!D429)</f>
        <v>0</v>
      </c>
      <c r="K429" s="126">
        <f t="shared" si="118"/>
        <v>8.1810000000000008E-3</v>
      </c>
      <c r="L429" s="174">
        <f>VLOOKUP(A429,'Step 1'!$A:$E,4,FALSE)</f>
        <v>325842</v>
      </c>
      <c r="M429" s="47">
        <f t="shared" si="119"/>
        <v>2666</v>
      </c>
      <c r="N429" s="177">
        <f>SUMIFS('Support - Transition'!G:G,'Support - Transition'!J:J,'Step 2'!D429,'Support - Transition'!E:E,"2009 WELFARE ALLOCATION FACTOR")</f>
        <v>0</v>
      </c>
      <c r="O429" s="152">
        <f t="shared" si="124"/>
        <v>0</v>
      </c>
      <c r="P429" s="126">
        <f>IF(E429="Y",0,SUMIFS('Support - Transition'!G:G,'Support - Transition'!J:J,'Step 2'!D429,'Support - Transition'!E:E,"2009 SCHOOL ALLOCATION FACTOR"))</f>
        <v>0</v>
      </c>
      <c r="Q429" s="126">
        <f>IF(E429="Y",VLOOKUP(D429,'Support - Unit Adjustments'!F:G,2,FALSE),0)</f>
        <v>0</v>
      </c>
      <c r="R429" s="155">
        <f t="shared" si="136"/>
        <v>0</v>
      </c>
      <c r="S429" s="47">
        <f t="shared" si="135"/>
        <v>0</v>
      </c>
      <c r="T429" s="151">
        <f t="shared" si="120"/>
        <v>2666</v>
      </c>
      <c r="U429" s="151">
        <f t="shared" si="121"/>
        <v>0</v>
      </c>
      <c r="V429" s="139">
        <f t="shared" si="122"/>
        <v>0</v>
      </c>
      <c r="W429" s="152">
        <f t="shared" si="125"/>
        <v>2666</v>
      </c>
      <c r="X429" s="127" t="str">
        <f t="shared" si="123"/>
        <v/>
      </c>
      <c r="Y429" s="207">
        <f t="shared" si="126"/>
        <v>2666</v>
      </c>
      <c r="Z429" s="139">
        <f t="shared" si="127"/>
        <v>1734</v>
      </c>
      <c r="AA429" s="139">
        <f t="shared" si="128"/>
        <v>932</v>
      </c>
      <c r="AC429" s="47">
        <f t="shared" si="129"/>
        <v>1333</v>
      </c>
      <c r="AD429" s="47">
        <f t="shared" si="130"/>
        <v>867</v>
      </c>
      <c r="AE429" s="47">
        <f t="shared" si="131"/>
        <v>466</v>
      </c>
      <c r="AG429" s="47">
        <f t="shared" si="132"/>
        <v>1333</v>
      </c>
      <c r="AH429" s="47">
        <f t="shared" si="133"/>
        <v>867</v>
      </c>
      <c r="AI429" s="208">
        <f t="shared" si="134"/>
        <v>466</v>
      </c>
    </row>
    <row r="430" spans="1:35">
      <c r="A430" t="s">
        <v>2103</v>
      </c>
      <c r="B430" t="s">
        <v>3155</v>
      </c>
      <c r="C430" t="s">
        <v>2354</v>
      </c>
      <c r="D430" t="s">
        <v>3654</v>
      </c>
      <c r="F430" t="s">
        <v>356</v>
      </c>
      <c r="G430" s="126">
        <f>SUMIFS('Support - Transition'!F:F,'Support - Transition'!B:B,'Step 2'!A430,'Support - Transition'!C:C,'Step 2'!B430,'Support - Transition'!D:D,'Step 2'!C430,'Support - Transition'!E:E,"CIVIL")</f>
        <v>0</v>
      </c>
      <c r="H430" s="126">
        <f>SUMIFS('Support - Transition'!F:F,'Support - Transition'!B:B,'Step 2'!A430,'Support - Transition'!C:C,'Step 2'!B430,'Support - Transition'!D:D,'Step 2'!C430,'Support - Transition'!E:E,"FIRE")</f>
        <v>0</v>
      </c>
      <c r="I430" s="126">
        <f>IF(B430="0",SUMIFS('Support - Transition'!F:F,'Support - Transition'!J:J,'Step 2'!D430,'Support - Transition'!E:E,"STATE UNIT"),SUMIFS('Support - Transition'!F:F,'Support - Transition'!J:J,'Step 2'!D430))</f>
        <v>6.3630999999999993E-2</v>
      </c>
      <c r="J430" s="126">
        <f>SUMIFS('Support - Unit Adjustments'!E:E,'Support - Unit Adjustments'!F:F,'Step 2'!D430)</f>
        <v>0</v>
      </c>
      <c r="K430" s="126">
        <f t="shared" si="118"/>
        <v>6.3630999999999993E-2</v>
      </c>
      <c r="L430" s="174">
        <f>VLOOKUP(A430,'Step 1'!$A:$E,4,FALSE)</f>
        <v>325842</v>
      </c>
      <c r="M430" s="47">
        <f t="shared" si="119"/>
        <v>20734</v>
      </c>
      <c r="N430" s="177">
        <f>SUMIFS('Support - Transition'!G:G,'Support - Transition'!J:J,'Step 2'!D430,'Support - Transition'!E:E,"2009 WELFARE ALLOCATION FACTOR")</f>
        <v>0</v>
      </c>
      <c r="O430" s="152">
        <f t="shared" si="124"/>
        <v>0</v>
      </c>
      <c r="P430" s="126">
        <f>IF(E430="Y",0,SUMIFS('Support - Transition'!G:G,'Support - Transition'!J:J,'Step 2'!D430,'Support - Transition'!E:E,"2009 SCHOOL ALLOCATION FACTOR"))</f>
        <v>0</v>
      </c>
      <c r="Q430" s="126">
        <f>IF(E430="Y",VLOOKUP(D430,'Support - Unit Adjustments'!F:G,2,FALSE),0)</f>
        <v>0</v>
      </c>
      <c r="R430" s="155">
        <f t="shared" si="136"/>
        <v>0</v>
      </c>
      <c r="S430" s="47">
        <f t="shared" si="135"/>
        <v>0</v>
      </c>
      <c r="T430" s="151">
        <f t="shared" si="120"/>
        <v>20734</v>
      </c>
      <c r="U430" s="151">
        <f t="shared" si="121"/>
        <v>0</v>
      </c>
      <c r="V430" s="139">
        <f t="shared" si="122"/>
        <v>0</v>
      </c>
      <c r="W430" s="152">
        <f t="shared" si="125"/>
        <v>20734</v>
      </c>
      <c r="X430" s="127" t="str">
        <f t="shared" si="123"/>
        <v/>
      </c>
      <c r="Y430" s="207">
        <f t="shared" si="126"/>
        <v>20734</v>
      </c>
      <c r="Z430" s="139">
        <f t="shared" si="127"/>
        <v>20734</v>
      </c>
      <c r="AA430" s="139">
        <f t="shared" si="128"/>
        <v>0</v>
      </c>
      <c r="AC430" s="47">
        <f t="shared" si="129"/>
        <v>10367</v>
      </c>
      <c r="AD430" s="47">
        <f t="shared" si="130"/>
        <v>10367</v>
      </c>
      <c r="AE430" s="47">
        <f t="shared" si="131"/>
        <v>0</v>
      </c>
      <c r="AG430" s="47">
        <f t="shared" si="132"/>
        <v>10367</v>
      </c>
      <c r="AH430" s="47">
        <f t="shared" si="133"/>
        <v>10367</v>
      </c>
      <c r="AI430" s="208">
        <f t="shared" si="134"/>
        <v>0</v>
      </c>
    </row>
    <row r="431" spans="1:35">
      <c r="A431" t="s">
        <v>2103</v>
      </c>
      <c r="B431" t="s">
        <v>3155</v>
      </c>
      <c r="C431" t="s">
        <v>2355</v>
      </c>
      <c r="D431" t="s">
        <v>3655</v>
      </c>
      <c r="F431" t="s">
        <v>358</v>
      </c>
      <c r="G431" s="126">
        <f>SUMIFS('Support - Transition'!F:F,'Support - Transition'!B:B,'Step 2'!A431,'Support - Transition'!C:C,'Step 2'!B431,'Support - Transition'!D:D,'Step 2'!C431,'Support - Transition'!E:E,"CIVIL")</f>
        <v>0</v>
      </c>
      <c r="H431" s="126">
        <f>SUMIFS('Support - Transition'!F:F,'Support - Transition'!B:B,'Step 2'!A431,'Support - Transition'!C:C,'Step 2'!B431,'Support - Transition'!D:D,'Step 2'!C431,'Support - Transition'!E:E,"FIRE")</f>
        <v>0</v>
      </c>
      <c r="I431" s="126">
        <f>IF(B431="0",SUMIFS('Support - Transition'!F:F,'Support - Transition'!J:J,'Step 2'!D431,'Support - Transition'!E:E,"STATE UNIT"),SUMIFS('Support - Transition'!F:F,'Support - Transition'!J:J,'Step 2'!D431))</f>
        <v>4.8000000000000001E-5</v>
      </c>
      <c r="J431" s="126">
        <f>SUMIFS('Support - Unit Adjustments'!E:E,'Support - Unit Adjustments'!F:F,'Step 2'!D431)</f>
        <v>0</v>
      </c>
      <c r="K431" s="126">
        <f t="shared" si="118"/>
        <v>4.8000000000000001E-5</v>
      </c>
      <c r="L431" s="174">
        <f>VLOOKUP(A431,'Step 1'!$A:$E,4,FALSE)</f>
        <v>325842</v>
      </c>
      <c r="M431" s="47">
        <f t="shared" si="119"/>
        <v>16</v>
      </c>
      <c r="N431" s="177">
        <f>SUMIFS('Support - Transition'!G:G,'Support - Transition'!J:J,'Step 2'!D431,'Support - Transition'!E:E,"2009 WELFARE ALLOCATION FACTOR")</f>
        <v>0</v>
      </c>
      <c r="O431" s="152">
        <f t="shared" si="124"/>
        <v>0</v>
      </c>
      <c r="P431" s="126">
        <f>IF(E431="Y",0,SUMIFS('Support - Transition'!G:G,'Support - Transition'!J:J,'Step 2'!D431,'Support - Transition'!E:E,"2009 SCHOOL ALLOCATION FACTOR"))</f>
        <v>0</v>
      </c>
      <c r="Q431" s="126">
        <f>IF(E431="Y",VLOOKUP(D431,'Support - Unit Adjustments'!F:G,2,FALSE),0)</f>
        <v>0</v>
      </c>
      <c r="R431" s="155">
        <f t="shared" si="136"/>
        <v>0</v>
      </c>
      <c r="S431" s="47">
        <f t="shared" si="135"/>
        <v>0</v>
      </c>
      <c r="T431" s="151">
        <f t="shared" si="120"/>
        <v>16</v>
      </c>
      <c r="U431" s="151">
        <f t="shared" si="121"/>
        <v>0</v>
      </c>
      <c r="V431" s="139">
        <f t="shared" si="122"/>
        <v>0</v>
      </c>
      <c r="W431" s="152">
        <f t="shared" si="125"/>
        <v>16</v>
      </c>
      <c r="X431" s="127" t="str">
        <f t="shared" si="123"/>
        <v/>
      </c>
      <c r="Y431" s="207">
        <f t="shared" si="126"/>
        <v>16</v>
      </c>
      <c r="Z431" s="139">
        <f t="shared" si="127"/>
        <v>16</v>
      </c>
      <c r="AA431" s="139">
        <f t="shared" si="128"/>
        <v>0</v>
      </c>
      <c r="AC431" s="47">
        <f t="shared" si="129"/>
        <v>8</v>
      </c>
      <c r="AD431" s="47">
        <f t="shared" si="130"/>
        <v>8</v>
      </c>
      <c r="AE431" s="47">
        <f t="shared" si="131"/>
        <v>0</v>
      </c>
      <c r="AG431" s="47">
        <f t="shared" si="132"/>
        <v>8</v>
      </c>
      <c r="AH431" s="47">
        <f t="shared" si="133"/>
        <v>8</v>
      </c>
      <c r="AI431" s="208">
        <f t="shared" si="134"/>
        <v>0</v>
      </c>
    </row>
    <row r="432" spans="1:35">
      <c r="A432" t="s">
        <v>2103</v>
      </c>
      <c r="B432" t="s">
        <v>3155</v>
      </c>
      <c r="C432" t="s">
        <v>2356</v>
      </c>
      <c r="D432" t="s">
        <v>3656</v>
      </c>
      <c r="F432" t="s">
        <v>359</v>
      </c>
      <c r="G432" s="126">
        <f>SUMIFS('Support - Transition'!F:F,'Support - Transition'!B:B,'Step 2'!A432,'Support - Transition'!C:C,'Step 2'!B432,'Support - Transition'!D:D,'Step 2'!C432,'Support - Transition'!E:E,"CIVIL")</f>
        <v>0</v>
      </c>
      <c r="H432" s="126">
        <f>SUMIFS('Support - Transition'!F:F,'Support - Transition'!B:B,'Step 2'!A432,'Support - Transition'!C:C,'Step 2'!B432,'Support - Transition'!D:D,'Step 2'!C432,'Support - Transition'!E:E,"FIRE")</f>
        <v>0</v>
      </c>
      <c r="I432" s="126">
        <f>IF(B432="0",SUMIFS('Support - Transition'!F:F,'Support - Transition'!J:J,'Step 2'!D432,'Support - Transition'!E:E,"STATE UNIT"),SUMIFS('Support - Transition'!F:F,'Support - Transition'!J:J,'Step 2'!D432))</f>
        <v>6.4640000000000001E-3</v>
      </c>
      <c r="J432" s="126">
        <f>SUMIFS('Support - Unit Adjustments'!E:E,'Support - Unit Adjustments'!F:F,'Step 2'!D432)</f>
        <v>0</v>
      </c>
      <c r="K432" s="126">
        <f t="shared" si="118"/>
        <v>6.4640000000000001E-3</v>
      </c>
      <c r="L432" s="174">
        <f>VLOOKUP(A432,'Step 1'!$A:$E,4,FALSE)</f>
        <v>325842</v>
      </c>
      <c r="M432" s="47">
        <f t="shared" si="119"/>
        <v>2106</v>
      </c>
      <c r="N432" s="177">
        <f>SUMIFS('Support - Transition'!G:G,'Support - Transition'!J:J,'Step 2'!D432,'Support - Transition'!E:E,"2009 WELFARE ALLOCATION FACTOR")</f>
        <v>0</v>
      </c>
      <c r="O432" s="152">
        <f t="shared" si="124"/>
        <v>0</v>
      </c>
      <c r="P432" s="126">
        <f>IF(E432="Y",0,SUMIFS('Support - Transition'!G:G,'Support - Transition'!J:J,'Step 2'!D432,'Support - Transition'!E:E,"2009 SCHOOL ALLOCATION FACTOR"))</f>
        <v>0</v>
      </c>
      <c r="Q432" s="126">
        <f>IF(E432="Y",VLOOKUP(D432,'Support - Unit Adjustments'!F:G,2,FALSE),0)</f>
        <v>0</v>
      </c>
      <c r="R432" s="155">
        <f t="shared" si="136"/>
        <v>0</v>
      </c>
      <c r="S432" s="47">
        <f t="shared" si="135"/>
        <v>0</v>
      </c>
      <c r="T432" s="151">
        <f t="shared" si="120"/>
        <v>2106</v>
      </c>
      <c r="U432" s="151">
        <f t="shared" si="121"/>
        <v>0</v>
      </c>
      <c r="V432" s="139">
        <f t="shared" si="122"/>
        <v>0</v>
      </c>
      <c r="W432" s="152">
        <f t="shared" si="125"/>
        <v>2106</v>
      </c>
      <c r="X432" s="127" t="str">
        <f t="shared" si="123"/>
        <v/>
      </c>
      <c r="Y432" s="207">
        <f t="shared" si="126"/>
        <v>2106</v>
      </c>
      <c r="Z432" s="139">
        <f t="shared" si="127"/>
        <v>2106</v>
      </c>
      <c r="AA432" s="139">
        <f t="shared" si="128"/>
        <v>0</v>
      </c>
      <c r="AC432" s="47">
        <f t="shared" si="129"/>
        <v>1053</v>
      </c>
      <c r="AD432" s="47">
        <f t="shared" si="130"/>
        <v>1053</v>
      </c>
      <c r="AE432" s="47">
        <f t="shared" si="131"/>
        <v>0</v>
      </c>
      <c r="AG432" s="47">
        <f t="shared" si="132"/>
        <v>1053</v>
      </c>
      <c r="AH432" s="47">
        <f t="shared" si="133"/>
        <v>1053</v>
      </c>
      <c r="AI432" s="208">
        <f t="shared" si="134"/>
        <v>0</v>
      </c>
    </row>
    <row r="433" spans="1:35">
      <c r="A433" t="s">
        <v>2103</v>
      </c>
      <c r="B433" t="s">
        <v>3155</v>
      </c>
      <c r="C433" t="s">
        <v>2357</v>
      </c>
      <c r="D433" t="s">
        <v>3657</v>
      </c>
      <c r="F433" t="s">
        <v>360</v>
      </c>
      <c r="G433" s="126">
        <f>SUMIFS('Support - Transition'!F:F,'Support - Transition'!B:B,'Step 2'!A433,'Support - Transition'!C:C,'Step 2'!B433,'Support - Transition'!D:D,'Step 2'!C433,'Support - Transition'!E:E,"CIVIL")</f>
        <v>0</v>
      </c>
      <c r="H433" s="126">
        <f>SUMIFS('Support - Transition'!F:F,'Support - Transition'!B:B,'Step 2'!A433,'Support - Transition'!C:C,'Step 2'!B433,'Support - Transition'!D:D,'Step 2'!C433,'Support - Transition'!E:E,"FIRE")</f>
        <v>0</v>
      </c>
      <c r="I433" s="126">
        <f>IF(B433="0",SUMIFS('Support - Transition'!F:F,'Support - Transition'!J:J,'Step 2'!D433,'Support - Transition'!E:E,"STATE UNIT"),SUMIFS('Support - Transition'!F:F,'Support - Transition'!J:J,'Step 2'!D433))</f>
        <v>1.4E-5</v>
      </c>
      <c r="J433" s="126">
        <f>SUMIFS('Support - Unit Adjustments'!E:E,'Support - Unit Adjustments'!F:F,'Step 2'!D433)</f>
        <v>0</v>
      </c>
      <c r="K433" s="126">
        <f t="shared" si="118"/>
        <v>1.4E-5</v>
      </c>
      <c r="L433" s="174">
        <f>VLOOKUP(A433,'Step 1'!$A:$E,4,FALSE)</f>
        <v>325842</v>
      </c>
      <c r="M433" s="47">
        <f t="shared" si="119"/>
        <v>5</v>
      </c>
      <c r="N433" s="177">
        <f>SUMIFS('Support - Transition'!G:G,'Support - Transition'!J:J,'Step 2'!D433,'Support - Transition'!E:E,"2009 WELFARE ALLOCATION FACTOR")</f>
        <v>0</v>
      </c>
      <c r="O433" s="152">
        <f t="shared" si="124"/>
        <v>0</v>
      </c>
      <c r="P433" s="126">
        <f>IF(E433="Y",0,SUMIFS('Support - Transition'!G:G,'Support - Transition'!J:J,'Step 2'!D433,'Support - Transition'!E:E,"2009 SCHOOL ALLOCATION FACTOR"))</f>
        <v>0</v>
      </c>
      <c r="Q433" s="126">
        <f>IF(E433="Y",VLOOKUP(D433,'Support - Unit Adjustments'!F:G,2,FALSE),0)</f>
        <v>0</v>
      </c>
      <c r="R433" s="155">
        <f t="shared" si="136"/>
        <v>0</v>
      </c>
      <c r="S433" s="47">
        <f t="shared" si="135"/>
        <v>0</v>
      </c>
      <c r="T433" s="151">
        <f t="shared" si="120"/>
        <v>5</v>
      </c>
      <c r="U433" s="151">
        <f t="shared" si="121"/>
        <v>0</v>
      </c>
      <c r="V433" s="139">
        <f t="shared" si="122"/>
        <v>0</v>
      </c>
      <c r="W433" s="152">
        <f t="shared" si="125"/>
        <v>5</v>
      </c>
      <c r="X433" s="127" t="str">
        <f t="shared" si="123"/>
        <v/>
      </c>
      <c r="Y433" s="207">
        <f t="shared" si="126"/>
        <v>5</v>
      </c>
      <c r="Z433" s="139">
        <f t="shared" si="127"/>
        <v>5</v>
      </c>
      <c r="AA433" s="139">
        <f t="shared" si="128"/>
        <v>0</v>
      </c>
      <c r="AC433" s="47">
        <f t="shared" si="129"/>
        <v>3</v>
      </c>
      <c r="AD433" s="47">
        <f t="shared" si="130"/>
        <v>3</v>
      </c>
      <c r="AE433" s="47">
        <f t="shared" si="131"/>
        <v>0</v>
      </c>
      <c r="AG433" s="47">
        <f t="shared" si="132"/>
        <v>2</v>
      </c>
      <c r="AH433" s="47">
        <f t="shared" si="133"/>
        <v>2</v>
      </c>
      <c r="AI433" s="208">
        <f t="shared" si="134"/>
        <v>0</v>
      </c>
    </row>
    <row r="434" spans="1:35">
      <c r="A434" t="s">
        <v>2103</v>
      </c>
      <c r="B434" t="s">
        <v>3155</v>
      </c>
      <c r="C434" t="s">
        <v>2358</v>
      </c>
      <c r="D434" t="s">
        <v>3658</v>
      </c>
      <c r="F434" t="s">
        <v>361</v>
      </c>
      <c r="G434" s="126">
        <f>SUMIFS('Support - Transition'!F:F,'Support - Transition'!B:B,'Step 2'!A434,'Support - Transition'!C:C,'Step 2'!B434,'Support - Transition'!D:D,'Step 2'!C434,'Support - Transition'!E:E,"CIVIL")</f>
        <v>0</v>
      </c>
      <c r="H434" s="126">
        <f>SUMIFS('Support - Transition'!F:F,'Support - Transition'!B:B,'Step 2'!A434,'Support - Transition'!C:C,'Step 2'!B434,'Support - Transition'!D:D,'Step 2'!C434,'Support - Transition'!E:E,"FIRE")</f>
        <v>0</v>
      </c>
      <c r="I434" s="126">
        <f>IF(B434="0",SUMIFS('Support - Transition'!F:F,'Support - Transition'!J:J,'Step 2'!D434,'Support - Transition'!E:E,"STATE UNIT"),SUMIFS('Support - Transition'!F:F,'Support - Transition'!J:J,'Step 2'!D434))</f>
        <v>6.6169999999999996E-3</v>
      </c>
      <c r="J434" s="126">
        <f>SUMIFS('Support - Unit Adjustments'!E:E,'Support - Unit Adjustments'!F:F,'Step 2'!D434)</f>
        <v>0</v>
      </c>
      <c r="K434" s="126">
        <f t="shared" si="118"/>
        <v>6.6169999999999996E-3</v>
      </c>
      <c r="L434" s="174">
        <f>VLOOKUP(A434,'Step 1'!$A:$E,4,FALSE)</f>
        <v>325842</v>
      </c>
      <c r="M434" s="47">
        <f t="shared" si="119"/>
        <v>2156</v>
      </c>
      <c r="N434" s="177">
        <f>SUMIFS('Support - Transition'!G:G,'Support - Transition'!J:J,'Step 2'!D434,'Support - Transition'!E:E,"2009 WELFARE ALLOCATION FACTOR")</f>
        <v>0</v>
      </c>
      <c r="O434" s="152">
        <f t="shared" si="124"/>
        <v>0</v>
      </c>
      <c r="P434" s="126">
        <f>IF(E434="Y",0,SUMIFS('Support - Transition'!G:G,'Support - Transition'!J:J,'Step 2'!D434,'Support - Transition'!E:E,"2009 SCHOOL ALLOCATION FACTOR"))</f>
        <v>0</v>
      </c>
      <c r="Q434" s="126">
        <f>IF(E434="Y",VLOOKUP(D434,'Support - Unit Adjustments'!F:G,2,FALSE),0)</f>
        <v>0</v>
      </c>
      <c r="R434" s="155">
        <f t="shared" si="136"/>
        <v>0</v>
      </c>
      <c r="S434" s="47">
        <f t="shared" si="135"/>
        <v>0</v>
      </c>
      <c r="T434" s="151">
        <f t="shared" si="120"/>
        <v>2156</v>
      </c>
      <c r="U434" s="151">
        <f t="shared" si="121"/>
        <v>0</v>
      </c>
      <c r="V434" s="139">
        <f t="shared" si="122"/>
        <v>0</v>
      </c>
      <c r="W434" s="152">
        <f t="shared" si="125"/>
        <v>2156</v>
      </c>
      <c r="X434" s="127" t="str">
        <f t="shared" si="123"/>
        <v/>
      </c>
      <c r="Y434" s="207">
        <f t="shared" si="126"/>
        <v>2156</v>
      </c>
      <c r="Z434" s="139">
        <f t="shared" si="127"/>
        <v>2156</v>
      </c>
      <c r="AA434" s="139">
        <f t="shared" si="128"/>
        <v>0</v>
      </c>
      <c r="AC434" s="47">
        <f t="shared" si="129"/>
        <v>1078</v>
      </c>
      <c r="AD434" s="47">
        <f t="shared" si="130"/>
        <v>1078</v>
      </c>
      <c r="AE434" s="47">
        <f t="shared" si="131"/>
        <v>0</v>
      </c>
      <c r="AG434" s="47">
        <f t="shared" si="132"/>
        <v>1078</v>
      </c>
      <c r="AH434" s="47">
        <f t="shared" si="133"/>
        <v>1078</v>
      </c>
      <c r="AI434" s="208">
        <f t="shared" si="134"/>
        <v>0</v>
      </c>
    </row>
    <row r="435" spans="1:35">
      <c r="A435" t="s">
        <v>2103</v>
      </c>
      <c r="B435" t="s">
        <v>3160</v>
      </c>
      <c r="C435" t="s">
        <v>2359</v>
      </c>
      <c r="D435" t="s">
        <v>3659</v>
      </c>
      <c r="F435" t="s">
        <v>3660</v>
      </c>
      <c r="G435" s="126">
        <f>SUMIFS('Support - Transition'!F:F,'Support - Transition'!B:B,'Step 2'!A435,'Support - Transition'!C:C,'Step 2'!B435,'Support - Transition'!D:D,'Step 2'!C435,'Support - Transition'!E:E,"CIVIL")</f>
        <v>0</v>
      </c>
      <c r="H435" s="126">
        <f>SUMIFS('Support - Transition'!F:F,'Support - Transition'!B:B,'Step 2'!A435,'Support - Transition'!C:C,'Step 2'!B435,'Support - Transition'!D:D,'Step 2'!C435,'Support - Transition'!E:E,"FIRE")</f>
        <v>0</v>
      </c>
      <c r="I435" s="126">
        <f>IF(B435="0",SUMIFS('Support - Transition'!F:F,'Support - Transition'!J:J,'Step 2'!D435,'Support - Transition'!E:E,"STATE UNIT"),SUMIFS('Support - Transition'!F:F,'Support - Transition'!J:J,'Step 2'!D435))</f>
        <v>0.37912000000000001</v>
      </c>
      <c r="J435" s="126">
        <f>SUMIFS('Support - Unit Adjustments'!E:E,'Support - Unit Adjustments'!F:F,'Step 2'!D435)</f>
        <v>0</v>
      </c>
      <c r="K435" s="126">
        <f t="shared" si="118"/>
        <v>0.37912000000000001</v>
      </c>
      <c r="L435" s="174">
        <f>VLOOKUP(A435,'Step 1'!$A:$E,4,FALSE)</f>
        <v>325842</v>
      </c>
      <c r="M435" s="47">
        <f t="shared" si="119"/>
        <v>123533</v>
      </c>
      <c r="N435" s="177">
        <f>SUMIFS('Support - Transition'!G:G,'Support - Transition'!J:J,'Step 2'!D435,'Support - Transition'!E:E,"2009 WELFARE ALLOCATION FACTOR")</f>
        <v>0</v>
      </c>
      <c r="O435" s="152">
        <f t="shared" si="124"/>
        <v>0</v>
      </c>
      <c r="P435" s="126">
        <f>IF(E435="Y",0,SUMIFS('Support - Transition'!G:G,'Support - Transition'!J:J,'Step 2'!D435,'Support - Transition'!E:E,"2009 SCHOOL ALLOCATION FACTOR"))</f>
        <v>0.52469100000000002</v>
      </c>
      <c r="Q435" s="126">
        <f>IF(E435="Y",VLOOKUP(D435,'Support - Unit Adjustments'!F:G,2,FALSE),0)</f>
        <v>0</v>
      </c>
      <c r="R435" s="155">
        <f t="shared" si="136"/>
        <v>0.52469100000000002</v>
      </c>
      <c r="S435" s="47">
        <f t="shared" si="135"/>
        <v>64817</v>
      </c>
      <c r="T435" s="151">
        <f t="shared" si="120"/>
        <v>58716</v>
      </c>
      <c r="U435" s="151">
        <f t="shared" si="121"/>
        <v>0</v>
      </c>
      <c r="V435" s="139">
        <f t="shared" si="122"/>
        <v>0</v>
      </c>
      <c r="W435" s="152">
        <f t="shared" si="125"/>
        <v>58716</v>
      </c>
      <c r="X435" s="127" t="str">
        <f t="shared" si="123"/>
        <v/>
      </c>
      <c r="Y435" s="207">
        <f t="shared" si="126"/>
        <v>58716</v>
      </c>
      <c r="Z435" s="139">
        <f t="shared" si="127"/>
        <v>58716</v>
      </c>
      <c r="AA435" s="139">
        <f t="shared" si="128"/>
        <v>0</v>
      </c>
      <c r="AC435" s="47">
        <f t="shared" si="129"/>
        <v>29358</v>
      </c>
      <c r="AD435" s="47">
        <f t="shared" si="130"/>
        <v>29358</v>
      </c>
      <c r="AE435" s="47">
        <f t="shared" si="131"/>
        <v>0</v>
      </c>
      <c r="AG435" s="47">
        <f t="shared" si="132"/>
        <v>29358</v>
      </c>
      <c r="AH435" s="47">
        <f t="shared" si="133"/>
        <v>29358</v>
      </c>
      <c r="AI435" s="208">
        <f t="shared" si="134"/>
        <v>0</v>
      </c>
    </row>
    <row r="436" spans="1:35">
      <c r="A436" t="s">
        <v>2103</v>
      </c>
      <c r="B436" t="s">
        <v>3160</v>
      </c>
      <c r="C436" t="s">
        <v>2360</v>
      </c>
      <c r="D436" t="s">
        <v>3661</v>
      </c>
      <c r="F436" t="s">
        <v>364</v>
      </c>
      <c r="G436" s="126">
        <f>SUMIFS('Support - Transition'!F:F,'Support - Transition'!B:B,'Step 2'!A436,'Support - Transition'!C:C,'Step 2'!B436,'Support - Transition'!D:D,'Step 2'!C436,'Support - Transition'!E:E,"CIVIL")</f>
        <v>0</v>
      </c>
      <c r="H436" s="126">
        <f>SUMIFS('Support - Transition'!F:F,'Support - Transition'!B:B,'Step 2'!A436,'Support - Transition'!C:C,'Step 2'!B436,'Support - Transition'!D:D,'Step 2'!C436,'Support - Transition'!E:E,"FIRE")</f>
        <v>0</v>
      </c>
      <c r="I436" s="126">
        <f>IF(B436="0",SUMIFS('Support - Transition'!F:F,'Support - Transition'!J:J,'Step 2'!D436,'Support - Transition'!E:E,"STATE UNIT"),SUMIFS('Support - Transition'!F:F,'Support - Transition'!J:J,'Step 2'!D436))</f>
        <v>0.27818799999999999</v>
      </c>
      <c r="J436" s="126">
        <f>SUMIFS('Support - Unit Adjustments'!E:E,'Support - Unit Adjustments'!F:F,'Step 2'!D436)</f>
        <v>0</v>
      </c>
      <c r="K436" s="126">
        <f t="shared" si="118"/>
        <v>0.27818799999999999</v>
      </c>
      <c r="L436" s="174">
        <f>VLOOKUP(A436,'Step 1'!$A:$E,4,FALSE)</f>
        <v>325842</v>
      </c>
      <c r="M436" s="47">
        <f t="shared" si="119"/>
        <v>90645</v>
      </c>
      <c r="N436" s="177">
        <f>SUMIFS('Support - Transition'!G:G,'Support - Transition'!J:J,'Step 2'!D436,'Support - Transition'!E:E,"2009 WELFARE ALLOCATION FACTOR")</f>
        <v>0</v>
      </c>
      <c r="O436" s="152">
        <f t="shared" si="124"/>
        <v>0</v>
      </c>
      <c r="P436" s="126">
        <f>IF(E436="Y",0,SUMIFS('Support - Transition'!G:G,'Support - Transition'!J:J,'Step 2'!D436,'Support - Transition'!E:E,"2009 SCHOOL ALLOCATION FACTOR"))</f>
        <v>0.43104700000000001</v>
      </c>
      <c r="Q436" s="126">
        <f>IF(E436="Y",VLOOKUP(D436,'Support - Unit Adjustments'!F:G,2,FALSE),0)</f>
        <v>0</v>
      </c>
      <c r="R436" s="155">
        <f t="shared" si="136"/>
        <v>0.43104700000000001</v>
      </c>
      <c r="S436" s="47">
        <f t="shared" si="135"/>
        <v>39072</v>
      </c>
      <c r="T436" s="151">
        <f t="shared" si="120"/>
        <v>51573</v>
      </c>
      <c r="U436" s="151">
        <f t="shared" si="121"/>
        <v>0</v>
      </c>
      <c r="V436" s="139">
        <f t="shared" si="122"/>
        <v>0</v>
      </c>
      <c r="W436" s="152">
        <f t="shared" si="125"/>
        <v>51573</v>
      </c>
      <c r="X436" s="127" t="str">
        <f t="shared" si="123"/>
        <v/>
      </c>
      <c r="Y436" s="207">
        <f t="shared" si="126"/>
        <v>51573</v>
      </c>
      <c r="Z436" s="139">
        <f t="shared" si="127"/>
        <v>51573</v>
      </c>
      <c r="AA436" s="139">
        <f t="shared" si="128"/>
        <v>0</v>
      </c>
      <c r="AC436" s="47">
        <f t="shared" si="129"/>
        <v>25787</v>
      </c>
      <c r="AD436" s="47">
        <f t="shared" si="130"/>
        <v>25787</v>
      </c>
      <c r="AE436" s="47">
        <f t="shared" si="131"/>
        <v>0</v>
      </c>
      <c r="AG436" s="47">
        <f t="shared" si="132"/>
        <v>25786</v>
      </c>
      <c r="AH436" s="47">
        <f t="shared" si="133"/>
        <v>25786</v>
      </c>
      <c r="AI436" s="208">
        <f t="shared" si="134"/>
        <v>0</v>
      </c>
    </row>
    <row r="437" spans="1:35">
      <c r="A437" t="s">
        <v>2103</v>
      </c>
      <c r="B437" t="s">
        <v>3166</v>
      </c>
      <c r="C437" t="s">
        <v>2206</v>
      </c>
      <c r="D437" t="s">
        <v>3662</v>
      </c>
      <c r="F437" t="s">
        <v>365</v>
      </c>
      <c r="G437" s="126">
        <f>SUMIFS('Support - Transition'!F:F,'Support - Transition'!B:B,'Step 2'!A437,'Support - Transition'!C:C,'Step 2'!B437,'Support - Transition'!D:D,'Step 2'!C437,'Support - Transition'!E:E,"CIVIL")</f>
        <v>0</v>
      </c>
      <c r="H437" s="126">
        <f>SUMIFS('Support - Transition'!F:F,'Support - Transition'!B:B,'Step 2'!A437,'Support - Transition'!C:C,'Step 2'!B437,'Support - Transition'!D:D,'Step 2'!C437,'Support - Transition'!E:E,"FIRE")</f>
        <v>0</v>
      </c>
      <c r="I437" s="126">
        <f>IF(B437="0",SUMIFS('Support - Transition'!F:F,'Support - Transition'!J:J,'Step 2'!D437,'Support - Transition'!E:E,"STATE UNIT"),SUMIFS('Support - Transition'!F:F,'Support - Transition'!J:J,'Step 2'!D437))</f>
        <v>1.0343E-2</v>
      </c>
      <c r="J437" s="126">
        <f>SUMIFS('Support - Unit Adjustments'!E:E,'Support - Unit Adjustments'!F:F,'Step 2'!D437)</f>
        <v>0</v>
      </c>
      <c r="K437" s="126">
        <f t="shared" si="118"/>
        <v>1.0343E-2</v>
      </c>
      <c r="L437" s="174">
        <f>VLOOKUP(A437,'Step 1'!$A:$E,4,FALSE)</f>
        <v>325842</v>
      </c>
      <c r="M437" s="47">
        <f t="shared" si="119"/>
        <v>3370</v>
      </c>
      <c r="N437" s="177">
        <f>SUMIFS('Support - Transition'!G:G,'Support - Transition'!J:J,'Step 2'!D437,'Support - Transition'!E:E,"2009 WELFARE ALLOCATION FACTOR")</f>
        <v>0</v>
      </c>
      <c r="O437" s="152">
        <f t="shared" si="124"/>
        <v>0</v>
      </c>
      <c r="P437" s="126">
        <f>IF(E437="Y",0,SUMIFS('Support - Transition'!G:G,'Support - Transition'!J:J,'Step 2'!D437,'Support - Transition'!E:E,"2009 SCHOOL ALLOCATION FACTOR"))</f>
        <v>0</v>
      </c>
      <c r="Q437" s="126">
        <f>IF(E437="Y",VLOOKUP(D437,'Support - Unit Adjustments'!F:G,2,FALSE),0)</f>
        <v>0</v>
      </c>
      <c r="R437" s="155">
        <f t="shared" si="136"/>
        <v>0</v>
      </c>
      <c r="S437" s="47">
        <f t="shared" si="135"/>
        <v>0</v>
      </c>
      <c r="T437" s="151">
        <f t="shared" si="120"/>
        <v>3370</v>
      </c>
      <c r="U437" s="151">
        <f t="shared" si="121"/>
        <v>0</v>
      </c>
      <c r="V437" s="139">
        <f t="shared" si="122"/>
        <v>0</v>
      </c>
      <c r="W437" s="152">
        <f t="shared" si="125"/>
        <v>3370</v>
      </c>
      <c r="X437" s="127" t="str">
        <f t="shared" si="123"/>
        <v/>
      </c>
      <c r="Y437" s="207">
        <f t="shared" si="126"/>
        <v>3370</v>
      </c>
      <c r="Z437" s="139">
        <f t="shared" si="127"/>
        <v>3370</v>
      </c>
      <c r="AA437" s="139">
        <f t="shared" si="128"/>
        <v>0</v>
      </c>
      <c r="AC437" s="47">
        <f t="shared" si="129"/>
        <v>1685</v>
      </c>
      <c r="AD437" s="47">
        <f t="shared" si="130"/>
        <v>1685</v>
      </c>
      <c r="AE437" s="47">
        <f t="shared" si="131"/>
        <v>0</v>
      </c>
      <c r="AG437" s="47">
        <f t="shared" si="132"/>
        <v>1685</v>
      </c>
      <c r="AH437" s="47">
        <f t="shared" si="133"/>
        <v>1685</v>
      </c>
      <c r="AI437" s="208">
        <f t="shared" si="134"/>
        <v>0</v>
      </c>
    </row>
    <row r="438" spans="1:35">
      <c r="A438" t="s">
        <v>2103</v>
      </c>
      <c r="B438" t="s">
        <v>3166</v>
      </c>
      <c r="C438" t="s">
        <v>3663</v>
      </c>
      <c r="D438" t="s">
        <v>3664</v>
      </c>
      <c r="F438" t="s">
        <v>363</v>
      </c>
      <c r="G438" s="126">
        <f>SUMIFS('Support - Transition'!F:F,'Support - Transition'!B:B,'Step 2'!A438,'Support - Transition'!C:C,'Step 2'!B438,'Support - Transition'!D:D,'Step 2'!C438,'Support - Transition'!E:E,"CIVIL")</f>
        <v>0</v>
      </c>
      <c r="H438" s="126">
        <f>SUMIFS('Support - Transition'!F:F,'Support - Transition'!B:B,'Step 2'!A438,'Support - Transition'!C:C,'Step 2'!B438,'Support - Transition'!D:D,'Step 2'!C438,'Support - Transition'!E:E,"FIRE")</f>
        <v>0</v>
      </c>
      <c r="I438" s="126">
        <f>IF(B438="0",SUMIFS('Support - Transition'!F:F,'Support - Transition'!J:J,'Step 2'!D438,'Support - Transition'!E:E,"STATE UNIT"),SUMIFS('Support - Transition'!F:F,'Support - Transition'!J:J,'Step 2'!D438))</f>
        <v>9.8670000000000008E-3</v>
      </c>
      <c r="J438" s="126">
        <f>SUMIFS('Support - Unit Adjustments'!E:E,'Support - Unit Adjustments'!F:F,'Step 2'!D438)</f>
        <v>0</v>
      </c>
      <c r="K438" s="126">
        <f t="shared" si="118"/>
        <v>9.8670000000000008E-3</v>
      </c>
      <c r="L438" s="174">
        <f>VLOOKUP(A438,'Step 1'!$A:$E,4,FALSE)</f>
        <v>325842</v>
      </c>
      <c r="M438" s="47">
        <f t="shared" si="119"/>
        <v>3215</v>
      </c>
      <c r="N438" s="177">
        <f>SUMIFS('Support - Transition'!G:G,'Support - Transition'!J:J,'Step 2'!D438,'Support - Transition'!E:E,"2009 WELFARE ALLOCATION FACTOR")</f>
        <v>0</v>
      </c>
      <c r="O438" s="152">
        <f t="shared" si="124"/>
        <v>0</v>
      </c>
      <c r="P438" s="126">
        <f>IF(E438="Y",0,SUMIFS('Support - Transition'!G:G,'Support - Transition'!J:J,'Step 2'!D438,'Support - Transition'!E:E,"2009 SCHOOL ALLOCATION FACTOR"))</f>
        <v>0</v>
      </c>
      <c r="Q438" s="126">
        <f>IF(E438="Y",VLOOKUP(D438,'Support - Unit Adjustments'!F:G,2,FALSE),0)</f>
        <v>0</v>
      </c>
      <c r="R438" s="155">
        <f t="shared" si="136"/>
        <v>0</v>
      </c>
      <c r="S438" s="47">
        <f t="shared" si="135"/>
        <v>0</v>
      </c>
      <c r="T438" s="151">
        <f t="shared" si="120"/>
        <v>3215</v>
      </c>
      <c r="U438" s="151">
        <f t="shared" si="121"/>
        <v>0</v>
      </c>
      <c r="V438" s="139">
        <f t="shared" si="122"/>
        <v>0</v>
      </c>
      <c r="W438" s="152">
        <f t="shared" si="125"/>
        <v>3215</v>
      </c>
      <c r="X438" s="127" t="str">
        <f t="shared" si="123"/>
        <v/>
      </c>
      <c r="Y438" s="207">
        <f t="shared" si="126"/>
        <v>3215</v>
      </c>
      <c r="Z438" s="139">
        <f t="shared" si="127"/>
        <v>3215</v>
      </c>
      <c r="AA438" s="139">
        <f t="shared" si="128"/>
        <v>0</v>
      </c>
      <c r="AC438" s="47">
        <f t="shared" si="129"/>
        <v>1608</v>
      </c>
      <c r="AD438" s="47">
        <f t="shared" si="130"/>
        <v>1608</v>
      </c>
      <c r="AE438" s="47">
        <f t="shared" si="131"/>
        <v>0</v>
      </c>
      <c r="AG438" s="47">
        <f t="shared" si="132"/>
        <v>1607</v>
      </c>
      <c r="AH438" s="47">
        <f t="shared" si="133"/>
        <v>1607</v>
      </c>
      <c r="AI438" s="208">
        <f t="shared" si="134"/>
        <v>0</v>
      </c>
    </row>
    <row r="439" spans="1:35">
      <c r="A439" t="s">
        <v>2103</v>
      </c>
      <c r="B439" t="s">
        <v>3170</v>
      </c>
      <c r="C439" t="s">
        <v>3665</v>
      </c>
      <c r="D439" t="s">
        <v>3666</v>
      </c>
      <c r="F439" t="s">
        <v>366</v>
      </c>
      <c r="G439" s="126">
        <f>SUMIFS('Support - Transition'!F:F,'Support - Transition'!B:B,'Step 2'!A439,'Support - Transition'!C:C,'Step 2'!B439,'Support - Transition'!D:D,'Step 2'!C439,'Support - Transition'!E:E,"CIVIL")</f>
        <v>0</v>
      </c>
      <c r="H439" s="126">
        <f>SUMIFS('Support - Transition'!F:F,'Support - Transition'!B:B,'Step 2'!A439,'Support - Transition'!C:C,'Step 2'!B439,'Support - Transition'!D:D,'Step 2'!C439,'Support - Transition'!E:E,"FIRE")</f>
        <v>0</v>
      </c>
      <c r="I439" s="126">
        <f>IF(B439="0",SUMIFS('Support - Transition'!F:F,'Support - Transition'!J:J,'Step 2'!D439,'Support - Transition'!E:E,"STATE UNIT"),SUMIFS('Support - Transition'!F:F,'Support - Transition'!J:J,'Step 2'!D439))</f>
        <v>5.7419999999999997E-3</v>
      </c>
      <c r="J439" s="126">
        <f>SUMIFS('Support - Unit Adjustments'!E:E,'Support - Unit Adjustments'!F:F,'Step 2'!D439)</f>
        <v>0</v>
      </c>
      <c r="K439" s="126">
        <f t="shared" si="118"/>
        <v>5.7419999999999997E-3</v>
      </c>
      <c r="L439" s="174">
        <f>VLOOKUP(A439,'Step 1'!$A:$E,4,FALSE)</f>
        <v>325842</v>
      </c>
      <c r="M439" s="47">
        <f t="shared" si="119"/>
        <v>1871</v>
      </c>
      <c r="N439" s="177">
        <f>SUMIFS('Support - Transition'!G:G,'Support - Transition'!J:J,'Step 2'!D439,'Support - Transition'!E:E,"2009 WELFARE ALLOCATION FACTOR")</f>
        <v>0</v>
      </c>
      <c r="O439" s="152">
        <f t="shared" si="124"/>
        <v>0</v>
      </c>
      <c r="P439" s="126">
        <f>IF(E439="Y",0,SUMIFS('Support - Transition'!G:G,'Support - Transition'!J:J,'Step 2'!D439,'Support - Transition'!E:E,"2009 SCHOOL ALLOCATION FACTOR"))</f>
        <v>0</v>
      </c>
      <c r="Q439" s="126">
        <f>IF(E439="Y",VLOOKUP(D439,'Support - Unit Adjustments'!F:G,2,FALSE),0)</f>
        <v>0</v>
      </c>
      <c r="R439" s="155">
        <f t="shared" si="136"/>
        <v>0</v>
      </c>
      <c r="S439" s="47">
        <f t="shared" si="135"/>
        <v>0</v>
      </c>
      <c r="T439" s="151">
        <f t="shared" si="120"/>
        <v>1871</v>
      </c>
      <c r="U439" s="151">
        <f t="shared" si="121"/>
        <v>0</v>
      </c>
      <c r="V439" s="139">
        <f t="shared" si="122"/>
        <v>0</v>
      </c>
      <c r="W439" s="152">
        <f t="shared" si="125"/>
        <v>1871</v>
      </c>
      <c r="X439" s="127" t="str">
        <f t="shared" si="123"/>
        <v/>
      </c>
      <c r="Y439" s="207">
        <f t="shared" si="126"/>
        <v>1871</v>
      </c>
      <c r="Z439" s="139">
        <f t="shared" si="127"/>
        <v>1871</v>
      </c>
      <c r="AA439" s="139">
        <f t="shared" si="128"/>
        <v>0</v>
      </c>
      <c r="AC439" s="47">
        <f t="shared" si="129"/>
        <v>936</v>
      </c>
      <c r="AD439" s="47">
        <f t="shared" si="130"/>
        <v>936</v>
      </c>
      <c r="AE439" s="47">
        <f t="shared" si="131"/>
        <v>0</v>
      </c>
      <c r="AG439" s="47">
        <f t="shared" si="132"/>
        <v>935</v>
      </c>
      <c r="AH439" s="47">
        <f t="shared" si="133"/>
        <v>935</v>
      </c>
      <c r="AI439" s="208">
        <f t="shared" si="134"/>
        <v>0</v>
      </c>
    </row>
    <row r="440" spans="1:35">
      <c r="A440" t="s">
        <v>2103</v>
      </c>
      <c r="B440" t="s">
        <v>3286</v>
      </c>
      <c r="C440" t="s">
        <v>3667</v>
      </c>
      <c r="D440" t="s">
        <v>3668</v>
      </c>
      <c r="F440" t="s">
        <v>3669</v>
      </c>
      <c r="G440" s="126">
        <f>SUMIFS('Support - Transition'!F:F,'Support - Transition'!B:B,'Step 2'!A440,'Support - Transition'!C:C,'Step 2'!B440,'Support - Transition'!D:D,'Step 2'!C440,'Support - Transition'!E:E,"CIVIL")</f>
        <v>0</v>
      </c>
      <c r="H440" s="126">
        <f>SUMIFS('Support - Transition'!F:F,'Support - Transition'!B:B,'Step 2'!A440,'Support - Transition'!C:C,'Step 2'!B440,'Support - Transition'!D:D,'Step 2'!C440,'Support - Transition'!E:E,"FIRE")</f>
        <v>0</v>
      </c>
      <c r="I440" s="126">
        <f>IF(B440="0",SUMIFS('Support - Transition'!F:F,'Support - Transition'!J:J,'Step 2'!D440,'Support - Transition'!E:E,"STATE UNIT"),SUMIFS('Support - Transition'!F:F,'Support - Transition'!J:J,'Step 2'!D440))</f>
        <v>0</v>
      </c>
      <c r="J440" s="126">
        <f>SUMIFS('Support - Unit Adjustments'!E:E,'Support - Unit Adjustments'!F:F,'Step 2'!D440)</f>
        <v>0</v>
      </c>
      <c r="K440" s="126">
        <f t="shared" si="118"/>
        <v>0</v>
      </c>
      <c r="L440" s="174">
        <f>VLOOKUP(A440,'Step 1'!$A:$E,4,FALSE)</f>
        <v>325842</v>
      </c>
      <c r="M440" s="47">
        <f t="shared" si="119"/>
        <v>0</v>
      </c>
      <c r="N440" s="177">
        <f>SUMIFS('Support - Transition'!G:G,'Support - Transition'!J:J,'Step 2'!D440,'Support - Transition'!E:E,"2009 WELFARE ALLOCATION FACTOR")</f>
        <v>0</v>
      </c>
      <c r="O440" s="152">
        <f t="shared" si="124"/>
        <v>0</v>
      </c>
      <c r="P440" s="126">
        <f>IF(E440="Y",0,SUMIFS('Support - Transition'!G:G,'Support - Transition'!J:J,'Step 2'!D440,'Support - Transition'!E:E,"2009 SCHOOL ALLOCATION FACTOR"))</f>
        <v>0</v>
      </c>
      <c r="Q440" s="126">
        <f>IF(E440="Y",VLOOKUP(D440,'Support - Unit Adjustments'!F:G,2,FALSE),0)</f>
        <v>0</v>
      </c>
      <c r="R440" s="155">
        <f t="shared" si="136"/>
        <v>0</v>
      </c>
      <c r="S440" s="47">
        <f t="shared" si="135"/>
        <v>0</v>
      </c>
      <c r="T440" s="151">
        <f t="shared" si="120"/>
        <v>0</v>
      </c>
      <c r="U440" s="151">
        <f t="shared" si="121"/>
        <v>0</v>
      </c>
      <c r="V440" s="139">
        <f t="shared" si="122"/>
        <v>0</v>
      </c>
      <c r="W440" s="152">
        <f t="shared" si="125"/>
        <v>0</v>
      </c>
      <c r="X440" s="127" t="str">
        <f t="shared" si="123"/>
        <v/>
      </c>
      <c r="Y440" s="207">
        <f t="shared" si="126"/>
        <v>0</v>
      </c>
      <c r="Z440" s="139">
        <f t="shared" si="127"/>
        <v>0</v>
      </c>
      <c r="AA440" s="139">
        <f t="shared" si="128"/>
        <v>0</v>
      </c>
      <c r="AC440" s="47">
        <f t="shared" si="129"/>
        <v>0</v>
      </c>
      <c r="AD440" s="47">
        <f t="shared" si="130"/>
        <v>0</v>
      </c>
      <c r="AE440" s="47">
        <f t="shared" si="131"/>
        <v>0</v>
      </c>
      <c r="AG440" s="47">
        <f t="shared" si="132"/>
        <v>0</v>
      </c>
      <c r="AH440" s="47">
        <f t="shared" si="133"/>
        <v>0</v>
      </c>
      <c r="AI440" s="208">
        <f t="shared" si="134"/>
        <v>0</v>
      </c>
    </row>
    <row r="441" spans="1:35">
      <c r="A441" t="s">
        <v>2104</v>
      </c>
      <c r="B441" s="48" t="s">
        <v>6274</v>
      </c>
      <c r="C441" t="s">
        <v>2187</v>
      </c>
      <c r="D441" t="str">
        <f>A441&amp;B441&amp;C441</f>
        <v>1700000</v>
      </c>
      <c r="F441" t="s">
        <v>6291</v>
      </c>
      <c r="G441" s="126">
        <f>SUMIFS('Support - Transition'!F:F,'Support - Transition'!B:B,'Step 2'!A441,'Support - Transition'!C:C,'Step 2'!B441,'Support - Transition'!D:D,'Step 2'!C441,'Support - Transition'!E:E,"CIVIL")</f>
        <v>0</v>
      </c>
      <c r="H441" s="126">
        <f>SUMIFS('Support - Transition'!F:F,'Support - Transition'!B:B,'Step 2'!A441,'Support - Transition'!C:C,'Step 2'!B441,'Support - Transition'!D:D,'Step 2'!C441,'Support - Transition'!E:E,"FIRE")</f>
        <v>0</v>
      </c>
      <c r="I441" s="126">
        <f>IF(B441="0",SUMIFS('Support - Transition'!F:F,'Support - Transition'!J:J,'Step 2'!D441,'Support - Transition'!E:E,"STATE UNIT"),SUMIFS('Support - Transition'!F:F,'Support - Transition'!J:J,'Step 2'!D441))</f>
        <v>1.268E-3</v>
      </c>
      <c r="J441" s="126">
        <f>SUMIFS('Support - Unit Adjustments'!E:E,'Support - Unit Adjustments'!F:F,'Step 2'!D441)</f>
        <v>0</v>
      </c>
      <c r="K441" s="126">
        <f t="shared" si="118"/>
        <v>1.268E-3</v>
      </c>
      <c r="L441" s="174">
        <f>VLOOKUP(A441,'Step 1'!$A:$E,4,FALSE)</f>
        <v>289644</v>
      </c>
      <c r="M441" s="47">
        <f t="shared" si="119"/>
        <v>367</v>
      </c>
      <c r="N441" s="177">
        <f>SUMIFS('Support - Transition'!G:G,'Support - Transition'!J:J,'Step 2'!D441,'Support - Transition'!E:E,"2009 WELFARE ALLOCATION FACTOR")</f>
        <v>0</v>
      </c>
      <c r="O441" s="152">
        <f t="shared" si="124"/>
        <v>0</v>
      </c>
      <c r="P441" s="126">
        <f>IF(E441="Y",0,SUMIFS('Support - Transition'!G:G,'Support - Transition'!J:J,'Step 2'!D441,'Support - Transition'!E:E,"2009 SCHOOL ALLOCATION FACTOR"))</f>
        <v>0</v>
      </c>
      <c r="Q441" s="126">
        <f>IF(E441="Y",VLOOKUP(D441,'Support - Unit Adjustments'!F:G,2,FALSE),0)</f>
        <v>0</v>
      </c>
      <c r="R441" s="155">
        <f t="shared" si="136"/>
        <v>0</v>
      </c>
      <c r="S441" s="47">
        <f t="shared" si="135"/>
        <v>0</v>
      </c>
      <c r="T441" s="151">
        <f t="shared" si="120"/>
        <v>367</v>
      </c>
      <c r="U441" s="151">
        <f t="shared" si="121"/>
        <v>289642</v>
      </c>
      <c r="V441" s="139">
        <f t="shared" si="122"/>
        <v>-2</v>
      </c>
      <c r="W441" s="152">
        <f t="shared" si="125"/>
        <v>369</v>
      </c>
      <c r="X441" s="127">
        <f t="shared" si="123"/>
        <v>0</v>
      </c>
      <c r="Y441" s="207">
        <f t="shared" si="126"/>
        <v>369</v>
      </c>
      <c r="Z441" s="139">
        <f t="shared" si="127"/>
        <v>369</v>
      </c>
      <c r="AA441" s="139">
        <f t="shared" si="128"/>
        <v>0</v>
      </c>
      <c r="AC441" s="47">
        <f t="shared" si="129"/>
        <v>185</v>
      </c>
      <c r="AD441" s="47">
        <f t="shared" si="130"/>
        <v>185</v>
      </c>
      <c r="AE441" s="47">
        <f t="shared" si="131"/>
        <v>0</v>
      </c>
      <c r="AG441" s="47">
        <f t="shared" si="132"/>
        <v>184</v>
      </c>
      <c r="AH441" s="47">
        <f t="shared" si="133"/>
        <v>184</v>
      </c>
      <c r="AI441" s="208">
        <f t="shared" si="134"/>
        <v>0</v>
      </c>
    </row>
    <row r="442" spans="1:35">
      <c r="A442" t="s">
        <v>2104</v>
      </c>
      <c r="B442" t="s">
        <v>3140</v>
      </c>
      <c r="C442" t="s">
        <v>2187</v>
      </c>
      <c r="D442" t="s">
        <v>3670</v>
      </c>
      <c r="F442" t="s">
        <v>368</v>
      </c>
      <c r="G442" s="126">
        <f>SUMIFS('Support - Transition'!F:F,'Support - Transition'!B:B,'Step 2'!A442,'Support - Transition'!C:C,'Step 2'!B442,'Support - Transition'!D:D,'Step 2'!C442,'Support - Transition'!E:E,"CIVIL")</f>
        <v>0</v>
      </c>
      <c r="H442" s="126">
        <f>SUMIFS('Support - Transition'!F:F,'Support - Transition'!B:B,'Step 2'!A442,'Support - Transition'!C:C,'Step 2'!B442,'Support - Transition'!D:D,'Step 2'!C442,'Support - Transition'!E:E,"FIRE")</f>
        <v>0</v>
      </c>
      <c r="I442" s="126">
        <f>IF(B442="0",SUMIFS('Support - Transition'!F:F,'Support - Transition'!J:J,'Step 2'!D442,'Support - Transition'!E:E,"STATE UNIT"),SUMIFS('Support - Transition'!F:F,'Support - Transition'!J:J,'Step 2'!D442))</f>
        <v>0.17787</v>
      </c>
      <c r="J442" s="126">
        <f>SUMIFS('Support - Unit Adjustments'!E:E,'Support - Unit Adjustments'!F:F,'Step 2'!D442)</f>
        <v>0</v>
      </c>
      <c r="K442" s="126">
        <f t="shared" si="118"/>
        <v>0.17787</v>
      </c>
      <c r="L442" s="174">
        <f>VLOOKUP(A442,'Step 1'!$A:$E,4,FALSE)</f>
        <v>289644</v>
      </c>
      <c r="M442" s="47">
        <f t="shared" si="119"/>
        <v>51519</v>
      </c>
      <c r="N442" s="177">
        <f>SUMIFS('Support - Transition'!G:G,'Support - Transition'!J:J,'Step 2'!D442,'Support - Transition'!E:E,"2009 WELFARE ALLOCATION FACTOR")</f>
        <v>0.24379400000000001</v>
      </c>
      <c r="O442" s="152">
        <f t="shared" si="124"/>
        <v>12560</v>
      </c>
      <c r="P442" s="126">
        <f>IF(E442="Y",0,SUMIFS('Support - Transition'!G:G,'Support - Transition'!J:J,'Step 2'!D442,'Support - Transition'!E:E,"2009 SCHOOL ALLOCATION FACTOR"))</f>
        <v>0</v>
      </c>
      <c r="Q442" s="126">
        <f>IF(E442="Y",VLOOKUP(D442,'Support - Unit Adjustments'!F:G,2,FALSE),0)</f>
        <v>0</v>
      </c>
      <c r="R442" s="155">
        <f t="shared" si="136"/>
        <v>0</v>
      </c>
      <c r="S442" s="47">
        <f t="shared" si="135"/>
        <v>0</v>
      </c>
      <c r="T442" s="151">
        <f t="shared" si="120"/>
        <v>38959</v>
      </c>
      <c r="U442" s="151">
        <f t="shared" si="121"/>
        <v>0</v>
      </c>
      <c r="V442" s="139">
        <f t="shared" si="122"/>
        <v>0</v>
      </c>
      <c r="W442" s="152">
        <f t="shared" si="125"/>
        <v>38959</v>
      </c>
      <c r="X442" s="127" t="str">
        <f t="shared" si="123"/>
        <v/>
      </c>
      <c r="Y442" s="207">
        <f t="shared" si="126"/>
        <v>38959</v>
      </c>
      <c r="Z442" s="139">
        <f t="shared" si="127"/>
        <v>38959</v>
      </c>
      <c r="AA442" s="139">
        <f t="shared" si="128"/>
        <v>0</v>
      </c>
      <c r="AC442" s="47">
        <f t="shared" si="129"/>
        <v>19480</v>
      </c>
      <c r="AD442" s="47">
        <f t="shared" si="130"/>
        <v>19480</v>
      </c>
      <c r="AE442" s="47">
        <f t="shared" si="131"/>
        <v>0</v>
      </c>
      <c r="AG442" s="47">
        <f t="shared" si="132"/>
        <v>19479</v>
      </c>
      <c r="AH442" s="47">
        <f t="shared" si="133"/>
        <v>19479</v>
      </c>
      <c r="AI442" s="208">
        <f t="shared" si="134"/>
        <v>0</v>
      </c>
    </row>
    <row r="443" spans="1:35">
      <c r="A443" t="s">
        <v>2104</v>
      </c>
      <c r="B443" t="s">
        <v>3142</v>
      </c>
      <c r="C443" t="s">
        <v>2188</v>
      </c>
      <c r="D443" t="s">
        <v>3671</v>
      </c>
      <c r="F443" t="s">
        <v>369</v>
      </c>
      <c r="G443" s="126">
        <f>SUMIFS('Support - Transition'!F:F,'Support - Transition'!B:B,'Step 2'!A443,'Support - Transition'!C:C,'Step 2'!B443,'Support - Transition'!D:D,'Step 2'!C443,'Support - Transition'!E:E,"CIVIL")</f>
        <v>7.6800000000000002E-4</v>
      </c>
      <c r="H443" s="126">
        <f>SUMIFS('Support - Transition'!F:F,'Support - Transition'!B:B,'Step 2'!A443,'Support - Transition'!C:C,'Step 2'!B443,'Support - Transition'!D:D,'Step 2'!C443,'Support - Transition'!E:E,"FIRE")</f>
        <v>5.6300000000000002E-4</v>
      </c>
      <c r="I443" s="126">
        <f>IF(B443="0",SUMIFS('Support - Transition'!F:F,'Support - Transition'!J:J,'Step 2'!D443,'Support - Transition'!E:E,"STATE UNIT"),SUMIFS('Support - Transition'!F:F,'Support - Transition'!J:J,'Step 2'!D443))</f>
        <v>1.3310000000000002E-3</v>
      </c>
      <c r="J443" s="126">
        <f>SUMIFS('Support - Unit Adjustments'!E:E,'Support - Unit Adjustments'!F:F,'Step 2'!D443)</f>
        <v>0</v>
      </c>
      <c r="K443" s="126">
        <f t="shared" si="118"/>
        <v>1.3310000000000002E-3</v>
      </c>
      <c r="L443" s="174">
        <f>VLOOKUP(A443,'Step 1'!$A:$E,4,FALSE)</f>
        <v>289644</v>
      </c>
      <c r="M443" s="47">
        <f t="shared" si="119"/>
        <v>386</v>
      </c>
      <c r="N443" s="177">
        <f>SUMIFS('Support - Transition'!G:G,'Support - Transition'!J:J,'Step 2'!D443,'Support - Transition'!E:E,"2009 WELFARE ALLOCATION FACTOR")</f>
        <v>0</v>
      </c>
      <c r="O443" s="152">
        <f t="shared" si="124"/>
        <v>0</v>
      </c>
      <c r="P443" s="126">
        <f>IF(E443="Y",0,SUMIFS('Support - Transition'!G:G,'Support - Transition'!J:J,'Step 2'!D443,'Support - Transition'!E:E,"2009 SCHOOL ALLOCATION FACTOR"))</f>
        <v>0</v>
      </c>
      <c r="Q443" s="126">
        <f>IF(E443="Y",VLOOKUP(D443,'Support - Unit Adjustments'!F:G,2,FALSE),0)</f>
        <v>0</v>
      </c>
      <c r="R443" s="155">
        <f t="shared" si="136"/>
        <v>0</v>
      </c>
      <c r="S443" s="47">
        <f t="shared" si="135"/>
        <v>0</v>
      </c>
      <c r="T443" s="151">
        <f t="shared" si="120"/>
        <v>386</v>
      </c>
      <c r="U443" s="151">
        <f t="shared" si="121"/>
        <v>0</v>
      </c>
      <c r="V443" s="139">
        <f t="shared" si="122"/>
        <v>0</v>
      </c>
      <c r="W443" s="152">
        <f t="shared" si="125"/>
        <v>386</v>
      </c>
      <c r="X443" s="127" t="str">
        <f t="shared" si="123"/>
        <v/>
      </c>
      <c r="Y443" s="207">
        <f t="shared" si="126"/>
        <v>386</v>
      </c>
      <c r="Z443" s="139">
        <f t="shared" si="127"/>
        <v>223</v>
      </c>
      <c r="AA443" s="139">
        <f t="shared" si="128"/>
        <v>163</v>
      </c>
      <c r="AC443" s="47">
        <f t="shared" si="129"/>
        <v>193</v>
      </c>
      <c r="AD443" s="47">
        <f t="shared" si="130"/>
        <v>112</v>
      </c>
      <c r="AE443" s="47">
        <f t="shared" si="131"/>
        <v>82</v>
      </c>
      <c r="AG443" s="47">
        <f t="shared" si="132"/>
        <v>193</v>
      </c>
      <c r="AH443" s="47">
        <f t="shared" si="133"/>
        <v>111</v>
      </c>
      <c r="AI443" s="208">
        <f t="shared" si="134"/>
        <v>81</v>
      </c>
    </row>
    <row r="444" spans="1:35">
      <c r="A444" t="s">
        <v>2104</v>
      </c>
      <c r="B444" t="s">
        <v>3142</v>
      </c>
      <c r="C444" t="s">
        <v>2189</v>
      </c>
      <c r="D444" t="s">
        <v>3672</v>
      </c>
      <c r="F444" t="s">
        <v>370</v>
      </c>
      <c r="G444" s="126">
        <f>SUMIFS('Support - Transition'!F:F,'Support - Transition'!B:B,'Step 2'!A444,'Support - Transition'!C:C,'Step 2'!B444,'Support - Transition'!D:D,'Step 2'!C444,'Support - Transition'!E:E,"CIVIL")</f>
        <v>7.8700000000000005E-4</v>
      </c>
      <c r="H444" s="126">
        <f>SUMIFS('Support - Transition'!F:F,'Support - Transition'!B:B,'Step 2'!A444,'Support - Transition'!C:C,'Step 2'!B444,'Support - Transition'!D:D,'Step 2'!C444,'Support - Transition'!E:E,"FIRE")</f>
        <v>5.6300000000000002E-4</v>
      </c>
      <c r="I444" s="126">
        <f>IF(B444="0",SUMIFS('Support - Transition'!F:F,'Support - Transition'!J:J,'Step 2'!D444,'Support - Transition'!E:E,"STATE UNIT"),SUMIFS('Support - Transition'!F:F,'Support - Transition'!J:J,'Step 2'!D444))</f>
        <v>1.3500000000000001E-3</v>
      </c>
      <c r="J444" s="126">
        <f>SUMIFS('Support - Unit Adjustments'!E:E,'Support - Unit Adjustments'!F:F,'Step 2'!D444)</f>
        <v>0</v>
      </c>
      <c r="K444" s="126">
        <f t="shared" si="118"/>
        <v>1.3500000000000001E-3</v>
      </c>
      <c r="L444" s="174">
        <f>VLOOKUP(A444,'Step 1'!$A:$E,4,FALSE)</f>
        <v>289644</v>
      </c>
      <c r="M444" s="47">
        <f t="shared" si="119"/>
        <v>391</v>
      </c>
      <c r="N444" s="177">
        <f>SUMIFS('Support - Transition'!G:G,'Support - Transition'!J:J,'Step 2'!D444,'Support - Transition'!E:E,"2009 WELFARE ALLOCATION FACTOR")</f>
        <v>0</v>
      </c>
      <c r="O444" s="152">
        <f t="shared" si="124"/>
        <v>0</v>
      </c>
      <c r="P444" s="126">
        <f>IF(E444="Y",0,SUMIFS('Support - Transition'!G:G,'Support - Transition'!J:J,'Step 2'!D444,'Support - Transition'!E:E,"2009 SCHOOL ALLOCATION FACTOR"))</f>
        <v>0</v>
      </c>
      <c r="Q444" s="126">
        <f>IF(E444="Y",VLOOKUP(D444,'Support - Unit Adjustments'!F:G,2,FALSE),0)</f>
        <v>0</v>
      </c>
      <c r="R444" s="155">
        <f t="shared" si="136"/>
        <v>0</v>
      </c>
      <c r="S444" s="47">
        <f t="shared" si="135"/>
        <v>0</v>
      </c>
      <c r="T444" s="151">
        <f t="shared" si="120"/>
        <v>391</v>
      </c>
      <c r="U444" s="151">
        <f t="shared" si="121"/>
        <v>0</v>
      </c>
      <c r="V444" s="139">
        <f t="shared" si="122"/>
        <v>0</v>
      </c>
      <c r="W444" s="152">
        <f t="shared" si="125"/>
        <v>391</v>
      </c>
      <c r="X444" s="127" t="str">
        <f t="shared" si="123"/>
        <v/>
      </c>
      <c r="Y444" s="207">
        <f t="shared" si="126"/>
        <v>391</v>
      </c>
      <c r="Z444" s="139">
        <f t="shared" si="127"/>
        <v>228</v>
      </c>
      <c r="AA444" s="139">
        <f t="shared" si="128"/>
        <v>163</v>
      </c>
      <c r="AC444" s="47">
        <f t="shared" si="129"/>
        <v>196</v>
      </c>
      <c r="AD444" s="47">
        <f t="shared" si="130"/>
        <v>114</v>
      </c>
      <c r="AE444" s="47">
        <f t="shared" si="131"/>
        <v>82</v>
      </c>
      <c r="AG444" s="47">
        <f t="shared" si="132"/>
        <v>195</v>
      </c>
      <c r="AH444" s="47">
        <f t="shared" si="133"/>
        <v>114</v>
      </c>
      <c r="AI444" s="208">
        <f t="shared" si="134"/>
        <v>81</v>
      </c>
    </row>
    <row r="445" spans="1:35">
      <c r="A445" t="s">
        <v>2104</v>
      </c>
      <c r="B445" t="s">
        <v>3142</v>
      </c>
      <c r="C445" t="s">
        <v>2190</v>
      </c>
      <c r="D445" t="s">
        <v>3673</v>
      </c>
      <c r="F445" t="s">
        <v>371</v>
      </c>
      <c r="G445" s="126">
        <f>SUMIFS('Support - Transition'!F:F,'Support - Transition'!B:B,'Step 2'!A445,'Support - Transition'!C:C,'Step 2'!B445,'Support - Transition'!D:D,'Step 2'!C445,'Support - Transition'!E:E,"CIVIL")</f>
        <v>6.2E-4</v>
      </c>
      <c r="H445" s="126">
        <f>SUMIFS('Support - Transition'!F:F,'Support - Transition'!B:B,'Step 2'!A445,'Support - Transition'!C:C,'Step 2'!B445,'Support - Transition'!D:D,'Step 2'!C445,'Support - Transition'!E:E,"FIRE")</f>
        <v>3.21E-4</v>
      </c>
      <c r="I445" s="126">
        <f>IF(B445="0",SUMIFS('Support - Transition'!F:F,'Support - Transition'!J:J,'Step 2'!D445,'Support - Transition'!E:E,"STATE UNIT"),SUMIFS('Support - Transition'!F:F,'Support - Transition'!J:J,'Step 2'!D445))</f>
        <v>9.41E-4</v>
      </c>
      <c r="J445" s="126">
        <f>SUMIFS('Support - Unit Adjustments'!E:E,'Support - Unit Adjustments'!F:F,'Step 2'!D445)</f>
        <v>0</v>
      </c>
      <c r="K445" s="126">
        <f t="shared" si="118"/>
        <v>9.41E-4</v>
      </c>
      <c r="L445" s="174">
        <f>VLOOKUP(A445,'Step 1'!$A:$E,4,FALSE)</f>
        <v>289644</v>
      </c>
      <c r="M445" s="47">
        <f t="shared" si="119"/>
        <v>273</v>
      </c>
      <c r="N445" s="177">
        <f>SUMIFS('Support - Transition'!G:G,'Support - Transition'!J:J,'Step 2'!D445,'Support - Transition'!E:E,"2009 WELFARE ALLOCATION FACTOR")</f>
        <v>0</v>
      </c>
      <c r="O445" s="152">
        <f t="shared" si="124"/>
        <v>0</v>
      </c>
      <c r="P445" s="126">
        <f>IF(E445="Y",0,SUMIFS('Support - Transition'!G:G,'Support - Transition'!J:J,'Step 2'!D445,'Support - Transition'!E:E,"2009 SCHOOL ALLOCATION FACTOR"))</f>
        <v>0</v>
      </c>
      <c r="Q445" s="126">
        <f>IF(E445="Y",VLOOKUP(D445,'Support - Unit Adjustments'!F:G,2,FALSE),0)</f>
        <v>0</v>
      </c>
      <c r="R445" s="155">
        <f t="shared" si="136"/>
        <v>0</v>
      </c>
      <c r="S445" s="47">
        <f t="shared" si="135"/>
        <v>0</v>
      </c>
      <c r="T445" s="151">
        <f t="shared" si="120"/>
        <v>273</v>
      </c>
      <c r="U445" s="151">
        <f t="shared" si="121"/>
        <v>0</v>
      </c>
      <c r="V445" s="139">
        <f t="shared" si="122"/>
        <v>0</v>
      </c>
      <c r="W445" s="152">
        <f t="shared" si="125"/>
        <v>273</v>
      </c>
      <c r="X445" s="127" t="str">
        <f t="shared" si="123"/>
        <v/>
      </c>
      <c r="Y445" s="207">
        <f t="shared" si="126"/>
        <v>273</v>
      </c>
      <c r="Z445" s="139">
        <f t="shared" si="127"/>
        <v>180</v>
      </c>
      <c r="AA445" s="139">
        <f t="shared" si="128"/>
        <v>93</v>
      </c>
      <c r="AC445" s="47">
        <f t="shared" si="129"/>
        <v>137</v>
      </c>
      <c r="AD445" s="47">
        <f t="shared" si="130"/>
        <v>90</v>
      </c>
      <c r="AE445" s="47">
        <f t="shared" si="131"/>
        <v>47</v>
      </c>
      <c r="AG445" s="47">
        <f t="shared" si="132"/>
        <v>136</v>
      </c>
      <c r="AH445" s="47">
        <f t="shared" si="133"/>
        <v>90</v>
      </c>
      <c r="AI445" s="208">
        <f t="shared" si="134"/>
        <v>46</v>
      </c>
    </row>
    <row r="446" spans="1:35">
      <c r="A446" t="s">
        <v>2104</v>
      </c>
      <c r="B446" t="s">
        <v>3142</v>
      </c>
      <c r="C446" t="s">
        <v>2191</v>
      </c>
      <c r="D446" t="s">
        <v>3674</v>
      </c>
      <c r="F446" t="s">
        <v>372</v>
      </c>
      <c r="G446" s="126">
        <f>SUMIFS('Support - Transition'!F:F,'Support - Transition'!B:B,'Step 2'!A446,'Support - Transition'!C:C,'Step 2'!B446,'Support - Transition'!D:D,'Step 2'!C446,'Support - Transition'!E:E,"CIVIL")</f>
        <v>5.6300000000000002E-4</v>
      </c>
      <c r="H446" s="126">
        <f>SUMIFS('Support - Transition'!F:F,'Support - Transition'!B:B,'Step 2'!A446,'Support - Transition'!C:C,'Step 2'!B446,'Support - Transition'!D:D,'Step 2'!C446,'Support - Transition'!E:E,"FIRE")</f>
        <v>5.6999999999999998E-4</v>
      </c>
      <c r="I446" s="126">
        <f>IF(B446="0",SUMIFS('Support - Transition'!F:F,'Support - Transition'!J:J,'Step 2'!D446,'Support - Transition'!E:E,"STATE UNIT"),SUMIFS('Support - Transition'!F:F,'Support - Transition'!J:J,'Step 2'!D446))</f>
        <v>1.1329999999999999E-3</v>
      </c>
      <c r="J446" s="126">
        <f>SUMIFS('Support - Unit Adjustments'!E:E,'Support - Unit Adjustments'!F:F,'Step 2'!D446)</f>
        <v>0</v>
      </c>
      <c r="K446" s="126">
        <f t="shared" si="118"/>
        <v>1.1329999999999999E-3</v>
      </c>
      <c r="L446" s="174">
        <f>VLOOKUP(A446,'Step 1'!$A:$E,4,FALSE)</f>
        <v>289644</v>
      </c>
      <c r="M446" s="47">
        <f t="shared" si="119"/>
        <v>328</v>
      </c>
      <c r="N446" s="177">
        <f>SUMIFS('Support - Transition'!G:G,'Support - Transition'!J:J,'Step 2'!D446,'Support - Transition'!E:E,"2009 WELFARE ALLOCATION FACTOR")</f>
        <v>0</v>
      </c>
      <c r="O446" s="152">
        <f t="shared" si="124"/>
        <v>0</v>
      </c>
      <c r="P446" s="126">
        <f>IF(E446="Y",0,SUMIFS('Support - Transition'!G:G,'Support - Transition'!J:J,'Step 2'!D446,'Support - Transition'!E:E,"2009 SCHOOL ALLOCATION FACTOR"))</f>
        <v>0</v>
      </c>
      <c r="Q446" s="126">
        <f>IF(E446="Y",VLOOKUP(D446,'Support - Unit Adjustments'!F:G,2,FALSE),0)</f>
        <v>0</v>
      </c>
      <c r="R446" s="155">
        <f t="shared" si="136"/>
        <v>0</v>
      </c>
      <c r="S446" s="47">
        <f t="shared" si="135"/>
        <v>0</v>
      </c>
      <c r="T446" s="151">
        <f t="shared" si="120"/>
        <v>328</v>
      </c>
      <c r="U446" s="151">
        <f t="shared" si="121"/>
        <v>0</v>
      </c>
      <c r="V446" s="139">
        <f t="shared" si="122"/>
        <v>0</v>
      </c>
      <c r="W446" s="152">
        <f t="shared" si="125"/>
        <v>328</v>
      </c>
      <c r="X446" s="127" t="str">
        <f t="shared" si="123"/>
        <v/>
      </c>
      <c r="Y446" s="207">
        <f t="shared" si="126"/>
        <v>328</v>
      </c>
      <c r="Z446" s="139">
        <f t="shared" si="127"/>
        <v>163</v>
      </c>
      <c r="AA446" s="139">
        <f t="shared" si="128"/>
        <v>165</v>
      </c>
      <c r="AC446" s="47">
        <f t="shared" si="129"/>
        <v>164</v>
      </c>
      <c r="AD446" s="47">
        <f t="shared" si="130"/>
        <v>82</v>
      </c>
      <c r="AE446" s="47">
        <f t="shared" si="131"/>
        <v>83</v>
      </c>
      <c r="AG446" s="47">
        <f t="shared" si="132"/>
        <v>164</v>
      </c>
      <c r="AH446" s="47">
        <f t="shared" si="133"/>
        <v>81</v>
      </c>
      <c r="AI446" s="208">
        <f t="shared" si="134"/>
        <v>82</v>
      </c>
    </row>
    <row r="447" spans="1:35">
      <c r="A447" t="s">
        <v>2104</v>
      </c>
      <c r="B447" t="s">
        <v>3142</v>
      </c>
      <c r="C447" t="s">
        <v>2192</v>
      </c>
      <c r="D447" t="s">
        <v>3675</v>
      </c>
      <c r="F447" t="s">
        <v>109</v>
      </c>
      <c r="G447" s="126">
        <f>SUMIFS('Support - Transition'!F:F,'Support - Transition'!B:B,'Step 2'!A447,'Support - Transition'!C:C,'Step 2'!B447,'Support - Transition'!D:D,'Step 2'!C447,'Support - Transition'!E:E,"CIVIL")</f>
        <v>2.2750000000000001E-3</v>
      </c>
      <c r="H447" s="126">
        <f>SUMIFS('Support - Transition'!F:F,'Support - Transition'!B:B,'Step 2'!A447,'Support - Transition'!C:C,'Step 2'!B447,'Support - Transition'!D:D,'Step 2'!C447,'Support - Transition'!E:E,"FIRE")</f>
        <v>8.2799999999999996E-4</v>
      </c>
      <c r="I447" s="126">
        <f>IF(B447="0",SUMIFS('Support - Transition'!F:F,'Support - Transition'!J:J,'Step 2'!D447,'Support - Transition'!E:E,"STATE UNIT"),SUMIFS('Support - Transition'!F:F,'Support - Transition'!J:J,'Step 2'!D447))</f>
        <v>3.1029999999999999E-3</v>
      </c>
      <c r="J447" s="126">
        <f>SUMIFS('Support - Unit Adjustments'!E:E,'Support - Unit Adjustments'!F:F,'Step 2'!D447)</f>
        <v>0</v>
      </c>
      <c r="K447" s="126">
        <f t="shared" si="118"/>
        <v>3.1029999999999999E-3</v>
      </c>
      <c r="L447" s="174">
        <f>VLOOKUP(A447,'Step 1'!$A:$E,4,FALSE)</f>
        <v>289644</v>
      </c>
      <c r="M447" s="47">
        <f t="shared" si="119"/>
        <v>899</v>
      </c>
      <c r="N447" s="177">
        <f>SUMIFS('Support - Transition'!G:G,'Support - Transition'!J:J,'Step 2'!D447,'Support - Transition'!E:E,"2009 WELFARE ALLOCATION FACTOR")</f>
        <v>0</v>
      </c>
      <c r="O447" s="152">
        <f t="shared" si="124"/>
        <v>0</v>
      </c>
      <c r="P447" s="126">
        <f>IF(E447="Y",0,SUMIFS('Support - Transition'!G:G,'Support - Transition'!J:J,'Step 2'!D447,'Support - Transition'!E:E,"2009 SCHOOL ALLOCATION FACTOR"))</f>
        <v>0</v>
      </c>
      <c r="Q447" s="126">
        <f>IF(E447="Y",VLOOKUP(D447,'Support - Unit Adjustments'!F:G,2,FALSE),0)</f>
        <v>0</v>
      </c>
      <c r="R447" s="155">
        <f t="shared" si="136"/>
        <v>0</v>
      </c>
      <c r="S447" s="47">
        <f t="shared" si="135"/>
        <v>0</v>
      </c>
      <c r="T447" s="151">
        <f t="shared" si="120"/>
        <v>899</v>
      </c>
      <c r="U447" s="151">
        <f t="shared" si="121"/>
        <v>0</v>
      </c>
      <c r="V447" s="139">
        <f t="shared" si="122"/>
        <v>0</v>
      </c>
      <c r="W447" s="152">
        <f t="shared" si="125"/>
        <v>899</v>
      </c>
      <c r="X447" s="127" t="str">
        <f t="shared" si="123"/>
        <v/>
      </c>
      <c r="Y447" s="207">
        <f t="shared" si="126"/>
        <v>899</v>
      </c>
      <c r="Z447" s="139">
        <f t="shared" si="127"/>
        <v>659</v>
      </c>
      <c r="AA447" s="139">
        <f t="shared" si="128"/>
        <v>240</v>
      </c>
      <c r="AC447" s="47">
        <f t="shared" si="129"/>
        <v>450</v>
      </c>
      <c r="AD447" s="47">
        <f t="shared" si="130"/>
        <v>330</v>
      </c>
      <c r="AE447" s="47">
        <f t="shared" si="131"/>
        <v>120</v>
      </c>
      <c r="AG447" s="47">
        <f t="shared" si="132"/>
        <v>449</v>
      </c>
      <c r="AH447" s="47">
        <f t="shared" si="133"/>
        <v>329</v>
      </c>
      <c r="AI447" s="208">
        <f t="shared" si="134"/>
        <v>120</v>
      </c>
    </row>
    <row r="448" spans="1:35">
      <c r="A448" t="s">
        <v>2104</v>
      </c>
      <c r="B448" t="s">
        <v>3142</v>
      </c>
      <c r="C448" t="s">
        <v>2193</v>
      </c>
      <c r="D448" t="s">
        <v>3676</v>
      </c>
      <c r="F448" t="s">
        <v>49</v>
      </c>
      <c r="G448" s="126">
        <f>SUMIFS('Support - Transition'!F:F,'Support - Transition'!B:B,'Step 2'!A448,'Support - Transition'!C:C,'Step 2'!B448,'Support - Transition'!D:D,'Step 2'!C448,'Support - Transition'!E:E,"CIVIL")</f>
        <v>2.5799999999999998E-3</v>
      </c>
      <c r="H448" s="126">
        <f>SUMIFS('Support - Transition'!F:F,'Support - Transition'!B:B,'Step 2'!A448,'Support - Transition'!C:C,'Step 2'!B448,'Support - Transition'!D:D,'Step 2'!C448,'Support - Transition'!E:E,"FIRE")</f>
        <v>2.0200000000000001E-3</v>
      </c>
      <c r="I448" s="126">
        <f>IF(B448="0",SUMIFS('Support - Transition'!F:F,'Support - Transition'!J:J,'Step 2'!D448,'Support - Transition'!E:E,"STATE UNIT"),SUMIFS('Support - Transition'!F:F,'Support - Transition'!J:J,'Step 2'!D448))</f>
        <v>4.5999999999999999E-3</v>
      </c>
      <c r="J448" s="126">
        <f>SUMIFS('Support - Unit Adjustments'!E:E,'Support - Unit Adjustments'!F:F,'Step 2'!D448)</f>
        <v>0</v>
      </c>
      <c r="K448" s="126">
        <f t="shared" si="118"/>
        <v>4.5999999999999999E-3</v>
      </c>
      <c r="L448" s="174">
        <f>VLOOKUP(A448,'Step 1'!$A:$E,4,FALSE)</f>
        <v>289644</v>
      </c>
      <c r="M448" s="47">
        <f t="shared" si="119"/>
        <v>1332</v>
      </c>
      <c r="N448" s="177">
        <f>SUMIFS('Support - Transition'!G:G,'Support - Transition'!J:J,'Step 2'!D448,'Support - Transition'!E:E,"2009 WELFARE ALLOCATION FACTOR")</f>
        <v>0</v>
      </c>
      <c r="O448" s="152">
        <f t="shared" si="124"/>
        <v>0</v>
      </c>
      <c r="P448" s="126">
        <f>IF(E448="Y",0,SUMIFS('Support - Transition'!G:G,'Support - Transition'!J:J,'Step 2'!D448,'Support - Transition'!E:E,"2009 SCHOOL ALLOCATION FACTOR"))</f>
        <v>0</v>
      </c>
      <c r="Q448" s="126">
        <f>IF(E448="Y",VLOOKUP(D448,'Support - Unit Adjustments'!F:G,2,FALSE),0)</f>
        <v>0</v>
      </c>
      <c r="R448" s="155">
        <f t="shared" si="136"/>
        <v>0</v>
      </c>
      <c r="S448" s="47">
        <f t="shared" si="135"/>
        <v>0</v>
      </c>
      <c r="T448" s="151">
        <f t="shared" si="120"/>
        <v>1332</v>
      </c>
      <c r="U448" s="151">
        <f t="shared" si="121"/>
        <v>0</v>
      </c>
      <c r="V448" s="139">
        <f t="shared" si="122"/>
        <v>0</v>
      </c>
      <c r="W448" s="152">
        <f t="shared" si="125"/>
        <v>1332</v>
      </c>
      <c r="X448" s="127" t="str">
        <f t="shared" si="123"/>
        <v/>
      </c>
      <c r="Y448" s="207">
        <f t="shared" si="126"/>
        <v>1332</v>
      </c>
      <c r="Z448" s="139">
        <f t="shared" si="127"/>
        <v>747</v>
      </c>
      <c r="AA448" s="139">
        <f t="shared" si="128"/>
        <v>585</v>
      </c>
      <c r="AC448" s="47">
        <f t="shared" si="129"/>
        <v>666</v>
      </c>
      <c r="AD448" s="47">
        <f t="shared" si="130"/>
        <v>374</v>
      </c>
      <c r="AE448" s="47">
        <f t="shared" si="131"/>
        <v>293</v>
      </c>
      <c r="AG448" s="47">
        <f t="shared" si="132"/>
        <v>666</v>
      </c>
      <c r="AH448" s="47">
        <f t="shared" si="133"/>
        <v>373</v>
      </c>
      <c r="AI448" s="208">
        <f t="shared" si="134"/>
        <v>292</v>
      </c>
    </row>
    <row r="449" spans="1:35">
      <c r="A449" t="s">
        <v>2104</v>
      </c>
      <c r="B449" t="s">
        <v>3142</v>
      </c>
      <c r="C449" t="s">
        <v>2194</v>
      </c>
      <c r="D449" t="s">
        <v>3677</v>
      </c>
      <c r="F449" t="s">
        <v>373</v>
      </c>
      <c r="G449" s="126">
        <f>SUMIFS('Support - Transition'!F:F,'Support - Transition'!B:B,'Step 2'!A449,'Support - Transition'!C:C,'Step 2'!B449,'Support - Transition'!D:D,'Step 2'!C449,'Support - Transition'!E:E,"CIVIL")</f>
        <v>4.5600000000000003E-4</v>
      </c>
      <c r="H449" s="126">
        <f>SUMIFS('Support - Transition'!F:F,'Support - Transition'!B:B,'Step 2'!A449,'Support - Transition'!C:C,'Step 2'!B449,'Support - Transition'!D:D,'Step 2'!C449,'Support - Transition'!E:E,"FIRE")</f>
        <v>6.3E-5</v>
      </c>
      <c r="I449" s="126">
        <f>IF(B449="0",SUMIFS('Support - Transition'!F:F,'Support - Transition'!J:J,'Step 2'!D449,'Support - Transition'!E:E,"STATE UNIT"),SUMIFS('Support - Transition'!F:F,'Support - Transition'!J:J,'Step 2'!D449))</f>
        <v>5.1900000000000004E-4</v>
      </c>
      <c r="J449" s="126">
        <f>SUMIFS('Support - Unit Adjustments'!E:E,'Support - Unit Adjustments'!F:F,'Step 2'!D449)</f>
        <v>0</v>
      </c>
      <c r="K449" s="126">
        <f t="shared" si="118"/>
        <v>5.1900000000000004E-4</v>
      </c>
      <c r="L449" s="174">
        <f>VLOOKUP(A449,'Step 1'!$A:$E,4,FALSE)</f>
        <v>289644</v>
      </c>
      <c r="M449" s="47">
        <f t="shared" si="119"/>
        <v>150</v>
      </c>
      <c r="N449" s="177">
        <f>SUMIFS('Support - Transition'!G:G,'Support - Transition'!J:J,'Step 2'!D449,'Support - Transition'!E:E,"2009 WELFARE ALLOCATION FACTOR")</f>
        <v>0</v>
      </c>
      <c r="O449" s="152">
        <f t="shared" si="124"/>
        <v>0</v>
      </c>
      <c r="P449" s="126">
        <f>IF(E449="Y",0,SUMIFS('Support - Transition'!G:G,'Support - Transition'!J:J,'Step 2'!D449,'Support - Transition'!E:E,"2009 SCHOOL ALLOCATION FACTOR"))</f>
        <v>0</v>
      </c>
      <c r="Q449" s="126">
        <f>IF(E449="Y",VLOOKUP(D449,'Support - Unit Adjustments'!F:G,2,FALSE),0)</f>
        <v>0</v>
      </c>
      <c r="R449" s="155">
        <f t="shared" si="136"/>
        <v>0</v>
      </c>
      <c r="S449" s="47">
        <f t="shared" si="135"/>
        <v>0</v>
      </c>
      <c r="T449" s="151">
        <f t="shared" si="120"/>
        <v>150</v>
      </c>
      <c r="U449" s="151">
        <f t="shared" si="121"/>
        <v>0</v>
      </c>
      <c r="V449" s="139">
        <f t="shared" si="122"/>
        <v>0</v>
      </c>
      <c r="W449" s="152">
        <f t="shared" si="125"/>
        <v>150</v>
      </c>
      <c r="X449" s="127" t="str">
        <f t="shared" si="123"/>
        <v/>
      </c>
      <c r="Y449" s="207">
        <f t="shared" si="126"/>
        <v>150</v>
      </c>
      <c r="Z449" s="139">
        <f t="shared" si="127"/>
        <v>132</v>
      </c>
      <c r="AA449" s="139">
        <f t="shared" si="128"/>
        <v>18</v>
      </c>
      <c r="AC449" s="47">
        <f t="shared" si="129"/>
        <v>75</v>
      </c>
      <c r="AD449" s="47">
        <f t="shared" si="130"/>
        <v>66</v>
      </c>
      <c r="AE449" s="47">
        <f t="shared" si="131"/>
        <v>9</v>
      </c>
      <c r="AG449" s="47">
        <f t="shared" si="132"/>
        <v>75</v>
      </c>
      <c r="AH449" s="47">
        <f t="shared" si="133"/>
        <v>66</v>
      </c>
      <c r="AI449" s="208">
        <f t="shared" si="134"/>
        <v>9</v>
      </c>
    </row>
    <row r="450" spans="1:35">
      <c r="A450" t="s">
        <v>2104</v>
      </c>
      <c r="B450" t="s">
        <v>3142</v>
      </c>
      <c r="C450" t="s">
        <v>2195</v>
      </c>
      <c r="D450" t="s">
        <v>3678</v>
      </c>
      <c r="F450" t="s">
        <v>374</v>
      </c>
      <c r="G450" s="126">
        <f>SUMIFS('Support - Transition'!F:F,'Support - Transition'!B:B,'Step 2'!A450,'Support - Transition'!C:C,'Step 2'!B450,'Support - Transition'!D:D,'Step 2'!C450,'Support - Transition'!E:E,"CIVIL")</f>
        <v>0</v>
      </c>
      <c r="H450" s="126">
        <f>SUMIFS('Support - Transition'!F:F,'Support - Transition'!B:B,'Step 2'!A450,'Support - Transition'!C:C,'Step 2'!B450,'Support - Transition'!D:D,'Step 2'!C450,'Support - Transition'!E:E,"FIRE")</f>
        <v>0</v>
      </c>
      <c r="I450" s="126">
        <f>IF(B450="0",SUMIFS('Support - Transition'!F:F,'Support - Transition'!J:J,'Step 2'!D450,'Support - Transition'!E:E,"STATE UNIT"),SUMIFS('Support - Transition'!F:F,'Support - Transition'!J:J,'Step 2'!D450))</f>
        <v>0</v>
      </c>
      <c r="J450" s="126">
        <f>SUMIFS('Support - Unit Adjustments'!E:E,'Support - Unit Adjustments'!F:F,'Step 2'!D450)</f>
        <v>0</v>
      </c>
      <c r="K450" s="126">
        <f t="shared" ref="K450:K513" si="137">+I450+J450</f>
        <v>0</v>
      </c>
      <c r="L450" s="174">
        <f>VLOOKUP(A450,'Step 1'!$A:$E,4,FALSE)</f>
        <v>289644</v>
      </c>
      <c r="M450" s="47">
        <f t="shared" ref="M450:M513" si="138">ROUND(+K450*L450,0)</f>
        <v>0</v>
      </c>
      <c r="N450" s="177">
        <f>SUMIFS('Support - Transition'!G:G,'Support - Transition'!J:J,'Step 2'!D450,'Support - Transition'!E:E,"2009 WELFARE ALLOCATION FACTOR")</f>
        <v>0</v>
      </c>
      <c r="O450" s="152">
        <f t="shared" si="124"/>
        <v>0</v>
      </c>
      <c r="P450" s="126">
        <f>IF(E450="Y",0,SUMIFS('Support - Transition'!G:G,'Support - Transition'!J:J,'Step 2'!D450,'Support - Transition'!E:E,"2009 SCHOOL ALLOCATION FACTOR"))</f>
        <v>0</v>
      </c>
      <c r="Q450" s="126">
        <f>IF(E450="Y",VLOOKUP(D450,'Support - Unit Adjustments'!F:G,2,FALSE),0)</f>
        <v>0</v>
      </c>
      <c r="R450" s="155">
        <f t="shared" si="136"/>
        <v>0</v>
      </c>
      <c r="S450" s="47">
        <f t="shared" si="135"/>
        <v>0</v>
      </c>
      <c r="T450" s="151">
        <f t="shared" ref="T450:T513" si="139">ROUND(+M450-O450-S450,2)</f>
        <v>0</v>
      </c>
      <c r="U450" s="151">
        <f t="shared" ref="U450:U513" si="140">IF(B450="0",SUMIFS(O:O,A:A,A450)+SUMIFS(S:S,A:A,A450)+SUMIFS(T:T,A:A,A450),0)</f>
        <v>0</v>
      </c>
      <c r="V450" s="139">
        <f t="shared" ref="V450:V513" si="141">IF(B450="0",U450-L450,0)</f>
        <v>0</v>
      </c>
      <c r="W450" s="152">
        <f t="shared" si="125"/>
        <v>0</v>
      </c>
      <c r="X450" s="127" t="str">
        <f t="shared" ref="X450:X513" si="142">IF(B450="0",SUMIFS(O:O,A:A,A450)+SUMIFS(S:S,A:A,A450)+SUMIFS(W:W,A:A,A450)-L450,"")</f>
        <v/>
      </c>
      <c r="Y450" s="207">
        <f t="shared" si="126"/>
        <v>0</v>
      </c>
      <c r="Z450" s="139">
        <f t="shared" si="127"/>
        <v>0</v>
      </c>
      <c r="AA450" s="139">
        <f t="shared" si="128"/>
        <v>0</v>
      </c>
      <c r="AC450" s="47">
        <f t="shared" si="129"/>
        <v>0</v>
      </c>
      <c r="AD450" s="47">
        <f t="shared" si="130"/>
        <v>0</v>
      </c>
      <c r="AE450" s="47">
        <f t="shared" si="131"/>
        <v>0</v>
      </c>
      <c r="AG450" s="47">
        <f t="shared" si="132"/>
        <v>0</v>
      </c>
      <c r="AH450" s="47">
        <f t="shared" si="133"/>
        <v>0</v>
      </c>
      <c r="AI450" s="208">
        <f t="shared" si="134"/>
        <v>0</v>
      </c>
    </row>
    <row r="451" spans="1:35">
      <c r="A451" t="s">
        <v>2104</v>
      </c>
      <c r="B451" t="s">
        <v>3142</v>
      </c>
      <c r="C451" t="s">
        <v>2196</v>
      </c>
      <c r="D451" t="s">
        <v>3679</v>
      </c>
      <c r="F451" t="s">
        <v>114</v>
      </c>
      <c r="G451" s="126">
        <f>SUMIFS('Support - Transition'!F:F,'Support - Transition'!B:B,'Step 2'!A451,'Support - Transition'!C:C,'Step 2'!B451,'Support - Transition'!D:D,'Step 2'!C451,'Support - Transition'!E:E,"CIVIL")</f>
        <v>4.66E-4</v>
      </c>
      <c r="H451" s="126">
        <f>SUMIFS('Support - Transition'!F:F,'Support - Transition'!B:B,'Step 2'!A451,'Support - Transition'!C:C,'Step 2'!B451,'Support - Transition'!D:D,'Step 2'!C451,'Support - Transition'!E:E,"FIRE")</f>
        <v>2.05E-4</v>
      </c>
      <c r="I451" s="126">
        <f>IF(B451="0",SUMIFS('Support - Transition'!F:F,'Support - Transition'!J:J,'Step 2'!D451,'Support - Transition'!E:E,"STATE UNIT"),SUMIFS('Support - Transition'!F:F,'Support - Transition'!J:J,'Step 2'!D451))</f>
        <v>6.7099999999999994E-4</v>
      </c>
      <c r="J451" s="126">
        <f>SUMIFS('Support - Unit Adjustments'!E:E,'Support - Unit Adjustments'!F:F,'Step 2'!D451)</f>
        <v>0</v>
      </c>
      <c r="K451" s="126">
        <f t="shared" si="137"/>
        <v>6.7099999999999994E-4</v>
      </c>
      <c r="L451" s="174">
        <f>VLOOKUP(A451,'Step 1'!$A:$E,4,FALSE)</f>
        <v>289644</v>
      </c>
      <c r="M451" s="47">
        <f t="shared" si="138"/>
        <v>194</v>
      </c>
      <c r="N451" s="177">
        <f>SUMIFS('Support - Transition'!G:G,'Support - Transition'!J:J,'Step 2'!D451,'Support - Transition'!E:E,"2009 WELFARE ALLOCATION FACTOR")</f>
        <v>0</v>
      </c>
      <c r="O451" s="152">
        <f t="shared" ref="O451:O514" si="143">ROUND(+N451*M451,0)</f>
        <v>0</v>
      </c>
      <c r="P451" s="126">
        <f>IF(E451="Y",0,SUMIFS('Support - Transition'!G:G,'Support - Transition'!J:J,'Step 2'!D451,'Support - Transition'!E:E,"2009 SCHOOL ALLOCATION FACTOR"))</f>
        <v>0</v>
      </c>
      <c r="Q451" s="126">
        <f>IF(E451="Y",VLOOKUP(D451,'Support - Unit Adjustments'!F:G,2,FALSE),0)</f>
        <v>0</v>
      </c>
      <c r="R451" s="155">
        <f t="shared" si="136"/>
        <v>0</v>
      </c>
      <c r="S451" s="47">
        <f t="shared" si="135"/>
        <v>0</v>
      </c>
      <c r="T451" s="151">
        <f t="shared" si="139"/>
        <v>194</v>
      </c>
      <c r="U451" s="151">
        <f t="shared" si="140"/>
        <v>0</v>
      </c>
      <c r="V451" s="139">
        <f t="shared" si="141"/>
        <v>0</v>
      </c>
      <c r="W451" s="152">
        <f t="shared" ref="W451:W514" si="144">+T451-V451</f>
        <v>194</v>
      </c>
      <c r="X451" s="127" t="str">
        <f t="shared" si="142"/>
        <v/>
      </c>
      <c r="Y451" s="207">
        <f t="shared" ref="Y451:Y514" si="145">W451</f>
        <v>194</v>
      </c>
      <c r="Z451" s="139">
        <f t="shared" ref="Z451:Z514" si="146">IFERROR(IF(B451="2",ROUND(Y451*G451/I451,0),Y451),0)</f>
        <v>135</v>
      </c>
      <c r="AA451" s="139">
        <f t="shared" ref="AA451:AA514" si="147">+Y451-Z451</f>
        <v>59</v>
      </c>
      <c r="AC451" s="47">
        <f t="shared" ref="AC451:AC514" si="148">ROUND(Y451/2,0)</f>
        <v>97</v>
      </c>
      <c r="AD451" s="47">
        <f t="shared" ref="AD451:AD514" si="149">ROUND(Z451/2,0)</f>
        <v>68</v>
      </c>
      <c r="AE451" s="47">
        <f t="shared" ref="AE451:AE514" si="150">ROUND(AA451/2,0)</f>
        <v>30</v>
      </c>
      <c r="AG451" s="47">
        <f t="shared" ref="AG451:AG514" si="151">+Y451-AC451</f>
        <v>97</v>
      </c>
      <c r="AH451" s="47">
        <f t="shared" ref="AH451:AH514" si="152">+Z451-AD451</f>
        <v>67</v>
      </c>
      <c r="AI451" s="208">
        <f t="shared" ref="AI451:AI514" si="153">+AA451-AE451</f>
        <v>29</v>
      </c>
    </row>
    <row r="452" spans="1:35">
      <c r="A452" t="s">
        <v>2104</v>
      </c>
      <c r="B452" t="s">
        <v>3142</v>
      </c>
      <c r="C452" t="s">
        <v>2197</v>
      </c>
      <c r="D452" t="s">
        <v>3680</v>
      </c>
      <c r="F452" t="s">
        <v>375</v>
      </c>
      <c r="G452" s="126">
        <f>SUMIFS('Support - Transition'!F:F,'Support - Transition'!B:B,'Step 2'!A452,'Support - Transition'!C:C,'Step 2'!B452,'Support - Transition'!D:D,'Step 2'!C452,'Support - Transition'!E:E,"CIVIL")</f>
        <v>5.6999999999999998E-4</v>
      </c>
      <c r="H452" s="126">
        <f>SUMIFS('Support - Transition'!F:F,'Support - Transition'!B:B,'Step 2'!A452,'Support - Transition'!C:C,'Step 2'!B452,'Support - Transition'!D:D,'Step 2'!C452,'Support - Transition'!E:E,"FIRE")</f>
        <v>1.7899999999999999E-4</v>
      </c>
      <c r="I452" s="126">
        <f>IF(B452="0",SUMIFS('Support - Transition'!F:F,'Support - Transition'!J:J,'Step 2'!D452,'Support - Transition'!E:E,"STATE UNIT"),SUMIFS('Support - Transition'!F:F,'Support - Transition'!J:J,'Step 2'!D452))</f>
        <v>7.4899999999999999E-4</v>
      </c>
      <c r="J452" s="126">
        <f>SUMIFS('Support - Unit Adjustments'!E:E,'Support - Unit Adjustments'!F:F,'Step 2'!D452)</f>
        <v>0</v>
      </c>
      <c r="K452" s="126">
        <f t="shared" si="137"/>
        <v>7.4899999999999999E-4</v>
      </c>
      <c r="L452" s="174">
        <f>VLOOKUP(A452,'Step 1'!$A:$E,4,FALSE)</f>
        <v>289644</v>
      </c>
      <c r="M452" s="47">
        <f t="shared" si="138"/>
        <v>217</v>
      </c>
      <c r="N452" s="177">
        <f>SUMIFS('Support - Transition'!G:G,'Support - Transition'!J:J,'Step 2'!D452,'Support - Transition'!E:E,"2009 WELFARE ALLOCATION FACTOR")</f>
        <v>0</v>
      </c>
      <c r="O452" s="152">
        <f t="shared" si="143"/>
        <v>0</v>
      </c>
      <c r="P452" s="126">
        <f>IF(E452="Y",0,SUMIFS('Support - Transition'!G:G,'Support - Transition'!J:J,'Step 2'!D452,'Support - Transition'!E:E,"2009 SCHOOL ALLOCATION FACTOR"))</f>
        <v>0</v>
      </c>
      <c r="Q452" s="126">
        <f>IF(E452="Y",VLOOKUP(D452,'Support - Unit Adjustments'!F:G,2,FALSE),0)</f>
        <v>0</v>
      </c>
      <c r="R452" s="155">
        <f t="shared" si="136"/>
        <v>0</v>
      </c>
      <c r="S452" s="47">
        <f t="shared" si="135"/>
        <v>0</v>
      </c>
      <c r="T452" s="151">
        <f t="shared" si="139"/>
        <v>217</v>
      </c>
      <c r="U452" s="151">
        <f t="shared" si="140"/>
        <v>0</v>
      </c>
      <c r="V452" s="139">
        <f t="shared" si="141"/>
        <v>0</v>
      </c>
      <c r="W452" s="152">
        <f t="shared" si="144"/>
        <v>217</v>
      </c>
      <c r="X452" s="127" t="str">
        <f t="shared" si="142"/>
        <v/>
      </c>
      <c r="Y452" s="207">
        <f t="shared" si="145"/>
        <v>217</v>
      </c>
      <c r="Z452" s="139">
        <f t="shared" si="146"/>
        <v>165</v>
      </c>
      <c r="AA452" s="139">
        <f t="shared" si="147"/>
        <v>52</v>
      </c>
      <c r="AC452" s="47">
        <f t="shared" si="148"/>
        <v>109</v>
      </c>
      <c r="AD452" s="47">
        <f t="shared" si="149"/>
        <v>83</v>
      </c>
      <c r="AE452" s="47">
        <f t="shared" si="150"/>
        <v>26</v>
      </c>
      <c r="AG452" s="47">
        <f t="shared" si="151"/>
        <v>108</v>
      </c>
      <c r="AH452" s="47">
        <f t="shared" si="152"/>
        <v>82</v>
      </c>
      <c r="AI452" s="208">
        <f t="shared" si="153"/>
        <v>26</v>
      </c>
    </row>
    <row r="453" spans="1:35">
      <c r="A453" t="s">
        <v>2104</v>
      </c>
      <c r="B453" t="s">
        <v>3142</v>
      </c>
      <c r="C453" t="s">
        <v>2198</v>
      </c>
      <c r="D453" t="s">
        <v>3681</v>
      </c>
      <c r="F453" t="s">
        <v>376</v>
      </c>
      <c r="G453" s="126">
        <f>SUMIFS('Support - Transition'!F:F,'Support - Transition'!B:B,'Step 2'!A453,'Support - Transition'!C:C,'Step 2'!B453,'Support - Transition'!D:D,'Step 2'!C453,'Support - Transition'!E:E,"CIVIL")</f>
        <v>1.2080000000000001E-3</v>
      </c>
      <c r="H453" s="126">
        <f>SUMIFS('Support - Transition'!F:F,'Support - Transition'!B:B,'Step 2'!A453,'Support - Transition'!C:C,'Step 2'!B453,'Support - Transition'!D:D,'Step 2'!C453,'Support - Transition'!E:E,"FIRE")</f>
        <v>9.4700000000000003E-4</v>
      </c>
      <c r="I453" s="126">
        <f>IF(B453="0",SUMIFS('Support - Transition'!F:F,'Support - Transition'!J:J,'Step 2'!D453,'Support - Transition'!E:E,"STATE UNIT"),SUMIFS('Support - Transition'!F:F,'Support - Transition'!J:J,'Step 2'!D453))</f>
        <v>2.1550000000000002E-3</v>
      </c>
      <c r="J453" s="126">
        <f>SUMIFS('Support - Unit Adjustments'!E:E,'Support - Unit Adjustments'!F:F,'Step 2'!D453)</f>
        <v>0</v>
      </c>
      <c r="K453" s="126">
        <f t="shared" si="137"/>
        <v>2.1550000000000002E-3</v>
      </c>
      <c r="L453" s="174">
        <f>VLOOKUP(A453,'Step 1'!$A:$E,4,FALSE)</f>
        <v>289644</v>
      </c>
      <c r="M453" s="47">
        <f t="shared" si="138"/>
        <v>624</v>
      </c>
      <c r="N453" s="177">
        <f>SUMIFS('Support - Transition'!G:G,'Support - Transition'!J:J,'Step 2'!D453,'Support - Transition'!E:E,"2009 WELFARE ALLOCATION FACTOR")</f>
        <v>0</v>
      </c>
      <c r="O453" s="152">
        <f t="shared" si="143"/>
        <v>0</v>
      </c>
      <c r="P453" s="126">
        <f>IF(E453="Y",0,SUMIFS('Support - Transition'!G:G,'Support - Transition'!J:J,'Step 2'!D453,'Support - Transition'!E:E,"2009 SCHOOL ALLOCATION FACTOR"))</f>
        <v>0</v>
      </c>
      <c r="Q453" s="126">
        <f>IF(E453="Y",VLOOKUP(D453,'Support - Unit Adjustments'!F:G,2,FALSE),0)</f>
        <v>0</v>
      </c>
      <c r="R453" s="155">
        <f t="shared" si="136"/>
        <v>0</v>
      </c>
      <c r="S453" s="47">
        <f t="shared" si="135"/>
        <v>0</v>
      </c>
      <c r="T453" s="151">
        <f t="shared" si="139"/>
        <v>624</v>
      </c>
      <c r="U453" s="151">
        <f t="shared" si="140"/>
        <v>0</v>
      </c>
      <c r="V453" s="139">
        <f t="shared" si="141"/>
        <v>0</v>
      </c>
      <c r="W453" s="152">
        <f t="shared" si="144"/>
        <v>624</v>
      </c>
      <c r="X453" s="127" t="str">
        <f t="shared" si="142"/>
        <v/>
      </c>
      <c r="Y453" s="207">
        <f t="shared" si="145"/>
        <v>624</v>
      </c>
      <c r="Z453" s="139">
        <f t="shared" si="146"/>
        <v>350</v>
      </c>
      <c r="AA453" s="139">
        <f t="shared" si="147"/>
        <v>274</v>
      </c>
      <c r="AC453" s="47">
        <f t="shared" si="148"/>
        <v>312</v>
      </c>
      <c r="AD453" s="47">
        <f t="shared" si="149"/>
        <v>175</v>
      </c>
      <c r="AE453" s="47">
        <f t="shared" si="150"/>
        <v>137</v>
      </c>
      <c r="AG453" s="47">
        <f t="shared" si="151"/>
        <v>312</v>
      </c>
      <c r="AH453" s="47">
        <f t="shared" si="152"/>
        <v>175</v>
      </c>
      <c r="AI453" s="208">
        <f t="shared" si="153"/>
        <v>137</v>
      </c>
    </row>
    <row r="454" spans="1:35">
      <c r="A454" t="s">
        <v>2104</v>
      </c>
      <c r="B454" t="s">
        <v>3142</v>
      </c>
      <c r="C454" t="s">
        <v>2199</v>
      </c>
      <c r="D454" t="s">
        <v>3682</v>
      </c>
      <c r="F454" t="s">
        <v>377</v>
      </c>
      <c r="G454" s="126">
        <f>SUMIFS('Support - Transition'!F:F,'Support - Transition'!B:B,'Step 2'!A454,'Support - Transition'!C:C,'Step 2'!B454,'Support - Transition'!D:D,'Step 2'!C454,'Support - Transition'!E:E,"CIVIL")</f>
        <v>1.067E-3</v>
      </c>
      <c r="H454" s="126">
        <f>SUMIFS('Support - Transition'!F:F,'Support - Transition'!B:B,'Step 2'!A454,'Support - Transition'!C:C,'Step 2'!B454,'Support - Transition'!D:D,'Step 2'!C454,'Support - Transition'!E:E,"FIRE")</f>
        <v>4.3399999999999998E-4</v>
      </c>
      <c r="I454" s="126">
        <f>IF(B454="0",SUMIFS('Support - Transition'!F:F,'Support - Transition'!J:J,'Step 2'!D454,'Support - Transition'!E:E,"STATE UNIT"),SUMIFS('Support - Transition'!F:F,'Support - Transition'!J:J,'Step 2'!D454))</f>
        <v>1.5009999999999999E-3</v>
      </c>
      <c r="J454" s="126">
        <f>SUMIFS('Support - Unit Adjustments'!E:E,'Support - Unit Adjustments'!F:F,'Step 2'!D454)</f>
        <v>0</v>
      </c>
      <c r="K454" s="126">
        <f t="shared" si="137"/>
        <v>1.5009999999999999E-3</v>
      </c>
      <c r="L454" s="174">
        <f>VLOOKUP(A454,'Step 1'!$A:$E,4,FALSE)</f>
        <v>289644</v>
      </c>
      <c r="M454" s="47">
        <f t="shared" si="138"/>
        <v>435</v>
      </c>
      <c r="N454" s="177">
        <f>SUMIFS('Support - Transition'!G:G,'Support - Transition'!J:J,'Step 2'!D454,'Support - Transition'!E:E,"2009 WELFARE ALLOCATION FACTOR")</f>
        <v>0</v>
      </c>
      <c r="O454" s="152">
        <f t="shared" si="143"/>
        <v>0</v>
      </c>
      <c r="P454" s="126">
        <f>IF(E454="Y",0,SUMIFS('Support - Transition'!G:G,'Support - Transition'!J:J,'Step 2'!D454,'Support - Transition'!E:E,"2009 SCHOOL ALLOCATION FACTOR"))</f>
        <v>0</v>
      </c>
      <c r="Q454" s="126">
        <f>IF(E454="Y",VLOOKUP(D454,'Support - Unit Adjustments'!F:G,2,FALSE),0)</f>
        <v>0</v>
      </c>
      <c r="R454" s="155">
        <f t="shared" si="136"/>
        <v>0</v>
      </c>
      <c r="S454" s="47">
        <f t="shared" si="135"/>
        <v>0</v>
      </c>
      <c r="T454" s="151">
        <f t="shared" si="139"/>
        <v>435</v>
      </c>
      <c r="U454" s="151">
        <f t="shared" si="140"/>
        <v>0</v>
      </c>
      <c r="V454" s="139">
        <f t="shared" si="141"/>
        <v>0</v>
      </c>
      <c r="W454" s="152">
        <f t="shared" si="144"/>
        <v>435</v>
      </c>
      <c r="X454" s="127" t="str">
        <f t="shared" si="142"/>
        <v/>
      </c>
      <c r="Y454" s="207">
        <f t="shared" si="145"/>
        <v>435</v>
      </c>
      <c r="Z454" s="139">
        <f t="shared" si="146"/>
        <v>309</v>
      </c>
      <c r="AA454" s="139">
        <f t="shared" si="147"/>
        <v>126</v>
      </c>
      <c r="AC454" s="47">
        <f t="shared" si="148"/>
        <v>218</v>
      </c>
      <c r="AD454" s="47">
        <f t="shared" si="149"/>
        <v>155</v>
      </c>
      <c r="AE454" s="47">
        <f t="shared" si="150"/>
        <v>63</v>
      </c>
      <c r="AG454" s="47">
        <f t="shared" si="151"/>
        <v>217</v>
      </c>
      <c r="AH454" s="47">
        <f t="shared" si="152"/>
        <v>154</v>
      </c>
      <c r="AI454" s="208">
        <f t="shared" si="153"/>
        <v>63</v>
      </c>
    </row>
    <row r="455" spans="1:35">
      <c r="A455" t="s">
        <v>2104</v>
      </c>
      <c r="B455" t="s">
        <v>3142</v>
      </c>
      <c r="C455" t="s">
        <v>2208</v>
      </c>
      <c r="D455" t="s">
        <v>3683</v>
      </c>
      <c r="F455" t="s">
        <v>378</v>
      </c>
      <c r="G455" s="126">
        <f>SUMIFS('Support - Transition'!F:F,'Support - Transition'!B:B,'Step 2'!A455,'Support - Transition'!C:C,'Step 2'!B455,'Support - Transition'!D:D,'Step 2'!C455,'Support - Transition'!E:E,"CIVIL")</f>
        <v>3.9300000000000001E-4</v>
      </c>
      <c r="H455" s="126">
        <f>SUMIFS('Support - Transition'!F:F,'Support - Transition'!B:B,'Step 2'!A455,'Support - Transition'!C:C,'Step 2'!B455,'Support - Transition'!D:D,'Step 2'!C455,'Support - Transition'!E:E,"FIRE")</f>
        <v>1.54E-4</v>
      </c>
      <c r="I455" s="126">
        <f>IF(B455="0",SUMIFS('Support - Transition'!F:F,'Support - Transition'!J:J,'Step 2'!D455,'Support - Transition'!E:E,"STATE UNIT"),SUMIFS('Support - Transition'!F:F,'Support - Transition'!J:J,'Step 2'!D455))</f>
        <v>5.4699999999999996E-4</v>
      </c>
      <c r="J455" s="126">
        <f>SUMIFS('Support - Unit Adjustments'!E:E,'Support - Unit Adjustments'!F:F,'Step 2'!D455)</f>
        <v>0</v>
      </c>
      <c r="K455" s="126">
        <f t="shared" si="137"/>
        <v>5.4699999999999996E-4</v>
      </c>
      <c r="L455" s="174">
        <f>VLOOKUP(A455,'Step 1'!$A:$E,4,FALSE)</f>
        <v>289644</v>
      </c>
      <c r="M455" s="47">
        <f t="shared" si="138"/>
        <v>158</v>
      </c>
      <c r="N455" s="177">
        <f>SUMIFS('Support - Transition'!G:G,'Support - Transition'!J:J,'Step 2'!D455,'Support - Transition'!E:E,"2009 WELFARE ALLOCATION FACTOR")</f>
        <v>0</v>
      </c>
      <c r="O455" s="152">
        <f t="shared" si="143"/>
        <v>0</v>
      </c>
      <c r="P455" s="126">
        <f>IF(E455="Y",0,SUMIFS('Support - Transition'!G:G,'Support - Transition'!J:J,'Step 2'!D455,'Support - Transition'!E:E,"2009 SCHOOL ALLOCATION FACTOR"))</f>
        <v>0</v>
      </c>
      <c r="Q455" s="126">
        <f>IF(E455="Y",VLOOKUP(D455,'Support - Unit Adjustments'!F:G,2,FALSE),0)</f>
        <v>0</v>
      </c>
      <c r="R455" s="155">
        <f t="shared" si="136"/>
        <v>0</v>
      </c>
      <c r="S455" s="47">
        <f t="shared" si="135"/>
        <v>0</v>
      </c>
      <c r="T455" s="151">
        <f t="shared" si="139"/>
        <v>158</v>
      </c>
      <c r="U455" s="151">
        <f t="shared" si="140"/>
        <v>0</v>
      </c>
      <c r="V455" s="139">
        <f t="shared" si="141"/>
        <v>0</v>
      </c>
      <c r="W455" s="152">
        <f t="shared" si="144"/>
        <v>158</v>
      </c>
      <c r="X455" s="127" t="str">
        <f t="shared" si="142"/>
        <v/>
      </c>
      <c r="Y455" s="207">
        <f t="shared" si="145"/>
        <v>158</v>
      </c>
      <c r="Z455" s="139">
        <f t="shared" si="146"/>
        <v>114</v>
      </c>
      <c r="AA455" s="139">
        <f t="shared" si="147"/>
        <v>44</v>
      </c>
      <c r="AC455" s="47">
        <f t="shared" si="148"/>
        <v>79</v>
      </c>
      <c r="AD455" s="47">
        <f t="shared" si="149"/>
        <v>57</v>
      </c>
      <c r="AE455" s="47">
        <f t="shared" si="150"/>
        <v>22</v>
      </c>
      <c r="AG455" s="47">
        <f t="shared" si="151"/>
        <v>79</v>
      </c>
      <c r="AH455" s="47">
        <f t="shared" si="152"/>
        <v>57</v>
      </c>
      <c r="AI455" s="208">
        <f t="shared" si="153"/>
        <v>22</v>
      </c>
    </row>
    <row r="456" spans="1:35">
      <c r="A456" t="s">
        <v>2104</v>
      </c>
      <c r="B456" t="s">
        <v>3142</v>
      </c>
      <c r="C456" t="s">
        <v>2209</v>
      </c>
      <c r="D456" t="s">
        <v>3684</v>
      </c>
      <c r="F456" t="s">
        <v>20</v>
      </c>
      <c r="G456" s="126">
        <f>SUMIFS('Support - Transition'!F:F,'Support - Transition'!B:B,'Step 2'!A456,'Support - Transition'!C:C,'Step 2'!B456,'Support - Transition'!D:D,'Step 2'!C456,'Support - Transition'!E:E,"CIVIL")</f>
        <v>7.0200000000000004E-4</v>
      </c>
      <c r="H456" s="126">
        <f>SUMIFS('Support - Transition'!F:F,'Support - Transition'!B:B,'Step 2'!A456,'Support - Transition'!C:C,'Step 2'!B456,'Support - Transition'!D:D,'Step 2'!C456,'Support - Transition'!E:E,"FIRE")</f>
        <v>9.0000000000000002E-6</v>
      </c>
      <c r="I456" s="126">
        <f>IF(B456="0",SUMIFS('Support - Transition'!F:F,'Support - Transition'!J:J,'Step 2'!D456,'Support - Transition'!E:E,"STATE UNIT"),SUMIFS('Support - Transition'!F:F,'Support - Transition'!J:J,'Step 2'!D456))</f>
        <v>7.1100000000000004E-4</v>
      </c>
      <c r="J456" s="126">
        <f>SUMIFS('Support - Unit Adjustments'!E:E,'Support - Unit Adjustments'!F:F,'Step 2'!D456)</f>
        <v>0</v>
      </c>
      <c r="K456" s="126">
        <f t="shared" si="137"/>
        <v>7.1100000000000004E-4</v>
      </c>
      <c r="L456" s="174">
        <f>VLOOKUP(A456,'Step 1'!$A:$E,4,FALSE)</f>
        <v>289644</v>
      </c>
      <c r="M456" s="47">
        <f t="shared" si="138"/>
        <v>206</v>
      </c>
      <c r="N456" s="177">
        <f>SUMIFS('Support - Transition'!G:G,'Support - Transition'!J:J,'Step 2'!D456,'Support - Transition'!E:E,"2009 WELFARE ALLOCATION FACTOR")</f>
        <v>0</v>
      </c>
      <c r="O456" s="152">
        <f t="shared" si="143"/>
        <v>0</v>
      </c>
      <c r="P456" s="126">
        <f>IF(E456="Y",0,SUMIFS('Support - Transition'!G:G,'Support - Transition'!J:J,'Step 2'!D456,'Support - Transition'!E:E,"2009 SCHOOL ALLOCATION FACTOR"))</f>
        <v>0</v>
      </c>
      <c r="Q456" s="126">
        <f>IF(E456="Y",VLOOKUP(D456,'Support - Unit Adjustments'!F:G,2,FALSE),0)</f>
        <v>0</v>
      </c>
      <c r="R456" s="155">
        <f t="shared" si="136"/>
        <v>0</v>
      </c>
      <c r="S456" s="47">
        <f t="shared" ref="S456:S519" si="154">ROUND(+R456*M456,0)</f>
        <v>0</v>
      </c>
      <c r="T456" s="151">
        <f t="shared" si="139"/>
        <v>206</v>
      </c>
      <c r="U456" s="151">
        <f t="shared" si="140"/>
        <v>0</v>
      </c>
      <c r="V456" s="139">
        <f t="shared" si="141"/>
        <v>0</v>
      </c>
      <c r="W456" s="152">
        <f t="shared" si="144"/>
        <v>206</v>
      </c>
      <c r="X456" s="127" t="str">
        <f t="shared" si="142"/>
        <v/>
      </c>
      <c r="Y456" s="207">
        <f t="shared" si="145"/>
        <v>206</v>
      </c>
      <c r="Z456" s="139">
        <f t="shared" si="146"/>
        <v>203</v>
      </c>
      <c r="AA456" s="139">
        <f t="shared" si="147"/>
        <v>3</v>
      </c>
      <c r="AC456" s="47">
        <f t="shared" si="148"/>
        <v>103</v>
      </c>
      <c r="AD456" s="47">
        <f t="shared" si="149"/>
        <v>102</v>
      </c>
      <c r="AE456" s="47">
        <f t="shared" si="150"/>
        <v>2</v>
      </c>
      <c r="AG456" s="47">
        <f t="shared" si="151"/>
        <v>103</v>
      </c>
      <c r="AH456" s="47">
        <f t="shared" si="152"/>
        <v>101</v>
      </c>
      <c r="AI456" s="208">
        <f t="shared" si="153"/>
        <v>1</v>
      </c>
    </row>
    <row r="457" spans="1:35">
      <c r="A457" t="s">
        <v>2104</v>
      </c>
      <c r="B457" t="s">
        <v>3142</v>
      </c>
      <c r="C457" t="s">
        <v>2204</v>
      </c>
      <c r="D457" t="s">
        <v>3685</v>
      </c>
      <c r="F457" t="s">
        <v>379</v>
      </c>
      <c r="G457" s="126">
        <f>SUMIFS('Support - Transition'!F:F,'Support - Transition'!B:B,'Step 2'!A457,'Support - Transition'!C:C,'Step 2'!B457,'Support - Transition'!D:D,'Step 2'!C457,'Support - Transition'!E:E,"CIVIL")</f>
        <v>2.0579999999999999E-3</v>
      </c>
      <c r="H457" s="126">
        <f>SUMIFS('Support - Transition'!F:F,'Support - Transition'!B:B,'Step 2'!A457,'Support - Transition'!C:C,'Step 2'!B457,'Support - Transition'!D:D,'Step 2'!C457,'Support - Transition'!E:E,"FIRE")</f>
        <v>2.7700000000000001E-4</v>
      </c>
      <c r="I457" s="126">
        <f>IF(B457="0",SUMIFS('Support - Transition'!F:F,'Support - Transition'!J:J,'Step 2'!D457,'Support - Transition'!E:E,"STATE UNIT"),SUMIFS('Support - Transition'!F:F,'Support - Transition'!J:J,'Step 2'!D457))</f>
        <v>2.3349999999999998E-3</v>
      </c>
      <c r="J457" s="126">
        <f>SUMIFS('Support - Unit Adjustments'!E:E,'Support - Unit Adjustments'!F:F,'Step 2'!D457)</f>
        <v>0</v>
      </c>
      <c r="K457" s="126">
        <f t="shared" si="137"/>
        <v>2.3349999999999998E-3</v>
      </c>
      <c r="L457" s="174">
        <f>VLOOKUP(A457,'Step 1'!$A:$E,4,FALSE)</f>
        <v>289644</v>
      </c>
      <c r="M457" s="47">
        <f t="shared" si="138"/>
        <v>676</v>
      </c>
      <c r="N457" s="177">
        <f>SUMIFS('Support - Transition'!G:G,'Support - Transition'!J:J,'Step 2'!D457,'Support - Transition'!E:E,"2009 WELFARE ALLOCATION FACTOR")</f>
        <v>0</v>
      </c>
      <c r="O457" s="152">
        <f t="shared" si="143"/>
        <v>0</v>
      </c>
      <c r="P457" s="126">
        <f>IF(E457="Y",0,SUMIFS('Support - Transition'!G:G,'Support - Transition'!J:J,'Step 2'!D457,'Support - Transition'!E:E,"2009 SCHOOL ALLOCATION FACTOR"))</f>
        <v>0</v>
      </c>
      <c r="Q457" s="126">
        <f>IF(E457="Y",VLOOKUP(D457,'Support - Unit Adjustments'!F:G,2,FALSE),0)</f>
        <v>0</v>
      </c>
      <c r="R457" s="155">
        <f t="shared" ref="R457:R520" si="155">+P457+Q457</f>
        <v>0</v>
      </c>
      <c r="S457" s="47">
        <f t="shared" si="154"/>
        <v>0</v>
      </c>
      <c r="T457" s="151">
        <f t="shared" si="139"/>
        <v>676</v>
      </c>
      <c r="U457" s="151">
        <f t="shared" si="140"/>
        <v>0</v>
      </c>
      <c r="V457" s="139">
        <f t="shared" si="141"/>
        <v>0</v>
      </c>
      <c r="W457" s="152">
        <f t="shared" si="144"/>
        <v>676</v>
      </c>
      <c r="X457" s="127" t="str">
        <f t="shared" si="142"/>
        <v/>
      </c>
      <c r="Y457" s="207">
        <f t="shared" si="145"/>
        <v>676</v>
      </c>
      <c r="Z457" s="139">
        <f t="shared" si="146"/>
        <v>596</v>
      </c>
      <c r="AA457" s="139">
        <f t="shared" si="147"/>
        <v>80</v>
      </c>
      <c r="AC457" s="47">
        <f t="shared" si="148"/>
        <v>338</v>
      </c>
      <c r="AD457" s="47">
        <f t="shared" si="149"/>
        <v>298</v>
      </c>
      <c r="AE457" s="47">
        <f t="shared" si="150"/>
        <v>40</v>
      </c>
      <c r="AG457" s="47">
        <f t="shared" si="151"/>
        <v>338</v>
      </c>
      <c r="AH457" s="47">
        <f t="shared" si="152"/>
        <v>298</v>
      </c>
      <c r="AI457" s="208">
        <f t="shared" si="153"/>
        <v>40</v>
      </c>
    </row>
    <row r="458" spans="1:35">
      <c r="A458" t="s">
        <v>2104</v>
      </c>
      <c r="B458" t="s">
        <v>3155</v>
      </c>
      <c r="C458" t="s">
        <v>2361</v>
      </c>
      <c r="D458" t="s">
        <v>3686</v>
      </c>
      <c r="F458" t="s">
        <v>382</v>
      </c>
      <c r="G458" s="126">
        <f>SUMIFS('Support - Transition'!F:F,'Support - Transition'!B:B,'Step 2'!A458,'Support - Transition'!C:C,'Step 2'!B458,'Support - Transition'!D:D,'Step 2'!C458,'Support - Transition'!E:E,"CIVIL")</f>
        <v>0</v>
      </c>
      <c r="H458" s="126">
        <f>SUMIFS('Support - Transition'!F:F,'Support - Transition'!B:B,'Step 2'!A458,'Support - Transition'!C:C,'Step 2'!B458,'Support - Transition'!D:D,'Step 2'!C458,'Support - Transition'!E:E,"FIRE")</f>
        <v>0</v>
      </c>
      <c r="I458" s="126">
        <f>IF(B458="0",SUMIFS('Support - Transition'!F:F,'Support - Transition'!J:J,'Step 2'!D458,'Support - Transition'!E:E,"STATE UNIT"),SUMIFS('Support - Transition'!F:F,'Support - Transition'!J:J,'Step 2'!D458))</f>
        <v>2.0254000000000001E-2</v>
      </c>
      <c r="J458" s="126">
        <f>SUMIFS('Support - Unit Adjustments'!E:E,'Support - Unit Adjustments'!F:F,'Step 2'!D458)</f>
        <v>0</v>
      </c>
      <c r="K458" s="126">
        <f t="shared" si="137"/>
        <v>2.0254000000000001E-2</v>
      </c>
      <c r="L458" s="174">
        <f>VLOOKUP(A458,'Step 1'!$A:$E,4,FALSE)</f>
        <v>289644</v>
      </c>
      <c r="M458" s="47">
        <f t="shared" si="138"/>
        <v>5866</v>
      </c>
      <c r="N458" s="177">
        <f>SUMIFS('Support - Transition'!G:G,'Support - Transition'!J:J,'Step 2'!D458,'Support - Transition'!E:E,"2009 WELFARE ALLOCATION FACTOR")</f>
        <v>0</v>
      </c>
      <c r="O458" s="152">
        <f t="shared" si="143"/>
        <v>0</v>
      </c>
      <c r="P458" s="126">
        <f>IF(E458="Y",0,SUMIFS('Support - Transition'!G:G,'Support - Transition'!J:J,'Step 2'!D458,'Support - Transition'!E:E,"2009 SCHOOL ALLOCATION FACTOR"))</f>
        <v>0</v>
      </c>
      <c r="Q458" s="126">
        <f>IF(E458="Y",VLOOKUP(D458,'Support - Unit Adjustments'!F:G,2,FALSE),0)</f>
        <v>0</v>
      </c>
      <c r="R458" s="155">
        <f t="shared" si="155"/>
        <v>0</v>
      </c>
      <c r="S458" s="47">
        <f t="shared" si="154"/>
        <v>0</v>
      </c>
      <c r="T458" s="151">
        <f t="shared" si="139"/>
        <v>5866</v>
      </c>
      <c r="U458" s="151">
        <f t="shared" si="140"/>
        <v>0</v>
      </c>
      <c r="V458" s="139">
        <f t="shared" si="141"/>
        <v>0</v>
      </c>
      <c r="W458" s="152">
        <f t="shared" si="144"/>
        <v>5866</v>
      </c>
      <c r="X458" s="127" t="str">
        <f t="shared" si="142"/>
        <v/>
      </c>
      <c r="Y458" s="207">
        <f t="shared" si="145"/>
        <v>5866</v>
      </c>
      <c r="Z458" s="139">
        <f t="shared" si="146"/>
        <v>5866</v>
      </c>
      <c r="AA458" s="139">
        <f t="shared" si="147"/>
        <v>0</v>
      </c>
      <c r="AC458" s="47">
        <f t="shared" si="148"/>
        <v>2933</v>
      </c>
      <c r="AD458" s="47">
        <f t="shared" si="149"/>
        <v>2933</v>
      </c>
      <c r="AE458" s="47">
        <f t="shared" si="150"/>
        <v>0</v>
      </c>
      <c r="AG458" s="47">
        <f t="shared" si="151"/>
        <v>2933</v>
      </c>
      <c r="AH458" s="47">
        <f t="shared" si="152"/>
        <v>2933</v>
      </c>
      <c r="AI458" s="208">
        <f t="shared" si="153"/>
        <v>0</v>
      </c>
    </row>
    <row r="459" spans="1:35">
      <c r="A459" t="s">
        <v>2104</v>
      </c>
      <c r="B459" t="s">
        <v>3155</v>
      </c>
      <c r="C459" t="s">
        <v>2362</v>
      </c>
      <c r="D459" t="s">
        <v>3687</v>
      </c>
      <c r="F459" t="s">
        <v>385</v>
      </c>
      <c r="G459" s="126">
        <f>SUMIFS('Support - Transition'!F:F,'Support - Transition'!B:B,'Step 2'!A459,'Support - Transition'!C:C,'Step 2'!B459,'Support - Transition'!D:D,'Step 2'!C459,'Support - Transition'!E:E,"CIVIL")</f>
        <v>0</v>
      </c>
      <c r="H459" s="126">
        <f>SUMIFS('Support - Transition'!F:F,'Support - Transition'!B:B,'Step 2'!A459,'Support - Transition'!C:C,'Step 2'!B459,'Support - Transition'!D:D,'Step 2'!C459,'Support - Transition'!E:E,"FIRE")</f>
        <v>0</v>
      </c>
      <c r="I459" s="126">
        <f>IF(B459="0",SUMIFS('Support - Transition'!F:F,'Support - Transition'!J:J,'Step 2'!D459,'Support - Transition'!E:E,"STATE UNIT"),SUMIFS('Support - Transition'!F:F,'Support - Transition'!J:J,'Step 2'!D459))</f>
        <v>6.4147999999999997E-2</v>
      </c>
      <c r="J459" s="126">
        <f>SUMIFS('Support - Unit Adjustments'!E:E,'Support - Unit Adjustments'!F:F,'Step 2'!D459)</f>
        <v>0</v>
      </c>
      <c r="K459" s="126">
        <f t="shared" si="137"/>
        <v>6.4147999999999997E-2</v>
      </c>
      <c r="L459" s="174">
        <f>VLOOKUP(A459,'Step 1'!$A:$E,4,FALSE)</f>
        <v>289644</v>
      </c>
      <c r="M459" s="47">
        <f t="shared" si="138"/>
        <v>18580</v>
      </c>
      <c r="N459" s="177">
        <f>SUMIFS('Support - Transition'!G:G,'Support - Transition'!J:J,'Step 2'!D459,'Support - Transition'!E:E,"2009 WELFARE ALLOCATION FACTOR")</f>
        <v>0</v>
      </c>
      <c r="O459" s="152">
        <f t="shared" si="143"/>
        <v>0</v>
      </c>
      <c r="P459" s="126">
        <f>IF(E459="Y",0,SUMIFS('Support - Transition'!G:G,'Support - Transition'!J:J,'Step 2'!D459,'Support - Transition'!E:E,"2009 SCHOOL ALLOCATION FACTOR"))</f>
        <v>0</v>
      </c>
      <c r="Q459" s="126">
        <f>IF(E459="Y",VLOOKUP(D459,'Support - Unit Adjustments'!F:G,2,FALSE),0)</f>
        <v>0</v>
      </c>
      <c r="R459" s="155">
        <f t="shared" si="155"/>
        <v>0</v>
      </c>
      <c r="S459" s="47">
        <f t="shared" si="154"/>
        <v>0</v>
      </c>
      <c r="T459" s="151">
        <f t="shared" si="139"/>
        <v>18580</v>
      </c>
      <c r="U459" s="151">
        <f t="shared" si="140"/>
        <v>0</v>
      </c>
      <c r="V459" s="139">
        <f t="shared" si="141"/>
        <v>0</v>
      </c>
      <c r="W459" s="152">
        <f t="shared" si="144"/>
        <v>18580</v>
      </c>
      <c r="X459" s="127" t="str">
        <f t="shared" si="142"/>
        <v/>
      </c>
      <c r="Y459" s="207">
        <f t="shared" si="145"/>
        <v>18580</v>
      </c>
      <c r="Z459" s="139">
        <f t="shared" si="146"/>
        <v>18580</v>
      </c>
      <c r="AA459" s="139">
        <f t="shared" si="147"/>
        <v>0</v>
      </c>
      <c r="AC459" s="47">
        <f t="shared" si="148"/>
        <v>9290</v>
      </c>
      <c r="AD459" s="47">
        <f t="shared" si="149"/>
        <v>9290</v>
      </c>
      <c r="AE459" s="47">
        <f t="shared" si="150"/>
        <v>0</v>
      </c>
      <c r="AG459" s="47">
        <f t="shared" si="151"/>
        <v>9290</v>
      </c>
      <c r="AH459" s="47">
        <f t="shared" si="152"/>
        <v>9290</v>
      </c>
      <c r="AI459" s="208">
        <f t="shared" si="153"/>
        <v>0</v>
      </c>
    </row>
    <row r="460" spans="1:35">
      <c r="A460" t="s">
        <v>2104</v>
      </c>
      <c r="B460" t="s">
        <v>3155</v>
      </c>
      <c r="C460" t="s">
        <v>2363</v>
      </c>
      <c r="D460" t="s">
        <v>3688</v>
      </c>
      <c r="F460" t="s">
        <v>383</v>
      </c>
      <c r="G460" s="126">
        <f>SUMIFS('Support - Transition'!F:F,'Support - Transition'!B:B,'Step 2'!A460,'Support - Transition'!C:C,'Step 2'!B460,'Support - Transition'!D:D,'Step 2'!C460,'Support - Transition'!E:E,"CIVIL")</f>
        <v>0</v>
      </c>
      <c r="H460" s="126">
        <f>SUMIFS('Support - Transition'!F:F,'Support - Transition'!B:B,'Step 2'!A460,'Support - Transition'!C:C,'Step 2'!B460,'Support - Transition'!D:D,'Step 2'!C460,'Support - Transition'!E:E,"FIRE")</f>
        <v>0</v>
      </c>
      <c r="I460" s="126">
        <f>IF(B460="0",SUMIFS('Support - Transition'!F:F,'Support - Transition'!J:J,'Step 2'!D460,'Support - Transition'!E:E,"STATE UNIT"),SUMIFS('Support - Transition'!F:F,'Support - Transition'!J:J,'Step 2'!D460))</f>
        <v>1.8127000000000001E-2</v>
      </c>
      <c r="J460" s="126">
        <f>SUMIFS('Support - Unit Adjustments'!E:E,'Support - Unit Adjustments'!F:F,'Step 2'!D460)</f>
        <v>0</v>
      </c>
      <c r="K460" s="126">
        <f t="shared" si="137"/>
        <v>1.8127000000000001E-2</v>
      </c>
      <c r="L460" s="174">
        <f>VLOOKUP(A460,'Step 1'!$A:$E,4,FALSE)</f>
        <v>289644</v>
      </c>
      <c r="M460" s="47">
        <f t="shared" si="138"/>
        <v>5250</v>
      </c>
      <c r="N460" s="177">
        <f>SUMIFS('Support - Transition'!G:G,'Support - Transition'!J:J,'Step 2'!D460,'Support - Transition'!E:E,"2009 WELFARE ALLOCATION FACTOR")</f>
        <v>0</v>
      </c>
      <c r="O460" s="152">
        <f t="shared" si="143"/>
        <v>0</v>
      </c>
      <c r="P460" s="126">
        <f>IF(E460="Y",0,SUMIFS('Support - Transition'!G:G,'Support - Transition'!J:J,'Step 2'!D460,'Support - Transition'!E:E,"2009 SCHOOL ALLOCATION FACTOR"))</f>
        <v>0</v>
      </c>
      <c r="Q460" s="126">
        <f>IF(E460="Y",VLOOKUP(D460,'Support - Unit Adjustments'!F:G,2,FALSE),0)</f>
        <v>0</v>
      </c>
      <c r="R460" s="155">
        <f t="shared" si="155"/>
        <v>0</v>
      </c>
      <c r="S460" s="47">
        <f t="shared" si="154"/>
        <v>0</v>
      </c>
      <c r="T460" s="151">
        <f t="shared" si="139"/>
        <v>5250</v>
      </c>
      <c r="U460" s="151">
        <f t="shared" si="140"/>
        <v>0</v>
      </c>
      <c r="V460" s="139">
        <f t="shared" si="141"/>
        <v>0</v>
      </c>
      <c r="W460" s="152">
        <f t="shared" si="144"/>
        <v>5250</v>
      </c>
      <c r="X460" s="127" t="str">
        <f t="shared" si="142"/>
        <v/>
      </c>
      <c r="Y460" s="207">
        <f t="shared" si="145"/>
        <v>5250</v>
      </c>
      <c r="Z460" s="139">
        <f t="shared" si="146"/>
        <v>5250</v>
      </c>
      <c r="AA460" s="139">
        <f t="shared" si="147"/>
        <v>0</v>
      </c>
      <c r="AC460" s="47">
        <f t="shared" si="148"/>
        <v>2625</v>
      </c>
      <c r="AD460" s="47">
        <f t="shared" si="149"/>
        <v>2625</v>
      </c>
      <c r="AE460" s="47">
        <f t="shared" si="150"/>
        <v>0</v>
      </c>
      <c r="AG460" s="47">
        <f t="shared" si="151"/>
        <v>2625</v>
      </c>
      <c r="AH460" s="47">
        <f t="shared" si="152"/>
        <v>2625</v>
      </c>
      <c r="AI460" s="208">
        <f t="shared" si="153"/>
        <v>0</v>
      </c>
    </row>
    <row r="461" spans="1:35">
      <c r="A461" t="s">
        <v>2104</v>
      </c>
      <c r="B461" t="s">
        <v>3155</v>
      </c>
      <c r="C461" t="s">
        <v>2364</v>
      </c>
      <c r="D461" t="s">
        <v>3689</v>
      </c>
      <c r="F461" t="s">
        <v>380</v>
      </c>
      <c r="G461" s="126">
        <f>SUMIFS('Support - Transition'!F:F,'Support - Transition'!B:B,'Step 2'!A461,'Support - Transition'!C:C,'Step 2'!B461,'Support - Transition'!D:D,'Step 2'!C461,'Support - Transition'!E:E,"CIVIL")</f>
        <v>0</v>
      </c>
      <c r="H461" s="126">
        <f>SUMIFS('Support - Transition'!F:F,'Support - Transition'!B:B,'Step 2'!A461,'Support - Transition'!C:C,'Step 2'!B461,'Support - Transition'!D:D,'Step 2'!C461,'Support - Transition'!E:E,"FIRE")</f>
        <v>0</v>
      </c>
      <c r="I461" s="126">
        <f>IF(B461="0",SUMIFS('Support - Transition'!F:F,'Support - Transition'!J:J,'Step 2'!D461,'Support - Transition'!E:E,"STATE UNIT"),SUMIFS('Support - Transition'!F:F,'Support - Transition'!J:J,'Step 2'!D461))</f>
        <v>0</v>
      </c>
      <c r="J461" s="126">
        <f>SUMIFS('Support - Unit Adjustments'!E:E,'Support - Unit Adjustments'!F:F,'Step 2'!D461)</f>
        <v>0</v>
      </c>
      <c r="K461" s="126">
        <f t="shared" si="137"/>
        <v>0</v>
      </c>
      <c r="L461" s="174">
        <f>VLOOKUP(A461,'Step 1'!$A:$E,4,FALSE)</f>
        <v>289644</v>
      </c>
      <c r="M461" s="47">
        <f t="shared" si="138"/>
        <v>0</v>
      </c>
      <c r="N461" s="177">
        <f>SUMIFS('Support - Transition'!G:G,'Support - Transition'!J:J,'Step 2'!D461,'Support - Transition'!E:E,"2009 WELFARE ALLOCATION FACTOR")</f>
        <v>0</v>
      </c>
      <c r="O461" s="152">
        <f t="shared" si="143"/>
        <v>0</v>
      </c>
      <c r="P461" s="126">
        <f>IF(E461="Y",0,SUMIFS('Support - Transition'!G:G,'Support - Transition'!J:J,'Step 2'!D461,'Support - Transition'!E:E,"2009 SCHOOL ALLOCATION FACTOR"))</f>
        <v>0</v>
      </c>
      <c r="Q461" s="126">
        <f>IF(E461="Y",VLOOKUP(D461,'Support - Unit Adjustments'!F:G,2,FALSE),0)</f>
        <v>0</v>
      </c>
      <c r="R461" s="155">
        <f t="shared" si="155"/>
        <v>0</v>
      </c>
      <c r="S461" s="47">
        <f t="shared" si="154"/>
        <v>0</v>
      </c>
      <c r="T461" s="151">
        <f t="shared" si="139"/>
        <v>0</v>
      </c>
      <c r="U461" s="151">
        <f t="shared" si="140"/>
        <v>0</v>
      </c>
      <c r="V461" s="139">
        <f t="shared" si="141"/>
        <v>0</v>
      </c>
      <c r="W461" s="152">
        <f t="shared" si="144"/>
        <v>0</v>
      </c>
      <c r="X461" s="127" t="str">
        <f t="shared" si="142"/>
        <v/>
      </c>
      <c r="Y461" s="207">
        <f t="shared" si="145"/>
        <v>0</v>
      </c>
      <c r="Z461" s="139">
        <f t="shared" si="146"/>
        <v>0</v>
      </c>
      <c r="AA461" s="139">
        <f t="shared" si="147"/>
        <v>0</v>
      </c>
      <c r="AC461" s="47">
        <f t="shared" si="148"/>
        <v>0</v>
      </c>
      <c r="AD461" s="47">
        <f t="shared" si="149"/>
        <v>0</v>
      </c>
      <c r="AE461" s="47">
        <f t="shared" si="150"/>
        <v>0</v>
      </c>
      <c r="AG461" s="47">
        <f t="shared" si="151"/>
        <v>0</v>
      </c>
      <c r="AH461" s="47">
        <f t="shared" si="152"/>
        <v>0</v>
      </c>
      <c r="AI461" s="208">
        <f t="shared" si="153"/>
        <v>0</v>
      </c>
    </row>
    <row r="462" spans="1:35">
      <c r="A462" t="s">
        <v>2104</v>
      </c>
      <c r="B462" t="s">
        <v>3155</v>
      </c>
      <c r="C462" t="s">
        <v>2365</v>
      </c>
      <c r="D462" t="s">
        <v>3690</v>
      </c>
      <c r="F462" t="s">
        <v>381</v>
      </c>
      <c r="G462" s="126">
        <f>SUMIFS('Support - Transition'!F:F,'Support - Transition'!B:B,'Step 2'!A462,'Support - Transition'!C:C,'Step 2'!B462,'Support - Transition'!D:D,'Step 2'!C462,'Support - Transition'!E:E,"CIVIL")</f>
        <v>0</v>
      </c>
      <c r="H462" s="126">
        <f>SUMIFS('Support - Transition'!F:F,'Support - Transition'!B:B,'Step 2'!A462,'Support - Transition'!C:C,'Step 2'!B462,'Support - Transition'!D:D,'Step 2'!C462,'Support - Transition'!E:E,"FIRE")</f>
        <v>0</v>
      </c>
      <c r="I462" s="126">
        <f>IF(B462="0",SUMIFS('Support - Transition'!F:F,'Support - Transition'!J:J,'Step 2'!D462,'Support - Transition'!E:E,"STATE UNIT"),SUMIFS('Support - Transition'!F:F,'Support - Transition'!J:J,'Step 2'!D462))</f>
        <v>0</v>
      </c>
      <c r="J462" s="126">
        <f>SUMIFS('Support - Unit Adjustments'!E:E,'Support - Unit Adjustments'!F:F,'Step 2'!D462)</f>
        <v>0</v>
      </c>
      <c r="K462" s="126">
        <f t="shared" si="137"/>
        <v>0</v>
      </c>
      <c r="L462" s="174">
        <f>VLOOKUP(A462,'Step 1'!$A:$E,4,FALSE)</f>
        <v>289644</v>
      </c>
      <c r="M462" s="47">
        <f t="shared" si="138"/>
        <v>0</v>
      </c>
      <c r="N462" s="177">
        <f>SUMIFS('Support - Transition'!G:G,'Support - Transition'!J:J,'Step 2'!D462,'Support - Transition'!E:E,"2009 WELFARE ALLOCATION FACTOR")</f>
        <v>0</v>
      </c>
      <c r="O462" s="152">
        <f t="shared" si="143"/>
        <v>0</v>
      </c>
      <c r="P462" s="126">
        <f>IF(E462="Y",0,SUMIFS('Support - Transition'!G:G,'Support - Transition'!J:J,'Step 2'!D462,'Support - Transition'!E:E,"2009 SCHOOL ALLOCATION FACTOR"))</f>
        <v>0</v>
      </c>
      <c r="Q462" s="126">
        <f>IF(E462="Y",VLOOKUP(D462,'Support - Unit Adjustments'!F:G,2,FALSE),0)</f>
        <v>0</v>
      </c>
      <c r="R462" s="155">
        <f t="shared" si="155"/>
        <v>0</v>
      </c>
      <c r="S462" s="47">
        <f t="shared" si="154"/>
        <v>0</v>
      </c>
      <c r="T462" s="151">
        <f t="shared" si="139"/>
        <v>0</v>
      </c>
      <c r="U462" s="151">
        <f t="shared" si="140"/>
        <v>0</v>
      </c>
      <c r="V462" s="139">
        <f t="shared" si="141"/>
        <v>0</v>
      </c>
      <c r="W462" s="152">
        <f t="shared" si="144"/>
        <v>0</v>
      </c>
      <c r="X462" s="127" t="str">
        <f t="shared" si="142"/>
        <v/>
      </c>
      <c r="Y462" s="207">
        <f t="shared" si="145"/>
        <v>0</v>
      </c>
      <c r="Z462" s="139">
        <f t="shared" si="146"/>
        <v>0</v>
      </c>
      <c r="AA462" s="139">
        <f t="shared" si="147"/>
        <v>0</v>
      </c>
      <c r="AC462" s="47">
        <f t="shared" si="148"/>
        <v>0</v>
      </c>
      <c r="AD462" s="47">
        <f t="shared" si="149"/>
        <v>0</v>
      </c>
      <c r="AE462" s="47">
        <f t="shared" si="150"/>
        <v>0</v>
      </c>
      <c r="AG462" s="47">
        <f t="shared" si="151"/>
        <v>0</v>
      </c>
      <c r="AH462" s="47">
        <f t="shared" si="152"/>
        <v>0</v>
      </c>
      <c r="AI462" s="208">
        <f t="shared" si="153"/>
        <v>0</v>
      </c>
    </row>
    <row r="463" spans="1:35">
      <c r="A463" t="s">
        <v>2104</v>
      </c>
      <c r="B463" t="s">
        <v>3155</v>
      </c>
      <c r="C463" t="s">
        <v>2366</v>
      </c>
      <c r="D463" t="s">
        <v>3691</v>
      </c>
      <c r="F463" t="s">
        <v>384</v>
      </c>
      <c r="G463" s="126">
        <f>SUMIFS('Support - Transition'!F:F,'Support - Transition'!B:B,'Step 2'!A463,'Support - Transition'!C:C,'Step 2'!B463,'Support - Transition'!D:D,'Step 2'!C463,'Support - Transition'!E:E,"CIVIL")</f>
        <v>0</v>
      </c>
      <c r="H463" s="126">
        <f>SUMIFS('Support - Transition'!F:F,'Support - Transition'!B:B,'Step 2'!A463,'Support - Transition'!C:C,'Step 2'!B463,'Support - Transition'!D:D,'Step 2'!C463,'Support - Transition'!E:E,"FIRE")</f>
        <v>0</v>
      </c>
      <c r="I463" s="126">
        <f>IF(B463="0",SUMIFS('Support - Transition'!F:F,'Support - Transition'!J:J,'Step 2'!D463,'Support - Transition'!E:E,"STATE UNIT"),SUMIFS('Support - Transition'!F:F,'Support - Transition'!J:J,'Step 2'!D463))</f>
        <v>1.6800000000000001E-3</v>
      </c>
      <c r="J463" s="126">
        <f>SUMIFS('Support - Unit Adjustments'!E:E,'Support - Unit Adjustments'!F:F,'Step 2'!D463)</f>
        <v>0</v>
      </c>
      <c r="K463" s="126">
        <f t="shared" si="137"/>
        <v>1.6800000000000001E-3</v>
      </c>
      <c r="L463" s="174">
        <f>VLOOKUP(A463,'Step 1'!$A:$E,4,FALSE)</f>
        <v>289644</v>
      </c>
      <c r="M463" s="47">
        <f t="shared" si="138"/>
        <v>487</v>
      </c>
      <c r="N463" s="177">
        <f>SUMIFS('Support - Transition'!G:G,'Support - Transition'!J:J,'Step 2'!D463,'Support - Transition'!E:E,"2009 WELFARE ALLOCATION FACTOR")</f>
        <v>0</v>
      </c>
      <c r="O463" s="152">
        <f t="shared" si="143"/>
        <v>0</v>
      </c>
      <c r="P463" s="126">
        <f>IF(E463="Y",0,SUMIFS('Support - Transition'!G:G,'Support - Transition'!J:J,'Step 2'!D463,'Support - Transition'!E:E,"2009 SCHOOL ALLOCATION FACTOR"))</f>
        <v>0</v>
      </c>
      <c r="Q463" s="126">
        <f>IF(E463="Y",VLOOKUP(D463,'Support - Unit Adjustments'!F:G,2,FALSE),0)</f>
        <v>0</v>
      </c>
      <c r="R463" s="155">
        <f t="shared" si="155"/>
        <v>0</v>
      </c>
      <c r="S463" s="47">
        <f t="shared" si="154"/>
        <v>0</v>
      </c>
      <c r="T463" s="151">
        <f t="shared" si="139"/>
        <v>487</v>
      </c>
      <c r="U463" s="151">
        <f t="shared" si="140"/>
        <v>0</v>
      </c>
      <c r="V463" s="139">
        <f t="shared" si="141"/>
        <v>0</v>
      </c>
      <c r="W463" s="152">
        <f t="shared" si="144"/>
        <v>487</v>
      </c>
      <c r="X463" s="127" t="str">
        <f t="shared" si="142"/>
        <v/>
      </c>
      <c r="Y463" s="207">
        <f t="shared" si="145"/>
        <v>487</v>
      </c>
      <c r="Z463" s="139">
        <f t="shared" si="146"/>
        <v>487</v>
      </c>
      <c r="AA463" s="139">
        <f t="shared" si="147"/>
        <v>0</v>
      </c>
      <c r="AC463" s="47">
        <f t="shared" si="148"/>
        <v>244</v>
      </c>
      <c r="AD463" s="47">
        <f t="shared" si="149"/>
        <v>244</v>
      </c>
      <c r="AE463" s="47">
        <f t="shared" si="150"/>
        <v>0</v>
      </c>
      <c r="AG463" s="47">
        <f t="shared" si="151"/>
        <v>243</v>
      </c>
      <c r="AH463" s="47">
        <f t="shared" si="152"/>
        <v>243</v>
      </c>
      <c r="AI463" s="208">
        <f t="shared" si="153"/>
        <v>0</v>
      </c>
    </row>
    <row r="464" spans="1:35">
      <c r="A464" t="s">
        <v>2104</v>
      </c>
      <c r="B464" t="s">
        <v>3155</v>
      </c>
      <c r="C464" t="s">
        <v>2367</v>
      </c>
      <c r="D464" t="s">
        <v>3692</v>
      </c>
      <c r="F464" t="s">
        <v>387</v>
      </c>
      <c r="G464" s="126">
        <f>SUMIFS('Support - Transition'!F:F,'Support - Transition'!B:B,'Step 2'!A464,'Support - Transition'!C:C,'Step 2'!B464,'Support - Transition'!D:D,'Step 2'!C464,'Support - Transition'!E:E,"CIVIL")</f>
        <v>0</v>
      </c>
      <c r="H464" s="126">
        <f>SUMIFS('Support - Transition'!F:F,'Support - Transition'!B:B,'Step 2'!A464,'Support - Transition'!C:C,'Step 2'!B464,'Support - Transition'!D:D,'Step 2'!C464,'Support - Transition'!E:E,"FIRE")</f>
        <v>0</v>
      </c>
      <c r="I464" s="126">
        <f>IF(B464="0",SUMIFS('Support - Transition'!F:F,'Support - Transition'!J:J,'Step 2'!D464,'Support - Transition'!E:E,"STATE UNIT"),SUMIFS('Support - Transition'!F:F,'Support - Transition'!J:J,'Step 2'!D464))</f>
        <v>4.2499999999999998E-4</v>
      </c>
      <c r="J464" s="126">
        <f>SUMIFS('Support - Unit Adjustments'!E:E,'Support - Unit Adjustments'!F:F,'Step 2'!D464)</f>
        <v>0</v>
      </c>
      <c r="K464" s="126">
        <f t="shared" si="137"/>
        <v>4.2499999999999998E-4</v>
      </c>
      <c r="L464" s="174">
        <f>VLOOKUP(A464,'Step 1'!$A:$E,4,FALSE)</f>
        <v>289644</v>
      </c>
      <c r="M464" s="47">
        <f t="shared" si="138"/>
        <v>123</v>
      </c>
      <c r="N464" s="177">
        <f>SUMIFS('Support - Transition'!G:G,'Support - Transition'!J:J,'Step 2'!D464,'Support - Transition'!E:E,"2009 WELFARE ALLOCATION FACTOR")</f>
        <v>0</v>
      </c>
      <c r="O464" s="152">
        <f t="shared" si="143"/>
        <v>0</v>
      </c>
      <c r="P464" s="126">
        <f>IF(E464="Y",0,SUMIFS('Support - Transition'!G:G,'Support - Transition'!J:J,'Step 2'!D464,'Support - Transition'!E:E,"2009 SCHOOL ALLOCATION FACTOR"))</f>
        <v>0</v>
      </c>
      <c r="Q464" s="126">
        <f>IF(E464="Y",VLOOKUP(D464,'Support - Unit Adjustments'!F:G,2,FALSE),0)</f>
        <v>0</v>
      </c>
      <c r="R464" s="155">
        <f t="shared" si="155"/>
        <v>0</v>
      </c>
      <c r="S464" s="47">
        <f t="shared" si="154"/>
        <v>0</v>
      </c>
      <c r="T464" s="151">
        <f t="shared" si="139"/>
        <v>123</v>
      </c>
      <c r="U464" s="151">
        <f t="shared" si="140"/>
        <v>0</v>
      </c>
      <c r="V464" s="139">
        <f t="shared" si="141"/>
        <v>0</v>
      </c>
      <c r="W464" s="152">
        <f t="shared" si="144"/>
        <v>123</v>
      </c>
      <c r="X464" s="127" t="str">
        <f t="shared" si="142"/>
        <v/>
      </c>
      <c r="Y464" s="207">
        <f t="shared" si="145"/>
        <v>123</v>
      </c>
      <c r="Z464" s="139">
        <f t="shared" si="146"/>
        <v>123</v>
      </c>
      <c r="AA464" s="139">
        <f t="shared" si="147"/>
        <v>0</v>
      </c>
      <c r="AC464" s="47">
        <f t="shared" si="148"/>
        <v>62</v>
      </c>
      <c r="AD464" s="47">
        <f t="shared" si="149"/>
        <v>62</v>
      </c>
      <c r="AE464" s="47">
        <f t="shared" si="150"/>
        <v>0</v>
      </c>
      <c r="AG464" s="47">
        <f t="shared" si="151"/>
        <v>61</v>
      </c>
      <c r="AH464" s="47">
        <f t="shared" si="152"/>
        <v>61</v>
      </c>
      <c r="AI464" s="208">
        <f t="shared" si="153"/>
        <v>0</v>
      </c>
    </row>
    <row r="465" spans="1:35">
      <c r="A465" t="s">
        <v>2104</v>
      </c>
      <c r="B465" t="s">
        <v>3155</v>
      </c>
      <c r="C465" t="s">
        <v>2368</v>
      </c>
      <c r="D465" t="s">
        <v>3693</v>
      </c>
      <c r="F465" t="s">
        <v>388</v>
      </c>
      <c r="G465" s="126">
        <f>SUMIFS('Support - Transition'!F:F,'Support - Transition'!B:B,'Step 2'!A465,'Support - Transition'!C:C,'Step 2'!B465,'Support - Transition'!D:D,'Step 2'!C465,'Support - Transition'!E:E,"CIVIL")</f>
        <v>0</v>
      </c>
      <c r="H465" s="126">
        <f>SUMIFS('Support - Transition'!F:F,'Support - Transition'!B:B,'Step 2'!A465,'Support - Transition'!C:C,'Step 2'!B465,'Support - Transition'!D:D,'Step 2'!C465,'Support - Transition'!E:E,"FIRE")</f>
        <v>0</v>
      </c>
      <c r="I465" s="126">
        <f>IF(B465="0",SUMIFS('Support - Transition'!F:F,'Support - Transition'!J:J,'Step 2'!D465,'Support - Transition'!E:E,"STATE UNIT"),SUMIFS('Support - Transition'!F:F,'Support - Transition'!J:J,'Step 2'!D465))</f>
        <v>2.9919999999999999E-2</v>
      </c>
      <c r="J465" s="126">
        <f>SUMIFS('Support - Unit Adjustments'!E:E,'Support - Unit Adjustments'!F:F,'Step 2'!D465)</f>
        <v>0</v>
      </c>
      <c r="K465" s="126">
        <f t="shared" si="137"/>
        <v>2.9919999999999999E-2</v>
      </c>
      <c r="L465" s="174">
        <f>VLOOKUP(A465,'Step 1'!$A:$E,4,FALSE)</f>
        <v>289644</v>
      </c>
      <c r="M465" s="47">
        <f t="shared" si="138"/>
        <v>8666</v>
      </c>
      <c r="N465" s="177">
        <f>SUMIFS('Support - Transition'!G:G,'Support - Transition'!J:J,'Step 2'!D465,'Support - Transition'!E:E,"2009 WELFARE ALLOCATION FACTOR")</f>
        <v>0</v>
      </c>
      <c r="O465" s="152">
        <f t="shared" si="143"/>
        <v>0</v>
      </c>
      <c r="P465" s="126">
        <f>IF(E465="Y",0,SUMIFS('Support - Transition'!G:G,'Support - Transition'!J:J,'Step 2'!D465,'Support - Transition'!E:E,"2009 SCHOOL ALLOCATION FACTOR"))</f>
        <v>0</v>
      </c>
      <c r="Q465" s="126">
        <f>IF(E465="Y",VLOOKUP(D465,'Support - Unit Adjustments'!F:G,2,FALSE),0)</f>
        <v>0</v>
      </c>
      <c r="R465" s="155">
        <f t="shared" si="155"/>
        <v>0</v>
      </c>
      <c r="S465" s="47">
        <f t="shared" si="154"/>
        <v>0</v>
      </c>
      <c r="T465" s="151">
        <f t="shared" si="139"/>
        <v>8666</v>
      </c>
      <c r="U465" s="151">
        <f t="shared" si="140"/>
        <v>0</v>
      </c>
      <c r="V465" s="139">
        <f t="shared" si="141"/>
        <v>0</v>
      </c>
      <c r="W465" s="152">
        <f t="shared" si="144"/>
        <v>8666</v>
      </c>
      <c r="X465" s="127" t="str">
        <f t="shared" si="142"/>
        <v/>
      </c>
      <c r="Y465" s="207">
        <f t="shared" si="145"/>
        <v>8666</v>
      </c>
      <c r="Z465" s="139">
        <f t="shared" si="146"/>
        <v>8666</v>
      </c>
      <c r="AA465" s="139">
        <f t="shared" si="147"/>
        <v>0</v>
      </c>
      <c r="AC465" s="47">
        <f t="shared" si="148"/>
        <v>4333</v>
      </c>
      <c r="AD465" s="47">
        <f t="shared" si="149"/>
        <v>4333</v>
      </c>
      <c r="AE465" s="47">
        <f t="shared" si="150"/>
        <v>0</v>
      </c>
      <c r="AG465" s="47">
        <f t="shared" si="151"/>
        <v>4333</v>
      </c>
      <c r="AH465" s="47">
        <f t="shared" si="152"/>
        <v>4333</v>
      </c>
      <c r="AI465" s="208">
        <f t="shared" si="153"/>
        <v>0</v>
      </c>
    </row>
    <row r="466" spans="1:35">
      <c r="A466" t="s">
        <v>2104</v>
      </c>
      <c r="B466" t="s">
        <v>3155</v>
      </c>
      <c r="C466" t="s">
        <v>2369</v>
      </c>
      <c r="D466" t="s">
        <v>3694</v>
      </c>
      <c r="F466" t="s">
        <v>386</v>
      </c>
      <c r="G466" s="126">
        <f>SUMIFS('Support - Transition'!F:F,'Support - Transition'!B:B,'Step 2'!A466,'Support - Transition'!C:C,'Step 2'!B466,'Support - Transition'!D:D,'Step 2'!C466,'Support - Transition'!E:E,"CIVIL")</f>
        <v>0</v>
      </c>
      <c r="H466" s="126">
        <f>SUMIFS('Support - Transition'!F:F,'Support - Transition'!B:B,'Step 2'!A466,'Support - Transition'!C:C,'Step 2'!B466,'Support - Transition'!D:D,'Step 2'!C466,'Support - Transition'!E:E,"FIRE")</f>
        <v>0</v>
      </c>
      <c r="I466" s="126">
        <f>IF(B466="0",SUMIFS('Support - Transition'!F:F,'Support - Transition'!J:J,'Step 2'!D466,'Support - Transition'!E:E,"STATE UNIT"),SUMIFS('Support - Transition'!F:F,'Support - Transition'!J:J,'Step 2'!D466))</f>
        <v>0</v>
      </c>
      <c r="J466" s="126">
        <f>SUMIFS('Support - Unit Adjustments'!E:E,'Support - Unit Adjustments'!F:F,'Step 2'!D466)</f>
        <v>0</v>
      </c>
      <c r="K466" s="126">
        <f t="shared" si="137"/>
        <v>0</v>
      </c>
      <c r="L466" s="174">
        <f>VLOOKUP(A466,'Step 1'!$A:$E,4,FALSE)</f>
        <v>289644</v>
      </c>
      <c r="M466" s="47">
        <f t="shared" si="138"/>
        <v>0</v>
      </c>
      <c r="N466" s="177">
        <f>SUMIFS('Support - Transition'!G:G,'Support - Transition'!J:J,'Step 2'!D466,'Support - Transition'!E:E,"2009 WELFARE ALLOCATION FACTOR")</f>
        <v>0</v>
      </c>
      <c r="O466" s="152">
        <f t="shared" si="143"/>
        <v>0</v>
      </c>
      <c r="P466" s="126">
        <f>IF(E466="Y",0,SUMIFS('Support - Transition'!G:G,'Support - Transition'!J:J,'Step 2'!D466,'Support - Transition'!E:E,"2009 SCHOOL ALLOCATION FACTOR"))</f>
        <v>0</v>
      </c>
      <c r="Q466" s="126">
        <f>IF(E466="Y",VLOOKUP(D466,'Support - Unit Adjustments'!F:G,2,FALSE),0)</f>
        <v>0</v>
      </c>
      <c r="R466" s="155">
        <f t="shared" si="155"/>
        <v>0</v>
      </c>
      <c r="S466" s="47">
        <f t="shared" si="154"/>
        <v>0</v>
      </c>
      <c r="T466" s="151">
        <f t="shared" si="139"/>
        <v>0</v>
      </c>
      <c r="U466" s="151">
        <f t="shared" si="140"/>
        <v>0</v>
      </c>
      <c r="V466" s="139">
        <f t="shared" si="141"/>
        <v>0</v>
      </c>
      <c r="W466" s="152">
        <f t="shared" si="144"/>
        <v>0</v>
      </c>
      <c r="X466" s="127" t="str">
        <f t="shared" si="142"/>
        <v/>
      </c>
      <c r="Y466" s="207">
        <f t="shared" si="145"/>
        <v>0</v>
      </c>
      <c r="Z466" s="139">
        <f t="shared" si="146"/>
        <v>0</v>
      </c>
      <c r="AA466" s="139">
        <f t="shared" si="147"/>
        <v>0</v>
      </c>
      <c r="AC466" s="47">
        <f t="shared" si="148"/>
        <v>0</v>
      </c>
      <c r="AD466" s="47">
        <f t="shared" si="149"/>
        <v>0</v>
      </c>
      <c r="AE466" s="47">
        <f t="shared" si="150"/>
        <v>0</v>
      </c>
      <c r="AG466" s="47">
        <f t="shared" si="151"/>
        <v>0</v>
      </c>
      <c r="AH466" s="47">
        <f t="shared" si="152"/>
        <v>0</v>
      </c>
      <c r="AI466" s="208">
        <f t="shared" si="153"/>
        <v>0</v>
      </c>
    </row>
    <row r="467" spans="1:35">
      <c r="A467" t="s">
        <v>2104</v>
      </c>
      <c r="B467" t="s">
        <v>3160</v>
      </c>
      <c r="C467" t="s">
        <v>2370</v>
      </c>
      <c r="D467" t="s">
        <v>3695</v>
      </c>
      <c r="F467" t="s">
        <v>3696</v>
      </c>
      <c r="G467" s="126">
        <f>SUMIFS('Support - Transition'!F:F,'Support - Transition'!B:B,'Step 2'!A467,'Support - Transition'!C:C,'Step 2'!B467,'Support - Transition'!D:D,'Step 2'!C467,'Support - Transition'!E:E,"CIVIL")</f>
        <v>0</v>
      </c>
      <c r="H467" s="126">
        <f>SUMIFS('Support - Transition'!F:F,'Support - Transition'!B:B,'Step 2'!A467,'Support - Transition'!C:C,'Step 2'!B467,'Support - Transition'!D:D,'Step 2'!C467,'Support - Transition'!E:E,"FIRE")</f>
        <v>0</v>
      </c>
      <c r="I467" s="126">
        <f>IF(B467="0",SUMIFS('Support - Transition'!F:F,'Support - Transition'!J:J,'Step 2'!D467,'Support - Transition'!E:E,"STATE UNIT"),SUMIFS('Support - Transition'!F:F,'Support - Transition'!J:J,'Step 2'!D467))</f>
        <v>0.19134300000000001</v>
      </c>
      <c r="J467" s="126">
        <f>SUMIFS('Support - Unit Adjustments'!E:E,'Support - Unit Adjustments'!F:F,'Step 2'!D467)</f>
        <v>0</v>
      </c>
      <c r="K467" s="126">
        <f t="shared" si="137"/>
        <v>0.19134300000000001</v>
      </c>
      <c r="L467" s="174">
        <f>VLOOKUP(A467,'Step 1'!$A:$E,4,FALSE)</f>
        <v>289644</v>
      </c>
      <c r="M467" s="47">
        <f t="shared" si="138"/>
        <v>55421</v>
      </c>
      <c r="N467" s="177">
        <f>SUMIFS('Support - Transition'!G:G,'Support - Transition'!J:J,'Step 2'!D467,'Support - Transition'!E:E,"2009 WELFARE ALLOCATION FACTOR")</f>
        <v>0</v>
      </c>
      <c r="O467" s="152">
        <f t="shared" si="143"/>
        <v>0</v>
      </c>
      <c r="P467" s="126">
        <f>IF(E467="Y",0,SUMIFS('Support - Transition'!G:G,'Support - Transition'!J:J,'Step 2'!D467,'Support - Transition'!E:E,"2009 SCHOOL ALLOCATION FACTOR"))</f>
        <v>0.419437</v>
      </c>
      <c r="Q467" s="126">
        <f>IF(E467="Y",VLOOKUP(D467,'Support - Unit Adjustments'!F:G,2,FALSE),0)</f>
        <v>0</v>
      </c>
      <c r="R467" s="155">
        <f t="shared" si="155"/>
        <v>0.419437</v>
      </c>
      <c r="S467" s="47">
        <f t="shared" si="154"/>
        <v>23246</v>
      </c>
      <c r="T467" s="151">
        <f t="shared" si="139"/>
        <v>32175</v>
      </c>
      <c r="U467" s="151">
        <f t="shared" si="140"/>
        <v>0</v>
      </c>
      <c r="V467" s="139">
        <f t="shared" si="141"/>
        <v>0</v>
      </c>
      <c r="W467" s="152">
        <f t="shared" si="144"/>
        <v>32175</v>
      </c>
      <c r="X467" s="127" t="str">
        <f t="shared" si="142"/>
        <v/>
      </c>
      <c r="Y467" s="207">
        <f t="shared" si="145"/>
        <v>32175</v>
      </c>
      <c r="Z467" s="139">
        <f t="shared" si="146"/>
        <v>32175</v>
      </c>
      <c r="AA467" s="139">
        <f t="shared" si="147"/>
        <v>0</v>
      </c>
      <c r="AC467" s="47">
        <f t="shared" si="148"/>
        <v>16088</v>
      </c>
      <c r="AD467" s="47">
        <f t="shared" si="149"/>
        <v>16088</v>
      </c>
      <c r="AE467" s="47">
        <f t="shared" si="150"/>
        <v>0</v>
      </c>
      <c r="AG467" s="47">
        <f t="shared" si="151"/>
        <v>16087</v>
      </c>
      <c r="AH467" s="47">
        <f t="shared" si="152"/>
        <v>16087</v>
      </c>
      <c r="AI467" s="208">
        <f t="shared" si="153"/>
        <v>0</v>
      </c>
    </row>
    <row r="468" spans="1:35">
      <c r="A468" t="s">
        <v>2104</v>
      </c>
      <c r="B468" t="s">
        <v>3160</v>
      </c>
      <c r="C468" t="s">
        <v>3697</v>
      </c>
      <c r="D468" t="s">
        <v>3698</v>
      </c>
      <c r="F468" t="s">
        <v>3699</v>
      </c>
      <c r="G468" s="126">
        <f>SUMIFS('Support - Transition'!F:F,'Support - Transition'!B:B,'Step 2'!A468,'Support - Transition'!C:C,'Step 2'!B468,'Support - Transition'!D:D,'Step 2'!C468,'Support - Transition'!E:E,"CIVIL")</f>
        <v>0</v>
      </c>
      <c r="H468" s="126">
        <f>SUMIFS('Support - Transition'!F:F,'Support - Transition'!B:B,'Step 2'!A468,'Support - Transition'!C:C,'Step 2'!B468,'Support - Transition'!D:D,'Step 2'!C468,'Support - Transition'!E:E,"FIRE")</f>
        <v>0</v>
      </c>
      <c r="I468" s="126">
        <f>IF(B468="0",SUMIFS('Support - Transition'!F:F,'Support - Transition'!J:J,'Step 2'!D468,'Support - Transition'!E:E,"STATE UNIT"),SUMIFS('Support - Transition'!F:F,'Support - Transition'!J:J,'Step 2'!D468))</f>
        <v>0.16623099999999999</v>
      </c>
      <c r="J468" s="126">
        <f>SUMIFS('Support - Unit Adjustments'!E:E,'Support - Unit Adjustments'!F:F,'Step 2'!D468)</f>
        <v>0</v>
      </c>
      <c r="K468" s="126">
        <f t="shared" si="137"/>
        <v>0.16623099999999999</v>
      </c>
      <c r="L468" s="174">
        <f>VLOOKUP(A468,'Step 1'!$A:$E,4,FALSE)</f>
        <v>289644</v>
      </c>
      <c r="M468" s="47">
        <f t="shared" si="138"/>
        <v>48148</v>
      </c>
      <c r="N468" s="177">
        <f>SUMIFS('Support - Transition'!G:G,'Support - Transition'!J:J,'Step 2'!D468,'Support - Transition'!E:E,"2009 WELFARE ALLOCATION FACTOR")</f>
        <v>0</v>
      </c>
      <c r="O468" s="152">
        <f t="shared" si="143"/>
        <v>0</v>
      </c>
      <c r="P468" s="126">
        <f>IF(E468="Y",0,SUMIFS('Support - Transition'!G:G,'Support - Transition'!J:J,'Step 2'!D468,'Support - Transition'!E:E,"2009 SCHOOL ALLOCATION FACTOR"))</f>
        <v>0.46364</v>
      </c>
      <c r="Q468" s="126">
        <f>IF(E468="Y",VLOOKUP(D468,'Support - Unit Adjustments'!F:G,2,FALSE),0)</f>
        <v>0</v>
      </c>
      <c r="R468" s="155">
        <f t="shared" si="155"/>
        <v>0.46364</v>
      </c>
      <c r="S468" s="47">
        <f t="shared" si="154"/>
        <v>22323</v>
      </c>
      <c r="T468" s="151">
        <f t="shared" si="139"/>
        <v>25825</v>
      </c>
      <c r="U468" s="151">
        <f t="shared" si="140"/>
        <v>0</v>
      </c>
      <c r="V468" s="139">
        <f t="shared" si="141"/>
        <v>0</v>
      </c>
      <c r="W468" s="152">
        <f t="shared" si="144"/>
        <v>25825</v>
      </c>
      <c r="X468" s="127" t="str">
        <f t="shared" si="142"/>
        <v/>
      </c>
      <c r="Y468" s="207">
        <f t="shared" si="145"/>
        <v>25825</v>
      </c>
      <c r="Z468" s="139">
        <f t="shared" si="146"/>
        <v>25825</v>
      </c>
      <c r="AA468" s="139">
        <f t="shared" si="147"/>
        <v>0</v>
      </c>
      <c r="AC468" s="47">
        <f t="shared" si="148"/>
        <v>12913</v>
      </c>
      <c r="AD468" s="47">
        <f t="shared" si="149"/>
        <v>12913</v>
      </c>
      <c r="AE468" s="47">
        <f t="shared" si="150"/>
        <v>0</v>
      </c>
      <c r="AG468" s="47">
        <f t="shared" si="151"/>
        <v>12912</v>
      </c>
      <c r="AH468" s="47">
        <f t="shared" si="152"/>
        <v>12912</v>
      </c>
      <c r="AI468" s="208">
        <f t="shared" si="153"/>
        <v>0</v>
      </c>
    </row>
    <row r="469" spans="1:35">
      <c r="A469" t="s">
        <v>2104</v>
      </c>
      <c r="B469" t="s">
        <v>3160</v>
      </c>
      <c r="C469" t="s">
        <v>2371</v>
      </c>
      <c r="D469" t="s">
        <v>3700</v>
      </c>
      <c r="F469" t="s">
        <v>389</v>
      </c>
      <c r="G469" s="126">
        <f>SUMIFS('Support - Transition'!F:F,'Support - Transition'!B:B,'Step 2'!A469,'Support - Transition'!C:C,'Step 2'!B469,'Support - Transition'!D:D,'Step 2'!C469,'Support - Transition'!E:E,"CIVIL")</f>
        <v>0</v>
      </c>
      <c r="H469" s="126">
        <f>SUMIFS('Support - Transition'!F:F,'Support - Transition'!B:B,'Step 2'!A469,'Support - Transition'!C:C,'Step 2'!B469,'Support - Transition'!D:D,'Step 2'!C469,'Support - Transition'!E:E,"FIRE")</f>
        <v>0</v>
      </c>
      <c r="I469" s="126">
        <f>IF(B469="0",SUMIFS('Support - Transition'!F:F,'Support - Transition'!J:J,'Step 2'!D469,'Support - Transition'!E:E,"STATE UNIT"),SUMIFS('Support - Transition'!F:F,'Support - Transition'!J:J,'Step 2'!D469))</f>
        <v>0.26269700000000001</v>
      </c>
      <c r="J469" s="126">
        <f>SUMIFS('Support - Unit Adjustments'!E:E,'Support - Unit Adjustments'!F:F,'Step 2'!D469)</f>
        <v>0</v>
      </c>
      <c r="K469" s="126">
        <f t="shared" si="137"/>
        <v>0.26269700000000001</v>
      </c>
      <c r="L469" s="174">
        <f>VLOOKUP(A469,'Step 1'!$A:$E,4,FALSE)</f>
        <v>289644</v>
      </c>
      <c r="M469" s="47">
        <f t="shared" si="138"/>
        <v>76089</v>
      </c>
      <c r="N469" s="177">
        <f>SUMIFS('Support - Transition'!G:G,'Support - Transition'!J:J,'Step 2'!D469,'Support - Transition'!E:E,"2009 WELFARE ALLOCATION FACTOR")</f>
        <v>0</v>
      </c>
      <c r="O469" s="152">
        <f t="shared" si="143"/>
        <v>0</v>
      </c>
      <c r="P469" s="126">
        <f>IF(E469="Y",0,SUMIFS('Support - Transition'!G:G,'Support - Transition'!J:J,'Step 2'!D469,'Support - Transition'!E:E,"2009 SCHOOL ALLOCATION FACTOR"))</f>
        <v>0.43253399999999997</v>
      </c>
      <c r="Q469" s="126">
        <f>IF(E469="Y",VLOOKUP(D469,'Support - Unit Adjustments'!F:G,2,FALSE),0)</f>
        <v>0</v>
      </c>
      <c r="R469" s="155">
        <f t="shared" si="155"/>
        <v>0.43253399999999997</v>
      </c>
      <c r="S469" s="47">
        <f t="shared" si="154"/>
        <v>32911</v>
      </c>
      <c r="T469" s="151">
        <f t="shared" si="139"/>
        <v>43178</v>
      </c>
      <c r="U469" s="151">
        <f t="shared" si="140"/>
        <v>0</v>
      </c>
      <c r="V469" s="139">
        <f t="shared" si="141"/>
        <v>0</v>
      </c>
      <c r="W469" s="152">
        <f t="shared" si="144"/>
        <v>43178</v>
      </c>
      <c r="X469" s="127" t="str">
        <f t="shared" si="142"/>
        <v/>
      </c>
      <c r="Y469" s="207">
        <f t="shared" si="145"/>
        <v>43178</v>
      </c>
      <c r="Z469" s="139">
        <f t="shared" si="146"/>
        <v>43178</v>
      </c>
      <c r="AA469" s="139">
        <f t="shared" si="147"/>
        <v>0</v>
      </c>
      <c r="AC469" s="47">
        <f t="shared" si="148"/>
        <v>21589</v>
      </c>
      <c r="AD469" s="47">
        <f t="shared" si="149"/>
        <v>21589</v>
      </c>
      <c r="AE469" s="47">
        <f t="shared" si="150"/>
        <v>0</v>
      </c>
      <c r="AG469" s="47">
        <f t="shared" si="151"/>
        <v>21589</v>
      </c>
      <c r="AH469" s="47">
        <f t="shared" si="152"/>
        <v>21589</v>
      </c>
      <c r="AI469" s="208">
        <f t="shared" si="153"/>
        <v>0</v>
      </c>
    </row>
    <row r="470" spans="1:35">
      <c r="A470" t="s">
        <v>2104</v>
      </c>
      <c r="B470" t="s">
        <v>3160</v>
      </c>
      <c r="C470" t="s">
        <v>2372</v>
      </c>
      <c r="D470" t="s">
        <v>3701</v>
      </c>
      <c r="F470" t="s">
        <v>392</v>
      </c>
      <c r="G470" s="126">
        <f>SUMIFS('Support - Transition'!F:F,'Support - Transition'!B:B,'Step 2'!A470,'Support - Transition'!C:C,'Step 2'!B470,'Support - Transition'!D:D,'Step 2'!C470,'Support - Transition'!E:E,"CIVIL")</f>
        <v>0</v>
      </c>
      <c r="H470" s="126">
        <f>SUMIFS('Support - Transition'!F:F,'Support - Transition'!B:B,'Step 2'!A470,'Support - Transition'!C:C,'Step 2'!B470,'Support - Transition'!D:D,'Step 2'!C470,'Support - Transition'!E:E,"FIRE")</f>
        <v>0</v>
      </c>
      <c r="I470" s="126">
        <f>IF(B470="0",SUMIFS('Support - Transition'!F:F,'Support - Transition'!J:J,'Step 2'!D470,'Support - Transition'!E:E,"STATE UNIT"),SUMIFS('Support - Transition'!F:F,'Support - Transition'!J:J,'Step 2'!D470))</f>
        <v>1.1334E-2</v>
      </c>
      <c r="J470" s="126">
        <f>SUMIFS('Support - Unit Adjustments'!E:E,'Support - Unit Adjustments'!F:F,'Step 2'!D470)</f>
        <v>0</v>
      </c>
      <c r="K470" s="126">
        <f t="shared" si="137"/>
        <v>1.1334E-2</v>
      </c>
      <c r="L470" s="174">
        <f>VLOOKUP(A470,'Step 1'!$A:$E,4,FALSE)</f>
        <v>289644</v>
      </c>
      <c r="M470" s="47">
        <f t="shared" si="138"/>
        <v>3283</v>
      </c>
      <c r="N470" s="177">
        <f>SUMIFS('Support - Transition'!G:G,'Support - Transition'!J:J,'Step 2'!D470,'Support - Transition'!E:E,"2009 WELFARE ALLOCATION FACTOR")</f>
        <v>0</v>
      </c>
      <c r="O470" s="152">
        <f t="shared" si="143"/>
        <v>0</v>
      </c>
      <c r="P470" s="126">
        <f>IF(E470="Y",0,SUMIFS('Support - Transition'!G:G,'Support - Transition'!J:J,'Step 2'!D470,'Support - Transition'!E:E,"2009 SCHOOL ALLOCATION FACTOR"))</f>
        <v>0.59018099999999996</v>
      </c>
      <c r="Q470" s="126">
        <f>IF(E470="Y",VLOOKUP(D470,'Support - Unit Adjustments'!F:G,2,FALSE),0)</f>
        <v>0</v>
      </c>
      <c r="R470" s="155">
        <f t="shared" si="155"/>
        <v>0.59018099999999996</v>
      </c>
      <c r="S470" s="47">
        <f t="shared" si="154"/>
        <v>1938</v>
      </c>
      <c r="T470" s="151">
        <f t="shared" si="139"/>
        <v>1345</v>
      </c>
      <c r="U470" s="151">
        <f t="shared" si="140"/>
        <v>0</v>
      </c>
      <c r="V470" s="139">
        <f t="shared" si="141"/>
        <v>0</v>
      </c>
      <c r="W470" s="152">
        <f t="shared" si="144"/>
        <v>1345</v>
      </c>
      <c r="X470" s="127" t="str">
        <f t="shared" si="142"/>
        <v/>
      </c>
      <c r="Y470" s="207">
        <f t="shared" si="145"/>
        <v>1345</v>
      </c>
      <c r="Z470" s="139">
        <f t="shared" si="146"/>
        <v>1345</v>
      </c>
      <c r="AA470" s="139">
        <f t="shared" si="147"/>
        <v>0</v>
      </c>
      <c r="AC470" s="47">
        <f t="shared" si="148"/>
        <v>673</v>
      </c>
      <c r="AD470" s="47">
        <f t="shared" si="149"/>
        <v>673</v>
      </c>
      <c r="AE470" s="47">
        <f t="shared" si="150"/>
        <v>0</v>
      </c>
      <c r="AG470" s="47">
        <f t="shared" si="151"/>
        <v>672</v>
      </c>
      <c r="AH470" s="47">
        <f t="shared" si="152"/>
        <v>672</v>
      </c>
      <c r="AI470" s="208">
        <f t="shared" si="153"/>
        <v>0</v>
      </c>
    </row>
    <row r="471" spans="1:35">
      <c r="A471" t="s">
        <v>2104</v>
      </c>
      <c r="B471" t="s">
        <v>3166</v>
      </c>
      <c r="C471" t="s">
        <v>3702</v>
      </c>
      <c r="D471" t="s">
        <v>3703</v>
      </c>
      <c r="F471" t="s">
        <v>393</v>
      </c>
      <c r="G471" s="126">
        <f>SUMIFS('Support - Transition'!F:F,'Support - Transition'!B:B,'Step 2'!A471,'Support - Transition'!C:C,'Step 2'!B471,'Support - Transition'!D:D,'Step 2'!C471,'Support - Transition'!E:E,"CIVIL")</f>
        <v>0</v>
      </c>
      <c r="H471" s="126">
        <f>SUMIFS('Support - Transition'!F:F,'Support - Transition'!B:B,'Step 2'!A471,'Support - Transition'!C:C,'Step 2'!B471,'Support - Transition'!D:D,'Step 2'!C471,'Support - Transition'!E:E,"FIRE")</f>
        <v>0</v>
      </c>
      <c r="I471" s="126">
        <f>IF(B471="0",SUMIFS('Support - Transition'!F:F,'Support - Transition'!J:J,'Step 2'!D471,'Support - Transition'!E:E,"STATE UNIT"),SUMIFS('Support - Transition'!F:F,'Support - Transition'!J:J,'Step 2'!D471))</f>
        <v>3.3010000000000001E-3</v>
      </c>
      <c r="J471" s="126">
        <f>SUMIFS('Support - Unit Adjustments'!E:E,'Support - Unit Adjustments'!F:F,'Step 2'!D471)</f>
        <v>0</v>
      </c>
      <c r="K471" s="126">
        <f t="shared" si="137"/>
        <v>3.3010000000000001E-3</v>
      </c>
      <c r="L471" s="174">
        <f>VLOOKUP(A471,'Step 1'!$A:$E,4,FALSE)</f>
        <v>289644</v>
      </c>
      <c r="M471" s="47">
        <f t="shared" si="138"/>
        <v>956</v>
      </c>
      <c r="N471" s="177">
        <f>SUMIFS('Support - Transition'!G:G,'Support - Transition'!J:J,'Step 2'!D471,'Support - Transition'!E:E,"2009 WELFARE ALLOCATION FACTOR")</f>
        <v>0</v>
      </c>
      <c r="O471" s="152">
        <f t="shared" si="143"/>
        <v>0</v>
      </c>
      <c r="P471" s="126">
        <f>IF(E471="Y",0,SUMIFS('Support - Transition'!G:G,'Support - Transition'!J:J,'Step 2'!D471,'Support - Transition'!E:E,"2009 SCHOOL ALLOCATION FACTOR"))</f>
        <v>0</v>
      </c>
      <c r="Q471" s="126">
        <f>IF(E471="Y",VLOOKUP(D471,'Support - Unit Adjustments'!F:G,2,FALSE),0)</f>
        <v>0</v>
      </c>
      <c r="R471" s="155">
        <f t="shared" si="155"/>
        <v>0</v>
      </c>
      <c r="S471" s="47">
        <f t="shared" si="154"/>
        <v>0</v>
      </c>
      <c r="T471" s="151">
        <f t="shared" si="139"/>
        <v>956</v>
      </c>
      <c r="U471" s="151">
        <f t="shared" si="140"/>
        <v>0</v>
      </c>
      <c r="V471" s="139">
        <f t="shared" si="141"/>
        <v>0</v>
      </c>
      <c r="W471" s="152">
        <f t="shared" si="144"/>
        <v>956</v>
      </c>
      <c r="X471" s="127" t="str">
        <f t="shared" si="142"/>
        <v/>
      </c>
      <c r="Y471" s="207">
        <f t="shared" si="145"/>
        <v>956</v>
      </c>
      <c r="Z471" s="139">
        <f t="shared" si="146"/>
        <v>956</v>
      </c>
      <c r="AA471" s="139">
        <f t="shared" si="147"/>
        <v>0</v>
      </c>
      <c r="AC471" s="47">
        <f t="shared" si="148"/>
        <v>478</v>
      </c>
      <c r="AD471" s="47">
        <f t="shared" si="149"/>
        <v>478</v>
      </c>
      <c r="AE471" s="47">
        <f t="shared" si="150"/>
        <v>0</v>
      </c>
      <c r="AG471" s="47">
        <f t="shared" si="151"/>
        <v>478</v>
      </c>
      <c r="AH471" s="47">
        <f t="shared" si="152"/>
        <v>478</v>
      </c>
      <c r="AI471" s="208">
        <f t="shared" si="153"/>
        <v>0</v>
      </c>
    </row>
    <row r="472" spans="1:35">
      <c r="A472" t="s">
        <v>2104</v>
      </c>
      <c r="B472" t="s">
        <v>3166</v>
      </c>
      <c r="C472" t="s">
        <v>3704</v>
      </c>
      <c r="D472" t="s">
        <v>3705</v>
      </c>
      <c r="F472" t="s">
        <v>394</v>
      </c>
      <c r="G472" s="126">
        <f>SUMIFS('Support - Transition'!F:F,'Support - Transition'!B:B,'Step 2'!A472,'Support - Transition'!C:C,'Step 2'!B472,'Support - Transition'!D:D,'Step 2'!C472,'Support - Transition'!E:E,"CIVIL")</f>
        <v>0</v>
      </c>
      <c r="H472" s="126">
        <f>SUMIFS('Support - Transition'!F:F,'Support - Transition'!B:B,'Step 2'!A472,'Support - Transition'!C:C,'Step 2'!B472,'Support - Transition'!D:D,'Step 2'!C472,'Support - Transition'!E:E,"FIRE")</f>
        <v>0</v>
      </c>
      <c r="I472" s="126">
        <f>IF(B472="0",SUMIFS('Support - Transition'!F:F,'Support - Transition'!J:J,'Step 2'!D472,'Support - Transition'!E:E,"STATE UNIT"),SUMIFS('Support - Transition'!F:F,'Support - Transition'!J:J,'Step 2'!D472))</f>
        <v>2.9229999999999998E-3</v>
      </c>
      <c r="J472" s="126">
        <f>SUMIFS('Support - Unit Adjustments'!E:E,'Support - Unit Adjustments'!F:F,'Step 2'!D472)</f>
        <v>0</v>
      </c>
      <c r="K472" s="126">
        <f t="shared" si="137"/>
        <v>2.9229999999999998E-3</v>
      </c>
      <c r="L472" s="174">
        <f>VLOOKUP(A472,'Step 1'!$A:$E,4,FALSE)</f>
        <v>289644</v>
      </c>
      <c r="M472" s="47">
        <f t="shared" si="138"/>
        <v>847</v>
      </c>
      <c r="N472" s="177">
        <f>SUMIFS('Support - Transition'!G:G,'Support - Transition'!J:J,'Step 2'!D472,'Support - Transition'!E:E,"2009 WELFARE ALLOCATION FACTOR")</f>
        <v>0</v>
      </c>
      <c r="O472" s="152">
        <f t="shared" si="143"/>
        <v>0</v>
      </c>
      <c r="P472" s="126">
        <f>IF(E472="Y",0,SUMIFS('Support - Transition'!G:G,'Support - Transition'!J:J,'Step 2'!D472,'Support - Transition'!E:E,"2009 SCHOOL ALLOCATION FACTOR"))</f>
        <v>0</v>
      </c>
      <c r="Q472" s="126">
        <f>IF(E472="Y",VLOOKUP(D472,'Support - Unit Adjustments'!F:G,2,FALSE),0)</f>
        <v>0</v>
      </c>
      <c r="R472" s="155">
        <f t="shared" si="155"/>
        <v>0</v>
      </c>
      <c r="S472" s="47">
        <f t="shared" si="154"/>
        <v>0</v>
      </c>
      <c r="T472" s="151">
        <f t="shared" si="139"/>
        <v>847</v>
      </c>
      <c r="U472" s="151">
        <f t="shared" si="140"/>
        <v>0</v>
      </c>
      <c r="V472" s="139">
        <f t="shared" si="141"/>
        <v>0</v>
      </c>
      <c r="W472" s="152">
        <f t="shared" si="144"/>
        <v>847</v>
      </c>
      <c r="X472" s="127" t="str">
        <f t="shared" si="142"/>
        <v/>
      </c>
      <c r="Y472" s="207">
        <f t="shared" si="145"/>
        <v>847</v>
      </c>
      <c r="Z472" s="139">
        <f t="shared" si="146"/>
        <v>847</v>
      </c>
      <c r="AA472" s="139">
        <f t="shared" si="147"/>
        <v>0</v>
      </c>
      <c r="AC472" s="47">
        <f t="shared" si="148"/>
        <v>424</v>
      </c>
      <c r="AD472" s="47">
        <f t="shared" si="149"/>
        <v>424</v>
      </c>
      <c r="AE472" s="47">
        <f t="shared" si="150"/>
        <v>0</v>
      </c>
      <c r="AG472" s="47">
        <f t="shared" si="151"/>
        <v>423</v>
      </c>
      <c r="AH472" s="47">
        <f t="shared" si="152"/>
        <v>423</v>
      </c>
      <c r="AI472" s="208">
        <f t="shared" si="153"/>
        <v>0</v>
      </c>
    </row>
    <row r="473" spans="1:35">
      <c r="A473" t="s">
        <v>2104</v>
      </c>
      <c r="B473" t="s">
        <v>3166</v>
      </c>
      <c r="C473" t="s">
        <v>2373</v>
      </c>
      <c r="D473" t="s">
        <v>3706</v>
      </c>
      <c r="F473" t="s">
        <v>395</v>
      </c>
      <c r="G473" s="126">
        <f>SUMIFS('Support - Transition'!F:F,'Support - Transition'!B:B,'Step 2'!A473,'Support - Transition'!C:C,'Step 2'!B473,'Support - Transition'!D:D,'Step 2'!C473,'Support - Transition'!E:E,"CIVIL")</f>
        <v>0</v>
      </c>
      <c r="H473" s="126">
        <f>SUMIFS('Support - Transition'!F:F,'Support - Transition'!B:B,'Step 2'!A473,'Support - Transition'!C:C,'Step 2'!B473,'Support - Transition'!D:D,'Step 2'!C473,'Support - Transition'!E:E,"FIRE")</f>
        <v>0</v>
      </c>
      <c r="I473" s="126">
        <f>IF(B473="0",SUMIFS('Support - Transition'!F:F,'Support - Transition'!J:J,'Step 2'!D473,'Support - Transition'!E:E,"STATE UNIT"),SUMIFS('Support - Transition'!F:F,'Support - Transition'!J:J,'Step 2'!D473))</f>
        <v>1.3082999999999999E-2</v>
      </c>
      <c r="J473" s="126">
        <f>SUMIFS('Support - Unit Adjustments'!E:E,'Support - Unit Adjustments'!F:F,'Step 2'!D473)</f>
        <v>0</v>
      </c>
      <c r="K473" s="126">
        <f t="shared" si="137"/>
        <v>1.3082999999999999E-2</v>
      </c>
      <c r="L473" s="174">
        <f>VLOOKUP(A473,'Step 1'!$A:$E,4,FALSE)</f>
        <v>289644</v>
      </c>
      <c r="M473" s="47">
        <f t="shared" si="138"/>
        <v>3789</v>
      </c>
      <c r="N473" s="177">
        <f>SUMIFS('Support - Transition'!G:G,'Support - Transition'!J:J,'Step 2'!D473,'Support - Transition'!E:E,"2009 WELFARE ALLOCATION FACTOR")</f>
        <v>0</v>
      </c>
      <c r="O473" s="152">
        <f t="shared" si="143"/>
        <v>0</v>
      </c>
      <c r="P473" s="126">
        <f>IF(E473="Y",0,SUMIFS('Support - Transition'!G:G,'Support - Transition'!J:J,'Step 2'!D473,'Support - Transition'!E:E,"2009 SCHOOL ALLOCATION FACTOR"))</f>
        <v>0</v>
      </c>
      <c r="Q473" s="126">
        <f>IF(E473="Y",VLOOKUP(D473,'Support - Unit Adjustments'!F:G,2,FALSE),0)</f>
        <v>0</v>
      </c>
      <c r="R473" s="155">
        <f t="shared" si="155"/>
        <v>0</v>
      </c>
      <c r="S473" s="47">
        <f t="shared" si="154"/>
        <v>0</v>
      </c>
      <c r="T473" s="151">
        <f t="shared" si="139"/>
        <v>3789</v>
      </c>
      <c r="U473" s="151">
        <f t="shared" si="140"/>
        <v>0</v>
      </c>
      <c r="V473" s="139">
        <f t="shared" si="141"/>
        <v>0</v>
      </c>
      <c r="W473" s="152">
        <f t="shared" si="144"/>
        <v>3789</v>
      </c>
      <c r="X473" s="127" t="str">
        <f t="shared" si="142"/>
        <v/>
      </c>
      <c r="Y473" s="207">
        <f t="shared" si="145"/>
        <v>3789</v>
      </c>
      <c r="Z473" s="139">
        <f t="shared" si="146"/>
        <v>3789</v>
      </c>
      <c r="AA473" s="139">
        <f t="shared" si="147"/>
        <v>0</v>
      </c>
      <c r="AC473" s="47">
        <f t="shared" si="148"/>
        <v>1895</v>
      </c>
      <c r="AD473" s="47">
        <f t="shared" si="149"/>
        <v>1895</v>
      </c>
      <c r="AE473" s="47">
        <f t="shared" si="150"/>
        <v>0</v>
      </c>
      <c r="AG473" s="47">
        <f t="shared" si="151"/>
        <v>1894</v>
      </c>
      <c r="AH473" s="47">
        <f t="shared" si="152"/>
        <v>1894</v>
      </c>
      <c r="AI473" s="208">
        <f t="shared" si="153"/>
        <v>0</v>
      </c>
    </row>
    <row r="474" spans="1:35">
      <c r="A474" t="s">
        <v>2104</v>
      </c>
      <c r="B474" t="s">
        <v>3166</v>
      </c>
      <c r="C474" t="s">
        <v>2374</v>
      </c>
      <c r="D474" t="s">
        <v>3707</v>
      </c>
      <c r="F474" t="s">
        <v>396</v>
      </c>
      <c r="G474" s="126">
        <f>SUMIFS('Support - Transition'!F:F,'Support - Transition'!B:B,'Step 2'!A474,'Support - Transition'!C:C,'Step 2'!B474,'Support - Transition'!D:D,'Step 2'!C474,'Support - Transition'!E:E,"CIVIL")</f>
        <v>0</v>
      </c>
      <c r="H474" s="126">
        <f>SUMIFS('Support - Transition'!F:F,'Support - Transition'!B:B,'Step 2'!A474,'Support - Transition'!C:C,'Step 2'!B474,'Support - Transition'!D:D,'Step 2'!C474,'Support - Transition'!E:E,"FIRE")</f>
        <v>0</v>
      </c>
      <c r="I474" s="126">
        <f>IF(B474="0",SUMIFS('Support - Transition'!F:F,'Support - Transition'!J:J,'Step 2'!D474,'Support - Transition'!E:E,"STATE UNIT"),SUMIFS('Support - Transition'!F:F,'Support - Transition'!J:J,'Step 2'!D474))</f>
        <v>8.7980000000000003E-3</v>
      </c>
      <c r="J474" s="126">
        <f>SUMIFS('Support - Unit Adjustments'!E:E,'Support - Unit Adjustments'!F:F,'Step 2'!D474)</f>
        <v>0</v>
      </c>
      <c r="K474" s="126">
        <f t="shared" si="137"/>
        <v>8.7980000000000003E-3</v>
      </c>
      <c r="L474" s="174">
        <f>VLOOKUP(A474,'Step 1'!$A:$E,4,FALSE)</f>
        <v>289644</v>
      </c>
      <c r="M474" s="47">
        <f t="shared" si="138"/>
        <v>2548</v>
      </c>
      <c r="N474" s="177">
        <f>SUMIFS('Support - Transition'!G:G,'Support - Transition'!J:J,'Step 2'!D474,'Support - Transition'!E:E,"2009 WELFARE ALLOCATION FACTOR")</f>
        <v>0</v>
      </c>
      <c r="O474" s="152">
        <f t="shared" si="143"/>
        <v>0</v>
      </c>
      <c r="P474" s="126">
        <f>IF(E474="Y",0,SUMIFS('Support - Transition'!G:G,'Support - Transition'!J:J,'Step 2'!D474,'Support - Transition'!E:E,"2009 SCHOOL ALLOCATION FACTOR"))</f>
        <v>0</v>
      </c>
      <c r="Q474" s="126">
        <f>IF(E474="Y",VLOOKUP(D474,'Support - Unit Adjustments'!F:G,2,FALSE),0)</f>
        <v>0</v>
      </c>
      <c r="R474" s="155">
        <f t="shared" si="155"/>
        <v>0</v>
      </c>
      <c r="S474" s="47">
        <f t="shared" si="154"/>
        <v>0</v>
      </c>
      <c r="T474" s="151">
        <f t="shared" si="139"/>
        <v>2548</v>
      </c>
      <c r="U474" s="151">
        <f t="shared" si="140"/>
        <v>0</v>
      </c>
      <c r="V474" s="139">
        <f t="shared" si="141"/>
        <v>0</v>
      </c>
      <c r="W474" s="152">
        <f t="shared" si="144"/>
        <v>2548</v>
      </c>
      <c r="X474" s="127" t="str">
        <f t="shared" si="142"/>
        <v/>
      </c>
      <c r="Y474" s="207">
        <f t="shared" si="145"/>
        <v>2548</v>
      </c>
      <c r="Z474" s="139">
        <f t="shared" si="146"/>
        <v>2548</v>
      </c>
      <c r="AA474" s="139">
        <f t="shared" si="147"/>
        <v>0</v>
      </c>
      <c r="AC474" s="47">
        <f t="shared" si="148"/>
        <v>1274</v>
      </c>
      <c r="AD474" s="47">
        <f t="shared" si="149"/>
        <v>1274</v>
      </c>
      <c r="AE474" s="47">
        <f t="shared" si="150"/>
        <v>0</v>
      </c>
      <c r="AG474" s="47">
        <f t="shared" si="151"/>
        <v>1274</v>
      </c>
      <c r="AH474" s="47">
        <f t="shared" si="152"/>
        <v>1274</v>
      </c>
      <c r="AI474" s="208">
        <f t="shared" si="153"/>
        <v>0</v>
      </c>
    </row>
    <row r="475" spans="1:35">
      <c r="A475" t="s">
        <v>2104</v>
      </c>
      <c r="B475" t="s">
        <v>3170</v>
      </c>
      <c r="C475" t="s">
        <v>3708</v>
      </c>
      <c r="D475" t="s">
        <v>3709</v>
      </c>
      <c r="F475" t="s">
        <v>397</v>
      </c>
      <c r="G475" s="126">
        <f>SUMIFS('Support - Transition'!F:F,'Support - Transition'!B:B,'Step 2'!A475,'Support - Transition'!C:C,'Step 2'!B475,'Support - Transition'!D:D,'Step 2'!C475,'Support - Transition'!E:E,"CIVIL")</f>
        <v>0</v>
      </c>
      <c r="H475" s="126">
        <f>SUMIFS('Support - Transition'!F:F,'Support - Transition'!B:B,'Step 2'!A475,'Support - Transition'!C:C,'Step 2'!B475,'Support - Transition'!D:D,'Step 2'!C475,'Support - Transition'!E:E,"FIRE")</f>
        <v>0</v>
      </c>
      <c r="I475" s="126">
        <f>IF(B475="0",SUMIFS('Support - Transition'!F:F,'Support - Transition'!J:J,'Step 2'!D475,'Support - Transition'!E:E,"STATE UNIT"),SUMIFS('Support - Transition'!F:F,'Support - Transition'!J:J,'Step 2'!D475))</f>
        <v>4.9519999999999564E-3</v>
      </c>
      <c r="J475" s="126">
        <f>SUMIFS('Support - Unit Adjustments'!E:E,'Support - Unit Adjustments'!F:F,'Step 2'!D475)</f>
        <v>0</v>
      </c>
      <c r="K475" s="126">
        <f t="shared" si="137"/>
        <v>4.9519999999999564E-3</v>
      </c>
      <c r="L475" s="174">
        <f>VLOOKUP(A475,'Step 1'!$A:$E,4,FALSE)</f>
        <v>289644</v>
      </c>
      <c r="M475" s="47">
        <f t="shared" si="138"/>
        <v>1434</v>
      </c>
      <c r="N475" s="177">
        <f>SUMIFS('Support - Transition'!G:G,'Support - Transition'!J:J,'Step 2'!D475,'Support - Transition'!E:E,"2009 WELFARE ALLOCATION FACTOR")</f>
        <v>0</v>
      </c>
      <c r="O475" s="152">
        <f t="shared" si="143"/>
        <v>0</v>
      </c>
      <c r="P475" s="126">
        <f>IF(E475="Y",0,SUMIFS('Support - Transition'!G:G,'Support - Transition'!J:J,'Step 2'!D475,'Support - Transition'!E:E,"2009 SCHOOL ALLOCATION FACTOR"))</f>
        <v>0</v>
      </c>
      <c r="Q475" s="126">
        <f>IF(E475="Y",VLOOKUP(D475,'Support - Unit Adjustments'!F:G,2,FALSE),0)</f>
        <v>0</v>
      </c>
      <c r="R475" s="155">
        <f t="shared" si="155"/>
        <v>0</v>
      </c>
      <c r="S475" s="47">
        <f t="shared" si="154"/>
        <v>0</v>
      </c>
      <c r="T475" s="151">
        <f t="shared" si="139"/>
        <v>1434</v>
      </c>
      <c r="U475" s="151">
        <f t="shared" si="140"/>
        <v>0</v>
      </c>
      <c r="V475" s="139">
        <f t="shared" si="141"/>
        <v>0</v>
      </c>
      <c r="W475" s="152">
        <f t="shared" si="144"/>
        <v>1434</v>
      </c>
      <c r="X475" s="127" t="str">
        <f t="shared" si="142"/>
        <v/>
      </c>
      <c r="Y475" s="207">
        <f t="shared" si="145"/>
        <v>1434</v>
      </c>
      <c r="Z475" s="139">
        <f t="shared" si="146"/>
        <v>1434</v>
      </c>
      <c r="AA475" s="139">
        <f t="shared" si="147"/>
        <v>0</v>
      </c>
      <c r="AC475" s="47">
        <f t="shared" si="148"/>
        <v>717</v>
      </c>
      <c r="AD475" s="47">
        <f t="shared" si="149"/>
        <v>717</v>
      </c>
      <c r="AE475" s="47">
        <f t="shared" si="150"/>
        <v>0</v>
      </c>
      <c r="AG475" s="47">
        <f t="shared" si="151"/>
        <v>717</v>
      </c>
      <c r="AH475" s="47">
        <f t="shared" si="152"/>
        <v>717</v>
      </c>
      <c r="AI475" s="208">
        <f t="shared" si="153"/>
        <v>0</v>
      </c>
    </row>
    <row r="476" spans="1:35">
      <c r="A476" t="s">
        <v>2104</v>
      </c>
      <c r="B476" t="s">
        <v>3170</v>
      </c>
      <c r="C476" t="s">
        <v>3710</v>
      </c>
      <c r="D476" t="s">
        <v>3711</v>
      </c>
      <c r="F476" t="s">
        <v>3712</v>
      </c>
      <c r="G476" s="126">
        <f>SUMIFS('Support - Transition'!F:F,'Support - Transition'!B:B,'Step 2'!A476,'Support - Transition'!C:C,'Step 2'!B476,'Support - Transition'!D:D,'Step 2'!C476,'Support - Transition'!E:E,"CIVIL")</f>
        <v>0</v>
      </c>
      <c r="H476" s="126">
        <f>SUMIFS('Support - Transition'!F:F,'Support - Transition'!B:B,'Step 2'!A476,'Support - Transition'!C:C,'Step 2'!B476,'Support - Transition'!D:D,'Step 2'!C476,'Support - Transition'!E:E,"FIRE")</f>
        <v>0</v>
      </c>
      <c r="I476" s="126">
        <f>IF(B476="0",SUMIFS('Support - Transition'!F:F,'Support - Transition'!J:J,'Step 2'!D476,'Support - Transition'!E:E,"STATE UNIT"),SUMIFS('Support - Transition'!F:F,'Support - Transition'!J:J,'Step 2'!D476))</f>
        <v>0</v>
      </c>
      <c r="J476" s="126">
        <f>SUMIFS('Support - Unit Adjustments'!E:E,'Support - Unit Adjustments'!F:F,'Step 2'!D476)</f>
        <v>0</v>
      </c>
      <c r="K476" s="126">
        <f t="shared" si="137"/>
        <v>0</v>
      </c>
      <c r="L476" s="174">
        <f>VLOOKUP(A476,'Step 1'!$A:$E,4,FALSE)</f>
        <v>289644</v>
      </c>
      <c r="M476" s="47">
        <f t="shared" si="138"/>
        <v>0</v>
      </c>
      <c r="N476" s="177">
        <f>SUMIFS('Support - Transition'!G:G,'Support - Transition'!J:J,'Step 2'!D476,'Support - Transition'!E:E,"2009 WELFARE ALLOCATION FACTOR")</f>
        <v>0</v>
      </c>
      <c r="O476" s="152">
        <f t="shared" si="143"/>
        <v>0</v>
      </c>
      <c r="P476" s="126">
        <f>IF(E476="Y",0,SUMIFS('Support - Transition'!G:G,'Support - Transition'!J:J,'Step 2'!D476,'Support - Transition'!E:E,"2009 SCHOOL ALLOCATION FACTOR"))</f>
        <v>0</v>
      </c>
      <c r="Q476" s="126">
        <f>IF(E476="Y",VLOOKUP(D476,'Support - Unit Adjustments'!F:G,2,FALSE),0)</f>
        <v>0</v>
      </c>
      <c r="R476" s="155">
        <f t="shared" si="155"/>
        <v>0</v>
      </c>
      <c r="S476" s="47">
        <f t="shared" si="154"/>
        <v>0</v>
      </c>
      <c r="T476" s="151">
        <f t="shared" si="139"/>
        <v>0</v>
      </c>
      <c r="U476" s="151">
        <f t="shared" si="140"/>
        <v>0</v>
      </c>
      <c r="V476" s="139">
        <f t="shared" si="141"/>
        <v>0</v>
      </c>
      <c r="W476" s="152">
        <f t="shared" si="144"/>
        <v>0</v>
      </c>
      <c r="X476" s="127" t="str">
        <f t="shared" si="142"/>
        <v/>
      </c>
      <c r="Y476" s="207">
        <f t="shared" si="145"/>
        <v>0</v>
      </c>
      <c r="Z476" s="139">
        <f t="shared" si="146"/>
        <v>0</v>
      </c>
      <c r="AA476" s="139">
        <f t="shared" si="147"/>
        <v>0</v>
      </c>
      <c r="AC476" s="47">
        <f t="shared" si="148"/>
        <v>0</v>
      </c>
      <c r="AD476" s="47">
        <f t="shared" si="149"/>
        <v>0</v>
      </c>
      <c r="AE476" s="47">
        <f t="shared" si="150"/>
        <v>0</v>
      </c>
      <c r="AG476" s="47">
        <f t="shared" si="151"/>
        <v>0</v>
      </c>
      <c r="AH476" s="47">
        <f t="shared" si="152"/>
        <v>0</v>
      </c>
      <c r="AI476" s="208">
        <f t="shared" si="153"/>
        <v>0</v>
      </c>
    </row>
    <row r="477" spans="1:35">
      <c r="A477" t="s">
        <v>2105</v>
      </c>
      <c r="B477" s="48" t="s">
        <v>6274</v>
      </c>
      <c r="C477" t="s">
        <v>2187</v>
      </c>
      <c r="D477" t="str">
        <f>A477&amp;B477&amp;C477</f>
        <v>1800000</v>
      </c>
      <c r="F477" t="s">
        <v>6292</v>
      </c>
      <c r="G477" s="126">
        <f>SUMIFS('Support - Transition'!F:F,'Support - Transition'!B:B,'Step 2'!A477,'Support - Transition'!C:C,'Step 2'!B477,'Support - Transition'!D:D,'Step 2'!C477,'Support - Transition'!E:E,"CIVIL")</f>
        <v>0</v>
      </c>
      <c r="H477" s="126">
        <f>SUMIFS('Support - Transition'!F:F,'Support - Transition'!B:B,'Step 2'!A477,'Support - Transition'!C:C,'Step 2'!B477,'Support - Transition'!D:D,'Step 2'!C477,'Support - Transition'!E:E,"FIRE")</f>
        <v>0</v>
      </c>
      <c r="I477" s="126">
        <f>IF(B477="0",SUMIFS('Support - Transition'!F:F,'Support - Transition'!J:J,'Step 2'!D477,'Support - Transition'!E:E,"STATE UNIT"),SUMIFS('Support - Transition'!F:F,'Support - Transition'!J:J,'Step 2'!D477))</f>
        <v>8.3799999999999999E-4</v>
      </c>
      <c r="J477" s="126">
        <f>SUMIFS('Support - Unit Adjustments'!E:E,'Support - Unit Adjustments'!F:F,'Step 2'!D477)</f>
        <v>0</v>
      </c>
      <c r="K477" s="126">
        <f t="shared" si="137"/>
        <v>8.3799999999999999E-4</v>
      </c>
      <c r="L477" s="174">
        <f>VLOOKUP(A477,'Step 1'!$A:$E,4,FALSE)</f>
        <v>1065146</v>
      </c>
      <c r="M477" s="47">
        <f t="shared" si="138"/>
        <v>893</v>
      </c>
      <c r="N477" s="177">
        <f>SUMIFS('Support - Transition'!G:G,'Support - Transition'!J:J,'Step 2'!D477,'Support - Transition'!E:E,"2009 WELFARE ALLOCATION FACTOR")</f>
        <v>0</v>
      </c>
      <c r="O477" s="152">
        <f t="shared" si="143"/>
        <v>0</v>
      </c>
      <c r="P477" s="126">
        <f>IF(E477="Y",0,SUMIFS('Support - Transition'!G:G,'Support - Transition'!J:J,'Step 2'!D477,'Support - Transition'!E:E,"2009 SCHOOL ALLOCATION FACTOR"))</f>
        <v>0</v>
      </c>
      <c r="Q477" s="126">
        <f>IF(E477="Y",VLOOKUP(D477,'Support - Unit Adjustments'!F:G,2,FALSE),0)</f>
        <v>0</v>
      </c>
      <c r="R477" s="155">
        <f t="shared" si="155"/>
        <v>0</v>
      </c>
      <c r="S477" s="47">
        <f t="shared" si="154"/>
        <v>0</v>
      </c>
      <c r="T477" s="151">
        <f t="shared" si="139"/>
        <v>893</v>
      </c>
      <c r="U477" s="151">
        <f t="shared" si="140"/>
        <v>1065150</v>
      </c>
      <c r="V477" s="139">
        <f t="shared" si="141"/>
        <v>4</v>
      </c>
      <c r="W477" s="152">
        <f t="shared" si="144"/>
        <v>889</v>
      </c>
      <c r="X477" s="127">
        <f t="shared" si="142"/>
        <v>0</v>
      </c>
      <c r="Y477" s="207">
        <f t="shared" si="145"/>
        <v>889</v>
      </c>
      <c r="Z477" s="139">
        <f t="shared" si="146"/>
        <v>889</v>
      </c>
      <c r="AA477" s="139">
        <f t="shared" si="147"/>
        <v>0</v>
      </c>
      <c r="AC477" s="47">
        <f t="shared" si="148"/>
        <v>445</v>
      </c>
      <c r="AD477" s="47">
        <f t="shared" si="149"/>
        <v>445</v>
      </c>
      <c r="AE477" s="47">
        <f t="shared" si="150"/>
        <v>0</v>
      </c>
      <c r="AG477" s="47">
        <f t="shared" si="151"/>
        <v>444</v>
      </c>
      <c r="AH477" s="47">
        <f t="shared" si="152"/>
        <v>444</v>
      </c>
      <c r="AI477" s="208">
        <f t="shared" si="153"/>
        <v>0</v>
      </c>
    </row>
    <row r="478" spans="1:35">
      <c r="A478" t="s">
        <v>2105</v>
      </c>
      <c r="B478" t="s">
        <v>3140</v>
      </c>
      <c r="C478" t="s">
        <v>2187</v>
      </c>
      <c r="D478" t="s">
        <v>3713</v>
      </c>
      <c r="F478" t="s">
        <v>399</v>
      </c>
      <c r="G478" s="126">
        <f>SUMIFS('Support - Transition'!F:F,'Support - Transition'!B:B,'Step 2'!A478,'Support - Transition'!C:C,'Step 2'!B478,'Support - Transition'!D:D,'Step 2'!C478,'Support - Transition'!E:E,"CIVIL")</f>
        <v>0</v>
      </c>
      <c r="H478" s="126">
        <f>SUMIFS('Support - Transition'!F:F,'Support - Transition'!B:B,'Step 2'!A478,'Support - Transition'!C:C,'Step 2'!B478,'Support - Transition'!D:D,'Step 2'!C478,'Support - Transition'!E:E,"FIRE")</f>
        <v>0</v>
      </c>
      <c r="I478" s="126">
        <f>IF(B478="0",SUMIFS('Support - Transition'!F:F,'Support - Transition'!J:J,'Step 2'!D478,'Support - Transition'!E:E,"STATE UNIT"),SUMIFS('Support - Transition'!F:F,'Support - Transition'!J:J,'Step 2'!D478))</f>
        <v>0.23000300000000001</v>
      </c>
      <c r="J478" s="126">
        <f>SUMIFS('Support - Unit Adjustments'!E:E,'Support - Unit Adjustments'!F:F,'Step 2'!D478)</f>
        <v>0</v>
      </c>
      <c r="K478" s="126">
        <f t="shared" si="137"/>
        <v>0.23000300000000001</v>
      </c>
      <c r="L478" s="174">
        <f>VLOOKUP(A478,'Step 1'!$A:$E,4,FALSE)</f>
        <v>1065146</v>
      </c>
      <c r="M478" s="47">
        <f t="shared" si="138"/>
        <v>244987</v>
      </c>
      <c r="N478" s="177">
        <f>SUMIFS('Support - Transition'!G:G,'Support - Transition'!J:J,'Step 2'!D478,'Support - Transition'!E:E,"2009 WELFARE ALLOCATION FACTOR")</f>
        <v>0.378996</v>
      </c>
      <c r="O478" s="152">
        <f t="shared" si="143"/>
        <v>92849</v>
      </c>
      <c r="P478" s="126">
        <f>IF(E478="Y",0,SUMIFS('Support - Transition'!G:G,'Support - Transition'!J:J,'Step 2'!D478,'Support - Transition'!E:E,"2009 SCHOOL ALLOCATION FACTOR"))</f>
        <v>0</v>
      </c>
      <c r="Q478" s="126">
        <f>IF(E478="Y",VLOOKUP(D478,'Support - Unit Adjustments'!F:G,2,FALSE),0)</f>
        <v>0</v>
      </c>
      <c r="R478" s="155">
        <f t="shared" si="155"/>
        <v>0</v>
      </c>
      <c r="S478" s="47">
        <f t="shared" si="154"/>
        <v>0</v>
      </c>
      <c r="T478" s="151">
        <f t="shared" si="139"/>
        <v>152138</v>
      </c>
      <c r="U478" s="151">
        <f t="shared" si="140"/>
        <v>0</v>
      </c>
      <c r="V478" s="139">
        <f t="shared" si="141"/>
        <v>0</v>
      </c>
      <c r="W478" s="152">
        <f t="shared" si="144"/>
        <v>152138</v>
      </c>
      <c r="X478" s="127" t="str">
        <f t="shared" si="142"/>
        <v/>
      </c>
      <c r="Y478" s="207">
        <f t="shared" si="145"/>
        <v>152138</v>
      </c>
      <c r="Z478" s="139">
        <f t="shared" si="146"/>
        <v>152138</v>
      </c>
      <c r="AA478" s="139">
        <f t="shared" si="147"/>
        <v>0</v>
      </c>
      <c r="AC478" s="47">
        <f t="shared" si="148"/>
        <v>76069</v>
      </c>
      <c r="AD478" s="47">
        <f t="shared" si="149"/>
        <v>76069</v>
      </c>
      <c r="AE478" s="47">
        <f t="shared" si="150"/>
        <v>0</v>
      </c>
      <c r="AG478" s="47">
        <f t="shared" si="151"/>
        <v>76069</v>
      </c>
      <c r="AH478" s="47">
        <f t="shared" si="152"/>
        <v>76069</v>
      </c>
      <c r="AI478" s="208">
        <f t="shared" si="153"/>
        <v>0</v>
      </c>
    </row>
    <row r="479" spans="1:35">
      <c r="A479" t="s">
        <v>2105</v>
      </c>
      <c r="B479" t="s">
        <v>3142</v>
      </c>
      <c r="C479" t="s">
        <v>2188</v>
      </c>
      <c r="D479" t="s">
        <v>3714</v>
      </c>
      <c r="F479" t="s">
        <v>107</v>
      </c>
      <c r="G479" s="126">
        <f>SUMIFS('Support - Transition'!F:F,'Support - Transition'!B:B,'Step 2'!A479,'Support - Transition'!C:C,'Step 2'!B479,'Support - Transition'!D:D,'Step 2'!C479,'Support - Transition'!E:E,"CIVIL")</f>
        <v>6.8380000000000003E-3</v>
      </c>
      <c r="H479" s="126">
        <f>SUMIFS('Support - Transition'!F:F,'Support - Transition'!B:B,'Step 2'!A479,'Support - Transition'!C:C,'Step 2'!B479,'Support - Transition'!D:D,'Step 2'!C479,'Support - Transition'!E:E,"FIRE")</f>
        <v>8.2600000000000002E-4</v>
      </c>
      <c r="I479" s="126">
        <f>IF(B479="0",SUMIFS('Support - Transition'!F:F,'Support - Transition'!J:J,'Step 2'!D479,'Support - Transition'!E:E,"STATE UNIT"),SUMIFS('Support - Transition'!F:F,'Support - Transition'!J:J,'Step 2'!D479))</f>
        <v>7.6640000000000007E-3</v>
      </c>
      <c r="J479" s="126">
        <f>SUMIFS('Support - Unit Adjustments'!E:E,'Support - Unit Adjustments'!F:F,'Step 2'!D479)</f>
        <v>0</v>
      </c>
      <c r="K479" s="126">
        <f t="shared" si="137"/>
        <v>7.6640000000000007E-3</v>
      </c>
      <c r="L479" s="174">
        <f>VLOOKUP(A479,'Step 1'!$A:$E,4,FALSE)</f>
        <v>1065146</v>
      </c>
      <c r="M479" s="47">
        <f t="shared" si="138"/>
        <v>8163</v>
      </c>
      <c r="N479" s="177">
        <f>SUMIFS('Support - Transition'!G:G,'Support - Transition'!J:J,'Step 2'!D479,'Support - Transition'!E:E,"2009 WELFARE ALLOCATION FACTOR")</f>
        <v>0</v>
      </c>
      <c r="O479" s="152">
        <f t="shared" si="143"/>
        <v>0</v>
      </c>
      <c r="P479" s="126">
        <f>IF(E479="Y",0,SUMIFS('Support - Transition'!G:G,'Support - Transition'!J:J,'Step 2'!D479,'Support - Transition'!E:E,"2009 SCHOOL ALLOCATION FACTOR"))</f>
        <v>0</v>
      </c>
      <c r="Q479" s="126">
        <f>IF(E479="Y",VLOOKUP(D479,'Support - Unit Adjustments'!F:G,2,FALSE),0)</f>
        <v>0</v>
      </c>
      <c r="R479" s="155">
        <f t="shared" si="155"/>
        <v>0</v>
      </c>
      <c r="S479" s="47">
        <f t="shared" si="154"/>
        <v>0</v>
      </c>
      <c r="T479" s="151">
        <f t="shared" si="139"/>
        <v>8163</v>
      </c>
      <c r="U479" s="151">
        <f t="shared" si="140"/>
        <v>0</v>
      </c>
      <c r="V479" s="139">
        <f t="shared" si="141"/>
        <v>0</v>
      </c>
      <c r="W479" s="152">
        <f t="shared" si="144"/>
        <v>8163</v>
      </c>
      <c r="X479" s="127" t="str">
        <f t="shared" si="142"/>
        <v/>
      </c>
      <c r="Y479" s="207">
        <f t="shared" si="145"/>
        <v>8163</v>
      </c>
      <c r="Z479" s="139">
        <f t="shared" si="146"/>
        <v>7283</v>
      </c>
      <c r="AA479" s="139">
        <f t="shared" si="147"/>
        <v>880</v>
      </c>
      <c r="AC479" s="47">
        <f t="shared" si="148"/>
        <v>4082</v>
      </c>
      <c r="AD479" s="47">
        <f t="shared" si="149"/>
        <v>3642</v>
      </c>
      <c r="AE479" s="47">
        <f t="shared" si="150"/>
        <v>440</v>
      </c>
      <c r="AG479" s="47">
        <f t="shared" si="151"/>
        <v>4081</v>
      </c>
      <c r="AH479" s="47">
        <f t="shared" si="152"/>
        <v>3641</v>
      </c>
      <c r="AI479" s="208">
        <f t="shared" si="153"/>
        <v>440</v>
      </c>
    </row>
    <row r="480" spans="1:35">
      <c r="A480" t="s">
        <v>2105</v>
      </c>
      <c r="B480" t="s">
        <v>3142</v>
      </c>
      <c r="C480" t="s">
        <v>2189</v>
      </c>
      <c r="D480" t="s">
        <v>3715</v>
      </c>
      <c r="F480" t="s">
        <v>400</v>
      </c>
      <c r="G480" s="126">
        <f>SUMIFS('Support - Transition'!F:F,'Support - Transition'!B:B,'Step 2'!A480,'Support - Transition'!C:C,'Step 2'!B480,'Support - Transition'!D:D,'Step 2'!C480,'Support - Transition'!E:E,"CIVIL")</f>
        <v>3.9399999999999998E-4</v>
      </c>
      <c r="H480" s="126">
        <f>SUMIFS('Support - Transition'!F:F,'Support - Transition'!B:B,'Step 2'!A480,'Support - Transition'!C:C,'Step 2'!B480,'Support - Transition'!D:D,'Step 2'!C480,'Support - Transition'!E:E,"FIRE")</f>
        <v>2.0000000000000001E-4</v>
      </c>
      <c r="I480" s="126">
        <f>IF(B480="0",SUMIFS('Support - Transition'!F:F,'Support - Transition'!J:J,'Step 2'!D480,'Support - Transition'!E:E,"STATE UNIT"),SUMIFS('Support - Transition'!F:F,'Support - Transition'!J:J,'Step 2'!D480))</f>
        <v>5.9400000000000002E-4</v>
      </c>
      <c r="J480" s="126">
        <f>SUMIFS('Support - Unit Adjustments'!E:E,'Support - Unit Adjustments'!F:F,'Step 2'!D480)</f>
        <v>0</v>
      </c>
      <c r="K480" s="126">
        <f t="shared" si="137"/>
        <v>5.9400000000000002E-4</v>
      </c>
      <c r="L480" s="174">
        <f>VLOOKUP(A480,'Step 1'!$A:$E,4,FALSE)</f>
        <v>1065146</v>
      </c>
      <c r="M480" s="47">
        <f t="shared" si="138"/>
        <v>633</v>
      </c>
      <c r="N480" s="177">
        <f>SUMIFS('Support - Transition'!G:G,'Support - Transition'!J:J,'Step 2'!D480,'Support - Transition'!E:E,"2009 WELFARE ALLOCATION FACTOR")</f>
        <v>0</v>
      </c>
      <c r="O480" s="152">
        <f t="shared" si="143"/>
        <v>0</v>
      </c>
      <c r="P480" s="126">
        <f>IF(E480="Y",0,SUMIFS('Support - Transition'!G:G,'Support - Transition'!J:J,'Step 2'!D480,'Support - Transition'!E:E,"2009 SCHOOL ALLOCATION FACTOR"))</f>
        <v>0</v>
      </c>
      <c r="Q480" s="126">
        <f>IF(E480="Y",VLOOKUP(D480,'Support - Unit Adjustments'!F:G,2,FALSE),0)</f>
        <v>0</v>
      </c>
      <c r="R480" s="155">
        <f t="shared" si="155"/>
        <v>0</v>
      </c>
      <c r="S480" s="47">
        <f t="shared" si="154"/>
        <v>0</v>
      </c>
      <c r="T480" s="151">
        <f t="shared" si="139"/>
        <v>633</v>
      </c>
      <c r="U480" s="151">
        <f t="shared" si="140"/>
        <v>0</v>
      </c>
      <c r="V480" s="139">
        <f t="shared" si="141"/>
        <v>0</v>
      </c>
      <c r="W480" s="152">
        <f t="shared" si="144"/>
        <v>633</v>
      </c>
      <c r="X480" s="127" t="str">
        <f t="shared" si="142"/>
        <v/>
      </c>
      <c r="Y480" s="207">
        <f t="shared" si="145"/>
        <v>633</v>
      </c>
      <c r="Z480" s="139">
        <f t="shared" si="146"/>
        <v>420</v>
      </c>
      <c r="AA480" s="139">
        <f t="shared" si="147"/>
        <v>213</v>
      </c>
      <c r="AC480" s="47">
        <f t="shared" si="148"/>
        <v>317</v>
      </c>
      <c r="AD480" s="47">
        <f t="shared" si="149"/>
        <v>210</v>
      </c>
      <c r="AE480" s="47">
        <f t="shared" si="150"/>
        <v>107</v>
      </c>
      <c r="AG480" s="47">
        <f t="shared" si="151"/>
        <v>316</v>
      </c>
      <c r="AH480" s="47">
        <f t="shared" si="152"/>
        <v>210</v>
      </c>
      <c r="AI480" s="208">
        <f t="shared" si="153"/>
        <v>106</v>
      </c>
    </row>
    <row r="481" spans="1:35">
      <c r="A481" t="s">
        <v>2105</v>
      </c>
      <c r="B481" t="s">
        <v>3142</v>
      </c>
      <c r="C481" t="s">
        <v>2190</v>
      </c>
      <c r="D481" t="s">
        <v>3716</v>
      </c>
      <c r="F481" t="s">
        <v>401</v>
      </c>
      <c r="G481" s="126">
        <f>SUMIFS('Support - Transition'!F:F,'Support - Transition'!B:B,'Step 2'!A481,'Support - Transition'!C:C,'Step 2'!B481,'Support - Transition'!D:D,'Step 2'!C481,'Support - Transition'!E:E,"CIVIL")</f>
        <v>1.37E-4</v>
      </c>
      <c r="H481" s="126">
        <f>SUMIFS('Support - Transition'!F:F,'Support - Transition'!B:B,'Step 2'!A481,'Support - Transition'!C:C,'Step 2'!B481,'Support - Transition'!D:D,'Step 2'!C481,'Support - Transition'!E:E,"FIRE")</f>
        <v>4.73E-4</v>
      </c>
      <c r="I481" s="126">
        <f>IF(B481="0",SUMIFS('Support - Transition'!F:F,'Support - Transition'!J:J,'Step 2'!D481,'Support - Transition'!E:E,"STATE UNIT"),SUMIFS('Support - Transition'!F:F,'Support - Transition'!J:J,'Step 2'!D481))</f>
        <v>6.0999999999999997E-4</v>
      </c>
      <c r="J481" s="126">
        <f>SUMIFS('Support - Unit Adjustments'!E:E,'Support - Unit Adjustments'!F:F,'Step 2'!D481)</f>
        <v>0</v>
      </c>
      <c r="K481" s="126">
        <f t="shared" si="137"/>
        <v>6.0999999999999997E-4</v>
      </c>
      <c r="L481" s="174">
        <f>VLOOKUP(A481,'Step 1'!$A:$E,4,FALSE)</f>
        <v>1065146</v>
      </c>
      <c r="M481" s="47">
        <f t="shared" si="138"/>
        <v>650</v>
      </c>
      <c r="N481" s="177">
        <f>SUMIFS('Support - Transition'!G:G,'Support - Transition'!J:J,'Step 2'!D481,'Support - Transition'!E:E,"2009 WELFARE ALLOCATION FACTOR")</f>
        <v>0</v>
      </c>
      <c r="O481" s="152">
        <f t="shared" si="143"/>
        <v>0</v>
      </c>
      <c r="P481" s="126">
        <f>IF(E481="Y",0,SUMIFS('Support - Transition'!G:G,'Support - Transition'!J:J,'Step 2'!D481,'Support - Transition'!E:E,"2009 SCHOOL ALLOCATION FACTOR"))</f>
        <v>0</v>
      </c>
      <c r="Q481" s="126">
        <f>IF(E481="Y",VLOOKUP(D481,'Support - Unit Adjustments'!F:G,2,FALSE),0)</f>
        <v>0</v>
      </c>
      <c r="R481" s="155">
        <f t="shared" si="155"/>
        <v>0</v>
      </c>
      <c r="S481" s="47">
        <f t="shared" si="154"/>
        <v>0</v>
      </c>
      <c r="T481" s="151">
        <f t="shared" si="139"/>
        <v>650</v>
      </c>
      <c r="U481" s="151">
        <f t="shared" si="140"/>
        <v>0</v>
      </c>
      <c r="V481" s="139">
        <f t="shared" si="141"/>
        <v>0</v>
      </c>
      <c r="W481" s="152">
        <f t="shared" si="144"/>
        <v>650</v>
      </c>
      <c r="X481" s="127" t="str">
        <f t="shared" si="142"/>
        <v/>
      </c>
      <c r="Y481" s="207">
        <f t="shared" si="145"/>
        <v>650</v>
      </c>
      <c r="Z481" s="139">
        <f t="shared" si="146"/>
        <v>146</v>
      </c>
      <c r="AA481" s="139">
        <f t="shared" si="147"/>
        <v>504</v>
      </c>
      <c r="AC481" s="47">
        <f t="shared" si="148"/>
        <v>325</v>
      </c>
      <c r="AD481" s="47">
        <f t="shared" si="149"/>
        <v>73</v>
      </c>
      <c r="AE481" s="47">
        <f t="shared" si="150"/>
        <v>252</v>
      </c>
      <c r="AG481" s="47">
        <f t="shared" si="151"/>
        <v>325</v>
      </c>
      <c r="AH481" s="47">
        <f t="shared" si="152"/>
        <v>73</v>
      </c>
      <c r="AI481" s="208">
        <f t="shared" si="153"/>
        <v>252</v>
      </c>
    </row>
    <row r="482" spans="1:35">
      <c r="A482" t="s">
        <v>2105</v>
      </c>
      <c r="B482" t="s">
        <v>3142</v>
      </c>
      <c r="C482" t="s">
        <v>2191</v>
      </c>
      <c r="D482" t="s">
        <v>3717</v>
      </c>
      <c r="F482" t="s">
        <v>86</v>
      </c>
      <c r="G482" s="126">
        <f>SUMIFS('Support - Transition'!F:F,'Support - Transition'!B:B,'Step 2'!A482,'Support - Transition'!C:C,'Step 2'!B482,'Support - Transition'!D:D,'Step 2'!C482,'Support - Transition'!E:E,"CIVIL")</f>
        <v>2.1900000000000001E-4</v>
      </c>
      <c r="H482" s="126">
        <f>SUMIFS('Support - Transition'!F:F,'Support - Transition'!B:B,'Step 2'!A482,'Support - Transition'!C:C,'Step 2'!B482,'Support - Transition'!D:D,'Step 2'!C482,'Support - Transition'!E:E,"FIRE")</f>
        <v>7.4999999999999993E-5</v>
      </c>
      <c r="I482" s="126">
        <f>IF(B482="0",SUMIFS('Support - Transition'!F:F,'Support - Transition'!J:J,'Step 2'!D482,'Support - Transition'!E:E,"STATE UNIT"),SUMIFS('Support - Transition'!F:F,'Support - Transition'!J:J,'Step 2'!D482))</f>
        <v>2.9399999999999999E-4</v>
      </c>
      <c r="J482" s="126">
        <f>SUMIFS('Support - Unit Adjustments'!E:E,'Support - Unit Adjustments'!F:F,'Step 2'!D482)</f>
        <v>0</v>
      </c>
      <c r="K482" s="126">
        <f t="shared" si="137"/>
        <v>2.9399999999999999E-4</v>
      </c>
      <c r="L482" s="174">
        <f>VLOOKUP(A482,'Step 1'!$A:$E,4,FALSE)</f>
        <v>1065146</v>
      </c>
      <c r="M482" s="47">
        <f t="shared" si="138"/>
        <v>313</v>
      </c>
      <c r="N482" s="177">
        <f>SUMIFS('Support - Transition'!G:G,'Support - Transition'!J:J,'Step 2'!D482,'Support - Transition'!E:E,"2009 WELFARE ALLOCATION FACTOR")</f>
        <v>0</v>
      </c>
      <c r="O482" s="152">
        <f t="shared" si="143"/>
        <v>0</v>
      </c>
      <c r="P482" s="126">
        <f>IF(E482="Y",0,SUMIFS('Support - Transition'!G:G,'Support - Transition'!J:J,'Step 2'!D482,'Support - Transition'!E:E,"2009 SCHOOL ALLOCATION FACTOR"))</f>
        <v>0</v>
      </c>
      <c r="Q482" s="126">
        <f>IF(E482="Y",VLOOKUP(D482,'Support - Unit Adjustments'!F:G,2,FALSE),0)</f>
        <v>0</v>
      </c>
      <c r="R482" s="155">
        <f t="shared" si="155"/>
        <v>0</v>
      </c>
      <c r="S482" s="47">
        <f t="shared" si="154"/>
        <v>0</v>
      </c>
      <c r="T482" s="151">
        <f t="shared" si="139"/>
        <v>313</v>
      </c>
      <c r="U482" s="151">
        <f t="shared" si="140"/>
        <v>0</v>
      </c>
      <c r="V482" s="139">
        <f t="shared" si="141"/>
        <v>0</v>
      </c>
      <c r="W482" s="152">
        <f t="shared" si="144"/>
        <v>313</v>
      </c>
      <c r="X482" s="127" t="str">
        <f t="shared" si="142"/>
        <v/>
      </c>
      <c r="Y482" s="207">
        <f t="shared" si="145"/>
        <v>313</v>
      </c>
      <c r="Z482" s="139">
        <f t="shared" si="146"/>
        <v>233</v>
      </c>
      <c r="AA482" s="139">
        <f t="shared" si="147"/>
        <v>80</v>
      </c>
      <c r="AC482" s="47">
        <f t="shared" si="148"/>
        <v>157</v>
      </c>
      <c r="AD482" s="47">
        <f t="shared" si="149"/>
        <v>117</v>
      </c>
      <c r="AE482" s="47">
        <f t="shared" si="150"/>
        <v>40</v>
      </c>
      <c r="AG482" s="47">
        <f t="shared" si="151"/>
        <v>156</v>
      </c>
      <c r="AH482" s="47">
        <f t="shared" si="152"/>
        <v>116</v>
      </c>
      <c r="AI482" s="208">
        <f t="shared" si="153"/>
        <v>40</v>
      </c>
    </row>
    <row r="483" spans="1:35">
      <c r="A483" t="s">
        <v>2105</v>
      </c>
      <c r="B483" t="s">
        <v>3142</v>
      </c>
      <c r="C483" t="s">
        <v>2192</v>
      </c>
      <c r="D483" t="s">
        <v>3718</v>
      </c>
      <c r="F483" t="s">
        <v>181</v>
      </c>
      <c r="G483" s="126">
        <f>SUMIFS('Support - Transition'!F:F,'Support - Transition'!B:B,'Step 2'!A483,'Support - Transition'!C:C,'Step 2'!B483,'Support - Transition'!D:D,'Step 2'!C483,'Support - Transition'!E:E,"CIVIL")</f>
        <v>1.47E-4</v>
      </c>
      <c r="H483" s="126">
        <f>SUMIFS('Support - Transition'!F:F,'Support - Transition'!B:B,'Step 2'!A483,'Support - Transition'!C:C,'Step 2'!B483,'Support - Transition'!D:D,'Step 2'!C483,'Support - Transition'!E:E,"FIRE")</f>
        <v>1.25E-4</v>
      </c>
      <c r="I483" s="126">
        <f>IF(B483="0",SUMIFS('Support - Transition'!F:F,'Support - Transition'!J:J,'Step 2'!D483,'Support - Transition'!E:E,"STATE UNIT"),SUMIFS('Support - Transition'!F:F,'Support - Transition'!J:J,'Step 2'!D483))</f>
        <v>2.72E-4</v>
      </c>
      <c r="J483" s="126">
        <f>SUMIFS('Support - Unit Adjustments'!E:E,'Support - Unit Adjustments'!F:F,'Step 2'!D483)</f>
        <v>0</v>
      </c>
      <c r="K483" s="126">
        <f t="shared" si="137"/>
        <v>2.72E-4</v>
      </c>
      <c r="L483" s="174">
        <f>VLOOKUP(A483,'Step 1'!$A:$E,4,FALSE)</f>
        <v>1065146</v>
      </c>
      <c r="M483" s="47">
        <f t="shared" si="138"/>
        <v>290</v>
      </c>
      <c r="N483" s="177">
        <f>SUMIFS('Support - Transition'!G:G,'Support - Transition'!J:J,'Step 2'!D483,'Support - Transition'!E:E,"2009 WELFARE ALLOCATION FACTOR")</f>
        <v>0</v>
      </c>
      <c r="O483" s="152">
        <f t="shared" si="143"/>
        <v>0</v>
      </c>
      <c r="P483" s="126">
        <f>IF(E483="Y",0,SUMIFS('Support - Transition'!G:G,'Support - Transition'!J:J,'Step 2'!D483,'Support - Transition'!E:E,"2009 SCHOOL ALLOCATION FACTOR"))</f>
        <v>0</v>
      </c>
      <c r="Q483" s="126">
        <f>IF(E483="Y",VLOOKUP(D483,'Support - Unit Adjustments'!F:G,2,FALSE),0)</f>
        <v>0</v>
      </c>
      <c r="R483" s="155">
        <f t="shared" si="155"/>
        <v>0</v>
      </c>
      <c r="S483" s="47">
        <f t="shared" si="154"/>
        <v>0</v>
      </c>
      <c r="T483" s="151">
        <f t="shared" si="139"/>
        <v>290</v>
      </c>
      <c r="U483" s="151">
        <f t="shared" si="140"/>
        <v>0</v>
      </c>
      <c r="V483" s="139">
        <f t="shared" si="141"/>
        <v>0</v>
      </c>
      <c r="W483" s="152">
        <f t="shared" si="144"/>
        <v>290</v>
      </c>
      <c r="X483" s="127" t="str">
        <f t="shared" si="142"/>
        <v/>
      </c>
      <c r="Y483" s="207">
        <f t="shared" si="145"/>
        <v>290</v>
      </c>
      <c r="Z483" s="139">
        <f t="shared" si="146"/>
        <v>157</v>
      </c>
      <c r="AA483" s="139">
        <f t="shared" si="147"/>
        <v>133</v>
      </c>
      <c r="AC483" s="47">
        <f t="shared" si="148"/>
        <v>145</v>
      </c>
      <c r="AD483" s="47">
        <f t="shared" si="149"/>
        <v>79</v>
      </c>
      <c r="AE483" s="47">
        <f t="shared" si="150"/>
        <v>67</v>
      </c>
      <c r="AG483" s="47">
        <f t="shared" si="151"/>
        <v>145</v>
      </c>
      <c r="AH483" s="47">
        <f t="shared" si="152"/>
        <v>78</v>
      </c>
      <c r="AI483" s="208">
        <f t="shared" si="153"/>
        <v>66</v>
      </c>
    </row>
    <row r="484" spans="1:35">
      <c r="A484" t="s">
        <v>2105</v>
      </c>
      <c r="B484" t="s">
        <v>3142</v>
      </c>
      <c r="C484" t="s">
        <v>2193</v>
      </c>
      <c r="D484" t="s">
        <v>3719</v>
      </c>
      <c r="F484" t="s">
        <v>16</v>
      </c>
      <c r="G484" s="126">
        <f>SUMIFS('Support - Transition'!F:F,'Support - Transition'!B:B,'Step 2'!A484,'Support - Transition'!C:C,'Step 2'!B484,'Support - Transition'!D:D,'Step 2'!C484,'Support - Transition'!E:E,"CIVIL")</f>
        <v>7.5500000000000003E-4</v>
      </c>
      <c r="H484" s="126">
        <f>SUMIFS('Support - Transition'!F:F,'Support - Transition'!B:B,'Step 2'!A484,'Support - Transition'!C:C,'Step 2'!B484,'Support - Transition'!D:D,'Step 2'!C484,'Support - Transition'!E:E,"FIRE")</f>
        <v>3.57E-4</v>
      </c>
      <c r="I484" s="126">
        <f>IF(B484="0",SUMIFS('Support - Transition'!F:F,'Support - Transition'!J:J,'Step 2'!D484,'Support - Transition'!E:E,"STATE UNIT"),SUMIFS('Support - Transition'!F:F,'Support - Transition'!J:J,'Step 2'!D484))</f>
        <v>1.1120000000000001E-3</v>
      </c>
      <c r="J484" s="126">
        <f>SUMIFS('Support - Unit Adjustments'!E:E,'Support - Unit Adjustments'!F:F,'Step 2'!D484)</f>
        <v>0</v>
      </c>
      <c r="K484" s="126">
        <f t="shared" si="137"/>
        <v>1.1120000000000001E-3</v>
      </c>
      <c r="L484" s="174">
        <f>VLOOKUP(A484,'Step 1'!$A:$E,4,FALSE)</f>
        <v>1065146</v>
      </c>
      <c r="M484" s="47">
        <f t="shared" si="138"/>
        <v>1184</v>
      </c>
      <c r="N484" s="177">
        <f>SUMIFS('Support - Transition'!G:G,'Support - Transition'!J:J,'Step 2'!D484,'Support - Transition'!E:E,"2009 WELFARE ALLOCATION FACTOR")</f>
        <v>0</v>
      </c>
      <c r="O484" s="152">
        <f t="shared" si="143"/>
        <v>0</v>
      </c>
      <c r="P484" s="126">
        <f>IF(E484="Y",0,SUMIFS('Support - Transition'!G:G,'Support - Transition'!J:J,'Step 2'!D484,'Support - Transition'!E:E,"2009 SCHOOL ALLOCATION FACTOR"))</f>
        <v>0</v>
      </c>
      <c r="Q484" s="126">
        <f>IF(E484="Y",VLOOKUP(D484,'Support - Unit Adjustments'!F:G,2,FALSE),0)</f>
        <v>0</v>
      </c>
      <c r="R484" s="155">
        <f t="shared" si="155"/>
        <v>0</v>
      </c>
      <c r="S484" s="47">
        <f t="shared" si="154"/>
        <v>0</v>
      </c>
      <c r="T484" s="151">
        <f t="shared" si="139"/>
        <v>1184</v>
      </c>
      <c r="U484" s="151">
        <f t="shared" si="140"/>
        <v>0</v>
      </c>
      <c r="V484" s="139">
        <f t="shared" si="141"/>
        <v>0</v>
      </c>
      <c r="W484" s="152">
        <f t="shared" si="144"/>
        <v>1184</v>
      </c>
      <c r="X484" s="127" t="str">
        <f t="shared" si="142"/>
        <v/>
      </c>
      <c r="Y484" s="207">
        <f t="shared" si="145"/>
        <v>1184</v>
      </c>
      <c r="Z484" s="139">
        <f t="shared" si="146"/>
        <v>804</v>
      </c>
      <c r="AA484" s="139">
        <f t="shared" si="147"/>
        <v>380</v>
      </c>
      <c r="AC484" s="47">
        <f t="shared" si="148"/>
        <v>592</v>
      </c>
      <c r="AD484" s="47">
        <f t="shared" si="149"/>
        <v>402</v>
      </c>
      <c r="AE484" s="47">
        <f t="shared" si="150"/>
        <v>190</v>
      </c>
      <c r="AG484" s="47">
        <f t="shared" si="151"/>
        <v>592</v>
      </c>
      <c r="AH484" s="47">
        <f t="shared" si="152"/>
        <v>402</v>
      </c>
      <c r="AI484" s="208">
        <f t="shared" si="153"/>
        <v>190</v>
      </c>
    </row>
    <row r="485" spans="1:35">
      <c r="A485" t="s">
        <v>2105</v>
      </c>
      <c r="B485" t="s">
        <v>3142</v>
      </c>
      <c r="C485" t="s">
        <v>2195</v>
      </c>
      <c r="D485" t="s">
        <v>3720</v>
      </c>
      <c r="F485" t="s">
        <v>403</v>
      </c>
      <c r="G485" s="126">
        <f>SUMIFS('Support - Transition'!F:F,'Support - Transition'!B:B,'Step 2'!A485,'Support - Transition'!C:C,'Step 2'!B485,'Support - Transition'!D:D,'Step 2'!C485,'Support - Transition'!E:E,"CIVIL")</f>
        <v>1.7699999999999999E-4</v>
      </c>
      <c r="H485" s="126">
        <f>SUMIFS('Support - Transition'!F:F,'Support - Transition'!B:B,'Step 2'!A485,'Support - Transition'!C:C,'Step 2'!B485,'Support - Transition'!D:D,'Step 2'!C485,'Support - Transition'!E:E,"FIRE")</f>
        <v>3.8999999999999999E-5</v>
      </c>
      <c r="I485" s="126">
        <f>IF(B485="0",SUMIFS('Support - Transition'!F:F,'Support - Transition'!J:J,'Step 2'!D485,'Support - Transition'!E:E,"STATE UNIT"),SUMIFS('Support - Transition'!F:F,'Support - Transition'!J:J,'Step 2'!D485))</f>
        <v>2.1599999999999999E-4</v>
      </c>
      <c r="J485" s="126">
        <f>SUMIFS('Support - Unit Adjustments'!E:E,'Support - Unit Adjustments'!F:F,'Step 2'!D485)</f>
        <v>0</v>
      </c>
      <c r="K485" s="126">
        <f t="shared" si="137"/>
        <v>2.1599999999999999E-4</v>
      </c>
      <c r="L485" s="174">
        <f>VLOOKUP(A485,'Step 1'!$A:$E,4,FALSE)</f>
        <v>1065146</v>
      </c>
      <c r="M485" s="47">
        <f t="shared" si="138"/>
        <v>230</v>
      </c>
      <c r="N485" s="177">
        <f>SUMIFS('Support - Transition'!G:G,'Support - Transition'!J:J,'Step 2'!D485,'Support - Transition'!E:E,"2009 WELFARE ALLOCATION FACTOR")</f>
        <v>0</v>
      </c>
      <c r="O485" s="152">
        <f t="shared" si="143"/>
        <v>0</v>
      </c>
      <c r="P485" s="126">
        <f>IF(E485="Y",0,SUMIFS('Support - Transition'!G:G,'Support - Transition'!J:J,'Step 2'!D485,'Support - Transition'!E:E,"2009 SCHOOL ALLOCATION FACTOR"))</f>
        <v>0</v>
      </c>
      <c r="Q485" s="126">
        <f>IF(E485="Y",VLOOKUP(D485,'Support - Unit Adjustments'!F:G,2,FALSE),0)</f>
        <v>0</v>
      </c>
      <c r="R485" s="155">
        <f t="shared" si="155"/>
        <v>0</v>
      </c>
      <c r="S485" s="47">
        <f t="shared" si="154"/>
        <v>0</v>
      </c>
      <c r="T485" s="151">
        <f t="shared" si="139"/>
        <v>230</v>
      </c>
      <c r="U485" s="151">
        <f t="shared" si="140"/>
        <v>0</v>
      </c>
      <c r="V485" s="139">
        <f t="shared" si="141"/>
        <v>0</v>
      </c>
      <c r="W485" s="152">
        <f t="shared" si="144"/>
        <v>230</v>
      </c>
      <c r="X485" s="127" t="str">
        <f t="shared" si="142"/>
        <v/>
      </c>
      <c r="Y485" s="207">
        <f t="shared" si="145"/>
        <v>230</v>
      </c>
      <c r="Z485" s="139">
        <f t="shared" si="146"/>
        <v>188</v>
      </c>
      <c r="AA485" s="139">
        <f t="shared" si="147"/>
        <v>42</v>
      </c>
      <c r="AC485" s="47">
        <f t="shared" si="148"/>
        <v>115</v>
      </c>
      <c r="AD485" s="47">
        <f t="shared" si="149"/>
        <v>94</v>
      </c>
      <c r="AE485" s="47">
        <f t="shared" si="150"/>
        <v>21</v>
      </c>
      <c r="AG485" s="47">
        <f t="shared" si="151"/>
        <v>115</v>
      </c>
      <c r="AH485" s="47">
        <f t="shared" si="152"/>
        <v>94</v>
      </c>
      <c r="AI485" s="208">
        <f t="shared" si="153"/>
        <v>21</v>
      </c>
    </row>
    <row r="486" spans="1:35">
      <c r="A486" t="s">
        <v>2105</v>
      </c>
      <c r="B486" t="s">
        <v>3142</v>
      </c>
      <c r="C486" t="s">
        <v>2196</v>
      </c>
      <c r="D486" t="s">
        <v>3721</v>
      </c>
      <c r="F486" t="s">
        <v>56</v>
      </c>
      <c r="G486" s="126">
        <f>SUMIFS('Support - Transition'!F:F,'Support - Transition'!B:B,'Step 2'!A486,'Support - Transition'!C:C,'Step 2'!B486,'Support - Transition'!D:D,'Step 2'!C486,'Support - Transition'!E:E,"CIVIL")</f>
        <v>2.4000000000000001E-5</v>
      </c>
      <c r="H486" s="126">
        <f>SUMIFS('Support - Transition'!F:F,'Support - Transition'!B:B,'Step 2'!A486,'Support - Transition'!C:C,'Step 2'!B486,'Support - Transition'!D:D,'Step 2'!C486,'Support - Transition'!E:E,"FIRE")</f>
        <v>1.5E-5</v>
      </c>
      <c r="I486" s="126">
        <f>IF(B486="0",SUMIFS('Support - Transition'!F:F,'Support - Transition'!J:J,'Step 2'!D486,'Support - Transition'!E:E,"STATE UNIT"),SUMIFS('Support - Transition'!F:F,'Support - Transition'!J:J,'Step 2'!D486))</f>
        <v>3.8999999999999999E-5</v>
      </c>
      <c r="J486" s="126">
        <f>SUMIFS('Support - Unit Adjustments'!E:E,'Support - Unit Adjustments'!F:F,'Step 2'!D486)</f>
        <v>0</v>
      </c>
      <c r="K486" s="126">
        <f t="shared" si="137"/>
        <v>3.8999999999999999E-5</v>
      </c>
      <c r="L486" s="174">
        <f>VLOOKUP(A486,'Step 1'!$A:$E,4,FALSE)</f>
        <v>1065146</v>
      </c>
      <c r="M486" s="47">
        <f t="shared" si="138"/>
        <v>42</v>
      </c>
      <c r="N486" s="177">
        <f>SUMIFS('Support - Transition'!G:G,'Support - Transition'!J:J,'Step 2'!D486,'Support - Transition'!E:E,"2009 WELFARE ALLOCATION FACTOR")</f>
        <v>0</v>
      </c>
      <c r="O486" s="152">
        <f t="shared" si="143"/>
        <v>0</v>
      </c>
      <c r="P486" s="126">
        <f>IF(E486="Y",0,SUMIFS('Support - Transition'!G:G,'Support - Transition'!J:J,'Step 2'!D486,'Support - Transition'!E:E,"2009 SCHOOL ALLOCATION FACTOR"))</f>
        <v>0</v>
      </c>
      <c r="Q486" s="126">
        <f>IF(E486="Y",VLOOKUP(D486,'Support - Unit Adjustments'!F:G,2,FALSE),0)</f>
        <v>0</v>
      </c>
      <c r="R486" s="155">
        <f t="shared" si="155"/>
        <v>0</v>
      </c>
      <c r="S486" s="47">
        <f t="shared" si="154"/>
        <v>0</v>
      </c>
      <c r="T486" s="151">
        <f t="shared" si="139"/>
        <v>42</v>
      </c>
      <c r="U486" s="151">
        <f t="shared" si="140"/>
        <v>0</v>
      </c>
      <c r="V486" s="139">
        <f t="shared" si="141"/>
        <v>0</v>
      </c>
      <c r="W486" s="152">
        <f t="shared" si="144"/>
        <v>42</v>
      </c>
      <c r="X486" s="127" t="str">
        <f t="shared" si="142"/>
        <v/>
      </c>
      <c r="Y486" s="207">
        <f t="shared" si="145"/>
        <v>42</v>
      </c>
      <c r="Z486" s="139">
        <f t="shared" si="146"/>
        <v>26</v>
      </c>
      <c r="AA486" s="139">
        <f t="shared" si="147"/>
        <v>16</v>
      </c>
      <c r="AC486" s="47">
        <f t="shared" si="148"/>
        <v>21</v>
      </c>
      <c r="AD486" s="47">
        <f t="shared" si="149"/>
        <v>13</v>
      </c>
      <c r="AE486" s="47">
        <f t="shared" si="150"/>
        <v>8</v>
      </c>
      <c r="AG486" s="47">
        <f t="shared" si="151"/>
        <v>21</v>
      </c>
      <c r="AH486" s="47">
        <f t="shared" si="152"/>
        <v>13</v>
      </c>
      <c r="AI486" s="208">
        <f t="shared" si="153"/>
        <v>8</v>
      </c>
    </row>
    <row r="487" spans="1:35">
      <c r="A487" t="s">
        <v>2105</v>
      </c>
      <c r="B487" t="s">
        <v>3142</v>
      </c>
      <c r="C487" t="s">
        <v>2197</v>
      </c>
      <c r="D487" t="s">
        <v>3722</v>
      </c>
      <c r="F487" t="s">
        <v>404</v>
      </c>
      <c r="G487" s="126">
        <f>SUMIFS('Support - Transition'!F:F,'Support - Transition'!B:B,'Step 2'!A487,'Support - Transition'!C:C,'Step 2'!B487,'Support - Transition'!D:D,'Step 2'!C487,'Support - Transition'!E:E,"CIVIL")</f>
        <v>2.5500000000000002E-3</v>
      </c>
      <c r="H487" s="126">
        <f>SUMIFS('Support - Transition'!F:F,'Support - Transition'!B:B,'Step 2'!A487,'Support - Transition'!C:C,'Step 2'!B487,'Support - Transition'!D:D,'Step 2'!C487,'Support - Transition'!E:E,"FIRE")</f>
        <v>1.5479999999999999E-3</v>
      </c>
      <c r="I487" s="126">
        <f>IF(B487="0",SUMIFS('Support - Transition'!F:F,'Support - Transition'!J:J,'Step 2'!D487,'Support - Transition'!E:E,"STATE UNIT"),SUMIFS('Support - Transition'!F:F,'Support - Transition'!J:J,'Step 2'!D487))</f>
        <v>4.0980000000000001E-3</v>
      </c>
      <c r="J487" s="126">
        <f>SUMIFS('Support - Unit Adjustments'!E:E,'Support - Unit Adjustments'!F:F,'Step 2'!D487)</f>
        <v>0</v>
      </c>
      <c r="K487" s="126">
        <f t="shared" si="137"/>
        <v>4.0980000000000001E-3</v>
      </c>
      <c r="L487" s="174">
        <f>VLOOKUP(A487,'Step 1'!$A:$E,4,FALSE)</f>
        <v>1065146</v>
      </c>
      <c r="M487" s="47">
        <f t="shared" si="138"/>
        <v>4365</v>
      </c>
      <c r="N487" s="177">
        <f>SUMIFS('Support - Transition'!G:G,'Support - Transition'!J:J,'Step 2'!D487,'Support - Transition'!E:E,"2009 WELFARE ALLOCATION FACTOR")</f>
        <v>0</v>
      </c>
      <c r="O487" s="152">
        <f t="shared" si="143"/>
        <v>0</v>
      </c>
      <c r="P487" s="126">
        <f>IF(E487="Y",0,SUMIFS('Support - Transition'!G:G,'Support - Transition'!J:J,'Step 2'!D487,'Support - Transition'!E:E,"2009 SCHOOL ALLOCATION FACTOR"))</f>
        <v>0</v>
      </c>
      <c r="Q487" s="126">
        <f>IF(E487="Y",VLOOKUP(D487,'Support - Unit Adjustments'!F:G,2,FALSE),0)</f>
        <v>0</v>
      </c>
      <c r="R487" s="155">
        <f t="shared" si="155"/>
        <v>0</v>
      </c>
      <c r="S487" s="47">
        <f t="shared" si="154"/>
        <v>0</v>
      </c>
      <c r="T487" s="151">
        <f t="shared" si="139"/>
        <v>4365</v>
      </c>
      <c r="U487" s="151">
        <f t="shared" si="140"/>
        <v>0</v>
      </c>
      <c r="V487" s="139">
        <f t="shared" si="141"/>
        <v>0</v>
      </c>
      <c r="W487" s="152">
        <f t="shared" si="144"/>
        <v>4365</v>
      </c>
      <c r="X487" s="127" t="str">
        <f t="shared" si="142"/>
        <v/>
      </c>
      <c r="Y487" s="207">
        <f t="shared" si="145"/>
        <v>4365</v>
      </c>
      <c r="Z487" s="139">
        <f t="shared" si="146"/>
        <v>2716</v>
      </c>
      <c r="AA487" s="139">
        <f t="shared" si="147"/>
        <v>1649</v>
      </c>
      <c r="AC487" s="47">
        <f t="shared" si="148"/>
        <v>2183</v>
      </c>
      <c r="AD487" s="47">
        <f t="shared" si="149"/>
        <v>1358</v>
      </c>
      <c r="AE487" s="47">
        <f t="shared" si="150"/>
        <v>825</v>
      </c>
      <c r="AG487" s="47">
        <f t="shared" si="151"/>
        <v>2182</v>
      </c>
      <c r="AH487" s="47">
        <f t="shared" si="152"/>
        <v>1358</v>
      </c>
      <c r="AI487" s="208">
        <f t="shared" si="153"/>
        <v>824</v>
      </c>
    </row>
    <row r="488" spans="1:35">
      <c r="A488" t="s">
        <v>2105</v>
      </c>
      <c r="B488" t="s">
        <v>3142</v>
      </c>
      <c r="C488" t="s">
        <v>2198</v>
      </c>
      <c r="D488" t="s">
        <v>3723</v>
      </c>
      <c r="F488" t="s">
        <v>20</v>
      </c>
      <c r="G488" s="126">
        <f>SUMIFS('Support - Transition'!F:F,'Support - Transition'!B:B,'Step 2'!A488,'Support - Transition'!C:C,'Step 2'!B488,'Support - Transition'!D:D,'Step 2'!C488,'Support - Transition'!E:E,"CIVIL")</f>
        <v>1.8900000000000001E-4</v>
      </c>
      <c r="H488" s="126">
        <f>SUMIFS('Support - Transition'!F:F,'Support - Transition'!B:B,'Step 2'!A488,'Support - Transition'!C:C,'Step 2'!B488,'Support - Transition'!D:D,'Step 2'!C488,'Support - Transition'!E:E,"FIRE")</f>
        <v>8.6000000000000003E-5</v>
      </c>
      <c r="I488" s="126">
        <f>IF(B488="0",SUMIFS('Support - Transition'!F:F,'Support - Transition'!J:J,'Step 2'!D488,'Support - Transition'!E:E,"STATE UNIT"),SUMIFS('Support - Transition'!F:F,'Support - Transition'!J:J,'Step 2'!D488))</f>
        <v>2.7500000000000002E-4</v>
      </c>
      <c r="J488" s="126">
        <f>SUMIFS('Support - Unit Adjustments'!E:E,'Support - Unit Adjustments'!F:F,'Step 2'!D488)</f>
        <v>0</v>
      </c>
      <c r="K488" s="126">
        <f t="shared" si="137"/>
        <v>2.7500000000000002E-4</v>
      </c>
      <c r="L488" s="174">
        <f>VLOOKUP(A488,'Step 1'!$A:$E,4,FALSE)</f>
        <v>1065146</v>
      </c>
      <c r="M488" s="47">
        <f t="shared" si="138"/>
        <v>293</v>
      </c>
      <c r="N488" s="177">
        <f>SUMIFS('Support - Transition'!G:G,'Support - Transition'!J:J,'Step 2'!D488,'Support - Transition'!E:E,"2009 WELFARE ALLOCATION FACTOR")</f>
        <v>0</v>
      </c>
      <c r="O488" s="152">
        <f t="shared" si="143"/>
        <v>0</v>
      </c>
      <c r="P488" s="126">
        <f>IF(E488="Y",0,SUMIFS('Support - Transition'!G:G,'Support - Transition'!J:J,'Step 2'!D488,'Support - Transition'!E:E,"2009 SCHOOL ALLOCATION FACTOR"))</f>
        <v>0</v>
      </c>
      <c r="Q488" s="126">
        <f>IF(E488="Y",VLOOKUP(D488,'Support - Unit Adjustments'!F:G,2,FALSE),0)</f>
        <v>0</v>
      </c>
      <c r="R488" s="155">
        <f t="shared" si="155"/>
        <v>0</v>
      </c>
      <c r="S488" s="47">
        <f t="shared" si="154"/>
        <v>0</v>
      </c>
      <c r="T488" s="151">
        <f t="shared" si="139"/>
        <v>293</v>
      </c>
      <c r="U488" s="151">
        <f t="shared" si="140"/>
        <v>0</v>
      </c>
      <c r="V488" s="139">
        <f t="shared" si="141"/>
        <v>0</v>
      </c>
      <c r="W488" s="152">
        <f t="shared" si="144"/>
        <v>293</v>
      </c>
      <c r="X488" s="127" t="str">
        <f t="shared" si="142"/>
        <v/>
      </c>
      <c r="Y488" s="207">
        <f t="shared" si="145"/>
        <v>293</v>
      </c>
      <c r="Z488" s="139">
        <f t="shared" si="146"/>
        <v>201</v>
      </c>
      <c r="AA488" s="139">
        <f t="shared" si="147"/>
        <v>92</v>
      </c>
      <c r="AC488" s="47">
        <f t="shared" si="148"/>
        <v>147</v>
      </c>
      <c r="AD488" s="47">
        <f t="shared" si="149"/>
        <v>101</v>
      </c>
      <c r="AE488" s="47">
        <f t="shared" si="150"/>
        <v>46</v>
      </c>
      <c r="AG488" s="47">
        <f t="shared" si="151"/>
        <v>146</v>
      </c>
      <c r="AH488" s="47">
        <f t="shared" si="152"/>
        <v>100</v>
      </c>
      <c r="AI488" s="208">
        <f t="shared" si="153"/>
        <v>46</v>
      </c>
    </row>
    <row r="489" spans="1:35">
      <c r="A489" t="s">
        <v>2105</v>
      </c>
      <c r="B489" t="s">
        <v>3142</v>
      </c>
      <c r="C489" t="s">
        <v>2199</v>
      </c>
      <c r="D489" t="s">
        <v>3724</v>
      </c>
      <c r="F489" t="s">
        <v>22</v>
      </c>
      <c r="G489" s="126">
        <f>SUMIFS('Support - Transition'!F:F,'Support - Transition'!B:B,'Step 2'!A489,'Support - Transition'!C:C,'Step 2'!B489,'Support - Transition'!D:D,'Step 2'!C489,'Support - Transition'!E:E,"CIVIL")</f>
        <v>2.5300000000000002E-4</v>
      </c>
      <c r="H489" s="126">
        <f>SUMIFS('Support - Transition'!F:F,'Support - Transition'!B:B,'Step 2'!A489,'Support - Transition'!C:C,'Step 2'!B489,'Support - Transition'!D:D,'Step 2'!C489,'Support - Transition'!E:E,"FIRE")</f>
        <v>1.3899999999999999E-4</v>
      </c>
      <c r="I489" s="126">
        <f>IF(B489="0",SUMIFS('Support - Transition'!F:F,'Support - Transition'!J:J,'Step 2'!D489,'Support - Transition'!E:E,"STATE UNIT"),SUMIFS('Support - Transition'!F:F,'Support - Transition'!J:J,'Step 2'!D489))</f>
        <v>3.9199999999999999E-4</v>
      </c>
      <c r="J489" s="126">
        <f>SUMIFS('Support - Unit Adjustments'!E:E,'Support - Unit Adjustments'!F:F,'Step 2'!D489)</f>
        <v>0</v>
      </c>
      <c r="K489" s="126">
        <f t="shared" si="137"/>
        <v>3.9199999999999999E-4</v>
      </c>
      <c r="L489" s="174">
        <f>VLOOKUP(A489,'Step 1'!$A:$E,4,FALSE)</f>
        <v>1065146</v>
      </c>
      <c r="M489" s="47">
        <f t="shared" si="138"/>
        <v>418</v>
      </c>
      <c r="N489" s="177">
        <f>SUMIFS('Support - Transition'!G:G,'Support - Transition'!J:J,'Step 2'!D489,'Support - Transition'!E:E,"2009 WELFARE ALLOCATION FACTOR")</f>
        <v>0</v>
      </c>
      <c r="O489" s="152">
        <f t="shared" si="143"/>
        <v>0</v>
      </c>
      <c r="P489" s="126">
        <f>IF(E489="Y",0,SUMIFS('Support - Transition'!G:G,'Support - Transition'!J:J,'Step 2'!D489,'Support - Transition'!E:E,"2009 SCHOOL ALLOCATION FACTOR"))</f>
        <v>0</v>
      </c>
      <c r="Q489" s="126">
        <f>IF(E489="Y",VLOOKUP(D489,'Support - Unit Adjustments'!F:G,2,FALSE),0)</f>
        <v>0</v>
      </c>
      <c r="R489" s="155">
        <f t="shared" si="155"/>
        <v>0</v>
      </c>
      <c r="S489" s="47">
        <f t="shared" si="154"/>
        <v>0</v>
      </c>
      <c r="T489" s="151">
        <f t="shared" si="139"/>
        <v>418</v>
      </c>
      <c r="U489" s="151">
        <f t="shared" si="140"/>
        <v>0</v>
      </c>
      <c r="V489" s="139">
        <f t="shared" si="141"/>
        <v>0</v>
      </c>
      <c r="W489" s="152">
        <f t="shared" si="144"/>
        <v>418</v>
      </c>
      <c r="X489" s="127" t="str">
        <f t="shared" si="142"/>
        <v/>
      </c>
      <c r="Y489" s="207">
        <f t="shared" si="145"/>
        <v>418</v>
      </c>
      <c r="Z489" s="139">
        <f t="shared" si="146"/>
        <v>270</v>
      </c>
      <c r="AA489" s="139">
        <f t="shared" si="147"/>
        <v>148</v>
      </c>
      <c r="AC489" s="47">
        <f t="shared" si="148"/>
        <v>209</v>
      </c>
      <c r="AD489" s="47">
        <f t="shared" si="149"/>
        <v>135</v>
      </c>
      <c r="AE489" s="47">
        <f t="shared" si="150"/>
        <v>74</v>
      </c>
      <c r="AG489" s="47">
        <f t="shared" si="151"/>
        <v>209</v>
      </c>
      <c r="AH489" s="47">
        <f t="shared" si="152"/>
        <v>135</v>
      </c>
      <c r="AI489" s="208">
        <f t="shared" si="153"/>
        <v>74</v>
      </c>
    </row>
    <row r="490" spans="1:35">
      <c r="A490" t="s">
        <v>2105</v>
      </c>
      <c r="B490" t="s">
        <v>3155</v>
      </c>
      <c r="C490" t="s">
        <v>2375</v>
      </c>
      <c r="D490" t="s">
        <v>3725</v>
      </c>
      <c r="F490" t="s">
        <v>410</v>
      </c>
      <c r="G490" s="126">
        <f>SUMIFS('Support - Transition'!F:F,'Support - Transition'!B:B,'Step 2'!A490,'Support - Transition'!C:C,'Step 2'!B490,'Support - Transition'!D:D,'Step 2'!C490,'Support - Transition'!E:E,"CIVIL")</f>
        <v>0</v>
      </c>
      <c r="H490" s="126">
        <f>SUMIFS('Support - Transition'!F:F,'Support - Transition'!B:B,'Step 2'!A490,'Support - Transition'!C:C,'Step 2'!B490,'Support - Transition'!D:D,'Step 2'!C490,'Support - Transition'!E:E,"FIRE")</f>
        <v>0</v>
      </c>
      <c r="I490" s="126">
        <f>IF(B490="0",SUMIFS('Support - Transition'!F:F,'Support - Transition'!J:J,'Step 2'!D490,'Support - Transition'!E:E,"STATE UNIT"),SUMIFS('Support - Transition'!F:F,'Support - Transition'!J:J,'Step 2'!D490))</f>
        <v>0.104111</v>
      </c>
      <c r="J490" s="126">
        <f>SUMIFS('Support - Unit Adjustments'!E:E,'Support - Unit Adjustments'!F:F,'Step 2'!D490)</f>
        <v>0</v>
      </c>
      <c r="K490" s="126">
        <f t="shared" si="137"/>
        <v>0.104111</v>
      </c>
      <c r="L490" s="174">
        <f>VLOOKUP(A490,'Step 1'!$A:$E,4,FALSE)</f>
        <v>1065146</v>
      </c>
      <c r="M490" s="47">
        <f t="shared" si="138"/>
        <v>110893</v>
      </c>
      <c r="N490" s="177">
        <f>SUMIFS('Support - Transition'!G:G,'Support - Transition'!J:J,'Step 2'!D490,'Support - Transition'!E:E,"2009 WELFARE ALLOCATION FACTOR")</f>
        <v>0</v>
      </c>
      <c r="O490" s="152">
        <f t="shared" si="143"/>
        <v>0</v>
      </c>
      <c r="P490" s="126">
        <f>IF(E490="Y",0,SUMIFS('Support - Transition'!G:G,'Support - Transition'!J:J,'Step 2'!D490,'Support - Transition'!E:E,"2009 SCHOOL ALLOCATION FACTOR"))</f>
        <v>0</v>
      </c>
      <c r="Q490" s="126">
        <f>IF(E490="Y",VLOOKUP(D490,'Support - Unit Adjustments'!F:G,2,FALSE),0)</f>
        <v>0</v>
      </c>
      <c r="R490" s="155">
        <f t="shared" si="155"/>
        <v>0</v>
      </c>
      <c r="S490" s="47">
        <f t="shared" si="154"/>
        <v>0</v>
      </c>
      <c r="T490" s="151">
        <f t="shared" si="139"/>
        <v>110893</v>
      </c>
      <c r="U490" s="151">
        <f t="shared" si="140"/>
        <v>0</v>
      </c>
      <c r="V490" s="139">
        <f t="shared" si="141"/>
        <v>0</v>
      </c>
      <c r="W490" s="152">
        <f t="shared" si="144"/>
        <v>110893</v>
      </c>
      <c r="X490" s="127" t="str">
        <f t="shared" si="142"/>
        <v/>
      </c>
      <c r="Y490" s="207">
        <f t="shared" si="145"/>
        <v>110893</v>
      </c>
      <c r="Z490" s="139">
        <f t="shared" si="146"/>
        <v>110893</v>
      </c>
      <c r="AA490" s="139">
        <f t="shared" si="147"/>
        <v>0</v>
      </c>
      <c r="AC490" s="47">
        <f t="shared" si="148"/>
        <v>55447</v>
      </c>
      <c r="AD490" s="47">
        <f t="shared" si="149"/>
        <v>55447</v>
      </c>
      <c r="AE490" s="47">
        <f t="shared" si="150"/>
        <v>0</v>
      </c>
      <c r="AG490" s="47">
        <f t="shared" si="151"/>
        <v>55446</v>
      </c>
      <c r="AH490" s="47">
        <f t="shared" si="152"/>
        <v>55446</v>
      </c>
      <c r="AI490" s="208">
        <f t="shared" si="153"/>
        <v>0</v>
      </c>
    </row>
    <row r="491" spans="1:35">
      <c r="A491" t="s">
        <v>2105</v>
      </c>
      <c r="B491" t="s">
        <v>3155</v>
      </c>
      <c r="C491" t="s">
        <v>2376</v>
      </c>
      <c r="D491" t="s">
        <v>3726</v>
      </c>
      <c r="F491" t="s">
        <v>405</v>
      </c>
      <c r="G491" s="126">
        <f>SUMIFS('Support - Transition'!F:F,'Support - Transition'!B:B,'Step 2'!A491,'Support - Transition'!C:C,'Step 2'!B491,'Support - Transition'!D:D,'Step 2'!C491,'Support - Transition'!E:E,"CIVIL")</f>
        <v>0</v>
      </c>
      <c r="H491" s="126">
        <f>SUMIFS('Support - Transition'!F:F,'Support - Transition'!B:B,'Step 2'!A491,'Support - Transition'!C:C,'Step 2'!B491,'Support - Transition'!D:D,'Step 2'!C491,'Support - Transition'!E:E,"FIRE")</f>
        <v>0</v>
      </c>
      <c r="I491" s="126">
        <f>IF(B491="0",SUMIFS('Support - Transition'!F:F,'Support - Transition'!J:J,'Step 2'!D491,'Support - Transition'!E:E,"STATE UNIT"),SUMIFS('Support - Transition'!F:F,'Support - Transition'!J:J,'Step 2'!D491))</f>
        <v>4.86E-4</v>
      </c>
      <c r="J491" s="126">
        <f>SUMIFS('Support - Unit Adjustments'!E:E,'Support - Unit Adjustments'!F:F,'Step 2'!D491)</f>
        <v>0</v>
      </c>
      <c r="K491" s="126">
        <f t="shared" si="137"/>
        <v>4.86E-4</v>
      </c>
      <c r="L491" s="174">
        <f>VLOOKUP(A491,'Step 1'!$A:$E,4,FALSE)</f>
        <v>1065146</v>
      </c>
      <c r="M491" s="47">
        <f t="shared" si="138"/>
        <v>518</v>
      </c>
      <c r="N491" s="177">
        <f>SUMIFS('Support - Transition'!G:G,'Support - Transition'!J:J,'Step 2'!D491,'Support - Transition'!E:E,"2009 WELFARE ALLOCATION FACTOR")</f>
        <v>0</v>
      </c>
      <c r="O491" s="152">
        <f t="shared" si="143"/>
        <v>0</v>
      </c>
      <c r="P491" s="126">
        <f>IF(E491="Y",0,SUMIFS('Support - Transition'!G:G,'Support - Transition'!J:J,'Step 2'!D491,'Support - Transition'!E:E,"2009 SCHOOL ALLOCATION FACTOR"))</f>
        <v>0</v>
      </c>
      <c r="Q491" s="126">
        <f>IF(E491="Y",VLOOKUP(D491,'Support - Unit Adjustments'!F:G,2,FALSE),0)</f>
        <v>0</v>
      </c>
      <c r="R491" s="155">
        <f t="shared" si="155"/>
        <v>0</v>
      </c>
      <c r="S491" s="47">
        <f t="shared" si="154"/>
        <v>0</v>
      </c>
      <c r="T491" s="151">
        <f t="shared" si="139"/>
        <v>518</v>
      </c>
      <c r="U491" s="151">
        <f t="shared" si="140"/>
        <v>0</v>
      </c>
      <c r="V491" s="139">
        <f t="shared" si="141"/>
        <v>0</v>
      </c>
      <c r="W491" s="152">
        <f t="shared" si="144"/>
        <v>518</v>
      </c>
      <c r="X491" s="127" t="str">
        <f t="shared" si="142"/>
        <v/>
      </c>
      <c r="Y491" s="207">
        <f t="shared" si="145"/>
        <v>518</v>
      </c>
      <c r="Z491" s="139">
        <f t="shared" si="146"/>
        <v>518</v>
      </c>
      <c r="AA491" s="139">
        <f t="shared" si="147"/>
        <v>0</v>
      </c>
      <c r="AC491" s="47">
        <f t="shared" si="148"/>
        <v>259</v>
      </c>
      <c r="AD491" s="47">
        <f t="shared" si="149"/>
        <v>259</v>
      </c>
      <c r="AE491" s="47">
        <f t="shared" si="150"/>
        <v>0</v>
      </c>
      <c r="AG491" s="47">
        <f t="shared" si="151"/>
        <v>259</v>
      </c>
      <c r="AH491" s="47">
        <f t="shared" si="152"/>
        <v>259</v>
      </c>
      <c r="AI491" s="208">
        <f t="shared" si="153"/>
        <v>0</v>
      </c>
    </row>
    <row r="492" spans="1:35">
      <c r="A492" t="s">
        <v>2105</v>
      </c>
      <c r="B492" t="s">
        <v>3155</v>
      </c>
      <c r="C492" t="s">
        <v>2377</v>
      </c>
      <c r="D492" t="s">
        <v>3727</v>
      </c>
      <c r="F492" t="s">
        <v>408</v>
      </c>
      <c r="G492" s="126">
        <f>SUMIFS('Support - Transition'!F:F,'Support - Transition'!B:B,'Step 2'!A492,'Support - Transition'!C:C,'Step 2'!B492,'Support - Transition'!D:D,'Step 2'!C492,'Support - Transition'!E:E,"CIVIL")</f>
        <v>0</v>
      </c>
      <c r="H492" s="126">
        <f>SUMIFS('Support - Transition'!F:F,'Support - Transition'!B:B,'Step 2'!A492,'Support - Transition'!C:C,'Step 2'!B492,'Support - Transition'!D:D,'Step 2'!C492,'Support - Transition'!E:E,"FIRE")</f>
        <v>0</v>
      </c>
      <c r="I492" s="126">
        <f>IF(B492="0",SUMIFS('Support - Transition'!F:F,'Support - Transition'!J:J,'Step 2'!D492,'Support - Transition'!E:E,"STATE UNIT"),SUMIFS('Support - Transition'!F:F,'Support - Transition'!J:J,'Step 2'!D492))</f>
        <v>2.2000000000000001E-3</v>
      </c>
      <c r="J492" s="126">
        <f>SUMIFS('Support - Unit Adjustments'!E:E,'Support - Unit Adjustments'!F:F,'Step 2'!D492)</f>
        <v>0</v>
      </c>
      <c r="K492" s="126">
        <f t="shared" si="137"/>
        <v>2.2000000000000001E-3</v>
      </c>
      <c r="L492" s="174">
        <f>VLOOKUP(A492,'Step 1'!$A:$E,4,FALSE)</f>
        <v>1065146</v>
      </c>
      <c r="M492" s="47">
        <f t="shared" si="138"/>
        <v>2343</v>
      </c>
      <c r="N492" s="177">
        <f>SUMIFS('Support - Transition'!G:G,'Support - Transition'!J:J,'Step 2'!D492,'Support - Transition'!E:E,"2009 WELFARE ALLOCATION FACTOR")</f>
        <v>0</v>
      </c>
      <c r="O492" s="152">
        <f t="shared" si="143"/>
        <v>0</v>
      </c>
      <c r="P492" s="126">
        <f>IF(E492="Y",0,SUMIFS('Support - Transition'!G:G,'Support - Transition'!J:J,'Step 2'!D492,'Support - Transition'!E:E,"2009 SCHOOL ALLOCATION FACTOR"))</f>
        <v>0</v>
      </c>
      <c r="Q492" s="126">
        <f>IF(E492="Y",VLOOKUP(D492,'Support - Unit Adjustments'!F:G,2,FALSE),0)</f>
        <v>0</v>
      </c>
      <c r="R492" s="155">
        <f t="shared" si="155"/>
        <v>0</v>
      </c>
      <c r="S492" s="47">
        <f t="shared" si="154"/>
        <v>0</v>
      </c>
      <c r="T492" s="151">
        <f t="shared" si="139"/>
        <v>2343</v>
      </c>
      <c r="U492" s="151">
        <f t="shared" si="140"/>
        <v>0</v>
      </c>
      <c r="V492" s="139">
        <f t="shared" si="141"/>
        <v>0</v>
      </c>
      <c r="W492" s="152">
        <f t="shared" si="144"/>
        <v>2343</v>
      </c>
      <c r="X492" s="127" t="str">
        <f t="shared" si="142"/>
        <v/>
      </c>
      <c r="Y492" s="207">
        <f t="shared" si="145"/>
        <v>2343</v>
      </c>
      <c r="Z492" s="139">
        <f t="shared" si="146"/>
        <v>2343</v>
      </c>
      <c r="AA492" s="139">
        <f t="shared" si="147"/>
        <v>0</v>
      </c>
      <c r="AC492" s="47">
        <f t="shared" si="148"/>
        <v>1172</v>
      </c>
      <c r="AD492" s="47">
        <f t="shared" si="149"/>
        <v>1172</v>
      </c>
      <c r="AE492" s="47">
        <f t="shared" si="150"/>
        <v>0</v>
      </c>
      <c r="AG492" s="47">
        <f t="shared" si="151"/>
        <v>1171</v>
      </c>
      <c r="AH492" s="47">
        <f t="shared" si="152"/>
        <v>1171</v>
      </c>
      <c r="AI492" s="208">
        <f t="shared" si="153"/>
        <v>0</v>
      </c>
    </row>
    <row r="493" spans="1:35">
      <c r="A493" t="s">
        <v>2105</v>
      </c>
      <c r="B493" t="s">
        <v>3155</v>
      </c>
      <c r="C493" t="s">
        <v>2378</v>
      </c>
      <c r="D493" t="s">
        <v>3728</v>
      </c>
      <c r="F493" t="s">
        <v>409</v>
      </c>
      <c r="G493" s="126">
        <f>SUMIFS('Support - Transition'!F:F,'Support - Transition'!B:B,'Step 2'!A493,'Support - Transition'!C:C,'Step 2'!B493,'Support - Transition'!D:D,'Step 2'!C493,'Support - Transition'!E:E,"CIVIL")</f>
        <v>0</v>
      </c>
      <c r="H493" s="126">
        <f>SUMIFS('Support - Transition'!F:F,'Support - Transition'!B:B,'Step 2'!A493,'Support - Transition'!C:C,'Step 2'!B493,'Support - Transition'!D:D,'Step 2'!C493,'Support - Transition'!E:E,"FIRE")</f>
        <v>0</v>
      </c>
      <c r="I493" s="126">
        <f>IF(B493="0",SUMIFS('Support - Transition'!F:F,'Support - Transition'!J:J,'Step 2'!D493,'Support - Transition'!E:E,"STATE UNIT"),SUMIFS('Support - Transition'!F:F,'Support - Transition'!J:J,'Step 2'!D493))</f>
        <v>1.64E-4</v>
      </c>
      <c r="J493" s="126">
        <f>SUMIFS('Support - Unit Adjustments'!E:E,'Support - Unit Adjustments'!F:F,'Step 2'!D493)</f>
        <v>0</v>
      </c>
      <c r="K493" s="126">
        <f t="shared" si="137"/>
        <v>1.64E-4</v>
      </c>
      <c r="L493" s="174">
        <f>VLOOKUP(A493,'Step 1'!$A:$E,4,FALSE)</f>
        <v>1065146</v>
      </c>
      <c r="M493" s="47">
        <f t="shared" si="138"/>
        <v>175</v>
      </c>
      <c r="N493" s="177">
        <f>SUMIFS('Support - Transition'!G:G,'Support - Transition'!J:J,'Step 2'!D493,'Support - Transition'!E:E,"2009 WELFARE ALLOCATION FACTOR")</f>
        <v>0</v>
      </c>
      <c r="O493" s="152">
        <f t="shared" si="143"/>
        <v>0</v>
      </c>
      <c r="P493" s="126">
        <f>IF(E493="Y",0,SUMIFS('Support - Transition'!G:G,'Support - Transition'!J:J,'Step 2'!D493,'Support - Transition'!E:E,"2009 SCHOOL ALLOCATION FACTOR"))</f>
        <v>0</v>
      </c>
      <c r="Q493" s="126">
        <f>IF(E493="Y",VLOOKUP(D493,'Support - Unit Adjustments'!F:G,2,FALSE),0)</f>
        <v>0</v>
      </c>
      <c r="R493" s="155">
        <f t="shared" si="155"/>
        <v>0</v>
      </c>
      <c r="S493" s="47">
        <f t="shared" si="154"/>
        <v>0</v>
      </c>
      <c r="T493" s="151">
        <f t="shared" si="139"/>
        <v>175</v>
      </c>
      <c r="U493" s="151">
        <f t="shared" si="140"/>
        <v>0</v>
      </c>
      <c r="V493" s="139">
        <f t="shared" si="141"/>
        <v>0</v>
      </c>
      <c r="W493" s="152">
        <f t="shared" si="144"/>
        <v>175</v>
      </c>
      <c r="X493" s="127" t="str">
        <f t="shared" si="142"/>
        <v/>
      </c>
      <c r="Y493" s="207">
        <f t="shared" si="145"/>
        <v>175</v>
      </c>
      <c r="Z493" s="139">
        <f t="shared" si="146"/>
        <v>175</v>
      </c>
      <c r="AA493" s="139">
        <f t="shared" si="147"/>
        <v>0</v>
      </c>
      <c r="AC493" s="47">
        <f t="shared" si="148"/>
        <v>88</v>
      </c>
      <c r="AD493" s="47">
        <f t="shared" si="149"/>
        <v>88</v>
      </c>
      <c r="AE493" s="47">
        <f t="shared" si="150"/>
        <v>0</v>
      </c>
      <c r="AG493" s="47">
        <f t="shared" si="151"/>
        <v>87</v>
      </c>
      <c r="AH493" s="47">
        <f t="shared" si="152"/>
        <v>87</v>
      </c>
      <c r="AI493" s="208">
        <f t="shared" si="153"/>
        <v>0</v>
      </c>
    </row>
    <row r="494" spans="1:35">
      <c r="A494" t="s">
        <v>2105</v>
      </c>
      <c r="B494" t="s">
        <v>3155</v>
      </c>
      <c r="C494" t="s">
        <v>2379</v>
      </c>
      <c r="D494" t="s">
        <v>3729</v>
      </c>
      <c r="F494" t="s">
        <v>411</v>
      </c>
      <c r="G494" s="126">
        <f>SUMIFS('Support - Transition'!F:F,'Support - Transition'!B:B,'Step 2'!A494,'Support - Transition'!C:C,'Step 2'!B494,'Support - Transition'!D:D,'Step 2'!C494,'Support - Transition'!E:E,"CIVIL")</f>
        <v>0</v>
      </c>
      <c r="H494" s="126">
        <f>SUMIFS('Support - Transition'!F:F,'Support - Transition'!B:B,'Step 2'!A494,'Support - Transition'!C:C,'Step 2'!B494,'Support - Transition'!D:D,'Step 2'!C494,'Support - Transition'!E:E,"FIRE")</f>
        <v>0</v>
      </c>
      <c r="I494" s="126">
        <f>IF(B494="0",SUMIFS('Support - Transition'!F:F,'Support - Transition'!J:J,'Step 2'!D494,'Support - Transition'!E:E,"STATE UNIT"),SUMIFS('Support - Transition'!F:F,'Support - Transition'!J:J,'Step 2'!D494))</f>
        <v>5.8E-5</v>
      </c>
      <c r="J494" s="126">
        <f>SUMIFS('Support - Unit Adjustments'!E:E,'Support - Unit Adjustments'!F:F,'Step 2'!D494)</f>
        <v>0</v>
      </c>
      <c r="K494" s="126">
        <f t="shared" si="137"/>
        <v>5.8E-5</v>
      </c>
      <c r="L494" s="174">
        <f>VLOOKUP(A494,'Step 1'!$A:$E,4,FALSE)</f>
        <v>1065146</v>
      </c>
      <c r="M494" s="47">
        <f t="shared" si="138"/>
        <v>62</v>
      </c>
      <c r="N494" s="177">
        <f>SUMIFS('Support - Transition'!G:G,'Support - Transition'!J:J,'Step 2'!D494,'Support - Transition'!E:E,"2009 WELFARE ALLOCATION FACTOR")</f>
        <v>0</v>
      </c>
      <c r="O494" s="152">
        <f t="shared" si="143"/>
        <v>0</v>
      </c>
      <c r="P494" s="126">
        <f>IF(E494="Y",0,SUMIFS('Support - Transition'!G:G,'Support - Transition'!J:J,'Step 2'!D494,'Support - Transition'!E:E,"2009 SCHOOL ALLOCATION FACTOR"))</f>
        <v>0</v>
      </c>
      <c r="Q494" s="126">
        <f>IF(E494="Y",VLOOKUP(D494,'Support - Unit Adjustments'!F:G,2,FALSE),0)</f>
        <v>0</v>
      </c>
      <c r="R494" s="155">
        <f t="shared" si="155"/>
        <v>0</v>
      </c>
      <c r="S494" s="47">
        <f t="shared" si="154"/>
        <v>0</v>
      </c>
      <c r="T494" s="151">
        <f t="shared" si="139"/>
        <v>62</v>
      </c>
      <c r="U494" s="151">
        <f t="shared" si="140"/>
        <v>0</v>
      </c>
      <c r="V494" s="139">
        <f t="shared" si="141"/>
        <v>0</v>
      </c>
      <c r="W494" s="152">
        <f t="shared" si="144"/>
        <v>62</v>
      </c>
      <c r="X494" s="127" t="str">
        <f t="shared" si="142"/>
        <v/>
      </c>
      <c r="Y494" s="207">
        <f t="shared" si="145"/>
        <v>62</v>
      </c>
      <c r="Z494" s="139">
        <f t="shared" si="146"/>
        <v>62</v>
      </c>
      <c r="AA494" s="139">
        <f t="shared" si="147"/>
        <v>0</v>
      </c>
      <c r="AC494" s="47">
        <f t="shared" si="148"/>
        <v>31</v>
      </c>
      <c r="AD494" s="47">
        <f t="shared" si="149"/>
        <v>31</v>
      </c>
      <c r="AE494" s="47">
        <f t="shared" si="150"/>
        <v>0</v>
      </c>
      <c r="AG494" s="47">
        <f t="shared" si="151"/>
        <v>31</v>
      </c>
      <c r="AH494" s="47">
        <f t="shared" si="152"/>
        <v>31</v>
      </c>
      <c r="AI494" s="208">
        <f t="shared" si="153"/>
        <v>0</v>
      </c>
    </row>
    <row r="495" spans="1:35">
      <c r="A495" t="s">
        <v>2105</v>
      </c>
      <c r="B495" t="s">
        <v>3155</v>
      </c>
      <c r="C495" t="s">
        <v>2380</v>
      </c>
      <c r="D495" t="s">
        <v>3730</v>
      </c>
      <c r="F495" t="s">
        <v>412</v>
      </c>
      <c r="G495" s="126">
        <f>SUMIFS('Support - Transition'!F:F,'Support - Transition'!B:B,'Step 2'!A495,'Support - Transition'!C:C,'Step 2'!B495,'Support - Transition'!D:D,'Step 2'!C495,'Support - Transition'!E:E,"CIVIL")</f>
        <v>0</v>
      </c>
      <c r="H495" s="126">
        <f>SUMIFS('Support - Transition'!F:F,'Support - Transition'!B:B,'Step 2'!A495,'Support - Transition'!C:C,'Step 2'!B495,'Support - Transition'!D:D,'Step 2'!C495,'Support - Transition'!E:E,"FIRE")</f>
        <v>0</v>
      </c>
      <c r="I495" s="126">
        <f>IF(B495="0",SUMIFS('Support - Transition'!F:F,'Support - Transition'!J:J,'Step 2'!D495,'Support - Transition'!E:E,"STATE UNIT"),SUMIFS('Support - Transition'!F:F,'Support - Transition'!J:J,'Step 2'!D495))</f>
        <v>9.7599999999999998E-4</v>
      </c>
      <c r="J495" s="126">
        <f>SUMIFS('Support - Unit Adjustments'!E:E,'Support - Unit Adjustments'!F:F,'Step 2'!D495)</f>
        <v>5.53E-4</v>
      </c>
      <c r="K495" s="126">
        <f t="shared" si="137"/>
        <v>1.529E-3</v>
      </c>
      <c r="L495" s="174">
        <f>VLOOKUP(A495,'Step 1'!$A:$E,4,FALSE)</f>
        <v>1065146</v>
      </c>
      <c r="M495" s="47">
        <f t="shared" si="138"/>
        <v>1629</v>
      </c>
      <c r="N495" s="177">
        <f>SUMIFS('Support - Transition'!G:G,'Support - Transition'!J:J,'Step 2'!D495,'Support - Transition'!E:E,"2009 WELFARE ALLOCATION FACTOR")</f>
        <v>0</v>
      </c>
      <c r="O495" s="152">
        <f t="shared" si="143"/>
        <v>0</v>
      </c>
      <c r="P495" s="126">
        <f>IF(E495="Y",0,SUMIFS('Support - Transition'!G:G,'Support - Transition'!J:J,'Step 2'!D495,'Support - Transition'!E:E,"2009 SCHOOL ALLOCATION FACTOR"))</f>
        <v>0</v>
      </c>
      <c r="Q495" s="126">
        <f>IF(E495="Y",VLOOKUP(D495,'Support - Unit Adjustments'!F:G,2,FALSE),0)</f>
        <v>0</v>
      </c>
      <c r="R495" s="155">
        <f t="shared" si="155"/>
        <v>0</v>
      </c>
      <c r="S495" s="47">
        <f t="shared" si="154"/>
        <v>0</v>
      </c>
      <c r="T495" s="151">
        <f t="shared" si="139"/>
        <v>1629</v>
      </c>
      <c r="U495" s="151">
        <f t="shared" si="140"/>
        <v>0</v>
      </c>
      <c r="V495" s="139">
        <f t="shared" si="141"/>
        <v>0</v>
      </c>
      <c r="W495" s="152">
        <f t="shared" si="144"/>
        <v>1629</v>
      </c>
      <c r="X495" s="127" t="str">
        <f t="shared" si="142"/>
        <v/>
      </c>
      <c r="Y495" s="207">
        <f t="shared" si="145"/>
        <v>1629</v>
      </c>
      <c r="Z495" s="139">
        <f t="shared" si="146"/>
        <v>1629</v>
      </c>
      <c r="AA495" s="139">
        <f t="shared" si="147"/>
        <v>0</v>
      </c>
      <c r="AC495" s="47">
        <f t="shared" si="148"/>
        <v>815</v>
      </c>
      <c r="AD495" s="47">
        <f t="shared" si="149"/>
        <v>815</v>
      </c>
      <c r="AE495" s="47">
        <f t="shared" si="150"/>
        <v>0</v>
      </c>
      <c r="AG495" s="47">
        <f t="shared" si="151"/>
        <v>814</v>
      </c>
      <c r="AH495" s="47">
        <f t="shared" si="152"/>
        <v>814</v>
      </c>
      <c r="AI495" s="208">
        <f t="shared" si="153"/>
        <v>0</v>
      </c>
    </row>
    <row r="496" spans="1:35">
      <c r="A496" t="s">
        <v>2105</v>
      </c>
      <c r="B496" t="s">
        <v>3155</v>
      </c>
      <c r="C496" t="s">
        <v>2381</v>
      </c>
      <c r="D496" t="s">
        <v>3731</v>
      </c>
      <c r="F496" t="s">
        <v>406</v>
      </c>
      <c r="G496" s="126">
        <f>SUMIFS('Support - Transition'!F:F,'Support - Transition'!B:B,'Step 2'!A496,'Support - Transition'!C:C,'Step 2'!B496,'Support - Transition'!D:D,'Step 2'!C496,'Support - Transition'!E:E,"CIVIL")</f>
        <v>0</v>
      </c>
      <c r="H496" s="126">
        <f>SUMIFS('Support - Transition'!F:F,'Support - Transition'!B:B,'Step 2'!A496,'Support - Transition'!C:C,'Step 2'!B496,'Support - Transition'!D:D,'Step 2'!C496,'Support - Transition'!E:E,"FIRE")</f>
        <v>0</v>
      </c>
      <c r="I496" s="126">
        <f>IF(B496="0",SUMIFS('Support - Transition'!F:F,'Support - Transition'!J:J,'Step 2'!D496,'Support - Transition'!E:E,"STATE UNIT"),SUMIFS('Support - Transition'!F:F,'Support - Transition'!J:J,'Step 2'!D496))</f>
        <v>0</v>
      </c>
      <c r="J496" s="126">
        <f>SUMIFS('Support - Unit Adjustments'!E:E,'Support - Unit Adjustments'!F:F,'Step 2'!D496)</f>
        <v>0</v>
      </c>
      <c r="K496" s="126">
        <f t="shared" si="137"/>
        <v>0</v>
      </c>
      <c r="L496" s="174">
        <f>VLOOKUP(A496,'Step 1'!$A:$E,4,FALSE)</f>
        <v>1065146</v>
      </c>
      <c r="M496" s="47">
        <f t="shared" si="138"/>
        <v>0</v>
      </c>
      <c r="N496" s="177">
        <f>SUMIFS('Support - Transition'!G:G,'Support - Transition'!J:J,'Step 2'!D496,'Support - Transition'!E:E,"2009 WELFARE ALLOCATION FACTOR")</f>
        <v>0</v>
      </c>
      <c r="O496" s="152">
        <f t="shared" si="143"/>
        <v>0</v>
      </c>
      <c r="P496" s="126">
        <f>IF(E496="Y",0,SUMIFS('Support - Transition'!G:G,'Support - Transition'!J:J,'Step 2'!D496,'Support - Transition'!E:E,"2009 SCHOOL ALLOCATION FACTOR"))</f>
        <v>0</v>
      </c>
      <c r="Q496" s="126">
        <f>IF(E496="Y",VLOOKUP(D496,'Support - Unit Adjustments'!F:G,2,FALSE),0)</f>
        <v>0</v>
      </c>
      <c r="R496" s="155">
        <f t="shared" si="155"/>
        <v>0</v>
      </c>
      <c r="S496" s="47">
        <f t="shared" si="154"/>
        <v>0</v>
      </c>
      <c r="T496" s="151">
        <f t="shared" si="139"/>
        <v>0</v>
      </c>
      <c r="U496" s="151">
        <f t="shared" si="140"/>
        <v>0</v>
      </c>
      <c r="V496" s="139">
        <f t="shared" si="141"/>
        <v>0</v>
      </c>
      <c r="W496" s="152">
        <f t="shared" si="144"/>
        <v>0</v>
      </c>
      <c r="X496" s="127" t="str">
        <f t="shared" si="142"/>
        <v/>
      </c>
      <c r="Y496" s="207">
        <f t="shared" si="145"/>
        <v>0</v>
      </c>
      <c r="Z496" s="139">
        <f t="shared" si="146"/>
        <v>0</v>
      </c>
      <c r="AA496" s="139">
        <f t="shared" si="147"/>
        <v>0</v>
      </c>
      <c r="AC496" s="47">
        <f t="shared" si="148"/>
        <v>0</v>
      </c>
      <c r="AD496" s="47">
        <f t="shared" si="149"/>
        <v>0</v>
      </c>
      <c r="AE496" s="47">
        <f t="shared" si="150"/>
        <v>0</v>
      </c>
      <c r="AG496" s="47">
        <f t="shared" si="151"/>
        <v>0</v>
      </c>
      <c r="AH496" s="47">
        <f t="shared" si="152"/>
        <v>0</v>
      </c>
      <c r="AI496" s="208">
        <f t="shared" si="153"/>
        <v>0</v>
      </c>
    </row>
    <row r="497" spans="1:35">
      <c r="A497" t="s">
        <v>2105</v>
      </c>
      <c r="B497" t="s">
        <v>3155</v>
      </c>
      <c r="C497" t="s">
        <v>2382</v>
      </c>
      <c r="D497" t="s">
        <v>3732</v>
      </c>
      <c r="F497" t="s">
        <v>407</v>
      </c>
      <c r="G497" s="126">
        <f>SUMIFS('Support - Transition'!F:F,'Support - Transition'!B:B,'Step 2'!A497,'Support - Transition'!C:C,'Step 2'!B497,'Support - Transition'!D:D,'Step 2'!C497,'Support - Transition'!E:E,"CIVIL")</f>
        <v>0</v>
      </c>
      <c r="H497" s="126">
        <f>SUMIFS('Support - Transition'!F:F,'Support - Transition'!B:B,'Step 2'!A497,'Support - Transition'!C:C,'Step 2'!B497,'Support - Transition'!D:D,'Step 2'!C497,'Support - Transition'!E:E,"FIRE")</f>
        <v>0</v>
      </c>
      <c r="I497" s="126">
        <f>IF(B497="0",SUMIFS('Support - Transition'!F:F,'Support - Transition'!J:J,'Step 2'!D497,'Support - Transition'!E:E,"STATE UNIT"),SUMIFS('Support - Transition'!F:F,'Support - Transition'!J:J,'Step 2'!D497))</f>
        <v>7.0254999999999998E-2</v>
      </c>
      <c r="J497" s="126">
        <f>SUMIFS('Support - Unit Adjustments'!E:E,'Support - Unit Adjustments'!F:F,'Step 2'!D497)</f>
        <v>0</v>
      </c>
      <c r="K497" s="126">
        <f t="shared" si="137"/>
        <v>7.0254999999999998E-2</v>
      </c>
      <c r="L497" s="174">
        <f>VLOOKUP(A497,'Step 1'!$A:$E,4,FALSE)</f>
        <v>1065146</v>
      </c>
      <c r="M497" s="47">
        <f t="shared" si="138"/>
        <v>74832</v>
      </c>
      <c r="N497" s="177">
        <f>SUMIFS('Support - Transition'!G:G,'Support - Transition'!J:J,'Step 2'!D497,'Support - Transition'!E:E,"2009 WELFARE ALLOCATION FACTOR")</f>
        <v>0</v>
      </c>
      <c r="O497" s="152">
        <f t="shared" si="143"/>
        <v>0</v>
      </c>
      <c r="P497" s="126">
        <f>IF(E497="Y",0,SUMIFS('Support - Transition'!G:G,'Support - Transition'!J:J,'Step 2'!D497,'Support - Transition'!E:E,"2009 SCHOOL ALLOCATION FACTOR"))</f>
        <v>0</v>
      </c>
      <c r="Q497" s="126">
        <f>IF(E497="Y",VLOOKUP(D497,'Support - Unit Adjustments'!F:G,2,FALSE),0)</f>
        <v>0</v>
      </c>
      <c r="R497" s="155">
        <f t="shared" si="155"/>
        <v>0</v>
      </c>
      <c r="S497" s="47">
        <f t="shared" si="154"/>
        <v>0</v>
      </c>
      <c r="T497" s="151">
        <f t="shared" si="139"/>
        <v>74832</v>
      </c>
      <c r="U497" s="151">
        <f t="shared" si="140"/>
        <v>0</v>
      </c>
      <c r="V497" s="139">
        <f t="shared" si="141"/>
        <v>0</v>
      </c>
      <c r="W497" s="152">
        <f t="shared" si="144"/>
        <v>74832</v>
      </c>
      <c r="X497" s="127" t="str">
        <f t="shared" si="142"/>
        <v/>
      </c>
      <c r="Y497" s="207">
        <f t="shared" si="145"/>
        <v>74832</v>
      </c>
      <c r="Z497" s="139">
        <f t="shared" si="146"/>
        <v>74832</v>
      </c>
      <c r="AA497" s="139">
        <f t="shared" si="147"/>
        <v>0</v>
      </c>
      <c r="AC497" s="47">
        <f t="shared" si="148"/>
        <v>37416</v>
      </c>
      <c r="AD497" s="47">
        <f t="shared" si="149"/>
        <v>37416</v>
      </c>
      <c r="AE497" s="47">
        <f t="shared" si="150"/>
        <v>0</v>
      </c>
      <c r="AG497" s="47">
        <f t="shared" si="151"/>
        <v>37416</v>
      </c>
      <c r="AH497" s="47">
        <f t="shared" si="152"/>
        <v>37416</v>
      </c>
      <c r="AI497" s="208">
        <f t="shared" si="153"/>
        <v>0</v>
      </c>
    </row>
    <row r="498" spans="1:35">
      <c r="A498" t="s">
        <v>2105</v>
      </c>
      <c r="B498" t="s">
        <v>3160</v>
      </c>
      <c r="C498" t="s">
        <v>2383</v>
      </c>
      <c r="D498" t="s">
        <v>3733</v>
      </c>
      <c r="F498" t="s">
        <v>415</v>
      </c>
      <c r="G498" s="126">
        <f>SUMIFS('Support - Transition'!F:F,'Support - Transition'!B:B,'Step 2'!A498,'Support - Transition'!C:C,'Step 2'!B498,'Support - Transition'!D:D,'Step 2'!C498,'Support - Transition'!E:E,"CIVIL")</f>
        <v>0</v>
      </c>
      <c r="H498" s="126">
        <f>SUMIFS('Support - Transition'!F:F,'Support - Transition'!B:B,'Step 2'!A498,'Support - Transition'!C:C,'Step 2'!B498,'Support - Transition'!D:D,'Step 2'!C498,'Support - Transition'!E:E,"FIRE")</f>
        <v>0</v>
      </c>
      <c r="I498" s="126">
        <f>IF(B498="0",SUMIFS('Support - Transition'!F:F,'Support - Transition'!J:J,'Step 2'!D498,'Support - Transition'!E:E,"STATE UNIT"),SUMIFS('Support - Transition'!F:F,'Support - Transition'!J:J,'Step 2'!D498))</f>
        <v>5.1880000000000003E-2</v>
      </c>
      <c r="J498" s="126">
        <f>SUMIFS('Support - Unit Adjustments'!E:E,'Support - Unit Adjustments'!F:F,'Step 2'!D498)</f>
        <v>0</v>
      </c>
      <c r="K498" s="126">
        <f t="shared" si="137"/>
        <v>5.1880000000000003E-2</v>
      </c>
      <c r="L498" s="174">
        <f>VLOOKUP(A498,'Step 1'!$A:$E,4,FALSE)</f>
        <v>1065146</v>
      </c>
      <c r="M498" s="47">
        <f t="shared" si="138"/>
        <v>55260</v>
      </c>
      <c r="N498" s="177">
        <f>SUMIFS('Support - Transition'!G:G,'Support - Transition'!J:J,'Step 2'!D498,'Support - Transition'!E:E,"2009 WELFARE ALLOCATION FACTOR")</f>
        <v>0</v>
      </c>
      <c r="O498" s="152">
        <f t="shared" si="143"/>
        <v>0</v>
      </c>
      <c r="P498" s="126">
        <f>IF(E498="Y",0,SUMIFS('Support - Transition'!G:G,'Support - Transition'!J:J,'Step 2'!D498,'Support - Transition'!E:E,"2009 SCHOOL ALLOCATION FACTOR"))</f>
        <v>0.41563600000000001</v>
      </c>
      <c r="Q498" s="126">
        <f>IF(E498="Y",VLOOKUP(D498,'Support - Unit Adjustments'!F:G,2,FALSE),0)</f>
        <v>0</v>
      </c>
      <c r="R498" s="155">
        <f t="shared" si="155"/>
        <v>0.41563600000000001</v>
      </c>
      <c r="S498" s="47">
        <f t="shared" si="154"/>
        <v>22968</v>
      </c>
      <c r="T498" s="151">
        <f t="shared" si="139"/>
        <v>32292</v>
      </c>
      <c r="U498" s="151">
        <f t="shared" si="140"/>
        <v>0</v>
      </c>
      <c r="V498" s="139">
        <f t="shared" si="141"/>
        <v>0</v>
      </c>
      <c r="W498" s="152">
        <f t="shared" si="144"/>
        <v>32292</v>
      </c>
      <c r="X498" s="127" t="str">
        <f t="shared" si="142"/>
        <v/>
      </c>
      <c r="Y498" s="207">
        <f t="shared" si="145"/>
        <v>32292</v>
      </c>
      <c r="Z498" s="139">
        <f t="shared" si="146"/>
        <v>32292</v>
      </c>
      <c r="AA498" s="139">
        <f t="shared" si="147"/>
        <v>0</v>
      </c>
      <c r="AC498" s="47">
        <f t="shared" si="148"/>
        <v>16146</v>
      </c>
      <c r="AD498" s="47">
        <f t="shared" si="149"/>
        <v>16146</v>
      </c>
      <c r="AE498" s="47">
        <f t="shared" si="150"/>
        <v>0</v>
      </c>
      <c r="AG498" s="47">
        <f t="shared" si="151"/>
        <v>16146</v>
      </c>
      <c r="AH498" s="47">
        <f t="shared" si="152"/>
        <v>16146</v>
      </c>
      <c r="AI498" s="208">
        <f t="shared" si="153"/>
        <v>0</v>
      </c>
    </row>
    <row r="499" spans="1:35">
      <c r="A499" t="s">
        <v>2105</v>
      </c>
      <c r="B499" t="s">
        <v>3160</v>
      </c>
      <c r="C499" t="s">
        <v>3734</v>
      </c>
      <c r="D499" t="s">
        <v>3735</v>
      </c>
      <c r="F499" t="s">
        <v>3736</v>
      </c>
      <c r="G499" s="126">
        <f>SUMIFS('Support - Transition'!F:F,'Support - Transition'!B:B,'Step 2'!A499,'Support - Transition'!C:C,'Step 2'!B499,'Support - Transition'!D:D,'Step 2'!C499,'Support - Transition'!E:E,"CIVIL")</f>
        <v>0</v>
      </c>
      <c r="H499" s="126">
        <f>SUMIFS('Support - Transition'!F:F,'Support - Transition'!B:B,'Step 2'!A499,'Support - Transition'!C:C,'Step 2'!B499,'Support - Transition'!D:D,'Step 2'!C499,'Support - Transition'!E:E,"FIRE")</f>
        <v>0</v>
      </c>
      <c r="I499" s="126">
        <f>IF(B499="0",SUMIFS('Support - Transition'!F:F,'Support - Transition'!J:J,'Step 2'!D499,'Support - Transition'!E:E,"STATE UNIT"),SUMIFS('Support - Transition'!F:F,'Support - Transition'!J:J,'Step 2'!D499))</f>
        <v>1.9325999999999999E-2</v>
      </c>
      <c r="J499" s="126">
        <f>SUMIFS('Support - Unit Adjustments'!E:E,'Support - Unit Adjustments'!F:F,'Step 2'!D499)</f>
        <v>0</v>
      </c>
      <c r="K499" s="126">
        <f t="shared" si="137"/>
        <v>1.9325999999999999E-2</v>
      </c>
      <c r="L499" s="174">
        <f>VLOOKUP(A499,'Step 1'!$A:$E,4,FALSE)</f>
        <v>1065146</v>
      </c>
      <c r="M499" s="47">
        <f t="shared" si="138"/>
        <v>20585</v>
      </c>
      <c r="N499" s="177">
        <f>SUMIFS('Support - Transition'!G:G,'Support - Transition'!J:J,'Step 2'!D499,'Support - Transition'!E:E,"2009 WELFARE ALLOCATION FACTOR")</f>
        <v>0</v>
      </c>
      <c r="O499" s="152">
        <f t="shared" si="143"/>
        <v>0</v>
      </c>
      <c r="P499" s="126">
        <f>IF(E499="Y",0,SUMIFS('Support - Transition'!G:G,'Support - Transition'!J:J,'Step 2'!D499,'Support - Transition'!E:E,"2009 SCHOOL ALLOCATION FACTOR"))</f>
        <v>0.49643300000000001</v>
      </c>
      <c r="Q499" s="126">
        <f>IF(E499="Y",VLOOKUP(D499,'Support - Unit Adjustments'!F:G,2,FALSE),0)</f>
        <v>0</v>
      </c>
      <c r="R499" s="155">
        <f t="shared" si="155"/>
        <v>0.49643300000000001</v>
      </c>
      <c r="S499" s="47">
        <f t="shared" si="154"/>
        <v>10219</v>
      </c>
      <c r="T499" s="151">
        <f t="shared" si="139"/>
        <v>10366</v>
      </c>
      <c r="U499" s="151">
        <f t="shared" si="140"/>
        <v>0</v>
      </c>
      <c r="V499" s="139">
        <f t="shared" si="141"/>
        <v>0</v>
      </c>
      <c r="W499" s="152">
        <f t="shared" si="144"/>
        <v>10366</v>
      </c>
      <c r="X499" s="127" t="str">
        <f t="shared" si="142"/>
        <v/>
      </c>
      <c r="Y499" s="207">
        <f t="shared" si="145"/>
        <v>10366</v>
      </c>
      <c r="Z499" s="139">
        <f t="shared" si="146"/>
        <v>10366</v>
      </c>
      <c r="AA499" s="139">
        <f t="shared" si="147"/>
        <v>0</v>
      </c>
      <c r="AC499" s="47">
        <f t="shared" si="148"/>
        <v>5183</v>
      </c>
      <c r="AD499" s="47">
        <f t="shared" si="149"/>
        <v>5183</v>
      </c>
      <c r="AE499" s="47">
        <f t="shared" si="150"/>
        <v>0</v>
      </c>
      <c r="AG499" s="47">
        <f t="shared" si="151"/>
        <v>5183</v>
      </c>
      <c r="AH499" s="47">
        <f t="shared" si="152"/>
        <v>5183</v>
      </c>
      <c r="AI499" s="208">
        <f t="shared" si="153"/>
        <v>0</v>
      </c>
    </row>
    <row r="500" spans="1:35">
      <c r="A500" t="s">
        <v>2105</v>
      </c>
      <c r="B500" t="s">
        <v>3160</v>
      </c>
      <c r="C500" t="s">
        <v>2384</v>
      </c>
      <c r="D500" t="s">
        <v>3737</v>
      </c>
      <c r="F500" t="s">
        <v>3738</v>
      </c>
      <c r="G500" s="126">
        <f>SUMIFS('Support - Transition'!F:F,'Support - Transition'!B:B,'Step 2'!A500,'Support - Transition'!C:C,'Step 2'!B500,'Support - Transition'!D:D,'Step 2'!C500,'Support - Transition'!E:E,"CIVIL")</f>
        <v>0</v>
      </c>
      <c r="H500" s="126">
        <f>SUMIFS('Support - Transition'!F:F,'Support - Transition'!B:B,'Step 2'!A500,'Support - Transition'!C:C,'Step 2'!B500,'Support - Transition'!D:D,'Step 2'!C500,'Support - Transition'!E:E,"FIRE")</f>
        <v>0</v>
      </c>
      <c r="I500" s="126">
        <f>IF(B500="0",SUMIFS('Support - Transition'!F:F,'Support - Transition'!J:J,'Step 2'!D500,'Support - Transition'!E:E,"STATE UNIT"),SUMIFS('Support - Transition'!F:F,'Support - Transition'!J:J,'Step 2'!D500))</f>
        <v>7.7600000000000004E-3</v>
      </c>
      <c r="J500" s="126">
        <f>SUMIFS('Support - Unit Adjustments'!E:E,'Support - Unit Adjustments'!F:F,'Step 2'!D500)</f>
        <v>0</v>
      </c>
      <c r="K500" s="126">
        <f t="shared" si="137"/>
        <v>7.7600000000000004E-3</v>
      </c>
      <c r="L500" s="174">
        <f>VLOOKUP(A500,'Step 1'!$A:$E,4,FALSE)</f>
        <v>1065146</v>
      </c>
      <c r="M500" s="47">
        <f t="shared" si="138"/>
        <v>8266</v>
      </c>
      <c r="N500" s="177">
        <f>SUMIFS('Support - Transition'!G:G,'Support - Transition'!J:J,'Step 2'!D500,'Support - Transition'!E:E,"2009 WELFARE ALLOCATION FACTOR")</f>
        <v>0</v>
      </c>
      <c r="O500" s="152">
        <f t="shared" si="143"/>
        <v>0</v>
      </c>
      <c r="P500" s="126">
        <f>IF(E500="Y",0,SUMIFS('Support - Transition'!G:G,'Support - Transition'!J:J,'Step 2'!D500,'Support - Transition'!E:E,"2009 SCHOOL ALLOCATION FACTOR"))</f>
        <v>0.41642699999999999</v>
      </c>
      <c r="Q500" s="126">
        <f>IF(E500="Y",VLOOKUP(D500,'Support - Unit Adjustments'!F:G,2,FALSE),0)</f>
        <v>0</v>
      </c>
      <c r="R500" s="155">
        <f t="shared" si="155"/>
        <v>0.41642699999999999</v>
      </c>
      <c r="S500" s="47">
        <f t="shared" si="154"/>
        <v>3442</v>
      </c>
      <c r="T500" s="151">
        <f t="shared" si="139"/>
        <v>4824</v>
      </c>
      <c r="U500" s="151">
        <f t="shared" si="140"/>
        <v>0</v>
      </c>
      <c r="V500" s="139">
        <f t="shared" si="141"/>
        <v>0</v>
      </c>
      <c r="W500" s="152">
        <f t="shared" si="144"/>
        <v>4824</v>
      </c>
      <c r="X500" s="127" t="str">
        <f t="shared" si="142"/>
        <v/>
      </c>
      <c r="Y500" s="207">
        <f t="shared" si="145"/>
        <v>4824</v>
      </c>
      <c r="Z500" s="139">
        <f t="shared" si="146"/>
        <v>4824</v>
      </c>
      <c r="AA500" s="139">
        <f t="shared" si="147"/>
        <v>0</v>
      </c>
      <c r="AC500" s="47">
        <f t="shared" si="148"/>
        <v>2412</v>
      </c>
      <c r="AD500" s="47">
        <f t="shared" si="149"/>
        <v>2412</v>
      </c>
      <c r="AE500" s="47">
        <f t="shared" si="150"/>
        <v>0</v>
      </c>
      <c r="AG500" s="47">
        <f t="shared" si="151"/>
        <v>2412</v>
      </c>
      <c r="AH500" s="47">
        <f t="shared" si="152"/>
        <v>2412</v>
      </c>
      <c r="AI500" s="208">
        <f t="shared" si="153"/>
        <v>0</v>
      </c>
    </row>
    <row r="501" spans="1:35">
      <c r="A501" t="s">
        <v>2105</v>
      </c>
      <c r="B501" t="s">
        <v>3160</v>
      </c>
      <c r="C501" t="s">
        <v>2385</v>
      </c>
      <c r="D501" t="s">
        <v>3739</v>
      </c>
      <c r="F501" t="s">
        <v>413</v>
      </c>
      <c r="G501" s="126">
        <f>SUMIFS('Support - Transition'!F:F,'Support - Transition'!B:B,'Step 2'!A501,'Support - Transition'!C:C,'Step 2'!B501,'Support - Transition'!D:D,'Step 2'!C501,'Support - Transition'!E:E,"CIVIL")</f>
        <v>0</v>
      </c>
      <c r="H501" s="126">
        <f>SUMIFS('Support - Transition'!F:F,'Support - Transition'!B:B,'Step 2'!A501,'Support - Transition'!C:C,'Step 2'!B501,'Support - Transition'!D:D,'Step 2'!C501,'Support - Transition'!E:E,"FIRE")</f>
        <v>0</v>
      </c>
      <c r="I501" s="126">
        <f>IF(B501="0",SUMIFS('Support - Transition'!F:F,'Support - Transition'!J:J,'Step 2'!D501,'Support - Transition'!E:E,"STATE UNIT"),SUMIFS('Support - Transition'!F:F,'Support - Transition'!J:J,'Step 2'!D501))</f>
        <v>1.9642E-2</v>
      </c>
      <c r="J501" s="126">
        <f>SUMIFS('Support - Unit Adjustments'!E:E,'Support - Unit Adjustments'!F:F,'Step 2'!D501)</f>
        <v>0</v>
      </c>
      <c r="K501" s="126">
        <f t="shared" si="137"/>
        <v>1.9642E-2</v>
      </c>
      <c r="L501" s="174">
        <f>VLOOKUP(A501,'Step 1'!$A:$E,4,FALSE)</f>
        <v>1065146</v>
      </c>
      <c r="M501" s="47">
        <f t="shared" si="138"/>
        <v>20922</v>
      </c>
      <c r="N501" s="177">
        <f>SUMIFS('Support - Transition'!G:G,'Support - Transition'!J:J,'Step 2'!D501,'Support - Transition'!E:E,"2009 WELFARE ALLOCATION FACTOR")</f>
        <v>0</v>
      </c>
      <c r="O501" s="152">
        <f t="shared" si="143"/>
        <v>0</v>
      </c>
      <c r="P501" s="126">
        <f>IF(E501="Y",0,SUMIFS('Support - Transition'!G:G,'Support - Transition'!J:J,'Step 2'!D501,'Support - Transition'!E:E,"2009 SCHOOL ALLOCATION FACTOR"))</f>
        <v>0.39561000000000002</v>
      </c>
      <c r="Q501" s="126">
        <f>IF(E501="Y",VLOOKUP(D501,'Support - Unit Adjustments'!F:G,2,FALSE),0)</f>
        <v>0</v>
      </c>
      <c r="R501" s="155">
        <f t="shared" si="155"/>
        <v>0.39561000000000002</v>
      </c>
      <c r="S501" s="47">
        <f t="shared" si="154"/>
        <v>8277</v>
      </c>
      <c r="T501" s="151">
        <f t="shared" si="139"/>
        <v>12645</v>
      </c>
      <c r="U501" s="151">
        <f t="shared" si="140"/>
        <v>0</v>
      </c>
      <c r="V501" s="139">
        <f t="shared" si="141"/>
        <v>0</v>
      </c>
      <c r="W501" s="152">
        <f t="shared" si="144"/>
        <v>12645</v>
      </c>
      <c r="X501" s="127" t="str">
        <f t="shared" si="142"/>
        <v/>
      </c>
      <c r="Y501" s="207">
        <f t="shared" si="145"/>
        <v>12645</v>
      </c>
      <c r="Z501" s="139">
        <f t="shared" si="146"/>
        <v>12645</v>
      </c>
      <c r="AA501" s="139">
        <f t="shared" si="147"/>
        <v>0</v>
      </c>
      <c r="AC501" s="47">
        <f t="shared" si="148"/>
        <v>6323</v>
      </c>
      <c r="AD501" s="47">
        <f t="shared" si="149"/>
        <v>6323</v>
      </c>
      <c r="AE501" s="47">
        <f t="shared" si="150"/>
        <v>0</v>
      </c>
      <c r="AG501" s="47">
        <f t="shared" si="151"/>
        <v>6322</v>
      </c>
      <c r="AH501" s="47">
        <f t="shared" si="152"/>
        <v>6322</v>
      </c>
      <c r="AI501" s="208">
        <f t="shared" si="153"/>
        <v>0</v>
      </c>
    </row>
    <row r="502" spans="1:35">
      <c r="A502" t="s">
        <v>2105</v>
      </c>
      <c r="B502" t="s">
        <v>3160</v>
      </c>
      <c r="C502" t="s">
        <v>3740</v>
      </c>
      <c r="D502" t="s">
        <v>3741</v>
      </c>
      <c r="F502" t="s">
        <v>3742</v>
      </c>
      <c r="G502" s="126">
        <f>SUMIFS('Support - Transition'!F:F,'Support - Transition'!B:B,'Step 2'!A502,'Support - Transition'!C:C,'Step 2'!B502,'Support - Transition'!D:D,'Step 2'!C502,'Support - Transition'!E:E,"CIVIL")</f>
        <v>0</v>
      </c>
      <c r="H502" s="126">
        <f>SUMIFS('Support - Transition'!F:F,'Support - Transition'!B:B,'Step 2'!A502,'Support - Transition'!C:C,'Step 2'!B502,'Support - Transition'!D:D,'Step 2'!C502,'Support - Transition'!E:E,"FIRE")</f>
        <v>0</v>
      </c>
      <c r="I502" s="126">
        <f>IF(B502="0",SUMIFS('Support - Transition'!F:F,'Support - Transition'!J:J,'Step 2'!D502,'Support - Transition'!E:E,"STATE UNIT"),SUMIFS('Support - Transition'!F:F,'Support - Transition'!J:J,'Step 2'!D502))</f>
        <v>1.3414000000000001E-2</v>
      </c>
      <c r="J502" s="126">
        <f>SUMIFS('Support - Unit Adjustments'!E:E,'Support - Unit Adjustments'!F:F,'Step 2'!D502)</f>
        <v>0</v>
      </c>
      <c r="K502" s="126">
        <f t="shared" si="137"/>
        <v>1.3414000000000001E-2</v>
      </c>
      <c r="L502" s="174">
        <f>VLOOKUP(A502,'Step 1'!$A:$E,4,FALSE)</f>
        <v>1065146</v>
      </c>
      <c r="M502" s="47">
        <f t="shared" si="138"/>
        <v>14288</v>
      </c>
      <c r="N502" s="177">
        <f>SUMIFS('Support - Transition'!G:G,'Support - Transition'!J:J,'Step 2'!D502,'Support - Transition'!E:E,"2009 WELFARE ALLOCATION FACTOR")</f>
        <v>0</v>
      </c>
      <c r="O502" s="152">
        <f t="shared" si="143"/>
        <v>0</v>
      </c>
      <c r="P502" s="126">
        <f>IF(E502="Y",0,SUMIFS('Support - Transition'!G:G,'Support - Transition'!J:J,'Step 2'!D502,'Support - Transition'!E:E,"2009 SCHOOL ALLOCATION FACTOR"))</f>
        <v>0.46119399999999999</v>
      </c>
      <c r="Q502" s="126">
        <f>IF(E502="Y",VLOOKUP(D502,'Support - Unit Adjustments'!F:G,2,FALSE),0)</f>
        <v>0</v>
      </c>
      <c r="R502" s="155">
        <f t="shared" si="155"/>
        <v>0.46119399999999999</v>
      </c>
      <c r="S502" s="47">
        <f t="shared" si="154"/>
        <v>6590</v>
      </c>
      <c r="T502" s="151">
        <f t="shared" si="139"/>
        <v>7698</v>
      </c>
      <c r="U502" s="151">
        <f t="shared" si="140"/>
        <v>0</v>
      </c>
      <c r="V502" s="139">
        <f t="shared" si="141"/>
        <v>0</v>
      </c>
      <c r="W502" s="152">
        <f t="shared" si="144"/>
        <v>7698</v>
      </c>
      <c r="X502" s="127" t="str">
        <f t="shared" si="142"/>
        <v/>
      </c>
      <c r="Y502" s="207">
        <f t="shared" si="145"/>
        <v>7698</v>
      </c>
      <c r="Z502" s="139">
        <f t="shared" si="146"/>
        <v>7698</v>
      </c>
      <c r="AA502" s="139">
        <f t="shared" si="147"/>
        <v>0</v>
      </c>
      <c r="AC502" s="47">
        <f t="shared" si="148"/>
        <v>3849</v>
      </c>
      <c r="AD502" s="47">
        <f t="shared" si="149"/>
        <v>3849</v>
      </c>
      <c r="AE502" s="47">
        <f t="shared" si="150"/>
        <v>0</v>
      </c>
      <c r="AG502" s="47">
        <f t="shared" si="151"/>
        <v>3849</v>
      </c>
      <c r="AH502" s="47">
        <f t="shared" si="152"/>
        <v>3849</v>
      </c>
      <c r="AI502" s="208">
        <f t="shared" si="153"/>
        <v>0</v>
      </c>
    </row>
    <row r="503" spans="1:35">
      <c r="A503" t="s">
        <v>2105</v>
      </c>
      <c r="B503" t="s">
        <v>3160</v>
      </c>
      <c r="C503" t="s">
        <v>2386</v>
      </c>
      <c r="D503" t="s">
        <v>3743</v>
      </c>
      <c r="F503" t="s">
        <v>414</v>
      </c>
      <c r="G503" s="126">
        <f>SUMIFS('Support - Transition'!F:F,'Support - Transition'!B:B,'Step 2'!A503,'Support - Transition'!C:C,'Step 2'!B503,'Support - Transition'!D:D,'Step 2'!C503,'Support - Transition'!E:E,"CIVIL")</f>
        <v>0</v>
      </c>
      <c r="H503" s="126">
        <f>SUMIFS('Support - Transition'!F:F,'Support - Transition'!B:B,'Step 2'!A503,'Support - Transition'!C:C,'Step 2'!B503,'Support - Transition'!D:D,'Step 2'!C503,'Support - Transition'!E:E,"FIRE")</f>
        <v>0</v>
      </c>
      <c r="I503" s="126">
        <f>IF(B503="0",SUMIFS('Support - Transition'!F:F,'Support - Transition'!J:J,'Step 2'!D503,'Support - Transition'!E:E,"STATE UNIT"),SUMIFS('Support - Transition'!F:F,'Support - Transition'!J:J,'Step 2'!D503))</f>
        <v>0.225244</v>
      </c>
      <c r="J503" s="126">
        <f>SUMIFS('Support - Unit Adjustments'!E:E,'Support - Unit Adjustments'!F:F,'Step 2'!D503)</f>
        <v>0</v>
      </c>
      <c r="K503" s="126">
        <f t="shared" si="137"/>
        <v>0.225244</v>
      </c>
      <c r="L503" s="174">
        <f>VLOOKUP(A503,'Step 1'!$A:$E,4,FALSE)</f>
        <v>1065146</v>
      </c>
      <c r="M503" s="47">
        <f t="shared" si="138"/>
        <v>239918</v>
      </c>
      <c r="N503" s="177">
        <f>SUMIFS('Support - Transition'!G:G,'Support - Transition'!J:J,'Step 2'!D503,'Support - Transition'!E:E,"2009 WELFARE ALLOCATION FACTOR")</f>
        <v>0</v>
      </c>
      <c r="O503" s="152">
        <f t="shared" si="143"/>
        <v>0</v>
      </c>
      <c r="P503" s="126">
        <f>IF(E503="Y",0,SUMIFS('Support - Transition'!G:G,'Support - Transition'!J:J,'Step 2'!D503,'Support - Transition'!E:E,"2009 SCHOOL ALLOCATION FACTOR"))</f>
        <v>0.44757799999999998</v>
      </c>
      <c r="Q503" s="126">
        <f>IF(E503="Y",VLOOKUP(D503,'Support - Unit Adjustments'!F:G,2,FALSE),0)</f>
        <v>0</v>
      </c>
      <c r="R503" s="155">
        <f t="shared" si="155"/>
        <v>0.44757799999999998</v>
      </c>
      <c r="S503" s="47">
        <f t="shared" si="154"/>
        <v>107382</v>
      </c>
      <c r="T503" s="151">
        <f t="shared" si="139"/>
        <v>132536</v>
      </c>
      <c r="U503" s="151">
        <f t="shared" si="140"/>
        <v>0</v>
      </c>
      <c r="V503" s="139">
        <f t="shared" si="141"/>
        <v>0</v>
      </c>
      <c r="W503" s="152">
        <f t="shared" si="144"/>
        <v>132536</v>
      </c>
      <c r="X503" s="127" t="str">
        <f t="shared" si="142"/>
        <v/>
      </c>
      <c r="Y503" s="207">
        <f t="shared" si="145"/>
        <v>132536</v>
      </c>
      <c r="Z503" s="139">
        <f t="shared" si="146"/>
        <v>132536</v>
      </c>
      <c r="AA503" s="139">
        <f t="shared" si="147"/>
        <v>0</v>
      </c>
      <c r="AC503" s="47">
        <f t="shared" si="148"/>
        <v>66268</v>
      </c>
      <c r="AD503" s="47">
        <f t="shared" si="149"/>
        <v>66268</v>
      </c>
      <c r="AE503" s="47">
        <f t="shared" si="150"/>
        <v>0</v>
      </c>
      <c r="AG503" s="47">
        <f t="shared" si="151"/>
        <v>66268</v>
      </c>
      <c r="AH503" s="47">
        <f t="shared" si="152"/>
        <v>66268</v>
      </c>
      <c r="AI503" s="208">
        <f t="shared" si="153"/>
        <v>0</v>
      </c>
    </row>
    <row r="504" spans="1:35">
      <c r="A504" t="s">
        <v>2105</v>
      </c>
      <c r="B504" t="s">
        <v>3160</v>
      </c>
      <c r="C504" t="s">
        <v>2387</v>
      </c>
      <c r="D504" t="s">
        <v>3744</v>
      </c>
      <c r="F504" t="s">
        <v>419</v>
      </c>
      <c r="G504" s="126">
        <f>SUMIFS('Support - Transition'!F:F,'Support - Transition'!B:B,'Step 2'!A504,'Support - Transition'!C:C,'Step 2'!B504,'Support - Transition'!D:D,'Step 2'!C504,'Support - Transition'!E:E,"CIVIL")</f>
        <v>0</v>
      </c>
      <c r="H504" s="126">
        <f>SUMIFS('Support - Transition'!F:F,'Support - Transition'!B:B,'Step 2'!A504,'Support - Transition'!C:C,'Step 2'!B504,'Support - Transition'!D:D,'Step 2'!C504,'Support - Transition'!E:E,"FIRE")</f>
        <v>0</v>
      </c>
      <c r="I504" s="126">
        <f>IF(B504="0",SUMIFS('Support - Transition'!F:F,'Support - Transition'!J:J,'Step 2'!D504,'Support - Transition'!E:E,"STATE UNIT"),SUMIFS('Support - Transition'!F:F,'Support - Transition'!J:J,'Step 2'!D504))</f>
        <v>0.170291</v>
      </c>
      <c r="J504" s="126">
        <f>SUMIFS('Support - Unit Adjustments'!E:E,'Support - Unit Adjustments'!F:F,'Step 2'!D504)</f>
        <v>0</v>
      </c>
      <c r="K504" s="126">
        <f t="shared" si="137"/>
        <v>0.170291</v>
      </c>
      <c r="L504" s="174">
        <f>VLOOKUP(A504,'Step 1'!$A:$E,4,FALSE)</f>
        <v>1065146</v>
      </c>
      <c r="M504" s="47">
        <f t="shared" si="138"/>
        <v>181385</v>
      </c>
      <c r="N504" s="177">
        <f>SUMIFS('Support - Transition'!G:G,'Support - Transition'!J:J,'Step 2'!D504,'Support - Transition'!E:E,"2009 WELFARE ALLOCATION FACTOR")</f>
        <v>0</v>
      </c>
      <c r="O504" s="152">
        <f t="shared" si="143"/>
        <v>0</v>
      </c>
      <c r="P504" s="126">
        <f>IF(E504="Y",0,SUMIFS('Support - Transition'!G:G,'Support - Transition'!J:J,'Step 2'!D504,'Support - Transition'!E:E,"2009 SCHOOL ALLOCATION FACTOR"))</f>
        <v>0.48746899999999999</v>
      </c>
      <c r="Q504" s="126">
        <f>IF(E504="Y",VLOOKUP(D504,'Support - Unit Adjustments'!F:G,2,FALSE),0)</f>
        <v>0</v>
      </c>
      <c r="R504" s="155">
        <f t="shared" si="155"/>
        <v>0.48746899999999999</v>
      </c>
      <c r="S504" s="47">
        <f t="shared" si="154"/>
        <v>88420</v>
      </c>
      <c r="T504" s="151">
        <f t="shared" si="139"/>
        <v>92965</v>
      </c>
      <c r="U504" s="151">
        <f t="shared" si="140"/>
        <v>0</v>
      </c>
      <c r="V504" s="139">
        <f t="shared" si="141"/>
        <v>0</v>
      </c>
      <c r="W504" s="152">
        <f t="shared" si="144"/>
        <v>92965</v>
      </c>
      <c r="X504" s="127" t="str">
        <f t="shared" si="142"/>
        <v/>
      </c>
      <c r="Y504" s="207">
        <f t="shared" si="145"/>
        <v>92965</v>
      </c>
      <c r="Z504" s="139">
        <f t="shared" si="146"/>
        <v>92965</v>
      </c>
      <c r="AA504" s="139">
        <f t="shared" si="147"/>
        <v>0</v>
      </c>
      <c r="AC504" s="47">
        <f t="shared" si="148"/>
        <v>46483</v>
      </c>
      <c r="AD504" s="47">
        <f t="shared" si="149"/>
        <v>46483</v>
      </c>
      <c r="AE504" s="47">
        <f t="shared" si="150"/>
        <v>0</v>
      </c>
      <c r="AG504" s="47">
        <f t="shared" si="151"/>
        <v>46482</v>
      </c>
      <c r="AH504" s="47">
        <f t="shared" si="152"/>
        <v>46482</v>
      </c>
      <c r="AI504" s="208">
        <f t="shared" si="153"/>
        <v>0</v>
      </c>
    </row>
    <row r="505" spans="1:35">
      <c r="A505" t="s">
        <v>2105</v>
      </c>
      <c r="B505" t="s">
        <v>3166</v>
      </c>
      <c r="C505" t="s">
        <v>2388</v>
      </c>
      <c r="D505" t="s">
        <v>3745</v>
      </c>
      <c r="F505" t="s">
        <v>420</v>
      </c>
      <c r="G505" s="126">
        <f>SUMIFS('Support - Transition'!F:F,'Support - Transition'!B:B,'Step 2'!A505,'Support - Transition'!C:C,'Step 2'!B505,'Support - Transition'!D:D,'Step 2'!C505,'Support - Transition'!E:E,"CIVIL")</f>
        <v>0</v>
      </c>
      <c r="H505" s="126">
        <f>SUMIFS('Support - Transition'!F:F,'Support - Transition'!B:B,'Step 2'!A505,'Support - Transition'!C:C,'Step 2'!B505,'Support - Transition'!D:D,'Step 2'!C505,'Support - Transition'!E:E,"FIRE")</f>
        <v>0</v>
      </c>
      <c r="I505" s="126">
        <f>IF(B505="0",SUMIFS('Support - Transition'!F:F,'Support - Transition'!J:J,'Step 2'!D505,'Support - Transition'!E:E,"STATE UNIT"),SUMIFS('Support - Transition'!F:F,'Support - Transition'!J:J,'Step 2'!D505))</f>
        <v>1.9574000000000001E-2</v>
      </c>
      <c r="J505" s="126">
        <f>SUMIFS('Support - Unit Adjustments'!E:E,'Support - Unit Adjustments'!F:F,'Step 2'!D505)</f>
        <v>0</v>
      </c>
      <c r="K505" s="126">
        <f t="shared" si="137"/>
        <v>1.9574000000000001E-2</v>
      </c>
      <c r="L505" s="174">
        <f>VLOOKUP(A505,'Step 1'!$A:$E,4,FALSE)</f>
        <v>1065146</v>
      </c>
      <c r="M505" s="47">
        <f t="shared" si="138"/>
        <v>20849</v>
      </c>
      <c r="N505" s="177">
        <f>SUMIFS('Support - Transition'!G:G,'Support - Transition'!J:J,'Step 2'!D505,'Support - Transition'!E:E,"2009 WELFARE ALLOCATION FACTOR")</f>
        <v>0</v>
      </c>
      <c r="O505" s="152">
        <f t="shared" si="143"/>
        <v>0</v>
      </c>
      <c r="P505" s="126">
        <f>IF(E505="Y",0,SUMIFS('Support - Transition'!G:G,'Support - Transition'!J:J,'Step 2'!D505,'Support - Transition'!E:E,"2009 SCHOOL ALLOCATION FACTOR"))</f>
        <v>0</v>
      </c>
      <c r="Q505" s="126">
        <f>IF(E505="Y",VLOOKUP(D505,'Support - Unit Adjustments'!F:G,2,FALSE),0)</f>
        <v>0</v>
      </c>
      <c r="R505" s="155">
        <f t="shared" si="155"/>
        <v>0</v>
      </c>
      <c r="S505" s="47">
        <f t="shared" si="154"/>
        <v>0</v>
      </c>
      <c r="T505" s="151">
        <f t="shared" si="139"/>
        <v>20849</v>
      </c>
      <c r="U505" s="151">
        <f t="shared" si="140"/>
        <v>0</v>
      </c>
      <c r="V505" s="139">
        <f t="shared" si="141"/>
        <v>0</v>
      </c>
      <c r="W505" s="152">
        <f t="shared" si="144"/>
        <v>20849</v>
      </c>
      <c r="X505" s="127" t="str">
        <f t="shared" si="142"/>
        <v/>
      </c>
      <c r="Y505" s="207">
        <f t="shared" si="145"/>
        <v>20849</v>
      </c>
      <c r="Z505" s="139">
        <f t="shared" si="146"/>
        <v>20849</v>
      </c>
      <c r="AA505" s="139">
        <f t="shared" si="147"/>
        <v>0</v>
      </c>
      <c r="AC505" s="47">
        <f t="shared" si="148"/>
        <v>10425</v>
      </c>
      <c r="AD505" s="47">
        <f t="shared" si="149"/>
        <v>10425</v>
      </c>
      <c r="AE505" s="47">
        <f t="shared" si="150"/>
        <v>0</v>
      </c>
      <c r="AG505" s="47">
        <f t="shared" si="151"/>
        <v>10424</v>
      </c>
      <c r="AH505" s="47">
        <f t="shared" si="152"/>
        <v>10424</v>
      </c>
      <c r="AI505" s="208">
        <f t="shared" si="153"/>
        <v>0</v>
      </c>
    </row>
    <row r="506" spans="1:35">
      <c r="A506" t="s">
        <v>2105</v>
      </c>
      <c r="B506" t="s">
        <v>3166</v>
      </c>
      <c r="C506" t="s">
        <v>3746</v>
      </c>
      <c r="D506" t="s">
        <v>3747</v>
      </c>
      <c r="F506" t="s">
        <v>3748</v>
      </c>
      <c r="G506" s="126">
        <f>SUMIFS('Support - Transition'!F:F,'Support - Transition'!B:B,'Step 2'!A506,'Support - Transition'!C:C,'Step 2'!B506,'Support - Transition'!D:D,'Step 2'!C506,'Support - Transition'!E:E,"CIVIL")</f>
        <v>0</v>
      </c>
      <c r="H506" s="126">
        <f>SUMIFS('Support - Transition'!F:F,'Support - Transition'!B:B,'Step 2'!A506,'Support - Transition'!C:C,'Step 2'!B506,'Support - Transition'!D:D,'Step 2'!C506,'Support - Transition'!E:E,"FIRE")</f>
        <v>0</v>
      </c>
      <c r="I506" s="126">
        <f>IF(B506="0",SUMIFS('Support - Transition'!F:F,'Support - Transition'!J:J,'Step 2'!D506,'Support - Transition'!E:E,"STATE UNIT"),SUMIFS('Support - Transition'!F:F,'Support - Transition'!J:J,'Step 2'!D506))</f>
        <v>0</v>
      </c>
      <c r="J506" s="126">
        <f>SUMIFS('Support - Unit Adjustments'!E:E,'Support - Unit Adjustments'!F:F,'Step 2'!D506)</f>
        <v>0</v>
      </c>
      <c r="K506" s="126">
        <f t="shared" si="137"/>
        <v>0</v>
      </c>
      <c r="L506" s="174">
        <f>VLOOKUP(A506,'Step 1'!$A:$E,4,FALSE)</f>
        <v>1065146</v>
      </c>
      <c r="M506" s="47">
        <f t="shared" si="138"/>
        <v>0</v>
      </c>
      <c r="N506" s="177">
        <f>SUMIFS('Support - Transition'!G:G,'Support - Transition'!J:J,'Step 2'!D506,'Support - Transition'!E:E,"2009 WELFARE ALLOCATION FACTOR")</f>
        <v>0</v>
      </c>
      <c r="O506" s="152">
        <f t="shared" si="143"/>
        <v>0</v>
      </c>
      <c r="P506" s="126">
        <f>IF(E506="Y",0,SUMIFS('Support - Transition'!G:G,'Support - Transition'!J:J,'Step 2'!D506,'Support - Transition'!E:E,"2009 SCHOOL ALLOCATION FACTOR"))</f>
        <v>0</v>
      </c>
      <c r="Q506" s="126">
        <f>IF(E506="Y",VLOOKUP(D506,'Support - Unit Adjustments'!F:G,2,FALSE),0)</f>
        <v>0</v>
      </c>
      <c r="R506" s="155">
        <f t="shared" si="155"/>
        <v>0</v>
      </c>
      <c r="S506" s="47">
        <f t="shared" si="154"/>
        <v>0</v>
      </c>
      <c r="T506" s="151">
        <f t="shared" si="139"/>
        <v>0</v>
      </c>
      <c r="U506" s="151">
        <f t="shared" si="140"/>
        <v>0</v>
      </c>
      <c r="V506" s="139">
        <f t="shared" si="141"/>
        <v>0</v>
      </c>
      <c r="W506" s="152">
        <f t="shared" si="144"/>
        <v>0</v>
      </c>
      <c r="X506" s="127" t="str">
        <f t="shared" si="142"/>
        <v/>
      </c>
      <c r="Y506" s="207">
        <f t="shared" si="145"/>
        <v>0</v>
      </c>
      <c r="Z506" s="139">
        <f t="shared" si="146"/>
        <v>0</v>
      </c>
      <c r="AA506" s="139">
        <f t="shared" si="147"/>
        <v>0</v>
      </c>
      <c r="AC506" s="47">
        <f t="shared" si="148"/>
        <v>0</v>
      </c>
      <c r="AD506" s="47">
        <f t="shared" si="149"/>
        <v>0</v>
      </c>
      <c r="AE506" s="47">
        <f t="shared" si="150"/>
        <v>0</v>
      </c>
      <c r="AG506" s="47">
        <f t="shared" si="151"/>
        <v>0</v>
      </c>
      <c r="AH506" s="47">
        <f t="shared" si="152"/>
        <v>0</v>
      </c>
      <c r="AI506" s="208">
        <f t="shared" si="153"/>
        <v>0</v>
      </c>
    </row>
    <row r="507" spans="1:35">
      <c r="A507" t="s">
        <v>2105</v>
      </c>
      <c r="B507" t="s">
        <v>3170</v>
      </c>
      <c r="C507" t="s">
        <v>2389</v>
      </c>
      <c r="D507" t="s">
        <v>3749</v>
      </c>
      <c r="F507" t="s">
        <v>424</v>
      </c>
      <c r="G507" s="126">
        <f>SUMIFS('Support - Transition'!F:F,'Support - Transition'!B:B,'Step 2'!A507,'Support - Transition'!C:C,'Step 2'!B507,'Support - Transition'!D:D,'Step 2'!C507,'Support - Transition'!E:E,"CIVIL")</f>
        <v>0</v>
      </c>
      <c r="H507" s="126">
        <f>SUMIFS('Support - Transition'!F:F,'Support - Transition'!B:B,'Step 2'!A507,'Support - Transition'!C:C,'Step 2'!B507,'Support - Transition'!D:D,'Step 2'!C507,'Support - Transition'!E:E,"FIRE")</f>
        <v>0</v>
      </c>
      <c r="I507" s="126">
        <f>IF(B507="0",SUMIFS('Support - Transition'!F:F,'Support - Transition'!J:J,'Step 2'!D507,'Support - Transition'!E:E,"STATE UNIT"),SUMIFS('Support - Transition'!F:F,'Support - Transition'!J:J,'Step 2'!D507))</f>
        <v>3.201900000000002E-2</v>
      </c>
      <c r="J507" s="126">
        <f>SUMIFS('Support - Unit Adjustments'!E:E,'Support - Unit Adjustments'!F:F,'Step 2'!D507)</f>
        <v>0</v>
      </c>
      <c r="K507" s="126">
        <f t="shared" si="137"/>
        <v>3.201900000000002E-2</v>
      </c>
      <c r="L507" s="174">
        <f>VLOOKUP(A507,'Step 1'!$A:$E,4,FALSE)</f>
        <v>1065146</v>
      </c>
      <c r="M507" s="47">
        <f t="shared" si="138"/>
        <v>34105</v>
      </c>
      <c r="N507" s="177">
        <f>SUMIFS('Support - Transition'!G:G,'Support - Transition'!J:J,'Step 2'!D507,'Support - Transition'!E:E,"2009 WELFARE ALLOCATION FACTOR")</f>
        <v>0</v>
      </c>
      <c r="O507" s="152">
        <f t="shared" si="143"/>
        <v>0</v>
      </c>
      <c r="P507" s="126">
        <f>IF(E507="Y",0,SUMIFS('Support - Transition'!G:G,'Support - Transition'!J:J,'Step 2'!D507,'Support - Transition'!E:E,"2009 SCHOOL ALLOCATION FACTOR"))</f>
        <v>0</v>
      </c>
      <c r="Q507" s="126">
        <f>IF(E507="Y",VLOOKUP(D507,'Support - Unit Adjustments'!F:G,2,FALSE),0)</f>
        <v>0</v>
      </c>
      <c r="R507" s="155">
        <f t="shared" si="155"/>
        <v>0</v>
      </c>
      <c r="S507" s="47">
        <f t="shared" si="154"/>
        <v>0</v>
      </c>
      <c r="T507" s="151">
        <f t="shared" si="139"/>
        <v>34105</v>
      </c>
      <c r="U507" s="151">
        <f t="shared" si="140"/>
        <v>0</v>
      </c>
      <c r="V507" s="139">
        <f t="shared" si="141"/>
        <v>0</v>
      </c>
      <c r="W507" s="152">
        <f t="shared" si="144"/>
        <v>34105</v>
      </c>
      <c r="X507" s="127" t="str">
        <f t="shared" si="142"/>
        <v/>
      </c>
      <c r="Y507" s="207">
        <f t="shared" si="145"/>
        <v>34105</v>
      </c>
      <c r="Z507" s="139">
        <f t="shared" si="146"/>
        <v>34105</v>
      </c>
      <c r="AA507" s="139">
        <f t="shared" si="147"/>
        <v>0</v>
      </c>
      <c r="AC507" s="47">
        <f t="shared" si="148"/>
        <v>17053</v>
      </c>
      <c r="AD507" s="47">
        <f t="shared" si="149"/>
        <v>17053</v>
      </c>
      <c r="AE507" s="47">
        <f t="shared" si="150"/>
        <v>0</v>
      </c>
      <c r="AG507" s="47">
        <f t="shared" si="151"/>
        <v>17052</v>
      </c>
      <c r="AH507" s="47">
        <f t="shared" si="152"/>
        <v>17052</v>
      </c>
      <c r="AI507" s="208">
        <f t="shared" si="153"/>
        <v>0</v>
      </c>
    </row>
    <row r="508" spans="1:35">
      <c r="A508" t="s">
        <v>2105</v>
      </c>
      <c r="B508" t="s">
        <v>3170</v>
      </c>
      <c r="C508" t="s">
        <v>2296</v>
      </c>
      <c r="D508" t="s">
        <v>3750</v>
      </c>
      <c r="F508" t="s">
        <v>423</v>
      </c>
      <c r="G508" s="126">
        <f>SUMIFS('Support - Transition'!F:F,'Support - Transition'!B:B,'Step 2'!A508,'Support - Transition'!C:C,'Step 2'!B508,'Support - Transition'!D:D,'Step 2'!C508,'Support - Transition'!E:E,"CIVIL")</f>
        <v>0</v>
      </c>
      <c r="H508" s="126">
        <f>SUMIFS('Support - Transition'!F:F,'Support - Transition'!B:B,'Step 2'!A508,'Support - Transition'!C:C,'Step 2'!B508,'Support - Transition'!D:D,'Step 2'!C508,'Support - Transition'!E:E,"FIRE")</f>
        <v>0</v>
      </c>
      <c r="I508" s="126">
        <f>IF(B508="0",SUMIFS('Support - Transition'!F:F,'Support - Transition'!J:J,'Step 2'!D508,'Support - Transition'!E:E,"STATE UNIT"),SUMIFS('Support - Transition'!F:F,'Support - Transition'!J:J,'Step 2'!D508))</f>
        <v>1.1150999999999999E-2</v>
      </c>
      <c r="J508" s="126">
        <f>SUMIFS('Support - Unit Adjustments'!E:E,'Support - Unit Adjustments'!F:F,'Step 2'!D508)</f>
        <v>0</v>
      </c>
      <c r="K508" s="126">
        <f t="shared" si="137"/>
        <v>1.1150999999999999E-2</v>
      </c>
      <c r="L508" s="174">
        <f>VLOOKUP(A508,'Step 1'!$A:$E,4,FALSE)</f>
        <v>1065146</v>
      </c>
      <c r="M508" s="47">
        <f t="shared" si="138"/>
        <v>11877</v>
      </c>
      <c r="N508" s="177">
        <f>SUMIFS('Support - Transition'!G:G,'Support - Transition'!J:J,'Step 2'!D508,'Support - Transition'!E:E,"2009 WELFARE ALLOCATION FACTOR")</f>
        <v>0</v>
      </c>
      <c r="O508" s="152">
        <f t="shared" si="143"/>
        <v>0</v>
      </c>
      <c r="P508" s="126">
        <f>IF(E508="Y",0,SUMIFS('Support - Transition'!G:G,'Support - Transition'!J:J,'Step 2'!D508,'Support - Transition'!E:E,"2009 SCHOOL ALLOCATION FACTOR"))</f>
        <v>0</v>
      </c>
      <c r="Q508" s="126">
        <f>IF(E508="Y",VLOOKUP(D508,'Support - Unit Adjustments'!F:G,2,FALSE),0)</f>
        <v>0</v>
      </c>
      <c r="R508" s="155">
        <f t="shared" si="155"/>
        <v>0</v>
      </c>
      <c r="S508" s="47">
        <f t="shared" si="154"/>
        <v>0</v>
      </c>
      <c r="T508" s="151">
        <f t="shared" si="139"/>
        <v>11877</v>
      </c>
      <c r="U508" s="151">
        <f t="shared" si="140"/>
        <v>0</v>
      </c>
      <c r="V508" s="139">
        <f t="shared" si="141"/>
        <v>0</v>
      </c>
      <c r="W508" s="152">
        <f t="shared" si="144"/>
        <v>11877</v>
      </c>
      <c r="X508" s="127" t="str">
        <f t="shared" si="142"/>
        <v/>
      </c>
      <c r="Y508" s="207">
        <f t="shared" si="145"/>
        <v>11877</v>
      </c>
      <c r="Z508" s="139">
        <f t="shared" si="146"/>
        <v>11877</v>
      </c>
      <c r="AA508" s="139">
        <f t="shared" si="147"/>
        <v>0</v>
      </c>
      <c r="AC508" s="47">
        <f t="shared" si="148"/>
        <v>5939</v>
      </c>
      <c r="AD508" s="47">
        <f t="shared" si="149"/>
        <v>5939</v>
      </c>
      <c r="AE508" s="47">
        <f t="shared" si="150"/>
        <v>0</v>
      </c>
      <c r="AG508" s="47">
        <f t="shared" si="151"/>
        <v>5938</v>
      </c>
      <c r="AH508" s="47">
        <f t="shared" si="152"/>
        <v>5938</v>
      </c>
      <c r="AI508" s="208">
        <f t="shared" si="153"/>
        <v>0</v>
      </c>
    </row>
    <row r="509" spans="1:35">
      <c r="A509" t="s">
        <v>2105</v>
      </c>
      <c r="B509" t="s">
        <v>3170</v>
      </c>
      <c r="C509" t="s">
        <v>2390</v>
      </c>
      <c r="D509" t="s">
        <v>3751</v>
      </c>
      <c r="F509" t="s">
        <v>421</v>
      </c>
      <c r="G509" s="126">
        <f>SUMIFS('Support - Transition'!F:F,'Support - Transition'!B:B,'Step 2'!A509,'Support - Transition'!C:C,'Step 2'!B509,'Support - Transition'!D:D,'Step 2'!C509,'Support - Transition'!E:E,"CIVIL")</f>
        <v>0</v>
      </c>
      <c r="H509" s="126">
        <f>SUMIFS('Support - Transition'!F:F,'Support - Transition'!B:B,'Step 2'!A509,'Support - Transition'!C:C,'Step 2'!B509,'Support - Transition'!D:D,'Step 2'!C509,'Support - Transition'!E:E,"FIRE")</f>
        <v>0</v>
      </c>
      <c r="I509" s="126">
        <f>IF(B509="0",SUMIFS('Support - Transition'!F:F,'Support - Transition'!J:J,'Step 2'!D509,'Support - Transition'!E:E,"STATE UNIT"),SUMIFS('Support - Transition'!F:F,'Support - Transition'!J:J,'Step 2'!D509))</f>
        <v>2.467E-3</v>
      </c>
      <c r="J509" s="126">
        <f>SUMIFS('Support - Unit Adjustments'!E:E,'Support - Unit Adjustments'!F:F,'Step 2'!D509)</f>
        <v>0</v>
      </c>
      <c r="K509" s="126">
        <f t="shared" si="137"/>
        <v>2.467E-3</v>
      </c>
      <c r="L509" s="174">
        <f>VLOOKUP(A509,'Step 1'!$A:$E,4,FALSE)</f>
        <v>1065146</v>
      </c>
      <c r="M509" s="47">
        <f t="shared" si="138"/>
        <v>2628</v>
      </c>
      <c r="N509" s="177">
        <f>SUMIFS('Support - Transition'!G:G,'Support - Transition'!J:J,'Step 2'!D509,'Support - Transition'!E:E,"2009 WELFARE ALLOCATION FACTOR")</f>
        <v>0</v>
      </c>
      <c r="O509" s="152">
        <f t="shared" si="143"/>
        <v>0</v>
      </c>
      <c r="P509" s="126">
        <f>IF(E509="Y",0,SUMIFS('Support - Transition'!G:G,'Support - Transition'!J:J,'Step 2'!D509,'Support - Transition'!E:E,"2009 SCHOOL ALLOCATION FACTOR"))</f>
        <v>0</v>
      </c>
      <c r="Q509" s="126">
        <f>IF(E509="Y",VLOOKUP(D509,'Support - Unit Adjustments'!F:G,2,FALSE),0)</f>
        <v>0</v>
      </c>
      <c r="R509" s="155">
        <f t="shared" si="155"/>
        <v>0</v>
      </c>
      <c r="S509" s="47">
        <f t="shared" si="154"/>
        <v>0</v>
      </c>
      <c r="T509" s="151">
        <f t="shared" si="139"/>
        <v>2628</v>
      </c>
      <c r="U509" s="151">
        <f t="shared" si="140"/>
        <v>0</v>
      </c>
      <c r="V509" s="139">
        <f t="shared" si="141"/>
        <v>0</v>
      </c>
      <c r="W509" s="152">
        <f t="shared" si="144"/>
        <v>2628</v>
      </c>
      <c r="X509" s="127" t="str">
        <f t="shared" si="142"/>
        <v/>
      </c>
      <c r="Y509" s="207">
        <f t="shared" si="145"/>
        <v>2628</v>
      </c>
      <c r="Z509" s="139">
        <f t="shared" si="146"/>
        <v>2628</v>
      </c>
      <c r="AA509" s="139">
        <f t="shared" si="147"/>
        <v>0</v>
      </c>
      <c r="AC509" s="47">
        <f t="shared" si="148"/>
        <v>1314</v>
      </c>
      <c r="AD509" s="47">
        <f t="shared" si="149"/>
        <v>1314</v>
      </c>
      <c r="AE509" s="47">
        <f t="shared" si="150"/>
        <v>0</v>
      </c>
      <c r="AG509" s="47">
        <f t="shared" si="151"/>
        <v>1314</v>
      </c>
      <c r="AH509" s="47">
        <f t="shared" si="152"/>
        <v>1314</v>
      </c>
      <c r="AI509" s="208">
        <f t="shared" si="153"/>
        <v>0</v>
      </c>
    </row>
    <row r="510" spans="1:35">
      <c r="A510" t="s">
        <v>2105</v>
      </c>
      <c r="B510" t="s">
        <v>3170</v>
      </c>
      <c r="C510" t="s">
        <v>3752</v>
      </c>
      <c r="D510" t="s">
        <v>3753</v>
      </c>
      <c r="F510" t="s">
        <v>422</v>
      </c>
      <c r="G510" s="126">
        <f>SUMIFS('Support - Transition'!F:F,'Support - Transition'!B:B,'Step 2'!A510,'Support - Transition'!C:C,'Step 2'!B510,'Support - Transition'!D:D,'Step 2'!C510,'Support - Transition'!E:E,"CIVIL")</f>
        <v>0</v>
      </c>
      <c r="H510" s="126">
        <f>SUMIFS('Support - Transition'!F:F,'Support - Transition'!B:B,'Step 2'!A510,'Support - Transition'!C:C,'Step 2'!B510,'Support - Transition'!D:D,'Step 2'!C510,'Support - Transition'!E:E,"FIRE")</f>
        <v>0</v>
      </c>
      <c r="I510" s="126">
        <f>IF(B510="0",SUMIFS('Support - Transition'!F:F,'Support - Transition'!J:J,'Step 2'!D510,'Support - Transition'!E:E,"STATE UNIT"),SUMIFS('Support - Transition'!F:F,'Support - Transition'!J:J,'Step 2'!D510))</f>
        <v>2.0219999999999999E-3</v>
      </c>
      <c r="J510" s="126">
        <f>SUMIFS('Support - Unit Adjustments'!E:E,'Support - Unit Adjustments'!F:F,'Step 2'!D510)</f>
        <v>0</v>
      </c>
      <c r="K510" s="126">
        <f t="shared" si="137"/>
        <v>2.0219999999999999E-3</v>
      </c>
      <c r="L510" s="174">
        <f>VLOOKUP(A510,'Step 1'!$A:$E,4,FALSE)</f>
        <v>1065146</v>
      </c>
      <c r="M510" s="47">
        <f t="shared" si="138"/>
        <v>2154</v>
      </c>
      <c r="N510" s="177">
        <f>SUMIFS('Support - Transition'!G:G,'Support - Transition'!J:J,'Step 2'!D510,'Support - Transition'!E:E,"2009 WELFARE ALLOCATION FACTOR")</f>
        <v>0</v>
      </c>
      <c r="O510" s="152">
        <f t="shared" si="143"/>
        <v>0</v>
      </c>
      <c r="P510" s="126">
        <f>IF(E510="Y",0,SUMIFS('Support - Transition'!G:G,'Support - Transition'!J:J,'Step 2'!D510,'Support - Transition'!E:E,"2009 SCHOOL ALLOCATION FACTOR"))</f>
        <v>0</v>
      </c>
      <c r="Q510" s="126">
        <f>IF(E510="Y",VLOOKUP(D510,'Support - Unit Adjustments'!F:G,2,FALSE),0)</f>
        <v>0</v>
      </c>
      <c r="R510" s="155">
        <f t="shared" si="155"/>
        <v>0</v>
      </c>
      <c r="S510" s="47">
        <f t="shared" si="154"/>
        <v>0</v>
      </c>
      <c r="T510" s="151">
        <f t="shared" si="139"/>
        <v>2154</v>
      </c>
      <c r="U510" s="151">
        <f t="shared" si="140"/>
        <v>0</v>
      </c>
      <c r="V510" s="139">
        <f t="shared" si="141"/>
        <v>0</v>
      </c>
      <c r="W510" s="152">
        <f t="shared" si="144"/>
        <v>2154</v>
      </c>
      <c r="X510" s="127" t="str">
        <f t="shared" si="142"/>
        <v/>
      </c>
      <c r="Y510" s="207">
        <f t="shared" si="145"/>
        <v>2154</v>
      </c>
      <c r="Z510" s="139">
        <f t="shared" si="146"/>
        <v>2154</v>
      </c>
      <c r="AA510" s="139">
        <f t="shared" si="147"/>
        <v>0</v>
      </c>
      <c r="AC510" s="47">
        <f t="shared" si="148"/>
        <v>1077</v>
      </c>
      <c r="AD510" s="47">
        <f t="shared" si="149"/>
        <v>1077</v>
      </c>
      <c r="AE510" s="47">
        <f t="shared" si="150"/>
        <v>0</v>
      </c>
      <c r="AG510" s="47">
        <f t="shared" si="151"/>
        <v>1077</v>
      </c>
      <c r="AH510" s="47">
        <f t="shared" si="152"/>
        <v>1077</v>
      </c>
      <c r="AI510" s="208">
        <f t="shared" si="153"/>
        <v>0</v>
      </c>
    </row>
    <row r="511" spans="1:35">
      <c r="A511" t="s">
        <v>2106</v>
      </c>
      <c r="B511" s="48" t="s">
        <v>6274</v>
      </c>
      <c r="C511" t="s">
        <v>2187</v>
      </c>
      <c r="D511" t="str">
        <f>A511&amp;B511&amp;C511</f>
        <v>1900000</v>
      </c>
      <c r="F511" t="s">
        <v>6293</v>
      </c>
      <c r="G511" s="126">
        <f>SUMIFS('Support - Transition'!F:F,'Support - Transition'!B:B,'Step 2'!A511,'Support - Transition'!C:C,'Step 2'!B511,'Support - Transition'!D:D,'Step 2'!C511,'Support - Transition'!E:E,"CIVIL")</f>
        <v>0</v>
      </c>
      <c r="H511" s="126">
        <f>SUMIFS('Support - Transition'!F:F,'Support - Transition'!B:B,'Step 2'!A511,'Support - Transition'!C:C,'Step 2'!B511,'Support - Transition'!D:D,'Step 2'!C511,'Support - Transition'!E:E,"FIRE")</f>
        <v>0</v>
      </c>
      <c r="I511" s="126">
        <f>IF(B511="0",SUMIFS('Support - Transition'!F:F,'Support - Transition'!J:J,'Step 2'!D511,'Support - Transition'!E:E,"STATE UNIT"),SUMIFS('Support - Transition'!F:F,'Support - Transition'!J:J,'Step 2'!D511))</f>
        <v>1.3240000000000001E-3</v>
      </c>
      <c r="J511" s="126">
        <f>SUMIFS('Support - Unit Adjustments'!E:E,'Support - Unit Adjustments'!F:F,'Step 2'!D511)</f>
        <v>0</v>
      </c>
      <c r="K511" s="126">
        <f t="shared" si="137"/>
        <v>1.3240000000000001E-3</v>
      </c>
      <c r="L511" s="174">
        <f>VLOOKUP(A511,'Step 1'!$A:$E,4,FALSE)</f>
        <v>640955</v>
      </c>
      <c r="M511" s="47">
        <f t="shared" si="138"/>
        <v>849</v>
      </c>
      <c r="N511" s="177">
        <f>SUMIFS('Support - Transition'!G:G,'Support - Transition'!J:J,'Step 2'!D511,'Support - Transition'!E:E,"2009 WELFARE ALLOCATION FACTOR")</f>
        <v>0</v>
      </c>
      <c r="O511" s="152">
        <f t="shared" si="143"/>
        <v>0</v>
      </c>
      <c r="P511" s="126">
        <f>IF(E511="Y",0,SUMIFS('Support - Transition'!G:G,'Support - Transition'!J:J,'Step 2'!D511,'Support - Transition'!E:E,"2009 SCHOOL ALLOCATION FACTOR"))</f>
        <v>0</v>
      </c>
      <c r="Q511" s="126">
        <f>IF(E511="Y",VLOOKUP(D511,'Support - Unit Adjustments'!F:G,2,FALSE),0)</f>
        <v>0</v>
      </c>
      <c r="R511" s="155">
        <f t="shared" si="155"/>
        <v>0</v>
      </c>
      <c r="S511" s="47">
        <f t="shared" si="154"/>
        <v>0</v>
      </c>
      <c r="T511" s="151">
        <f t="shared" si="139"/>
        <v>849</v>
      </c>
      <c r="U511" s="151">
        <f t="shared" si="140"/>
        <v>640956</v>
      </c>
      <c r="V511" s="139">
        <f t="shared" si="141"/>
        <v>1</v>
      </c>
      <c r="W511" s="152">
        <f t="shared" si="144"/>
        <v>848</v>
      </c>
      <c r="X511" s="127">
        <f t="shared" si="142"/>
        <v>0</v>
      </c>
      <c r="Y511" s="207">
        <f t="shared" si="145"/>
        <v>848</v>
      </c>
      <c r="Z511" s="139">
        <f t="shared" si="146"/>
        <v>848</v>
      </c>
      <c r="AA511" s="139">
        <f t="shared" si="147"/>
        <v>0</v>
      </c>
      <c r="AC511" s="47">
        <f t="shared" si="148"/>
        <v>424</v>
      </c>
      <c r="AD511" s="47">
        <f t="shared" si="149"/>
        <v>424</v>
      </c>
      <c r="AE511" s="47">
        <f t="shared" si="150"/>
        <v>0</v>
      </c>
      <c r="AG511" s="47">
        <f t="shared" si="151"/>
        <v>424</v>
      </c>
      <c r="AH511" s="47">
        <f t="shared" si="152"/>
        <v>424</v>
      </c>
      <c r="AI511" s="208">
        <f t="shared" si="153"/>
        <v>0</v>
      </c>
    </row>
    <row r="512" spans="1:35">
      <c r="A512" t="s">
        <v>2106</v>
      </c>
      <c r="B512" t="s">
        <v>3140</v>
      </c>
      <c r="C512" t="s">
        <v>2187</v>
      </c>
      <c r="D512" t="s">
        <v>3754</v>
      </c>
      <c r="F512" t="s">
        <v>427</v>
      </c>
      <c r="G512" s="126">
        <f>SUMIFS('Support - Transition'!F:F,'Support - Transition'!B:B,'Step 2'!A512,'Support - Transition'!C:C,'Step 2'!B512,'Support - Transition'!D:D,'Step 2'!C512,'Support - Transition'!E:E,"CIVIL")</f>
        <v>0</v>
      </c>
      <c r="H512" s="126">
        <f>SUMIFS('Support - Transition'!F:F,'Support - Transition'!B:B,'Step 2'!A512,'Support - Transition'!C:C,'Step 2'!B512,'Support - Transition'!D:D,'Step 2'!C512,'Support - Transition'!E:E,"FIRE")</f>
        <v>0</v>
      </c>
      <c r="I512" s="126">
        <f>IF(B512="0",SUMIFS('Support - Transition'!F:F,'Support - Transition'!J:J,'Step 2'!D512,'Support - Transition'!E:E,"STATE UNIT"),SUMIFS('Support - Transition'!F:F,'Support - Transition'!J:J,'Step 2'!D512))</f>
        <v>0.123831</v>
      </c>
      <c r="J512" s="126">
        <f>SUMIFS('Support - Unit Adjustments'!E:E,'Support - Unit Adjustments'!F:F,'Step 2'!D512)</f>
        <v>0</v>
      </c>
      <c r="K512" s="126">
        <f t="shared" si="137"/>
        <v>0.123831</v>
      </c>
      <c r="L512" s="174">
        <f>VLOOKUP(A512,'Step 1'!$A:$E,4,FALSE)</f>
        <v>640955</v>
      </c>
      <c r="M512" s="47">
        <f t="shared" si="138"/>
        <v>79370</v>
      </c>
      <c r="N512" s="177">
        <f>SUMIFS('Support - Transition'!G:G,'Support - Transition'!J:J,'Step 2'!D512,'Support - Transition'!E:E,"2009 WELFARE ALLOCATION FACTOR")</f>
        <v>0.18373200000000001</v>
      </c>
      <c r="O512" s="152">
        <f t="shared" si="143"/>
        <v>14583</v>
      </c>
      <c r="P512" s="126">
        <f>IF(E512="Y",0,SUMIFS('Support - Transition'!G:G,'Support - Transition'!J:J,'Step 2'!D512,'Support - Transition'!E:E,"2009 SCHOOL ALLOCATION FACTOR"))</f>
        <v>0</v>
      </c>
      <c r="Q512" s="126">
        <f>IF(E512="Y",VLOOKUP(D512,'Support - Unit Adjustments'!F:G,2,FALSE),0)</f>
        <v>0</v>
      </c>
      <c r="R512" s="155">
        <f t="shared" si="155"/>
        <v>0</v>
      </c>
      <c r="S512" s="47">
        <f t="shared" si="154"/>
        <v>0</v>
      </c>
      <c r="T512" s="151">
        <f t="shared" si="139"/>
        <v>64787</v>
      </c>
      <c r="U512" s="151">
        <f t="shared" si="140"/>
        <v>0</v>
      </c>
      <c r="V512" s="139">
        <f t="shared" si="141"/>
        <v>0</v>
      </c>
      <c r="W512" s="152">
        <f t="shared" si="144"/>
        <v>64787</v>
      </c>
      <c r="X512" s="127" t="str">
        <f t="shared" si="142"/>
        <v/>
      </c>
      <c r="Y512" s="207">
        <f t="shared" si="145"/>
        <v>64787</v>
      </c>
      <c r="Z512" s="139">
        <f t="shared" si="146"/>
        <v>64787</v>
      </c>
      <c r="AA512" s="139">
        <f t="shared" si="147"/>
        <v>0</v>
      </c>
      <c r="AC512" s="47">
        <f t="shared" si="148"/>
        <v>32394</v>
      </c>
      <c r="AD512" s="47">
        <f t="shared" si="149"/>
        <v>32394</v>
      </c>
      <c r="AE512" s="47">
        <f t="shared" si="150"/>
        <v>0</v>
      </c>
      <c r="AG512" s="47">
        <f t="shared" si="151"/>
        <v>32393</v>
      </c>
      <c r="AH512" s="47">
        <f t="shared" si="152"/>
        <v>32393</v>
      </c>
      <c r="AI512" s="208">
        <f t="shared" si="153"/>
        <v>0</v>
      </c>
    </row>
    <row r="513" spans="1:35">
      <c r="A513" t="s">
        <v>2106</v>
      </c>
      <c r="B513" t="s">
        <v>3142</v>
      </c>
      <c r="C513" t="s">
        <v>2188</v>
      </c>
      <c r="D513" t="s">
        <v>3755</v>
      </c>
      <c r="F513" t="s">
        <v>428</v>
      </c>
      <c r="G513" s="126">
        <f>SUMIFS('Support - Transition'!F:F,'Support - Transition'!B:B,'Step 2'!A513,'Support - Transition'!C:C,'Step 2'!B513,'Support - Transition'!D:D,'Step 2'!C513,'Support - Transition'!E:E,"CIVIL")</f>
        <v>8.7699999999999996E-4</v>
      </c>
      <c r="H513" s="126">
        <f>SUMIFS('Support - Transition'!F:F,'Support - Transition'!B:B,'Step 2'!A513,'Support - Transition'!C:C,'Step 2'!B513,'Support - Transition'!D:D,'Step 2'!C513,'Support - Transition'!E:E,"FIRE")</f>
        <v>9.3999999999999994E-5</v>
      </c>
      <c r="I513" s="126">
        <f>IF(B513="0",SUMIFS('Support - Transition'!F:F,'Support - Transition'!J:J,'Step 2'!D513,'Support - Transition'!E:E,"STATE UNIT"),SUMIFS('Support - Transition'!F:F,'Support - Transition'!J:J,'Step 2'!D513))</f>
        <v>9.7099999999999997E-4</v>
      </c>
      <c r="J513" s="126">
        <f>SUMIFS('Support - Unit Adjustments'!E:E,'Support - Unit Adjustments'!F:F,'Step 2'!D513)</f>
        <v>0</v>
      </c>
      <c r="K513" s="126">
        <f t="shared" si="137"/>
        <v>9.7099999999999997E-4</v>
      </c>
      <c r="L513" s="174">
        <f>VLOOKUP(A513,'Step 1'!$A:$E,4,FALSE)</f>
        <v>640955</v>
      </c>
      <c r="M513" s="47">
        <f t="shared" si="138"/>
        <v>622</v>
      </c>
      <c r="N513" s="177">
        <f>SUMIFS('Support - Transition'!G:G,'Support - Transition'!J:J,'Step 2'!D513,'Support - Transition'!E:E,"2009 WELFARE ALLOCATION FACTOR")</f>
        <v>0</v>
      </c>
      <c r="O513" s="152">
        <f t="shared" si="143"/>
        <v>0</v>
      </c>
      <c r="P513" s="126">
        <f>IF(E513="Y",0,SUMIFS('Support - Transition'!G:G,'Support - Transition'!J:J,'Step 2'!D513,'Support - Transition'!E:E,"2009 SCHOOL ALLOCATION FACTOR"))</f>
        <v>0</v>
      </c>
      <c r="Q513" s="126">
        <f>IF(E513="Y",VLOOKUP(D513,'Support - Unit Adjustments'!F:G,2,FALSE),0)</f>
        <v>0</v>
      </c>
      <c r="R513" s="155">
        <f t="shared" si="155"/>
        <v>0</v>
      </c>
      <c r="S513" s="47">
        <f t="shared" si="154"/>
        <v>0</v>
      </c>
      <c r="T513" s="151">
        <f t="shared" si="139"/>
        <v>622</v>
      </c>
      <c r="U513" s="151">
        <f t="shared" si="140"/>
        <v>0</v>
      </c>
      <c r="V513" s="139">
        <f t="shared" si="141"/>
        <v>0</v>
      </c>
      <c r="W513" s="152">
        <f t="shared" si="144"/>
        <v>622</v>
      </c>
      <c r="X513" s="127" t="str">
        <f t="shared" si="142"/>
        <v/>
      </c>
      <c r="Y513" s="207">
        <f t="shared" si="145"/>
        <v>622</v>
      </c>
      <c r="Z513" s="139">
        <f t="shared" si="146"/>
        <v>562</v>
      </c>
      <c r="AA513" s="139">
        <f t="shared" si="147"/>
        <v>60</v>
      </c>
      <c r="AC513" s="47">
        <f t="shared" si="148"/>
        <v>311</v>
      </c>
      <c r="AD513" s="47">
        <f t="shared" si="149"/>
        <v>281</v>
      </c>
      <c r="AE513" s="47">
        <f t="shared" si="150"/>
        <v>30</v>
      </c>
      <c r="AG513" s="47">
        <f t="shared" si="151"/>
        <v>311</v>
      </c>
      <c r="AH513" s="47">
        <f t="shared" si="152"/>
        <v>281</v>
      </c>
      <c r="AI513" s="208">
        <f t="shared" si="153"/>
        <v>30</v>
      </c>
    </row>
    <row r="514" spans="1:35">
      <c r="A514" t="s">
        <v>2106</v>
      </c>
      <c r="B514" t="s">
        <v>3142</v>
      </c>
      <c r="C514" t="s">
        <v>2189</v>
      </c>
      <c r="D514" t="s">
        <v>3756</v>
      </c>
      <c r="F514" t="s">
        <v>200</v>
      </c>
      <c r="G514" s="126">
        <f>SUMIFS('Support - Transition'!F:F,'Support - Transition'!B:B,'Step 2'!A514,'Support - Transition'!C:C,'Step 2'!B514,'Support - Transition'!D:D,'Step 2'!C514,'Support - Transition'!E:E,"CIVIL")</f>
        <v>3.4699999999999998E-4</v>
      </c>
      <c r="H514" s="126">
        <f>SUMIFS('Support - Transition'!F:F,'Support - Transition'!B:B,'Step 2'!A514,'Support - Transition'!C:C,'Step 2'!B514,'Support - Transition'!D:D,'Step 2'!C514,'Support - Transition'!E:E,"FIRE")</f>
        <v>2.6200000000000003E-4</v>
      </c>
      <c r="I514" s="126">
        <f>IF(B514="0",SUMIFS('Support - Transition'!F:F,'Support - Transition'!J:J,'Step 2'!D514,'Support - Transition'!E:E,"STATE UNIT"),SUMIFS('Support - Transition'!F:F,'Support - Transition'!J:J,'Step 2'!D514))</f>
        <v>6.0899999999999995E-4</v>
      </c>
      <c r="J514" s="126">
        <f>SUMIFS('Support - Unit Adjustments'!E:E,'Support - Unit Adjustments'!F:F,'Step 2'!D514)</f>
        <v>0</v>
      </c>
      <c r="K514" s="126">
        <f t="shared" ref="K514:K577" si="156">+I514+J514</f>
        <v>6.0899999999999995E-4</v>
      </c>
      <c r="L514" s="174">
        <f>VLOOKUP(A514,'Step 1'!$A:$E,4,FALSE)</f>
        <v>640955</v>
      </c>
      <c r="M514" s="47">
        <f t="shared" ref="M514:M577" si="157">ROUND(+K514*L514,0)</f>
        <v>390</v>
      </c>
      <c r="N514" s="177">
        <f>SUMIFS('Support - Transition'!G:G,'Support - Transition'!J:J,'Step 2'!D514,'Support - Transition'!E:E,"2009 WELFARE ALLOCATION FACTOR")</f>
        <v>0</v>
      </c>
      <c r="O514" s="152">
        <f t="shared" si="143"/>
        <v>0</v>
      </c>
      <c r="P514" s="126">
        <f>IF(E514="Y",0,SUMIFS('Support - Transition'!G:G,'Support - Transition'!J:J,'Step 2'!D514,'Support - Transition'!E:E,"2009 SCHOOL ALLOCATION FACTOR"))</f>
        <v>0</v>
      </c>
      <c r="Q514" s="126">
        <f>IF(E514="Y",VLOOKUP(D514,'Support - Unit Adjustments'!F:G,2,FALSE),0)</f>
        <v>0</v>
      </c>
      <c r="R514" s="155">
        <f t="shared" si="155"/>
        <v>0</v>
      </c>
      <c r="S514" s="47">
        <f t="shared" si="154"/>
        <v>0</v>
      </c>
      <c r="T514" s="151">
        <f t="shared" ref="T514:T577" si="158">ROUND(+M514-O514-S514,2)</f>
        <v>390</v>
      </c>
      <c r="U514" s="151">
        <f t="shared" ref="U514:U577" si="159">IF(B514="0",SUMIFS(O:O,A:A,A514)+SUMIFS(S:S,A:A,A514)+SUMIFS(T:T,A:A,A514),0)</f>
        <v>0</v>
      </c>
      <c r="V514" s="139">
        <f t="shared" ref="V514:V577" si="160">IF(B514="0",U514-L514,0)</f>
        <v>0</v>
      </c>
      <c r="W514" s="152">
        <f t="shared" si="144"/>
        <v>390</v>
      </c>
      <c r="X514" s="127" t="str">
        <f t="shared" ref="X514:X577" si="161">IF(B514="0",SUMIFS(O:O,A:A,A514)+SUMIFS(S:S,A:A,A514)+SUMIFS(W:W,A:A,A514)-L514,"")</f>
        <v/>
      </c>
      <c r="Y514" s="207">
        <f t="shared" si="145"/>
        <v>390</v>
      </c>
      <c r="Z514" s="139">
        <f t="shared" si="146"/>
        <v>222</v>
      </c>
      <c r="AA514" s="139">
        <f t="shared" si="147"/>
        <v>168</v>
      </c>
      <c r="AC514" s="47">
        <f t="shared" si="148"/>
        <v>195</v>
      </c>
      <c r="AD514" s="47">
        <f t="shared" si="149"/>
        <v>111</v>
      </c>
      <c r="AE514" s="47">
        <f t="shared" si="150"/>
        <v>84</v>
      </c>
      <c r="AG514" s="47">
        <f t="shared" si="151"/>
        <v>195</v>
      </c>
      <c r="AH514" s="47">
        <f t="shared" si="152"/>
        <v>111</v>
      </c>
      <c r="AI514" s="208">
        <f t="shared" si="153"/>
        <v>84</v>
      </c>
    </row>
    <row r="515" spans="1:35">
      <c r="A515" t="s">
        <v>2106</v>
      </c>
      <c r="B515" t="s">
        <v>3142</v>
      </c>
      <c r="C515" t="s">
        <v>2190</v>
      </c>
      <c r="D515" t="s">
        <v>3757</v>
      </c>
      <c r="F515" t="s">
        <v>249</v>
      </c>
      <c r="G515" s="126">
        <f>SUMIFS('Support - Transition'!F:F,'Support - Transition'!B:B,'Step 2'!A515,'Support - Transition'!C:C,'Step 2'!B515,'Support - Transition'!D:D,'Step 2'!C515,'Support - Transition'!E:E,"CIVIL")</f>
        <v>1.3760000000000001E-3</v>
      </c>
      <c r="H515" s="126">
        <f>SUMIFS('Support - Transition'!F:F,'Support - Transition'!B:B,'Step 2'!A515,'Support - Transition'!C:C,'Step 2'!B515,'Support - Transition'!D:D,'Step 2'!C515,'Support - Transition'!E:E,"FIRE")</f>
        <v>1.3100000000000001E-4</v>
      </c>
      <c r="I515" s="126">
        <f>IF(B515="0",SUMIFS('Support - Transition'!F:F,'Support - Transition'!J:J,'Step 2'!D515,'Support - Transition'!E:E,"STATE UNIT"),SUMIFS('Support - Transition'!F:F,'Support - Transition'!J:J,'Step 2'!D515))</f>
        <v>1.5070000000000001E-3</v>
      </c>
      <c r="J515" s="126">
        <f>SUMIFS('Support - Unit Adjustments'!E:E,'Support - Unit Adjustments'!F:F,'Step 2'!D515)</f>
        <v>0</v>
      </c>
      <c r="K515" s="126">
        <f t="shared" si="156"/>
        <v>1.5070000000000001E-3</v>
      </c>
      <c r="L515" s="174">
        <f>VLOOKUP(A515,'Step 1'!$A:$E,4,FALSE)</f>
        <v>640955</v>
      </c>
      <c r="M515" s="47">
        <f t="shared" si="157"/>
        <v>966</v>
      </c>
      <c r="N515" s="177">
        <f>SUMIFS('Support - Transition'!G:G,'Support - Transition'!J:J,'Step 2'!D515,'Support - Transition'!E:E,"2009 WELFARE ALLOCATION FACTOR")</f>
        <v>0</v>
      </c>
      <c r="O515" s="152">
        <f t="shared" ref="O515:O578" si="162">ROUND(+N515*M515,0)</f>
        <v>0</v>
      </c>
      <c r="P515" s="126">
        <f>IF(E515="Y",0,SUMIFS('Support - Transition'!G:G,'Support - Transition'!J:J,'Step 2'!D515,'Support - Transition'!E:E,"2009 SCHOOL ALLOCATION FACTOR"))</f>
        <v>0</v>
      </c>
      <c r="Q515" s="126">
        <f>IF(E515="Y",VLOOKUP(D515,'Support - Unit Adjustments'!F:G,2,FALSE),0)</f>
        <v>0</v>
      </c>
      <c r="R515" s="155">
        <f t="shared" si="155"/>
        <v>0</v>
      </c>
      <c r="S515" s="47">
        <f t="shared" si="154"/>
        <v>0</v>
      </c>
      <c r="T515" s="151">
        <f t="shared" si="158"/>
        <v>966</v>
      </c>
      <c r="U515" s="151">
        <f t="shared" si="159"/>
        <v>0</v>
      </c>
      <c r="V515" s="139">
        <f t="shared" si="160"/>
        <v>0</v>
      </c>
      <c r="W515" s="152">
        <f t="shared" ref="W515:W578" si="163">+T515-V515</f>
        <v>966</v>
      </c>
      <c r="X515" s="127" t="str">
        <f t="shared" si="161"/>
        <v/>
      </c>
      <c r="Y515" s="207">
        <f t="shared" ref="Y515:Y578" si="164">W515</f>
        <v>966</v>
      </c>
      <c r="Z515" s="139">
        <f t="shared" ref="Z515:Z578" si="165">IFERROR(IF(B515="2",ROUND(Y515*G515/I515,0),Y515),0)</f>
        <v>882</v>
      </c>
      <c r="AA515" s="139">
        <f t="shared" ref="AA515:AA578" si="166">+Y515-Z515</f>
        <v>84</v>
      </c>
      <c r="AC515" s="47">
        <f t="shared" ref="AC515:AC578" si="167">ROUND(Y515/2,0)</f>
        <v>483</v>
      </c>
      <c r="AD515" s="47">
        <f t="shared" ref="AD515:AD578" si="168">ROUND(Z515/2,0)</f>
        <v>441</v>
      </c>
      <c r="AE515" s="47">
        <f t="shared" ref="AE515:AE578" si="169">ROUND(AA515/2,0)</f>
        <v>42</v>
      </c>
      <c r="AG515" s="47">
        <f t="shared" ref="AG515:AG578" si="170">+Y515-AC515</f>
        <v>483</v>
      </c>
      <c r="AH515" s="47">
        <f t="shared" ref="AH515:AH578" si="171">+Z515-AD515</f>
        <v>441</v>
      </c>
      <c r="AI515" s="208">
        <f t="shared" ref="AI515:AI578" si="172">+AA515-AE515</f>
        <v>42</v>
      </c>
    </row>
    <row r="516" spans="1:35">
      <c r="A516" t="s">
        <v>2106</v>
      </c>
      <c r="B516" t="s">
        <v>3142</v>
      </c>
      <c r="C516" t="s">
        <v>2191</v>
      </c>
      <c r="D516" t="s">
        <v>3758</v>
      </c>
      <c r="F516" t="s">
        <v>429</v>
      </c>
      <c r="G516" s="126">
        <f>SUMIFS('Support - Transition'!F:F,'Support - Transition'!B:B,'Step 2'!A516,'Support - Transition'!C:C,'Step 2'!B516,'Support - Transition'!D:D,'Step 2'!C516,'Support - Transition'!E:E,"CIVIL")</f>
        <v>2.5599999999999999E-4</v>
      </c>
      <c r="H516" s="126">
        <f>SUMIFS('Support - Transition'!F:F,'Support - Transition'!B:B,'Step 2'!A516,'Support - Transition'!C:C,'Step 2'!B516,'Support - Transition'!D:D,'Step 2'!C516,'Support - Transition'!E:E,"FIRE")</f>
        <v>0</v>
      </c>
      <c r="I516" s="126">
        <f>IF(B516="0",SUMIFS('Support - Transition'!F:F,'Support - Transition'!J:J,'Step 2'!D516,'Support - Transition'!E:E,"STATE UNIT"),SUMIFS('Support - Transition'!F:F,'Support - Transition'!J:J,'Step 2'!D516))</f>
        <v>2.5599999999999999E-4</v>
      </c>
      <c r="J516" s="126">
        <f>SUMIFS('Support - Unit Adjustments'!E:E,'Support - Unit Adjustments'!F:F,'Step 2'!D516)</f>
        <v>0</v>
      </c>
      <c r="K516" s="126">
        <f t="shared" si="156"/>
        <v>2.5599999999999999E-4</v>
      </c>
      <c r="L516" s="174">
        <f>VLOOKUP(A516,'Step 1'!$A:$E,4,FALSE)</f>
        <v>640955</v>
      </c>
      <c r="M516" s="47">
        <f t="shared" si="157"/>
        <v>164</v>
      </c>
      <c r="N516" s="177">
        <f>SUMIFS('Support - Transition'!G:G,'Support - Transition'!J:J,'Step 2'!D516,'Support - Transition'!E:E,"2009 WELFARE ALLOCATION FACTOR")</f>
        <v>0</v>
      </c>
      <c r="O516" s="152">
        <f t="shared" si="162"/>
        <v>0</v>
      </c>
      <c r="P516" s="126">
        <f>IF(E516="Y",0,SUMIFS('Support - Transition'!G:G,'Support - Transition'!J:J,'Step 2'!D516,'Support - Transition'!E:E,"2009 SCHOOL ALLOCATION FACTOR"))</f>
        <v>0</v>
      </c>
      <c r="Q516" s="126">
        <f>IF(E516="Y",VLOOKUP(D516,'Support - Unit Adjustments'!F:G,2,FALSE),0)</f>
        <v>0</v>
      </c>
      <c r="R516" s="155">
        <f t="shared" si="155"/>
        <v>0</v>
      </c>
      <c r="S516" s="47">
        <f t="shared" si="154"/>
        <v>0</v>
      </c>
      <c r="T516" s="151">
        <f t="shared" si="158"/>
        <v>164</v>
      </c>
      <c r="U516" s="151">
        <f t="shared" si="159"/>
        <v>0</v>
      </c>
      <c r="V516" s="139">
        <f t="shared" si="160"/>
        <v>0</v>
      </c>
      <c r="W516" s="152">
        <f t="shared" si="163"/>
        <v>164</v>
      </c>
      <c r="X516" s="127" t="str">
        <f t="shared" si="161"/>
        <v/>
      </c>
      <c r="Y516" s="207">
        <f t="shared" si="164"/>
        <v>164</v>
      </c>
      <c r="Z516" s="139">
        <f t="shared" si="165"/>
        <v>164</v>
      </c>
      <c r="AA516" s="139">
        <f t="shared" si="166"/>
        <v>0</v>
      </c>
      <c r="AC516" s="47">
        <f t="shared" si="167"/>
        <v>82</v>
      </c>
      <c r="AD516" s="47">
        <f t="shared" si="168"/>
        <v>82</v>
      </c>
      <c r="AE516" s="47">
        <f t="shared" si="169"/>
        <v>0</v>
      </c>
      <c r="AG516" s="47">
        <f t="shared" si="170"/>
        <v>82</v>
      </c>
      <c r="AH516" s="47">
        <f t="shared" si="171"/>
        <v>82</v>
      </c>
      <c r="AI516" s="208">
        <f t="shared" si="172"/>
        <v>0</v>
      </c>
    </row>
    <row r="517" spans="1:35">
      <c r="A517" t="s">
        <v>2106</v>
      </c>
      <c r="B517" t="s">
        <v>3142</v>
      </c>
      <c r="C517" t="s">
        <v>2192</v>
      </c>
      <c r="D517" t="s">
        <v>3759</v>
      </c>
      <c r="F517" t="s">
        <v>430</v>
      </c>
      <c r="G517" s="126">
        <f>SUMIFS('Support - Transition'!F:F,'Support - Transition'!B:B,'Step 2'!A517,'Support - Transition'!C:C,'Step 2'!B517,'Support - Transition'!D:D,'Step 2'!C517,'Support - Transition'!E:E,"CIVIL")</f>
        <v>7.1400000000000001E-4</v>
      </c>
      <c r="H517" s="126">
        <f>SUMIFS('Support - Transition'!F:F,'Support - Transition'!B:B,'Step 2'!A517,'Support - Transition'!C:C,'Step 2'!B517,'Support - Transition'!D:D,'Step 2'!C517,'Support - Transition'!E:E,"FIRE")</f>
        <v>2.0599999999999999E-4</v>
      </c>
      <c r="I517" s="126">
        <f>IF(B517="0",SUMIFS('Support - Transition'!F:F,'Support - Transition'!J:J,'Step 2'!D517,'Support - Transition'!E:E,"STATE UNIT"),SUMIFS('Support - Transition'!F:F,'Support - Transition'!J:J,'Step 2'!D517))</f>
        <v>9.2000000000000003E-4</v>
      </c>
      <c r="J517" s="126">
        <f>SUMIFS('Support - Unit Adjustments'!E:E,'Support - Unit Adjustments'!F:F,'Step 2'!D517)</f>
        <v>0</v>
      </c>
      <c r="K517" s="126">
        <f t="shared" si="156"/>
        <v>9.2000000000000003E-4</v>
      </c>
      <c r="L517" s="174">
        <f>VLOOKUP(A517,'Step 1'!$A:$E,4,FALSE)</f>
        <v>640955</v>
      </c>
      <c r="M517" s="47">
        <f t="shared" si="157"/>
        <v>590</v>
      </c>
      <c r="N517" s="177">
        <f>SUMIFS('Support - Transition'!G:G,'Support - Transition'!J:J,'Step 2'!D517,'Support - Transition'!E:E,"2009 WELFARE ALLOCATION FACTOR")</f>
        <v>0</v>
      </c>
      <c r="O517" s="152">
        <f t="shared" si="162"/>
        <v>0</v>
      </c>
      <c r="P517" s="126">
        <f>IF(E517="Y",0,SUMIFS('Support - Transition'!G:G,'Support - Transition'!J:J,'Step 2'!D517,'Support - Transition'!E:E,"2009 SCHOOL ALLOCATION FACTOR"))</f>
        <v>0</v>
      </c>
      <c r="Q517" s="126">
        <f>IF(E517="Y",VLOOKUP(D517,'Support - Unit Adjustments'!F:G,2,FALSE),0)</f>
        <v>0</v>
      </c>
      <c r="R517" s="155">
        <f t="shared" si="155"/>
        <v>0</v>
      </c>
      <c r="S517" s="47">
        <f t="shared" si="154"/>
        <v>0</v>
      </c>
      <c r="T517" s="151">
        <f t="shared" si="158"/>
        <v>590</v>
      </c>
      <c r="U517" s="151">
        <f t="shared" si="159"/>
        <v>0</v>
      </c>
      <c r="V517" s="139">
        <f t="shared" si="160"/>
        <v>0</v>
      </c>
      <c r="W517" s="152">
        <f t="shared" si="163"/>
        <v>590</v>
      </c>
      <c r="X517" s="127" t="str">
        <f t="shared" si="161"/>
        <v/>
      </c>
      <c r="Y517" s="207">
        <f t="shared" si="164"/>
        <v>590</v>
      </c>
      <c r="Z517" s="139">
        <f t="shared" si="165"/>
        <v>458</v>
      </c>
      <c r="AA517" s="139">
        <f t="shared" si="166"/>
        <v>132</v>
      </c>
      <c r="AC517" s="47">
        <f t="shared" si="167"/>
        <v>295</v>
      </c>
      <c r="AD517" s="47">
        <f t="shared" si="168"/>
        <v>229</v>
      </c>
      <c r="AE517" s="47">
        <f t="shared" si="169"/>
        <v>66</v>
      </c>
      <c r="AG517" s="47">
        <f t="shared" si="170"/>
        <v>295</v>
      </c>
      <c r="AH517" s="47">
        <f t="shared" si="171"/>
        <v>229</v>
      </c>
      <c r="AI517" s="208">
        <f t="shared" si="172"/>
        <v>66</v>
      </c>
    </row>
    <row r="518" spans="1:35">
      <c r="A518" t="s">
        <v>2106</v>
      </c>
      <c r="B518" t="s">
        <v>3142</v>
      </c>
      <c r="C518" t="s">
        <v>2193</v>
      </c>
      <c r="D518" t="s">
        <v>3760</v>
      </c>
      <c r="F518" t="s">
        <v>431</v>
      </c>
      <c r="G518" s="126">
        <f>SUMIFS('Support - Transition'!F:F,'Support - Transition'!B:B,'Step 2'!A518,'Support - Transition'!C:C,'Step 2'!B518,'Support - Transition'!D:D,'Step 2'!C518,'Support - Transition'!E:E,"CIVIL")</f>
        <v>1.8799999999999999E-4</v>
      </c>
      <c r="H518" s="126">
        <f>SUMIFS('Support - Transition'!F:F,'Support - Transition'!B:B,'Step 2'!A518,'Support - Transition'!C:C,'Step 2'!B518,'Support - Transition'!D:D,'Step 2'!C518,'Support - Transition'!E:E,"FIRE")</f>
        <v>2.2000000000000001E-4</v>
      </c>
      <c r="I518" s="126">
        <f>IF(B518="0",SUMIFS('Support - Transition'!F:F,'Support - Transition'!J:J,'Step 2'!D518,'Support - Transition'!E:E,"STATE UNIT"),SUMIFS('Support - Transition'!F:F,'Support - Transition'!J:J,'Step 2'!D518))</f>
        <v>4.08E-4</v>
      </c>
      <c r="J518" s="126">
        <f>SUMIFS('Support - Unit Adjustments'!E:E,'Support - Unit Adjustments'!F:F,'Step 2'!D518)</f>
        <v>0</v>
      </c>
      <c r="K518" s="126">
        <f t="shared" si="156"/>
        <v>4.08E-4</v>
      </c>
      <c r="L518" s="174">
        <f>VLOOKUP(A518,'Step 1'!$A:$E,4,FALSE)</f>
        <v>640955</v>
      </c>
      <c r="M518" s="47">
        <f t="shared" si="157"/>
        <v>262</v>
      </c>
      <c r="N518" s="177">
        <f>SUMIFS('Support - Transition'!G:G,'Support - Transition'!J:J,'Step 2'!D518,'Support - Transition'!E:E,"2009 WELFARE ALLOCATION FACTOR")</f>
        <v>0</v>
      </c>
      <c r="O518" s="152">
        <f t="shared" si="162"/>
        <v>0</v>
      </c>
      <c r="P518" s="126">
        <f>IF(E518="Y",0,SUMIFS('Support - Transition'!G:G,'Support - Transition'!J:J,'Step 2'!D518,'Support - Transition'!E:E,"2009 SCHOOL ALLOCATION FACTOR"))</f>
        <v>0</v>
      </c>
      <c r="Q518" s="126">
        <f>IF(E518="Y",VLOOKUP(D518,'Support - Unit Adjustments'!F:G,2,FALSE),0)</f>
        <v>0</v>
      </c>
      <c r="R518" s="155">
        <f t="shared" si="155"/>
        <v>0</v>
      </c>
      <c r="S518" s="47">
        <f t="shared" si="154"/>
        <v>0</v>
      </c>
      <c r="T518" s="151">
        <f t="shared" si="158"/>
        <v>262</v>
      </c>
      <c r="U518" s="151">
        <f t="shared" si="159"/>
        <v>0</v>
      </c>
      <c r="V518" s="139">
        <f t="shared" si="160"/>
        <v>0</v>
      </c>
      <c r="W518" s="152">
        <f t="shared" si="163"/>
        <v>262</v>
      </c>
      <c r="X518" s="127" t="str">
        <f t="shared" si="161"/>
        <v/>
      </c>
      <c r="Y518" s="207">
        <f t="shared" si="164"/>
        <v>262</v>
      </c>
      <c r="Z518" s="139">
        <f t="shared" si="165"/>
        <v>121</v>
      </c>
      <c r="AA518" s="139">
        <f t="shared" si="166"/>
        <v>141</v>
      </c>
      <c r="AC518" s="47">
        <f t="shared" si="167"/>
        <v>131</v>
      </c>
      <c r="AD518" s="47">
        <f t="shared" si="168"/>
        <v>61</v>
      </c>
      <c r="AE518" s="47">
        <f t="shared" si="169"/>
        <v>71</v>
      </c>
      <c r="AG518" s="47">
        <f t="shared" si="170"/>
        <v>131</v>
      </c>
      <c r="AH518" s="47">
        <f t="shared" si="171"/>
        <v>60</v>
      </c>
      <c r="AI518" s="208">
        <f t="shared" si="172"/>
        <v>70</v>
      </c>
    </row>
    <row r="519" spans="1:35">
      <c r="A519" t="s">
        <v>2106</v>
      </c>
      <c r="B519" t="s">
        <v>3142</v>
      </c>
      <c r="C519" t="s">
        <v>2194</v>
      </c>
      <c r="D519" t="s">
        <v>3761</v>
      </c>
      <c r="F519" t="s">
        <v>432</v>
      </c>
      <c r="G519" s="126">
        <f>SUMIFS('Support - Transition'!F:F,'Support - Transition'!B:B,'Step 2'!A519,'Support - Transition'!C:C,'Step 2'!B519,'Support - Transition'!D:D,'Step 2'!C519,'Support - Transition'!E:E,"CIVIL")</f>
        <v>4.55E-4</v>
      </c>
      <c r="H519" s="126">
        <f>SUMIFS('Support - Transition'!F:F,'Support - Transition'!B:B,'Step 2'!A519,'Support - Transition'!C:C,'Step 2'!B519,'Support - Transition'!D:D,'Step 2'!C519,'Support - Transition'!E:E,"FIRE")</f>
        <v>2.5700000000000001E-4</v>
      </c>
      <c r="I519" s="126">
        <f>IF(B519="0",SUMIFS('Support - Transition'!F:F,'Support - Transition'!J:J,'Step 2'!D519,'Support - Transition'!E:E,"STATE UNIT"),SUMIFS('Support - Transition'!F:F,'Support - Transition'!J:J,'Step 2'!D519))</f>
        <v>7.1199999999999996E-4</v>
      </c>
      <c r="J519" s="126">
        <f>SUMIFS('Support - Unit Adjustments'!E:E,'Support - Unit Adjustments'!F:F,'Step 2'!D519)</f>
        <v>0</v>
      </c>
      <c r="K519" s="126">
        <f t="shared" si="156"/>
        <v>7.1199999999999996E-4</v>
      </c>
      <c r="L519" s="174">
        <f>VLOOKUP(A519,'Step 1'!$A:$E,4,FALSE)</f>
        <v>640955</v>
      </c>
      <c r="M519" s="47">
        <f t="shared" si="157"/>
        <v>456</v>
      </c>
      <c r="N519" s="177">
        <f>SUMIFS('Support - Transition'!G:G,'Support - Transition'!J:J,'Step 2'!D519,'Support - Transition'!E:E,"2009 WELFARE ALLOCATION FACTOR")</f>
        <v>0</v>
      </c>
      <c r="O519" s="152">
        <f t="shared" si="162"/>
        <v>0</v>
      </c>
      <c r="P519" s="126">
        <f>IF(E519="Y",0,SUMIFS('Support - Transition'!G:G,'Support - Transition'!J:J,'Step 2'!D519,'Support - Transition'!E:E,"2009 SCHOOL ALLOCATION FACTOR"))</f>
        <v>0</v>
      </c>
      <c r="Q519" s="126">
        <f>IF(E519="Y",VLOOKUP(D519,'Support - Unit Adjustments'!F:G,2,FALSE),0)</f>
        <v>0</v>
      </c>
      <c r="R519" s="155">
        <f t="shared" si="155"/>
        <v>0</v>
      </c>
      <c r="S519" s="47">
        <f t="shared" si="154"/>
        <v>0</v>
      </c>
      <c r="T519" s="151">
        <f t="shared" si="158"/>
        <v>456</v>
      </c>
      <c r="U519" s="151">
        <f t="shared" si="159"/>
        <v>0</v>
      </c>
      <c r="V519" s="139">
        <f t="shared" si="160"/>
        <v>0</v>
      </c>
      <c r="W519" s="152">
        <f t="shared" si="163"/>
        <v>456</v>
      </c>
      <c r="X519" s="127" t="str">
        <f t="shared" si="161"/>
        <v/>
      </c>
      <c r="Y519" s="207">
        <f t="shared" si="164"/>
        <v>456</v>
      </c>
      <c r="Z519" s="139">
        <f t="shared" si="165"/>
        <v>291</v>
      </c>
      <c r="AA519" s="139">
        <f t="shared" si="166"/>
        <v>165</v>
      </c>
      <c r="AC519" s="47">
        <f t="shared" si="167"/>
        <v>228</v>
      </c>
      <c r="AD519" s="47">
        <f t="shared" si="168"/>
        <v>146</v>
      </c>
      <c r="AE519" s="47">
        <f t="shared" si="169"/>
        <v>83</v>
      </c>
      <c r="AG519" s="47">
        <f t="shared" si="170"/>
        <v>228</v>
      </c>
      <c r="AH519" s="47">
        <f t="shared" si="171"/>
        <v>145</v>
      </c>
      <c r="AI519" s="208">
        <f t="shared" si="172"/>
        <v>82</v>
      </c>
    </row>
    <row r="520" spans="1:35">
      <c r="A520" t="s">
        <v>2106</v>
      </c>
      <c r="B520" t="s">
        <v>3142</v>
      </c>
      <c r="C520" t="s">
        <v>2195</v>
      </c>
      <c r="D520" t="s">
        <v>3762</v>
      </c>
      <c r="F520" t="s">
        <v>49</v>
      </c>
      <c r="G520" s="126">
        <f>SUMIFS('Support - Transition'!F:F,'Support - Transition'!B:B,'Step 2'!A520,'Support - Transition'!C:C,'Step 2'!B520,'Support - Transition'!D:D,'Step 2'!C520,'Support - Transition'!E:E,"CIVIL")</f>
        <v>1.194E-3</v>
      </c>
      <c r="H520" s="126">
        <f>SUMIFS('Support - Transition'!F:F,'Support - Transition'!B:B,'Step 2'!A520,'Support - Transition'!C:C,'Step 2'!B520,'Support - Transition'!D:D,'Step 2'!C520,'Support - Transition'!E:E,"FIRE")</f>
        <v>8.25E-4</v>
      </c>
      <c r="I520" s="126">
        <f>IF(B520="0",SUMIFS('Support - Transition'!F:F,'Support - Transition'!J:J,'Step 2'!D520,'Support - Transition'!E:E,"STATE UNIT"),SUMIFS('Support - Transition'!F:F,'Support - Transition'!J:J,'Step 2'!D520))</f>
        <v>2.019E-3</v>
      </c>
      <c r="J520" s="126">
        <f>SUMIFS('Support - Unit Adjustments'!E:E,'Support - Unit Adjustments'!F:F,'Step 2'!D520)</f>
        <v>0</v>
      </c>
      <c r="K520" s="126">
        <f t="shared" si="156"/>
        <v>2.019E-3</v>
      </c>
      <c r="L520" s="174">
        <f>VLOOKUP(A520,'Step 1'!$A:$E,4,FALSE)</f>
        <v>640955</v>
      </c>
      <c r="M520" s="47">
        <f t="shared" si="157"/>
        <v>1294</v>
      </c>
      <c r="N520" s="177">
        <f>SUMIFS('Support - Transition'!G:G,'Support - Transition'!J:J,'Step 2'!D520,'Support - Transition'!E:E,"2009 WELFARE ALLOCATION FACTOR")</f>
        <v>0</v>
      </c>
      <c r="O520" s="152">
        <f t="shared" si="162"/>
        <v>0</v>
      </c>
      <c r="P520" s="126">
        <f>IF(E520="Y",0,SUMIFS('Support - Transition'!G:G,'Support - Transition'!J:J,'Step 2'!D520,'Support - Transition'!E:E,"2009 SCHOOL ALLOCATION FACTOR"))</f>
        <v>0</v>
      </c>
      <c r="Q520" s="126">
        <f>IF(E520="Y",VLOOKUP(D520,'Support - Unit Adjustments'!F:G,2,FALSE),0)</f>
        <v>0</v>
      </c>
      <c r="R520" s="155">
        <f t="shared" si="155"/>
        <v>0</v>
      </c>
      <c r="S520" s="47">
        <f t="shared" ref="S520:S583" si="173">ROUND(+R520*M520,0)</f>
        <v>0</v>
      </c>
      <c r="T520" s="151">
        <f t="shared" si="158"/>
        <v>1294</v>
      </c>
      <c r="U520" s="151">
        <f t="shared" si="159"/>
        <v>0</v>
      </c>
      <c r="V520" s="139">
        <f t="shared" si="160"/>
        <v>0</v>
      </c>
      <c r="W520" s="152">
        <f t="shared" si="163"/>
        <v>1294</v>
      </c>
      <c r="X520" s="127" t="str">
        <f t="shared" si="161"/>
        <v/>
      </c>
      <c r="Y520" s="207">
        <f t="shared" si="164"/>
        <v>1294</v>
      </c>
      <c r="Z520" s="139">
        <f t="shared" si="165"/>
        <v>765</v>
      </c>
      <c r="AA520" s="139">
        <f t="shared" si="166"/>
        <v>529</v>
      </c>
      <c r="AC520" s="47">
        <f t="shared" si="167"/>
        <v>647</v>
      </c>
      <c r="AD520" s="47">
        <f t="shared" si="168"/>
        <v>383</v>
      </c>
      <c r="AE520" s="47">
        <f t="shared" si="169"/>
        <v>265</v>
      </c>
      <c r="AG520" s="47">
        <f t="shared" si="170"/>
        <v>647</v>
      </c>
      <c r="AH520" s="47">
        <f t="shared" si="171"/>
        <v>382</v>
      </c>
      <c r="AI520" s="208">
        <f t="shared" si="172"/>
        <v>264</v>
      </c>
    </row>
    <row r="521" spans="1:35">
      <c r="A521" t="s">
        <v>2106</v>
      </c>
      <c r="B521" t="s">
        <v>3142</v>
      </c>
      <c r="C521" t="s">
        <v>2196</v>
      </c>
      <c r="D521" t="s">
        <v>3763</v>
      </c>
      <c r="F521" t="s">
        <v>14</v>
      </c>
      <c r="G521" s="126">
        <f>SUMIFS('Support - Transition'!F:F,'Support - Transition'!B:B,'Step 2'!A521,'Support - Transition'!C:C,'Step 2'!B521,'Support - Transition'!D:D,'Step 2'!C521,'Support - Transition'!E:E,"CIVIL")</f>
        <v>1.3799999999999999E-4</v>
      </c>
      <c r="H521" s="126">
        <f>SUMIFS('Support - Transition'!F:F,'Support - Transition'!B:B,'Step 2'!A521,'Support - Transition'!C:C,'Step 2'!B521,'Support - Transition'!D:D,'Step 2'!C521,'Support - Transition'!E:E,"FIRE")</f>
        <v>7.7000000000000001E-5</v>
      </c>
      <c r="I521" s="126">
        <f>IF(B521="0",SUMIFS('Support - Transition'!F:F,'Support - Transition'!J:J,'Step 2'!D521,'Support - Transition'!E:E,"STATE UNIT"),SUMIFS('Support - Transition'!F:F,'Support - Transition'!J:J,'Step 2'!D521))</f>
        <v>2.1499999999999999E-4</v>
      </c>
      <c r="J521" s="126">
        <f>SUMIFS('Support - Unit Adjustments'!E:E,'Support - Unit Adjustments'!F:F,'Step 2'!D521)</f>
        <v>0</v>
      </c>
      <c r="K521" s="126">
        <f t="shared" si="156"/>
        <v>2.1499999999999999E-4</v>
      </c>
      <c r="L521" s="174">
        <f>VLOOKUP(A521,'Step 1'!$A:$E,4,FALSE)</f>
        <v>640955</v>
      </c>
      <c r="M521" s="47">
        <f t="shared" si="157"/>
        <v>138</v>
      </c>
      <c r="N521" s="177">
        <f>SUMIFS('Support - Transition'!G:G,'Support - Transition'!J:J,'Step 2'!D521,'Support - Transition'!E:E,"2009 WELFARE ALLOCATION FACTOR")</f>
        <v>0</v>
      </c>
      <c r="O521" s="152">
        <f t="shared" si="162"/>
        <v>0</v>
      </c>
      <c r="P521" s="126">
        <f>IF(E521="Y",0,SUMIFS('Support - Transition'!G:G,'Support - Transition'!J:J,'Step 2'!D521,'Support - Transition'!E:E,"2009 SCHOOL ALLOCATION FACTOR"))</f>
        <v>0</v>
      </c>
      <c r="Q521" s="126">
        <f>IF(E521="Y",VLOOKUP(D521,'Support - Unit Adjustments'!F:G,2,FALSE),0)</f>
        <v>0</v>
      </c>
      <c r="R521" s="155">
        <f t="shared" ref="R521:R584" si="174">+P521+Q521</f>
        <v>0</v>
      </c>
      <c r="S521" s="47">
        <f t="shared" si="173"/>
        <v>0</v>
      </c>
      <c r="T521" s="151">
        <f t="shared" si="158"/>
        <v>138</v>
      </c>
      <c r="U521" s="151">
        <f t="shared" si="159"/>
        <v>0</v>
      </c>
      <c r="V521" s="139">
        <f t="shared" si="160"/>
        <v>0</v>
      </c>
      <c r="W521" s="152">
        <f t="shared" si="163"/>
        <v>138</v>
      </c>
      <c r="X521" s="127" t="str">
        <f t="shared" si="161"/>
        <v/>
      </c>
      <c r="Y521" s="207">
        <f t="shared" si="164"/>
        <v>138</v>
      </c>
      <c r="Z521" s="139">
        <f t="shared" si="165"/>
        <v>89</v>
      </c>
      <c r="AA521" s="139">
        <f t="shared" si="166"/>
        <v>49</v>
      </c>
      <c r="AC521" s="47">
        <f t="shared" si="167"/>
        <v>69</v>
      </c>
      <c r="AD521" s="47">
        <f t="shared" si="168"/>
        <v>45</v>
      </c>
      <c r="AE521" s="47">
        <f t="shared" si="169"/>
        <v>25</v>
      </c>
      <c r="AG521" s="47">
        <f t="shared" si="170"/>
        <v>69</v>
      </c>
      <c r="AH521" s="47">
        <f t="shared" si="171"/>
        <v>44</v>
      </c>
      <c r="AI521" s="208">
        <f t="shared" si="172"/>
        <v>24</v>
      </c>
    </row>
    <row r="522" spans="1:35">
      <c r="A522" t="s">
        <v>2106</v>
      </c>
      <c r="B522" t="s">
        <v>3142</v>
      </c>
      <c r="C522" t="s">
        <v>2197</v>
      </c>
      <c r="D522" t="s">
        <v>3764</v>
      </c>
      <c r="F522" t="s">
        <v>52</v>
      </c>
      <c r="G522" s="126">
        <f>SUMIFS('Support - Transition'!F:F,'Support - Transition'!B:B,'Step 2'!A522,'Support - Transition'!C:C,'Step 2'!B522,'Support - Transition'!D:D,'Step 2'!C522,'Support - Transition'!E:E,"CIVIL")</f>
        <v>8.3299999999999997E-4</v>
      </c>
      <c r="H522" s="126">
        <f>SUMIFS('Support - Transition'!F:F,'Support - Transition'!B:B,'Step 2'!A522,'Support - Transition'!C:C,'Step 2'!B522,'Support - Transition'!D:D,'Step 2'!C522,'Support - Transition'!E:E,"FIRE")</f>
        <v>5.7700000000000004E-4</v>
      </c>
      <c r="I522" s="126">
        <f>IF(B522="0",SUMIFS('Support - Transition'!F:F,'Support - Transition'!J:J,'Step 2'!D522,'Support - Transition'!E:E,"STATE UNIT"),SUMIFS('Support - Transition'!F:F,'Support - Transition'!J:J,'Step 2'!D522))</f>
        <v>1.41E-3</v>
      </c>
      <c r="J522" s="126">
        <f>SUMIFS('Support - Unit Adjustments'!E:E,'Support - Unit Adjustments'!F:F,'Step 2'!D522)</f>
        <v>0</v>
      </c>
      <c r="K522" s="126">
        <f t="shared" si="156"/>
        <v>1.41E-3</v>
      </c>
      <c r="L522" s="174">
        <f>VLOOKUP(A522,'Step 1'!$A:$E,4,FALSE)</f>
        <v>640955</v>
      </c>
      <c r="M522" s="47">
        <f t="shared" si="157"/>
        <v>904</v>
      </c>
      <c r="N522" s="177">
        <f>SUMIFS('Support - Transition'!G:G,'Support - Transition'!J:J,'Step 2'!D522,'Support - Transition'!E:E,"2009 WELFARE ALLOCATION FACTOR")</f>
        <v>0</v>
      </c>
      <c r="O522" s="152">
        <f t="shared" si="162"/>
        <v>0</v>
      </c>
      <c r="P522" s="126">
        <f>IF(E522="Y",0,SUMIFS('Support - Transition'!G:G,'Support - Transition'!J:J,'Step 2'!D522,'Support - Transition'!E:E,"2009 SCHOOL ALLOCATION FACTOR"))</f>
        <v>0</v>
      </c>
      <c r="Q522" s="126">
        <f>IF(E522="Y",VLOOKUP(D522,'Support - Unit Adjustments'!F:G,2,FALSE),0)</f>
        <v>0</v>
      </c>
      <c r="R522" s="155">
        <f t="shared" si="174"/>
        <v>0</v>
      </c>
      <c r="S522" s="47">
        <f t="shared" si="173"/>
        <v>0</v>
      </c>
      <c r="T522" s="151">
        <f t="shared" si="158"/>
        <v>904</v>
      </c>
      <c r="U522" s="151">
        <f t="shared" si="159"/>
        <v>0</v>
      </c>
      <c r="V522" s="139">
        <f t="shared" si="160"/>
        <v>0</v>
      </c>
      <c r="W522" s="152">
        <f t="shared" si="163"/>
        <v>904</v>
      </c>
      <c r="X522" s="127" t="str">
        <f t="shared" si="161"/>
        <v/>
      </c>
      <c r="Y522" s="207">
        <f t="shared" si="164"/>
        <v>904</v>
      </c>
      <c r="Z522" s="139">
        <f t="shared" si="165"/>
        <v>534</v>
      </c>
      <c r="AA522" s="139">
        <f t="shared" si="166"/>
        <v>370</v>
      </c>
      <c r="AC522" s="47">
        <f t="shared" si="167"/>
        <v>452</v>
      </c>
      <c r="AD522" s="47">
        <f t="shared" si="168"/>
        <v>267</v>
      </c>
      <c r="AE522" s="47">
        <f t="shared" si="169"/>
        <v>185</v>
      </c>
      <c r="AG522" s="47">
        <f t="shared" si="170"/>
        <v>452</v>
      </c>
      <c r="AH522" s="47">
        <f t="shared" si="171"/>
        <v>267</v>
      </c>
      <c r="AI522" s="208">
        <f t="shared" si="172"/>
        <v>185</v>
      </c>
    </row>
    <row r="523" spans="1:35">
      <c r="A523" t="s">
        <v>2106</v>
      </c>
      <c r="B523" t="s">
        <v>3142</v>
      </c>
      <c r="C523" t="s">
        <v>2198</v>
      </c>
      <c r="D523" t="s">
        <v>3765</v>
      </c>
      <c r="F523" t="s">
        <v>53</v>
      </c>
      <c r="G523" s="126">
        <f>SUMIFS('Support - Transition'!F:F,'Support - Transition'!B:B,'Step 2'!A523,'Support - Transition'!C:C,'Step 2'!B523,'Support - Transition'!D:D,'Step 2'!C523,'Support - Transition'!E:E,"CIVIL")</f>
        <v>2.2599999999999999E-4</v>
      </c>
      <c r="H523" s="126">
        <f>SUMIFS('Support - Transition'!F:F,'Support - Transition'!B:B,'Step 2'!A523,'Support - Transition'!C:C,'Step 2'!B523,'Support - Transition'!D:D,'Step 2'!C523,'Support - Transition'!E:E,"FIRE")</f>
        <v>1.46E-4</v>
      </c>
      <c r="I523" s="126">
        <f>IF(B523="0",SUMIFS('Support - Transition'!F:F,'Support - Transition'!J:J,'Step 2'!D523,'Support - Transition'!E:E,"STATE UNIT"),SUMIFS('Support - Transition'!F:F,'Support - Transition'!J:J,'Step 2'!D523))</f>
        <v>3.7199999999999999E-4</v>
      </c>
      <c r="J523" s="126">
        <f>SUMIFS('Support - Unit Adjustments'!E:E,'Support - Unit Adjustments'!F:F,'Step 2'!D523)</f>
        <v>0</v>
      </c>
      <c r="K523" s="126">
        <f t="shared" si="156"/>
        <v>3.7199999999999999E-4</v>
      </c>
      <c r="L523" s="174">
        <f>VLOOKUP(A523,'Step 1'!$A:$E,4,FALSE)</f>
        <v>640955</v>
      </c>
      <c r="M523" s="47">
        <f t="shared" si="157"/>
        <v>238</v>
      </c>
      <c r="N523" s="177">
        <f>SUMIFS('Support - Transition'!G:G,'Support - Transition'!J:J,'Step 2'!D523,'Support - Transition'!E:E,"2009 WELFARE ALLOCATION FACTOR")</f>
        <v>0</v>
      </c>
      <c r="O523" s="152">
        <f t="shared" si="162"/>
        <v>0</v>
      </c>
      <c r="P523" s="126">
        <f>IF(E523="Y",0,SUMIFS('Support - Transition'!G:G,'Support - Transition'!J:J,'Step 2'!D523,'Support - Transition'!E:E,"2009 SCHOOL ALLOCATION FACTOR"))</f>
        <v>0</v>
      </c>
      <c r="Q523" s="126">
        <f>IF(E523="Y",VLOOKUP(D523,'Support - Unit Adjustments'!F:G,2,FALSE),0)</f>
        <v>0</v>
      </c>
      <c r="R523" s="155">
        <f t="shared" si="174"/>
        <v>0</v>
      </c>
      <c r="S523" s="47">
        <f t="shared" si="173"/>
        <v>0</v>
      </c>
      <c r="T523" s="151">
        <f t="shared" si="158"/>
        <v>238</v>
      </c>
      <c r="U523" s="151">
        <f t="shared" si="159"/>
        <v>0</v>
      </c>
      <c r="V523" s="139">
        <f t="shared" si="160"/>
        <v>0</v>
      </c>
      <c r="W523" s="152">
        <f t="shared" si="163"/>
        <v>238</v>
      </c>
      <c r="X523" s="127" t="str">
        <f t="shared" si="161"/>
        <v/>
      </c>
      <c r="Y523" s="207">
        <f t="shared" si="164"/>
        <v>238</v>
      </c>
      <c r="Z523" s="139">
        <f t="shared" si="165"/>
        <v>145</v>
      </c>
      <c r="AA523" s="139">
        <f t="shared" si="166"/>
        <v>93</v>
      </c>
      <c r="AC523" s="47">
        <f t="shared" si="167"/>
        <v>119</v>
      </c>
      <c r="AD523" s="47">
        <f t="shared" si="168"/>
        <v>73</v>
      </c>
      <c r="AE523" s="47">
        <f t="shared" si="169"/>
        <v>47</v>
      </c>
      <c r="AG523" s="47">
        <f t="shared" si="170"/>
        <v>119</v>
      </c>
      <c r="AH523" s="47">
        <f t="shared" si="171"/>
        <v>72</v>
      </c>
      <c r="AI523" s="208">
        <f t="shared" si="172"/>
        <v>46</v>
      </c>
    </row>
    <row r="524" spans="1:35">
      <c r="A524" t="s">
        <v>2106</v>
      </c>
      <c r="B524" t="s">
        <v>3142</v>
      </c>
      <c r="C524" t="s">
        <v>2199</v>
      </c>
      <c r="D524" t="s">
        <v>3766</v>
      </c>
      <c r="F524" t="s">
        <v>292</v>
      </c>
      <c r="G524" s="126">
        <f>SUMIFS('Support - Transition'!F:F,'Support - Transition'!B:B,'Step 2'!A524,'Support - Transition'!C:C,'Step 2'!B524,'Support - Transition'!D:D,'Step 2'!C524,'Support - Transition'!E:E,"CIVIL")</f>
        <v>1.0510000000000001E-3</v>
      </c>
      <c r="H524" s="126">
        <f>SUMIFS('Support - Transition'!F:F,'Support - Transition'!B:B,'Step 2'!A524,'Support - Transition'!C:C,'Step 2'!B524,'Support - Transition'!D:D,'Step 2'!C524,'Support - Transition'!E:E,"FIRE")</f>
        <v>8.5000000000000006E-5</v>
      </c>
      <c r="I524" s="126">
        <f>IF(B524="0",SUMIFS('Support - Transition'!F:F,'Support - Transition'!J:J,'Step 2'!D524,'Support - Transition'!E:E,"STATE UNIT"),SUMIFS('Support - Transition'!F:F,'Support - Transition'!J:J,'Step 2'!D524))</f>
        <v>1.1360000000000001E-3</v>
      </c>
      <c r="J524" s="126">
        <f>SUMIFS('Support - Unit Adjustments'!E:E,'Support - Unit Adjustments'!F:F,'Step 2'!D524)</f>
        <v>0</v>
      </c>
      <c r="K524" s="126">
        <f t="shared" si="156"/>
        <v>1.1360000000000001E-3</v>
      </c>
      <c r="L524" s="174">
        <f>VLOOKUP(A524,'Step 1'!$A:$E,4,FALSE)</f>
        <v>640955</v>
      </c>
      <c r="M524" s="47">
        <f t="shared" si="157"/>
        <v>728</v>
      </c>
      <c r="N524" s="177">
        <f>SUMIFS('Support - Transition'!G:G,'Support - Transition'!J:J,'Step 2'!D524,'Support - Transition'!E:E,"2009 WELFARE ALLOCATION FACTOR")</f>
        <v>0</v>
      </c>
      <c r="O524" s="152">
        <f t="shared" si="162"/>
        <v>0</v>
      </c>
      <c r="P524" s="126">
        <f>IF(E524="Y",0,SUMIFS('Support - Transition'!G:G,'Support - Transition'!J:J,'Step 2'!D524,'Support - Transition'!E:E,"2009 SCHOOL ALLOCATION FACTOR"))</f>
        <v>0</v>
      </c>
      <c r="Q524" s="126">
        <f>IF(E524="Y",VLOOKUP(D524,'Support - Unit Adjustments'!F:G,2,FALSE),0)</f>
        <v>0</v>
      </c>
      <c r="R524" s="155">
        <f t="shared" si="174"/>
        <v>0</v>
      </c>
      <c r="S524" s="47">
        <f t="shared" si="173"/>
        <v>0</v>
      </c>
      <c r="T524" s="151">
        <f t="shared" si="158"/>
        <v>728</v>
      </c>
      <c r="U524" s="151">
        <f t="shared" si="159"/>
        <v>0</v>
      </c>
      <c r="V524" s="139">
        <f t="shared" si="160"/>
        <v>0</v>
      </c>
      <c r="W524" s="152">
        <f t="shared" si="163"/>
        <v>728</v>
      </c>
      <c r="X524" s="127" t="str">
        <f t="shared" si="161"/>
        <v/>
      </c>
      <c r="Y524" s="207">
        <f t="shared" si="164"/>
        <v>728</v>
      </c>
      <c r="Z524" s="139">
        <f t="shared" si="165"/>
        <v>674</v>
      </c>
      <c r="AA524" s="139">
        <f t="shared" si="166"/>
        <v>54</v>
      </c>
      <c r="AC524" s="47">
        <f t="shared" si="167"/>
        <v>364</v>
      </c>
      <c r="AD524" s="47">
        <f t="shared" si="168"/>
        <v>337</v>
      </c>
      <c r="AE524" s="47">
        <f t="shared" si="169"/>
        <v>27</v>
      </c>
      <c r="AG524" s="47">
        <f t="shared" si="170"/>
        <v>364</v>
      </c>
      <c r="AH524" s="47">
        <f t="shared" si="171"/>
        <v>337</v>
      </c>
      <c r="AI524" s="208">
        <f t="shared" si="172"/>
        <v>27</v>
      </c>
    </row>
    <row r="525" spans="1:35">
      <c r="A525" t="s">
        <v>2106</v>
      </c>
      <c r="B525" t="s">
        <v>3155</v>
      </c>
      <c r="C525" t="s">
        <v>2391</v>
      </c>
      <c r="D525" t="s">
        <v>3767</v>
      </c>
      <c r="F525" t="s">
        <v>437</v>
      </c>
      <c r="G525" s="126">
        <f>SUMIFS('Support - Transition'!F:F,'Support - Transition'!B:B,'Step 2'!A525,'Support - Transition'!C:C,'Step 2'!B525,'Support - Transition'!D:D,'Step 2'!C525,'Support - Transition'!E:E,"CIVIL")</f>
        <v>0</v>
      </c>
      <c r="H525" s="126">
        <f>SUMIFS('Support - Transition'!F:F,'Support - Transition'!B:B,'Step 2'!A525,'Support - Transition'!C:C,'Step 2'!B525,'Support - Transition'!D:D,'Step 2'!C525,'Support - Transition'!E:E,"FIRE")</f>
        <v>0</v>
      </c>
      <c r="I525" s="126">
        <f>IF(B525="0",SUMIFS('Support - Transition'!F:F,'Support - Transition'!J:J,'Step 2'!D525,'Support - Transition'!E:E,"STATE UNIT"),SUMIFS('Support - Transition'!F:F,'Support - Transition'!J:J,'Step 2'!D525))</f>
        <v>6.9264999999999993E-2</v>
      </c>
      <c r="J525" s="126">
        <f>SUMIFS('Support - Unit Adjustments'!E:E,'Support - Unit Adjustments'!F:F,'Step 2'!D525)</f>
        <v>0</v>
      </c>
      <c r="K525" s="126">
        <f t="shared" si="156"/>
        <v>6.9264999999999993E-2</v>
      </c>
      <c r="L525" s="174">
        <f>VLOOKUP(A525,'Step 1'!$A:$E,4,FALSE)</f>
        <v>640955</v>
      </c>
      <c r="M525" s="47">
        <f t="shared" si="157"/>
        <v>44396</v>
      </c>
      <c r="N525" s="177">
        <f>SUMIFS('Support - Transition'!G:G,'Support - Transition'!J:J,'Step 2'!D525,'Support - Transition'!E:E,"2009 WELFARE ALLOCATION FACTOR")</f>
        <v>0</v>
      </c>
      <c r="O525" s="152">
        <f t="shared" si="162"/>
        <v>0</v>
      </c>
      <c r="P525" s="126">
        <f>IF(E525="Y",0,SUMIFS('Support - Transition'!G:G,'Support - Transition'!J:J,'Step 2'!D525,'Support - Transition'!E:E,"2009 SCHOOL ALLOCATION FACTOR"))</f>
        <v>0</v>
      </c>
      <c r="Q525" s="126">
        <f>IF(E525="Y",VLOOKUP(D525,'Support - Unit Adjustments'!F:G,2,FALSE),0)</f>
        <v>0</v>
      </c>
      <c r="R525" s="155">
        <f t="shared" si="174"/>
        <v>0</v>
      </c>
      <c r="S525" s="47">
        <f t="shared" si="173"/>
        <v>0</v>
      </c>
      <c r="T525" s="151">
        <f t="shared" si="158"/>
        <v>44396</v>
      </c>
      <c r="U525" s="151">
        <f t="shared" si="159"/>
        <v>0</v>
      </c>
      <c r="V525" s="139">
        <f t="shared" si="160"/>
        <v>0</v>
      </c>
      <c r="W525" s="152">
        <f t="shared" si="163"/>
        <v>44396</v>
      </c>
      <c r="X525" s="127" t="str">
        <f t="shared" si="161"/>
        <v/>
      </c>
      <c r="Y525" s="207">
        <f t="shared" si="164"/>
        <v>44396</v>
      </c>
      <c r="Z525" s="139">
        <f t="shared" si="165"/>
        <v>44396</v>
      </c>
      <c r="AA525" s="139">
        <f t="shared" si="166"/>
        <v>0</v>
      </c>
      <c r="AC525" s="47">
        <f t="shared" si="167"/>
        <v>22198</v>
      </c>
      <c r="AD525" s="47">
        <f t="shared" si="168"/>
        <v>22198</v>
      </c>
      <c r="AE525" s="47">
        <f t="shared" si="169"/>
        <v>0</v>
      </c>
      <c r="AG525" s="47">
        <f t="shared" si="170"/>
        <v>22198</v>
      </c>
      <c r="AH525" s="47">
        <f t="shared" si="171"/>
        <v>22198</v>
      </c>
      <c r="AI525" s="208">
        <f t="shared" si="172"/>
        <v>0</v>
      </c>
    </row>
    <row r="526" spans="1:35">
      <c r="A526" t="s">
        <v>2106</v>
      </c>
      <c r="B526" t="s">
        <v>3155</v>
      </c>
      <c r="C526" t="s">
        <v>2392</v>
      </c>
      <c r="D526" t="s">
        <v>3768</v>
      </c>
      <c r="F526" t="s">
        <v>436</v>
      </c>
      <c r="G526" s="126">
        <f>SUMIFS('Support - Transition'!F:F,'Support - Transition'!B:B,'Step 2'!A526,'Support - Transition'!C:C,'Step 2'!B526,'Support - Transition'!D:D,'Step 2'!C526,'Support - Transition'!E:E,"CIVIL")</f>
        <v>0</v>
      </c>
      <c r="H526" s="126">
        <f>SUMIFS('Support - Transition'!F:F,'Support - Transition'!B:B,'Step 2'!A526,'Support - Transition'!C:C,'Step 2'!B526,'Support - Transition'!D:D,'Step 2'!C526,'Support - Transition'!E:E,"FIRE")</f>
        <v>0</v>
      </c>
      <c r="I526" s="126">
        <f>IF(B526="0",SUMIFS('Support - Transition'!F:F,'Support - Transition'!J:J,'Step 2'!D526,'Support - Transition'!E:E,"STATE UNIT"),SUMIFS('Support - Transition'!F:F,'Support - Transition'!J:J,'Step 2'!D526))</f>
        <v>5.4966000000000001E-2</v>
      </c>
      <c r="J526" s="126">
        <f>SUMIFS('Support - Unit Adjustments'!E:E,'Support - Unit Adjustments'!F:F,'Step 2'!D526)</f>
        <v>0</v>
      </c>
      <c r="K526" s="126">
        <f t="shared" si="156"/>
        <v>5.4966000000000001E-2</v>
      </c>
      <c r="L526" s="174">
        <f>VLOOKUP(A526,'Step 1'!$A:$E,4,FALSE)</f>
        <v>640955</v>
      </c>
      <c r="M526" s="47">
        <f t="shared" si="157"/>
        <v>35231</v>
      </c>
      <c r="N526" s="177">
        <f>SUMIFS('Support - Transition'!G:G,'Support - Transition'!J:J,'Step 2'!D526,'Support - Transition'!E:E,"2009 WELFARE ALLOCATION FACTOR")</f>
        <v>0</v>
      </c>
      <c r="O526" s="152">
        <f t="shared" si="162"/>
        <v>0</v>
      </c>
      <c r="P526" s="126">
        <f>IF(E526="Y",0,SUMIFS('Support - Transition'!G:G,'Support - Transition'!J:J,'Step 2'!D526,'Support - Transition'!E:E,"2009 SCHOOL ALLOCATION FACTOR"))</f>
        <v>0</v>
      </c>
      <c r="Q526" s="126">
        <f>IF(E526="Y",VLOOKUP(D526,'Support - Unit Adjustments'!F:G,2,FALSE),0)</f>
        <v>0</v>
      </c>
      <c r="R526" s="155">
        <f t="shared" si="174"/>
        <v>0</v>
      </c>
      <c r="S526" s="47">
        <f t="shared" si="173"/>
        <v>0</v>
      </c>
      <c r="T526" s="151">
        <f t="shared" si="158"/>
        <v>35231</v>
      </c>
      <c r="U526" s="151">
        <f t="shared" si="159"/>
        <v>0</v>
      </c>
      <c r="V526" s="139">
        <f t="shared" si="160"/>
        <v>0</v>
      </c>
      <c r="W526" s="152">
        <f t="shared" si="163"/>
        <v>35231</v>
      </c>
      <c r="X526" s="127" t="str">
        <f t="shared" si="161"/>
        <v/>
      </c>
      <c r="Y526" s="207">
        <f t="shared" si="164"/>
        <v>35231</v>
      </c>
      <c r="Z526" s="139">
        <f t="shared" si="165"/>
        <v>35231</v>
      </c>
      <c r="AA526" s="139">
        <f t="shared" si="166"/>
        <v>0</v>
      </c>
      <c r="AC526" s="47">
        <f t="shared" si="167"/>
        <v>17616</v>
      </c>
      <c r="AD526" s="47">
        <f t="shared" si="168"/>
        <v>17616</v>
      </c>
      <c r="AE526" s="47">
        <f t="shared" si="169"/>
        <v>0</v>
      </c>
      <c r="AG526" s="47">
        <f t="shared" si="170"/>
        <v>17615</v>
      </c>
      <c r="AH526" s="47">
        <f t="shared" si="171"/>
        <v>17615</v>
      </c>
      <c r="AI526" s="208">
        <f t="shared" si="172"/>
        <v>0</v>
      </c>
    </row>
    <row r="527" spans="1:35">
      <c r="A527" t="s">
        <v>2106</v>
      </c>
      <c r="B527" t="s">
        <v>3155</v>
      </c>
      <c r="C527" t="s">
        <v>2393</v>
      </c>
      <c r="D527" t="s">
        <v>3769</v>
      </c>
      <c r="F527" t="s">
        <v>433</v>
      </c>
      <c r="G527" s="126">
        <f>SUMIFS('Support - Transition'!F:F,'Support - Transition'!B:B,'Step 2'!A527,'Support - Transition'!C:C,'Step 2'!B527,'Support - Transition'!D:D,'Step 2'!C527,'Support - Transition'!E:E,"CIVIL")</f>
        <v>0</v>
      </c>
      <c r="H527" s="126">
        <f>SUMIFS('Support - Transition'!F:F,'Support - Transition'!B:B,'Step 2'!A527,'Support - Transition'!C:C,'Step 2'!B527,'Support - Transition'!D:D,'Step 2'!C527,'Support - Transition'!E:E,"FIRE")</f>
        <v>0</v>
      </c>
      <c r="I527" s="126">
        <f>IF(B527="0",SUMIFS('Support - Transition'!F:F,'Support - Transition'!J:J,'Step 2'!D527,'Support - Transition'!E:E,"STATE UNIT"),SUMIFS('Support - Transition'!F:F,'Support - Transition'!J:J,'Step 2'!D527))</f>
        <v>5.6999999999999998E-4</v>
      </c>
      <c r="J527" s="126">
        <f>SUMIFS('Support - Unit Adjustments'!E:E,'Support - Unit Adjustments'!F:F,'Step 2'!D527)</f>
        <v>0</v>
      </c>
      <c r="K527" s="126">
        <f t="shared" si="156"/>
        <v>5.6999999999999998E-4</v>
      </c>
      <c r="L527" s="174">
        <f>VLOOKUP(A527,'Step 1'!$A:$E,4,FALSE)</f>
        <v>640955</v>
      </c>
      <c r="M527" s="47">
        <f t="shared" si="157"/>
        <v>365</v>
      </c>
      <c r="N527" s="177">
        <f>SUMIFS('Support - Transition'!G:G,'Support - Transition'!J:J,'Step 2'!D527,'Support - Transition'!E:E,"2009 WELFARE ALLOCATION FACTOR")</f>
        <v>0</v>
      </c>
      <c r="O527" s="152">
        <f t="shared" si="162"/>
        <v>0</v>
      </c>
      <c r="P527" s="126">
        <f>IF(E527="Y",0,SUMIFS('Support - Transition'!G:G,'Support - Transition'!J:J,'Step 2'!D527,'Support - Transition'!E:E,"2009 SCHOOL ALLOCATION FACTOR"))</f>
        <v>0</v>
      </c>
      <c r="Q527" s="126">
        <f>IF(E527="Y",VLOOKUP(D527,'Support - Unit Adjustments'!F:G,2,FALSE),0)</f>
        <v>0</v>
      </c>
      <c r="R527" s="155">
        <f t="shared" si="174"/>
        <v>0</v>
      </c>
      <c r="S527" s="47">
        <f t="shared" si="173"/>
        <v>0</v>
      </c>
      <c r="T527" s="151">
        <f t="shared" si="158"/>
        <v>365</v>
      </c>
      <c r="U527" s="151">
        <f t="shared" si="159"/>
        <v>0</v>
      </c>
      <c r="V527" s="139">
        <f t="shared" si="160"/>
        <v>0</v>
      </c>
      <c r="W527" s="152">
        <f t="shared" si="163"/>
        <v>365</v>
      </c>
      <c r="X527" s="127" t="str">
        <f t="shared" si="161"/>
        <v/>
      </c>
      <c r="Y527" s="207">
        <f t="shared" si="164"/>
        <v>365</v>
      </c>
      <c r="Z527" s="139">
        <f t="shared" si="165"/>
        <v>365</v>
      </c>
      <c r="AA527" s="139">
        <f t="shared" si="166"/>
        <v>0</v>
      </c>
      <c r="AC527" s="47">
        <f t="shared" si="167"/>
        <v>183</v>
      </c>
      <c r="AD527" s="47">
        <f t="shared" si="168"/>
        <v>183</v>
      </c>
      <c r="AE527" s="47">
        <f t="shared" si="169"/>
        <v>0</v>
      </c>
      <c r="AG527" s="47">
        <f t="shared" si="170"/>
        <v>182</v>
      </c>
      <c r="AH527" s="47">
        <f t="shared" si="171"/>
        <v>182</v>
      </c>
      <c r="AI527" s="208">
        <f t="shared" si="172"/>
        <v>0</v>
      </c>
    </row>
    <row r="528" spans="1:35">
      <c r="A528" t="s">
        <v>2106</v>
      </c>
      <c r="B528" t="s">
        <v>3155</v>
      </c>
      <c r="C528" t="s">
        <v>2394</v>
      </c>
      <c r="D528" t="s">
        <v>3770</v>
      </c>
      <c r="F528" t="s">
        <v>434</v>
      </c>
      <c r="G528" s="126">
        <f>SUMIFS('Support - Transition'!F:F,'Support - Transition'!B:B,'Step 2'!A528,'Support - Transition'!C:C,'Step 2'!B528,'Support - Transition'!D:D,'Step 2'!C528,'Support - Transition'!E:E,"CIVIL")</f>
        <v>0</v>
      </c>
      <c r="H528" s="126">
        <f>SUMIFS('Support - Transition'!F:F,'Support - Transition'!B:B,'Step 2'!A528,'Support - Transition'!C:C,'Step 2'!B528,'Support - Transition'!D:D,'Step 2'!C528,'Support - Transition'!E:E,"FIRE")</f>
        <v>0</v>
      </c>
      <c r="I528" s="126">
        <f>IF(B528="0",SUMIFS('Support - Transition'!F:F,'Support - Transition'!J:J,'Step 2'!D528,'Support - Transition'!E:E,"STATE UNIT"),SUMIFS('Support - Transition'!F:F,'Support - Transition'!J:J,'Step 2'!D528))</f>
        <v>6.3699999999999998E-3</v>
      </c>
      <c r="J528" s="126">
        <f>SUMIFS('Support - Unit Adjustments'!E:E,'Support - Unit Adjustments'!F:F,'Step 2'!D528)</f>
        <v>0</v>
      </c>
      <c r="K528" s="126">
        <f t="shared" si="156"/>
        <v>6.3699999999999998E-3</v>
      </c>
      <c r="L528" s="174">
        <f>VLOOKUP(A528,'Step 1'!$A:$E,4,FALSE)</f>
        <v>640955</v>
      </c>
      <c r="M528" s="47">
        <f t="shared" si="157"/>
        <v>4083</v>
      </c>
      <c r="N528" s="177">
        <f>SUMIFS('Support - Transition'!G:G,'Support - Transition'!J:J,'Step 2'!D528,'Support - Transition'!E:E,"2009 WELFARE ALLOCATION FACTOR")</f>
        <v>0</v>
      </c>
      <c r="O528" s="152">
        <f t="shared" si="162"/>
        <v>0</v>
      </c>
      <c r="P528" s="126">
        <f>IF(E528="Y",0,SUMIFS('Support - Transition'!G:G,'Support - Transition'!J:J,'Step 2'!D528,'Support - Transition'!E:E,"2009 SCHOOL ALLOCATION FACTOR"))</f>
        <v>0</v>
      </c>
      <c r="Q528" s="126">
        <f>IF(E528="Y",VLOOKUP(D528,'Support - Unit Adjustments'!F:G,2,FALSE),0)</f>
        <v>0</v>
      </c>
      <c r="R528" s="155">
        <f t="shared" si="174"/>
        <v>0</v>
      </c>
      <c r="S528" s="47">
        <f t="shared" si="173"/>
        <v>0</v>
      </c>
      <c r="T528" s="151">
        <f t="shared" si="158"/>
        <v>4083</v>
      </c>
      <c r="U528" s="151">
        <f t="shared" si="159"/>
        <v>0</v>
      </c>
      <c r="V528" s="139">
        <f t="shared" si="160"/>
        <v>0</v>
      </c>
      <c r="W528" s="152">
        <f t="shared" si="163"/>
        <v>4083</v>
      </c>
      <c r="X528" s="127" t="str">
        <f t="shared" si="161"/>
        <v/>
      </c>
      <c r="Y528" s="207">
        <f t="shared" si="164"/>
        <v>4083</v>
      </c>
      <c r="Z528" s="139">
        <f t="shared" si="165"/>
        <v>4083</v>
      </c>
      <c r="AA528" s="139">
        <f t="shared" si="166"/>
        <v>0</v>
      </c>
      <c r="AC528" s="47">
        <f t="shared" si="167"/>
        <v>2042</v>
      </c>
      <c r="AD528" s="47">
        <f t="shared" si="168"/>
        <v>2042</v>
      </c>
      <c r="AE528" s="47">
        <f t="shared" si="169"/>
        <v>0</v>
      </c>
      <c r="AG528" s="47">
        <f t="shared" si="170"/>
        <v>2041</v>
      </c>
      <c r="AH528" s="47">
        <f t="shared" si="171"/>
        <v>2041</v>
      </c>
      <c r="AI528" s="208">
        <f t="shared" si="172"/>
        <v>0</v>
      </c>
    </row>
    <row r="529" spans="1:35">
      <c r="A529" t="s">
        <v>2106</v>
      </c>
      <c r="B529" t="s">
        <v>3155</v>
      </c>
      <c r="C529" t="s">
        <v>2395</v>
      </c>
      <c r="D529" t="s">
        <v>3771</v>
      </c>
      <c r="F529" t="s">
        <v>435</v>
      </c>
      <c r="G529" s="126">
        <f>SUMIFS('Support - Transition'!F:F,'Support - Transition'!B:B,'Step 2'!A529,'Support - Transition'!C:C,'Step 2'!B529,'Support - Transition'!D:D,'Step 2'!C529,'Support - Transition'!E:E,"CIVIL")</f>
        <v>0</v>
      </c>
      <c r="H529" s="126">
        <f>SUMIFS('Support - Transition'!F:F,'Support - Transition'!B:B,'Step 2'!A529,'Support - Transition'!C:C,'Step 2'!B529,'Support - Transition'!D:D,'Step 2'!C529,'Support - Transition'!E:E,"FIRE")</f>
        <v>0</v>
      </c>
      <c r="I529" s="126">
        <f>IF(B529="0",SUMIFS('Support - Transition'!F:F,'Support - Transition'!J:J,'Step 2'!D529,'Support - Transition'!E:E,"STATE UNIT"),SUMIFS('Support - Transition'!F:F,'Support - Transition'!J:J,'Step 2'!D529))</f>
        <v>5.1440000000000001E-3</v>
      </c>
      <c r="J529" s="126">
        <f>SUMIFS('Support - Unit Adjustments'!E:E,'Support - Unit Adjustments'!F:F,'Step 2'!D529)</f>
        <v>0</v>
      </c>
      <c r="K529" s="126">
        <f t="shared" si="156"/>
        <v>5.1440000000000001E-3</v>
      </c>
      <c r="L529" s="174">
        <f>VLOOKUP(A529,'Step 1'!$A:$E,4,FALSE)</f>
        <v>640955</v>
      </c>
      <c r="M529" s="47">
        <f t="shared" si="157"/>
        <v>3297</v>
      </c>
      <c r="N529" s="177">
        <f>SUMIFS('Support - Transition'!G:G,'Support - Transition'!J:J,'Step 2'!D529,'Support - Transition'!E:E,"2009 WELFARE ALLOCATION FACTOR")</f>
        <v>0</v>
      </c>
      <c r="O529" s="152">
        <f t="shared" si="162"/>
        <v>0</v>
      </c>
      <c r="P529" s="126">
        <f>IF(E529="Y",0,SUMIFS('Support - Transition'!G:G,'Support - Transition'!J:J,'Step 2'!D529,'Support - Transition'!E:E,"2009 SCHOOL ALLOCATION FACTOR"))</f>
        <v>0</v>
      </c>
      <c r="Q529" s="126">
        <f>IF(E529="Y",VLOOKUP(D529,'Support - Unit Adjustments'!F:G,2,FALSE),0)</f>
        <v>0</v>
      </c>
      <c r="R529" s="155">
        <f t="shared" si="174"/>
        <v>0</v>
      </c>
      <c r="S529" s="47">
        <f t="shared" si="173"/>
        <v>0</v>
      </c>
      <c r="T529" s="151">
        <f t="shared" si="158"/>
        <v>3297</v>
      </c>
      <c r="U529" s="151">
        <f t="shared" si="159"/>
        <v>0</v>
      </c>
      <c r="V529" s="139">
        <f t="shared" si="160"/>
        <v>0</v>
      </c>
      <c r="W529" s="152">
        <f t="shared" si="163"/>
        <v>3297</v>
      </c>
      <c r="X529" s="127" t="str">
        <f t="shared" si="161"/>
        <v/>
      </c>
      <c r="Y529" s="207">
        <f t="shared" si="164"/>
        <v>3297</v>
      </c>
      <c r="Z529" s="139">
        <f t="shared" si="165"/>
        <v>3297</v>
      </c>
      <c r="AA529" s="139">
        <f t="shared" si="166"/>
        <v>0</v>
      </c>
      <c r="AC529" s="47">
        <f t="shared" si="167"/>
        <v>1649</v>
      </c>
      <c r="AD529" s="47">
        <f t="shared" si="168"/>
        <v>1649</v>
      </c>
      <c r="AE529" s="47">
        <f t="shared" si="169"/>
        <v>0</v>
      </c>
      <c r="AG529" s="47">
        <f t="shared" si="170"/>
        <v>1648</v>
      </c>
      <c r="AH529" s="47">
        <f t="shared" si="171"/>
        <v>1648</v>
      </c>
      <c r="AI529" s="208">
        <f t="shared" si="172"/>
        <v>0</v>
      </c>
    </row>
    <row r="530" spans="1:35">
      <c r="A530" t="s">
        <v>2106</v>
      </c>
      <c r="B530" t="s">
        <v>3160</v>
      </c>
      <c r="C530" t="s">
        <v>2396</v>
      </c>
      <c r="D530" t="s">
        <v>3772</v>
      </c>
      <c r="F530" t="s">
        <v>3773</v>
      </c>
      <c r="G530" s="126">
        <f>SUMIFS('Support - Transition'!F:F,'Support - Transition'!B:B,'Step 2'!A530,'Support - Transition'!C:C,'Step 2'!B530,'Support - Transition'!D:D,'Step 2'!C530,'Support - Transition'!E:E,"CIVIL")</f>
        <v>0</v>
      </c>
      <c r="H530" s="126">
        <f>SUMIFS('Support - Transition'!F:F,'Support - Transition'!B:B,'Step 2'!A530,'Support - Transition'!C:C,'Step 2'!B530,'Support - Transition'!D:D,'Step 2'!C530,'Support - Transition'!E:E,"FIRE")</f>
        <v>0</v>
      </c>
      <c r="I530" s="126">
        <f>IF(B530="0",SUMIFS('Support - Transition'!F:F,'Support - Transition'!J:J,'Step 2'!D530,'Support - Transition'!E:E,"STATE UNIT"),SUMIFS('Support - Transition'!F:F,'Support - Transition'!J:J,'Step 2'!D530))</f>
        <v>9.3826999999999994E-2</v>
      </c>
      <c r="J530" s="126">
        <f>SUMIFS('Support - Unit Adjustments'!E:E,'Support - Unit Adjustments'!F:F,'Step 2'!D530)</f>
        <v>0</v>
      </c>
      <c r="K530" s="126">
        <f t="shared" si="156"/>
        <v>9.3826999999999994E-2</v>
      </c>
      <c r="L530" s="174">
        <f>VLOOKUP(A530,'Step 1'!$A:$E,4,FALSE)</f>
        <v>640955</v>
      </c>
      <c r="M530" s="47">
        <f t="shared" si="157"/>
        <v>60139</v>
      </c>
      <c r="N530" s="177">
        <f>SUMIFS('Support - Transition'!G:G,'Support - Transition'!J:J,'Step 2'!D530,'Support - Transition'!E:E,"2009 WELFARE ALLOCATION FACTOR")</f>
        <v>0</v>
      </c>
      <c r="O530" s="152">
        <f t="shared" si="162"/>
        <v>0</v>
      </c>
      <c r="P530" s="126">
        <f>IF(E530="Y",0,SUMIFS('Support - Transition'!G:G,'Support - Transition'!J:J,'Step 2'!D530,'Support - Transition'!E:E,"2009 SCHOOL ALLOCATION FACTOR"))</f>
        <v>0.45052399999999998</v>
      </c>
      <c r="Q530" s="126">
        <f>IF(E530="Y",VLOOKUP(D530,'Support - Unit Adjustments'!F:G,2,FALSE),0)</f>
        <v>0</v>
      </c>
      <c r="R530" s="155">
        <f t="shared" si="174"/>
        <v>0.45052399999999998</v>
      </c>
      <c r="S530" s="47">
        <f t="shared" si="173"/>
        <v>27094</v>
      </c>
      <c r="T530" s="151">
        <f t="shared" si="158"/>
        <v>33045</v>
      </c>
      <c r="U530" s="151">
        <f t="shared" si="159"/>
        <v>0</v>
      </c>
      <c r="V530" s="139">
        <f t="shared" si="160"/>
        <v>0</v>
      </c>
      <c r="W530" s="152">
        <f t="shared" si="163"/>
        <v>33045</v>
      </c>
      <c r="X530" s="127" t="str">
        <f t="shared" si="161"/>
        <v/>
      </c>
      <c r="Y530" s="207">
        <f t="shared" si="164"/>
        <v>33045</v>
      </c>
      <c r="Z530" s="139">
        <f t="shared" si="165"/>
        <v>33045</v>
      </c>
      <c r="AA530" s="139">
        <f t="shared" si="166"/>
        <v>0</v>
      </c>
      <c r="AC530" s="47">
        <f t="shared" si="167"/>
        <v>16523</v>
      </c>
      <c r="AD530" s="47">
        <f t="shared" si="168"/>
        <v>16523</v>
      </c>
      <c r="AE530" s="47">
        <f t="shared" si="169"/>
        <v>0</v>
      </c>
      <c r="AG530" s="47">
        <f t="shared" si="170"/>
        <v>16522</v>
      </c>
      <c r="AH530" s="47">
        <f t="shared" si="171"/>
        <v>16522</v>
      </c>
      <c r="AI530" s="208">
        <f t="shared" si="172"/>
        <v>0</v>
      </c>
    </row>
    <row r="531" spans="1:35">
      <c r="A531" t="s">
        <v>2106</v>
      </c>
      <c r="B531" t="s">
        <v>3160</v>
      </c>
      <c r="C531" t="s">
        <v>2397</v>
      </c>
      <c r="D531" t="s">
        <v>3774</v>
      </c>
      <c r="F531" t="s">
        <v>3775</v>
      </c>
      <c r="G531" s="126">
        <f>SUMIFS('Support - Transition'!F:F,'Support - Transition'!B:B,'Step 2'!A531,'Support - Transition'!C:C,'Step 2'!B531,'Support - Transition'!D:D,'Step 2'!C531,'Support - Transition'!E:E,"CIVIL")</f>
        <v>0</v>
      </c>
      <c r="H531" s="126">
        <f>SUMIFS('Support - Transition'!F:F,'Support - Transition'!B:B,'Step 2'!A531,'Support - Transition'!C:C,'Step 2'!B531,'Support - Transition'!D:D,'Step 2'!C531,'Support - Transition'!E:E,"FIRE")</f>
        <v>0</v>
      </c>
      <c r="I531" s="126">
        <f>IF(B531="0",SUMIFS('Support - Transition'!F:F,'Support - Transition'!J:J,'Step 2'!D531,'Support - Transition'!E:E,"STATE UNIT"),SUMIFS('Support - Transition'!F:F,'Support - Transition'!J:J,'Step 2'!D531))</f>
        <v>0.122852</v>
      </c>
      <c r="J531" s="126">
        <f>SUMIFS('Support - Unit Adjustments'!E:E,'Support - Unit Adjustments'!F:F,'Step 2'!D531)</f>
        <v>0</v>
      </c>
      <c r="K531" s="126">
        <f t="shared" si="156"/>
        <v>0.122852</v>
      </c>
      <c r="L531" s="174">
        <f>VLOOKUP(A531,'Step 1'!$A:$E,4,FALSE)</f>
        <v>640955</v>
      </c>
      <c r="M531" s="47">
        <f t="shared" si="157"/>
        <v>78743</v>
      </c>
      <c r="N531" s="177">
        <f>SUMIFS('Support - Transition'!G:G,'Support - Transition'!J:J,'Step 2'!D531,'Support - Transition'!E:E,"2009 WELFARE ALLOCATION FACTOR")</f>
        <v>0</v>
      </c>
      <c r="O531" s="152">
        <f t="shared" si="162"/>
        <v>0</v>
      </c>
      <c r="P531" s="126">
        <f>IF(E531="Y",0,SUMIFS('Support - Transition'!G:G,'Support - Transition'!J:J,'Step 2'!D531,'Support - Transition'!E:E,"2009 SCHOOL ALLOCATION FACTOR"))</f>
        <v>0.41065099999999999</v>
      </c>
      <c r="Q531" s="126">
        <f>IF(E531="Y",VLOOKUP(D531,'Support - Unit Adjustments'!F:G,2,FALSE),0)</f>
        <v>0</v>
      </c>
      <c r="R531" s="155">
        <f t="shared" si="174"/>
        <v>0.41065099999999999</v>
      </c>
      <c r="S531" s="47">
        <f t="shared" si="173"/>
        <v>32336</v>
      </c>
      <c r="T531" s="151">
        <f t="shared" si="158"/>
        <v>46407</v>
      </c>
      <c r="U531" s="151">
        <f t="shared" si="159"/>
        <v>0</v>
      </c>
      <c r="V531" s="139">
        <f t="shared" si="160"/>
        <v>0</v>
      </c>
      <c r="W531" s="152">
        <f t="shared" si="163"/>
        <v>46407</v>
      </c>
      <c r="X531" s="127" t="str">
        <f t="shared" si="161"/>
        <v/>
      </c>
      <c r="Y531" s="207">
        <f t="shared" si="164"/>
        <v>46407</v>
      </c>
      <c r="Z531" s="139">
        <f t="shared" si="165"/>
        <v>46407</v>
      </c>
      <c r="AA531" s="139">
        <f t="shared" si="166"/>
        <v>0</v>
      </c>
      <c r="AC531" s="47">
        <f t="shared" si="167"/>
        <v>23204</v>
      </c>
      <c r="AD531" s="47">
        <f t="shared" si="168"/>
        <v>23204</v>
      </c>
      <c r="AE531" s="47">
        <f t="shared" si="169"/>
        <v>0</v>
      </c>
      <c r="AG531" s="47">
        <f t="shared" si="170"/>
        <v>23203</v>
      </c>
      <c r="AH531" s="47">
        <f t="shared" si="171"/>
        <v>23203</v>
      </c>
      <c r="AI531" s="208">
        <f t="shared" si="172"/>
        <v>0</v>
      </c>
    </row>
    <row r="532" spans="1:35">
      <c r="A532" t="s">
        <v>2106</v>
      </c>
      <c r="B532" t="s">
        <v>3160</v>
      </c>
      <c r="C532" t="s">
        <v>2398</v>
      </c>
      <c r="D532" t="s">
        <v>3776</v>
      </c>
      <c r="F532" t="s">
        <v>3777</v>
      </c>
      <c r="G532" s="126">
        <f>SUMIFS('Support - Transition'!F:F,'Support - Transition'!B:B,'Step 2'!A532,'Support - Transition'!C:C,'Step 2'!B532,'Support - Transition'!D:D,'Step 2'!C532,'Support - Transition'!E:E,"CIVIL")</f>
        <v>0</v>
      </c>
      <c r="H532" s="126">
        <f>SUMIFS('Support - Transition'!F:F,'Support - Transition'!B:B,'Step 2'!A532,'Support - Transition'!C:C,'Step 2'!B532,'Support - Transition'!D:D,'Step 2'!C532,'Support - Transition'!E:E,"FIRE")</f>
        <v>0</v>
      </c>
      <c r="I532" s="126">
        <f>IF(B532="0",SUMIFS('Support - Transition'!F:F,'Support - Transition'!J:J,'Step 2'!D532,'Support - Transition'!E:E,"STATE UNIT"),SUMIFS('Support - Transition'!F:F,'Support - Transition'!J:J,'Step 2'!D532))</f>
        <v>0.22958200000000001</v>
      </c>
      <c r="J532" s="126">
        <f>SUMIFS('Support - Unit Adjustments'!E:E,'Support - Unit Adjustments'!F:F,'Step 2'!D532)</f>
        <v>0</v>
      </c>
      <c r="K532" s="126">
        <f t="shared" si="156"/>
        <v>0.22958200000000001</v>
      </c>
      <c r="L532" s="174">
        <f>VLOOKUP(A532,'Step 1'!$A:$E,4,FALSE)</f>
        <v>640955</v>
      </c>
      <c r="M532" s="47">
        <f t="shared" si="157"/>
        <v>147152</v>
      </c>
      <c r="N532" s="177">
        <f>SUMIFS('Support - Transition'!G:G,'Support - Transition'!J:J,'Step 2'!D532,'Support - Transition'!E:E,"2009 WELFARE ALLOCATION FACTOR")</f>
        <v>0</v>
      </c>
      <c r="O532" s="152">
        <f t="shared" si="162"/>
        <v>0</v>
      </c>
      <c r="P532" s="126">
        <f>IF(E532="Y",0,SUMIFS('Support - Transition'!G:G,'Support - Transition'!J:J,'Step 2'!D532,'Support - Transition'!E:E,"2009 SCHOOL ALLOCATION FACTOR"))</f>
        <v>0.389594</v>
      </c>
      <c r="Q532" s="126">
        <f>IF(E532="Y",VLOOKUP(D532,'Support - Unit Adjustments'!F:G,2,FALSE),0)</f>
        <v>0</v>
      </c>
      <c r="R532" s="155">
        <f t="shared" si="174"/>
        <v>0.389594</v>
      </c>
      <c r="S532" s="47">
        <f t="shared" si="173"/>
        <v>57330</v>
      </c>
      <c r="T532" s="151">
        <f t="shared" si="158"/>
        <v>89822</v>
      </c>
      <c r="U532" s="151">
        <f t="shared" si="159"/>
        <v>0</v>
      </c>
      <c r="V532" s="139">
        <f t="shared" si="160"/>
        <v>0</v>
      </c>
      <c r="W532" s="152">
        <f t="shared" si="163"/>
        <v>89822</v>
      </c>
      <c r="X532" s="127" t="str">
        <f t="shared" si="161"/>
        <v/>
      </c>
      <c r="Y532" s="207">
        <f t="shared" si="164"/>
        <v>89822</v>
      </c>
      <c r="Z532" s="139">
        <f t="shared" si="165"/>
        <v>89822</v>
      </c>
      <c r="AA532" s="139">
        <f t="shared" si="166"/>
        <v>0</v>
      </c>
      <c r="AC532" s="47">
        <f t="shared" si="167"/>
        <v>44911</v>
      </c>
      <c r="AD532" s="47">
        <f t="shared" si="168"/>
        <v>44911</v>
      </c>
      <c r="AE532" s="47">
        <f t="shared" si="169"/>
        <v>0</v>
      </c>
      <c r="AG532" s="47">
        <f t="shared" si="170"/>
        <v>44911</v>
      </c>
      <c r="AH532" s="47">
        <f t="shared" si="171"/>
        <v>44911</v>
      </c>
      <c r="AI532" s="208">
        <f t="shared" si="172"/>
        <v>0</v>
      </c>
    </row>
    <row r="533" spans="1:35">
      <c r="A533" t="s">
        <v>2106</v>
      </c>
      <c r="B533" t="s">
        <v>3160</v>
      </c>
      <c r="C533" t="s">
        <v>2399</v>
      </c>
      <c r="D533" t="s">
        <v>3778</v>
      </c>
      <c r="F533" t="s">
        <v>3779</v>
      </c>
      <c r="G533" s="126">
        <f>SUMIFS('Support - Transition'!F:F,'Support - Transition'!B:B,'Step 2'!A533,'Support - Transition'!C:C,'Step 2'!B533,'Support - Transition'!D:D,'Step 2'!C533,'Support - Transition'!E:E,"CIVIL")</f>
        <v>0</v>
      </c>
      <c r="H533" s="126">
        <f>SUMIFS('Support - Transition'!F:F,'Support - Transition'!B:B,'Step 2'!A533,'Support - Transition'!C:C,'Step 2'!B533,'Support - Transition'!D:D,'Step 2'!C533,'Support - Transition'!E:E,"FIRE")</f>
        <v>0</v>
      </c>
      <c r="I533" s="126">
        <f>IF(B533="0",SUMIFS('Support - Transition'!F:F,'Support - Transition'!J:J,'Step 2'!D533,'Support - Transition'!E:E,"STATE UNIT"),SUMIFS('Support - Transition'!F:F,'Support - Transition'!J:J,'Step 2'!D533))</f>
        <v>0.26164399999999999</v>
      </c>
      <c r="J533" s="126">
        <f>SUMIFS('Support - Unit Adjustments'!E:E,'Support - Unit Adjustments'!F:F,'Step 2'!D533)</f>
        <v>0</v>
      </c>
      <c r="K533" s="126">
        <f t="shared" si="156"/>
        <v>0.26164399999999999</v>
      </c>
      <c r="L533" s="174">
        <f>VLOOKUP(A533,'Step 1'!$A:$E,4,FALSE)</f>
        <v>640955</v>
      </c>
      <c r="M533" s="47">
        <f t="shared" si="157"/>
        <v>167702</v>
      </c>
      <c r="N533" s="177">
        <f>SUMIFS('Support - Transition'!G:G,'Support - Transition'!J:J,'Step 2'!D533,'Support - Transition'!E:E,"2009 WELFARE ALLOCATION FACTOR")</f>
        <v>0</v>
      </c>
      <c r="O533" s="152">
        <f t="shared" si="162"/>
        <v>0</v>
      </c>
      <c r="P533" s="126">
        <f>IF(E533="Y",0,SUMIFS('Support - Transition'!G:G,'Support - Transition'!J:J,'Step 2'!D533,'Support - Transition'!E:E,"2009 SCHOOL ALLOCATION FACTOR"))</f>
        <v>0.42733900000000002</v>
      </c>
      <c r="Q533" s="126">
        <f>IF(E533="Y",VLOOKUP(D533,'Support - Unit Adjustments'!F:G,2,FALSE),0)</f>
        <v>0</v>
      </c>
      <c r="R533" s="155">
        <f t="shared" si="174"/>
        <v>0.42733900000000002</v>
      </c>
      <c r="S533" s="47">
        <f t="shared" si="173"/>
        <v>71666</v>
      </c>
      <c r="T533" s="151">
        <f t="shared" si="158"/>
        <v>96036</v>
      </c>
      <c r="U533" s="151">
        <f t="shared" si="159"/>
        <v>0</v>
      </c>
      <c r="V533" s="139">
        <f t="shared" si="160"/>
        <v>0</v>
      </c>
      <c r="W533" s="152">
        <f t="shared" si="163"/>
        <v>96036</v>
      </c>
      <c r="X533" s="127" t="str">
        <f t="shared" si="161"/>
        <v/>
      </c>
      <c r="Y533" s="207">
        <f t="shared" si="164"/>
        <v>96036</v>
      </c>
      <c r="Z533" s="139">
        <f t="shared" si="165"/>
        <v>96036</v>
      </c>
      <c r="AA533" s="139">
        <f t="shared" si="166"/>
        <v>0</v>
      </c>
      <c r="AC533" s="47">
        <f t="shared" si="167"/>
        <v>48018</v>
      </c>
      <c r="AD533" s="47">
        <f t="shared" si="168"/>
        <v>48018</v>
      </c>
      <c r="AE533" s="47">
        <f t="shared" si="169"/>
        <v>0</v>
      </c>
      <c r="AG533" s="47">
        <f t="shared" si="170"/>
        <v>48018</v>
      </c>
      <c r="AH533" s="47">
        <f t="shared" si="171"/>
        <v>48018</v>
      </c>
      <c r="AI533" s="208">
        <f t="shared" si="172"/>
        <v>0</v>
      </c>
    </row>
    <row r="534" spans="1:35">
      <c r="A534" t="s">
        <v>2106</v>
      </c>
      <c r="B534" t="s">
        <v>3166</v>
      </c>
      <c r="C534" t="s">
        <v>3746</v>
      </c>
      <c r="D534" t="s">
        <v>3780</v>
      </c>
      <c r="F534" t="s">
        <v>443</v>
      </c>
      <c r="G534" s="126">
        <f>SUMIFS('Support - Transition'!F:F,'Support - Transition'!B:B,'Step 2'!A534,'Support - Transition'!C:C,'Step 2'!B534,'Support - Transition'!D:D,'Step 2'!C534,'Support - Transition'!E:E,"CIVIL")</f>
        <v>0</v>
      </c>
      <c r="H534" s="126">
        <f>SUMIFS('Support - Transition'!F:F,'Support - Transition'!B:B,'Step 2'!A534,'Support - Transition'!C:C,'Step 2'!B534,'Support - Transition'!D:D,'Step 2'!C534,'Support - Transition'!E:E,"FIRE")</f>
        <v>0</v>
      </c>
      <c r="I534" s="126">
        <f>IF(B534="0",SUMIFS('Support - Transition'!F:F,'Support - Transition'!J:J,'Step 2'!D534,'Support - Transition'!E:E,"STATE UNIT"),SUMIFS('Support - Transition'!F:F,'Support - Transition'!J:J,'Step 2'!D534))</f>
        <v>5.4840000000000002E-3</v>
      </c>
      <c r="J534" s="126">
        <f>SUMIFS('Support - Unit Adjustments'!E:E,'Support - Unit Adjustments'!F:F,'Step 2'!D534)</f>
        <v>0</v>
      </c>
      <c r="K534" s="126">
        <f t="shared" si="156"/>
        <v>5.4840000000000002E-3</v>
      </c>
      <c r="L534" s="174">
        <f>VLOOKUP(A534,'Step 1'!$A:$E,4,FALSE)</f>
        <v>640955</v>
      </c>
      <c r="M534" s="47">
        <f t="shared" si="157"/>
        <v>3515</v>
      </c>
      <c r="N534" s="177">
        <f>SUMIFS('Support - Transition'!G:G,'Support - Transition'!J:J,'Step 2'!D534,'Support - Transition'!E:E,"2009 WELFARE ALLOCATION FACTOR")</f>
        <v>0</v>
      </c>
      <c r="O534" s="152">
        <f t="shared" si="162"/>
        <v>0</v>
      </c>
      <c r="P534" s="126">
        <f>IF(E534="Y",0,SUMIFS('Support - Transition'!G:G,'Support - Transition'!J:J,'Step 2'!D534,'Support - Transition'!E:E,"2009 SCHOOL ALLOCATION FACTOR"))</f>
        <v>0</v>
      </c>
      <c r="Q534" s="126">
        <f>IF(E534="Y",VLOOKUP(D534,'Support - Unit Adjustments'!F:G,2,FALSE),0)</f>
        <v>0</v>
      </c>
      <c r="R534" s="155">
        <f t="shared" si="174"/>
        <v>0</v>
      </c>
      <c r="S534" s="47">
        <f t="shared" si="173"/>
        <v>0</v>
      </c>
      <c r="T534" s="151">
        <f t="shared" si="158"/>
        <v>3515</v>
      </c>
      <c r="U534" s="151">
        <f t="shared" si="159"/>
        <v>0</v>
      </c>
      <c r="V534" s="139">
        <f t="shared" si="160"/>
        <v>0</v>
      </c>
      <c r="W534" s="152">
        <f t="shared" si="163"/>
        <v>3515</v>
      </c>
      <c r="X534" s="127" t="str">
        <f t="shared" si="161"/>
        <v/>
      </c>
      <c r="Y534" s="207">
        <f t="shared" si="164"/>
        <v>3515</v>
      </c>
      <c r="Z534" s="139">
        <f t="shared" si="165"/>
        <v>3515</v>
      </c>
      <c r="AA534" s="139">
        <f t="shared" si="166"/>
        <v>0</v>
      </c>
      <c r="AC534" s="47">
        <f t="shared" si="167"/>
        <v>1758</v>
      </c>
      <c r="AD534" s="47">
        <f t="shared" si="168"/>
        <v>1758</v>
      </c>
      <c r="AE534" s="47">
        <f t="shared" si="169"/>
        <v>0</v>
      </c>
      <c r="AG534" s="47">
        <f t="shared" si="170"/>
        <v>1757</v>
      </c>
      <c r="AH534" s="47">
        <f t="shared" si="171"/>
        <v>1757</v>
      </c>
      <c r="AI534" s="208">
        <f t="shared" si="172"/>
        <v>0</v>
      </c>
    </row>
    <row r="535" spans="1:35">
      <c r="A535" t="s">
        <v>2106</v>
      </c>
      <c r="B535" t="s">
        <v>3166</v>
      </c>
      <c r="C535" t="s">
        <v>2400</v>
      </c>
      <c r="D535" t="s">
        <v>3781</v>
      </c>
      <c r="F535" t="s">
        <v>444</v>
      </c>
      <c r="G535" s="126">
        <f>SUMIFS('Support - Transition'!F:F,'Support - Transition'!B:B,'Step 2'!A535,'Support - Transition'!C:C,'Step 2'!B535,'Support - Transition'!D:D,'Step 2'!C535,'Support - Transition'!E:E,"CIVIL")</f>
        <v>0</v>
      </c>
      <c r="H535" s="126">
        <f>SUMIFS('Support - Transition'!F:F,'Support - Transition'!B:B,'Step 2'!A535,'Support - Transition'!C:C,'Step 2'!B535,'Support - Transition'!D:D,'Step 2'!C535,'Support - Transition'!E:E,"FIRE")</f>
        <v>0</v>
      </c>
      <c r="I535" s="126">
        <f>IF(B535="0",SUMIFS('Support - Transition'!F:F,'Support - Transition'!J:J,'Step 2'!D535,'Support - Transition'!E:E,"STATE UNIT"),SUMIFS('Support - Transition'!F:F,'Support - Transition'!J:J,'Step 2'!D535))</f>
        <v>4.5459999999999997E-3</v>
      </c>
      <c r="J535" s="126">
        <f>SUMIFS('Support - Unit Adjustments'!E:E,'Support - Unit Adjustments'!F:F,'Step 2'!D535)</f>
        <v>0</v>
      </c>
      <c r="K535" s="126">
        <f t="shared" si="156"/>
        <v>4.5459999999999997E-3</v>
      </c>
      <c r="L535" s="174">
        <f>VLOOKUP(A535,'Step 1'!$A:$E,4,FALSE)</f>
        <v>640955</v>
      </c>
      <c r="M535" s="47">
        <f t="shared" si="157"/>
        <v>2914</v>
      </c>
      <c r="N535" s="177">
        <f>SUMIFS('Support - Transition'!G:G,'Support - Transition'!J:J,'Step 2'!D535,'Support - Transition'!E:E,"2009 WELFARE ALLOCATION FACTOR")</f>
        <v>0</v>
      </c>
      <c r="O535" s="152">
        <f t="shared" si="162"/>
        <v>0</v>
      </c>
      <c r="P535" s="126">
        <f>IF(E535="Y",0,SUMIFS('Support - Transition'!G:G,'Support - Transition'!J:J,'Step 2'!D535,'Support - Transition'!E:E,"2009 SCHOOL ALLOCATION FACTOR"))</f>
        <v>0</v>
      </c>
      <c r="Q535" s="126">
        <f>IF(E535="Y",VLOOKUP(D535,'Support - Unit Adjustments'!F:G,2,FALSE),0)</f>
        <v>0</v>
      </c>
      <c r="R535" s="155">
        <f t="shared" si="174"/>
        <v>0</v>
      </c>
      <c r="S535" s="47">
        <f t="shared" si="173"/>
        <v>0</v>
      </c>
      <c r="T535" s="151">
        <f t="shared" si="158"/>
        <v>2914</v>
      </c>
      <c r="U535" s="151">
        <f t="shared" si="159"/>
        <v>0</v>
      </c>
      <c r="V535" s="139">
        <f t="shared" si="160"/>
        <v>0</v>
      </c>
      <c r="W535" s="152">
        <f t="shared" si="163"/>
        <v>2914</v>
      </c>
      <c r="X535" s="127" t="str">
        <f t="shared" si="161"/>
        <v/>
      </c>
      <c r="Y535" s="207">
        <f t="shared" si="164"/>
        <v>2914</v>
      </c>
      <c r="Z535" s="139">
        <f t="shared" si="165"/>
        <v>2914</v>
      </c>
      <c r="AA535" s="139">
        <f t="shared" si="166"/>
        <v>0</v>
      </c>
      <c r="AC535" s="47">
        <f t="shared" si="167"/>
        <v>1457</v>
      </c>
      <c r="AD535" s="47">
        <f t="shared" si="168"/>
        <v>1457</v>
      </c>
      <c r="AE535" s="47">
        <f t="shared" si="169"/>
        <v>0</v>
      </c>
      <c r="AG535" s="47">
        <f t="shared" si="170"/>
        <v>1457</v>
      </c>
      <c r="AH535" s="47">
        <f t="shared" si="171"/>
        <v>1457</v>
      </c>
      <c r="AI535" s="208">
        <f t="shared" si="172"/>
        <v>0</v>
      </c>
    </row>
    <row r="536" spans="1:35">
      <c r="A536" t="s">
        <v>2106</v>
      </c>
      <c r="B536" t="s">
        <v>3166</v>
      </c>
      <c r="C536" t="s">
        <v>3782</v>
      </c>
      <c r="D536" t="s">
        <v>3783</v>
      </c>
      <c r="F536" t="s">
        <v>442</v>
      </c>
      <c r="G536" s="126">
        <f>SUMIFS('Support - Transition'!F:F,'Support - Transition'!B:B,'Step 2'!A536,'Support - Transition'!C:C,'Step 2'!B536,'Support - Transition'!D:D,'Step 2'!C536,'Support - Transition'!E:E,"CIVIL")</f>
        <v>0</v>
      </c>
      <c r="H536" s="126">
        <f>SUMIFS('Support - Transition'!F:F,'Support - Transition'!B:B,'Step 2'!A536,'Support - Transition'!C:C,'Step 2'!B536,'Support - Transition'!D:D,'Step 2'!C536,'Support - Transition'!E:E,"FIRE")</f>
        <v>0</v>
      </c>
      <c r="I536" s="126">
        <f>IF(B536="0",SUMIFS('Support - Transition'!F:F,'Support - Transition'!J:J,'Step 2'!D536,'Support - Transition'!E:E,"STATE UNIT"),SUMIFS('Support - Transition'!F:F,'Support - Transition'!J:J,'Step 2'!D536))</f>
        <v>4.9909999999999998E-3</v>
      </c>
      <c r="J536" s="126">
        <f>SUMIFS('Support - Unit Adjustments'!E:E,'Support - Unit Adjustments'!F:F,'Step 2'!D536)</f>
        <v>0</v>
      </c>
      <c r="K536" s="126">
        <f t="shared" si="156"/>
        <v>4.9909999999999998E-3</v>
      </c>
      <c r="L536" s="174">
        <f>VLOOKUP(A536,'Step 1'!$A:$E,4,FALSE)</f>
        <v>640955</v>
      </c>
      <c r="M536" s="47">
        <f t="shared" si="157"/>
        <v>3199</v>
      </c>
      <c r="N536" s="177">
        <f>SUMIFS('Support - Transition'!G:G,'Support - Transition'!J:J,'Step 2'!D536,'Support - Transition'!E:E,"2009 WELFARE ALLOCATION FACTOR")</f>
        <v>0</v>
      </c>
      <c r="O536" s="152">
        <f t="shared" si="162"/>
        <v>0</v>
      </c>
      <c r="P536" s="126">
        <f>IF(E536="Y",0,SUMIFS('Support - Transition'!G:G,'Support - Transition'!J:J,'Step 2'!D536,'Support - Transition'!E:E,"2009 SCHOOL ALLOCATION FACTOR"))</f>
        <v>0</v>
      </c>
      <c r="Q536" s="126">
        <f>IF(E536="Y",VLOOKUP(D536,'Support - Unit Adjustments'!F:G,2,FALSE),0)</f>
        <v>0</v>
      </c>
      <c r="R536" s="155">
        <f t="shared" si="174"/>
        <v>0</v>
      </c>
      <c r="S536" s="47">
        <f t="shared" si="173"/>
        <v>0</v>
      </c>
      <c r="T536" s="151">
        <f t="shared" si="158"/>
        <v>3199</v>
      </c>
      <c r="U536" s="151">
        <f t="shared" si="159"/>
        <v>0</v>
      </c>
      <c r="V536" s="139">
        <f t="shared" si="160"/>
        <v>0</v>
      </c>
      <c r="W536" s="152">
        <f t="shared" si="163"/>
        <v>3199</v>
      </c>
      <c r="X536" s="127" t="str">
        <f t="shared" si="161"/>
        <v/>
      </c>
      <c r="Y536" s="207">
        <f t="shared" si="164"/>
        <v>3199</v>
      </c>
      <c r="Z536" s="139">
        <f t="shared" si="165"/>
        <v>3199</v>
      </c>
      <c r="AA536" s="139">
        <f t="shared" si="166"/>
        <v>0</v>
      </c>
      <c r="AC536" s="47">
        <f t="shared" si="167"/>
        <v>1600</v>
      </c>
      <c r="AD536" s="47">
        <f t="shared" si="168"/>
        <v>1600</v>
      </c>
      <c r="AE536" s="47">
        <f t="shared" si="169"/>
        <v>0</v>
      </c>
      <c r="AG536" s="47">
        <f t="shared" si="170"/>
        <v>1599</v>
      </c>
      <c r="AH536" s="47">
        <f t="shared" si="171"/>
        <v>1599</v>
      </c>
      <c r="AI536" s="208">
        <f t="shared" si="172"/>
        <v>0</v>
      </c>
    </row>
    <row r="537" spans="1:35">
      <c r="A537" t="s">
        <v>2106</v>
      </c>
      <c r="B537" t="s">
        <v>3170</v>
      </c>
      <c r="C537" t="s">
        <v>2401</v>
      </c>
      <c r="D537" t="s">
        <v>3784</v>
      </c>
      <c r="F537" t="s">
        <v>445</v>
      </c>
      <c r="G537" s="126">
        <f>SUMIFS('Support - Transition'!F:F,'Support - Transition'!B:B,'Step 2'!A537,'Support - Transition'!C:C,'Step 2'!B537,'Support - Transition'!D:D,'Step 2'!C537,'Support - Transition'!E:E,"CIVIL")</f>
        <v>0</v>
      </c>
      <c r="H537" s="126">
        <f>SUMIFS('Support - Transition'!F:F,'Support - Transition'!B:B,'Step 2'!A537,'Support - Transition'!C:C,'Step 2'!B537,'Support - Transition'!D:D,'Step 2'!C537,'Support - Transition'!E:E,"FIRE")</f>
        <v>0</v>
      </c>
      <c r="I537" s="126">
        <f>IF(B537="0",SUMIFS('Support - Transition'!F:F,'Support - Transition'!J:J,'Step 2'!D537,'Support - Transition'!E:E,"STATE UNIT"),SUMIFS('Support - Transition'!F:F,'Support - Transition'!J:J,'Step 2'!D537))</f>
        <v>3.7239999999999999E-3</v>
      </c>
      <c r="J537" s="126">
        <f>SUMIFS('Support - Unit Adjustments'!E:E,'Support - Unit Adjustments'!F:F,'Step 2'!D537)</f>
        <v>0</v>
      </c>
      <c r="K537" s="126">
        <f t="shared" si="156"/>
        <v>3.7239999999999999E-3</v>
      </c>
      <c r="L537" s="174">
        <f>VLOOKUP(A537,'Step 1'!$A:$E,4,FALSE)</f>
        <v>640955</v>
      </c>
      <c r="M537" s="47">
        <f t="shared" si="157"/>
        <v>2387</v>
      </c>
      <c r="N537" s="177">
        <f>SUMIFS('Support - Transition'!G:G,'Support - Transition'!J:J,'Step 2'!D537,'Support - Transition'!E:E,"2009 WELFARE ALLOCATION FACTOR")</f>
        <v>0</v>
      </c>
      <c r="O537" s="152">
        <f t="shared" si="162"/>
        <v>0</v>
      </c>
      <c r="P537" s="126">
        <f>IF(E537="Y",0,SUMIFS('Support - Transition'!G:G,'Support - Transition'!J:J,'Step 2'!D537,'Support - Transition'!E:E,"2009 SCHOOL ALLOCATION FACTOR"))</f>
        <v>0</v>
      </c>
      <c r="Q537" s="126">
        <f>IF(E537="Y",VLOOKUP(D537,'Support - Unit Adjustments'!F:G,2,FALSE),0)</f>
        <v>0</v>
      </c>
      <c r="R537" s="155">
        <f t="shared" si="174"/>
        <v>0</v>
      </c>
      <c r="S537" s="47">
        <f t="shared" si="173"/>
        <v>0</v>
      </c>
      <c r="T537" s="151">
        <f t="shared" si="158"/>
        <v>2387</v>
      </c>
      <c r="U537" s="151">
        <f t="shared" si="159"/>
        <v>0</v>
      </c>
      <c r="V537" s="139">
        <f t="shared" si="160"/>
        <v>0</v>
      </c>
      <c r="W537" s="152">
        <f t="shared" si="163"/>
        <v>2387</v>
      </c>
      <c r="X537" s="127" t="str">
        <f t="shared" si="161"/>
        <v/>
      </c>
      <c r="Y537" s="207">
        <f t="shared" si="164"/>
        <v>2387</v>
      </c>
      <c r="Z537" s="139">
        <f t="shared" si="165"/>
        <v>2387</v>
      </c>
      <c r="AA537" s="139">
        <f t="shared" si="166"/>
        <v>0</v>
      </c>
      <c r="AC537" s="47">
        <f t="shared" si="167"/>
        <v>1194</v>
      </c>
      <c r="AD537" s="47">
        <f t="shared" si="168"/>
        <v>1194</v>
      </c>
      <c r="AE537" s="47">
        <f t="shared" si="169"/>
        <v>0</v>
      </c>
      <c r="AG537" s="47">
        <f t="shared" si="170"/>
        <v>1193</v>
      </c>
      <c r="AH537" s="47">
        <f t="shared" si="171"/>
        <v>1193</v>
      </c>
      <c r="AI537" s="208">
        <f t="shared" si="172"/>
        <v>0</v>
      </c>
    </row>
    <row r="538" spans="1:35">
      <c r="A538" t="s">
        <v>2106</v>
      </c>
      <c r="B538" t="s">
        <v>3170</v>
      </c>
      <c r="C538" t="s">
        <v>2402</v>
      </c>
      <c r="D538" t="s">
        <v>3785</v>
      </c>
      <c r="F538" t="s">
        <v>447</v>
      </c>
      <c r="G538" s="126">
        <f>SUMIFS('Support - Transition'!F:F,'Support - Transition'!B:B,'Step 2'!A538,'Support - Transition'!C:C,'Step 2'!B538,'Support - Transition'!D:D,'Step 2'!C538,'Support - Transition'!E:E,"CIVIL")</f>
        <v>0</v>
      </c>
      <c r="H538" s="126">
        <f>SUMIFS('Support - Transition'!F:F,'Support - Transition'!B:B,'Step 2'!A538,'Support - Transition'!C:C,'Step 2'!B538,'Support - Transition'!D:D,'Step 2'!C538,'Support - Transition'!E:E,"FIRE")</f>
        <v>0</v>
      </c>
      <c r="I538" s="126">
        <f>IF(B538="0",SUMIFS('Support - Transition'!F:F,'Support - Transition'!J:J,'Step 2'!D538,'Support - Transition'!E:E,"STATE UNIT"),SUMIFS('Support - Transition'!F:F,'Support - Transition'!J:J,'Step 2'!D538))</f>
        <v>1.3450000000001516E-3</v>
      </c>
      <c r="J538" s="126">
        <f>SUMIFS('Support - Unit Adjustments'!E:E,'Support - Unit Adjustments'!F:F,'Step 2'!D538)</f>
        <v>0</v>
      </c>
      <c r="K538" s="126">
        <f t="shared" si="156"/>
        <v>1.3450000000001516E-3</v>
      </c>
      <c r="L538" s="174">
        <f>VLOOKUP(A538,'Step 1'!$A:$E,4,FALSE)</f>
        <v>640955</v>
      </c>
      <c r="M538" s="47">
        <f t="shared" si="157"/>
        <v>862</v>
      </c>
      <c r="N538" s="177">
        <f>SUMIFS('Support - Transition'!G:G,'Support - Transition'!J:J,'Step 2'!D538,'Support - Transition'!E:E,"2009 WELFARE ALLOCATION FACTOR")</f>
        <v>0</v>
      </c>
      <c r="O538" s="152">
        <f t="shared" si="162"/>
        <v>0</v>
      </c>
      <c r="P538" s="126">
        <f>IF(E538="Y",0,SUMIFS('Support - Transition'!G:G,'Support - Transition'!J:J,'Step 2'!D538,'Support - Transition'!E:E,"2009 SCHOOL ALLOCATION FACTOR"))</f>
        <v>0</v>
      </c>
      <c r="Q538" s="126">
        <f>IF(E538="Y",VLOOKUP(D538,'Support - Unit Adjustments'!F:G,2,FALSE),0)</f>
        <v>0</v>
      </c>
      <c r="R538" s="155">
        <f t="shared" si="174"/>
        <v>0</v>
      </c>
      <c r="S538" s="47">
        <f t="shared" si="173"/>
        <v>0</v>
      </c>
      <c r="T538" s="151">
        <f t="shared" si="158"/>
        <v>862</v>
      </c>
      <c r="U538" s="151">
        <f t="shared" si="159"/>
        <v>0</v>
      </c>
      <c r="V538" s="139">
        <f t="shared" si="160"/>
        <v>0</v>
      </c>
      <c r="W538" s="152">
        <f t="shared" si="163"/>
        <v>862</v>
      </c>
      <c r="X538" s="127" t="str">
        <f t="shared" si="161"/>
        <v/>
      </c>
      <c r="Y538" s="207">
        <f t="shared" si="164"/>
        <v>862</v>
      </c>
      <c r="Z538" s="139">
        <f t="shared" si="165"/>
        <v>862</v>
      </c>
      <c r="AA538" s="139">
        <f t="shared" si="166"/>
        <v>0</v>
      </c>
      <c r="AC538" s="47">
        <f t="shared" si="167"/>
        <v>431</v>
      </c>
      <c r="AD538" s="47">
        <f t="shared" si="168"/>
        <v>431</v>
      </c>
      <c r="AE538" s="47">
        <f t="shared" si="169"/>
        <v>0</v>
      </c>
      <c r="AG538" s="47">
        <f t="shared" si="170"/>
        <v>431</v>
      </c>
      <c r="AH538" s="47">
        <f t="shared" si="171"/>
        <v>431</v>
      </c>
      <c r="AI538" s="208">
        <f t="shared" si="172"/>
        <v>0</v>
      </c>
    </row>
    <row r="539" spans="1:35">
      <c r="A539" t="s">
        <v>2106</v>
      </c>
      <c r="B539" t="s">
        <v>3170</v>
      </c>
      <c r="C539" t="s">
        <v>3786</v>
      </c>
      <c r="D539" t="s">
        <v>3787</v>
      </c>
      <c r="F539" t="s">
        <v>3788</v>
      </c>
      <c r="G539" s="126">
        <f>SUMIFS('Support - Transition'!F:F,'Support - Transition'!B:B,'Step 2'!A539,'Support - Transition'!C:C,'Step 2'!B539,'Support - Transition'!D:D,'Step 2'!C539,'Support - Transition'!E:E,"CIVIL")</f>
        <v>0</v>
      </c>
      <c r="H539" s="126">
        <f>SUMIFS('Support - Transition'!F:F,'Support - Transition'!B:B,'Step 2'!A539,'Support - Transition'!C:C,'Step 2'!B539,'Support - Transition'!D:D,'Step 2'!C539,'Support - Transition'!E:E,"FIRE")</f>
        <v>0</v>
      </c>
      <c r="I539" s="126">
        <f>IF(B539="0",SUMIFS('Support - Transition'!F:F,'Support - Transition'!J:J,'Step 2'!D539,'Support - Transition'!E:E,"STATE UNIT"),SUMIFS('Support - Transition'!F:F,'Support - Transition'!J:J,'Step 2'!D539))</f>
        <v>0</v>
      </c>
      <c r="J539" s="126">
        <f>SUMIFS('Support - Unit Adjustments'!E:E,'Support - Unit Adjustments'!F:F,'Step 2'!D539)</f>
        <v>0</v>
      </c>
      <c r="K539" s="126">
        <f t="shared" si="156"/>
        <v>0</v>
      </c>
      <c r="L539" s="174">
        <f>VLOOKUP(A539,'Step 1'!$A:$E,4,FALSE)</f>
        <v>640955</v>
      </c>
      <c r="M539" s="47">
        <f t="shared" si="157"/>
        <v>0</v>
      </c>
      <c r="N539" s="177">
        <f>SUMIFS('Support - Transition'!G:G,'Support - Transition'!J:J,'Step 2'!D539,'Support - Transition'!E:E,"2009 WELFARE ALLOCATION FACTOR")</f>
        <v>0</v>
      </c>
      <c r="O539" s="152">
        <f t="shared" si="162"/>
        <v>0</v>
      </c>
      <c r="P539" s="126">
        <f>IF(E539="Y",0,SUMIFS('Support - Transition'!G:G,'Support - Transition'!J:J,'Step 2'!D539,'Support - Transition'!E:E,"2009 SCHOOL ALLOCATION FACTOR"))</f>
        <v>0</v>
      </c>
      <c r="Q539" s="126">
        <f>IF(E539="Y",VLOOKUP(D539,'Support - Unit Adjustments'!F:G,2,FALSE),0)</f>
        <v>0</v>
      </c>
      <c r="R539" s="155">
        <f t="shared" si="174"/>
        <v>0</v>
      </c>
      <c r="S539" s="47">
        <f t="shared" si="173"/>
        <v>0</v>
      </c>
      <c r="T539" s="151">
        <f t="shared" si="158"/>
        <v>0</v>
      </c>
      <c r="U539" s="151">
        <f t="shared" si="159"/>
        <v>0</v>
      </c>
      <c r="V539" s="139">
        <f t="shared" si="160"/>
        <v>0</v>
      </c>
      <c r="W539" s="152">
        <f t="shared" si="163"/>
        <v>0</v>
      </c>
      <c r="X539" s="127" t="str">
        <f t="shared" si="161"/>
        <v/>
      </c>
      <c r="Y539" s="207">
        <f t="shared" si="164"/>
        <v>0</v>
      </c>
      <c r="Z539" s="139">
        <f t="shared" si="165"/>
        <v>0</v>
      </c>
      <c r="AA539" s="139">
        <f t="shared" si="166"/>
        <v>0</v>
      </c>
      <c r="AC539" s="47">
        <f t="shared" si="167"/>
        <v>0</v>
      </c>
      <c r="AD539" s="47">
        <f t="shared" si="168"/>
        <v>0</v>
      </c>
      <c r="AE539" s="47">
        <f t="shared" si="169"/>
        <v>0</v>
      </c>
      <c r="AG539" s="47">
        <f t="shared" si="170"/>
        <v>0</v>
      </c>
      <c r="AH539" s="47">
        <f t="shared" si="171"/>
        <v>0</v>
      </c>
      <c r="AI539" s="208">
        <f t="shared" si="172"/>
        <v>0</v>
      </c>
    </row>
    <row r="540" spans="1:35">
      <c r="A540" t="s">
        <v>2106</v>
      </c>
      <c r="B540" t="s">
        <v>3286</v>
      </c>
      <c r="C540" t="s">
        <v>2194</v>
      </c>
      <c r="D540" t="s">
        <v>3789</v>
      </c>
      <c r="F540" t="s">
        <v>3790</v>
      </c>
      <c r="G540" s="126">
        <f>SUMIFS('Support - Transition'!F:F,'Support - Transition'!B:B,'Step 2'!A540,'Support - Transition'!C:C,'Step 2'!B540,'Support - Transition'!D:D,'Step 2'!C540,'Support - Transition'!E:E,"CIVIL")</f>
        <v>0</v>
      </c>
      <c r="H540" s="126">
        <f>SUMIFS('Support - Transition'!F:F,'Support - Transition'!B:B,'Step 2'!A540,'Support - Transition'!C:C,'Step 2'!B540,'Support - Transition'!D:D,'Step 2'!C540,'Support - Transition'!E:E,"FIRE")</f>
        <v>0</v>
      </c>
      <c r="I540" s="126">
        <f>IF(B540="0",SUMIFS('Support - Transition'!F:F,'Support - Transition'!J:J,'Step 2'!D540,'Support - Transition'!E:E,"STATE UNIT"),SUMIFS('Support - Transition'!F:F,'Support - Transition'!J:J,'Step 2'!D540))</f>
        <v>0</v>
      </c>
      <c r="J540" s="126">
        <f>SUMIFS('Support - Unit Adjustments'!E:E,'Support - Unit Adjustments'!F:F,'Step 2'!D540)</f>
        <v>0</v>
      </c>
      <c r="K540" s="126">
        <f t="shared" si="156"/>
        <v>0</v>
      </c>
      <c r="L540" s="174">
        <f>VLOOKUP(A540,'Step 1'!$A:$E,4,FALSE)</f>
        <v>640955</v>
      </c>
      <c r="M540" s="47">
        <f t="shared" si="157"/>
        <v>0</v>
      </c>
      <c r="N540" s="177">
        <f>SUMIFS('Support - Transition'!G:G,'Support - Transition'!J:J,'Step 2'!D540,'Support - Transition'!E:E,"2009 WELFARE ALLOCATION FACTOR")</f>
        <v>0</v>
      </c>
      <c r="O540" s="152">
        <f t="shared" si="162"/>
        <v>0</v>
      </c>
      <c r="P540" s="126">
        <f>IF(E540="Y",0,SUMIFS('Support - Transition'!G:G,'Support - Transition'!J:J,'Step 2'!D540,'Support - Transition'!E:E,"2009 SCHOOL ALLOCATION FACTOR"))</f>
        <v>0</v>
      </c>
      <c r="Q540" s="126">
        <f>IF(E540="Y",VLOOKUP(D540,'Support - Unit Adjustments'!F:G,2,FALSE),0)</f>
        <v>0</v>
      </c>
      <c r="R540" s="155">
        <f t="shared" si="174"/>
        <v>0</v>
      </c>
      <c r="S540" s="47">
        <f t="shared" si="173"/>
        <v>0</v>
      </c>
      <c r="T540" s="151">
        <f t="shared" si="158"/>
        <v>0</v>
      </c>
      <c r="U540" s="151">
        <f t="shared" si="159"/>
        <v>0</v>
      </c>
      <c r="V540" s="139">
        <f t="shared" si="160"/>
        <v>0</v>
      </c>
      <c r="W540" s="152">
        <f t="shared" si="163"/>
        <v>0</v>
      </c>
      <c r="X540" s="127" t="str">
        <f t="shared" si="161"/>
        <v/>
      </c>
      <c r="Y540" s="207">
        <f t="shared" si="164"/>
        <v>0</v>
      </c>
      <c r="Z540" s="139">
        <f t="shared" si="165"/>
        <v>0</v>
      </c>
      <c r="AA540" s="139">
        <f t="shared" si="166"/>
        <v>0</v>
      </c>
      <c r="AC540" s="47">
        <f t="shared" si="167"/>
        <v>0</v>
      </c>
      <c r="AD540" s="47">
        <f t="shared" si="168"/>
        <v>0</v>
      </c>
      <c r="AE540" s="47">
        <f t="shared" si="169"/>
        <v>0</v>
      </c>
      <c r="AG540" s="47">
        <f t="shared" si="170"/>
        <v>0</v>
      </c>
      <c r="AH540" s="47">
        <f t="shared" si="171"/>
        <v>0</v>
      </c>
      <c r="AI540" s="208">
        <f t="shared" si="172"/>
        <v>0</v>
      </c>
    </row>
    <row r="541" spans="1:35">
      <c r="A541" t="s">
        <v>2183</v>
      </c>
      <c r="B541" s="48" t="s">
        <v>6274</v>
      </c>
      <c r="C541" t="s">
        <v>2187</v>
      </c>
      <c r="D541" t="str">
        <f>A541&amp;B541&amp;C541</f>
        <v>2000000</v>
      </c>
      <c r="F541" t="s">
        <v>6294</v>
      </c>
      <c r="G541" s="126">
        <f>SUMIFS('Support - Transition'!F:F,'Support - Transition'!B:B,'Step 2'!A541,'Support - Transition'!C:C,'Step 2'!B541,'Support - Transition'!D:D,'Step 2'!C541,'Support - Transition'!E:E,"CIVIL")</f>
        <v>0</v>
      </c>
      <c r="H541" s="126">
        <f>SUMIFS('Support - Transition'!F:F,'Support - Transition'!B:B,'Step 2'!A541,'Support - Transition'!C:C,'Step 2'!B541,'Support - Transition'!D:D,'Step 2'!C541,'Support - Transition'!E:E,"FIRE")</f>
        <v>0</v>
      </c>
      <c r="I541" s="126">
        <f>IF(B541="0",SUMIFS('Support - Transition'!F:F,'Support - Transition'!J:J,'Step 2'!D541,'Support - Transition'!E:E,"STATE UNIT"),SUMIFS('Support - Transition'!F:F,'Support - Transition'!J:J,'Step 2'!D541))</f>
        <v>1.1360000000000001E-3</v>
      </c>
      <c r="J541" s="126">
        <f>SUMIFS('Support - Unit Adjustments'!E:E,'Support - Unit Adjustments'!F:F,'Step 2'!D541)</f>
        <v>0</v>
      </c>
      <c r="K541" s="126">
        <f t="shared" si="156"/>
        <v>1.1360000000000001E-3</v>
      </c>
      <c r="L541" s="174">
        <f>VLOOKUP(A541,'Step 1'!$A:$E,4,FALSE)</f>
        <v>1968593</v>
      </c>
      <c r="M541" s="47">
        <f t="shared" si="157"/>
        <v>2236</v>
      </c>
      <c r="N541" s="177">
        <f>SUMIFS('Support - Transition'!G:G,'Support - Transition'!J:J,'Step 2'!D541,'Support - Transition'!E:E,"2009 WELFARE ALLOCATION FACTOR")</f>
        <v>0</v>
      </c>
      <c r="O541" s="152">
        <f t="shared" si="162"/>
        <v>0</v>
      </c>
      <c r="P541" s="126">
        <f>IF(E541="Y",0,SUMIFS('Support - Transition'!G:G,'Support - Transition'!J:J,'Step 2'!D541,'Support - Transition'!E:E,"2009 SCHOOL ALLOCATION FACTOR"))</f>
        <v>0</v>
      </c>
      <c r="Q541" s="126">
        <f>IF(E541="Y",VLOOKUP(D541,'Support - Unit Adjustments'!F:G,2,FALSE),0)</f>
        <v>0</v>
      </c>
      <c r="R541" s="155">
        <f t="shared" si="174"/>
        <v>0</v>
      </c>
      <c r="S541" s="47">
        <f t="shared" si="173"/>
        <v>0</v>
      </c>
      <c r="T541" s="151">
        <f t="shared" si="158"/>
        <v>2236</v>
      </c>
      <c r="U541" s="151">
        <f t="shared" si="159"/>
        <v>1968591</v>
      </c>
      <c r="V541" s="139">
        <f t="shared" si="160"/>
        <v>-2</v>
      </c>
      <c r="W541" s="152">
        <f t="shared" si="163"/>
        <v>2238</v>
      </c>
      <c r="X541" s="127">
        <f t="shared" si="161"/>
        <v>0</v>
      </c>
      <c r="Y541" s="207">
        <f t="shared" si="164"/>
        <v>2238</v>
      </c>
      <c r="Z541" s="139">
        <f t="shared" si="165"/>
        <v>2238</v>
      </c>
      <c r="AA541" s="139">
        <f t="shared" si="166"/>
        <v>0</v>
      </c>
      <c r="AC541" s="47">
        <f t="shared" si="167"/>
        <v>1119</v>
      </c>
      <c r="AD541" s="47">
        <f t="shared" si="168"/>
        <v>1119</v>
      </c>
      <c r="AE541" s="47">
        <f t="shared" si="169"/>
        <v>0</v>
      </c>
      <c r="AG541" s="47">
        <f t="shared" si="170"/>
        <v>1119</v>
      </c>
      <c r="AH541" s="47">
        <f t="shared" si="171"/>
        <v>1119</v>
      </c>
      <c r="AI541" s="208">
        <f t="shared" si="172"/>
        <v>0</v>
      </c>
    </row>
    <row r="542" spans="1:35">
      <c r="A542" t="s">
        <v>2183</v>
      </c>
      <c r="B542" t="s">
        <v>3140</v>
      </c>
      <c r="C542" t="s">
        <v>2187</v>
      </c>
      <c r="D542" t="s">
        <v>3791</v>
      </c>
      <c r="F542" t="s">
        <v>448</v>
      </c>
      <c r="G542" s="126">
        <f>SUMIFS('Support - Transition'!F:F,'Support - Transition'!B:B,'Step 2'!A542,'Support - Transition'!C:C,'Step 2'!B542,'Support - Transition'!D:D,'Step 2'!C542,'Support - Transition'!E:E,"CIVIL")</f>
        <v>0</v>
      </c>
      <c r="H542" s="126">
        <f>SUMIFS('Support - Transition'!F:F,'Support - Transition'!B:B,'Step 2'!A542,'Support - Transition'!C:C,'Step 2'!B542,'Support - Transition'!D:D,'Step 2'!C542,'Support - Transition'!E:E,"FIRE")</f>
        <v>0</v>
      </c>
      <c r="I542" s="126">
        <f>IF(B542="0",SUMIFS('Support - Transition'!F:F,'Support - Transition'!J:J,'Step 2'!D542,'Support - Transition'!E:E,"STATE UNIT"),SUMIFS('Support - Transition'!F:F,'Support - Transition'!J:J,'Step 2'!D542))</f>
        <v>0.17275499999999999</v>
      </c>
      <c r="J542" s="126">
        <f>SUMIFS('Support - Unit Adjustments'!E:E,'Support - Unit Adjustments'!F:F,'Step 2'!D542)</f>
        <v>0</v>
      </c>
      <c r="K542" s="126">
        <f t="shared" si="156"/>
        <v>0.17275499999999999</v>
      </c>
      <c r="L542" s="174">
        <f>VLOOKUP(A542,'Step 1'!$A:$E,4,FALSE)</f>
        <v>1968593</v>
      </c>
      <c r="M542" s="47">
        <f t="shared" si="157"/>
        <v>340084</v>
      </c>
      <c r="N542" s="177">
        <f>SUMIFS('Support - Transition'!G:G,'Support - Transition'!J:J,'Step 2'!D542,'Support - Transition'!E:E,"2009 WELFARE ALLOCATION FACTOR")</f>
        <v>0.28568199999999999</v>
      </c>
      <c r="O542" s="152">
        <f t="shared" si="162"/>
        <v>97156</v>
      </c>
      <c r="P542" s="126">
        <f>IF(E542="Y",0,SUMIFS('Support - Transition'!G:G,'Support - Transition'!J:J,'Step 2'!D542,'Support - Transition'!E:E,"2009 SCHOOL ALLOCATION FACTOR"))</f>
        <v>0</v>
      </c>
      <c r="Q542" s="126">
        <f>IF(E542="Y",VLOOKUP(D542,'Support - Unit Adjustments'!F:G,2,FALSE),0)</f>
        <v>0</v>
      </c>
      <c r="R542" s="155">
        <f t="shared" si="174"/>
        <v>0</v>
      </c>
      <c r="S542" s="47">
        <f t="shared" si="173"/>
        <v>0</v>
      </c>
      <c r="T542" s="151">
        <f t="shared" si="158"/>
        <v>242928</v>
      </c>
      <c r="U542" s="151">
        <f t="shared" si="159"/>
        <v>0</v>
      </c>
      <c r="V542" s="139">
        <f t="shared" si="160"/>
        <v>0</v>
      </c>
      <c r="W542" s="152">
        <f t="shared" si="163"/>
        <v>242928</v>
      </c>
      <c r="X542" s="127" t="str">
        <f t="shared" si="161"/>
        <v/>
      </c>
      <c r="Y542" s="207">
        <f t="shared" si="164"/>
        <v>242928</v>
      </c>
      <c r="Z542" s="139">
        <f t="shared" si="165"/>
        <v>242928</v>
      </c>
      <c r="AA542" s="139">
        <f t="shared" si="166"/>
        <v>0</v>
      </c>
      <c r="AC542" s="47">
        <f t="shared" si="167"/>
        <v>121464</v>
      </c>
      <c r="AD542" s="47">
        <f t="shared" si="168"/>
        <v>121464</v>
      </c>
      <c r="AE542" s="47">
        <f t="shared" si="169"/>
        <v>0</v>
      </c>
      <c r="AG542" s="47">
        <f t="shared" si="170"/>
        <v>121464</v>
      </c>
      <c r="AH542" s="47">
        <f t="shared" si="171"/>
        <v>121464</v>
      </c>
      <c r="AI542" s="208">
        <f t="shared" si="172"/>
        <v>0</v>
      </c>
    </row>
    <row r="543" spans="1:35">
      <c r="A543" t="s">
        <v>2183</v>
      </c>
      <c r="B543" t="s">
        <v>3142</v>
      </c>
      <c r="C543" t="s">
        <v>2188</v>
      </c>
      <c r="D543" t="s">
        <v>3792</v>
      </c>
      <c r="F543" t="s">
        <v>449</v>
      </c>
      <c r="G543" s="126">
        <f>SUMIFS('Support - Transition'!F:F,'Support - Transition'!B:B,'Step 2'!A543,'Support - Transition'!C:C,'Step 2'!B543,'Support - Transition'!D:D,'Step 2'!C543,'Support - Transition'!E:E,"CIVIL")</f>
        <v>2.4459999999999998E-3</v>
      </c>
      <c r="H543" s="126">
        <f>SUMIFS('Support - Transition'!F:F,'Support - Transition'!B:B,'Step 2'!A543,'Support - Transition'!C:C,'Step 2'!B543,'Support - Transition'!D:D,'Step 2'!C543,'Support - Transition'!E:E,"FIRE")</f>
        <v>4.0499999999999998E-4</v>
      </c>
      <c r="I543" s="126">
        <f>IF(B543="0",SUMIFS('Support - Transition'!F:F,'Support - Transition'!J:J,'Step 2'!D543,'Support - Transition'!E:E,"STATE UNIT"),SUMIFS('Support - Transition'!F:F,'Support - Transition'!J:J,'Step 2'!D543))</f>
        <v>2.8509999999999998E-3</v>
      </c>
      <c r="J543" s="126">
        <f>SUMIFS('Support - Unit Adjustments'!E:E,'Support - Unit Adjustments'!F:F,'Step 2'!D543)</f>
        <v>0</v>
      </c>
      <c r="K543" s="126">
        <f t="shared" si="156"/>
        <v>2.8509999999999998E-3</v>
      </c>
      <c r="L543" s="174">
        <f>VLOOKUP(A543,'Step 1'!$A:$E,4,FALSE)</f>
        <v>1968593</v>
      </c>
      <c r="M543" s="47">
        <f t="shared" si="157"/>
        <v>5612</v>
      </c>
      <c r="N543" s="177">
        <f>SUMIFS('Support - Transition'!G:G,'Support - Transition'!J:J,'Step 2'!D543,'Support - Transition'!E:E,"2009 WELFARE ALLOCATION FACTOR")</f>
        <v>0</v>
      </c>
      <c r="O543" s="152">
        <f t="shared" si="162"/>
        <v>0</v>
      </c>
      <c r="P543" s="126">
        <f>IF(E543="Y",0,SUMIFS('Support - Transition'!G:G,'Support - Transition'!J:J,'Step 2'!D543,'Support - Transition'!E:E,"2009 SCHOOL ALLOCATION FACTOR"))</f>
        <v>0</v>
      </c>
      <c r="Q543" s="126">
        <f>IF(E543="Y",VLOOKUP(D543,'Support - Unit Adjustments'!F:G,2,FALSE),0)</f>
        <v>0</v>
      </c>
      <c r="R543" s="155">
        <f t="shared" si="174"/>
        <v>0</v>
      </c>
      <c r="S543" s="47">
        <f t="shared" si="173"/>
        <v>0</v>
      </c>
      <c r="T543" s="151">
        <f t="shared" si="158"/>
        <v>5612</v>
      </c>
      <c r="U543" s="151">
        <f t="shared" si="159"/>
        <v>0</v>
      </c>
      <c r="V543" s="139">
        <f t="shared" si="160"/>
        <v>0</v>
      </c>
      <c r="W543" s="152">
        <f t="shared" si="163"/>
        <v>5612</v>
      </c>
      <c r="X543" s="127" t="str">
        <f t="shared" si="161"/>
        <v/>
      </c>
      <c r="Y543" s="207">
        <f t="shared" si="164"/>
        <v>5612</v>
      </c>
      <c r="Z543" s="139">
        <f t="shared" si="165"/>
        <v>4815</v>
      </c>
      <c r="AA543" s="139">
        <f t="shared" si="166"/>
        <v>797</v>
      </c>
      <c r="AC543" s="47">
        <f t="shared" si="167"/>
        <v>2806</v>
      </c>
      <c r="AD543" s="47">
        <f t="shared" si="168"/>
        <v>2408</v>
      </c>
      <c r="AE543" s="47">
        <f t="shared" si="169"/>
        <v>399</v>
      </c>
      <c r="AG543" s="47">
        <f t="shared" si="170"/>
        <v>2806</v>
      </c>
      <c r="AH543" s="47">
        <f t="shared" si="171"/>
        <v>2407</v>
      </c>
      <c r="AI543" s="208">
        <f t="shared" si="172"/>
        <v>398</v>
      </c>
    </row>
    <row r="544" spans="1:35">
      <c r="A544" t="s">
        <v>2183</v>
      </c>
      <c r="B544" t="s">
        <v>3142</v>
      </c>
      <c r="C544" t="s">
        <v>2189</v>
      </c>
      <c r="D544" t="s">
        <v>3793</v>
      </c>
      <c r="F544" t="s">
        <v>450</v>
      </c>
      <c r="G544" s="126">
        <f>SUMIFS('Support - Transition'!F:F,'Support - Transition'!B:B,'Step 2'!A544,'Support - Transition'!C:C,'Step 2'!B544,'Support - Transition'!D:D,'Step 2'!C544,'Support - Transition'!E:E,"CIVIL")</f>
        <v>9.7999999999999997E-5</v>
      </c>
      <c r="H544" s="126">
        <f>SUMIFS('Support - Transition'!F:F,'Support - Transition'!B:B,'Step 2'!A544,'Support - Transition'!C:C,'Step 2'!B544,'Support - Transition'!D:D,'Step 2'!C544,'Support - Transition'!E:E,"FIRE")</f>
        <v>2.52E-4</v>
      </c>
      <c r="I544" s="126">
        <f>IF(B544="0",SUMIFS('Support - Transition'!F:F,'Support - Transition'!J:J,'Step 2'!D544,'Support - Transition'!E:E,"STATE UNIT"),SUMIFS('Support - Transition'!F:F,'Support - Transition'!J:J,'Step 2'!D544))</f>
        <v>3.5E-4</v>
      </c>
      <c r="J544" s="126">
        <f>SUMIFS('Support - Unit Adjustments'!E:E,'Support - Unit Adjustments'!F:F,'Step 2'!D544)</f>
        <v>0</v>
      </c>
      <c r="K544" s="126">
        <f t="shared" si="156"/>
        <v>3.5E-4</v>
      </c>
      <c r="L544" s="174">
        <f>VLOOKUP(A544,'Step 1'!$A:$E,4,FALSE)</f>
        <v>1968593</v>
      </c>
      <c r="M544" s="47">
        <f t="shared" si="157"/>
        <v>689</v>
      </c>
      <c r="N544" s="177">
        <f>SUMIFS('Support - Transition'!G:G,'Support - Transition'!J:J,'Step 2'!D544,'Support - Transition'!E:E,"2009 WELFARE ALLOCATION FACTOR")</f>
        <v>0</v>
      </c>
      <c r="O544" s="152">
        <f t="shared" si="162"/>
        <v>0</v>
      </c>
      <c r="P544" s="126">
        <f>IF(E544="Y",0,SUMIFS('Support - Transition'!G:G,'Support - Transition'!J:J,'Step 2'!D544,'Support - Transition'!E:E,"2009 SCHOOL ALLOCATION FACTOR"))</f>
        <v>0</v>
      </c>
      <c r="Q544" s="126">
        <f>IF(E544="Y",VLOOKUP(D544,'Support - Unit Adjustments'!F:G,2,FALSE),0)</f>
        <v>0</v>
      </c>
      <c r="R544" s="155">
        <f t="shared" si="174"/>
        <v>0</v>
      </c>
      <c r="S544" s="47">
        <f t="shared" si="173"/>
        <v>0</v>
      </c>
      <c r="T544" s="151">
        <f t="shared" si="158"/>
        <v>689</v>
      </c>
      <c r="U544" s="151">
        <f t="shared" si="159"/>
        <v>0</v>
      </c>
      <c r="V544" s="139">
        <f t="shared" si="160"/>
        <v>0</v>
      </c>
      <c r="W544" s="152">
        <f t="shared" si="163"/>
        <v>689</v>
      </c>
      <c r="X544" s="127" t="str">
        <f t="shared" si="161"/>
        <v/>
      </c>
      <c r="Y544" s="207">
        <f t="shared" si="164"/>
        <v>689</v>
      </c>
      <c r="Z544" s="139">
        <f t="shared" si="165"/>
        <v>193</v>
      </c>
      <c r="AA544" s="139">
        <f t="shared" si="166"/>
        <v>496</v>
      </c>
      <c r="AC544" s="47">
        <f t="shared" si="167"/>
        <v>345</v>
      </c>
      <c r="AD544" s="47">
        <f t="shared" si="168"/>
        <v>97</v>
      </c>
      <c r="AE544" s="47">
        <f t="shared" si="169"/>
        <v>248</v>
      </c>
      <c r="AG544" s="47">
        <f t="shared" si="170"/>
        <v>344</v>
      </c>
      <c r="AH544" s="47">
        <f t="shared" si="171"/>
        <v>96</v>
      </c>
      <c r="AI544" s="208">
        <f t="shared" si="172"/>
        <v>248</v>
      </c>
    </row>
    <row r="545" spans="1:35">
      <c r="A545" t="s">
        <v>2183</v>
      </c>
      <c r="B545" t="s">
        <v>3142</v>
      </c>
      <c r="C545" t="s">
        <v>2190</v>
      </c>
      <c r="D545" t="s">
        <v>3794</v>
      </c>
      <c r="F545" t="s">
        <v>451</v>
      </c>
      <c r="G545" s="126">
        <f>SUMIFS('Support - Transition'!F:F,'Support - Transition'!B:B,'Step 2'!A545,'Support - Transition'!C:C,'Step 2'!B545,'Support - Transition'!D:D,'Step 2'!C545,'Support - Transition'!E:E,"CIVIL")</f>
        <v>1.2310000000000001E-3</v>
      </c>
      <c r="H545" s="126">
        <f>SUMIFS('Support - Transition'!F:F,'Support - Transition'!B:B,'Step 2'!A545,'Support - Transition'!C:C,'Step 2'!B545,'Support - Transition'!D:D,'Step 2'!C545,'Support - Transition'!E:E,"FIRE")</f>
        <v>1.5799999999999999E-4</v>
      </c>
      <c r="I545" s="126">
        <f>IF(B545="0",SUMIFS('Support - Transition'!F:F,'Support - Transition'!J:J,'Step 2'!D545,'Support - Transition'!E:E,"STATE UNIT"),SUMIFS('Support - Transition'!F:F,'Support - Transition'!J:J,'Step 2'!D545))</f>
        <v>1.389E-3</v>
      </c>
      <c r="J545" s="126">
        <f>SUMIFS('Support - Unit Adjustments'!E:E,'Support - Unit Adjustments'!F:F,'Step 2'!D545)</f>
        <v>0</v>
      </c>
      <c r="K545" s="126">
        <f t="shared" si="156"/>
        <v>1.389E-3</v>
      </c>
      <c r="L545" s="174">
        <f>VLOOKUP(A545,'Step 1'!$A:$E,4,FALSE)</f>
        <v>1968593</v>
      </c>
      <c r="M545" s="47">
        <f t="shared" si="157"/>
        <v>2734</v>
      </c>
      <c r="N545" s="177">
        <f>SUMIFS('Support - Transition'!G:G,'Support - Transition'!J:J,'Step 2'!D545,'Support - Transition'!E:E,"2009 WELFARE ALLOCATION FACTOR")</f>
        <v>0</v>
      </c>
      <c r="O545" s="152">
        <f t="shared" si="162"/>
        <v>0</v>
      </c>
      <c r="P545" s="126">
        <f>IF(E545="Y",0,SUMIFS('Support - Transition'!G:G,'Support - Transition'!J:J,'Step 2'!D545,'Support - Transition'!E:E,"2009 SCHOOL ALLOCATION FACTOR"))</f>
        <v>0</v>
      </c>
      <c r="Q545" s="126">
        <f>IF(E545="Y",VLOOKUP(D545,'Support - Unit Adjustments'!F:G,2,FALSE),0)</f>
        <v>0</v>
      </c>
      <c r="R545" s="155">
        <f t="shared" si="174"/>
        <v>0</v>
      </c>
      <c r="S545" s="47">
        <f t="shared" si="173"/>
        <v>0</v>
      </c>
      <c r="T545" s="151">
        <f t="shared" si="158"/>
        <v>2734</v>
      </c>
      <c r="U545" s="151">
        <f t="shared" si="159"/>
        <v>0</v>
      </c>
      <c r="V545" s="139">
        <f t="shared" si="160"/>
        <v>0</v>
      </c>
      <c r="W545" s="152">
        <f t="shared" si="163"/>
        <v>2734</v>
      </c>
      <c r="X545" s="127" t="str">
        <f t="shared" si="161"/>
        <v/>
      </c>
      <c r="Y545" s="207">
        <f t="shared" si="164"/>
        <v>2734</v>
      </c>
      <c r="Z545" s="139">
        <f t="shared" si="165"/>
        <v>2423</v>
      </c>
      <c r="AA545" s="139">
        <f t="shared" si="166"/>
        <v>311</v>
      </c>
      <c r="AC545" s="47">
        <f t="shared" si="167"/>
        <v>1367</v>
      </c>
      <c r="AD545" s="47">
        <f t="shared" si="168"/>
        <v>1212</v>
      </c>
      <c r="AE545" s="47">
        <f t="shared" si="169"/>
        <v>156</v>
      </c>
      <c r="AG545" s="47">
        <f t="shared" si="170"/>
        <v>1367</v>
      </c>
      <c r="AH545" s="47">
        <f t="shared" si="171"/>
        <v>1211</v>
      </c>
      <c r="AI545" s="208">
        <f t="shared" si="172"/>
        <v>155</v>
      </c>
    </row>
    <row r="546" spans="1:35">
      <c r="A546" t="s">
        <v>2183</v>
      </c>
      <c r="B546" t="s">
        <v>3142</v>
      </c>
      <c r="C546" t="s">
        <v>2191</v>
      </c>
      <c r="D546" t="s">
        <v>3795</v>
      </c>
      <c r="F546" t="s">
        <v>147</v>
      </c>
      <c r="G546" s="126">
        <f>SUMIFS('Support - Transition'!F:F,'Support - Transition'!B:B,'Step 2'!A546,'Support - Transition'!C:C,'Step 2'!B546,'Support - Transition'!D:D,'Step 2'!C546,'Support - Transition'!E:E,"CIVIL")</f>
        <v>9.5500000000000001E-4</v>
      </c>
      <c r="H546" s="126">
        <f>SUMIFS('Support - Transition'!F:F,'Support - Transition'!B:B,'Step 2'!A546,'Support - Transition'!C:C,'Step 2'!B546,'Support - Transition'!D:D,'Step 2'!C546,'Support - Transition'!E:E,"FIRE")</f>
        <v>5.9999999999999995E-4</v>
      </c>
      <c r="I546" s="126">
        <f>IF(B546="0",SUMIFS('Support - Transition'!F:F,'Support - Transition'!J:J,'Step 2'!D546,'Support - Transition'!E:E,"STATE UNIT"),SUMIFS('Support - Transition'!F:F,'Support - Transition'!J:J,'Step 2'!D546))</f>
        <v>1.555E-3</v>
      </c>
      <c r="J546" s="126">
        <f>SUMIFS('Support - Unit Adjustments'!E:E,'Support - Unit Adjustments'!F:F,'Step 2'!D546)</f>
        <v>0</v>
      </c>
      <c r="K546" s="126">
        <f t="shared" si="156"/>
        <v>1.555E-3</v>
      </c>
      <c r="L546" s="174">
        <f>VLOOKUP(A546,'Step 1'!$A:$E,4,FALSE)</f>
        <v>1968593</v>
      </c>
      <c r="M546" s="47">
        <f t="shared" si="157"/>
        <v>3061</v>
      </c>
      <c r="N546" s="177">
        <f>SUMIFS('Support - Transition'!G:G,'Support - Transition'!J:J,'Step 2'!D546,'Support - Transition'!E:E,"2009 WELFARE ALLOCATION FACTOR")</f>
        <v>0</v>
      </c>
      <c r="O546" s="152">
        <f t="shared" si="162"/>
        <v>0</v>
      </c>
      <c r="P546" s="126">
        <f>IF(E546="Y",0,SUMIFS('Support - Transition'!G:G,'Support - Transition'!J:J,'Step 2'!D546,'Support - Transition'!E:E,"2009 SCHOOL ALLOCATION FACTOR"))</f>
        <v>0</v>
      </c>
      <c r="Q546" s="126">
        <f>IF(E546="Y",VLOOKUP(D546,'Support - Unit Adjustments'!F:G,2,FALSE),0)</f>
        <v>0</v>
      </c>
      <c r="R546" s="155">
        <f t="shared" si="174"/>
        <v>0</v>
      </c>
      <c r="S546" s="47">
        <f t="shared" si="173"/>
        <v>0</v>
      </c>
      <c r="T546" s="151">
        <f t="shared" si="158"/>
        <v>3061</v>
      </c>
      <c r="U546" s="151">
        <f t="shared" si="159"/>
        <v>0</v>
      </c>
      <c r="V546" s="139">
        <f t="shared" si="160"/>
        <v>0</v>
      </c>
      <c r="W546" s="152">
        <f t="shared" si="163"/>
        <v>3061</v>
      </c>
      <c r="X546" s="127" t="str">
        <f t="shared" si="161"/>
        <v/>
      </c>
      <c r="Y546" s="207">
        <f t="shared" si="164"/>
        <v>3061</v>
      </c>
      <c r="Z546" s="139">
        <f t="shared" si="165"/>
        <v>1880</v>
      </c>
      <c r="AA546" s="139">
        <f t="shared" si="166"/>
        <v>1181</v>
      </c>
      <c r="AC546" s="47">
        <f t="shared" si="167"/>
        <v>1531</v>
      </c>
      <c r="AD546" s="47">
        <f t="shared" si="168"/>
        <v>940</v>
      </c>
      <c r="AE546" s="47">
        <f t="shared" si="169"/>
        <v>591</v>
      </c>
      <c r="AG546" s="47">
        <f t="shared" si="170"/>
        <v>1530</v>
      </c>
      <c r="AH546" s="47">
        <f t="shared" si="171"/>
        <v>940</v>
      </c>
      <c r="AI546" s="208">
        <f t="shared" si="172"/>
        <v>590</v>
      </c>
    </row>
    <row r="547" spans="1:35">
      <c r="A547" t="s">
        <v>2183</v>
      </c>
      <c r="B547" t="s">
        <v>3142</v>
      </c>
      <c r="C547" t="s">
        <v>2192</v>
      </c>
      <c r="D547" t="s">
        <v>3796</v>
      </c>
      <c r="F547" t="s">
        <v>370</v>
      </c>
      <c r="G547" s="126">
        <f>SUMIFS('Support - Transition'!F:F,'Support - Transition'!B:B,'Step 2'!A547,'Support - Transition'!C:C,'Step 2'!B547,'Support - Transition'!D:D,'Step 2'!C547,'Support - Transition'!E:E,"CIVIL")</f>
        <v>3.127E-3</v>
      </c>
      <c r="H547" s="126">
        <f>SUMIFS('Support - Transition'!F:F,'Support - Transition'!B:B,'Step 2'!A547,'Support - Transition'!C:C,'Step 2'!B547,'Support - Transition'!D:D,'Step 2'!C547,'Support - Transition'!E:E,"FIRE")</f>
        <v>2.02E-4</v>
      </c>
      <c r="I547" s="126">
        <f>IF(B547="0",SUMIFS('Support - Transition'!F:F,'Support - Transition'!J:J,'Step 2'!D547,'Support - Transition'!E:E,"STATE UNIT"),SUMIFS('Support - Transition'!F:F,'Support - Transition'!J:J,'Step 2'!D547))</f>
        <v>3.3289999999999999E-3</v>
      </c>
      <c r="J547" s="126">
        <f>SUMIFS('Support - Unit Adjustments'!E:E,'Support - Unit Adjustments'!F:F,'Step 2'!D547)</f>
        <v>0</v>
      </c>
      <c r="K547" s="126">
        <f t="shared" si="156"/>
        <v>3.3289999999999999E-3</v>
      </c>
      <c r="L547" s="174">
        <f>VLOOKUP(A547,'Step 1'!$A:$E,4,FALSE)</f>
        <v>1968593</v>
      </c>
      <c r="M547" s="47">
        <f t="shared" si="157"/>
        <v>6553</v>
      </c>
      <c r="N547" s="177">
        <f>SUMIFS('Support - Transition'!G:G,'Support - Transition'!J:J,'Step 2'!D547,'Support - Transition'!E:E,"2009 WELFARE ALLOCATION FACTOR")</f>
        <v>0</v>
      </c>
      <c r="O547" s="152">
        <f t="shared" si="162"/>
        <v>0</v>
      </c>
      <c r="P547" s="126">
        <f>IF(E547="Y",0,SUMIFS('Support - Transition'!G:G,'Support - Transition'!J:J,'Step 2'!D547,'Support - Transition'!E:E,"2009 SCHOOL ALLOCATION FACTOR"))</f>
        <v>0</v>
      </c>
      <c r="Q547" s="126">
        <f>IF(E547="Y",VLOOKUP(D547,'Support - Unit Adjustments'!F:G,2,FALSE),0)</f>
        <v>0</v>
      </c>
      <c r="R547" s="155">
        <f t="shared" si="174"/>
        <v>0</v>
      </c>
      <c r="S547" s="47">
        <f t="shared" si="173"/>
        <v>0</v>
      </c>
      <c r="T547" s="151">
        <f t="shared" si="158"/>
        <v>6553</v>
      </c>
      <c r="U547" s="151">
        <f t="shared" si="159"/>
        <v>0</v>
      </c>
      <c r="V547" s="139">
        <f t="shared" si="160"/>
        <v>0</v>
      </c>
      <c r="W547" s="152">
        <f t="shared" si="163"/>
        <v>6553</v>
      </c>
      <c r="X547" s="127" t="str">
        <f t="shared" si="161"/>
        <v/>
      </c>
      <c r="Y547" s="207">
        <f t="shared" si="164"/>
        <v>6553</v>
      </c>
      <c r="Z547" s="139">
        <f t="shared" si="165"/>
        <v>6155</v>
      </c>
      <c r="AA547" s="139">
        <f t="shared" si="166"/>
        <v>398</v>
      </c>
      <c r="AC547" s="47">
        <f t="shared" si="167"/>
        <v>3277</v>
      </c>
      <c r="AD547" s="47">
        <f t="shared" si="168"/>
        <v>3078</v>
      </c>
      <c r="AE547" s="47">
        <f t="shared" si="169"/>
        <v>199</v>
      </c>
      <c r="AG547" s="47">
        <f t="shared" si="170"/>
        <v>3276</v>
      </c>
      <c r="AH547" s="47">
        <f t="shared" si="171"/>
        <v>3077</v>
      </c>
      <c r="AI547" s="208">
        <f t="shared" si="172"/>
        <v>199</v>
      </c>
    </row>
    <row r="548" spans="1:35">
      <c r="A548" t="s">
        <v>2183</v>
      </c>
      <c r="B548" t="s">
        <v>3142</v>
      </c>
      <c r="C548" t="s">
        <v>2193</v>
      </c>
      <c r="D548" t="s">
        <v>3797</v>
      </c>
      <c r="F548" t="s">
        <v>452</v>
      </c>
      <c r="G548" s="126">
        <f>SUMIFS('Support - Transition'!F:F,'Support - Transition'!B:B,'Step 2'!A548,'Support - Transition'!C:C,'Step 2'!B548,'Support - Transition'!D:D,'Step 2'!C548,'Support - Transition'!E:E,"CIVIL")</f>
        <v>2.905E-3</v>
      </c>
      <c r="H548" s="126">
        <f>SUMIFS('Support - Transition'!F:F,'Support - Transition'!B:B,'Step 2'!A548,'Support - Transition'!C:C,'Step 2'!B548,'Support - Transition'!D:D,'Step 2'!C548,'Support - Transition'!E:E,"FIRE")</f>
        <v>7.3499999999999998E-4</v>
      </c>
      <c r="I548" s="126">
        <f>IF(B548="0",SUMIFS('Support - Transition'!F:F,'Support - Transition'!J:J,'Step 2'!D548,'Support - Transition'!E:E,"STATE UNIT"),SUMIFS('Support - Transition'!F:F,'Support - Transition'!J:J,'Step 2'!D548))</f>
        <v>3.64E-3</v>
      </c>
      <c r="J548" s="126">
        <f>SUMIFS('Support - Unit Adjustments'!E:E,'Support - Unit Adjustments'!F:F,'Step 2'!D548)</f>
        <v>0</v>
      </c>
      <c r="K548" s="126">
        <f t="shared" si="156"/>
        <v>3.64E-3</v>
      </c>
      <c r="L548" s="174">
        <f>VLOOKUP(A548,'Step 1'!$A:$E,4,FALSE)</f>
        <v>1968593</v>
      </c>
      <c r="M548" s="47">
        <f t="shared" si="157"/>
        <v>7166</v>
      </c>
      <c r="N548" s="177">
        <f>SUMIFS('Support - Transition'!G:G,'Support - Transition'!J:J,'Step 2'!D548,'Support - Transition'!E:E,"2009 WELFARE ALLOCATION FACTOR")</f>
        <v>0</v>
      </c>
      <c r="O548" s="152">
        <f t="shared" si="162"/>
        <v>0</v>
      </c>
      <c r="P548" s="126">
        <f>IF(E548="Y",0,SUMIFS('Support - Transition'!G:G,'Support - Transition'!J:J,'Step 2'!D548,'Support - Transition'!E:E,"2009 SCHOOL ALLOCATION FACTOR"))</f>
        <v>0</v>
      </c>
      <c r="Q548" s="126">
        <f>IF(E548="Y",VLOOKUP(D548,'Support - Unit Adjustments'!F:G,2,FALSE),0)</f>
        <v>0</v>
      </c>
      <c r="R548" s="155">
        <f t="shared" si="174"/>
        <v>0</v>
      </c>
      <c r="S548" s="47">
        <f t="shared" si="173"/>
        <v>0</v>
      </c>
      <c r="T548" s="151">
        <f t="shared" si="158"/>
        <v>7166</v>
      </c>
      <c r="U548" s="151">
        <f t="shared" si="159"/>
        <v>0</v>
      </c>
      <c r="V548" s="139">
        <f t="shared" si="160"/>
        <v>0</v>
      </c>
      <c r="W548" s="152">
        <f t="shared" si="163"/>
        <v>7166</v>
      </c>
      <c r="X548" s="127" t="str">
        <f t="shared" si="161"/>
        <v/>
      </c>
      <c r="Y548" s="207">
        <f t="shared" si="164"/>
        <v>7166</v>
      </c>
      <c r="Z548" s="139">
        <f t="shared" si="165"/>
        <v>5719</v>
      </c>
      <c r="AA548" s="139">
        <f t="shared" si="166"/>
        <v>1447</v>
      </c>
      <c r="AC548" s="47">
        <f t="shared" si="167"/>
        <v>3583</v>
      </c>
      <c r="AD548" s="47">
        <f t="shared" si="168"/>
        <v>2860</v>
      </c>
      <c r="AE548" s="47">
        <f t="shared" si="169"/>
        <v>724</v>
      </c>
      <c r="AG548" s="47">
        <f t="shared" si="170"/>
        <v>3583</v>
      </c>
      <c r="AH548" s="47">
        <f t="shared" si="171"/>
        <v>2859</v>
      </c>
      <c r="AI548" s="208">
        <f t="shared" si="172"/>
        <v>723</v>
      </c>
    </row>
    <row r="549" spans="1:35">
      <c r="A549" t="s">
        <v>2183</v>
      </c>
      <c r="B549" t="s">
        <v>3142</v>
      </c>
      <c r="C549" t="s">
        <v>2194</v>
      </c>
      <c r="D549" t="s">
        <v>3798</v>
      </c>
      <c r="F549" t="s">
        <v>86</v>
      </c>
      <c r="G549" s="126">
        <f>SUMIFS('Support - Transition'!F:F,'Support - Transition'!B:B,'Step 2'!A549,'Support - Transition'!C:C,'Step 2'!B549,'Support - Transition'!D:D,'Step 2'!C549,'Support - Transition'!E:E,"CIVIL")</f>
        <v>9.2500000000000004E-4</v>
      </c>
      <c r="H549" s="126">
        <f>SUMIFS('Support - Transition'!F:F,'Support - Transition'!B:B,'Step 2'!A549,'Support - Transition'!C:C,'Step 2'!B549,'Support - Transition'!D:D,'Step 2'!C549,'Support - Transition'!E:E,"FIRE")</f>
        <v>2.0599999999999999E-4</v>
      </c>
      <c r="I549" s="126">
        <f>IF(B549="0",SUMIFS('Support - Transition'!F:F,'Support - Transition'!J:J,'Step 2'!D549,'Support - Transition'!E:E,"STATE UNIT"),SUMIFS('Support - Transition'!F:F,'Support - Transition'!J:J,'Step 2'!D549))</f>
        <v>1.1310000000000001E-3</v>
      </c>
      <c r="J549" s="126">
        <f>SUMIFS('Support - Unit Adjustments'!E:E,'Support - Unit Adjustments'!F:F,'Step 2'!D549)</f>
        <v>0</v>
      </c>
      <c r="K549" s="126">
        <f t="shared" si="156"/>
        <v>1.1310000000000001E-3</v>
      </c>
      <c r="L549" s="174">
        <f>VLOOKUP(A549,'Step 1'!$A:$E,4,FALSE)</f>
        <v>1968593</v>
      </c>
      <c r="M549" s="47">
        <f t="shared" si="157"/>
        <v>2226</v>
      </c>
      <c r="N549" s="177">
        <f>SUMIFS('Support - Transition'!G:G,'Support - Transition'!J:J,'Step 2'!D549,'Support - Transition'!E:E,"2009 WELFARE ALLOCATION FACTOR")</f>
        <v>0</v>
      </c>
      <c r="O549" s="152">
        <f t="shared" si="162"/>
        <v>0</v>
      </c>
      <c r="P549" s="126">
        <f>IF(E549="Y",0,SUMIFS('Support - Transition'!G:G,'Support - Transition'!J:J,'Step 2'!D549,'Support - Transition'!E:E,"2009 SCHOOL ALLOCATION FACTOR"))</f>
        <v>0</v>
      </c>
      <c r="Q549" s="126">
        <f>IF(E549="Y",VLOOKUP(D549,'Support - Unit Adjustments'!F:G,2,FALSE),0)</f>
        <v>0</v>
      </c>
      <c r="R549" s="155">
        <f t="shared" si="174"/>
        <v>0</v>
      </c>
      <c r="S549" s="47">
        <f t="shared" si="173"/>
        <v>0</v>
      </c>
      <c r="T549" s="151">
        <f t="shared" si="158"/>
        <v>2226</v>
      </c>
      <c r="U549" s="151">
        <f t="shared" si="159"/>
        <v>0</v>
      </c>
      <c r="V549" s="139">
        <f t="shared" si="160"/>
        <v>0</v>
      </c>
      <c r="W549" s="152">
        <f t="shared" si="163"/>
        <v>2226</v>
      </c>
      <c r="X549" s="127" t="str">
        <f t="shared" si="161"/>
        <v/>
      </c>
      <c r="Y549" s="207">
        <f t="shared" si="164"/>
        <v>2226</v>
      </c>
      <c r="Z549" s="139">
        <f t="shared" si="165"/>
        <v>1821</v>
      </c>
      <c r="AA549" s="139">
        <f t="shared" si="166"/>
        <v>405</v>
      </c>
      <c r="AC549" s="47">
        <f t="shared" si="167"/>
        <v>1113</v>
      </c>
      <c r="AD549" s="47">
        <f t="shared" si="168"/>
        <v>911</v>
      </c>
      <c r="AE549" s="47">
        <f t="shared" si="169"/>
        <v>203</v>
      </c>
      <c r="AG549" s="47">
        <f t="shared" si="170"/>
        <v>1113</v>
      </c>
      <c r="AH549" s="47">
        <f t="shared" si="171"/>
        <v>910</v>
      </c>
      <c r="AI549" s="208">
        <f t="shared" si="172"/>
        <v>202</v>
      </c>
    </row>
    <row r="550" spans="1:35">
      <c r="A550" t="s">
        <v>2183</v>
      </c>
      <c r="B550" t="s">
        <v>3142</v>
      </c>
      <c r="C550" t="s">
        <v>2195</v>
      </c>
      <c r="D550" t="s">
        <v>3799</v>
      </c>
      <c r="F550" t="s">
        <v>49</v>
      </c>
      <c r="G550" s="126">
        <f>SUMIFS('Support - Transition'!F:F,'Support - Transition'!B:B,'Step 2'!A550,'Support - Transition'!C:C,'Step 2'!B550,'Support - Transition'!D:D,'Step 2'!C550,'Support - Transition'!E:E,"CIVIL")</f>
        <v>1.8860000000000001E-3</v>
      </c>
      <c r="H550" s="126">
        <f>SUMIFS('Support - Transition'!F:F,'Support - Transition'!B:B,'Step 2'!A550,'Support - Transition'!C:C,'Step 2'!B550,'Support - Transition'!D:D,'Step 2'!C550,'Support - Transition'!E:E,"FIRE")</f>
        <v>1.2290000000000001E-3</v>
      </c>
      <c r="I550" s="126">
        <f>IF(B550="0",SUMIFS('Support - Transition'!F:F,'Support - Transition'!J:J,'Step 2'!D550,'Support - Transition'!E:E,"STATE UNIT"),SUMIFS('Support - Transition'!F:F,'Support - Transition'!J:J,'Step 2'!D550))</f>
        <v>3.1150000000000001E-3</v>
      </c>
      <c r="J550" s="126">
        <f>SUMIFS('Support - Unit Adjustments'!E:E,'Support - Unit Adjustments'!F:F,'Step 2'!D550)</f>
        <v>0</v>
      </c>
      <c r="K550" s="126">
        <f t="shared" si="156"/>
        <v>3.1150000000000001E-3</v>
      </c>
      <c r="L550" s="174">
        <f>VLOOKUP(A550,'Step 1'!$A:$E,4,FALSE)</f>
        <v>1968593</v>
      </c>
      <c r="M550" s="47">
        <f t="shared" si="157"/>
        <v>6132</v>
      </c>
      <c r="N550" s="177">
        <f>SUMIFS('Support - Transition'!G:G,'Support - Transition'!J:J,'Step 2'!D550,'Support - Transition'!E:E,"2009 WELFARE ALLOCATION FACTOR")</f>
        <v>0</v>
      </c>
      <c r="O550" s="152">
        <f t="shared" si="162"/>
        <v>0</v>
      </c>
      <c r="P550" s="126">
        <f>IF(E550="Y",0,SUMIFS('Support - Transition'!G:G,'Support - Transition'!J:J,'Step 2'!D550,'Support - Transition'!E:E,"2009 SCHOOL ALLOCATION FACTOR"))</f>
        <v>0</v>
      </c>
      <c r="Q550" s="126">
        <f>IF(E550="Y",VLOOKUP(D550,'Support - Unit Adjustments'!F:G,2,FALSE),0)</f>
        <v>0</v>
      </c>
      <c r="R550" s="155">
        <f t="shared" si="174"/>
        <v>0</v>
      </c>
      <c r="S550" s="47">
        <f t="shared" si="173"/>
        <v>0</v>
      </c>
      <c r="T550" s="151">
        <f t="shared" si="158"/>
        <v>6132</v>
      </c>
      <c r="U550" s="151">
        <f t="shared" si="159"/>
        <v>0</v>
      </c>
      <c r="V550" s="139">
        <f t="shared" si="160"/>
        <v>0</v>
      </c>
      <c r="W550" s="152">
        <f t="shared" si="163"/>
        <v>6132</v>
      </c>
      <c r="X550" s="127" t="str">
        <f t="shared" si="161"/>
        <v/>
      </c>
      <c r="Y550" s="207">
        <f t="shared" si="164"/>
        <v>6132</v>
      </c>
      <c r="Z550" s="139">
        <f t="shared" si="165"/>
        <v>3713</v>
      </c>
      <c r="AA550" s="139">
        <f t="shared" si="166"/>
        <v>2419</v>
      </c>
      <c r="AC550" s="47">
        <f t="shared" si="167"/>
        <v>3066</v>
      </c>
      <c r="AD550" s="47">
        <f t="shared" si="168"/>
        <v>1857</v>
      </c>
      <c r="AE550" s="47">
        <f t="shared" si="169"/>
        <v>1210</v>
      </c>
      <c r="AG550" s="47">
        <f t="shared" si="170"/>
        <v>3066</v>
      </c>
      <c r="AH550" s="47">
        <f t="shared" si="171"/>
        <v>1856</v>
      </c>
      <c r="AI550" s="208">
        <f t="shared" si="172"/>
        <v>1209</v>
      </c>
    </row>
    <row r="551" spans="1:35">
      <c r="A551" t="s">
        <v>2183</v>
      </c>
      <c r="B551" t="s">
        <v>3142</v>
      </c>
      <c r="C551" t="s">
        <v>2196</v>
      </c>
      <c r="D551" t="s">
        <v>3800</v>
      </c>
      <c r="F551" t="s">
        <v>14</v>
      </c>
      <c r="G551" s="126">
        <f>SUMIFS('Support - Transition'!F:F,'Support - Transition'!B:B,'Step 2'!A551,'Support - Transition'!C:C,'Step 2'!B551,'Support - Transition'!D:D,'Step 2'!C551,'Support - Transition'!E:E,"CIVIL")</f>
        <v>1.915E-3</v>
      </c>
      <c r="H551" s="126">
        <f>SUMIFS('Support - Transition'!F:F,'Support - Transition'!B:B,'Step 2'!A551,'Support - Transition'!C:C,'Step 2'!B551,'Support - Transition'!D:D,'Step 2'!C551,'Support - Transition'!E:E,"FIRE")</f>
        <v>1.0039999999999999E-3</v>
      </c>
      <c r="I551" s="126">
        <f>IF(B551="0",SUMIFS('Support - Transition'!F:F,'Support - Transition'!J:J,'Step 2'!D551,'Support - Transition'!E:E,"STATE UNIT"),SUMIFS('Support - Transition'!F:F,'Support - Transition'!J:J,'Step 2'!D551))</f>
        <v>2.9189999999999997E-3</v>
      </c>
      <c r="J551" s="126">
        <f>SUMIFS('Support - Unit Adjustments'!E:E,'Support - Unit Adjustments'!F:F,'Step 2'!D551)</f>
        <v>0</v>
      </c>
      <c r="K551" s="126">
        <f t="shared" si="156"/>
        <v>2.9189999999999997E-3</v>
      </c>
      <c r="L551" s="174">
        <f>VLOOKUP(A551,'Step 1'!$A:$E,4,FALSE)</f>
        <v>1968593</v>
      </c>
      <c r="M551" s="47">
        <f t="shared" si="157"/>
        <v>5746</v>
      </c>
      <c r="N551" s="177">
        <f>SUMIFS('Support - Transition'!G:G,'Support - Transition'!J:J,'Step 2'!D551,'Support - Transition'!E:E,"2009 WELFARE ALLOCATION FACTOR")</f>
        <v>0</v>
      </c>
      <c r="O551" s="152">
        <f t="shared" si="162"/>
        <v>0</v>
      </c>
      <c r="P551" s="126">
        <f>IF(E551="Y",0,SUMIFS('Support - Transition'!G:G,'Support - Transition'!J:J,'Step 2'!D551,'Support - Transition'!E:E,"2009 SCHOOL ALLOCATION FACTOR"))</f>
        <v>0</v>
      </c>
      <c r="Q551" s="126">
        <f>IF(E551="Y",VLOOKUP(D551,'Support - Unit Adjustments'!F:G,2,FALSE),0)</f>
        <v>0</v>
      </c>
      <c r="R551" s="155">
        <f t="shared" si="174"/>
        <v>0</v>
      </c>
      <c r="S551" s="47">
        <f t="shared" si="173"/>
        <v>0</v>
      </c>
      <c r="T551" s="151">
        <f t="shared" si="158"/>
        <v>5746</v>
      </c>
      <c r="U551" s="151">
        <f t="shared" si="159"/>
        <v>0</v>
      </c>
      <c r="V551" s="139">
        <f t="shared" si="160"/>
        <v>0</v>
      </c>
      <c r="W551" s="152">
        <f t="shared" si="163"/>
        <v>5746</v>
      </c>
      <c r="X551" s="127" t="str">
        <f t="shared" si="161"/>
        <v/>
      </c>
      <c r="Y551" s="207">
        <f t="shared" si="164"/>
        <v>5746</v>
      </c>
      <c r="Z551" s="139">
        <f t="shared" si="165"/>
        <v>3770</v>
      </c>
      <c r="AA551" s="139">
        <f t="shared" si="166"/>
        <v>1976</v>
      </c>
      <c r="AC551" s="47">
        <f t="shared" si="167"/>
        <v>2873</v>
      </c>
      <c r="AD551" s="47">
        <f t="shared" si="168"/>
        <v>1885</v>
      </c>
      <c r="AE551" s="47">
        <f t="shared" si="169"/>
        <v>988</v>
      </c>
      <c r="AG551" s="47">
        <f t="shared" si="170"/>
        <v>2873</v>
      </c>
      <c r="AH551" s="47">
        <f t="shared" si="171"/>
        <v>1885</v>
      </c>
      <c r="AI551" s="208">
        <f t="shared" si="172"/>
        <v>988</v>
      </c>
    </row>
    <row r="552" spans="1:35">
      <c r="A552" t="s">
        <v>2183</v>
      </c>
      <c r="B552" t="s">
        <v>3142</v>
      </c>
      <c r="C552" t="s">
        <v>2197</v>
      </c>
      <c r="D552" t="s">
        <v>3801</v>
      </c>
      <c r="F552" t="s">
        <v>453</v>
      </c>
      <c r="G552" s="126">
        <f>SUMIFS('Support - Transition'!F:F,'Support - Transition'!B:B,'Step 2'!A552,'Support - Transition'!C:C,'Step 2'!B552,'Support - Transition'!D:D,'Step 2'!C552,'Support - Transition'!E:E,"CIVIL")</f>
        <v>1.2E-5</v>
      </c>
      <c r="H552" s="126">
        <f>SUMIFS('Support - Transition'!F:F,'Support - Transition'!B:B,'Step 2'!A552,'Support - Transition'!C:C,'Step 2'!B552,'Support - Transition'!D:D,'Step 2'!C552,'Support - Transition'!E:E,"FIRE")</f>
        <v>9.9999999999999995E-7</v>
      </c>
      <c r="I552" s="126">
        <f>IF(B552="0",SUMIFS('Support - Transition'!F:F,'Support - Transition'!J:J,'Step 2'!D552,'Support - Transition'!E:E,"STATE UNIT"),SUMIFS('Support - Transition'!F:F,'Support - Transition'!J:J,'Step 2'!D552))</f>
        <v>1.3000000000000001E-5</v>
      </c>
      <c r="J552" s="126">
        <f>SUMIFS('Support - Unit Adjustments'!E:E,'Support - Unit Adjustments'!F:F,'Step 2'!D552)</f>
        <v>0</v>
      </c>
      <c r="K552" s="126">
        <f t="shared" si="156"/>
        <v>1.3000000000000001E-5</v>
      </c>
      <c r="L552" s="174">
        <f>VLOOKUP(A552,'Step 1'!$A:$E,4,FALSE)</f>
        <v>1968593</v>
      </c>
      <c r="M552" s="47">
        <f t="shared" si="157"/>
        <v>26</v>
      </c>
      <c r="N552" s="177">
        <f>SUMIFS('Support - Transition'!G:G,'Support - Transition'!J:J,'Step 2'!D552,'Support - Transition'!E:E,"2009 WELFARE ALLOCATION FACTOR")</f>
        <v>0</v>
      </c>
      <c r="O552" s="152">
        <f t="shared" si="162"/>
        <v>0</v>
      </c>
      <c r="P552" s="126">
        <f>IF(E552="Y",0,SUMIFS('Support - Transition'!G:G,'Support - Transition'!J:J,'Step 2'!D552,'Support - Transition'!E:E,"2009 SCHOOL ALLOCATION FACTOR"))</f>
        <v>0</v>
      </c>
      <c r="Q552" s="126">
        <f>IF(E552="Y",VLOOKUP(D552,'Support - Unit Adjustments'!F:G,2,FALSE),0)</f>
        <v>0</v>
      </c>
      <c r="R552" s="155">
        <f t="shared" si="174"/>
        <v>0</v>
      </c>
      <c r="S552" s="47">
        <f t="shared" si="173"/>
        <v>0</v>
      </c>
      <c r="T552" s="151">
        <f t="shared" si="158"/>
        <v>26</v>
      </c>
      <c r="U552" s="151">
        <f t="shared" si="159"/>
        <v>0</v>
      </c>
      <c r="V552" s="139">
        <f t="shared" si="160"/>
        <v>0</v>
      </c>
      <c r="W552" s="152">
        <f t="shared" si="163"/>
        <v>26</v>
      </c>
      <c r="X552" s="127" t="str">
        <f t="shared" si="161"/>
        <v/>
      </c>
      <c r="Y552" s="207">
        <f t="shared" si="164"/>
        <v>26</v>
      </c>
      <c r="Z552" s="139">
        <f t="shared" si="165"/>
        <v>24</v>
      </c>
      <c r="AA552" s="139">
        <f t="shared" si="166"/>
        <v>2</v>
      </c>
      <c r="AC552" s="47">
        <f t="shared" si="167"/>
        <v>13</v>
      </c>
      <c r="AD552" s="47">
        <f t="shared" si="168"/>
        <v>12</v>
      </c>
      <c r="AE552" s="47">
        <f t="shared" si="169"/>
        <v>1</v>
      </c>
      <c r="AG552" s="47">
        <f t="shared" si="170"/>
        <v>13</v>
      </c>
      <c r="AH552" s="47">
        <f t="shared" si="171"/>
        <v>12</v>
      </c>
      <c r="AI552" s="208">
        <f t="shared" si="172"/>
        <v>1</v>
      </c>
    </row>
    <row r="553" spans="1:35">
      <c r="A553" t="s">
        <v>2183</v>
      </c>
      <c r="B553" t="s">
        <v>3142</v>
      </c>
      <c r="C553" t="s">
        <v>2198</v>
      </c>
      <c r="D553" t="s">
        <v>3802</v>
      </c>
      <c r="F553" t="s">
        <v>454</v>
      </c>
      <c r="G553" s="126">
        <f>SUMIFS('Support - Transition'!F:F,'Support - Transition'!B:B,'Step 2'!A553,'Support - Transition'!C:C,'Step 2'!B553,'Support - Transition'!D:D,'Step 2'!C553,'Support - Transition'!E:E,"CIVIL")</f>
        <v>1.348E-3</v>
      </c>
      <c r="H553" s="126">
        <f>SUMIFS('Support - Transition'!F:F,'Support - Transition'!B:B,'Step 2'!A553,'Support - Transition'!C:C,'Step 2'!B553,'Support - Transition'!D:D,'Step 2'!C553,'Support - Transition'!E:E,"FIRE")</f>
        <v>7.7999999999999999E-4</v>
      </c>
      <c r="I553" s="126">
        <f>IF(B553="0",SUMIFS('Support - Transition'!F:F,'Support - Transition'!J:J,'Step 2'!D553,'Support - Transition'!E:E,"STATE UNIT"),SUMIFS('Support - Transition'!F:F,'Support - Transition'!J:J,'Step 2'!D553))</f>
        <v>2.1280000000000001E-3</v>
      </c>
      <c r="J553" s="126">
        <f>SUMIFS('Support - Unit Adjustments'!E:E,'Support - Unit Adjustments'!F:F,'Step 2'!D553)</f>
        <v>0</v>
      </c>
      <c r="K553" s="126">
        <f t="shared" si="156"/>
        <v>2.1280000000000001E-3</v>
      </c>
      <c r="L553" s="174">
        <f>VLOOKUP(A553,'Step 1'!$A:$E,4,FALSE)</f>
        <v>1968593</v>
      </c>
      <c r="M553" s="47">
        <f t="shared" si="157"/>
        <v>4189</v>
      </c>
      <c r="N553" s="177">
        <f>SUMIFS('Support - Transition'!G:G,'Support - Transition'!J:J,'Step 2'!D553,'Support - Transition'!E:E,"2009 WELFARE ALLOCATION FACTOR")</f>
        <v>0</v>
      </c>
      <c r="O553" s="152">
        <f t="shared" si="162"/>
        <v>0</v>
      </c>
      <c r="P553" s="126">
        <f>IF(E553="Y",0,SUMIFS('Support - Transition'!G:G,'Support - Transition'!J:J,'Step 2'!D553,'Support - Transition'!E:E,"2009 SCHOOL ALLOCATION FACTOR"))</f>
        <v>0</v>
      </c>
      <c r="Q553" s="126">
        <f>IF(E553="Y",VLOOKUP(D553,'Support - Unit Adjustments'!F:G,2,FALSE),0)</f>
        <v>0</v>
      </c>
      <c r="R553" s="155">
        <f t="shared" si="174"/>
        <v>0</v>
      </c>
      <c r="S553" s="47">
        <f t="shared" si="173"/>
        <v>0</v>
      </c>
      <c r="T553" s="151">
        <f t="shared" si="158"/>
        <v>4189</v>
      </c>
      <c r="U553" s="151">
        <f t="shared" si="159"/>
        <v>0</v>
      </c>
      <c r="V553" s="139">
        <f t="shared" si="160"/>
        <v>0</v>
      </c>
      <c r="W553" s="152">
        <f t="shared" si="163"/>
        <v>4189</v>
      </c>
      <c r="X553" s="127" t="str">
        <f t="shared" si="161"/>
        <v/>
      </c>
      <c r="Y553" s="207">
        <f t="shared" si="164"/>
        <v>4189</v>
      </c>
      <c r="Z553" s="139">
        <f t="shared" si="165"/>
        <v>2654</v>
      </c>
      <c r="AA553" s="139">
        <f t="shared" si="166"/>
        <v>1535</v>
      </c>
      <c r="AC553" s="47">
        <f t="shared" si="167"/>
        <v>2095</v>
      </c>
      <c r="AD553" s="47">
        <f t="shared" si="168"/>
        <v>1327</v>
      </c>
      <c r="AE553" s="47">
        <f t="shared" si="169"/>
        <v>768</v>
      </c>
      <c r="AG553" s="47">
        <f t="shared" si="170"/>
        <v>2094</v>
      </c>
      <c r="AH553" s="47">
        <f t="shared" si="171"/>
        <v>1327</v>
      </c>
      <c r="AI553" s="208">
        <f t="shared" si="172"/>
        <v>767</v>
      </c>
    </row>
    <row r="554" spans="1:35">
      <c r="A554" t="s">
        <v>2183</v>
      </c>
      <c r="B554" t="s">
        <v>3142</v>
      </c>
      <c r="C554" t="s">
        <v>2199</v>
      </c>
      <c r="D554" t="s">
        <v>3803</v>
      </c>
      <c r="F554" t="s">
        <v>455</v>
      </c>
      <c r="G554" s="126">
        <f>SUMIFS('Support - Transition'!F:F,'Support - Transition'!B:B,'Step 2'!A554,'Support - Transition'!C:C,'Step 2'!B554,'Support - Transition'!D:D,'Step 2'!C554,'Support - Transition'!E:E,"CIVIL")</f>
        <v>1.34E-4</v>
      </c>
      <c r="H554" s="126">
        <f>SUMIFS('Support - Transition'!F:F,'Support - Transition'!B:B,'Step 2'!A554,'Support - Transition'!C:C,'Step 2'!B554,'Support - Transition'!D:D,'Step 2'!C554,'Support - Transition'!E:E,"FIRE")</f>
        <v>1.2E-5</v>
      </c>
      <c r="I554" s="126">
        <f>IF(B554="0",SUMIFS('Support - Transition'!F:F,'Support - Transition'!J:J,'Step 2'!D554,'Support - Transition'!E:E,"STATE UNIT"),SUMIFS('Support - Transition'!F:F,'Support - Transition'!J:J,'Step 2'!D554))</f>
        <v>1.46E-4</v>
      </c>
      <c r="J554" s="126">
        <f>SUMIFS('Support - Unit Adjustments'!E:E,'Support - Unit Adjustments'!F:F,'Step 2'!D554)</f>
        <v>0</v>
      </c>
      <c r="K554" s="126">
        <f t="shared" si="156"/>
        <v>1.46E-4</v>
      </c>
      <c r="L554" s="174">
        <f>VLOOKUP(A554,'Step 1'!$A:$E,4,FALSE)</f>
        <v>1968593</v>
      </c>
      <c r="M554" s="47">
        <f t="shared" si="157"/>
        <v>287</v>
      </c>
      <c r="N554" s="177">
        <f>SUMIFS('Support - Transition'!G:G,'Support - Transition'!J:J,'Step 2'!D554,'Support - Transition'!E:E,"2009 WELFARE ALLOCATION FACTOR")</f>
        <v>0</v>
      </c>
      <c r="O554" s="152">
        <f t="shared" si="162"/>
        <v>0</v>
      </c>
      <c r="P554" s="126">
        <f>IF(E554="Y",0,SUMIFS('Support - Transition'!G:G,'Support - Transition'!J:J,'Step 2'!D554,'Support - Transition'!E:E,"2009 SCHOOL ALLOCATION FACTOR"))</f>
        <v>0</v>
      </c>
      <c r="Q554" s="126">
        <f>IF(E554="Y",VLOOKUP(D554,'Support - Unit Adjustments'!F:G,2,FALSE),0)</f>
        <v>0</v>
      </c>
      <c r="R554" s="155">
        <f t="shared" si="174"/>
        <v>0</v>
      </c>
      <c r="S554" s="47">
        <f t="shared" si="173"/>
        <v>0</v>
      </c>
      <c r="T554" s="151">
        <f t="shared" si="158"/>
        <v>287</v>
      </c>
      <c r="U554" s="151">
        <f t="shared" si="159"/>
        <v>0</v>
      </c>
      <c r="V554" s="139">
        <f t="shared" si="160"/>
        <v>0</v>
      </c>
      <c r="W554" s="152">
        <f t="shared" si="163"/>
        <v>287</v>
      </c>
      <c r="X554" s="127" t="str">
        <f t="shared" si="161"/>
        <v/>
      </c>
      <c r="Y554" s="207">
        <f t="shared" si="164"/>
        <v>287</v>
      </c>
      <c r="Z554" s="139">
        <f t="shared" si="165"/>
        <v>263</v>
      </c>
      <c r="AA554" s="139">
        <f t="shared" si="166"/>
        <v>24</v>
      </c>
      <c r="AC554" s="47">
        <f t="shared" si="167"/>
        <v>144</v>
      </c>
      <c r="AD554" s="47">
        <f t="shared" si="168"/>
        <v>132</v>
      </c>
      <c r="AE554" s="47">
        <f t="shared" si="169"/>
        <v>12</v>
      </c>
      <c r="AG554" s="47">
        <f t="shared" si="170"/>
        <v>143</v>
      </c>
      <c r="AH554" s="47">
        <f t="shared" si="171"/>
        <v>131</v>
      </c>
      <c r="AI554" s="208">
        <f t="shared" si="172"/>
        <v>12</v>
      </c>
    </row>
    <row r="555" spans="1:35">
      <c r="A555" t="s">
        <v>2183</v>
      </c>
      <c r="B555" t="s">
        <v>3142</v>
      </c>
      <c r="C555" t="s">
        <v>2208</v>
      </c>
      <c r="D555" t="s">
        <v>3804</v>
      </c>
      <c r="F555" t="s">
        <v>456</v>
      </c>
      <c r="G555" s="126">
        <f>SUMIFS('Support - Transition'!F:F,'Support - Transition'!B:B,'Step 2'!A555,'Support - Transition'!C:C,'Step 2'!B555,'Support - Transition'!D:D,'Step 2'!C555,'Support - Transition'!E:E,"CIVIL")</f>
        <v>2.408E-3</v>
      </c>
      <c r="H555" s="126">
        <f>SUMIFS('Support - Transition'!F:F,'Support - Transition'!B:B,'Step 2'!A555,'Support - Transition'!C:C,'Step 2'!B555,'Support - Transition'!D:D,'Step 2'!C555,'Support - Transition'!E:E,"FIRE")</f>
        <v>2.7900000000000001E-4</v>
      </c>
      <c r="I555" s="126">
        <f>IF(B555="0",SUMIFS('Support - Transition'!F:F,'Support - Transition'!J:J,'Step 2'!D555,'Support - Transition'!E:E,"STATE UNIT"),SUMIFS('Support - Transition'!F:F,'Support - Transition'!J:J,'Step 2'!D555))</f>
        <v>2.6870000000000002E-3</v>
      </c>
      <c r="J555" s="126">
        <f>SUMIFS('Support - Unit Adjustments'!E:E,'Support - Unit Adjustments'!F:F,'Step 2'!D555)</f>
        <v>0</v>
      </c>
      <c r="K555" s="126">
        <f t="shared" si="156"/>
        <v>2.6870000000000002E-3</v>
      </c>
      <c r="L555" s="174">
        <f>VLOOKUP(A555,'Step 1'!$A:$E,4,FALSE)</f>
        <v>1968593</v>
      </c>
      <c r="M555" s="47">
        <f t="shared" si="157"/>
        <v>5290</v>
      </c>
      <c r="N555" s="177">
        <f>SUMIFS('Support - Transition'!G:G,'Support - Transition'!J:J,'Step 2'!D555,'Support - Transition'!E:E,"2009 WELFARE ALLOCATION FACTOR")</f>
        <v>0</v>
      </c>
      <c r="O555" s="152">
        <f t="shared" si="162"/>
        <v>0</v>
      </c>
      <c r="P555" s="126">
        <f>IF(E555="Y",0,SUMIFS('Support - Transition'!G:G,'Support - Transition'!J:J,'Step 2'!D555,'Support - Transition'!E:E,"2009 SCHOOL ALLOCATION FACTOR"))</f>
        <v>0</v>
      </c>
      <c r="Q555" s="126">
        <f>IF(E555="Y",VLOOKUP(D555,'Support - Unit Adjustments'!F:G,2,FALSE),0)</f>
        <v>0</v>
      </c>
      <c r="R555" s="155">
        <f t="shared" si="174"/>
        <v>0</v>
      </c>
      <c r="S555" s="47">
        <f t="shared" si="173"/>
        <v>0</v>
      </c>
      <c r="T555" s="151">
        <f t="shared" si="158"/>
        <v>5290</v>
      </c>
      <c r="U555" s="151">
        <f t="shared" si="159"/>
        <v>0</v>
      </c>
      <c r="V555" s="139">
        <f t="shared" si="160"/>
        <v>0</v>
      </c>
      <c r="W555" s="152">
        <f t="shared" si="163"/>
        <v>5290</v>
      </c>
      <c r="X555" s="127" t="str">
        <f t="shared" si="161"/>
        <v/>
      </c>
      <c r="Y555" s="207">
        <f t="shared" si="164"/>
        <v>5290</v>
      </c>
      <c r="Z555" s="139">
        <f t="shared" si="165"/>
        <v>4741</v>
      </c>
      <c r="AA555" s="139">
        <f t="shared" si="166"/>
        <v>549</v>
      </c>
      <c r="AC555" s="47">
        <f t="shared" si="167"/>
        <v>2645</v>
      </c>
      <c r="AD555" s="47">
        <f t="shared" si="168"/>
        <v>2371</v>
      </c>
      <c r="AE555" s="47">
        <f t="shared" si="169"/>
        <v>275</v>
      </c>
      <c r="AG555" s="47">
        <f t="shared" si="170"/>
        <v>2645</v>
      </c>
      <c r="AH555" s="47">
        <f t="shared" si="171"/>
        <v>2370</v>
      </c>
      <c r="AI555" s="208">
        <f t="shared" si="172"/>
        <v>274</v>
      </c>
    </row>
    <row r="556" spans="1:35">
      <c r="A556" t="s">
        <v>2183</v>
      </c>
      <c r="B556" t="s">
        <v>3142</v>
      </c>
      <c r="C556" t="s">
        <v>2209</v>
      </c>
      <c r="D556" t="s">
        <v>3805</v>
      </c>
      <c r="F556" t="s">
        <v>20</v>
      </c>
      <c r="G556" s="126">
        <f>SUMIFS('Support - Transition'!F:F,'Support - Transition'!B:B,'Step 2'!A556,'Support - Transition'!C:C,'Step 2'!B556,'Support - Transition'!D:D,'Step 2'!C556,'Support - Transition'!E:E,"CIVIL")</f>
        <v>4.1199999999999999E-4</v>
      </c>
      <c r="H556" s="126">
        <f>SUMIFS('Support - Transition'!F:F,'Support - Transition'!B:B,'Step 2'!A556,'Support - Transition'!C:C,'Step 2'!B556,'Support - Transition'!D:D,'Step 2'!C556,'Support - Transition'!E:E,"FIRE")</f>
        <v>1.56E-4</v>
      </c>
      <c r="I556" s="126">
        <f>IF(B556="0",SUMIFS('Support - Transition'!F:F,'Support - Transition'!J:J,'Step 2'!D556,'Support - Transition'!E:E,"STATE UNIT"),SUMIFS('Support - Transition'!F:F,'Support - Transition'!J:J,'Step 2'!D556))</f>
        <v>5.6799999999999993E-4</v>
      </c>
      <c r="J556" s="126">
        <f>SUMIFS('Support - Unit Adjustments'!E:E,'Support - Unit Adjustments'!F:F,'Step 2'!D556)</f>
        <v>0</v>
      </c>
      <c r="K556" s="126">
        <f t="shared" si="156"/>
        <v>5.6799999999999993E-4</v>
      </c>
      <c r="L556" s="174">
        <f>VLOOKUP(A556,'Step 1'!$A:$E,4,FALSE)</f>
        <v>1968593</v>
      </c>
      <c r="M556" s="47">
        <f t="shared" si="157"/>
        <v>1118</v>
      </c>
      <c r="N556" s="177">
        <f>SUMIFS('Support - Transition'!G:G,'Support - Transition'!J:J,'Step 2'!D556,'Support - Transition'!E:E,"2009 WELFARE ALLOCATION FACTOR")</f>
        <v>0</v>
      </c>
      <c r="O556" s="152">
        <f t="shared" si="162"/>
        <v>0</v>
      </c>
      <c r="P556" s="126">
        <f>IF(E556="Y",0,SUMIFS('Support - Transition'!G:G,'Support - Transition'!J:J,'Step 2'!D556,'Support - Transition'!E:E,"2009 SCHOOL ALLOCATION FACTOR"))</f>
        <v>0</v>
      </c>
      <c r="Q556" s="126">
        <f>IF(E556="Y",VLOOKUP(D556,'Support - Unit Adjustments'!F:G,2,FALSE),0)</f>
        <v>0</v>
      </c>
      <c r="R556" s="155">
        <f t="shared" si="174"/>
        <v>0</v>
      </c>
      <c r="S556" s="47">
        <f t="shared" si="173"/>
        <v>0</v>
      </c>
      <c r="T556" s="151">
        <f t="shared" si="158"/>
        <v>1118</v>
      </c>
      <c r="U556" s="151">
        <f t="shared" si="159"/>
        <v>0</v>
      </c>
      <c r="V556" s="139">
        <f t="shared" si="160"/>
        <v>0</v>
      </c>
      <c r="W556" s="152">
        <f t="shared" si="163"/>
        <v>1118</v>
      </c>
      <c r="X556" s="127" t="str">
        <f t="shared" si="161"/>
        <v/>
      </c>
      <c r="Y556" s="207">
        <f t="shared" si="164"/>
        <v>1118</v>
      </c>
      <c r="Z556" s="139">
        <f t="shared" si="165"/>
        <v>811</v>
      </c>
      <c r="AA556" s="139">
        <f t="shared" si="166"/>
        <v>307</v>
      </c>
      <c r="AC556" s="47">
        <f t="shared" si="167"/>
        <v>559</v>
      </c>
      <c r="AD556" s="47">
        <f t="shared" si="168"/>
        <v>406</v>
      </c>
      <c r="AE556" s="47">
        <f t="shared" si="169"/>
        <v>154</v>
      </c>
      <c r="AG556" s="47">
        <f t="shared" si="170"/>
        <v>559</v>
      </c>
      <c r="AH556" s="47">
        <f t="shared" si="171"/>
        <v>405</v>
      </c>
      <c r="AI556" s="208">
        <f t="shared" si="172"/>
        <v>153</v>
      </c>
    </row>
    <row r="557" spans="1:35">
      <c r="A557" t="s">
        <v>2183</v>
      </c>
      <c r="B557" t="s">
        <v>3142</v>
      </c>
      <c r="C557" t="s">
        <v>2204</v>
      </c>
      <c r="D557" t="s">
        <v>3806</v>
      </c>
      <c r="F557" t="s">
        <v>22</v>
      </c>
      <c r="G557" s="126">
        <f>SUMIFS('Support - Transition'!F:F,'Support - Transition'!B:B,'Step 2'!A557,'Support - Transition'!C:C,'Step 2'!B557,'Support - Transition'!D:D,'Step 2'!C557,'Support - Transition'!E:E,"CIVIL")</f>
        <v>2.4899999999999998E-4</v>
      </c>
      <c r="H557" s="126">
        <f>SUMIFS('Support - Transition'!F:F,'Support - Transition'!B:B,'Step 2'!A557,'Support - Transition'!C:C,'Step 2'!B557,'Support - Transition'!D:D,'Step 2'!C557,'Support - Transition'!E:E,"FIRE")</f>
        <v>2.43E-4</v>
      </c>
      <c r="I557" s="126">
        <f>IF(B557="0",SUMIFS('Support - Transition'!F:F,'Support - Transition'!J:J,'Step 2'!D557,'Support - Transition'!E:E,"STATE UNIT"),SUMIFS('Support - Transition'!F:F,'Support - Transition'!J:J,'Step 2'!D557))</f>
        <v>4.9200000000000003E-4</v>
      </c>
      <c r="J557" s="126">
        <f>SUMIFS('Support - Unit Adjustments'!E:E,'Support - Unit Adjustments'!F:F,'Step 2'!D557)</f>
        <v>0</v>
      </c>
      <c r="K557" s="126">
        <f t="shared" si="156"/>
        <v>4.9200000000000003E-4</v>
      </c>
      <c r="L557" s="174">
        <f>VLOOKUP(A557,'Step 1'!$A:$E,4,FALSE)</f>
        <v>1968593</v>
      </c>
      <c r="M557" s="47">
        <f t="shared" si="157"/>
        <v>969</v>
      </c>
      <c r="N557" s="177">
        <f>SUMIFS('Support - Transition'!G:G,'Support - Transition'!J:J,'Step 2'!D557,'Support - Transition'!E:E,"2009 WELFARE ALLOCATION FACTOR")</f>
        <v>0</v>
      </c>
      <c r="O557" s="152">
        <f t="shared" si="162"/>
        <v>0</v>
      </c>
      <c r="P557" s="126">
        <f>IF(E557="Y",0,SUMIFS('Support - Transition'!G:G,'Support - Transition'!J:J,'Step 2'!D557,'Support - Transition'!E:E,"2009 SCHOOL ALLOCATION FACTOR"))</f>
        <v>0</v>
      </c>
      <c r="Q557" s="126">
        <f>IF(E557="Y",VLOOKUP(D557,'Support - Unit Adjustments'!F:G,2,FALSE),0)</f>
        <v>0</v>
      </c>
      <c r="R557" s="155">
        <f t="shared" si="174"/>
        <v>0</v>
      </c>
      <c r="S557" s="47">
        <f t="shared" si="173"/>
        <v>0</v>
      </c>
      <c r="T557" s="151">
        <f t="shared" si="158"/>
        <v>969</v>
      </c>
      <c r="U557" s="151">
        <f t="shared" si="159"/>
        <v>0</v>
      </c>
      <c r="V557" s="139">
        <f t="shared" si="160"/>
        <v>0</v>
      </c>
      <c r="W557" s="152">
        <f t="shared" si="163"/>
        <v>969</v>
      </c>
      <c r="X557" s="127" t="str">
        <f t="shared" si="161"/>
        <v/>
      </c>
      <c r="Y557" s="207">
        <f t="shared" si="164"/>
        <v>969</v>
      </c>
      <c r="Z557" s="139">
        <f t="shared" si="165"/>
        <v>490</v>
      </c>
      <c r="AA557" s="139">
        <f t="shared" si="166"/>
        <v>479</v>
      </c>
      <c r="AC557" s="47">
        <f t="shared" si="167"/>
        <v>485</v>
      </c>
      <c r="AD557" s="47">
        <f t="shared" si="168"/>
        <v>245</v>
      </c>
      <c r="AE557" s="47">
        <f t="shared" si="169"/>
        <v>240</v>
      </c>
      <c r="AG557" s="47">
        <f t="shared" si="170"/>
        <v>484</v>
      </c>
      <c r="AH557" s="47">
        <f t="shared" si="171"/>
        <v>245</v>
      </c>
      <c r="AI557" s="208">
        <f t="shared" si="172"/>
        <v>239</v>
      </c>
    </row>
    <row r="558" spans="1:35">
      <c r="A558" t="s">
        <v>2183</v>
      </c>
      <c r="B558" t="s">
        <v>3142</v>
      </c>
      <c r="C558" t="s">
        <v>2210</v>
      </c>
      <c r="D558" t="s">
        <v>3807</v>
      </c>
      <c r="F558" t="s">
        <v>115</v>
      </c>
      <c r="G558" s="126">
        <f>SUMIFS('Support - Transition'!F:F,'Support - Transition'!B:B,'Step 2'!A558,'Support - Transition'!C:C,'Step 2'!B558,'Support - Transition'!D:D,'Step 2'!C558,'Support - Transition'!E:E,"CIVIL")</f>
        <v>3.57E-4</v>
      </c>
      <c r="H558" s="126">
        <f>SUMIFS('Support - Transition'!F:F,'Support - Transition'!B:B,'Step 2'!A558,'Support - Transition'!C:C,'Step 2'!B558,'Support - Transition'!D:D,'Step 2'!C558,'Support - Transition'!E:E,"FIRE")</f>
        <v>1.73E-4</v>
      </c>
      <c r="I558" s="126">
        <f>IF(B558="0",SUMIFS('Support - Transition'!F:F,'Support - Transition'!J:J,'Step 2'!D558,'Support - Transition'!E:E,"STATE UNIT"),SUMIFS('Support - Transition'!F:F,'Support - Transition'!J:J,'Step 2'!D558))</f>
        <v>5.2999999999999998E-4</v>
      </c>
      <c r="J558" s="126">
        <f>SUMIFS('Support - Unit Adjustments'!E:E,'Support - Unit Adjustments'!F:F,'Step 2'!D558)</f>
        <v>0</v>
      </c>
      <c r="K558" s="126">
        <f t="shared" si="156"/>
        <v>5.2999999999999998E-4</v>
      </c>
      <c r="L558" s="174">
        <f>VLOOKUP(A558,'Step 1'!$A:$E,4,FALSE)</f>
        <v>1968593</v>
      </c>
      <c r="M558" s="47">
        <f t="shared" si="157"/>
        <v>1043</v>
      </c>
      <c r="N558" s="177">
        <f>SUMIFS('Support - Transition'!G:G,'Support - Transition'!J:J,'Step 2'!D558,'Support - Transition'!E:E,"2009 WELFARE ALLOCATION FACTOR")</f>
        <v>0</v>
      </c>
      <c r="O558" s="152">
        <f t="shared" si="162"/>
        <v>0</v>
      </c>
      <c r="P558" s="126">
        <f>IF(E558="Y",0,SUMIFS('Support - Transition'!G:G,'Support - Transition'!J:J,'Step 2'!D558,'Support - Transition'!E:E,"2009 SCHOOL ALLOCATION FACTOR"))</f>
        <v>0</v>
      </c>
      <c r="Q558" s="126">
        <f>IF(E558="Y",VLOOKUP(D558,'Support - Unit Adjustments'!F:G,2,FALSE),0)</f>
        <v>0</v>
      </c>
      <c r="R558" s="155">
        <f t="shared" si="174"/>
        <v>0</v>
      </c>
      <c r="S558" s="47">
        <f t="shared" si="173"/>
        <v>0</v>
      </c>
      <c r="T558" s="151">
        <f t="shared" si="158"/>
        <v>1043</v>
      </c>
      <c r="U558" s="151">
        <f t="shared" si="159"/>
        <v>0</v>
      </c>
      <c r="V558" s="139">
        <f t="shared" si="160"/>
        <v>0</v>
      </c>
      <c r="W558" s="152">
        <f t="shared" si="163"/>
        <v>1043</v>
      </c>
      <c r="X558" s="127" t="str">
        <f t="shared" si="161"/>
        <v/>
      </c>
      <c r="Y558" s="207">
        <f t="shared" si="164"/>
        <v>1043</v>
      </c>
      <c r="Z558" s="139">
        <f t="shared" si="165"/>
        <v>703</v>
      </c>
      <c r="AA558" s="139">
        <f t="shared" si="166"/>
        <v>340</v>
      </c>
      <c r="AC558" s="47">
        <f t="shared" si="167"/>
        <v>522</v>
      </c>
      <c r="AD558" s="47">
        <f t="shared" si="168"/>
        <v>352</v>
      </c>
      <c r="AE558" s="47">
        <f t="shared" si="169"/>
        <v>170</v>
      </c>
      <c r="AG558" s="47">
        <f t="shared" si="170"/>
        <v>521</v>
      </c>
      <c r="AH558" s="47">
        <f t="shared" si="171"/>
        <v>351</v>
      </c>
      <c r="AI558" s="208">
        <f t="shared" si="172"/>
        <v>170</v>
      </c>
    </row>
    <row r="559" spans="1:35">
      <c r="A559" t="s">
        <v>2183</v>
      </c>
      <c r="B559" t="s">
        <v>3155</v>
      </c>
      <c r="C559" t="s">
        <v>2403</v>
      </c>
      <c r="D559" t="s">
        <v>3808</v>
      </c>
      <c r="F559" t="s">
        <v>458</v>
      </c>
      <c r="G559" s="126">
        <f>SUMIFS('Support - Transition'!F:F,'Support - Transition'!B:B,'Step 2'!A559,'Support - Transition'!C:C,'Step 2'!B559,'Support - Transition'!D:D,'Step 2'!C559,'Support - Transition'!E:E,"CIVIL")</f>
        <v>0</v>
      </c>
      <c r="H559" s="126">
        <f>SUMIFS('Support - Transition'!F:F,'Support - Transition'!B:B,'Step 2'!A559,'Support - Transition'!C:C,'Step 2'!B559,'Support - Transition'!D:D,'Step 2'!C559,'Support - Transition'!E:E,"FIRE")</f>
        <v>0</v>
      </c>
      <c r="I559" s="126">
        <f>IF(B559="0",SUMIFS('Support - Transition'!F:F,'Support - Transition'!J:J,'Step 2'!D559,'Support - Transition'!E:E,"STATE UNIT"),SUMIFS('Support - Transition'!F:F,'Support - Transition'!J:J,'Step 2'!D559))</f>
        <v>0.129026</v>
      </c>
      <c r="J559" s="126">
        <f>SUMIFS('Support - Unit Adjustments'!E:E,'Support - Unit Adjustments'!F:F,'Step 2'!D559)</f>
        <v>0</v>
      </c>
      <c r="K559" s="126">
        <f t="shared" si="156"/>
        <v>0.129026</v>
      </c>
      <c r="L559" s="174">
        <f>VLOOKUP(A559,'Step 1'!$A:$E,4,FALSE)</f>
        <v>1968593</v>
      </c>
      <c r="M559" s="47">
        <f t="shared" si="157"/>
        <v>254000</v>
      </c>
      <c r="N559" s="177">
        <f>SUMIFS('Support - Transition'!G:G,'Support - Transition'!J:J,'Step 2'!D559,'Support - Transition'!E:E,"2009 WELFARE ALLOCATION FACTOR")</f>
        <v>0</v>
      </c>
      <c r="O559" s="152">
        <f t="shared" si="162"/>
        <v>0</v>
      </c>
      <c r="P559" s="126">
        <f>IF(E559="Y",0,SUMIFS('Support - Transition'!G:G,'Support - Transition'!J:J,'Step 2'!D559,'Support - Transition'!E:E,"2009 SCHOOL ALLOCATION FACTOR"))</f>
        <v>0</v>
      </c>
      <c r="Q559" s="126">
        <f>IF(E559="Y",VLOOKUP(D559,'Support - Unit Adjustments'!F:G,2,FALSE),0)</f>
        <v>0</v>
      </c>
      <c r="R559" s="155">
        <f t="shared" si="174"/>
        <v>0</v>
      </c>
      <c r="S559" s="47">
        <f t="shared" si="173"/>
        <v>0</v>
      </c>
      <c r="T559" s="151">
        <f t="shared" si="158"/>
        <v>254000</v>
      </c>
      <c r="U559" s="151">
        <f t="shared" si="159"/>
        <v>0</v>
      </c>
      <c r="V559" s="139">
        <f t="shared" si="160"/>
        <v>0</v>
      </c>
      <c r="W559" s="152">
        <f t="shared" si="163"/>
        <v>254000</v>
      </c>
      <c r="X559" s="127" t="str">
        <f t="shared" si="161"/>
        <v/>
      </c>
      <c r="Y559" s="207">
        <f t="shared" si="164"/>
        <v>254000</v>
      </c>
      <c r="Z559" s="139">
        <f t="shared" si="165"/>
        <v>254000</v>
      </c>
      <c r="AA559" s="139">
        <f t="shared" si="166"/>
        <v>0</v>
      </c>
      <c r="AC559" s="47">
        <f t="shared" si="167"/>
        <v>127000</v>
      </c>
      <c r="AD559" s="47">
        <f t="shared" si="168"/>
        <v>127000</v>
      </c>
      <c r="AE559" s="47">
        <f t="shared" si="169"/>
        <v>0</v>
      </c>
      <c r="AG559" s="47">
        <f t="shared" si="170"/>
        <v>127000</v>
      </c>
      <c r="AH559" s="47">
        <f t="shared" si="171"/>
        <v>127000</v>
      </c>
      <c r="AI559" s="208">
        <f t="shared" si="172"/>
        <v>0</v>
      </c>
    </row>
    <row r="560" spans="1:35">
      <c r="A560" t="s">
        <v>2183</v>
      </c>
      <c r="B560" t="s">
        <v>3155</v>
      </c>
      <c r="C560" t="s">
        <v>2404</v>
      </c>
      <c r="D560" t="s">
        <v>3809</v>
      </c>
      <c r="F560" t="s">
        <v>459</v>
      </c>
      <c r="G560" s="126">
        <f>SUMIFS('Support - Transition'!F:F,'Support - Transition'!B:B,'Step 2'!A560,'Support - Transition'!C:C,'Step 2'!B560,'Support - Transition'!D:D,'Step 2'!C560,'Support - Transition'!E:E,"CIVIL")</f>
        <v>0</v>
      </c>
      <c r="H560" s="126">
        <f>SUMIFS('Support - Transition'!F:F,'Support - Transition'!B:B,'Step 2'!A560,'Support - Transition'!C:C,'Step 2'!B560,'Support - Transition'!D:D,'Step 2'!C560,'Support - Transition'!E:E,"FIRE")</f>
        <v>0</v>
      </c>
      <c r="I560" s="126">
        <f>IF(B560="0",SUMIFS('Support - Transition'!F:F,'Support - Transition'!J:J,'Step 2'!D560,'Support - Transition'!E:E,"STATE UNIT"),SUMIFS('Support - Transition'!F:F,'Support - Transition'!J:J,'Step 2'!D560))</f>
        <v>3.9271E-2</v>
      </c>
      <c r="J560" s="126">
        <f>SUMIFS('Support - Unit Adjustments'!E:E,'Support - Unit Adjustments'!F:F,'Step 2'!D560)</f>
        <v>0</v>
      </c>
      <c r="K560" s="126">
        <f t="shared" si="156"/>
        <v>3.9271E-2</v>
      </c>
      <c r="L560" s="174">
        <f>VLOOKUP(A560,'Step 1'!$A:$E,4,FALSE)</f>
        <v>1968593</v>
      </c>
      <c r="M560" s="47">
        <f t="shared" si="157"/>
        <v>77309</v>
      </c>
      <c r="N560" s="177">
        <f>SUMIFS('Support - Transition'!G:G,'Support - Transition'!J:J,'Step 2'!D560,'Support - Transition'!E:E,"2009 WELFARE ALLOCATION FACTOR")</f>
        <v>0</v>
      </c>
      <c r="O560" s="152">
        <f t="shared" si="162"/>
        <v>0</v>
      </c>
      <c r="P560" s="126">
        <f>IF(E560="Y",0,SUMIFS('Support - Transition'!G:G,'Support - Transition'!J:J,'Step 2'!D560,'Support - Transition'!E:E,"2009 SCHOOL ALLOCATION FACTOR"))</f>
        <v>0</v>
      </c>
      <c r="Q560" s="126">
        <f>IF(E560="Y",VLOOKUP(D560,'Support - Unit Adjustments'!F:G,2,FALSE),0)</f>
        <v>0</v>
      </c>
      <c r="R560" s="155">
        <f t="shared" si="174"/>
        <v>0</v>
      </c>
      <c r="S560" s="47">
        <f t="shared" si="173"/>
        <v>0</v>
      </c>
      <c r="T560" s="151">
        <f t="shared" si="158"/>
        <v>77309</v>
      </c>
      <c r="U560" s="151">
        <f t="shared" si="159"/>
        <v>0</v>
      </c>
      <c r="V560" s="139">
        <f t="shared" si="160"/>
        <v>0</v>
      </c>
      <c r="W560" s="152">
        <f t="shared" si="163"/>
        <v>77309</v>
      </c>
      <c r="X560" s="127" t="str">
        <f t="shared" si="161"/>
        <v/>
      </c>
      <c r="Y560" s="207">
        <f t="shared" si="164"/>
        <v>77309</v>
      </c>
      <c r="Z560" s="139">
        <f t="shared" si="165"/>
        <v>77309</v>
      </c>
      <c r="AA560" s="139">
        <f t="shared" si="166"/>
        <v>0</v>
      </c>
      <c r="AC560" s="47">
        <f t="shared" si="167"/>
        <v>38655</v>
      </c>
      <c r="AD560" s="47">
        <f t="shared" si="168"/>
        <v>38655</v>
      </c>
      <c r="AE560" s="47">
        <f t="shared" si="169"/>
        <v>0</v>
      </c>
      <c r="AG560" s="47">
        <f t="shared" si="170"/>
        <v>38654</v>
      </c>
      <c r="AH560" s="47">
        <f t="shared" si="171"/>
        <v>38654</v>
      </c>
      <c r="AI560" s="208">
        <f t="shared" si="172"/>
        <v>0</v>
      </c>
    </row>
    <row r="561" spans="1:35">
      <c r="A561" t="s">
        <v>2183</v>
      </c>
      <c r="B561" t="s">
        <v>3155</v>
      </c>
      <c r="C561" t="s">
        <v>2405</v>
      </c>
      <c r="D561" t="s">
        <v>3810</v>
      </c>
      <c r="F561" t="s">
        <v>462</v>
      </c>
      <c r="G561" s="126">
        <f>SUMIFS('Support - Transition'!F:F,'Support - Transition'!B:B,'Step 2'!A561,'Support - Transition'!C:C,'Step 2'!B561,'Support - Transition'!D:D,'Step 2'!C561,'Support - Transition'!E:E,"CIVIL")</f>
        <v>0</v>
      </c>
      <c r="H561" s="126">
        <f>SUMIFS('Support - Transition'!F:F,'Support - Transition'!B:B,'Step 2'!A561,'Support - Transition'!C:C,'Step 2'!B561,'Support - Transition'!D:D,'Step 2'!C561,'Support - Transition'!E:E,"FIRE")</f>
        <v>0</v>
      </c>
      <c r="I561" s="126">
        <f>IF(B561="0",SUMIFS('Support - Transition'!F:F,'Support - Transition'!J:J,'Step 2'!D561,'Support - Transition'!E:E,"STATE UNIT"),SUMIFS('Support - Transition'!F:F,'Support - Transition'!J:J,'Step 2'!D561))</f>
        <v>4.104E-3</v>
      </c>
      <c r="J561" s="126">
        <f>SUMIFS('Support - Unit Adjustments'!E:E,'Support - Unit Adjustments'!F:F,'Step 2'!D561)</f>
        <v>0</v>
      </c>
      <c r="K561" s="126">
        <f t="shared" si="156"/>
        <v>4.104E-3</v>
      </c>
      <c r="L561" s="174">
        <f>VLOOKUP(A561,'Step 1'!$A:$E,4,FALSE)</f>
        <v>1968593</v>
      </c>
      <c r="M561" s="47">
        <f t="shared" si="157"/>
        <v>8079</v>
      </c>
      <c r="N561" s="177">
        <f>SUMIFS('Support - Transition'!G:G,'Support - Transition'!J:J,'Step 2'!D561,'Support - Transition'!E:E,"2009 WELFARE ALLOCATION FACTOR")</f>
        <v>0</v>
      </c>
      <c r="O561" s="152">
        <f t="shared" si="162"/>
        <v>0</v>
      </c>
      <c r="P561" s="126">
        <f>IF(E561="Y",0,SUMIFS('Support - Transition'!G:G,'Support - Transition'!J:J,'Step 2'!D561,'Support - Transition'!E:E,"2009 SCHOOL ALLOCATION FACTOR"))</f>
        <v>0</v>
      </c>
      <c r="Q561" s="126">
        <f>IF(E561="Y",VLOOKUP(D561,'Support - Unit Adjustments'!F:G,2,FALSE),0)</f>
        <v>0</v>
      </c>
      <c r="R561" s="155">
        <f t="shared" si="174"/>
        <v>0</v>
      </c>
      <c r="S561" s="47">
        <f t="shared" si="173"/>
        <v>0</v>
      </c>
      <c r="T561" s="151">
        <f t="shared" si="158"/>
        <v>8079</v>
      </c>
      <c r="U561" s="151">
        <f t="shared" si="159"/>
        <v>0</v>
      </c>
      <c r="V561" s="139">
        <f t="shared" si="160"/>
        <v>0</v>
      </c>
      <c r="W561" s="152">
        <f t="shared" si="163"/>
        <v>8079</v>
      </c>
      <c r="X561" s="127" t="str">
        <f t="shared" si="161"/>
        <v/>
      </c>
      <c r="Y561" s="207">
        <f t="shared" si="164"/>
        <v>8079</v>
      </c>
      <c r="Z561" s="139">
        <f t="shared" si="165"/>
        <v>8079</v>
      </c>
      <c r="AA561" s="139">
        <f t="shared" si="166"/>
        <v>0</v>
      </c>
      <c r="AC561" s="47">
        <f t="shared" si="167"/>
        <v>4040</v>
      </c>
      <c r="AD561" s="47">
        <f t="shared" si="168"/>
        <v>4040</v>
      </c>
      <c r="AE561" s="47">
        <f t="shared" si="169"/>
        <v>0</v>
      </c>
      <c r="AG561" s="47">
        <f t="shared" si="170"/>
        <v>4039</v>
      </c>
      <c r="AH561" s="47">
        <f t="shared" si="171"/>
        <v>4039</v>
      </c>
      <c r="AI561" s="208">
        <f t="shared" si="172"/>
        <v>0</v>
      </c>
    </row>
    <row r="562" spans="1:35">
      <c r="A562" t="s">
        <v>2183</v>
      </c>
      <c r="B562" t="s">
        <v>3155</v>
      </c>
      <c r="C562" t="s">
        <v>2406</v>
      </c>
      <c r="D562" t="s">
        <v>3811</v>
      </c>
      <c r="F562" t="s">
        <v>457</v>
      </c>
      <c r="G562" s="126">
        <f>SUMIFS('Support - Transition'!F:F,'Support - Transition'!B:B,'Step 2'!A562,'Support - Transition'!C:C,'Step 2'!B562,'Support - Transition'!D:D,'Step 2'!C562,'Support - Transition'!E:E,"CIVIL")</f>
        <v>0</v>
      </c>
      <c r="H562" s="126">
        <f>SUMIFS('Support - Transition'!F:F,'Support - Transition'!B:B,'Step 2'!A562,'Support - Transition'!C:C,'Step 2'!B562,'Support - Transition'!D:D,'Step 2'!C562,'Support - Transition'!E:E,"FIRE")</f>
        <v>0</v>
      </c>
      <c r="I562" s="126">
        <f>IF(B562="0",SUMIFS('Support - Transition'!F:F,'Support - Transition'!J:J,'Step 2'!D562,'Support - Transition'!E:E,"STATE UNIT"),SUMIFS('Support - Transition'!F:F,'Support - Transition'!J:J,'Step 2'!D562))</f>
        <v>3.8440000000000002E-3</v>
      </c>
      <c r="J562" s="126">
        <f>SUMIFS('Support - Unit Adjustments'!E:E,'Support - Unit Adjustments'!F:F,'Step 2'!D562)</f>
        <v>0</v>
      </c>
      <c r="K562" s="126">
        <f t="shared" si="156"/>
        <v>3.8440000000000002E-3</v>
      </c>
      <c r="L562" s="174">
        <f>VLOOKUP(A562,'Step 1'!$A:$E,4,FALSE)</f>
        <v>1968593</v>
      </c>
      <c r="M562" s="47">
        <f t="shared" si="157"/>
        <v>7567</v>
      </c>
      <c r="N562" s="177">
        <f>SUMIFS('Support - Transition'!G:G,'Support - Transition'!J:J,'Step 2'!D562,'Support - Transition'!E:E,"2009 WELFARE ALLOCATION FACTOR")</f>
        <v>0</v>
      </c>
      <c r="O562" s="152">
        <f t="shared" si="162"/>
        <v>0</v>
      </c>
      <c r="P562" s="126">
        <f>IF(E562="Y",0,SUMIFS('Support - Transition'!G:G,'Support - Transition'!J:J,'Step 2'!D562,'Support - Transition'!E:E,"2009 SCHOOL ALLOCATION FACTOR"))</f>
        <v>0</v>
      </c>
      <c r="Q562" s="126">
        <f>IF(E562="Y",VLOOKUP(D562,'Support - Unit Adjustments'!F:G,2,FALSE),0)</f>
        <v>0</v>
      </c>
      <c r="R562" s="155">
        <f t="shared" si="174"/>
        <v>0</v>
      </c>
      <c r="S562" s="47">
        <f t="shared" si="173"/>
        <v>0</v>
      </c>
      <c r="T562" s="151">
        <f t="shared" si="158"/>
        <v>7567</v>
      </c>
      <c r="U562" s="151">
        <f t="shared" si="159"/>
        <v>0</v>
      </c>
      <c r="V562" s="139">
        <f t="shared" si="160"/>
        <v>0</v>
      </c>
      <c r="W562" s="152">
        <f t="shared" si="163"/>
        <v>7567</v>
      </c>
      <c r="X562" s="127" t="str">
        <f t="shared" si="161"/>
        <v/>
      </c>
      <c r="Y562" s="207">
        <f t="shared" si="164"/>
        <v>7567</v>
      </c>
      <c r="Z562" s="139">
        <f t="shared" si="165"/>
        <v>7567</v>
      </c>
      <c r="AA562" s="139">
        <f t="shared" si="166"/>
        <v>0</v>
      </c>
      <c r="AC562" s="47">
        <f t="shared" si="167"/>
        <v>3784</v>
      </c>
      <c r="AD562" s="47">
        <f t="shared" si="168"/>
        <v>3784</v>
      </c>
      <c r="AE562" s="47">
        <f t="shared" si="169"/>
        <v>0</v>
      </c>
      <c r="AG562" s="47">
        <f t="shared" si="170"/>
        <v>3783</v>
      </c>
      <c r="AH562" s="47">
        <f t="shared" si="171"/>
        <v>3783</v>
      </c>
      <c r="AI562" s="208">
        <f t="shared" si="172"/>
        <v>0</v>
      </c>
    </row>
    <row r="563" spans="1:35">
      <c r="A563" t="s">
        <v>2183</v>
      </c>
      <c r="B563" t="s">
        <v>3155</v>
      </c>
      <c r="C563" t="s">
        <v>2407</v>
      </c>
      <c r="D563" t="s">
        <v>3812</v>
      </c>
      <c r="F563" t="s">
        <v>460</v>
      </c>
      <c r="G563" s="126">
        <f>SUMIFS('Support - Transition'!F:F,'Support - Transition'!B:B,'Step 2'!A563,'Support - Transition'!C:C,'Step 2'!B563,'Support - Transition'!D:D,'Step 2'!C563,'Support - Transition'!E:E,"CIVIL")</f>
        <v>0</v>
      </c>
      <c r="H563" s="126">
        <f>SUMIFS('Support - Transition'!F:F,'Support - Transition'!B:B,'Step 2'!A563,'Support - Transition'!C:C,'Step 2'!B563,'Support - Transition'!D:D,'Step 2'!C563,'Support - Transition'!E:E,"FIRE")</f>
        <v>0</v>
      </c>
      <c r="I563" s="126">
        <f>IF(B563="0",SUMIFS('Support - Transition'!F:F,'Support - Transition'!J:J,'Step 2'!D563,'Support - Transition'!E:E,"STATE UNIT"),SUMIFS('Support - Transition'!F:F,'Support - Transition'!J:J,'Step 2'!D563))</f>
        <v>5.1980000000000004E-3</v>
      </c>
      <c r="J563" s="126">
        <f>SUMIFS('Support - Unit Adjustments'!E:E,'Support - Unit Adjustments'!F:F,'Step 2'!D563)</f>
        <v>0</v>
      </c>
      <c r="K563" s="126">
        <f t="shared" si="156"/>
        <v>5.1980000000000004E-3</v>
      </c>
      <c r="L563" s="174">
        <f>VLOOKUP(A563,'Step 1'!$A:$E,4,FALSE)</f>
        <v>1968593</v>
      </c>
      <c r="M563" s="47">
        <f t="shared" si="157"/>
        <v>10233</v>
      </c>
      <c r="N563" s="177">
        <f>SUMIFS('Support - Transition'!G:G,'Support - Transition'!J:J,'Step 2'!D563,'Support - Transition'!E:E,"2009 WELFARE ALLOCATION FACTOR")</f>
        <v>0</v>
      </c>
      <c r="O563" s="152">
        <f t="shared" si="162"/>
        <v>0</v>
      </c>
      <c r="P563" s="126">
        <f>IF(E563="Y",0,SUMIFS('Support - Transition'!G:G,'Support - Transition'!J:J,'Step 2'!D563,'Support - Transition'!E:E,"2009 SCHOOL ALLOCATION FACTOR"))</f>
        <v>0</v>
      </c>
      <c r="Q563" s="126">
        <f>IF(E563="Y",VLOOKUP(D563,'Support - Unit Adjustments'!F:G,2,FALSE),0)</f>
        <v>0</v>
      </c>
      <c r="R563" s="155">
        <f t="shared" si="174"/>
        <v>0</v>
      </c>
      <c r="S563" s="47">
        <f t="shared" si="173"/>
        <v>0</v>
      </c>
      <c r="T563" s="151">
        <f t="shared" si="158"/>
        <v>10233</v>
      </c>
      <c r="U563" s="151">
        <f t="shared" si="159"/>
        <v>0</v>
      </c>
      <c r="V563" s="139">
        <f t="shared" si="160"/>
        <v>0</v>
      </c>
      <c r="W563" s="152">
        <f t="shared" si="163"/>
        <v>10233</v>
      </c>
      <c r="X563" s="127" t="str">
        <f t="shared" si="161"/>
        <v/>
      </c>
      <c r="Y563" s="207">
        <f t="shared" si="164"/>
        <v>10233</v>
      </c>
      <c r="Z563" s="139">
        <f t="shared" si="165"/>
        <v>10233</v>
      </c>
      <c r="AA563" s="139">
        <f t="shared" si="166"/>
        <v>0</v>
      </c>
      <c r="AC563" s="47">
        <f t="shared" si="167"/>
        <v>5117</v>
      </c>
      <c r="AD563" s="47">
        <f t="shared" si="168"/>
        <v>5117</v>
      </c>
      <c r="AE563" s="47">
        <f t="shared" si="169"/>
        <v>0</v>
      </c>
      <c r="AG563" s="47">
        <f t="shared" si="170"/>
        <v>5116</v>
      </c>
      <c r="AH563" s="47">
        <f t="shared" si="171"/>
        <v>5116</v>
      </c>
      <c r="AI563" s="208">
        <f t="shared" si="172"/>
        <v>0</v>
      </c>
    </row>
    <row r="564" spans="1:35">
      <c r="A564" t="s">
        <v>2183</v>
      </c>
      <c r="B564" t="s">
        <v>3155</v>
      </c>
      <c r="C564" t="s">
        <v>2408</v>
      </c>
      <c r="D564" t="s">
        <v>3813</v>
      </c>
      <c r="F564" t="s">
        <v>461</v>
      </c>
      <c r="G564" s="126">
        <f>SUMIFS('Support - Transition'!F:F,'Support - Transition'!B:B,'Step 2'!A564,'Support - Transition'!C:C,'Step 2'!B564,'Support - Transition'!D:D,'Step 2'!C564,'Support - Transition'!E:E,"CIVIL")</f>
        <v>0</v>
      </c>
      <c r="H564" s="126">
        <f>SUMIFS('Support - Transition'!F:F,'Support - Transition'!B:B,'Step 2'!A564,'Support - Transition'!C:C,'Step 2'!B564,'Support - Transition'!D:D,'Step 2'!C564,'Support - Transition'!E:E,"FIRE")</f>
        <v>0</v>
      </c>
      <c r="I564" s="126">
        <f>IF(B564="0",SUMIFS('Support - Transition'!F:F,'Support - Transition'!J:J,'Step 2'!D564,'Support - Transition'!E:E,"STATE UNIT"),SUMIFS('Support - Transition'!F:F,'Support - Transition'!J:J,'Step 2'!D564))</f>
        <v>0</v>
      </c>
      <c r="J564" s="126">
        <f>SUMIFS('Support - Unit Adjustments'!E:E,'Support - Unit Adjustments'!F:F,'Step 2'!D564)</f>
        <v>0</v>
      </c>
      <c r="K564" s="126">
        <f t="shared" si="156"/>
        <v>0</v>
      </c>
      <c r="L564" s="174">
        <f>VLOOKUP(A564,'Step 1'!$A:$E,4,FALSE)</f>
        <v>1968593</v>
      </c>
      <c r="M564" s="47">
        <f t="shared" si="157"/>
        <v>0</v>
      </c>
      <c r="N564" s="177">
        <f>SUMIFS('Support - Transition'!G:G,'Support - Transition'!J:J,'Step 2'!D564,'Support - Transition'!E:E,"2009 WELFARE ALLOCATION FACTOR")</f>
        <v>0</v>
      </c>
      <c r="O564" s="152">
        <f t="shared" si="162"/>
        <v>0</v>
      </c>
      <c r="P564" s="126">
        <f>IF(E564="Y",0,SUMIFS('Support - Transition'!G:G,'Support - Transition'!J:J,'Step 2'!D564,'Support - Transition'!E:E,"2009 SCHOOL ALLOCATION FACTOR"))</f>
        <v>0</v>
      </c>
      <c r="Q564" s="126">
        <f>IF(E564="Y",VLOOKUP(D564,'Support - Unit Adjustments'!F:G,2,FALSE),0)</f>
        <v>0</v>
      </c>
      <c r="R564" s="155">
        <f t="shared" si="174"/>
        <v>0</v>
      </c>
      <c r="S564" s="47">
        <f t="shared" si="173"/>
        <v>0</v>
      </c>
      <c r="T564" s="151">
        <f t="shared" si="158"/>
        <v>0</v>
      </c>
      <c r="U564" s="151">
        <f t="shared" si="159"/>
        <v>0</v>
      </c>
      <c r="V564" s="139">
        <f t="shared" si="160"/>
        <v>0</v>
      </c>
      <c r="W564" s="152">
        <f t="shared" si="163"/>
        <v>0</v>
      </c>
      <c r="X564" s="127" t="str">
        <f t="shared" si="161"/>
        <v/>
      </c>
      <c r="Y564" s="207">
        <f t="shared" si="164"/>
        <v>0</v>
      </c>
      <c r="Z564" s="139">
        <f t="shared" si="165"/>
        <v>0</v>
      </c>
      <c r="AA564" s="139">
        <f t="shared" si="166"/>
        <v>0</v>
      </c>
      <c r="AC564" s="47">
        <f t="shared" si="167"/>
        <v>0</v>
      </c>
      <c r="AD564" s="47">
        <f t="shared" si="168"/>
        <v>0</v>
      </c>
      <c r="AE564" s="47">
        <f t="shared" si="169"/>
        <v>0</v>
      </c>
      <c r="AG564" s="47">
        <f t="shared" si="170"/>
        <v>0</v>
      </c>
      <c r="AH564" s="47">
        <f t="shared" si="171"/>
        <v>0</v>
      </c>
      <c r="AI564" s="208">
        <f t="shared" si="172"/>
        <v>0</v>
      </c>
    </row>
    <row r="565" spans="1:35">
      <c r="A565" t="s">
        <v>2183</v>
      </c>
      <c r="B565" t="s">
        <v>3155</v>
      </c>
      <c r="C565" t="s">
        <v>2409</v>
      </c>
      <c r="D565" t="s">
        <v>3814</v>
      </c>
      <c r="F565" t="s">
        <v>463</v>
      </c>
      <c r="G565" s="126">
        <f>SUMIFS('Support - Transition'!F:F,'Support - Transition'!B:B,'Step 2'!A565,'Support - Transition'!C:C,'Step 2'!B565,'Support - Transition'!D:D,'Step 2'!C565,'Support - Transition'!E:E,"CIVIL")</f>
        <v>0</v>
      </c>
      <c r="H565" s="126">
        <f>SUMIFS('Support - Transition'!F:F,'Support - Transition'!B:B,'Step 2'!A565,'Support - Transition'!C:C,'Step 2'!B565,'Support - Transition'!D:D,'Step 2'!C565,'Support - Transition'!E:E,"FIRE")</f>
        <v>0</v>
      </c>
      <c r="I565" s="126">
        <f>IF(B565="0",SUMIFS('Support - Transition'!F:F,'Support - Transition'!J:J,'Step 2'!D565,'Support - Transition'!E:E,"STATE UNIT"),SUMIFS('Support - Transition'!F:F,'Support - Transition'!J:J,'Step 2'!D565))</f>
        <v>2.483E-3</v>
      </c>
      <c r="J565" s="126">
        <f>SUMIFS('Support - Unit Adjustments'!E:E,'Support - Unit Adjustments'!F:F,'Step 2'!D565)</f>
        <v>0</v>
      </c>
      <c r="K565" s="126">
        <f t="shared" si="156"/>
        <v>2.483E-3</v>
      </c>
      <c r="L565" s="174">
        <f>VLOOKUP(A565,'Step 1'!$A:$E,4,FALSE)</f>
        <v>1968593</v>
      </c>
      <c r="M565" s="47">
        <f t="shared" si="157"/>
        <v>4888</v>
      </c>
      <c r="N565" s="177">
        <f>SUMIFS('Support - Transition'!G:G,'Support - Transition'!J:J,'Step 2'!D565,'Support - Transition'!E:E,"2009 WELFARE ALLOCATION FACTOR")</f>
        <v>0</v>
      </c>
      <c r="O565" s="152">
        <f t="shared" si="162"/>
        <v>0</v>
      </c>
      <c r="P565" s="126">
        <f>IF(E565="Y",0,SUMIFS('Support - Transition'!G:G,'Support - Transition'!J:J,'Step 2'!D565,'Support - Transition'!E:E,"2009 SCHOOL ALLOCATION FACTOR"))</f>
        <v>0</v>
      </c>
      <c r="Q565" s="126">
        <f>IF(E565="Y",VLOOKUP(D565,'Support - Unit Adjustments'!F:G,2,FALSE),0)</f>
        <v>0</v>
      </c>
      <c r="R565" s="155">
        <f t="shared" si="174"/>
        <v>0</v>
      </c>
      <c r="S565" s="47">
        <f t="shared" si="173"/>
        <v>0</v>
      </c>
      <c r="T565" s="151">
        <f t="shared" si="158"/>
        <v>4888</v>
      </c>
      <c r="U565" s="151">
        <f t="shared" si="159"/>
        <v>0</v>
      </c>
      <c r="V565" s="139">
        <f t="shared" si="160"/>
        <v>0</v>
      </c>
      <c r="W565" s="152">
        <f t="shared" si="163"/>
        <v>4888</v>
      </c>
      <c r="X565" s="127" t="str">
        <f t="shared" si="161"/>
        <v/>
      </c>
      <c r="Y565" s="207">
        <f t="shared" si="164"/>
        <v>4888</v>
      </c>
      <c r="Z565" s="139">
        <f t="shared" si="165"/>
        <v>4888</v>
      </c>
      <c r="AA565" s="139">
        <f t="shared" si="166"/>
        <v>0</v>
      </c>
      <c r="AC565" s="47">
        <f t="shared" si="167"/>
        <v>2444</v>
      </c>
      <c r="AD565" s="47">
        <f t="shared" si="168"/>
        <v>2444</v>
      </c>
      <c r="AE565" s="47">
        <f t="shared" si="169"/>
        <v>0</v>
      </c>
      <c r="AG565" s="47">
        <f t="shared" si="170"/>
        <v>2444</v>
      </c>
      <c r="AH565" s="47">
        <f t="shared" si="171"/>
        <v>2444</v>
      </c>
      <c r="AI565" s="208">
        <f t="shared" si="172"/>
        <v>0</v>
      </c>
    </row>
    <row r="566" spans="1:35">
      <c r="A566" t="s">
        <v>2183</v>
      </c>
      <c r="B566" t="s">
        <v>3155</v>
      </c>
      <c r="C566" t="s">
        <v>3815</v>
      </c>
      <c r="D566" t="s">
        <v>3816</v>
      </c>
      <c r="F566" t="s">
        <v>966</v>
      </c>
      <c r="G566" s="126">
        <f>SUMIFS('Support - Transition'!F:F,'Support - Transition'!B:B,'Step 2'!A566,'Support - Transition'!C:C,'Step 2'!B566,'Support - Transition'!D:D,'Step 2'!C566,'Support - Transition'!E:E,"CIVIL")</f>
        <v>0</v>
      </c>
      <c r="H566" s="126">
        <f>SUMIFS('Support - Transition'!F:F,'Support - Transition'!B:B,'Step 2'!A566,'Support - Transition'!C:C,'Step 2'!B566,'Support - Transition'!D:D,'Step 2'!C566,'Support - Transition'!E:E,"FIRE")</f>
        <v>0</v>
      </c>
      <c r="I566" s="126">
        <f>IF(B566="0",SUMIFS('Support - Transition'!F:F,'Support - Transition'!J:J,'Step 2'!D566,'Support - Transition'!E:E,"STATE UNIT"),SUMIFS('Support - Transition'!F:F,'Support - Transition'!J:J,'Step 2'!D566))</f>
        <v>0</v>
      </c>
      <c r="J566" s="126">
        <f>SUMIFS('Support - Unit Adjustments'!E:E,'Support - Unit Adjustments'!F:F,'Step 2'!D566)</f>
        <v>0</v>
      </c>
      <c r="K566" s="126">
        <f t="shared" si="156"/>
        <v>0</v>
      </c>
      <c r="L566" s="174">
        <f>VLOOKUP(A566,'Step 1'!$A:$E,4,FALSE)</f>
        <v>1968593</v>
      </c>
      <c r="M566" s="47">
        <f t="shared" si="157"/>
        <v>0</v>
      </c>
      <c r="N566" s="177">
        <f>SUMIFS('Support - Transition'!G:G,'Support - Transition'!J:J,'Step 2'!D566,'Support - Transition'!E:E,"2009 WELFARE ALLOCATION FACTOR")</f>
        <v>0</v>
      </c>
      <c r="O566" s="152">
        <f t="shared" si="162"/>
        <v>0</v>
      </c>
      <c r="P566" s="126">
        <f>IF(E566="Y",0,SUMIFS('Support - Transition'!G:G,'Support - Transition'!J:J,'Step 2'!D566,'Support - Transition'!E:E,"2009 SCHOOL ALLOCATION FACTOR"))</f>
        <v>0</v>
      </c>
      <c r="Q566" s="126">
        <f>IF(E566="Y",VLOOKUP(D566,'Support - Unit Adjustments'!F:G,2,FALSE),0)</f>
        <v>0</v>
      </c>
      <c r="R566" s="155">
        <f t="shared" si="174"/>
        <v>0</v>
      </c>
      <c r="S566" s="47">
        <f t="shared" si="173"/>
        <v>0</v>
      </c>
      <c r="T566" s="151">
        <f t="shared" si="158"/>
        <v>0</v>
      </c>
      <c r="U566" s="151">
        <f t="shared" si="159"/>
        <v>0</v>
      </c>
      <c r="V566" s="139">
        <f t="shared" si="160"/>
        <v>0</v>
      </c>
      <c r="W566" s="152">
        <f t="shared" si="163"/>
        <v>0</v>
      </c>
      <c r="X566" s="127" t="str">
        <f t="shared" si="161"/>
        <v/>
      </c>
      <c r="Y566" s="207">
        <f t="shared" si="164"/>
        <v>0</v>
      </c>
      <c r="Z566" s="139">
        <f t="shared" si="165"/>
        <v>0</v>
      </c>
      <c r="AA566" s="139">
        <f t="shared" si="166"/>
        <v>0</v>
      </c>
      <c r="AC566" s="47">
        <f t="shared" si="167"/>
        <v>0</v>
      </c>
      <c r="AD566" s="47">
        <f t="shared" si="168"/>
        <v>0</v>
      </c>
      <c r="AE566" s="47">
        <f t="shared" si="169"/>
        <v>0</v>
      </c>
      <c r="AG566" s="47">
        <f t="shared" si="170"/>
        <v>0</v>
      </c>
      <c r="AH566" s="47">
        <f t="shared" si="171"/>
        <v>0</v>
      </c>
      <c r="AI566" s="208">
        <f t="shared" si="172"/>
        <v>0</v>
      </c>
    </row>
    <row r="567" spans="1:35">
      <c r="A567" t="s">
        <v>2183</v>
      </c>
      <c r="B567" t="s">
        <v>3160</v>
      </c>
      <c r="C567" t="s">
        <v>2410</v>
      </c>
      <c r="D567" t="s">
        <v>3817</v>
      </c>
      <c r="F567" t="s">
        <v>467</v>
      </c>
      <c r="G567" s="126">
        <f>SUMIFS('Support - Transition'!F:F,'Support - Transition'!B:B,'Step 2'!A567,'Support - Transition'!C:C,'Step 2'!B567,'Support - Transition'!D:D,'Step 2'!C567,'Support - Transition'!E:E,"CIVIL")</f>
        <v>0</v>
      </c>
      <c r="H567" s="126">
        <f>SUMIFS('Support - Transition'!F:F,'Support - Transition'!B:B,'Step 2'!A567,'Support - Transition'!C:C,'Step 2'!B567,'Support - Transition'!D:D,'Step 2'!C567,'Support - Transition'!E:E,"FIRE")</f>
        <v>0</v>
      </c>
      <c r="I567" s="126">
        <f>IF(B567="0",SUMIFS('Support - Transition'!F:F,'Support - Transition'!J:J,'Step 2'!D567,'Support - Transition'!E:E,"STATE UNIT"),SUMIFS('Support - Transition'!F:F,'Support - Transition'!J:J,'Step 2'!D567))</f>
        <v>5.1456000000000002E-2</v>
      </c>
      <c r="J567" s="126">
        <f>SUMIFS('Support - Unit Adjustments'!E:E,'Support - Unit Adjustments'!F:F,'Step 2'!D567)</f>
        <v>0</v>
      </c>
      <c r="K567" s="126">
        <f t="shared" si="156"/>
        <v>5.1456000000000002E-2</v>
      </c>
      <c r="L567" s="174">
        <f>VLOOKUP(A567,'Step 1'!$A:$E,4,FALSE)</f>
        <v>1968593</v>
      </c>
      <c r="M567" s="47">
        <f t="shared" si="157"/>
        <v>101296</v>
      </c>
      <c r="N567" s="177">
        <f>SUMIFS('Support - Transition'!G:G,'Support - Transition'!J:J,'Step 2'!D567,'Support - Transition'!E:E,"2009 WELFARE ALLOCATION FACTOR")</f>
        <v>0</v>
      </c>
      <c r="O567" s="152">
        <f t="shared" si="162"/>
        <v>0</v>
      </c>
      <c r="P567" s="126">
        <f>IF(E567="Y",0,SUMIFS('Support - Transition'!G:G,'Support - Transition'!J:J,'Step 2'!D567,'Support - Transition'!E:E,"2009 SCHOOL ALLOCATION FACTOR"))</f>
        <v>0.38996199999999998</v>
      </c>
      <c r="Q567" s="126">
        <f>IF(E567="Y",VLOOKUP(D567,'Support - Unit Adjustments'!F:G,2,FALSE),0)</f>
        <v>0</v>
      </c>
      <c r="R567" s="155">
        <f t="shared" si="174"/>
        <v>0.38996199999999998</v>
      </c>
      <c r="S567" s="47">
        <f t="shared" si="173"/>
        <v>39502</v>
      </c>
      <c r="T567" s="151">
        <f t="shared" si="158"/>
        <v>61794</v>
      </c>
      <c r="U567" s="151">
        <f t="shared" si="159"/>
        <v>0</v>
      </c>
      <c r="V567" s="139">
        <f t="shared" si="160"/>
        <v>0</v>
      </c>
      <c r="W567" s="152">
        <f t="shared" si="163"/>
        <v>61794</v>
      </c>
      <c r="X567" s="127" t="str">
        <f t="shared" si="161"/>
        <v/>
      </c>
      <c r="Y567" s="207">
        <f t="shared" si="164"/>
        <v>61794</v>
      </c>
      <c r="Z567" s="139">
        <f t="shared" si="165"/>
        <v>61794</v>
      </c>
      <c r="AA567" s="139">
        <f t="shared" si="166"/>
        <v>0</v>
      </c>
      <c r="AC567" s="47">
        <f t="shared" si="167"/>
        <v>30897</v>
      </c>
      <c r="AD567" s="47">
        <f t="shared" si="168"/>
        <v>30897</v>
      </c>
      <c r="AE567" s="47">
        <f t="shared" si="169"/>
        <v>0</v>
      </c>
      <c r="AG567" s="47">
        <f t="shared" si="170"/>
        <v>30897</v>
      </c>
      <c r="AH567" s="47">
        <f t="shared" si="171"/>
        <v>30897</v>
      </c>
      <c r="AI567" s="208">
        <f t="shared" si="172"/>
        <v>0</v>
      </c>
    </row>
    <row r="568" spans="1:35">
      <c r="A568" t="s">
        <v>2183</v>
      </c>
      <c r="B568" t="s">
        <v>3160</v>
      </c>
      <c r="C568" t="s">
        <v>2411</v>
      </c>
      <c r="D568" t="s">
        <v>3818</v>
      </c>
      <c r="F568" t="s">
        <v>464</v>
      </c>
      <c r="G568" s="126">
        <f>SUMIFS('Support - Transition'!F:F,'Support - Transition'!B:B,'Step 2'!A568,'Support - Transition'!C:C,'Step 2'!B568,'Support - Transition'!D:D,'Step 2'!C568,'Support - Transition'!E:E,"CIVIL")</f>
        <v>0</v>
      </c>
      <c r="H568" s="126">
        <f>SUMIFS('Support - Transition'!F:F,'Support - Transition'!B:B,'Step 2'!A568,'Support - Transition'!C:C,'Step 2'!B568,'Support - Transition'!D:D,'Step 2'!C568,'Support - Transition'!E:E,"FIRE")</f>
        <v>0</v>
      </c>
      <c r="I568" s="126">
        <f>IF(B568="0",SUMIFS('Support - Transition'!F:F,'Support - Transition'!J:J,'Step 2'!D568,'Support - Transition'!E:E,"STATE UNIT"),SUMIFS('Support - Transition'!F:F,'Support - Transition'!J:J,'Step 2'!D568))</f>
        <v>4.9917000000000003E-2</v>
      </c>
      <c r="J568" s="126">
        <f>SUMIFS('Support - Unit Adjustments'!E:E,'Support - Unit Adjustments'!F:F,'Step 2'!D568)</f>
        <v>0</v>
      </c>
      <c r="K568" s="126">
        <f t="shared" si="156"/>
        <v>4.9917000000000003E-2</v>
      </c>
      <c r="L568" s="174">
        <f>VLOOKUP(A568,'Step 1'!$A:$E,4,FALSE)</f>
        <v>1968593</v>
      </c>
      <c r="M568" s="47">
        <f t="shared" si="157"/>
        <v>98266</v>
      </c>
      <c r="N568" s="177">
        <f>SUMIFS('Support - Transition'!G:G,'Support - Transition'!J:J,'Step 2'!D568,'Support - Transition'!E:E,"2009 WELFARE ALLOCATION FACTOR")</f>
        <v>0</v>
      </c>
      <c r="O568" s="152">
        <f t="shared" si="162"/>
        <v>0</v>
      </c>
      <c r="P568" s="126">
        <f>IF(E568="Y",0,SUMIFS('Support - Transition'!G:G,'Support - Transition'!J:J,'Step 2'!D568,'Support - Transition'!E:E,"2009 SCHOOL ALLOCATION FACTOR"))</f>
        <v>0.35947699999999999</v>
      </c>
      <c r="Q568" s="126">
        <f>IF(E568="Y",VLOOKUP(D568,'Support - Unit Adjustments'!F:G,2,FALSE),0)</f>
        <v>0</v>
      </c>
      <c r="R568" s="155">
        <f t="shared" si="174"/>
        <v>0.35947699999999999</v>
      </c>
      <c r="S568" s="47">
        <f t="shared" si="173"/>
        <v>35324</v>
      </c>
      <c r="T568" s="151">
        <f t="shared" si="158"/>
        <v>62942</v>
      </c>
      <c r="U568" s="151">
        <f t="shared" si="159"/>
        <v>0</v>
      </c>
      <c r="V568" s="139">
        <f t="shared" si="160"/>
        <v>0</v>
      </c>
      <c r="W568" s="152">
        <f t="shared" si="163"/>
        <v>62942</v>
      </c>
      <c r="X568" s="127" t="str">
        <f t="shared" si="161"/>
        <v/>
      </c>
      <c r="Y568" s="207">
        <f t="shared" si="164"/>
        <v>62942</v>
      </c>
      <c r="Z568" s="139">
        <f t="shared" si="165"/>
        <v>62942</v>
      </c>
      <c r="AA568" s="139">
        <f t="shared" si="166"/>
        <v>0</v>
      </c>
      <c r="AC568" s="47">
        <f t="shared" si="167"/>
        <v>31471</v>
      </c>
      <c r="AD568" s="47">
        <f t="shared" si="168"/>
        <v>31471</v>
      </c>
      <c r="AE568" s="47">
        <f t="shared" si="169"/>
        <v>0</v>
      </c>
      <c r="AG568" s="47">
        <f t="shared" si="170"/>
        <v>31471</v>
      </c>
      <c r="AH568" s="47">
        <f t="shared" si="171"/>
        <v>31471</v>
      </c>
      <c r="AI568" s="208">
        <f t="shared" si="172"/>
        <v>0</v>
      </c>
    </row>
    <row r="569" spans="1:35">
      <c r="A569" t="s">
        <v>2183</v>
      </c>
      <c r="B569" t="s">
        <v>3160</v>
      </c>
      <c r="C569" t="s">
        <v>2412</v>
      </c>
      <c r="D569" t="s">
        <v>3819</v>
      </c>
      <c r="F569" t="s">
        <v>465</v>
      </c>
      <c r="G569" s="126">
        <f>SUMIFS('Support - Transition'!F:F,'Support - Transition'!B:B,'Step 2'!A569,'Support - Transition'!C:C,'Step 2'!B569,'Support - Transition'!D:D,'Step 2'!C569,'Support - Transition'!E:E,"CIVIL")</f>
        <v>0</v>
      </c>
      <c r="H569" s="126">
        <f>SUMIFS('Support - Transition'!F:F,'Support - Transition'!B:B,'Step 2'!A569,'Support - Transition'!C:C,'Step 2'!B569,'Support - Transition'!D:D,'Step 2'!C569,'Support - Transition'!E:E,"FIRE")</f>
        <v>0</v>
      </c>
      <c r="I569" s="126">
        <f>IF(B569="0",SUMIFS('Support - Transition'!F:F,'Support - Transition'!J:J,'Step 2'!D569,'Support - Transition'!E:E,"STATE UNIT"),SUMIFS('Support - Transition'!F:F,'Support - Transition'!J:J,'Step 2'!D569))</f>
        <v>6.0722999999999999E-2</v>
      </c>
      <c r="J569" s="126">
        <f>SUMIFS('Support - Unit Adjustments'!E:E,'Support - Unit Adjustments'!F:F,'Step 2'!D569)</f>
        <v>0</v>
      </c>
      <c r="K569" s="126">
        <f t="shared" si="156"/>
        <v>6.0722999999999999E-2</v>
      </c>
      <c r="L569" s="174">
        <f>VLOOKUP(A569,'Step 1'!$A:$E,4,FALSE)</f>
        <v>1968593</v>
      </c>
      <c r="M569" s="47">
        <f t="shared" si="157"/>
        <v>119539</v>
      </c>
      <c r="N569" s="177">
        <f>SUMIFS('Support - Transition'!G:G,'Support - Transition'!J:J,'Step 2'!D569,'Support - Transition'!E:E,"2009 WELFARE ALLOCATION FACTOR")</f>
        <v>0</v>
      </c>
      <c r="O569" s="152">
        <f t="shared" si="162"/>
        <v>0</v>
      </c>
      <c r="P569" s="126">
        <f>IF(E569="Y",0,SUMIFS('Support - Transition'!G:G,'Support - Transition'!J:J,'Step 2'!D569,'Support - Transition'!E:E,"2009 SCHOOL ALLOCATION FACTOR"))</f>
        <v>0.36151899999999998</v>
      </c>
      <c r="Q569" s="126">
        <f>IF(E569="Y",VLOOKUP(D569,'Support - Unit Adjustments'!F:G,2,FALSE),0)</f>
        <v>0</v>
      </c>
      <c r="R569" s="155">
        <f t="shared" si="174"/>
        <v>0.36151899999999998</v>
      </c>
      <c r="S569" s="47">
        <f t="shared" si="173"/>
        <v>43216</v>
      </c>
      <c r="T569" s="151">
        <f t="shared" si="158"/>
        <v>76323</v>
      </c>
      <c r="U569" s="151">
        <f t="shared" si="159"/>
        <v>0</v>
      </c>
      <c r="V569" s="139">
        <f t="shared" si="160"/>
        <v>0</v>
      </c>
      <c r="W569" s="152">
        <f t="shared" si="163"/>
        <v>76323</v>
      </c>
      <c r="X569" s="127" t="str">
        <f t="shared" si="161"/>
        <v/>
      </c>
      <c r="Y569" s="207">
        <f t="shared" si="164"/>
        <v>76323</v>
      </c>
      <c r="Z569" s="139">
        <f t="shared" si="165"/>
        <v>76323</v>
      </c>
      <c r="AA569" s="139">
        <f t="shared" si="166"/>
        <v>0</v>
      </c>
      <c r="AC569" s="47">
        <f t="shared" si="167"/>
        <v>38162</v>
      </c>
      <c r="AD569" s="47">
        <f t="shared" si="168"/>
        <v>38162</v>
      </c>
      <c r="AE569" s="47">
        <f t="shared" si="169"/>
        <v>0</v>
      </c>
      <c r="AG569" s="47">
        <f t="shared" si="170"/>
        <v>38161</v>
      </c>
      <c r="AH569" s="47">
        <f t="shared" si="171"/>
        <v>38161</v>
      </c>
      <c r="AI569" s="208">
        <f t="shared" si="172"/>
        <v>0</v>
      </c>
    </row>
    <row r="570" spans="1:35">
      <c r="A570" t="s">
        <v>2183</v>
      </c>
      <c r="B570" t="s">
        <v>3160</v>
      </c>
      <c r="C570" t="s">
        <v>2413</v>
      </c>
      <c r="D570" t="s">
        <v>3820</v>
      </c>
      <c r="F570" t="s">
        <v>469</v>
      </c>
      <c r="G570" s="126">
        <f>SUMIFS('Support - Transition'!F:F,'Support - Transition'!B:B,'Step 2'!A570,'Support - Transition'!C:C,'Step 2'!B570,'Support - Transition'!D:D,'Step 2'!C570,'Support - Transition'!E:E,"CIVIL")</f>
        <v>0</v>
      </c>
      <c r="H570" s="126">
        <f>SUMIFS('Support - Transition'!F:F,'Support - Transition'!B:B,'Step 2'!A570,'Support - Transition'!C:C,'Step 2'!B570,'Support - Transition'!D:D,'Step 2'!C570,'Support - Transition'!E:E,"FIRE")</f>
        <v>0</v>
      </c>
      <c r="I570" s="126">
        <f>IF(B570="0",SUMIFS('Support - Transition'!F:F,'Support - Transition'!J:J,'Step 2'!D570,'Support - Transition'!E:E,"STATE UNIT"),SUMIFS('Support - Transition'!F:F,'Support - Transition'!J:J,'Step 2'!D570))</f>
        <v>7.0122000000000004E-2</v>
      </c>
      <c r="J570" s="126">
        <f>SUMIFS('Support - Unit Adjustments'!E:E,'Support - Unit Adjustments'!F:F,'Step 2'!D570)</f>
        <v>0</v>
      </c>
      <c r="K570" s="126">
        <f t="shared" si="156"/>
        <v>7.0122000000000004E-2</v>
      </c>
      <c r="L570" s="174">
        <f>VLOOKUP(A570,'Step 1'!$A:$E,4,FALSE)</f>
        <v>1968593</v>
      </c>
      <c r="M570" s="47">
        <f t="shared" si="157"/>
        <v>138042</v>
      </c>
      <c r="N570" s="177">
        <f>SUMIFS('Support - Transition'!G:G,'Support - Transition'!J:J,'Step 2'!D570,'Support - Transition'!E:E,"2009 WELFARE ALLOCATION FACTOR")</f>
        <v>0</v>
      </c>
      <c r="O570" s="152">
        <f t="shared" si="162"/>
        <v>0</v>
      </c>
      <c r="P570" s="126">
        <f>IF(E570="Y",0,SUMIFS('Support - Transition'!G:G,'Support - Transition'!J:J,'Step 2'!D570,'Support - Transition'!E:E,"2009 SCHOOL ALLOCATION FACTOR"))</f>
        <v>0.41023300000000001</v>
      </c>
      <c r="Q570" s="126">
        <f>IF(E570="Y",VLOOKUP(D570,'Support - Unit Adjustments'!F:G,2,FALSE),0)</f>
        <v>0</v>
      </c>
      <c r="R570" s="155">
        <f t="shared" si="174"/>
        <v>0.41023300000000001</v>
      </c>
      <c r="S570" s="47">
        <f t="shared" si="173"/>
        <v>56629</v>
      </c>
      <c r="T570" s="151">
        <f t="shared" si="158"/>
        <v>81413</v>
      </c>
      <c r="U570" s="151">
        <f t="shared" si="159"/>
        <v>0</v>
      </c>
      <c r="V570" s="139">
        <f t="shared" si="160"/>
        <v>0</v>
      </c>
      <c r="W570" s="152">
        <f t="shared" si="163"/>
        <v>81413</v>
      </c>
      <c r="X570" s="127" t="str">
        <f t="shared" si="161"/>
        <v/>
      </c>
      <c r="Y570" s="207">
        <f t="shared" si="164"/>
        <v>81413</v>
      </c>
      <c r="Z570" s="139">
        <f t="shared" si="165"/>
        <v>81413</v>
      </c>
      <c r="AA570" s="139">
        <f t="shared" si="166"/>
        <v>0</v>
      </c>
      <c r="AC570" s="47">
        <f t="shared" si="167"/>
        <v>40707</v>
      </c>
      <c r="AD570" s="47">
        <f t="shared" si="168"/>
        <v>40707</v>
      </c>
      <c r="AE570" s="47">
        <f t="shared" si="169"/>
        <v>0</v>
      </c>
      <c r="AG570" s="47">
        <f t="shared" si="170"/>
        <v>40706</v>
      </c>
      <c r="AH570" s="47">
        <f t="shared" si="171"/>
        <v>40706</v>
      </c>
      <c r="AI570" s="208">
        <f t="shared" si="172"/>
        <v>0</v>
      </c>
    </row>
    <row r="571" spans="1:35">
      <c r="A571" t="s">
        <v>2183</v>
      </c>
      <c r="B571" t="s">
        <v>3160</v>
      </c>
      <c r="C571" t="s">
        <v>2414</v>
      </c>
      <c r="D571" t="s">
        <v>3821</v>
      </c>
      <c r="F571" t="s">
        <v>470</v>
      </c>
      <c r="G571" s="126">
        <f>SUMIFS('Support - Transition'!F:F,'Support - Transition'!B:B,'Step 2'!A571,'Support - Transition'!C:C,'Step 2'!B571,'Support - Transition'!D:D,'Step 2'!C571,'Support - Transition'!E:E,"CIVIL")</f>
        <v>0</v>
      </c>
      <c r="H571" s="126">
        <f>SUMIFS('Support - Transition'!F:F,'Support - Transition'!B:B,'Step 2'!A571,'Support - Transition'!C:C,'Step 2'!B571,'Support - Transition'!D:D,'Step 2'!C571,'Support - Transition'!E:E,"FIRE")</f>
        <v>0</v>
      </c>
      <c r="I571" s="126">
        <f>IF(B571="0",SUMIFS('Support - Transition'!F:F,'Support - Transition'!J:J,'Step 2'!D571,'Support - Transition'!E:E,"STATE UNIT"),SUMIFS('Support - Transition'!F:F,'Support - Transition'!J:J,'Step 2'!D571))</f>
        <v>4.0780999999999998E-2</v>
      </c>
      <c r="J571" s="126">
        <f>SUMIFS('Support - Unit Adjustments'!E:E,'Support - Unit Adjustments'!F:F,'Step 2'!D571)</f>
        <v>0</v>
      </c>
      <c r="K571" s="126">
        <f t="shared" si="156"/>
        <v>4.0780999999999998E-2</v>
      </c>
      <c r="L571" s="174">
        <f>VLOOKUP(A571,'Step 1'!$A:$E,4,FALSE)</f>
        <v>1968593</v>
      </c>
      <c r="M571" s="47">
        <f t="shared" si="157"/>
        <v>80281</v>
      </c>
      <c r="N571" s="177">
        <f>SUMIFS('Support - Transition'!G:G,'Support - Transition'!J:J,'Step 2'!D571,'Support - Transition'!E:E,"2009 WELFARE ALLOCATION FACTOR")</f>
        <v>0</v>
      </c>
      <c r="O571" s="152">
        <f t="shared" si="162"/>
        <v>0</v>
      </c>
      <c r="P571" s="126">
        <f>IF(E571="Y",0,SUMIFS('Support - Transition'!G:G,'Support - Transition'!J:J,'Step 2'!D571,'Support - Transition'!E:E,"2009 SCHOOL ALLOCATION FACTOR"))</f>
        <v>0.384266</v>
      </c>
      <c r="Q571" s="126">
        <f>IF(E571="Y",VLOOKUP(D571,'Support - Unit Adjustments'!F:G,2,FALSE),0)</f>
        <v>0</v>
      </c>
      <c r="R571" s="155">
        <f t="shared" si="174"/>
        <v>0.384266</v>
      </c>
      <c r="S571" s="47">
        <f t="shared" si="173"/>
        <v>30849</v>
      </c>
      <c r="T571" s="151">
        <f t="shared" si="158"/>
        <v>49432</v>
      </c>
      <c r="U571" s="151">
        <f t="shared" si="159"/>
        <v>0</v>
      </c>
      <c r="V571" s="139">
        <f t="shared" si="160"/>
        <v>0</v>
      </c>
      <c r="W571" s="152">
        <f t="shared" si="163"/>
        <v>49432</v>
      </c>
      <c r="X571" s="127" t="str">
        <f t="shared" si="161"/>
        <v/>
      </c>
      <c r="Y571" s="207">
        <f t="shared" si="164"/>
        <v>49432</v>
      </c>
      <c r="Z571" s="139">
        <f t="shared" si="165"/>
        <v>49432</v>
      </c>
      <c r="AA571" s="139">
        <f t="shared" si="166"/>
        <v>0</v>
      </c>
      <c r="AC571" s="47">
        <f t="shared" si="167"/>
        <v>24716</v>
      </c>
      <c r="AD571" s="47">
        <f t="shared" si="168"/>
        <v>24716</v>
      </c>
      <c r="AE571" s="47">
        <f t="shared" si="169"/>
        <v>0</v>
      </c>
      <c r="AG571" s="47">
        <f t="shared" si="170"/>
        <v>24716</v>
      </c>
      <c r="AH571" s="47">
        <f t="shared" si="171"/>
        <v>24716</v>
      </c>
      <c r="AI571" s="208">
        <f t="shared" si="172"/>
        <v>0</v>
      </c>
    </row>
    <row r="572" spans="1:35">
      <c r="A572" t="s">
        <v>2183</v>
      </c>
      <c r="B572" t="s">
        <v>3160</v>
      </c>
      <c r="C572" t="s">
        <v>2415</v>
      </c>
      <c r="D572" t="s">
        <v>3822</v>
      </c>
      <c r="F572" t="s">
        <v>466</v>
      </c>
      <c r="G572" s="126">
        <f>SUMIFS('Support - Transition'!F:F,'Support - Transition'!B:B,'Step 2'!A572,'Support - Transition'!C:C,'Step 2'!B572,'Support - Transition'!D:D,'Step 2'!C572,'Support - Transition'!E:E,"CIVIL")</f>
        <v>0</v>
      </c>
      <c r="H572" s="126">
        <f>SUMIFS('Support - Transition'!F:F,'Support - Transition'!B:B,'Step 2'!A572,'Support - Transition'!C:C,'Step 2'!B572,'Support - Transition'!D:D,'Step 2'!C572,'Support - Transition'!E:E,"FIRE")</f>
        <v>0</v>
      </c>
      <c r="I572" s="126">
        <f>IF(B572="0",SUMIFS('Support - Transition'!F:F,'Support - Transition'!J:J,'Step 2'!D572,'Support - Transition'!E:E,"STATE UNIT"),SUMIFS('Support - Transition'!F:F,'Support - Transition'!J:J,'Step 2'!D572))</f>
        <v>0.188446</v>
      </c>
      <c r="J572" s="126">
        <f>SUMIFS('Support - Unit Adjustments'!E:E,'Support - Unit Adjustments'!F:F,'Step 2'!D572)</f>
        <v>0</v>
      </c>
      <c r="K572" s="126">
        <f t="shared" si="156"/>
        <v>0.188446</v>
      </c>
      <c r="L572" s="174">
        <f>VLOOKUP(A572,'Step 1'!$A:$E,4,FALSE)</f>
        <v>1968593</v>
      </c>
      <c r="M572" s="47">
        <f t="shared" si="157"/>
        <v>370973</v>
      </c>
      <c r="N572" s="177">
        <f>SUMIFS('Support - Transition'!G:G,'Support - Transition'!J:J,'Step 2'!D572,'Support - Transition'!E:E,"2009 WELFARE ALLOCATION FACTOR")</f>
        <v>0</v>
      </c>
      <c r="O572" s="152">
        <f t="shared" si="162"/>
        <v>0</v>
      </c>
      <c r="P572" s="126">
        <f>IF(E572="Y",0,SUMIFS('Support - Transition'!G:G,'Support - Transition'!J:J,'Step 2'!D572,'Support - Transition'!E:E,"2009 SCHOOL ALLOCATION FACTOR"))</f>
        <v>0.394895</v>
      </c>
      <c r="Q572" s="126">
        <f>IF(E572="Y",VLOOKUP(D572,'Support - Unit Adjustments'!F:G,2,FALSE),0)</f>
        <v>0</v>
      </c>
      <c r="R572" s="155">
        <f t="shared" si="174"/>
        <v>0.394895</v>
      </c>
      <c r="S572" s="47">
        <f t="shared" si="173"/>
        <v>146495</v>
      </c>
      <c r="T572" s="151">
        <f t="shared" si="158"/>
        <v>224478</v>
      </c>
      <c r="U572" s="151">
        <f t="shared" si="159"/>
        <v>0</v>
      </c>
      <c r="V572" s="139">
        <f t="shared" si="160"/>
        <v>0</v>
      </c>
      <c r="W572" s="152">
        <f t="shared" si="163"/>
        <v>224478</v>
      </c>
      <c r="X572" s="127" t="str">
        <f t="shared" si="161"/>
        <v/>
      </c>
      <c r="Y572" s="207">
        <f t="shared" si="164"/>
        <v>224478</v>
      </c>
      <c r="Z572" s="139">
        <f t="shared" si="165"/>
        <v>224478</v>
      </c>
      <c r="AA572" s="139">
        <f t="shared" si="166"/>
        <v>0</v>
      </c>
      <c r="AC572" s="47">
        <f t="shared" si="167"/>
        <v>112239</v>
      </c>
      <c r="AD572" s="47">
        <f t="shared" si="168"/>
        <v>112239</v>
      </c>
      <c r="AE572" s="47">
        <f t="shared" si="169"/>
        <v>0</v>
      </c>
      <c r="AG572" s="47">
        <f t="shared" si="170"/>
        <v>112239</v>
      </c>
      <c r="AH572" s="47">
        <f t="shared" si="171"/>
        <v>112239</v>
      </c>
      <c r="AI572" s="208">
        <f t="shared" si="172"/>
        <v>0</v>
      </c>
    </row>
    <row r="573" spans="1:35">
      <c r="A573" t="s">
        <v>2183</v>
      </c>
      <c r="B573" t="s">
        <v>3160</v>
      </c>
      <c r="C573" t="s">
        <v>2416</v>
      </c>
      <c r="D573" t="s">
        <v>3823</v>
      </c>
      <c r="F573" t="s">
        <v>468</v>
      </c>
      <c r="G573" s="126">
        <f>SUMIFS('Support - Transition'!F:F,'Support - Transition'!B:B,'Step 2'!A573,'Support - Transition'!C:C,'Step 2'!B573,'Support - Transition'!D:D,'Step 2'!C573,'Support - Transition'!E:E,"CIVIL")</f>
        <v>0</v>
      </c>
      <c r="H573" s="126">
        <f>SUMIFS('Support - Transition'!F:F,'Support - Transition'!B:B,'Step 2'!A573,'Support - Transition'!C:C,'Step 2'!B573,'Support - Transition'!D:D,'Step 2'!C573,'Support - Transition'!E:E,"FIRE")</f>
        <v>0</v>
      </c>
      <c r="I573" s="126">
        <f>IF(B573="0",SUMIFS('Support - Transition'!F:F,'Support - Transition'!J:J,'Step 2'!D573,'Support - Transition'!E:E,"STATE UNIT"),SUMIFS('Support - Transition'!F:F,'Support - Transition'!J:J,'Step 2'!D573))</f>
        <v>0.12719800000000001</v>
      </c>
      <c r="J573" s="126">
        <f>SUMIFS('Support - Unit Adjustments'!E:E,'Support - Unit Adjustments'!F:F,'Step 2'!D573)</f>
        <v>0</v>
      </c>
      <c r="K573" s="126">
        <f t="shared" si="156"/>
        <v>0.12719800000000001</v>
      </c>
      <c r="L573" s="174">
        <f>VLOOKUP(A573,'Step 1'!$A:$E,4,FALSE)</f>
        <v>1968593</v>
      </c>
      <c r="M573" s="47">
        <f t="shared" si="157"/>
        <v>250401</v>
      </c>
      <c r="N573" s="177">
        <f>SUMIFS('Support - Transition'!G:G,'Support - Transition'!J:J,'Step 2'!D573,'Support - Transition'!E:E,"2009 WELFARE ALLOCATION FACTOR")</f>
        <v>0</v>
      </c>
      <c r="O573" s="152">
        <f t="shared" si="162"/>
        <v>0</v>
      </c>
      <c r="P573" s="126">
        <f>IF(E573="Y",0,SUMIFS('Support - Transition'!G:G,'Support - Transition'!J:J,'Step 2'!D573,'Support - Transition'!E:E,"2009 SCHOOL ALLOCATION FACTOR"))</f>
        <v>0.35937000000000002</v>
      </c>
      <c r="Q573" s="126">
        <f>IF(E573="Y",VLOOKUP(D573,'Support - Unit Adjustments'!F:G,2,FALSE),0)</f>
        <v>0</v>
      </c>
      <c r="R573" s="155">
        <f t="shared" si="174"/>
        <v>0.35937000000000002</v>
      </c>
      <c r="S573" s="47">
        <f t="shared" si="173"/>
        <v>89987</v>
      </c>
      <c r="T573" s="151">
        <f t="shared" si="158"/>
        <v>160414</v>
      </c>
      <c r="U573" s="151">
        <f t="shared" si="159"/>
        <v>0</v>
      </c>
      <c r="V573" s="139">
        <f t="shared" si="160"/>
        <v>0</v>
      </c>
      <c r="W573" s="152">
        <f t="shared" si="163"/>
        <v>160414</v>
      </c>
      <c r="X573" s="127" t="str">
        <f t="shared" si="161"/>
        <v/>
      </c>
      <c r="Y573" s="207">
        <f t="shared" si="164"/>
        <v>160414</v>
      </c>
      <c r="Z573" s="139">
        <f t="shared" si="165"/>
        <v>160414</v>
      </c>
      <c r="AA573" s="139">
        <f t="shared" si="166"/>
        <v>0</v>
      </c>
      <c r="AC573" s="47">
        <f t="shared" si="167"/>
        <v>80207</v>
      </c>
      <c r="AD573" s="47">
        <f t="shared" si="168"/>
        <v>80207</v>
      </c>
      <c r="AE573" s="47">
        <f t="shared" si="169"/>
        <v>0</v>
      </c>
      <c r="AG573" s="47">
        <f t="shared" si="170"/>
        <v>80207</v>
      </c>
      <c r="AH573" s="47">
        <f t="shared" si="171"/>
        <v>80207</v>
      </c>
      <c r="AI573" s="208">
        <f t="shared" si="172"/>
        <v>0</v>
      </c>
    </row>
    <row r="574" spans="1:35">
      <c r="A574" t="s">
        <v>2183</v>
      </c>
      <c r="B574" t="s">
        <v>3166</v>
      </c>
      <c r="C574" t="s">
        <v>2417</v>
      </c>
      <c r="D574" t="s">
        <v>3824</v>
      </c>
      <c r="F574" t="s">
        <v>471</v>
      </c>
      <c r="G574" s="126">
        <f>SUMIFS('Support - Transition'!F:F,'Support - Transition'!B:B,'Step 2'!A574,'Support - Transition'!C:C,'Step 2'!B574,'Support - Transition'!D:D,'Step 2'!C574,'Support - Transition'!E:E,"CIVIL")</f>
        <v>0</v>
      </c>
      <c r="H574" s="126">
        <f>SUMIFS('Support - Transition'!F:F,'Support - Transition'!B:B,'Step 2'!A574,'Support - Transition'!C:C,'Step 2'!B574,'Support - Transition'!D:D,'Step 2'!C574,'Support - Transition'!E:E,"FIRE")</f>
        <v>0</v>
      </c>
      <c r="I574" s="126">
        <f>IF(B574="0",SUMIFS('Support - Transition'!F:F,'Support - Transition'!J:J,'Step 2'!D574,'Support - Transition'!E:E,"STATE UNIT"),SUMIFS('Support - Transition'!F:F,'Support - Transition'!J:J,'Step 2'!D574))</f>
        <v>7.3700000000000002E-4</v>
      </c>
      <c r="J574" s="126">
        <f>SUMIFS('Support - Unit Adjustments'!E:E,'Support - Unit Adjustments'!F:F,'Step 2'!D574)</f>
        <v>0</v>
      </c>
      <c r="K574" s="126">
        <f t="shared" si="156"/>
        <v>7.3700000000000002E-4</v>
      </c>
      <c r="L574" s="174">
        <f>VLOOKUP(A574,'Step 1'!$A:$E,4,FALSE)</f>
        <v>1968593</v>
      </c>
      <c r="M574" s="47">
        <f t="shared" si="157"/>
        <v>1451</v>
      </c>
      <c r="N574" s="177">
        <f>SUMIFS('Support - Transition'!G:G,'Support - Transition'!J:J,'Step 2'!D574,'Support - Transition'!E:E,"2009 WELFARE ALLOCATION FACTOR")</f>
        <v>0</v>
      </c>
      <c r="O574" s="152">
        <f t="shared" si="162"/>
        <v>0</v>
      </c>
      <c r="P574" s="126">
        <f>IF(E574="Y",0,SUMIFS('Support - Transition'!G:G,'Support - Transition'!J:J,'Step 2'!D574,'Support - Transition'!E:E,"2009 SCHOOL ALLOCATION FACTOR"))</f>
        <v>0</v>
      </c>
      <c r="Q574" s="126">
        <f>IF(E574="Y",VLOOKUP(D574,'Support - Unit Adjustments'!F:G,2,FALSE),0)</f>
        <v>0</v>
      </c>
      <c r="R574" s="155">
        <f t="shared" si="174"/>
        <v>0</v>
      </c>
      <c r="S574" s="47">
        <f t="shared" si="173"/>
        <v>0</v>
      </c>
      <c r="T574" s="151">
        <f t="shared" si="158"/>
        <v>1451</v>
      </c>
      <c r="U574" s="151">
        <f t="shared" si="159"/>
        <v>0</v>
      </c>
      <c r="V574" s="139">
        <f t="shared" si="160"/>
        <v>0</v>
      </c>
      <c r="W574" s="152">
        <f t="shared" si="163"/>
        <v>1451</v>
      </c>
      <c r="X574" s="127" t="str">
        <f t="shared" si="161"/>
        <v/>
      </c>
      <c r="Y574" s="207">
        <f t="shared" si="164"/>
        <v>1451</v>
      </c>
      <c r="Z574" s="139">
        <f t="shared" si="165"/>
        <v>1451</v>
      </c>
      <c r="AA574" s="139">
        <f t="shared" si="166"/>
        <v>0</v>
      </c>
      <c r="AC574" s="47">
        <f t="shared" si="167"/>
        <v>726</v>
      </c>
      <c r="AD574" s="47">
        <f t="shared" si="168"/>
        <v>726</v>
      </c>
      <c r="AE574" s="47">
        <f t="shared" si="169"/>
        <v>0</v>
      </c>
      <c r="AG574" s="47">
        <f t="shared" si="170"/>
        <v>725</v>
      </c>
      <c r="AH574" s="47">
        <f t="shared" si="171"/>
        <v>725</v>
      </c>
      <c r="AI574" s="208">
        <f t="shared" si="172"/>
        <v>0</v>
      </c>
    </row>
    <row r="575" spans="1:35">
      <c r="A575" t="s">
        <v>2183</v>
      </c>
      <c r="B575" t="s">
        <v>3166</v>
      </c>
      <c r="C575" t="s">
        <v>2418</v>
      </c>
      <c r="D575" t="s">
        <v>3825</v>
      </c>
      <c r="F575" t="s">
        <v>472</v>
      </c>
      <c r="G575" s="126">
        <f>SUMIFS('Support - Transition'!F:F,'Support - Transition'!B:B,'Step 2'!A575,'Support - Transition'!C:C,'Step 2'!B575,'Support - Transition'!D:D,'Step 2'!C575,'Support - Transition'!E:E,"CIVIL")</f>
        <v>0</v>
      </c>
      <c r="H575" s="126">
        <f>SUMIFS('Support - Transition'!F:F,'Support - Transition'!B:B,'Step 2'!A575,'Support - Transition'!C:C,'Step 2'!B575,'Support - Transition'!D:D,'Step 2'!C575,'Support - Transition'!E:E,"FIRE")</f>
        <v>0</v>
      </c>
      <c r="I575" s="126">
        <f>IF(B575="0",SUMIFS('Support - Transition'!F:F,'Support - Transition'!J:J,'Step 2'!D575,'Support - Transition'!E:E,"STATE UNIT"),SUMIFS('Support - Transition'!F:F,'Support - Transition'!J:J,'Step 2'!D575))</f>
        <v>1.2592000000000001E-2</v>
      </c>
      <c r="J575" s="126">
        <f>SUMIFS('Support - Unit Adjustments'!E:E,'Support - Unit Adjustments'!F:F,'Step 2'!D575)</f>
        <v>0</v>
      </c>
      <c r="K575" s="126">
        <f t="shared" si="156"/>
        <v>1.2592000000000001E-2</v>
      </c>
      <c r="L575" s="174">
        <f>VLOOKUP(A575,'Step 1'!$A:$E,4,FALSE)</f>
        <v>1968593</v>
      </c>
      <c r="M575" s="47">
        <f t="shared" si="157"/>
        <v>24789</v>
      </c>
      <c r="N575" s="177">
        <f>SUMIFS('Support - Transition'!G:G,'Support - Transition'!J:J,'Step 2'!D575,'Support - Transition'!E:E,"2009 WELFARE ALLOCATION FACTOR")</f>
        <v>0</v>
      </c>
      <c r="O575" s="152">
        <f t="shared" si="162"/>
        <v>0</v>
      </c>
      <c r="P575" s="126">
        <f>IF(E575="Y",0,SUMIFS('Support - Transition'!G:G,'Support - Transition'!J:J,'Step 2'!D575,'Support - Transition'!E:E,"2009 SCHOOL ALLOCATION FACTOR"))</f>
        <v>0</v>
      </c>
      <c r="Q575" s="126">
        <f>IF(E575="Y",VLOOKUP(D575,'Support - Unit Adjustments'!F:G,2,FALSE),0)</f>
        <v>0</v>
      </c>
      <c r="R575" s="155">
        <f t="shared" si="174"/>
        <v>0</v>
      </c>
      <c r="S575" s="47">
        <f t="shared" si="173"/>
        <v>0</v>
      </c>
      <c r="T575" s="151">
        <f t="shared" si="158"/>
        <v>24789</v>
      </c>
      <c r="U575" s="151">
        <f t="shared" si="159"/>
        <v>0</v>
      </c>
      <c r="V575" s="139">
        <f t="shared" si="160"/>
        <v>0</v>
      </c>
      <c r="W575" s="152">
        <f t="shared" si="163"/>
        <v>24789</v>
      </c>
      <c r="X575" s="127" t="str">
        <f t="shared" si="161"/>
        <v/>
      </c>
      <c r="Y575" s="207">
        <f t="shared" si="164"/>
        <v>24789</v>
      </c>
      <c r="Z575" s="139">
        <f t="shared" si="165"/>
        <v>24789</v>
      </c>
      <c r="AA575" s="139">
        <f t="shared" si="166"/>
        <v>0</v>
      </c>
      <c r="AC575" s="47">
        <f t="shared" si="167"/>
        <v>12395</v>
      </c>
      <c r="AD575" s="47">
        <f t="shared" si="168"/>
        <v>12395</v>
      </c>
      <c r="AE575" s="47">
        <f t="shared" si="169"/>
        <v>0</v>
      </c>
      <c r="AG575" s="47">
        <f t="shared" si="170"/>
        <v>12394</v>
      </c>
      <c r="AH575" s="47">
        <f t="shared" si="171"/>
        <v>12394</v>
      </c>
      <c r="AI575" s="208">
        <f t="shared" si="172"/>
        <v>0</v>
      </c>
    </row>
    <row r="576" spans="1:35">
      <c r="A576" t="s">
        <v>2183</v>
      </c>
      <c r="B576" t="s">
        <v>3166</v>
      </c>
      <c r="C576" t="s">
        <v>2419</v>
      </c>
      <c r="D576" t="s">
        <v>3826</v>
      </c>
      <c r="F576" t="s">
        <v>473</v>
      </c>
      <c r="G576" s="126">
        <f>SUMIFS('Support - Transition'!F:F,'Support - Transition'!B:B,'Step 2'!A576,'Support - Transition'!C:C,'Step 2'!B576,'Support - Transition'!D:D,'Step 2'!C576,'Support - Transition'!E:E,"CIVIL")</f>
        <v>0</v>
      </c>
      <c r="H576" s="126">
        <f>SUMIFS('Support - Transition'!F:F,'Support - Transition'!B:B,'Step 2'!A576,'Support - Transition'!C:C,'Step 2'!B576,'Support - Transition'!D:D,'Step 2'!C576,'Support - Transition'!E:E,"FIRE")</f>
        <v>0</v>
      </c>
      <c r="I576" s="126">
        <f>IF(B576="0",SUMIFS('Support - Transition'!F:F,'Support - Transition'!J:J,'Step 2'!D576,'Support - Transition'!E:E,"STATE UNIT"),SUMIFS('Support - Transition'!F:F,'Support - Transition'!J:J,'Step 2'!D576))</f>
        <v>8.1449999999999995E-3</v>
      </c>
      <c r="J576" s="126">
        <f>SUMIFS('Support - Unit Adjustments'!E:E,'Support - Unit Adjustments'!F:F,'Step 2'!D576)</f>
        <v>0</v>
      </c>
      <c r="K576" s="126">
        <f t="shared" si="156"/>
        <v>8.1449999999999995E-3</v>
      </c>
      <c r="L576" s="174">
        <f>VLOOKUP(A576,'Step 1'!$A:$E,4,FALSE)</f>
        <v>1968593</v>
      </c>
      <c r="M576" s="47">
        <f t="shared" si="157"/>
        <v>16034</v>
      </c>
      <c r="N576" s="177">
        <f>SUMIFS('Support - Transition'!G:G,'Support - Transition'!J:J,'Step 2'!D576,'Support - Transition'!E:E,"2009 WELFARE ALLOCATION FACTOR")</f>
        <v>0</v>
      </c>
      <c r="O576" s="152">
        <f t="shared" si="162"/>
        <v>0</v>
      </c>
      <c r="P576" s="126">
        <f>IF(E576="Y",0,SUMIFS('Support - Transition'!G:G,'Support - Transition'!J:J,'Step 2'!D576,'Support - Transition'!E:E,"2009 SCHOOL ALLOCATION FACTOR"))</f>
        <v>0</v>
      </c>
      <c r="Q576" s="126">
        <f>IF(E576="Y",VLOOKUP(D576,'Support - Unit Adjustments'!F:G,2,FALSE),0)</f>
        <v>0</v>
      </c>
      <c r="R576" s="155">
        <f t="shared" si="174"/>
        <v>0</v>
      </c>
      <c r="S576" s="47">
        <f t="shared" si="173"/>
        <v>0</v>
      </c>
      <c r="T576" s="151">
        <f t="shared" si="158"/>
        <v>16034</v>
      </c>
      <c r="U576" s="151">
        <f t="shared" si="159"/>
        <v>0</v>
      </c>
      <c r="V576" s="139">
        <f t="shared" si="160"/>
        <v>0</v>
      </c>
      <c r="W576" s="152">
        <f t="shared" si="163"/>
        <v>16034</v>
      </c>
      <c r="X576" s="127" t="str">
        <f t="shared" si="161"/>
        <v/>
      </c>
      <c r="Y576" s="207">
        <f t="shared" si="164"/>
        <v>16034</v>
      </c>
      <c r="Z576" s="139">
        <f t="shared" si="165"/>
        <v>16034</v>
      </c>
      <c r="AA576" s="139">
        <f t="shared" si="166"/>
        <v>0</v>
      </c>
      <c r="AC576" s="47">
        <f t="shared" si="167"/>
        <v>8017</v>
      </c>
      <c r="AD576" s="47">
        <f t="shared" si="168"/>
        <v>8017</v>
      </c>
      <c r="AE576" s="47">
        <f t="shared" si="169"/>
        <v>0</v>
      </c>
      <c r="AG576" s="47">
        <f t="shared" si="170"/>
        <v>8017</v>
      </c>
      <c r="AH576" s="47">
        <f t="shared" si="171"/>
        <v>8017</v>
      </c>
      <c r="AI576" s="208">
        <f t="shared" si="172"/>
        <v>0</v>
      </c>
    </row>
    <row r="577" spans="1:35">
      <c r="A577" t="s">
        <v>2183</v>
      </c>
      <c r="B577" t="s">
        <v>3166</v>
      </c>
      <c r="C577" t="s">
        <v>2420</v>
      </c>
      <c r="D577" t="s">
        <v>3827</v>
      </c>
      <c r="F577" t="s">
        <v>475</v>
      </c>
      <c r="G577" s="126">
        <f>SUMIFS('Support - Transition'!F:F,'Support - Transition'!B:B,'Step 2'!A577,'Support - Transition'!C:C,'Step 2'!B577,'Support - Transition'!D:D,'Step 2'!C577,'Support - Transition'!E:E,"CIVIL")</f>
        <v>0</v>
      </c>
      <c r="H577" s="126">
        <f>SUMIFS('Support - Transition'!F:F,'Support - Transition'!B:B,'Step 2'!A577,'Support - Transition'!C:C,'Step 2'!B577,'Support - Transition'!D:D,'Step 2'!C577,'Support - Transition'!E:E,"FIRE")</f>
        <v>0</v>
      </c>
      <c r="I577" s="126">
        <f>IF(B577="0",SUMIFS('Support - Transition'!F:F,'Support - Transition'!J:J,'Step 2'!D577,'Support - Transition'!E:E,"STATE UNIT"),SUMIFS('Support - Transition'!F:F,'Support - Transition'!J:J,'Step 2'!D577))</f>
        <v>1.0430000000000001E-3</v>
      </c>
      <c r="J577" s="126">
        <f>SUMIFS('Support - Unit Adjustments'!E:E,'Support - Unit Adjustments'!F:F,'Step 2'!D577)</f>
        <v>0</v>
      </c>
      <c r="K577" s="126">
        <f t="shared" si="156"/>
        <v>1.0430000000000001E-3</v>
      </c>
      <c r="L577" s="174">
        <f>VLOOKUP(A577,'Step 1'!$A:$E,4,FALSE)</f>
        <v>1968593</v>
      </c>
      <c r="M577" s="47">
        <f t="shared" si="157"/>
        <v>2053</v>
      </c>
      <c r="N577" s="177">
        <f>SUMIFS('Support - Transition'!G:G,'Support - Transition'!J:J,'Step 2'!D577,'Support - Transition'!E:E,"2009 WELFARE ALLOCATION FACTOR")</f>
        <v>0</v>
      </c>
      <c r="O577" s="152">
        <f t="shared" si="162"/>
        <v>0</v>
      </c>
      <c r="P577" s="126">
        <f>IF(E577="Y",0,SUMIFS('Support - Transition'!G:G,'Support - Transition'!J:J,'Step 2'!D577,'Support - Transition'!E:E,"2009 SCHOOL ALLOCATION FACTOR"))</f>
        <v>0</v>
      </c>
      <c r="Q577" s="126">
        <f>IF(E577="Y",VLOOKUP(D577,'Support - Unit Adjustments'!F:G,2,FALSE),0)</f>
        <v>0</v>
      </c>
      <c r="R577" s="155">
        <f t="shared" si="174"/>
        <v>0</v>
      </c>
      <c r="S577" s="47">
        <f t="shared" si="173"/>
        <v>0</v>
      </c>
      <c r="T577" s="151">
        <f t="shared" si="158"/>
        <v>2053</v>
      </c>
      <c r="U577" s="151">
        <f t="shared" si="159"/>
        <v>0</v>
      </c>
      <c r="V577" s="139">
        <f t="shared" si="160"/>
        <v>0</v>
      </c>
      <c r="W577" s="152">
        <f t="shared" si="163"/>
        <v>2053</v>
      </c>
      <c r="X577" s="127" t="str">
        <f t="shared" si="161"/>
        <v/>
      </c>
      <c r="Y577" s="207">
        <f t="shared" si="164"/>
        <v>2053</v>
      </c>
      <c r="Z577" s="139">
        <f t="shared" si="165"/>
        <v>2053</v>
      </c>
      <c r="AA577" s="139">
        <f t="shared" si="166"/>
        <v>0</v>
      </c>
      <c r="AC577" s="47">
        <f t="shared" si="167"/>
        <v>1027</v>
      </c>
      <c r="AD577" s="47">
        <f t="shared" si="168"/>
        <v>1027</v>
      </c>
      <c r="AE577" s="47">
        <f t="shared" si="169"/>
        <v>0</v>
      </c>
      <c r="AG577" s="47">
        <f t="shared" si="170"/>
        <v>1026</v>
      </c>
      <c r="AH577" s="47">
        <f t="shared" si="171"/>
        <v>1026</v>
      </c>
      <c r="AI577" s="208">
        <f t="shared" si="172"/>
        <v>0</v>
      </c>
    </row>
    <row r="578" spans="1:35">
      <c r="A578" t="s">
        <v>2183</v>
      </c>
      <c r="B578" t="s">
        <v>3166</v>
      </c>
      <c r="C578" t="s">
        <v>3828</v>
      </c>
      <c r="D578" t="s">
        <v>3829</v>
      </c>
      <c r="F578" t="s">
        <v>3830</v>
      </c>
      <c r="G578" s="126">
        <f>SUMIFS('Support - Transition'!F:F,'Support - Transition'!B:B,'Step 2'!A578,'Support - Transition'!C:C,'Step 2'!B578,'Support - Transition'!D:D,'Step 2'!C578,'Support - Transition'!E:E,"CIVIL")</f>
        <v>0</v>
      </c>
      <c r="H578" s="126">
        <f>SUMIFS('Support - Transition'!F:F,'Support - Transition'!B:B,'Step 2'!A578,'Support - Transition'!C:C,'Step 2'!B578,'Support - Transition'!D:D,'Step 2'!C578,'Support - Transition'!E:E,"FIRE")</f>
        <v>0</v>
      </c>
      <c r="I578" s="126">
        <f>IF(B578="0",SUMIFS('Support - Transition'!F:F,'Support - Transition'!J:J,'Step 2'!D578,'Support - Transition'!E:E,"STATE UNIT"),SUMIFS('Support - Transition'!F:F,'Support - Transition'!J:J,'Step 2'!D578))</f>
        <v>1.7300000000001203E-3</v>
      </c>
      <c r="J578" s="126">
        <f>SUMIFS('Support - Unit Adjustments'!E:E,'Support - Unit Adjustments'!F:F,'Step 2'!D578)</f>
        <v>0</v>
      </c>
      <c r="K578" s="126">
        <f t="shared" ref="K578:K641" si="175">+I578+J578</f>
        <v>1.7300000000001203E-3</v>
      </c>
      <c r="L578" s="174">
        <f>VLOOKUP(A578,'Step 1'!$A:$E,4,FALSE)</f>
        <v>1968593</v>
      </c>
      <c r="M578" s="47">
        <f t="shared" ref="M578:M641" si="176">ROUND(+K578*L578,0)</f>
        <v>3406</v>
      </c>
      <c r="N578" s="177">
        <f>SUMIFS('Support - Transition'!G:G,'Support - Transition'!J:J,'Step 2'!D578,'Support - Transition'!E:E,"2009 WELFARE ALLOCATION FACTOR")</f>
        <v>0</v>
      </c>
      <c r="O578" s="152">
        <f t="shared" si="162"/>
        <v>0</v>
      </c>
      <c r="P578" s="126">
        <f>IF(E578="Y",0,SUMIFS('Support - Transition'!G:G,'Support - Transition'!J:J,'Step 2'!D578,'Support - Transition'!E:E,"2009 SCHOOL ALLOCATION FACTOR"))</f>
        <v>0</v>
      </c>
      <c r="Q578" s="126">
        <f>IF(E578="Y",VLOOKUP(D578,'Support - Unit Adjustments'!F:G,2,FALSE),0)</f>
        <v>0</v>
      </c>
      <c r="R578" s="155">
        <f t="shared" si="174"/>
        <v>0</v>
      </c>
      <c r="S578" s="47">
        <f t="shared" si="173"/>
        <v>0</v>
      </c>
      <c r="T578" s="151">
        <f t="shared" ref="T578:T641" si="177">ROUND(+M578-O578-S578,2)</f>
        <v>3406</v>
      </c>
      <c r="U578" s="151">
        <f t="shared" ref="U578:U641" si="178">IF(B578="0",SUMIFS(O:O,A:A,A578)+SUMIFS(S:S,A:A,A578)+SUMIFS(T:T,A:A,A578),0)</f>
        <v>0</v>
      </c>
      <c r="V578" s="139">
        <f t="shared" ref="V578:V641" si="179">IF(B578="0",U578-L578,0)</f>
        <v>0</v>
      </c>
      <c r="W578" s="152">
        <f t="shared" si="163"/>
        <v>3406</v>
      </c>
      <c r="X578" s="127" t="str">
        <f t="shared" ref="X578:X641" si="180">IF(B578="0",SUMIFS(O:O,A:A,A578)+SUMIFS(S:S,A:A,A578)+SUMIFS(W:W,A:A,A578)-L578,"")</f>
        <v/>
      </c>
      <c r="Y578" s="207">
        <f t="shared" si="164"/>
        <v>3406</v>
      </c>
      <c r="Z578" s="139">
        <f t="shared" si="165"/>
        <v>3406</v>
      </c>
      <c r="AA578" s="139">
        <f t="shared" si="166"/>
        <v>0</v>
      </c>
      <c r="AC578" s="47">
        <f t="shared" si="167"/>
        <v>1703</v>
      </c>
      <c r="AD578" s="47">
        <f t="shared" si="168"/>
        <v>1703</v>
      </c>
      <c r="AE578" s="47">
        <f t="shared" si="169"/>
        <v>0</v>
      </c>
      <c r="AG578" s="47">
        <f t="shared" si="170"/>
        <v>1703</v>
      </c>
      <c r="AH578" s="47">
        <f t="shared" si="171"/>
        <v>1703</v>
      </c>
      <c r="AI578" s="208">
        <f t="shared" si="172"/>
        <v>0</v>
      </c>
    </row>
    <row r="579" spans="1:35">
      <c r="A579" t="s">
        <v>2183</v>
      </c>
      <c r="B579" t="s">
        <v>3166</v>
      </c>
      <c r="C579" t="s">
        <v>2421</v>
      </c>
      <c r="D579" t="s">
        <v>3831</v>
      </c>
      <c r="F579" t="s">
        <v>474</v>
      </c>
      <c r="G579" s="126">
        <f>SUMIFS('Support - Transition'!F:F,'Support - Transition'!B:B,'Step 2'!A579,'Support - Transition'!C:C,'Step 2'!B579,'Support - Transition'!D:D,'Step 2'!C579,'Support - Transition'!E:E,"CIVIL")</f>
        <v>0</v>
      </c>
      <c r="H579" s="126">
        <f>SUMIFS('Support - Transition'!F:F,'Support - Transition'!B:B,'Step 2'!A579,'Support - Transition'!C:C,'Step 2'!B579,'Support - Transition'!D:D,'Step 2'!C579,'Support - Transition'!E:E,"FIRE")</f>
        <v>0</v>
      </c>
      <c r="I579" s="126">
        <f>IF(B579="0",SUMIFS('Support - Transition'!F:F,'Support - Transition'!J:J,'Step 2'!D579,'Support - Transition'!E:E,"STATE UNIT"),SUMIFS('Support - Transition'!F:F,'Support - Transition'!J:J,'Step 2'!D579))</f>
        <v>2.4499999999999999E-3</v>
      </c>
      <c r="J579" s="126">
        <f>SUMIFS('Support - Unit Adjustments'!E:E,'Support - Unit Adjustments'!F:F,'Step 2'!D579)</f>
        <v>0</v>
      </c>
      <c r="K579" s="126">
        <f t="shared" si="175"/>
        <v>2.4499999999999999E-3</v>
      </c>
      <c r="L579" s="174">
        <f>VLOOKUP(A579,'Step 1'!$A:$E,4,FALSE)</f>
        <v>1968593</v>
      </c>
      <c r="M579" s="47">
        <f t="shared" si="176"/>
        <v>4823</v>
      </c>
      <c r="N579" s="177">
        <f>SUMIFS('Support - Transition'!G:G,'Support - Transition'!J:J,'Step 2'!D579,'Support - Transition'!E:E,"2009 WELFARE ALLOCATION FACTOR")</f>
        <v>0</v>
      </c>
      <c r="O579" s="152">
        <f t="shared" ref="O579:O642" si="181">ROUND(+N579*M579,0)</f>
        <v>0</v>
      </c>
      <c r="P579" s="126">
        <f>IF(E579="Y",0,SUMIFS('Support - Transition'!G:G,'Support - Transition'!J:J,'Step 2'!D579,'Support - Transition'!E:E,"2009 SCHOOL ALLOCATION FACTOR"))</f>
        <v>0</v>
      </c>
      <c r="Q579" s="126">
        <f>IF(E579="Y",VLOOKUP(D579,'Support - Unit Adjustments'!F:G,2,FALSE),0)</f>
        <v>0</v>
      </c>
      <c r="R579" s="155">
        <f t="shared" si="174"/>
        <v>0</v>
      </c>
      <c r="S579" s="47">
        <f t="shared" si="173"/>
        <v>0</v>
      </c>
      <c r="T579" s="151">
        <f t="shared" si="177"/>
        <v>4823</v>
      </c>
      <c r="U579" s="151">
        <f t="shared" si="178"/>
        <v>0</v>
      </c>
      <c r="V579" s="139">
        <f t="shared" si="179"/>
        <v>0</v>
      </c>
      <c r="W579" s="152">
        <f t="shared" ref="W579:W642" si="182">+T579-V579</f>
        <v>4823</v>
      </c>
      <c r="X579" s="127" t="str">
        <f t="shared" si="180"/>
        <v/>
      </c>
      <c r="Y579" s="207">
        <f t="shared" ref="Y579:Y642" si="183">W579</f>
        <v>4823</v>
      </c>
      <c r="Z579" s="139">
        <f t="shared" ref="Z579:Z642" si="184">IFERROR(IF(B579="2",ROUND(Y579*G579/I579,0),Y579),0)</f>
        <v>4823</v>
      </c>
      <c r="AA579" s="139">
        <f t="shared" ref="AA579:AA642" si="185">+Y579-Z579</f>
        <v>0</v>
      </c>
      <c r="AC579" s="47">
        <f t="shared" ref="AC579:AC642" si="186">ROUND(Y579/2,0)</f>
        <v>2412</v>
      </c>
      <c r="AD579" s="47">
        <f t="shared" ref="AD579:AD642" si="187">ROUND(Z579/2,0)</f>
        <v>2412</v>
      </c>
      <c r="AE579" s="47">
        <f t="shared" ref="AE579:AE642" si="188">ROUND(AA579/2,0)</f>
        <v>0</v>
      </c>
      <c r="AG579" s="47">
        <f t="shared" ref="AG579:AG642" si="189">+Y579-AC579</f>
        <v>2411</v>
      </c>
      <c r="AH579" s="47">
        <f t="shared" ref="AH579:AH642" si="190">+Z579-AD579</f>
        <v>2411</v>
      </c>
      <c r="AI579" s="208">
        <f t="shared" ref="AI579:AI642" si="191">+AA579-AE579</f>
        <v>0</v>
      </c>
    </row>
    <row r="580" spans="1:35">
      <c r="A580" t="s">
        <v>2183</v>
      </c>
      <c r="B580" t="s">
        <v>3286</v>
      </c>
      <c r="C580" t="s">
        <v>2419</v>
      </c>
      <c r="D580" t="s">
        <v>3832</v>
      </c>
      <c r="F580" t="s">
        <v>3833</v>
      </c>
      <c r="G580" s="126">
        <f>SUMIFS('Support - Transition'!F:F,'Support - Transition'!B:B,'Step 2'!A580,'Support - Transition'!C:C,'Step 2'!B580,'Support - Transition'!D:D,'Step 2'!C580,'Support - Transition'!E:E,"CIVIL")</f>
        <v>0</v>
      </c>
      <c r="H580" s="126">
        <f>SUMIFS('Support - Transition'!F:F,'Support - Transition'!B:B,'Step 2'!A580,'Support - Transition'!C:C,'Step 2'!B580,'Support - Transition'!D:D,'Step 2'!C580,'Support - Transition'!E:E,"FIRE")</f>
        <v>0</v>
      </c>
      <c r="I580" s="126">
        <f>IF(B580="0",SUMIFS('Support - Transition'!F:F,'Support - Transition'!J:J,'Step 2'!D580,'Support - Transition'!E:E,"STATE UNIT"),SUMIFS('Support - Transition'!F:F,'Support - Transition'!J:J,'Step 2'!D580))</f>
        <v>0</v>
      </c>
      <c r="J580" s="126">
        <f>SUMIFS('Support - Unit Adjustments'!E:E,'Support - Unit Adjustments'!F:F,'Step 2'!D580)</f>
        <v>0</v>
      </c>
      <c r="K580" s="126">
        <f t="shared" si="175"/>
        <v>0</v>
      </c>
      <c r="L580" s="174">
        <f>VLOOKUP(A580,'Step 1'!$A:$E,4,FALSE)</f>
        <v>1968593</v>
      </c>
      <c r="M580" s="47">
        <f t="shared" si="176"/>
        <v>0</v>
      </c>
      <c r="N580" s="177">
        <f>SUMIFS('Support - Transition'!G:G,'Support - Transition'!J:J,'Step 2'!D580,'Support - Transition'!E:E,"2009 WELFARE ALLOCATION FACTOR")</f>
        <v>0</v>
      </c>
      <c r="O580" s="152">
        <f t="shared" si="181"/>
        <v>0</v>
      </c>
      <c r="P580" s="126">
        <f>IF(E580="Y",0,SUMIFS('Support - Transition'!G:G,'Support - Transition'!J:J,'Step 2'!D580,'Support - Transition'!E:E,"2009 SCHOOL ALLOCATION FACTOR"))</f>
        <v>0</v>
      </c>
      <c r="Q580" s="126">
        <f>IF(E580="Y",VLOOKUP(D580,'Support - Unit Adjustments'!F:G,2,FALSE),0)</f>
        <v>0</v>
      </c>
      <c r="R580" s="155">
        <f t="shared" si="174"/>
        <v>0</v>
      </c>
      <c r="S580" s="47">
        <f t="shared" si="173"/>
        <v>0</v>
      </c>
      <c r="T580" s="151">
        <f t="shared" si="177"/>
        <v>0</v>
      </c>
      <c r="U580" s="151">
        <f t="shared" si="178"/>
        <v>0</v>
      </c>
      <c r="V580" s="139">
        <f t="shared" si="179"/>
        <v>0</v>
      </c>
      <c r="W580" s="152">
        <f t="shared" si="182"/>
        <v>0</v>
      </c>
      <c r="X580" s="127" t="str">
        <f t="shared" si="180"/>
        <v/>
      </c>
      <c r="Y580" s="207">
        <f t="shared" si="183"/>
        <v>0</v>
      </c>
      <c r="Z580" s="139">
        <f t="shared" si="184"/>
        <v>0</v>
      </c>
      <c r="AA580" s="139">
        <f t="shared" si="185"/>
        <v>0</v>
      </c>
      <c r="AC580" s="47">
        <f t="shared" si="186"/>
        <v>0</v>
      </c>
      <c r="AD580" s="47">
        <f t="shared" si="187"/>
        <v>0</v>
      </c>
      <c r="AE580" s="47">
        <f t="shared" si="188"/>
        <v>0</v>
      </c>
      <c r="AG580" s="47">
        <f t="shared" si="189"/>
        <v>0</v>
      </c>
      <c r="AH580" s="47">
        <f t="shared" si="190"/>
        <v>0</v>
      </c>
      <c r="AI580" s="208">
        <f t="shared" si="191"/>
        <v>0</v>
      </c>
    </row>
    <row r="581" spans="1:35">
      <c r="A581" t="s">
        <v>2183</v>
      </c>
      <c r="B581" t="s">
        <v>3286</v>
      </c>
      <c r="C581" t="s">
        <v>3834</v>
      </c>
      <c r="D581" t="s">
        <v>3835</v>
      </c>
      <c r="F581" t="s">
        <v>3836</v>
      </c>
      <c r="G581" s="126">
        <f>SUMIFS('Support - Transition'!F:F,'Support - Transition'!B:B,'Step 2'!A581,'Support - Transition'!C:C,'Step 2'!B581,'Support - Transition'!D:D,'Step 2'!C581,'Support - Transition'!E:E,"CIVIL")</f>
        <v>0</v>
      </c>
      <c r="H581" s="126">
        <f>SUMIFS('Support - Transition'!F:F,'Support - Transition'!B:B,'Step 2'!A581,'Support - Transition'!C:C,'Step 2'!B581,'Support - Transition'!D:D,'Step 2'!C581,'Support - Transition'!E:E,"FIRE")</f>
        <v>0</v>
      </c>
      <c r="I581" s="126">
        <f>IF(B581="0",SUMIFS('Support - Transition'!F:F,'Support - Transition'!J:J,'Step 2'!D581,'Support - Transition'!E:E,"STATE UNIT"),SUMIFS('Support - Transition'!F:F,'Support - Transition'!J:J,'Step 2'!D581))</f>
        <v>0</v>
      </c>
      <c r="J581" s="126">
        <f>SUMIFS('Support - Unit Adjustments'!E:E,'Support - Unit Adjustments'!F:F,'Step 2'!D581)</f>
        <v>0</v>
      </c>
      <c r="K581" s="126">
        <f t="shared" si="175"/>
        <v>0</v>
      </c>
      <c r="L581" s="174">
        <f>VLOOKUP(A581,'Step 1'!$A:$E,4,FALSE)</f>
        <v>1968593</v>
      </c>
      <c r="M581" s="47">
        <f t="shared" si="176"/>
        <v>0</v>
      </c>
      <c r="N581" s="177">
        <f>SUMIFS('Support - Transition'!G:G,'Support - Transition'!J:J,'Step 2'!D581,'Support - Transition'!E:E,"2009 WELFARE ALLOCATION FACTOR")</f>
        <v>0</v>
      </c>
      <c r="O581" s="152">
        <f t="shared" si="181"/>
        <v>0</v>
      </c>
      <c r="P581" s="126">
        <f>IF(E581="Y",0,SUMIFS('Support - Transition'!G:G,'Support - Transition'!J:J,'Step 2'!D581,'Support - Transition'!E:E,"2009 SCHOOL ALLOCATION FACTOR"))</f>
        <v>0</v>
      </c>
      <c r="Q581" s="126">
        <f>IF(E581="Y",VLOOKUP(D581,'Support - Unit Adjustments'!F:G,2,FALSE),0)</f>
        <v>0</v>
      </c>
      <c r="R581" s="155">
        <f t="shared" si="174"/>
        <v>0</v>
      </c>
      <c r="S581" s="47">
        <f t="shared" si="173"/>
        <v>0</v>
      </c>
      <c r="T581" s="151">
        <f t="shared" si="177"/>
        <v>0</v>
      </c>
      <c r="U581" s="151">
        <f t="shared" si="178"/>
        <v>0</v>
      </c>
      <c r="V581" s="139">
        <f t="shared" si="179"/>
        <v>0</v>
      </c>
      <c r="W581" s="152">
        <f t="shared" si="182"/>
        <v>0</v>
      </c>
      <c r="X581" s="127" t="str">
        <f t="shared" si="180"/>
        <v/>
      </c>
      <c r="Y581" s="207">
        <f t="shared" si="183"/>
        <v>0</v>
      </c>
      <c r="Z581" s="139">
        <f t="shared" si="184"/>
        <v>0</v>
      </c>
      <c r="AA581" s="139">
        <f t="shared" si="185"/>
        <v>0</v>
      </c>
      <c r="AC581" s="47">
        <f t="shared" si="186"/>
        <v>0</v>
      </c>
      <c r="AD581" s="47">
        <f t="shared" si="187"/>
        <v>0</v>
      </c>
      <c r="AE581" s="47">
        <f t="shared" si="188"/>
        <v>0</v>
      </c>
      <c r="AG581" s="47">
        <f t="shared" si="189"/>
        <v>0</v>
      </c>
      <c r="AH581" s="47">
        <f t="shared" si="190"/>
        <v>0</v>
      </c>
      <c r="AI581" s="208">
        <f t="shared" si="191"/>
        <v>0</v>
      </c>
    </row>
    <row r="582" spans="1:35">
      <c r="A582" t="s">
        <v>2107</v>
      </c>
      <c r="B582" s="48" t="s">
        <v>6274</v>
      </c>
      <c r="C582" t="s">
        <v>2187</v>
      </c>
      <c r="D582" t="str">
        <f>A582&amp;B582&amp;C582</f>
        <v>2100000</v>
      </c>
      <c r="F582" t="s">
        <v>6295</v>
      </c>
      <c r="G582" s="126">
        <f>SUMIFS('Support - Transition'!F:F,'Support - Transition'!B:B,'Step 2'!A582,'Support - Transition'!C:C,'Step 2'!B582,'Support - Transition'!D:D,'Step 2'!C582,'Support - Transition'!E:E,"CIVIL")</f>
        <v>0</v>
      </c>
      <c r="H582" s="126">
        <f>SUMIFS('Support - Transition'!F:F,'Support - Transition'!B:B,'Step 2'!A582,'Support - Transition'!C:C,'Step 2'!B582,'Support - Transition'!D:D,'Step 2'!C582,'Support - Transition'!E:E,"FIRE")</f>
        <v>0</v>
      </c>
      <c r="I582" s="126">
        <f>IF(B582="0",SUMIFS('Support - Transition'!F:F,'Support - Transition'!J:J,'Step 2'!D582,'Support - Transition'!E:E,"STATE UNIT"),SUMIFS('Support - Transition'!F:F,'Support - Transition'!J:J,'Step 2'!D582))</f>
        <v>1.103E-3</v>
      </c>
      <c r="J582" s="126">
        <f>SUMIFS('Support - Unit Adjustments'!E:E,'Support - Unit Adjustments'!F:F,'Step 2'!D582)</f>
        <v>0</v>
      </c>
      <c r="K582" s="126">
        <f t="shared" si="175"/>
        <v>1.103E-3</v>
      </c>
      <c r="L582" s="174">
        <f>VLOOKUP(A582,'Step 1'!$A:$E,4,FALSE)</f>
        <v>116534</v>
      </c>
      <c r="M582" s="47">
        <f t="shared" si="176"/>
        <v>129</v>
      </c>
      <c r="N582" s="177">
        <f>SUMIFS('Support - Transition'!G:G,'Support - Transition'!J:J,'Step 2'!D582,'Support - Transition'!E:E,"2009 WELFARE ALLOCATION FACTOR")</f>
        <v>0</v>
      </c>
      <c r="O582" s="152">
        <f t="shared" si="181"/>
        <v>0</v>
      </c>
      <c r="P582" s="126">
        <f>IF(E582="Y",0,SUMIFS('Support - Transition'!G:G,'Support - Transition'!J:J,'Step 2'!D582,'Support - Transition'!E:E,"2009 SCHOOL ALLOCATION FACTOR"))</f>
        <v>0</v>
      </c>
      <c r="Q582" s="126">
        <f>IF(E582="Y",VLOOKUP(D582,'Support - Unit Adjustments'!F:G,2,FALSE),0)</f>
        <v>0</v>
      </c>
      <c r="R582" s="155">
        <f t="shared" si="174"/>
        <v>0</v>
      </c>
      <c r="S582" s="47">
        <f t="shared" si="173"/>
        <v>0</v>
      </c>
      <c r="T582" s="151">
        <f t="shared" si="177"/>
        <v>129</v>
      </c>
      <c r="U582" s="151">
        <f t="shared" si="178"/>
        <v>116536</v>
      </c>
      <c r="V582" s="139">
        <f t="shared" si="179"/>
        <v>2</v>
      </c>
      <c r="W582" s="152">
        <f t="shared" si="182"/>
        <v>127</v>
      </c>
      <c r="X582" s="127">
        <f t="shared" si="180"/>
        <v>0</v>
      </c>
      <c r="Y582" s="207">
        <f t="shared" si="183"/>
        <v>127</v>
      </c>
      <c r="Z582" s="139">
        <f t="shared" si="184"/>
        <v>127</v>
      </c>
      <c r="AA582" s="139">
        <f t="shared" si="185"/>
        <v>0</v>
      </c>
      <c r="AC582" s="47">
        <f t="shared" si="186"/>
        <v>64</v>
      </c>
      <c r="AD582" s="47">
        <f t="shared" si="187"/>
        <v>64</v>
      </c>
      <c r="AE582" s="47">
        <f t="shared" si="188"/>
        <v>0</v>
      </c>
      <c r="AG582" s="47">
        <f t="shared" si="189"/>
        <v>63</v>
      </c>
      <c r="AH582" s="47">
        <f t="shared" si="190"/>
        <v>63</v>
      </c>
      <c r="AI582" s="208">
        <f t="shared" si="191"/>
        <v>0</v>
      </c>
    </row>
    <row r="583" spans="1:35">
      <c r="A583" t="s">
        <v>2107</v>
      </c>
      <c r="B583" t="s">
        <v>3140</v>
      </c>
      <c r="C583" t="s">
        <v>2187</v>
      </c>
      <c r="D583" t="s">
        <v>3837</v>
      </c>
      <c r="F583" t="s">
        <v>479</v>
      </c>
      <c r="G583" s="126">
        <f>SUMIFS('Support - Transition'!F:F,'Support - Transition'!B:B,'Step 2'!A583,'Support - Transition'!C:C,'Step 2'!B583,'Support - Transition'!D:D,'Step 2'!C583,'Support - Transition'!E:E,"CIVIL")</f>
        <v>0</v>
      </c>
      <c r="H583" s="126">
        <f>SUMIFS('Support - Transition'!F:F,'Support - Transition'!B:B,'Step 2'!A583,'Support - Transition'!C:C,'Step 2'!B583,'Support - Transition'!D:D,'Step 2'!C583,'Support - Transition'!E:E,"FIRE")</f>
        <v>0</v>
      </c>
      <c r="I583" s="126">
        <f>IF(B583="0",SUMIFS('Support - Transition'!F:F,'Support - Transition'!J:J,'Step 2'!D583,'Support - Transition'!E:E,"STATE UNIT"),SUMIFS('Support - Transition'!F:F,'Support - Transition'!J:J,'Step 2'!D583))</f>
        <v>0.28837800000000002</v>
      </c>
      <c r="J583" s="126">
        <f>SUMIFS('Support - Unit Adjustments'!E:E,'Support - Unit Adjustments'!F:F,'Step 2'!D583)</f>
        <v>0</v>
      </c>
      <c r="K583" s="126">
        <f t="shared" si="175"/>
        <v>0.28837800000000002</v>
      </c>
      <c r="L583" s="174">
        <f>VLOOKUP(A583,'Step 1'!$A:$E,4,FALSE)</f>
        <v>116534</v>
      </c>
      <c r="M583" s="47">
        <f t="shared" si="176"/>
        <v>33606</v>
      </c>
      <c r="N583" s="177">
        <f>SUMIFS('Support - Transition'!G:G,'Support - Transition'!J:J,'Step 2'!D583,'Support - Transition'!E:E,"2009 WELFARE ALLOCATION FACTOR")</f>
        <v>0.29178700000000002</v>
      </c>
      <c r="O583" s="152">
        <f t="shared" si="181"/>
        <v>9806</v>
      </c>
      <c r="P583" s="126">
        <f>IF(E583="Y",0,SUMIFS('Support - Transition'!G:G,'Support - Transition'!J:J,'Step 2'!D583,'Support - Transition'!E:E,"2009 SCHOOL ALLOCATION FACTOR"))</f>
        <v>0</v>
      </c>
      <c r="Q583" s="126">
        <f>IF(E583="Y",VLOOKUP(D583,'Support - Unit Adjustments'!F:G,2,FALSE),0)</f>
        <v>0</v>
      </c>
      <c r="R583" s="155">
        <f t="shared" si="174"/>
        <v>0</v>
      </c>
      <c r="S583" s="47">
        <f t="shared" si="173"/>
        <v>0</v>
      </c>
      <c r="T583" s="151">
        <f t="shared" si="177"/>
        <v>23800</v>
      </c>
      <c r="U583" s="151">
        <f t="shared" si="178"/>
        <v>0</v>
      </c>
      <c r="V583" s="139">
        <f t="shared" si="179"/>
        <v>0</v>
      </c>
      <c r="W583" s="152">
        <f t="shared" si="182"/>
        <v>23800</v>
      </c>
      <c r="X583" s="127" t="str">
        <f t="shared" si="180"/>
        <v/>
      </c>
      <c r="Y583" s="207">
        <f t="shared" si="183"/>
        <v>23800</v>
      </c>
      <c r="Z583" s="139">
        <f t="shared" si="184"/>
        <v>23800</v>
      </c>
      <c r="AA583" s="139">
        <f t="shared" si="185"/>
        <v>0</v>
      </c>
      <c r="AC583" s="47">
        <f t="shared" si="186"/>
        <v>11900</v>
      </c>
      <c r="AD583" s="47">
        <f t="shared" si="187"/>
        <v>11900</v>
      </c>
      <c r="AE583" s="47">
        <f t="shared" si="188"/>
        <v>0</v>
      </c>
      <c r="AG583" s="47">
        <f t="shared" si="189"/>
        <v>11900</v>
      </c>
      <c r="AH583" s="47">
        <f t="shared" si="190"/>
        <v>11900</v>
      </c>
      <c r="AI583" s="208">
        <f t="shared" si="191"/>
        <v>0</v>
      </c>
    </row>
    <row r="584" spans="1:35">
      <c r="A584" t="s">
        <v>2107</v>
      </c>
      <c r="B584" t="s">
        <v>3142</v>
      </c>
      <c r="C584" t="s">
        <v>2188</v>
      </c>
      <c r="D584" t="s">
        <v>3838</v>
      </c>
      <c r="F584" t="s">
        <v>429</v>
      </c>
      <c r="G584" s="126">
        <f>SUMIFS('Support - Transition'!F:F,'Support - Transition'!B:B,'Step 2'!A584,'Support - Transition'!C:C,'Step 2'!B584,'Support - Transition'!D:D,'Step 2'!C584,'Support - Transition'!E:E,"CIVIL")</f>
        <v>1.2199999999999999E-3</v>
      </c>
      <c r="H584" s="126">
        <f>SUMIFS('Support - Transition'!F:F,'Support - Transition'!B:B,'Step 2'!A584,'Support - Transition'!C:C,'Step 2'!B584,'Support - Transition'!D:D,'Step 2'!C584,'Support - Transition'!E:E,"FIRE")</f>
        <v>3.1300000000000002E-4</v>
      </c>
      <c r="I584" s="126">
        <f>IF(B584="0",SUMIFS('Support - Transition'!F:F,'Support - Transition'!J:J,'Step 2'!D584,'Support - Transition'!E:E,"STATE UNIT"),SUMIFS('Support - Transition'!F:F,'Support - Transition'!J:J,'Step 2'!D584))</f>
        <v>1.5330000000000001E-3</v>
      </c>
      <c r="J584" s="126">
        <f>SUMIFS('Support - Unit Adjustments'!E:E,'Support - Unit Adjustments'!F:F,'Step 2'!D584)</f>
        <v>0</v>
      </c>
      <c r="K584" s="126">
        <f t="shared" si="175"/>
        <v>1.5330000000000001E-3</v>
      </c>
      <c r="L584" s="174">
        <f>VLOOKUP(A584,'Step 1'!$A:$E,4,FALSE)</f>
        <v>116534</v>
      </c>
      <c r="M584" s="47">
        <f t="shared" si="176"/>
        <v>179</v>
      </c>
      <c r="N584" s="177">
        <f>SUMIFS('Support - Transition'!G:G,'Support - Transition'!J:J,'Step 2'!D584,'Support - Transition'!E:E,"2009 WELFARE ALLOCATION FACTOR")</f>
        <v>0</v>
      </c>
      <c r="O584" s="152">
        <f t="shared" si="181"/>
        <v>0</v>
      </c>
      <c r="P584" s="126">
        <f>IF(E584="Y",0,SUMIFS('Support - Transition'!G:G,'Support - Transition'!J:J,'Step 2'!D584,'Support - Transition'!E:E,"2009 SCHOOL ALLOCATION FACTOR"))</f>
        <v>0</v>
      </c>
      <c r="Q584" s="126">
        <f>IF(E584="Y",VLOOKUP(D584,'Support - Unit Adjustments'!F:G,2,FALSE),0)</f>
        <v>0</v>
      </c>
      <c r="R584" s="155">
        <f t="shared" si="174"/>
        <v>0</v>
      </c>
      <c r="S584" s="47">
        <f t="shared" ref="S584:S647" si="192">ROUND(+R584*M584,0)</f>
        <v>0</v>
      </c>
      <c r="T584" s="151">
        <f t="shared" si="177"/>
        <v>179</v>
      </c>
      <c r="U584" s="151">
        <f t="shared" si="178"/>
        <v>0</v>
      </c>
      <c r="V584" s="139">
        <f t="shared" si="179"/>
        <v>0</v>
      </c>
      <c r="W584" s="152">
        <f t="shared" si="182"/>
        <v>179</v>
      </c>
      <c r="X584" s="127" t="str">
        <f t="shared" si="180"/>
        <v/>
      </c>
      <c r="Y584" s="207">
        <f t="shared" si="183"/>
        <v>179</v>
      </c>
      <c r="Z584" s="139">
        <f t="shared" si="184"/>
        <v>142</v>
      </c>
      <c r="AA584" s="139">
        <f t="shared" si="185"/>
        <v>37</v>
      </c>
      <c r="AC584" s="47">
        <f t="shared" si="186"/>
        <v>90</v>
      </c>
      <c r="AD584" s="47">
        <f t="shared" si="187"/>
        <v>71</v>
      </c>
      <c r="AE584" s="47">
        <f t="shared" si="188"/>
        <v>19</v>
      </c>
      <c r="AG584" s="47">
        <f t="shared" si="189"/>
        <v>89</v>
      </c>
      <c r="AH584" s="47">
        <f t="shared" si="190"/>
        <v>71</v>
      </c>
      <c r="AI584" s="208">
        <f t="shared" si="191"/>
        <v>18</v>
      </c>
    </row>
    <row r="585" spans="1:35">
      <c r="A585" t="s">
        <v>2107</v>
      </c>
      <c r="B585" t="s">
        <v>3142</v>
      </c>
      <c r="C585" t="s">
        <v>2189</v>
      </c>
      <c r="D585" t="s">
        <v>3839</v>
      </c>
      <c r="F585" t="s">
        <v>480</v>
      </c>
      <c r="G585" s="126">
        <f>SUMIFS('Support - Transition'!F:F,'Support - Transition'!B:B,'Step 2'!A585,'Support - Transition'!C:C,'Step 2'!B585,'Support - Transition'!D:D,'Step 2'!C585,'Support - Transition'!E:E,"CIVIL")</f>
        <v>3.7460000000000002E-3</v>
      </c>
      <c r="H585" s="126">
        <f>SUMIFS('Support - Transition'!F:F,'Support - Transition'!B:B,'Step 2'!A585,'Support - Transition'!C:C,'Step 2'!B585,'Support - Transition'!D:D,'Step 2'!C585,'Support - Transition'!E:E,"FIRE")</f>
        <v>3.5199999999999999E-4</v>
      </c>
      <c r="I585" s="126">
        <f>IF(B585="0",SUMIFS('Support - Transition'!F:F,'Support - Transition'!J:J,'Step 2'!D585,'Support - Transition'!E:E,"STATE UNIT"),SUMIFS('Support - Transition'!F:F,'Support - Transition'!J:J,'Step 2'!D585))</f>
        <v>4.0980000000000001E-3</v>
      </c>
      <c r="J585" s="126">
        <f>SUMIFS('Support - Unit Adjustments'!E:E,'Support - Unit Adjustments'!F:F,'Step 2'!D585)</f>
        <v>0</v>
      </c>
      <c r="K585" s="126">
        <f t="shared" si="175"/>
        <v>4.0980000000000001E-3</v>
      </c>
      <c r="L585" s="174">
        <f>VLOOKUP(A585,'Step 1'!$A:$E,4,FALSE)</f>
        <v>116534</v>
      </c>
      <c r="M585" s="47">
        <f t="shared" si="176"/>
        <v>478</v>
      </c>
      <c r="N585" s="177">
        <f>SUMIFS('Support - Transition'!G:G,'Support - Transition'!J:J,'Step 2'!D585,'Support - Transition'!E:E,"2009 WELFARE ALLOCATION FACTOR")</f>
        <v>0</v>
      </c>
      <c r="O585" s="152">
        <f t="shared" si="181"/>
        <v>0</v>
      </c>
      <c r="P585" s="126">
        <f>IF(E585="Y",0,SUMIFS('Support - Transition'!G:G,'Support - Transition'!J:J,'Step 2'!D585,'Support - Transition'!E:E,"2009 SCHOOL ALLOCATION FACTOR"))</f>
        <v>0</v>
      </c>
      <c r="Q585" s="126">
        <f>IF(E585="Y",VLOOKUP(D585,'Support - Unit Adjustments'!F:G,2,FALSE),0)</f>
        <v>0</v>
      </c>
      <c r="R585" s="155">
        <f t="shared" ref="R585:R648" si="193">+P585+Q585</f>
        <v>0</v>
      </c>
      <c r="S585" s="47">
        <f t="shared" si="192"/>
        <v>0</v>
      </c>
      <c r="T585" s="151">
        <f t="shared" si="177"/>
        <v>478</v>
      </c>
      <c r="U585" s="151">
        <f t="shared" si="178"/>
        <v>0</v>
      </c>
      <c r="V585" s="139">
        <f t="shared" si="179"/>
        <v>0</v>
      </c>
      <c r="W585" s="152">
        <f t="shared" si="182"/>
        <v>478</v>
      </c>
      <c r="X585" s="127" t="str">
        <f t="shared" si="180"/>
        <v/>
      </c>
      <c r="Y585" s="207">
        <f t="shared" si="183"/>
        <v>478</v>
      </c>
      <c r="Z585" s="139">
        <f t="shared" si="184"/>
        <v>437</v>
      </c>
      <c r="AA585" s="139">
        <f t="shared" si="185"/>
        <v>41</v>
      </c>
      <c r="AC585" s="47">
        <f t="shared" si="186"/>
        <v>239</v>
      </c>
      <c r="AD585" s="47">
        <f t="shared" si="187"/>
        <v>219</v>
      </c>
      <c r="AE585" s="47">
        <f t="shared" si="188"/>
        <v>21</v>
      </c>
      <c r="AG585" s="47">
        <f t="shared" si="189"/>
        <v>239</v>
      </c>
      <c r="AH585" s="47">
        <f t="shared" si="190"/>
        <v>218</v>
      </c>
      <c r="AI585" s="208">
        <f t="shared" si="191"/>
        <v>20</v>
      </c>
    </row>
    <row r="586" spans="1:35">
      <c r="A586" t="s">
        <v>2107</v>
      </c>
      <c r="B586" t="s">
        <v>3142</v>
      </c>
      <c r="C586" t="s">
        <v>2190</v>
      </c>
      <c r="D586" t="s">
        <v>3840</v>
      </c>
      <c r="F586" t="s">
        <v>481</v>
      </c>
      <c r="G586" s="126">
        <f>SUMIFS('Support - Transition'!F:F,'Support - Transition'!B:B,'Step 2'!A586,'Support - Transition'!C:C,'Step 2'!B586,'Support - Transition'!D:D,'Step 2'!C586,'Support - Transition'!E:E,"CIVIL")</f>
        <v>1.9599999999999999E-4</v>
      </c>
      <c r="H586" s="126">
        <f>SUMIFS('Support - Transition'!F:F,'Support - Transition'!B:B,'Step 2'!A586,'Support - Transition'!C:C,'Step 2'!B586,'Support - Transition'!D:D,'Step 2'!C586,'Support - Transition'!E:E,"FIRE")</f>
        <v>3.8999999999999999E-5</v>
      </c>
      <c r="I586" s="126">
        <f>IF(B586="0",SUMIFS('Support - Transition'!F:F,'Support - Transition'!J:J,'Step 2'!D586,'Support - Transition'!E:E,"STATE UNIT"),SUMIFS('Support - Transition'!F:F,'Support - Transition'!J:J,'Step 2'!D586))</f>
        <v>2.3499999999999999E-4</v>
      </c>
      <c r="J586" s="126">
        <f>SUMIFS('Support - Unit Adjustments'!E:E,'Support - Unit Adjustments'!F:F,'Step 2'!D586)</f>
        <v>0</v>
      </c>
      <c r="K586" s="126">
        <f t="shared" si="175"/>
        <v>2.3499999999999999E-4</v>
      </c>
      <c r="L586" s="174">
        <f>VLOOKUP(A586,'Step 1'!$A:$E,4,FALSE)</f>
        <v>116534</v>
      </c>
      <c r="M586" s="47">
        <f t="shared" si="176"/>
        <v>27</v>
      </c>
      <c r="N586" s="177">
        <f>SUMIFS('Support - Transition'!G:G,'Support - Transition'!J:J,'Step 2'!D586,'Support - Transition'!E:E,"2009 WELFARE ALLOCATION FACTOR")</f>
        <v>0</v>
      </c>
      <c r="O586" s="152">
        <f t="shared" si="181"/>
        <v>0</v>
      </c>
      <c r="P586" s="126">
        <f>IF(E586="Y",0,SUMIFS('Support - Transition'!G:G,'Support - Transition'!J:J,'Step 2'!D586,'Support - Transition'!E:E,"2009 SCHOOL ALLOCATION FACTOR"))</f>
        <v>0</v>
      </c>
      <c r="Q586" s="126">
        <f>IF(E586="Y",VLOOKUP(D586,'Support - Unit Adjustments'!F:G,2,FALSE),0)</f>
        <v>0</v>
      </c>
      <c r="R586" s="155">
        <f t="shared" si="193"/>
        <v>0</v>
      </c>
      <c r="S586" s="47">
        <f t="shared" si="192"/>
        <v>0</v>
      </c>
      <c r="T586" s="151">
        <f t="shared" si="177"/>
        <v>27</v>
      </c>
      <c r="U586" s="151">
        <f t="shared" si="178"/>
        <v>0</v>
      </c>
      <c r="V586" s="139">
        <f t="shared" si="179"/>
        <v>0</v>
      </c>
      <c r="W586" s="152">
        <f t="shared" si="182"/>
        <v>27</v>
      </c>
      <c r="X586" s="127" t="str">
        <f t="shared" si="180"/>
        <v/>
      </c>
      <c r="Y586" s="207">
        <f t="shared" si="183"/>
        <v>27</v>
      </c>
      <c r="Z586" s="139">
        <f t="shared" si="184"/>
        <v>23</v>
      </c>
      <c r="AA586" s="139">
        <f t="shared" si="185"/>
        <v>4</v>
      </c>
      <c r="AC586" s="47">
        <f t="shared" si="186"/>
        <v>14</v>
      </c>
      <c r="AD586" s="47">
        <f t="shared" si="187"/>
        <v>12</v>
      </c>
      <c r="AE586" s="47">
        <f t="shared" si="188"/>
        <v>2</v>
      </c>
      <c r="AG586" s="47">
        <f t="shared" si="189"/>
        <v>13</v>
      </c>
      <c r="AH586" s="47">
        <f t="shared" si="190"/>
        <v>11</v>
      </c>
      <c r="AI586" s="208">
        <f t="shared" si="191"/>
        <v>2</v>
      </c>
    </row>
    <row r="587" spans="1:35">
      <c r="A587" t="s">
        <v>2107</v>
      </c>
      <c r="B587" t="s">
        <v>3142</v>
      </c>
      <c r="C587" t="s">
        <v>2191</v>
      </c>
      <c r="D587" t="s">
        <v>3841</v>
      </c>
      <c r="F587" t="s">
        <v>86</v>
      </c>
      <c r="G587" s="126">
        <f>SUMIFS('Support - Transition'!F:F,'Support - Transition'!B:B,'Step 2'!A587,'Support - Transition'!C:C,'Step 2'!B587,'Support - Transition'!D:D,'Step 2'!C587,'Support - Transition'!E:E,"CIVIL")</f>
        <v>1.5020000000000001E-3</v>
      </c>
      <c r="H587" s="126">
        <f>SUMIFS('Support - Transition'!F:F,'Support - Transition'!B:B,'Step 2'!A587,'Support - Transition'!C:C,'Step 2'!B587,'Support - Transition'!D:D,'Step 2'!C587,'Support - Transition'!E:E,"FIRE")</f>
        <v>1.56E-4</v>
      </c>
      <c r="I587" s="126">
        <f>IF(B587="0",SUMIFS('Support - Transition'!F:F,'Support - Transition'!J:J,'Step 2'!D587,'Support - Transition'!E:E,"STATE UNIT"),SUMIFS('Support - Transition'!F:F,'Support - Transition'!J:J,'Step 2'!D587))</f>
        <v>1.6580000000000002E-3</v>
      </c>
      <c r="J587" s="126">
        <f>SUMIFS('Support - Unit Adjustments'!E:E,'Support - Unit Adjustments'!F:F,'Step 2'!D587)</f>
        <v>0</v>
      </c>
      <c r="K587" s="126">
        <f t="shared" si="175"/>
        <v>1.6580000000000002E-3</v>
      </c>
      <c r="L587" s="174">
        <f>VLOOKUP(A587,'Step 1'!$A:$E,4,FALSE)</f>
        <v>116534</v>
      </c>
      <c r="M587" s="47">
        <f t="shared" si="176"/>
        <v>193</v>
      </c>
      <c r="N587" s="177">
        <f>SUMIFS('Support - Transition'!G:G,'Support - Transition'!J:J,'Step 2'!D587,'Support - Transition'!E:E,"2009 WELFARE ALLOCATION FACTOR")</f>
        <v>0</v>
      </c>
      <c r="O587" s="152">
        <f t="shared" si="181"/>
        <v>0</v>
      </c>
      <c r="P587" s="126">
        <f>IF(E587="Y",0,SUMIFS('Support - Transition'!G:G,'Support - Transition'!J:J,'Step 2'!D587,'Support - Transition'!E:E,"2009 SCHOOL ALLOCATION FACTOR"))</f>
        <v>0</v>
      </c>
      <c r="Q587" s="126">
        <f>IF(E587="Y",VLOOKUP(D587,'Support - Unit Adjustments'!F:G,2,FALSE),0)</f>
        <v>0</v>
      </c>
      <c r="R587" s="155">
        <f t="shared" si="193"/>
        <v>0</v>
      </c>
      <c r="S587" s="47">
        <f t="shared" si="192"/>
        <v>0</v>
      </c>
      <c r="T587" s="151">
        <f t="shared" si="177"/>
        <v>193</v>
      </c>
      <c r="U587" s="151">
        <f t="shared" si="178"/>
        <v>0</v>
      </c>
      <c r="V587" s="139">
        <f t="shared" si="179"/>
        <v>0</v>
      </c>
      <c r="W587" s="152">
        <f t="shared" si="182"/>
        <v>193</v>
      </c>
      <c r="X587" s="127" t="str">
        <f t="shared" si="180"/>
        <v/>
      </c>
      <c r="Y587" s="207">
        <f t="shared" si="183"/>
        <v>193</v>
      </c>
      <c r="Z587" s="139">
        <f t="shared" si="184"/>
        <v>175</v>
      </c>
      <c r="AA587" s="139">
        <f t="shared" si="185"/>
        <v>18</v>
      </c>
      <c r="AC587" s="47">
        <f t="shared" si="186"/>
        <v>97</v>
      </c>
      <c r="AD587" s="47">
        <f t="shared" si="187"/>
        <v>88</v>
      </c>
      <c r="AE587" s="47">
        <f t="shared" si="188"/>
        <v>9</v>
      </c>
      <c r="AG587" s="47">
        <f t="shared" si="189"/>
        <v>96</v>
      </c>
      <c r="AH587" s="47">
        <f t="shared" si="190"/>
        <v>87</v>
      </c>
      <c r="AI587" s="208">
        <f t="shared" si="191"/>
        <v>9</v>
      </c>
    </row>
    <row r="588" spans="1:35">
      <c r="A588" t="s">
        <v>2107</v>
      </c>
      <c r="B588" t="s">
        <v>3142</v>
      </c>
      <c r="C588" t="s">
        <v>2192</v>
      </c>
      <c r="D588" t="s">
        <v>3842</v>
      </c>
      <c r="F588" t="s">
        <v>49</v>
      </c>
      <c r="G588" s="126">
        <f>SUMIFS('Support - Transition'!F:F,'Support - Transition'!B:B,'Step 2'!A588,'Support - Transition'!C:C,'Step 2'!B588,'Support - Transition'!D:D,'Step 2'!C588,'Support - Transition'!E:E,"CIVIL")</f>
        <v>1.4E-3</v>
      </c>
      <c r="H588" s="126">
        <f>SUMIFS('Support - Transition'!F:F,'Support - Transition'!B:B,'Step 2'!A588,'Support - Transition'!C:C,'Step 2'!B588,'Support - Transition'!D:D,'Step 2'!C588,'Support - Transition'!E:E,"FIRE")</f>
        <v>4.3800000000000002E-4</v>
      </c>
      <c r="I588" s="126">
        <f>IF(B588="0",SUMIFS('Support - Transition'!F:F,'Support - Transition'!J:J,'Step 2'!D588,'Support - Transition'!E:E,"STATE UNIT"),SUMIFS('Support - Transition'!F:F,'Support - Transition'!J:J,'Step 2'!D588))</f>
        <v>1.838E-3</v>
      </c>
      <c r="J588" s="126">
        <f>SUMIFS('Support - Unit Adjustments'!E:E,'Support - Unit Adjustments'!F:F,'Step 2'!D588)</f>
        <v>0</v>
      </c>
      <c r="K588" s="126">
        <f t="shared" si="175"/>
        <v>1.838E-3</v>
      </c>
      <c r="L588" s="174">
        <f>VLOOKUP(A588,'Step 1'!$A:$E,4,FALSE)</f>
        <v>116534</v>
      </c>
      <c r="M588" s="47">
        <f t="shared" si="176"/>
        <v>214</v>
      </c>
      <c r="N588" s="177">
        <f>SUMIFS('Support - Transition'!G:G,'Support - Transition'!J:J,'Step 2'!D588,'Support - Transition'!E:E,"2009 WELFARE ALLOCATION FACTOR")</f>
        <v>0</v>
      </c>
      <c r="O588" s="152">
        <f t="shared" si="181"/>
        <v>0</v>
      </c>
      <c r="P588" s="126">
        <f>IF(E588="Y",0,SUMIFS('Support - Transition'!G:G,'Support - Transition'!J:J,'Step 2'!D588,'Support - Transition'!E:E,"2009 SCHOOL ALLOCATION FACTOR"))</f>
        <v>0</v>
      </c>
      <c r="Q588" s="126">
        <f>IF(E588="Y",VLOOKUP(D588,'Support - Unit Adjustments'!F:G,2,FALSE),0)</f>
        <v>0</v>
      </c>
      <c r="R588" s="155">
        <f t="shared" si="193"/>
        <v>0</v>
      </c>
      <c r="S588" s="47">
        <f t="shared" si="192"/>
        <v>0</v>
      </c>
      <c r="T588" s="151">
        <f t="shared" si="177"/>
        <v>214</v>
      </c>
      <c r="U588" s="151">
        <f t="shared" si="178"/>
        <v>0</v>
      </c>
      <c r="V588" s="139">
        <f t="shared" si="179"/>
        <v>0</v>
      </c>
      <c r="W588" s="152">
        <f t="shared" si="182"/>
        <v>214</v>
      </c>
      <c r="X588" s="127" t="str">
        <f t="shared" si="180"/>
        <v/>
      </c>
      <c r="Y588" s="207">
        <f t="shared" si="183"/>
        <v>214</v>
      </c>
      <c r="Z588" s="139">
        <f t="shared" si="184"/>
        <v>163</v>
      </c>
      <c r="AA588" s="139">
        <f t="shared" si="185"/>
        <v>51</v>
      </c>
      <c r="AC588" s="47">
        <f t="shared" si="186"/>
        <v>107</v>
      </c>
      <c r="AD588" s="47">
        <f t="shared" si="187"/>
        <v>82</v>
      </c>
      <c r="AE588" s="47">
        <f t="shared" si="188"/>
        <v>26</v>
      </c>
      <c r="AG588" s="47">
        <f t="shared" si="189"/>
        <v>107</v>
      </c>
      <c r="AH588" s="47">
        <f t="shared" si="190"/>
        <v>81</v>
      </c>
      <c r="AI588" s="208">
        <f t="shared" si="191"/>
        <v>25</v>
      </c>
    </row>
    <row r="589" spans="1:35">
      <c r="A589" t="s">
        <v>2107</v>
      </c>
      <c r="B589" t="s">
        <v>3142</v>
      </c>
      <c r="C589" t="s">
        <v>2193</v>
      </c>
      <c r="D589" t="s">
        <v>3843</v>
      </c>
      <c r="F589" t="s">
        <v>291</v>
      </c>
      <c r="G589" s="126">
        <f>SUMIFS('Support - Transition'!F:F,'Support - Transition'!B:B,'Step 2'!A589,'Support - Transition'!C:C,'Step 2'!B589,'Support - Transition'!D:D,'Step 2'!C589,'Support - Transition'!E:E,"CIVIL")</f>
        <v>5.6300000000000002E-4</v>
      </c>
      <c r="H589" s="126">
        <f>SUMIFS('Support - Transition'!F:F,'Support - Transition'!B:B,'Step 2'!A589,'Support - Transition'!C:C,'Step 2'!B589,'Support - Transition'!D:D,'Step 2'!C589,'Support - Transition'!E:E,"FIRE")</f>
        <v>1.56E-4</v>
      </c>
      <c r="I589" s="126">
        <f>IF(B589="0",SUMIFS('Support - Transition'!F:F,'Support - Transition'!J:J,'Step 2'!D589,'Support - Transition'!E:E,"STATE UNIT"),SUMIFS('Support - Transition'!F:F,'Support - Transition'!J:J,'Step 2'!D589))</f>
        <v>7.1900000000000002E-4</v>
      </c>
      <c r="J589" s="126">
        <f>SUMIFS('Support - Unit Adjustments'!E:E,'Support - Unit Adjustments'!F:F,'Step 2'!D589)</f>
        <v>0</v>
      </c>
      <c r="K589" s="126">
        <f t="shared" si="175"/>
        <v>7.1900000000000002E-4</v>
      </c>
      <c r="L589" s="174">
        <f>VLOOKUP(A589,'Step 1'!$A:$E,4,FALSE)</f>
        <v>116534</v>
      </c>
      <c r="M589" s="47">
        <f t="shared" si="176"/>
        <v>84</v>
      </c>
      <c r="N589" s="177">
        <f>SUMIFS('Support - Transition'!G:G,'Support - Transition'!J:J,'Step 2'!D589,'Support - Transition'!E:E,"2009 WELFARE ALLOCATION FACTOR")</f>
        <v>0</v>
      </c>
      <c r="O589" s="152">
        <f t="shared" si="181"/>
        <v>0</v>
      </c>
      <c r="P589" s="126">
        <f>IF(E589="Y",0,SUMIFS('Support - Transition'!G:G,'Support - Transition'!J:J,'Step 2'!D589,'Support - Transition'!E:E,"2009 SCHOOL ALLOCATION FACTOR"))</f>
        <v>0</v>
      </c>
      <c r="Q589" s="126">
        <f>IF(E589="Y",VLOOKUP(D589,'Support - Unit Adjustments'!F:G,2,FALSE),0)</f>
        <v>0</v>
      </c>
      <c r="R589" s="155">
        <f t="shared" si="193"/>
        <v>0</v>
      </c>
      <c r="S589" s="47">
        <f t="shared" si="192"/>
        <v>0</v>
      </c>
      <c r="T589" s="151">
        <f t="shared" si="177"/>
        <v>84</v>
      </c>
      <c r="U589" s="151">
        <f t="shared" si="178"/>
        <v>0</v>
      </c>
      <c r="V589" s="139">
        <f t="shared" si="179"/>
        <v>0</v>
      </c>
      <c r="W589" s="152">
        <f t="shared" si="182"/>
        <v>84</v>
      </c>
      <c r="X589" s="127" t="str">
        <f t="shared" si="180"/>
        <v/>
      </c>
      <c r="Y589" s="207">
        <f t="shared" si="183"/>
        <v>84</v>
      </c>
      <c r="Z589" s="139">
        <f t="shared" si="184"/>
        <v>66</v>
      </c>
      <c r="AA589" s="139">
        <f t="shared" si="185"/>
        <v>18</v>
      </c>
      <c r="AC589" s="47">
        <f t="shared" si="186"/>
        <v>42</v>
      </c>
      <c r="AD589" s="47">
        <f t="shared" si="187"/>
        <v>33</v>
      </c>
      <c r="AE589" s="47">
        <f t="shared" si="188"/>
        <v>9</v>
      </c>
      <c r="AG589" s="47">
        <f t="shared" si="189"/>
        <v>42</v>
      </c>
      <c r="AH589" s="47">
        <f t="shared" si="190"/>
        <v>33</v>
      </c>
      <c r="AI589" s="208">
        <f t="shared" si="191"/>
        <v>9</v>
      </c>
    </row>
    <row r="590" spans="1:35">
      <c r="A590" t="s">
        <v>2107</v>
      </c>
      <c r="B590" t="s">
        <v>3142</v>
      </c>
      <c r="C590" t="s">
        <v>2194</v>
      </c>
      <c r="D590" t="s">
        <v>3844</v>
      </c>
      <c r="F590" t="s">
        <v>482</v>
      </c>
      <c r="G590" s="126">
        <f>SUMIFS('Support - Transition'!F:F,'Support - Transition'!B:B,'Step 2'!A590,'Support - Transition'!C:C,'Step 2'!B590,'Support - Transition'!D:D,'Step 2'!C590,'Support - Transition'!E:E,"CIVIL")</f>
        <v>1.2830000000000001E-3</v>
      </c>
      <c r="H590" s="126">
        <f>SUMIFS('Support - Transition'!F:F,'Support - Transition'!B:B,'Step 2'!A590,'Support - Transition'!C:C,'Step 2'!B590,'Support - Transition'!D:D,'Step 2'!C590,'Support - Transition'!E:E,"FIRE")</f>
        <v>1.64E-4</v>
      </c>
      <c r="I590" s="126">
        <f>IF(B590="0",SUMIFS('Support - Transition'!F:F,'Support - Transition'!J:J,'Step 2'!D590,'Support - Transition'!E:E,"STATE UNIT"),SUMIFS('Support - Transition'!F:F,'Support - Transition'!J:J,'Step 2'!D590))</f>
        <v>1.4470000000000002E-3</v>
      </c>
      <c r="J590" s="126">
        <f>SUMIFS('Support - Unit Adjustments'!E:E,'Support - Unit Adjustments'!F:F,'Step 2'!D590)</f>
        <v>0</v>
      </c>
      <c r="K590" s="126">
        <f t="shared" si="175"/>
        <v>1.4470000000000002E-3</v>
      </c>
      <c r="L590" s="174">
        <f>VLOOKUP(A590,'Step 1'!$A:$E,4,FALSE)</f>
        <v>116534</v>
      </c>
      <c r="M590" s="47">
        <f t="shared" si="176"/>
        <v>169</v>
      </c>
      <c r="N590" s="177">
        <f>SUMIFS('Support - Transition'!G:G,'Support - Transition'!J:J,'Step 2'!D590,'Support - Transition'!E:E,"2009 WELFARE ALLOCATION FACTOR")</f>
        <v>0</v>
      </c>
      <c r="O590" s="152">
        <f t="shared" si="181"/>
        <v>0</v>
      </c>
      <c r="P590" s="126">
        <f>IF(E590="Y",0,SUMIFS('Support - Transition'!G:G,'Support - Transition'!J:J,'Step 2'!D590,'Support - Transition'!E:E,"2009 SCHOOL ALLOCATION FACTOR"))</f>
        <v>0</v>
      </c>
      <c r="Q590" s="126">
        <f>IF(E590="Y",VLOOKUP(D590,'Support - Unit Adjustments'!F:G,2,FALSE),0)</f>
        <v>0</v>
      </c>
      <c r="R590" s="155">
        <f t="shared" si="193"/>
        <v>0</v>
      </c>
      <c r="S590" s="47">
        <f t="shared" si="192"/>
        <v>0</v>
      </c>
      <c r="T590" s="151">
        <f t="shared" si="177"/>
        <v>169</v>
      </c>
      <c r="U590" s="151">
        <f t="shared" si="178"/>
        <v>0</v>
      </c>
      <c r="V590" s="139">
        <f t="shared" si="179"/>
        <v>0</v>
      </c>
      <c r="W590" s="152">
        <f t="shared" si="182"/>
        <v>169</v>
      </c>
      <c r="X590" s="127" t="str">
        <f t="shared" si="180"/>
        <v/>
      </c>
      <c r="Y590" s="207">
        <f t="shared" si="183"/>
        <v>169</v>
      </c>
      <c r="Z590" s="139">
        <f t="shared" si="184"/>
        <v>150</v>
      </c>
      <c r="AA590" s="139">
        <f t="shared" si="185"/>
        <v>19</v>
      </c>
      <c r="AC590" s="47">
        <f t="shared" si="186"/>
        <v>85</v>
      </c>
      <c r="AD590" s="47">
        <f t="shared" si="187"/>
        <v>75</v>
      </c>
      <c r="AE590" s="47">
        <f t="shared" si="188"/>
        <v>10</v>
      </c>
      <c r="AG590" s="47">
        <f t="shared" si="189"/>
        <v>84</v>
      </c>
      <c r="AH590" s="47">
        <f t="shared" si="190"/>
        <v>75</v>
      </c>
      <c r="AI590" s="208">
        <f t="shared" si="191"/>
        <v>9</v>
      </c>
    </row>
    <row r="591" spans="1:35">
      <c r="A591" t="s">
        <v>2107</v>
      </c>
      <c r="B591" t="s">
        <v>3142</v>
      </c>
      <c r="C591" t="s">
        <v>2195</v>
      </c>
      <c r="D591" t="s">
        <v>3845</v>
      </c>
      <c r="F591" t="s">
        <v>252</v>
      </c>
      <c r="G591" s="126">
        <f>SUMIFS('Support - Transition'!F:F,'Support - Transition'!B:B,'Step 2'!A591,'Support - Transition'!C:C,'Step 2'!B591,'Support - Transition'!D:D,'Step 2'!C591,'Support - Transition'!E:E,"CIVIL")</f>
        <v>1.2589999999999999E-3</v>
      </c>
      <c r="H591" s="126">
        <f>SUMIFS('Support - Transition'!F:F,'Support - Transition'!B:B,'Step 2'!A591,'Support - Transition'!C:C,'Step 2'!B591,'Support - Transition'!D:D,'Step 2'!C591,'Support - Transition'!E:E,"FIRE")</f>
        <v>7.9799999999999999E-4</v>
      </c>
      <c r="I591" s="126">
        <f>IF(B591="0",SUMIFS('Support - Transition'!F:F,'Support - Transition'!J:J,'Step 2'!D591,'Support - Transition'!E:E,"STATE UNIT"),SUMIFS('Support - Transition'!F:F,'Support - Transition'!J:J,'Step 2'!D591))</f>
        <v>2.0569999999999998E-3</v>
      </c>
      <c r="J591" s="126">
        <f>SUMIFS('Support - Unit Adjustments'!E:E,'Support - Unit Adjustments'!F:F,'Step 2'!D591)</f>
        <v>0</v>
      </c>
      <c r="K591" s="126">
        <f t="shared" si="175"/>
        <v>2.0569999999999998E-3</v>
      </c>
      <c r="L591" s="174">
        <f>VLOOKUP(A591,'Step 1'!$A:$E,4,FALSE)</f>
        <v>116534</v>
      </c>
      <c r="M591" s="47">
        <f t="shared" si="176"/>
        <v>240</v>
      </c>
      <c r="N591" s="177">
        <f>SUMIFS('Support - Transition'!G:G,'Support - Transition'!J:J,'Step 2'!D591,'Support - Transition'!E:E,"2009 WELFARE ALLOCATION FACTOR")</f>
        <v>0</v>
      </c>
      <c r="O591" s="152">
        <f t="shared" si="181"/>
        <v>0</v>
      </c>
      <c r="P591" s="126">
        <f>IF(E591="Y",0,SUMIFS('Support - Transition'!G:G,'Support - Transition'!J:J,'Step 2'!D591,'Support - Transition'!E:E,"2009 SCHOOL ALLOCATION FACTOR"))</f>
        <v>0</v>
      </c>
      <c r="Q591" s="126">
        <f>IF(E591="Y",VLOOKUP(D591,'Support - Unit Adjustments'!F:G,2,FALSE),0)</f>
        <v>0</v>
      </c>
      <c r="R591" s="155">
        <f t="shared" si="193"/>
        <v>0</v>
      </c>
      <c r="S591" s="47">
        <f t="shared" si="192"/>
        <v>0</v>
      </c>
      <c r="T591" s="151">
        <f t="shared" si="177"/>
        <v>240</v>
      </c>
      <c r="U591" s="151">
        <f t="shared" si="178"/>
        <v>0</v>
      </c>
      <c r="V591" s="139">
        <f t="shared" si="179"/>
        <v>0</v>
      </c>
      <c r="W591" s="152">
        <f t="shared" si="182"/>
        <v>240</v>
      </c>
      <c r="X591" s="127" t="str">
        <f t="shared" si="180"/>
        <v/>
      </c>
      <c r="Y591" s="207">
        <f t="shared" si="183"/>
        <v>240</v>
      </c>
      <c r="Z591" s="139">
        <f t="shared" si="184"/>
        <v>147</v>
      </c>
      <c r="AA591" s="139">
        <f t="shared" si="185"/>
        <v>93</v>
      </c>
      <c r="AC591" s="47">
        <f t="shared" si="186"/>
        <v>120</v>
      </c>
      <c r="AD591" s="47">
        <f t="shared" si="187"/>
        <v>74</v>
      </c>
      <c r="AE591" s="47">
        <f t="shared" si="188"/>
        <v>47</v>
      </c>
      <c r="AG591" s="47">
        <f t="shared" si="189"/>
        <v>120</v>
      </c>
      <c r="AH591" s="47">
        <f t="shared" si="190"/>
        <v>73</v>
      </c>
      <c r="AI591" s="208">
        <f t="shared" si="191"/>
        <v>46</v>
      </c>
    </row>
    <row r="592" spans="1:35">
      <c r="A592" t="s">
        <v>2107</v>
      </c>
      <c r="B592" t="s">
        <v>3142</v>
      </c>
      <c r="C592" t="s">
        <v>2196</v>
      </c>
      <c r="D592" t="s">
        <v>3846</v>
      </c>
      <c r="F592" t="s">
        <v>483</v>
      </c>
      <c r="G592" s="126">
        <f>SUMIFS('Support - Transition'!F:F,'Support - Transition'!B:B,'Step 2'!A592,'Support - Transition'!C:C,'Step 2'!B592,'Support - Transition'!D:D,'Step 2'!C592,'Support - Transition'!E:E,"CIVIL")</f>
        <v>8.4500000000000005E-4</v>
      </c>
      <c r="H592" s="126">
        <f>SUMIFS('Support - Transition'!F:F,'Support - Transition'!B:B,'Step 2'!A592,'Support - Transition'!C:C,'Step 2'!B592,'Support - Transition'!D:D,'Step 2'!C592,'Support - Transition'!E:E,"FIRE")</f>
        <v>2.5000000000000001E-4</v>
      </c>
      <c r="I592" s="126">
        <f>IF(B592="0",SUMIFS('Support - Transition'!F:F,'Support - Transition'!J:J,'Step 2'!D592,'Support - Transition'!E:E,"STATE UNIT"),SUMIFS('Support - Transition'!F:F,'Support - Transition'!J:J,'Step 2'!D592))</f>
        <v>1.0950000000000001E-3</v>
      </c>
      <c r="J592" s="126">
        <f>SUMIFS('Support - Unit Adjustments'!E:E,'Support - Unit Adjustments'!F:F,'Step 2'!D592)</f>
        <v>0</v>
      </c>
      <c r="K592" s="126">
        <f t="shared" si="175"/>
        <v>1.0950000000000001E-3</v>
      </c>
      <c r="L592" s="174">
        <f>VLOOKUP(A592,'Step 1'!$A:$E,4,FALSE)</f>
        <v>116534</v>
      </c>
      <c r="M592" s="47">
        <f t="shared" si="176"/>
        <v>128</v>
      </c>
      <c r="N592" s="177">
        <f>SUMIFS('Support - Transition'!G:G,'Support - Transition'!J:J,'Step 2'!D592,'Support - Transition'!E:E,"2009 WELFARE ALLOCATION FACTOR")</f>
        <v>0</v>
      </c>
      <c r="O592" s="152">
        <f t="shared" si="181"/>
        <v>0</v>
      </c>
      <c r="P592" s="126">
        <f>IF(E592="Y",0,SUMIFS('Support - Transition'!G:G,'Support - Transition'!J:J,'Step 2'!D592,'Support - Transition'!E:E,"2009 SCHOOL ALLOCATION FACTOR"))</f>
        <v>0</v>
      </c>
      <c r="Q592" s="126">
        <f>IF(E592="Y",VLOOKUP(D592,'Support - Unit Adjustments'!F:G,2,FALSE),0)</f>
        <v>0</v>
      </c>
      <c r="R592" s="155">
        <f t="shared" si="193"/>
        <v>0</v>
      </c>
      <c r="S592" s="47">
        <f t="shared" si="192"/>
        <v>0</v>
      </c>
      <c r="T592" s="151">
        <f t="shared" si="177"/>
        <v>128</v>
      </c>
      <c r="U592" s="151">
        <f t="shared" si="178"/>
        <v>0</v>
      </c>
      <c r="V592" s="139">
        <f t="shared" si="179"/>
        <v>0</v>
      </c>
      <c r="W592" s="152">
        <f t="shared" si="182"/>
        <v>128</v>
      </c>
      <c r="X592" s="127" t="str">
        <f t="shared" si="180"/>
        <v/>
      </c>
      <c r="Y592" s="207">
        <f t="shared" si="183"/>
        <v>128</v>
      </c>
      <c r="Z592" s="139">
        <f t="shared" si="184"/>
        <v>99</v>
      </c>
      <c r="AA592" s="139">
        <f t="shared" si="185"/>
        <v>29</v>
      </c>
      <c r="AC592" s="47">
        <f t="shared" si="186"/>
        <v>64</v>
      </c>
      <c r="AD592" s="47">
        <f t="shared" si="187"/>
        <v>50</v>
      </c>
      <c r="AE592" s="47">
        <f t="shared" si="188"/>
        <v>15</v>
      </c>
      <c r="AG592" s="47">
        <f t="shared" si="189"/>
        <v>64</v>
      </c>
      <c r="AH592" s="47">
        <f t="shared" si="190"/>
        <v>49</v>
      </c>
      <c r="AI592" s="208">
        <f t="shared" si="191"/>
        <v>14</v>
      </c>
    </row>
    <row r="593" spans="1:35">
      <c r="A593" t="s">
        <v>2107</v>
      </c>
      <c r="B593" t="s">
        <v>3155</v>
      </c>
      <c r="C593" t="s">
        <v>2207</v>
      </c>
      <c r="D593" t="s">
        <v>3847</v>
      </c>
      <c r="F593" t="s">
        <v>484</v>
      </c>
      <c r="G593" s="126">
        <f>SUMIFS('Support - Transition'!F:F,'Support - Transition'!B:B,'Step 2'!A593,'Support - Transition'!C:C,'Step 2'!B593,'Support - Transition'!D:D,'Step 2'!C593,'Support - Transition'!E:E,"CIVIL")</f>
        <v>0</v>
      </c>
      <c r="H593" s="126">
        <f>SUMIFS('Support - Transition'!F:F,'Support - Transition'!B:B,'Step 2'!A593,'Support - Transition'!C:C,'Step 2'!B593,'Support - Transition'!D:D,'Step 2'!C593,'Support - Transition'!E:E,"FIRE")</f>
        <v>0</v>
      </c>
      <c r="I593" s="126">
        <f>IF(B593="0",SUMIFS('Support - Transition'!F:F,'Support - Transition'!J:J,'Step 2'!D593,'Support - Transition'!E:E,"STATE UNIT"),SUMIFS('Support - Transition'!F:F,'Support - Transition'!J:J,'Step 2'!D593))</f>
        <v>0.16173799999999999</v>
      </c>
      <c r="J593" s="126">
        <f>SUMIFS('Support - Unit Adjustments'!E:E,'Support - Unit Adjustments'!F:F,'Step 2'!D593)</f>
        <v>0</v>
      </c>
      <c r="K593" s="126">
        <f t="shared" si="175"/>
        <v>0.16173799999999999</v>
      </c>
      <c r="L593" s="174">
        <f>VLOOKUP(A593,'Step 1'!$A:$E,4,FALSE)</f>
        <v>116534</v>
      </c>
      <c r="M593" s="47">
        <f t="shared" si="176"/>
        <v>18848</v>
      </c>
      <c r="N593" s="177">
        <f>SUMIFS('Support - Transition'!G:G,'Support - Transition'!J:J,'Step 2'!D593,'Support - Transition'!E:E,"2009 WELFARE ALLOCATION FACTOR")</f>
        <v>0</v>
      </c>
      <c r="O593" s="152">
        <f t="shared" si="181"/>
        <v>0</v>
      </c>
      <c r="P593" s="126">
        <f>IF(E593="Y",0,SUMIFS('Support - Transition'!G:G,'Support - Transition'!J:J,'Step 2'!D593,'Support - Transition'!E:E,"2009 SCHOOL ALLOCATION FACTOR"))</f>
        <v>0</v>
      </c>
      <c r="Q593" s="126">
        <f>IF(E593="Y",VLOOKUP(D593,'Support - Unit Adjustments'!F:G,2,FALSE),0)</f>
        <v>0</v>
      </c>
      <c r="R593" s="155">
        <f t="shared" si="193"/>
        <v>0</v>
      </c>
      <c r="S593" s="47">
        <f t="shared" si="192"/>
        <v>0</v>
      </c>
      <c r="T593" s="151">
        <f t="shared" si="177"/>
        <v>18848</v>
      </c>
      <c r="U593" s="151">
        <f t="shared" si="178"/>
        <v>0</v>
      </c>
      <c r="V593" s="139">
        <f t="shared" si="179"/>
        <v>0</v>
      </c>
      <c r="W593" s="152">
        <f t="shared" si="182"/>
        <v>18848</v>
      </c>
      <c r="X593" s="127" t="str">
        <f t="shared" si="180"/>
        <v/>
      </c>
      <c r="Y593" s="207">
        <f t="shared" si="183"/>
        <v>18848</v>
      </c>
      <c r="Z593" s="139">
        <f t="shared" si="184"/>
        <v>18848</v>
      </c>
      <c r="AA593" s="139">
        <f t="shared" si="185"/>
        <v>0</v>
      </c>
      <c r="AC593" s="47">
        <f t="shared" si="186"/>
        <v>9424</v>
      </c>
      <c r="AD593" s="47">
        <f t="shared" si="187"/>
        <v>9424</v>
      </c>
      <c r="AE593" s="47">
        <f t="shared" si="188"/>
        <v>0</v>
      </c>
      <c r="AG593" s="47">
        <f t="shared" si="189"/>
        <v>9424</v>
      </c>
      <c r="AH593" s="47">
        <f t="shared" si="190"/>
        <v>9424</v>
      </c>
      <c r="AI593" s="208">
        <f t="shared" si="191"/>
        <v>0</v>
      </c>
    </row>
    <row r="594" spans="1:35">
      <c r="A594" t="s">
        <v>2107</v>
      </c>
      <c r="B594" t="s">
        <v>3155</v>
      </c>
      <c r="C594" t="s">
        <v>2422</v>
      </c>
      <c r="D594" t="s">
        <v>3848</v>
      </c>
      <c r="F594" t="s">
        <v>485</v>
      </c>
      <c r="G594" s="126">
        <f>SUMIFS('Support - Transition'!F:F,'Support - Transition'!B:B,'Step 2'!A594,'Support - Transition'!C:C,'Step 2'!B594,'Support - Transition'!D:D,'Step 2'!C594,'Support - Transition'!E:E,"CIVIL")</f>
        <v>0</v>
      </c>
      <c r="H594" s="126">
        <f>SUMIFS('Support - Transition'!F:F,'Support - Transition'!B:B,'Step 2'!A594,'Support - Transition'!C:C,'Step 2'!B594,'Support - Transition'!D:D,'Step 2'!C594,'Support - Transition'!E:E,"FIRE")</f>
        <v>0</v>
      </c>
      <c r="I594" s="126">
        <f>IF(B594="0",SUMIFS('Support - Transition'!F:F,'Support - Transition'!J:J,'Step 2'!D594,'Support - Transition'!E:E,"STATE UNIT"),SUMIFS('Support - Transition'!F:F,'Support - Transition'!J:J,'Step 2'!D594))</f>
        <v>1.3060000000000001E-3</v>
      </c>
      <c r="J594" s="126">
        <f>SUMIFS('Support - Unit Adjustments'!E:E,'Support - Unit Adjustments'!F:F,'Step 2'!D594)</f>
        <v>0</v>
      </c>
      <c r="K594" s="126">
        <f t="shared" si="175"/>
        <v>1.3060000000000001E-3</v>
      </c>
      <c r="L594" s="174">
        <f>VLOOKUP(A594,'Step 1'!$A:$E,4,FALSE)</f>
        <v>116534</v>
      </c>
      <c r="M594" s="47">
        <f t="shared" si="176"/>
        <v>152</v>
      </c>
      <c r="N594" s="177">
        <f>SUMIFS('Support - Transition'!G:G,'Support - Transition'!J:J,'Step 2'!D594,'Support - Transition'!E:E,"2009 WELFARE ALLOCATION FACTOR")</f>
        <v>0</v>
      </c>
      <c r="O594" s="152">
        <f t="shared" si="181"/>
        <v>0</v>
      </c>
      <c r="P594" s="126">
        <f>IF(E594="Y",0,SUMIFS('Support - Transition'!G:G,'Support - Transition'!J:J,'Step 2'!D594,'Support - Transition'!E:E,"2009 SCHOOL ALLOCATION FACTOR"))</f>
        <v>0</v>
      </c>
      <c r="Q594" s="126">
        <f>IF(E594="Y",VLOOKUP(D594,'Support - Unit Adjustments'!F:G,2,FALSE),0)</f>
        <v>0</v>
      </c>
      <c r="R594" s="155">
        <f t="shared" si="193"/>
        <v>0</v>
      </c>
      <c r="S594" s="47">
        <f t="shared" si="192"/>
        <v>0</v>
      </c>
      <c r="T594" s="151">
        <f t="shared" si="177"/>
        <v>152</v>
      </c>
      <c r="U594" s="151">
        <f t="shared" si="178"/>
        <v>0</v>
      </c>
      <c r="V594" s="139">
        <f t="shared" si="179"/>
        <v>0</v>
      </c>
      <c r="W594" s="152">
        <f t="shared" si="182"/>
        <v>152</v>
      </c>
      <c r="X594" s="127" t="str">
        <f t="shared" si="180"/>
        <v/>
      </c>
      <c r="Y594" s="207">
        <f t="shared" si="183"/>
        <v>152</v>
      </c>
      <c r="Z594" s="139">
        <f t="shared" si="184"/>
        <v>152</v>
      </c>
      <c r="AA594" s="139">
        <f t="shared" si="185"/>
        <v>0</v>
      </c>
      <c r="AC594" s="47">
        <f t="shared" si="186"/>
        <v>76</v>
      </c>
      <c r="AD594" s="47">
        <f t="shared" si="187"/>
        <v>76</v>
      </c>
      <c r="AE594" s="47">
        <f t="shared" si="188"/>
        <v>0</v>
      </c>
      <c r="AG594" s="47">
        <f t="shared" si="189"/>
        <v>76</v>
      </c>
      <c r="AH594" s="47">
        <f t="shared" si="190"/>
        <v>76</v>
      </c>
      <c r="AI594" s="208">
        <f t="shared" si="191"/>
        <v>0</v>
      </c>
    </row>
    <row r="595" spans="1:35">
      <c r="A595" t="s">
        <v>2107</v>
      </c>
      <c r="B595" t="s">
        <v>3160</v>
      </c>
      <c r="C595" t="s">
        <v>2423</v>
      </c>
      <c r="D595" t="s">
        <v>3849</v>
      </c>
      <c r="F595" t="s">
        <v>486</v>
      </c>
      <c r="G595" s="126">
        <f>SUMIFS('Support - Transition'!F:F,'Support - Transition'!B:B,'Step 2'!A595,'Support - Transition'!C:C,'Step 2'!B595,'Support - Transition'!D:D,'Step 2'!C595,'Support - Transition'!E:E,"CIVIL")</f>
        <v>0</v>
      </c>
      <c r="H595" s="126">
        <f>SUMIFS('Support - Transition'!F:F,'Support - Transition'!B:B,'Step 2'!A595,'Support - Transition'!C:C,'Step 2'!B595,'Support - Transition'!D:D,'Step 2'!C595,'Support - Transition'!E:E,"FIRE")</f>
        <v>0</v>
      </c>
      <c r="I595" s="126">
        <f>IF(B595="0",SUMIFS('Support - Transition'!F:F,'Support - Transition'!J:J,'Step 2'!D595,'Support - Transition'!E:E,"STATE UNIT"),SUMIFS('Support - Transition'!F:F,'Support - Transition'!J:J,'Step 2'!D595))</f>
        <v>0.50625299999999995</v>
      </c>
      <c r="J595" s="126">
        <f>SUMIFS('Support - Unit Adjustments'!E:E,'Support - Unit Adjustments'!F:F,'Step 2'!D595)</f>
        <v>0</v>
      </c>
      <c r="K595" s="126">
        <f t="shared" si="175"/>
        <v>0.50625299999999995</v>
      </c>
      <c r="L595" s="174">
        <f>VLOOKUP(A595,'Step 1'!$A:$E,4,FALSE)</f>
        <v>116534</v>
      </c>
      <c r="M595" s="47">
        <f t="shared" si="176"/>
        <v>58996</v>
      </c>
      <c r="N595" s="177">
        <f>SUMIFS('Support - Transition'!G:G,'Support - Transition'!J:J,'Step 2'!D595,'Support - Transition'!E:E,"2009 WELFARE ALLOCATION FACTOR")</f>
        <v>0</v>
      </c>
      <c r="O595" s="152">
        <f t="shared" si="181"/>
        <v>0</v>
      </c>
      <c r="P595" s="126">
        <f>IF(E595="Y",0,SUMIFS('Support - Transition'!G:G,'Support - Transition'!J:J,'Step 2'!D595,'Support - Transition'!E:E,"2009 SCHOOL ALLOCATION FACTOR"))</f>
        <v>0.51203299999999996</v>
      </c>
      <c r="Q595" s="126">
        <f>IF(E595="Y",VLOOKUP(D595,'Support - Unit Adjustments'!F:G,2,FALSE),0)</f>
        <v>0</v>
      </c>
      <c r="R595" s="155">
        <f t="shared" si="193"/>
        <v>0.51203299999999996</v>
      </c>
      <c r="S595" s="47">
        <f t="shared" si="192"/>
        <v>30208</v>
      </c>
      <c r="T595" s="151">
        <f t="shared" si="177"/>
        <v>28788</v>
      </c>
      <c r="U595" s="151">
        <f t="shared" si="178"/>
        <v>0</v>
      </c>
      <c r="V595" s="139">
        <f t="shared" si="179"/>
        <v>0</v>
      </c>
      <c r="W595" s="152">
        <f t="shared" si="182"/>
        <v>28788</v>
      </c>
      <c r="X595" s="127" t="str">
        <f t="shared" si="180"/>
        <v/>
      </c>
      <c r="Y595" s="207">
        <f t="shared" si="183"/>
        <v>28788</v>
      </c>
      <c r="Z595" s="139">
        <f t="shared" si="184"/>
        <v>28788</v>
      </c>
      <c r="AA595" s="139">
        <f t="shared" si="185"/>
        <v>0</v>
      </c>
      <c r="AC595" s="47">
        <f t="shared" si="186"/>
        <v>14394</v>
      </c>
      <c r="AD595" s="47">
        <f t="shared" si="187"/>
        <v>14394</v>
      </c>
      <c r="AE595" s="47">
        <f t="shared" si="188"/>
        <v>0</v>
      </c>
      <c r="AG595" s="47">
        <f t="shared" si="189"/>
        <v>14394</v>
      </c>
      <c r="AH595" s="47">
        <f t="shared" si="190"/>
        <v>14394</v>
      </c>
      <c r="AI595" s="208">
        <f t="shared" si="191"/>
        <v>0</v>
      </c>
    </row>
    <row r="596" spans="1:35">
      <c r="A596" t="s">
        <v>2107</v>
      </c>
      <c r="B596" t="s">
        <v>3166</v>
      </c>
      <c r="C596" t="s">
        <v>3667</v>
      </c>
      <c r="D596" t="s">
        <v>3850</v>
      </c>
      <c r="F596" t="s">
        <v>487</v>
      </c>
      <c r="G596" s="126">
        <f>SUMIFS('Support - Transition'!F:F,'Support - Transition'!B:B,'Step 2'!A596,'Support - Transition'!C:C,'Step 2'!B596,'Support - Transition'!D:D,'Step 2'!C596,'Support - Transition'!E:E,"CIVIL")</f>
        <v>0</v>
      </c>
      <c r="H596" s="126">
        <f>SUMIFS('Support - Transition'!F:F,'Support - Transition'!B:B,'Step 2'!A596,'Support - Transition'!C:C,'Step 2'!B596,'Support - Transition'!D:D,'Step 2'!C596,'Support - Transition'!E:E,"FIRE")</f>
        <v>0</v>
      </c>
      <c r="I596" s="126">
        <f>IF(B596="0",SUMIFS('Support - Transition'!F:F,'Support - Transition'!J:J,'Step 2'!D596,'Support - Transition'!E:E,"STATE UNIT"),SUMIFS('Support - Transition'!F:F,'Support - Transition'!J:J,'Step 2'!D596))</f>
        <v>2.6542000000000066E-2</v>
      </c>
      <c r="J596" s="126">
        <f>SUMIFS('Support - Unit Adjustments'!E:E,'Support - Unit Adjustments'!F:F,'Step 2'!D596)</f>
        <v>0</v>
      </c>
      <c r="K596" s="126">
        <f t="shared" si="175"/>
        <v>2.6542000000000066E-2</v>
      </c>
      <c r="L596" s="174">
        <f>VLOOKUP(A596,'Step 1'!$A:$E,4,FALSE)</f>
        <v>116534</v>
      </c>
      <c r="M596" s="47">
        <f t="shared" si="176"/>
        <v>3093</v>
      </c>
      <c r="N596" s="177">
        <f>SUMIFS('Support - Transition'!G:G,'Support - Transition'!J:J,'Step 2'!D596,'Support - Transition'!E:E,"2009 WELFARE ALLOCATION FACTOR")</f>
        <v>0</v>
      </c>
      <c r="O596" s="152">
        <f t="shared" si="181"/>
        <v>0</v>
      </c>
      <c r="P596" s="126">
        <f>IF(E596="Y",0,SUMIFS('Support - Transition'!G:G,'Support - Transition'!J:J,'Step 2'!D596,'Support - Transition'!E:E,"2009 SCHOOL ALLOCATION FACTOR"))</f>
        <v>0</v>
      </c>
      <c r="Q596" s="126">
        <f>IF(E596="Y",VLOOKUP(D596,'Support - Unit Adjustments'!F:G,2,FALSE),0)</f>
        <v>0</v>
      </c>
      <c r="R596" s="155">
        <f t="shared" si="193"/>
        <v>0</v>
      </c>
      <c r="S596" s="47">
        <f t="shared" si="192"/>
        <v>0</v>
      </c>
      <c r="T596" s="151">
        <f t="shared" si="177"/>
        <v>3093</v>
      </c>
      <c r="U596" s="151">
        <f t="shared" si="178"/>
        <v>0</v>
      </c>
      <c r="V596" s="139">
        <f t="shared" si="179"/>
        <v>0</v>
      </c>
      <c r="W596" s="152">
        <f t="shared" si="182"/>
        <v>3093</v>
      </c>
      <c r="X596" s="127" t="str">
        <f t="shared" si="180"/>
        <v/>
      </c>
      <c r="Y596" s="207">
        <f t="shared" si="183"/>
        <v>3093</v>
      </c>
      <c r="Z596" s="139">
        <f t="shared" si="184"/>
        <v>3093</v>
      </c>
      <c r="AA596" s="139">
        <f t="shared" si="185"/>
        <v>0</v>
      </c>
      <c r="AC596" s="47">
        <f t="shared" si="186"/>
        <v>1547</v>
      </c>
      <c r="AD596" s="47">
        <f t="shared" si="187"/>
        <v>1547</v>
      </c>
      <c r="AE596" s="47">
        <f t="shared" si="188"/>
        <v>0</v>
      </c>
      <c r="AG596" s="47">
        <f t="shared" si="189"/>
        <v>1546</v>
      </c>
      <c r="AH596" s="47">
        <f t="shared" si="190"/>
        <v>1546</v>
      </c>
      <c r="AI596" s="208">
        <f t="shared" si="191"/>
        <v>0</v>
      </c>
    </row>
    <row r="597" spans="1:35">
      <c r="A597" t="s">
        <v>2108</v>
      </c>
      <c r="B597" s="48" t="s">
        <v>6274</v>
      </c>
      <c r="C597" t="s">
        <v>2187</v>
      </c>
      <c r="D597" t="str">
        <f>A597&amp;B597&amp;C597</f>
        <v>2200000</v>
      </c>
      <c r="F597" t="s">
        <v>6296</v>
      </c>
      <c r="G597" s="126">
        <f>SUMIFS('Support - Transition'!F:F,'Support - Transition'!B:B,'Step 2'!A597,'Support - Transition'!C:C,'Step 2'!B597,'Support - Transition'!D:D,'Step 2'!C597,'Support - Transition'!E:E,"CIVIL")</f>
        <v>0</v>
      </c>
      <c r="H597" s="126">
        <f>SUMIFS('Support - Transition'!F:F,'Support - Transition'!B:B,'Step 2'!A597,'Support - Transition'!C:C,'Step 2'!B597,'Support - Transition'!D:D,'Step 2'!C597,'Support - Transition'!E:E,"FIRE")</f>
        <v>0</v>
      </c>
      <c r="I597" s="126">
        <f>IF(B597="0",SUMIFS('Support - Transition'!F:F,'Support - Transition'!J:J,'Step 2'!D597,'Support - Transition'!E:E,"STATE UNIT"),SUMIFS('Support - Transition'!F:F,'Support - Transition'!J:J,'Step 2'!D597))</f>
        <v>9.9200000000000004E-4</v>
      </c>
      <c r="J597" s="126">
        <f>SUMIFS('Support - Unit Adjustments'!E:E,'Support - Unit Adjustments'!F:F,'Step 2'!D597)</f>
        <v>0</v>
      </c>
      <c r="K597" s="126">
        <f t="shared" si="175"/>
        <v>9.9200000000000004E-4</v>
      </c>
      <c r="L597" s="174">
        <f>VLOOKUP(A597,'Step 1'!$A:$E,4,FALSE)</f>
        <v>390393</v>
      </c>
      <c r="M597" s="47">
        <f t="shared" si="176"/>
        <v>387</v>
      </c>
      <c r="N597" s="177">
        <f>SUMIFS('Support - Transition'!G:G,'Support - Transition'!J:J,'Step 2'!D597,'Support - Transition'!E:E,"2009 WELFARE ALLOCATION FACTOR")</f>
        <v>0</v>
      </c>
      <c r="O597" s="152">
        <f t="shared" si="181"/>
        <v>0</v>
      </c>
      <c r="P597" s="126">
        <f>IF(E597="Y",0,SUMIFS('Support - Transition'!G:G,'Support - Transition'!J:J,'Step 2'!D597,'Support - Transition'!E:E,"2009 SCHOOL ALLOCATION FACTOR"))</f>
        <v>0</v>
      </c>
      <c r="Q597" s="126">
        <f>IF(E597="Y",VLOOKUP(D597,'Support - Unit Adjustments'!F:G,2,FALSE),0)</f>
        <v>0</v>
      </c>
      <c r="R597" s="155">
        <f t="shared" si="193"/>
        <v>0</v>
      </c>
      <c r="S597" s="47">
        <f t="shared" si="192"/>
        <v>0</v>
      </c>
      <c r="T597" s="151">
        <f t="shared" si="177"/>
        <v>387</v>
      </c>
      <c r="U597" s="151">
        <f t="shared" si="178"/>
        <v>390393</v>
      </c>
      <c r="V597" s="139">
        <f t="shared" si="179"/>
        <v>0</v>
      </c>
      <c r="W597" s="152">
        <f t="shared" si="182"/>
        <v>387</v>
      </c>
      <c r="X597" s="127">
        <f t="shared" si="180"/>
        <v>0</v>
      </c>
      <c r="Y597" s="207">
        <f t="shared" si="183"/>
        <v>387</v>
      </c>
      <c r="Z597" s="139">
        <f t="shared" si="184"/>
        <v>387</v>
      </c>
      <c r="AA597" s="139">
        <f t="shared" si="185"/>
        <v>0</v>
      </c>
      <c r="AC597" s="47">
        <f t="shared" si="186"/>
        <v>194</v>
      </c>
      <c r="AD597" s="47">
        <f t="shared" si="187"/>
        <v>194</v>
      </c>
      <c r="AE597" s="47">
        <f t="shared" si="188"/>
        <v>0</v>
      </c>
      <c r="AG597" s="47">
        <f t="shared" si="189"/>
        <v>193</v>
      </c>
      <c r="AH597" s="47">
        <f t="shared" si="190"/>
        <v>193</v>
      </c>
      <c r="AI597" s="208">
        <f t="shared" si="191"/>
        <v>0</v>
      </c>
    </row>
    <row r="598" spans="1:35">
      <c r="A598" t="s">
        <v>2108</v>
      </c>
      <c r="B598" t="s">
        <v>3140</v>
      </c>
      <c r="C598" t="s">
        <v>2187</v>
      </c>
      <c r="D598" t="s">
        <v>3851</v>
      </c>
      <c r="F598" t="s">
        <v>490</v>
      </c>
      <c r="G598" s="126">
        <f>SUMIFS('Support - Transition'!F:F,'Support - Transition'!B:B,'Step 2'!A598,'Support - Transition'!C:C,'Step 2'!B598,'Support - Transition'!D:D,'Step 2'!C598,'Support - Transition'!E:E,"CIVIL")</f>
        <v>0</v>
      </c>
      <c r="H598" s="126">
        <f>SUMIFS('Support - Transition'!F:F,'Support - Transition'!B:B,'Step 2'!A598,'Support - Transition'!C:C,'Step 2'!B598,'Support - Transition'!D:D,'Step 2'!C598,'Support - Transition'!E:E,"FIRE")</f>
        <v>0</v>
      </c>
      <c r="I598" s="126">
        <f>IF(B598="0",SUMIFS('Support - Transition'!F:F,'Support - Transition'!J:J,'Step 2'!D598,'Support - Transition'!E:E,"STATE UNIT"),SUMIFS('Support - Transition'!F:F,'Support - Transition'!J:J,'Step 2'!D598))</f>
        <v>0.149034</v>
      </c>
      <c r="J598" s="126">
        <f>SUMIFS('Support - Unit Adjustments'!E:E,'Support - Unit Adjustments'!F:F,'Step 2'!D598)</f>
        <v>0</v>
      </c>
      <c r="K598" s="126">
        <f t="shared" si="175"/>
        <v>0.149034</v>
      </c>
      <c r="L598" s="174">
        <f>VLOOKUP(A598,'Step 1'!$A:$E,4,FALSE)</f>
        <v>390393</v>
      </c>
      <c r="M598" s="47">
        <f t="shared" si="176"/>
        <v>58182</v>
      </c>
      <c r="N598" s="177">
        <f>SUMIFS('Support - Transition'!G:G,'Support - Transition'!J:J,'Step 2'!D598,'Support - Transition'!E:E,"2009 WELFARE ALLOCATION FACTOR")</f>
        <v>0.35183399999999998</v>
      </c>
      <c r="O598" s="152">
        <f t="shared" si="181"/>
        <v>20470</v>
      </c>
      <c r="P598" s="126">
        <f>IF(E598="Y",0,SUMIFS('Support - Transition'!G:G,'Support - Transition'!J:J,'Step 2'!D598,'Support - Transition'!E:E,"2009 SCHOOL ALLOCATION FACTOR"))</f>
        <v>0</v>
      </c>
      <c r="Q598" s="126">
        <f>IF(E598="Y",VLOOKUP(D598,'Support - Unit Adjustments'!F:G,2,FALSE),0)</f>
        <v>0</v>
      </c>
      <c r="R598" s="155">
        <f t="shared" si="193"/>
        <v>0</v>
      </c>
      <c r="S598" s="47">
        <f t="shared" si="192"/>
        <v>0</v>
      </c>
      <c r="T598" s="151">
        <f t="shared" si="177"/>
        <v>37712</v>
      </c>
      <c r="U598" s="151">
        <f t="shared" si="178"/>
        <v>0</v>
      </c>
      <c r="V598" s="139">
        <f t="shared" si="179"/>
        <v>0</v>
      </c>
      <c r="W598" s="152">
        <f t="shared" si="182"/>
        <v>37712</v>
      </c>
      <c r="X598" s="127" t="str">
        <f t="shared" si="180"/>
        <v/>
      </c>
      <c r="Y598" s="207">
        <f t="shared" si="183"/>
        <v>37712</v>
      </c>
      <c r="Z598" s="139">
        <f t="shared" si="184"/>
        <v>37712</v>
      </c>
      <c r="AA598" s="139">
        <f t="shared" si="185"/>
        <v>0</v>
      </c>
      <c r="AC598" s="47">
        <f t="shared" si="186"/>
        <v>18856</v>
      </c>
      <c r="AD598" s="47">
        <f t="shared" si="187"/>
        <v>18856</v>
      </c>
      <c r="AE598" s="47">
        <f t="shared" si="188"/>
        <v>0</v>
      </c>
      <c r="AG598" s="47">
        <f t="shared" si="189"/>
        <v>18856</v>
      </c>
      <c r="AH598" s="47">
        <f t="shared" si="190"/>
        <v>18856</v>
      </c>
      <c r="AI598" s="208">
        <f t="shared" si="191"/>
        <v>0</v>
      </c>
    </row>
    <row r="599" spans="1:35">
      <c r="A599" t="s">
        <v>2108</v>
      </c>
      <c r="B599" t="s">
        <v>3142</v>
      </c>
      <c r="C599" t="s">
        <v>2188</v>
      </c>
      <c r="D599" t="s">
        <v>3852</v>
      </c>
      <c r="F599" t="s">
        <v>372</v>
      </c>
      <c r="G599" s="126">
        <f>SUMIFS('Support - Transition'!F:F,'Support - Transition'!B:B,'Step 2'!A599,'Support - Transition'!C:C,'Step 2'!B599,'Support - Transition'!D:D,'Step 2'!C599,'Support - Transition'!E:E,"CIVIL")</f>
        <v>6.9999999999999999E-6</v>
      </c>
      <c r="H599" s="126">
        <f>SUMIFS('Support - Transition'!F:F,'Support - Transition'!B:B,'Step 2'!A599,'Support - Transition'!C:C,'Step 2'!B599,'Support - Transition'!D:D,'Step 2'!C599,'Support - Transition'!E:E,"FIRE")</f>
        <v>5.0000000000000004E-6</v>
      </c>
      <c r="I599" s="126">
        <f>IF(B599="0",SUMIFS('Support - Transition'!F:F,'Support - Transition'!J:J,'Step 2'!D599,'Support - Transition'!E:E,"STATE UNIT"),SUMIFS('Support - Transition'!F:F,'Support - Transition'!J:J,'Step 2'!D599))</f>
        <v>1.2E-5</v>
      </c>
      <c r="J599" s="126">
        <f>SUMIFS('Support - Unit Adjustments'!E:E,'Support - Unit Adjustments'!F:F,'Step 2'!D599)</f>
        <v>0</v>
      </c>
      <c r="K599" s="126">
        <f t="shared" si="175"/>
        <v>1.2E-5</v>
      </c>
      <c r="L599" s="174">
        <f>VLOOKUP(A599,'Step 1'!$A:$E,4,FALSE)</f>
        <v>390393</v>
      </c>
      <c r="M599" s="47">
        <f t="shared" si="176"/>
        <v>5</v>
      </c>
      <c r="N599" s="177">
        <f>SUMIFS('Support - Transition'!G:G,'Support - Transition'!J:J,'Step 2'!D599,'Support - Transition'!E:E,"2009 WELFARE ALLOCATION FACTOR")</f>
        <v>0</v>
      </c>
      <c r="O599" s="152">
        <f t="shared" si="181"/>
        <v>0</v>
      </c>
      <c r="P599" s="126">
        <f>IF(E599="Y",0,SUMIFS('Support - Transition'!G:G,'Support - Transition'!J:J,'Step 2'!D599,'Support - Transition'!E:E,"2009 SCHOOL ALLOCATION FACTOR"))</f>
        <v>0</v>
      </c>
      <c r="Q599" s="126">
        <f>IF(E599="Y",VLOOKUP(D599,'Support - Unit Adjustments'!F:G,2,FALSE),0)</f>
        <v>0</v>
      </c>
      <c r="R599" s="155">
        <f t="shared" si="193"/>
        <v>0</v>
      </c>
      <c r="S599" s="47">
        <f t="shared" si="192"/>
        <v>0</v>
      </c>
      <c r="T599" s="151">
        <f t="shared" si="177"/>
        <v>5</v>
      </c>
      <c r="U599" s="151">
        <f t="shared" si="178"/>
        <v>0</v>
      </c>
      <c r="V599" s="139">
        <f t="shared" si="179"/>
        <v>0</v>
      </c>
      <c r="W599" s="152">
        <f t="shared" si="182"/>
        <v>5</v>
      </c>
      <c r="X599" s="127" t="str">
        <f t="shared" si="180"/>
        <v/>
      </c>
      <c r="Y599" s="207">
        <f t="shared" si="183"/>
        <v>5</v>
      </c>
      <c r="Z599" s="139">
        <f t="shared" si="184"/>
        <v>3</v>
      </c>
      <c r="AA599" s="139">
        <f t="shared" si="185"/>
        <v>2</v>
      </c>
      <c r="AC599" s="47">
        <f t="shared" si="186"/>
        <v>3</v>
      </c>
      <c r="AD599" s="47">
        <f t="shared" si="187"/>
        <v>2</v>
      </c>
      <c r="AE599" s="47">
        <f t="shared" si="188"/>
        <v>1</v>
      </c>
      <c r="AG599" s="47">
        <f t="shared" si="189"/>
        <v>2</v>
      </c>
      <c r="AH599" s="47">
        <f t="shared" si="190"/>
        <v>1</v>
      </c>
      <c r="AI599" s="208">
        <f t="shared" si="191"/>
        <v>1</v>
      </c>
    </row>
    <row r="600" spans="1:35">
      <c r="A600" t="s">
        <v>2108</v>
      </c>
      <c r="B600" t="s">
        <v>3142</v>
      </c>
      <c r="C600" t="s">
        <v>2189</v>
      </c>
      <c r="D600" t="s">
        <v>3853</v>
      </c>
      <c r="F600" t="s">
        <v>491</v>
      </c>
      <c r="G600" s="126">
        <f>SUMIFS('Support - Transition'!F:F,'Support - Transition'!B:B,'Step 2'!A600,'Support - Transition'!C:C,'Step 2'!B600,'Support - Transition'!D:D,'Step 2'!C600,'Support - Transition'!E:E,"CIVIL")</f>
        <v>1.1400000000000001E-4</v>
      </c>
      <c r="H600" s="126">
        <f>SUMIFS('Support - Transition'!F:F,'Support - Transition'!B:B,'Step 2'!A600,'Support - Transition'!C:C,'Step 2'!B600,'Support - Transition'!D:D,'Step 2'!C600,'Support - Transition'!E:E,"FIRE")</f>
        <v>1.3999999999999999E-4</v>
      </c>
      <c r="I600" s="126">
        <f>IF(B600="0",SUMIFS('Support - Transition'!F:F,'Support - Transition'!J:J,'Step 2'!D600,'Support - Transition'!E:E,"STATE UNIT"),SUMIFS('Support - Transition'!F:F,'Support - Transition'!J:J,'Step 2'!D600))</f>
        <v>2.5399999999999999E-4</v>
      </c>
      <c r="J600" s="126">
        <f>SUMIFS('Support - Unit Adjustments'!E:E,'Support - Unit Adjustments'!F:F,'Step 2'!D600)</f>
        <v>0</v>
      </c>
      <c r="K600" s="126">
        <f t="shared" si="175"/>
        <v>2.5399999999999999E-4</v>
      </c>
      <c r="L600" s="174">
        <f>VLOOKUP(A600,'Step 1'!$A:$E,4,FALSE)</f>
        <v>390393</v>
      </c>
      <c r="M600" s="47">
        <f t="shared" si="176"/>
        <v>99</v>
      </c>
      <c r="N600" s="177">
        <f>SUMIFS('Support - Transition'!G:G,'Support - Transition'!J:J,'Step 2'!D600,'Support - Transition'!E:E,"2009 WELFARE ALLOCATION FACTOR")</f>
        <v>0</v>
      </c>
      <c r="O600" s="152">
        <f t="shared" si="181"/>
        <v>0</v>
      </c>
      <c r="P600" s="126">
        <f>IF(E600="Y",0,SUMIFS('Support - Transition'!G:G,'Support - Transition'!J:J,'Step 2'!D600,'Support - Transition'!E:E,"2009 SCHOOL ALLOCATION FACTOR"))</f>
        <v>0</v>
      </c>
      <c r="Q600" s="126">
        <f>IF(E600="Y",VLOOKUP(D600,'Support - Unit Adjustments'!F:G,2,FALSE),0)</f>
        <v>0</v>
      </c>
      <c r="R600" s="155">
        <f t="shared" si="193"/>
        <v>0</v>
      </c>
      <c r="S600" s="47">
        <f t="shared" si="192"/>
        <v>0</v>
      </c>
      <c r="T600" s="151">
        <f t="shared" si="177"/>
        <v>99</v>
      </c>
      <c r="U600" s="151">
        <f t="shared" si="178"/>
        <v>0</v>
      </c>
      <c r="V600" s="139">
        <f t="shared" si="179"/>
        <v>0</v>
      </c>
      <c r="W600" s="152">
        <f t="shared" si="182"/>
        <v>99</v>
      </c>
      <c r="X600" s="127" t="str">
        <f t="shared" si="180"/>
        <v/>
      </c>
      <c r="Y600" s="207">
        <f t="shared" si="183"/>
        <v>99</v>
      </c>
      <c r="Z600" s="139">
        <f t="shared" si="184"/>
        <v>44</v>
      </c>
      <c r="AA600" s="139">
        <f t="shared" si="185"/>
        <v>55</v>
      </c>
      <c r="AC600" s="47">
        <f t="shared" si="186"/>
        <v>50</v>
      </c>
      <c r="AD600" s="47">
        <f t="shared" si="187"/>
        <v>22</v>
      </c>
      <c r="AE600" s="47">
        <f t="shared" si="188"/>
        <v>28</v>
      </c>
      <c r="AG600" s="47">
        <f t="shared" si="189"/>
        <v>49</v>
      </c>
      <c r="AH600" s="47">
        <f t="shared" si="190"/>
        <v>22</v>
      </c>
      <c r="AI600" s="208">
        <f t="shared" si="191"/>
        <v>27</v>
      </c>
    </row>
    <row r="601" spans="1:35">
      <c r="A601" t="s">
        <v>2108</v>
      </c>
      <c r="B601" t="s">
        <v>3142</v>
      </c>
      <c r="C601" t="s">
        <v>2190</v>
      </c>
      <c r="D601" t="s">
        <v>3854</v>
      </c>
      <c r="F601" t="s">
        <v>492</v>
      </c>
      <c r="G601" s="126">
        <f>SUMIFS('Support - Transition'!F:F,'Support - Transition'!B:B,'Step 2'!A601,'Support - Transition'!C:C,'Step 2'!B601,'Support - Transition'!D:D,'Step 2'!C601,'Support - Transition'!E:E,"CIVIL")</f>
        <v>4.7600000000000002E-4</v>
      </c>
      <c r="H601" s="126">
        <f>SUMIFS('Support - Transition'!F:F,'Support - Transition'!B:B,'Step 2'!A601,'Support - Transition'!C:C,'Step 2'!B601,'Support - Transition'!D:D,'Step 2'!C601,'Support - Transition'!E:E,"FIRE")</f>
        <v>1.3190000000000001E-3</v>
      </c>
      <c r="I601" s="126">
        <f>IF(B601="0",SUMIFS('Support - Transition'!F:F,'Support - Transition'!J:J,'Step 2'!D601,'Support - Transition'!E:E,"STATE UNIT"),SUMIFS('Support - Transition'!F:F,'Support - Transition'!J:J,'Step 2'!D601))</f>
        <v>1.7950000000000002E-3</v>
      </c>
      <c r="J601" s="126">
        <f>SUMIFS('Support - Unit Adjustments'!E:E,'Support - Unit Adjustments'!F:F,'Step 2'!D601)</f>
        <v>0</v>
      </c>
      <c r="K601" s="126">
        <f t="shared" si="175"/>
        <v>1.7950000000000002E-3</v>
      </c>
      <c r="L601" s="174">
        <f>VLOOKUP(A601,'Step 1'!$A:$E,4,FALSE)</f>
        <v>390393</v>
      </c>
      <c r="M601" s="47">
        <f t="shared" si="176"/>
        <v>701</v>
      </c>
      <c r="N601" s="177">
        <f>SUMIFS('Support - Transition'!G:G,'Support - Transition'!J:J,'Step 2'!D601,'Support - Transition'!E:E,"2009 WELFARE ALLOCATION FACTOR")</f>
        <v>0</v>
      </c>
      <c r="O601" s="152">
        <f t="shared" si="181"/>
        <v>0</v>
      </c>
      <c r="P601" s="126">
        <f>IF(E601="Y",0,SUMIFS('Support - Transition'!G:G,'Support - Transition'!J:J,'Step 2'!D601,'Support - Transition'!E:E,"2009 SCHOOL ALLOCATION FACTOR"))</f>
        <v>0</v>
      </c>
      <c r="Q601" s="126">
        <f>IF(E601="Y",VLOOKUP(D601,'Support - Unit Adjustments'!F:G,2,FALSE),0)</f>
        <v>0</v>
      </c>
      <c r="R601" s="155">
        <f t="shared" si="193"/>
        <v>0</v>
      </c>
      <c r="S601" s="47">
        <f t="shared" si="192"/>
        <v>0</v>
      </c>
      <c r="T601" s="151">
        <f t="shared" si="177"/>
        <v>701</v>
      </c>
      <c r="U601" s="151">
        <f t="shared" si="178"/>
        <v>0</v>
      </c>
      <c r="V601" s="139">
        <f t="shared" si="179"/>
        <v>0</v>
      </c>
      <c r="W601" s="152">
        <f t="shared" si="182"/>
        <v>701</v>
      </c>
      <c r="X601" s="127" t="str">
        <f t="shared" si="180"/>
        <v/>
      </c>
      <c r="Y601" s="207">
        <f t="shared" si="183"/>
        <v>701</v>
      </c>
      <c r="Z601" s="139">
        <f t="shared" si="184"/>
        <v>186</v>
      </c>
      <c r="AA601" s="139">
        <f t="shared" si="185"/>
        <v>515</v>
      </c>
      <c r="AC601" s="47">
        <f t="shared" si="186"/>
        <v>351</v>
      </c>
      <c r="AD601" s="47">
        <f t="shared" si="187"/>
        <v>93</v>
      </c>
      <c r="AE601" s="47">
        <f t="shared" si="188"/>
        <v>258</v>
      </c>
      <c r="AG601" s="47">
        <f t="shared" si="189"/>
        <v>350</v>
      </c>
      <c r="AH601" s="47">
        <f t="shared" si="190"/>
        <v>93</v>
      </c>
      <c r="AI601" s="208">
        <f t="shared" si="191"/>
        <v>257</v>
      </c>
    </row>
    <row r="602" spans="1:35">
      <c r="A602" t="s">
        <v>2108</v>
      </c>
      <c r="B602" t="s">
        <v>3142</v>
      </c>
      <c r="C602" t="s">
        <v>2191</v>
      </c>
      <c r="D602" t="s">
        <v>3855</v>
      </c>
      <c r="F602" t="s">
        <v>50</v>
      </c>
      <c r="G602" s="126">
        <f>SUMIFS('Support - Transition'!F:F,'Support - Transition'!B:B,'Step 2'!A602,'Support - Transition'!C:C,'Step 2'!B602,'Support - Transition'!D:D,'Step 2'!C602,'Support - Transition'!E:E,"CIVIL")</f>
        <v>1.3209999999999999E-3</v>
      </c>
      <c r="H602" s="126">
        <f>SUMIFS('Support - Transition'!F:F,'Support - Transition'!B:B,'Step 2'!A602,'Support - Transition'!C:C,'Step 2'!B602,'Support - Transition'!D:D,'Step 2'!C602,'Support - Transition'!E:E,"FIRE")</f>
        <v>1.127E-3</v>
      </c>
      <c r="I602" s="126">
        <f>IF(B602="0",SUMIFS('Support - Transition'!F:F,'Support - Transition'!J:J,'Step 2'!D602,'Support - Transition'!E:E,"STATE UNIT"),SUMIFS('Support - Transition'!F:F,'Support - Transition'!J:J,'Step 2'!D602))</f>
        <v>2.4479999999999997E-3</v>
      </c>
      <c r="J602" s="126">
        <f>SUMIFS('Support - Unit Adjustments'!E:E,'Support - Unit Adjustments'!F:F,'Step 2'!D602)</f>
        <v>0</v>
      </c>
      <c r="K602" s="126">
        <f t="shared" si="175"/>
        <v>2.4479999999999997E-3</v>
      </c>
      <c r="L602" s="174">
        <f>VLOOKUP(A602,'Step 1'!$A:$E,4,FALSE)</f>
        <v>390393</v>
      </c>
      <c r="M602" s="47">
        <f t="shared" si="176"/>
        <v>956</v>
      </c>
      <c r="N602" s="177">
        <f>SUMIFS('Support - Transition'!G:G,'Support - Transition'!J:J,'Step 2'!D602,'Support - Transition'!E:E,"2009 WELFARE ALLOCATION FACTOR")</f>
        <v>0</v>
      </c>
      <c r="O602" s="152">
        <f t="shared" si="181"/>
        <v>0</v>
      </c>
      <c r="P602" s="126">
        <f>IF(E602="Y",0,SUMIFS('Support - Transition'!G:G,'Support - Transition'!J:J,'Step 2'!D602,'Support - Transition'!E:E,"2009 SCHOOL ALLOCATION FACTOR"))</f>
        <v>0</v>
      </c>
      <c r="Q602" s="126">
        <f>IF(E602="Y",VLOOKUP(D602,'Support - Unit Adjustments'!F:G,2,FALSE),0)</f>
        <v>0</v>
      </c>
      <c r="R602" s="155">
        <f t="shared" si="193"/>
        <v>0</v>
      </c>
      <c r="S602" s="47">
        <f t="shared" si="192"/>
        <v>0</v>
      </c>
      <c r="T602" s="151">
        <f t="shared" si="177"/>
        <v>956</v>
      </c>
      <c r="U602" s="151">
        <f t="shared" si="178"/>
        <v>0</v>
      </c>
      <c r="V602" s="139">
        <f t="shared" si="179"/>
        <v>0</v>
      </c>
      <c r="W602" s="152">
        <f t="shared" si="182"/>
        <v>956</v>
      </c>
      <c r="X602" s="127" t="str">
        <f t="shared" si="180"/>
        <v/>
      </c>
      <c r="Y602" s="207">
        <f t="shared" si="183"/>
        <v>956</v>
      </c>
      <c r="Z602" s="139">
        <f t="shared" si="184"/>
        <v>516</v>
      </c>
      <c r="AA602" s="139">
        <f t="shared" si="185"/>
        <v>440</v>
      </c>
      <c r="AC602" s="47">
        <f t="shared" si="186"/>
        <v>478</v>
      </c>
      <c r="AD602" s="47">
        <f t="shared" si="187"/>
        <v>258</v>
      </c>
      <c r="AE602" s="47">
        <f t="shared" si="188"/>
        <v>220</v>
      </c>
      <c r="AG602" s="47">
        <f t="shared" si="189"/>
        <v>478</v>
      </c>
      <c r="AH602" s="47">
        <f t="shared" si="190"/>
        <v>258</v>
      </c>
      <c r="AI602" s="208">
        <f t="shared" si="191"/>
        <v>220</v>
      </c>
    </row>
    <row r="603" spans="1:35">
      <c r="A603" t="s">
        <v>2108</v>
      </c>
      <c r="B603" t="s">
        <v>3142</v>
      </c>
      <c r="C603" t="s">
        <v>2192</v>
      </c>
      <c r="D603" t="s">
        <v>3856</v>
      </c>
      <c r="F603" t="s">
        <v>493</v>
      </c>
      <c r="G603" s="126">
        <f>SUMIFS('Support - Transition'!F:F,'Support - Transition'!B:B,'Step 2'!A603,'Support - Transition'!C:C,'Step 2'!B603,'Support - Transition'!D:D,'Step 2'!C603,'Support - Transition'!E:E,"CIVIL")</f>
        <v>4.0590000000000001E-3</v>
      </c>
      <c r="H603" s="126">
        <f>SUMIFS('Support - Transition'!F:F,'Support - Transition'!B:B,'Step 2'!A603,'Support - Transition'!C:C,'Step 2'!B603,'Support - Transition'!D:D,'Step 2'!C603,'Support - Transition'!E:E,"FIRE")</f>
        <v>7.6999999999999996E-4</v>
      </c>
      <c r="I603" s="126">
        <f>IF(B603="0",SUMIFS('Support - Transition'!F:F,'Support - Transition'!J:J,'Step 2'!D603,'Support - Transition'!E:E,"STATE UNIT"),SUMIFS('Support - Transition'!F:F,'Support - Transition'!J:J,'Step 2'!D603))</f>
        <v>4.829E-3</v>
      </c>
      <c r="J603" s="126">
        <f>SUMIFS('Support - Unit Adjustments'!E:E,'Support - Unit Adjustments'!F:F,'Step 2'!D603)</f>
        <v>0</v>
      </c>
      <c r="K603" s="126">
        <f t="shared" si="175"/>
        <v>4.829E-3</v>
      </c>
      <c r="L603" s="174">
        <f>VLOOKUP(A603,'Step 1'!$A:$E,4,FALSE)</f>
        <v>390393</v>
      </c>
      <c r="M603" s="47">
        <f t="shared" si="176"/>
        <v>1885</v>
      </c>
      <c r="N603" s="177">
        <f>SUMIFS('Support - Transition'!G:G,'Support - Transition'!J:J,'Step 2'!D603,'Support - Transition'!E:E,"2009 WELFARE ALLOCATION FACTOR")</f>
        <v>0</v>
      </c>
      <c r="O603" s="152">
        <f t="shared" si="181"/>
        <v>0</v>
      </c>
      <c r="P603" s="126">
        <f>IF(E603="Y",0,SUMIFS('Support - Transition'!G:G,'Support - Transition'!J:J,'Step 2'!D603,'Support - Transition'!E:E,"2009 SCHOOL ALLOCATION FACTOR"))</f>
        <v>0</v>
      </c>
      <c r="Q603" s="126">
        <f>IF(E603="Y",VLOOKUP(D603,'Support - Unit Adjustments'!F:G,2,FALSE),0)</f>
        <v>0</v>
      </c>
      <c r="R603" s="155">
        <f t="shared" si="193"/>
        <v>0</v>
      </c>
      <c r="S603" s="47">
        <f t="shared" si="192"/>
        <v>0</v>
      </c>
      <c r="T603" s="151">
        <f t="shared" si="177"/>
        <v>1885</v>
      </c>
      <c r="U603" s="151">
        <f t="shared" si="178"/>
        <v>0</v>
      </c>
      <c r="V603" s="139">
        <f t="shared" si="179"/>
        <v>0</v>
      </c>
      <c r="W603" s="152">
        <f t="shared" si="182"/>
        <v>1885</v>
      </c>
      <c r="X603" s="127" t="str">
        <f t="shared" si="180"/>
        <v/>
      </c>
      <c r="Y603" s="207">
        <f t="shared" si="183"/>
        <v>1885</v>
      </c>
      <c r="Z603" s="139">
        <f t="shared" si="184"/>
        <v>1584</v>
      </c>
      <c r="AA603" s="139">
        <f t="shared" si="185"/>
        <v>301</v>
      </c>
      <c r="AC603" s="47">
        <f t="shared" si="186"/>
        <v>943</v>
      </c>
      <c r="AD603" s="47">
        <f t="shared" si="187"/>
        <v>792</v>
      </c>
      <c r="AE603" s="47">
        <f t="shared" si="188"/>
        <v>151</v>
      </c>
      <c r="AG603" s="47">
        <f t="shared" si="189"/>
        <v>942</v>
      </c>
      <c r="AH603" s="47">
        <f t="shared" si="190"/>
        <v>792</v>
      </c>
      <c r="AI603" s="208">
        <f t="shared" si="191"/>
        <v>150</v>
      </c>
    </row>
    <row r="604" spans="1:35">
      <c r="A604" t="s">
        <v>2108</v>
      </c>
      <c r="B604" t="s">
        <v>3155</v>
      </c>
      <c r="C604" t="s">
        <v>2424</v>
      </c>
      <c r="D604" t="s">
        <v>3857</v>
      </c>
      <c r="F604" t="s">
        <v>496</v>
      </c>
      <c r="G604" s="126">
        <f>SUMIFS('Support - Transition'!F:F,'Support - Transition'!B:B,'Step 2'!A604,'Support - Transition'!C:C,'Step 2'!B604,'Support - Transition'!D:D,'Step 2'!C604,'Support - Transition'!E:E,"CIVIL")</f>
        <v>0</v>
      </c>
      <c r="H604" s="126">
        <f>SUMIFS('Support - Transition'!F:F,'Support - Transition'!B:B,'Step 2'!A604,'Support - Transition'!C:C,'Step 2'!B604,'Support - Transition'!D:D,'Step 2'!C604,'Support - Transition'!E:E,"FIRE")</f>
        <v>0</v>
      </c>
      <c r="I604" s="126">
        <f>IF(B604="0",SUMIFS('Support - Transition'!F:F,'Support - Transition'!J:J,'Step 2'!D604,'Support - Transition'!E:E,"STATE UNIT"),SUMIFS('Support - Transition'!F:F,'Support - Transition'!J:J,'Step 2'!D604))</f>
        <v>0.23466699999999999</v>
      </c>
      <c r="J604" s="126">
        <f>SUMIFS('Support - Unit Adjustments'!E:E,'Support - Unit Adjustments'!F:F,'Step 2'!D604)</f>
        <v>0</v>
      </c>
      <c r="K604" s="126">
        <f t="shared" si="175"/>
        <v>0.23466699999999999</v>
      </c>
      <c r="L604" s="174">
        <f>VLOOKUP(A604,'Step 1'!$A:$E,4,FALSE)</f>
        <v>390393</v>
      </c>
      <c r="M604" s="47">
        <f t="shared" si="176"/>
        <v>91612</v>
      </c>
      <c r="N604" s="177">
        <f>SUMIFS('Support - Transition'!G:G,'Support - Transition'!J:J,'Step 2'!D604,'Support - Transition'!E:E,"2009 WELFARE ALLOCATION FACTOR")</f>
        <v>0</v>
      </c>
      <c r="O604" s="152">
        <f t="shared" si="181"/>
        <v>0</v>
      </c>
      <c r="P604" s="126">
        <f>IF(E604="Y",0,SUMIFS('Support - Transition'!G:G,'Support - Transition'!J:J,'Step 2'!D604,'Support - Transition'!E:E,"2009 SCHOOL ALLOCATION FACTOR"))</f>
        <v>0</v>
      </c>
      <c r="Q604" s="126">
        <f>IF(E604="Y",VLOOKUP(D604,'Support - Unit Adjustments'!F:G,2,FALSE),0)</f>
        <v>0</v>
      </c>
      <c r="R604" s="155">
        <f t="shared" si="193"/>
        <v>0</v>
      </c>
      <c r="S604" s="47">
        <f t="shared" si="192"/>
        <v>0</v>
      </c>
      <c r="T604" s="151">
        <f t="shared" si="177"/>
        <v>91612</v>
      </c>
      <c r="U604" s="151">
        <f t="shared" si="178"/>
        <v>0</v>
      </c>
      <c r="V604" s="139">
        <f t="shared" si="179"/>
        <v>0</v>
      </c>
      <c r="W604" s="152">
        <f t="shared" si="182"/>
        <v>91612</v>
      </c>
      <c r="X604" s="127" t="str">
        <f t="shared" si="180"/>
        <v/>
      </c>
      <c r="Y604" s="207">
        <f t="shared" si="183"/>
        <v>91612</v>
      </c>
      <c r="Z604" s="139">
        <f t="shared" si="184"/>
        <v>91612</v>
      </c>
      <c r="AA604" s="139">
        <f t="shared" si="185"/>
        <v>0</v>
      </c>
      <c r="AC604" s="47">
        <f t="shared" si="186"/>
        <v>45806</v>
      </c>
      <c r="AD604" s="47">
        <f t="shared" si="187"/>
        <v>45806</v>
      </c>
      <c r="AE604" s="47">
        <f t="shared" si="188"/>
        <v>0</v>
      </c>
      <c r="AG604" s="47">
        <f t="shared" si="189"/>
        <v>45806</v>
      </c>
      <c r="AH604" s="47">
        <f t="shared" si="190"/>
        <v>45806</v>
      </c>
      <c r="AI604" s="208">
        <f t="shared" si="191"/>
        <v>0</v>
      </c>
    </row>
    <row r="605" spans="1:35">
      <c r="A605" t="s">
        <v>2108</v>
      </c>
      <c r="B605" t="s">
        <v>3155</v>
      </c>
      <c r="C605" t="s">
        <v>2425</v>
      </c>
      <c r="D605" t="s">
        <v>3858</v>
      </c>
      <c r="F605" t="s">
        <v>494</v>
      </c>
      <c r="G605" s="126">
        <f>SUMIFS('Support - Transition'!F:F,'Support - Transition'!B:B,'Step 2'!A605,'Support - Transition'!C:C,'Step 2'!B605,'Support - Transition'!D:D,'Step 2'!C605,'Support - Transition'!E:E,"CIVIL")</f>
        <v>0</v>
      </c>
      <c r="H605" s="126">
        <f>SUMIFS('Support - Transition'!F:F,'Support - Transition'!B:B,'Step 2'!A605,'Support - Transition'!C:C,'Step 2'!B605,'Support - Transition'!D:D,'Step 2'!C605,'Support - Transition'!E:E,"FIRE")</f>
        <v>0</v>
      </c>
      <c r="I605" s="126">
        <f>IF(B605="0",SUMIFS('Support - Transition'!F:F,'Support - Transition'!J:J,'Step 2'!D605,'Support - Transition'!E:E,"STATE UNIT"),SUMIFS('Support - Transition'!F:F,'Support - Transition'!J:J,'Step 2'!D605))</f>
        <v>8.7500000000000002E-4</v>
      </c>
      <c r="J605" s="126">
        <f>SUMIFS('Support - Unit Adjustments'!E:E,'Support - Unit Adjustments'!F:F,'Step 2'!D605)</f>
        <v>0</v>
      </c>
      <c r="K605" s="126">
        <f t="shared" si="175"/>
        <v>8.7500000000000002E-4</v>
      </c>
      <c r="L605" s="174">
        <f>VLOOKUP(A605,'Step 1'!$A:$E,4,FALSE)</f>
        <v>390393</v>
      </c>
      <c r="M605" s="47">
        <f t="shared" si="176"/>
        <v>342</v>
      </c>
      <c r="N605" s="177">
        <f>SUMIFS('Support - Transition'!G:G,'Support - Transition'!J:J,'Step 2'!D605,'Support - Transition'!E:E,"2009 WELFARE ALLOCATION FACTOR")</f>
        <v>0</v>
      </c>
      <c r="O605" s="152">
        <f t="shared" si="181"/>
        <v>0</v>
      </c>
      <c r="P605" s="126">
        <f>IF(E605="Y",0,SUMIFS('Support - Transition'!G:G,'Support - Transition'!J:J,'Step 2'!D605,'Support - Transition'!E:E,"2009 SCHOOL ALLOCATION FACTOR"))</f>
        <v>0</v>
      </c>
      <c r="Q605" s="126">
        <f>IF(E605="Y",VLOOKUP(D605,'Support - Unit Adjustments'!F:G,2,FALSE),0)</f>
        <v>0</v>
      </c>
      <c r="R605" s="155">
        <f t="shared" si="193"/>
        <v>0</v>
      </c>
      <c r="S605" s="47">
        <f t="shared" si="192"/>
        <v>0</v>
      </c>
      <c r="T605" s="151">
        <f t="shared" si="177"/>
        <v>342</v>
      </c>
      <c r="U605" s="151">
        <f t="shared" si="178"/>
        <v>0</v>
      </c>
      <c r="V605" s="139">
        <f t="shared" si="179"/>
        <v>0</v>
      </c>
      <c r="W605" s="152">
        <f t="shared" si="182"/>
        <v>342</v>
      </c>
      <c r="X605" s="127" t="str">
        <f t="shared" si="180"/>
        <v/>
      </c>
      <c r="Y605" s="207">
        <f t="shared" si="183"/>
        <v>342</v>
      </c>
      <c r="Z605" s="139">
        <f t="shared" si="184"/>
        <v>342</v>
      </c>
      <c r="AA605" s="139">
        <f t="shared" si="185"/>
        <v>0</v>
      </c>
      <c r="AC605" s="47">
        <f t="shared" si="186"/>
        <v>171</v>
      </c>
      <c r="AD605" s="47">
        <f t="shared" si="187"/>
        <v>171</v>
      </c>
      <c r="AE605" s="47">
        <f t="shared" si="188"/>
        <v>0</v>
      </c>
      <c r="AG605" s="47">
        <f t="shared" si="189"/>
        <v>171</v>
      </c>
      <c r="AH605" s="47">
        <f t="shared" si="190"/>
        <v>171</v>
      </c>
      <c r="AI605" s="208">
        <f t="shared" si="191"/>
        <v>0</v>
      </c>
    </row>
    <row r="606" spans="1:35">
      <c r="A606" t="s">
        <v>2108</v>
      </c>
      <c r="B606" t="s">
        <v>3155</v>
      </c>
      <c r="C606" t="s">
        <v>2426</v>
      </c>
      <c r="D606" t="s">
        <v>3859</v>
      </c>
      <c r="F606" t="s">
        <v>495</v>
      </c>
      <c r="G606" s="126">
        <f>SUMIFS('Support - Transition'!F:F,'Support - Transition'!B:B,'Step 2'!A606,'Support - Transition'!C:C,'Step 2'!B606,'Support - Transition'!D:D,'Step 2'!C606,'Support - Transition'!E:E,"CIVIL")</f>
        <v>0</v>
      </c>
      <c r="H606" s="126">
        <f>SUMIFS('Support - Transition'!F:F,'Support - Transition'!B:B,'Step 2'!A606,'Support - Transition'!C:C,'Step 2'!B606,'Support - Transition'!D:D,'Step 2'!C606,'Support - Transition'!E:E,"FIRE")</f>
        <v>0</v>
      </c>
      <c r="I606" s="126">
        <f>IF(B606="0",SUMIFS('Support - Transition'!F:F,'Support - Transition'!J:J,'Step 2'!D606,'Support - Transition'!E:E,"STATE UNIT"),SUMIFS('Support - Transition'!F:F,'Support - Transition'!J:J,'Step 2'!D606))</f>
        <v>4.5100000000000001E-4</v>
      </c>
      <c r="J606" s="126">
        <f>SUMIFS('Support - Unit Adjustments'!E:E,'Support - Unit Adjustments'!F:F,'Step 2'!D606)</f>
        <v>0</v>
      </c>
      <c r="K606" s="126">
        <f t="shared" si="175"/>
        <v>4.5100000000000001E-4</v>
      </c>
      <c r="L606" s="174">
        <f>VLOOKUP(A606,'Step 1'!$A:$E,4,FALSE)</f>
        <v>390393</v>
      </c>
      <c r="M606" s="47">
        <f t="shared" si="176"/>
        <v>176</v>
      </c>
      <c r="N606" s="177">
        <f>SUMIFS('Support - Transition'!G:G,'Support - Transition'!J:J,'Step 2'!D606,'Support - Transition'!E:E,"2009 WELFARE ALLOCATION FACTOR")</f>
        <v>0</v>
      </c>
      <c r="O606" s="152">
        <f t="shared" si="181"/>
        <v>0</v>
      </c>
      <c r="P606" s="126">
        <f>IF(E606="Y",0,SUMIFS('Support - Transition'!G:G,'Support - Transition'!J:J,'Step 2'!D606,'Support - Transition'!E:E,"2009 SCHOOL ALLOCATION FACTOR"))</f>
        <v>0</v>
      </c>
      <c r="Q606" s="126">
        <f>IF(E606="Y",VLOOKUP(D606,'Support - Unit Adjustments'!F:G,2,FALSE),0)</f>
        <v>0</v>
      </c>
      <c r="R606" s="155">
        <f t="shared" si="193"/>
        <v>0</v>
      </c>
      <c r="S606" s="47">
        <f t="shared" si="192"/>
        <v>0</v>
      </c>
      <c r="T606" s="151">
        <f t="shared" si="177"/>
        <v>176</v>
      </c>
      <c r="U606" s="151">
        <f t="shared" si="178"/>
        <v>0</v>
      </c>
      <c r="V606" s="139">
        <f t="shared" si="179"/>
        <v>0</v>
      </c>
      <c r="W606" s="152">
        <f t="shared" si="182"/>
        <v>176</v>
      </c>
      <c r="X606" s="127" t="str">
        <f t="shared" si="180"/>
        <v/>
      </c>
      <c r="Y606" s="207">
        <f t="shared" si="183"/>
        <v>176</v>
      </c>
      <c r="Z606" s="139">
        <f t="shared" si="184"/>
        <v>176</v>
      </c>
      <c r="AA606" s="139">
        <f t="shared" si="185"/>
        <v>0</v>
      </c>
      <c r="AC606" s="47">
        <f t="shared" si="186"/>
        <v>88</v>
      </c>
      <c r="AD606" s="47">
        <f t="shared" si="187"/>
        <v>88</v>
      </c>
      <c r="AE606" s="47">
        <f t="shared" si="188"/>
        <v>0</v>
      </c>
      <c r="AG606" s="47">
        <f t="shared" si="189"/>
        <v>88</v>
      </c>
      <c r="AH606" s="47">
        <f t="shared" si="190"/>
        <v>88</v>
      </c>
      <c r="AI606" s="208">
        <f t="shared" si="191"/>
        <v>0</v>
      </c>
    </row>
    <row r="607" spans="1:35">
      <c r="A607" t="s">
        <v>2108</v>
      </c>
      <c r="B607" t="s">
        <v>3160</v>
      </c>
      <c r="C607" t="s">
        <v>2427</v>
      </c>
      <c r="D607" t="s">
        <v>3860</v>
      </c>
      <c r="F607" t="s">
        <v>3861</v>
      </c>
      <c r="G607" s="126">
        <f>SUMIFS('Support - Transition'!F:F,'Support - Transition'!B:B,'Step 2'!A607,'Support - Transition'!C:C,'Step 2'!B607,'Support - Transition'!D:D,'Step 2'!C607,'Support - Transition'!E:E,"CIVIL")</f>
        <v>0</v>
      </c>
      <c r="H607" s="126">
        <f>SUMIFS('Support - Transition'!F:F,'Support - Transition'!B:B,'Step 2'!A607,'Support - Transition'!C:C,'Step 2'!B607,'Support - Transition'!D:D,'Step 2'!C607,'Support - Transition'!E:E,"FIRE")</f>
        <v>0</v>
      </c>
      <c r="I607" s="126">
        <f>IF(B607="0",SUMIFS('Support - Transition'!F:F,'Support - Transition'!J:J,'Step 2'!D607,'Support - Transition'!E:E,"STATE UNIT"),SUMIFS('Support - Transition'!F:F,'Support - Transition'!J:J,'Step 2'!D607))</f>
        <v>0.570295</v>
      </c>
      <c r="J607" s="126">
        <f>SUMIFS('Support - Unit Adjustments'!E:E,'Support - Unit Adjustments'!F:F,'Step 2'!D607)</f>
        <v>0</v>
      </c>
      <c r="K607" s="126">
        <f t="shared" si="175"/>
        <v>0.570295</v>
      </c>
      <c r="L607" s="174">
        <f>VLOOKUP(A607,'Step 1'!$A:$E,4,FALSE)</f>
        <v>390393</v>
      </c>
      <c r="M607" s="47">
        <f t="shared" si="176"/>
        <v>222639</v>
      </c>
      <c r="N607" s="177">
        <f>SUMIFS('Support - Transition'!G:G,'Support - Transition'!J:J,'Step 2'!D607,'Support - Transition'!E:E,"2009 WELFARE ALLOCATION FACTOR")</f>
        <v>0</v>
      </c>
      <c r="O607" s="152">
        <f t="shared" si="181"/>
        <v>0</v>
      </c>
      <c r="P607" s="126">
        <f>IF(E607="Y",0,SUMIFS('Support - Transition'!G:G,'Support - Transition'!J:J,'Step 2'!D607,'Support - Transition'!E:E,"2009 SCHOOL ALLOCATION FACTOR"))</f>
        <v>0.40936099999999997</v>
      </c>
      <c r="Q607" s="126">
        <f>IF(E607="Y",VLOOKUP(D607,'Support - Unit Adjustments'!F:G,2,FALSE),0)</f>
        <v>0</v>
      </c>
      <c r="R607" s="155">
        <f t="shared" si="193"/>
        <v>0.40936099999999997</v>
      </c>
      <c r="S607" s="47">
        <f t="shared" si="192"/>
        <v>91140</v>
      </c>
      <c r="T607" s="151">
        <f t="shared" si="177"/>
        <v>131499</v>
      </c>
      <c r="U607" s="151">
        <f t="shared" si="178"/>
        <v>0</v>
      </c>
      <c r="V607" s="139">
        <f t="shared" si="179"/>
        <v>0</v>
      </c>
      <c r="W607" s="152">
        <f t="shared" si="182"/>
        <v>131499</v>
      </c>
      <c r="X607" s="127" t="str">
        <f t="shared" si="180"/>
        <v/>
      </c>
      <c r="Y607" s="207">
        <f t="shared" si="183"/>
        <v>131499</v>
      </c>
      <c r="Z607" s="139">
        <f t="shared" si="184"/>
        <v>131499</v>
      </c>
      <c r="AA607" s="139">
        <f t="shared" si="185"/>
        <v>0</v>
      </c>
      <c r="AC607" s="47">
        <f t="shared" si="186"/>
        <v>65750</v>
      </c>
      <c r="AD607" s="47">
        <f t="shared" si="187"/>
        <v>65750</v>
      </c>
      <c r="AE607" s="47">
        <f t="shared" si="188"/>
        <v>0</v>
      </c>
      <c r="AG607" s="47">
        <f t="shared" si="189"/>
        <v>65749</v>
      </c>
      <c r="AH607" s="47">
        <f t="shared" si="190"/>
        <v>65749</v>
      </c>
      <c r="AI607" s="208">
        <f t="shared" si="191"/>
        <v>0</v>
      </c>
    </row>
    <row r="608" spans="1:35">
      <c r="A608" t="s">
        <v>2108</v>
      </c>
      <c r="B608" t="s">
        <v>3166</v>
      </c>
      <c r="C608" t="s">
        <v>3862</v>
      </c>
      <c r="D608" t="s">
        <v>3863</v>
      </c>
      <c r="F608" t="s">
        <v>498</v>
      </c>
      <c r="G608" s="126">
        <f>SUMIFS('Support - Transition'!F:F,'Support - Transition'!B:B,'Step 2'!A608,'Support - Transition'!C:C,'Step 2'!B608,'Support - Transition'!D:D,'Step 2'!C608,'Support - Transition'!E:E,"CIVIL")</f>
        <v>0</v>
      </c>
      <c r="H608" s="126">
        <f>SUMIFS('Support - Transition'!F:F,'Support - Transition'!B:B,'Step 2'!A608,'Support - Transition'!C:C,'Step 2'!B608,'Support - Transition'!D:D,'Step 2'!C608,'Support - Transition'!E:E,"FIRE")</f>
        <v>0</v>
      </c>
      <c r="I608" s="126">
        <f>IF(B608="0",SUMIFS('Support - Transition'!F:F,'Support - Transition'!J:J,'Step 2'!D608,'Support - Transition'!E:E,"STATE UNIT"),SUMIFS('Support - Transition'!F:F,'Support - Transition'!J:J,'Step 2'!D608))</f>
        <v>2.8225E-2</v>
      </c>
      <c r="J608" s="126">
        <f>SUMIFS('Support - Unit Adjustments'!E:E,'Support - Unit Adjustments'!F:F,'Step 2'!D608)</f>
        <v>0</v>
      </c>
      <c r="K608" s="126">
        <f t="shared" si="175"/>
        <v>2.8225E-2</v>
      </c>
      <c r="L608" s="174">
        <f>VLOOKUP(A608,'Step 1'!$A:$E,4,FALSE)</f>
        <v>390393</v>
      </c>
      <c r="M608" s="47">
        <f t="shared" si="176"/>
        <v>11019</v>
      </c>
      <c r="N608" s="177">
        <f>SUMIFS('Support - Transition'!G:G,'Support - Transition'!J:J,'Step 2'!D608,'Support - Transition'!E:E,"2009 WELFARE ALLOCATION FACTOR")</f>
        <v>0</v>
      </c>
      <c r="O608" s="152">
        <f t="shared" si="181"/>
        <v>0</v>
      </c>
      <c r="P608" s="126">
        <f>IF(E608="Y",0,SUMIFS('Support - Transition'!G:G,'Support - Transition'!J:J,'Step 2'!D608,'Support - Transition'!E:E,"2009 SCHOOL ALLOCATION FACTOR"))</f>
        <v>0</v>
      </c>
      <c r="Q608" s="126">
        <f>IF(E608="Y",VLOOKUP(D608,'Support - Unit Adjustments'!F:G,2,FALSE),0)</f>
        <v>0</v>
      </c>
      <c r="R608" s="155">
        <f t="shared" si="193"/>
        <v>0</v>
      </c>
      <c r="S608" s="47">
        <f t="shared" si="192"/>
        <v>0</v>
      </c>
      <c r="T608" s="151">
        <f t="shared" si="177"/>
        <v>11019</v>
      </c>
      <c r="U608" s="151">
        <f t="shared" si="178"/>
        <v>0</v>
      </c>
      <c r="V608" s="139">
        <f t="shared" si="179"/>
        <v>0</v>
      </c>
      <c r="W608" s="152">
        <f t="shared" si="182"/>
        <v>11019</v>
      </c>
      <c r="X608" s="127" t="str">
        <f t="shared" si="180"/>
        <v/>
      </c>
      <c r="Y608" s="207">
        <f t="shared" si="183"/>
        <v>11019</v>
      </c>
      <c r="Z608" s="139">
        <f t="shared" si="184"/>
        <v>11019</v>
      </c>
      <c r="AA608" s="139">
        <f t="shared" si="185"/>
        <v>0</v>
      </c>
      <c r="AC608" s="47">
        <f t="shared" si="186"/>
        <v>5510</v>
      </c>
      <c r="AD608" s="47">
        <f t="shared" si="187"/>
        <v>5510</v>
      </c>
      <c r="AE608" s="47">
        <f t="shared" si="188"/>
        <v>0</v>
      </c>
      <c r="AG608" s="47">
        <f t="shared" si="189"/>
        <v>5509</v>
      </c>
      <c r="AH608" s="47">
        <f t="shared" si="190"/>
        <v>5509</v>
      </c>
      <c r="AI608" s="208">
        <f t="shared" si="191"/>
        <v>0</v>
      </c>
    </row>
    <row r="609" spans="1:35">
      <c r="A609" t="s">
        <v>2108</v>
      </c>
      <c r="B609" t="s">
        <v>3170</v>
      </c>
      <c r="C609" t="s">
        <v>2428</v>
      </c>
      <c r="D609" t="s">
        <v>3864</v>
      </c>
      <c r="F609" t="s">
        <v>500</v>
      </c>
      <c r="G609" s="126">
        <f>SUMIFS('Support - Transition'!F:F,'Support - Transition'!B:B,'Step 2'!A609,'Support - Transition'!C:C,'Step 2'!B609,'Support - Transition'!D:D,'Step 2'!C609,'Support - Transition'!E:E,"CIVIL")</f>
        <v>0</v>
      </c>
      <c r="H609" s="126">
        <f>SUMIFS('Support - Transition'!F:F,'Support - Transition'!B:B,'Step 2'!A609,'Support - Transition'!C:C,'Step 2'!B609,'Support - Transition'!D:D,'Step 2'!C609,'Support - Transition'!E:E,"FIRE")</f>
        <v>0</v>
      </c>
      <c r="I609" s="126">
        <f>IF(B609="0",SUMIFS('Support - Transition'!F:F,'Support - Transition'!J:J,'Step 2'!D609,'Support - Transition'!E:E,"STATE UNIT"),SUMIFS('Support - Transition'!F:F,'Support - Transition'!J:J,'Step 2'!D609))</f>
        <v>6.1230000000001006E-3</v>
      </c>
      <c r="J609" s="126">
        <f>SUMIFS('Support - Unit Adjustments'!E:E,'Support - Unit Adjustments'!F:F,'Step 2'!D609)</f>
        <v>0</v>
      </c>
      <c r="K609" s="126">
        <f t="shared" si="175"/>
        <v>6.1230000000001006E-3</v>
      </c>
      <c r="L609" s="174">
        <f>VLOOKUP(A609,'Step 1'!$A:$E,4,FALSE)</f>
        <v>390393</v>
      </c>
      <c r="M609" s="47">
        <f t="shared" si="176"/>
        <v>2390</v>
      </c>
      <c r="N609" s="177">
        <f>SUMIFS('Support - Transition'!G:G,'Support - Transition'!J:J,'Step 2'!D609,'Support - Transition'!E:E,"2009 WELFARE ALLOCATION FACTOR")</f>
        <v>0</v>
      </c>
      <c r="O609" s="152">
        <f t="shared" si="181"/>
        <v>0</v>
      </c>
      <c r="P609" s="126">
        <f>IF(E609="Y",0,SUMIFS('Support - Transition'!G:G,'Support - Transition'!J:J,'Step 2'!D609,'Support - Transition'!E:E,"2009 SCHOOL ALLOCATION FACTOR"))</f>
        <v>0</v>
      </c>
      <c r="Q609" s="126">
        <f>IF(E609="Y",VLOOKUP(D609,'Support - Unit Adjustments'!F:G,2,FALSE),0)</f>
        <v>0</v>
      </c>
      <c r="R609" s="155">
        <f t="shared" si="193"/>
        <v>0</v>
      </c>
      <c r="S609" s="47">
        <f t="shared" si="192"/>
        <v>0</v>
      </c>
      <c r="T609" s="151">
        <f t="shared" si="177"/>
        <v>2390</v>
      </c>
      <c r="U609" s="151">
        <f t="shared" si="178"/>
        <v>0</v>
      </c>
      <c r="V609" s="139">
        <f t="shared" si="179"/>
        <v>0</v>
      </c>
      <c r="W609" s="152">
        <f t="shared" si="182"/>
        <v>2390</v>
      </c>
      <c r="X609" s="127" t="str">
        <f t="shared" si="180"/>
        <v/>
      </c>
      <c r="Y609" s="207">
        <f t="shared" si="183"/>
        <v>2390</v>
      </c>
      <c r="Z609" s="139">
        <f t="shared" si="184"/>
        <v>2390</v>
      </c>
      <c r="AA609" s="139">
        <f t="shared" si="185"/>
        <v>0</v>
      </c>
      <c r="AC609" s="47">
        <f t="shared" si="186"/>
        <v>1195</v>
      </c>
      <c r="AD609" s="47">
        <f t="shared" si="187"/>
        <v>1195</v>
      </c>
      <c r="AE609" s="47">
        <f t="shared" si="188"/>
        <v>0</v>
      </c>
      <c r="AG609" s="47">
        <f t="shared" si="189"/>
        <v>1195</v>
      </c>
      <c r="AH609" s="47">
        <f t="shared" si="190"/>
        <v>1195</v>
      </c>
      <c r="AI609" s="208">
        <f t="shared" si="191"/>
        <v>0</v>
      </c>
    </row>
    <row r="610" spans="1:35">
      <c r="A610" t="s">
        <v>2108</v>
      </c>
      <c r="B610" t="s">
        <v>3170</v>
      </c>
      <c r="C610" t="s">
        <v>2429</v>
      </c>
      <c r="D610" t="s">
        <v>3865</v>
      </c>
      <c r="F610" t="s">
        <v>499</v>
      </c>
      <c r="G610" s="126">
        <f>SUMIFS('Support - Transition'!F:F,'Support - Transition'!B:B,'Step 2'!A610,'Support - Transition'!C:C,'Step 2'!B610,'Support - Transition'!D:D,'Step 2'!C610,'Support - Transition'!E:E,"CIVIL")</f>
        <v>0</v>
      </c>
      <c r="H610" s="126">
        <f>SUMIFS('Support - Transition'!F:F,'Support - Transition'!B:B,'Step 2'!A610,'Support - Transition'!C:C,'Step 2'!B610,'Support - Transition'!D:D,'Step 2'!C610,'Support - Transition'!E:E,"FIRE")</f>
        <v>0</v>
      </c>
      <c r="I610" s="126">
        <f>IF(B610="0",SUMIFS('Support - Transition'!F:F,'Support - Transition'!J:J,'Step 2'!D610,'Support - Transition'!E:E,"STATE UNIT"),SUMIFS('Support - Transition'!F:F,'Support - Transition'!J:J,'Step 2'!D610))</f>
        <v>0</v>
      </c>
      <c r="J610" s="126">
        <f>SUMIFS('Support - Unit Adjustments'!E:E,'Support - Unit Adjustments'!F:F,'Step 2'!D610)</f>
        <v>0</v>
      </c>
      <c r="K610" s="126">
        <f t="shared" si="175"/>
        <v>0</v>
      </c>
      <c r="L610" s="174">
        <f>VLOOKUP(A610,'Step 1'!$A:$E,4,FALSE)</f>
        <v>390393</v>
      </c>
      <c r="M610" s="47">
        <f t="shared" si="176"/>
        <v>0</v>
      </c>
      <c r="N610" s="177">
        <f>SUMIFS('Support - Transition'!G:G,'Support - Transition'!J:J,'Step 2'!D610,'Support - Transition'!E:E,"2009 WELFARE ALLOCATION FACTOR")</f>
        <v>0</v>
      </c>
      <c r="O610" s="152">
        <f t="shared" si="181"/>
        <v>0</v>
      </c>
      <c r="P610" s="126">
        <f>IF(E610="Y",0,SUMIFS('Support - Transition'!G:G,'Support - Transition'!J:J,'Step 2'!D610,'Support - Transition'!E:E,"2009 SCHOOL ALLOCATION FACTOR"))</f>
        <v>0</v>
      </c>
      <c r="Q610" s="126">
        <f>IF(E610="Y",VLOOKUP(D610,'Support - Unit Adjustments'!F:G,2,FALSE),0)</f>
        <v>0</v>
      </c>
      <c r="R610" s="155">
        <f t="shared" si="193"/>
        <v>0</v>
      </c>
      <c r="S610" s="47">
        <f t="shared" si="192"/>
        <v>0</v>
      </c>
      <c r="T610" s="151">
        <f t="shared" si="177"/>
        <v>0</v>
      </c>
      <c r="U610" s="151">
        <f t="shared" si="178"/>
        <v>0</v>
      </c>
      <c r="V610" s="139">
        <f t="shared" si="179"/>
        <v>0</v>
      </c>
      <c r="W610" s="152">
        <f t="shared" si="182"/>
        <v>0</v>
      </c>
      <c r="X610" s="127" t="str">
        <f t="shared" si="180"/>
        <v/>
      </c>
      <c r="Y610" s="207">
        <f t="shared" si="183"/>
        <v>0</v>
      </c>
      <c r="Z610" s="139">
        <f t="shared" si="184"/>
        <v>0</v>
      </c>
      <c r="AA610" s="139">
        <f t="shared" si="185"/>
        <v>0</v>
      </c>
      <c r="AC610" s="47">
        <f t="shared" si="186"/>
        <v>0</v>
      </c>
      <c r="AD610" s="47">
        <f t="shared" si="187"/>
        <v>0</v>
      </c>
      <c r="AE610" s="47">
        <f t="shared" si="188"/>
        <v>0</v>
      </c>
      <c r="AG610" s="47">
        <f t="shared" si="189"/>
        <v>0</v>
      </c>
      <c r="AH610" s="47">
        <f t="shared" si="190"/>
        <v>0</v>
      </c>
      <c r="AI610" s="208">
        <f t="shared" si="191"/>
        <v>0</v>
      </c>
    </row>
    <row r="611" spans="1:35">
      <c r="A611" t="s">
        <v>2108</v>
      </c>
      <c r="B611" t="s">
        <v>3170</v>
      </c>
      <c r="C611" t="s">
        <v>2277</v>
      </c>
      <c r="D611" t="s">
        <v>3866</v>
      </c>
      <c r="F611" t="s">
        <v>3867</v>
      </c>
      <c r="G611" s="126">
        <f>SUMIFS('Support - Transition'!F:F,'Support - Transition'!B:B,'Step 2'!A611,'Support - Transition'!C:C,'Step 2'!B611,'Support - Transition'!D:D,'Step 2'!C611,'Support - Transition'!E:E,"CIVIL")</f>
        <v>0</v>
      </c>
      <c r="H611" s="126">
        <f>SUMIFS('Support - Transition'!F:F,'Support - Transition'!B:B,'Step 2'!A611,'Support - Transition'!C:C,'Step 2'!B611,'Support - Transition'!D:D,'Step 2'!C611,'Support - Transition'!E:E,"FIRE")</f>
        <v>0</v>
      </c>
      <c r="I611" s="126">
        <f>IF(B611="0",SUMIFS('Support - Transition'!F:F,'Support - Transition'!J:J,'Step 2'!D611,'Support - Transition'!E:E,"STATE UNIT"),SUMIFS('Support - Transition'!F:F,'Support - Transition'!J:J,'Step 2'!D611))</f>
        <v>0</v>
      </c>
      <c r="J611" s="126">
        <f>SUMIFS('Support - Unit Adjustments'!E:E,'Support - Unit Adjustments'!F:F,'Step 2'!D611)</f>
        <v>0</v>
      </c>
      <c r="K611" s="126">
        <f t="shared" si="175"/>
        <v>0</v>
      </c>
      <c r="L611" s="174">
        <f>VLOOKUP(A611,'Step 1'!$A:$E,4,FALSE)</f>
        <v>390393</v>
      </c>
      <c r="M611" s="47">
        <f t="shared" si="176"/>
        <v>0</v>
      </c>
      <c r="N611" s="177">
        <f>SUMIFS('Support - Transition'!G:G,'Support - Transition'!J:J,'Step 2'!D611,'Support - Transition'!E:E,"2009 WELFARE ALLOCATION FACTOR")</f>
        <v>0</v>
      </c>
      <c r="O611" s="152">
        <f t="shared" si="181"/>
        <v>0</v>
      </c>
      <c r="P611" s="126">
        <f>IF(E611="Y",0,SUMIFS('Support - Transition'!G:G,'Support - Transition'!J:J,'Step 2'!D611,'Support - Transition'!E:E,"2009 SCHOOL ALLOCATION FACTOR"))</f>
        <v>0</v>
      </c>
      <c r="Q611" s="126">
        <f>IF(E611="Y",VLOOKUP(D611,'Support - Unit Adjustments'!F:G,2,FALSE),0)</f>
        <v>0</v>
      </c>
      <c r="R611" s="155">
        <f t="shared" si="193"/>
        <v>0</v>
      </c>
      <c r="S611" s="47">
        <f t="shared" si="192"/>
        <v>0</v>
      </c>
      <c r="T611" s="151">
        <f t="shared" si="177"/>
        <v>0</v>
      </c>
      <c r="U611" s="151">
        <f t="shared" si="178"/>
        <v>0</v>
      </c>
      <c r="V611" s="139">
        <f t="shared" si="179"/>
        <v>0</v>
      </c>
      <c r="W611" s="152">
        <f t="shared" si="182"/>
        <v>0</v>
      </c>
      <c r="X611" s="127" t="str">
        <f t="shared" si="180"/>
        <v/>
      </c>
      <c r="Y611" s="207">
        <f t="shared" si="183"/>
        <v>0</v>
      </c>
      <c r="Z611" s="139">
        <f t="shared" si="184"/>
        <v>0</v>
      </c>
      <c r="AA611" s="139">
        <f t="shared" si="185"/>
        <v>0</v>
      </c>
      <c r="AC611" s="47">
        <f t="shared" si="186"/>
        <v>0</v>
      </c>
      <c r="AD611" s="47">
        <f t="shared" si="187"/>
        <v>0</v>
      </c>
      <c r="AE611" s="47">
        <f t="shared" si="188"/>
        <v>0</v>
      </c>
      <c r="AG611" s="47">
        <f t="shared" si="189"/>
        <v>0</v>
      </c>
      <c r="AH611" s="47">
        <f t="shared" si="190"/>
        <v>0</v>
      </c>
      <c r="AI611" s="208">
        <f t="shared" si="191"/>
        <v>0</v>
      </c>
    </row>
    <row r="612" spans="1:35">
      <c r="A612" t="s">
        <v>2108</v>
      </c>
      <c r="B612" t="s">
        <v>3170</v>
      </c>
      <c r="C612" t="s">
        <v>3868</v>
      </c>
      <c r="D612" t="s">
        <v>3869</v>
      </c>
      <c r="F612" t="s">
        <v>3870</v>
      </c>
      <c r="G612" s="126">
        <f>SUMIFS('Support - Transition'!F:F,'Support - Transition'!B:B,'Step 2'!A612,'Support - Transition'!C:C,'Step 2'!B612,'Support - Transition'!D:D,'Step 2'!C612,'Support - Transition'!E:E,"CIVIL")</f>
        <v>0</v>
      </c>
      <c r="H612" s="126">
        <f>SUMIFS('Support - Transition'!F:F,'Support - Transition'!B:B,'Step 2'!A612,'Support - Transition'!C:C,'Step 2'!B612,'Support - Transition'!D:D,'Step 2'!C612,'Support - Transition'!E:E,"FIRE")</f>
        <v>0</v>
      </c>
      <c r="I612" s="126">
        <f>IF(B612="0",SUMIFS('Support - Transition'!F:F,'Support - Transition'!J:J,'Step 2'!D612,'Support - Transition'!E:E,"STATE UNIT"),SUMIFS('Support - Transition'!F:F,'Support - Transition'!J:J,'Step 2'!D612))</f>
        <v>0</v>
      </c>
      <c r="J612" s="126">
        <f>SUMIFS('Support - Unit Adjustments'!E:E,'Support - Unit Adjustments'!F:F,'Step 2'!D612)</f>
        <v>0</v>
      </c>
      <c r="K612" s="126">
        <f t="shared" si="175"/>
        <v>0</v>
      </c>
      <c r="L612" s="174">
        <f>VLOOKUP(A612,'Step 1'!$A:$E,4,FALSE)</f>
        <v>390393</v>
      </c>
      <c r="M612" s="47">
        <f t="shared" si="176"/>
        <v>0</v>
      </c>
      <c r="N612" s="177">
        <f>SUMIFS('Support - Transition'!G:G,'Support - Transition'!J:J,'Step 2'!D612,'Support - Transition'!E:E,"2009 WELFARE ALLOCATION FACTOR")</f>
        <v>0</v>
      </c>
      <c r="O612" s="152">
        <f t="shared" si="181"/>
        <v>0</v>
      </c>
      <c r="P612" s="126">
        <f>IF(E612="Y",0,SUMIFS('Support - Transition'!G:G,'Support - Transition'!J:J,'Step 2'!D612,'Support - Transition'!E:E,"2009 SCHOOL ALLOCATION FACTOR"))</f>
        <v>0</v>
      </c>
      <c r="Q612" s="126">
        <f>IF(E612="Y",VLOOKUP(D612,'Support - Unit Adjustments'!F:G,2,FALSE),0)</f>
        <v>0</v>
      </c>
      <c r="R612" s="155">
        <f t="shared" si="193"/>
        <v>0</v>
      </c>
      <c r="S612" s="47">
        <f t="shared" si="192"/>
        <v>0</v>
      </c>
      <c r="T612" s="151">
        <f t="shared" si="177"/>
        <v>0</v>
      </c>
      <c r="U612" s="151">
        <f t="shared" si="178"/>
        <v>0</v>
      </c>
      <c r="V612" s="139">
        <f t="shared" si="179"/>
        <v>0</v>
      </c>
      <c r="W612" s="152">
        <f t="shared" si="182"/>
        <v>0</v>
      </c>
      <c r="X612" s="127" t="str">
        <f t="shared" si="180"/>
        <v/>
      </c>
      <c r="Y612" s="207">
        <f t="shared" si="183"/>
        <v>0</v>
      </c>
      <c r="Z612" s="139">
        <f t="shared" si="184"/>
        <v>0</v>
      </c>
      <c r="AA612" s="139">
        <f t="shared" si="185"/>
        <v>0</v>
      </c>
      <c r="AC612" s="47">
        <f t="shared" si="186"/>
        <v>0</v>
      </c>
      <c r="AD612" s="47">
        <f t="shared" si="187"/>
        <v>0</v>
      </c>
      <c r="AE612" s="47">
        <f t="shared" si="188"/>
        <v>0</v>
      </c>
      <c r="AG612" s="47">
        <f t="shared" si="189"/>
        <v>0</v>
      </c>
      <c r="AH612" s="47">
        <f t="shared" si="190"/>
        <v>0</v>
      </c>
      <c r="AI612" s="208">
        <f t="shared" si="191"/>
        <v>0</v>
      </c>
    </row>
    <row r="613" spans="1:35">
      <c r="A613" t="s">
        <v>2108</v>
      </c>
      <c r="B613" t="s">
        <v>3170</v>
      </c>
      <c r="C613" t="s">
        <v>3871</v>
      </c>
      <c r="D613" t="s">
        <v>3872</v>
      </c>
      <c r="F613" t="s">
        <v>3873</v>
      </c>
      <c r="G613" s="126">
        <f>SUMIFS('Support - Transition'!F:F,'Support - Transition'!B:B,'Step 2'!A613,'Support - Transition'!C:C,'Step 2'!B613,'Support - Transition'!D:D,'Step 2'!C613,'Support - Transition'!E:E,"CIVIL")</f>
        <v>0</v>
      </c>
      <c r="H613" s="126">
        <f>SUMIFS('Support - Transition'!F:F,'Support - Transition'!B:B,'Step 2'!A613,'Support - Transition'!C:C,'Step 2'!B613,'Support - Transition'!D:D,'Step 2'!C613,'Support - Transition'!E:E,"FIRE")</f>
        <v>0</v>
      </c>
      <c r="I613" s="126">
        <f>IF(B613="0",SUMIFS('Support - Transition'!F:F,'Support - Transition'!J:J,'Step 2'!D613,'Support - Transition'!E:E,"STATE UNIT"),SUMIFS('Support - Transition'!F:F,'Support - Transition'!J:J,'Step 2'!D613))</f>
        <v>0</v>
      </c>
      <c r="J613" s="126">
        <f>SUMIFS('Support - Unit Adjustments'!E:E,'Support - Unit Adjustments'!F:F,'Step 2'!D613)</f>
        <v>0</v>
      </c>
      <c r="K613" s="126">
        <f t="shared" si="175"/>
        <v>0</v>
      </c>
      <c r="L613" s="174">
        <f>VLOOKUP(A613,'Step 1'!$A:$E,4,FALSE)</f>
        <v>390393</v>
      </c>
      <c r="M613" s="47">
        <f t="shared" si="176"/>
        <v>0</v>
      </c>
      <c r="N613" s="177">
        <f>SUMIFS('Support - Transition'!G:G,'Support - Transition'!J:J,'Step 2'!D613,'Support - Transition'!E:E,"2009 WELFARE ALLOCATION FACTOR")</f>
        <v>0</v>
      </c>
      <c r="O613" s="152">
        <f t="shared" si="181"/>
        <v>0</v>
      </c>
      <c r="P613" s="126">
        <f>IF(E613="Y",0,SUMIFS('Support - Transition'!G:G,'Support - Transition'!J:J,'Step 2'!D613,'Support - Transition'!E:E,"2009 SCHOOL ALLOCATION FACTOR"))</f>
        <v>0</v>
      </c>
      <c r="Q613" s="126">
        <f>IF(E613="Y",VLOOKUP(D613,'Support - Unit Adjustments'!F:G,2,FALSE),0)</f>
        <v>0</v>
      </c>
      <c r="R613" s="155">
        <f t="shared" si="193"/>
        <v>0</v>
      </c>
      <c r="S613" s="47">
        <f t="shared" si="192"/>
        <v>0</v>
      </c>
      <c r="T613" s="151">
        <f t="shared" si="177"/>
        <v>0</v>
      </c>
      <c r="U613" s="151">
        <f t="shared" si="178"/>
        <v>0</v>
      </c>
      <c r="V613" s="139">
        <f t="shared" si="179"/>
        <v>0</v>
      </c>
      <c r="W613" s="152">
        <f t="shared" si="182"/>
        <v>0</v>
      </c>
      <c r="X613" s="127" t="str">
        <f t="shared" si="180"/>
        <v/>
      </c>
      <c r="Y613" s="207">
        <f t="shared" si="183"/>
        <v>0</v>
      </c>
      <c r="Z613" s="139">
        <f t="shared" si="184"/>
        <v>0</v>
      </c>
      <c r="AA613" s="139">
        <f t="shared" si="185"/>
        <v>0</v>
      </c>
      <c r="AC613" s="47">
        <f t="shared" si="186"/>
        <v>0</v>
      </c>
      <c r="AD613" s="47">
        <f t="shared" si="187"/>
        <v>0</v>
      </c>
      <c r="AE613" s="47">
        <f t="shared" si="188"/>
        <v>0</v>
      </c>
      <c r="AG613" s="47">
        <f t="shared" si="189"/>
        <v>0</v>
      </c>
      <c r="AH613" s="47">
        <f t="shared" si="190"/>
        <v>0</v>
      </c>
      <c r="AI613" s="208">
        <f t="shared" si="191"/>
        <v>0</v>
      </c>
    </row>
    <row r="614" spans="1:35">
      <c r="A614" t="s">
        <v>2108</v>
      </c>
      <c r="B614" t="s">
        <v>3286</v>
      </c>
      <c r="C614" t="s">
        <v>2301</v>
      </c>
      <c r="D614" t="s">
        <v>3874</v>
      </c>
      <c r="F614" t="s">
        <v>3472</v>
      </c>
      <c r="G614" s="126">
        <f>SUMIFS('Support - Transition'!F:F,'Support - Transition'!B:B,'Step 2'!A614,'Support - Transition'!C:C,'Step 2'!B614,'Support - Transition'!D:D,'Step 2'!C614,'Support - Transition'!E:E,"CIVIL")</f>
        <v>0</v>
      </c>
      <c r="H614" s="126">
        <f>SUMIFS('Support - Transition'!F:F,'Support - Transition'!B:B,'Step 2'!A614,'Support - Transition'!C:C,'Step 2'!B614,'Support - Transition'!D:D,'Step 2'!C614,'Support - Transition'!E:E,"FIRE")</f>
        <v>0</v>
      </c>
      <c r="I614" s="126">
        <f>IF(B614="0",SUMIFS('Support - Transition'!F:F,'Support - Transition'!J:J,'Step 2'!D614,'Support - Transition'!E:E,"STATE UNIT"),SUMIFS('Support - Transition'!F:F,'Support - Transition'!J:J,'Step 2'!D614))</f>
        <v>0</v>
      </c>
      <c r="J614" s="126">
        <f>SUMIFS('Support - Unit Adjustments'!E:E,'Support - Unit Adjustments'!F:F,'Step 2'!D614)</f>
        <v>0</v>
      </c>
      <c r="K614" s="126">
        <f t="shared" si="175"/>
        <v>0</v>
      </c>
      <c r="L614" s="174">
        <f>VLOOKUP(A614,'Step 1'!$A:$E,4,FALSE)</f>
        <v>390393</v>
      </c>
      <c r="M614" s="47">
        <f t="shared" si="176"/>
        <v>0</v>
      </c>
      <c r="N614" s="177">
        <f>SUMIFS('Support - Transition'!G:G,'Support - Transition'!J:J,'Step 2'!D614,'Support - Transition'!E:E,"2009 WELFARE ALLOCATION FACTOR")</f>
        <v>0</v>
      </c>
      <c r="O614" s="152">
        <f t="shared" si="181"/>
        <v>0</v>
      </c>
      <c r="P614" s="126">
        <f>IF(E614="Y",0,SUMIFS('Support - Transition'!G:G,'Support - Transition'!J:J,'Step 2'!D614,'Support - Transition'!E:E,"2009 SCHOOL ALLOCATION FACTOR"))</f>
        <v>0</v>
      </c>
      <c r="Q614" s="126">
        <f>IF(E614="Y",VLOOKUP(D614,'Support - Unit Adjustments'!F:G,2,FALSE),0)</f>
        <v>0</v>
      </c>
      <c r="R614" s="155">
        <f t="shared" si="193"/>
        <v>0</v>
      </c>
      <c r="S614" s="47">
        <f t="shared" si="192"/>
        <v>0</v>
      </c>
      <c r="T614" s="151">
        <f t="shared" si="177"/>
        <v>0</v>
      </c>
      <c r="U614" s="151">
        <f t="shared" si="178"/>
        <v>0</v>
      </c>
      <c r="V614" s="139">
        <f t="shared" si="179"/>
        <v>0</v>
      </c>
      <c r="W614" s="152">
        <f t="shared" si="182"/>
        <v>0</v>
      </c>
      <c r="X614" s="127" t="str">
        <f t="shared" si="180"/>
        <v/>
      </c>
      <c r="Y614" s="207">
        <f t="shared" si="183"/>
        <v>0</v>
      </c>
      <c r="Z614" s="139">
        <f t="shared" si="184"/>
        <v>0</v>
      </c>
      <c r="AA614" s="139">
        <f t="shared" si="185"/>
        <v>0</v>
      </c>
      <c r="AC614" s="47">
        <f t="shared" si="186"/>
        <v>0</v>
      </c>
      <c r="AD614" s="47">
        <f t="shared" si="187"/>
        <v>0</v>
      </c>
      <c r="AE614" s="47">
        <f t="shared" si="188"/>
        <v>0</v>
      </c>
      <c r="AG614" s="47">
        <f t="shared" si="189"/>
        <v>0</v>
      </c>
      <c r="AH614" s="47">
        <f t="shared" si="190"/>
        <v>0</v>
      </c>
      <c r="AI614" s="208">
        <f t="shared" si="191"/>
        <v>0</v>
      </c>
    </row>
    <row r="615" spans="1:35">
      <c r="A615" t="s">
        <v>2109</v>
      </c>
      <c r="B615" s="48" t="s">
        <v>6274</v>
      </c>
      <c r="C615" t="s">
        <v>2187</v>
      </c>
      <c r="D615" t="str">
        <f>A615&amp;B615&amp;C615</f>
        <v>2300000</v>
      </c>
      <c r="F615" t="s">
        <v>6297</v>
      </c>
      <c r="G615" s="126">
        <f>SUMIFS('Support - Transition'!F:F,'Support - Transition'!B:B,'Step 2'!A615,'Support - Transition'!C:C,'Step 2'!B615,'Support - Transition'!D:D,'Step 2'!C615,'Support - Transition'!E:E,"CIVIL")</f>
        <v>0</v>
      </c>
      <c r="H615" s="126">
        <f>SUMIFS('Support - Transition'!F:F,'Support - Transition'!B:B,'Step 2'!A615,'Support - Transition'!C:C,'Step 2'!B615,'Support - Transition'!D:D,'Step 2'!C615,'Support - Transition'!E:E,"FIRE")</f>
        <v>0</v>
      </c>
      <c r="I615" s="126">
        <f>IF(B615="0",SUMIFS('Support - Transition'!F:F,'Support - Transition'!J:J,'Step 2'!D615,'Support - Transition'!E:E,"STATE UNIT"),SUMIFS('Support - Transition'!F:F,'Support - Transition'!J:J,'Step 2'!D615))</f>
        <v>1.6069999999999999E-3</v>
      </c>
      <c r="J615" s="126">
        <f>SUMIFS('Support - Unit Adjustments'!E:E,'Support - Unit Adjustments'!F:F,'Step 2'!D615)</f>
        <v>0</v>
      </c>
      <c r="K615" s="126">
        <f t="shared" si="175"/>
        <v>1.6069999999999999E-3</v>
      </c>
      <c r="L615" s="174">
        <f>VLOOKUP(A615,'Step 1'!$A:$E,4,FALSE)</f>
        <v>99816</v>
      </c>
      <c r="M615" s="47">
        <f t="shared" si="176"/>
        <v>160</v>
      </c>
      <c r="N615" s="177">
        <f>SUMIFS('Support - Transition'!G:G,'Support - Transition'!J:J,'Step 2'!D615,'Support - Transition'!E:E,"2009 WELFARE ALLOCATION FACTOR")</f>
        <v>0</v>
      </c>
      <c r="O615" s="152">
        <f t="shared" si="181"/>
        <v>0</v>
      </c>
      <c r="P615" s="126">
        <f>IF(E615="Y",0,SUMIFS('Support - Transition'!G:G,'Support - Transition'!J:J,'Step 2'!D615,'Support - Transition'!E:E,"2009 SCHOOL ALLOCATION FACTOR"))</f>
        <v>0</v>
      </c>
      <c r="Q615" s="126">
        <f>IF(E615="Y",VLOOKUP(D615,'Support - Unit Adjustments'!F:G,2,FALSE),0)</f>
        <v>0</v>
      </c>
      <c r="R615" s="155">
        <f t="shared" si="193"/>
        <v>0</v>
      </c>
      <c r="S615" s="47">
        <f t="shared" si="192"/>
        <v>0</v>
      </c>
      <c r="T615" s="151">
        <f t="shared" si="177"/>
        <v>160</v>
      </c>
      <c r="U615" s="151">
        <f t="shared" si="178"/>
        <v>99816</v>
      </c>
      <c r="V615" s="139">
        <f t="shared" si="179"/>
        <v>0</v>
      </c>
      <c r="W615" s="152">
        <f t="shared" si="182"/>
        <v>160</v>
      </c>
      <c r="X615" s="127">
        <f t="shared" si="180"/>
        <v>0</v>
      </c>
      <c r="Y615" s="207">
        <f t="shared" si="183"/>
        <v>160</v>
      </c>
      <c r="Z615" s="139">
        <f t="shared" si="184"/>
        <v>160</v>
      </c>
      <c r="AA615" s="139">
        <f t="shared" si="185"/>
        <v>0</v>
      </c>
      <c r="AC615" s="47">
        <f t="shared" si="186"/>
        <v>80</v>
      </c>
      <c r="AD615" s="47">
        <f t="shared" si="187"/>
        <v>80</v>
      </c>
      <c r="AE615" s="47">
        <f t="shared" si="188"/>
        <v>0</v>
      </c>
      <c r="AG615" s="47">
        <f t="shared" si="189"/>
        <v>80</v>
      </c>
      <c r="AH615" s="47">
        <f t="shared" si="190"/>
        <v>80</v>
      </c>
      <c r="AI615" s="208">
        <f t="shared" si="191"/>
        <v>0</v>
      </c>
    </row>
    <row r="616" spans="1:35">
      <c r="A616" t="s">
        <v>2109</v>
      </c>
      <c r="B616" t="s">
        <v>3140</v>
      </c>
      <c r="C616" t="s">
        <v>2187</v>
      </c>
      <c r="D616" t="s">
        <v>3875</v>
      </c>
      <c r="F616" t="s">
        <v>502</v>
      </c>
      <c r="G616" s="126">
        <f>SUMIFS('Support - Transition'!F:F,'Support - Transition'!B:B,'Step 2'!A616,'Support - Transition'!C:C,'Step 2'!B616,'Support - Transition'!D:D,'Step 2'!C616,'Support - Transition'!E:E,"CIVIL")</f>
        <v>0</v>
      </c>
      <c r="H616" s="126">
        <f>SUMIFS('Support - Transition'!F:F,'Support - Transition'!B:B,'Step 2'!A616,'Support - Transition'!C:C,'Step 2'!B616,'Support - Transition'!D:D,'Step 2'!C616,'Support - Transition'!E:E,"FIRE")</f>
        <v>0</v>
      </c>
      <c r="I616" s="126">
        <f>IF(B616="0",SUMIFS('Support - Transition'!F:F,'Support - Transition'!J:J,'Step 2'!D616,'Support - Transition'!E:E,"STATE UNIT"),SUMIFS('Support - Transition'!F:F,'Support - Transition'!J:J,'Step 2'!D616))</f>
        <v>0.220917</v>
      </c>
      <c r="J616" s="126">
        <f>SUMIFS('Support - Unit Adjustments'!E:E,'Support - Unit Adjustments'!F:F,'Step 2'!D616)</f>
        <v>0</v>
      </c>
      <c r="K616" s="126">
        <f t="shared" si="175"/>
        <v>0.220917</v>
      </c>
      <c r="L616" s="174">
        <f>VLOOKUP(A616,'Step 1'!$A:$E,4,FALSE)</f>
        <v>99816</v>
      </c>
      <c r="M616" s="47">
        <f t="shared" si="176"/>
        <v>22051</v>
      </c>
      <c r="N616" s="177">
        <f>SUMIFS('Support - Transition'!G:G,'Support - Transition'!J:J,'Step 2'!D616,'Support - Transition'!E:E,"2009 WELFARE ALLOCATION FACTOR")</f>
        <v>0.233317</v>
      </c>
      <c r="O616" s="152">
        <f t="shared" si="181"/>
        <v>5145</v>
      </c>
      <c r="P616" s="126">
        <f>IF(E616="Y",0,SUMIFS('Support - Transition'!G:G,'Support - Transition'!J:J,'Step 2'!D616,'Support - Transition'!E:E,"2009 SCHOOL ALLOCATION FACTOR"))</f>
        <v>0</v>
      </c>
      <c r="Q616" s="126">
        <f>IF(E616="Y",VLOOKUP(D616,'Support - Unit Adjustments'!F:G,2,FALSE),0)</f>
        <v>0</v>
      </c>
      <c r="R616" s="155">
        <f t="shared" si="193"/>
        <v>0</v>
      </c>
      <c r="S616" s="47">
        <f t="shared" si="192"/>
        <v>0</v>
      </c>
      <c r="T616" s="151">
        <f t="shared" si="177"/>
        <v>16906</v>
      </c>
      <c r="U616" s="151">
        <f t="shared" si="178"/>
        <v>0</v>
      </c>
      <c r="V616" s="139">
        <f t="shared" si="179"/>
        <v>0</v>
      </c>
      <c r="W616" s="152">
        <f t="shared" si="182"/>
        <v>16906</v>
      </c>
      <c r="X616" s="127" t="str">
        <f t="shared" si="180"/>
        <v/>
      </c>
      <c r="Y616" s="207">
        <f t="shared" si="183"/>
        <v>16906</v>
      </c>
      <c r="Z616" s="139">
        <f t="shared" si="184"/>
        <v>16906</v>
      </c>
      <c r="AA616" s="139">
        <f t="shared" si="185"/>
        <v>0</v>
      </c>
      <c r="AC616" s="47">
        <f t="shared" si="186"/>
        <v>8453</v>
      </c>
      <c r="AD616" s="47">
        <f t="shared" si="187"/>
        <v>8453</v>
      </c>
      <c r="AE616" s="47">
        <f t="shared" si="188"/>
        <v>0</v>
      </c>
      <c r="AG616" s="47">
        <f t="shared" si="189"/>
        <v>8453</v>
      </c>
      <c r="AH616" s="47">
        <f t="shared" si="190"/>
        <v>8453</v>
      </c>
      <c r="AI616" s="208">
        <f t="shared" si="191"/>
        <v>0</v>
      </c>
    </row>
    <row r="617" spans="1:35">
      <c r="A617" t="s">
        <v>2109</v>
      </c>
      <c r="B617" t="s">
        <v>3142</v>
      </c>
      <c r="C617" t="s">
        <v>2188</v>
      </c>
      <c r="D617" t="s">
        <v>3876</v>
      </c>
      <c r="F617" t="s">
        <v>503</v>
      </c>
      <c r="G617" s="126">
        <f>SUMIFS('Support - Transition'!F:F,'Support - Transition'!B:B,'Step 2'!A617,'Support - Transition'!C:C,'Step 2'!B617,'Support - Transition'!D:D,'Step 2'!C617,'Support - Transition'!E:E,"CIVIL")</f>
        <v>9.1299999999999997E-4</v>
      </c>
      <c r="H617" s="126">
        <f>SUMIFS('Support - Transition'!F:F,'Support - Transition'!B:B,'Step 2'!A617,'Support - Transition'!C:C,'Step 2'!B617,'Support - Transition'!D:D,'Step 2'!C617,'Support - Transition'!E:E,"FIRE")</f>
        <v>9.77E-4</v>
      </c>
      <c r="I617" s="126">
        <f>IF(B617="0",SUMIFS('Support - Transition'!F:F,'Support - Transition'!J:J,'Step 2'!D617,'Support - Transition'!E:E,"STATE UNIT"),SUMIFS('Support - Transition'!F:F,'Support - Transition'!J:J,'Step 2'!D617))</f>
        <v>1.89E-3</v>
      </c>
      <c r="J617" s="126">
        <f>SUMIFS('Support - Unit Adjustments'!E:E,'Support - Unit Adjustments'!F:F,'Step 2'!D617)</f>
        <v>0</v>
      </c>
      <c r="K617" s="126">
        <f t="shared" si="175"/>
        <v>1.89E-3</v>
      </c>
      <c r="L617" s="174">
        <f>VLOOKUP(A617,'Step 1'!$A:$E,4,FALSE)</f>
        <v>99816</v>
      </c>
      <c r="M617" s="47">
        <f t="shared" si="176"/>
        <v>189</v>
      </c>
      <c r="N617" s="177">
        <f>SUMIFS('Support - Transition'!G:G,'Support - Transition'!J:J,'Step 2'!D617,'Support - Transition'!E:E,"2009 WELFARE ALLOCATION FACTOR")</f>
        <v>0</v>
      </c>
      <c r="O617" s="152">
        <f t="shared" si="181"/>
        <v>0</v>
      </c>
      <c r="P617" s="126">
        <f>IF(E617="Y",0,SUMIFS('Support - Transition'!G:G,'Support - Transition'!J:J,'Step 2'!D617,'Support - Transition'!E:E,"2009 SCHOOL ALLOCATION FACTOR"))</f>
        <v>0</v>
      </c>
      <c r="Q617" s="126">
        <f>IF(E617="Y",VLOOKUP(D617,'Support - Unit Adjustments'!F:G,2,FALSE),0)</f>
        <v>0</v>
      </c>
      <c r="R617" s="155">
        <f t="shared" si="193"/>
        <v>0</v>
      </c>
      <c r="S617" s="47">
        <f t="shared" si="192"/>
        <v>0</v>
      </c>
      <c r="T617" s="151">
        <f t="shared" si="177"/>
        <v>189</v>
      </c>
      <c r="U617" s="151">
        <f t="shared" si="178"/>
        <v>0</v>
      </c>
      <c r="V617" s="139">
        <f t="shared" si="179"/>
        <v>0</v>
      </c>
      <c r="W617" s="152">
        <f t="shared" si="182"/>
        <v>189</v>
      </c>
      <c r="X617" s="127" t="str">
        <f t="shared" si="180"/>
        <v/>
      </c>
      <c r="Y617" s="207">
        <f t="shared" si="183"/>
        <v>189</v>
      </c>
      <c r="Z617" s="139">
        <f t="shared" si="184"/>
        <v>91</v>
      </c>
      <c r="AA617" s="139">
        <f t="shared" si="185"/>
        <v>98</v>
      </c>
      <c r="AC617" s="47">
        <f t="shared" si="186"/>
        <v>95</v>
      </c>
      <c r="AD617" s="47">
        <f t="shared" si="187"/>
        <v>46</v>
      </c>
      <c r="AE617" s="47">
        <f t="shared" si="188"/>
        <v>49</v>
      </c>
      <c r="AG617" s="47">
        <f t="shared" si="189"/>
        <v>94</v>
      </c>
      <c r="AH617" s="47">
        <f t="shared" si="190"/>
        <v>45</v>
      </c>
      <c r="AI617" s="208">
        <f t="shared" si="191"/>
        <v>49</v>
      </c>
    </row>
    <row r="618" spans="1:35">
      <c r="A618" t="s">
        <v>2109</v>
      </c>
      <c r="B618" t="s">
        <v>3142</v>
      </c>
      <c r="C618" t="s">
        <v>2189</v>
      </c>
      <c r="D618" t="s">
        <v>3877</v>
      </c>
      <c r="F618" t="s">
        <v>504</v>
      </c>
      <c r="G618" s="126">
        <f>SUMIFS('Support - Transition'!F:F,'Support - Transition'!B:B,'Step 2'!A618,'Support - Transition'!C:C,'Step 2'!B618,'Support - Transition'!D:D,'Step 2'!C618,'Support - Transition'!E:E,"CIVIL")</f>
        <v>8.2200000000000003E-4</v>
      </c>
      <c r="H618" s="126">
        <f>SUMIFS('Support - Transition'!F:F,'Support - Transition'!B:B,'Step 2'!A618,'Support - Transition'!C:C,'Step 2'!B618,'Support - Transition'!D:D,'Step 2'!C618,'Support - Transition'!E:E,"FIRE")</f>
        <v>3.4699999999999998E-4</v>
      </c>
      <c r="I618" s="126">
        <f>IF(B618="0",SUMIFS('Support - Transition'!F:F,'Support - Transition'!J:J,'Step 2'!D618,'Support - Transition'!E:E,"STATE UNIT"),SUMIFS('Support - Transition'!F:F,'Support - Transition'!J:J,'Step 2'!D618))</f>
        <v>1.1689999999999999E-3</v>
      </c>
      <c r="J618" s="126">
        <f>SUMIFS('Support - Unit Adjustments'!E:E,'Support - Unit Adjustments'!F:F,'Step 2'!D618)</f>
        <v>0</v>
      </c>
      <c r="K618" s="126">
        <f t="shared" si="175"/>
        <v>1.1689999999999999E-3</v>
      </c>
      <c r="L618" s="174">
        <f>VLOOKUP(A618,'Step 1'!$A:$E,4,FALSE)</f>
        <v>99816</v>
      </c>
      <c r="M618" s="47">
        <f t="shared" si="176"/>
        <v>117</v>
      </c>
      <c r="N618" s="177">
        <f>SUMIFS('Support - Transition'!G:G,'Support - Transition'!J:J,'Step 2'!D618,'Support - Transition'!E:E,"2009 WELFARE ALLOCATION FACTOR")</f>
        <v>0</v>
      </c>
      <c r="O618" s="152">
        <f t="shared" si="181"/>
        <v>0</v>
      </c>
      <c r="P618" s="126">
        <f>IF(E618="Y",0,SUMIFS('Support - Transition'!G:G,'Support - Transition'!J:J,'Step 2'!D618,'Support - Transition'!E:E,"2009 SCHOOL ALLOCATION FACTOR"))</f>
        <v>0</v>
      </c>
      <c r="Q618" s="126">
        <f>IF(E618="Y",VLOOKUP(D618,'Support - Unit Adjustments'!F:G,2,FALSE),0)</f>
        <v>0</v>
      </c>
      <c r="R618" s="155">
        <f t="shared" si="193"/>
        <v>0</v>
      </c>
      <c r="S618" s="47">
        <f t="shared" si="192"/>
        <v>0</v>
      </c>
      <c r="T618" s="151">
        <f t="shared" si="177"/>
        <v>117</v>
      </c>
      <c r="U618" s="151">
        <f t="shared" si="178"/>
        <v>0</v>
      </c>
      <c r="V618" s="139">
        <f t="shared" si="179"/>
        <v>0</v>
      </c>
      <c r="W618" s="152">
        <f t="shared" si="182"/>
        <v>117</v>
      </c>
      <c r="X618" s="127" t="str">
        <f t="shared" si="180"/>
        <v/>
      </c>
      <c r="Y618" s="207">
        <f t="shared" si="183"/>
        <v>117</v>
      </c>
      <c r="Z618" s="139">
        <f t="shared" si="184"/>
        <v>82</v>
      </c>
      <c r="AA618" s="139">
        <f t="shared" si="185"/>
        <v>35</v>
      </c>
      <c r="AC618" s="47">
        <f t="shared" si="186"/>
        <v>59</v>
      </c>
      <c r="AD618" s="47">
        <f t="shared" si="187"/>
        <v>41</v>
      </c>
      <c r="AE618" s="47">
        <f t="shared" si="188"/>
        <v>18</v>
      </c>
      <c r="AG618" s="47">
        <f t="shared" si="189"/>
        <v>58</v>
      </c>
      <c r="AH618" s="47">
        <f t="shared" si="190"/>
        <v>41</v>
      </c>
      <c r="AI618" s="208">
        <f t="shared" si="191"/>
        <v>17</v>
      </c>
    </row>
    <row r="619" spans="1:35">
      <c r="A619" t="s">
        <v>2109</v>
      </c>
      <c r="B619" t="s">
        <v>3142</v>
      </c>
      <c r="C619" t="s">
        <v>2190</v>
      </c>
      <c r="D619" t="s">
        <v>3878</v>
      </c>
      <c r="F619" t="s">
        <v>505</v>
      </c>
      <c r="G619" s="126">
        <f>SUMIFS('Support - Transition'!F:F,'Support - Transition'!B:B,'Step 2'!A619,'Support - Transition'!C:C,'Step 2'!B619,'Support - Transition'!D:D,'Step 2'!C619,'Support - Transition'!E:E,"CIVIL")</f>
        <v>4.2900000000000002E-4</v>
      </c>
      <c r="H619" s="126">
        <f>SUMIFS('Support - Transition'!F:F,'Support - Transition'!B:B,'Step 2'!A619,'Support - Transition'!C:C,'Step 2'!B619,'Support - Transition'!D:D,'Step 2'!C619,'Support - Transition'!E:E,"FIRE")</f>
        <v>3.8400000000000001E-4</v>
      </c>
      <c r="I619" s="126">
        <f>IF(B619="0",SUMIFS('Support - Transition'!F:F,'Support - Transition'!J:J,'Step 2'!D619,'Support - Transition'!E:E,"STATE UNIT"),SUMIFS('Support - Transition'!F:F,'Support - Transition'!J:J,'Step 2'!D619))</f>
        <v>8.1300000000000003E-4</v>
      </c>
      <c r="J619" s="126">
        <f>SUMIFS('Support - Unit Adjustments'!E:E,'Support - Unit Adjustments'!F:F,'Step 2'!D619)</f>
        <v>0</v>
      </c>
      <c r="K619" s="126">
        <f t="shared" si="175"/>
        <v>8.1300000000000003E-4</v>
      </c>
      <c r="L619" s="174">
        <f>VLOOKUP(A619,'Step 1'!$A:$E,4,FALSE)</f>
        <v>99816</v>
      </c>
      <c r="M619" s="47">
        <f t="shared" si="176"/>
        <v>81</v>
      </c>
      <c r="N619" s="177">
        <f>SUMIFS('Support - Transition'!G:G,'Support - Transition'!J:J,'Step 2'!D619,'Support - Transition'!E:E,"2009 WELFARE ALLOCATION FACTOR")</f>
        <v>0</v>
      </c>
      <c r="O619" s="152">
        <f t="shared" si="181"/>
        <v>0</v>
      </c>
      <c r="P619" s="126">
        <f>IF(E619="Y",0,SUMIFS('Support - Transition'!G:G,'Support - Transition'!J:J,'Step 2'!D619,'Support - Transition'!E:E,"2009 SCHOOL ALLOCATION FACTOR"))</f>
        <v>0</v>
      </c>
      <c r="Q619" s="126">
        <f>IF(E619="Y",VLOOKUP(D619,'Support - Unit Adjustments'!F:G,2,FALSE),0)</f>
        <v>0</v>
      </c>
      <c r="R619" s="155">
        <f t="shared" si="193"/>
        <v>0</v>
      </c>
      <c r="S619" s="47">
        <f t="shared" si="192"/>
        <v>0</v>
      </c>
      <c r="T619" s="151">
        <f t="shared" si="177"/>
        <v>81</v>
      </c>
      <c r="U619" s="151">
        <f t="shared" si="178"/>
        <v>0</v>
      </c>
      <c r="V619" s="139">
        <f t="shared" si="179"/>
        <v>0</v>
      </c>
      <c r="W619" s="152">
        <f t="shared" si="182"/>
        <v>81</v>
      </c>
      <c r="X619" s="127" t="str">
        <f t="shared" si="180"/>
        <v/>
      </c>
      <c r="Y619" s="207">
        <f t="shared" si="183"/>
        <v>81</v>
      </c>
      <c r="Z619" s="139">
        <f t="shared" si="184"/>
        <v>43</v>
      </c>
      <c r="AA619" s="139">
        <f t="shared" si="185"/>
        <v>38</v>
      </c>
      <c r="AC619" s="47">
        <f t="shared" si="186"/>
        <v>41</v>
      </c>
      <c r="AD619" s="47">
        <f t="shared" si="187"/>
        <v>22</v>
      </c>
      <c r="AE619" s="47">
        <f t="shared" si="188"/>
        <v>19</v>
      </c>
      <c r="AG619" s="47">
        <f t="shared" si="189"/>
        <v>40</v>
      </c>
      <c r="AH619" s="47">
        <f t="shared" si="190"/>
        <v>21</v>
      </c>
      <c r="AI619" s="208">
        <f t="shared" si="191"/>
        <v>19</v>
      </c>
    </row>
    <row r="620" spans="1:35">
      <c r="A620" t="s">
        <v>2109</v>
      </c>
      <c r="B620" t="s">
        <v>3142</v>
      </c>
      <c r="C620" t="s">
        <v>2191</v>
      </c>
      <c r="D620" t="s">
        <v>3879</v>
      </c>
      <c r="F620" t="s">
        <v>49</v>
      </c>
      <c r="G620" s="126">
        <f>SUMIFS('Support - Transition'!F:F,'Support - Transition'!B:B,'Step 2'!A620,'Support - Transition'!C:C,'Step 2'!B620,'Support - Transition'!D:D,'Step 2'!C620,'Support - Transition'!E:E,"CIVIL")</f>
        <v>9.1299999999999997E-4</v>
      </c>
      <c r="H620" s="126">
        <f>SUMIFS('Support - Transition'!F:F,'Support - Transition'!B:B,'Step 2'!A620,'Support - Transition'!C:C,'Step 2'!B620,'Support - Transition'!D:D,'Step 2'!C620,'Support - Transition'!E:E,"FIRE")</f>
        <v>7.2999999999999996E-4</v>
      </c>
      <c r="I620" s="126">
        <f>IF(B620="0",SUMIFS('Support - Transition'!F:F,'Support - Transition'!J:J,'Step 2'!D620,'Support - Transition'!E:E,"STATE UNIT"),SUMIFS('Support - Transition'!F:F,'Support - Transition'!J:J,'Step 2'!D620))</f>
        <v>1.6429999999999999E-3</v>
      </c>
      <c r="J620" s="126">
        <f>SUMIFS('Support - Unit Adjustments'!E:E,'Support - Unit Adjustments'!F:F,'Step 2'!D620)</f>
        <v>0</v>
      </c>
      <c r="K620" s="126">
        <f t="shared" si="175"/>
        <v>1.6429999999999999E-3</v>
      </c>
      <c r="L620" s="174">
        <f>VLOOKUP(A620,'Step 1'!$A:$E,4,FALSE)</f>
        <v>99816</v>
      </c>
      <c r="M620" s="47">
        <f t="shared" si="176"/>
        <v>164</v>
      </c>
      <c r="N620" s="177">
        <f>SUMIFS('Support - Transition'!G:G,'Support - Transition'!J:J,'Step 2'!D620,'Support - Transition'!E:E,"2009 WELFARE ALLOCATION FACTOR")</f>
        <v>0</v>
      </c>
      <c r="O620" s="152">
        <f t="shared" si="181"/>
        <v>0</v>
      </c>
      <c r="P620" s="126">
        <f>IF(E620="Y",0,SUMIFS('Support - Transition'!G:G,'Support - Transition'!J:J,'Step 2'!D620,'Support - Transition'!E:E,"2009 SCHOOL ALLOCATION FACTOR"))</f>
        <v>0</v>
      </c>
      <c r="Q620" s="126">
        <f>IF(E620="Y",VLOOKUP(D620,'Support - Unit Adjustments'!F:G,2,FALSE),0)</f>
        <v>0</v>
      </c>
      <c r="R620" s="155">
        <f t="shared" si="193"/>
        <v>0</v>
      </c>
      <c r="S620" s="47">
        <f t="shared" si="192"/>
        <v>0</v>
      </c>
      <c r="T620" s="151">
        <f t="shared" si="177"/>
        <v>164</v>
      </c>
      <c r="U620" s="151">
        <f t="shared" si="178"/>
        <v>0</v>
      </c>
      <c r="V620" s="139">
        <f t="shared" si="179"/>
        <v>0</v>
      </c>
      <c r="W620" s="152">
        <f t="shared" si="182"/>
        <v>164</v>
      </c>
      <c r="X620" s="127" t="str">
        <f t="shared" si="180"/>
        <v/>
      </c>
      <c r="Y620" s="207">
        <f t="shared" si="183"/>
        <v>164</v>
      </c>
      <c r="Z620" s="139">
        <f t="shared" si="184"/>
        <v>91</v>
      </c>
      <c r="AA620" s="139">
        <f t="shared" si="185"/>
        <v>73</v>
      </c>
      <c r="AC620" s="47">
        <f t="shared" si="186"/>
        <v>82</v>
      </c>
      <c r="AD620" s="47">
        <f t="shared" si="187"/>
        <v>46</v>
      </c>
      <c r="AE620" s="47">
        <f t="shared" si="188"/>
        <v>37</v>
      </c>
      <c r="AG620" s="47">
        <f t="shared" si="189"/>
        <v>82</v>
      </c>
      <c r="AH620" s="47">
        <f t="shared" si="190"/>
        <v>45</v>
      </c>
      <c r="AI620" s="208">
        <f t="shared" si="191"/>
        <v>36</v>
      </c>
    </row>
    <row r="621" spans="1:35">
      <c r="A621" t="s">
        <v>2109</v>
      </c>
      <c r="B621" t="s">
        <v>3142</v>
      </c>
      <c r="C621" t="s">
        <v>2192</v>
      </c>
      <c r="D621" t="s">
        <v>3880</v>
      </c>
      <c r="F621" t="s">
        <v>335</v>
      </c>
      <c r="G621" s="126">
        <f>SUMIFS('Support - Transition'!F:F,'Support - Transition'!B:B,'Step 2'!A621,'Support - Transition'!C:C,'Step 2'!B621,'Support - Transition'!D:D,'Step 2'!C621,'Support - Transition'!E:E,"CIVIL")</f>
        <v>6.3000000000000003E-4</v>
      </c>
      <c r="H621" s="126">
        <f>SUMIFS('Support - Transition'!F:F,'Support - Transition'!B:B,'Step 2'!A621,'Support - Transition'!C:C,'Step 2'!B621,'Support - Transition'!D:D,'Step 2'!C621,'Support - Transition'!E:E,"FIRE")</f>
        <v>4.6E-5</v>
      </c>
      <c r="I621" s="126">
        <f>IF(B621="0",SUMIFS('Support - Transition'!F:F,'Support - Transition'!J:J,'Step 2'!D621,'Support - Transition'!E:E,"STATE UNIT"),SUMIFS('Support - Transition'!F:F,'Support - Transition'!J:J,'Step 2'!D621))</f>
        <v>6.7600000000000006E-4</v>
      </c>
      <c r="J621" s="126">
        <f>SUMIFS('Support - Unit Adjustments'!E:E,'Support - Unit Adjustments'!F:F,'Step 2'!D621)</f>
        <v>0</v>
      </c>
      <c r="K621" s="126">
        <f t="shared" si="175"/>
        <v>6.7600000000000006E-4</v>
      </c>
      <c r="L621" s="174">
        <f>VLOOKUP(A621,'Step 1'!$A:$E,4,FALSE)</f>
        <v>99816</v>
      </c>
      <c r="M621" s="47">
        <f t="shared" si="176"/>
        <v>67</v>
      </c>
      <c r="N621" s="177">
        <f>SUMIFS('Support - Transition'!G:G,'Support - Transition'!J:J,'Step 2'!D621,'Support - Transition'!E:E,"2009 WELFARE ALLOCATION FACTOR")</f>
        <v>0</v>
      </c>
      <c r="O621" s="152">
        <f t="shared" si="181"/>
        <v>0</v>
      </c>
      <c r="P621" s="126">
        <f>IF(E621="Y",0,SUMIFS('Support - Transition'!G:G,'Support - Transition'!J:J,'Step 2'!D621,'Support - Transition'!E:E,"2009 SCHOOL ALLOCATION FACTOR"))</f>
        <v>0</v>
      </c>
      <c r="Q621" s="126">
        <f>IF(E621="Y",VLOOKUP(D621,'Support - Unit Adjustments'!F:G,2,FALSE),0)</f>
        <v>0</v>
      </c>
      <c r="R621" s="155">
        <f t="shared" si="193"/>
        <v>0</v>
      </c>
      <c r="S621" s="47">
        <f t="shared" si="192"/>
        <v>0</v>
      </c>
      <c r="T621" s="151">
        <f t="shared" si="177"/>
        <v>67</v>
      </c>
      <c r="U621" s="151">
        <f t="shared" si="178"/>
        <v>0</v>
      </c>
      <c r="V621" s="139">
        <f t="shared" si="179"/>
        <v>0</v>
      </c>
      <c r="W621" s="152">
        <f t="shared" si="182"/>
        <v>67</v>
      </c>
      <c r="X621" s="127" t="str">
        <f t="shared" si="180"/>
        <v/>
      </c>
      <c r="Y621" s="207">
        <f t="shared" si="183"/>
        <v>67</v>
      </c>
      <c r="Z621" s="139">
        <f t="shared" si="184"/>
        <v>62</v>
      </c>
      <c r="AA621" s="139">
        <f t="shared" si="185"/>
        <v>5</v>
      </c>
      <c r="AC621" s="47">
        <f t="shared" si="186"/>
        <v>34</v>
      </c>
      <c r="AD621" s="47">
        <f t="shared" si="187"/>
        <v>31</v>
      </c>
      <c r="AE621" s="47">
        <f t="shared" si="188"/>
        <v>3</v>
      </c>
      <c r="AG621" s="47">
        <f t="shared" si="189"/>
        <v>33</v>
      </c>
      <c r="AH621" s="47">
        <f t="shared" si="190"/>
        <v>31</v>
      </c>
      <c r="AI621" s="208">
        <f t="shared" si="191"/>
        <v>2</v>
      </c>
    </row>
    <row r="622" spans="1:35">
      <c r="A622" t="s">
        <v>2109</v>
      </c>
      <c r="B622" t="s">
        <v>3142</v>
      </c>
      <c r="C622" t="s">
        <v>2193</v>
      </c>
      <c r="D622" t="s">
        <v>3881</v>
      </c>
      <c r="F622" t="s">
        <v>506</v>
      </c>
      <c r="G622" s="126">
        <f>SUMIFS('Support - Transition'!F:F,'Support - Transition'!B:B,'Step 2'!A622,'Support - Transition'!C:C,'Step 2'!B622,'Support - Transition'!D:D,'Step 2'!C622,'Support - Transition'!E:E,"CIVIL")</f>
        <v>1.5709999999999999E-3</v>
      </c>
      <c r="H622" s="126">
        <f>SUMIFS('Support - Transition'!F:F,'Support - Transition'!B:B,'Step 2'!A622,'Support - Transition'!C:C,'Step 2'!B622,'Support - Transition'!D:D,'Step 2'!C622,'Support - Transition'!E:E,"FIRE")</f>
        <v>2.6480000000000002E-3</v>
      </c>
      <c r="I622" s="126">
        <f>IF(B622="0",SUMIFS('Support - Transition'!F:F,'Support - Transition'!J:J,'Step 2'!D622,'Support - Transition'!E:E,"STATE UNIT"),SUMIFS('Support - Transition'!F:F,'Support - Transition'!J:J,'Step 2'!D622))</f>
        <v>4.2190000000000005E-3</v>
      </c>
      <c r="J622" s="126">
        <f>SUMIFS('Support - Unit Adjustments'!E:E,'Support - Unit Adjustments'!F:F,'Step 2'!D622)</f>
        <v>0</v>
      </c>
      <c r="K622" s="126">
        <f t="shared" si="175"/>
        <v>4.2190000000000005E-3</v>
      </c>
      <c r="L622" s="174">
        <f>VLOOKUP(A622,'Step 1'!$A:$E,4,FALSE)</f>
        <v>99816</v>
      </c>
      <c r="M622" s="47">
        <f t="shared" si="176"/>
        <v>421</v>
      </c>
      <c r="N622" s="177">
        <f>SUMIFS('Support - Transition'!G:G,'Support - Transition'!J:J,'Step 2'!D622,'Support - Transition'!E:E,"2009 WELFARE ALLOCATION FACTOR")</f>
        <v>0</v>
      </c>
      <c r="O622" s="152">
        <f t="shared" si="181"/>
        <v>0</v>
      </c>
      <c r="P622" s="126">
        <f>IF(E622="Y",0,SUMIFS('Support - Transition'!G:G,'Support - Transition'!J:J,'Step 2'!D622,'Support - Transition'!E:E,"2009 SCHOOL ALLOCATION FACTOR"))</f>
        <v>0</v>
      </c>
      <c r="Q622" s="126">
        <f>IF(E622="Y",VLOOKUP(D622,'Support - Unit Adjustments'!F:G,2,FALSE),0)</f>
        <v>0</v>
      </c>
      <c r="R622" s="155">
        <f t="shared" si="193"/>
        <v>0</v>
      </c>
      <c r="S622" s="47">
        <f t="shared" si="192"/>
        <v>0</v>
      </c>
      <c r="T622" s="151">
        <f t="shared" si="177"/>
        <v>421</v>
      </c>
      <c r="U622" s="151">
        <f t="shared" si="178"/>
        <v>0</v>
      </c>
      <c r="V622" s="139">
        <f t="shared" si="179"/>
        <v>0</v>
      </c>
      <c r="W622" s="152">
        <f t="shared" si="182"/>
        <v>421</v>
      </c>
      <c r="X622" s="127" t="str">
        <f t="shared" si="180"/>
        <v/>
      </c>
      <c r="Y622" s="207">
        <f t="shared" si="183"/>
        <v>421</v>
      </c>
      <c r="Z622" s="139">
        <f t="shared" si="184"/>
        <v>157</v>
      </c>
      <c r="AA622" s="139">
        <f t="shared" si="185"/>
        <v>264</v>
      </c>
      <c r="AC622" s="47">
        <f t="shared" si="186"/>
        <v>211</v>
      </c>
      <c r="AD622" s="47">
        <f t="shared" si="187"/>
        <v>79</v>
      </c>
      <c r="AE622" s="47">
        <f t="shared" si="188"/>
        <v>132</v>
      </c>
      <c r="AG622" s="47">
        <f t="shared" si="189"/>
        <v>210</v>
      </c>
      <c r="AH622" s="47">
        <f t="shared" si="190"/>
        <v>78</v>
      </c>
      <c r="AI622" s="208">
        <f t="shared" si="191"/>
        <v>132</v>
      </c>
    </row>
    <row r="623" spans="1:35">
      <c r="A623" t="s">
        <v>2109</v>
      </c>
      <c r="B623" t="s">
        <v>3142</v>
      </c>
      <c r="C623" t="s">
        <v>2194</v>
      </c>
      <c r="D623" t="s">
        <v>3882</v>
      </c>
      <c r="F623" t="s">
        <v>114</v>
      </c>
      <c r="G623" s="126">
        <f>SUMIFS('Support - Transition'!F:F,'Support - Transition'!B:B,'Step 2'!A623,'Support - Transition'!C:C,'Step 2'!B623,'Support - Transition'!D:D,'Step 2'!C623,'Support - Transition'!E:E,"CIVIL")</f>
        <v>1.3879999999999999E-3</v>
      </c>
      <c r="H623" s="126">
        <f>SUMIFS('Support - Transition'!F:F,'Support - Transition'!B:B,'Step 2'!A623,'Support - Transition'!C:C,'Step 2'!B623,'Support - Transition'!D:D,'Step 2'!C623,'Support - Transition'!E:E,"FIRE")</f>
        <v>1.1869999999999999E-3</v>
      </c>
      <c r="I623" s="126">
        <f>IF(B623="0",SUMIFS('Support - Transition'!F:F,'Support - Transition'!J:J,'Step 2'!D623,'Support - Transition'!E:E,"STATE UNIT"),SUMIFS('Support - Transition'!F:F,'Support - Transition'!J:J,'Step 2'!D623))</f>
        <v>2.575E-3</v>
      </c>
      <c r="J623" s="126">
        <f>SUMIFS('Support - Unit Adjustments'!E:E,'Support - Unit Adjustments'!F:F,'Step 2'!D623)</f>
        <v>0</v>
      </c>
      <c r="K623" s="126">
        <f t="shared" si="175"/>
        <v>2.575E-3</v>
      </c>
      <c r="L623" s="174">
        <f>VLOOKUP(A623,'Step 1'!$A:$E,4,FALSE)</f>
        <v>99816</v>
      </c>
      <c r="M623" s="47">
        <f t="shared" si="176"/>
        <v>257</v>
      </c>
      <c r="N623" s="177">
        <f>SUMIFS('Support - Transition'!G:G,'Support - Transition'!J:J,'Step 2'!D623,'Support - Transition'!E:E,"2009 WELFARE ALLOCATION FACTOR")</f>
        <v>0</v>
      </c>
      <c r="O623" s="152">
        <f t="shared" si="181"/>
        <v>0</v>
      </c>
      <c r="P623" s="126">
        <f>IF(E623="Y",0,SUMIFS('Support - Transition'!G:G,'Support - Transition'!J:J,'Step 2'!D623,'Support - Transition'!E:E,"2009 SCHOOL ALLOCATION FACTOR"))</f>
        <v>0</v>
      </c>
      <c r="Q623" s="126">
        <f>IF(E623="Y",VLOOKUP(D623,'Support - Unit Adjustments'!F:G,2,FALSE),0)</f>
        <v>0</v>
      </c>
      <c r="R623" s="155">
        <f t="shared" si="193"/>
        <v>0</v>
      </c>
      <c r="S623" s="47">
        <f t="shared" si="192"/>
        <v>0</v>
      </c>
      <c r="T623" s="151">
        <f t="shared" si="177"/>
        <v>257</v>
      </c>
      <c r="U623" s="151">
        <f t="shared" si="178"/>
        <v>0</v>
      </c>
      <c r="V623" s="139">
        <f t="shared" si="179"/>
        <v>0</v>
      </c>
      <c r="W623" s="152">
        <f t="shared" si="182"/>
        <v>257</v>
      </c>
      <c r="X623" s="127" t="str">
        <f t="shared" si="180"/>
        <v/>
      </c>
      <c r="Y623" s="207">
        <f t="shared" si="183"/>
        <v>257</v>
      </c>
      <c r="Z623" s="139">
        <f t="shared" si="184"/>
        <v>139</v>
      </c>
      <c r="AA623" s="139">
        <f t="shared" si="185"/>
        <v>118</v>
      </c>
      <c r="AC623" s="47">
        <f t="shared" si="186"/>
        <v>129</v>
      </c>
      <c r="AD623" s="47">
        <f t="shared" si="187"/>
        <v>70</v>
      </c>
      <c r="AE623" s="47">
        <f t="shared" si="188"/>
        <v>59</v>
      </c>
      <c r="AG623" s="47">
        <f t="shared" si="189"/>
        <v>128</v>
      </c>
      <c r="AH623" s="47">
        <f t="shared" si="190"/>
        <v>69</v>
      </c>
      <c r="AI623" s="208">
        <f t="shared" si="191"/>
        <v>59</v>
      </c>
    </row>
    <row r="624" spans="1:35">
      <c r="A624" t="s">
        <v>2109</v>
      </c>
      <c r="B624" t="s">
        <v>3142</v>
      </c>
      <c r="C624" t="s">
        <v>2195</v>
      </c>
      <c r="D624" t="s">
        <v>3883</v>
      </c>
      <c r="F624" t="s">
        <v>507</v>
      </c>
      <c r="G624" s="126">
        <f>SUMIFS('Support - Transition'!F:F,'Support - Transition'!B:B,'Step 2'!A624,'Support - Transition'!C:C,'Step 2'!B624,'Support - Transition'!D:D,'Step 2'!C624,'Support - Transition'!E:E,"CIVIL")</f>
        <v>8.2200000000000003E-4</v>
      </c>
      <c r="H624" s="126">
        <f>SUMIFS('Support - Transition'!F:F,'Support - Transition'!B:B,'Step 2'!A624,'Support - Transition'!C:C,'Step 2'!B624,'Support - Transition'!D:D,'Step 2'!C624,'Support - Transition'!E:E,"FIRE")</f>
        <v>3.2899999999999997E-4</v>
      </c>
      <c r="I624" s="126">
        <f>IF(B624="0",SUMIFS('Support - Transition'!F:F,'Support - Transition'!J:J,'Step 2'!D624,'Support - Transition'!E:E,"STATE UNIT"),SUMIFS('Support - Transition'!F:F,'Support - Transition'!J:J,'Step 2'!D624))</f>
        <v>1.1510000000000001E-3</v>
      </c>
      <c r="J624" s="126">
        <f>SUMIFS('Support - Unit Adjustments'!E:E,'Support - Unit Adjustments'!F:F,'Step 2'!D624)</f>
        <v>0</v>
      </c>
      <c r="K624" s="126">
        <f t="shared" si="175"/>
        <v>1.1510000000000001E-3</v>
      </c>
      <c r="L624" s="174">
        <f>VLOOKUP(A624,'Step 1'!$A:$E,4,FALSE)</f>
        <v>99816</v>
      </c>
      <c r="M624" s="47">
        <f t="shared" si="176"/>
        <v>115</v>
      </c>
      <c r="N624" s="177">
        <f>SUMIFS('Support - Transition'!G:G,'Support - Transition'!J:J,'Step 2'!D624,'Support - Transition'!E:E,"2009 WELFARE ALLOCATION FACTOR")</f>
        <v>0</v>
      </c>
      <c r="O624" s="152">
        <f t="shared" si="181"/>
        <v>0</v>
      </c>
      <c r="P624" s="126">
        <f>IF(E624="Y",0,SUMIFS('Support - Transition'!G:G,'Support - Transition'!J:J,'Step 2'!D624,'Support - Transition'!E:E,"2009 SCHOOL ALLOCATION FACTOR"))</f>
        <v>0</v>
      </c>
      <c r="Q624" s="126">
        <f>IF(E624="Y",VLOOKUP(D624,'Support - Unit Adjustments'!F:G,2,FALSE),0)</f>
        <v>0</v>
      </c>
      <c r="R624" s="155">
        <f t="shared" si="193"/>
        <v>0</v>
      </c>
      <c r="S624" s="47">
        <f t="shared" si="192"/>
        <v>0</v>
      </c>
      <c r="T624" s="151">
        <f t="shared" si="177"/>
        <v>115</v>
      </c>
      <c r="U624" s="151">
        <f t="shared" si="178"/>
        <v>0</v>
      </c>
      <c r="V624" s="139">
        <f t="shared" si="179"/>
        <v>0</v>
      </c>
      <c r="W624" s="152">
        <f t="shared" si="182"/>
        <v>115</v>
      </c>
      <c r="X624" s="127" t="str">
        <f t="shared" si="180"/>
        <v/>
      </c>
      <c r="Y624" s="207">
        <f t="shared" si="183"/>
        <v>115</v>
      </c>
      <c r="Z624" s="139">
        <f t="shared" si="184"/>
        <v>82</v>
      </c>
      <c r="AA624" s="139">
        <f t="shared" si="185"/>
        <v>33</v>
      </c>
      <c r="AC624" s="47">
        <f t="shared" si="186"/>
        <v>58</v>
      </c>
      <c r="AD624" s="47">
        <f t="shared" si="187"/>
        <v>41</v>
      </c>
      <c r="AE624" s="47">
        <f t="shared" si="188"/>
        <v>17</v>
      </c>
      <c r="AG624" s="47">
        <f t="shared" si="189"/>
        <v>57</v>
      </c>
      <c r="AH624" s="47">
        <f t="shared" si="190"/>
        <v>41</v>
      </c>
      <c r="AI624" s="208">
        <f t="shared" si="191"/>
        <v>16</v>
      </c>
    </row>
    <row r="625" spans="1:35">
      <c r="A625" t="s">
        <v>2109</v>
      </c>
      <c r="B625" t="s">
        <v>3142</v>
      </c>
      <c r="C625" t="s">
        <v>2196</v>
      </c>
      <c r="D625" t="s">
        <v>3884</v>
      </c>
      <c r="F625" t="s">
        <v>378</v>
      </c>
      <c r="G625" s="126">
        <f>SUMIFS('Support - Transition'!F:F,'Support - Transition'!B:B,'Step 2'!A625,'Support - Transition'!C:C,'Step 2'!B625,'Support - Transition'!D:D,'Step 2'!C625,'Support - Transition'!E:E,"CIVIL")</f>
        <v>8.4189999999999994E-3</v>
      </c>
      <c r="H625" s="126">
        <f>SUMIFS('Support - Transition'!F:F,'Support - Transition'!B:B,'Step 2'!A625,'Support - Transition'!C:C,'Step 2'!B625,'Support - Transition'!D:D,'Step 2'!C625,'Support - Transition'!E:E,"FIRE")</f>
        <v>3.4420000000000002E-3</v>
      </c>
      <c r="I625" s="126">
        <f>IF(B625="0",SUMIFS('Support - Transition'!F:F,'Support - Transition'!J:J,'Step 2'!D625,'Support - Transition'!E:E,"STATE UNIT"),SUMIFS('Support - Transition'!F:F,'Support - Transition'!J:J,'Step 2'!D625))</f>
        <v>1.1861E-2</v>
      </c>
      <c r="J625" s="126">
        <f>SUMIFS('Support - Unit Adjustments'!E:E,'Support - Unit Adjustments'!F:F,'Step 2'!D625)</f>
        <v>0</v>
      </c>
      <c r="K625" s="126">
        <f t="shared" si="175"/>
        <v>1.1861E-2</v>
      </c>
      <c r="L625" s="174">
        <f>VLOOKUP(A625,'Step 1'!$A:$E,4,FALSE)</f>
        <v>99816</v>
      </c>
      <c r="M625" s="47">
        <f t="shared" si="176"/>
        <v>1184</v>
      </c>
      <c r="N625" s="177">
        <f>SUMIFS('Support - Transition'!G:G,'Support - Transition'!J:J,'Step 2'!D625,'Support - Transition'!E:E,"2009 WELFARE ALLOCATION FACTOR")</f>
        <v>0</v>
      </c>
      <c r="O625" s="152">
        <f t="shared" si="181"/>
        <v>0</v>
      </c>
      <c r="P625" s="126">
        <f>IF(E625="Y",0,SUMIFS('Support - Transition'!G:G,'Support - Transition'!J:J,'Step 2'!D625,'Support - Transition'!E:E,"2009 SCHOOL ALLOCATION FACTOR"))</f>
        <v>0</v>
      </c>
      <c r="Q625" s="126">
        <f>IF(E625="Y",VLOOKUP(D625,'Support - Unit Adjustments'!F:G,2,FALSE),0)</f>
        <v>0</v>
      </c>
      <c r="R625" s="155">
        <f t="shared" si="193"/>
        <v>0</v>
      </c>
      <c r="S625" s="47">
        <f t="shared" si="192"/>
        <v>0</v>
      </c>
      <c r="T625" s="151">
        <f t="shared" si="177"/>
        <v>1184</v>
      </c>
      <c r="U625" s="151">
        <f t="shared" si="178"/>
        <v>0</v>
      </c>
      <c r="V625" s="139">
        <f t="shared" si="179"/>
        <v>0</v>
      </c>
      <c r="W625" s="152">
        <f t="shared" si="182"/>
        <v>1184</v>
      </c>
      <c r="X625" s="127" t="str">
        <f t="shared" si="180"/>
        <v/>
      </c>
      <c r="Y625" s="207">
        <f t="shared" si="183"/>
        <v>1184</v>
      </c>
      <c r="Z625" s="139">
        <f t="shared" si="184"/>
        <v>840</v>
      </c>
      <c r="AA625" s="139">
        <f t="shared" si="185"/>
        <v>344</v>
      </c>
      <c r="AC625" s="47">
        <f t="shared" si="186"/>
        <v>592</v>
      </c>
      <c r="AD625" s="47">
        <f t="shared" si="187"/>
        <v>420</v>
      </c>
      <c r="AE625" s="47">
        <f t="shared" si="188"/>
        <v>172</v>
      </c>
      <c r="AG625" s="47">
        <f t="shared" si="189"/>
        <v>592</v>
      </c>
      <c r="AH625" s="47">
        <f t="shared" si="190"/>
        <v>420</v>
      </c>
      <c r="AI625" s="208">
        <f t="shared" si="191"/>
        <v>172</v>
      </c>
    </row>
    <row r="626" spans="1:35">
      <c r="A626" t="s">
        <v>2109</v>
      </c>
      <c r="B626" t="s">
        <v>3142</v>
      </c>
      <c r="C626" t="s">
        <v>2197</v>
      </c>
      <c r="D626" t="s">
        <v>3885</v>
      </c>
      <c r="F626" t="s">
        <v>169</v>
      </c>
      <c r="G626" s="126">
        <f>SUMIFS('Support - Transition'!F:F,'Support - Transition'!B:B,'Step 2'!A626,'Support - Transition'!C:C,'Step 2'!B626,'Support - Transition'!D:D,'Step 2'!C626,'Support - Transition'!E:E,"CIVIL")</f>
        <v>4.0090000000000004E-3</v>
      </c>
      <c r="H626" s="126">
        <f>SUMIFS('Support - Transition'!F:F,'Support - Transition'!B:B,'Step 2'!A626,'Support - Transition'!C:C,'Step 2'!B626,'Support - Transition'!D:D,'Step 2'!C626,'Support - Transition'!E:E,"FIRE")</f>
        <v>1.361E-3</v>
      </c>
      <c r="I626" s="126">
        <f>IF(B626="0",SUMIFS('Support - Transition'!F:F,'Support - Transition'!J:J,'Step 2'!D626,'Support - Transition'!E:E,"STATE UNIT"),SUMIFS('Support - Transition'!F:F,'Support - Transition'!J:J,'Step 2'!D626))</f>
        <v>5.3700000000000006E-3</v>
      </c>
      <c r="J626" s="126">
        <f>SUMIFS('Support - Unit Adjustments'!E:E,'Support - Unit Adjustments'!F:F,'Step 2'!D626)</f>
        <v>0</v>
      </c>
      <c r="K626" s="126">
        <f t="shared" si="175"/>
        <v>5.3700000000000006E-3</v>
      </c>
      <c r="L626" s="174">
        <f>VLOOKUP(A626,'Step 1'!$A:$E,4,FALSE)</f>
        <v>99816</v>
      </c>
      <c r="M626" s="47">
        <f t="shared" si="176"/>
        <v>536</v>
      </c>
      <c r="N626" s="177">
        <f>SUMIFS('Support - Transition'!G:G,'Support - Transition'!J:J,'Step 2'!D626,'Support - Transition'!E:E,"2009 WELFARE ALLOCATION FACTOR")</f>
        <v>0</v>
      </c>
      <c r="O626" s="152">
        <f t="shared" si="181"/>
        <v>0</v>
      </c>
      <c r="P626" s="126">
        <f>IF(E626="Y",0,SUMIFS('Support - Transition'!G:G,'Support - Transition'!J:J,'Step 2'!D626,'Support - Transition'!E:E,"2009 SCHOOL ALLOCATION FACTOR"))</f>
        <v>0</v>
      </c>
      <c r="Q626" s="126">
        <f>IF(E626="Y",VLOOKUP(D626,'Support - Unit Adjustments'!F:G,2,FALSE),0)</f>
        <v>0</v>
      </c>
      <c r="R626" s="155">
        <f t="shared" si="193"/>
        <v>0</v>
      </c>
      <c r="S626" s="47">
        <f t="shared" si="192"/>
        <v>0</v>
      </c>
      <c r="T626" s="151">
        <f t="shared" si="177"/>
        <v>536</v>
      </c>
      <c r="U626" s="151">
        <f t="shared" si="178"/>
        <v>0</v>
      </c>
      <c r="V626" s="139">
        <f t="shared" si="179"/>
        <v>0</v>
      </c>
      <c r="W626" s="152">
        <f t="shared" si="182"/>
        <v>536</v>
      </c>
      <c r="X626" s="127" t="str">
        <f t="shared" si="180"/>
        <v/>
      </c>
      <c r="Y626" s="207">
        <f t="shared" si="183"/>
        <v>536</v>
      </c>
      <c r="Z626" s="139">
        <f t="shared" si="184"/>
        <v>400</v>
      </c>
      <c r="AA626" s="139">
        <f t="shared" si="185"/>
        <v>136</v>
      </c>
      <c r="AC626" s="47">
        <f t="shared" si="186"/>
        <v>268</v>
      </c>
      <c r="AD626" s="47">
        <f t="shared" si="187"/>
        <v>200</v>
      </c>
      <c r="AE626" s="47">
        <f t="shared" si="188"/>
        <v>68</v>
      </c>
      <c r="AG626" s="47">
        <f t="shared" si="189"/>
        <v>268</v>
      </c>
      <c r="AH626" s="47">
        <f t="shared" si="190"/>
        <v>200</v>
      </c>
      <c r="AI626" s="208">
        <f t="shared" si="191"/>
        <v>68</v>
      </c>
    </row>
    <row r="627" spans="1:35">
      <c r="A627" t="s">
        <v>2109</v>
      </c>
      <c r="B627" t="s">
        <v>3142</v>
      </c>
      <c r="C627" t="s">
        <v>2198</v>
      </c>
      <c r="D627" t="s">
        <v>3886</v>
      </c>
      <c r="F627" t="s">
        <v>21</v>
      </c>
      <c r="G627" s="126">
        <f>SUMIFS('Support - Transition'!F:F,'Support - Transition'!B:B,'Step 2'!A627,'Support - Transition'!C:C,'Step 2'!B627,'Support - Transition'!D:D,'Step 2'!C627,'Support - Transition'!E:E,"CIVIL")</f>
        <v>9.3099999999999997E-4</v>
      </c>
      <c r="H627" s="126">
        <f>SUMIFS('Support - Transition'!F:F,'Support - Transition'!B:B,'Step 2'!A627,'Support - Transition'!C:C,'Step 2'!B627,'Support - Transition'!D:D,'Step 2'!C627,'Support - Transition'!E:E,"FIRE")</f>
        <v>4.66E-4</v>
      </c>
      <c r="I627" s="126">
        <f>IF(B627="0",SUMIFS('Support - Transition'!F:F,'Support - Transition'!J:J,'Step 2'!D627,'Support - Transition'!E:E,"STATE UNIT"),SUMIFS('Support - Transition'!F:F,'Support - Transition'!J:J,'Step 2'!D627))</f>
        <v>1.397E-3</v>
      </c>
      <c r="J627" s="126">
        <f>SUMIFS('Support - Unit Adjustments'!E:E,'Support - Unit Adjustments'!F:F,'Step 2'!D627)</f>
        <v>0</v>
      </c>
      <c r="K627" s="126">
        <f t="shared" si="175"/>
        <v>1.397E-3</v>
      </c>
      <c r="L627" s="174">
        <f>VLOOKUP(A627,'Step 1'!$A:$E,4,FALSE)</f>
        <v>99816</v>
      </c>
      <c r="M627" s="47">
        <f t="shared" si="176"/>
        <v>139</v>
      </c>
      <c r="N627" s="177">
        <f>SUMIFS('Support - Transition'!G:G,'Support - Transition'!J:J,'Step 2'!D627,'Support - Transition'!E:E,"2009 WELFARE ALLOCATION FACTOR")</f>
        <v>0</v>
      </c>
      <c r="O627" s="152">
        <f t="shared" si="181"/>
        <v>0</v>
      </c>
      <c r="P627" s="126">
        <f>IF(E627="Y",0,SUMIFS('Support - Transition'!G:G,'Support - Transition'!J:J,'Step 2'!D627,'Support - Transition'!E:E,"2009 SCHOOL ALLOCATION FACTOR"))</f>
        <v>0</v>
      </c>
      <c r="Q627" s="126">
        <f>IF(E627="Y",VLOOKUP(D627,'Support - Unit Adjustments'!F:G,2,FALSE),0)</f>
        <v>0</v>
      </c>
      <c r="R627" s="155">
        <f t="shared" si="193"/>
        <v>0</v>
      </c>
      <c r="S627" s="47">
        <f t="shared" si="192"/>
        <v>0</v>
      </c>
      <c r="T627" s="151">
        <f t="shared" si="177"/>
        <v>139</v>
      </c>
      <c r="U627" s="151">
        <f t="shared" si="178"/>
        <v>0</v>
      </c>
      <c r="V627" s="139">
        <f t="shared" si="179"/>
        <v>0</v>
      </c>
      <c r="W627" s="152">
        <f t="shared" si="182"/>
        <v>139</v>
      </c>
      <c r="X627" s="127" t="str">
        <f t="shared" si="180"/>
        <v/>
      </c>
      <c r="Y627" s="207">
        <f t="shared" si="183"/>
        <v>139</v>
      </c>
      <c r="Z627" s="139">
        <f t="shared" si="184"/>
        <v>93</v>
      </c>
      <c r="AA627" s="139">
        <f t="shared" si="185"/>
        <v>46</v>
      </c>
      <c r="AC627" s="47">
        <f t="shared" si="186"/>
        <v>70</v>
      </c>
      <c r="AD627" s="47">
        <f t="shared" si="187"/>
        <v>47</v>
      </c>
      <c r="AE627" s="47">
        <f t="shared" si="188"/>
        <v>23</v>
      </c>
      <c r="AG627" s="47">
        <f t="shared" si="189"/>
        <v>69</v>
      </c>
      <c r="AH627" s="47">
        <f t="shared" si="190"/>
        <v>46</v>
      </c>
      <c r="AI627" s="208">
        <f t="shared" si="191"/>
        <v>23</v>
      </c>
    </row>
    <row r="628" spans="1:35">
      <c r="A628" t="s">
        <v>2109</v>
      </c>
      <c r="B628" t="s">
        <v>3155</v>
      </c>
      <c r="C628" t="s">
        <v>2430</v>
      </c>
      <c r="D628" t="s">
        <v>3887</v>
      </c>
      <c r="F628" t="s">
        <v>508</v>
      </c>
      <c r="G628" s="126">
        <f>SUMIFS('Support - Transition'!F:F,'Support - Transition'!B:B,'Step 2'!A628,'Support - Transition'!C:C,'Step 2'!B628,'Support - Transition'!D:D,'Step 2'!C628,'Support - Transition'!E:E,"CIVIL")</f>
        <v>0</v>
      </c>
      <c r="H628" s="126">
        <f>SUMIFS('Support - Transition'!F:F,'Support - Transition'!B:B,'Step 2'!A628,'Support - Transition'!C:C,'Step 2'!B628,'Support - Transition'!D:D,'Step 2'!C628,'Support - Transition'!E:E,"FIRE")</f>
        <v>0</v>
      </c>
      <c r="I628" s="126">
        <f>IF(B628="0",SUMIFS('Support - Transition'!F:F,'Support - Transition'!J:J,'Step 2'!D628,'Support - Transition'!E:E,"STATE UNIT"),SUMIFS('Support - Transition'!F:F,'Support - Transition'!J:J,'Step 2'!D628))</f>
        <v>6.2550000000000001E-3</v>
      </c>
      <c r="J628" s="126">
        <f>SUMIFS('Support - Unit Adjustments'!E:E,'Support - Unit Adjustments'!F:F,'Step 2'!D628)</f>
        <v>0</v>
      </c>
      <c r="K628" s="126">
        <f t="shared" si="175"/>
        <v>6.2550000000000001E-3</v>
      </c>
      <c r="L628" s="174">
        <f>VLOOKUP(A628,'Step 1'!$A:$E,4,FALSE)</f>
        <v>99816</v>
      </c>
      <c r="M628" s="47">
        <f t="shared" si="176"/>
        <v>624</v>
      </c>
      <c r="N628" s="177">
        <f>SUMIFS('Support - Transition'!G:G,'Support - Transition'!J:J,'Step 2'!D628,'Support - Transition'!E:E,"2009 WELFARE ALLOCATION FACTOR")</f>
        <v>0</v>
      </c>
      <c r="O628" s="152">
        <f t="shared" si="181"/>
        <v>0</v>
      </c>
      <c r="P628" s="126">
        <f>IF(E628="Y",0,SUMIFS('Support - Transition'!G:G,'Support - Transition'!J:J,'Step 2'!D628,'Support - Transition'!E:E,"2009 SCHOOL ALLOCATION FACTOR"))</f>
        <v>0</v>
      </c>
      <c r="Q628" s="126">
        <f>IF(E628="Y",VLOOKUP(D628,'Support - Unit Adjustments'!F:G,2,FALSE),0)</f>
        <v>0</v>
      </c>
      <c r="R628" s="155">
        <f t="shared" si="193"/>
        <v>0</v>
      </c>
      <c r="S628" s="47">
        <f t="shared" si="192"/>
        <v>0</v>
      </c>
      <c r="T628" s="151">
        <f t="shared" si="177"/>
        <v>624</v>
      </c>
      <c r="U628" s="151">
        <f t="shared" si="178"/>
        <v>0</v>
      </c>
      <c r="V628" s="139">
        <f t="shared" si="179"/>
        <v>0</v>
      </c>
      <c r="W628" s="152">
        <f t="shared" si="182"/>
        <v>624</v>
      </c>
      <c r="X628" s="127" t="str">
        <f t="shared" si="180"/>
        <v/>
      </c>
      <c r="Y628" s="207">
        <f t="shared" si="183"/>
        <v>624</v>
      </c>
      <c r="Z628" s="139">
        <f t="shared" si="184"/>
        <v>624</v>
      </c>
      <c r="AA628" s="139">
        <f t="shared" si="185"/>
        <v>0</v>
      </c>
      <c r="AC628" s="47">
        <f t="shared" si="186"/>
        <v>312</v>
      </c>
      <c r="AD628" s="47">
        <f t="shared" si="187"/>
        <v>312</v>
      </c>
      <c r="AE628" s="47">
        <f t="shared" si="188"/>
        <v>0</v>
      </c>
      <c r="AG628" s="47">
        <f t="shared" si="189"/>
        <v>312</v>
      </c>
      <c r="AH628" s="47">
        <f t="shared" si="190"/>
        <v>312</v>
      </c>
      <c r="AI628" s="208">
        <f t="shared" si="191"/>
        <v>0</v>
      </c>
    </row>
    <row r="629" spans="1:35">
      <c r="A629" t="s">
        <v>2109</v>
      </c>
      <c r="B629" t="s">
        <v>3155</v>
      </c>
      <c r="C629" t="s">
        <v>2431</v>
      </c>
      <c r="D629" t="s">
        <v>3888</v>
      </c>
      <c r="F629" t="s">
        <v>509</v>
      </c>
      <c r="G629" s="126">
        <f>SUMIFS('Support - Transition'!F:F,'Support - Transition'!B:B,'Step 2'!A629,'Support - Transition'!C:C,'Step 2'!B629,'Support - Transition'!D:D,'Step 2'!C629,'Support - Transition'!E:E,"CIVIL")</f>
        <v>0</v>
      </c>
      <c r="H629" s="126">
        <f>SUMIFS('Support - Transition'!F:F,'Support - Transition'!B:B,'Step 2'!A629,'Support - Transition'!C:C,'Step 2'!B629,'Support - Transition'!D:D,'Step 2'!C629,'Support - Transition'!E:E,"FIRE")</f>
        <v>0</v>
      </c>
      <c r="I629" s="126">
        <f>IF(B629="0",SUMIFS('Support - Transition'!F:F,'Support - Transition'!J:J,'Step 2'!D629,'Support - Transition'!E:E,"STATE UNIT"),SUMIFS('Support - Transition'!F:F,'Support - Transition'!J:J,'Step 2'!D629))</f>
        <v>1.2729000000000001E-2</v>
      </c>
      <c r="J629" s="126">
        <f>SUMIFS('Support - Unit Adjustments'!E:E,'Support - Unit Adjustments'!F:F,'Step 2'!D629)</f>
        <v>0</v>
      </c>
      <c r="K629" s="126">
        <f t="shared" si="175"/>
        <v>1.2729000000000001E-2</v>
      </c>
      <c r="L629" s="174">
        <f>VLOOKUP(A629,'Step 1'!$A:$E,4,FALSE)</f>
        <v>99816</v>
      </c>
      <c r="M629" s="47">
        <f t="shared" si="176"/>
        <v>1271</v>
      </c>
      <c r="N629" s="177">
        <f>SUMIFS('Support - Transition'!G:G,'Support - Transition'!J:J,'Step 2'!D629,'Support - Transition'!E:E,"2009 WELFARE ALLOCATION FACTOR")</f>
        <v>0</v>
      </c>
      <c r="O629" s="152">
        <f t="shared" si="181"/>
        <v>0</v>
      </c>
      <c r="P629" s="126">
        <f>IF(E629="Y",0,SUMIFS('Support - Transition'!G:G,'Support - Transition'!J:J,'Step 2'!D629,'Support - Transition'!E:E,"2009 SCHOOL ALLOCATION FACTOR"))</f>
        <v>0</v>
      </c>
      <c r="Q629" s="126">
        <f>IF(E629="Y",VLOOKUP(D629,'Support - Unit Adjustments'!F:G,2,FALSE),0)</f>
        <v>0</v>
      </c>
      <c r="R629" s="155">
        <f t="shared" si="193"/>
        <v>0</v>
      </c>
      <c r="S629" s="47">
        <f t="shared" si="192"/>
        <v>0</v>
      </c>
      <c r="T629" s="151">
        <f t="shared" si="177"/>
        <v>1271</v>
      </c>
      <c r="U629" s="151">
        <f t="shared" si="178"/>
        <v>0</v>
      </c>
      <c r="V629" s="139">
        <f t="shared" si="179"/>
        <v>0</v>
      </c>
      <c r="W629" s="152">
        <f t="shared" si="182"/>
        <v>1271</v>
      </c>
      <c r="X629" s="127" t="str">
        <f t="shared" si="180"/>
        <v/>
      </c>
      <c r="Y629" s="207">
        <f t="shared" si="183"/>
        <v>1271</v>
      </c>
      <c r="Z629" s="139">
        <f t="shared" si="184"/>
        <v>1271</v>
      </c>
      <c r="AA629" s="139">
        <f t="shared" si="185"/>
        <v>0</v>
      </c>
      <c r="AC629" s="47">
        <f t="shared" si="186"/>
        <v>636</v>
      </c>
      <c r="AD629" s="47">
        <f t="shared" si="187"/>
        <v>636</v>
      </c>
      <c r="AE629" s="47">
        <f t="shared" si="188"/>
        <v>0</v>
      </c>
      <c r="AG629" s="47">
        <f t="shared" si="189"/>
        <v>635</v>
      </c>
      <c r="AH629" s="47">
        <f t="shared" si="190"/>
        <v>635</v>
      </c>
      <c r="AI629" s="208">
        <f t="shared" si="191"/>
        <v>0</v>
      </c>
    </row>
    <row r="630" spans="1:35">
      <c r="A630" t="s">
        <v>2109</v>
      </c>
      <c r="B630" t="s">
        <v>3155</v>
      </c>
      <c r="C630" t="s">
        <v>2432</v>
      </c>
      <c r="D630" t="s">
        <v>3889</v>
      </c>
      <c r="F630" t="s">
        <v>510</v>
      </c>
      <c r="G630" s="126">
        <f>SUMIFS('Support - Transition'!F:F,'Support - Transition'!B:B,'Step 2'!A630,'Support - Transition'!C:C,'Step 2'!B630,'Support - Transition'!D:D,'Step 2'!C630,'Support - Transition'!E:E,"CIVIL")</f>
        <v>0</v>
      </c>
      <c r="H630" s="126">
        <f>SUMIFS('Support - Transition'!F:F,'Support - Transition'!B:B,'Step 2'!A630,'Support - Transition'!C:C,'Step 2'!B630,'Support - Transition'!D:D,'Step 2'!C630,'Support - Transition'!E:E,"FIRE")</f>
        <v>0</v>
      </c>
      <c r="I630" s="126">
        <f>IF(B630="0",SUMIFS('Support - Transition'!F:F,'Support - Transition'!J:J,'Step 2'!D630,'Support - Transition'!E:E,"STATE UNIT"),SUMIFS('Support - Transition'!F:F,'Support - Transition'!J:J,'Step 2'!D630))</f>
        <v>1.3879999999999999E-3</v>
      </c>
      <c r="J630" s="126">
        <f>SUMIFS('Support - Unit Adjustments'!E:E,'Support - Unit Adjustments'!F:F,'Step 2'!D630)</f>
        <v>0</v>
      </c>
      <c r="K630" s="126">
        <f t="shared" si="175"/>
        <v>1.3879999999999999E-3</v>
      </c>
      <c r="L630" s="174">
        <f>VLOOKUP(A630,'Step 1'!$A:$E,4,FALSE)</f>
        <v>99816</v>
      </c>
      <c r="M630" s="47">
        <f t="shared" si="176"/>
        <v>139</v>
      </c>
      <c r="N630" s="177">
        <f>SUMIFS('Support - Transition'!G:G,'Support - Transition'!J:J,'Step 2'!D630,'Support - Transition'!E:E,"2009 WELFARE ALLOCATION FACTOR")</f>
        <v>0</v>
      </c>
      <c r="O630" s="152">
        <f t="shared" si="181"/>
        <v>0</v>
      </c>
      <c r="P630" s="126">
        <f>IF(E630="Y",0,SUMIFS('Support - Transition'!G:G,'Support - Transition'!J:J,'Step 2'!D630,'Support - Transition'!E:E,"2009 SCHOOL ALLOCATION FACTOR"))</f>
        <v>0</v>
      </c>
      <c r="Q630" s="126">
        <f>IF(E630="Y",VLOOKUP(D630,'Support - Unit Adjustments'!F:G,2,FALSE),0)</f>
        <v>0</v>
      </c>
      <c r="R630" s="155">
        <f t="shared" si="193"/>
        <v>0</v>
      </c>
      <c r="S630" s="47">
        <f t="shared" si="192"/>
        <v>0</v>
      </c>
      <c r="T630" s="151">
        <f t="shared" si="177"/>
        <v>139</v>
      </c>
      <c r="U630" s="151">
        <f t="shared" si="178"/>
        <v>0</v>
      </c>
      <c r="V630" s="139">
        <f t="shared" si="179"/>
        <v>0</v>
      </c>
      <c r="W630" s="152">
        <f t="shared" si="182"/>
        <v>139</v>
      </c>
      <c r="X630" s="127" t="str">
        <f t="shared" si="180"/>
        <v/>
      </c>
      <c r="Y630" s="207">
        <f t="shared" si="183"/>
        <v>139</v>
      </c>
      <c r="Z630" s="139">
        <f t="shared" si="184"/>
        <v>139</v>
      </c>
      <c r="AA630" s="139">
        <f t="shared" si="185"/>
        <v>0</v>
      </c>
      <c r="AC630" s="47">
        <f t="shared" si="186"/>
        <v>70</v>
      </c>
      <c r="AD630" s="47">
        <f t="shared" si="187"/>
        <v>70</v>
      </c>
      <c r="AE630" s="47">
        <f t="shared" si="188"/>
        <v>0</v>
      </c>
      <c r="AG630" s="47">
        <f t="shared" si="189"/>
        <v>69</v>
      </c>
      <c r="AH630" s="47">
        <f t="shared" si="190"/>
        <v>69</v>
      </c>
      <c r="AI630" s="208">
        <f t="shared" si="191"/>
        <v>0</v>
      </c>
    </row>
    <row r="631" spans="1:35">
      <c r="A631" t="s">
        <v>2109</v>
      </c>
      <c r="B631" t="s">
        <v>3155</v>
      </c>
      <c r="C631" t="s">
        <v>2433</v>
      </c>
      <c r="D631" t="s">
        <v>3890</v>
      </c>
      <c r="F631" t="s">
        <v>511</v>
      </c>
      <c r="G631" s="126">
        <f>SUMIFS('Support - Transition'!F:F,'Support - Transition'!B:B,'Step 2'!A631,'Support - Transition'!C:C,'Step 2'!B631,'Support - Transition'!D:D,'Step 2'!C631,'Support - Transition'!E:E,"CIVIL")</f>
        <v>0</v>
      </c>
      <c r="H631" s="126">
        <f>SUMIFS('Support - Transition'!F:F,'Support - Transition'!B:B,'Step 2'!A631,'Support - Transition'!C:C,'Step 2'!B631,'Support - Transition'!D:D,'Step 2'!C631,'Support - Transition'!E:E,"FIRE")</f>
        <v>0</v>
      </c>
      <c r="I631" s="126">
        <f>IF(B631="0",SUMIFS('Support - Transition'!F:F,'Support - Transition'!J:J,'Step 2'!D631,'Support - Transition'!E:E,"STATE UNIT"),SUMIFS('Support - Transition'!F:F,'Support - Transition'!J:J,'Step 2'!D631))</f>
        <v>2.0100000000000001E-4</v>
      </c>
      <c r="J631" s="126">
        <f>SUMIFS('Support - Unit Adjustments'!E:E,'Support - Unit Adjustments'!F:F,'Step 2'!D631)</f>
        <v>0</v>
      </c>
      <c r="K631" s="126">
        <f t="shared" si="175"/>
        <v>2.0100000000000001E-4</v>
      </c>
      <c r="L631" s="174">
        <f>VLOOKUP(A631,'Step 1'!$A:$E,4,FALSE)</f>
        <v>99816</v>
      </c>
      <c r="M631" s="47">
        <f t="shared" si="176"/>
        <v>20</v>
      </c>
      <c r="N631" s="177">
        <f>SUMIFS('Support - Transition'!G:G,'Support - Transition'!J:J,'Step 2'!D631,'Support - Transition'!E:E,"2009 WELFARE ALLOCATION FACTOR")</f>
        <v>0</v>
      </c>
      <c r="O631" s="152">
        <f t="shared" si="181"/>
        <v>0</v>
      </c>
      <c r="P631" s="126">
        <f>IF(E631="Y",0,SUMIFS('Support - Transition'!G:G,'Support - Transition'!J:J,'Step 2'!D631,'Support - Transition'!E:E,"2009 SCHOOL ALLOCATION FACTOR"))</f>
        <v>0</v>
      </c>
      <c r="Q631" s="126">
        <f>IF(E631="Y",VLOOKUP(D631,'Support - Unit Adjustments'!F:G,2,FALSE),0)</f>
        <v>0</v>
      </c>
      <c r="R631" s="155">
        <f t="shared" si="193"/>
        <v>0</v>
      </c>
      <c r="S631" s="47">
        <f t="shared" si="192"/>
        <v>0</v>
      </c>
      <c r="T631" s="151">
        <f t="shared" si="177"/>
        <v>20</v>
      </c>
      <c r="U631" s="151">
        <f t="shared" si="178"/>
        <v>0</v>
      </c>
      <c r="V631" s="139">
        <f t="shared" si="179"/>
        <v>0</v>
      </c>
      <c r="W631" s="152">
        <f t="shared" si="182"/>
        <v>20</v>
      </c>
      <c r="X631" s="127" t="str">
        <f t="shared" si="180"/>
        <v/>
      </c>
      <c r="Y631" s="207">
        <f t="shared" si="183"/>
        <v>20</v>
      </c>
      <c r="Z631" s="139">
        <f t="shared" si="184"/>
        <v>20</v>
      </c>
      <c r="AA631" s="139">
        <f t="shared" si="185"/>
        <v>0</v>
      </c>
      <c r="AC631" s="47">
        <f t="shared" si="186"/>
        <v>10</v>
      </c>
      <c r="AD631" s="47">
        <f t="shared" si="187"/>
        <v>10</v>
      </c>
      <c r="AE631" s="47">
        <f t="shared" si="188"/>
        <v>0</v>
      </c>
      <c r="AG631" s="47">
        <f t="shared" si="189"/>
        <v>10</v>
      </c>
      <c r="AH631" s="47">
        <f t="shared" si="190"/>
        <v>10</v>
      </c>
      <c r="AI631" s="208">
        <f t="shared" si="191"/>
        <v>0</v>
      </c>
    </row>
    <row r="632" spans="1:35">
      <c r="A632" t="s">
        <v>2109</v>
      </c>
      <c r="B632" t="s">
        <v>3155</v>
      </c>
      <c r="C632" t="s">
        <v>2434</v>
      </c>
      <c r="D632" t="s">
        <v>3891</v>
      </c>
      <c r="F632" t="s">
        <v>512</v>
      </c>
      <c r="G632" s="126">
        <f>SUMIFS('Support - Transition'!F:F,'Support - Transition'!B:B,'Step 2'!A632,'Support - Transition'!C:C,'Step 2'!B632,'Support - Transition'!D:D,'Step 2'!C632,'Support - Transition'!E:E,"CIVIL")</f>
        <v>0</v>
      </c>
      <c r="H632" s="126">
        <f>SUMIFS('Support - Transition'!F:F,'Support - Transition'!B:B,'Step 2'!A632,'Support - Transition'!C:C,'Step 2'!B632,'Support - Transition'!D:D,'Step 2'!C632,'Support - Transition'!E:E,"FIRE")</f>
        <v>0</v>
      </c>
      <c r="I632" s="126">
        <f>IF(B632="0",SUMIFS('Support - Transition'!F:F,'Support - Transition'!J:J,'Step 2'!D632,'Support - Transition'!E:E,"STATE UNIT"),SUMIFS('Support - Transition'!F:F,'Support - Transition'!J:J,'Step 2'!D632))</f>
        <v>6.7599999999999995E-4</v>
      </c>
      <c r="J632" s="126">
        <f>SUMIFS('Support - Unit Adjustments'!E:E,'Support - Unit Adjustments'!F:F,'Step 2'!D632)</f>
        <v>0</v>
      </c>
      <c r="K632" s="126">
        <f t="shared" si="175"/>
        <v>6.7599999999999995E-4</v>
      </c>
      <c r="L632" s="174">
        <f>VLOOKUP(A632,'Step 1'!$A:$E,4,FALSE)</f>
        <v>99816</v>
      </c>
      <c r="M632" s="47">
        <f t="shared" si="176"/>
        <v>67</v>
      </c>
      <c r="N632" s="177">
        <f>SUMIFS('Support - Transition'!G:G,'Support - Transition'!J:J,'Step 2'!D632,'Support - Transition'!E:E,"2009 WELFARE ALLOCATION FACTOR")</f>
        <v>0</v>
      </c>
      <c r="O632" s="152">
        <f t="shared" si="181"/>
        <v>0</v>
      </c>
      <c r="P632" s="126">
        <f>IF(E632="Y",0,SUMIFS('Support - Transition'!G:G,'Support - Transition'!J:J,'Step 2'!D632,'Support - Transition'!E:E,"2009 SCHOOL ALLOCATION FACTOR"))</f>
        <v>0</v>
      </c>
      <c r="Q632" s="126">
        <f>IF(E632="Y",VLOOKUP(D632,'Support - Unit Adjustments'!F:G,2,FALSE),0)</f>
        <v>0</v>
      </c>
      <c r="R632" s="155">
        <f t="shared" si="193"/>
        <v>0</v>
      </c>
      <c r="S632" s="47">
        <f t="shared" si="192"/>
        <v>0</v>
      </c>
      <c r="T632" s="151">
        <f t="shared" si="177"/>
        <v>67</v>
      </c>
      <c r="U632" s="151">
        <f t="shared" si="178"/>
        <v>0</v>
      </c>
      <c r="V632" s="139">
        <f t="shared" si="179"/>
        <v>0</v>
      </c>
      <c r="W632" s="152">
        <f t="shared" si="182"/>
        <v>67</v>
      </c>
      <c r="X632" s="127" t="str">
        <f t="shared" si="180"/>
        <v/>
      </c>
      <c r="Y632" s="207">
        <f t="shared" si="183"/>
        <v>67</v>
      </c>
      <c r="Z632" s="139">
        <f t="shared" si="184"/>
        <v>67</v>
      </c>
      <c r="AA632" s="139">
        <f t="shared" si="185"/>
        <v>0</v>
      </c>
      <c r="AC632" s="47">
        <f t="shared" si="186"/>
        <v>34</v>
      </c>
      <c r="AD632" s="47">
        <f t="shared" si="187"/>
        <v>34</v>
      </c>
      <c r="AE632" s="47">
        <f t="shared" si="188"/>
        <v>0</v>
      </c>
      <c r="AG632" s="47">
        <f t="shared" si="189"/>
        <v>33</v>
      </c>
      <c r="AH632" s="47">
        <f t="shared" si="190"/>
        <v>33</v>
      </c>
      <c r="AI632" s="208">
        <f t="shared" si="191"/>
        <v>0</v>
      </c>
    </row>
    <row r="633" spans="1:35">
      <c r="A633" t="s">
        <v>2109</v>
      </c>
      <c r="B633" t="s">
        <v>3155</v>
      </c>
      <c r="C633" t="s">
        <v>2435</v>
      </c>
      <c r="D633" t="s">
        <v>3892</v>
      </c>
      <c r="F633" t="s">
        <v>513</v>
      </c>
      <c r="G633" s="126">
        <f>SUMIFS('Support - Transition'!F:F,'Support - Transition'!B:B,'Step 2'!A633,'Support - Transition'!C:C,'Step 2'!B633,'Support - Transition'!D:D,'Step 2'!C633,'Support - Transition'!E:E,"CIVIL")</f>
        <v>0</v>
      </c>
      <c r="H633" s="126">
        <f>SUMIFS('Support - Transition'!F:F,'Support - Transition'!B:B,'Step 2'!A633,'Support - Transition'!C:C,'Step 2'!B633,'Support - Transition'!D:D,'Step 2'!C633,'Support - Transition'!E:E,"FIRE")</f>
        <v>0</v>
      </c>
      <c r="I633" s="126">
        <f>IF(B633="0",SUMIFS('Support - Transition'!F:F,'Support - Transition'!J:J,'Step 2'!D633,'Support - Transition'!E:E,"STATE UNIT"),SUMIFS('Support - Transition'!F:F,'Support - Transition'!J:J,'Step 2'!D633))</f>
        <v>9.0000000000000002E-6</v>
      </c>
      <c r="J633" s="126">
        <f>SUMIFS('Support - Unit Adjustments'!E:E,'Support - Unit Adjustments'!F:F,'Step 2'!D633)</f>
        <v>0</v>
      </c>
      <c r="K633" s="126">
        <f t="shared" si="175"/>
        <v>9.0000000000000002E-6</v>
      </c>
      <c r="L633" s="174">
        <f>VLOOKUP(A633,'Step 1'!$A:$E,4,FALSE)</f>
        <v>99816</v>
      </c>
      <c r="M633" s="47">
        <f t="shared" si="176"/>
        <v>1</v>
      </c>
      <c r="N633" s="177">
        <f>SUMIFS('Support - Transition'!G:G,'Support - Transition'!J:J,'Step 2'!D633,'Support - Transition'!E:E,"2009 WELFARE ALLOCATION FACTOR")</f>
        <v>0</v>
      </c>
      <c r="O633" s="152">
        <f t="shared" si="181"/>
        <v>0</v>
      </c>
      <c r="P633" s="126">
        <f>IF(E633="Y",0,SUMIFS('Support - Transition'!G:G,'Support - Transition'!J:J,'Step 2'!D633,'Support - Transition'!E:E,"2009 SCHOOL ALLOCATION FACTOR"))</f>
        <v>0</v>
      </c>
      <c r="Q633" s="126">
        <f>IF(E633="Y",VLOOKUP(D633,'Support - Unit Adjustments'!F:G,2,FALSE),0)</f>
        <v>0</v>
      </c>
      <c r="R633" s="155">
        <f t="shared" si="193"/>
        <v>0</v>
      </c>
      <c r="S633" s="47">
        <f t="shared" si="192"/>
        <v>0</v>
      </c>
      <c r="T633" s="151">
        <f t="shared" si="177"/>
        <v>1</v>
      </c>
      <c r="U633" s="151">
        <f t="shared" si="178"/>
        <v>0</v>
      </c>
      <c r="V633" s="139">
        <f t="shared" si="179"/>
        <v>0</v>
      </c>
      <c r="W633" s="152">
        <f t="shared" si="182"/>
        <v>1</v>
      </c>
      <c r="X633" s="127" t="str">
        <f t="shared" si="180"/>
        <v/>
      </c>
      <c r="Y633" s="207">
        <f t="shared" si="183"/>
        <v>1</v>
      </c>
      <c r="Z633" s="139">
        <f t="shared" si="184"/>
        <v>1</v>
      </c>
      <c r="AA633" s="139">
        <f t="shared" si="185"/>
        <v>0</v>
      </c>
      <c r="AC633" s="47">
        <f t="shared" si="186"/>
        <v>1</v>
      </c>
      <c r="AD633" s="47">
        <f t="shared" si="187"/>
        <v>1</v>
      </c>
      <c r="AE633" s="47">
        <f t="shared" si="188"/>
        <v>0</v>
      </c>
      <c r="AG633" s="47">
        <f t="shared" si="189"/>
        <v>0</v>
      </c>
      <c r="AH633" s="47">
        <f t="shared" si="190"/>
        <v>0</v>
      </c>
      <c r="AI633" s="208">
        <f t="shared" si="191"/>
        <v>0</v>
      </c>
    </row>
    <row r="634" spans="1:35">
      <c r="A634" t="s">
        <v>2109</v>
      </c>
      <c r="B634" t="s">
        <v>3155</v>
      </c>
      <c r="C634" t="s">
        <v>2436</v>
      </c>
      <c r="D634" t="s">
        <v>3893</v>
      </c>
      <c r="F634" t="s">
        <v>514</v>
      </c>
      <c r="G634" s="126">
        <f>SUMIFS('Support - Transition'!F:F,'Support - Transition'!B:B,'Step 2'!A634,'Support - Transition'!C:C,'Step 2'!B634,'Support - Transition'!D:D,'Step 2'!C634,'Support - Transition'!E:E,"CIVIL")</f>
        <v>0</v>
      </c>
      <c r="H634" s="126">
        <f>SUMIFS('Support - Transition'!F:F,'Support - Transition'!B:B,'Step 2'!A634,'Support - Transition'!C:C,'Step 2'!B634,'Support - Transition'!D:D,'Step 2'!C634,'Support - Transition'!E:E,"FIRE")</f>
        <v>0</v>
      </c>
      <c r="I634" s="126">
        <f>IF(B634="0",SUMIFS('Support - Transition'!F:F,'Support - Transition'!J:J,'Step 2'!D634,'Support - Transition'!E:E,"STATE UNIT"),SUMIFS('Support - Transition'!F:F,'Support - Transition'!J:J,'Step 2'!D634))</f>
        <v>3.1870000000000002E-3</v>
      </c>
      <c r="J634" s="126">
        <f>SUMIFS('Support - Unit Adjustments'!E:E,'Support - Unit Adjustments'!F:F,'Step 2'!D634)</f>
        <v>0</v>
      </c>
      <c r="K634" s="126">
        <f t="shared" si="175"/>
        <v>3.1870000000000002E-3</v>
      </c>
      <c r="L634" s="174">
        <f>VLOOKUP(A634,'Step 1'!$A:$E,4,FALSE)</f>
        <v>99816</v>
      </c>
      <c r="M634" s="47">
        <f t="shared" si="176"/>
        <v>318</v>
      </c>
      <c r="N634" s="177">
        <f>SUMIFS('Support - Transition'!G:G,'Support - Transition'!J:J,'Step 2'!D634,'Support - Transition'!E:E,"2009 WELFARE ALLOCATION FACTOR")</f>
        <v>0</v>
      </c>
      <c r="O634" s="152">
        <f t="shared" si="181"/>
        <v>0</v>
      </c>
      <c r="P634" s="126">
        <f>IF(E634="Y",0,SUMIFS('Support - Transition'!G:G,'Support - Transition'!J:J,'Step 2'!D634,'Support - Transition'!E:E,"2009 SCHOOL ALLOCATION FACTOR"))</f>
        <v>0</v>
      </c>
      <c r="Q634" s="126">
        <f>IF(E634="Y",VLOOKUP(D634,'Support - Unit Adjustments'!F:G,2,FALSE),0)</f>
        <v>0</v>
      </c>
      <c r="R634" s="155">
        <f t="shared" si="193"/>
        <v>0</v>
      </c>
      <c r="S634" s="47">
        <f t="shared" si="192"/>
        <v>0</v>
      </c>
      <c r="T634" s="151">
        <f t="shared" si="177"/>
        <v>318</v>
      </c>
      <c r="U634" s="151">
        <f t="shared" si="178"/>
        <v>0</v>
      </c>
      <c r="V634" s="139">
        <f t="shared" si="179"/>
        <v>0</v>
      </c>
      <c r="W634" s="152">
        <f t="shared" si="182"/>
        <v>318</v>
      </c>
      <c r="X634" s="127" t="str">
        <f t="shared" si="180"/>
        <v/>
      </c>
      <c r="Y634" s="207">
        <f t="shared" si="183"/>
        <v>318</v>
      </c>
      <c r="Z634" s="139">
        <f t="shared" si="184"/>
        <v>318</v>
      </c>
      <c r="AA634" s="139">
        <f t="shared" si="185"/>
        <v>0</v>
      </c>
      <c r="AC634" s="47">
        <f t="shared" si="186"/>
        <v>159</v>
      </c>
      <c r="AD634" s="47">
        <f t="shared" si="187"/>
        <v>159</v>
      </c>
      <c r="AE634" s="47">
        <f t="shared" si="188"/>
        <v>0</v>
      </c>
      <c r="AG634" s="47">
        <f t="shared" si="189"/>
        <v>159</v>
      </c>
      <c r="AH634" s="47">
        <f t="shared" si="190"/>
        <v>159</v>
      </c>
      <c r="AI634" s="208">
        <f t="shared" si="191"/>
        <v>0</v>
      </c>
    </row>
    <row r="635" spans="1:35">
      <c r="A635" t="s">
        <v>2109</v>
      </c>
      <c r="B635" t="s">
        <v>3155</v>
      </c>
      <c r="C635" t="s">
        <v>2437</v>
      </c>
      <c r="D635" t="s">
        <v>3894</v>
      </c>
      <c r="F635" t="s">
        <v>515</v>
      </c>
      <c r="G635" s="126">
        <f>SUMIFS('Support - Transition'!F:F,'Support - Transition'!B:B,'Step 2'!A635,'Support - Transition'!C:C,'Step 2'!B635,'Support - Transition'!D:D,'Step 2'!C635,'Support - Transition'!E:E,"CIVIL")</f>
        <v>0</v>
      </c>
      <c r="H635" s="126">
        <f>SUMIFS('Support - Transition'!F:F,'Support - Transition'!B:B,'Step 2'!A635,'Support - Transition'!C:C,'Step 2'!B635,'Support - Transition'!D:D,'Step 2'!C635,'Support - Transition'!E:E,"FIRE")</f>
        <v>0</v>
      </c>
      <c r="I635" s="126">
        <f>IF(B635="0",SUMIFS('Support - Transition'!F:F,'Support - Transition'!J:J,'Step 2'!D635,'Support - Transition'!E:E,"STATE UNIT"),SUMIFS('Support - Transition'!F:F,'Support - Transition'!J:J,'Step 2'!D635))</f>
        <v>1.55E-4</v>
      </c>
      <c r="J635" s="126">
        <f>SUMIFS('Support - Unit Adjustments'!E:E,'Support - Unit Adjustments'!F:F,'Step 2'!D635)</f>
        <v>0</v>
      </c>
      <c r="K635" s="126">
        <f t="shared" si="175"/>
        <v>1.55E-4</v>
      </c>
      <c r="L635" s="174">
        <f>VLOOKUP(A635,'Step 1'!$A:$E,4,FALSE)</f>
        <v>99816</v>
      </c>
      <c r="M635" s="47">
        <f t="shared" si="176"/>
        <v>15</v>
      </c>
      <c r="N635" s="177">
        <f>SUMIFS('Support - Transition'!G:G,'Support - Transition'!J:J,'Step 2'!D635,'Support - Transition'!E:E,"2009 WELFARE ALLOCATION FACTOR")</f>
        <v>0</v>
      </c>
      <c r="O635" s="152">
        <f t="shared" si="181"/>
        <v>0</v>
      </c>
      <c r="P635" s="126">
        <f>IF(E635="Y",0,SUMIFS('Support - Transition'!G:G,'Support - Transition'!J:J,'Step 2'!D635,'Support - Transition'!E:E,"2009 SCHOOL ALLOCATION FACTOR"))</f>
        <v>0</v>
      </c>
      <c r="Q635" s="126">
        <f>IF(E635="Y",VLOOKUP(D635,'Support - Unit Adjustments'!F:G,2,FALSE),0)</f>
        <v>0</v>
      </c>
      <c r="R635" s="155">
        <f t="shared" si="193"/>
        <v>0</v>
      </c>
      <c r="S635" s="47">
        <f t="shared" si="192"/>
        <v>0</v>
      </c>
      <c r="T635" s="151">
        <f t="shared" si="177"/>
        <v>15</v>
      </c>
      <c r="U635" s="151">
        <f t="shared" si="178"/>
        <v>0</v>
      </c>
      <c r="V635" s="139">
        <f t="shared" si="179"/>
        <v>0</v>
      </c>
      <c r="W635" s="152">
        <f t="shared" si="182"/>
        <v>15</v>
      </c>
      <c r="X635" s="127" t="str">
        <f t="shared" si="180"/>
        <v/>
      </c>
      <c r="Y635" s="207">
        <f t="shared" si="183"/>
        <v>15</v>
      </c>
      <c r="Z635" s="139">
        <f t="shared" si="184"/>
        <v>15</v>
      </c>
      <c r="AA635" s="139">
        <f t="shared" si="185"/>
        <v>0</v>
      </c>
      <c r="AC635" s="47">
        <f t="shared" si="186"/>
        <v>8</v>
      </c>
      <c r="AD635" s="47">
        <f t="shared" si="187"/>
        <v>8</v>
      </c>
      <c r="AE635" s="47">
        <f t="shared" si="188"/>
        <v>0</v>
      </c>
      <c r="AG635" s="47">
        <f t="shared" si="189"/>
        <v>7</v>
      </c>
      <c r="AH635" s="47">
        <f t="shared" si="190"/>
        <v>7</v>
      </c>
      <c r="AI635" s="208">
        <f t="shared" si="191"/>
        <v>0</v>
      </c>
    </row>
    <row r="636" spans="1:35">
      <c r="A636" t="s">
        <v>2109</v>
      </c>
      <c r="B636" t="s">
        <v>3160</v>
      </c>
      <c r="C636" t="s">
        <v>2438</v>
      </c>
      <c r="D636" t="s">
        <v>3895</v>
      </c>
      <c r="F636" t="s">
        <v>516</v>
      </c>
      <c r="G636" s="126">
        <f>SUMIFS('Support - Transition'!F:F,'Support - Transition'!B:B,'Step 2'!A636,'Support - Transition'!C:C,'Step 2'!B636,'Support - Transition'!D:D,'Step 2'!C636,'Support - Transition'!E:E,"CIVIL")</f>
        <v>0</v>
      </c>
      <c r="H636" s="126">
        <f>SUMIFS('Support - Transition'!F:F,'Support - Transition'!B:B,'Step 2'!A636,'Support - Transition'!C:C,'Step 2'!B636,'Support - Transition'!D:D,'Step 2'!C636,'Support - Transition'!E:E,"FIRE")</f>
        <v>0</v>
      </c>
      <c r="I636" s="126">
        <f>IF(B636="0",SUMIFS('Support - Transition'!F:F,'Support - Transition'!J:J,'Step 2'!D636,'Support - Transition'!E:E,"STATE UNIT"),SUMIFS('Support - Transition'!F:F,'Support - Transition'!J:J,'Step 2'!D636))</f>
        <v>0.11621099999999999</v>
      </c>
      <c r="J636" s="126">
        <f>SUMIFS('Support - Unit Adjustments'!E:E,'Support - Unit Adjustments'!F:F,'Step 2'!D636)</f>
        <v>0</v>
      </c>
      <c r="K636" s="126">
        <f t="shared" si="175"/>
        <v>0.11621099999999999</v>
      </c>
      <c r="L636" s="174">
        <f>VLOOKUP(A636,'Step 1'!$A:$E,4,FALSE)</f>
        <v>99816</v>
      </c>
      <c r="M636" s="47">
        <f t="shared" si="176"/>
        <v>11600</v>
      </c>
      <c r="N636" s="177">
        <f>SUMIFS('Support - Transition'!G:G,'Support - Transition'!J:J,'Step 2'!D636,'Support - Transition'!E:E,"2009 WELFARE ALLOCATION FACTOR")</f>
        <v>0</v>
      </c>
      <c r="O636" s="152">
        <f t="shared" si="181"/>
        <v>0</v>
      </c>
      <c r="P636" s="126">
        <f>IF(E636="Y",0,SUMIFS('Support - Transition'!G:G,'Support - Transition'!J:J,'Step 2'!D636,'Support - Transition'!E:E,"2009 SCHOOL ALLOCATION FACTOR"))</f>
        <v>0.41362100000000002</v>
      </c>
      <c r="Q636" s="126">
        <f>IF(E636="Y",VLOOKUP(D636,'Support - Unit Adjustments'!F:G,2,FALSE),0)</f>
        <v>0</v>
      </c>
      <c r="R636" s="155">
        <f t="shared" si="193"/>
        <v>0.41362100000000002</v>
      </c>
      <c r="S636" s="47">
        <f t="shared" si="192"/>
        <v>4798</v>
      </c>
      <c r="T636" s="151">
        <f t="shared" si="177"/>
        <v>6802</v>
      </c>
      <c r="U636" s="151">
        <f t="shared" si="178"/>
        <v>0</v>
      </c>
      <c r="V636" s="139">
        <f t="shared" si="179"/>
        <v>0</v>
      </c>
      <c r="W636" s="152">
        <f t="shared" si="182"/>
        <v>6802</v>
      </c>
      <c r="X636" s="127" t="str">
        <f t="shared" si="180"/>
        <v/>
      </c>
      <c r="Y636" s="207">
        <f t="shared" si="183"/>
        <v>6802</v>
      </c>
      <c r="Z636" s="139">
        <f t="shared" si="184"/>
        <v>6802</v>
      </c>
      <c r="AA636" s="139">
        <f t="shared" si="185"/>
        <v>0</v>
      </c>
      <c r="AC636" s="47">
        <f t="shared" si="186"/>
        <v>3401</v>
      </c>
      <c r="AD636" s="47">
        <f t="shared" si="187"/>
        <v>3401</v>
      </c>
      <c r="AE636" s="47">
        <f t="shared" si="188"/>
        <v>0</v>
      </c>
      <c r="AG636" s="47">
        <f t="shared" si="189"/>
        <v>3401</v>
      </c>
      <c r="AH636" s="47">
        <f t="shared" si="190"/>
        <v>3401</v>
      </c>
      <c r="AI636" s="208">
        <f t="shared" si="191"/>
        <v>0</v>
      </c>
    </row>
    <row r="637" spans="1:35">
      <c r="A637" t="s">
        <v>2109</v>
      </c>
      <c r="B637" t="s">
        <v>3160</v>
      </c>
      <c r="C637" t="s">
        <v>2439</v>
      </c>
      <c r="D637" t="s">
        <v>3896</v>
      </c>
      <c r="F637" t="s">
        <v>517</v>
      </c>
      <c r="G637" s="126">
        <f>SUMIFS('Support - Transition'!F:F,'Support - Transition'!B:B,'Step 2'!A637,'Support - Transition'!C:C,'Step 2'!B637,'Support - Transition'!D:D,'Step 2'!C637,'Support - Transition'!E:E,"CIVIL")</f>
        <v>0</v>
      </c>
      <c r="H637" s="126">
        <f>SUMIFS('Support - Transition'!F:F,'Support - Transition'!B:B,'Step 2'!A637,'Support - Transition'!C:C,'Step 2'!B637,'Support - Transition'!D:D,'Step 2'!C637,'Support - Transition'!E:E,"FIRE")</f>
        <v>0</v>
      </c>
      <c r="I637" s="126">
        <f>IF(B637="0",SUMIFS('Support - Transition'!F:F,'Support - Transition'!J:J,'Step 2'!D637,'Support - Transition'!E:E,"STATE UNIT"),SUMIFS('Support - Transition'!F:F,'Support - Transition'!J:J,'Step 2'!D637))</f>
        <v>0.28880699999999998</v>
      </c>
      <c r="J637" s="126">
        <f>SUMIFS('Support - Unit Adjustments'!E:E,'Support - Unit Adjustments'!F:F,'Step 2'!D637)</f>
        <v>0</v>
      </c>
      <c r="K637" s="126">
        <f t="shared" si="175"/>
        <v>0.28880699999999998</v>
      </c>
      <c r="L637" s="174">
        <f>VLOOKUP(A637,'Step 1'!$A:$E,4,FALSE)</f>
        <v>99816</v>
      </c>
      <c r="M637" s="47">
        <f t="shared" si="176"/>
        <v>28828</v>
      </c>
      <c r="N637" s="177">
        <f>SUMIFS('Support - Transition'!G:G,'Support - Transition'!J:J,'Step 2'!D637,'Support - Transition'!E:E,"2009 WELFARE ALLOCATION FACTOR")</f>
        <v>0</v>
      </c>
      <c r="O637" s="152">
        <f t="shared" si="181"/>
        <v>0</v>
      </c>
      <c r="P637" s="126">
        <f>IF(E637="Y",0,SUMIFS('Support - Transition'!G:G,'Support - Transition'!J:J,'Step 2'!D637,'Support - Transition'!E:E,"2009 SCHOOL ALLOCATION FACTOR"))</f>
        <v>0.45889000000000002</v>
      </c>
      <c r="Q637" s="126">
        <f>IF(E637="Y",VLOOKUP(D637,'Support - Unit Adjustments'!F:G,2,FALSE),0)</f>
        <v>0</v>
      </c>
      <c r="R637" s="155">
        <f t="shared" si="193"/>
        <v>0.45889000000000002</v>
      </c>
      <c r="S637" s="47">
        <f t="shared" si="192"/>
        <v>13229</v>
      </c>
      <c r="T637" s="151">
        <f t="shared" si="177"/>
        <v>15599</v>
      </c>
      <c r="U637" s="151">
        <f t="shared" si="178"/>
        <v>0</v>
      </c>
      <c r="V637" s="139">
        <f t="shared" si="179"/>
        <v>0</v>
      </c>
      <c r="W637" s="152">
        <f t="shared" si="182"/>
        <v>15599</v>
      </c>
      <c r="X637" s="127" t="str">
        <f t="shared" si="180"/>
        <v/>
      </c>
      <c r="Y637" s="207">
        <f t="shared" si="183"/>
        <v>15599</v>
      </c>
      <c r="Z637" s="139">
        <f t="shared" si="184"/>
        <v>15599</v>
      </c>
      <c r="AA637" s="139">
        <f t="shared" si="185"/>
        <v>0</v>
      </c>
      <c r="AC637" s="47">
        <f t="shared" si="186"/>
        <v>7800</v>
      </c>
      <c r="AD637" s="47">
        <f t="shared" si="187"/>
        <v>7800</v>
      </c>
      <c r="AE637" s="47">
        <f t="shared" si="188"/>
        <v>0</v>
      </c>
      <c r="AG637" s="47">
        <f t="shared" si="189"/>
        <v>7799</v>
      </c>
      <c r="AH637" s="47">
        <f t="shared" si="190"/>
        <v>7799</v>
      </c>
      <c r="AI637" s="208">
        <f t="shared" si="191"/>
        <v>0</v>
      </c>
    </row>
    <row r="638" spans="1:35">
      <c r="A638" t="s">
        <v>2109</v>
      </c>
      <c r="B638" t="s">
        <v>3160</v>
      </c>
      <c r="C638" t="s">
        <v>2440</v>
      </c>
      <c r="D638" t="s">
        <v>3897</v>
      </c>
      <c r="F638" t="s">
        <v>518</v>
      </c>
      <c r="G638" s="126">
        <f>SUMIFS('Support - Transition'!F:F,'Support - Transition'!B:B,'Step 2'!A638,'Support - Transition'!C:C,'Step 2'!B638,'Support - Transition'!D:D,'Step 2'!C638,'Support - Transition'!E:E,"CIVIL")</f>
        <v>0</v>
      </c>
      <c r="H638" s="126">
        <f>SUMIFS('Support - Transition'!F:F,'Support - Transition'!B:B,'Step 2'!A638,'Support - Transition'!C:C,'Step 2'!B638,'Support - Transition'!D:D,'Step 2'!C638,'Support - Transition'!E:E,"FIRE")</f>
        <v>0</v>
      </c>
      <c r="I638" s="126">
        <f>IF(B638="0",SUMIFS('Support - Transition'!F:F,'Support - Transition'!J:J,'Step 2'!D638,'Support - Transition'!E:E,"STATE UNIT"),SUMIFS('Support - Transition'!F:F,'Support - Transition'!J:J,'Step 2'!D638))</f>
        <v>0.279503</v>
      </c>
      <c r="J638" s="126">
        <f>SUMIFS('Support - Unit Adjustments'!E:E,'Support - Unit Adjustments'!F:F,'Step 2'!D638)</f>
        <v>0</v>
      </c>
      <c r="K638" s="126">
        <f t="shared" si="175"/>
        <v>0.279503</v>
      </c>
      <c r="L638" s="174">
        <f>VLOOKUP(A638,'Step 1'!$A:$E,4,FALSE)</f>
        <v>99816</v>
      </c>
      <c r="M638" s="47">
        <f t="shared" si="176"/>
        <v>27899</v>
      </c>
      <c r="N638" s="177">
        <f>SUMIFS('Support - Transition'!G:G,'Support - Transition'!J:J,'Step 2'!D638,'Support - Transition'!E:E,"2009 WELFARE ALLOCATION FACTOR")</f>
        <v>0</v>
      </c>
      <c r="O638" s="152">
        <f t="shared" si="181"/>
        <v>0</v>
      </c>
      <c r="P638" s="126">
        <f>IF(E638="Y",0,SUMIFS('Support - Transition'!G:G,'Support - Transition'!J:J,'Step 2'!D638,'Support - Transition'!E:E,"2009 SCHOOL ALLOCATION FACTOR"))</f>
        <v>0.49110100000000001</v>
      </c>
      <c r="Q638" s="126">
        <f>IF(E638="Y",VLOOKUP(D638,'Support - Unit Adjustments'!F:G,2,FALSE),0)</f>
        <v>0</v>
      </c>
      <c r="R638" s="155">
        <f t="shared" si="193"/>
        <v>0.49110100000000001</v>
      </c>
      <c r="S638" s="47">
        <f t="shared" si="192"/>
        <v>13701</v>
      </c>
      <c r="T638" s="151">
        <f t="shared" si="177"/>
        <v>14198</v>
      </c>
      <c r="U638" s="151">
        <f t="shared" si="178"/>
        <v>0</v>
      </c>
      <c r="V638" s="139">
        <f t="shared" si="179"/>
        <v>0</v>
      </c>
      <c r="W638" s="152">
        <f t="shared" si="182"/>
        <v>14198</v>
      </c>
      <c r="X638" s="127" t="str">
        <f t="shared" si="180"/>
        <v/>
      </c>
      <c r="Y638" s="207">
        <f t="shared" si="183"/>
        <v>14198</v>
      </c>
      <c r="Z638" s="139">
        <f t="shared" si="184"/>
        <v>14198</v>
      </c>
      <c r="AA638" s="139">
        <f t="shared" si="185"/>
        <v>0</v>
      </c>
      <c r="AC638" s="47">
        <f t="shared" si="186"/>
        <v>7099</v>
      </c>
      <c r="AD638" s="47">
        <f t="shared" si="187"/>
        <v>7099</v>
      </c>
      <c r="AE638" s="47">
        <f t="shared" si="188"/>
        <v>0</v>
      </c>
      <c r="AG638" s="47">
        <f t="shared" si="189"/>
        <v>7099</v>
      </c>
      <c r="AH638" s="47">
        <f t="shared" si="190"/>
        <v>7099</v>
      </c>
      <c r="AI638" s="208">
        <f t="shared" si="191"/>
        <v>0</v>
      </c>
    </row>
    <row r="639" spans="1:35">
      <c r="A639" t="s">
        <v>2109</v>
      </c>
      <c r="B639" t="s">
        <v>3166</v>
      </c>
      <c r="C639" t="s">
        <v>2441</v>
      </c>
      <c r="D639" t="s">
        <v>3898</v>
      </c>
      <c r="F639" t="s">
        <v>520</v>
      </c>
      <c r="G639" s="126">
        <f>SUMIFS('Support - Transition'!F:F,'Support - Transition'!B:B,'Step 2'!A639,'Support - Transition'!C:C,'Step 2'!B639,'Support - Transition'!D:D,'Step 2'!C639,'Support - Transition'!E:E,"CIVIL")</f>
        <v>0</v>
      </c>
      <c r="H639" s="126">
        <f>SUMIFS('Support - Transition'!F:F,'Support - Transition'!B:B,'Step 2'!A639,'Support - Transition'!C:C,'Step 2'!B639,'Support - Transition'!D:D,'Step 2'!C639,'Support - Transition'!E:E,"FIRE")</f>
        <v>0</v>
      </c>
      <c r="I639" s="126">
        <f>IF(B639="0",SUMIFS('Support - Transition'!F:F,'Support - Transition'!J:J,'Step 2'!D639,'Support - Transition'!E:E,"STATE UNIT"),SUMIFS('Support - Transition'!F:F,'Support - Transition'!J:J,'Step 2'!D639))</f>
        <v>1.1743E-2</v>
      </c>
      <c r="J639" s="126">
        <f>SUMIFS('Support - Unit Adjustments'!E:E,'Support - Unit Adjustments'!F:F,'Step 2'!D639)</f>
        <v>0</v>
      </c>
      <c r="K639" s="126">
        <f t="shared" si="175"/>
        <v>1.1743E-2</v>
      </c>
      <c r="L639" s="174">
        <f>VLOOKUP(A639,'Step 1'!$A:$E,4,FALSE)</f>
        <v>99816</v>
      </c>
      <c r="M639" s="47">
        <f t="shared" si="176"/>
        <v>1172</v>
      </c>
      <c r="N639" s="177">
        <f>SUMIFS('Support - Transition'!G:G,'Support - Transition'!J:J,'Step 2'!D639,'Support - Transition'!E:E,"2009 WELFARE ALLOCATION FACTOR")</f>
        <v>0</v>
      </c>
      <c r="O639" s="152">
        <f t="shared" si="181"/>
        <v>0</v>
      </c>
      <c r="P639" s="126">
        <f>IF(E639="Y",0,SUMIFS('Support - Transition'!G:G,'Support - Transition'!J:J,'Step 2'!D639,'Support - Transition'!E:E,"2009 SCHOOL ALLOCATION FACTOR"))</f>
        <v>0</v>
      </c>
      <c r="Q639" s="126">
        <f>IF(E639="Y",VLOOKUP(D639,'Support - Unit Adjustments'!F:G,2,FALSE),0)</f>
        <v>0</v>
      </c>
      <c r="R639" s="155">
        <f t="shared" si="193"/>
        <v>0</v>
      </c>
      <c r="S639" s="47">
        <f t="shared" si="192"/>
        <v>0</v>
      </c>
      <c r="T639" s="151">
        <f t="shared" si="177"/>
        <v>1172</v>
      </c>
      <c r="U639" s="151">
        <f t="shared" si="178"/>
        <v>0</v>
      </c>
      <c r="V639" s="139">
        <f t="shared" si="179"/>
        <v>0</v>
      </c>
      <c r="W639" s="152">
        <f t="shared" si="182"/>
        <v>1172</v>
      </c>
      <c r="X639" s="127" t="str">
        <f t="shared" si="180"/>
        <v/>
      </c>
      <c r="Y639" s="207">
        <f t="shared" si="183"/>
        <v>1172</v>
      </c>
      <c r="Z639" s="139">
        <f t="shared" si="184"/>
        <v>1172</v>
      </c>
      <c r="AA639" s="139">
        <f t="shared" si="185"/>
        <v>0</v>
      </c>
      <c r="AC639" s="47">
        <f t="shared" si="186"/>
        <v>586</v>
      </c>
      <c r="AD639" s="47">
        <f t="shared" si="187"/>
        <v>586</v>
      </c>
      <c r="AE639" s="47">
        <f t="shared" si="188"/>
        <v>0</v>
      </c>
      <c r="AG639" s="47">
        <f t="shared" si="189"/>
        <v>586</v>
      </c>
      <c r="AH639" s="47">
        <f t="shared" si="190"/>
        <v>586</v>
      </c>
      <c r="AI639" s="208">
        <f t="shared" si="191"/>
        <v>0</v>
      </c>
    </row>
    <row r="640" spans="1:35">
      <c r="A640" t="s">
        <v>2109</v>
      </c>
      <c r="B640" t="s">
        <v>3166</v>
      </c>
      <c r="C640" t="s">
        <v>3899</v>
      </c>
      <c r="D640" t="s">
        <v>3900</v>
      </c>
      <c r="F640" t="s">
        <v>521</v>
      </c>
      <c r="G640" s="126">
        <f>SUMIFS('Support - Transition'!F:F,'Support - Transition'!B:B,'Step 2'!A640,'Support - Transition'!C:C,'Step 2'!B640,'Support - Transition'!D:D,'Step 2'!C640,'Support - Transition'!E:E,"CIVIL")</f>
        <v>0</v>
      </c>
      <c r="H640" s="126">
        <f>SUMIFS('Support - Transition'!F:F,'Support - Transition'!B:B,'Step 2'!A640,'Support - Transition'!C:C,'Step 2'!B640,'Support - Transition'!D:D,'Step 2'!C640,'Support - Transition'!E:E,"FIRE")</f>
        <v>0</v>
      </c>
      <c r="I640" s="126">
        <f>IF(B640="0",SUMIFS('Support - Transition'!F:F,'Support - Transition'!J:J,'Step 2'!D640,'Support - Transition'!E:E,"STATE UNIT"),SUMIFS('Support - Transition'!F:F,'Support - Transition'!J:J,'Step 2'!D640))</f>
        <v>3.0409999999999999E-3</v>
      </c>
      <c r="J640" s="126">
        <f>SUMIFS('Support - Unit Adjustments'!E:E,'Support - Unit Adjustments'!F:F,'Step 2'!D640)</f>
        <v>0</v>
      </c>
      <c r="K640" s="126">
        <f t="shared" si="175"/>
        <v>3.0409999999999999E-3</v>
      </c>
      <c r="L640" s="174">
        <f>VLOOKUP(A640,'Step 1'!$A:$E,4,FALSE)</f>
        <v>99816</v>
      </c>
      <c r="M640" s="47">
        <f t="shared" si="176"/>
        <v>304</v>
      </c>
      <c r="N640" s="177">
        <f>SUMIFS('Support - Transition'!G:G,'Support - Transition'!J:J,'Step 2'!D640,'Support - Transition'!E:E,"2009 WELFARE ALLOCATION FACTOR")</f>
        <v>0</v>
      </c>
      <c r="O640" s="152">
        <f t="shared" si="181"/>
        <v>0</v>
      </c>
      <c r="P640" s="126">
        <f>IF(E640="Y",0,SUMIFS('Support - Transition'!G:G,'Support - Transition'!J:J,'Step 2'!D640,'Support - Transition'!E:E,"2009 SCHOOL ALLOCATION FACTOR"))</f>
        <v>0</v>
      </c>
      <c r="Q640" s="126">
        <f>IF(E640="Y",VLOOKUP(D640,'Support - Unit Adjustments'!F:G,2,FALSE),0)</f>
        <v>0</v>
      </c>
      <c r="R640" s="155">
        <f t="shared" si="193"/>
        <v>0</v>
      </c>
      <c r="S640" s="47">
        <f t="shared" si="192"/>
        <v>0</v>
      </c>
      <c r="T640" s="151">
        <f t="shared" si="177"/>
        <v>304</v>
      </c>
      <c r="U640" s="151">
        <f t="shared" si="178"/>
        <v>0</v>
      </c>
      <c r="V640" s="139">
        <f t="shared" si="179"/>
        <v>0</v>
      </c>
      <c r="W640" s="152">
        <f t="shared" si="182"/>
        <v>304</v>
      </c>
      <c r="X640" s="127" t="str">
        <f t="shared" si="180"/>
        <v/>
      </c>
      <c r="Y640" s="207">
        <f t="shared" si="183"/>
        <v>304</v>
      </c>
      <c r="Z640" s="139">
        <f t="shared" si="184"/>
        <v>304</v>
      </c>
      <c r="AA640" s="139">
        <f t="shared" si="185"/>
        <v>0</v>
      </c>
      <c r="AC640" s="47">
        <f t="shared" si="186"/>
        <v>152</v>
      </c>
      <c r="AD640" s="47">
        <f t="shared" si="187"/>
        <v>152</v>
      </c>
      <c r="AE640" s="47">
        <f t="shared" si="188"/>
        <v>0</v>
      </c>
      <c r="AG640" s="47">
        <f t="shared" si="189"/>
        <v>152</v>
      </c>
      <c r="AH640" s="47">
        <f t="shared" si="190"/>
        <v>152</v>
      </c>
      <c r="AI640" s="208">
        <f t="shared" si="191"/>
        <v>0</v>
      </c>
    </row>
    <row r="641" spans="1:35">
      <c r="A641" t="s">
        <v>2109</v>
      </c>
      <c r="B641" t="s">
        <v>3166</v>
      </c>
      <c r="C641" t="s">
        <v>2442</v>
      </c>
      <c r="D641" t="s">
        <v>3901</v>
      </c>
      <c r="F641" t="s">
        <v>519</v>
      </c>
      <c r="G641" s="126">
        <f>SUMIFS('Support - Transition'!F:F,'Support - Transition'!B:B,'Step 2'!A641,'Support - Transition'!C:C,'Step 2'!B641,'Support - Transition'!D:D,'Step 2'!C641,'Support - Transition'!E:E,"CIVIL")</f>
        <v>0</v>
      </c>
      <c r="H641" s="126">
        <f>SUMIFS('Support - Transition'!F:F,'Support - Transition'!B:B,'Step 2'!A641,'Support - Transition'!C:C,'Step 2'!B641,'Support - Transition'!D:D,'Step 2'!C641,'Support - Transition'!E:E,"FIRE")</f>
        <v>0</v>
      </c>
      <c r="I641" s="126">
        <f>IF(B641="0",SUMIFS('Support - Transition'!F:F,'Support - Transition'!J:J,'Step 2'!D641,'Support - Transition'!E:E,"STATE UNIT"),SUMIFS('Support - Transition'!F:F,'Support - Transition'!J:J,'Step 2'!D641))</f>
        <v>4.9579999999999997E-3</v>
      </c>
      <c r="J641" s="126">
        <f>SUMIFS('Support - Unit Adjustments'!E:E,'Support - Unit Adjustments'!F:F,'Step 2'!D641)</f>
        <v>0</v>
      </c>
      <c r="K641" s="126">
        <f t="shared" si="175"/>
        <v>4.9579999999999997E-3</v>
      </c>
      <c r="L641" s="174">
        <f>VLOOKUP(A641,'Step 1'!$A:$E,4,FALSE)</f>
        <v>99816</v>
      </c>
      <c r="M641" s="47">
        <f t="shared" si="176"/>
        <v>495</v>
      </c>
      <c r="N641" s="177">
        <f>SUMIFS('Support - Transition'!G:G,'Support - Transition'!J:J,'Step 2'!D641,'Support - Transition'!E:E,"2009 WELFARE ALLOCATION FACTOR")</f>
        <v>0</v>
      </c>
      <c r="O641" s="152">
        <f t="shared" si="181"/>
        <v>0</v>
      </c>
      <c r="P641" s="126">
        <f>IF(E641="Y",0,SUMIFS('Support - Transition'!G:G,'Support - Transition'!J:J,'Step 2'!D641,'Support - Transition'!E:E,"2009 SCHOOL ALLOCATION FACTOR"))</f>
        <v>0</v>
      </c>
      <c r="Q641" s="126">
        <f>IF(E641="Y",VLOOKUP(D641,'Support - Unit Adjustments'!F:G,2,FALSE),0)</f>
        <v>0</v>
      </c>
      <c r="R641" s="155">
        <f t="shared" si="193"/>
        <v>0</v>
      </c>
      <c r="S641" s="47">
        <f t="shared" si="192"/>
        <v>0</v>
      </c>
      <c r="T641" s="151">
        <f t="shared" si="177"/>
        <v>495</v>
      </c>
      <c r="U641" s="151">
        <f t="shared" si="178"/>
        <v>0</v>
      </c>
      <c r="V641" s="139">
        <f t="shared" si="179"/>
        <v>0</v>
      </c>
      <c r="W641" s="152">
        <f t="shared" si="182"/>
        <v>495</v>
      </c>
      <c r="X641" s="127" t="str">
        <f t="shared" si="180"/>
        <v/>
      </c>
      <c r="Y641" s="207">
        <f t="shared" si="183"/>
        <v>495</v>
      </c>
      <c r="Z641" s="139">
        <f t="shared" si="184"/>
        <v>495</v>
      </c>
      <c r="AA641" s="139">
        <f t="shared" si="185"/>
        <v>0</v>
      </c>
      <c r="AC641" s="47">
        <f t="shared" si="186"/>
        <v>248</v>
      </c>
      <c r="AD641" s="47">
        <f t="shared" si="187"/>
        <v>248</v>
      </c>
      <c r="AE641" s="47">
        <f t="shared" si="188"/>
        <v>0</v>
      </c>
      <c r="AG641" s="47">
        <f t="shared" si="189"/>
        <v>247</v>
      </c>
      <c r="AH641" s="47">
        <f t="shared" si="190"/>
        <v>247</v>
      </c>
      <c r="AI641" s="208">
        <f t="shared" si="191"/>
        <v>0</v>
      </c>
    </row>
    <row r="642" spans="1:35">
      <c r="A642" t="s">
        <v>2109</v>
      </c>
      <c r="B642" t="s">
        <v>3170</v>
      </c>
      <c r="C642" t="s">
        <v>3902</v>
      </c>
      <c r="D642" t="s">
        <v>3903</v>
      </c>
      <c r="F642" t="s">
        <v>3904</v>
      </c>
      <c r="G642" s="126">
        <f>SUMIFS('Support - Transition'!F:F,'Support - Transition'!B:B,'Step 2'!A642,'Support - Transition'!C:C,'Step 2'!B642,'Support - Transition'!D:D,'Step 2'!C642,'Support - Transition'!E:E,"CIVIL")</f>
        <v>0</v>
      </c>
      <c r="H642" s="126">
        <f>SUMIFS('Support - Transition'!F:F,'Support - Transition'!B:B,'Step 2'!A642,'Support - Transition'!C:C,'Step 2'!B642,'Support - Transition'!D:D,'Step 2'!C642,'Support - Transition'!E:E,"FIRE")</f>
        <v>0</v>
      </c>
      <c r="I642" s="126">
        <f>IF(B642="0",SUMIFS('Support - Transition'!F:F,'Support - Transition'!J:J,'Step 2'!D642,'Support - Transition'!E:E,"STATE UNIT"),SUMIFS('Support - Transition'!F:F,'Support - Transition'!J:J,'Step 2'!D642))</f>
        <v>1.5849000000000002E-2</v>
      </c>
      <c r="J642" s="126">
        <f>SUMIFS('Support - Unit Adjustments'!E:E,'Support - Unit Adjustments'!F:F,'Step 2'!D642)</f>
        <v>0</v>
      </c>
      <c r="K642" s="126">
        <f t="shared" ref="K642:K705" si="194">+I642+J642</f>
        <v>1.5849000000000002E-2</v>
      </c>
      <c r="L642" s="174">
        <f>VLOOKUP(A642,'Step 1'!$A:$E,4,FALSE)</f>
        <v>99816</v>
      </c>
      <c r="M642" s="47">
        <f t="shared" ref="M642:M705" si="195">ROUND(+K642*L642,0)</f>
        <v>1582</v>
      </c>
      <c r="N642" s="177">
        <f>SUMIFS('Support - Transition'!G:G,'Support - Transition'!J:J,'Step 2'!D642,'Support - Transition'!E:E,"2009 WELFARE ALLOCATION FACTOR")</f>
        <v>0</v>
      </c>
      <c r="O642" s="152">
        <f t="shared" si="181"/>
        <v>0</v>
      </c>
      <c r="P642" s="126">
        <f>IF(E642="Y",0,SUMIFS('Support - Transition'!G:G,'Support - Transition'!J:J,'Step 2'!D642,'Support - Transition'!E:E,"2009 SCHOOL ALLOCATION FACTOR"))</f>
        <v>0</v>
      </c>
      <c r="Q642" s="126">
        <f>IF(E642="Y",VLOOKUP(D642,'Support - Unit Adjustments'!F:G,2,FALSE),0)</f>
        <v>0</v>
      </c>
      <c r="R642" s="155">
        <f t="shared" si="193"/>
        <v>0</v>
      </c>
      <c r="S642" s="47">
        <f t="shared" si="192"/>
        <v>0</v>
      </c>
      <c r="T642" s="151">
        <f t="shared" ref="T642:T705" si="196">ROUND(+M642-O642-S642,2)</f>
        <v>1582</v>
      </c>
      <c r="U642" s="151">
        <f t="shared" ref="U642:U705" si="197">IF(B642="0",SUMIFS(O:O,A:A,A642)+SUMIFS(S:S,A:A,A642)+SUMIFS(T:T,A:A,A642),0)</f>
        <v>0</v>
      </c>
      <c r="V642" s="139">
        <f t="shared" ref="V642:V705" si="198">IF(B642="0",U642-L642,0)</f>
        <v>0</v>
      </c>
      <c r="W642" s="152">
        <f t="shared" si="182"/>
        <v>1582</v>
      </c>
      <c r="X642" s="127" t="str">
        <f t="shared" ref="X642:X705" si="199">IF(B642="0",SUMIFS(O:O,A:A,A642)+SUMIFS(S:S,A:A,A642)+SUMIFS(W:W,A:A,A642)-L642,"")</f>
        <v/>
      </c>
      <c r="Y642" s="207">
        <f t="shared" si="183"/>
        <v>1582</v>
      </c>
      <c r="Z642" s="139">
        <f t="shared" si="184"/>
        <v>1582</v>
      </c>
      <c r="AA642" s="139">
        <f t="shared" si="185"/>
        <v>0</v>
      </c>
      <c r="AC642" s="47">
        <f t="shared" si="186"/>
        <v>791</v>
      </c>
      <c r="AD642" s="47">
        <f t="shared" si="187"/>
        <v>791</v>
      </c>
      <c r="AE642" s="47">
        <f t="shared" si="188"/>
        <v>0</v>
      </c>
      <c r="AG642" s="47">
        <f t="shared" si="189"/>
        <v>791</v>
      </c>
      <c r="AH642" s="47">
        <f t="shared" si="190"/>
        <v>791</v>
      </c>
      <c r="AI642" s="208">
        <f t="shared" si="191"/>
        <v>0</v>
      </c>
    </row>
    <row r="643" spans="1:35">
      <c r="A643" t="s">
        <v>2109</v>
      </c>
      <c r="B643" t="s">
        <v>3170</v>
      </c>
      <c r="C643" t="s">
        <v>3905</v>
      </c>
      <c r="D643" t="s">
        <v>3906</v>
      </c>
      <c r="F643" t="s">
        <v>3907</v>
      </c>
      <c r="G643" s="126">
        <f>SUMIFS('Support - Transition'!F:F,'Support - Transition'!B:B,'Step 2'!A643,'Support - Transition'!C:C,'Step 2'!B643,'Support - Transition'!D:D,'Step 2'!C643,'Support - Transition'!E:E,"CIVIL")</f>
        <v>0</v>
      </c>
      <c r="H643" s="126">
        <f>SUMIFS('Support - Transition'!F:F,'Support - Transition'!B:B,'Step 2'!A643,'Support - Transition'!C:C,'Step 2'!B643,'Support - Transition'!D:D,'Step 2'!C643,'Support - Transition'!E:E,"FIRE")</f>
        <v>0</v>
      </c>
      <c r="I643" s="126">
        <f>IF(B643="0",SUMIFS('Support - Transition'!F:F,'Support - Transition'!J:J,'Step 2'!D643,'Support - Transition'!E:E,"STATE UNIT"),SUMIFS('Support - Transition'!F:F,'Support - Transition'!J:J,'Step 2'!D643))</f>
        <v>0</v>
      </c>
      <c r="J643" s="126">
        <f>SUMIFS('Support - Unit Adjustments'!E:E,'Support - Unit Adjustments'!F:F,'Step 2'!D643)</f>
        <v>0</v>
      </c>
      <c r="K643" s="126">
        <f t="shared" si="194"/>
        <v>0</v>
      </c>
      <c r="L643" s="174">
        <f>VLOOKUP(A643,'Step 1'!$A:$E,4,FALSE)</f>
        <v>99816</v>
      </c>
      <c r="M643" s="47">
        <f t="shared" si="195"/>
        <v>0</v>
      </c>
      <c r="N643" s="177">
        <f>SUMIFS('Support - Transition'!G:G,'Support - Transition'!J:J,'Step 2'!D643,'Support - Transition'!E:E,"2009 WELFARE ALLOCATION FACTOR")</f>
        <v>0</v>
      </c>
      <c r="O643" s="152">
        <f t="shared" ref="O643:O706" si="200">ROUND(+N643*M643,0)</f>
        <v>0</v>
      </c>
      <c r="P643" s="126">
        <f>IF(E643="Y",0,SUMIFS('Support - Transition'!G:G,'Support - Transition'!J:J,'Step 2'!D643,'Support - Transition'!E:E,"2009 SCHOOL ALLOCATION FACTOR"))</f>
        <v>0</v>
      </c>
      <c r="Q643" s="126">
        <f>IF(E643="Y",VLOOKUP(D643,'Support - Unit Adjustments'!F:G,2,FALSE),0)</f>
        <v>0</v>
      </c>
      <c r="R643" s="155">
        <f t="shared" si="193"/>
        <v>0</v>
      </c>
      <c r="S643" s="47">
        <f t="shared" si="192"/>
        <v>0</v>
      </c>
      <c r="T643" s="151">
        <f t="shared" si="196"/>
        <v>0</v>
      </c>
      <c r="U643" s="151">
        <f t="shared" si="197"/>
        <v>0</v>
      </c>
      <c r="V643" s="139">
        <f t="shared" si="198"/>
        <v>0</v>
      </c>
      <c r="W643" s="152">
        <f t="shared" ref="W643:W706" si="201">+T643-V643</f>
        <v>0</v>
      </c>
      <c r="X643" s="127" t="str">
        <f t="shared" si="199"/>
        <v/>
      </c>
      <c r="Y643" s="207">
        <f t="shared" ref="Y643:Y706" si="202">W643</f>
        <v>0</v>
      </c>
      <c r="Z643" s="139">
        <f t="shared" ref="Z643:Z706" si="203">IFERROR(IF(B643="2",ROUND(Y643*G643/I643,0),Y643),0)</f>
        <v>0</v>
      </c>
      <c r="AA643" s="139">
        <f t="shared" ref="AA643:AA706" si="204">+Y643-Z643</f>
        <v>0</v>
      </c>
      <c r="AC643" s="47">
        <f t="shared" ref="AC643:AC706" si="205">ROUND(Y643/2,0)</f>
        <v>0</v>
      </c>
      <c r="AD643" s="47">
        <f t="shared" ref="AD643:AD706" si="206">ROUND(Z643/2,0)</f>
        <v>0</v>
      </c>
      <c r="AE643" s="47">
        <f t="shared" ref="AE643:AE706" si="207">ROUND(AA643/2,0)</f>
        <v>0</v>
      </c>
      <c r="AG643" s="47">
        <f t="shared" ref="AG643:AG706" si="208">+Y643-AC643</f>
        <v>0</v>
      </c>
      <c r="AH643" s="47">
        <f t="shared" ref="AH643:AH706" si="209">+Z643-AD643</f>
        <v>0</v>
      </c>
      <c r="AI643" s="208">
        <f t="shared" ref="AI643:AI706" si="210">+AA643-AE643</f>
        <v>0</v>
      </c>
    </row>
    <row r="644" spans="1:35">
      <c r="A644" t="s">
        <v>2110</v>
      </c>
      <c r="B644" s="48" t="s">
        <v>6274</v>
      </c>
      <c r="C644" t="s">
        <v>2187</v>
      </c>
      <c r="D644" t="str">
        <f>A644&amp;B644&amp;C644</f>
        <v>2400000</v>
      </c>
      <c r="F644" t="s">
        <v>6298</v>
      </c>
      <c r="G644" s="126">
        <f>SUMIFS('Support - Transition'!F:F,'Support - Transition'!B:B,'Step 2'!A644,'Support - Transition'!C:C,'Step 2'!B644,'Support - Transition'!D:D,'Step 2'!C644,'Support - Transition'!E:E,"CIVIL")</f>
        <v>0</v>
      </c>
      <c r="H644" s="126">
        <f>SUMIFS('Support - Transition'!F:F,'Support - Transition'!B:B,'Step 2'!A644,'Support - Transition'!C:C,'Step 2'!B644,'Support - Transition'!D:D,'Step 2'!C644,'Support - Transition'!E:E,"FIRE")</f>
        <v>0</v>
      </c>
      <c r="I644" s="126">
        <f>IF(B644="0",SUMIFS('Support - Transition'!F:F,'Support - Transition'!J:J,'Step 2'!D644,'Support - Transition'!E:E,"STATE UNIT"),SUMIFS('Support - Transition'!F:F,'Support - Transition'!J:J,'Step 2'!D644))</f>
        <v>1.4829999999999999E-3</v>
      </c>
      <c r="J644" s="126">
        <f>SUMIFS('Support - Unit Adjustments'!E:E,'Support - Unit Adjustments'!F:F,'Step 2'!D644)</f>
        <v>0</v>
      </c>
      <c r="K644" s="126">
        <f t="shared" si="194"/>
        <v>1.4829999999999999E-3</v>
      </c>
      <c r="L644" s="174">
        <f>VLOOKUP(A644,'Step 1'!$A:$E,4,FALSE)</f>
        <v>152983</v>
      </c>
      <c r="M644" s="47">
        <f t="shared" si="195"/>
        <v>227</v>
      </c>
      <c r="N644" s="177">
        <f>SUMIFS('Support - Transition'!G:G,'Support - Transition'!J:J,'Step 2'!D644,'Support - Transition'!E:E,"2009 WELFARE ALLOCATION FACTOR")</f>
        <v>0</v>
      </c>
      <c r="O644" s="152">
        <f t="shared" si="200"/>
        <v>0</v>
      </c>
      <c r="P644" s="126">
        <f>IF(E644="Y",0,SUMIFS('Support - Transition'!G:G,'Support - Transition'!J:J,'Step 2'!D644,'Support - Transition'!E:E,"2009 SCHOOL ALLOCATION FACTOR"))</f>
        <v>0</v>
      </c>
      <c r="Q644" s="126">
        <f>IF(E644="Y",VLOOKUP(D644,'Support - Unit Adjustments'!F:G,2,FALSE),0)</f>
        <v>0</v>
      </c>
      <c r="R644" s="155">
        <f t="shared" si="193"/>
        <v>0</v>
      </c>
      <c r="S644" s="47">
        <f t="shared" si="192"/>
        <v>0</v>
      </c>
      <c r="T644" s="151">
        <f t="shared" si="196"/>
        <v>227</v>
      </c>
      <c r="U644" s="151">
        <f t="shared" si="197"/>
        <v>152984</v>
      </c>
      <c r="V644" s="139">
        <f t="shared" si="198"/>
        <v>1</v>
      </c>
      <c r="W644" s="152">
        <f t="shared" si="201"/>
        <v>226</v>
      </c>
      <c r="X644" s="127">
        <f t="shared" si="199"/>
        <v>0</v>
      </c>
      <c r="Y644" s="207">
        <f t="shared" si="202"/>
        <v>226</v>
      </c>
      <c r="Z644" s="139">
        <f t="shared" si="203"/>
        <v>226</v>
      </c>
      <c r="AA644" s="139">
        <f t="shared" si="204"/>
        <v>0</v>
      </c>
      <c r="AC644" s="47">
        <f t="shared" si="205"/>
        <v>113</v>
      </c>
      <c r="AD644" s="47">
        <f t="shared" si="206"/>
        <v>113</v>
      </c>
      <c r="AE644" s="47">
        <f t="shared" si="207"/>
        <v>0</v>
      </c>
      <c r="AG644" s="47">
        <f t="shared" si="208"/>
        <v>113</v>
      </c>
      <c r="AH644" s="47">
        <f t="shared" si="209"/>
        <v>113</v>
      </c>
      <c r="AI644" s="208">
        <f t="shared" si="210"/>
        <v>0</v>
      </c>
    </row>
    <row r="645" spans="1:35">
      <c r="A645" t="s">
        <v>2110</v>
      </c>
      <c r="B645" t="s">
        <v>3140</v>
      </c>
      <c r="C645" t="s">
        <v>2187</v>
      </c>
      <c r="D645" t="s">
        <v>3908</v>
      </c>
      <c r="F645" t="s">
        <v>524</v>
      </c>
      <c r="G645" s="126">
        <f>SUMIFS('Support - Transition'!F:F,'Support - Transition'!B:B,'Step 2'!A645,'Support - Transition'!C:C,'Step 2'!B645,'Support - Transition'!D:D,'Step 2'!C645,'Support - Transition'!E:E,"CIVIL")</f>
        <v>0</v>
      </c>
      <c r="H645" s="126">
        <f>SUMIFS('Support - Transition'!F:F,'Support - Transition'!B:B,'Step 2'!A645,'Support - Transition'!C:C,'Step 2'!B645,'Support - Transition'!D:D,'Step 2'!C645,'Support - Transition'!E:E,"FIRE")</f>
        <v>0</v>
      </c>
      <c r="I645" s="126">
        <f>IF(B645="0",SUMIFS('Support - Transition'!F:F,'Support - Transition'!J:J,'Step 2'!D645,'Support - Transition'!E:E,"STATE UNIT"),SUMIFS('Support - Transition'!F:F,'Support - Transition'!J:J,'Step 2'!D645))</f>
        <v>0.17039699999999999</v>
      </c>
      <c r="J645" s="126">
        <f>SUMIFS('Support - Unit Adjustments'!E:E,'Support - Unit Adjustments'!F:F,'Step 2'!D645)</f>
        <v>0</v>
      </c>
      <c r="K645" s="126">
        <f t="shared" si="194"/>
        <v>0.17039699999999999</v>
      </c>
      <c r="L645" s="174">
        <f>VLOOKUP(A645,'Step 1'!$A:$E,4,FALSE)</f>
        <v>152983</v>
      </c>
      <c r="M645" s="47">
        <f t="shared" si="195"/>
        <v>26068</v>
      </c>
      <c r="N645" s="177">
        <f>SUMIFS('Support - Transition'!G:G,'Support - Transition'!J:J,'Step 2'!D645,'Support - Transition'!E:E,"2009 WELFARE ALLOCATION FACTOR")</f>
        <v>0.227018</v>
      </c>
      <c r="O645" s="152">
        <f t="shared" si="200"/>
        <v>5918</v>
      </c>
      <c r="P645" s="126">
        <f>IF(E645="Y",0,SUMIFS('Support - Transition'!G:G,'Support - Transition'!J:J,'Step 2'!D645,'Support - Transition'!E:E,"2009 SCHOOL ALLOCATION FACTOR"))</f>
        <v>0</v>
      </c>
      <c r="Q645" s="126">
        <f>IF(E645="Y",VLOOKUP(D645,'Support - Unit Adjustments'!F:G,2,FALSE),0)</f>
        <v>0</v>
      </c>
      <c r="R645" s="155">
        <f t="shared" si="193"/>
        <v>0</v>
      </c>
      <c r="S645" s="47">
        <f t="shared" si="192"/>
        <v>0</v>
      </c>
      <c r="T645" s="151">
        <f t="shared" si="196"/>
        <v>20150</v>
      </c>
      <c r="U645" s="151">
        <f t="shared" si="197"/>
        <v>0</v>
      </c>
      <c r="V645" s="139">
        <f t="shared" si="198"/>
        <v>0</v>
      </c>
      <c r="W645" s="152">
        <f t="shared" si="201"/>
        <v>20150</v>
      </c>
      <c r="X645" s="127" t="str">
        <f t="shared" si="199"/>
        <v/>
      </c>
      <c r="Y645" s="207">
        <f t="shared" si="202"/>
        <v>20150</v>
      </c>
      <c r="Z645" s="139">
        <f t="shared" si="203"/>
        <v>20150</v>
      </c>
      <c r="AA645" s="139">
        <f t="shared" si="204"/>
        <v>0</v>
      </c>
      <c r="AC645" s="47">
        <f t="shared" si="205"/>
        <v>10075</v>
      </c>
      <c r="AD645" s="47">
        <f t="shared" si="206"/>
        <v>10075</v>
      </c>
      <c r="AE645" s="47">
        <f t="shared" si="207"/>
        <v>0</v>
      </c>
      <c r="AG645" s="47">
        <f t="shared" si="208"/>
        <v>10075</v>
      </c>
      <c r="AH645" s="47">
        <f t="shared" si="209"/>
        <v>10075</v>
      </c>
      <c r="AI645" s="208">
        <f t="shared" si="210"/>
        <v>0</v>
      </c>
    </row>
    <row r="646" spans="1:35">
      <c r="A646" t="s">
        <v>2110</v>
      </c>
      <c r="B646" t="s">
        <v>3142</v>
      </c>
      <c r="C646" t="s">
        <v>2188</v>
      </c>
      <c r="D646" t="s">
        <v>3909</v>
      </c>
      <c r="F646" t="s">
        <v>525</v>
      </c>
      <c r="G646" s="126">
        <f>SUMIFS('Support - Transition'!F:F,'Support - Transition'!B:B,'Step 2'!A646,'Support - Transition'!C:C,'Step 2'!B646,'Support - Transition'!D:D,'Step 2'!C646,'Support - Transition'!E:E,"CIVIL")</f>
        <v>4.1100000000000002E-4</v>
      </c>
      <c r="H646" s="126">
        <f>SUMIFS('Support - Transition'!F:F,'Support - Transition'!B:B,'Step 2'!A646,'Support - Transition'!C:C,'Step 2'!B646,'Support - Transition'!D:D,'Step 2'!C646,'Support - Transition'!E:E,"FIRE")</f>
        <v>2.03E-4</v>
      </c>
      <c r="I646" s="126">
        <f>IF(B646="0",SUMIFS('Support - Transition'!F:F,'Support - Transition'!J:J,'Step 2'!D646,'Support - Transition'!E:E,"STATE UNIT"),SUMIFS('Support - Transition'!F:F,'Support - Transition'!J:J,'Step 2'!D646))</f>
        <v>6.1399999999999996E-4</v>
      </c>
      <c r="J646" s="126">
        <f>SUMIFS('Support - Unit Adjustments'!E:E,'Support - Unit Adjustments'!F:F,'Step 2'!D646)</f>
        <v>0</v>
      </c>
      <c r="K646" s="126">
        <f t="shared" si="194"/>
        <v>6.1399999999999996E-4</v>
      </c>
      <c r="L646" s="174">
        <f>VLOOKUP(A646,'Step 1'!$A:$E,4,FALSE)</f>
        <v>152983</v>
      </c>
      <c r="M646" s="47">
        <f t="shared" si="195"/>
        <v>94</v>
      </c>
      <c r="N646" s="177">
        <f>SUMIFS('Support - Transition'!G:G,'Support - Transition'!J:J,'Step 2'!D646,'Support - Transition'!E:E,"2009 WELFARE ALLOCATION FACTOR")</f>
        <v>0</v>
      </c>
      <c r="O646" s="152">
        <f t="shared" si="200"/>
        <v>0</v>
      </c>
      <c r="P646" s="126">
        <f>IF(E646="Y",0,SUMIFS('Support - Transition'!G:G,'Support - Transition'!J:J,'Step 2'!D646,'Support - Transition'!E:E,"2009 SCHOOL ALLOCATION FACTOR"))</f>
        <v>0</v>
      </c>
      <c r="Q646" s="126">
        <f>IF(E646="Y",VLOOKUP(D646,'Support - Unit Adjustments'!F:G,2,FALSE),0)</f>
        <v>0</v>
      </c>
      <c r="R646" s="155">
        <f t="shared" si="193"/>
        <v>0</v>
      </c>
      <c r="S646" s="47">
        <f t="shared" si="192"/>
        <v>0</v>
      </c>
      <c r="T646" s="151">
        <f t="shared" si="196"/>
        <v>94</v>
      </c>
      <c r="U646" s="151">
        <f t="shared" si="197"/>
        <v>0</v>
      </c>
      <c r="V646" s="139">
        <f t="shared" si="198"/>
        <v>0</v>
      </c>
      <c r="W646" s="152">
        <f t="shared" si="201"/>
        <v>94</v>
      </c>
      <c r="X646" s="127" t="str">
        <f t="shared" si="199"/>
        <v/>
      </c>
      <c r="Y646" s="207">
        <f t="shared" si="202"/>
        <v>94</v>
      </c>
      <c r="Z646" s="139">
        <f t="shared" si="203"/>
        <v>63</v>
      </c>
      <c r="AA646" s="139">
        <f t="shared" si="204"/>
        <v>31</v>
      </c>
      <c r="AC646" s="47">
        <f t="shared" si="205"/>
        <v>47</v>
      </c>
      <c r="AD646" s="47">
        <f t="shared" si="206"/>
        <v>32</v>
      </c>
      <c r="AE646" s="47">
        <f t="shared" si="207"/>
        <v>16</v>
      </c>
      <c r="AG646" s="47">
        <f t="shared" si="208"/>
        <v>47</v>
      </c>
      <c r="AH646" s="47">
        <f t="shared" si="209"/>
        <v>31</v>
      </c>
      <c r="AI646" s="208">
        <f t="shared" si="210"/>
        <v>15</v>
      </c>
    </row>
    <row r="647" spans="1:35">
      <c r="A647" t="s">
        <v>2110</v>
      </c>
      <c r="B647" t="s">
        <v>3142</v>
      </c>
      <c r="C647" t="s">
        <v>2189</v>
      </c>
      <c r="D647" t="s">
        <v>3910</v>
      </c>
      <c r="F647" t="s">
        <v>526</v>
      </c>
      <c r="G647" s="126">
        <f>SUMIFS('Support - Transition'!F:F,'Support - Transition'!B:B,'Step 2'!A647,'Support - Transition'!C:C,'Step 2'!B647,'Support - Transition'!D:D,'Step 2'!C647,'Support - Transition'!E:E,"CIVIL")</f>
        <v>6.9099999999999999E-4</v>
      </c>
      <c r="H647" s="126">
        <f>SUMIFS('Support - Transition'!F:F,'Support - Transition'!B:B,'Step 2'!A647,'Support - Transition'!C:C,'Step 2'!B647,'Support - Transition'!D:D,'Step 2'!C647,'Support - Transition'!E:E,"FIRE")</f>
        <v>1.6100000000000001E-4</v>
      </c>
      <c r="I647" s="126">
        <f>IF(B647="0",SUMIFS('Support - Transition'!F:F,'Support - Transition'!J:J,'Step 2'!D647,'Support - Transition'!E:E,"STATE UNIT"),SUMIFS('Support - Transition'!F:F,'Support - Transition'!J:J,'Step 2'!D647))</f>
        <v>8.52E-4</v>
      </c>
      <c r="J647" s="126">
        <f>SUMIFS('Support - Unit Adjustments'!E:E,'Support - Unit Adjustments'!F:F,'Step 2'!D647)</f>
        <v>0</v>
      </c>
      <c r="K647" s="126">
        <f t="shared" si="194"/>
        <v>8.52E-4</v>
      </c>
      <c r="L647" s="174">
        <f>VLOOKUP(A647,'Step 1'!$A:$E,4,FALSE)</f>
        <v>152983</v>
      </c>
      <c r="M647" s="47">
        <f t="shared" si="195"/>
        <v>130</v>
      </c>
      <c r="N647" s="177">
        <f>SUMIFS('Support - Transition'!G:G,'Support - Transition'!J:J,'Step 2'!D647,'Support - Transition'!E:E,"2009 WELFARE ALLOCATION FACTOR")</f>
        <v>0</v>
      </c>
      <c r="O647" s="152">
        <f t="shared" si="200"/>
        <v>0</v>
      </c>
      <c r="P647" s="126">
        <f>IF(E647="Y",0,SUMIFS('Support - Transition'!G:G,'Support - Transition'!J:J,'Step 2'!D647,'Support - Transition'!E:E,"2009 SCHOOL ALLOCATION FACTOR"))</f>
        <v>0</v>
      </c>
      <c r="Q647" s="126">
        <f>IF(E647="Y",VLOOKUP(D647,'Support - Unit Adjustments'!F:G,2,FALSE),0)</f>
        <v>0</v>
      </c>
      <c r="R647" s="155">
        <f t="shared" si="193"/>
        <v>0</v>
      </c>
      <c r="S647" s="47">
        <f t="shared" si="192"/>
        <v>0</v>
      </c>
      <c r="T647" s="151">
        <f t="shared" si="196"/>
        <v>130</v>
      </c>
      <c r="U647" s="151">
        <f t="shared" si="197"/>
        <v>0</v>
      </c>
      <c r="V647" s="139">
        <f t="shared" si="198"/>
        <v>0</v>
      </c>
      <c r="W647" s="152">
        <f t="shared" si="201"/>
        <v>130</v>
      </c>
      <c r="X647" s="127" t="str">
        <f t="shared" si="199"/>
        <v/>
      </c>
      <c r="Y647" s="207">
        <f t="shared" si="202"/>
        <v>130</v>
      </c>
      <c r="Z647" s="139">
        <f t="shared" si="203"/>
        <v>105</v>
      </c>
      <c r="AA647" s="139">
        <f t="shared" si="204"/>
        <v>25</v>
      </c>
      <c r="AC647" s="47">
        <f t="shared" si="205"/>
        <v>65</v>
      </c>
      <c r="AD647" s="47">
        <f t="shared" si="206"/>
        <v>53</v>
      </c>
      <c r="AE647" s="47">
        <f t="shared" si="207"/>
        <v>13</v>
      </c>
      <c r="AG647" s="47">
        <f t="shared" si="208"/>
        <v>65</v>
      </c>
      <c r="AH647" s="47">
        <f t="shared" si="209"/>
        <v>52</v>
      </c>
      <c r="AI647" s="208">
        <f t="shared" si="210"/>
        <v>12</v>
      </c>
    </row>
    <row r="648" spans="1:35">
      <c r="A648" t="s">
        <v>2110</v>
      </c>
      <c r="B648" t="s">
        <v>3142</v>
      </c>
      <c r="C648" t="s">
        <v>2190</v>
      </c>
      <c r="D648" t="s">
        <v>3911</v>
      </c>
      <c r="F648" t="s">
        <v>527</v>
      </c>
      <c r="G648" s="126">
        <f>SUMIFS('Support - Transition'!F:F,'Support - Transition'!B:B,'Step 2'!A648,'Support - Transition'!C:C,'Step 2'!B648,'Support - Transition'!D:D,'Step 2'!C648,'Support - Transition'!E:E,"CIVIL")</f>
        <v>1.209E-3</v>
      </c>
      <c r="H648" s="126">
        <f>SUMIFS('Support - Transition'!F:F,'Support - Transition'!B:B,'Step 2'!A648,'Support - Transition'!C:C,'Step 2'!B648,'Support - Transition'!D:D,'Step 2'!C648,'Support - Transition'!E:E,"FIRE")</f>
        <v>3.9300000000000001E-4</v>
      </c>
      <c r="I648" s="126">
        <f>IF(B648="0",SUMIFS('Support - Transition'!F:F,'Support - Transition'!J:J,'Step 2'!D648,'Support - Transition'!E:E,"STATE UNIT"),SUMIFS('Support - Transition'!F:F,'Support - Transition'!J:J,'Step 2'!D648))</f>
        <v>1.6020000000000001E-3</v>
      </c>
      <c r="J648" s="126">
        <f>SUMIFS('Support - Unit Adjustments'!E:E,'Support - Unit Adjustments'!F:F,'Step 2'!D648)</f>
        <v>0</v>
      </c>
      <c r="K648" s="126">
        <f t="shared" si="194"/>
        <v>1.6020000000000001E-3</v>
      </c>
      <c r="L648" s="174">
        <f>VLOOKUP(A648,'Step 1'!$A:$E,4,FALSE)</f>
        <v>152983</v>
      </c>
      <c r="M648" s="47">
        <f t="shared" si="195"/>
        <v>245</v>
      </c>
      <c r="N648" s="177">
        <f>SUMIFS('Support - Transition'!G:G,'Support - Transition'!J:J,'Step 2'!D648,'Support - Transition'!E:E,"2009 WELFARE ALLOCATION FACTOR")</f>
        <v>0</v>
      </c>
      <c r="O648" s="152">
        <f t="shared" si="200"/>
        <v>0</v>
      </c>
      <c r="P648" s="126">
        <f>IF(E648="Y",0,SUMIFS('Support - Transition'!G:G,'Support - Transition'!J:J,'Step 2'!D648,'Support - Transition'!E:E,"2009 SCHOOL ALLOCATION FACTOR"))</f>
        <v>0</v>
      </c>
      <c r="Q648" s="126">
        <f>IF(E648="Y",VLOOKUP(D648,'Support - Unit Adjustments'!F:G,2,FALSE),0)</f>
        <v>0</v>
      </c>
      <c r="R648" s="155">
        <f t="shared" si="193"/>
        <v>0</v>
      </c>
      <c r="S648" s="47">
        <f t="shared" ref="S648:S711" si="211">ROUND(+R648*M648,0)</f>
        <v>0</v>
      </c>
      <c r="T648" s="151">
        <f t="shared" si="196"/>
        <v>245</v>
      </c>
      <c r="U648" s="151">
        <f t="shared" si="197"/>
        <v>0</v>
      </c>
      <c r="V648" s="139">
        <f t="shared" si="198"/>
        <v>0</v>
      </c>
      <c r="W648" s="152">
        <f t="shared" si="201"/>
        <v>245</v>
      </c>
      <c r="X648" s="127" t="str">
        <f t="shared" si="199"/>
        <v/>
      </c>
      <c r="Y648" s="207">
        <f t="shared" si="202"/>
        <v>245</v>
      </c>
      <c r="Z648" s="139">
        <f t="shared" si="203"/>
        <v>185</v>
      </c>
      <c r="AA648" s="139">
        <f t="shared" si="204"/>
        <v>60</v>
      </c>
      <c r="AC648" s="47">
        <f t="shared" si="205"/>
        <v>123</v>
      </c>
      <c r="AD648" s="47">
        <f t="shared" si="206"/>
        <v>93</v>
      </c>
      <c r="AE648" s="47">
        <f t="shared" si="207"/>
        <v>30</v>
      </c>
      <c r="AG648" s="47">
        <f t="shared" si="208"/>
        <v>122</v>
      </c>
      <c r="AH648" s="47">
        <f t="shared" si="209"/>
        <v>92</v>
      </c>
      <c r="AI648" s="208">
        <f t="shared" si="210"/>
        <v>30</v>
      </c>
    </row>
    <row r="649" spans="1:35">
      <c r="A649" t="s">
        <v>2110</v>
      </c>
      <c r="B649" t="s">
        <v>3142</v>
      </c>
      <c r="C649" t="s">
        <v>2191</v>
      </c>
      <c r="D649" t="s">
        <v>3912</v>
      </c>
      <c r="F649" t="s">
        <v>369</v>
      </c>
      <c r="G649" s="126">
        <f>SUMIFS('Support - Transition'!F:F,'Support - Transition'!B:B,'Step 2'!A649,'Support - Transition'!C:C,'Step 2'!B649,'Support - Transition'!D:D,'Step 2'!C649,'Support - Transition'!E:E,"CIVIL")</f>
        <v>6.3699999999999998E-4</v>
      </c>
      <c r="H649" s="126">
        <f>SUMIFS('Support - Transition'!F:F,'Support - Transition'!B:B,'Step 2'!A649,'Support - Transition'!C:C,'Step 2'!B649,'Support - Transition'!D:D,'Step 2'!C649,'Support - Transition'!E:E,"FIRE")</f>
        <v>1.9100000000000001E-4</v>
      </c>
      <c r="I649" s="126">
        <f>IF(B649="0",SUMIFS('Support - Transition'!F:F,'Support - Transition'!J:J,'Step 2'!D649,'Support - Transition'!E:E,"STATE UNIT"),SUMIFS('Support - Transition'!F:F,'Support - Transition'!J:J,'Step 2'!D649))</f>
        <v>8.2799999999999996E-4</v>
      </c>
      <c r="J649" s="126">
        <f>SUMIFS('Support - Unit Adjustments'!E:E,'Support - Unit Adjustments'!F:F,'Step 2'!D649)</f>
        <v>0</v>
      </c>
      <c r="K649" s="126">
        <f t="shared" si="194"/>
        <v>8.2799999999999996E-4</v>
      </c>
      <c r="L649" s="174">
        <f>VLOOKUP(A649,'Step 1'!$A:$E,4,FALSE)</f>
        <v>152983</v>
      </c>
      <c r="M649" s="47">
        <f t="shared" si="195"/>
        <v>127</v>
      </c>
      <c r="N649" s="177">
        <f>SUMIFS('Support - Transition'!G:G,'Support - Transition'!J:J,'Step 2'!D649,'Support - Transition'!E:E,"2009 WELFARE ALLOCATION FACTOR")</f>
        <v>0</v>
      </c>
      <c r="O649" s="152">
        <f t="shared" si="200"/>
        <v>0</v>
      </c>
      <c r="P649" s="126">
        <f>IF(E649="Y",0,SUMIFS('Support - Transition'!G:G,'Support - Transition'!J:J,'Step 2'!D649,'Support - Transition'!E:E,"2009 SCHOOL ALLOCATION FACTOR"))</f>
        <v>0</v>
      </c>
      <c r="Q649" s="126">
        <f>IF(E649="Y",VLOOKUP(D649,'Support - Unit Adjustments'!F:G,2,FALSE),0)</f>
        <v>0</v>
      </c>
      <c r="R649" s="155">
        <f t="shared" ref="R649:R712" si="212">+P649+Q649</f>
        <v>0</v>
      </c>
      <c r="S649" s="47">
        <f t="shared" si="211"/>
        <v>0</v>
      </c>
      <c r="T649" s="151">
        <f t="shared" si="196"/>
        <v>127</v>
      </c>
      <c r="U649" s="151">
        <f t="shared" si="197"/>
        <v>0</v>
      </c>
      <c r="V649" s="139">
        <f t="shared" si="198"/>
        <v>0</v>
      </c>
      <c r="W649" s="152">
        <f t="shared" si="201"/>
        <v>127</v>
      </c>
      <c r="X649" s="127" t="str">
        <f t="shared" si="199"/>
        <v/>
      </c>
      <c r="Y649" s="207">
        <f t="shared" si="202"/>
        <v>127</v>
      </c>
      <c r="Z649" s="139">
        <f t="shared" si="203"/>
        <v>98</v>
      </c>
      <c r="AA649" s="139">
        <f t="shared" si="204"/>
        <v>29</v>
      </c>
      <c r="AC649" s="47">
        <f t="shared" si="205"/>
        <v>64</v>
      </c>
      <c r="AD649" s="47">
        <f t="shared" si="206"/>
        <v>49</v>
      </c>
      <c r="AE649" s="47">
        <f t="shared" si="207"/>
        <v>15</v>
      </c>
      <c r="AG649" s="47">
        <f t="shared" si="208"/>
        <v>63</v>
      </c>
      <c r="AH649" s="47">
        <f t="shared" si="209"/>
        <v>49</v>
      </c>
      <c r="AI649" s="208">
        <f t="shared" si="210"/>
        <v>14</v>
      </c>
    </row>
    <row r="650" spans="1:35">
      <c r="A650" t="s">
        <v>2110</v>
      </c>
      <c r="B650" t="s">
        <v>3142</v>
      </c>
      <c r="C650" t="s">
        <v>2192</v>
      </c>
      <c r="D650" t="s">
        <v>3913</v>
      </c>
      <c r="F650" t="s">
        <v>371</v>
      </c>
      <c r="G650" s="126">
        <f>SUMIFS('Support - Transition'!F:F,'Support - Transition'!B:B,'Step 2'!A650,'Support - Transition'!C:C,'Step 2'!B650,'Support - Transition'!D:D,'Step 2'!C650,'Support - Transition'!E:E,"CIVIL")</f>
        <v>1.1900000000000001E-4</v>
      </c>
      <c r="H650" s="126">
        <f>SUMIFS('Support - Transition'!F:F,'Support - Transition'!B:B,'Step 2'!A650,'Support - Transition'!C:C,'Step 2'!B650,'Support - Transition'!D:D,'Step 2'!C650,'Support - Transition'!E:E,"FIRE")</f>
        <v>2.4000000000000001E-5</v>
      </c>
      <c r="I650" s="126">
        <f>IF(B650="0",SUMIFS('Support - Transition'!F:F,'Support - Transition'!J:J,'Step 2'!D650,'Support - Transition'!E:E,"STATE UNIT"),SUMIFS('Support - Transition'!F:F,'Support - Transition'!J:J,'Step 2'!D650))</f>
        <v>1.4300000000000001E-4</v>
      </c>
      <c r="J650" s="126">
        <f>SUMIFS('Support - Unit Adjustments'!E:E,'Support - Unit Adjustments'!F:F,'Step 2'!D650)</f>
        <v>0</v>
      </c>
      <c r="K650" s="126">
        <f t="shared" si="194"/>
        <v>1.4300000000000001E-4</v>
      </c>
      <c r="L650" s="174">
        <f>VLOOKUP(A650,'Step 1'!$A:$E,4,FALSE)</f>
        <v>152983</v>
      </c>
      <c r="M650" s="47">
        <f t="shared" si="195"/>
        <v>22</v>
      </c>
      <c r="N650" s="177">
        <f>SUMIFS('Support - Transition'!G:G,'Support - Transition'!J:J,'Step 2'!D650,'Support - Transition'!E:E,"2009 WELFARE ALLOCATION FACTOR")</f>
        <v>0</v>
      </c>
      <c r="O650" s="152">
        <f t="shared" si="200"/>
        <v>0</v>
      </c>
      <c r="P650" s="126">
        <f>IF(E650="Y",0,SUMIFS('Support - Transition'!G:G,'Support - Transition'!J:J,'Step 2'!D650,'Support - Transition'!E:E,"2009 SCHOOL ALLOCATION FACTOR"))</f>
        <v>0</v>
      </c>
      <c r="Q650" s="126">
        <f>IF(E650="Y",VLOOKUP(D650,'Support - Unit Adjustments'!F:G,2,FALSE),0)</f>
        <v>0</v>
      </c>
      <c r="R650" s="155">
        <f t="shared" si="212"/>
        <v>0</v>
      </c>
      <c r="S650" s="47">
        <f t="shared" si="211"/>
        <v>0</v>
      </c>
      <c r="T650" s="151">
        <f t="shared" si="196"/>
        <v>22</v>
      </c>
      <c r="U650" s="151">
        <f t="shared" si="197"/>
        <v>0</v>
      </c>
      <c r="V650" s="139">
        <f t="shared" si="198"/>
        <v>0</v>
      </c>
      <c r="W650" s="152">
        <f t="shared" si="201"/>
        <v>22</v>
      </c>
      <c r="X650" s="127" t="str">
        <f t="shared" si="199"/>
        <v/>
      </c>
      <c r="Y650" s="207">
        <f t="shared" si="202"/>
        <v>22</v>
      </c>
      <c r="Z650" s="139">
        <f t="shared" si="203"/>
        <v>18</v>
      </c>
      <c r="AA650" s="139">
        <f t="shared" si="204"/>
        <v>4</v>
      </c>
      <c r="AC650" s="47">
        <f t="shared" si="205"/>
        <v>11</v>
      </c>
      <c r="AD650" s="47">
        <f t="shared" si="206"/>
        <v>9</v>
      </c>
      <c r="AE650" s="47">
        <f t="shared" si="207"/>
        <v>2</v>
      </c>
      <c r="AG650" s="47">
        <f t="shared" si="208"/>
        <v>11</v>
      </c>
      <c r="AH650" s="47">
        <f t="shared" si="209"/>
        <v>9</v>
      </c>
      <c r="AI650" s="208">
        <f t="shared" si="210"/>
        <v>2</v>
      </c>
    </row>
    <row r="651" spans="1:35">
      <c r="A651" t="s">
        <v>2110</v>
      </c>
      <c r="B651" t="s">
        <v>3142</v>
      </c>
      <c r="C651" t="s">
        <v>2193</v>
      </c>
      <c r="D651" t="s">
        <v>3914</v>
      </c>
      <c r="F651" t="s">
        <v>528</v>
      </c>
      <c r="G651" s="126">
        <f>SUMIFS('Support - Transition'!F:F,'Support - Transition'!B:B,'Step 2'!A651,'Support - Transition'!C:C,'Step 2'!B651,'Support - Transition'!D:D,'Step 2'!C651,'Support - Transition'!E:E,"CIVIL")</f>
        <v>1.73E-4</v>
      </c>
      <c r="H651" s="126">
        <f>SUMIFS('Support - Transition'!F:F,'Support - Transition'!B:B,'Step 2'!A651,'Support - Transition'!C:C,'Step 2'!B651,'Support - Transition'!D:D,'Step 2'!C651,'Support - Transition'!E:E,"FIRE")</f>
        <v>1.13E-4</v>
      </c>
      <c r="I651" s="126">
        <f>IF(B651="0",SUMIFS('Support - Transition'!F:F,'Support - Transition'!J:J,'Step 2'!D651,'Support - Transition'!E:E,"STATE UNIT"),SUMIFS('Support - Transition'!F:F,'Support - Transition'!J:J,'Step 2'!D651))</f>
        <v>2.8600000000000001E-4</v>
      </c>
      <c r="J651" s="126">
        <f>SUMIFS('Support - Unit Adjustments'!E:E,'Support - Unit Adjustments'!F:F,'Step 2'!D651)</f>
        <v>0</v>
      </c>
      <c r="K651" s="126">
        <f t="shared" si="194"/>
        <v>2.8600000000000001E-4</v>
      </c>
      <c r="L651" s="174">
        <f>VLOOKUP(A651,'Step 1'!$A:$E,4,FALSE)</f>
        <v>152983</v>
      </c>
      <c r="M651" s="47">
        <f t="shared" si="195"/>
        <v>44</v>
      </c>
      <c r="N651" s="177">
        <f>SUMIFS('Support - Transition'!G:G,'Support - Transition'!J:J,'Step 2'!D651,'Support - Transition'!E:E,"2009 WELFARE ALLOCATION FACTOR")</f>
        <v>0</v>
      </c>
      <c r="O651" s="152">
        <f t="shared" si="200"/>
        <v>0</v>
      </c>
      <c r="P651" s="126">
        <f>IF(E651="Y",0,SUMIFS('Support - Transition'!G:G,'Support - Transition'!J:J,'Step 2'!D651,'Support - Transition'!E:E,"2009 SCHOOL ALLOCATION FACTOR"))</f>
        <v>0</v>
      </c>
      <c r="Q651" s="126">
        <f>IF(E651="Y",VLOOKUP(D651,'Support - Unit Adjustments'!F:G,2,FALSE),0)</f>
        <v>0</v>
      </c>
      <c r="R651" s="155">
        <f t="shared" si="212"/>
        <v>0</v>
      </c>
      <c r="S651" s="47">
        <f t="shared" si="211"/>
        <v>0</v>
      </c>
      <c r="T651" s="151">
        <f t="shared" si="196"/>
        <v>44</v>
      </c>
      <c r="U651" s="151">
        <f t="shared" si="197"/>
        <v>0</v>
      </c>
      <c r="V651" s="139">
        <f t="shared" si="198"/>
        <v>0</v>
      </c>
      <c r="W651" s="152">
        <f t="shared" si="201"/>
        <v>44</v>
      </c>
      <c r="X651" s="127" t="str">
        <f t="shared" si="199"/>
        <v/>
      </c>
      <c r="Y651" s="207">
        <f t="shared" si="202"/>
        <v>44</v>
      </c>
      <c r="Z651" s="139">
        <f t="shared" si="203"/>
        <v>27</v>
      </c>
      <c r="AA651" s="139">
        <f t="shared" si="204"/>
        <v>17</v>
      </c>
      <c r="AC651" s="47">
        <f t="shared" si="205"/>
        <v>22</v>
      </c>
      <c r="AD651" s="47">
        <f t="shared" si="206"/>
        <v>14</v>
      </c>
      <c r="AE651" s="47">
        <f t="shared" si="207"/>
        <v>9</v>
      </c>
      <c r="AG651" s="47">
        <f t="shared" si="208"/>
        <v>22</v>
      </c>
      <c r="AH651" s="47">
        <f t="shared" si="209"/>
        <v>13</v>
      </c>
      <c r="AI651" s="208">
        <f t="shared" si="210"/>
        <v>8</v>
      </c>
    </row>
    <row r="652" spans="1:35">
      <c r="A652" t="s">
        <v>2110</v>
      </c>
      <c r="B652" t="s">
        <v>3142</v>
      </c>
      <c r="C652" t="s">
        <v>2194</v>
      </c>
      <c r="D652" t="s">
        <v>3915</v>
      </c>
      <c r="F652" t="s">
        <v>529</v>
      </c>
      <c r="G652" s="126">
        <f>SUMIFS('Support - Transition'!F:F,'Support - Transition'!B:B,'Step 2'!A652,'Support - Transition'!C:C,'Step 2'!B652,'Support - Transition'!D:D,'Step 2'!C652,'Support - Transition'!E:E,"CIVIL")</f>
        <v>2.0730000000000002E-3</v>
      </c>
      <c r="H652" s="126">
        <f>SUMIFS('Support - Transition'!F:F,'Support - Transition'!B:B,'Step 2'!A652,'Support - Transition'!C:C,'Step 2'!B652,'Support - Transition'!D:D,'Step 2'!C652,'Support - Transition'!E:E,"FIRE")</f>
        <v>1.078E-3</v>
      </c>
      <c r="I652" s="126">
        <f>IF(B652="0",SUMIFS('Support - Transition'!F:F,'Support - Transition'!J:J,'Step 2'!D652,'Support - Transition'!E:E,"STATE UNIT"),SUMIFS('Support - Transition'!F:F,'Support - Transition'!J:J,'Step 2'!D652))</f>
        <v>3.1510000000000002E-3</v>
      </c>
      <c r="J652" s="126">
        <f>SUMIFS('Support - Unit Adjustments'!E:E,'Support - Unit Adjustments'!F:F,'Step 2'!D652)</f>
        <v>0</v>
      </c>
      <c r="K652" s="126">
        <f t="shared" si="194"/>
        <v>3.1510000000000002E-3</v>
      </c>
      <c r="L652" s="174">
        <f>VLOOKUP(A652,'Step 1'!$A:$E,4,FALSE)</f>
        <v>152983</v>
      </c>
      <c r="M652" s="47">
        <f t="shared" si="195"/>
        <v>482</v>
      </c>
      <c r="N652" s="177">
        <f>SUMIFS('Support - Transition'!G:G,'Support - Transition'!J:J,'Step 2'!D652,'Support - Transition'!E:E,"2009 WELFARE ALLOCATION FACTOR")</f>
        <v>0</v>
      </c>
      <c r="O652" s="152">
        <f t="shared" si="200"/>
        <v>0</v>
      </c>
      <c r="P652" s="126">
        <f>IF(E652="Y",0,SUMIFS('Support - Transition'!G:G,'Support - Transition'!J:J,'Step 2'!D652,'Support - Transition'!E:E,"2009 SCHOOL ALLOCATION FACTOR"))</f>
        <v>0</v>
      </c>
      <c r="Q652" s="126">
        <f>IF(E652="Y",VLOOKUP(D652,'Support - Unit Adjustments'!F:G,2,FALSE),0)</f>
        <v>0</v>
      </c>
      <c r="R652" s="155">
        <f t="shared" si="212"/>
        <v>0</v>
      </c>
      <c r="S652" s="47">
        <f t="shared" si="211"/>
        <v>0</v>
      </c>
      <c r="T652" s="151">
        <f t="shared" si="196"/>
        <v>482</v>
      </c>
      <c r="U652" s="151">
        <f t="shared" si="197"/>
        <v>0</v>
      </c>
      <c r="V652" s="139">
        <f t="shared" si="198"/>
        <v>0</v>
      </c>
      <c r="W652" s="152">
        <f t="shared" si="201"/>
        <v>482</v>
      </c>
      <c r="X652" s="127" t="str">
        <f t="shared" si="199"/>
        <v/>
      </c>
      <c r="Y652" s="207">
        <f t="shared" si="202"/>
        <v>482</v>
      </c>
      <c r="Z652" s="139">
        <f t="shared" si="203"/>
        <v>317</v>
      </c>
      <c r="AA652" s="139">
        <f t="shared" si="204"/>
        <v>165</v>
      </c>
      <c r="AC652" s="47">
        <f t="shared" si="205"/>
        <v>241</v>
      </c>
      <c r="AD652" s="47">
        <f t="shared" si="206"/>
        <v>159</v>
      </c>
      <c r="AE652" s="47">
        <f t="shared" si="207"/>
        <v>83</v>
      </c>
      <c r="AG652" s="47">
        <f t="shared" si="208"/>
        <v>241</v>
      </c>
      <c r="AH652" s="47">
        <f t="shared" si="209"/>
        <v>158</v>
      </c>
      <c r="AI652" s="208">
        <f t="shared" si="210"/>
        <v>82</v>
      </c>
    </row>
    <row r="653" spans="1:35">
      <c r="A653" t="s">
        <v>2110</v>
      </c>
      <c r="B653" t="s">
        <v>3142</v>
      </c>
      <c r="C653" t="s">
        <v>2195</v>
      </c>
      <c r="D653" t="s">
        <v>3916</v>
      </c>
      <c r="F653" t="s">
        <v>530</v>
      </c>
      <c r="G653" s="126">
        <f>SUMIFS('Support - Transition'!F:F,'Support - Transition'!B:B,'Step 2'!A653,'Support - Transition'!C:C,'Step 2'!B653,'Support - Transition'!D:D,'Step 2'!C653,'Support - Transition'!E:E,"CIVIL")</f>
        <v>1.0009999999999999E-3</v>
      </c>
      <c r="H653" s="126">
        <f>SUMIFS('Support - Transition'!F:F,'Support - Transition'!B:B,'Step 2'!A653,'Support - Transition'!C:C,'Step 2'!B653,'Support - Transition'!D:D,'Step 2'!C653,'Support - Transition'!E:E,"FIRE")</f>
        <v>2.7999999999999998E-4</v>
      </c>
      <c r="I653" s="126">
        <f>IF(B653="0",SUMIFS('Support - Transition'!F:F,'Support - Transition'!J:J,'Step 2'!D653,'Support - Transition'!E:E,"STATE UNIT"),SUMIFS('Support - Transition'!F:F,'Support - Transition'!J:J,'Step 2'!D653))</f>
        <v>1.281E-3</v>
      </c>
      <c r="J653" s="126">
        <f>SUMIFS('Support - Unit Adjustments'!E:E,'Support - Unit Adjustments'!F:F,'Step 2'!D653)</f>
        <v>0</v>
      </c>
      <c r="K653" s="126">
        <f t="shared" si="194"/>
        <v>1.281E-3</v>
      </c>
      <c r="L653" s="174">
        <f>VLOOKUP(A653,'Step 1'!$A:$E,4,FALSE)</f>
        <v>152983</v>
      </c>
      <c r="M653" s="47">
        <f t="shared" si="195"/>
        <v>196</v>
      </c>
      <c r="N653" s="177">
        <f>SUMIFS('Support - Transition'!G:G,'Support - Transition'!J:J,'Step 2'!D653,'Support - Transition'!E:E,"2009 WELFARE ALLOCATION FACTOR")</f>
        <v>0</v>
      </c>
      <c r="O653" s="152">
        <f t="shared" si="200"/>
        <v>0</v>
      </c>
      <c r="P653" s="126">
        <f>IF(E653="Y",0,SUMIFS('Support - Transition'!G:G,'Support - Transition'!J:J,'Step 2'!D653,'Support - Transition'!E:E,"2009 SCHOOL ALLOCATION FACTOR"))</f>
        <v>0</v>
      </c>
      <c r="Q653" s="126">
        <f>IF(E653="Y",VLOOKUP(D653,'Support - Unit Adjustments'!F:G,2,FALSE),0)</f>
        <v>0</v>
      </c>
      <c r="R653" s="155">
        <f t="shared" si="212"/>
        <v>0</v>
      </c>
      <c r="S653" s="47">
        <f t="shared" si="211"/>
        <v>0</v>
      </c>
      <c r="T653" s="151">
        <f t="shared" si="196"/>
        <v>196</v>
      </c>
      <c r="U653" s="151">
        <f t="shared" si="197"/>
        <v>0</v>
      </c>
      <c r="V653" s="139">
        <f t="shared" si="198"/>
        <v>0</v>
      </c>
      <c r="W653" s="152">
        <f t="shared" si="201"/>
        <v>196</v>
      </c>
      <c r="X653" s="127" t="str">
        <f t="shared" si="199"/>
        <v/>
      </c>
      <c r="Y653" s="207">
        <f t="shared" si="202"/>
        <v>196</v>
      </c>
      <c r="Z653" s="139">
        <f t="shared" si="203"/>
        <v>153</v>
      </c>
      <c r="AA653" s="139">
        <f t="shared" si="204"/>
        <v>43</v>
      </c>
      <c r="AC653" s="47">
        <f t="shared" si="205"/>
        <v>98</v>
      </c>
      <c r="AD653" s="47">
        <f t="shared" si="206"/>
        <v>77</v>
      </c>
      <c r="AE653" s="47">
        <f t="shared" si="207"/>
        <v>22</v>
      </c>
      <c r="AG653" s="47">
        <f t="shared" si="208"/>
        <v>98</v>
      </c>
      <c r="AH653" s="47">
        <f t="shared" si="209"/>
        <v>76</v>
      </c>
      <c r="AI653" s="208">
        <f t="shared" si="210"/>
        <v>21</v>
      </c>
    </row>
    <row r="654" spans="1:35">
      <c r="A654" t="s">
        <v>2110</v>
      </c>
      <c r="B654" t="s">
        <v>3142</v>
      </c>
      <c r="C654" t="s">
        <v>2196</v>
      </c>
      <c r="D654" t="s">
        <v>3917</v>
      </c>
      <c r="F654" t="s">
        <v>252</v>
      </c>
      <c r="G654" s="126">
        <f>SUMIFS('Support - Transition'!F:F,'Support - Transition'!B:B,'Step 2'!A654,'Support - Transition'!C:C,'Step 2'!B654,'Support - Transition'!D:D,'Step 2'!C654,'Support - Transition'!E:E,"CIVIL")</f>
        <v>5.7799999999999995E-4</v>
      </c>
      <c r="H654" s="126">
        <f>SUMIFS('Support - Transition'!F:F,'Support - Transition'!B:B,'Step 2'!A654,'Support - Transition'!C:C,'Step 2'!B654,'Support - Transition'!D:D,'Step 2'!C654,'Support - Transition'!E:E,"FIRE")</f>
        <v>1.4300000000000001E-4</v>
      </c>
      <c r="I654" s="126">
        <f>IF(B654="0",SUMIFS('Support - Transition'!F:F,'Support - Transition'!J:J,'Step 2'!D654,'Support - Transition'!E:E,"STATE UNIT"),SUMIFS('Support - Transition'!F:F,'Support - Transition'!J:J,'Step 2'!D654))</f>
        <v>7.2099999999999996E-4</v>
      </c>
      <c r="J654" s="126">
        <f>SUMIFS('Support - Unit Adjustments'!E:E,'Support - Unit Adjustments'!F:F,'Step 2'!D654)</f>
        <v>0</v>
      </c>
      <c r="K654" s="126">
        <f t="shared" si="194"/>
        <v>7.2099999999999996E-4</v>
      </c>
      <c r="L654" s="174">
        <f>VLOOKUP(A654,'Step 1'!$A:$E,4,FALSE)</f>
        <v>152983</v>
      </c>
      <c r="M654" s="47">
        <f t="shared" si="195"/>
        <v>110</v>
      </c>
      <c r="N654" s="177">
        <f>SUMIFS('Support - Transition'!G:G,'Support - Transition'!J:J,'Step 2'!D654,'Support - Transition'!E:E,"2009 WELFARE ALLOCATION FACTOR")</f>
        <v>0</v>
      </c>
      <c r="O654" s="152">
        <f t="shared" si="200"/>
        <v>0</v>
      </c>
      <c r="P654" s="126">
        <f>IF(E654="Y",0,SUMIFS('Support - Transition'!G:G,'Support - Transition'!J:J,'Step 2'!D654,'Support - Transition'!E:E,"2009 SCHOOL ALLOCATION FACTOR"))</f>
        <v>0</v>
      </c>
      <c r="Q654" s="126">
        <f>IF(E654="Y",VLOOKUP(D654,'Support - Unit Adjustments'!F:G,2,FALSE),0)</f>
        <v>0</v>
      </c>
      <c r="R654" s="155">
        <f t="shared" si="212"/>
        <v>0</v>
      </c>
      <c r="S654" s="47">
        <f t="shared" si="211"/>
        <v>0</v>
      </c>
      <c r="T654" s="151">
        <f t="shared" si="196"/>
        <v>110</v>
      </c>
      <c r="U654" s="151">
        <f t="shared" si="197"/>
        <v>0</v>
      </c>
      <c r="V654" s="139">
        <f t="shared" si="198"/>
        <v>0</v>
      </c>
      <c r="W654" s="152">
        <f t="shared" si="201"/>
        <v>110</v>
      </c>
      <c r="X654" s="127" t="str">
        <f t="shared" si="199"/>
        <v/>
      </c>
      <c r="Y654" s="207">
        <f t="shared" si="202"/>
        <v>110</v>
      </c>
      <c r="Z654" s="139">
        <f t="shared" si="203"/>
        <v>88</v>
      </c>
      <c r="AA654" s="139">
        <f t="shared" si="204"/>
        <v>22</v>
      </c>
      <c r="AC654" s="47">
        <f t="shared" si="205"/>
        <v>55</v>
      </c>
      <c r="AD654" s="47">
        <f t="shared" si="206"/>
        <v>44</v>
      </c>
      <c r="AE654" s="47">
        <f t="shared" si="207"/>
        <v>11</v>
      </c>
      <c r="AG654" s="47">
        <f t="shared" si="208"/>
        <v>55</v>
      </c>
      <c r="AH654" s="47">
        <f t="shared" si="209"/>
        <v>44</v>
      </c>
      <c r="AI654" s="208">
        <f t="shared" si="210"/>
        <v>11</v>
      </c>
    </row>
    <row r="655" spans="1:35">
      <c r="A655" t="s">
        <v>2110</v>
      </c>
      <c r="B655" t="s">
        <v>3142</v>
      </c>
      <c r="C655" t="s">
        <v>2197</v>
      </c>
      <c r="D655" t="s">
        <v>3918</v>
      </c>
      <c r="F655" t="s">
        <v>531</v>
      </c>
      <c r="G655" s="126">
        <f>SUMIFS('Support - Transition'!F:F,'Support - Transition'!B:B,'Step 2'!A655,'Support - Transition'!C:C,'Step 2'!B655,'Support - Transition'!D:D,'Step 2'!C655,'Support - Transition'!E:E,"CIVIL")</f>
        <v>9.9500000000000001E-4</v>
      </c>
      <c r="H655" s="126">
        <f>SUMIFS('Support - Transition'!F:F,'Support - Transition'!B:B,'Step 2'!A655,'Support - Transition'!C:C,'Step 2'!B655,'Support - Transition'!D:D,'Step 2'!C655,'Support - Transition'!E:E,"FIRE")</f>
        <v>1.07E-4</v>
      </c>
      <c r="I655" s="126">
        <f>IF(B655="0",SUMIFS('Support - Transition'!F:F,'Support - Transition'!J:J,'Step 2'!D655,'Support - Transition'!E:E,"STATE UNIT"),SUMIFS('Support - Transition'!F:F,'Support - Transition'!J:J,'Step 2'!D655))</f>
        <v>1.1020000000000001E-3</v>
      </c>
      <c r="J655" s="126">
        <f>SUMIFS('Support - Unit Adjustments'!E:E,'Support - Unit Adjustments'!F:F,'Step 2'!D655)</f>
        <v>0</v>
      </c>
      <c r="K655" s="126">
        <f t="shared" si="194"/>
        <v>1.1020000000000001E-3</v>
      </c>
      <c r="L655" s="174">
        <f>VLOOKUP(A655,'Step 1'!$A:$E,4,FALSE)</f>
        <v>152983</v>
      </c>
      <c r="M655" s="47">
        <f t="shared" si="195"/>
        <v>169</v>
      </c>
      <c r="N655" s="177">
        <f>SUMIFS('Support - Transition'!G:G,'Support - Transition'!J:J,'Step 2'!D655,'Support - Transition'!E:E,"2009 WELFARE ALLOCATION FACTOR")</f>
        <v>0</v>
      </c>
      <c r="O655" s="152">
        <f t="shared" si="200"/>
        <v>0</v>
      </c>
      <c r="P655" s="126">
        <f>IF(E655="Y",0,SUMIFS('Support - Transition'!G:G,'Support - Transition'!J:J,'Step 2'!D655,'Support - Transition'!E:E,"2009 SCHOOL ALLOCATION FACTOR"))</f>
        <v>0</v>
      </c>
      <c r="Q655" s="126">
        <f>IF(E655="Y",VLOOKUP(D655,'Support - Unit Adjustments'!F:G,2,FALSE),0)</f>
        <v>0</v>
      </c>
      <c r="R655" s="155">
        <f t="shared" si="212"/>
        <v>0</v>
      </c>
      <c r="S655" s="47">
        <f t="shared" si="211"/>
        <v>0</v>
      </c>
      <c r="T655" s="151">
        <f t="shared" si="196"/>
        <v>169</v>
      </c>
      <c r="U655" s="151">
        <f t="shared" si="197"/>
        <v>0</v>
      </c>
      <c r="V655" s="139">
        <f t="shared" si="198"/>
        <v>0</v>
      </c>
      <c r="W655" s="152">
        <f t="shared" si="201"/>
        <v>169</v>
      </c>
      <c r="X655" s="127" t="str">
        <f t="shared" si="199"/>
        <v/>
      </c>
      <c r="Y655" s="207">
        <f t="shared" si="202"/>
        <v>169</v>
      </c>
      <c r="Z655" s="139">
        <f t="shared" si="203"/>
        <v>153</v>
      </c>
      <c r="AA655" s="139">
        <f t="shared" si="204"/>
        <v>16</v>
      </c>
      <c r="AC655" s="47">
        <f t="shared" si="205"/>
        <v>85</v>
      </c>
      <c r="AD655" s="47">
        <f t="shared" si="206"/>
        <v>77</v>
      </c>
      <c r="AE655" s="47">
        <f t="shared" si="207"/>
        <v>8</v>
      </c>
      <c r="AG655" s="47">
        <f t="shared" si="208"/>
        <v>84</v>
      </c>
      <c r="AH655" s="47">
        <f t="shared" si="209"/>
        <v>76</v>
      </c>
      <c r="AI655" s="208">
        <f t="shared" si="210"/>
        <v>8</v>
      </c>
    </row>
    <row r="656" spans="1:35">
      <c r="A656" t="s">
        <v>2110</v>
      </c>
      <c r="B656" t="s">
        <v>3142</v>
      </c>
      <c r="C656" t="s">
        <v>2198</v>
      </c>
      <c r="D656" t="s">
        <v>3919</v>
      </c>
      <c r="F656" t="s">
        <v>532</v>
      </c>
      <c r="G656" s="126">
        <f>SUMIFS('Support - Transition'!F:F,'Support - Transition'!B:B,'Step 2'!A656,'Support - Transition'!C:C,'Step 2'!B656,'Support - Transition'!D:D,'Step 2'!C656,'Support - Transition'!E:E,"CIVIL")</f>
        <v>3.6900000000000002E-4</v>
      </c>
      <c r="H656" s="126">
        <f>SUMIFS('Support - Transition'!F:F,'Support - Transition'!B:B,'Step 2'!A656,'Support - Transition'!C:C,'Step 2'!B656,'Support - Transition'!D:D,'Step 2'!C656,'Support - Transition'!E:E,"FIRE")</f>
        <v>1.55E-4</v>
      </c>
      <c r="I656" s="126">
        <f>IF(B656="0",SUMIFS('Support - Transition'!F:F,'Support - Transition'!J:J,'Step 2'!D656,'Support - Transition'!E:E,"STATE UNIT"),SUMIFS('Support - Transition'!F:F,'Support - Transition'!J:J,'Step 2'!D656))</f>
        <v>5.2400000000000005E-4</v>
      </c>
      <c r="J656" s="126">
        <f>SUMIFS('Support - Unit Adjustments'!E:E,'Support - Unit Adjustments'!F:F,'Step 2'!D656)</f>
        <v>0</v>
      </c>
      <c r="K656" s="126">
        <f t="shared" si="194"/>
        <v>5.2400000000000005E-4</v>
      </c>
      <c r="L656" s="174">
        <f>VLOOKUP(A656,'Step 1'!$A:$E,4,FALSE)</f>
        <v>152983</v>
      </c>
      <c r="M656" s="47">
        <f t="shared" si="195"/>
        <v>80</v>
      </c>
      <c r="N656" s="177">
        <f>SUMIFS('Support - Transition'!G:G,'Support - Transition'!J:J,'Step 2'!D656,'Support - Transition'!E:E,"2009 WELFARE ALLOCATION FACTOR")</f>
        <v>0</v>
      </c>
      <c r="O656" s="152">
        <f t="shared" si="200"/>
        <v>0</v>
      </c>
      <c r="P656" s="126">
        <f>IF(E656="Y",0,SUMIFS('Support - Transition'!G:G,'Support - Transition'!J:J,'Step 2'!D656,'Support - Transition'!E:E,"2009 SCHOOL ALLOCATION FACTOR"))</f>
        <v>0</v>
      </c>
      <c r="Q656" s="126">
        <f>IF(E656="Y",VLOOKUP(D656,'Support - Unit Adjustments'!F:G,2,FALSE),0)</f>
        <v>0</v>
      </c>
      <c r="R656" s="155">
        <f t="shared" si="212"/>
        <v>0</v>
      </c>
      <c r="S656" s="47">
        <f t="shared" si="211"/>
        <v>0</v>
      </c>
      <c r="T656" s="151">
        <f t="shared" si="196"/>
        <v>80</v>
      </c>
      <c r="U656" s="151">
        <f t="shared" si="197"/>
        <v>0</v>
      </c>
      <c r="V656" s="139">
        <f t="shared" si="198"/>
        <v>0</v>
      </c>
      <c r="W656" s="152">
        <f t="shared" si="201"/>
        <v>80</v>
      </c>
      <c r="X656" s="127" t="str">
        <f t="shared" si="199"/>
        <v/>
      </c>
      <c r="Y656" s="207">
        <f t="shared" si="202"/>
        <v>80</v>
      </c>
      <c r="Z656" s="139">
        <f t="shared" si="203"/>
        <v>56</v>
      </c>
      <c r="AA656" s="139">
        <f t="shared" si="204"/>
        <v>24</v>
      </c>
      <c r="AC656" s="47">
        <f t="shared" si="205"/>
        <v>40</v>
      </c>
      <c r="AD656" s="47">
        <f t="shared" si="206"/>
        <v>28</v>
      </c>
      <c r="AE656" s="47">
        <f t="shared" si="207"/>
        <v>12</v>
      </c>
      <c r="AG656" s="47">
        <f t="shared" si="208"/>
        <v>40</v>
      </c>
      <c r="AH656" s="47">
        <f t="shared" si="209"/>
        <v>28</v>
      </c>
      <c r="AI656" s="208">
        <f t="shared" si="210"/>
        <v>12</v>
      </c>
    </row>
    <row r="657" spans="1:35">
      <c r="A657" t="s">
        <v>2110</v>
      </c>
      <c r="B657" t="s">
        <v>3142</v>
      </c>
      <c r="C657" t="s">
        <v>2199</v>
      </c>
      <c r="D657" t="s">
        <v>3920</v>
      </c>
      <c r="F657" t="s">
        <v>59</v>
      </c>
      <c r="G657" s="126">
        <f>SUMIFS('Support - Transition'!F:F,'Support - Transition'!B:B,'Step 2'!A657,'Support - Transition'!C:C,'Step 2'!B657,'Support - Transition'!D:D,'Step 2'!C657,'Support - Transition'!E:E,"CIVIL")</f>
        <v>5.7200000000000003E-4</v>
      </c>
      <c r="H657" s="126">
        <f>SUMIFS('Support - Transition'!F:F,'Support - Transition'!B:B,'Step 2'!A657,'Support - Transition'!C:C,'Step 2'!B657,'Support - Transition'!D:D,'Step 2'!C657,'Support - Transition'!E:E,"FIRE")</f>
        <v>4.5300000000000001E-4</v>
      </c>
      <c r="I657" s="126">
        <f>IF(B657="0",SUMIFS('Support - Transition'!F:F,'Support - Transition'!J:J,'Step 2'!D657,'Support - Transition'!E:E,"STATE UNIT"),SUMIFS('Support - Transition'!F:F,'Support - Transition'!J:J,'Step 2'!D657))</f>
        <v>1.0250000000000001E-3</v>
      </c>
      <c r="J657" s="126">
        <f>SUMIFS('Support - Unit Adjustments'!E:E,'Support - Unit Adjustments'!F:F,'Step 2'!D657)</f>
        <v>0</v>
      </c>
      <c r="K657" s="126">
        <f t="shared" si="194"/>
        <v>1.0250000000000001E-3</v>
      </c>
      <c r="L657" s="174">
        <f>VLOOKUP(A657,'Step 1'!$A:$E,4,FALSE)</f>
        <v>152983</v>
      </c>
      <c r="M657" s="47">
        <f t="shared" si="195"/>
        <v>157</v>
      </c>
      <c r="N657" s="177">
        <f>SUMIFS('Support - Transition'!G:G,'Support - Transition'!J:J,'Step 2'!D657,'Support - Transition'!E:E,"2009 WELFARE ALLOCATION FACTOR")</f>
        <v>0</v>
      </c>
      <c r="O657" s="152">
        <f t="shared" si="200"/>
        <v>0</v>
      </c>
      <c r="P657" s="126">
        <f>IF(E657="Y",0,SUMIFS('Support - Transition'!G:G,'Support - Transition'!J:J,'Step 2'!D657,'Support - Transition'!E:E,"2009 SCHOOL ALLOCATION FACTOR"))</f>
        <v>0</v>
      </c>
      <c r="Q657" s="126">
        <f>IF(E657="Y",VLOOKUP(D657,'Support - Unit Adjustments'!F:G,2,FALSE),0)</f>
        <v>0</v>
      </c>
      <c r="R657" s="155">
        <f t="shared" si="212"/>
        <v>0</v>
      </c>
      <c r="S657" s="47">
        <f t="shared" si="211"/>
        <v>0</v>
      </c>
      <c r="T657" s="151">
        <f t="shared" si="196"/>
        <v>157</v>
      </c>
      <c r="U657" s="151">
        <f t="shared" si="197"/>
        <v>0</v>
      </c>
      <c r="V657" s="139">
        <f t="shared" si="198"/>
        <v>0</v>
      </c>
      <c r="W657" s="152">
        <f t="shared" si="201"/>
        <v>157</v>
      </c>
      <c r="X657" s="127" t="str">
        <f t="shared" si="199"/>
        <v/>
      </c>
      <c r="Y657" s="207">
        <f t="shared" si="202"/>
        <v>157</v>
      </c>
      <c r="Z657" s="139">
        <f t="shared" si="203"/>
        <v>88</v>
      </c>
      <c r="AA657" s="139">
        <f t="shared" si="204"/>
        <v>69</v>
      </c>
      <c r="AC657" s="47">
        <f t="shared" si="205"/>
        <v>79</v>
      </c>
      <c r="AD657" s="47">
        <f t="shared" si="206"/>
        <v>44</v>
      </c>
      <c r="AE657" s="47">
        <f t="shared" si="207"/>
        <v>35</v>
      </c>
      <c r="AG657" s="47">
        <f t="shared" si="208"/>
        <v>78</v>
      </c>
      <c r="AH657" s="47">
        <f t="shared" si="209"/>
        <v>44</v>
      </c>
      <c r="AI657" s="208">
        <f t="shared" si="210"/>
        <v>34</v>
      </c>
    </row>
    <row r="658" spans="1:35">
      <c r="A658" t="s">
        <v>2110</v>
      </c>
      <c r="B658" t="s">
        <v>3142</v>
      </c>
      <c r="C658" t="s">
        <v>2208</v>
      </c>
      <c r="D658" t="s">
        <v>3921</v>
      </c>
      <c r="F658" t="s">
        <v>533</v>
      </c>
      <c r="G658" s="126">
        <f>SUMIFS('Support - Transition'!F:F,'Support - Transition'!B:B,'Step 2'!A658,'Support - Transition'!C:C,'Step 2'!B658,'Support - Transition'!D:D,'Step 2'!C658,'Support - Transition'!E:E,"CIVIL")</f>
        <v>8.4599999999999996E-4</v>
      </c>
      <c r="H658" s="126">
        <f>SUMIFS('Support - Transition'!F:F,'Support - Transition'!B:B,'Step 2'!A658,'Support - Transition'!C:C,'Step 2'!B658,'Support - Transition'!D:D,'Step 2'!C658,'Support - Transition'!E:E,"FIRE")</f>
        <v>5.7799999999999995E-4</v>
      </c>
      <c r="I658" s="126">
        <f>IF(B658="0",SUMIFS('Support - Transition'!F:F,'Support - Transition'!J:J,'Step 2'!D658,'Support - Transition'!E:E,"STATE UNIT"),SUMIFS('Support - Transition'!F:F,'Support - Transition'!J:J,'Step 2'!D658))</f>
        <v>1.4239999999999999E-3</v>
      </c>
      <c r="J658" s="126">
        <f>SUMIFS('Support - Unit Adjustments'!E:E,'Support - Unit Adjustments'!F:F,'Step 2'!D658)</f>
        <v>0</v>
      </c>
      <c r="K658" s="126">
        <f t="shared" si="194"/>
        <v>1.4239999999999999E-3</v>
      </c>
      <c r="L658" s="174">
        <f>VLOOKUP(A658,'Step 1'!$A:$E,4,FALSE)</f>
        <v>152983</v>
      </c>
      <c r="M658" s="47">
        <f t="shared" si="195"/>
        <v>218</v>
      </c>
      <c r="N658" s="177">
        <f>SUMIFS('Support - Transition'!G:G,'Support - Transition'!J:J,'Step 2'!D658,'Support - Transition'!E:E,"2009 WELFARE ALLOCATION FACTOR")</f>
        <v>0</v>
      </c>
      <c r="O658" s="152">
        <f t="shared" si="200"/>
        <v>0</v>
      </c>
      <c r="P658" s="126">
        <f>IF(E658="Y",0,SUMIFS('Support - Transition'!G:G,'Support - Transition'!J:J,'Step 2'!D658,'Support - Transition'!E:E,"2009 SCHOOL ALLOCATION FACTOR"))</f>
        <v>0</v>
      </c>
      <c r="Q658" s="126">
        <f>IF(E658="Y",VLOOKUP(D658,'Support - Unit Adjustments'!F:G,2,FALSE),0)</f>
        <v>0</v>
      </c>
      <c r="R658" s="155">
        <f t="shared" si="212"/>
        <v>0</v>
      </c>
      <c r="S658" s="47">
        <f t="shared" si="211"/>
        <v>0</v>
      </c>
      <c r="T658" s="151">
        <f t="shared" si="196"/>
        <v>218</v>
      </c>
      <c r="U658" s="151">
        <f t="shared" si="197"/>
        <v>0</v>
      </c>
      <c r="V658" s="139">
        <f t="shared" si="198"/>
        <v>0</v>
      </c>
      <c r="W658" s="152">
        <f t="shared" si="201"/>
        <v>218</v>
      </c>
      <c r="X658" s="127" t="str">
        <f t="shared" si="199"/>
        <v/>
      </c>
      <c r="Y658" s="207">
        <f t="shared" si="202"/>
        <v>218</v>
      </c>
      <c r="Z658" s="139">
        <f t="shared" si="203"/>
        <v>130</v>
      </c>
      <c r="AA658" s="139">
        <f t="shared" si="204"/>
        <v>88</v>
      </c>
      <c r="AC658" s="47">
        <f t="shared" si="205"/>
        <v>109</v>
      </c>
      <c r="AD658" s="47">
        <f t="shared" si="206"/>
        <v>65</v>
      </c>
      <c r="AE658" s="47">
        <f t="shared" si="207"/>
        <v>44</v>
      </c>
      <c r="AG658" s="47">
        <f t="shared" si="208"/>
        <v>109</v>
      </c>
      <c r="AH658" s="47">
        <f t="shared" si="209"/>
        <v>65</v>
      </c>
      <c r="AI658" s="208">
        <f t="shared" si="210"/>
        <v>44</v>
      </c>
    </row>
    <row r="659" spans="1:35">
      <c r="A659" t="s">
        <v>2110</v>
      </c>
      <c r="B659" t="s">
        <v>3155</v>
      </c>
      <c r="C659" t="s">
        <v>2443</v>
      </c>
      <c r="D659" t="s">
        <v>3922</v>
      </c>
      <c r="F659" t="s">
        <v>534</v>
      </c>
      <c r="G659" s="126">
        <f>SUMIFS('Support - Transition'!F:F,'Support - Transition'!B:B,'Step 2'!A659,'Support - Transition'!C:C,'Step 2'!B659,'Support - Transition'!D:D,'Step 2'!C659,'Support - Transition'!E:E,"CIVIL")</f>
        <v>0</v>
      </c>
      <c r="H659" s="126">
        <f>SUMIFS('Support - Transition'!F:F,'Support - Transition'!B:B,'Step 2'!A659,'Support - Transition'!C:C,'Step 2'!B659,'Support - Transition'!D:D,'Step 2'!C659,'Support - Transition'!E:E,"FIRE")</f>
        <v>0</v>
      </c>
      <c r="I659" s="126">
        <f>IF(B659="0",SUMIFS('Support - Transition'!F:F,'Support - Transition'!J:J,'Step 2'!D659,'Support - Transition'!E:E,"STATE UNIT"),SUMIFS('Support - Transition'!F:F,'Support - Transition'!J:J,'Step 2'!D659))</f>
        <v>3.0980000000000001E-3</v>
      </c>
      <c r="J659" s="126">
        <f>SUMIFS('Support - Unit Adjustments'!E:E,'Support - Unit Adjustments'!F:F,'Step 2'!D659)</f>
        <v>0</v>
      </c>
      <c r="K659" s="126">
        <f t="shared" si="194"/>
        <v>3.0980000000000001E-3</v>
      </c>
      <c r="L659" s="174">
        <f>VLOOKUP(A659,'Step 1'!$A:$E,4,FALSE)</f>
        <v>152983</v>
      </c>
      <c r="M659" s="47">
        <f t="shared" si="195"/>
        <v>474</v>
      </c>
      <c r="N659" s="177">
        <f>SUMIFS('Support - Transition'!G:G,'Support - Transition'!J:J,'Step 2'!D659,'Support - Transition'!E:E,"2009 WELFARE ALLOCATION FACTOR")</f>
        <v>0</v>
      </c>
      <c r="O659" s="152">
        <f t="shared" si="200"/>
        <v>0</v>
      </c>
      <c r="P659" s="126">
        <f>IF(E659="Y",0,SUMIFS('Support - Transition'!G:G,'Support - Transition'!J:J,'Step 2'!D659,'Support - Transition'!E:E,"2009 SCHOOL ALLOCATION FACTOR"))</f>
        <v>0</v>
      </c>
      <c r="Q659" s="126">
        <f>IF(E659="Y",VLOOKUP(D659,'Support - Unit Adjustments'!F:G,2,FALSE),0)</f>
        <v>0</v>
      </c>
      <c r="R659" s="155">
        <f t="shared" si="212"/>
        <v>0</v>
      </c>
      <c r="S659" s="47">
        <f t="shared" si="211"/>
        <v>0</v>
      </c>
      <c r="T659" s="151">
        <f t="shared" si="196"/>
        <v>474</v>
      </c>
      <c r="U659" s="151">
        <f t="shared" si="197"/>
        <v>0</v>
      </c>
      <c r="V659" s="139">
        <f t="shared" si="198"/>
        <v>0</v>
      </c>
      <c r="W659" s="152">
        <f t="shared" si="201"/>
        <v>474</v>
      </c>
      <c r="X659" s="127" t="str">
        <f t="shared" si="199"/>
        <v/>
      </c>
      <c r="Y659" s="207">
        <f t="shared" si="202"/>
        <v>474</v>
      </c>
      <c r="Z659" s="139">
        <f t="shared" si="203"/>
        <v>474</v>
      </c>
      <c r="AA659" s="139">
        <f t="shared" si="204"/>
        <v>0</v>
      </c>
      <c r="AC659" s="47">
        <f t="shared" si="205"/>
        <v>237</v>
      </c>
      <c r="AD659" s="47">
        <f t="shared" si="206"/>
        <v>237</v>
      </c>
      <c r="AE659" s="47">
        <f t="shared" si="207"/>
        <v>0</v>
      </c>
      <c r="AG659" s="47">
        <f t="shared" si="208"/>
        <v>237</v>
      </c>
      <c r="AH659" s="47">
        <f t="shared" si="209"/>
        <v>237</v>
      </c>
      <c r="AI659" s="208">
        <f t="shared" si="210"/>
        <v>0</v>
      </c>
    </row>
    <row r="660" spans="1:35">
      <c r="A660" t="s">
        <v>2110</v>
      </c>
      <c r="B660" t="s">
        <v>3155</v>
      </c>
      <c r="C660" t="s">
        <v>2444</v>
      </c>
      <c r="D660" t="s">
        <v>3923</v>
      </c>
      <c r="F660" t="s">
        <v>536</v>
      </c>
      <c r="G660" s="126">
        <f>SUMIFS('Support - Transition'!F:F,'Support - Transition'!B:B,'Step 2'!A660,'Support - Transition'!C:C,'Step 2'!B660,'Support - Transition'!D:D,'Step 2'!C660,'Support - Transition'!E:E,"CIVIL")</f>
        <v>0</v>
      </c>
      <c r="H660" s="126">
        <f>SUMIFS('Support - Transition'!F:F,'Support - Transition'!B:B,'Step 2'!A660,'Support - Transition'!C:C,'Step 2'!B660,'Support - Transition'!D:D,'Step 2'!C660,'Support - Transition'!E:E,"FIRE")</f>
        <v>0</v>
      </c>
      <c r="I660" s="126">
        <f>IF(B660="0",SUMIFS('Support - Transition'!F:F,'Support - Transition'!J:J,'Step 2'!D660,'Support - Transition'!E:E,"STATE UNIT"),SUMIFS('Support - Transition'!F:F,'Support - Transition'!J:J,'Step 2'!D660))</f>
        <v>6.0000000000000002E-6</v>
      </c>
      <c r="J660" s="126">
        <f>SUMIFS('Support - Unit Adjustments'!E:E,'Support - Unit Adjustments'!F:F,'Step 2'!D660)</f>
        <v>0</v>
      </c>
      <c r="K660" s="126">
        <f t="shared" si="194"/>
        <v>6.0000000000000002E-6</v>
      </c>
      <c r="L660" s="174">
        <f>VLOOKUP(A660,'Step 1'!$A:$E,4,FALSE)</f>
        <v>152983</v>
      </c>
      <c r="M660" s="47">
        <f t="shared" si="195"/>
        <v>1</v>
      </c>
      <c r="N660" s="177">
        <f>SUMIFS('Support - Transition'!G:G,'Support - Transition'!J:J,'Step 2'!D660,'Support - Transition'!E:E,"2009 WELFARE ALLOCATION FACTOR")</f>
        <v>0</v>
      </c>
      <c r="O660" s="152">
        <f t="shared" si="200"/>
        <v>0</v>
      </c>
      <c r="P660" s="126">
        <f>IF(E660="Y",0,SUMIFS('Support - Transition'!G:G,'Support - Transition'!J:J,'Step 2'!D660,'Support - Transition'!E:E,"2009 SCHOOL ALLOCATION FACTOR"))</f>
        <v>0</v>
      </c>
      <c r="Q660" s="126">
        <f>IF(E660="Y",VLOOKUP(D660,'Support - Unit Adjustments'!F:G,2,FALSE),0)</f>
        <v>0</v>
      </c>
      <c r="R660" s="155">
        <f t="shared" si="212"/>
        <v>0</v>
      </c>
      <c r="S660" s="47">
        <f t="shared" si="211"/>
        <v>0</v>
      </c>
      <c r="T660" s="151">
        <f t="shared" si="196"/>
        <v>1</v>
      </c>
      <c r="U660" s="151">
        <f t="shared" si="197"/>
        <v>0</v>
      </c>
      <c r="V660" s="139">
        <f t="shared" si="198"/>
        <v>0</v>
      </c>
      <c r="W660" s="152">
        <f t="shared" si="201"/>
        <v>1</v>
      </c>
      <c r="X660" s="127" t="str">
        <f t="shared" si="199"/>
        <v/>
      </c>
      <c r="Y660" s="207">
        <f t="shared" si="202"/>
        <v>1</v>
      </c>
      <c r="Z660" s="139">
        <f t="shared" si="203"/>
        <v>1</v>
      </c>
      <c r="AA660" s="139">
        <f t="shared" si="204"/>
        <v>0</v>
      </c>
      <c r="AC660" s="47">
        <f t="shared" si="205"/>
        <v>1</v>
      </c>
      <c r="AD660" s="47">
        <f t="shared" si="206"/>
        <v>1</v>
      </c>
      <c r="AE660" s="47">
        <f t="shared" si="207"/>
        <v>0</v>
      </c>
      <c r="AG660" s="47">
        <f t="shared" si="208"/>
        <v>0</v>
      </c>
      <c r="AH660" s="47">
        <f t="shared" si="209"/>
        <v>0</v>
      </c>
      <c r="AI660" s="208">
        <f t="shared" si="210"/>
        <v>0</v>
      </c>
    </row>
    <row r="661" spans="1:35">
      <c r="A661" t="s">
        <v>2110</v>
      </c>
      <c r="B661" t="s">
        <v>3155</v>
      </c>
      <c r="C661" t="s">
        <v>2445</v>
      </c>
      <c r="D661" t="s">
        <v>3924</v>
      </c>
      <c r="F661" t="s">
        <v>537</v>
      </c>
      <c r="G661" s="126">
        <f>SUMIFS('Support - Transition'!F:F,'Support - Transition'!B:B,'Step 2'!A661,'Support - Transition'!C:C,'Step 2'!B661,'Support - Transition'!D:D,'Step 2'!C661,'Support - Transition'!E:E,"CIVIL")</f>
        <v>0</v>
      </c>
      <c r="H661" s="126">
        <f>SUMIFS('Support - Transition'!F:F,'Support - Transition'!B:B,'Step 2'!A661,'Support - Transition'!C:C,'Step 2'!B661,'Support - Transition'!D:D,'Step 2'!C661,'Support - Transition'!E:E,"FIRE")</f>
        <v>0</v>
      </c>
      <c r="I661" s="126">
        <f>IF(B661="0",SUMIFS('Support - Transition'!F:F,'Support - Transition'!J:J,'Step 2'!D661,'Support - Transition'!E:E,"STATE UNIT"),SUMIFS('Support - Transition'!F:F,'Support - Transition'!J:J,'Step 2'!D661))</f>
        <v>8.6399999999999997E-4</v>
      </c>
      <c r="J661" s="126">
        <f>SUMIFS('Support - Unit Adjustments'!E:E,'Support - Unit Adjustments'!F:F,'Step 2'!D661)</f>
        <v>0</v>
      </c>
      <c r="K661" s="126">
        <f t="shared" si="194"/>
        <v>8.6399999999999997E-4</v>
      </c>
      <c r="L661" s="174">
        <f>VLOOKUP(A661,'Step 1'!$A:$E,4,FALSE)</f>
        <v>152983</v>
      </c>
      <c r="M661" s="47">
        <f t="shared" si="195"/>
        <v>132</v>
      </c>
      <c r="N661" s="177">
        <f>SUMIFS('Support - Transition'!G:G,'Support - Transition'!J:J,'Step 2'!D661,'Support - Transition'!E:E,"2009 WELFARE ALLOCATION FACTOR")</f>
        <v>0</v>
      </c>
      <c r="O661" s="152">
        <f t="shared" si="200"/>
        <v>0</v>
      </c>
      <c r="P661" s="126">
        <f>IF(E661="Y",0,SUMIFS('Support - Transition'!G:G,'Support - Transition'!J:J,'Step 2'!D661,'Support - Transition'!E:E,"2009 SCHOOL ALLOCATION FACTOR"))</f>
        <v>0</v>
      </c>
      <c r="Q661" s="126">
        <f>IF(E661="Y",VLOOKUP(D661,'Support - Unit Adjustments'!F:G,2,FALSE),0)</f>
        <v>0</v>
      </c>
      <c r="R661" s="155">
        <f t="shared" si="212"/>
        <v>0</v>
      </c>
      <c r="S661" s="47">
        <f t="shared" si="211"/>
        <v>0</v>
      </c>
      <c r="T661" s="151">
        <f t="shared" si="196"/>
        <v>132</v>
      </c>
      <c r="U661" s="151">
        <f t="shared" si="197"/>
        <v>0</v>
      </c>
      <c r="V661" s="139">
        <f t="shared" si="198"/>
        <v>0</v>
      </c>
      <c r="W661" s="152">
        <f t="shared" si="201"/>
        <v>132</v>
      </c>
      <c r="X661" s="127" t="str">
        <f t="shared" si="199"/>
        <v/>
      </c>
      <c r="Y661" s="207">
        <f t="shared" si="202"/>
        <v>132</v>
      </c>
      <c r="Z661" s="139">
        <f t="shared" si="203"/>
        <v>132</v>
      </c>
      <c r="AA661" s="139">
        <f t="shared" si="204"/>
        <v>0</v>
      </c>
      <c r="AC661" s="47">
        <f t="shared" si="205"/>
        <v>66</v>
      </c>
      <c r="AD661" s="47">
        <f t="shared" si="206"/>
        <v>66</v>
      </c>
      <c r="AE661" s="47">
        <f t="shared" si="207"/>
        <v>0</v>
      </c>
      <c r="AG661" s="47">
        <f t="shared" si="208"/>
        <v>66</v>
      </c>
      <c r="AH661" s="47">
        <f t="shared" si="209"/>
        <v>66</v>
      </c>
      <c r="AI661" s="208">
        <f t="shared" si="210"/>
        <v>0</v>
      </c>
    </row>
    <row r="662" spans="1:35">
      <c r="A662" t="s">
        <v>2110</v>
      </c>
      <c r="B662" t="s">
        <v>3155</v>
      </c>
      <c r="C662" t="s">
        <v>2446</v>
      </c>
      <c r="D662" t="s">
        <v>3925</v>
      </c>
      <c r="F662" t="s">
        <v>538</v>
      </c>
      <c r="G662" s="126">
        <f>SUMIFS('Support - Transition'!F:F,'Support - Transition'!B:B,'Step 2'!A662,'Support - Transition'!C:C,'Step 2'!B662,'Support - Transition'!D:D,'Step 2'!C662,'Support - Transition'!E:E,"CIVIL")</f>
        <v>0</v>
      </c>
      <c r="H662" s="126">
        <f>SUMIFS('Support - Transition'!F:F,'Support - Transition'!B:B,'Step 2'!A662,'Support - Transition'!C:C,'Step 2'!B662,'Support - Transition'!D:D,'Step 2'!C662,'Support - Transition'!E:E,"FIRE")</f>
        <v>0</v>
      </c>
      <c r="I662" s="126">
        <f>IF(B662="0",SUMIFS('Support - Transition'!F:F,'Support - Transition'!J:J,'Step 2'!D662,'Support - Transition'!E:E,"STATE UNIT"),SUMIFS('Support - Transition'!F:F,'Support - Transition'!J:J,'Step 2'!D662))</f>
        <v>1.2E-5</v>
      </c>
      <c r="J662" s="126">
        <f>SUMIFS('Support - Unit Adjustments'!E:E,'Support - Unit Adjustments'!F:F,'Step 2'!D662)</f>
        <v>0</v>
      </c>
      <c r="K662" s="126">
        <f t="shared" si="194"/>
        <v>1.2E-5</v>
      </c>
      <c r="L662" s="174">
        <f>VLOOKUP(A662,'Step 1'!$A:$E,4,FALSE)</f>
        <v>152983</v>
      </c>
      <c r="M662" s="47">
        <f t="shared" si="195"/>
        <v>2</v>
      </c>
      <c r="N662" s="177">
        <f>SUMIFS('Support - Transition'!G:G,'Support - Transition'!J:J,'Step 2'!D662,'Support - Transition'!E:E,"2009 WELFARE ALLOCATION FACTOR")</f>
        <v>0</v>
      </c>
      <c r="O662" s="152">
        <f t="shared" si="200"/>
        <v>0</v>
      </c>
      <c r="P662" s="126">
        <f>IF(E662="Y",0,SUMIFS('Support - Transition'!G:G,'Support - Transition'!J:J,'Step 2'!D662,'Support - Transition'!E:E,"2009 SCHOOL ALLOCATION FACTOR"))</f>
        <v>0</v>
      </c>
      <c r="Q662" s="126">
        <f>IF(E662="Y",VLOOKUP(D662,'Support - Unit Adjustments'!F:G,2,FALSE),0)</f>
        <v>0</v>
      </c>
      <c r="R662" s="155">
        <f t="shared" si="212"/>
        <v>0</v>
      </c>
      <c r="S662" s="47">
        <f t="shared" si="211"/>
        <v>0</v>
      </c>
      <c r="T662" s="151">
        <f t="shared" si="196"/>
        <v>2</v>
      </c>
      <c r="U662" s="151">
        <f t="shared" si="197"/>
        <v>0</v>
      </c>
      <c r="V662" s="139">
        <f t="shared" si="198"/>
        <v>0</v>
      </c>
      <c r="W662" s="152">
        <f t="shared" si="201"/>
        <v>2</v>
      </c>
      <c r="X662" s="127" t="str">
        <f t="shared" si="199"/>
        <v/>
      </c>
      <c r="Y662" s="207">
        <f t="shared" si="202"/>
        <v>2</v>
      </c>
      <c r="Z662" s="139">
        <f t="shared" si="203"/>
        <v>2</v>
      </c>
      <c r="AA662" s="139">
        <f t="shared" si="204"/>
        <v>0</v>
      </c>
      <c r="AC662" s="47">
        <f t="shared" si="205"/>
        <v>1</v>
      </c>
      <c r="AD662" s="47">
        <f t="shared" si="206"/>
        <v>1</v>
      </c>
      <c r="AE662" s="47">
        <f t="shared" si="207"/>
        <v>0</v>
      </c>
      <c r="AG662" s="47">
        <f t="shared" si="208"/>
        <v>1</v>
      </c>
      <c r="AH662" s="47">
        <f t="shared" si="209"/>
        <v>1</v>
      </c>
      <c r="AI662" s="208">
        <f t="shared" si="210"/>
        <v>0</v>
      </c>
    </row>
    <row r="663" spans="1:35">
      <c r="A663" t="s">
        <v>2110</v>
      </c>
      <c r="B663" t="s">
        <v>3155</v>
      </c>
      <c r="C663" t="s">
        <v>2447</v>
      </c>
      <c r="D663" t="s">
        <v>3926</v>
      </c>
      <c r="F663" t="s">
        <v>539</v>
      </c>
      <c r="G663" s="126">
        <f>SUMIFS('Support - Transition'!F:F,'Support - Transition'!B:B,'Step 2'!A663,'Support - Transition'!C:C,'Step 2'!B663,'Support - Transition'!D:D,'Step 2'!C663,'Support - Transition'!E:E,"CIVIL")</f>
        <v>0</v>
      </c>
      <c r="H663" s="126">
        <f>SUMIFS('Support - Transition'!F:F,'Support - Transition'!B:B,'Step 2'!A663,'Support - Transition'!C:C,'Step 2'!B663,'Support - Transition'!D:D,'Step 2'!C663,'Support - Transition'!E:E,"FIRE")</f>
        <v>0</v>
      </c>
      <c r="I663" s="126">
        <f>IF(B663="0",SUMIFS('Support - Transition'!F:F,'Support - Transition'!J:J,'Step 2'!D663,'Support - Transition'!E:E,"STATE UNIT"),SUMIFS('Support - Transition'!F:F,'Support - Transition'!J:J,'Step 2'!D663))</f>
        <v>2.1800000000000001E-3</v>
      </c>
      <c r="J663" s="126">
        <f>SUMIFS('Support - Unit Adjustments'!E:E,'Support - Unit Adjustments'!F:F,'Step 2'!D663)</f>
        <v>2.7049999999999999E-3</v>
      </c>
      <c r="K663" s="126">
        <f t="shared" si="194"/>
        <v>4.8850000000000005E-3</v>
      </c>
      <c r="L663" s="174">
        <f>VLOOKUP(A663,'Step 1'!$A:$E,4,FALSE)</f>
        <v>152983</v>
      </c>
      <c r="M663" s="47">
        <f t="shared" si="195"/>
        <v>747</v>
      </c>
      <c r="N663" s="177">
        <f>SUMIFS('Support - Transition'!G:G,'Support - Transition'!J:J,'Step 2'!D663,'Support - Transition'!E:E,"2009 WELFARE ALLOCATION FACTOR")</f>
        <v>0</v>
      </c>
      <c r="O663" s="152">
        <f t="shared" si="200"/>
        <v>0</v>
      </c>
      <c r="P663" s="126">
        <f>IF(E663="Y",0,SUMIFS('Support - Transition'!G:G,'Support - Transition'!J:J,'Step 2'!D663,'Support - Transition'!E:E,"2009 SCHOOL ALLOCATION FACTOR"))</f>
        <v>0</v>
      </c>
      <c r="Q663" s="126">
        <f>IF(E663="Y",VLOOKUP(D663,'Support - Unit Adjustments'!F:G,2,FALSE),0)</f>
        <v>0</v>
      </c>
      <c r="R663" s="155">
        <f t="shared" si="212"/>
        <v>0</v>
      </c>
      <c r="S663" s="47">
        <f t="shared" si="211"/>
        <v>0</v>
      </c>
      <c r="T663" s="151">
        <f t="shared" si="196"/>
        <v>747</v>
      </c>
      <c r="U663" s="151">
        <f t="shared" si="197"/>
        <v>0</v>
      </c>
      <c r="V663" s="139">
        <f t="shared" si="198"/>
        <v>0</v>
      </c>
      <c r="W663" s="152">
        <f t="shared" si="201"/>
        <v>747</v>
      </c>
      <c r="X663" s="127" t="str">
        <f t="shared" si="199"/>
        <v/>
      </c>
      <c r="Y663" s="207">
        <f t="shared" si="202"/>
        <v>747</v>
      </c>
      <c r="Z663" s="139">
        <f t="shared" si="203"/>
        <v>747</v>
      </c>
      <c r="AA663" s="139">
        <f t="shared" si="204"/>
        <v>0</v>
      </c>
      <c r="AC663" s="47">
        <f t="shared" si="205"/>
        <v>374</v>
      </c>
      <c r="AD663" s="47">
        <f t="shared" si="206"/>
        <v>374</v>
      </c>
      <c r="AE663" s="47">
        <f t="shared" si="207"/>
        <v>0</v>
      </c>
      <c r="AG663" s="47">
        <f t="shared" si="208"/>
        <v>373</v>
      </c>
      <c r="AH663" s="47">
        <f t="shared" si="209"/>
        <v>373</v>
      </c>
      <c r="AI663" s="208">
        <f t="shared" si="210"/>
        <v>0</v>
      </c>
    </row>
    <row r="664" spans="1:35">
      <c r="A664" t="s">
        <v>2110</v>
      </c>
      <c r="B664" t="s">
        <v>3155</v>
      </c>
      <c r="C664" t="s">
        <v>2448</v>
      </c>
      <c r="D664" t="s">
        <v>3927</v>
      </c>
      <c r="F664" t="s">
        <v>535</v>
      </c>
      <c r="G664" s="126">
        <f>SUMIFS('Support - Transition'!F:F,'Support - Transition'!B:B,'Step 2'!A664,'Support - Transition'!C:C,'Step 2'!B664,'Support - Transition'!D:D,'Step 2'!C664,'Support - Transition'!E:E,"CIVIL")</f>
        <v>0</v>
      </c>
      <c r="H664" s="126">
        <f>SUMIFS('Support - Transition'!F:F,'Support - Transition'!B:B,'Step 2'!A664,'Support - Transition'!C:C,'Step 2'!B664,'Support - Transition'!D:D,'Step 2'!C664,'Support - Transition'!E:E,"FIRE")</f>
        <v>0</v>
      </c>
      <c r="I664" s="126">
        <f>IF(B664="0",SUMIFS('Support - Transition'!F:F,'Support - Transition'!J:J,'Step 2'!D664,'Support - Transition'!E:E,"STATE UNIT"),SUMIFS('Support - Transition'!F:F,'Support - Transition'!J:J,'Step 2'!D664))</f>
        <v>6.5589999999999997E-3</v>
      </c>
      <c r="J664" s="126">
        <f>SUMIFS('Support - Unit Adjustments'!E:E,'Support - Unit Adjustments'!F:F,'Step 2'!D664)</f>
        <v>0</v>
      </c>
      <c r="K664" s="126">
        <f t="shared" si="194"/>
        <v>6.5589999999999997E-3</v>
      </c>
      <c r="L664" s="174">
        <f>VLOOKUP(A664,'Step 1'!$A:$E,4,FALSE)</f>
        <v>152983</v>
      </c>
      <c r="M664" s="47">
        <f t="shared" si="195"/>
        <v>1003</v>
      </c>
      <c r="N664" s="177">
        <f>SUMIFS('Support - Transition'!G:G,'Support - Transition'!J:J,'Step 2'!D664,'Support - Transition'!E:E,"2009 WELFARE ALLOCATION FACTOR")</f>
        <v>0</v>
      </c>
      <c r="O664" s="152">
        <f t="shared" si="200"/>
        <v>0</v>
      </c>
      <c r="P664" s="126">
        <f>IF(E664="Y",0,SUMIFS('Support - Transition'!G:G,'Support - Transition'!J:J,'Step 2'!D664,'Support - Transition'!E:E,"2009 SCHOOL ALLOCATION FACTOR"))</f>
        <v>0</v>
      </c>
      <c r="Q664" s="126">
        <f>IF(E664="Y",VLOOKUP(D664,'Support - Unit Adjustments'!F:G,2,FALSE),0)</f>
        <v>0</v>
      </c>
      <c r="R664" s="155">
        <f t="shared" si="212"/>
        <v>0</v>
      </c>
      <c r="S664" s="47">
        <f t="shared" si="211"/>
        <v>0</v>
      </c>
      <c r="T664" s="151">
        <f t="shared" si="196"/>
        <v>1003</v>
      </c>
      <c r="U664" s="151">
        <f t="shared" si="197"/>
        <v>0</v>
      </c>
      <c r="V664" s="139">
        <f t="shared" si="198"/>
        <v>0</v>
      </c>
      <c r="W664" s="152">
        <f t="shared" si="201"/>
        <v>1003</v>
      </c>
      <c r="X664" s="127" t="str">
        <f t="shared" si="199"/>
        <v/>
      </c>
      <c r="Y664" s="207">
        <f t="shared" si="202"/>
        <v>1003</v>
      </c>
      <c r="Z664" s="139">
        <f t="shared" si="203"/>
        <v>1003</v>
      </c>
      <c r="AA664" s="139">
        <f t="shared" si="204"/>
        <v>0</v>
      </c>
      <c r="AC664" s="47">
        <f t="shared" si="205"/>
        <v>502</v>
      </c>
      <c r="AD664" s="47">
        <f t="shared" si="206"/>
        <v>502</v>
      </c>
      <c r="AE664" s="47">
        <f t="shared" si="207"/>
        <v>0</v>
      </c>
      <c r="AG664" s="47">
        <f t="shared" si="208"/>
        <v>501</v>
      </c>
      <c r="AH664" s="47">
        <f t="shared" si="209"/>
        <v>501</v>
      </c>
      <c r="AI664" s="208">
        <f t="shared" si="210"/>
        <v>0</v>
      </c>
    </row>
    <row r="665" spans="1:35">
      <c r="A665" t="s">
        <v>2110</v>
      </c>
      <c r="B665" t="s">
        <v>3160</v>
      </c>
      <c r="C665" t="s">
        <v>2449</v>
      </c>
      <c r="D665" t="s">
        <v>3928</v>
      </c>
      <c r="F665" t="s">
        <v>3929</v>
      </c>
      <c r="G665" s="126">
        <f>SUMIFS('Support - Transition'!F:F,'Support - Transition'!B:B,'Step 2'!A665,'Support - Transition'!C:C,'Step 2'!B665,'Support - Transition'!D:D,'Step 2'!C665,'Support - Transition'!E:E,"CIVIL")</f>
        <v>0</v>
      </c>
      <c r="H665" s="126">
        <f>SUMIFS('Support - Transition'!F:F,'Support - Transition'!B:B,'Step 2'!A665,'Support - Transition'!C:C,'Step 2'!B665,'Support - Transition'!D:D,'Step 2'!C665,'Support - Transition'!E:E,"FIRE")</f>
        <v>0</v>
      </c>
      <c r="I665" s="126">
        <f>IF(B665="0",SUMIFS('Support - Transition'!F:F,'Support - Transition'!J:J,'Step 2'!D665,'Support - Transition'!E:E,"STATE UNIT"),SUMIFS('Support - Transition'!F:F,'Support - Transition'!J:J,'Step 2'!D665))</f>
        <v>0.55850599999999995</v>
      </c>
      <c r="J665" s="126">
        <f>SUMIFS('Support - Unit Adjustments'!E:E,'Support - Unit Adjustments'!F:F,'Step 2'!D665)</f>
        <v>0</v>
      </c>
      <c r="K665" s="126">
        <f t="shared" si="194"/>
        <v>0.55850599999999995</v>
      </c>
      <c r="L665" s="174">
        <f>VLOOKUP(A665,'Step 1'!$A:$E,4,FALSE)</f>
        <v>152983</v>
      </c>
      <c r="M665" s="47">
        <f t="shared" si="195"/>
        <v>85442</v>
      </c>
      <c r="N665" s="177">
        <f>SUMIFS('Support - Transition'!G:G,'Support - Transition'!J:J,'Step 2'!D665,'Support - Transition'!E:E,"2009 WELFARE ALLOCATION FACTOR")</f>
        <v>0</v>
      </c>
      <c r="O665" s="152">
        <f t="shared" si="200"/>
        <v>0</v>
      </c>
      <c r="P665" s="126">
        <f>IF(E665="Y",0,SUMIFS('Support - Transition'!G:G,'Support - Transition'!J:J,'Step 2'!D665,'Support - Transition'!E:E,"2009 SCHOOL ALLOCATION FACTOR"))</f>
        <v>0.42430200000000001</v>
      </c>
      <c r="Q665" s="126">
        <f>IF(E665="Y",VLOOKUP(D665,'Support - Unit Adjustments'!F:G,2,FALSE),0)</f>
        <v>0</v>
      </c>
      <c r="R665" s="155">
        <f t="shared" si="212"/>
        <v>0.42430200000000001</v>
      </c>
      <c r="S665" s="47">
        <f t="shared" si="211"/>
        <v>36253</v>
      </c>
      <c r="T665" s="151">
        <f t="shared" si="196"/>
        <v>49189</v>
      </c>
      <c r="U665" s="151">
        <f t="shared" si="197"/>
        <v>0</v>
      </c>
      <c r="V665" s="139">
        <f t="shared" si="198"/>
        <v>0</v>
      </c>
      <c r="W665" s="152">
        <f t="shared" si="201"/>
        <v>49189</v>
      </c>
      <c r="X665" s="127" t="str">
        <f t="shared" si="199"/>
        <v/>
      </c>
      <c r="Y665" s="207">
        <f t="shared" si="202"/>
        <v>49189</v>
      </c>
      <c r="Z665" s="139">
        <f t="shared" si="203"/>
        <v>49189</v>
      </c>
      <c r="AA665" s="139">
        <f t="shared" si="204"/>
        <v>0</v>
      </c>
      <c r="AC665" s="47">
        <f t="shared" si="205"/>
        <v>24595</v>
      </c>
      <c r="AD665" s="47">
        <f t="shared" si="206"/>
        <v>24595</v>
      </c>
      <c r="AE665" s="47">
        <f t="shared" si="207"/>
        <v>0</v>
      </c>
      <c r="AG665" s="47">
        <f t="shared" si="208"/>
        <v>24594</v>
      </c>
      <c r="AH665" s="47">
        <f t="shared" si="209"/>
        <v>24594</v>
      </c>
      <c r="AI665" s="208">
        <f t="shared" si="210"/>
        <v>0</v>
      </c>
    </row>
    <row r="666" spans="1:35">
      <c r="A666" t="s">
        <v>2110</v>
      </c>
      <c r="B666" t="s">
        <v>3160</v>
      </c>
      <c r="C666" t="s">
        <v>2450</v>
      </c>
      <c r="D666" t="s">
        <v>3930</v>
      </c>
      <c r="F666" t="s">
        <v>540</v>
      </c>
      <c r="G666" s="126">
        <f>SUMIFS('Support - Transition'!F:F,'Support - Transition'!B:B,'Step 2'!A666,'Support - Transition'!C:C,'Step 2'!B666,'Support - Transition'!D:D,'Step 2'!C666,'Support - Transition'!E:E,"CIVIL")</f>
        <v>0</v>
      </c>
      <c r="H666" s="126">
        <f>SUMIFS('Support - Transition'!F:F,'Support - Transition'!B:B,'Step 2'!A666,'Support - Transition'!C:C,'Step 2'!B666,'Support - Transition'!D:D,'Step 2'!C666,'Support - Transition'!E:E,"FIRE")</f>
        <v>0</v>
      </c>
      <c r="I666" s="126">
        <f>IF(B666="0",SUMIFS('Support - Transition'!F:F,'Support - Transition'!J:J,'Step 2'!D666,'Support - Transition'!E:E,"STATE UNIT"),SUMIFS('Support - Transition'!F:F,'Support - Transition'!J:J,'Step 2'!D666))</f>
        <v>0.19261300000000001</v>
      </c>
      <c r="J666" s="126">
        <f>SUMIFS('Support - Unit Adjustments'!E:E,'Support - Unit Adjustments'!F:F,'Step 2'!D666)</f>
        <v>0</v>
      </c>
      <c r="K666" s="126">
        <f t="shared" si="194"/>
        <v>0.19261300000000001</v>
      </c>
      <c r="L666" s="174">
        <f>VLOOKUP(A666,'Step 1'!$A:$E,4,FALSE)</f>
        <v>152983</v>
      </c>
      <c r="M666" s="47">
        <f t="shared" si="195"/>
        <v>29467</v>
      </c>
      <c r="N666" s="177">
        <f>SUMIFS('Support - Transition'!G:G,'Support - Transition'!J:J,'Step 2'!D666,'Support - Transition'!E:E,"2009 WELFARE ALLOCATION FACTOR")</f>
        <v>0</v>
      </c>
      <c r="O666" s="152">
        <f t="shared" si="200"/>
        <v>0</v>
      </c>
      <c r="P666" s="126">
        <f>IF(E666="Y",0,SUMIFS('Support - Transition'!G:G,'Support - Transition'!J:J,'Step 2'!D666,'Support - Transition'!E:E,"2009 SCHOOL ALLOCATION FACTOR"))</f>
        <v>0.52623500000000001</v>
      </c>
      <c r="Q666" s="126">
        <f>IF(E666="Y",VLOOKUP(D666,'Support - Unit Adjustments'!F:G,2,FALSE),0)</f>
        <v>0</v>
      </c>
      <c r="R666" s="155">
        <f t="shared" si="212"/>
        <v>0.52623500000000001</v>
      </c>
      <c r="S666" s="47">
        <f t="shared" si="211"/>
        <v>15507</v>
      </c>
      <c r="T666" s="151">
        <f t="shared" si="196"/>
        <v>13960</v>
      </c>
      <c r="U666" s="151">
        <f t="shared" si="197"/>
        <v>0</v>
      </c>
      <c r="V666" s="139">
        <f t="shared" si="198"/>
        <v>0</v>
      </c>
      <c r="W666" s="152">
        <f t="shared" si="201"/>
        <v>13960</v>
      </c>
      <c r="X666" s="127" t="str">
        <f t="shared" si="199"/>
        <v/>
      </c>
      <c r="Y666" s="207">
        <f t="shared" si="202"/>
        <v>13960</v>
      </c>
      <c r="Z666" s="139">
        <f t="shared" si="203"/>
        <v>13960</v>
      </c>
      <c r="AA666" s="139">
        <f t="shared" si="204"/>
        <v>0</v>
      </c>
      <c r="AC666" s="47">
        <f t="shared" si="205"/>
        <v>6980</v>
      </c>
      <c r="AD666" s="47">
        <f t="shared" si="206"/>
        <v>6980</v>
      </c>
      <c r="AE666" s="47">
        <f t="shared" si="207"/>
        <v>0</v>
      </c>
      <c r="AG666" s="47">
        <f t="shared" si="208"/>
        <v>6980</v>
      </c>
      <c r="AH666" s="47">
        <f t="shared" si="209"/>
        <v>6980</v>
      </c>
      <c r="AI666" s="208">
        <f t="shared" si="210"/>
        <v>0</v>
      </c>
    </row>
    <row r="667" spans="1:35">
      <c r="A667" t="s">
        <v>2110</v>
      </c>
      <c r="B667" t="s">
        <v>3160</v>
      </c>
      <c r="C667" t="s">
        <v>2451</v>
      </c>
      <c r="D667" t="s">
        <v>3931</v>
      </c>
      <c r="F667" t="s">
        <v>542</v>
      </c>
      <c r="G667" s="126">
        <f>SUMIFS('Support - Transition'!F:F,'Support - Transition'!B:B,'Step 2'!A667,'Support - Transition'!C:C,'Step 2'!B667,'Support - Transition'!D:D,'Step 2'!C667,'Support - Transition'!E:E,"CIVIL")</f>
        <v>0</v>
      </c>
      <c r="H667" s="126">
        <f>SUMIFS('Support - Transition'!F:F,'Support - Transition'!B:B,'Step 2'!A667,'Support - Transition'!C:C,'Step 2'!B667,'Support - Transition'!D:D,'Step 2'!C667,'Support - Transition'!E:E,"FIRE")</f>
        <v>0</v>
      </c>
      <c r="I667" s="126">
        <f>IF(B667="0",SUMIFS('Support - Transition'!F:F,'Support - Transition'!J:J,'Step 2'!D667,'Support - Transition'!E:E,"STATE UNIT"),SUMIFS('Support - Transition'!F:F,'Support - Transition'!J:J,'Step 2'!D667))</f>
        <v>2.6016999999999998E-2</v>
      </c>
      <c r="J667" s="126">
        <f>SUMIFS('Support - Unit Adjustments'!E:E,'Support - Unit Adjustments'!F:F,'Step 2'!D667)</f>
        <v>0</v>
      </c>
      <c r="K667" s="126">
        <f t="shared" si="194"/>
        <v>2.6016999999999998E-2</v>
      </c>
      <c r="L667" s="174">
        <f>VLOOKUP(A667,'Step 1'!$A:$E,4,FALSE)</f>
        <v>152983</v>
      </c>
      <c r="M667" s="47">
        <f t="shared" si="195"/>
        <v>3980</v>
      </c>
      <c r="N667" s="177">
        <f>SUMIFS('Support - Transition'!G:G,'Support - Transition'!J:J,'Step 2'!D667,'Support - Transition'!E:E,"2009 WELFARE ALLOCATION FACTOR")</f>
        <v>0</v>
      </c>
      <c r="O667" s="152">
        <f t="shared" si="200"/>
        <v>0</v>
      </c>
      <c r="P667" s="126">
        <f>IF(E667="Y",0,SUMIFS('Support - Transition'!G:G,'Support - Transition'!J:J,'Step 2'!D667,'Support - Transition'!E:E,"2009 SCHOOL ALLOCATION FACTOR"))</f>
        <v>0.39339400000000002</v>
      </c>
      <c r="Q667" s="126">
        <f>IF(E667="Y",VLOOKUP(D667,'Support - Unit Adjustments'!F:G,2,FALSE),0)</f>
        <v>0</v>
      </c>
      <c r="R667" s="155">
        <f t="shared" si="212"/>
        <v>0.39339400000000002</v>
      </c>
      <c r="S667" s="47">
        <f t="shared" si="211"/>
        <v>1566</v>
      </c>
      <c r="T667" s="151">
        <f t="shared" si="196"/>
        <v>2414</v>
      </c>
      <c r="U667" s="151">
        <f t="shared" si="197"/>
        <v>0</v>
      </c>
      <c r="V667" s="139">
        <f t="shared" si="198"/>
        <v>0</v>
      </c>
      <c r="W667" s="152">
        <f t="shared" si="201"/>
        <v>2414</v>
      </c>
      <c r="X667" s="127" t="str">
        <f t="shared" si="199"/>
        <v/>
      </c>
      <c r="Y667" s="207">
        <f t="shared" si="202"/>
        <v>2414</v>
      </c>
      <c r="Z667" s="139">
        <f t="shared" si="203"/>
        <v>2414</v>
      </c>
      <c r="AA667" s="139">
        <f t="shared" si="204"/>
        <v>0</v>
      </c>
      <c r="AC667" s="47">
        <f t="shared" si="205"/>
        <v>1207</v>
      </c>
      <c r="AD667" s="47">
        <f t="shared" si="206"/>
        <v>1207</v>
      </c>
      <c r="AE667" s="47">
        <f t="shared" si="207"/>
        <v>0</v>
      </c>
      <c r="AG667" s="47">
        <f t="shared" si="208"/>
        <v>1207</v>
      </c>
      <c r="AH667" s="47">
        <f t="shared" si="209"/>
        <v>1207</v>
      </c>
      <c r="AI667" s="208">
        <f t="shared" si="210"/>
        <v>0</v>
      </c>
    </row>
    <row r="668" spans="1:35">
      <c r="A668" t="s">
        <v>2110</v>
      </c>
      <c r="B668" t="s">
        <v>3166</v>
      </c>
      <c r="C668" t="s">
        <v>3932</v>
      </c>
      <c r="D668" t="s">
        <v>3933</v>
      </c>
      <c r="F668" t="s">
        <v>3934</v>
      </c>
      <c r="G668" s="126">
        <f>SUMIFS('Support - Transition'!F:F,'Support - Transition'!B:B,'Step 2'!A668,'Support - Transition'!C:C,'Step 2'!B668,'Support - Transition'!D:D,'Step 2'!C668,'Support - Transition'!E:E,"CIVIL")</f>
        <v>0</v>
      </c>
      <c r="H668" s="126">
        <f>SUMIFS('Support - Transition'!F:F,'Support - Transition'!B:B,'Step 2'!A668,'Support - Transition'!C:C,'Step 2'!B668,'Support - Transition'!D:D,'Step 2'!C668,'Support - Transition'!E:E,"FIRE")</f>
        <v>0</v>
      </c>
      <c r="I668" s="126">
        <f>IF(B668="0",SUMIFS('Support - Transition'!F:F,'Support - Transition'!J:J,'Step 2'!D668,'Support - Transition'!E:E,"STATE UNIT"),SUMIFS('Support - Transition'!F:F,'Support - Transition'!J:J,'Step 2'!D668))</f>
        <v>0</v>
      </c>
      <c r="J668" s="126">
        <f>SUMIFS('Support - Unit Adjustments'!E:E,'Support - Unit Adjustments'!F:F,'Step 2'!D668)</f>
        <v>1.1592999999999999E-2</v>
      </c>
      <c r="K668" s="126">
        <f t="shared" si="194"/>
        <v>1.1592999999999999E-2</v>
      </c>
      <c r="L668" s="174">
        <f>VLOOKUP(A668,'Step 1'!$A:$E,4,FALSE)</f>
        <v>152983</v>
      </c>
      <c r="M668" s="47">
        <f t="shared" si="195"/>
        <v>1774</v>
      </c>
      <c r="N668" s="177">
        <f>SUMIFS('Support - Transition'!G:G,'Support - Transition'!J:J,'Step 2'!D668,'Support - Transition'!E:E,"2009 WELFARE ALLOCATION FACTOR")</f>
        <v>0</v>
      </c>
      <c r="O668" s="152">
        <f t="shared" si="200"/>
        <v>0</v>
      </c>
      <c r="P668" s="126">
        <f>IF(E668="Y",0,SUMIFS('Support - Transition'!G:G,'Support - Transition'!J:J,'Step 2'!D668,'Support - Transition'!E:E,"2009 SCHOOL ALLOCATION FACTOR"))</f>
        <v>0</v>
      </c>
      <c r="Q668" s="126">
        <f>IF(E668="Y",VLOOKUP(D668,'Support - Unit Adjustments'!F:G,2,FALSE),0)</f>
        <v>0</v>
      </c>
      <c r="R668" s="155">
        <f t="shared" si="212"/>
        <v>0</v>
      </c>
      <c r="S668" s="47">
        <f t="shared" si="211"/>
        <v>0</v>
      </c>
      <c r="T668" s="151">
        <f t="shared" si="196"/>
        <v>1774</v>
      </c>
      <c r="U668" s="151">
        <f t="shared" si="197"/>
        <v>0</v>
      </c>
      <c r="V668" s="139">
        <f t="shared" si="198"/>
        <v>0</v>
      </c>
      <c r="W668" s="152">
        <f t="shared" si="201"/>
        <v>1774</v>
      </c>
      <c r="X668" s="127" t="str">
        <f t="shared" si="199"/>
        <v/>
      </c>
      <c r="Y668" s="207">
        <f t="shared" si="202"/>
        <v>1774</v>
      </c>
      <c r="Z668" s="139">
        <f t="shared" si="203"/>
        <v>1774</v>
      </c>
      <c r="AA668" s="139">
        <f t="shared" si="204"/>
        <v>0</v>
      </c>
      <c r="AC668" s="47">
        <f t="shared" si="205"/>
        <v>887</v>
      </c>
      <c r="AD668" s="47">
        <f t="shared" si="206"/>
        <v>887</v>
      </c>
      <c r="AE668" s="47">
        <f t="shared" si="207"/>
        <v>0</v>
      </c>
      <c r="AG668" s="47">
        <f t="shared" si="208"/>
        <v>887</v>
      </c>
      <c r="AH668" s="47">
        <f t="shared" si="209"/>
        <v>887</v>
      </c>
      <c r="AI668" s="208">
        <f t="shared" si="210"/>
        <v>0</v>
      </c>
    </row>
    <row r="669" spans="1:35">
      <c r="A669" t="s">
        <v>2110</v>
      </c>
      <c r="B669" t="s">
        <v>3166</v>
      </c>
      <c r="C669" t="s">
        <v>2452</v>
      </c>
      <c r="D669" t="s">
        <v>3935</v>
      </c>
      <c r="F669" t="s">
        <v>543</v>
      </c>
      <c r="G669" s="126">
        <f>SUMIFS('Support - Transition'!F:F,'Support - Transition'!B:B,'Step 2'!A669,'Support - Transition'!C:C,'Step 2'!B669,'Support - Transition'!D:D,'Step 2'!C669,'Support - Transition'!E:E,"CIVIL")</f>
        <v>0</v>
      </c>
      <c r="H669" s="126">
        <f>SUMIFS('Support - Transition'!F:F,'Support - Transition'!B:B,'Step 2'!A669,'Support - Transition'!C:C,'Step 2'!B669,'Support - Transition'!D:D,'Step 2'!C669,'Support - Transition'!E:E,"FIRE")</f>
        <v>0</v>
      </c>
      <c r="I669" s="126">
        <f>IF(B669="0",SUMIFS('Support - Transition'!F:F,'Support - Transition'!J:J,'Step 2'!D669,'Support - Transition'!E:E,"STATE UNIT"),SUMIFS('Support - Transition'!F:F,'Support - Transition'!J:J,'Step 2'!D669))</f>
        <v>4.6649999999999999E-3</v>
      </c>
      <c r="J669" s="126">
        <f>SUMIFS('Support - Unit Adjustments'!E:E,'Support - Unit Adjustments'!F:F,'Step 2'!D669)</f>
        <v>0</v>
      </c>
      <c r="K669" s="126">
        <f t="shared" si="194"/>
        <v>4.6649999999999999E-3</v>
      </c>
      <c r="L669" s="174">
        <f>VLOOKUP(A669,'Step 1'!$A:$E,4,FALSE)</f>
        <v>152983</v>
      </c>
      <c r="M669" s="47">
        <f t="shared" si="195"/>
        <v>714</v>
      </c>
      <c r="N669" s="177">
        <f>SUMIFS('Support - Transition'!G:G,'Support - Transition'!J:J,'Step 2'!D669,'Support - Transition'!E:E,"2009 WELFARE ALLOCATION FACTOR")</f>
        <v>0</v>
      </c>
      <c r="O669" s="152">
        <f t="shared" si="200"/>
        <v>0</v>
      </c>
      <c r="P669" s="126">
        <f>IF(E669="Y",0,SUMIFS('Support - Transition'!G:G,'Support - Transition'!J:J,'Step 2'!D669,'Support - Transition'!E:E,"2009 SCHOOL ALLOCATION FACTOR"))</f>
        <v>0</v>
      </c>
      <c r="Q669" s="126">
        <f>IF(E669="Y",VLOOKUP(D669,'Support - Unit Adjustments'!F:G,2,FALSE),0)</f>
        <v>0</v>
      </c>
      <c r="R669" s="155">
        <f t="shared" si="212"/>
        <v>0</v>
      </c>
      <c r="S669" s="47">
        <f t="shared" si="211"/>
        <v>0</v>
      </c>
      <c r="T669" s="151">
        <f t="shared" si="196"/>
        <v>714</v>
      </c>
      <c r="U669" s="151">
        <f t="shared" si="197"/>
        <v>0</v>
      </c>
      <c r="V669" s="139">
        <f t="shared" si="198"/>
        <v>0</v>
      </c>
      <c r="W669" s="152">
        <f t="shared" si="201"/>
        <v>714</v>
      </c>
      <c r="X669" s="127" t="str">
        <f t="shared" si="199"/>
        <v/>
      </c>
      <c r="Y669" s="207">
        <f t="shared" si="202"/>
        <v>714</v>
      </c>
      <c r="Z669" s="139">
        <f t="shared" si="203"/>
        <v>714</v>
      </c>
      <c r="AA669" s="139">
        <f t="shared" si="204"/>
        <v>0</v>
      </c>
      <c r="AC669" s="47">
        <f t="shared" si="205"/>
        <v>357</v>
      </c>
      <c r="AD669" s="47">
        <f t="shared" si="206"/>
        <v>357</v>
      </c>
      <c r="AE669" s="47">
        <f t="shared" si="207"/>
        <v>0</v>
      </c>
      <c r="AG669" s="47">
        <f t="shared" si="208"/>
        <v>357</v>
      </c>
      <c r="AH669" s="47">
        <f t="shared" si="209"/>
        <v>357</v>
      </c>
      <c r="AI669" s="208">
        <f t="shared" si="210"/>
        <v>0</v>
      </c>
    </row>
    <row r="670" spans="1:35">
      <c r="A670" t="s">
        <v>2110</v>
      </c>
      <c r="B670" t="s">
        <v>3170</v>
      </c>
      <c r="C670" t="s">
        <v>3936</v>
      </c>
      <c r="D670" t="s">
        <v>3937</v>
      </c>
      <c r="F670" t="s">
        <v>3938</v>
      </c>
      <c r="G670" s="126">
        <f>SUMIFS('Support - Transition'!F:F,'Support - Transition'!B:B,'Step 2'!A670,'Support - Transition'!C:C,'Step 2'!B670,'Support - Transition'!D:D,'Step 2'!C670,'Support - Transition'!E:E,"CIVIL")</f>
        <v>0</v>
      </c>
      <c r="H670" s="126">
        <f>SUMIFS('Support - Transition'!F:F,'Support - Transition'!B:B,'Step 2'!A670,'Support - Transition'!C:C,'Step 2'!B670,'Support - Transition'!D:D,'Step 2'!C670,'Support - Transition'!E:E,"FIRE")</f>
        <v>0</v>
      </c>
      <c r="I670" s="126">
        <f>IF(B670="0",SUMIFS('Support - Transition'!F:F,'Support - Transition'!J:J,'Step 2'!D670,'Support - Transition'!E:E,"STATE UNIT"),SUMIFS('Support - Transition'!F:F,'Support - Transition'!J:J,'Step 2'!D670))</f>
        <v>5.7489999999999998E-3</v>
      </c>
      <c r="J670" s="126">
        <f>SUMIFS('Support - Unit Adjustments'!E:E,'Support - Unit Adjustments'!F:F,'Step 2'!D670)</f>
        <v>0</v>
      </c>
      <c r="K670" s="126">
        <f t="shared" si="194"/>
        <v>5.7489999999999998E-3</v>
      </c>
      <c r="L670" s="174">
        <f>VLOOKUP(A670,'Step 1'!$A:$E,4,FALSE)</f>
        <v>152983</v>
      </c>
      <c r="M670" s="47">
        <f t="shared" si="195"/>
        <v>879</v>
      </c>
      <c r="N670" s="177">
        <f>SUMIFS('Support - Transition'!G:G,'Support - Transition'!J:J,'Step 2'!D670,'Support - Transition'!E:E,"2009 WELFARE ALLOCATION FACTOR")</f>
        <v>0</v>
      </c>
      <c r="O670" s="152">
        <f t="shared" si="200"/>
        <v>0</v>
      </c>
      <c r="P670" s="126">
        <f>IF(E670="Y",0,SUMIFS('Support - Transition'!G:G,'Support - Transition'!J:J,'Step 2'!D670,'Support - Transition'!E:E,"2009 SCHOOL ALLOCATION FACTOR"))</f>
        <v>0</v>
      </c>
      <c r="Q670" s="126">
        <f>IF(E670="Y",VLOOKUP(D670,'Support - Unit Adjustments'!F:G,2,FALSE),0)</f>
        <v>0</v>
      </c>
      <c r="R670" s="155">
        <f t="shared" si="212"/>
        <v>0</v>
      </c>
      <c r="S670" s="47">
        <f t="shared" si="211"/>
        <v>0</v>
      </c>
      <c r="T670" s="151">
        <f t="shared" si="196"/>
        <v>879</v>
      </c>
      <c r="U670" s="151">
        <f t="shared" si="197"/>
        <v>0</v>
      </c>
      <c r="V670" s="139">
        <f t="shared" si="198"/>
        <v>0</v>
      </c>
      <c r="W670" s="152">
        <f t="shared" si="201"/>
        <v>879</v>
      </c>
      <c r="X670" s="127" t="str">
        <f t="shared" si="199"/>
        <v/>
      </c>
      <c r="Y670" s="207">
        <f t="shared" si="202"/>
        <v>879</v>
      </c>
      <c r="Z670" s="139">
        <f t="shared" si="203"/>
        <v>879</v>
      </c>
      <c r="AA670" s="139">
        <f t="shared" si="204"/>
        <v>0</v>
      </c>
      <c r="AC670" s="47">
        <f t="shared" si="205"/>
        <v>440</v>
      </c>
      <c r="AD670" s="47">
        <f t="shared" si="206"/>
        <v>440</v>
      </c>
      <c r="AE670" s="47">
        <f t="shared" si="207"/>
        <v>0</v>
      </c>
      <c r="AG670" s="47">
        <f t="shared" si="208"/>
        <v>439</v>
      </c>
      <c r="AH670" s="47">
        <f t="shared" si="209"/>
        <v>439</v>
      </c>
      <c r="AI670" s="208">
        <f t="shared" si="210"/>
        <v>0</v>
      </c>
    </row>
    <row r="671" spans="1:35">
      <c r="A671" t="s">
        <v>2111</v>
      </c>
      <c r="B671" s="48" t="s">
        <v>6274</v>
      </c>
      <c r="C671" t="s">
        <v>2187</v>
      </c>
      <c r="D671" t="str">
        <f>A671&amp;B671&amp;C671</f>
        <v>2500000</v>
      </c>
      <c r="F671" t="s">
        <v>6299</v>
      </c>
      <c r="G671" s="126">
        <f>SUMIFS('Support - Transition'!F:F,'Support - Transition'!B:B,'Step 2'!A671,'Support - Transition'!C:C,'Step 2'!B671,'Support - Transition'!D:D,'Step 2'!C671,'Support - Transition'!E:E,"CIVIL")</f>
        <v>0</v>
      </c>
      <c r="H671" s="126">
        <f>SUMIFS('Support - Transition'!F:F,'Support - Transition'!B:B,'Step 2'!A671,'Support - Transition'!C:C,'Step 2'!B671,'Support - Transition'!D:D,'Step 2'!C671,'Support - Transition'!E:E,"FIRE")</f>
        <v>0</v>
      </c>
      <c r="I671" s="126">
        <f>IF(B671="0",SUMIFS('Support - Transition'!F:F,'Support - Transition'!J:J,'Step 2'!D671,'Support - Transition'!E:E,"STATE UNIT"),SUMIFS('Support - Transition'!F:F,'Support - Transition'!J:J,'Step 2'!D671))</f>
        <v>1.284E-3</v>
      </c>
      <c r="J671" s="126">
        <f>SUMIFS('Support - Unit Adjustments'!E:E,'Support - Unit Adjustments'!F:F,'Step 2'!D671)</f>
        <v>0</v>
      </c>
      <c r="K671" s="126">
        <f t="shared" si="194"/>
        <v>1.284E-3</v>
      </c>
      <c r="L671" s="174">
        <f>VLOOKUP(A671,'Step 1'!$A:$E,4,FALSE)</f>
        <v>235697</v>
      </c>
      <c r="M671" s="47">
        <f t="shared" si="195"/>
        <v>303</v>
      </c>
      <c r="N671" s="177">
        <f>SUMIFS('Support - Transition'!G:G,'Support - Transition'!J:J,'Step 2'!D671,'Support - Transition'!E:E,"2009 WELFARE ALLOCATION FACTOR")</f>
        <v>0</v>
      </c>
      <c r="O671" s="152">
        <f t="shared" si="200"/>
        <v>0</v>
      </c>
      <c r="P671" s="126">
        <f>IF(E671="Y",0,SUMIFS('Support - Transition'!G:G,'Support - Transition'!J:J,'Step 2'!D671,'Support - Transition'!E:E,"2009 SCHOOL ALLOCATION FACTOR"))</f>
        <v>0</v>
      </c>
      <c r="Q671" s="126">
        <f>IF(E671="Y",VLOOKUP(D671,'Support - Unit Adjustments'!F:G,2,FALSE),0)</f>
        <v>0</v>
      </c>
      <c r="R671" s="155">
        <f t="shared" si="212"/>
        <v>0</v>
      </c>
      <c r="S671" s="47">
        <f t="shared" si="211"/>
        <v>0</v>
      </c>
      <c r="T671" s="151">
        <f t="shared" si="196"/>
        <v>303</v>
      </c>
      <c r="U671" s="151">
        <f t="shared" si="197"/>
        <v>235696</v>
      </c>
      <c r="V671" s="139">
        <f t="shared" si="198"/>
        <v>-1</v>
      </c>
      <c r="W671" s="152">
        <f t="shared" si="201"/>
        <v>304</v>
      </c>
      <c r="X671" s="127">
        <f t="shared" si="199"/>
        <v>0</v>
      </c>
      <c r="Y671" s="207">
        <f t="shared" si="202"/>
        <v>304</v>
      </c>
      <c r="Z671" s="139">
        <f t="shared" si="203"/>
        <v>304</v>
      </c>
      <c r="AA671" s="139">
        <f t="shared" si="204"/>
        <v>0</v>
      </c>
      <c r="AC671" s="47">
        <f t="shared" si="205"/>
        <v>152</v>
      </c>
      <c r="AD671" s="47">
        <f t="shared" si="206"/>
        <v>152</v>
      </c>
      <c r="AE671" s="47">
        <f t="shared" si="207"/>
        <v>0</v>
      </c>
      <c r="AG671" s="47">
        <f t="shared" si="208"/>
        <v>152</v>
      </c>
      <c r="AH671" s="47">
        <f t="shared" si="209"/>
        <v>152</v>
      </c>
      <c r="AI671" s="208">
        <f t="shared" si="210"/>
        <v>0</v>
      </c>
    </row>
    <row r="672" spans="1:35">
      <c r="A672" t="s">
        <v>2111</v>
      </c>
      <c r="B672" t="s">
        <v>3140</v>
      </c>
      <c r="C672" t="s">
        <v>2187</v>
      </c>
      <c r="D672" t="s">
        <v>3939</v>
      </c>
      <c r="F672" t="s">
        <v>548</v>
      </c>
      <c r="G672" s="126">
        <f>SUMIFS('Support - Transition'!F:F,'Support - Transition'!B:B,'Step 2'!A672,'Support - Transition'!C:C,'Step 2'!B672,'Support - Transition'!D:D,'Step 2'!C672,'Support - Transition'!E:E,"CIVIL")</f>
        <v>0</v>
      </c>
      <c r="H672" s="126">
        <f>SUMIFS('Support - Transition'!F:F,'Support - Transition'!B:B,'Step 2'!A672,'Support - Transition'!C:C,'Step 2'!B672,'Support - Transition'!D:D,'Step 2'!C672,'Support - Transition'!E:E,"FIRE")</f>
        <v>0</v>
      </c>
      <c r="I672" s="126">
        <f>IF(B672="0",SUMIFS('Support - Transition'!F:F,'Support - Transition'!J:J,'Step 2'!D672,'Support - Transition'!E:E,"STATE UNIT"),SUMIFS('Support - Transition'!F:F,'Support - Transition'!J:J,'Step 2'!D672))</f>
        <v>0.21143600000000001</v>
      </c>
      <c r="J672" s="126">
        <f>SUMIFS('Support - Unit Adjustments'!E:E,'Support - Unit Adjustments'!F:F,'Step 2'!D672)</f>
        <v>0</v>
      </c>
      <c r="K672" s="126">
        <f t="shared" si="194"/>
        <v>0.21143600000000001</v>
      </c>
      <c r="L672" s="174">
        <f>VLOOKUP(A672,'Step 1'!$A:$E,4,FALSE)</f>
        <v>235697</v>
      </c>
      <c r="M672" s="47">
        <f t="shared" si="195"/>
        <v>49835</v>
      </c>
      <c r="N672" s="177">
        <f>SUMIFS('Support - Transition'!G:G,'Support - Transition'!J:J,'Step 2'!D672,'Support - Transition'!E:E,"2009 WELFARE ALLOCATION FACTOR")</f>
        <v>0.309666</v>
      </c>
      <c r="O672" s="152">
        <f t="shared" si="200"/>
        <v>15432</v>
      </c>
      <c r="P672" s="126">
        <f>IF(E672="Y",0,SUMIFS('Support - Transition'!G:G,'Support - Transition'!J:J,'Step 2'!D672,'Support - Transition'!E:E,"2009 SCHOOL ALLOCATION FACTOR"))</f>
        <v>0</v>
      </c>
      <c r="Q672" s="126">
        <f>IF(E672="Y",VLOOKUP(D672,'Support - Unit Adjustments'!F:G,2,FALSE),0)</f>
        <v>0</v>
      </c>
      <c r="R672" s="155">
        <f t="shared" si="212"/>
        <v>0</v>
      </c>
      <c r="S672" s="47">
        <f t="shared" si="211"/>
        <v>0</v>
      </c>
      <c r="T672" s="151">
        <f t="shared" si="196"/>
        <v>34403</v>
      </c>
      <c r="U672" s="151">
        <f t="shared" si="197"/>
        <v>0</v>
      </c>
      <c r="V672" s="139">
        <f t="shared" si="198"/>
        <v>0</v>
      </c>
      <c r="W672" s="152">
        <f t="shared" si="201"/>
        <v>34403</v>
      </c>
      <c r="X672" s="127" t="str">
        <f t="shared" si="199"/>
        <v/>
      </c>
      <c r="Y672" s="207">
        <f t="shared" si="202"/>
        <v>34403</v>
      </c>
      <c r="Z672" s="139">
        <f t="shared" si="203"/>
        <v>34403</v>
      </c>
      <c r="AA672" s="139">
        <f t="shared" si="204"/>
        <v>0</v>
      </c>
      <c r="AC672" s="47">
        <f t="shared" si="205"/>
        <v>17202</v>
      </c>
      <c r="AD672" s="47">
        <f t="shared" si="206"/>
        <v>17202</v>
      </c>
      <c r="AE672" s="47">
        <f t="shared" si="207"/>
        <v>0</v>
      </c>
      <c r="AG672" s="47">
        <f t="shared" si="208"/>
        <v>17201</v>
      </c>
      <c r="AH672" s="47">
        <f t="shared" si="209"/>
        <v>17201</v>
      </c>
      <c r="AI672" s="208">
        <f t="shared" si="210"/>
        <v>0</v>
      </c>
    </row>
    <row r="673" spans="1:35">
      <c r="A673" t="s">
        <v>2111</v>
      </c>
      <c r="B673" t="s">
        <v>3142</v>
      </c>
      <c r="C673" t="s">
        <v>2188</v>
      </c>
      <c r="D673" t="s">
        <v>3940</v>
      </c>
      <c r="F673" t="s">
        <v>549</v>
      </c>
      <c r="G673" s="126">
        <f>SUMIFS('Support - Transition'!F:F,'Support - Transition'!B:B,'Step 2'!A673,'Support - Transition'!C:C,'Step 2'!B673,'Support - Transition'!D:D,'Step 2'!C673,'Support - Transition'!E:E,"CIVIL")</f>
        <v>1.083E-3</v>
      </c>
      <c r="H673" s="126">
        <f>SUMIFS('Support - Transition'!F:F,'Support - Transition'!B:B,'Step 2'!A673,'Support - Transition'!C:C,'Step 2'!B673,'Support - Transition'!D:D,'Step 2'!C673,'Support - Transition'!E:E,"FIRE")</f>
        <v>8.1999999999999998E-4</v>
      </c>
      <c r="I673" s="126">
        <f>IF(B673="0",SUMIFS('Support - Transition'!F:F,'Support - Transition'!J:J,'Step 2'!D673,'Support - Transition'!E:E,"STATE UNIT"),SUMIFS('Support - Transition'!F:F,'Support - Transition'!J:J,'Step 2'!D673))</f>
        <v>1.903E-3</v>
      </c>
      <c r="J673" s="126">
        <f>SUMIFS('Support - Unit Adjustments'!E:E,'Support - Unit Adjustments'!F:F,'Step 2'!D673)</f>
        <v>0</v>
      </c>
      <c r="K673" s="126">
        <f t="shared" si="194"/>
        <v>1.903E-3</v>
      </c>
      <c r="L673" s="174">
        <f>VLOOKUP(A673,'Step 1'!$A:$E,4,FALSE)</f>
        <v>235697</v>
      </c>
      <c r="M673" s="47">
        <f t="shared" si="195"/>
        <v>449</v>
      </c>
      <c r="N673" s="177">
        <f>SUMIFS('Support - Transition'!G:G,'Support - Transition'!J:J,'Step 2'!D673,'Support - Transition'!E:E,"2009 WELFARE ALLOCATION FACTOR")</f>
        <v>0</v>
      </c>
      <c r="O673" s="152">
        <f t="shared" si="200"/>
        <v>0</v>
      </c>
      <c r="P673" s="126">
        <f>IF(E673="Y",0,SUMIFS('Support - Transition'!G:G,'Support - Transition'!J:J,'Step 2'!D673,'Support - Transition'!E:E,"2009 SCHOOL ALLOCATION FACTOR"))</f>
        <v>0</v>
      </c>
      <c r="Q673" s="126">
        <f>IF(E673="Y",VLOOKUP(D673,'Support - Unit Adjustments'!F:G,2,FALSE),0)</f>
        <v>0</v>
      </c>
      <c r="R673" s="155">
        <f t="shared" si="212"/>
        <v>0</v>
      </c>
      <c r="S673" s="47">
        <f t="shared" si="211"/>
        <v>0</v>
      </c>
      <c r="T673" s="151">
        <f t="shared" si="196"/>
        <v>449</v>
      </c>
      <c r="U673" s="151">
        <f t="shared" si="197"/>
        <v>0</v>
      </c>
      <c r="V673" s="139">
        <f t="shared" si="198"/>
        <v>0</v>
      </c>
      <c r="W673" s="152">
        <f t="shared" si="201"/>
        <v>449</v>
      </c>
      <c r="X673" s="127" t="str">
        <f t="shared" si="199"/>
        <v/>
      </c>
      <c r="Y673" s="207">
        <f t="shared" si="202"/>
        <v>449</v>
      </c>
      <c r="Z673" s="139">
        <f t="shared" si="203"/>
        <v>256</v>
      </c>
      <c r="AA673" s="139">
        <f t="shared" si="204"/>
        <v>193</v>
      </c>
      <c r="AC673" s="47">
        <f t="shared" si="205"/>
        <v>225</v>
      </c>
      <c r="AD673" s="47">
        <f t="shared" si="206"/>
        <v>128</v>
      </c>
      <c r="AE673" s="47">
        <f t="shared" si="207"/>
        <v>97</v>
      </c>
      <c r="AG673" s="47">
        <f t="shared" si="208"/>
        <v>224</v>
      </c>
      <c r="AH673" s="47">
        <f t="shared" si="209"/>
        <v>128</v>
      </c>
      <c r="AI673" s="208">
        <f t="shared" si="210"/>
        <v>96</v>
      </c>
    </row>
    <row r="674" spans="1:35">
      <c r="A674" t="s">
        <v>2111</v>
      </c>
      <c r="B674" t="s">
        <v>3142</v>
      </c>
      <c r="C674" t="s">
        <v>2189</v>
      </c>
      <c r="D674" t="s">
        <v>3941</v>
      </c>
      <c r="F674" t="s">
        <v>550</v>
      </c>
      <c r="G674" s="126">
        <f>SUMIFS('Support - Transition'!F:F,'Support - Transition'!B:B,'Step 2'!A674,'Support - Transition'!C:C,'Step 2'!B674,'Support - Transition'!D:D,'Step 2'!C674,'Support - Transition'!E:E,"CIVIL")</f>
        <v>1.902E-3</v>
      </c>
      <c r="H674" s="126">
        <f>SUMIFS('Support - Transition'!F:F,'Support - Transition'!B:B,'Step 2'!A674,'Support - Transition'!C:C,'Step 2'!B674,'Support - Transition'!D:D,'Step 2'!C674,'Support - Transition'!E:E,"FIRE")</f>
        <v>2.0960000000000002E-3</v>
      </c>
      <c r="I674" s="126">
        <f>IF(B674="0",SUMIFS('Support - Transition'!F:F,'Support - Transition'!J:J,'Step 2'!D674,'Support - Transition'!E:E,"STATE UNIT"),SUMIFS('Support - Transition'!F:F,'Support - Transition'!J:J,'Step 2'!D674))</f>
        <v>3.9979999999999998E-3</v>
      </c>
      <c r="J674" s="126">
        <f>SUMIFS('Support - Unit Adjustments'!E:E,'Support - Unit Adjustments'!F:F,'Step 2'!D674)</f>
        <v>0</v>
      </c>
      <c r="K674" s="126">
        <f t="shared" si="194"/>
        <v>3.9979999999999998E-3</v>
      </c>
      <c r="L674" s="174">
        <f>VLOOKUP(A674,'Step 1'!$A:$E,4,FALSE)</f>
        <v>235697</v>
      </c>
      <c r="M674" s="47">
        <f t="shared" si="195"/>
        <v>942</v>
      </c>
      <c r="N674" s="177">
        <f>SUMIFS('Support - Transition'!G:G,'Support - Transition'!J:J,'Step 2'!D674,'Support - Transition'!E:E,"2009 WELFARE ALLOCATION FACTOR")</f>
        <v>0</v>
      </c>
      <c r="O674" s="152">
        <f t="shared" si="200"/>
        <v>0</v>
      </c>
      <c r="P674" s="126">
        <f>IF(E674="Y",0,SUMIFS('Support - Transition'!G:G,'Support - Transition'!J:J,'Step 2'!D674,'Support - Transition'!E:E,"2009 SCHOOL ALLOCATION FACTOR"))</f>
        <v>0</v>
      </c>
      <c r="Q674" s="126">
        <f>IF(E674="Y",VLOOKUP(D674,'Support - Unit Adjustments'!F:G,2,FALSE),0)</f>
        <v>0</v>
      </c>
      <c r="R674" s="155">
        <f t="shared" si="212"/>
        <v>0</v>
      </c>
      <c r="S674" s="47">
        <f t="shared" si="211"/>
        <v>0</v>
      </c>
      <c r="T674" s="151">
        <f t="shared" si="196"/>
        <v>942</v>
      </c>
      <c r="U674" s="151">
        <f t="shared" si="197"/>
        <v>0</v>
      </c>
      <c r="V674" s="139">
        <f t="shared" si="198"/>
        <v>0</v>
      </c>
      <c r="W674" s="152">
        <f t="shared" si="201"/>
        <v>942</v>
      </c>
      <c r="X674" s="127" t="str">
        <f t="shared" si="199"/>
        <v/>
      </c>
      <c r="Y674" s="207">
        <f t="shared" si="202"/>
        <v>942</v>
      </c>
      <c r="Z674" s="139">
        <f t="shared" si="203"/>
        <v>448</v>
      </c>
      <c r="AA674" s="139">
        <f t="shared" si="204"/>
        <v>494</v>
      </c>
      <c r="AC674" s="47">
        <f t="shared" si="205"/>
        <v>471</v>
      </c>
      <c r="AD674" s="47">
        <f t="shared" si="206"/>
        <v>224</v>
      </c>
      <c r="AE674" s="47">
        <f t="shared" si="207"/>
        <v>247</v>
      </c>
      <c r="AG674" s="47">
        <f t="shared" si="208"/>
        <v>471</v>
      </c>
      <c r="AH674" s="47">
        <f t="shared" si="209"/>
        <v>224</v>
      </c>
      <c r="AI674" s="208">
        <f t="shared" si="210"/>
        <v>247</v>
      </c>
    </row>
    <row r="675" spans="1:35">
      <c r="A675" t="s">
        <v>2111</v>
      </c>
      <c r="B675" t="s">
        <v>3142</v>
      </c>
      <c r="C675" t="s">
        <v>2190</v>
      </c>
      <c r="D675" t="s">
        <v>3942</v>
      </c>
      <c r="F675" t="s">
        <v>181</v>
      </c>
      <c r="G675" s="126">
        <f>SUMIFS('Support - Transition'!F:F,'Support - Transition'!B:B,'Step 2'!A675,'Support - Transition'!C:C,'Step 2'!B675,'Support - Transition'!D:D,'Step 2'!C675,'Support - Transition'!E:E,"CIVIL")</f>
        <v>6.9999999999999999E-4</v>
      </c>
      <c r="H675" s="126">
        <f>SUMIFS('Support - Transition'!F:F,'Support - Transition'!B:B,'Step 2'!A675,'Support - Transition'!C:C,'Step 2'!B675,'Support - Transition'!D:D,'Step 2'!C675,'Support - Transition'!E:E,"FIRE")</f>
        <v>7.9299999999999998E-4</v>
      </c>
      <c r="I675" s="126">
        <f>IF(B675="0",SUMIFS('Support - Transition'!F:F,'Support - Transition'!J:J,'Step 2'!D675,'Support - Transition'!E:E,"STATE UNIT"),SUMIFS('Support - Transition'!F:F,'Support - Transition'!J:J,'Step 2'!D675))</f>
        <v>1.493E-3</v>
      </c>
      <c r="J675" s="126">
        <f>SUMIFS('Support - Unit Adjustments'!E:E,'Support - Unit Adjustments'!F:F,'Step 2'!D675)</f>
        <v>0</v>
      </c>
      <c r="K675" s="126">
        <f t="shared" si="194"/>
        <v>1.493E-3</v>
      </c>
      <c r="L675" s="174">
        <f>VLOOKUP(A675,'Step 1'!$A:$E,4,FALSE)</f>
        <v>235697</v>
      </c>
      <c r="M675" s="47">
        <f t="shared" si="195"/>
        <v>352</v>
      </c>
      <c r="N675" s="177">
        <f>SUMIFS('Support - Transition'!G:G,'Support - Transition'!J:J,'Step 2'!D675,'Support - Transition'!E:E,"2009 WELFARE ALLOCATION FACTOR")</f>
        <v>0</v>
      </c>
      <c r="O675" s="152">
        <f t="shared" si="200"/>
        <v>0</v>
      </c>
      <c r="P675" s="126">
        <f>IF(E675="Y",0,SUMIFS('Support - Transition'!G:G,'Support - Transition'!J:J,'Step 2'!D675,'Support - Transition'!E:E,"2009 SCHOOL ALLOCATION FACTOR"))</f>
        <v>0</v>
      </c>
      <c r="Q675" s="126">
        <f>IF(E675="Y",VLOOKUP(D675,'Support - Unit Adjustments'!F:G,2,FALSE),0)</f>
        <v>0</v>
      </c>
      <c r="R675" s="155">
        <f t="shared" si="212"/>
        <v>0</v>
      </c>
      <c r="S675" s="47">
        <f t="shared" si="211"/>
        <v>0</v>
      </c>
      <c r="T675" s="151">
        <f t="shared" si="196"/>
        <v>352</v>
      </c>
      <c r="U675" s="151">
        <f t="shared" si="197"/>
        <v>0</v>
      </c>
      <c r="V675" s="139">
        <f t="shared" si="198"/>
        <v>0</v>
      </c>
      <c r="W675" s="152">
        <f t="shared" si="201"/>
        <v>352</v>
      </c>
      <c r="X675" s="127" t="str">
        <f t="shared" si="199"/>
        <v/>
      </c>
      <c r="Y675" s="207">
        <f t="shared" si="202"/>
        <v>352</v>
      </c>
      <c r="Z675" s="139">
        <f t="shared" si="203"/>
        <v>165</v>
      </c>
      <c r="AA675" s="139">
        <f t="shared" si="204"/>
        <v>187</v>
      </c>
      <c r="AC675" s="47">
        <f t="shared" si="205"/>
        <v>176</v>
      </c>
      <c r="AD675" s="47">
        <f t="shared" si="206"/>
        <v>83</v>
      </c>
      <c r="AE675" s="47">
        <f t="shared" si="207"/>
        <v>94</v>
      </c>
      <c r="AG675" s="47">
        <f t="shared" si="208"/>
        <v>176</v>
      </c>
      <c r="AH675" s="47">
        <f t="shared" si="209"/>
        <v>82</v>
      </c>
      <c r="AI675" s="208">
        <f t="shared" si="210"/>
        <v>93</v>
      </c>
    </row>
    <row r="676" spans="1:35">
      <c r="A676" t="s">
        <v>2111</v>
      </c>
      <c r="B676" t="s">
        <v>3142</v>
      </c>
      <c r="C676" t="s">
        <v>2191</v>
      </c>
      <c r="D676" t="s">
        <v>3943</v>
      </c>
      <c r="F676" t="s">
        <v>551</v>
      </c>
      <c r="G676" s="126">
        <f>SUMIFS('Support - Transition'!F:F,'Support - Transition'!B:B,'Step 2'!A676,'Support - Transition'!C:C,'Step 2'!B676,'Support - Transition'!D:D,'Step 2'!C676,'Support - Transition'!E:E,"CIVIL")</f>
        <v>1.137E-3</v>
      </c>
      <c r="H676" s="126">
        <f>SUMIFS('Support - Transition'!F:F,'Support - Transition'!B:B,'Step 2'!A676,'Support - Transition'!C:C,'Step 2'!B676,'Support - Transition'!D:D,'Step 2'!C676,'Support - Transition'!E:E,"FIRE")</f>
        <v>7.8899999999999999E-4</v>
      </c>
      <c r="I676" s="126">
        <f>IF(B676="0",SUMIFS('Support - Transition'!F:F,'Support - Transition'!J:J,'Step 2'!D676,'Support - Transition'!E:E,"STATE UNIT"),SUMIFS('Support - Transition'!F:F,'Support - Transition'!J:J,'Step 2'!D676))</f>
        <v>1.926E-3</v>
      </c>
      <c r="J676" s="126">
        <f>SUMIFS('Support - Unit Adjustments'!E:E,'Support - Unit Adjustments'!F:F,'Step 2'!D676)</f>
        <v>0</v>
      </c>
      <c r="K676" s="126">
        <f t="shared" si="194"/>
        <v>1.926E-3</v>
      </c>
      <c r="L676" s="174">
        <f>VLOOKUP(A676,'Step 1'!$A:$E,4,FALSE)</f>
        <v>235697</v>
      </c>
      <c r="M676" s="47">
        <f t="shared" si="195"/>
        <v>454</v>
      </c>
      <c r="N676" s="177">
        <f>SUMIFS('Support - Transition'!G:G,'Support - Transition'!J:J,'Step 2'!D676,'Support - Transition'!E:E,"2009 WELFARE ALLOCATION FACTOR")</f>
        <v>0</v>
      </c>
      <c r="O676" s="152">
        <f t="shared" si="200"/>
        <v>0</v>
      </c>
      <c r="P676" s="126">
        <f>IF(E676="Y",0,SUMIFS('Support - Transition'!G:G,'Support - Transition'!J:J,'Step 2'!D676,'Support - Transition'!E:E,"2009 SCHOOL ALLOCATION FACTOR"))</f>
        <v>0</v>
      </c>
      <c r="Q676" s="126">
        <f>IF(E676="Y",VLOOKUP(D676,'Support - Unit Adjustments'!F:G,2,FALSE),0)</f>
        <v>0</v>
      </c>
      <c r="R676" s="155">
        <f t="shared" si="212"/>
        <v>0</v>
      </c>
      <c r="S676" s="47">
        <f t="shared" si="211"/>
        <v>0</v>
      </c>
      <c r="T676" s="151">
        <f t="shared" si="196"/>
        <v>454</v>
      </c>
      <c r="U676" s="151">
        <f t="shared" si="197"/>
        <v>0</v>
      </c>
      <c r="V676" s="139">
        <f t="shared" si="198"/>
        <v>0</v>
      </c>
      <c r="W676" s="152">
        <f t="shared" si="201"/>
        <v>454</v>
      </c>
      <c r="X676" s="127" t="str">
        <f t="shared" si="199"/>
        <v/>
      </c>
      <c r="Y676" s="207">
        <f t="shared" si="202"/>
        <v>454</v>
      </c>
      <c r="Z676" s="139">
        <f t="shared" si="203"/>
        <v>268</v>
      </c>
      <c r="AA676" s="139">
        <f t="shared" si="204"/>
        <v>186</v>
      </c>
      <c r="AC676" s="47">
        <f t="shared" si="205"/>
        <v>227</v>
      </c>
      <c r="AD676" s="47">
        <f t="shared" si="206"/>
        <v>134</v>
      </c>
      <c r="AE676" s="47">
        <f t="shared" si="207"/>
        <v>93</v>
      </c>
      <c r="AG676" s="47">
        <f t="shared" si="208"/>
        <v>227</v>
      </c>
      <c r="AH676" s="47">
        <f t="shared" si="209"/>
        <v>134</v>
      </c>
      <c r="AI676" s="208">
        <f t="shared" si="210"/>
        <v>93</v>
      </c>
    </row>
    <row r="677" spans="1:35">
      <c r="A677" t="s">
        <v>2111</v>
      </c>
      <c r="B677" t="s">
        <v>3142</v>
      </c>
      <c r="C677" t="s">
        <v>2192</v>
      </c>
      <c r="D677" t="s">
        <v>3944</v>
      </c>
      <c r="F677" t="s">
        <v>114</v>
      </c>
      <c r="G677" s="126">
        <f>SUMIFS('Support - Transition'!F:F,'Support - Transition'!B:B,'Step 2'!A677,'Support - Transition'!C:C,'Step 2'!B677,'Support - Transition'!D:D,'Step 2'!C677,'Support - Transition'!E:E,"CIVIL")</f>
        <v>9.5100000000000002E-4</v>
      </c>
      <c r="H677" s="126">
        <f>SUMIFS('Support - Transition'!F:F,'Support - Transition'!B:B,'Step 2'!A677,'Support - Transition'!C:C,'Step 2'!B677,'Support - Transition'!D:D,'Step 2'!C677,'Support - Transition'!E:E,"FIRE")</f>
        <v>5.9900000000000003E-4</v>
      </c>
      <c r="I677" s="126">
        <f>IF(B677="0",SUMIFS('Support - Transition'!F:F,'Support - Transition'!J:J,'Step 2'!D677,'Support - Transition'!E:E,"STATE UNIT"),SUMIFS('Support - Transition'!F:F,'Support - Transition'!J:J,'Step 2'!D677))</f>
        <v>1.5500000000000002E-3</v>
      </c>
      <c r="J677" s="126">
        <f>SUMIFS('Support - Unit Adjustments'!E:E,'Support - Unit Adjustments'!F:F,'Step 2'!D677)</f>
        <v>0</v>
      </c>
      <c r="K677" s="126">
        <f t="shared" si="194"/>
        <v>1.5500000000000002E-3</v>
      </c>
      <c r="L677" s="174">
        <f>VLOOKUP(A677,'Step 1'!$A:$E,4,FALSE)</f>
        <v>235697</v>
      </c>
      <c r="M677" s="47">
        <f t="shared" si="195"/>
        <v>365</v>
      </c>
      <c r="N677" s="177">
        <f>SUMIFS('Support - Transition'!G:G,'Support - Transition'!J:J,'Step 2'!D677,'Support - Transition'!E:E,"2009 WELFARE ALLOCATION FACTOR")</f>
        <v>0</v>
      </c>
      <c r="O677" s="152">
        <f t="shared" si="200"/>
        <v>0</v>
      </c>
      <c r="P677" s="126">
        <f>IF(E677="Y",0,SUMIFS('Support - Transition'!G:G,'Support - Transition'!J:J,'Step 2'!D677,'Support - Transition'!E:E,"2009 SCHOOL ALLOCATION FACTOR"))</f>
        <v>0</v>
      </c>
      <c r="Q677" s="126">
        <f>IF(E677="Y",VLOOKUP(D677,'Support - Unit Adjustments'!F:G,2,FALSE),0)</f>
        <v>0</v>
      </c>
      <c r="R677" s="155">
        <f t="shared" si="212"/>
        <v>0</v>
      </c>
      <c r="S677" s="47">
        <f t="shared" si="211"/>
        <v>0</v>
      </c>
      <c r="T677" s="151">
        <f t="shared" si="196"/>
        <v>365</v>
      </c>
      <c r="U677" s="151">
        <f t="shared" si="197"/>
        <v>0</v>
      </c>
      <c r="V677" s="139">
        <f t="shared" si="198"/>
        <v>0</v>
      </c>
      <c r="W677" s="152">
        <f t="shared" si="201"/>
        <v>365</v>
      </c>
      <c r="X677" s="127" t="str">
        <f t="shared" si="199"/>
        <v/>
      </c>
      <c r="Y677" s="207">
        <f t="shared" si="202"/>
        <v>365</v>
      </c>
      <c r="Z677" s="139">
        <f t="shared" si="203"/>
        <v>224</v>
      </c>
      <c r="AA677" s="139">
        <f t="shared" si="204"/>
        <v>141</v>
      </c>
      <c r="AC677" s="47">
        <f t="shared" si="205"/>
        <v>183</v>
      </c>
      <c r="AD677" s="47">
        <f t="shared" si="206"/>
        <v>112</v>
      </c>
      <c r="AE677" s="47">
        <f t="shared" si="207"/>
        <v>71</v>
      </c>
      <c r="AG677" s="47">
        <f t="shared" si="208"/>
        <v>182</v>
      </c>
      <c r="AH677" s="47">
        <f t="shared" si="209"/>
        <v>112</v>
      </c>
      <c r="AI677" s="208">
        <f t="shared" si="210"/>
        <v>70</v>
      </c>
    </row>
    <row r="678" spans="1:35">
      <c r="A678" t="s">
        <v>2111</v>
      </c>
      <c r="B678" t="s">
        <v>3142</v>
      </c>
      <c r="C678" t="s">
        <v>2193</v>
      </c>
      <c r="D678" t="s">
        <v>3945</v>
      </c>
      <c r="F678" t="s">
        <v>552</v>
      </c>
      <c r="G678" s="126">
        <f>SUMIFS('Support - Transition'!F:F,'Support - Transition'!B:B,'Step 2'!A678,'Support - Transition'!C:C,'Step 2'!B678,'Support - Transition'!D:D,'Step 2'!C678,'Support - Transition'!E:E,"CIVIL")</f>
        <v>1.0555999999999999E-2</v>
      </c>
      <c r="H678" s="126">
        <f>SUMIFS('Support - Transition'!F:F,'Support - Transition'!B:B,'Step 2'!A678,'Support - Transition'!C:C,'Step 2'!B678,'Support - Transition'!D:D,'Step 2'!C678,'Support - Transition'!E:E,"FIRE")</f>
        <v>5.6100000000000004E-3</v>
      </c>
      <c r="I678" s="126">
        <f>IF(B678="0",SUMIFS('Support - Transition'!F:F,'Support - Transition'!J:J,'Step 2'!D678,'Support - Transition'!E:E,"STATE UNIT"),SUMIFS('Support - Transition'!F:F,'Support - Transition'!J:J,'Step 2'!D678))</f>
        <v>1.6166E-2</v>
      </c>
      <c r="J678" s="126">
        <f>SUMIFS('Support - Unit Adjustments'!E:E,'Support - Unit Adjustments'!F:F,'Step 2'!D678)</f>
        <v>0</v>
      </c>
      <c r="K678" s="126">
        <f t="shared" si="194"/>
        <v>1.6166E-2</v>
      </c>
      <c r="L678" s="174">
        <f>VLOOKUP(A678,'Step 1'!$A:$E,4,FALSE)</f>
        <v>235697</v>
      </c>
      <c r="M678" s="47">
        <f t="shared" si="195"/>
        <v>3810</v>
      </c>
      <c r="N678" s="177">
        <f>SUMIFS('Support - Transition'!G:G,'Support - Transition'!J:J,'Step 2'!D678,'Support - Transition'!E:E,"2009 WELFARE ALLOCATION FACTOR")</f>
        <v>0</v>
      </c>
      <c r="O678" s="152">
        <f t="shared" si="200"/>
        <v>0</v>
      </c>
      <c r="P678" s="126">
        <f>IF(E678="Y",0,SUMIFS('Support - Transition'!G:G,'Support - Transition'!J:J,'Step 2'!D678,'Support - Transition'!E:E,"2009 SCHOOL ALLOCATION FACTOR"))</f>
        <v>0</v>
      </c>
      <c r="Q678" s="126">
        <f>IF(E678="Y",VLOOKUP(D678,'Support - Unit Adjustments'!F:G,2,FALSE),0)</f>
        <v>0</v>
      </c>
      <c r="R678" s="155">
        <f t="shared" si="212"/>
        <v>0</v>
      </c>
      <c r="S678" s="47">
        <f t="shared" si="211"/>
        <v>0</v>
      </c>
      <c r="T678" s="151">
        <f t="shared" si="196"/>
        <v>3810</v>
      </c>
      <c r="U678" s="151">
        <f t="shared" si="197"/>
        <v>0</v>
      </c>
      <c r="V678" s="139">
        <f t="shared" si="198"/>
        <v>0</v>
      </c>
      <c r="W678" s="152">
        <f t="shared" si="201"/>
        <v>3810</v>
      </c>
      <c r="X678" s="127" t="str">
        <f t="shared" si="199"/>
        <v/>
      </c>
      <c r="Y678" s="207">
        <f t="shared" si="202"/>
        <v>3810</v>
      </c>
      <c r="Z678" s="139">
        <f t="shared" si="203"/>
        <v>2488</v>
      </c>
      <c r="AA678" s="139">
        <f t="shared" si="204"/>
        <v>1322</v>
      </c>
      <c r="AC678" s="47">
        <f t="shared" si="205"/>
        <v>1905</v>
      </c>
      <c r="AD678" s="47">
        <f t="shared" si="206"/>
        <v>1244</v>
      </c>
      <c r="AE678" s="47">
        <f t="shared" si="207"/>
        <v>661</v>
      </c>
      <c r="AG678" s="47">
        <f t="shared" si="208"/>
        <v>1905</v>
      </c>
      <c r="AH678" s="47">
        <f t="shared" si="209"/>
        <v>1244</v>
      </c>
      <c r="AI678" s="208">
        <f t="shared" si="210"/>
        <v>661</v>
      </c>
    </row>
    <row r="679" spans="1:35">
      <c r="A679" t="s">
        <v>2111</v>
      </c>
      <c r="B679" t="s">
        <v>3142</v>
      </c>
      <c r="C679" t="s">
        <v>2194</v>
      </c>
      <c r="D679" t="s">
        <v>3946</v>
      </c>
      <c r="F679" t="s">
        <v>20</v>
      </c>
      <c r="G679" s="126">
        <f>SUMIFS('Support - Transition'!F:F,'Support - Transition'!B:B,'Step 2'!A679,'Support - Transition'!C:C,'Step 2'!B679,'Support - Transition'!D:D,'Step 2'!C679,'Support - Transition'!E:E,"CIVIL")</f>
        <v>1.245E-3</v>
      </c>
      <c r="H679" s="126">
        <f>SUMIFS('Support - Transition'!F:F,'Support - Transition'!B:B,'Step 2'!A679,'Support - Transition'!C:C,'Step 2'!B679,'Support - Transition'!D:D,'Step 2'!C679,'Support - Transition'!E:E,"FIRE")</f>
        <v>6.5700000000000003E-4</v>
      </c>
      <c r="I679" s="126">
        <f>IF(B679="0",SUMIFS('Support - Transition'!F:F,'Support - Transition'!J:J,'Step 2'!D679,'Support - Transition'!E:E,"STATE UNIT"),SUMIFS('Support - Transition'!F:F,'Support - Transition'!J:J,'Step 2'!D679))</f>
        <v>1.902E-3</v>
      </c>
      <c r="J679" s="126">
        <f>SUMIFS('Support - Unit Adjustments'!E:E,'Support - Unit Adjustments'!F:F,'Step 2'!D679)</f>
        <v>0</v>
      </c>
      <c r="K679" s="126">
        <f t="shared" si="194"/>
        <v>1.902E-3</v>
      </c>
      <c r="L679" s="174">
        <f>VLOOKUP(A679,'Step 1'!$A:$E,4,FALSE)</f>
        <v>235697</v>
      </c>
      <c r="M679" s="47">
        <f t="shared" si="195"/>
        <v>448</v>
      </c>
      <c r="N679" s="177">
        <f>SUMIFS('Support - Transition'!G:G,'Support - Transition'!J:J,'Step 2'!D679,'Support - Transition'!E:E,"2009 WELFARE ALLOCATION FACTOR")</f>
        <v>0</v>
      </c>
      <c r="O679" s="152">
        <f t="shared" si="200"/>
        <v>0</v>
      </c>
      <c r="P679" s="126">
        <f>IF(E679="Y",0,SUMIFS('Support - Transition'!G:G,'Support - Transition'!J:J,'Step 2'!D679,'Support - Transition'!E:E,"2009 SCHOOL ALLOCATION FACTOR"))</f>
        <v>0</v>
      </c>
      <c r="Q679" s="126">
        <f>IF(E679="Y",VLOOKUP(D679,'Support - Unit Adjustments'!F:G,2,FALSE),0)</f>
        <v>0</v>
      </c>
      <c r="R679" s="155">
        <f t="shared" si="212"/>
        <v>0</v>
      </c>
      <c r="S679" s="47">
        <f t="shared" si="211"/>
        <v>0</v>
      </c>
      <c r="T679" s="151">
        <f t="shared" si="196"/>
        <v>448</v>
      </c>
      <c r="U679" s="151">
        <f t="shared" si="197"/>
        <v>0</v>
      </c>
      <c r="V679" s="139">
        <f t="shared" si="198"/>
        <v>0</v>
      </c>
      <c r="W679" s="152">
        <f t="shared" si="201"/>
        <v>448</v>
      </c>
      <c r="X679" s="127" t="str">
        <f t="shared" si="199"/>
        <v/>
      </c>
      <c r="Y679" s="207">
        <f t="shared" si="202"/>
        <v>448</v>
      </c>
      <c r="Z679" s="139">
        <f t="shared" si="203"/>
        <v>293</v>
      </c>
      <c r="AA679" s="139">
        <f t="shared" si="204"/>
        <v>155</v>
      </c>
      <c r="AC679" s="47">
        <f t="shared" si="205"/>
        <v>224</v>
      </c>
      <c r="AD679" s="47">
        <f t="shared" si="206"/>
        <v>147</v>
      </c>
      <c r="AE679" s="47">
        <f t="shared" si="207"/>
        <v>78</v>
      </c>
      <c r="AG679" s="47">
        <f t="shared" si="208"/>
        <v>224</v>
      </c>
      <c r="AH679" s="47">
        <f t="shared" si="209"/>
        <v>146</v>
      </c>
      <c r="AI679" s="208">
        <f t="shared" si="210"/>
        <v>77</v>
      </c>
    </row>
    <row r="680" spans="1:35">
      <c r="A680" t="s">
        <v>2111</v>
      </c>
      <c r="B680" t="s">
        <v>3142</v>
      </c>
      <c r="C680" t="s">
        <v>2195</v>
      </c>
      <c r="D680" t="s">
        <v>3947</v>
      </c>
      <c r="F680" t="s">
        <v>61</v>
      </c>
      <c r="G680" s="126">
        <f>SUMIFS('Support - Transition'!F:F,'Support - Transition'!B:B,'Step 2'!A680,'Support - Transition'!C:C,'Step 2'!B680,'Support - Transition'!D:D,'Step 2'!C680,'Support - Transition'!E:E,"CIVIL")</f>
        <v>5.7600000000000001E-4</v>
      </c>
      <c r="H680" s="126">
        <f>SUMIFS('Support - Transition'!F:F,'Support - Transition'!B:B,'Step 2'!A680,'Support - Transition'!C:C,'Step 2'!B680,'Support - Transition'!D:D,'Step 2'!C680,'Support - Transition'!E:E,"FIRE")</f>
        <v>4.2900000000000002E-4</v>
      </c>
      <c r="I680" s="126">
        <f>IF(B680="0",SUMIFS('Support - Transition'!F:F,'Support - Transition'!J:J,'Step 2'!D680,'Support - Transition'!E:E,"STATE UNIT"),SUMIFS('Support - Transition'!F:F,'Support - Transition'!J:J,'Step 2'!D680))</f>
        <v>1.005E-3</v>
      </c>
      <c r="J680" s="126">
        <f>SUMIFS('Support - Unit Adjustments'!E:E,'Support - Unit Adjustments'!F:F,'Step 2'!D680)</f>
        <v>0</v>
      </c>
      <c r="K680" s="126">
        <f t="shared" si="194"/>
        <v>1.005E-3</v>
      </c>
      <c r="L680" s="174">
        <f>VLOOKUP(A680,'Step 1'!$A:$E,4,FALSE)</f>
        <v>235697</v>
      </c>
      <c r="M680" s="47">
        <f t="shared" si="195"/>
        <v>237</v>
      </c>
      <c r="N680" s="177">
        <f>SUMIFS('Support - Transition'!G:G,'Support - Transition'!J:J,'Step 2'!D680,'Support - Transition'!E:E,"2009 WELFARE ALLOCATION FACTOR")</f>
        <v>0</v>
      </c>
      <c r="O680" s="152">
        <f t="shared" si="200"/>
        <v>0</v>
      </c>
      <c r="P680" s="126">
        <f>IF(E680="Y",0,SUMIFS('Support - Transition'!G:G,'Support - Transition'!J:J,'Step 2'!D680,'Support - Transition'!E:E,"2009 SCHOOL ALLOCATION FACTOR"))</f>
        <v>0</v>
      </c>
      <c r="Q680" s="126">
        <f>IF(E680="Y",VLOOKUP(D680,'Support - Unit Adjustments'!F:G,2,FALSE),0)</f>
        <v>0</v>
      </c>
      <c r="R680" s="155">
        <f t="shared" si="212"/>
        <v>0</v>
      </c>
      <c r="S680" s="47">
        <f t="shared" si="211"/>
        <v>0</v>
      </c>
      <c r="T680" s="151">
        <f t="shared" si="196"/>
        <v>237</v>
      </c>
      <c r="U680" s="151">
        <f t="shared" si="197"/>
        <v>0</v>
      </c>
      <c r="V680" s="139">
        <f t="shared" si="198"/>
        <v>0</v>
      </c>
      <c r="W680" s="152">
        <f t="shared" si="201"/>
        <v>237</v>
      </c>
      <c r="X680" s="127" t="str">
        <f t="shared" si="199"/>
        <v/>
      </c>
      <c r="Y680" s="207">
        <f t="shared" si="202"/>
        <v>237</v>
      </c>
      <c r="Z680" s="139">
        <f t="shared" si="203"/>
        <v>136</v>
      </c>
      <c r="AA680" s="139">
        <f t="shared" si="204"/>
        <v>101</v>
      </c>
      <c r="AC680" s="47">
        <f t="shared" si="205"/>
        <v>119</v>
      </c>
      <c r="AD680" s="47">
        <f t="shared" si="206"/>
        <v>68</v>
      </c>
      <c r="AE680" s="47">
        <f t="shared" si="207"/>
        <v>51</v>
      </c>
      <c r="AG680" s="47">
        <f t="shared" si="208"/>
        <v>118</v>
      </c>
      <c r="AH680" s="47">
        <f t="shared" si="209"/>
        <v>68</v>
      </c>
      <c r="AI680" s="208">
        <f t="shared" si="210"/>
        <v>50</v>
      </c>
    </row>
    <row r="681" spans="1:35">
      <c r="A681" t="s">
        <v>2111</v>
      </c>
      <c r="B681" t="s">
        <v>3155</v>
      </c>
      <c r="C681" t="s">
        <v>2453</v>
      </c>
      <c r="D681" t="s">
        <v>3948</v>
      </c>
      <c r="F681" t="s">
        <v>556</v>
      </c>
      <c r="G681" s="126">
        <f>SUMIFS('Support - Transition'!F:F,'Support - Transition'!B:B,'Step 2'!A681,'Support - Transition'!C:C,'Step 2'!B681,'Support - Transition'!D:D,'Step 2'!C681,'Support - Transition'!E:E,"CIVIL")</f>
        <v>0</v>
      </c>
      <c r="H681" s="126">
        <f>SUMIFS('Support - Transition'!F:F,'Support - Transition'!B:B,'Step 2'!A681,'Support - Transition'!C:C,'Step 2'!B681,'Support - Transition'!D:D,'Step 2'!C681,'Support - Transition'!E:E,"FIRE")</f>
        <v>0</v>
      </c>
      <c r="I681" s="126">
        <f>IF(B681="0",SUMIFS('Support - Transition'!F:F,'Support - Transition'!J:J,'Step 2'!D681,'Support - Transition'!E:E,"STATE UNIT"),SUMIFS('Support - Transition'!F:F,'Support - Transition'!J:J,'Step 2'!D681))</f>
        <v>5.1677000000000001E-2</v>
      </c>
      <c r="J681" s="126">
        <f>SUMIFS('Support - Unit Adjustments'!E:E,'Support - Unit Adjustments'!F:F,'Step 2'!D681)</f>
        <v>0</v>
      </c>
      <c r="K681" s="126">
        <f t="shared" si="194"/>
        <v>5.1677000000000001E-2</v>
      </c>
      <c r="L681" s="174">
        <f>VLOOKUP(A681,'Step 1'!$A:$E,4,FALSE)</f>
        <v>235697</v>
      </c>
      <c r="M681" s="47">
        <f t="shared" si="195"/>
        <v>12180</v>
      </c>
      <c r="N681" s="177">
        <f>SUMIFS('Support - Transition'!G:G,'Support - Transition'!J:J,'Step 2'!D681,'Support - Transition'!E:E,"2009 WELFARE ALLOCATION FACTOR")</f>
        <v>0</v>
      </c>
      <c r="O681" s="152">
        <f t="shared" si="200"/>
        <v>0</v>
      </c>
      <c r="P681" s="126">
        <f>IF(E681="Y",0,SUMIFS('Support - Transition'!G:G,'Support - Transition'!J:J,'Step 2'!D681,'Support - Transition'!E:E,"2009 SCHOOL ALLOCATION FACTOR"))</f>
        <v>0</v>
      </c>
      <c r="Q681" s="126">
        <f>IF(E681="Y",VLOOKUP(D681,'Support - Unit Adjustments'!F:G,2,FALSE),0)</f>
        <v>0</v>
      </c>
      <c r="R681" s="155">
        <f t="shared" si="212"/>
        <v>0</v>
      </c>
      <c r="S681" s="47">
        <f t="shared" si="211"/>
        <v>0</v>
      </c>
      <c r="T681" s="151">
        <f t="shared" si="196"/>
        <v>12180</v>
      </c>
      <c r="U681" s="151">
        <f t="shared" si="197"/>
        <v>0</v>
      </c>
      <c r="V681" s="139">
        <f t="shared" si="198"/>
        <v>0</v>
      </c>
      <c r="W681" s="152">
        <f t="shared" si="201"/>
        <v>12180</v>
      </c>
      <c r="X681" s="127" t="str">
        <f t="shared" si="199"/>
        <v/>
      </c>
      <c r="Y681" s="207">
        <f t="shared" si="202"/>
        <v>12180</v>
      </c>
      <c r="Z681" s="139">
        <f t="shared" si="203"/>
        <v>12180</v>
      </c>
      <c r="AA681" s="139">
        <f t="shared" si="204"/>
        <v>0</v>
      </c>
      <c r="AC681" s="47">
        <f t="shared" si="205"/>
        <v>6090</v>
      </c>
      <c r="AD681" s="47">
        <f t="shared" si="206"/>
        <v>6090</v>
      </c>
      <c r="AE681" s="47">
        <f t="shared" si="207"/>
        <v>0</v>
      </c>
      <c r="AG681" s="47">
        <f t="shared" si="208"/>
        <v>6090</v>
      </c>
      <c r="AH681" s="47">
        <f t="shared" si="209"/>
        <v>6090</v>
      </c>
      <c r="AI681" s="208">
        <f t="shared" si="210"/>
        <v>0</v>
      </c>
    </row>
    <row r="682" spans="1:35">
      <c r="A682" t="s">
        <v>2111</v>
      </c>
      <c r="B682" t="s">
        <v>3155</v>
      </c>
      <c r="C682" t="s">
        <v>2264</v>
      </c>
      <c r="D682" t="s">
        <v>3949</v>
      </c>
      <c r="F682" t="s">
        <v>553</v>
      </c>
      <c r="G682" s="126">
        <f>SUMIFS('Support - Transition'!F:F,'Support - Transition'!B:B,'Step 2'!A682,'Support - Transition'!C:C,'Step 2'!B682,'Support - Transition'!D:D,'Step 2'!C682,'Support - Transition'!E:E,"CIVIL")</f>
        <v>0</v>
      </c>
      <c r="H682" s="126">
        <f>SUMIFS('Support - Transition'!F:F,'Support - Transition'!B:B,'Step 2'!A682,'Support - Transition'!C:C,'Step 2'!B682,'Support - Transition'!D:D,'Step 2'!C682,'Support - Transition'!E:E,"FIRE")</f>
        <v>0</v>
      </c>
      <c r="I682" s="126">
        <f>IF(B682="0",SUMIFS('Support - Transition'!F:F,'Support - Transition'!J:J,'Step 2'!D682,'Support - Transition'!E:E,"STATE UNIT"),SUMIFS('Support - Transition'!F:F,'Support - Transition'!J:J,'Step 2'!D682))</f>
        <v>3.1700000000000001E-4</v>
      </c>
      <c r="J682" s="126">
        <f>SUMIFS('Support - Unit Adjustments'!E:E,'Support - Unit Adjustments'!F:F,'Step 2'!D682)</f>
        <v>0</v>
      </c>
      <c r="K682" s="126">
        <f t="shared" si="194"/>
        <v>3.1700000000000001E-4</v>
      </c>
      <c r="L682" s="174">
        <f>VLOOKUP(A682,'Step 1'!$A:$E,4,FALSE)</f>
        <v>235697</v>
      </c>
      <c r="M682" s="47">
        <f t="shared" si="195"/>
        <v>75</v>
      </c>
      <c r="N682" s="177">
        <f>SUMIFS('Support - Transition'!G:G,'Support - Transition'!J:J,'Step 2'!D682,'Support - Transition'!E:E,"2009 WELFARE ALLOCATION FACTOR")</f>
        <v>0</v>
      </c>
      <c r="O682" s="152">
        <f t="shared" si="200"/>
        <v>0</v>
      </c>
      <c r="P682" s="126">
        <f>IF(E682="Y",0,SUMIFS('Support - Transition'!G:G,'Support - Transition'!J:J,'Step 2'!D682,'Support - Transition'!E:E,"2009 SCHOOL ALLOCATION FACTOR"))</f>
        <v>0</v>
      </c>
      <c r="Q682" s="126">
        <f>IF(E682="Y",VLOOKUP(D682,'Support - Unit Adjustments'!F:G,2,FALSE),0)</f>
        <v>0</v>
      </c>
      <c r="R682" s="155">
        <f t="shared" si="212"/>
        <v>0</v>
      </c>
      <c r="S682" s="47">
        <f t="shared" si="211"/>
        <v>0</v>
      </c>
      <c r="T682" s="151">
        <f t="shared" si="196"/>
        <v>75</v>
      </c>
      <c r="U682" s="151">
        <f t="shared" si="197"/>
        <v>0</v>
      </c>
      <c r="V682" s="139">
        <f t="shared" si="198"/>
        <v>0</v>
      </c>
      <c r="W682" s="152">
        <f t="shared" si="201"/>
        <v>75</v>
      </c>
      <c r="X682" s="127" t="str">
        <f t="shared" si="199"/>
        <v/>
      </c>
      <c r="Y682" s="207">
        <f t="shared" si="202"/>
        <v>75</v>
      </c>
      <c r="Z682" s="139">
        <f t="shared" si="203"/>
        <v>75</v>
      </c>
      <c r="AA682" s="139">
        <f t="shared" si="204"/>
        <v>0</v>
      </c>
      <c r="AC682" s="47">
        <f t="shared" si="205"/>
        <v>38</v>
      </c>
      <c r="AD682" s="47">
        <f t="shared" si="206"/>
        <v>38</v>
      </c>
      <c r="AE682" s="47">
        <f t="shared" si="207"/>
        <v>0</v>
      </c>
      <c r="AG682" s="47">
        <f t="shared" si="208"/>
        <v>37</v>
      </c>
      <c r="AH682" s="47">
        <f t="shared" si="209"/>
        <v>37</v>
      </c>
      <c r="AI682" s="208">
        <f t="shared" si="210"/>
        <v>0</v>
      </c>
    </row>
    <row r="683" spans="1:35">
      <c r="A683" t="s">
        <v>2111</v>
      </c>
      <c r="B683" t="s">
        <v>3155</v>
      </c>
      <c r="C683" t="s">
        <v>2454</v>
      </c>
      <c r="D683" t="s">
        <v>3950</v>
      </c>
      <c r="F683" t="s">
        <v>554</v>
      </c>
      <c r="G683" s="126">
        <f>SUMIFS('Support - Transition'!F:F,'Support - Transition'!B:B,'Step 2'!A683,'Support - Transition'!C:C,'Step 2'!B683,'Support - Transition'!D:D,'Step 2'!C683,'Support - Transition'!E:E,"CIVIL")</f>
        <v>0</v>
      </c>
      <c r="H683" s="126">
        <f>SUMIFS('Support - Transition'!F:F,'Support - Transition'!B:B,'Step 2'!A683,'Support - Transition'!C:C,'Step 2'!B683,'Support - Transition'!D:D,'Step 2'!C683,'Support - Transition'!E:E,"FIRE")</f>
        <v>0</v>
      </c>
      <c r="I683" s="126">
        <f>IF(B683="0",SUMIFS('Support - Transition'!F:F,'Support - Transition'!J:J,'Step 2'!D683,'Support - Transition'!E:E,"STATE UNIT"),SUMIFS('Support - Transition'!F:F,'Support - Transition'!J:J,'Step 2'!D683))</f>
        <v>9.0899999999999998E-4</v>
      </c>
      <c r="J683" s="126">
        <f>SUMIFS('Support - Unit Adjustments'!E:E,'Support - Unit Adjustments'!F:F,'Step 2'!D683)</f>
        <v>0</v>
      </c>
      <c r="K683" s="126">
        <f t="shared" si="194"/>
        <v>9.0899999999999998E-4</v>
      </c>
      <c r="L683" s="174">
        <f>VLOOKUP(A683,'Step 1'!$A:$E,4,FALSE)</f>
        <v>235697</v>
      </c>
      <c r="M683" s="47">
        <f t="shared" si="195"/>
        <v>214</v>
      </c>
      <c r="N683" s="177">
        <f>SUMIFS('Support - Transition'!G:G,'Support - Transition'!J:J,'Step 2'!D683,'Support - Transition'!E:E,"2009 WELFARE ALLOCATION FACTOR")</f>
        <v>0</v>
      </c>
      <c r="O683" s="152">
        <f t="shared" si="200"/>
        <v>0</v>
      </c>
      <c r="P683" s="126">
        <f>IF(E683="Y",0,SUMIFS('Support - Transition'!G:G,'Support - Transition'!J:J,'Step 2'!D683,'Support - Transition'!E:E,"2009 SCHOOL ALLOCATION FACTOR"))</f>
        <v>0</v>
      </c>
      <c r="Q683" s="126">
        <f>IF(E683="Y",VLOOKUP(D683,'Support - Unit Adjustments'!F:G,2,FALSE),0)</f>
        <v>0</v>
      </c>
      <c r="R683" s="155">
        <f t="shared" si="212"/>
        <v>0</v>
      </c>
      <c r="S683" s="47">
        <f t="shared" si="211"/>
        <v>0</v>
      </c>
      <c r="T683" s="151">
        <f t="shared" si="196"/>
        <v>214</v>
      </c>
      <c r="U683" s="151">
        <f t="shared" si="197"/>
        <v>0</v>
      </c>
      <c r="V683" s="139">
        <f t="shared" si="198"/>
        <v>0</v>
      </c>
      <c r="W683" s="152">
        <f t="shared" si="201"/>
        <v>214</v>
      </c>
      <c r="X683" s="127" t="str">
        <f t="shared" si="199"/>
        <v/>
      </c>
      <c r="Y683" s="207">
        <f t="shared" si="202"/>
        <v>214</v>
      </c>
      <c r="Z683" s="139">
        <f t="shared" si="203"/>
        <v>214</v>
      </c>
      <c r="AA683" s="139">
        <f t="shared" si="204"/>
        <v>0</v>
      </c>
      <c r="AC683" s="47">
        <f t="shared" si="205"/>
        <v>107</v>
      </c>
      <c r="AD683" s="47">
        <f t="shared" si="206"/>
        <v>107</v>
      </c>
      <c r="AE683" s="47">
        <f t="shared" si="207"/>
        <v>0</v>
      </c>
      <c r="AG683" s="47">
        <f t="shared" si="208"/>
        <v>107</v>
      </c>
      <c r="AH683" s="47">
        <f t="shared" si="209"/>
        <v>107</v>
      </c>
      <c r="AI683" s="208">
        <f t="shared" si="210"/>
        <v>0</v>
      </c>
    </row>
    <row r="684" spans="1:35">
      <c r="A684" t="s">
        <v>2111</v>
      </c>
      <c r="B684" t="s">
        <v>3155</v>
      </c>
      <c r="C684" t="s">
        <v>2455</v>
      </c>
      <c r="D684" t="s">
        <v>3951</v>
      </c>
      <c r="F684" t="s">
        <v>555</v>
      </c>
      <c r="G684" s="126">
        <f>SUMIFS('Support - Transition'!F:F,'Support - Transition'!B:B,'Step 2'!A684,'Support - Transition'!C:C,'Step 2'!B684,'Support - Transition'!D:D,'Step 2'!C684,'Support - Transition'!E:E,"CIVIL")</f>
        <v>0</v>
      </c>
      <c r="H684" s="126">
        <f>SUMIFS('Support - Transition'!F:F,'Support - Transition'!B:B,'Step 2'!A684,'Support - Transition'!C:C,'Step 2'!B684,'Support - Transition'!D:D,'Step 2'!C684,'Support - Transition'!E:E,"FIRE")</f>
        <v>0</v>
      </c>
      <c r="I684" s="126">
        <f>IF(B684="0",SUMIFS('Support - Transition'!F:F,'Support - Transition'!J:J,'Step 2'!D684,'Support - Transition'!E:E,"STATE UNIT"),SUMIFS('Support - Transition'!F:F,'Support - Transition'!J:J,'Step 2'!D684))</f>
        <v>2.3159999999999999E-3</v>
      </c>
      <c r="J684" s="126">
        <f>SUMIFS('Support - Unit Adjustments'!E:E,'Support - Unit Adjustments'!F:F,'Step 2'!D684)</f>
        <v>0</v>
      </c>
      <c r="K684" s="126">
        <f t="shared" si="194"/>
        <v>2.3159999999999999E-3</v>
      </c>
      <c r="L684" s="174">
        <f>VLOOKUP(A684,'Step 1'!$A:$E,4,FALSE)</f>
        <v>235697</v>
      </c>
      <c r="M684" s="47">
        <f t="shared" si="195"/>
        <v>546</v>
      </c>
      <c r="N684" s="177">
        <f>SUMIFS('Support - Transition'!G:G,'Support - Transition'!J:J,'Step 2'!D684,'Support - Transition'!E:E,"2009 WELFARE ALLOCATION FACTOR")</f>
        <v>0</v>
      </c>
      <c r="O684" s="152">
        <f t="shared" si="200"/>
        <v>0</v>
      </c>
      <c r="P684" s="126">
        <f>IF(E684="Y",0,SUMIFS('Support - Transition'!G:G,'Support - Transition'!J:J,'Step 2'!D684,'Support - Transition'!E:E,"2009 SCHOOL ALLOCATION FACTOR"))</f>
        <v>0</v>
      </c>
      <c r="Q684" s="126">
        <f>IF(E684="Y",VLOOKUP(D684,'Support - Unit Adjustments'!F:G,2,FALSE),0)</f>
        <v>0</v>
      </c>
      <c r="R684" s="155">
        <f t="shared" si="212"/>
        <v>0</v>
      </c>
      <c r="S684" s="47">
        <f t="shared" si="211"/>
        <v>0</v>
      </c>
      <c r="T684" s="151">
        <f t="shared" si="196"/>
        <v>546</v>
      </c>
      <c r="U684" s="151">
        <f t="shared" si="197"/>
        <v>0</v>
      </c>
      <c r="V684" s="139">
        <f t="shared" si="198"/>
        <v>0</v>
      </c>
      <c r="W684" s="152">
        <f t="shared" si="201"/>
        <v>546</v>
      </c>
      <c r="X684" s="127" t="str">
        <f t="shared" si="199"/>
        <v/>
      </c>
      <c r="Y684" s="207">
        <f t="shared" si="202"/>
        <v>546</v>
      </c>
      <c r="Z684" s="139">
        <f t="shared" si="203"/>
        <v>546</v>
      </c>
      <c r="AA684" s="139">
        <f t="shared" si="204"/>
        <v>0</v>
      </c>
      <c r="AC684" s="47">
        <f t="shared" si="205"/>
        <v>273</v>
      </c>
      <c r="AD684" s="47">
        <f t="shared" si="206"/>
        <v>273</v>
      </c>
      <c r="AE684" s="47">
        <f t="shared" si="207"/>
        <v>0</v>
      </c>
      <c r="AG684" s="47">
        <f t="shared" si="208"/>
        <v>273</v>
      </c>
      <c r="AH684" s="47">
        <f t="shared" si="209"/>
        <v>273</v>
      </c>
      <c r="AI684" s="208">
        <f t="shared" si="210"/>
        <v>0</v>
      </c>
    </row>
    <row r="685" spans="1:35">
      <c r="A685" t="s">
        <v>2111</v>
      </c>
      <c r="B685" t="s">
        <v>3160</v>
      </c>
      <c r="C685" t="s">
        <v>2456</v>
      </c>
      <c r="D685" t="s">
        <v>3952</v>
      </c>
      <c r="F685" t="s">
        <v>558</v>
      </c>
      <c r="G685" s="126">
        <f>SUMIFS('Support - Transition'!F:F,'Support - Transition'!B:B,'Step 2'!A685,'Support - Transition'!C:C,'Step 2'!B685,'Support - Transition'!D:D,'Step 2'!C685,'Support - Transition'!E:E,"CIVIL")</f>
        <v>0</v>
      </c>
      <c r="H685" s="126">
        <f>SUMIFS('Support - Transition'!F:F,'Support - Transition'!B:B,'Step 2'!A685,'Support - Transition'!C:C,'Step 2'!B685,'Support - Transition'!D:D,'Step 2'!C685,'Support - Transition'!E:E,"FIRE")</f>
        <v>0</v>
      </c>
      <c r="I685" s="126">
        <f>IF(B685="0",SUMIFS('Support - Transition'!F:F,'Support - Transition'!J:J,'Step 2'!D685,'Support - Transition'!E:E,"STATE UNIT"),SUMIFS('Support - Transition'!F:F,'Support - Transition'!J:J,'Step 2'!D685))</f>
        <v>0.45790700000000001</v>
      </c>
      <c r="J685" s="126">
        <f>SUMIFS('Support - Unit Adjustments'!E:E,'Support - Unit Adjustments'!F:F,'Step 2'!D685)</f>
        <v>0</v>
      </c>
      <c r="K685" s="126">
        <f t="shared" si="194"/>
        <v>0.45790700000000001</v>
      </c>
      <c r="L685" s="174">
        <f>VLOOKUP(A685,'Step 1'!$A:$E,4,FALSE)</f>
        <v>235697</v>
      </c>
      <c r="M685" s="47">
        <f t="shared" si="195"/>
        <v>107927</v>
      </c>
      <c r="N685" s="177">
        <f>SUMIFS('Support - Transition'!G:G,'Support - Transition'!J:J,'Step 2'!D685,'Support - Transition'!E:E,"2009 WELFARE ALLOCATION FACTOR")</f>
        <v>0</v>
      </c>
      <c r="O685" s="152">
        <f t="shared" si="200"/>
        <v>0</v>
      </c>
      <c r="P685" s="126">
        <f>IF(E685="Y",0,SUMIFS('Support - Transition'!G:G,'Support - Transition'!J:J,'Step 2'!D685,'Support - Transition'!E:E,"2009 SCHOOL ALLOCATION FACTOR"))</f>
        <v>0.48539900000000002</v>
      </c>
      <c r="Q685" s="126">
        <f>IF(E685="Y",VLOOKUP(D685,'Support - Unit Adjustments'!F:G,2,FALSE),0)</f>
        <v>0</v>
      </c>
      <c r="R685" s="155">
        <f t="shared" si="212"/>
        <v>0.48539900000000002</v>
      </c>
      <c r="S685" s="47">
        <f t="shared" si="211"/>
        <v>52388</v>
      </c>
      <c r="T685" s="151">
        <f t="shared" si="196"/>
        <v>55539</v>
      </c>
      <c r="U685" s="151">
        <f t="shared" si="197"/>
        <v>0</v>
      </c>
      <c r="V685" s="139">
        <f t="shared" si="198"/>
        <v>0</v>
      </c>
      <c r="W685" s="152">
        <f t="shared" si="201"/>
        <v>55539</v>
      </c>
      <c r="X685" s="127" t="str">
        <f t="shared" si="199"/>
        <v/>
      </c>
      <c r="Y685" s="207">
        <f t="shared" si="202"/>
        <v>55539</v>
      </c>
      <c r="Z685" s="139">
        <f t="shared" si="203"/>
        <v>55539</v>
      </c>
      <c r="AA685" s="139">
        <f t="shared" si="204"/>
        <v>0</v>
      </c>
      <c r="AC685" s="47">
        <f t="shared" si="205"/>
        <v>27770</v>
      </c>
      <c r="AD685" s="47">
        <f t="shared" si="206"/>
        <v>27770</v>
      </c>
      <c r="AE685" s="47">
        <f t="shared" si="207"/>
        <v>0</v>
      </c>
      <c r="AG685" s="47">
        <f t="shared" si="208"/>
        <v>27769</v>
      </c>
      <c r="AH685" s="47">
        <f t="shared" si="209"/>
        <v>27769</v>
      </c>
      <c r="AI685" s="208">
        <f t="shared" si="210"/>
        <v>0</v>
      </c>
    </row>
    <row r="686" spans="1:35">
      <c r="A686" t="s">
        <v>2111</v>
      </c>
      <c r="B686" t="s">
        <v>3160</v>
      </c>
      <c r="C686" t="s">
        <v>2287</v>
      </c>
      <c r="D686" t="s">
        <v>3953</v>
      </c>
      <c r="F686" t="s">
        <v>210</v>
      </c>
      <c r="G686" s="126">
        <f>SUMIFS('Support - Transition'!F:F,'Support - Transition'!B:B,'Step 2'!A686,'Support - Transition'!C:C,'Step 2'!B686,'Support - Transition'!D:D,'Step 2'!C686,'Support - Transition'!E:E,"CIVIL")</f>
        <v>0</v>
      </c>
      <c r="H686" s="126">
        <f>SUMIFS('Support - Transition'!F:F,'Support - Transition'!B:B,'Step 2'!A686,'Support - Transition'!C:C,'Step 2'!B686,'Support - Transition'!D:D,'Step 2'!C686,'Support - Transition'!E:E,"FIRE")</f>
        <v>0</v>
      </c>
      <c r="I686" s="126">
        <f>IF(B686="0",SUMIFS('Support - Transition'!F:F,'Support - Transition'!J:J,'Step 2'!D686,'Support - Transition'!E:E,"STATE UNIT"),SUMIFS('Support - Transition'!F:F,'Support - Transition'!J:J,'Step 2'!D686))</f>
        <v>5.6375000000000001E-2</v>
      </c>
      <c r="J686" s="126">
        <f>SUMIFS('Support - Unit Adjustments'!E:E,'Support - Unit Adjustments'!F:F,'Step 2'!D686)</f>
        <v>0</v>
      </c>
      <c r="K686" s="126">
        <f t="shared" si="194"/>
        <v>5.6375000000000001E-2</v>
      </c>
      <c r="L686" s="174">
        <f>VLOOKUP(A686,'Step 1'!$A:$E,4,FALSE)</f>
        <v>235697</v>
      </c>
      <c r="M686" s="47">
        <f t="shared" si="195"/>
        <v>13287</v>
      </c>
      <c r="N686" s="177">
        <f>SUMIFS('Support - Transition'!G:G,'Support - Transition'!J:J,'Step 2'!D686,'Support - Transition'!E:E,"2009 WELFARE ALLOCATION FACTOR")</f>
        <v>0</v>
      </c>
      <c r="O686" s="152">
        <f t="shared" si="200"/>
        <v>0</v>
      </c>
      <c r="P686" s="126">
        <f>IF(E686="Y",0,SUMIFS('Support - Transition'!G:G,'Support - Transition'!J:J,'Step 2'!D686,'Support - Transition'!E:E,"2009 SCHOOL ALLOCATION FACTOR"))</f>
        <v>0.544678</v>
      </c>
      <c r="Q686" s="126">
        <f>IF(E686="Y",VLOOKUP(D686,'Support - Unit Adjustments'!F:G,2,FALSE),0)</f>
        <v>0</v>
      </c>
      <c r="R686" s="155">
        <f t="shared" si="212"/>
        <v>0.544678</v>
      </c>
      <c r="S686" s="47">
        <f t="shared" si="211"/>
        <v>7237</v>
      </c>
      <c r="T686" s="151">
        <f t="shared" si="196"/>
        <v>6050</v>
      </c>
      <c r="U686" s="151">
        <f t="shared" si="197"/>
        <v>0</v>
      </c>
      <c r="V686" s="139">
        <f t="shared" si="198"/>
        <v>0</v>
      </c>
      <c r="W686" s="152">
        <f t="shared" si="201"/>
        <v>6050</v>
      </c>
      <c r="X686" s="127" t="str">
        <f t="shared" si="199"/>
        <v/>
      </c>
      <c r="Y686" s="207">
        <f t="shared" si="202"/>
        <v>6050</v>
      </c>
      <c r="Z686" s="139">
        <f t="shared" si="203"/>
        <v>6050</v>
      </c>
      <c r="AA686" s="139">
        <f t="shared" si="204"/>
        <v>0</v>
      </c>
      <c r="AC686" s="47">
        <f t="shared" si="205"/>
        <v>3025</v>
      </c>
      <c r="AD686" s="47">
        <f t="shared" si="206"/>
        <v>3025</v>
      </c>
      <c r="AE686" s="47">
        <f t="shared" si="207"/>
        <v>0</v>
      </c>
      <c r="AG686" s="47">
        <f t="shared" si="208"/>
        <v>3025</v>
      </c>
      <c r="AH686" s="47">
        <f t="shared" si="209"/>
        <v>3025</v>
      </c>
      <c r="AI686" s="208">
        <f t="shared" si="210"/>
        <v>0</v>
      </c>
    </row>
    <row r="687" spans="1:35">
      <c r="A687" t="s">
        <v>2111</v>
      </c>
      <c r="B687" t="s">
        <v>3160</v>
      </c>
      <c r="C687" t="s">
        <v>2457</v>
      </c>
      <c r="D687" t="s">
        <v>3954</v>
      </c>
      <c r="F687" t="s">
        <v>559</v>
      </c>
      <c r="G687" s="126">
        <f>SUMIFS('Support - Transition'!F:F,'Support - Transition'!B:B,'Step 2'!A687,'Support - Transition'!C:C,'Step 2'!B687,'Support - Transition'!D:D,'Step 2'!C687,'Support - Transition'!E:E,"CIVIL")</f>
        <v>0</v>
      </c>
      <c r="H687" s="126">
        <f>SUMIFS('Support - Transition'!F:F,'Support - Transition'!B:B,'Step 2'!A687,'Support - Transition'!C:C,'Step 2'!B687,'Support - Transition'!D:D,'Step 2'!C687,'Support - Transition'!E:E,"FIRE")</f>
        <v>0</v>
      </c>
      <c r="I687" s="126">
        <f>IF(B687="0",SUMIFS('Support - Transition'!F:F,'Support - Transition'!J:J,'Step 2'!D687,'Support - Transition'!E:E,"STATE UNIT"),SUMIFS('Support - Transition'!F:F,'Support - Transition'!J:J,'Step 2'!D687))</f>
        <v>7.0931999999999995E-2</v>
      </c>
      <c r="J687" s="126">
        <f>SUMIFS('Support - Unit Adjustments'!E:E,'Support - Unit Adjustments'!F:F,'Step 2'!D687)</f>
        <v>0</v>
      </c>
      <c r="K687" s="126">
        <f t="shared" si="194"/>
        <v>7.0931999999999995E-2</v>
      </c>
      <c r="L687" s="174">
        <f>VLOOKUP(A687,'Step 1'!$A:$E,4,FALSE)</f>
        <v>235697</v>
      </c>
      <c r="M687" s="47">
        <f t="shared" si="195"/>
        <v>16718</v>
      </c>
      <c r="N687" s="177">
        <f>SUMIFS('Support - Transition'!G:G,'Support - Transition'!J:J,'Step 2'!D687,'Support - Transition'!E:E,"2009 WELFARE ALLOCATION FACTOR")</f>
        <v>0</v>
      </c>
      <c r="O687" s="152">
        <f t="shared" si="200"/>
        <v>0</v>
      </c>
      <c r="P687" s="126">
        <f>IF(E687="Y",0,SUMIFS('Support - Transition'!G:G,'Support - Transition'!J:J,'Step 2'!D687,'Support - Transition'!E:E,"2009 SCHOOL ALLOCATION FACTOR"))</f>
        <v>0.37658999999999998</v>
      </c>
      <c r="Q687" s="126">
        <f>IF(E687="Y",VLOOKUP(D687,'Support - Unit Adjustments'!F:G,2,FALSE),0)</f>
        <v>0</v>
      </c>
      <c r="R687" s="155">
        <f t="shared" si="212"/>
        <v>0.37658999999999998</v>
      </c>
      <c r="S687" s="47">
        <f t="shared" si="211"/>
        <v>6296</v>
      </c>
      <c r="T687" s="151">
        <f t="shared" si="196"/>
        <v>10422</v>
      </c>
      <c r="U687" s="151">
        <f t="shared" si="197"/>
        <v>0</v>
      </c>
      <c r="V687" s="139">
        <f t="shared" si="198"/>
        <v>0</v>
      </c>
      <c r="W687" s="152">
        <f t="shared" si="201"/>
        <v>10422</v>
      </c>
      <c r="X687" s="127" t="str">
        <f t="shared" si="199"/>
        <v/>
      </c>
      <c r="Y687" s="207">
        <f t="shared" si="202"/>
        <v>10422</v>
      </c>
      <c r="Z687" s="139">
        <f t="shared" si="203"/>
        <v>10422</v>
      </c>
      <c r="AA687" s="139">
        <f t="shared" si="204"/>
        <v>0</v>
      </c>
      <c r="AC687" s="47">
        <f t="shared" si="205"/>
        <v>5211</v>
      </c>
      <c r="AD687" s="47">
        <f t="shared" si="206"/>
        <v>5211</v>
      </c>
      <c r="AE687" s="47">
        <f t="shared" si="207"/>
        <v>0</v>
      </c>
      <c r="AG687" s="47">
        <f t="shared" si="208"/>
        <v>5211</v>
      </c>
      <c r="AH687" s="47">
        <f t="shared" si="209"/>
        <v>5211</v>
      </c>
      <c r="AI687" s="208">
        <f t="shared" si="210"/>
        <v>0</v>
      </c>
    </row>
    <row r="688" spans="1:35">
      <c r="A688" t="s">
        <v>2111</v>
      </c>
      <c r="B688" t="s">
        <v>3160</v>
      </c>
      <c r="C688" t="s">
        <v>2458</v>
      </c>
      <c r="D688" t="s">
        <v>3955</v>
      </c>
      <c r="F688" t="s">
        <v>557</v>
      </c>
      <c r="G688" s="126">
        <f>SUMIFS('Support - Transition'!F:F,'Support - Transition'!B:B,'Step 2'!A688,'Support - Transition'!C:C,'Step 2'!B688,'Support - Transition'!D:D,'Step 2'!C688,'Support - Transition'!E:E,"CIVIL")</f>
        <v>0</v>
      </c>
      <c r="H688" s="126">
        <f>SUMIFS('Support - Transition'!F:F,'Support - Transition'!B:B,'Step 2'!A688,'Support - Transition'!C:C,'Step 2'!B688,'Support - Transition'!D:D,'Step 2'!C688,'Support - Transition'!E:E,"FIRE")</f>
        <v>0</v>
      </c>
      <c r="I688" s="126">
        <f>IF(B688="0",SUMIFS('Support - Transition'!F:F,'Support - Transition'!J:J,'Step 2'!D688,'Support - Transition'!E:E,"STATE UNIT"),SUMIFS('Support - Transition'!F:F,'Support - Transition'!J:J,'Step 2'!D688))</f>
        <v>2.3725E-2</v>
      </c>
      <c r="J688" s="126">
        <f>SUMIFS('Support - Unit Adjustments'!E:E,'Support - Unit Adjustments'!F:F,'Step 2'!D688)</f>
        <v>0</v>
      </c>
      <c r="K688" s="126">
        <f t="shared" si="194"/>
        <v>2.3725E-2</v>
      </c>
      <c r="L688" s="174">
        <f>VLOOKUP(A688,'Step 1'!$A:$E,4,FALSE)</f>
        <v>235697</v>
      </c>
      <c r="M688" s="47">
        <f t="shared" si="195"/>
        <v>5592</v>
      </c>
      <c r="N688" s="177">
        <f>SUMIFS('Support - Transition'!G:G,'Support - Transition'!J:J,'Step 2'!D688,'Support - Transition'!E:E,"2009 WELFARE ALLOCATION FACTOR")</f>
        <v>0</v>
      </c>
      <c r="O688" s="152">
        <f t="shared" si="200"/>
        <v>0</v>
      </c>
      <c r="P688" s="126">
        <f>IF(E688="Y",0,SUMIFS('Support - Transition'!G:G,'Support - Transition'!J:J,'Step 2'!D688,'Support - Transition'!E:E,"2009 SCHOOL ALLOCATION FACTOR"))</f>
        <v>0.48516999999999999</v>
      </c>
      <c r="Q688" s="126">
        <f>IF(E688="Y",VLOOKUP(D688,'Support - Unit Adjustments'!F:G,2,FALSE),0)</f>
        <v>0</v>
      </c>
      <c r="R688" s="155">
        <f t="shared" si="212"/>
        <v>0.48516999999999999</v>
      </c>
      <c r="S688" s="47">
        <f t="shared" si="211"/>
        <v>2713</v>
      </c>
      <c r="T688" s="151">
        <f t="shared" si="196"/>
        <v>2879</v>
      </c>
      <c r="U688" s="151">
        <f t="shared" si="197"/>
        <v>0</v>
      </c>
      <c r="V688" s="139">
        <f t="shared" si="198"/>
        <v>0</v>
      </c>
      <c r="W688" s="152">
        <f t="shared" si="201"/>
        <v>2879</v>
      </c>
      <c r="X688" s="127" t="str">
        <f t="shared" si="199"/>
        <v/>
      </c>
      <c r="Y688" s="207">
        <f t="shared" si="202"/>
        <v>2879</v>
      </c>
      <c r="Z688" s="139">
        <f t="shared" si="203"/>
        <v>2879</v>
      </c>
      <c r="AA688" s="139">
        <f t="shared" si="204"/>
        <v>0</v>
      </c>
      <c r="AC688" s="47">
        <f t="shared" si="205"/>
        <v>1440</v>
      </c>
      <c r="AD688" s="47">
        <f t="shared" si="206"/>
        <v>1440</v>
      </c>
      <c r="AE688" s="47">
        <f t="shared" si="207"/>
        <v>0</v>
      </c>
      <c r="AG688" s="47">
        <f t="shared" si="208"/>
        <v>1439</v>
      </c>
      <c r="AH688" s="47">
        <f t="shared" si="209"/>
        <v>1439</v>
      </c>
      <c r="AI688" s="208">
        <f t="shared" si="210"/>
        <v>0</v>
      </c>
    </row>
    <row r="689" spans="1:35">
      <c r="A689" t="s">
        <v>2111</v>
      </c>
      <c r="B689" t="s">
        <v>3160</v>
      </c>
      <c r="C689" t="s">
        <v>2459</v>
      </c>
      <c r="D689" t="s">
        <v>3956</v>
      </c>
      <c r="F689" t="s">
        <v>3957</v>
      </c>
      <c r="G689" s="126">
        <f>SUMIFS('Support - Transition'!F:F,'Support - Transition'!B:B,'Step 2'!A689,'Support - Transition'!C:C,'Step 2'!B689,'Support - Transition'!D:D,'Step 2'!C689,'Support - Transition'!E:E,"CIVIL")</f>
        <v>0</v>
      </c>
      <c r="H689" s="126">
        <f>SUMIFS('Support - Transition'!F:F,'Support - Transition'!B:B,'Step 2'!A689,'Support - Transition'!C:C,'Step 2'!B689,'Support - Transition'!D:D,'Step 2'!C689,'Support - Transition'!E:E,"FIRE")</f>
        <v>0</v>
      </c>
      <c r="I689" s="126">
        <f>IF(B689="0",SUMIFS('Support - Transition'!F:F,'Support - Transition'!J:J,'Step 2'!D689,'Support - Transition'!E:E,"STATE UNIT"),SUMIFS('Support - Transition'!F:F,'Support - Transition'!J:J,'Step 2'!D689))</f>
        <v>4.7451E-2</v>
      </c>
      <c r="J689" s="126">
        <f>SUMIFS('Support - Unit Adjustments'!E:E,'Support - Unit Adjustments'!F:F,'Step 2'!D689)</f>
        <v>0</v>
      </c>
      <c r="K689" s="126">
        <f t="shared" si="194"/>
        <v>4.7451E-2</v>
      </c>
      <c r="L689" s="174">
        <f>VLOOKUP(A689,'Step 1'!$A:$E,4,FALSE)</f>
        <v>235697</v>
      </c>
      <c r="M689" s="47">
        <f t="shared" si="195"/>
        <v>11184</v>
      </c>
      <c r="N689" s="177">
        <f>SUMIFS('Support - Transition'!G:G,'Support - Transition'!J:J,'Step 2'!D689,'Support - Transition'!E:E,"2009 WELFARE ALLOCATION FACTOR")</f>
        <v>0</v>
      </c>
      <c r="O689" s="152">
        <f t="shared" si="200"/>
        <v>0</v>
      </c>
      <c r="P689" s="126">
        <f>IF(E689="Y",0,SUMIFS('Support - Transition'!G:G,'Support - Transition'!J:J,'Step 2'!D689,'Support - Transition'!E:E,"2009 SCHOOL ALLOCATION FACTOR"))</f>
        <v>0.50499400000000005</v>
      </c>
      <c r="Q689" s="126">
        <f>IF(E689="Y",VLOOKUP(D689,'Support - Unit Adjustments'!F:G,2,FALSE),0)</f>
        <v>0</v>
      </c>
      <c r="R689" s="155">
        <f t="shared" si="212"/>
        <v>0.50499400000000005</v>
      </c>
      <c r="S689" s="47">
        <f t="shared" si="211"/>
        <v>5648</v>
      </c>
      <c r="T689" s="151">
        <f t="shared" si="196"/>
        <v>5536</v>
      </c>
      <c r="U689" s="151">
        <f t="shared" si="197"/>
        <v>0</v>
      </c>
      <c r="V689" s="139">
        <f t="shared" si="198"/>
        <v>0</v>
      </c>
      <c r="W689" s="152">
        <f t="shared" si="201"/>
        <v>5536</v>
      </c>
      <c r="X689" s="127" t="str">
        <f t="shared" si="199"/>
        <v/>
      </c>
      <c r="Y689" s="207">
        <f t="shared" si="202"/>
        <v>5536</v>
      </c>
      <c r="Z689" s="139">
        <f t="shared" si="203"/>
        <v>5536</v>
      </c>
      <c r="AA689" s="139">
        <f t="shared" si="204"/>
        <v>0</v>
      </c>
      <c r="AC689" s="47">
        <f t="shared" si="205"/>
        <v>2768</v>
      </c>
      <c r="AD689" s="47">
        <f t="shared" si="206"/>
        <v>2768</v>
      </c>
      <c r="AE689" s="47">
        <f t="shared" si="207"/>
        <v>0</v>
      </c>
      <c r="AG689" s="47">
        <f t="shared" si="208"/>
        <v>2768</v>
      </c>
      <c r="AH689" s="47">
        <f t="shared" si="209"/>
        <v>2768</v>
      </c>
      <c r="AI689" s="208">
        <f t="shared" si="210"/>
        <v>0</v>
      </c>
    </row>
    <row r="690" spans="1:35">
      <c r="A690" t="s">
        <v>2111</v>
      </c>
      <c r="B690" t="s">
        <v>3166</v>
      </c>
      <c r="C690" t="s">
        <v>3352</v>
      </c>
      <c r="D690" t="s">
        <v>3958</v>
      </c>
      <c r="F690" t="s">
        <v>561</v>
      </c>
      <c r="G690" s="126">
        <f>SUMIFS('Support - Transition'!F:F,'Support - Transition'!B:B,'Step 2'!A690,'Support - Transition'!C:C,'Step 2'!B690,'Support - Transition'!D:D,'Step 2'!C690,'Support - Transition'!E:E,"CIVIL")</f>
        <v>0</v>
      </c>
      <c r="H690" s="126">
        <f>SUMIFS('Support - Transition'!F:F,'Support - Transition'!B:B,'Step 2'!A690,'Support - Transition'!C:C,'Step 2'!B690,'Support - Transition'!D:D,'Step 2'!C690,'Support - Transition'!E:E,"FIRE")</f>
        <v>0</v>
      </c>
      <c r="I690" s="126">
        <f>IF(B690="0",SUMIFS('Support - Transition'!F:F,'Support - Transition'!J:J,'Step 2'!D690,'Support - Transition'!E:E,"STATE UNIT"),SUMIFS('Support - Transition'!F:F,'Support - Transition'!J:J,'Step 2'!D690))</f>
        <v>3.6849999999999999E-3</v>
      </c>
      <c r="J690" s="126">
        <f>SUMIFS('Support - Unit Adjustments'!E:E,'Support - Unit Adjustments'!F:F,'Step 2'!D690)</f>
        <v>0</v>
      </c>
      <c r="K690" s="126">
        <f t="shared" si="194"/>
        <v>3.6849999999999999E-3</v>
      </c>
      <c r="L690" s="174">
        <f>VLOOKUP(A690,'Step 1'!$A:$E,4,FALSE)</f>
        <v>235697</v>
      </c>
      <c r="M690" s="47">
        <f t="shared" si="195"/>
        <v>869</v>
      </c>
      <c r="N690" s="177">
        <f>SUMIFS('Support - Transition'!G:G,'Support - Transition'!J:J,'Step 2'!D690,'Support - Transition'!E:E,"2009 WELFARE ALLOCATION FACTOR")</f>
        <v>0</v>
      </c>
      <c r="O690" s="152">
        <f t="shared" si="200"/>
        <v>0</v>
      </c>
      <c r="P690" s="126">
        <f>IF(E690="Y",0,SUMIFS('Support - Transition'!G:G,'Support - Transition'!J:J,'Step 2'!D690,'Support - Transition'!E:E,"2009 SCHOOL ALLOCATION FACTOR"))</f>
        <v>0</v>
      </c>
      <c r="Q690" s="126">
        <f>IF(E690="Y",VLOOKUP(D690,'Support - Unit Adjustments'!F:G,2,FALSE),0)</f>
        <v>0</v>
      </c>
      <c r="R690" s="155">
        <f t="shared" si="212"/>
        <v>0</v>
      </c>
      <c r="S690" s="47">
        <f t="shared" si="211"/>
        <v>0</v>
      </c>
      <c r="T690" s="151">
        <f t="shared" si="196"/>
        <v>869</v>
      </c>
      <c r="U690" s="151">
        <f t="shared" si="197"/>
        <v>0</v>
      </c>
      <c r="V690" s="139">
        <f t="shared" si="198"/>
        <v>0</v>
      </c>
      <c r="W690" s="152">
        <f t="shared" si="201"/>
        <v>869</v>
      </c>
      <c r="X690" s="127" t="str">
        <f t="shared" si="199"/>
        <v/>
      </c>
      <c r="Y690" s="207">
        <f t="shared" si="202"/>
        <v>869</v>
      </c>
      <c r="Z690" s="139">
        <f t="shared" si="203"/>
        <v>869</v>
      </c>
      <c r="AA690" s="139">
        <f t="shared" si="204"/>
        <v>0</v>
      </c>
      <c r="AC690" s="47">
        <f t="shared" si="205"/>
        <v>435</v>
      </c>
      <c r="AD690" s="47">
        <f t="shared" si="206"/>
        <v>435</v>
      </c>
      <c r="AE690" s="47">
        <f t="shared" si="207"/>
        <v>0</v>
      </c>
      <c r="AG690" s="47">
        <f t="shared" si="208"/>
        <v>434</v>
      </c>
      <c r="AH690" s="47">
        <f t="shared" si="209"/>
        <v>434</v>
      </c>
      <c r="AI690" s="208">
        <f t="shared" si="210"/>
        <v>0</v>
      </c>
    </row>
    <row r="691" spans="1:35">
      <c r="A691" t="s">
        <v>2111</v>
      </c>
      <c r="B691" t="s">
        <v>3166</v>
      </c>
      <c r="C691" t="s">
        <v>2301</v>
      </c>
      <c r="D691" t="s">
        <v>3959</v>
      </c>
      <c r="F691" t="s">
        <v>563</v>
      </c>
      <c r="G691" s="126">
        <f>SUMIFS('Support - Transition'!F:F,'Support - Transition'!B:B,'Step 2'!A691,'Support - Transition'!C:C,'Step 2'!B691,'Support - Transition'!D:D,'Step 2'!C691,'Support - Transition'!E:E,"CIVIL")</f>
        <v>0</v>
      </c>
      <c r="H691" s="126">
        <f>SUMIFS('Support - Transition'!F:F,'Support - Transition'!B:B,'Step 2'!A691,'Support - Transition'!C:C,'Step 2'!B691,'Support - Transition'!D:D,'Step 2'!C691,'Support - Transition'!E:E,"FIRE")</f>
        <v>0</v>
      </c>
      <c r="I691" s="126">
        <f>IF(B691="0",SUMIFS('Support - Transition'!F:F,'Support - Transition'!J:J,'Step 2'!D691,'Support - Transition'!E:E,"STATE UNIT"),SUMIFS('Support - Transition'!F:F,'Support - Transition'!J:J,'Step 2'!D691))</f>
        <v>9.7199999999997289E-4</v>
      </c>
      <c r="J691" s="126">
        <f>SUMIFS('Support - Unit Adjustments'!E:E,'Support - Unit Adjustments'!F:F,'Step 2'!D691)</f>
        <v>0</v>
      </c>
      <c r="K691" s="126">
        <f t="shared" si="194"/>
        <v>9.7199999999997289E-4</v>
      </c>
      <c r="L691" s="174">
        <f>VLOOKUP(A691,'Step 1'!$A:$E,4,FALSE)</f>
        <v>235697</v>
      </c>
      <c r="M691" s="47">
        <f t="shared" si="195"/>
        <v>229</v>
      </c>
      <c r="N691" s="177">
        <f>SUMIFS('Support - Transition'!G:G,'Support - Transition'!J:J,'Step 2'!D691,'Support - Transition'!E:E,"2009 WELFARE ALLOCATION FACTOR")</f>
        <v>0</v>
      </c>
      <c r="O691" s="152">
        <f t="shared" si="200"/>
        <v>0</v>
      </c>
      <c r="P691" s="126">
        <f>IF(E691="Y",0,SUMIFS('Support - Transition'!G:G,'Support - Transition'!J:J,'Step 2'!D691,'Support - Transition'!E:E,"2009 SCHOOL ALLOCATION FACTOR"))</f>
        <v>0</v>
      </c>
      <c r="Q691" s="126">
        <f>IF(E691="Y",VLOOKUP(D691,'Support - Unit Adjustments'!F:G,2,FALSE),0)</f>
        <v>0</v>
      </c>
      <c r="R691" s="155">
        <f t="shared" si="212"/>
        <v>0</v>
      </c>
      <c r="S691" s="47">
        <f t="shared" si="211"/>
        <v>0</v>
      </c>
      <c r="T691" s="151">
        <f t="shared" si="196"/>
        <v>229</v>
      </c>
      <c r="U691" s="151">
        <f t="shared" si="197"/>
        <v>0</v>
      </c>
      <c r="V691" s="139">
        <f t="shared" si="198"/>
        <v>0</v>
      </c>
      <c r="W691" s="152">
        <f t="shared" si="201"/>
        <v>229</v>
      </c>
      <c r="X691" s="127" t="str">
        <f t="shared" si="199"/>
        <v/>
      </c>
      <c r="Y691" s="207">
        <f t="shared" si="202"/>
        <v>229</v>
      </c>
      <c r="Z691" s="139">
        <f t="shared" si="203"/>
        <v>229</v>
      </c>
      <c r="AA691" s="139">
        <f t="shared" si="204"/>
        <v>0</v>
      </c>
      <c r="AC691" s="47">
        <f t="shared" si="205"/>
        <v>115</v>
      </c>
      <c r="AD691" s="47">
        <f t="shared" si="206"/>
        <v>115</v>
      </c>
      <c r="AE691" s="47">
        <f t="shared" si="207"/>
        <v>0</v>
      </c>
      <c r="AG691" s="47">
        <f t="shared" si="208"/>
        <v>114</v>
      </c>
      <c r="AH691" s="47">
        <f t="shared" si="209"/>
        <v>114</v>
      </c>
      <c r="AI691" s="208">
        <f t="shared" si="210"/>
        <v>0</v>
      </c>
    </row>
    <row r="692" spans="1:35">
      <c r="A692" t="s">
        <v>2111</v>
      </c>
      <c r="B692" t="s">
        <v>3166</v>
      </c>
      <c r="C692" t="s">
        <v>3960</v>
      </c>
      <c r="D692" t="s">
        <v>3961</v>
      </c>
      <c r="F692" t="s">
        <v>562</v>
      </c>
      <c r="G692" s="126">
        <f>SUMIFS('Support - Transition'!F:F,'Support - Transition'!B:B,'Step 2'!A692,'Support - Transition'!C:C,'Step 2'!B692,'Support - Transition'!D:D,'Step 2'!C692,'Support - Transition'!E:E,"CIVIL")</f>
        <v>0</v>
      </c>
      <c r="H692" s="126">
        <f>SUMIFS('Support - Transition'!F:F,'Support - Transition'!B:B,'Step 2'!A692,'Support - Transition'!C:C,'Step 2'!B692,'Support - Transition'!D:D,'Step 2'!C692,'Support - Transition'!E:E,"FIRE")</f>
        <v>0</v>
      </c>
      <c r="I692" s="126">
        <f>IF(B692="0",SUMIFS('Support - Transition'!F:F,'Support - Transition'!J:J,'Step 2'!D692,'Support - Transition'!E:E,"STATE UNIT"),SUMIFS('Support - Transition'!F:F,'Support - Transition'!J:J,'Step 2'!D692))</f>
        <v>4.1071000000000003E-2</v>
      </c>
      <c r="J692" s="126">
        <f>SUMIFS('Support - Unit Adjustments'!E:E,'Support - Unit Adjustments'!F:F,'Step 2'!D692)</f>
        <v>0</v>
      </c>
      <c r="K692" s="126">
        <f t="shared" si="194"/>
        <v>4.1071000000000003E-2</v>
      </c>
      <c r="L692" s="174">
        <f>VLOOKUP(A692,'Step 1'!$A:$E,4,FALSE)</f>
        <v>235697</v>
      </c>
      <c r="M692" s="47">
        <f t="shared" si="195"/>
        <v>9680</v>
      </c>
      <c r="N692" s="177">
        <f>SUMIFS('Support - Transition'!G:G,'Support - Transition'!J:J,'Step 2'!D692,'Support - Transition'!E:E,"2009 WELFARE ALLOCATION FACTOR")</f>
        <v>0</v>
      </c>
      <c r="O692" s="152">
        <f t="shared" si="200"/>
        <v>0</v>
      </c>
      <c r="P692" s="126">
        <f>IF(E692="Y",0,SUMIFS('Support - Transition'!G:G,'Support - Transition'!J:J,'Step 2'!D692,'Support - Transition'!E:E,"2009 SCHOOL ALLOCATION FACTOR"))</f>
        <v>0</v>
      </c>
      <c r="Q692" s="126">
        <f>IF(E692="Y",VLOOKUP(D692,'Support - Unit Adjustments'!F:G,2,FALSE),0)</f>
        <v>0</v>
      </c>
      <c r="R692" s="155">
        <f t="shared" si="212"/>
        <v>0</v>
      </c>
      <c r="S692" s="47">
        <f t="shared" si="211"/>
        <v>0</v>
      </c>
      <c r="T692" s="151">
        <f t="shared" si="196"/>
        <v>9680</v>
      </c>
      <c r="U692" s="151">
        <f t="shared" si="197"/>
        <v>0</v>
      </c>
      <c r="V692" s="139">
        <f t="shared" si="198"/>
        <v>0</v>
      </c>
      <c r="W692" s="152">
        <f t="shared" si="201"/>
        <v>9680</v>
      </c>
      <c r="X692" s="127" t="str">
        <f t="shared" si="199"/>
        <v/>
      </c>
      <c r="Y692" s="207">
        <f t="shared" si="202"/>
        <v>9680</v>
      </c>
      <c r="Z692" s="139">
        <f t="shared" si="203"/>
        <v>9680</v>
      </c>
      <c r="AA692" s="139">
        <f t="shared" si="204"/>
        <v>0</v>
      </c>
      <c r="AC692" s="47">
        <f t="shared" si="205"/>
        <v>4840</v>
      </c>
      <c r="AD692" s="47">
        <f t="shared" si="206"/>
        <v>4840</v>
      </c>
      <c r="AE692" s="47">
        <f t="shared" si="207"/>
        <v>0</v>
      </c>
      <c r="AG692" s="47">
        <f t="shared" si="208"/>
        <v>4840</v>
      </c>
      <c r="AH692" s="47">
        <f t="shared" si="209"/>
        <v>4840</v>
      </c>
      <c r="AI692" s="208">
        <f t="shared" si="210"/>
        <v>0</v>
      </c>
    </row>
    <row r="693" spans="1:35">
      <c r="A693" t="s">
        <v>2111</v>
      </c>
      <c r="B693" t="s">
        <v>3170</v>
      </c>
      <c r="C693" t="s">
        <v>3962</v>
      </c>
      <c r="D693" t="s">
        <v>3963</v>
      </c>
      <c r="F693" t="s">
        <v>3964</v>
      </c>
      <c r="G693" s="126">
        <f>SUMIFS('Support - Transition'!F:F,'Support - Transition'!B:B,'Step 2'!A693,'Support - Transition'!C:C,'Step 2'!B693,'Support - Transition'!D:D,'Step 2'!C693,'Support - Transition'!E:E,"CIVIL")</f>
        <v>0</v>
      </c>
      <c r="H693" s="126">
        <f>SUMIFS('Support - Transition'!F:F,'Support - Transition'!B:B,'Step 2'!A693,'Support - Transition'!C:C,'Step 2'!B693,'Support - Transition'!D:D,'Step 2'!C693,'Support - Transition'!E:E,"FIRE")</f>
        <v>0</v>
      </c>
      <c r="I693" s="126">
        <f>IF(B693="0",SUMIFS('Support - Transition'!F:F,'Support - Transition'!J:J,'Step 2'!D693,'Support - Transition'!E:E,"STATE UNIT"),SUMIFS('Support - Transition'!F:F,'Support - Transition'!J:J,'Step 2'!D693))</f>
        <v>0</v>
      </c>
      <c r="J693" s="126">
        <f>SUMIFS('Support - Unit Adjustments'!E:E,'Support - Unit Adjustments'!F:F,'Step 2'!D693)</f>
        <v>0</v>
      </c>
      <c r="K693" s="126">
        <f t="shared" si="194"/>
        <v>0</v>
      </c>
      <c r="L693" s="174">
        <f>VLOOKUP(A693,'Step 1'!$A:$E,4,FALSE)</f>
        <v>235697</v>
      </c>
      <c r="M693" s="47">
        <f t="shared" si="195"/>
        <v>0</v>
      </c>
      <c r="N693" s="177">
        <f>SUMIFS('Support - Transition'!G:G,'Support - Transition'!J:J,'Step 2'!D693,'Support - Transition'!E:E,"2009 WELFARE ALLOCATION FACTOR")</f>
        <v>0</v>
      </c>
      <c r="O693" s="152">
        <f t="shared" si="200"/>
        <v>0</v>
      </c>
      <c r="P693" s="126">
        <f>IF(E693="Y",0,SUMIFS('Support - Transition'!G:G,'Support - Transition'!J:J,'Step 2'!D693,'Support - Transition'!E:E,"2009 SCHOOL ALLOCATION FACTOR"))</f>
        <v>0</v>
      </c>
      <c r="Q693" s="126">
        <f>IF(E693="Y",VLOOKUP(D693,'Support - Unit Adjustments'!F:G,2,FALSE),0)</f>
        <v>0</v>
      </c>
      <c r="R693" s="155">
        <f t="shared" si="212"/>
        <v>0</v>
      </c>
      <c r="S693" s="47">
        <f t="shared" si="211"/>
        <v>0</v>
      </c>
      <c r="T693" s="151">
        <f t="shared" si="196"/>
        <v>0</v>
      </c>
      <c r="U693" s="151">
        <f t="shared" si="197"/>
        <v>0</v>
      </c>
      <c r="V693" s="139">
        <f t="shared" si="198"/>
        <v>0</v>
      </c>
      <c r="W693" s="152">
        <f t="shared" si="201"/>
        <v>0</v>
      </c>
      <c r="X693" s="127" t="str">
        <f t="shared" si="199"/>
        <v/>
      </c>
      <c r="Y693" s="207">
        <f t="shared" si="202"/>
        <v>0</v>
      </c>
      <c r="Z693" s="139">
        <f t="shared" si="203"/>
        <v>0</v>
      </c>
      <c r="AA693" s="139">
        <f t="shared" si="204"/>
        <v>0</v>
      </c>
      <c r="AC693" s="47">
        <f t="shared" si="205"/>
        <v>0</v>
      </c>
      <c r="AD693" s="47">
        <f t="shared" si="206"/>
        <v>0</v>
      </c>
      <c r="AE693" s="47">
        <f t="shared" si="207"/>
        <v>0</v>
      </c>
      <c r="AG693" s="47">
        <f t="shared" si="208"/>
        <v>0</v>
      </c>
      <c r="AH693" s="47">
        <f t="shared" si="209"/>
        <v>0</v>
      </c>
      <c r="AI693" s="208">
        <f t="shared" si="210"/>
        <v>0</v>
      </c>
    </row>
    <row r="694" spans="1:35">
      <c r="A694" t="s">
        <v>2111</v>
      </c>
      <c r="B694" t="s">
        <v>3170</v>
      </c>
      <c r="C694" t="s">
        <v>3965</v>
      </c>
      <c r="D694" t="s">
        <v>3966</v>
      </c>
      <c r="F694" t="s">
        <v>3967</v>
      </c>
      <c r="G694" s="126">
        <f>SUMIFS('Support - Transition'!F:F,'Support - Transition'!B:B,'Step 2'!A694,'Support - Transition'!C:C,'Step 2'!B694,'Support - Transition'!D:D,'Step 2'!C694,'Support - Transition'!E:E,"CIVIL")</f>
        <v>0</v>
      </c>
      <c r="H694" s="126">
        <f>SUMIFS('Support - Transition'!F:F,'Support - Transition'!B:B,'Step 2'!A694,'Support - Transition'!C:C,'Step 2'!B694,'Support - Transition'!D:D,'Step 2'!C694,'Support - Transition'!E:E,"FIRE")</f>
        <v>0</v>
      </c>
      <c r="I694" s="126">
        <f>IF(B694="0",SUMIFS('Support - Transition'!F:F,'Support - Transition'!J:J,'Step 2'!D694,'Support - Transition'!E:E,"STATE UNIT"),SUMIFS('Support - Transition'!F:F,'Support - Transition'!J:J,'Step 2'!D694))</f>
        <v>0</v>
      </c>
      <c r="J694" s="126">
        <f>SUMIFS('Support - Unit Adjustments'!E:E,'Support - Unit Adjustments'!F:F,'Step 2'!D694)</f>
        <v>0</v>
      </c>
      <c r="K694" s="126">
        <f t="shared" si="194"/>
        <v>0</v>
      </c>
      <c r="L694" s="174">
        <f>VLOOKUP(A694,'Step 1'!$A:$E,4,FALSE)</f>
        <v>235697</v>
      </c>
      <c r="M694" s="47">
        <f t="shared" si="195"/>
        <v>0</v>
      </c>
      <c r="N694" s="177">
        <f>SUMIFS('Support - Transition'!G:G,'Support - Transition'!J:J,'Step 2'!D694,'Support - Transition'!E:E,"2009 WELFARE ALLOCATION FACTOR")</f>
        <v>0</v>
      </c>
      <c r="O694" s="152">
        <f t="shared" si="200"/>
        <v>0</v>
      </c>
      <c r="P694" s="126">
        <f>IF(E694="Y",0,SUMIFS('Support - Transition'!G:G,'Support - Transition'!J:J,'Step 2'!D694,'Support - Transition'!E:E,"2009 SCHOOL ALLOCATION FACTOR"))</f>
        <v>0</v>
      </c>
      <c r="Q694" s="126">
        <f>IF(E694="Y",VLOOKUP(D694,'Support - Unit Adjustments'!F:G,2,FALSE),0)</f>
        <v>0</v>
      </c>
      <c r="R694" s="155">
        <f t="shared" si="212"/>
        <v>0</v>
      </c>
      <c r="S694" s="47">
        <f t="shared" si="211"/>
        <v>0</v>
      </c>
      <c r="T694" s="151">
        <f t="shared" si="196"/>
        <v>0</v>
      </c>
      <c r="U694" s="151">
        <f t="shared" si="197"/>
        <v>0</v>
      </c>
      <c r="V694" s="139">
        <f t="shared" si="198"/>
        <v>0</v>
      </c>
      <c r="W694" s="152">
        <f t="shared" si="201"/>
        <v>0</v>
      </c>
      <c r="X694" s="127" t="str">
        <f t="shared" si="199"/>
        <v/>
      </c>
      <c r="Y694" s="207">
        <f t="shared" si="202"/>
        <v>0</v>
      </c>
      <c r="Z694" s="139">
        <f t="shared" si="203"/>
        <v>0</v>
      </c>
      <c r="AA694" s="139">
        <f t="shared" si="204"/>
        <v>0</v>
      </c>
      <c r="AC694" s="47">
        <f t="shared" si="205"/>
        <v>0</v>
      </c>
      <c r="AD694" s="47">
        <f t="shared" si="206"/>
        <v>0</v>
      </c>
      <c r="AE694" s="47">
        <f t="shared" si="207"/>
        <v>0</v>
      </c>
      <c r="AG694" s="47">
        <f t="shared" si="208"/>
        <v>0</v>
      </c>
      <c r="AH694" s="47">
        <f t="shared" si="209"/>
        <v>0</v>
      </c>
      <c r="AI694" s="208">
        <f t="shared" si="210"/>
        <v>0</v>
      </c>
    </row>
    <row r="695" spans="1:35">
      <c r="A695" t="s">
        <v>2111</v>
      </c>
      <c r="B695" t="s">
        <v>3286</v>
      </c>
      <c r="C695" t="s">
        <v>2195</v>
      </c>
      <c r="D695" t="s">
        <v>3968</v>
      </c>
      <c r="F695" t="s">
        <v>3969</v>
      </c>
      <c r="G695" s="126">
        <f>SUMIFS('Support - Transition'!F:F,'Support - Transition'!B:B,'Step 2'!A695,'Support - Transition'!C:C,'Step 2'!B695,'Support - Transition'!D:D,'Step 2'!C695,'Support - Transition'!E:E,"CIVIL")</f>
        <v>0</v>
      </c>
      <c r="H695" s="126">
        <f>SUMIFS('Support - Transition'!F:F,'Support - Transition'!B:B,'Step 2'!A695,'Support - Transition'!C:C,'Step 2'!B695,'Support - Transition'!D:D,'Step 2'!C695,'Support - Transition'!E:E,"FIRE")</f>
        <v>0</v>
      </c>
      <c r="I695" s="126">
        <f>IF(B695="0",SUMIFS('Support - Transition'!F:F,'Support - Transition'!J:J,'Step 2'!D695,'Support - Transition'!E:E,"STATE UNIT"),SUMIFS('Support - Transition'!F:F,'Support - Transition'!J:J,'Step 2'!D695))</f>
        <v>0</v>
      </c>
      <c r="J695" s="126">
        <f>SUMIFS('Support - Unit Adjustments'!E:E,'Support - Unit Adjustments'!F:F,'Step 2'!D695)</f>
        <v>0</v>
      </c>
      <c r="K695" s="126">
        <f t="shared" si="194"/>
        <v>0</v>
      </c>
      <c r="L695" s="174">
        <f>VLOOKUP(A695,'Step 1'!$A:$E,4,FALSE)</f>
        <v>235697</v>
      </c>
      <c r="M695" s="47">
        <f t="shared" si="195"/>
        <v>0</v>
      </c>
      <c r="N695" s="177">
        <f>SUMIFS('Support - Transition'!G:G,'Support - Transition'!J:J,'Step 2'!D695,'Support - Transition'!E:E,"2009 WELFARE ALLOCATION FACTOR")</f>
        <v>0</v>
      </c>
      <c r="O695" s="152">
        <f t="shared" si="200"/>
        <v>0</v>
      </c>
      <c r="P695" s="126">
        <f>IF(E695="Y",0,SUMIFS('Support - Transition'!G:G,'Support - Transition'!J:J,'Step 2'!D695,'Support - Transition'!E:E,"2009 SCHOOL ALLOCATION FACTOR"))</f>
        <v>0</v>
      </c>
      <c r="Q695" s="126">
        <f>IF(E695="Y",VLOOKUP(D695,'Support - Unit Adjustments'!F:G,2,FALSE),0)</f>
        <v>0</v>
      </c>
      <c r="R695" s="155">
        <f t="shared" si="212"/>
        <v>0</v>
      </c>
      <c r="S695" s="47">
        <f t="shared" si="211"/>
        <v>0</v>
      </c>
      <c r="T695" s="151">
        <f t="shared" si="196"/>
        <v>0</v>
      </c>
      <c r="U695" s="151">
        <f t="shared" si="197"/>
        <v>0</v>
      </c>
      <c r="V695" s="139">
        <f t="shared" si="198"/>
        <v>0</v>
      </c>
      <c r="W695" s="152">
        <f t="shared" si="201"/>
        <v>0</v>
      </c>
      <c r="X695" s="127" t="str">
        <f t="shared" si="199"/>
        <v/>
      </c>
      <c r="Y695" s="207">
        <f t="shared" si="202"/>
        <v>0</v>
      </c>
      <c r="Z695" s="139">
        <f t="shared" si="203"/>
        <v>0</v>
      </c>
      <c r="AA695" s="139">
        <f t="shared" si="204"/>
        <v>0</v>
      </c>
      <c r="AC695" s="47">
        <f t="shared" si="205"/>
        <v>0</v>
      </c>
      <c r="AD695" s="47">
        <f t="shared" si="206"/>
        <v>0</v>
      </c>
      <c r="AE695" s="47">
        <f t="shared" si="207"/>
        <v>0</v>
      </c>
      <c r="AG695" s="47">
        <f t="shared" si="208"/>
        <v>0</v>
      </c>
      <c r="AH695" s="47">
        <f t="shared" si="209"/>
        <v>0</v>
      </c>
      <c r="AI695" s="208">
        <f t="shared" si="210"/>
        <v>0</v>
      </c>
    </row>
    <row r="696" spans="1:35">
      <c r="A696" t="s">
        <v>2111</v>
      </c>
      <c r="B696" t="s">
        <v>3286</v>
      </c>
      <c r="C696" t="s">
        <v>3970</v>
      </c>
      <c r="D696" t="s">
        <v>3971</v>
      </c>
      <c r="F696" t="s">
        <v>3972</v>
      </c>
      <c r="G696" s="126">
        <f>SUMIFS('Support - Transition'!F:F,'Support - Transition'!B:B,'Step 2'!A696,'Support - Transition'!C:C,'Step 2'!B696,'Support - Transition'!D:D,'Step 2'!C696,'Support - Transition'!E:E,"CIVIL")</f>
        <v>0</v>
      </c>
      <c r="H696" s="126">
        <f>SUMIFS('Support - Transition'!F:F,'Support - Transition'!B:B,'Step 2'!A696,'Support - Transition'!C:C,'Step 2'!B696,'Support - Transition'!D:D,'Step 2'!C696,'Support - Transition'!E:E,"FIRE")</f>
        <v>0</v>
      </c>
      <c r="I696" s="126">
        <f>IF(B696="0",SUMIFS('Support - Transition'!F:F,'Support - Transition'!J:J,'Step 2'!D696,'Support - Transition'!E:E,"STATE UNIT"),SUMIFS('Support - Transition'!F:F,'Support - Transition'!J:J,'Step 2'!D696))</f>
        <v>0</v>
      </c>
      <c r="J696" s="126">
        <f>SUMIFS('Support - Unit Adjustments'!E:E,'Support - Unit Adjustments'!F:F,'Step 2'!D696)</f>
        <v>0</v>
      </c>
      <c r="K696" s="126">
        <f t="shared" si="194"/>
        <v>0</v>
      </c>
      <c r="L696" s="174">
        <f>VLOOKUP(A696,'Step 1'!$A:$E,4,FALSE)</f>
        <v>235697</v>
      </c>
      <c r="M696" s="47">
        <f t="shared" si="195"/>
        <v>0</v>
      </c>
      <c r="N696" s="177">
        <f>SUMIFS('Support - Transition'!G:G,'Support - Transition'!J:J,'Step 2'!D696,'Support - Transition'!E:E,"2009 WELFARE ALLOCATION FACTOR")</f>
        <v>0</v>
      </c>
      <c r="O696" s="152">
        <f t="shared" si="200"/>
        <v>0</v>
      </c>
      <c r="P696" s="126">
        <f>IF(E696="Y",0,SUMIFS('Support - Transition'!G:G,'Support - Transition'!J:J,'Step 2'!D696,'Support - Transition'!E:E,"2009 SCHOOL ALLOCATION FACTOR"))</f>
        <v>0</v>
      </c>
      <c r="Q696" s="126">
        <f>IF(E696="Y",VLOOKUP(D696,'Support - Unit Adjustments'!F:G,2,FALSE),0)</f>
        <v>0</v>
      </c>
      <c r="R696" s="155">
        <f t="shared" si="212"/>
        <v>0</v>
      </c>
      <c r="S696" s="47">
        <f t="shared" si="211"/>
        <v>0</v>
      </c>
      <c r="T696" s="151">
        <f t="shared" si="196"/>
        <v>0</v>
      </c>
      <c r="U696" s="151">
        <f t="shared" si="197"/>
        <v>0</v>
      </c>
      <c r="V696" s="139">
        <f t="shared" si="198"/>
        <v>0</v>
      </c>
      <c r="W696" s="152">
        <f t="shared" si="201"/>
        <v>0</v>
      </c>
      <c r="X696" s="127" t="str">
        <f t="shared" si="199"/>
        <v/>
      </c>
      <c r="Y696" s="207">
        <f t="shared" si="202"/>
        <v>0</v>
      </c>
      <c r="Z696" s="139">
        <f t="shared" si="203"/>
        <v>0</v>
      </c>
      <c r="AA696" s="139">
        <f t="shared" si="204"/>
        <v>0</v>
      </c>
      <c r="AC696" s="47">
        <f t="shared" si="205"/>
        <v>0</v>
      </c>
      <c r="AD696" s="47">
        <f t="shared" si="206"/>
        <v>0</v>
      </c>
      <c r="AE696" s="47">
        <f t="shared" si="207"/>
        <v>0</v>
      </c>
      <c r="AG696" s="47">
        <f t="shared" si="208"/>
        <v>0</v>
      </c>
      <c r="AH696" s="47">
        <f t="shared" si="209"/>
        <v>0</v>
      </c>
      <c r="AI696" s="208">
        <f t="shared" si="210"/>
        <v>0</v>
      </c>
    </row>
    <row r="697" spans="1:35">
      <c r="A697" t="s">
        <v>2112</v>
      </c>
      <c r="B697" s="48" t="s">
        <v>6274</v>
      </c>
      <c r="C697" t="s">
        <v>2187</v>
      </c>
      <c r="D697" t="str">
        <f>A697&amp;B697&amp;C697</f>
        <v>2600000</v>
      </c>
      <c r="F697" t="s">
        <v>6300</v>
      </c>
      <c r="G697" s="126">
        <f>SUMIFS('Support - Transition'!F:F,'Support - Transition'!B:B,'Step 2'!A697,'Support - Transition'!C:C,'Step 2'!B697,'Support - Transition'!D:D,'Step 2'!C697,'Support - Transition'!E:E,"CIVIL")</f>
        <v>0</v>
      </c>
      <c r="H697" s="126">
        <f>SUMIFS('Support - Transition'!F:F,'Support - Transition'!B:B,'Step 2'!A697,'Support - Transition'!C:C,'Step 2'!B697,'Support - Transition'!D:D,'Step 2'!C697,'Support - Transition'!E:E,"FIRE")</f>
        <v>0</v>
      </c>
      <c r="I697" s="126">
        <f>IF(B697="0",SUMIFS('Support - Transition'!F:F,'Support - Transition'!J:J,'Step 2'!D697,'Support - Transition'!E:E,"STATE UNIT"),SUMIFS('Support - Transition'!F:F,'Support - Transition'!J:J,'Step 2'!D697))</f>
        <v>1.0679999999999999E-3</v>
      </c>
      <c r="J697" s="126">
        <f>SUMIFS('Support - Unit Adjustments'!E:E,'Support - Unit Adjustments'!F:F,'Step 2'!D697)</f>
        <v>0</v>
      </c>
      <c r="K697" s="126">
        <f t="shared" si="194"/>
        <v>1.0679999999999999E-3</v>
      </c>
      <c r="L697" s="174">
        <f>VLOOKUP(A697,'Step 1'!$A:$E,4,FALSE)</f>
        <v>609989</v>
      </c>
      <c r="M697" s="47">
        <f t="shared" si="195"/>
        <v>651</v>
      </c>
      <c r="N697" s="177">
        <f>SUMIFS('Support - Transition'!G:G,'Support - Transition'!J:J,'Step 2'!D697,'Support - Transition'!E:E,"2009 WELFARE ALLOCATION FACTOR")</f>
        <v>0</v>
      </c>
      <c r="O697" s="152">
        <f t="shared" si="200"/>
        <v>0</v>
      </c>
      <c r="P697" s="126">
        <f>IF(E697="Y",0,SUMIFS('Support - Transition'!G:G,'Support - Transition'!J:J,'Step 2'!D697,'Support - Transition'!E:E,"2009 SCHOOL ALLOCATION FACTOR"))</f>
        <v>0</v>
      </c>
      <c r="Q697" s="126">
        <f>IF(E697="Y",VLOOKUP(D697,'Support - Unit Adjustments'!F:G,2,FALSE),0)</f>
        <v>0</v>
      </c>
      <c r="R697" s="155">
        <f t="shared" si="212"/>
        <v>0</v>
      </c>
      <c r="S697" s="47">
        <f t="shared" si="211"/>
        <v>0</v>
      </c>
      <c r="T697" s="151">
        <f t="shared" si="196"/>
        <v>651</v>
      </c>
      <c r="U697" s="151">
        <f t="shared" si="197"/>
        <v>609990</v>
      </c>
      <c r="V697" s="139">
        <f t="shared" si="198"/>
        <v>1</v>
      </c>
      <c r="W697" s="152">
        <f t="shared" si="201"/>
        <v>650</v>
      </c>
      <c r="X697" s="127">
        <f t="shared" si="199"/>
        <v>0</v>
      </c>
      <c r="Y697" s="207">
        <f t="shared" si="202"/>
        <v>650</v>
      </c>
      <c r="Z697" s="139">
        <f t="shared" si="203"/>
        <v>650</v>
      </c>
      <c r="AA697" s="139">
        <f t="shared" si="204"/>
        <v>0</v>
      </c>
      <c r="AC697" s="47">
        <f t="shared" si="205"/>
        <v>325</v>
      </c>
      <c r="AD697" s="47">
        <f t="shared" si="206"/>
        <v>325</v>
      </c>
      <c r="AE697" s="47">
        <f t="shared" si="207"/>
        <v>0</v>
      </c>
      <c r="AG697" s="47">
        <f t="shared" si="208"/>
        <v>325</v>
      </c>
      <c r="AH697" s="47">
        <f t="shared" si="209"/>
        <v>325</v>
      </c>
      <c r="AI697" s="208">
        <f t="shared" si="210"/>
        <v>0</v>
      </c>
    </row>
    <row r="698" spans="1:35">
      <c r="A698" t="s">
        <v>2112</v>
      </c>
      <c r="B698" t="s">
        <v>3140</v>
      </c>
      <c r="C698" t="s">
        <v>2187</v>
      </c>
      <c r="D698" t="s">
        <v>3973</v>
      </c>
      <c r="F698" t="s">
        <v>566</v>
      </c>
      <c r="G698" s="126">
        <f>SUMIFS('Support - Transition'!F:F,'Support - Transition'!B:B,'Step 2'!A698,'Support - Transition'!C:C,'Step 2'!B698,'Support - Transition'!D:D,'Step 2'!C698,'Support - Transition'!E:E,"CIVIL")</f>
        <v>0</v>
      </c>
      <c r="H698" s="126">
        <f>SUMIFS('Support - Transition'!F:F,'Support - Transition'!B:B,'Step 2'!A698,'Support - Transition'!C:C,'Step 2'!B698,'Support - Transition'!D:D,'Step 2'!C698,'Support - Transition'!E:E,"FIRE")</f>
        <v>0</v>
      </c>
      <c r="I698" s="126">
        <f>IF(B698="0",SUMIFS('Support - Transition'!F:F,'Support - Transition'!J:J,'Step 2'!D698,'Support - Transition'!E:E,"STATE UNIT"),SUMIFS('Support - Transition'!F:F,'Support - Transition'!J:J,'Step 2'!D698))</f>
        <v>0.23131099999999999</v>
      </c>
      <c r="J698" s="126">
        <f>SUMIFS('Support - Unit Adjustments'!E:E,'Support - Unit Adjustments'!F:F,'Step 2'!D698)</f>
        <v>0</v>
      </c>
      <c r="K698" s="126">
        <f t="shared" si="194"/>
        <v>0.23131099999999999</v>
      </c>
      <c r="L698" s="174">
        <f>VLOOKUP(A698,'Step 1'!$A:$E,4,FALSE)</f>
        <v>609989</v>
      </c>
      <c r="M698" s="47">
        <f t="shared" si="195"/>
        <v>141097</v>
      </c>
      <c r="N698" s="177">
        <f>SUMIFS('Support - Transition'!G:G,'Support - Transition'!J:J,'Step 2'!D698,'Support - Transition'!E:E,"2009 WELFARE ALLOCATION FACTOR")</f>
        <v>0.14757899999999999</v>
      </c>
      <c r="O698" s="152">
        <f t="shared" si="200"/>
        <v>20823</v>
      </c>
      <c r="P698" s="126">
        <f>IF(E698="Y",0,SUMIFS('Support - Transition'!G:G,'Support - Transition'!J:J,'Step 2'!D698,'Support - Transition'!E:E,"2009 SCHOOL ALLOCATION FACTOR"))</f>
        <v>0</v>
      </c>
      <c r="Q698" s="126">
        <f>IF(E698="Y",VLOOKUP(D698,'Support - Unit Adjustments'!F:G,2,FALSE),0)</f>
        <v>0</v>
      </c>
      <c r="R698" s="155">
        <f t="shared" si="212"/>
        <v>0</v>
      </c>
      <c r="S698" s="47">
        <f t="shared" si="211"/>
        <v>0</v>
      </c>
      <c r="T698" s="151">
        <f t="shared" si="196"/>
        <v>120274</v>
      </c>
      <c r="U698" s="151">
        <f t="shared" si="197"/>
        <v>0</v>
      </c>
      <c r="V698" s="139">
        <f t="shared" si="198"/>
        <v>0</v>
      </c>
      <c r="W698" s="152">
        <f t="shared" si="201"/>
        <v>120274</v>
      </c>
      <c r="X698" s="127" t="str">
        <f t="shared" si="199"/>
        <v/>
      </c>
      <c r="Y698" s="207">
        <f t="shared" si="202"/>
        <v>120274</v>
      </c>
      <c r="Z698" s="139">
        <f t="shared" si="203"/>
        <v>120274</v>
      </c>
      <c r="AA698" s="139">
        <f t="shared" si="204"/>
        <v>0</v>
      </c>
      <c r="AC698" s="47">
        <f t="shared" si="205"/>
        <v>60137</v>
      </c>
      <c r="AD698" s="47">
        <f t="shared" si="206"/>
        <v>60137</v>
      </c>
      <c r="AE698" s="47">
        <f t="shared" si="207"/>
        <v>0</v>
      </c>
      <c r="AG698" s="47">
        <f t="shared" si="208"/>
        <v>60137</v>
      </c>
      <c r="AH698" s="47">
        <f t="shared" si="209"/>
        <v>60137</v>
      </c>
      <c r="AI698" s="208">
        <f t="shared" si="210"/>
        <v>0</v>
      </c>
    </row>
    <row r="699" spans="1:35">
      <c r="A699" t="s">
        <v>2112</v>
      </c>
      <c r="B699" t="s">
        <v>3142</v>
      </c>
      <c r="C699" t="s">
        <v>2188</v>
      </c>
      <c r="D699" t="s">
        <v>3974</v>
      </c>
      <c r="F699" t="s">
        <v>567</v>
      </c>
      <c r="G699" s="126">
        <f>SUMIFS('Support - Transition'!F:F,'Support - Transition'!B:B,'Step 2'!A699,'Support - Transition'!C:C,'Step 2'!B699,'Support - Transition'!D:D,'Step 2'!C699,'Support - Transition'!E:E,"CIVIL")</f>
        <v>2.3930000000000002E-3</v>
      </c>
      <c r="H699" s="126">
        <f>SUMIFS('Support - Transition'!F:F,'Support - Transition'!B:B,'Step 2'!A699,'Support - Transition'!C:C,'Step 2'!B699,'Support - Transition'!D:D,'Step 2'!C699,'Support - Transition'!E:E,"FIRE")</f>
        <v>1.513E-3</v>
      </c>
      <c r="I699" s="126">
        <f>IF(B699="0",SUMIFS('Support - Transition'!F:F,'Support - Transition'!J:J,'Step 2'!D699,'Support - Transition'!E:E,"STATE UNIT"),SUMIFS('Support - Transition'!F:F,'Support - Transition'!J:J,'Step 2'!D699))</f>
        <v>3.9060000000000002E-3</v>
      </c>
      <c r="J699" s="126">
        <f>SUMIFS('Support - Unit Adjustments'!E:E,'Support - Unit Adjustments'!F:F,'Step 2'!D699)</f>
        <v>0</v>
      </c>
      <c r="K699" s="126">
        <f t="shared" si="194"/>
        <v>3.9060000000000002E-3</v>
      </c>
      <c r="L699" s="174">
        <f>VLOOKUP(A699,'Step 1'!$A:$E,4,FALSE)</f>
        <v>609989</v>
      </c>
      <c r="M699" s="47">
        <f t="shared" si="195"/>
        <v>2383</v>
      </c>
      <c r="N699" s="177">
        <f>SUMIFS('Support - Transition'!G:G,'Support - Transition'!J:J,'Step 2'!D699,'Support - Transition'!E:E,"2009 WELFARE ALLOCATION FACTOR")</f>
        <v>0</v>
      </c>
      <c r="O699" s="152">
        <f t="shared" si="200"/>
        <v>0</v>
      </c>
      <c r="P699" s="126">
        <f>IF(E699="Y",0,SUMIFS('Support - Transition'!G:G,'Support - Transition'!J:J,'Step 2'!D699,'Support - Transition'!E:E,"2009 SCHOOL ALLOCATION FACTOR"))</f>
        <v>0</v>
      </c>
      <c r="Q699" s="126">
        <f>IF(E699="Y",VLOOKUP(D699,'Support - Unit Adjustments'!F:G,2,FALSE),0)</f>
        <v>0</v>
      </c>
      <c r="R699" s="155">
        <f t="shared" si="212"/>
        <v>0</v>
      </c>
      <c r="S699" s="47">
        <f t="shared" si="211"/>
        <v>0</v>
      </c>
      <c r="T699" s="151">
        <f t="shared" si="196"/>
        <v>2383</v>
      </c>
      <c r="U699" s="151">
        <f t="shared" si="197"/>
        <v>0</v>
      </c>
      <c r="V699" s="139">
        <f t="shared" si="198"/>
        <v>0</v>
      </c>
      <c r="W699" s="152">
        <f t="shared" si="201"/>
        <v>2383</v>
      </c>
      <c r="X699" s="127" t="str">
        <f t="shared" si="199"/>
        <v/>
      </c>
      <c r="Y699" s="207">
        <f t="shared" si="202"/>
        <v>2383</v>
      </c>
      <c r="Z699" s="139">
        <f t="shared" si="203"/>
        <v>1460</v>
      </c>
      <c r="AA699" s="139">
        <f t="shared" si="204"/>
        <v>923</v>
      </c>
      <c r="AC699" s="47">
        <f t="shared" si="205"/>
        <v>1192</v>
      </c>
      <c r="AD699" s="47">
        <f t="shared" si="206"/>
        <v>730</v>
      </c>
      <c r="AE699" s="47">
        <f t="shared" si="207"/>
        <v>462</v>
      </c>
      <c r="AG699" s="47">
        <f t="shared" si="208"/>
        <v>1191</v>
      </c>
      <c r="AH699" s="47">
        <f t="shared" si="209"/>
        <v>730</v>
      </c>
      <c r="AI699" s="208">
        <f t="shared" si="210"/>
        <v>461</v>
      </c>
    </row>
    <row r="700" spans="1:35">
      <c r="A700" t="s">
        <v>2112</v>
      </c>
      <c r="B700" t="s">
        <v>3142</v>
      </c>
      <c r="C700" t="s">
        <v>2189</v>
      </c>
      <c r="D700" t="s">
        <v>3975</v>
      </c>
      <c r="F700" t="s">
        <v>107</v>
      </c>
      <c r="G700" s="126">
        <f>SUMIFS('Support - Transition'!F:F,'Support - Transition'!B:B,'Step 2'!A700,'Support - Transition'!C:C,'Step 2'!B700,'Support - Transition'!D:D,'Step 2'!C700,'Support - Transition'!E:E,"CIVIL")</f>
        <v>1.077E-3</v>
      </c>
      <c r="H700" s="126">
        <f>SUMIFS('Support - Transition'!F:F,'Support - Transition'!B:B,'Step 2'!A700,'Support - Transition'!C:C,'Step 2'!B700,'Support - Transition'!D:D,'Step 2'!C700,'Support - Transition'!E:E,"FIRE")</f>
        <v>6.9899999999999997E-4</v>
      </c>
      <c r="I700" s="126">
        <f>IF(B700="0",SUMIFS('Support - Transition'!F:F,'Support - Transition'!J:J,'Step 2'!D700,'Support - Transition'!E:E,"STATE UNIT"),SUMIFS('Support - Transition'!F:F,'Support - Transition'!J:J,'Step 2'!D700))</f>
        <v>1.776E-3</v>
      </c>
      <c r="J700" s="126">
        <f>SUMIFS('Support - Unit Adjustments'!E:E,'Support - Unit Adjustments'!F:F,'Step 2'!D700)</f>
        <v>0</v>
      </c>
      <c r="K700" s="126">
        <f t="shared" si="194"/>
        <v>1.776E-3</v>
      </c>
      <c r="L700" s="174">
        <f>VLOOKUP(A700,'Step 1'!$A:$E,4,FALSE)</f>
        <v>609989</v>
      </c>
      <c r="M700" s="47">
        <f t="shared" si="195"/>
        <v>1083</v>
      </c>
      <c r="N700" s="177">
        <f>SUMIFS('Support - Transition'!G:G,'Support - Transition'!J:J,'Step 2'!D700,'Support - Transition'!E:E,"2009 WELFARE ALLOCATION FACTOR")</f>
        <v>0</v>
      </c>
      <c r="O700" s="152">
        <f t="shared" si="200"/>
        <v>0</v>
      </c>
      <c r="P700" s="126">
        <f>IF(E700="Y",0,SUMIFS('Support - Transition'!G:G,'Support - Transition'!J:J,'Step 2'!D700,'Support - Transition'!E:E,"2009 SCHOOL ALLOCATION FACTOR"))</f>
        <v>0</v>
      </c>
      <c r="Q700" s="126">
        <f>IF(E700="Y",VLOOKUP(D700,'Support - Unit Adjustments'!F:G,2,FALSE),0)</f>
        <v>0</v>
      </c>
      <c r="R700" s="155">
        <f t="shared" si="212"/>
        <v>0</v>
      </c>
      <c r="S700" s="47">
        <f t="shared" si="211"/>
        <v>0</v>
      </c>
      <c r="T700" s="151">
        <f t="shared" si="196"/>
        <v>1083</v>
      </c>
      <c r="U700" s="151">
        <f t="shared" si="197"/>
        <v>0</v>
      </c>
      <c r="V700" s="139">
        <f t="shared" si="198"/>
        <v>0</v>
      </c>
      <c r="W700" s="152">
        <f t="shared" si="201"/>
        <v>1083</v>
      </c>
      <c r="X700" s="127" t="str">
        <f t="shared" si="199"/>
        <v/>
      </c>
      <c r="Y700" s="207">
        <f t="shared" si="202"/>
        <v>1083</v>
      </c>
      <c r="Z700" s="139">
        <f t="shared" si="203"/>
        <v>657</v>
      </c>
      <c r="AA700" s="139">
        <f t="shared" si="204"/>
        <v>426</v>
      </c>
      <c r="AC700" s="47">
        <f t="shared" si="205"/>
        <v>542</v>
      </c>
      <c r="AD700" s="47">
        <f t="shared" si="206"/>
        <v>329</v>
      </c>
      <c r="AE700" s="47">
        <f t="shared" si="207"/>
        <v>213</v>
      </c>
      <c r="AG700" s="47">
        <f t="shared" si="208"/>
        <v>541</v>
      </c>
      <c r="AH700" s="47">
        <f t="shared" si="209"/>
        <v>328</v>
      </c>
      <c r="AI700" s="208">
        <f t="shared" si="210"/>
        <v>213</v>
      </c>
    </row>
    <row r="701" spans="1:35">
      <c r="A701" t="s">
        <v>2112</v>
      </c>
      <c r="B701" t="s">
        <v>3142</v>
      </c>
      <c r="C701" t="s">
        <v>2190</v>
      </c>
      <c r="D701" t="s">
        <v>3976</v>
      </c>
      <c r="F701" t="s">
        <v>429</v>
      </c>
      <c r="G701" s="126">
        <f>SUMIFS('Support - Transition'!F:F,'Support - Transition'!B:B,'Step 2'!A701,'Support - Transition'!C:C,'Step 2'!B701,'Support - Transition'!D:D,'Step 2'!C701,'Support - Transition'!E:E,"CIVIL")</f>
        <v>1.5219999999999999E-3</v>
      </c>
      <c r="H701" s="126">
        <f>SUMIFS('Support - Transition'!F:F,'Support - Transition'!B:B,'Step 2'!A701,'Support - Transition'!C:C,'Step 2'!B701,'Support - Transition'!D:D,'Step 2'!C701,'Support - Transition'!E:E,"FIRE")</f>
        <v>8.0400000000000003E-4</v>
      </c>
      <c r="I701" s="126">
        <f>IF(B701="0",SUMIFS('Support - Transition'!F:F,'Support - Transition'!J:J,'Step 2'!D701,'Support - Transition'!E:E,"STATE UNIT"),SUMIFS('Support - Transition'!F:F,'Support - Transition'!J:J,'Step 2'!D701))</f>
        <v>2.3259999999999999E-3</v>
      </c>
      <c r="J701" s="126">
        <f>SUMIFS('Support - Unit Adjustments'!E:E,'Support - Unit Adjustments'!F:F,'Step 2'!D701)</f>
        <v>0</v>
      </c>
      <c r="K701" s="126">
        <f t="shared" si="194"/>
        <v>2.3259999999999999E-3</v>
      </c>
      <c r="L701" s="174">
        <f>VLOOKUP(A701,'Step 1'!$A:$E,4,FALSE)</f>
        <v>609989</v>
      </c>
      <c r="M701" s="47">
        <f t="shared" si="195"/>
        <v>1419</v>
      </c>
      <c r="N701" s="177">
        <f>SUMIFS('Support - Transition'!G:G,'Support - Transition'!J:J,'Step 2'!D701,'Support - Transition'!E:E,"2009 WELFARE ALLOCATION FACTOR")</f>
        <v>0</v>
      </c>
      <c r="O701" s="152">
        <f t="shared" si="200"/>
        <v>0</v>
      </c>
      <c r="P701" s="126">
        <f>IF(E701="Y",0,SUMIFS('Support - Transition'!G:G,'Support - Transition'!J:J,'Step 2'!D701,'Support - Transition'!E:E,"2009 SCHOOL ALLOCATION FACTOR"))</f>
        <v>0</v>
      </c>
      <c r="Q701" s="126">
        <f>IF(E701="Y",VLOOKUP(D701,'Support - Unit Adjustments'!F:G,2,FALSE),0)</f>
        <v>0</v>
      </c>
      <c r="R701" s="155">
        <f t="shared" si="212"/>
        <v>0</v>
      </c>
      <c r="S701" s="47">
        <f t="shared" si="211"/>
        <v>0</v>
      </c>
      <c r="T701" s="151">
        <f t="shared" si="196"/>
        <v>1419</v>
      </c>
      <c r="U701" s="151">
        <f t="shared" si="197"/>
        <v>0</v>
      </c>
      <c r="V701" s="139">
        <f t="shared" si="198"/>
        <v>0</v>
      </c>
      <c r="W701" s="152">
        <f t="shared" si="201"/>
        <v>1419</v>
      </c>
      <c r="X701" s="127" t="str">
        <f t="shared" si="199"/>
        <v/>
      </c>
      <c r="Y701" s="207">
        <f t="shared" si="202"/>
        <v>1419</v>
      </c>
      <c r="Z701" s="139">
        <f t="shared" si="203"/>
        <v>929</v>
      </c>
      <c r="AA701" s="139">
        <f t="shared" si="204"/>
        <v>490</v>
      </c>
      <c r="AC701" s="47">
        <f t="shared" si="205"/>
        <v>710</v>
      </c>
      <c r="AD701" s="47">
        <f t="shared" si="206"/>
        <v>465</v>
      </c>
      <c r="AE701" s="47">
        <f t="shared" si="207"/>
        <v>245</v>
      </c>
      <c r="AG701" s="47">
        <f t="shared" si="208"/>
        <v>709</v>
      </c>
      <c r="AH701" s="47">
        <f t="shared" si="209"/>
        <v>464</v>
      </c>
      <c r="AI701" s="208">
        <f t="shared" si="210"/>
        <v>245</v>
      </c>
    </row>
    <row r="702" spans="1:35">
      <c r="A702" t="s">
        <v>2112</v>
      </c>
      <c r="B702" t="s">
        <v>3142</v>
      </c>
      <c r="C702" t="s">
        <v>2191</v>
      </c>
      <c r="D702" t="s">
        <v>3977</v>
      </c>
      <c r="F702" t="s">
        <v>268</v>
      </c>
      <c r="G702" s="126">
        <f>SUMIFS('Support - Transition'!F:F,'Support - Transition'!B:B,'Step 2'!A702,'Support - Transition'!C:C,'Step 2'!B702,'Support - Transition'!D:D,'Step 2'!C702,'Support - Transition'!E:E,"CIVIL")</f>
        <v>8.7000000000000001E-4</v>
      </c>
      <c r="H702" s="126">
        <f>SUMIFS('Support - Transition'!F:F,'Support - Transition'!B:B,'Step 2'!A702,'Support - Transition'!C:C,'Step 2'!B702,'Support - Transition'!D:D,'Step 2'!C702,'Support - Transition'!E:E,"FIRE")</f>
        <v>7.2900000000000005E-4</v>
      </c>
      <c r="I702" s="126">
        <f>IF(B702="0",SUMIFS('Support - Transition'!F:F,'Support - Transition'!J:J,'Step 2'!D702,'Support - Transition'!E:E,"STATE UNIT"),SUMIFS('Support - Transition'!F:F,'Support - Transition'!J:J,'Step 2'!D702))</f>
        <v>1.5990000000000002E-3</v>
      </c>
      <c r="J702" s="126">
        <f>SUMIFS('Support - Unit Adjustments'!E:E,'Support - Unit Adjustments'!F:F,'Step 2'!D702)</f>
        <v>0</v>
      </c>
      <c r="K702" s="126">
        <f t="shared" si="194"/>
        <v>1.5990000000000002E-3</v>
      </c>
      <c r="L702" s="174">
        <f>VLOOKUP(A702,'Step 1'!$A:$E,4,FALSE)</f>
        <v>609989</v>
      </c>
      <c r="M702" s="47">
        <f t="shared" si="195"/>
        <v>975</v>
      </c>
      <c r="N702" s="177">
        <f>SUMIFS('Support - Transition'!G:G,'Support - Transition'!J:J,'Step 2'!D702,'Support - Transition'!E:E,"2009 WELFARE ALLOCATION FACTOR")</f>
        <v>0</v>
      </c>
      <c r="O702" s="152">
        <f t="shared" si="200"/>
        <v>0</v>
      </c>
      <c r="P702" s="126">
        <f>IF(E702="Y",0,SUMIFS('Support - Transition'!G:G,'Support - Transition'!J:J,'Step 2'!D702,'Support - Transition'!E:E,"2009 SCHOOL ALLOCATION FACTOR"))</f>
        <v>0</v>
      </c>
      <c r="Q702" s="126">
        <f>IF(E702="Y",VLOOKUP(D702,'Support - Unit Adjustments'!F:G,2,FALSE),0)</f>
        <v>0</v>
      </c>
      <c r="R702" s="155">
        <f t="shared" si="212"/>
        <v>0</v>
      </c>
      <c r="S702" s="47">
        <f t="shared" si="211"/>
        <v>0</v>
      </c>
      <c r="T702" s="151">
        <f t="shared" si="196"/>
        <v>975</v>
      </c>
      <c r="U702" s="151">
        <f t="shared" si="197"/>
        <v>0</v>
      </c>
      <c r="V702" s="139">
        <f t="shared" si="198"/>
        <v>0</v>
      </c>
      <c r="W702" s="152">
        <f t="shared" si="201"/>
        <v>975</v>
      </c>
      <c r="X702" s="127" t="str">
        <f t="shared" si="199"/>
        <v/>
      </c>
      <c r="Y702" s="207">
        <f t="shared" si="202"/>
        <v>975</v>
      </c>
      <c r="Z702" s="139">
        <f t="shared" si="203"/>
        <v>530</v>
      </c>
      <c r="AA702" s="139">
        <f t="shared" si="204"/>
        <v>445</v>
      </c>
      <c r="AC702" s="47">
        <f t="shared" si="205"/>
        <v>488</v>
      </c>
      <c r="AD702" s="47">
        <f t="shared" si="206"/>
        <v>265</v>
      </c>
      <c r="AE702" s="47">
        <f t="shared" si="207"/>
        <v>223</v>
      </c>
      <c r="AG702" s="47">
        <f t="shared" si="208"/>
        <v>487</v>
      </c>
      <c r="AH702" s="47">
        <f t="shared" si="209"/>
        <v>265</v>
      </c>
      <c r="AI702" s="208">
        <f t="shared" si="210"/>
        <v>222</v>
      </c>
    </row>
    <row r="703" spans="1:35">
      <c r="A703" t="s">
        <v>2112</v>
      </c>
      <c r="B703" t="s">
        <v>3142</v>
      </c>
      <c r="C703" t="s">
        <v>2192</v>
      </c>
      <c r="D703" t="s">
        <v>3978</v>
      </c>
      <c r="F703" t="s">
        <v>568</v>
      </c>
      <c r="G703" s="126">
        <f>SUMIFS('Support - Transition'!F:F,'Support - Transition'!B:B,'Step 2'!A703,'Support - Transition'!C:C,'Step 2'!B703,'Support - Transition'!D:D,'Step 2'!C703,'Support - Transition'!E:E,"CIVIL")</f>
        <v>5.1999999999999995E-4</v>
      </c>
      <c r="H703" s="126">
        <f>SUMIFS('Support - Transition'!F:F,'Support - Transition'!B:B,'Step 2'!A703,'Support - Transition'!C:C,'Step 2'!B703,'Support - Transition'!D:D,'Step 2'!C703,'Support - Transition'!E:E,"FIRE")</f>
        <v>0</v>
      </c>
      <c r="I703" s="126">
        <f>IF(B703="0",SUMIFS('Support - Transition'!F:F,'Support - Transition'!J:J,'Step 2'!D703,'Support - Transition'!E:E,"STATE UNIT"),SUMIFS('Support - Transition'!F:F,'Support - Transition'!J:J,'Step 2'!D703))</f>
        <v>5.1999999999999995E-4</v>
      </c>
      <c r="J703" s="126">
        <f>SUMIFS('Support - Unit Adjustments'!E:E,'Support - Unit Adjustments'!F:F,'Step 2'!D703)</f>
        <v>0</v>
      </c>
      <c r="K703" s="126">
        <f t="shared" si="194"/>
        <v>5.1999999999999995E-4</v>
      </c>
      <c r="L703" s="174">
        <f>VLOOKUP(A703,'Step 1'!$A:$E,4,FALSE)</f>
        <v>609989</v>
      </c>
      <c r="M703" s="47">
        <f t="shared" si="195"/>
        <v>317</v>
      </c>
      <c r="N703" s="177">
        <f>SUMIFS('Support - Transition'!G:G,'Support - Transition'!J:J,'Step 2'!D703,'Support - Transition'!E:E,"2009 WELFARE ALLOCATION FACTOR")</f>
        <v>0</v>
      </c>
      <c r="O703" s="152">
        <f t="shared" si="200"/>
        <v>0</v>
      </c>
      <c r="P703" s="126">
        <f>IF(E703="Y",0,SUMIFS('Support - Transition'!G:G,'Support - Transition'!J:J,'Step 2'!D703,'Support - Transition'!E:E,"2009 SCHOOL ALLOCATION FACTOR"))</f>
        <v>0</v>
      </c>
      <c r="Q703" s="126">
        <f>IF(E703="Y",VLOOKUP(D703,'Support - Unit Adjustments'!F:G,2,FALSE),0)</f>
        <v>0</v>
      </c>
      <c r="R703" s="155">
        <f t="shared" si="212"/>
        <v>0</v>
      </c>
      <c r="S703" s="47">
        <f t="shared" si="211"/>
        <v>0</v>
      </c>
      <c r="T703" s="151">
        <f t="shared" si="196"/>
        <v>317</v>
      </c>
      <c r="U703" s="151">
        <f t="shared" si="197"/>
        <v>0</v>
      </c>
      <c r="V703" s="139">
        <f t="shared" si="198"/>
        <v>0</v>
      </c>
      <c r="W703" s="152">
        <f t="shared" si="201"/>
        <v>317</v>
      </c>
      <c r="X703" s="127" t="str">
        <f t="shared" si="199"/>
        <v/>
      </c>
      <c r="Y703" s="207">
        <f t="shared" si="202"/>
        <v>317</v>
      </c>
      <c r="Z703" s="139">
        <f t="shared" si="203"/>
        <v>317</v>
      </c>
      <c r="AA703" s="139">
        <f t="shared" si="204"/>
        <v>0</v>
      </c>
      <c r="AC703" s="47">
        <f t="shared" si="205"/>
        <v>159</v>
      </c>
      <c r="AD703" s="47">
        <f t="shared" si="206"/>
        <v>159</v>
      </c>
      <c r="AE703" s="47">
        <f t="shared" si="207"/>
        <v>0</v>
      </c>
      <c r="AG703" s="47">
        <f t="shared" si="208"/>
        <v>158</v>
      </c>
      <c r="AH703" s="47">
        <f t="shared" si="209"/>
        <v>158</v>
      </c>
      <c r="AI703" s="208">
        <f t="shared" si="210"/>
        <v>0</v>
      </c>
    </row>
    <row r="704" spans="1:35">
      <c r="A704" t="s">
        <v>2112</v>
      </c>
      <c r="B704" t="s">
        <v>3142</v>
      </c>
      <c r="C704" t="s">
        <v>2193</v>
      </c>
      <c r="D704" t="s">
        <v>3979</v>
      </c>
      <c r="F704" t="s">
        <v>292</v>
      </c>
      <c r="G704" s="126">
        <f>SUMIFS('Support - Transition'!F:F,'Support - Transition'!B:B,'Step 2'!A704,'Support - Transition'!C:C,'Step 2'!B704,'Support - Transition'!D:D,'Step 2'!C704,'Support - Transition'!E:E,"CIVIL")</f>
        <v>1.6969999999999999E-2</v>
      </c>
      <c r="H704" s="126">
        <f>SUMIFS('Support - Transition'!F:F,'Support - Transition'!B:B,'Step 2'!A704,'Support - Transition'!C:C,'Step 2'!B704,'Support - Transition'!D:D,'Step 2'!C704,'Support - Transition'!E:E,"FIRE")</f>
        <v>9.7920000000000004E-3</v>
      </c>
      <c r="I704" s="126">
        <f>IF(B704="0",SUMIFS('Support - Transition'!F:F,'Support - Transition'!J:J,'Step 2'!D704,'Support - Transition'!E:E,"STATE UNIT"),SUMIFS('Support - Transition'!F:F,'Support - Transition'!J:J,'Step 2'!D704))</f>
        <v>2.6762000000000001E-2</v>
      </c>
      <c r="J704" s="126">
        <f>SUMIFS('Support - Unit Adjustments'!E:E,'Support - Unit Adjustments'!F:F,'Step 2'!D704)</f>
        <v>0</v>
      </c>
      <c r="K704" s="126">
        <f t="shared" si="194"/>
        <v>2.6762000000000001E-2</v>
      </c>
      <c r="L704" s="174">
        <f>VLOOKUP(A704,'Step 1'!$A:$E,4,FALSE)</f>
        <v>609989</v>
      </c>
      <c r="M704" s="47">
        <f t="shared" si="195"/>
        <v>16325</v>
      </c>
      <c r="N704" s="177">
        <f>SUMIFS('Support - Transition'!G:G,'Support - Transition'!J:J,'Step 2'!D704,'Support - Transition'!E:E,"2009 WELFARE ALLOCATION FACTOR")</f>
        <v>0</v>
      </c>
      <c r="O704" s="152">
        <f t="shared" si="200"/>
        <v>0</v>
      </c>
      <c r="P704" s="126">
        <f>IF(E704="Y",0,SUMIFS('Support - Transition'!G:G,'Support - Transition'!J:J,'Step 2'!D704,'Support - Transition'!E:E,"2009 SCHOOL ALLOCATION FACTOR"))</f>
        <v>0</v>
      </c>
      <c r="Q704" s="126">
        <f>IF(E704="Y",VLOOKUP(D704,'Support - Unit Adjustments'!F:G,2,FALSE),0)</f>
        <v>0</v>
      </c>
      <c r="R704" s="155">
        <f t="shared" si="212"/>
        <v>0</v>
      </c>
      <c r="S704" s="47">
        <f t="shared" si="211"/>
        <v>0</v>
      </c>
      <c r="T704" s="151">
        <f t="shared" si="196"/>
        <v>16325</v>
      </c>
      <c r="U704" s="151">
        <f t="shared" si="197"/>
        <v>0</v>
      </c>
      <c r="V704" s="139">
        <f t="shared" si="198"/>
        <v>0</v>
      </c>
      <c r="W704" s="152">
        <f t="shared" si="201"/>
        <v>16325</v>
      </c>
      <c r="X704" s="127" t="str">
        <f t="shared" si="199"/>
        <v/>
      </c>
      <c r="Y704" s="207">
        <f t="shared" si="202"/>
        <v>16325</v>
      </c>
      <c r="Z704" s="139">
        <f t="shared" si="203"/>
        <v>10352</v>
      </c>
      <c r="AA704" s="139">
        <f t="shared" si="204"/>
        <v>5973</v>
      </c>
      <c r="AC704" s="47">
        <f t="shared" si="205"/>
        <v>8163</v>
      </c>
      <c r="AD704" s="47">
        <f t="shared" si="206"/>
        <v>5176</v>
      </c>
      <c r="AE704" s="47">
        <f t="shared" si="207"/>
        <v>2987</v>
      </c>
      <c r="AG704" s="47">
        <f t="shared" si="208"/>
        <v>8162</v>
      </c>
      <c r="AH704" s="47">
        <f t="shared" si="209"/>
        <v>5176</v>
      </c>
      <c r="AI704" s="208">
        <f t="shared" si="210"/>
        <v>2986</v>
      </c>
    </row>
    <row r="705" spans="1:35">
      <c r="A705" t="s">
        <v>2112</v>
      </c>
      <c r="B705" t="s">
        <v>3142</v>
      </c>
      <c r="C705" t="s">
        <v>2194</v>
      </c>
      <c r="D705" t="s">
        <v>3980</v>
      </c>
      <c r="F705" t="s">
        <v>20</v>
      </c>
      <c r="G705" s="126">
        <f>SUMIFS('Support - Transition'!F:F,'Support - Transition'!B:B,'Step 2'!A705,'Support - Transition'!C:C,'Step 2'!B705,'Support - Transition'!D:D,'Step 2'!C705,'Support - Transition'!E:E,"CIVIL")</f>
        <v>2.9129999999999998E-3</v>
      </c>
      <c r="H705" s="126">
        <f>SUMIFS('Support - Transition'!F:F,'Support - Transition'!B:B,'Step 2'!A705,'Support - Transition'!C:C,'Step 2'!B705,'Support - Transition'!D:D,'Step 2'!C705,'Support - Transition'!E:E,"FIRE")</f>
        <v>2.1129999999999999E-3</v>
      </c>
      <c r="I705" s="126">
        <f>IF(B705="0",SUMIFS('Support - Transition'!F:F,'Support - Transition'!J:J,'Step 2'!D705,'Support - Transition'!E:E,"STATE UNIT"),SUMIFS('Support - Transition'!F:F,'Support - Transition'!J:J,'Step 2'!D705))</f>
        <v>5.0259999999999992E-3</v>
      </c>
      <c r="J705" s="126">
        <f>SUMIFS('Support - Unit Adjustments'!E:E,'Support - Unit Adjustments'!F:F,'Step 2'!D705)</f>
        <v>0</v>
      </c>
      <c r="K705" s="126">
        <f t="shared" si="194"/>
        <v>5.0259999999999992E-3</v>
      </c>
      <c r="L705" s="174">
        <f>VLOOKUP(A705,'Step 1'!$A:$E,4,FALSE)</f>
        <v>609989</v>
      </c>
      <c r="M705" s="47">
        <f t="shared" si="195"/>
        <v>3066</v>
      </c>
      <c r="N705" s="177">
        <f>SUMIFS('Support - Transition'!G:G,'Support - Transition'!J:J,'Step 2'!D705,'Support - Transition'!E:E,"2009 WELFARE ALLOCATION FACTOR")</f>
        <v>0</v>
      </c>
      <c r="O705" s="152">
        <f t="shared" si="200"/>
        <v>0</v>
      </c>
      <c r="P705" s="126">
        <f>IF(E705="Y",0,SUMIFS('Support - Transition'!G:G,'Support - Transition'!J:J,'Step 2'!D705,'Support - Transition'!E:E,"2009 SCHOOL ALLOCATION FACTOR"))</f>
        <v>0</v>
      </c>
      <c r="Q705" s="126">
        <f>IF(E705="Y",VLOOKUP(D705,'Support - Unit Adjustments'!F:G,2,FALSE),0)</f>
        <v>0</v>
      </c>
      <c r="R705" s="155">
        <f t="shared" si="212"/>
        <v>0</v>
      </c>
      <c r="S705" s="47">
        <f t="shared" si="211"/>
        <v>0</v>
      </c>
      <c r="T705" s="151">
        <f t="shared" si="196"/>
        <v>3066</v>
      </c>
      <c r="U705" s="151">
        <f t="shared" si="197"/>
        <v>0</v>
      </c>
      <c r="V705" s="139">
        <f t="shared" si="198"/>
        <v>0</v>
      </c>
      <c r="W705" s="152">
        <f t="shared" si="201"/>
        <v>3066</v>
      </c>
      <c r="X705" s="127" t="str">
        <f t="shared" si="199"/>
        <v/>
      </c>
      <c r="Y705" s="207">
        <f t="shared" si="202"/>
        <v>3066</v>
      </c>
      <c r="Z705" s="139">
        <f t="shared" si="203"/>
        <v>1777</v>
      </c>
      <c r="AA705" s="139">
        <f t="shared" si="204"/>
        <v>1289</v>
      </c>
      <c r="AC705" s="47">
        <f t="shared" si="205"/>
        <v>1533</v>
      </c>
      <c r="AD705" s="47">
        <f t="shared" si="206"/>
        <v>889</v>
      </c>
      <c r="AE705" s="47">
        <f t="shared" si="207"/>
        <v>645</v>
      </c>
      <c r="AG705" s="47">
        <f t="shared" si="208"/>
        <v>1533</v>
      </c>
      <c r="AH705" s="47">
        <f t="shared" si="209"/>
        <v>888</v>
      </c>
      <c r="AI705" s="208">
        <f t="shared" si="210"/>
        <v>644</v>
      </c>
    </row>
    <row r="706" spans="1:35">
      <c r="A706" t="s">
        <v>2112</v>
      </c>
      <c r="B706" t="s">
        <v>3142</v>
      </c>
      <c r="C706" t="s">
        <v>2195</v>
      </c>
      <c r="D706" t="s">
        <v>3981</v>
      </c>
      <c r="F706" t="s">
        <v>21</v>
      </c>
      <c r="G706" s="126">
        <f>SUMIFS('Support - Transition'!F:F,'Support - Transition'!B:B,'Step 2'!A706,'Support - Transition'!C:C,'Step 2'!B706,'Support - Transition'!D:D,'Step 2'!C706,'Support - Transition'!E:E,"CIVIL")</f>
        <v>6.3199999999999997E-4</v>
      </c>
      <c r="H706" s="126">
        <f>SUMIFS('Support - Transition'!F:F,'Support - Transition'!B:B,'Step 2'!A706,'Support - Transition'!C:C,'Step 2'!B706,'Support - Transition'!D:D,'Step 2'!C706,'Support - Transition'!E:E,"FIRE")</f>
        <v>0</v>
      </c>
      <c r="I706" s="126">
        <f>IF(B706="0",SUMIFS('Support - Transition'!F:F,'Support - Transition'!J:J,'Step 2'!D706,'Support - Transition'!E:E,"STATE UNIT"),SUMIFS('Support - Transition'!F:F,'Support - Transition'!J:J,'Step 2'!D706))</f>
        <v>6.3199999999999997E-4</v>
      </c>
      <c r="J706" s="126">
        <f>SUMIFS('Support - Unit Adjustments'!E:E,'Support - Unit Adjustments'!F:F,'Step 2'!D706)</f>
        <v>0</v>
      </c>
      <c r="K706" s="126">
        <f t="shared" ref="K706:K769" si="213">+I706+J706</f>
        <v>6.3199999999999997E-4</v>
      </c>
      <c r="L706" s="174">
        <f>VLOOKUP(A706,'Step 1'!$A:$E,4,FALSE)</f>
        <v>609989</v>
      </c>
      <c r="M706" s="47">
        <f t="shared" ref="M706:M769" si="214">ROUND(+K706*L706,0)</f>
        <v>386</v>
      </c>
      <c r="N706" s="177">
        <f>SUMIFS('Support - Transition'!G:G,'Support - Transition'!J:J,'Step 2'!D706,'Support - Transition'!E:E,"2009 WELFARE ALLOCATION FACTOR")</f>
        <v>0</v>
      </c>
      <c r="O706" s="152">
        <f t="shared" si="200"/>
        <v>0</v>
      </c>
      <c r="P706" s="126">
        <f>IF(E706="Y",0,SUMIFS('Support - Transition'!G:G,'Support - Transition'!J:J,'Step 2'!D706,'Support - Transition'!E:E,"2009 SCHOOL ALLOCATION FACTOR"))</f>
        <v>0</v>
      </c>
      <c r="Q706" s="126">
        <f>IF(E706="Y",VLOOKUP(D706,'Support - Unit Adjustments'!F:G,2,FALSE),0)</f>
        <v>0</v>
      </c>
      <c r="R706" s="155">
        <f t="shared" si="212"/>
        <v>0</v>
      </c>
      <c r="S706" s="47">
        <f t="shared" si="211"/>
        <v>0</v>
      </c>
      <c r="T706" s="151">
        <f t="shared" ref="T706:T769" si="215">ROUND(+M706-O706-S706,2)</f>
        <v>386</v>
      </c>
      <c r="U706" s="151">
        <f t="shared" ref="U706:U769" si="216">IF(B706="0",SUMIFS(O:O,A:A,A706)+SUMIFS(S:S,A:A,A706)+SUMIFS(T:T,A:A,A706),0)</f>
        <v>0</v>
      </c>
      <c r="V706" s="139">
        <f t="shared" ref="V706:V769" si="217">IF(B706="0",U706-L706,0)</f>
        <v>0</v>
      </c>
      <c r="W706" s="152">
        <f t="shared" si="201"/>
        <v>386</v>
      </c>
      <c r="X706" s="127" t="str">
        <f t="shared" ref="X706:X769" si="218">IF(B706="0",SUMIFS(O:O,A:A,A706)+SUMIFS(S:S,A:A,A706)+SUMIFS(W:W,A:A,A706)-L706,"")</f>
        <v/>
      </c>
      <c r="Y706" s="207">
        <f t="shared" si="202"/>
        <v>386</v>
      </c>
      <c r="Z706" s="139">
        <f t="shared" si="203"/>
        <v>386</v>
      </c>
      <c r="AA706" s="139">
        <f t="shared" si="204"/>
        <v>0</v>
      </c>
      <c r="AC706" s="47">
        <f t="shared" si="205"/>
        <v>193</v>
      </c>
      <c r="AD706" s="47">
        <f t="shared" si="206"/>
        <v>193</v>
      </c>
      <c r="AE706" s="47">
        <f t="shared" si="207"/>
        <v>0</v>
      </c>
      <c r="AG706" s="47">
        <f t="shared" si="208"/>
        <v>193</v>
      </c>
      <c r="AH706" s="47">
        <f t="shared" si="209"/>
        <v>193</v>
      </c>
      <c r="AI706" s="208">
        <f t="shared" si="210"/>
        <v>0</v>
      </c>
    </row>
    <row r="707" spans="1:35">
      <c r="A707" t="s">
        <v>2112</v>
      </c>
      <c r="B707" t="s">
        <v>3142</v>
      </c>
      <c r="C707" t="s">
        <v>2196</v>
      </c>
      <c r="D707" t="s">
        <v>3982</v>
      </c>
      <c r="F707" t="s">
        <v>22</v>
      </c>
      <c r="G707" s="126">
        <f>SUMIFS('Support - Transition'!F:F,'Support - Transition'!B:B,'Step 2'!A707,'Support - Transition'!C:C,'Step 2'!B707,'Support - Transition'!D:D,'Step 2'!C707,'Support - Transition'!E:E,"CIVIL")</f>
        <v>5.0600000000000005E-4</v>
      </c>
      <c r="H707" s="126">
        <f>SUMIFS('Support - Transition'!F:F,'Support - Transition'!B:B,'Step 2'!A707,'Support - Transition'!C:C,'Step 2'!B707,'Support - Transition'!D:D,'Step 2'!C707,'Support - Transition'!E:E,"FIRE")</f>
        <v>6.6000000000000005E-5</v>
      </c>
      <c r="I707" s="126">
        <f>IF(B707="0",SUMIFS('Support - Transition'!F:F,'Support - Transition'!J:J,'Step 2'!D707,'Support - Transition'!E:E,"STATE UNIT"),SUMIFS('Support - Transition'!F:F,'Support - Transition'!J:J,'Step 2'!D707))</f>
        <v>5.7200000000000003E-4</v>
      </c>
      <c r="J707" s="126">
        <f>SUMIFS('Support - Unit Adjustments'!E:E,'Support - Unit Adjustments'!F:F,'Step 2'!D707)</f>
        <v>0</v>
      </c>
      <c r="K707" s="126">
        <f t="shared" si="213"/>
        <v>5.7200000000000003E-4</v>
      </c>
      <c r="L707" s="174">
        <f>VLOOKUP(A707,'Step 1'!$A:$E,4,FALSE)</f>
        <v>609989</v>
      </c>
      <c r="M707" s="47">
        <f t="shared" si="214"/>
        <v>349</v>
      </c>
      <c r="N707" s="177">
        <f>SUMIFS('Support - Transition'!G:G,'Support - Transition'!J:J,'Step 2'!D707,'Support - Transition'!E:E,"2009 WELFARE ALLOCATION FACTOR")</f>
        <v>0</v>
      </c>
      <c r="O707" s="152">
        <f t="shared" ref="O707:O770" si="219">ROUND(+N707*M707,0)</f>
        <v>0</v>
      </c>
      <c r="P707" s="126">
        <f>IF(E707="Y",0,SUMIFS('Support - Transition'!G:G,'Support - Transition'!J:J,'Step 2'!D707,'Support - Transition'!E:E,"2009 SCHOOL ALLOCATION FACTOR"))</f>
        <v>0</v>
      </c>
      <c r="Q707" s="126">
        <f>IF(E707="Y",VLOOKUP(D707,'Support - Unit Adjustments'!F:G,2,FALSE),0)</f>
        <v>0</v>
      </c>
      <c r="R707" s="155">
        <f t="shared" si="212"/>
        <v>0</v>
      </c>
      <c r="S707" s="47">
        <f t="shared" si="211"/>
        <v>0</v>
      </c>
      <c r="T707" s="151">
        <f t="shared" si="215"/>
        <v>349</v>
      </c>
      <c r="U707" s="151">
        <f t="shared" si="216"/>
        <v>0</v>
      </c>
      <c r="V707" s="139">
        <f t="shared" si="217"/>
        <v>0</v>
      </c>
      <c r="W707" s="152">
        <f t="shared" ref="W707:W770" si="220">+T707-V707</f>
        <v>349</v>
      </c>
      <c r="X707" s="127" t="str">
        <f t="shared" si="218"/>
        <v/>
      </c>
      <c r="Y707" s="207">
        <f t="shared" ref="Y707:Y770" si="221">W707</f>
        <v>349</v>
      </c>
      <c r="Z707" s="139">
        <f t="shared" ref="Z707:Z770" si="222">IFERROR(IF(B707="2",ROUND(Y707*G707/I707,0),Y707),0)</f>
        <v>309</v>
      </c>
      <c r="AA707" s="139">
        <f t="shared" ref="AA707:AA770" si="223">+Y707-Z707</f>
        <v>40</v>
      </c>
      <c r="AC707" s="47">
        <f t="shared" ref="AC707:AC770" si="224">ROUND(Y707/2,0)</f>
        <v>175</v>
      </c>
      <c r="AD707" s="47">
        <f t="shared" ref="AD707:AD770" si="225">ROUND(Z707/2,0)</f>
        <v>155</v>
      </c>
      <c r="AE707" s="47">
        <f t="shared" ref="AE707:AE770" si="226">ROUND(AA707/2,0)</f>
        <v>20</v>
      </c>
      <c r="AG707" s="47">
        <f t="shared" ref="AG707:AG770" si="227">+Y707-AC707</f>
        <v>174</v>
      </c>
      <c r="AH707" s="47">
        <f t="shared" ref="AH707:AH770" si="228">+Z707-AD707</f>
        <v>154</v>
      </c>
      <c r="AI707" s="208">
        <f t="shared" ref="AI707:AI770" si="229">+AA707-AE707</f>
        <v>20</v>
      </c>
    </row>
    <row r="708" spans="1:35">
      <c r="A708" t="s">
        <v>2112</v>
      </c>
      <c r="B708" t="s">
        <v>3142</v>
      </c>
      <c r="C708" t="s">
        <v>2197</v>
      </c>
      <c r="D708" t="s">
        <v>3983</v>
      </c>
      <c r="F708" t="s">
        <v>569</v>
      </c>
      <c r="G708" s="126">
        <f>SUMIFS('Support - Transition'!F:F,'Support - Transition'!B:B,'Step 2'!A708,'Support - Transition'!C:C,'Step 2'!B708,'Support - Transition'!D:D,'Step 2'!C708,'Support - Transition'!E:E,"CIVIL")</f>
        <v>6.1300000000000005E-4</v>
      </c>
      <c r="H708" s="126">
        <f>SUMIFS('Support - Transition'!F:F,'Support - Transition'!B:B,'Step 2'!A708,'Support - Transition'!C:C,'Step 2'!B708,'Support - Transition'!D:D,'Step 2'!C708,'Support - Transition'!E:E,"FIRE")</f>
        <v>4.6500000000000003E-4</v>
      </c>
      <c r="I708" s="126">
        <f>IF(B708="0",SUMIFS('Support - Transition'!F:F,'Support - Transition'!J:J,'Step 2'!D708,'Support - Transition'!E:E,"STATE UNIT"),SUMIFS('Support - Transition'!F:F,'Support - Transition'!J:J,'Step 2'!D708))</f>
        <v>1.078E-3</v>
      </c>
      <c r="J708" s="126">
        <f>SUMIFS('Support - Unit Adjustments'!E:E,'Support - Unit Adjustments'!F:F,'Step 2'!D708)</f>
        <v>0</v>
      </c>
      <c r="K708" s="126">
        <f t="shared" si="213"/>
        <v>1.078E-3</v>
      </c>
      <c r="L708" s="174">
        <f>VLOOKUP(A708,'Step 1'!$A:$E,4,FALSE)</f>
        <v>609989</v>
      </c>
      <c r="M708" s="47">
        <f t="shared" si="214"/>
        <v>658</v>
      </c>
      <c r="N708" s="177">
        <f>SUMIFS('Support - Transition'!G:G,'Support - Transition'!J:J,'Step 2'!D708,'Support - Transition'!E:E,"2009 WELFARE ALLOCATION FACTOR")</f>
        <v>0</v>
      </c>
      <c r="O708" s="152">
        <f t="shared" si="219"/>
        <v>0</v>
      </c>
      <c r="P708" s="126">
        <f>IF(E708="Y",0,SUMIFS('Support - Transition'!G:G,'Support - Transition'!J:J,'Step 2'!D708,'Support - Transition'!E:E,"2009 SCHOOL ALLOCATION FACTOR"))</f>
        <v>0</v>
      </c>
      <c r="Q708" s="126">
        <f>IF(E708="Y",VLOOKUP(D708,'Support - Unit Adjustments'!F:G,2,FALSE),0)</f>
        <v>0</v>
      </c>
      <c r="R708" s="155">
        <f t="shared" si="212"/>
        <v>0</v>
      </c>
      <c r="S708" s="47">
        <f t="shared" si="211"/>
        <v>0</v>
      </c>
      <c r="T708" s="151">
        <f t="shared" si="215"/>
        <v>658</v>
      </c>
      <c r="U708" s="151">
        <f t="shared" si="216"/>
        <v>0</v>
      </c>
      <c r="V708" s="139">
        <f t="shared" si="217"/>
        <v>0</v>
      </c>
      <c r="W708" s="152">
        <f t="shared" si="220"/>
        <v>658</v>
      </c>
      <c r="X708" s="127" t="str">
        <f t="shared" si="218"/>
        <v/>
      </c>
      <c r="Y708" s="207">
        <f t="shared" si="221"/>
        <v>658</v>
      </c>
      <c r="Z708" s="139">
        <f t="shared" si="222"/>
        <v>374</v>
      </c>
      <c r="AA708" s="139">
        <f t="shared" si="223"/>
        <v>284</v>
      </c>
      <c r="AC708" s="47">
        <f t="shared" si="224"/>
        <v>329</v>
      </c>
      <c r="AD708" s="47">
        <f t="shared" si="225"/>
        <v>187</v>
      </c>
      <c r="AE708" s="47">
        <f t="shared" si="226"/>
        <v>142</v>
      </c>
      <c r="AG708" s="47">
        <f t="shared" si="227"/>
        <v>329</v>
      </c>
      <c r="AH708" s="47">
        <f t="shared" si="228"/>
        <v>187</v>
      </c>
      <c r="AI708" s="208">
        <f t="shared" si="229"/>
        <v>142</v>
      </c>
    </row>
    <row r="709" spans="1:35">
      <c r="A709" t="s">
        <v>2112</v>
      </c>
      <c r="B709" t="s">
        <v>3155</v>
      </c>
      <c r="C709" t="s">
        <v>2460</v>
      </c>
      <c r="D709" t="s">
        <v>3984</v>
      </c>
      <c r="F709" t="s">
        <v>578</v>
      </c>
      <c r="G709" s="126">
        <f>SUMIFS('Support - Transition'!F:F,'Support - Transition'!B:B,'Step 2'!A709,'Support - Transition'!C:C,'Step 2'!B709,'Support - Transition'!D:D,'Step 2'!C709,'Support - Transition'!E:E,"CIVIL")</f>
        <v>0</v>
      </c>
      <c r="H709" s="126">
        <f>SUMIFS('Support - Transition'!F:F,'Support - Transition'!B:B,'Step 2'!A709,'Support - Transition'!C:C,'Step 2'!B709,'Support - Transition'!D:D,'Step 2'!C709,'Support - Transition'!E:E,"FIRE")</f>
        <v>0</v>
      </c>
      <c r="I709" s="126">
        <f>IF(B709="0",SUMIFS('Support - Transition'!F:F,'Support - Transition'!J:J,'Step 2'!D709,'Support - Transition'!E:E,"STATE UNIT"),SUMIFS('Support - Transition'!F:F,'Support - Transition'!J:J,'Step 2'!D709))</f>
        <v>3.3415E-2</v>
      </c>
      <c r="J709" s="126">
        <f>SUMIFS('Support - Unit Adjustments'!E:E,'Support - Unit Adjustments'!F:F,'Step 2'!D709)</f>
        <v>0</v>
      </c>
      <c r="K709" s="126">
        <f t="shared" si="213"/>
        <v>3.3415E-2</v>
      </c>
      <c r="L709" s="174">
        <f>VLOOKUP(A709,'Step 1'!$A:$E,4,FALSE)</f>
        <v>609989</v>
      </c>
      <c r="M709" s="47">
        <f t="shared" si="214"/>
        <v>20383</v>
      </c>
      <c r="N709" s="177">
        <f>SUMIFS('Support - Transition'!G:G,'Support - Transition'!J:J,'Step 2'!D709,'Support - Transition'!E:E,"2009 WELFARE ALLOCATION FACTOR")</f>
        <v>0</v>
      </c>
      <c r="O709" s="152">
        <f t="shared" si="219"/>
        <v>0</v>
      </c>
      <c r="P709" s="126">
        <f>IF(E709="Y",0,SUMIFS('Support - Transition'!G:G,'Support - Transition'!J:J,'Step 2'!D709,'Support - Transition'!E:E,"2009 SCHOOL ALLOCATION FACTOR"))</f>
        <v>0</v>
      </c>
      <c r="Q709" s="126">
        <f>IF(E709="Y",VLOOKUP(D709,'Support - Unit Adjustments'!F:G,2,FALSE),0)</f>
        <v>0</v>
      </c>
      <c r="R709" s="155">
        <f t="shared" si="212"/>
        <v>0</v>
      </c>
      <c r="S709" s="47">
        <f t="shared" si="211"/>
        <v>0</v>
      </c>
      <c r="T709" s="151">
        <f t="shared" si="215"/>
        <v>20383</v>
      </c>
      <c r="U709" s="151">
        <f t="shared" si="216"/>
        <v>0</v>
      </c>
      <c r="V709" s="139">
        <f t="shared" si="217"/>
        <v>0</v>
      </c>
      <c r="W709" s="152">
        <f t="shared" si="220"/>
        <v>20383</v>
      </c>
      <c r="X709" s="127" t="str">
        <f t="shared" si="218"/>
        <v/>
      </c>
      <c r="Y709" s="207">
        <f t="shared" si="221"/>
        <v>20383</v>
      </c>
      <c r="Z709" s="139">
        <f t="shared" si="222"/>
        <v>20383</v>
      </c>
      <c r="AA709" s="139">
        <f t="shared" si="223"/>
        <v>0</v>
      </c>
      <c r="AC709" s="47">
        <f t="shared" si="224"/>
        <v>10192</v>
      </c>
      <c r="AD709" s="47">
        <f t="shared" si="225"/>
        <v>10192</v>
      </c>
      <c r="AE709" s="47">
        <f t="shared" si="226"/>
        <v>0</v>
      </c>
      <c r="AG709" s="47">
        <f t="shared" si="227"/>
        <v>10191</v>
      </c>
      <c r="AH709" s="47">
        <f t="shared" si="228"/>
        <v>10191</v>
      </c>
      <c r="AI709" s="208">
        <f t="shared" si="229"/>
        <v>0</v>
      </c>
    </row>
    <row r="710" spans="1:35">
      <c r="A710" t="s">
        <v>2112</v>
      </c>
      <c r="B710" t="s">
        <v>3155</v>
      </c>
      <c r="C710" t="s">
        <v>2461</v>
      </c>
      <c r="D710" t="s">
        <v>3985</v>
      </c>
      <c r="F710" t="s">
        <v>575</v>
      </c>
      <c r="G710" s="126">
        <f>SUMIFS('Support - Transition'!F:F,'Support - Transition'!B:B,'Step 2'!A710,'Support - Transition'!C:C,'Step 2'!B710,'Support - Transition'!D:D,'Step 2'!C710,'Support - Transition'!E:E,"CIVIL")</f>
        <v>0</v>
      </c>
      <c r="H710" s="126">
        <f>SUMIFS('Support - Transition'!F:F,'Support - Transition'!B:B,'Step 2'!A710,'Support - Transition'!C:C,'Step 2'!B710,'Support - Transition'!D:D,'Step 2'!C710,'Support - Transition'!E:E,"FIRE")</f>
        <v>0</v>
      </c>
      <c r="I710" s="126">
        <f>IF(B710="0",SUMIFS('Support - Transition'!F:F,'Support - Transition'!J:J,'Step 2'!D710,'Support - Transition'!E:E,"STATE UNIT"),SUMIFS('Support - Transition'!F:F,'Support - Transition'!J:J,'Step 2'!D710))</f>
        <v>7.9319999999999998E-3</v>
      </c>
      <c r="J710" s="126">
        <f>SUMIFS('Support - Unit Adjustments'!E:E,'Support - Unit Adjustments'!F:F,'Step 2'!D710)</f>
        <v>0</v>
      </c>
      <c r="K710" s="126">
        <f t="shared" si="213"/>
        <v>7.9319999999999998E-3</v>
      </c>
      <c r="L710" s="174">
        <f>VLOOKUP(A710,'Step 1'!$A:$E,4,FALSE)</f>
        <v>609989</v>
      </c>
      <c r="M710" s="47">
        <f t="shared" si="214"/>
        <v>4838</v>
      </c>
      <c r="N710" s="177">
        <f>SUMIFS('Support - Transition'!G:G,'Support - Transition'!J:J,'Step 2'!D710,'Support - Transition'!E:E,"2009 WELFARE ALLOCATION FACTOR")</f>
        <v>0</v>
      </c>
      <c r="O710" s="152">
        <f t="shared" si="219"/>
        <v>0</v>
      </c>
      <c r="P710" s="126">
        <f>IF(E710="Y",0,SUMIFS('Support - Transition'!G:G,'Support - Transition'!J:J,'Step 2'!D710,'Support - Transition'!E:E,"2009 SCHOOL ALLOCATION FACTOR"))</f>
        <v>0</v>
      </c>
      <c r="Q710" s="126">
        <f>IF(E710="Y",VLOOKUP(D710,'Support - Unit Adjustments'!F:G,2,FALSE),0)</f>
        <v>0</v>
      </c>
      <c r="R710" s="155">
        <f t="shared" si="212"/>
        <v>0</v>
      </c>
      <c r="S710" s="47">
        <f t="shared" si="211"/>
        <v>0</v>
      </c>
      <c r="T710" s="151">
        <f t="shared" si="215"/>
        <v>4838</v>
      </c>
      <c r="U710" s="151">
        <f t="shared" si="216"/>
        <v>0</v>
      </c>
      <c r="V710" s="139">
        <f t="shared" si="217"/>
        <v>0</v>
      </c>
      <c r="W710" s="152">
        <f t="shared" si="220"/>
        <v>4838</v>
      </c>
      <c r="X710" s="127" t="str">
        <f t="shared" si="218"/>
        <v/>
      </c>
      <c r="Y710" s="207">
        <f t="shared" si="221"/>
        <v>4838</v>
      </c>
      <c r="Z710" s="139">
        <f t="shared" si="222"/>
        <v>4838</v>
      </c>
      <c r="AA710" s="139">
        <f t="shared" si="223"/>
        <v>0</v>
      </c>
      <c r="AC710" s="47">
        <f t="shared" si="224"/>
        <v>2419</v>
      </c>
      <c r="AD710" s="47">
        <f t="shared" si="225"/>
        <v>2419</v>
      </c>
      <c r="AE710" s="47">
        <f t="shared" si="226"/>
        <v>0</v>
      </c>
      <c r="AG710" s="47">
        <f t="shared" si="227"/>
        <v>2419</v>
      </c>
      <c r="AH710" s="47">
        <f t="shared" si="228"/>
        <v>2419</v>
      </c>
      <c r="AI710" s="208">
        <f t="shared" si="229"/>
        <v>0</v>
      </c>
    </row>
    <row r="711" spans="1:35">
      <c r="A711" t="s">
        <v>2112</v>
      </c>
      <c r="B711" t="s">
        <v>3155</v>
      </c>
      <c r="C711" t="s">
        <v>2462</v>
      </c>
      <c r="D711" t="s">
        <v>3986</v>
      </c>
      <c r="F711" t="s">
        <v>570</v>
      </c>
      <c r="G711" s="126">
        <f>SUMIFS('Support - Transition'!F:F,'Support - Transition'!B:B,'Step 2'!A711,'Support - Transition'!C:C,'Step 2'!B711,'Support - Transition'!D:D,'Step 2'!C711,'Support - Transition'!E:E,"CIVIL")</f>
        <v>0</v>
      </c>
      <c r="H711" s="126">
        <f>SUMIFS('Support - Transition'!F:F,'Support - Transition'!B:B,'Step 2'!A711,'Support - Transition'!C:C,'Step 2'!B711,'Support - Transition'!D:D,'Step 2'!C711,'Support - Transition'!E:E,"FIRE")</f>
        <v>0</v>
      </c>
      <c r="I711" s="126">
        <f>IF(B711="0",SUMIFS('Support - Transition'!F:F,'Support - Transition'!J:J,'Step 2'!D711,'Support - Transition'!E:E,"STATE UNIT"),SUMIFS('Support - Transition'!F:F,'Support - Transition'!J:J,'Step 2'!D711))</f>
        <v>3.6949999999999999E-3</v>
      </c>
      <c r="J711" s="126">
        <f>SUMIFS('Support - Unit Adjustments'!E:E,'Support - Unit Adjustments'!F:F,'Step 2'!D711)</f>
        <v>0</v>
      </c>
      <c r="K711" s="126">
        <f t="shared" si="213"/>
        <v>3.6949999999999999E-3</v>
      </c>
      <c r="L711" s="174">
        <f>VLOOKUP(A711,'Step 1'!$A:$E,4,FALSE)</f>
        <v>609989</v>
      </c>
      <c r="M711" s="47">
        <f t="shared" si="214"/>
        <v>2254</v>
      </c>
      <c r="N711" s="177">
        <f>SUMIFS('Support - Transition'!G:G,'Support - Transition'!J:J,'Step 2'!D711,'Support - Transition'!E:E,"2009 WELFARE ALLOCATION FACTOR")</f>
        <v>0</v>
      </c>
      <c r="O711" s="152">
        <f t="shared" si="219"/>
        <v>0</v>
      </c>
      <c r="P711" s="126">
        <f>IF(E711="Y",0,SUMIFS('Support - Transition'!G:G,'Support - Transition'!J:J,'Step 2'!D711,'Support - Transition'!E:E,"2009 SCHOOL ALLOCATION FACTOR"))</f>
        <v>0</v>
      </c>
      <c r="Q711" s="126">
        <f>IF(E711="Y",VLOOKUP(D711,'Support - Unit Adjustments'!F:G,2,FALSE),0)</f>
        <v>0</v>
      </c>
      <c r="R711" s="155">
        <f t="shared" si="212"/>
        <v>0</v>
      </c>
      <c r="S711" s="47">
        <f t="shared" si="211"/>
        <v>0</v>
      </c>
      <c r="T711" s="151">
        <f t="shared" si="215"/>
        <v>2254</v>
      </c>
      <c r="U711" s="151">
        <f t="shared" si="216"/>
        <v>0</v>
      </c>
      <c r="V711" s="139">
        <f t="shared" si="217"/>
        <v>0</v>
      </c>
      <c r="W711" s="152">
        <f t="shared" si="220"/>
        <v>2254</v>
      </c>
      <c r="X711" s="127" t="str">
        <f t="shared" si="218"/>
        <v/>
      </c>
      <c r="Y711" s="207">
        <f t="shared" si="221"/>
        <v>2254</v>
      </c>
      <c r="Z711" s="139">
        <f t="shared" si="222"/>
        <v>2254</v>
      </c>
      <c r="AA711" s="139">
        <f t="shared" si="223"/>
        <v>0</v>
      </c>
      <c r="AC711" s="47">
        <f t="shared" si="224"/>
        <v>1127</v>
      </c>
      <c r="AD711" s="47">
        <f t="shared" si="225"/>
        <v>1127</v>
      </c>
      <c r="AE711" s="47">
        <f t="shared" si="226"/>
        <v>0</v>
      </c>
      <c r="AG711" s="47">
        <f t="shared" si="227"/>
        <v>1127</v>
      </c>
      <c r="AH711" s="47">
        <f t="shared" si="228"/>
        <v>1127</v>
      </c>
      <c r="AI711" s="208">
        <f t="shared" si="229"/>
        <v>0</v>
      </c>
    </row>
    <row r="712" spans="1:35">
      <c r="A712" t="s">
        <v>2112</v>
      </c>
      <c r="B712" t="s">
        <v>3155</v>
      </c>
      <c r="C712" t="s">
        <v>2463</v>
      </c>
      <c r="D712" t="s">
        <v>3987</v>
      </c>
      <c r="F712" t="s">
        <v>571</v>
      </c>
      <c r="G712" s="126">
        <f>SUMIFS('Support - Transition'!F:F,'Support - Transition'!B:B,'Step 2'!A712,'Support - Transition'!C:C,'Step 2'!B712,'Support - Transition'!D:D,'Step 2'!C712,'Support - Transition'!E:E,"CIVIL")</f>
        <v>0</v>
      </c>
      <c r="H712" s="126">
        <f>SUMIFS('Support - Transition'!F:F,'Support - Transition'!B:B,'Step 2'!A712,'Support - Transition'!C:C,'Step 2'!B712,'Support - Transition'!D:D,'Step 2'!C712,'Support - Transition'!E:E,"FIRE")</f>
        <v>0</v>
      </c>
      <c r="I712" s="126">
        <f>IF(B712="0",SUMIFS('Support - Transition'!F:F,'Support - Transition'!J:J,'Step 2'!D712,'Support - Transition'!E:E,"STATE UNIT"),SUMIFS('Support - Transition'!F:F,'Support - Transition'!J:J,'Step 2'!D712))</f>
        <v>3.1399999999999999E-4</v>
      </c>
      <c r="J712" s="126">
        <f>SUMIFS('Support - Unit Adjustments'!E:E,'Support - Unit Adjustments'!F:F,'Step 2'!D712)</f>
        <v>0</v>
      </c>
      <c r="K712" s="126">
        <f t="shared" si="213"/>
        <v>3.1399999999999999E-4</v>
      </c>
      <c r="L712" s="174">
        <f>VLOOKUP(A712,'Step 1'!$A:$E,4,FALSE)</f>
        <v>609989</v>
      </c>
      <c r="M712" s="47">
        <f t="shared" si="214"/>
        <v>192</v>
      </c>
      <c r="N712" s="177">
        <f>SUMIFS('Support - Transition'!G:G,'Support - Transition'!J:J,'Step 2'!D712,'Support - Transition'!E:E,"2009 WELFARE ALLOCATION FACTOR")</f>
        <v>0</v>
      </c>
      <c r="O712" s="152">
        <f t="shared" si="219"/>
        <v>0</v>
      </c>
      <c r="P712" s="126">
        <f>IF(E712="Y",0,SUMIFS('Support - Transition'!G:G,'Support - Transition'!J:J,'Step 2'!D712,'Support - Transition'!E:E,"2009 SCHOOL ALLOCATION FACTOR"))</f>
        <v>0</v>
      </c>
      <c r="Q712" s="126">
        <f>IF(E712="Y",VLOOKUP(D712,'Support - Unit Adjustments'!F:G,2,FALSE),0)</f>
        <v>0</v>
      </c>
      <c r="R712" s="155">
        <f t="shared" si="212"/>
        <v>0</v>
      </c>
      <c r="S712" s="47">
        <f t="shared" ref="S712:S775" si="230">ROUND(+R712*M712,0)</f>
        <v>0</v>
      </c>
      <c r="T712" s="151">
        <f t="shared" si="215"/>
        <v>192</v>
      </c>
      <c r="U712" s="151">
        <f t="shared" si="216"/>
        <v>0</v>
      </c>
      <c r="V712" s="139">
        <f t="shared" si="217"/>
        <v>0</v>
      </c>
      <c r="W712" s="152">
        <f t="shared" si="220"/>
        <v>192</v>
      </c>
      <c r="X712" s="127" t="str">
        <f t="shared" si="218"/>
        <v/>
      </c>
      <c r="Y712" s="207">
        <f t="shared" si="221"/>
        <v>192</v>
      </c>
      <c r="Z712" s="139">
        <f t="shared" si="222"/>
        <v>192</v>
      </c>
      <c r="AA712" s="139">
        <f t="shared" si="223"/>
        <v>0</v>
      </c>
      <c r="AC712" s="47">
        <f t="shared" si="224"/>
        <v>96</v>
      </c>
      <c r="AD712" s="47">
        <f t="shared" si="225"/>
        <v>96</v>
      </c>
      <c r="AE712" s="47">
        <f t="shared" si="226"/>
        <v>0</v>
      </c>
      <c r="AG712" s="47">
        <f t="shared" si="227"/>
        <v>96</v>
      </c>
      <c r="AH712" s="47">
        <f t="shared" si="228"/>
        <v>96</v>
      </c>
      <c r="AI712" s="208">
        <f t="shared" si="229"/>
        <v>0</v>
      </c>
    </row>
    <row r="713" spans="1:35">
      <c r="A713" t="s">
        <v>2112</v>
      </c>
      <c r="B713" t="s">
        <v>3155</v>
      </c>
      <c r="C713" t="s">
        <v>2464</v>
      </c>
      <c r="D713" t="s">
        <v>3988</v>
      </c>
      <c r="F713" t="s">
        <v>572</v>
      </c>
      <c r="G713" s="126">
        <f>SUMIFS('Support - Transition'!F:F,'Support - Transition'!B:B,'Step 2'!A713,'Support - Transition'!C:C,'Step 2'!B713,'Support - Transition'!D:D,'Step 2'!C713,'Support - Transition'!E:E,"CIVIL")</f>
        <v>0</v>
      </c>
      <c r="H713" s="126">
        <f>SUMIFS('Support - Transition'!F:F,'Support - Transition'!B:B,'Step 2'!A713,'Support - Transition'!C:C,'Step 2'!B713,'Support - Transition'!D:D,'Step 2'!C713,'Support - Transition'!E:E,"FIRE")</f>
        <v>0</v>
      </c>
      <c r="I713" s="126">
        <f>IF(B713="0",SUMIFS('Support - Transition'!F:F,'Support - Transition'!J:J,'Step 2'!D713,'Support - Transition'!E:E,"STATE UNIT"),SUMIFS('Support - Transition'!F:F,'Support - Transition'!J:J,'Step 2'!D713))</f>
        <v>1.3940000000000001E-3</v>
      </c>
      <c r="J713" s="126">
        <f>SUMIFS('Support - Unit Adjustments'!E:E,'Support - Unit Adjustments'!F:F,'Step 2'!D713)</f>
        <v>0</v>
      </c>
      <c r="K713" s="126">
        <f t="shared" si="213"/>
        <v>1.3940000000000001E-3</v>
      </c>
      <c r="L713" s="174">
        <f>VLOOKUP(A713,'Step 1'!$A:$E,4,FALSE)</f>
        <v>609989</v>
      </c>
      <c r="M713" s="47">
        <f t="shared" si="214"/>
        <v>850</v>
      </c>
      <c r="N713" s="177">
        <f>SUMIFS('Support - Transition'!G:G,'Support - Transition'!J:J,'Step 2'!D713,'Support - Transition'!E:E,"2009 WELFARE ALLOCATION FACTOR")</f>
        <v>0</v>
      </c>
      <c r="O713" s="152">
        <f t="shared" si="219"/>
        <v>0</v>
      </c>
      <c r="P713" s="126">
        <f>IF(E713="Y",0,SUMIFS('Support - Transition'!G:G,'Support - Transition'!J:J,'Step 2'!D713,'Support - Transition'!E:E,"2009 SCHOOL ALLOCATION FACTOR"))</f>
        <v>0</v>
      </c>
      <c r="Q713" s="126">
        <f>IF(E713="Y",VLOOKUP(D713,'Support - Unit Adjustments'!F:G,2,FALSE),0)</f>
        <v>0</v>
      </c>
      <c r="R713" s="155">
        <f t="shared" ref="R713:R776" si="231">+P713+Q713</f>
        <v>0</v>
      </c>
      <c r="S713" s="47">
        <f t="shared" si="230"/>
        <v>0</v>
      </c>
      <c r="T713" s="151">
        <f t="shared" si="215"/>
        <v>850</v>
      </c>
      <c r="U713" s="151">
        <f t="shared" si="216"/>
        <v>0</v>
      </c>
      <c r="V713" s="139">
        <f t="shared" si="217"/>
        <v>0</v>
      </c>
      <c r="W713" s="152">
        <f t="shared" si="220"/>
        <v>850</v>
      </c>
      <c r="X713" s="127" t="str">
        <f t="shared" si="218"/>
        <v/>
      </c>
      <c r="Y713" s="207">
        <f t="shared" si="221"/>
        <v>850</v>
      </c>
      <c r="Z713" s="139">
        <f t="shared" si="222"/>
        <v>850</v>
      </c>
      <c r="AA713" s="139">
        <f t="shared" si="223"/>
        <v>0</v>
      </c>
      <c r="AC713" s="47">
        <f t="shared" si="224"/>
        <v>425</v>
      </c>
      <c r="AD713" s="47">
        <f t="shared" si="225"/>
        <v>425</v>
      </c>
      <c r="AE713" s="47">
        <f t="shared" si="226"/>
        <v>0</v>
      </c>
      <c r="AG713" s="47">
        <f t="shared" si="227"/>
        <v>425</v>
      </c>
      <c r="AH713" s="47">
        <f t="shared" si="228"/>
        <v>425</v>
      </c>
      <c r="AI713" s="208">
        <f t="shared" si="229"/>
        <v>0</v>
      </c>
    </row>
    <row r="714" spans="1:35">
      <c r="A714" t="s">
        <v>2112</v>
      </c>
      <c r="B714" t="s">
        <v>3155</v>
      </c>
      <c r="C714" t="s">
        <v>2465</v>
      </c>
      <c r="D714" t="s">
        <v>3989</v>
      </c>
      <c r="F714" t="s">
        <v>3990</v>
      </c>
      <c r="G714" s="126">
        <f>SUMIFS('Support - Transition'!F:F,'Support - Transition'!B:B,'Step 2'!A714,'Support - Transition'!C:C,'Step 2'!B714,'Support - Transition'!D:D,'Step 2'!C714,'Support - Transition'!E:E,"CIVIL")</f>
        <v>0</v>
      </c>
      <c r="H714" s="126">
        <f>SUMIFS('Support - Transition'!F:F,'Support - Transition'!B:B,'Step 2'!A714,'Support - Transition'!C:C,'Step 2'!B714,'Support - Transition'!D:D,'Step 2'!C714,'Support - Transition'!E:E,"FIRE")</f>
        <v>0</v>
      </c>
      <c r="I714" s="126">
        <f>IF(B714="0",SUMIFS('Support - Transition'!F:F,'Support - Transition'!J:J,'Step 2'!D714,'Support - Transition'!E:E,"STATE UNIT"),SUMIFS('Support - Transition'!F:F,'Support - Transition'!J:J,'Step 2'!D714))</f>
        <v>4.0000000000000003E-5</v>
      </c>
      <c r="J714" s="126">
        <f>SUMIFS('Support - Unit Adjustments'!E:E,'Support - Unit Adjustments'!F:F,'Step 2'!D714)</f>
        <v>0</v>
      </c>
      <c r="K714" s="126">
        <f t="shared" si="213"/>
        <v>4.0000000000000003E-5</v>
      </c>
      <c r="L714" s="174">
        <f>VLOOKUP(A714,'Step 1'!$A:$E,4,FALSE)</f>
        <v>609989</v>
      </c>
      <c r="M714" s="47">
        <f t="shared" si="214"/>
        <v>24</v>
      </c>
      <c r="N714" s="177">
        <f>SUMIFS('Support - Transition'!G:G,'Support - Transition'!J:J,'Step 2'!D714,'Support - Transition'!E:E,"2009 WELFARE ALLOCATION FACTOR")</f>
        <v>0</v>
      </c>
      <c r="O714" s="152">
        <f t="shared" si="219"/>
        <v>0</v>
      </c>
      <c r="P714" s="126">
        <f>IF(E714="Y",0,SUMIFS('Support - Transition'!G:G,'Support - Transition'!J:J,'Step 2'!D714,'Support - Transition'!E:E,"2009 SCHOOL ALLOCATION FACTOR"))</f>
        <v>0</v>
      </c>
      <c r="Q714" s="126">
        <f>IF(E714="Y",VLOOKUP(D714,'Support - Unit Adjustments'!F:G,2,FALSE),0)</f>
        <v>0</v>
      </c>
      <c r="R714" s="155">
        <f t="shared" si="231"/>
        <v>0</v>
      </c>
      <c r="S714" s="47">
        <f t="shared" si="230"/>
        <v>0</v>
      </c>
      <c r="T714" s="151">
        <f t="shared" si="215"/>
        <v>24</v>
      </c>
      <c r="U714" s="151">
        <f t="shared" si="216"/>
        <v>0</v>
      </c>
      <c r="V714" s="139">
        <f t="shared" si="217"/>
        <v>0</v>
      </c>
      <c r="W714" s="152">
        <f t="shared" si="220"/>
        <v>24</v>
      </c>
      <c r="X714" s="127" t="str">
        <f t="shared" si="218"/>
        <v/>
      </c>
      <c r="Y714" s="207">
        <f t="shared" si="221"/>
        <v>24</v>
      </c>
      <c r="Z714" s="139">
        <f t="shared" si="222"/>
        <v>24</v>
      </c>
      <c r="AA714" s="139">
        <f t="shared" si="223"/>
        <v>0</v>
      </c>
      <c r="AC714" s="47">
        <f t="shared" si="224"/>
        <v>12</v>
      </c>
      <c r="AD714" s="47">
        <f t="shared" si="225"/>
        <v>12</v>
      </c>
      <c r="AE714" s="47">
        <f t="shared" si="226"/>
        <v>0</v>
      </c>
      <c r="AG714" s="47">
        <f t="shared" si="227"/>
        <v>12</v>
      </c>
      <c r="AH714" s="47">
        <f t="shared" si="228"/>
        <v>12</v>
      </c>
      <c r="AI714" s="208">
        <f t="shared" si="229"/>
        <v>0</v>
      </c>
    </row>
    <row r="715" spans="1:35">
      <c r="A715" t="s">
        <v>2112</v>
      </c>
      <c r="B715" t="s">
        <v>3155</v>
      </c>
      <c r="C715" t="s">
        <v>2466</v>
      </c>
      <c r="D715" t="s">
        <v>3991</v>
      </c>
      <c r="F715" t="s">
        <v>574</v>
      </c>
      <c r="G715" s="126">
        <f>SUMIFS('Support - Transition'!F:F,'Support - Transition'!B:B,'Step 2'!A715,'Support - Transition'!C:C,'Step 2'!B715,'Support - Transition'!D:D,'Step 2'!C715,'Support - Transition'!E:E,"CIVIL")</f>
        <v>0</v>
      </c>
      <c r="H715" s="126">
        <f>SUMIFS('Support - Transition'!F:F,'Support - Transition'!B:B,'Step 2'!A715,'Support - Transition'!C:C,'Step 2'!B715,'Support - Transition'!D:D,'Step 2'!C715,'Support - Transition'!E:E,"FIRE")</f>
        <v>0</v>
      </c>
      <c r="I715" s="126">
        <f>IF(B715="0",SUMIFS('Support - Transition'!F:F,'Support - Transition'!J:J,'Step 2'!D715,'Support - Transition'!E:E,"STATE UNIT"),SUMIFS('Support - Transition'!F:F,'Support - Transition'!J:J,'Step 2'!D715))</f>
        <v>9.9500000000000001E-4</v>
      </c>
      <c r="J715" s="126">
        <f>SUMIFS('Support - Unit Adjustments'!E:E,'Support - Unit Adjustments'!F:F,'Step 2'!D715)</f>
        <v>0</v>
      </c>
      <c r="K715" s="126">
        <f t="shared" si="213"/>
        <v>9.9500000000000001E-4</v>
      </c>
      <c r="L715" s="174">
        <f>VLOOKUP(A715,'Step 1'!$A:$E,4,FALSE)</f>
        <v>609989</v>
      </c>
      <c r="M715" s="47">
        <f t="shared" si="214"/>
        <v>607</v>
      </c>
      <c r="N715" s="177">
        <f>SUMIFS('Support - Transition'!G:G,'Support - Transition'!J:J,'Step 2'!D715,'Support - Transition'!E:E,"2009 WELFARE ALLOCATION FACTOR")</f>
        <v>0</v>
      </c>
      <c r="O715" s="152">
        <f t="shared" si="219"/>
        <v>0</v>
      </c>
      <c r="P715" s="126">
        <f>IF(E715="Y",0,SUMIFS('Support - Transition'!G:G,'Support - Transition'!J:J,'Step 2'!D715,'Support - Transition'!E:E,"2009 SCHOOL ALLOCATION FACTOR"))</f>
        <v>0</v>
      </c>
      <c r="Q715" s="126">
        <f>IF(E715="Y",VLOOKUP(D715,'Support - Unit Adjustments'!F:G,2,FALSE),0)</f>
        <v>0</v>
      </c>
      <c r="R715" s="155">
        <f t="shared" si="231"/>
        <v>0</v>
      </c>
      <c r="S715" s="47">
        <f t="shared" si="230"/>
        <v>0</v>
      </c>
      <c r="T715" s="151">
        <f t="shared" si="215"/>
        <v>607</v>
      </c>
      <c r="U715" s="151">
        <f t="shared" si="216"/>
        <v>0</v>
      </c>
      <c r="V715" s="139">
        <f t="shared" si="217"/>
        <v>0</v>
      </c>
      <c r="W715" s="152">
        <f t="shared" si="220"/>
        <v>607</v>
      </c>
      <c r="X715" s="127" t="str">
        <f t="shared" si="218"/>
        <v/>
      </c>
      <c r="Y715" s="207">
        <f t="shared" si="221"/>
        <v>607</v>
      </c>
      <c r="Z715" s="139">
        <f t="shared" si="222"/>
        <v>607</v>
      </c>
      <c r="AA715" s="139">
        <f t="shared" si="223"/>
        <v>0</v>
      </c>
      <c r="AC715" s="47">
        <f t="shared" si="224"/>
        <v>304</v>
      </c>
      <c r="AD715" s="47">
        <f t="shared" si="225"/>
        <v>304</v>
      </c>
      <c r="AE715" s="47">
        <f t="shared" si="226"/>
        <v>0</v>
      </c>
      <c r="AG715" s="47">
        <f t="shared" si="227"/>
        <v>303</v>
      </c>
      <c r="AH715" s="47">
        <f t="shared" si="228"/>
        <v>303</v>
      </c>
      <c r="AI715" s="208">
        <f t="shared" si="229"/>
        <v>0</v>
      </c>
    </row>
    <row r="716" spans="1:35">
      <c r="A716" t="s">
        <v>2112</v>
      </c>
      <c r="B716" t="s">
        <v>3155</v>
      </c>
      <c r="C716" t="s">
        <v>2467</v>
      </c>
      <c r="D716" t="s">
        <v>3992</v>
      </c>
      <c r="F716" t="s">
        <v>576</v>
      </c>
      <c r="G716" s="126">
        <f>SUMIFS('Support - Transition'!F:F,'Support - Transition'!B:B,'Step 2'!A716,'Support - Transition'!C:C,'Step 2'!B716,'Support - Transition'!D:D,'Step 2'!C716,'Support - Transition'!E:E,"CIVIL")</f>
        <v>0</v>
      </c>
      <c r="H716" s="126">
        <f>SUMIFS('Support - Transition'!F:F,'Support - Transition'!B:B,'Step 2'!A716,'Support - Transition'!C:C,'Step 2'!B716,'Support - Transition'!D:D,'Step 2'!C716,'Support - Transition'!E:E,"FIRE")</f>
        <v>0</v>
      </c>
      <c r="I716" s="126">
        <f>IF(B716="0",SUMIFS('Support - Transition'!F:F,'Support - Transition'!J:J,'Step 2'!D716,'Support - Transition'!E:E,"STATE UNIT"),SUMIFS('Support - Transition'!F:F,'Support - Transition'!J:J,'Step 2'!D716))</f>
        <v>3.2699999999999999E-3</v>
      </c>
      <c r="J716" s="126">
        <f>SUMIFS('Support - Unit Adjustments'!E:E,'Support - Unit Adjustments'!F:F,'Step 2'!D716)</f>
        <v>0</v>
      </c>
      <c r="K716" s="126">
        <f t="shared" si="213"/>
        <v>3.2699999999999999E-3</v>
      </c>
      <c r="L716" s="174">
        <f>VLOOKUP(A716,'Step 1'!$A:$E,4,FALSE)</f>
        <v>609989</v>
      </c>
      <c r="M716" s="47">
        <f t="shared" si="214"/>
        <v>1995</v>
      </c>
      <c r="N716" s="177">
        <f>SUMIFS('Support - Transition'!G:G,'Support - Transition'!J:J,'Step 2'!D716,'Support - Transition'!E:E,"2009 WELFARE ALLOCATION FACTOR")</f>
        <v>0</v>
      </c>
      <c r="O716" s="152">
        <f t="shared" si="219"/>
        <v>0</v>
      </c>
      <c r="P716" s="126">
        <f>IF(E716="Y",0,SUMIFS('Support - Transition'!G:G,'Support - Transition'!J:J,'Step 2'!D716,'Support - Transition'!E:E,"2009 SCHOOL ALLOCATION FACTOR"))</f>
        <v>0</v>
      </c>
      <c r="Q716" s="126">
        <f>IF(E716="Y",VLOOKUP(D716,'Support - Unit Adjustments'!F:G,2,FALSE),0)</f>
        <v>0</v>
      </c>
      <c r="R716" s="155">
        <f t="shared" si="231"/>
        <v>0</v>
      </c>
      <c r="S716" s="47">
        <f t="shared" si="230"/>
        <v>0</v>
      </c>
      <c r="T716" s="151">
        <f t="shared" si="215"/>
        <v>1995</v>
      </c>
      <c r="U716" s="151">
        <f t="shared" si="216"/>
        <v>0</v>
      </c>
      <c r="V716" s="139">
        <f t="shared" si="217"/>
        <v>0</v>
      </c>
      <c r="W716" s="152">
        <f t="shared" si="220"/>
        <v>1995</v>
      </c>
      <c r="X716" s="127" t="str">
        <f t="shared" si="218"/>
        <v/>
      </c>
      <c r="Y716" s="207">
        <f t="shared" si="221"/>
        <v>1995</v>
      </c>
      <c r="Z716" s="139">
        <f t="shared" si="222"/>
        <v>1995</v>
      </c>
      <c r="AA716" s="139">
        <f t="shared" si="223"/>
        <v>0</v>
      </c>
      <c r="AC716" s="47">
        <f t="shared" si="224"/>
        <v>998</v>
      </c>
      <c r="AD716" s="47">
        <f t="shared" si="225"/>
        <v>998</v>
      </c>
      <c r="AE716" s="47">
        <f t="shared" si="226"/>
        <v>0</v>
      </c>
      <c r="AG716" s="47">
        <f t="shared" si="227"/>
        <v>997</v>
      </c>
      <c r="AH716" s="47">
        <f t="shared" si="228"/>
        <v>997</v>
      </c>
      <c r="AI716" s="208">
        <f t="shared" si="229"/>
        <v>0</v>
      </c>
    </row>
    <row r="717" spans="1:35">
      <c r="A717" t="s">
        <v>2112</v>
      </c>
      <c r="B717" t="s">
        <v>3155</v>
      </c>
      <c r="C717" t="s">
        <v>2468</v>
      </c>
      <c r="D717" t="s">
        <v>3993</v>
      </c>
      <c r="F717" t="s">
        <v>577</v>
      </c>
      <c r="G717" s="126">
        <f>SUMIFS('Support - Transition'!F:F,'Support - Transition'!B:B,'Step 2'!A717,'Support - Transition'!C:C,'Step 2'!B717,'Support - Transition'!D:D,'Step 2'!C717,'Support - Transition'!E:E,"CIVIL")</f>
        <v>0</v>
      </c>
      <c r="H717" s="126">
        <f>SUMIFS('Support - Transition'!F:F,'Support - Transition'!B:B,'Step 2'!A717,'Support - Transition'!C:C,'Step 2'!B717,'Support - Transition'!D:D,'Step 2'!C717,'Support - Transition'!E:E,"FIRE")</f>
        <v>0</v>
      </c>
      <c r="I717" s="126">
        <f>IF(B717="0",SUMIFS('Support - Transition'!F:F,'Support - Transition'!J:J,'Step 2'!D717,'Support - Transition'!E:E,"STATE UNIT"),SUMIFS('Support - Transition'!F:F,'Support - Transition'!J:J,'Step 2'!D717))</f>
        <v>6.9999999999999994E-5</v>
      </c>
      <c r="J717" s="126">
        <f>SUMIFS('Support - Unit Adjustments'!E:E,'Support - Unit Adjustments'!F:F,'Step 2'!D717)</f>
        <v>0</v>
      </c>
      <c r="K717" s="126">
        <f t="shared" si="213"/>
        <v>6.9999999999999994E-5</v>
      </c>
      <c r="L717" s="174">
        <f>VLOOKUP(A717,'Step 1'!$A:$E,4,FALSE)</f>
        <v>609989</v>
      </c>
      <c r="M717" s="47">
        <f t="shared" si="214"/>
        <v>43</v>
      </c>
      <c r="N717" s="177">
        <f>SUMIFS('Support - Transition'!G:G,'Support - Transition'!J:J,'Step 2'!D717,'Support - Transition'!E:E,"2009 WELFARE ALLOCATION FACTOR")</f>
        <v>0</v>
      </c>
      <c r="O717" s="152">
        <f t="shared" si="219"/>
        <v>0</v>
      </c>
      <c r="P717" s="126">
        <f>IF(E717="Y",0,SUMIFS('Support - Transition'!G:G,'Support - Transition'!J:J,'Step 2'!D717,'Support - Transition'!E:E,"2009 SCHOOL ALLOCATION FACTOR"))</f>
        <v>0</v>
      </c>
      <c r="Q717" s="126">
        <f>IF(E717="Y",VLOOKUP(D717,'Support - Unit Adjustments'!F:G,2,FALSE),0)</f>
        <v>0</v>
      </c>
      <c r="R717" s="155">
        <f t="shared" si="231"/>
        <v>0</v>
      </c>
      <c r="S717" s="47">
        <f t="shared" si="230"/>
        <v>0</v>
      </c>
      <c r="T717" s="151">
        <f t="shared" si="215"/>
        <v>43</v>
      </c>
      <c r="U717" s="151">
        <f t="shared" si="216"/>
        <v>0</v>
      </c>
      <c r="V717" s="139">
        <f t="shared" si="217"/>
        <v>0</v>
      </c>
      <c r="W717" s="152">
        <f t="shared" si="220"/>
        <v>43</v>
      </c>
      <c r="X717" s="127" t="str">
        <f t="shared" si="218"/>
        <v/>
      </c>
      <c r="Y717" s="207">
        <f t="shared" si="221"/>
        <v>43</v>
      </c>
      <c r="Z717" s="139">
        <f t="shared" si="222"/>
        <v>43</v>
      </c>
      <c r="AA717" s="139">
        <f t="shared" si="223"/>
        <v>0</v>
      </c>
      <c r="AC717" s="47">
        <f t="shared" si="224"/>
        <v>22</v>
      </c>
      <c r="AD717" s="47">
        <f t="shared" si="225"/>
        <v>22</v>
      </c>
      <c r="AE717" s="47">
        <f t="shared" si="226"/>
        <v>0</v>
      </c>
      <c r="AG717" s="47">
        <f t="shared" si="227"/>
        <v>21</v>
      </c>
      <c r="AH717" s="47">
        <f t="shared" si="228"/>
        <v>21</v>
      </c>
      <c r="AI717" s="208">
        <f t="shared" si="229"/>
        <v>0</v>
      </c>
    </row>
    <row r="718" spans="1:35">
      <c r="A718" t="s">
        <v>2112</v>
      </c>
      <c r="B718" t="s">
        <v>3155</v>
      </c>
      <c r="C718" t="s">
        <v>2469</v>
      </c>
      <c r="D718" t="s">
        <v>3994</v>
      </c>
      <c r="F718" t="s">
        <v>579</v>
      </c>
      <c r="G718" s="126">
        <f>SUMIFS('Support - Transition'!F:F,'Support - Transition'!B:B,'Step 2'!A718,'Support - Transition'!C:C,'Step 2'!B718,'Support - Transition'!D:D,'Step 2'!C718,'Support - Transition'!E:E,"CIVIL")</f>
        <v>0</v>
      </c>
      <c r="H718" s="126">
        <f>SUMIFS('Support - Transition'!F:F,'Support - Transition'!B:B,'Step 2'!A718,'Support - Transition'!C:C,'Step 2'!B718,'Support - Transition'!D:D,'Step 2'!C718,'Support - Transition'!E:E,"FIRE")</f>
        <v>0</v>
      </c>
      <c r="I718" s="126">
        <f>IF(B718="0",SUMIFS('Support - Transition'!F:F,'Support - Transition'!J:J,'Step 2'!D718,'Support - Transition'!E:E,"STATE UNIT"),SUMIFS('Support - Transition'!F:F,'Support - Transition'!J:J,'Step 2'!D718))</f>
        <v>0</v>
      </c>
      <c r="J718" s="126">
        <f>SUMIFS('Support - Unit Adjustments'!E:E,'Support - Unit Adjustments'!F:F,'Step 2'!D718)</f>
        <v>0</v>
      </c>
      <c r="K718" s="126">
        <f t="shared" si="213"/>
        <v>0</v>
      </c>
      <c r="L718" s="174">
        <f>VLOOKUP(A718,'Step 1'!$A:$E,4,FALSE)</f>
        <v>609989</v>
      </c>
      <c r="M718" s="47">
        <f t="shared" si="214"/>
        <v>0</v>
      </c>
      <c r="N718" s="177">
        <f>SUMIFS('Support - Transition'!G:G,'Support - Transition'!J:J,'Step 2'!D718,'Support - Transition'!E:E,"2009 WELFARE ALLOCATION FACTOR")</f>
        <v>0</v>
      </c>
      <c r="O718" s="152">
        <f t="shared" si="219"/>
        <v>0</v>
      </c>
      <c r="P718" s="126">
        <f>IF(E718="Y",0,SUMIFS('Support - Transition'!G:G,'Support - Transition'!J:J,'Step 2'!D718,'Support - Transition'!E:E,"2009 SCHOOL ALLOCATION FACTOR"))</f>
        <v>0</v>
      </c>
      <c r="Q718" s="126">
        <f>IF(E718="Y",VLOOKUP(D718,'Support - Unit Adjustments'!F:G,2,FALSE),0)</f>
        <v>0</v>
      </c>
      <c r="R718" s="155">
        <f t="shared" si="231"/>
        <v>0</v>
      </c>
      <c r="S718" s="47">
        <f t="shared" si="230"/>
        <v>0</v>
      </c>
      <c r="T718" s="151">
        <f t="shared" si="215"/>
        <v>0</v>
      </c>
      <c r="U718" s="151">
        <f t="shared" si="216"/>
        <v>0</v>
      </c>
      <c r="V718" s="139">
        <f t="shared" si="217"/>
        <v>0</v>
      </c>
      <c r="W718" s="152">
        <f t="shared" si="220"/>
        <v>0</v>
      </c>
      <c r="X718" s="127" t="str">
        <f t="shared" si="218"/>
        <v/>
      </c>
      <c r="Y718" s="207">
        <f t="shared" si="221"/>
        <v>0</v>
      </c>
      <c r="Z718" s="139">
        <f t="shared" si="222"/>
        <v>0</v>
      </c>
      <c r="AA718" s="139">
        <f t="shared" si="223"/>
        <v>0</v>
      </c>
      <c r="AC718" s="47">
        <f t="shared" si="224"/>
        <v>0</v>
      </c>
      <c r="AD718" s="47">
        <f t="shared" si="225"/>
        <v>0</v>
      </c>
      <c r="AE718" s="47">
        <f t="shared" si="226"/>
        <v>0</v>
      </c>
      <c r="AG718" s="47">
        <f t="shared" si="227"/>
        <v>0</v>
      </c>
      <c r="AH718" s="47">
        <f t="shared" si="228"/>
        <v>0</v>
      </c>
      <c r="AI718" s="208">
        <f t="shared" si="229"/>
        <v>0</v>
      </c>
    </row>
    <row r="719" spans="1:35">
      <c r="A719" t="s">
        <v>2112</v>
      </c>
      <c r="B719" t="s">
        <v>3160</v>
      </c>
      <c r="C719" t="s">
        <v>2470</v>
      </c>
      <c r="D719" t="s">
        <v>3995</v>
      </c>
      <c r="F719" t="s">
        <v>580</v>
      </c>
      <c r="G719" s="126">
        <f>SUMIFS('Support - Transition'!F:F,'Support - Transition'!B:B,'Step 2'!A719,'Support - Transition'!C:C,'Step 2'!B719,'Support - Transition'!D:D,'Step 2'!C719,'Support - Transition'!E:E,"CIVIL")</f>
        <v>0</v>
      </c>
      <c r="H719" s="126">
        <f>SUMIFS('Support - Transition'!F:F,'Support - Transition'!B:B,'Step 2'!A719,'Support - Transition'!C:C,'Step 2'!B719,'Support - Transition'!D:D,'Step 2'!C719,'Support - Transition'!E:E,"FIRE")</f>
        <v>0</v>
      </c>
      <c r="I719" s="126">
        <f>IF(B719="0",SUMIFS('Support - Transition'!F:F,'Support - Transition'!J:J,'Step 2'!D719,'Support - Transition'!E:E,"STATE UNIT"),SUMIFS('Support - Transition'!F:F,'Support - Transition'!J:J,'Step 2'!D719))</f>
        <v>0.249777</v>
      </c>
      <c r="J719" s="126">
        <f>SUMIFS('Support - Unit Adjustments'!E:E,'Support - Unit Adjustments'!F:F,'Step 2'!D719)</f>
        <v>0</v>
      </c>
      <c r="K719" s="126">
        <f t="shared" si="213"/>
        <v>0.249777</v>
      </c>
      <c r="L719" s="174">
        <f>VLOOKUP(A719,'Step 1'!$A:$E,4,FALSE)</f>
        <v>609989</v>
      </c>
      <c r="M719" s="47">
        <f t="shared" si="214"/>
        <v>152361</v>
      </c>
      <c r="N719" s="177">
        <f>SUMIFS('Support - Transition'!G:G,'Support - Transition'!J:J,'Step 2'!D719,'Support - Transition'!E:E,"2009 WELFARE ALLOCATION FACTOR")</f>
        <v>0</v>
      </c>
      <c r="O719" s="152">
        <f t="shared" si="219"/>
        <v>0</v>
      </c>
      <c r="P719" s="126">
        <f>IF(E719="Y",0,SUMIFS('Support - Transition'!G:G,'Support - Transition'!J:J,'Step 2'!D719,'Support - Transition'!E:E,"2009 SCHOOL ALLOCATION FACTOR"))</f>
        <v>0.49513499999999999</v>
      </c>
      <c r="Q719" s="126">
        <f>IF(E719="Y",VLOOKUP(D719,'Support - Unit Adjustments'!F:G,2,FALSE),0)</f>
        <v>0</v>
      </c>
      <c r="R719" s="155">
        <f t="shared" si="231"/>
        <v>0.49513499999999999</v>
      </c>
      <c r="S719" s="47">
        <f t="shared" si="230"/>
        <v>75439</v>
      </c>
      <c r="T719" s="151">
        <f t="shared" si="215"/>
        <v>76922</v>
      </c>
      <c r="U719" s="151">
        <f t="shared" si="216"/>
        <v>0</v>
      </c>
      <c r="V719" s="139">
        <f t="shared" si="217"/>
        <v>0</v>
      </c>
      <c r="W719" s="152">
        <f t="shared" si="220"/>
        <v>76922</v>
      </c>
      <c r="X719" s="127" t="str">
        <f t="shared" si="218"/>
        <v/>
      </c>
      <c r="Y719" s="207">
        <f t="shared" si="221"/>
        <v>76922</v>
      </c>
      <c r="Z719" s="139">
        <f t="shared" si="222"/>
        <v>76922</v>
      </c>
      <c r="AA719" s="139">
        <f t="shared" si="223"/>
        <v>0</v>
      </c>
      <c r="AC719" s="47">
        <f t="shared" si="224"/>
        <v>38461</v>
      </c>
      <c r="AD719" s="47">
        <f t="shared" si="225"/>
        <v>38461</v>
      </c>
      <c r="AE719" s="47">
        <f t="shared" si="226"/>
        <v>0</v>
      </c>
      <c r="AG719" s="47">
        <f t="shared" si="227"/>
        <v>38461</v>
      </c>
      <c r="AH719" s="47">
        <f t="shared" si="228"/>
        <v>38461</v>
      </c>
      <c r="AI719" s="208">
        <f t="shared" si="229"/>
        <v>0</v>
      </c>
    </row>
    <row r="720" spans="1:35">
      <c r="A720" t="s">
        <v>2112</v>
      </c>
      <c r="B720" t="s">
        <v>3160</v>
      </c>
      <c r="C720" t="s">
        <v>2471</v>
      </c>
      <c r="D720" t="s">
        <v>3996</v>
      </c>
      <c r="F720" t="s">
        <v>581</v>
      </c>
      <c r="G720" s="126">
        <f>SUMIFS('Support - Transition'!F:F,'Support - Transition'!B:B,'Step 2'!A720,'Support - Transition'!C:C,'Step 2'!B720,'Support - Transition'!D:D,'Step 2'!C720,'Support - Transition'!E:E,"CIVIL")</f>
        <v>0</v>
      </c>
      <c r="H720" s="126">
        <f>SUMIFS('Support - Transition'!F:F,'Support - Transition'!B:B,'Step 2'!A720,'Support - Transition'!C:C,'Step 2'!B720,'Support - Transition'!D:D,'Step 2'!C720,'Support - Transition'!E:E,"FIRE")</f>
        <v>0</v>
      </c>
      <c r="I720" s="126">
        <f>IF(B720="0",SUMIFS('Support - Transition'!F:F,'Support - Transition'!J:J,'Step 2'!D720,'Support - Transition'!E:E,"STATE UNIT"),SUMIFS('Support - Transition'!F:F,'Support - Transition'!J:J,'Step 2'!D720))</f>
        <v>0.208508</v>
      </c>
      <c r="J720" s="126">
        <f>SUMIFS('Support - Unit Adjustments'!E:E,'Support - Unit Adjustments'!F:F,'Step 2'!D720)</f>
        <v>0</v>
      </c>
      <c r="K720" s="126">
        <f t="shared" si="213"/>
        <v>0.208508</v>
      </c>
      <c r="L720" s="174">
        <f>VLOOKUP(A720,'Step 1'!$A:$E,4,FALSE)</f>
        <v>609989</v>
      </c>
      <c r="M720" s="47">
        <f t="shared" si="214"/>
        <v>127188</v>
      </c>
      <c r="N720" s="177">
        <f>SUMIFS('Support - Transition'!G:G,'Support - Transition'!J:J,'Step 2'!D720,'Support - Transition'!E:E,"2009 WELFARE ALLOCATION FACTOR")</f>
        <v>0</v>
      </c>
      <c r="O720" s="152">
        <f t="shared" si="219"/>
        <v>0</v>
      </c>
      <c r="P720" s="126">
        <f>IF(E720="Y",0,SUMIFS('Support - Transition'!G:G,'Support - Transition'!J:J,'Step 2'!D720,'Support - Transition'!E:E,"2009 SCHOOL ALLOCATION FACTOR"))</f>
        <v>0.45051099999999999</v>
      </c>
      <c r="Q720" s="126">
        <f>IF(E720="Y",VLOOKUP(D720,'Support - Unit Adjustments'!F:G,2,FALSE),0)</f>
        <v>0</v>
      </c>
      <c r="R720" s="155">
        <f t="shared" si="231"/>
        <v>0.45051099999999999</v>
      </c>
      <c r="S720" s="47">
        <f t="shared" si="230"/>
        <v>57300</v>
      </c>
      <c r="T720" s="151">
        <f t="shared" si="215"/>
        <v>69888</v>
      </c>
      <c r="U720" s="151">
        <f t="shared" si="216"/>
        <v>0</v>
      </c>
      <c r="V720" s="139">
        <f t="shared" si="217"/>
        <v>0</v>
      </c>
      <c r="W720" s="152">
        <f t="shared" si="220"/>
        <v>69888</v>
      </c>
      <c r="X720" s="127" t="str">
        <f t="shared" si="218"/>
        <v/>
      </c>
      <c r="Y720" s="207">
        <f t="shared" si="221"/>
        <v>69888</v>
      </c>
      <c r="Z720" s="139">
        <f t="shared" si="222"/>
        <v>69888</v>
      </c>
      <c r="AA720" s="139">
        <f t="shared" si="223"/>
        <v>0</v>
      </c>
      <c r="AC720" s="47">
        <f t="shared" si="224"/>
        <v>34944</v>
      </c>
      <c r="AD720" s="47">
        <f t="shared" si="225"/>
        <v>34944</v>
      </c>
      <c r="AE720" s="47">
        <f t="shared" si="226"/>
        <v>0</v>
      </c>
      <c r="AG720" s="47">
        <f t="shared" si="227"/>
        <v>34944</v>
      </c>
      <c r="AH720" s="47">
        <f t="shared" si="228"/>
        <v>34944</v>
      </c>
      <c r="AI720" s="208">
        <f t="shared" si="229"/>
        <v>0</v>
      </c>
    </row>
    <row r="721" spans="1:35">
      <c r="A721" t="s">
        <v>2112</v>
      </c>
      <c r="B721" t="s">
        <v>3160</v>
      </c>
      <c r="C721" t="s">
        <v>2472</v>
      </c>
      <c r="D721" t="s">
        <v>3997</v>
      </c>
      <c r="F721" t="s">
        <v>582</v>
      </c>
      <c r="G721" s="126">
        <f>SUMIFS('Support - Transition'!F:F,'Support - Transition'!B:B,'Step 2'!A721,'Support - Transition'!C:C,'Step 2'!B721,'Support - Transition'!D:D,'Step 2'!C721,'Support - Transition'!E:E,"CIVIL")</f>
        <v>0</v>
      </c>
      <c r="H721" s="126">
        <f>SUMIFS('Support - Transition'!F:F,'Support - Transition'!B:B,'Step 2'!A721,'Support - Transition'!C:C,'Step 2'!B721,'Support - Transition'!D:D,'Step 2'!C721,'Support - Transition'!E:E,"FIRE")</f>
        <v>0</v>
      </c>
      <c r="I721" s="126">
        <f>IF(B721="0",SUMIFS('Support - Transition'!F:F,'Support - Transition'!J:J,'Step 2'!D721,'Support - Transition'!E:E,"STATE UNIT"),SUMIFS('Support - Transition'!F:F,'Support - Transition'!J:J,'Step 2'!D721))</f>
        <v>0.15966900000000001</v>
      </c>
      <c r="J721" s="126">
        <f>SUMIFS('Support - Unit Adjustments'!E:E,'Support - Unit Adjustments'!F:F,'Step 2'!D721)</f>
        <v>0</v>
      </c>
      <c r="K721" s="126">
        <f t="shared" si="213"/>
        <v>0.15966900000000001</v>
      </c>
      <c r="L721" s="174">
        <f>VLOOKUP(A721,'Step 1'!$A:$E,4,FALSE)</f>
        <v>609989</v>
      </c>
      <c r="M721" s="47">
        <f t="shared" si="214"/>
        <v>97396</v>
      </c>
      <c r="N721" s="177">
        <f>SUMIFS('Support - Transition'!G:G,'Support - Transition'!J:J,'Step 2'!D721,'Support - Transition'!E:E,"2009 WELFARE ALLOCATION FACTOR")</f>
        <v>0</v>
      </c>
      <c r="O721" s="152">
        <f t="shared" si="219"/>
        <v>0</v>
      </c>
      <c r="P721" s="126">
        <f>IF(E721="Y",0,SUMIFS('Support - Transition'!G:G,'Support - Transition'!J:J,'Step 2'!D721,'Support - Transition'!E:E,"2009 SCHOOL ALLOCATION FACTOR"))</f>
        <v>0.48452499999999998</v>
      </c>
      <c r="Q721" s="126">
        <f>IF(E721="Y",VLOOKUP(D721,'Support - Unit Adjustments'!F:G,2,FALSE),0)</f>
        <v>0</v>
      </c>
      <c r="R721" s="155">
        <f t="shared" si="231"/>
        <v>0.48452499999999998</v>
      </c>
      <c r="S721" s="47">
        <f t="shared" si="230"/>
        <v>47191</v>
      </c>
      <c r="T721" s="151">
        <f t="shared" si="215"/>
        <v>50205</v>
      </c>
      <c r="U721" s="151">
        <f t="shared" si="216"/>
        <v>0</v>
      </c>
      <c r="V721" s="139">
        <f t="shared" si="217"/>
        <v>0</v>
      </c>
      <c r="W721" s="152">
        <f t="shared" si="220"/>
        <v>50205</v>
      </c>
      <c r="X721" s="127" t="str">
        <f t="shared" si="218"/>
        <v/>
      </c>
      <c r="Y721" s="207">
        <f t="shared" si="221"/>
        <v>50205</v>
      </c>
      <c r="Z721" s="139">
        <f t="shared" si="222"/>
        <v>50205</v>
      </c>
      <c r="AA721" s="139">
        <f t="shared" si="223"/>
        <v>0</v>
      </c>
      <c r="AC721" s="47">
        <f t="shared" si="224"/>
        <v>25103</v>
      </c>
      <c r="AD721" s="47">
        <f t="shared" si="225"/>
        <v>25103</v>
      </c>
      <c r="AE721" s="47">
        <f t="shared" si="226"/>
        <v>0</v>
      </c>
      <c r="AG721" s="47">
        <f t="shared" si="227"/>
        <v>25102</v>
      </c>
      <c r="AH721" s="47">
        <f t="shared" si="228"/>
        <v>25102</v>
      </c>
      <c r="AI721" s="208">
        <f t="shared" si="229"/>
        <v>0</v>
      </c>
    </row>
    <row r="722" spans="1:35">
      <c r="A722" t="s">
        <v>2112</v>
      </c>
      <c r="B722" t="s">
        <v>3166</v>
      </c>
      <c r="C722" t="s">
        <v>3998</v>
      </c>
      <c r="D722" t="s">
        <v>3999</v>
      </c>
      <c r="F722" t="s">
        <v>4000</v>
      </c>
      <c r="G722" s="126">
        <f>SUMIFS('Support - Transition'!F:F,'Support - Transition'!B:B,'Step 2'!A722,'Support - Transition'!C:C,'Step 2'!B722,'Support - Transition'!D:D,'Step 2'!C722,'Support - Transition'!E:E,"CIVIL")</f>
        <v>0</v>
      </c>
      <c r="H722" s="126">
        <f>SUMIFS('Support - Transition'!F:F,'Support - Transition'!B:B,'Step 2'!A722,'Support - Transition'!C:C,'Step 2'!B722,'Support - Transition'!D:D,'Step 2'!C722,'Support - Transition'!E:E,"FIRE")</f>
        <v>0</v>
      </c>
      <c r="I722" s="126">
        <f>IF(B722="0",SUMIFS('Support - Transition'!F:F,'Support - Transition'!J:J,'Step 2'!D722,'Support - Transition'!E:E,"STATE UNIT"),SUMIFS('Support - Transition'!F:F,'Support - Transition'!J:J,'Step 2'!D722))</f>
        <v>5.1110000000000001E-3</v>
      </c>
      <c r="J722" s="126">
        <f>SUMIFS('Support - Unit Adjustments'!E:E,'Support - Unit Adjustments'!F:F,'Step 2'!D722)</f>
        <v>0</v>
      </c>
      <c r="K722" s="126">
        <f t="shared" si="213"/>
        <v>5.1110000000000001E-3</v>
      </c>
      <c r="L722" s="174">
        <f>VLOOKUP(A722,'Step 1'!$A:$E,4,FALSE)</f>
        <v>609989</v>
      </c>
      <c r="M722" s="47">
        <f t="shared" si="214"/>
        <v>3118</v>
      </c>
      <c r="N722" s="177">
        <f>SUMIFS('Support - Transition'!G:G,'Support - Transition'!J:J,'Step 2'!D722,'Support - Transition'!E:E,"2009 WELFARE ALLOCATION FACTOR")</f>
        <v>0</v>
      </c>
      <c r="O722" s="152">
        <f t="shared" si="219"/>
        <v>0</v>
      </c>
      <c r="P722" s="126">
        <f>IF(E722="Y",0,SUMIFS('Support - Transition'!G:G,'Support - Transition'!J:J,'Step 2'!D722,'Support - Transition'!E:E,"2009 SCHOOL ALLOCATION FACTOR"))</f>
        <v>0</v>
      </c>
      <c r="Q722" s="126">
        <f>IF(E722="Y",VLOOKUP(D722,'Support - Unit Adjustments'!F:G,2,FALSE),0)</f>
        <v>0</v>
      </c>
      <c r="R722" s="155">
        <f t="shared" si="231"/>
        <v>0</v>
      </c>
      <c r="S722" s="47">
        <f t="shared" si="230"/>
        <v>0</v>
      </c>
      <c r="T722" s="151">
        <f t="shared" si="215"/>
        <v>3118</v>
      </c>
      <c r="U722" s="151">
        <f t="shared" si="216"/>
        <v>0</v>
      </c>
      <c r="V722" s="139">
        <f t="shared" si="217"/>
        <v>0</v>
      </c>
      <c r="W722" s="152">
        <f t="shared" si="220"/>
        <v>3118</v>
      </c>
      <c r="X722" s="127" t="str">
        <f t="shared" si="218"/>
        <v/>
      </c>
      <c r="Y722" s="207">
        <f t="shared" si="221"/>
        <v>3118</v>
      </c>
      <c r="Z722" s="139">
        <f t="shared" si="222"/>
        <v>3118</v>
      </c>
      <c r="AA722" s="139">
        <f t="shared" si="223"/>
        <v>0</v>
      </c>
      <c r="AC722" s="47">
        <f t="shared" si="224"/>
        <v>1559</v>
      </c>
      <c r="AD722" s="47">
        <f t="shared" si="225"/>
        <v>1559</v>
      </c>
      <c r="AE722" s="47">
        <f t="shared" si="226"/>
        <v>0</v>
      </c>
      <c r="AG722" s="47">
        <f t="shared" si="227"/>
        <v>1559</v>
      </c>
      <c r="AH722" s="47">
        <f t="shared" si="228"/>
        <v>1559</v>
      </c>
      <c r="AI722" s="208">
        <f t="shared" si="229"/>
        <v>0</v>
      </c>
    </row>
    <row r="723" spans="1:35">
      <c r="A723" t="s">
        <v>2112</v>
      </c>
      <c r="B723" t="s">
        <v>3166</v>
      </c>
      <c r="C723" t="s">
        <v>3834</v>
      </c>
      <c r="D723" t="s">
        <v>4001</v>
      </c>
      <c r="F723" t="s">
        <v>585</v>
      </c>
      <c r="G723" s="126">
        <f>SUMIFS('Support - Transition'!F:F,'Support - Transition'!B:B,'Step 2'!A723,'Support - Transition'!C:C,'Step 2'!B723,'Support - Transition'!D:D,'Step 2'!C723,'Support - Transition'!E:E,"CIVIL")</f>
        <v>0</v>
      </c>
      <c r="H723" s="126">
        <f>SUMIFS('Support - Transition'!F:F,'Support - Transition'!B:B,'Step 2'!A723,'Support - Transition'!C:C,'Step 2'!B723,'Support - Transition'!D:D,'Step 2'!C723,'Support - Transition'!E:E,"FIRE")</f>
        <v>0</v>
      </c>
      <c r="I723" s="126">
        <f>IF(B723="0",SUMIFS('Support - Transition'!F:F,'Support - Transition'!J:J,'Step 2'!D723,'Support - Transition'!E:E,"STATE UNIT"),SUMIFS('Support - Transition'!F:F,'Support - Transition'!J:J,'Step 2'!D723))</f>
        <v>1.743E-3</v>
      </c>
      <c r="J723" s="126">
        <f>SUMIFS('Support - Unit Adjustments'!E:E,'Support - Unit Adjustments'!F:F,'Step 2'!D723)</f>
        <v>0</v>
      </c>
      <c r="K723" s="126">
        <f t="shared" si="213"/>
        <v>1.743E-3</v>
      </c>
      <c r="L723" s="174">
        <f>VLOOKUP(A723,'Step 1'!$A:$E,4,FALSE)</f>
        <v>609989</v>
      </c>
      <c r="M723" s="47">
        <f t="shared" si="214"/>
        <v>1063</v>
      </c>
      <c r="N723" s="177">
        <f>SUMIFS('Support - Transition'!G:G,'Support - Transition'!J:J,'Step 2'!D723,'Support - Transition'!E:E,"2009 WELFARE ALLOCATION FACTOR")</f>
        <v>0</v>
      </c>
      <c r="O723" s="152">
        <f t="shared" si="219"/>
        <v>0</v>
      </c>
      <c r="P723" s="126">
        <f>IF(E723="Y",0,SUMIFS('Support - Transition'!G:G,'Support - Transition'!J:J,'Step 2'!D723,'Support - Transition'!E:E,"2009 SCHOOL ALLOCATION FACTOR"))</f>
        <v>0</v>
      </c>
      <c r="Q723" s="126">
        <f>IF(E723="Y",VLOOKUP(D723,'Support - Unit Adjustments'!F:G,2,FALSE),0)</f>
        <v>0</v>
      </c>
      <c r="R723" s="155">
        <f t="shared" si="231"/>
        <v>0</v>
      </c>
      <c r="S723" s="47">
        <f t="shared" si="230"/>
        <v>0</v>
      </c>
      <c r="T723" s="151">
        <f t="shared" si="215"/>
        <v>1063</v>
      </c>
      <c r="U723" s="151">
        <f t="shared" si="216"/>
        <v>0</v>
      </c>
      <c r="V723" s="139">
        <f t="shared" si="217"/>
        <v>0</v>
      </c>
      <c r="W723" s="152">
        <f t="shared" si="220"/>
        <v>1063</v>
      </c>
      <c r="X723" s="127" t="str">
        <f t="shared" si="218"/>
        <v/>
      </c>
      <c r="Y723" s="207">
        <f t="shared" si="221"/>
        <v>1063</v>
      </c>
      <c r="Z723" s="139">
        <f t="shared" si="222"/>
        <v>1063</v>
      </c>
      <c r="AA723" s="139">
        <f t="shared" si="223"/>
        <v>0</v>
      </c>
      <c r="AC723" s="47">
        <f t="shared" si="224"/>
        <v>532</v>
      </c>
      <c r="AD723" s="47">
        <f t="shared" si="225"/>
        <v>532</v>
      </c>
      <c r="AE723" s="47">
        <f t="shared" si="226"/>
        <v>0</v>
      </c>
      <c r="AG723" s="47">
        <f t="shared" si="227"/>
        <v>531</v>
      </c>
      <c r="AH723" s="47">
        <f t="shared" si="228"/>
        <v>531</v>
      </c>
      <c r="AI723" s="208">
        <f t="shared" si="229"/>
        <v>0</v>
      </c>
    </row>
    <row r="724" spans="1:35">
      <c r="A724" t="s">
        <v>2112</v>
      </c>
      <c r="B724" t="s">
        <v>3166</v>
      </c>
      <c r="C724" t="s">
        <v>4002</v>
      </c>
      <c r="D724" t="s">
        <v>4003</v>
      </c>
      <c r="F724" t="s">
        <v>583</v>
      </c>
      <c r="G724" s="126">
        <f>SUMIFS('Support - Transition'!F:F,'Support - Transition'!B:B,'Step 2'!A724,'Support - Transition'!C:C,'Step 2'!B724,'Support - Transition'!D:D,'Step 2'!C724,'Support - Transition'!E:E,"CIVIL")</f>
        <v>0</v>
      </c>
      <c r="H724" s="126">
        <f>SUMIFS('Support - Transition'!F:F,'Support - Transition'!B:B,'Step 2'!A724,'Support - Transition'!C:C,'Step 2'!B724,'Support - Transition'!D:D,'Step 2'!C724,'Support - Transition'!E:E,"FIRE")</f>
        <v>0</v>
      </c>
      <c r="I724" s="126">
        <f>IF(B724="0",SUMIFS('Support - Transition'!F:F,'Support - Transition'!J:J,'Step 2'!D724,'Support - Transition'!E:E,"STATE UNIT"),SUMIFS('Support - Transition'!F:F,'Support - Transition'!J:J,'Step 2'!D724))</f>
        <v>7.6189999999999999E-3</v>
      </c>
      <c r="J724" s="126">
        <f>SUMIFS('Support - Unit Adjustments'!E:E,'Support - Unit Adjustments'!F:F,'Step 2'!D724)</f>
        <v>0</v>
      </c>
      <c r="K724" s="126">
        <f t="shared" si="213"/>
        <v>7.6189999999999999E-3</v>
      </c>
      <c r="L724" s="174">
        <f>VLOOKUP(A724,'Step 1'!$A:$E,4,FALSE)</f>
        <v>609989</v>
      </c>
      <c r="M724" s="47">
        <f t="shared" si="214"/>
        <v>4648</v>
      </c>
      <c r="N724" s="177">
        <f>SUMIFS('Support - Transition'!G:G,'Support - Transition'!J:J,'Step 2'!D724,'Support - Transition'!E:E,"2009 WELFARE ALLOCATION FACTOR")</f>
        <v>0</v>
      </c>
      <c r="O724" s="152">
        <f t="shared" si="219"/>
        <v>0</v>
      </c>
      <c r="P724" s="126">
        <f>IF(E724="Y",0,SUMIFS('Support - Transition'!G:G,'Support - Transition'!J:J,'Step 2'!D724,'Support - Transition'!E:E,"2009 SCHOOL ALLOCATION FACTOR"))</f>
        <v>0</v>
      </c>
      <c r="Q724" s="126">
        <f>IF(E724="Y",VLOOKUP(D724,'Support - Unit Adjustments'!F:G,2,FALSE),0)</f>
        <v>0</v>
      </c>
      <c r="R724" s="155">
        <f t="shared" si="231"/>
        <v>0</v>
      </c>
      <c r="S724" s="47">
        <f t="shared" si="230"/>
        <v>0</v>
      </c>
      <c r="T724" s="151">
        <f t="shared" si="215"/>
        <v>4648</v>
      </c>
      <c r="U724" s="151">
        <f t="shared" si="216"/>
        <v>0</v>
      </c>
      <c r="V724" s="139">
        <f t="shared" si="217"/>
        <v>0</v>
      </c>
      <c r="W724" s="152">
        <f t="shared" si="220"/>
        <v>4648</v>
      </c>
      <c r="X724" s="127" t="str">
        <f t="shared" si="218"/>
        <v/>
      </c>
      <c r="Y724" s="207">
        <f t="shared" si="221"/>
        <v>4648</v>
      </c>
      <c r="Z724" s="139">
        <f t="shared" si="222"/>
        <v>4648</v>
      </c>
      <c r="AA724" s="139">
        <f t="shared" si="223"/>
        <v>0</v>
      </c>
      <c r="AC724" s="47">
        <f t="shared" si="224"/>
        <v>2324</v>
      </c>
      <c r="AD724" s="47">
        <f t="shared" si="225"/>
        <v>2324</v>
      </c>
      <c r="AE724" s="47">
        <f t="shared" si="226"/>
        <v>0</v>
      </c>
      <c r="AG724" s="47">
        <f t="shared" si="227"/>
        <v>2324</v>
      </c>
      <c r="AH724" s="47">
        <f t="shared" si="228"/>
        <v>2324</v>
      </c>
      <c r="AI724" s="208">
        <f t="shared" si="229"/>
        <v>0</v>
      </c>
    </row>
    <row r="725" spans="1:35">
      <c r="A725" t="s">
        <v>2112</v>
      </c>
      <c r="B725" t="s">
        <v>3166</v>
      </c>
      <c r="C725" t="s">
        <v>4004</v>
      </c>
      <c r="D725" t="s">
        <v>4005</v>
      </c>
      <c r="F725" t="s">
        <v>586</v>
      </c>
      <c r="G725" s="126">
        <f>SUMIFS('Support - Transition'!F:F,'Support - Transition'!B:B,'Step 2'!A725,'Support - Transition'!C:C,'Step 2'!B725,'Support - Transition'!D:D,'Step 2'!C725,'Support - Transition'!E:E,"CIVIL")</f>
        <v>0</v>
      </c>
      <c r="H725" s="126">
        <f>SUMIFS('Support - Transition'!F:F,'Support - Transition'!B:B,'Step 2'!A725,'Support - Transition'!C:C,'Step 2'!B725,'Support - Transition'!D:D,'Step 2'!C725,'Support - Transition'!E:E,"FIRE")</f>
        <v>0</v>
      </c>
      <c r="I725" s="126">
        <f>IF(B725="0",SUMIFS('Support - Transition'!F:F,'Support - Transition'!J:J,'Step 2'!D725,'Support - Transition'!E:E,"STATE UNIT"),SUMIFS('Support - Transition'!F:F,'Support - Transition'!J:J,'Step 2'!D725))</f>
        <v>1.1068E-2</v>
      </c>
      <c r="J725" s="126">
        <f>SUMIFS('Support - Unit Adjustments'!E:E,'Support - Unit Adjustments'!F:F,'Step 2'!D725)</f>
        <v>0</v>
      </c>
      <c r="K725" s="126">
        <f t="shared" si="213"/>
        <v>1.1068E-2</v>
      </c>
      <c r="L725" s="174">
        <f>VLOOKUP(A725,'Step 1'!$A:$E,4,FALSE)</f>
        <v>609989</v>
      </c>
      <c r="M725" s="47">
        <f t="shared" si="214"/>
        <v>6751</v>
      </c>
      <c r="N725" s="177">
        <f>SUMIFS('Support - Transition'!G:G,'Support - Transition'!J:J,'Step 2'!D725,'Support - Transition'!E:E,"2009 WELFARE ALLOCATION FACTOR")</f>
        <v>0</v>
      </c>
      <c r="O725" s="152">
        <f t="shared" si="219"/>
        <v>0</v>
      </c>
      <c r="P725" s="126">
        <f>IF(E725="Y",0,SUMIFS('Support - Transition'!G:G,'Support - Transition'!J:J,'Step 2'!D725,'Support - Transition'!E:E,"2009 SCHOOL ALLOCATION FACTOR"))</f>
        <v>0</v>
      </c>
      <c r="Q725" s="126">
        <f>IF(E725="Y",VLOOKUP(D725,'Support - Unit Adjustments'!F:G,2,FALSE),0)</f>
        <v>0</v>
      </c>
      <c r="R725" s="155">
        <f t="shared" si="231"/>
        <v>0</v>
      </c>
      <c r="S725" s="47">
        <f t="shared" si="230"/>
        <v>0</v>
      </c>
      <c r="T725" s="151">
        <f t="shared" si="215"/>
        <v>6751</v>
      </c>
      <c r="U725" s="151">
        <f t="shared" si="216"/>
        <v>0</v>
      </c>
      <c r="V725" s="139">
        <f t="shared" si="217"/>
        <v>0</v>
      </c>
      <c r="W725" s="152">
        <f t="shared" si="220"/>
        <v>6751</v>
      </c>
      <c r="X725" s="127" t="str">
        <f t="shared" si="218"/>
        <v/>
      </c>
      <c r="Y725" s="207">
        <f t="shared" si="221"/>
        <v>6751</v>
      </c>
      <c r="Z725" s="139">
        <f t="shared" si="222"/>
        <v>6751</v>
      </c>
      <c r="AA725" s="139">
        <f t="shared" si="223"/>
        <v>0</v>
      </c>
      <c r="AC725" s="47">
        <f t="shared" si="224"/>
        <v>3376</v>
      </c>
      <c r="AD725" s="47">
        <f t="shared" si="225"/>
        <v>3376</v>
      </c>
      <c r="AE725" s="47">
        <f t="shared" si="226"/>
        <v>0</v>
      </c>
      <c r="AG725" s="47">
        <f t="shared" si="227"/>
        <v>3375</v>
      </c>
      <c r="AH725" s="47">
        <f t="shared" si="228"/>
        <v>3375</v>
      </c>
      <c r="AI725" s="208">
        <f t="shared" si="229"/>
        <v>0</v>
      </c>
    </row>
    <row r="726" spans="1:35">
      <c r="A726" t="s">
        <v>2112</v>
      </c>
      <c r="B726" t="s">
        <v>3170</v>
      </c>
      <c r="C726" t="s">
        <v>2473</v>
      </c>
      <c r="D726" t="s">
        <v>4006</v>
      </c>
      <c r="F726" t="s">
        <v>588</v>
      </c>
      <c r="G726" s="126">
        <f>SUMIFS('Support - Transition'!F:F,'Support - Transition'!B:B,'Step 2'!A726,'Support - Transition'!C:C,'Step 2'!B726,'Support - Transition'!D:D,'Step 2'!C726,'Support - Transition'!E:E,"CIVIL")</f>
        <v>0</v>
      </c>
      <c r="H726" s="126">
        <f>SUMIFS('Support - Transition'!F:F,'Support - Transition'!B:B,'Step 2'!A726,'Support - Transition'!C:C,'Step 2'!B726,'Support - Transition'!D:D,'Step 2'!C726,'Support - Transition'!E:E,"FIRE")</f>
        <v>0</v>
      </c>
      <c r="I726" s="126">
        <f>IF(B726="0",SUMIFS('Support - Transition'!F:F,'Support - Transition'!J:J,'Step 2'!D726,'Support - Transition'!E:E,"STATE UNIT"),SUMIFS('Support - Transition'!F:F,'Support - Transition'!J:J,'Step 2'!D726))</f>
        <v>2.284E-3</v>
      </c>
      <c r="J726" s="126">
        <f>SUMIFS('Support - Unit Adjustments'!E:E,'Support - Unit Adjustments'!F:F,'Step 2'!D726)</f>
        <v>0</v>
      </c>
      <c r="K726" s="126">
        <f t="shared" si="213"/>
        <v>2.284E-3</v>
      </c>
      <c r="L726" s="174">
        <f>VLOOKUP(A726,'Step 1'!$A:$E,4,FALSE)</f>
        <v>609989</v>
      </c>
      <c r="M726" s="47">
        <f t="shared" si="214"/>
        <v>1393</v>
      </c>
      <c r="N726" s="177">
        <f>SUMIFS('Support - Transition'!G:G,'Support - Transition'!J:J,'Step 2'!D726,'Support - Transition'!E:E,"2009 WELFARE ALLOCATION FACTOR")</f>
        <v>0</v>
      </c>
      <c r="O726" s="152">
        <f t="shared" si="219"/>
        <v>0</v>
      </c>
      <c r="P726" s="126">
        <f>IF(E726="Y",0,SUMIFS('Support - Transition'!G:G,'Support - Transition'!J:J,'Step 2'!D726,'Support - Transition'!E:E,"2009 SCHOOL ALLOCATION FACTOR"))</f>
        <v>0</v>
      </c>
      <c r="Q726" s="126">
        <f>IF(E726="Y",VLOOKUP(D726,'Support - Unit Adjustments'!F:G,2,FALSE),0)</f>
        <v>0</v>
      </c>
      <c r="R726" s="155">
        <f t="shared" si="231"/>
        <v>0</v>
      </c>
      <c r="S726" s="47">
        <f t="shared" si="230"/>
        <v>0</v>
      </c>
      <c r="T726" s="151">
        <f t="shared" si="215"/>
        <v>1393</v>
      </c>
      <c r="U726" s="151">
        <f t="shared" si="216"/>
        <v>0</v>
      </c>
      <c r="V726" s="139">
        <f t="shared" si="217"/>
        <v>0</v>
      </c>
      <c r="W726" s="152">
        <f t="shared" si="220"/>
        <v>1393</v>
      </c>
      <c r="X726" s="127" t="str">
        <f t="shared" si="218"/>
        <v/>
      </c>
      <c r="Y726" s="207">
        <f t="shared" si="221"/>
        <v>1393</v>
      </c>
      <c r="Z726" s="139">
        <f t="shared" si="222"/>
        <v>1393</v>
      </c>
      <c r="AA726" s="139">
        <f t="shared" si="223"/>
        <v>0</v>
      </c>
      <c r="AC726" s="47">
        <f t="shared" si="224"/>
        <v>697</v>
      </c>
      <c r="AD726" s="47">
        <f t="shared" si="225"/>
        <v>697</v>
      </c>
      <c r="AE726" s="47">
        <f t="shared" si="226"/>
        <v>0</v>
      </c>
      <c r="AG726" s="47">
        <f t="shared" si="227"/>
        <v>696</v>
      </c>
      <c r="AH726" s="47">
        <f t="shared" si="228"/>
        <v>696</v>
      </c>
      <c r="AI726" s="208">
        <f t="shared" si="229"/>
        <v>0</v>
      </c>
    </row>
    <row r="727" spans="1:35">
      <c r="A727" t="s">
        <v>2112</v>
      </c>
      <c r="B727" t="s">
        <v>3170</v>
      </c>
      <c r="C727" t="s">
        <v>2474</v>
      </c>
      <c r="D727" t="s">
        <v>4007</v>
      </c>
      <c r="F727" t="s">
        <v>587</v>
      </c>
      <c r="G727" s="126">
        <f>SUMIFS('Support - Transition'!F:F,'Support - Transition'!B:B,'Step 2'!A727,'Support - Transition'!C:C,'Step 2'!B727,'Support - Transition'!D:D,'Step 2'!C727,'Support - Transition'!E:E,"CIVIL")</f>
        <v>0</v>
      </c>
      <c r="H727" s="126">
        <f>SUMIFS('Support - Transition'!F:F,'Support - Transition'!B:B,'Step 2'!A727,'Support - Transition'!C:C,'Step 2'!B727,'Support - Transition'!D:D,'Step 2'!C727,'Support - Transition'!E:E,"FIRE")</f>
        <v>0</v>
      </c>
      <c r="I727" s="126">
        <f>IF(B727="0",SUMIFS('Support - Transition'!F:F,'Support - Transition'!J:J,'Step 2'!D727,'Support - Transition'!E:E,"STATE UNIT"),SUMIFS('Support - Transition'!F:F,'Support - Transition'!J:J,'Step 2'!D727))</f>
        <v>2.6519999999999998E-2</v>
      </c>
      <c r="J727" s="126">
        <f>SUMIFS('Support - Unit Adjustments'!E:E,'Support - Unit Adjustments'!F:F,'Step 2'!D727)</f>
        <v>0</v>
      </c>
      <c r="K727" s="126">
        <f t="shared" si="213"/>
        <v>2.6519999999999998E-2</v>
      </c>
      <c r="L727" s="174">
        <f>VLOOKUP(A727,'Step 1'!$A:$E,4,FALSE)</f>
        <v>609989</v>
      </c>
      <c r="M727" s="47">
        <f t="shared" si="214"/>
        <v>16177</v>
      </c>
      <c r="N727" s="177">
        <f>SUMIFS('Support - Transition'!G:G,'Support - Transition'!J:J,'Step 2'!D727,'Support - Transition'!E:E,"2009 WELFARE ALLOCATION FACTOR")</f>
        <v>0</v>
      </c>
      <c r="O727" s="152">
        <f t="shared" si="219"/>
        <v>0</v>
      </c>
      <c r="P727" s="126">
        <f>IF(E727="Y",0,SUMIFS('Support - Transition'!G:G,'Support - Transition'!J:J,'Step 2'!D727,'Support - Transition'!E:E,"2009 SCHOOL ALLOCATION FACTOR"))</f>
        <v>0</v>
      </c>
      <c r="Q727" s="126">
        <f>IF(E727="Y",VLOOKUP(D727,'Support - Unit Adjustments'!F:G,2,FALSE),0)</f>
        <v>0</v>
      </c>
      <c r="R727" s="155">
        <f t="shared" si="231"/>
        <v>0</v>
      </c>
      <c r="S727" s="47">
        <f t="shared" si="230"/>
        <v>0</v>
      </c>
      <c r="T727" s="151">
        <f t="shared" si="215"/>
        <v>16177</v>
      </c>
      <c r="U727" s="151">
        <f t="shared" si="216"/>
        <v>0</v>
      </c>
      <c r="V727" s="139">
        <f t="shared" si="217"/>
        <v>0</v>
      </c>
      <c r="W727" s="152">
        <f t="shared" si="220"/>
        <v>16177</v>
      </c>
      <c r="X727" s="127" t="str">
        <f t="shared" si="218"/>
        <v/>
      </c>
      <c r="Y727" s="207">
        <f t="shared" si="221"/>
        <v>16177</v>
      </c>
      <c r="Z727" s="139">
        <f t="shared" si="222"/>
        <v>16177</v>
      </c>
      <c r="AA727" s="139">
        <f t="shared" si="223"/>
        <v>0</v>
      </c>
      <c r="AC727" s="47">
        <f t="shared" si="224"/>
        <v>8089</v>
      </c>
      <c r="AD727" s="47">
        <f t="shared" si="225"/>
        <v>8089</v>
      </c>
      <c r="AE727" s="47">
        <f t="shared" si="226"/>
        <v>0</v>
      </c>
      <c r="AG727" s="47">
        <f t="shared" si="227"/>
        <v>8088</v>
      </c>
      <c r="AH727" s="47">
        <f t="shared" si="228"/>
        <v>8088</v>
      </c>
      <c r="AI727" s="208">
        <f t="shared" si="229"/>
        <v>0</v>
      </c>
    </row>
    <row r="728" spans="1:35">
      <c r="A728" t="s">
        <v>2112</v>
      </c>
      <c r="B728" t="s">
        <v>3286</v>
      </c>
      <c r="C728" t="s">
        <v>2196</v>
      </c>
      <c r="D728" t="s">
        <v>4008</v>
      </c>
      <c r="F728" t="s">
        <v>4009</v>
      </c>
      <c r="G728" s="126">
        <f>SUMIFS('Support - Transition'!F:F,'Support - Transition'!B:B,'Step 2'!A728,'Support - Transition'!C:C,'Step 2'!B728,'Support - Transition'!D:D,'Step 2'!C728,'Support - Transition'!E:E,"CIVIL")</f>
        <v>0</v>
      </c>
      <c r="H728" s="126">
        <f>SUMIFS('Support - Transition'!F:F,'Support - Transition'!B:B,'Step 2'!A728,'Support - Transition'!C:C,'Step 2'!B728,'Support - Transition'!D:D,'Step 2'!C728,'Support - Transition'!E:E,"FIRE")</f>
        <v>0</v>
      </c>
      <c r="I728" s="126">
        <f>IF(B728="0",SUMIFS('Support - Transition'!F:F,'Support - Transition'!J:J,'Step 2'!D728,'Support - Transition'!E:E,"STATE UNIT"),SUMIFS('Support - Transition'!F:F,'Support - Transition'!J:J,'Step 2'!D728))</f>
        <v>0</v>
      </c>
      <c r="J728" s="126">
        <f>SUMIFS('Support - Unit Adjustments'!E:E,'Support - Unit Adjustments'!F:F,'Step 2'!D728)</f>
        <v>0</v>
      </c>
      <c r="K728" s="126">
        <f t="shared" si="213"/>
        <v>0</v>
      </c>
      <c r="L728" s="174">
        <f>VLOOKUP(A728,'Step 1'!$A:$E,4,FALSE)</f>
        <v>609989</v>
      </c>
      <c r="M728" s="47">
        <f t="shared" si="214"/>
        <v>0</v>
      </c>
      <c r="N728" s="177">
        <f>SUMIFS('Support - Transition'!G:G,'Support - Transition'!J:J,'Step 2'!D728,'Support - Transition'!E:E,"2009 WELFARE ALLOCATION FACTOR")</f>
        <v>0</v>
      </c>
      <c r="O728" s="152">
        <f t="shared" si="219"/>
        <v>0</v>
      </c>
      <c r="P728" s="126">
        <f>IF(E728="Y",0,SUMIFS('Support - Transition'!G:G,'Support - Transition'!J:J,'Step 2'!D728,'Support - Transition'!E:E,"2009 SCHOOL ALLOCATION FACTOR"))</f>
        <v>0</v>
      </c>
      <c r="Q728" s="126">
        <f>IF(E728="Y",VLOOKUP(D728,'Support - Unit Adjustments'!F:G,2,FALSE),0)</f>
        <v>0</v>
      </c>
      <c r="R728" s="155">
        <f t="shared" si="231"/>
        <v>0</v>
      </c>
      <c r="S728" s="47">
        <f t="shared" si="230"/>
        <v>0</v>
      </c>
      <c r="T728" s="151">
        <f t="shared" si="215"/>
        <v>0</v>
      </c>
      <c r="U728" s="151">
        <f t="shared" si="216"/>
        <v>0</v>
      </c>
      <c r="V728" s="139">
        <f t="shared" si="217"/>
        <v>0</v>
      </c>
      <c r="W728" s="152">
        <f t="shared" si="220"/>
        <v>0</v>
      </c>
      <c r="X728" s="127" t="str">
        <f t="shared" si="218"/>
        <v/>
      </c>
      <c r="Y728" s="207">
        <f t="shared" si="221"/>
        <v>0</v>
      </c>
      <c r="Z728" s="139">
        <f t="shared" si="222"/>
        <v>0</v>
      </c>
      <c r="AA728" s="139">
        <f t="shared" si="223"/>
        <v>0</v>
      </c>
      <c r="AC728" s="47">
        <f t="shared" si="224"/>
        <v>0</v>
      </c>
      <c r="AD728" s="47">
        <f t="shared" si="225"/>
        <v>0</v>
      </c>
      <c r="AE728" s="47">
        <f t="shared" si="226"/>
        <v>0</v>
      </c>
      <c r="AG728" s="47">
        <f t="shared" si="227"/>
        <v>0</v>
      </c>
      <c r="AH728" s="47">
        <f t="shared" si="228"/>
        <v>0</v>
      </c>
      <c r="AI728" s="208">
        <f t="shared" si="229"/>
        <v>0</v>
      </c>
    </row>
    <row r="729" spans="1:35">
      <c r="A729" t="s">
        <v>2113</v>
      </c>
      <c r="B729" s="48" t="s">
        <v>6274</v>
      </c>
      <c r="C729" t="s">
        <v>2187</v>
      </c>
      <c r="D729" t="str">
        <f>A729&amp;B729&amp;C729</f>
        <v>2700000</v>
      </c>
      <c r="F729" t="s">
        <v>6301</v>
      </c>
      <c r="G729" s="126">
        <f>SUMIFS('Support - Transition'!F:F,'Support - Transition'!B:B,'Step 2'!A729,'Support - Transition'!C:C,'Step 2'!B729,'Support - Transition'!D:D,'Step 2'!C729,'Support - Transition'!E:E,"CIVIL")</f>
        <v>0</v>
      </c>
      <c r="H729" s="126">
        <f>SUMIFS('Support - Transition'!F:F,'Support - Transition'!B:B,'Step 2'!A729,'Support - Transition'!C:C,'Step 2'!B729,'Support - Transition'!D:D,'Step 2'!C729,'Support - Transition'!E:E,"FIRE")</f>
        <v>0</v>
      </c>
      <c r="I729" s="126">
        <f>IF(B729="0",SUMIFS('Support - Transition'!F:F,'Support - Transition'!J:J,'Step 2'!D729,'Support - Transition'!E:E,"STATE UNIT"),SUMIFS('Support - Transition'!F:F,'Support - Transition'!J:J,'Step 2'!D729))</f>
        <v>1.041E-3</v>
      </c>
      <c r="J729" s="126">
        <f>SUMIFS('Support - Unit Adjustments'!E:E,'Support - Unit Adjustments'!F:F,'Step 2'!D729)</f>
        <v>0</v>
      </c>
      <c r="K729" s="126">
        <f t="shared" si="213"/>
        <v>1.041E-3</v>
      </c>
      <c r="L729" s="174">
        <f>VLOOKUP(A729,'Step 1'!$A:$E,4,FALSE)</f>
        <v>461505</v>
      </c>
      <c r="M729" s="47">
        <f t="shared" si="214"/>
        <v>480</v>
      </c>
      <c r="N729" s="177">
        <f>SUMIFS('Support - Transition'!G:G,'Support - Transition'!J:J,'Step 2'!D729,'Support - Transition'!E:E,"2009 WELFARE ALLOCATION FACTOR")</f>
        <v>0</v>
      </c>
      <c r="O729" s="152">
        <f t="shared" si="219"/>
        <v>0</v>
      </c>
      <c r="P729" s="126">
        <f>IF(E729="Y",0,SUMIFS('Support - Transition'!G:G,'Support - Transition'!J:J,'Step 2'!D729,'Support - Transition'!E:E,"2009 SCHOOL ALLOCATION FACTOR"))</f>
        <v>0</v>
      </c>
      <c r="Q729" s="126">
        <f>IF(E729="Y",VLOOKUP(D729,'Support - Unit Adjustments'!F:G,2,FALSE),0)</f>
        <v>0</v>
      </c>
      <c r="R729" s="155">
        <f t="shared" si="231"/>
        <v>0</v>
      </c>
      <c r="S729" s="47">
        <f t="shared" si="230"/>
        <v>0</v>
      </c>
      <c r="T729" s="151">
        <f t="shared" si="215"/>
        <v>480</v>
      </c>
      <c r="U729" s="151">
        <f t="shared" si="216"/>
        <v>461506</v>
      </c>
      <c r="V729" s="139">
        <f t="shared" si="217"/>
        <v>1</v>
      </c>
      <c r="W729" s="152">
        <f t="shared" si="220"/>
        <v>479</v>
      </c>
      <c r="X729" s="127">
        <f t="shared" si="218"/>
        <v>0</v>
      </c>
      <c r="Y729" s="207">
        <f t="shared" si="221"/>
        <v>479</v>
      </c>
      <c r="Z729" s="139">
        <f t="shared" si="222"/>
        <v>479</v>
      </c>
      <c r="AA729" s="139">
        <f t="shared" si="223"/>
        <v>0</v>
      </c>
      <c r="AC729" s="47">
        <f t="shared" si="224"/>
        <v>240</v>
      </c>
      <c r="AD729" s="47">
        <f t="shared" si="225"/>
        <v>240</v>
      </c>
      <c r="AE729" s="47">
        <f t="shared" si="226"/>
        <v>0</v>
      </c>
      <c r="AG729" s="47">
        <f t="shared" si="227"/>
        <v>239</v>
      </c>
      <c r="AH729" s="47">
        <f t="shared" si="228"/>
        <v>239</v>
      </c>
      <c r="AI729" s="208">
        <f t="shared" si="229"/>
        <v>0</v>
      </c>
    </row>
    <row r="730" spans="1:35">
      <c r="A730" t="s">
        <v>2113</v>
      </c>
      <c r="B730" t="s">
        <v>3140</v>
      </c>
      <c r="C730" t="s">
        <v>2187</v>
      </c>
      <c r="D730" t="s">
        <v>4010</v>
      </c>
      <c r="F730" t="s">
        <v>591</v>
      </c>
      <c r="G730" s="126">
        <f>SUMIFS('Support - Transition'!F:F,'Support - Transition'!B:B,'Step 2'!A730,'Support - Transition'!C:C,'Step 2'!B730,'Support - Transition'!D:D,'Step 2'!C730,'Support - Transition'!E:E,"CIVIL")</f>
        <v>0</v>
      </c>
      <c r="H730" s="126">
        <f>SUMIFS('Support - Transition'!F:F,'Support - Transition'!B:B,'Step 2'!A730,'Support - Transition'!C:C,'Step 2'!B730,'Support - Transition'!D:D,'Step 2'!C730,'Support - Transition'!E:E,"FIRE")</f>
        <v>0</v>
      </c>
      <c r="I730" s="126">
        <f>IF(B730="0",SUMIFS('Support - Transition'!F:F,'Support - Transition'!J:J,'Step 2'!D730,'Support - Transition'!E:E,"STATE UNIT"),SUMIFS('Support - Transition'!F:F,'Support - Transition'!J:J,'Step 2'!D730))</f>
        <v>0.25596099999999999</v>
      </c>
      <c r="J730" s="126">
        <f>SUMIFS('Support - Unit Adjustments'!E:E,'Support - Unit Adjustments'!F:F,'Step 2'!D730)</f>
        <v>0</v>
      </c>
      <c r="K730" s="126">
        <f t="shared" si="213"/>
        <v>0.25596099999999999</v>
      </c>
      <c r="L730" s="174">
        <f>VLOOKUP(A730,'Step 1'!$A:$E,4,FALSE)</f>
        <v>461505</v>
      </c>
      <c r="M730" s="47">
        <f t="shared" si="214"/>
        <v>118127</v>
      </c>
      <c r="N730" s="177">
        <f>SUMIFS('Support - Transition'!G:G,'Support - Transition'!J:J,'Step 2'!D730,'Support - Transition'!E:E,"2009 WELFARE ALLOCATION FACTOR")</f>
        <v>0.30824200000000002</v>
      </c>
      <c r="O730" s="152">
        <f t="shared" si="219"/>
        <v>36412</v>
      </c>
      <c r="P730" s="126">
        <f>IF(E730="Y",0,SUMIFS('Support - Transition'!G:G,'Support - Transition'!J:J,'Step 2'!D730,'Support - Transition'!E:E,"2009 SCHOOL ALLOCATION FACTOR"))</f>
        <v>0</v>
      </c>
      <c r="Q730" s="126">
        <f>IF(E730="Y",VLOOKUP(D730,'Support - Unit Adjustments'!F:G,2,FALSE),0)</f>
        <v>0</v>
      </c>
      <c r="R730" s="155">
        <f t="shared" si="231"/>
        <v>0</v>
      </c>
      <c r="S730" s="47">
        <f t="shared" si="230"/>
        <v>0</v>
      </c>
      <c r="T730" s="151">
        <f t="shared" si="215"/>
        <v>81715</v>
      </c>
      <c r="U730" s="151">
        <f t="shared" si="216"/>
        <v>0</v>
      </c>
      <c r="V730" s="139">
        <f t="shared" si="217"/>
        <v>0</v>
      </c>
      <c r="W730" s="152">
        <f t="shared" si="220"/>
        <v>81715</v>
      </c>
      <c r="X730" s="127" t="str">
        <f t="shared" si="218"/>
        <v/>
      </c>
      <c r="Y730" s="207">
        <f t="shared" si="221"/>
        <v>81715</v>
      </c>
      <c r="Z730" s="139">
        <f t="shared" si="222"/>
        <v>81715</v>
      </c>
      <c r="AA730" s="139">
        <f t="shared" si="223"/>
        <v>0</v>
      </c>
      <c r="AC730" s="47">
        <f t="shared" si="224"/>
        <v>40858</v>
      </c>
      <c r="AD730" s="47">
        <f t="shared" si="225"/>
        <v>40858</v>
      </c>
      <c r="AE730" s="47">
        <f t="shared" si="226"/>
        <v>0</v>
      </c>
      <c r="AG730" s="47">
        <f t="shared" si="227"/>
        <v>40857</v>
      </c>
      <c r="AH730" s="47">
        <f t="shared" si="228"/>
        <v>40857</v>
      </c>
      <c r="AI730" s="208">
        <f t="shared" si="229"/>
        <v>0</v>
      </c>
    </row>
    <row r="731" spans="1:35">
      <c r="A731" t="s">
        <v>2113</v>
      </c>
      <c r="B731" t="s">
        <v>3142</v>
      </c>
      <c r="C731" t="s">
        <v>2188</v>
      </c>
      <c r="D731" t="s">
        <v>4011</v>
      </c>
      <c r="F731" t="s">
        <v>107</v>
      </c>
      <c r="G731" s="126">
        <f>SUMIFS('Support - Transition'!F:F,'Support - Transition'!B:B,'Step 2'!A731,'Support - Transition'!C:C,'Step 2'!B731,'Support - Transition'!D:D,'Step 2'!C731,'Support - Transition'!E:E,"CIVIL")</f>
        <v>4.8500000000000001E-3</v>
      </c>
      <c r="H731" s="126">
        <f>SUMIFS('Support - Transition'!F:F,'Support - Transition'!B:B,'Step 2'!A731,'Support - Transition'!C:C,'Step 2'!B731,'Support - Transition'!D:D,'Step 2'!C731,'Support - Transition'!E:E,"FIRE")</f>
        <v>5.9199999999999997E-4</v>
      </c>
      <c r="I731" s="126">
        <f>IF(B731="0",SUMIFS('Support - Transition'!F:F,'Support - Transition'!J:J,'Step 2'!D731,'Support - Transition'!E:E,"STATE UNIT"),SUMIFS('Support - Transition'!F:F,'Support - Transition'!J:J,'Step 2'!D731))</f>
        <v>5.4419999999999998E-3</v>
      </c>
      <c r="J731" s="126">
        <f>SUMIFS('Support - Unit Adjustments'!E:E,'Support - Unit Adjustments'!F:F,'Step 2'!D731)</f>
        <v>0</v>
      </c>
      <c r="K731" s="126">
        <f t="shared" si="213"/>
        <v>5.4419999999999998E-3</v>
      </c>
      <c r="L731" s="174">
        <f>VLOOKUP(A731,'Step 1'!$A:$E,4,FALSE)</f>
        <v>461505</v>
      </c>
      <c r="M731" s="47">
        <f t="shared" si="214"/>
        <v>2512</v>
      </c>
      <c r="N731" s="177">
        <f>SUMIFS('Support - Transition'!G:G,'Support - Transition'!J:J,'Step 2'!D731,'Support - Transition'!E:E,"2009 WELFARE ALLOCATION FACTOR")</f>
        <v>0</v>
      </c>
      <c r="O731" s="152">
        <f t="shared" si="219"/>
        <v>0</v>
      </c>
      <c r="P731" s="126">
        <f>IF(E731="Y",0,SUMIFS('Support - Transition'!G:G,'Support - Transition'!J:J,'Step 2'!D731,'Support - Transition'!E:E,"2009 SCHOOL ALLOCATION FACTOR"))</f>
        <v>0</v>
      </c>
      <c r="Q731" s="126">
        <f>IF(E731="Y",VLOOKUP(D731,'Support - Unit Adjustments'!F:G,2,FALSE),0)</f>
        <v>0</v>
      </c>
      <c r="R731" s="155">
        <f t="shared" si="231"/>
        <v>0</v>
      </c>
      <c r="S731" s="47">
        <f t="shared" si="230"/>
        <v>0</v>
      </c>
      <c r="T731" s="151">
        <f t="shared" si="215"/>
        <v>2512</v>
      </c>
      <c r="U731" s="151">
        <f t="shared" si="216"/>
        <v>0</v>
      </c>
      <c r="V731" s="139">
        <f t="shared" si="217"/>
        <v>0</v>
      </c>
      <c r="W731" s="152">
        <f t="shared" si="220"/>
        <v>2512</v>
      </c>
      <c r="X731" s="127" t="str">
        <f t="shared" si="218"/>
        <v/>
      </c>
      <c r="Y731" s="207">
        <f t="shared" si="221"/>
        <v>2512</v>
      </c>
      <c r="Z731" s="139">
        <f t="shared" si="222"/>
        <v>2239</v>
      </c>
      <c r="AA731" s="139">
        <f t="shared" si="223"/>
        <v>273</v>
      </c>
      <c r="AC731" s="47">
        <f t="shared" si="224"/>
        <v>1256</v>
      </c>
      <c r="AD731" s="47">
        <f t="shared" si="225"/>
        <v>1120</v>
      </c>
      <c r="AE731" s="47">
        <f t="shared" si="226"/>
        <v>137</v>
      </c>
      <c r="AG731" s="47">
        <f t="shared" si="227"/>
        <v>1256</v>
      </c>
      <c r="AH731" s="47">
        <f t="shared" si="228"/>
        <v>1119</v>
      </c>
      <c r="AI731" s="208">
        <f t="shared" si="229"/>
        <v>136</v>
      </c>
    </row>
    <row r="732" spans="1:35">
      <c r="A732" t="s">
        <v>2113</v>
      </c>
      <c r="B732" t="s">
        <v>3142</v>
      </c>
      <c r="C732" t="s">
        <v>2189</v>
      </c>
      <c r="D732" t="s">
        <v>4012</v>
      </c>
      <c r="F732" t="s">
        <v>592</v>
      </c>
      <c r="G732" s="126">
        <f>SUMIFS('Support - Transition'!F:F,'Support - Transition'!B:B,'Step 2'!A732,'Support - Transition'!C:C,'Step 2'!B732,'Support - Transition'!D:D,'Step 2'!C732,'Support - Transition'!E:E,"CIVIL")</f>
        <v>2.6069999999999999E-3</v>
      </c>
      <c r="H732" s="126">
        <f>SUMIFS('Support - Transition'!F:F,'Support - Transition'!B:B,'Step 2'!A732,'Support - Transition'!C:C,'Step 2'!B732,'Support - Transition'!D:D,'Step 2'!C732,'Support - Transition'!E:E,"FIRE")</f>
        <v>1.317E-3</v>
      </c>
      <c r="I732" s="126">
        <f>IF(B732="0",SUMIFS('Support - Transition'!F:F,'Support - Transition'!J:J,'Step 2'!D732,'Support - Transition'!E:E,"STATE UNIT"),SUMIFS('Support - Transition'!F:F,'Support - Transition'!J:J,'Step 2'!D732))</f>
        <v>3.9240000000000004E-3</v>
      </c>
      <c r="J732" s="126">
        <f>SUMIFS('Support - Unit Adjustments'!E:E,'Support - Unit Adjustments'!F:F,'Step 2'!D732)</f>
        <v>0</v>
      </c>
      <c r="K732" s="126">
        <f t="shared" si="213"/>
        <v>3.9240000000000004E-3</v>
      </c>
      <c r="L732" s="174">
        <f>VLOOKUP(A732,'Step 1'!$A:$E,4,FALSE)</f>
        <v>461505</v>
      </c>
      <c r="M732" s="47">
        <f t="shared" si="214"/>
        <v>1811</v>
      </c>
      <c r="N732" s="177">
        <f>SUMIFS('Support - Transition'!G:G,'Support - Transition'!J:J,'Step 2'!D732,'Support - Transition'!E:E,"2009 WELFARE ALLOCATION FACTOR")</f>
        <v>0</v>
      </c>
      <c r="O732" s="152">
        <f t="shared" si="219"/>
        <v>0</v>
      </c>
      <c r="P732" s="126">
        <f>IF(E732="Y",0,SUMIFS('Support - Transition'!G:G,'Support - Transition'!J:J,'Step 2'!D732,'Support - Transition'!E:E,"2009 SCHOOL ALLOCATION FACTOR"))</f>
        <v>0</v>
      </c>
      <c r="Q732" s="126">
        <f>IF(E732="Y",VLOOKUP(D732,'Support - Unit Adjustments'!F:G,2,FALSE),0)</f>
        <v>0</v>
      </c>
      <c r="R732" s="155">
        <f t="shared" si="231"/>
        <v>0</v>
      </c>
      <c r="S732" s="47">
        <f t="shared" si="230"/>
        <v>0</v>
      </c>
      <c r="T732" s="151">
        <f t="shared" si="215"/>
        <v>1811</v>
      </c>
      <c r="U732" s="151">
        <f t="shared" si="216"/>
        <v>0</v>
      </c>
      <c r="V732" s="139">
        <f t="shared" si="217"/>
        <v>0</v>
      </c>
      <c r="W732" s="152">
        <f t="shared" si="220"/>
        <v>1811</v>
      </c>
      <c r="X732" s="127" t="str">
        <f t="shared" si="218"/>
        <v/>
      </c>
      <c r="Y732" s="207">
        <f t="shared" si="221"/>
        <v>1811</v>
      </c>
      <c r="Z732" s="139">
        <f t="shared" si="222"/>
        <v>1203</v>
      </c>
      <c r="AA732" s="139">
        <f t="shared" si="223"/>
        <v>608</v>
      </c>
      <c r="AC732" s="47">
        <f t="shared" si="224"/>
        <v>906</v>
      </c>
      <c r="AD732" s="47">
        <f t="shared" si="225"/>
        <v>602</v>
      </c>
      <c r="AE732" s="47">
        <f t="shared" si="226"/>
        <v>304</v>
      </c>
      <c r="AG732" s="47">
        <f t="shared" si="227"/>
        <v>905</v>
      </c>
      <c r="AH732" s="47">
        <f t="shared" si="228"/>
        <v>601</v>
      </c>
      <c r="AI732" s="208">
        <f t="shared" si="229"/>
        <v>304</v>
      </c>
    </row>
    <row r="733" spans="1:35">
      <c r="A733" t="s">
        <v>2113</v>
      </c>
      <c r="B733" t="s">
        <v>3142</v>
      </c>
      <c r="C733" t="s">
        <v>2190</v>
      </c>
      <c r="D733" t="s">
        <v>4013</v>
      </c>
      <c r="F733" t="s">
        <v>372</v>
      </c>
      <c r="G733" s="126">
        <f>SUMIFS('Support - Transition'!F:F,'Support - Transition'!B:B,'Step 2'!A733,'Support - Transition'!C:C,'Step 2'!B733,'Support - Transition'!D:D,'Step 2'!C733,'Support - Transition'!E:E,"CIVIL")</f>
        <v>1.4419999999999999E-3</v>
      </c>
      <c r="H733" s="126">
        <f>SUMIFS('Support - Transition'!F:F,'Support - Transition'!B:B,'Step 2'!A733,'Support - Transition'!C:C,'Step 2'!B733,'Support - Transition'!D:D,'Step 2'!C733,'Support - Transition'!E:E,"FIRE")</f>
        <v>1.4799999999999999E-4</v>
      </c>
      <c r="I733" s="126">
        <f>IF(B733="0",SUMIFS('Support - Transition'!F:F,'Support - Transition'!J:J,'Step 2'!D733,'Support - Transition'!E:E,"STATE UNIT"),SUMIFS('Support - Transition'!F:F,'Support - Transition'!J:J,'Step 2'!D733))</f>
        <v>1.5899999999999998E-3</v>
      </c>
      <c r="J733" s="126">
        <f>SUMIFS('Support - Unit Adjustments'!E:E,'Support - Unit Adjustments'!F:F,'Step 2'!D733)</f>
        <v>0</v>
      </c>
      <c r="K733" s="126">
        <f t="shared" si="213"/>
        <v>1.5899999999999998E-3</v>
      </c>
      <c r="L733" s="174">
        <f>VLOOKUP(A733,'Step 1'!$A:$E,4,FALSE)</f>
        <v>461505</v>
      </c>
      <c r="M733" s="47">
        <f t="shared" si="214"/>
        <v>734</v>
      </c>
      <c r="N733" s="177">
        <f>SUMIFS('Support - Transition'!G:G,'Support - Transition'!J:J,'Step 2'!D733,'Support - Transition'!E:E,"2009 WELFARE ALLOCATION FACTOR")</f>
        <v>0</v>
      </c>
      <c r="O733" s="152">
        <f t="shared" si="219"/>
        <v>0</v>
      </c>
      <c r="P733" s="126">
        <f>IF(E733="Y",0,SUMIFS('Support - Transition'!G:G,'Support - Transition'!J:J,'Step 2'!D733,'Support - Transition'!E:E,"2009 SCHOOL ALLOCATION FACTOR"))</f>
        <v>0</v>
      </c>
      <c r="Q733" s="126">
        <f>IF(E733="Y",VLOOKUP(D733,'Support - Unit Adjustments'!F:G,2,FALSE),0)</f>
        <v>0</v>
      </c>
      <c r="R733" s="155">
        <f t="shared" si="231"/>
        <v>0</v>
      </c>
      <c r="S733" s="47">
        <f t="shared" si="230"/>
        <v>0</v>
      </c>
      <c r="T733" s="151">
        <f t="shared" si="215"/>
        <v>734</v>
      </c>
      <c r="U733" s="151">
        <f t="shared" si="216"/>
        <v>0</v>
      </c>
      <c r="V733" s="139">
        <f t="shared" si="217"/>
        <v>0</v>
      </c>
      <c r="W733" s="152">
        <f t="shared" si="220"/>
        <v>734</v>
      </c>
      <c r="X733" s="127" t="str">
        <f t="shared" si="218"/>
        <v/>
      </c>
      <c r="Y733" s="207">
        <f t="shared" si="221"/>
        <v>734</v>
      </c>
      <c r="Z733" s="139">
        <f t="shared" si="222"/>
        <v>666</v>
      </c>
      <c r="AA733" s="139">
        <f t="shared" si="223"/>
        <v>68</v>
      </c>
      <c r="AC733" s="47">
        <f t="shared" si="224"/>
        <v>367</v>
      </c>
      <c r="AD733" s="47">
        <f t="shared" si="225"/>
        <v>333</v>
      </c>
      <c r="AE733" s="47">
        <f t="shared" si="226"/>
        <v>34</v>
      </c>
      <c r="AG733" s="47">
        <f t="shared" si="227"/>
        <v>367</v>
      </c>
      <c r="AH733" s="47">
        <f t="shared" si="228"/>
        <v>333</v>
      </c>
      <c r="AI733" s="208">
        <f t="shared" si="229"/>
        <v>34</v>
      </c>
    </row>
    <row r="734" spans="1:35">
      <c r="A734" t="s">
        <v>2113</v>
      </c>
      <c r="B734" t="s">
        <v>3142</v>
      </c>
      <c r="C734" t="s">
        <v>2191</v>
      </c>
      <c r="D734" t="s">
        <v>4014</v>
      </c>
      <c r="F734" t="s">
        <v>593</v>
      </c>
      <c r="G734" s="126">
        <f>SUMIFS('Support - Transition'!F:F,'Support - Transition'!B:B,'Step 2'!A734,'Support - Transition'!C:C,'Step 2'!B734,'Support - Transition'!D:D,'Step 2'!C734,'Support - Transition'!E:E,"CIVIL")</f>
        <v>4.8200000000000001E-4</v>
      </c>
      <c r="H734" s="126">
        <f>SUMIFS('Support - Transition'!F:F,'Support - Transition'!B:B,'Step 2'!A734,'Support - Transition'!C:C,'Step 2'!B734,'Support - Transition'!D:D,'Step 2'!C734,'Support - Transition'!E:E,"FIRE")</f>
        <v>4.6000000000000001E-4</v>
      </c>
      <c r="I734" s="126">
        <f>IF(B734="0",SUMIFS('Support - Transition'!F:F,'Support - Transition'!J:J,'Step 2'!D734,'Support - Transition'!E:E,"STATE UNIT"),SUMIFS('Support - Transition'!F:F,'Support - Transition'!J:J,'Step 2'!D734))</f>
        <v>9.4200000000000002E-4</v>
      </c>
      <c r="J734" s="126">
        <f>SUMIFS('Support - Unit Adjustments'!E:E,'Support - Unit Adjustments'!F:F,'Step 2'!D734)</f>
        <v>0</v>
      </c>
      <c r="K734" s="126">
        <f t="shared" si="213"/>
        <v>9.4200000000000002E-4</v>
      </c>
      <c r="L734" s="174">
        <f>VLOOKUP(A734,'Step 1'!$A:$E,4,FALSE)</f>
        <v>461505</v>
      </c>
      <c r="M734" s="47">
        <f t="shared" si="214"/>
        <v>435</v>
      </c>
      <c r="N734" s="177">
        <f>SUMIFS('Support - Transition'!G:G,'Support - Transition'!J:J,'Step 2'!D734,'Support - Transition'!E:E,"2009 WELFARE ALLOCATION FACTOR")</f>
        <v>0</v>
      </c>
      <c r="O734" s="152">
        <f t="shared" si="219"/>
        <v>0</v>
      </c>
      <c r="P734" s="126">
        <f>IF(E734="Y",0,SUMIFS('Support - Transition'!G:G,'Support - Transition'!J:J,'Step 2'!D734,'Support - Transition'!E:E,"2009 SCHOOL ALLOCATION FACTOR"))</f>
        <v>0</v>
      </c>
      <c r="Q734" s="126">
        <f>IF(E734="Y",VLOOKUP(D734,'Support - Unit Adjustments'!F:G,2,FALSE),0)</f>
        <v>0</v>
      </c>
      <c r="R734" s="155">
        <f t="shared" si="231"/>
        <v>0</v>
      </c>
      <c r="S734" s="47">
        <f t="shared" si="230"/>
        <v>0</v>
      </c>
      <c r="T734" s="151">
        <f t="shared" si="215"/>
        <v>435</v>
      </c>
      <c r="U734" s="151">
        <f t="shared" si="216"/>
        <v>0</v>
      </c>
      <c r="V734" s="139">
        <f t="shared" si="217"/>
        <v>0</v>
      </c>
      <c r="W734" s="152">
        <f t="shared" si="220"/>
        <v>435</v>
      </c>
      <c r="X734" s="127" t="str">
        <f t="shared" si="218"/>
        <v/>
      </c>
      <c r="Y734" s="207">
        <f t="shared" si="221"/>
        <v>435</v>
      </c>
      <c r="Z734" s="139">
        <f t="shared" si="222"/>
        <v>223</v>
      </c>
      <c r="AA734" s="139">
        <f t="shared" si="223"/>
        <v>212</v>
      </c>
      <c r="AC734" s="47">
        <f t="shared" si="224"/>
        <v>218</v>
      </c>
      <c r="AD734" s="47">
        <f t="shared" si="225"/>
        <v>112</v>
      </c>
      <c r="AE734" s="47">
        <f t="shared" si="226"/>
        <v>106</v>
      </c>
      <c r="AG734" s="47">
        <f t="shared" si="227"/>
        <v>217</v>
      </c>
      <c r="AH734" s="47">
        <f t="shared" si="228"/>
        <v>111</v>
      </c>
      <c r="AI734" s="208">
        <f t="shared" si="229"/>
        <v>106</v>
      </c>
    </row>
    <row r="735" spans="1:35">
      <c r="A735" t="s">
        <v>2113</v>
      </c>
      <c r="B735" t="s">
        <v>3142</v>
      </c>
      <c r="C735" t="s">
        <v>2192</v>
      </c>
      <c r="D735" t="s">
        <v>4015</v>
      </c>
      <c r="F735" t="s">
        <v>14</v>
      </c>
      <c r="G735" s="126">
        <f>SUMIFS('Support - Transition'!F:F,'Support - Transition'!B:B,'Step 2'!A735,'Support - Transition'!C:C,'Step 2'!B735,'Support - Transition'!D:D,'Step 2'!C735,'Support - Transition'!E:E,"CIVIL")</f>
        <v>2.7399999999999999E-4</v>
      </c>
      <c r="H735" s="126">
        <f>SUMIFS('Support - Transition'!F:F,'Support - Transition'!B:B,'Step 2'!A735,'Support - Transition'!C:C,'Step 2'!B735,'Support - Transition'!D:D,'Step 2'!C735,'Support - Transition'!E:E,"FIRE")</f>
        <v>1.2999999999999999E-4</v>
      </c>
      <c r="I735" s="126">
        <f>IF(B735="0",SUMIFS('Support - Transition'!F:F,'Support - Transition'!J:J,'Step 2'!D735,'Support - Transition'!E:E,"STATE UNIT"),SUMIFS('Support - Transition'!F:F,'Support - Transition'!J:J,'Step 2'!D735))</f>
        <v>4.0399999999999995E-4</v>
      </c>
      <c r="J735" s="126">
        <f>SUMIFS('Support - Unit Adjustments'!E:E,'Support - Unit Adjustments'!F:F,'Step 2'!D735)</f>
        <v>0</v>
      </c>
      <c r="K735" s="126">
        <f t="shared" si="213"/>
        <v>4.0399999999999995E-4</v>
      </c>
      <c r="L735" s="174">
        <f>VLOOKUP(A735,'Step 1'!$A:$E,4,FALSE)</f>
        <v>461505</v>
      </c>
      <c r="M735" s="47">
        <f t="shared" si="214"/>
        <v>186</v>
      </c>
      <c r="N735" s="177">
        <f>SUMIFS('Support - Transition'!G:G,'Support - Transition'!J:J,'Step 2'!D735,'Support - Transition'!E:E,"2009 WELFARE ALLOCATION FACTOR")</f>
        <v>0</v>
      </c>
      <c r="O735" s="152">
        <f t="shared" si="219"/>
        <v>0</v>
      </c>
      <c r="P735" s="126">
        <f>IF(E735="Y",0,SUMIFS('Support - Transition'!G:G,'Support - Transition'!J:J,'Step 2'!D735,'Support - Transition'!E:E,"2009 SCHOOL ALLOCATION FACTOR"))</f>
        <v>0</v>
      </c>
      <c r="Q735" s="126">
        <f>IF(E735="Y",VLOOKUP(D735,'Support - Unit Adjustments'!F:G,2,FALSE),0)</f>
        <v>0</v>
      </c>
      <c r="R735" s="155">
        <f t="shared" si="231"/>
        <v>0</v>
      </c>
      <c r="S735" s="47">
        <f t="shared" si="230"/>
        <v>0</v>
      </c>
      <c r="T735" s="151">
        <f t="shared" si="215"/>
        <v>186</v>
      </c>
      <c r="U735" s="151">
        <f t="shared" si="216"/>
        <v>0</v>
      </c>
      <c r="V735" s="139">
        <f t="shared" si="217"/>
        <v>0</v>
      </c>
      <c r="W735" s="152">
        <f t="shared" si="220"/>
        <v>186</v>
      </c>
      <c r="X735" s="127" t="str">
        <f t="shared" si="218"/>
        <v/>
      </c>
      <c r="Y735" s="207">
        <f t="shared" si="221"/>
        <v>186</v>
      </c>
      <c r="Z735" s="139">
        <f t="shared" si="222"/>
        <v>126</v>
      </c>
      <c r="AA735" s="139">
        <f t="shared" si="223"/>
        <v>60</v>
      </c>
      <c r="AC735" s="47">
        <f t="shared" si="224"/>
        <v>93</v>
      </c>
      <c r="AD735" s="47">
        <f t="shared" si="225"/>
        <v>63</v>
      </c>
      <c r="AE735" s="47">
        <f t="shared" si="226"/>
        <v>30</v>
      </c>
      <c r="AG735" s="47">
        <f t="shared" si="227"/>
        <v>93</v>
      </c>
      <c r="AH735" s="47">
        <f t="shared" si="228"/>
        <v>63</v>
      </c>
      <c r="AI735" s="208">
        <f t="shared" si="229"/>
        <v>30</v>
      </c>
    </row>
    <row r="736" spans="1:35">
      <c r="A736" t="s">
        <v>2113</v>
      </c>
      <c r="B736" t="s">
        <v>3142</v>
      </c>
      <c r="C736" t="s">
        <v>2193</v>
      </c>
      <c r="D736" t="s">
        <v>4016</v>
      </c>
      <c r="F736" t="s">
        <v>181</v>
      </c>
      <c r="G736" s="126">
        <f>SUMIFS('Support - Transition'!F:F,'Support - Transition'!B:B,'Step 2'!A736,'Support - Transition'!C:C,'Step 2'!B736,'Support - Transition'!D:D,'Step 2'!C736,'Support - Transition'!E:E,"CIVIL")</f>
        <v>3.8900000000000002E-4</v>
      </c>
      <c r="H736" s="126">
        <f>SUMIFS('Support - Transition'!F:F,'Support - Transition'!B:B,'Step 2'!A736,'Support - Transition'!C:C,'Step 2'!B736,'Support - Transition'!D:D,'Step 2'!C736,'Support - Transition'!E:E,"FIRE")</f>
        <v>3.0200000000000002E-4</v>
      </c>
      <c r="I736" s="126">
        <f>IF(B736="0",SUMIFS('Support - Transition'!F:F,'Support - Transition'!J:J,'Step 2'!D736,'Support - Transition'!E:E,"STATE UNIT"),SUMIFS('Support - Transition'!F:F,'Support - Transition'!J:J,'Step 2'!D736))</f>
        <v>6.9099999999999999E-4</v>
      </c>
      <c r="J736" s="126">
        <f>SUMIFS('Support - Unit Adjustments'!E:E,'Support - Unit Adjustments'!F:F,'Step 2'!D736)</f>
        <v>0</v>
      </c>
      <c r="K736" s="126">
        <f t="shared" si="213"/>
        <v>6.9099999999999999E-4</v>
      </c>
      <c r="L736" s="174">
        <f>VLOOKUP(A736,'Step 1'!$A:$E,4,FALSE)</f>
        <v>461505</v>
      </c>
      <c r="M736" s="47">
        <f t="shared" si="214"/>
        <v>319</v>
      </c>
      <c r="N736" s="177">
        <f>SUMIFS('Support - Transition'!G:G,'Support - Transition'!J:J,'Step 2'!D736,'Support - Transition'!E:E,"2009 WELFARE ALLOCATION FACTOR")</f>
        <v>0</v>
      </c>
      <c r="O736" s="152">
        <f t="shared" si="219"/>
        <v>0</v>
      </c>
      <c r="P736" s="126">
        <f>IF(E736="Y",0,SUMIFS('Support - Transition'!G:G,'Support - Transition'!J:J,'Step 2'!D736,'Support - Transition'!E:E,"2009 SCHOOL ALLOCATION FACTOR"))</f>
        <v>0</v>
      </c>
      <c r="Q736" s="126">
        <f>IF(E736="Y",VLOOKUP(D736,'Support - Unit Adjustments'!F:G,2,FALSE),0)</f>
        <v>0</v>
      </c>
      <c r="R736" s="155">
        <f t="shared" si="231"/>
        <v>0</v>
      </c>
      <c r="S736" s="47">
        <f t="shared" si="230"/>
        <v>0</v>
      </c>
      <c r="T736" s="151">
        <f t="shared" si="215"/>
        <v>319</v>
      </c>
      <c r="U736" s="151">
        <f t="shared" si="216"/>
        <v>0</v>
      </c>
      <c r="V736" s="139">
        <f t="shared" si="217"/>
        <v>0</v>
      </c>
      <c r="W736" s="152">
        <f t="shared" si="220"/>
        <v>319</v>
      </c>
      <c r="X736" s="127" t="str">
        <f t="shared" si="218"/>
        <v/>
      </c>
      <c r="Y736" s="207">
        <f t="shared" si="221"/>
        <v>319</v>
      </c>
      <c r="Z736" s="139">
        <f t="shared" si="222"/>
        <v>180</v>
      </c>
      <c r="AA736" s="139">
        <f t="shared" si="223"/>
        <v>139</v>
      </c>
      <c r="AC736" s="47">
        <f t="shared" si="224"/>
        <v>160</v>
      </c>
      <c r="AD736" s="47">
        <f t="shared" si="225"/>
        <v>90</v>
      </c>
      <c r="AE736" s="47">
        <f t="shared" si="226"/>
        <v>70</v>
      </c>
      <c r="AG736" s="47">
        <f t="shared" si="227"/>
        <v>159</v>
      </c>
      <c r="AH736" s="47">
        <f t="shared" si="228"/>
        <v>90</v>
      </c>
      <c r="AI736" s="208">
        <f t="shared" si="229"/>
        <v>69</v>
      </c>
    </row>
    <row r="737" spans="1:35">
      <c r="A737" t="s">
        <v>2113</v>
      </c>
      <c r="B737" t="s">
        <v>3142</v>
      </c>
      <c r="C737" t="s">
        <v>2194</v>
      </c>
      <c r="D737" t="s">
        <v>4017</v>
      </c>
      <c r="F737" t="s">
        <v>594</v>
      </c>
      <c r="G737" s="126">
        <f>SUMIFS('Support - Transition'!F:F,'Support - Transition'!B:B,'Step 2'!A737,'Support - Transition'!C:C,'Step 2'!B737,'Support - Transition'!D:D,'Step 2'!C737,'Support - Transition'!E:E,"CIVIL")</f>
        <v>2.8709999999999999E-3</v>
      </c>
      <c r="H737" s="126">
        <f>SUMIFS('Support - Transition'!F:F,'Support - Transition'!B:B,'Step 2'!A737,'Support - Transition'!C:C,'Step 2'!B737,'Support - Transition'!D:D,'Step 2'!C737,'Support - Transition'!E:E,"FIRE")</f>
        <v>7.5600000000000005E-4</v>
      </c>
      <c r="I737" s="126">
        <f>IF(B737="0",SUMIFS('Support - Transition'!F:F,'Support - Transition'!J:J,'Step 2'!D737,'Support - Transition'!E:E,"STATE UNIT"),SUMIFS('Support - Transition'!F:F,'Support - Transition'!J:J,'Step 2'!D737))</f>
        <v>3.627E-3</v>
      </c>
      <c r="J737" s="126">
        <f>SUMIFS('Support - Unit Adjustments'!E:E,'Support - Unit Adjustments'!F:F,'Step 2'!D737)</f>
        <v>0</v>
      </c>
      <c r="K737" s="126">
        <f t="shared" si="213"/>
        <v>3.627E-3</v>
      </c>
      <c r="L737" s="174">
        <f>VLOOKUP(A737,'Step 1'!$A:$E,4,FALSE)</f>
        <v>461505</v>
      </c>
      <c r="M737" s="47">
        <f t="shared" si="214"/>
        <v>1674</v>
      </c>
      <c r="N737" s="177">
        <f>SUMIFS('Support - Transition'!G:G,'Support - Transition'!J:J,'Step 2'!D737,'Support - Transition'!E:E,"2009 WELFARE ALLOCATION FACTOR")</f>
        <v>0</v>
      </c>
      <c r="O737" s="152">
        <f t="shared" si="219"/>
        <v>0</v>
      </c>
      <c r="P737" s="126">
        <f>IF(E737="Y",0,SUMIFS('Support - Transition'!G:G,'Support - Transition'!J:J,'Step 2'!D737,'Support - Transition'!E:E,"2009 SCHOOL ALLOCATION FACTOR"))</f>
        <v>0</v>
      </c>
      <c r="Q737" s="126">
        <f>IF(E737="Y",VLOOKUP(D737,'Support - Unit Adjustments'!F:G,2,FALSE),0)</f>
        <v>0</v>
      </c>
      <c r="R737" s="155">
        <f t="shared" si="231"/>
        <v>0</v>
      </c>
      <c r="S737" s="47">
        <f t="shared" si="230"/>
        <v>0</v>
      </c>
      <c r="T737" s="151">
        <f t="shared" si="215"/>
        <v>1674</v>
      </c>
      <c r="U737" s="151">
        <f t="shared" si="216"/>
        <v>0</v>
      </c>
      <c r="V737" s="139">
        <f t="shared" si="217"/>
        <v>0</v>
      </c>
      <c r="W737" s="152">
        <f t="shared" si="220"/>
        <v>1674</v>
      </c>
      <c r="X737" s="127" t="str">
        <f t="shared" si="218"/>
        <v/>
      </c>
      <c r="Y737" s="207">
        <f t="shared" si="221"/>
        <v>1674</v>
      </c>
      <c r="Z737" s="139">
        <f t="shared" si="222"/>
        <v>1325</v>
      </c>
      <c r="AA737" s="139">
        <f t="shared" si="223"/>
        <v>349</v>
      </c>
      <c r="AC737" s="47">
        <f t="shared" si="224"/>
        <v>837</v>
      </c>
      <c r="AD737" s="47">
        <f t="shared" si="225"/>
        <v>663</v>
      </c>
      <c r="AE737" s="47">
        <f t="shared" si="226"/>
        <v>175</v>
      </c>
      <c r="AG737" s="47">
        <f t="shared" si="227"/>
        <v>837</v>
      </c>
      <c r="AH737" s="47">
        <f t="shared" si="228"/>
        <v>662</v>
      </c>
      <c r="AI737" s="208">
        <f t="shared" si="229"/>
        <v>174</v>
      </c>
    </row>
    <row r="738" spans="1:35">
      <c r="A738" t="s">
        <v>2113</v>
      </c>
      <c r="B738" t="s">
        <v>3142</v>
      </c>
      <c r="C738" t="s">
        <v>2195</v>
      </c>
      <c r="D738" t="s">
        <v>4018</v>
      </c>
      <c r="F738" t="s">
        <v>16</v>
      </c>
      <c r="G738" s="126">
        <f>SUMIFS('Support - Transition'!F:F,'Support - Transition'!B:B,'Step 2'!A738,'Support - Transition'!C:C,'Step 2'!B738,'Support - Transition'!D:D,'Step 2'!C738,'Support - Transition'!E:E,"CIVIL")</f>
        <v>5.8999999999999998E-5</v>
      </c>
      <c r="H738" s="126">
        <f>SUMIFS('Support - Transition'!F:F,'Support - Transition'!B:B,'Step 2'!A738,'Support - Transition'!C:C,'Step 2'!B738,'Support - Transition'!D:D,'Step 2'!C738,'Support - Transition'!E:E,"FIRE")</f>
        <v>4.6999999999999997E-5</v>
      </c>
      <c r="I738" s="126">
        <f>IF(B738="0",SUMIFS('Support - Transition'!F:F,'Support - Transition'!J:J,'Step 2'!D738,'Support - Transition'!E:E,"STATE UNIT"),SUMIFS('Support - Transition'!F:F,'Support - Transition'!J:J,'Step 2'!D738))</f>
        <v>1.06E-4</v>
      </c>
      <c r="J738" s="126">
        <f>SUMIFS('Support - Unit Adjustments'!E:E,'Support - Unit Adjustments'!F:F,'Step 2'!D738)</f>
        <v>0</v>
      </c>
      <c r="K738" s="126">
        <f t="shared" si="213"/>
        <v>1.06E-4</v>
      </c>
      <c r="L738" s="174">
        <f>VLOOKUP(A738,'Step 1'!$A:$E,4,FALSE)</f>
        <v>461505</v>
      </c>
      <c r="M738" s="47">
        <f t="shared" si="214"/>
        <v>49</v>
      </c>
      <c r="N738" s="177">
        <f>SUMIFS('Support - Transition'!G:G,'Support - Transition'!J:J,'Step 2'!D738,'Support - Transition'!E:E,"2009 WELFARE ALLOCATION FACTOR")</f>
        <v>0</v>
      </c>
      <c r="O738" s="152">
        <f t="shared" si="219"/>
        <v>0</v>
      </c>
      <c r="P738" s="126">
        <f>IF(E738="Y",0,SUMIFS('Support - Transition'!G:G,'Support - Transition'!J:J,'Step 2'!D738,'Support - Transition'!E:E,"2009 SCHOOL ALLOCATION FACTOR"))</f>
        <v>0</v>
      </c>
      <c r="Q738" s="126">
        <f>IF(E738="Y",VLOOKUP(D738,'Support - Unit Adjustments'!F:G,2,FALSE),0)</f>
        <v>0</v>
      </c>
      <c r="R738" s="155">
        <f t="shared" si="231"/>
        <v>0</v>
      </c>
      <c r="S738" s="47">
        <f t="shared" si="230"/>
        <v>0</v>
      </c>
      <c r="T738" s="151">
        <f t="shared" si="215"/>
        <v>49</v>
      </c>
      <c r="U738" s="151">
        <f t="shared" si="216"/>
        <v>0</v>
      </c>
      <c r="V738" s="139">
        <f t="shared" si="217"/>
        <v>0</v>
      </c>
      <c r="W738" s="152">
        <f t="shared" si="220"/>
        <v>49</v>
      </c>
      <c r="X738" s="127" t="str">
        <f t="shared" si="218"/>
        <v/>
      </c>
      <c r="Y738" s="207">
        <f t="shared" si="221"/>
        <v>49</v>
      </c>
      <c r="Z738" s="139">
        <f t="shared" si="222"/>
        <v>27</v>
      </c>
      <c r="AA738" s="139">
        <f t="shared" si="223"/>
        <v>22</v>
      </c>
      <c r="AC738" s="47">
        <f t="shared" si="224"/>
        <v>25</v>
      </c>
      <c r="AD738" s="47">
        <f t="shared" si="225"/>
        <v>14</v>
      </c>
      <c r="AE738" s="47">
        <f t="shared" si="226"/>
        <v>11</v>
      </c>
      <c r="AG738" s="47">
        <f t="shared" si="227"/>
        <v>24</v>
      </c>
      <c r="AH738" s="47">
        <f t="shared" si="228"/>
        <v>13</v>
      </c>
      <c r="AI738" s="208">
        <f t="shared" si="229"/>
        <v>11</v>
      </c>
    </row>
    <row r="739" spans="1:35">
      <c r="A739" t="s">
        <v>2113</v>
      </c>
      <c r="B739" t="s">
        <v>3142</v>
      </c>
      <c r="C739" t="s">
        <v>2196</v>
      </c>
      <c r="D739" t="s">
        <v>4019</v>
      </c>
      <c r="F739" t="s">
        <v>57</v>
      </c>
      <c r="G739" s="126">
        <f>SUMIFS('Support - Transition'!F:F,'Support - Transition'!B:B,'Step 2'!A739,'Support - Transition'!C:C,'Step 2'!B739,'Support - Transition'!D:D,'Step 2'!C739,'Support - Transition'!E:E,"CIVIL")</f>
        <v>1.4999999999999999E-4</v>
      </c>
      <c r="H739" s="126">
        <f>SUMIFS('Support - Transition'!F:F,'Support - Transition'!B:B,'Step 2'!A739,'Support - Transition'!C:C,'Step 2'!B739,'Support - Transition'!D:D,'Step 2'!C739,'Support - Transition'!E:E,"FIRE")</f>
        <v>4.5000000000000003E-5</v>
      </c>
      <c r="I739" s="126">
        <f>IF(B739="0",SUMIFS('Support - Transition'!F:F,'Support - Transition'!J:J,'Step 2'!D739,'Support - Transition'!E:E,"STATE UNIT"),SUMIFS('Support - Transition'!F:F,'Support - Transition'!J:J,'Step 2'!D739))</f>
        <v>1.95E-4</v>
      </c>
      <c r="J739" s="126">
        <f>SUMIFS('Support - Unit Adjustments'!E:E,'Support - Unit Adjustments'!F:F,'Step 2'!D739)</f>
        <v>0</v>
      </c>
      <c r="K739" s="126">
        <f t="shared" si="213"/>
        <v>1.95E-4</v>
      </c>
      <c r="L739" s="174">
        <f>VLOOKUP(A739,'Step 1'!$A:$E,4,FALSE)</f>
        <v>461505</v>
      </c>
      <c r="M739" s="47">
        <f t="shared" si="214"/>
        <v>90</v>
      </c>
      <c r="N739" s="177">
        <f>SUMIFS('Support - Transition'!G:G,'Support - Transition'!J:J,'Step 2'!D739,'Support - Transition'!E:E,"2009 WELFARE ALLOCATION FACTOR")</f>
        <v>0</v>
      </c>
      <c r="O739" s="152">
        <f t="shared" si="219"/>
        <v>0</v>
      </c>
      <c r="P739" s="126">
        <f>IF(E739="Y",0,SUMIFS('Support - Transition'!G:G,'Support - Transition'!J:J,'Step 2'!D739,'Support - Transition'!E:E,"2009 SCHOOL ALLOCATION FACTOR"))</f>
        <v>0</v>
      </c>
      <c r="Q739" s="126">
        <f>IF(E739="Y",VLOOKUP(D739,'Support - Unit Adjustments'!F:G,2,FALSE),0)</f>
        <v>0</v>
      </c>
      <c r="R739" s="155">
        <f t="shared" si="231"/>
        <v>0</v>
      </c>
      <c r="S739" s="47">
        <f t="shared" si="230"/>
        <v>0</v>
      </c>
      <c r="T739" s="151">
        <f t="shared" si="215"/>
        <v>90</v>
      </c>
      <c r="U739" s="151">
        <f t="shared" si="216"/>
        <v>0</v>
      </c>
      <c r="V739" s="139">
        <f t="shared" si="217"/>
        <v>0</v>
      </c>
      <c r="W739" s="152">
        <f t="shared" si="220"/>
        <v>90</v>
      </c>
      <c r="X739" s="127" t="str">
        <f t="shared" si="218"/>
        <v/>
      </c>
      <c r="Y739" s="207">
        <f t="shared" si="221"/>
        <v>90</v>
      </c>
      <c r="Z739" s="139">
        <f t="shared" si="222"/>
        <v>69</v>
      </c>
      <c r="AA739" s="139">
        <f t="shared" si="223"/>
        <v>21</v>
      </c>
      <c r="AC739" s="47">
        <f t="shared" si="224"/>
        <v>45</v>
      </c>
      <c r="AD739" s="47">
        <f t="shared" si="225"/>
        <v>35</v>
      </c>
      <c r="AE739" s="47">
        <f t="shared" si="226"/>
        <v>11</v>
      </c>
      <c r="AG739" s="47">
        <f t="shared" si="227"/>
        <v>45</v>
      </c>
      <c r="AH739" s="47">
        <f t="shared" si="228"/>
        <v>34</v>
      </c>
      <c r="AI739" s="208">
        <f t="shared" si="229"/>
        <v>10</v>
      </c>
    </row>
    <row r="740" spans="1:35">
      <c r="A740" t="s">
        <v>2113</v>
      </c>
      <c r="B740" t="s">
        <v>3142</v>
      </c>
      <c r="C740" t="s">
        <v>2197</v>
      </c>
      <c r="D740" t="s">
        <v>4020</v>
      </c>
      <c r="F740" t="s">
        <v>114</v>
      </c>
      <c r="G740" s="126">
        <f>SUMIFS('Support - Transition'!F:F,'Support - Transition'!B:B,'Step 2'!A740,'Support - Transition'!C:C,'Step 2'!B740,'Support - Transition'!D:D,'Step 2'!C740,'Support - Transition'!E:E,"CIVIL")</f>
        <v>1.66E-4</v>
      </c>
      <c r="H740" s="126">
        <f>SUMIFS('Support - Transition'!F:F,'Support - Transition'!B:B,'Step 2'!A740,'Support - Transition'!C:C,'Step 2'!B740,'Support - Transition'!D:D,'Step 2'!C740,'Support - Transition'!E:E,"FIRE")</f>
        <v>9.7E-5</v>
      </c>
      <c r="I740" s="126">
        <f>IF(B740="0",SUMIFS('Support - Transition'!F:F,'Support - Transition'!J:J,'Step 2'!D740,'Support - Transition'!E:E,"STATE UNIT"),SUMIFS('Support - Transition'!F:F,'Support - Transition'!J:J,'Step 2'!D740))</f>
        <v>2.63E-4</v>
      </c>
      <c r="J740" s="126">
        <f>SUMIFS('Support - Unit Adjustments'!E:E,'Support - Unit Adjustments'!F:F,'Step 2'!D740)</f>
        <v>0</v>
      </c>
      <c r="K740" s="126">
        <f t="shared" si="213"/>
        <v>2.63E-4</v>
      </c>
      <c r="L740" s="174">
        <f>VLOOKUP(A740,'Step 1'!$A:$E,4,FALSE)</f>
        <v>461505</v>
      </c>
      <c r="M740" s="47">
        <f t="shared" si="214"/>
        <v>121</v>
      </c>
      <c r="N740" s="177">
        <f>SUMIFS('Support - Transition'!G:G,'Support - Transition'!J:J,'Step 2'!D740,'Support - Transition'!E:E,"2009 WELFARE ALLOCATION FACTOR")</f>
        <v>0</v>
      </c>
      <c r="O740" s="152">
        <f t="shared" si="219"/>
        <v>0</v>
      </c>
      <c r="P740" s="126">
        <f>IF(E740="Y",0,SUMIFS('Support - Transition'!G:G,'Support - Transition'!J:J,'Step 2'!D740,'Support - Transition'!E:E,"2009 SCHOOL ALLOCATION FACTOR"))</f>
        <v>0</v>
      </c>
      <c r="Q740" s="126">
        <f>IF(E740="Y",VLOOKUP(D740,'Support - Unit Adjustments'!F:G,2,FALSE),0)</f>
        <v>0</v>
      </c>
      <c r="R740" s="155">
        <f t="shared" si="231"/>
        <v>0</v>
      </c>
      <c r="S740" s="47">
        <f t="shared" si="230"/>
        <v>0</v>
      </c>
      <c r="T740" s="151">
        <f t="shared" si="215"/>
        <v>121</v>
      </c>
      <c r="U740" s="151">
        <f t="shared" si="216"/>
        <v>0</v>
      </c>
      <c r="V740" s="139">
        <f t="shared" si="217"/>
        <v>0</v>
      </c>
      <c r="W740" s="152">
        <f t="shared" si="220"/>
        <v>121</v>
      </c>
      <c r="X740" s="127" t="str">
        <f t="shared" si="218"/>
        <v/>
      </c>
      <c r="Y740" s="207">
        <f t="shared" si="221"/>
        <v>121</v>
      </c>
      <c r="Z740" s="139">
        <f t="shared" si="222"/>
        <v>76</v>
      </c>
      <c r="AA740" s="139">
        <f t="shared" si="223"/>
        <v>45</v>
      </c>
      <c r="AC740" s="47">
        <f t="shared" si="224"/>
        <v>61</v>
      </c>
      <c r="AD740" s="47">
        <f t="shared" si="225"/>
        <v>38</v>
      </c>
      <c r="AE740" s="47">
        <f t="shared" si="226"/>
        <v>23</v>
      </c>
      <c r="AG740" s="47">
        <f t="shared" si="227"/>
        <v>60</v>
      </c>
      <c r="AH740" s="47">
        <f t="shared" si="228"/>
        <v>38</v>
      </c>
      <c r="AI740" s="208">
        <f t="shared" si="229"/>
        <v>22</v>
      </c>
    </row>
    <row r="741" spans="1:35">
      <c r="A741" t="s">
        <v>2113</v>
      </c>
      <c r="B741" t="s">
        <v>3142</v>
      </c>
      <c r="C741" t="s">
        <v>2198</v>
      </c>
      <c r="D741" t="s">
        <v>4021</v>
      </c>
      <c r="F741" t="s">
        <v>595</v>
      </c>
      <c r="G741" s="126">
        <f>SUMIFS('Support - Transition'!F:F,'Support - Transition'!B:B,'Step 2'!A741,'Support - Transition'!C:C,'Step 2'!B741,'Support - Transition'!D:D,'Step 2'!C741,'Support - Transition'!E:E,"CIVIL")</f>
        <v>5.1900000000000004E-4</v>
      </c>
      <c r="H741" s="126">
        <f>SUMIFS('Support - Transition'!F:F,'Support - Transition'!B:B,'Step 2'!A741,'Support - Transition'!C:C,'Step 2'!B741,'Support - Transition'!D:D,'Step 2'!C741,'Support - Transition'!E:E,"FIRE")</f>
        <v>8.7000000000000001E-5</v>
      </c>
      <c r="I741" s="126">
        <f>IF(B741="0",SUMIFS('Support - Transition'!F:F,'Support - Transition'!J:J,'Step 2'!D741,'Support - Transition'!E:E,"STATE UNIT"),SUMIFS('Support - Transition'!F:F,'Support - Transition'!J:J,'Step 2'!D741))</f>
        <v>6.0599999999999998E-4</v>
      </c>
      <c r="J741" s="126">
        <f>SUMIFS('Support - Unit Adjustments'!E:E,'Support - Unit Adjustments'!F:F,'Step 2'!D741)</f>
        <v>0</v>
      </c>
      <c r="K741" s="126">
        <f t="shared" si="213"/>
        <v>6.0599999999999998E-4</v>
      </c>
      <c r="L741" s="174">
        <f>VLOOKUP(A741,'Step 1'!$A:$E,4,FALSE)</f>
        <v>461505</v>
      </c>
      <c r="M741" s="47">
        <f t="shared" si="214"/>
        <v>280</v>
      </c>
      <c r="N741" s="177">
        <f>SUMIFS('Support - Transition'!G:G,'Support - Transition'!J:J,'Step 2'!D741,'Support - Transition'!E:E,"2009 WELFARE ALLOCATION FACTOR")</f>
        <v>0</v>
      </c>
      <c r="O741" s="152">
        <f t="shared" si="219"/>
        <v>0</v>
      </c>
      <c r="P741" s="126">
        <f>IF(E741="Y",0,SUMIFS('Support - Transition'!G:G,'Support - Transition'!J:J,'Step 2'!D741,'Support - Transition'!E:E,"2009 SCHOOL ALLOCATION FACTOR"))</f>
        <v>0</v>
      </c>
      <c r="Q741" s="126">
        <f>IF(E741="Y",VLOOKUP(D741,'Support - Unit Adjustments'!F:G,2,FALSE),0)</f>
        <v>0</v>
      </c>
      <c r="R741" s="155">
        <f t="shared" si="231"/>
        <v>0</v>
      </c>
      <c r="S741" s="47">
        <f t="shared" si="230"/>
        <v>0</v>
      </c>
      <c r="T741" s="151">
        <f t="shared" si="215"/>
        <v>280</v>
      </c>
      <c r="U741" s="151">
        <f t="shared" si="216"/>
        <v>0</v>
      </c>
      <c r="V741" s="139">
        <f t="shared" si="217"/>
        <v>0</v>
      </c>
      <c r="W741" s="152">
        <f t="shared" si="220"/>
        <v>280</v>
      </c>
      <c r="X741" s="127" t="str">
        <f t="shared" si="218"/>
        <v/>
      </c>
      <c r="Y741" s="207">
        <f t="shared" si="221"/>
        <v>280</v>
      </c>
      <c r="Z741" s="139">
        <f t="shared" si="222"/>
        <v>240</v>
      </c>
      <c r="AA741" s="139">
        <f t="shared" si="223"/>
        <v>40</v>
      </c>
      <c r="AC741" s="47">
        <f t="shared" si="224"/>
        <v>140</v>
      </c>
      <c r="AD741" s="47">
        <f t="shared" si="225"/>
        <v>120</v>
      </c>
      <c r="AE741" s="47">
        <f t="shared" si="226"/>
        <v>20</v>
      </c>
      <c r="AG741" s="47">
        <f t="shared" si="227"/>
        <v>140</v>
      </c>
      <c r="AH741" s="47">
        <f t="shared" si="228"/>
        <v>120</v>
      </c>
      <c r="AI741" s="208">
        <f t="shared" si="229"/>
        <v>20</v>
      </c>
    </row>
    <row r="742" spans="1:35">
      <c r="A742" t="s">
        <v>2113</v>
      </c>
      <c r="B742" t="s">
        <v>3142</v>
      </c>
      <c r="C742" t="s">
        <v>2199</v>
      </c>
      <c r="D742" t="s">
        <v>4022</v>
      </c>
      <c r="F742" t="s">
        <v>169</v>
      </c>
      <c r="G742" s="126">
        <f>SUMIFS('Support - Transition'!F:F,'Support - Transition'!B:B,'Step 2'!A742,'Support - Transition'!C:C,'Step 2'!B742,'Support - Transition'!D:D,'Step 2'!C742,'Support - Transition'!E:E,"CIVIL")</f>
        <v>5.3300000000000005E-4</v>
      </c>
      <c r="H742" s="126">
        <f>SUMIFS('Support - Transition'!F:F,'Support - Transition'!B:B,'Step 2'!A742,'Support - Transition'!C:C,'Step 2'!B742,'Support - Transition'!D:D,'Step 2'!C742,'Support - Transition'!E:E,"FIRE")</f>
        <v>2.5700000000000001E-4</v>
      </c>
      <c r="I742" s="126">
        <f>IF(B742="0",SUMIFS('Support - Transition'!F:F,'Support - Transition'!J:J,'Step 2'!D742,'Support - Transition'!E:E,"STATE UNIT"),SUMIFS('Support - Transition'!F:F,'Support - Transition'!J:J,'Step 2'!D742))</f>
        <v>7.9000000000000012E-4</v>
      </c>
      <c r="J742" s="126">
        <f>SUMIFS('Support - Unit Adjustments'!E:E,'Support - Unit Adjustments'!F:F,'Step 2'!D742)</f>
        <v>0</v>
      </c>
      <c r="K742" s="126">
        <f t="shared" si="213"/>
        <v>7.9000000000000012E-4</v>
      </c>
      <c r="L742" s="174">
        <f>VLOOKUP(A742,'Step 1'!$A:$E,4,FALSE)</f>
        <v>461505</v>
      </c>
      <c r="M742" s="47">
        <f t="shared" si="214"/>
        <v>365</v>
      </c>
      <c r="N742" s="177">
        <f>SUMIFS('Support - Transition'!G:G,'Support - Transition'!J:J,'Step 2'!D742,'Support - Transition'!E:E,"2009 WELFARE ALLOCATION FACTOR")</f>
        <v>0</v>
      </c>
      <c r="O742" s="152">
        <f t="shared" si="219"/>
        <v>0</v>
      </c>
      <c r="P742" s="126">
        <f>IF(E742="Y",0,SUMIFS('Support - Transition'!G:G,'Support - Transition'!J:J,'Step 2'!D742,'Support - Transition'!E:E,"2009 SCHOOL ALLOCATION FACTOR"))</f>
        <v>0</v>
      </c>
      <c r="Q742" s="126">
        <f>IF(E742="Y",VLOOKUP(D742,'Support - Unit Adjustments'!F:G,2,FALSE),0)</f>
        <v>0</v>
      </c>
      <c r="R742" s="155">
        <f t="shared" si="231"/>
        <v>0</v>
      </c>
      <c r="S742" s="47">
        <f t="shared" si="230"/>
        <v>0</v>
      </c>
      <c r="T742" s="151">
        <f t="shared" si="215"/>
        <v>365</v>
      </c>
      <c r="U742" s="151">
        <f t="shared" si="216"/>
        <v>0</v>
      </c>
      <c r="V742" s="139">
        <f t="shared" si="217"/>
        <v>0</v>
      </c>
      <c r="W742" s="152">
        <f t="shared" si="220"/>
        <v>365</v>
      </c>
      <c r="X742" s="127" t="str">
        <f t="shared" si="218"/>
        <v/>
      </c>
      <c r="Y742" s="207">
        <f t="shared" si="221"/>
        <v>365</v>
      </c>
      <c r="Z742" s="139">
        <f t="shared" si="222"/>
        <v>246</v>
      </c>
      <c r="AA742" s="139">
        <f t="shared" si="223"/>
        <v>119</v>
      </c>
      <c r="AC742" s="47">
        <f t="shared" si="224"/>
        <v>183</v>
      </c>
      <c r="AD742" s="47">
        <f t="shared" si="225"/>
        <v>123</v>
      </c>
      <c r="AE742" s="47">
        <f t="shared" si="226"/>
        <v>60</v>
      </c>
      <c r="AG742" s="47">
        <f t="shared" si="227"/>
        <v>182</v>
      </c>
      <c r="AH742" s="47">
        <f t="shared" si="228"/>
        <v>123</v>
      </c>
      <c r="AI742" s="208">
        <f t="shared" si="229"/>
        <v>59</v>
      </c>
    </row>
    <row r="743" spans="1:35">
      <c r="A743" t="s">
        <v>2113</v>
      </c>
      <c r="B743" t="s">
        <v>3142</v>
      </c>
      <c r="C743" t="s">
        <v>2208</v>
      </c>
      <c r="D743" t="s">
        <v>4023</v>
      </c>
      <c r="F743" t="s">
        <v>22</v>
      </c>
      <c r="G743" s="126">
        <f>SUMIFS('Support - Transition'!F:F,'Support - Transition'!B:B,'Step 2'!A743,'Support - Transition'!C:C,'Step 2'!B743,'Support - Transition'!D:D,'Step 2'!C743,'Support - Transition'!E:E,"CIVIL")</f>
        <v>1.4200000000000001E-4</v>
      </c>
      <c r="H743" s="126">
        <f>SUMIFS('Support - Transition'!F:F,'Support - Transition'!B:B,'Step 2'!A743,'Support - Transition'!C:C,'Step 2'!B743,'Support - Transition'!D:D,'Step 2'!C743,'Support - Transition'!E:E,"FIRE")</f>
        <v>1.01E-4</v>
      </c>
      <c r="I743" s="126">
        <f>IF(B743="0",SUMIFS('Support - Transition'!F:F,'Support - Transition'!J:J,'Step 2'!D743,'Support - Transition'!E:E,"STATE UNIT"),SUMIFS('Support - Transition'!F:F,'Support - Transition'!J:J,'Step 2'!D743))</f>
        <v>2.43E-4</v>
      </c>
      <c r="J743" s="126">
        <f>SUMIFS('Support - Unit Adjustments'!E:E,'Support - Unit Adjustments'!F:F,'Step 2'!D743)</f>
        <v>0</v>
      </c>
      <c r="K743" s="126">
        <f t="shared" si="213"/>
        <v>2.43E-4</v>
      </c>
      <c r="L743" s="174">
        <f>VLOOKUP(A743,'Step 1'!$A:$E,4,FALSE)</f>
        <v>461505</v>
      </c>
      <c r="M743" s="47">
        <f t="shared" si="214"/>
        <v>112</v>
      </c>
      <c r="N743" s="177">
        <f>SUMIFS('Support - Transition'!G:G,'Support - Transition'!J:J,'Step 2'!D743,'Support - Transition'!E:E,"2009 WELFARE ALLOCATION FACTOR")</f>
        <v>0</v>
      </c>
      <c r="O743" s="152">
        <f t="shared" si="219"/>
        <v>0</v>
      </c>
      <c r="P743" s="126">
        <f>IF(E743="Y",0,SUMIFS('Support - Transition'!G:G,'Support - Transition'!J:J,'Step 2'!D743,'Support - Transition'!E:E,"2009 SCHOOL ALLOCATION FACTOR"))</f>
        <v>0</v>
      </c>
      <c r="Q743" s="126">
        <f>IF(E743="Y",VLOOKUP(D743,'Support - Unit Adjustments'!F:G,2,FALSE),0)</f>
        <v>0</v>
      </c>
      <c r="R743" s="155">
        <f t="shared" si="231"/>
        <v>0</v>
      </c>
      <c r="S743" s="47">
        <f t="shared" si="230"/>
        <v>0</v>
      </c>
      <c r="T743" s="151">
        <f t="shared" si="215"/>
        <v>112</v>
      </c>
      <c r="U743" s="151">
        <f t="shared" si="216"/>
        <v>0</v>
      </c>
      <c r="V743" s="139">
        <f t="shared" si="217"/>
        <v>0</v>
      </c>
      <c r="W743" s="152">
        <f t="shared" si="220"/>
        <v>112</v>
      </c>
      <c r="X743" s="127" t="str">
        <f t="shared" si="218"/>
        <v/>
      </c>
      <c r="Y743" s="207">
        <f t="shared" si="221"/>
        <v>112</v>
      </c>
      <c r="Z743" s="139">
        <f t="shared" si="222"/>
        <v>65</v>
      </c>
      <c r="AA743" s="139">
        <f t="shared" si="223"/>
        <v>47</v>
      </c>
      <c r="AC743" s="47">
        <f t="shared" si="224"/>
        <v>56</v>
      </c>
      <c r="AD743" s="47">
        <f t="shared" si="225"/>
        <v>33</v>
      </c>
      <c r="AE743" s="47">
        <f t="shared" si="226"/>
        <v>24</v>
      </c>
      <c r="AG743" s="47">
        <f t="shared" si="227"/>
        <v>56</v>
      </c>
      <c r="AH743" s="47">
        <f t="shared" si="228"/>
        <v>32</v>
      </c>
      <c r="AI743" s="208">
        <f t="shared" si="229"/>
        <v>23</v>
      </c>
    </row>
    <row r="744" spans="1:35">
      <c r="A744" t="s">
        <v>2113</v>
      </c>
      <c r="B744" t="s">
        <v>3155</v>
      </c>
      <c r="C744" t="s">
        <v>2475</v>
      </c>
      <c r="D744" t="s">
        <v>4024</v>
      </c>
      <c r="F744" t="s">
        <v>601</v>
      </c>
      <c r="G744" s="126">
        <f>SUMIFS('Support - Transition'!F:F,'Support - Transition'!B:B,'Step 2'!A744,'Support - Transition'!C:C,'Step 2'!B744,'Support - Transition'!D:D,'Step 2'!C744,'Support - Transition'!E:E,"CIVIL")</f>
        <v>0</v>
      </c>
      <c r="H744" s="126">
        <f>SUMIFS('Support - Transition'!F:F,'Support - Transition'!B:B,'Step 2'!A744,'Support - Transition'!C:C,'Step 2'!B744,'Support - Transition'!D:D,'Step 2'!C744,'Support - Transition'!E:E,"FIRE")</f>
        <v>0</v>
      </c>
      <c r="I744" s="126">
        <f>IF(B744="0",SUMIFS('Support - Transition'!F:F,'Support - Transition'!J:J,'Step 2'!D744,'Support - Transition'!E:E,"STATE UNIT"),SUMIFS('Support - Transition'!F:F,'Support - Transition'!J:J,'Step 2'!D744))</f>
        <v>0.118852</v>
      </c>
      <c r="J744" s="126">
        <f>SUMIFS('Support - Unit Adjustments'!E:E,'Support - Unit Adjustments'!F:F,'Step 2'!D744)</f>
        <v>0</v>
      </c>
      <c r="K744" s="126">
        <f t="shared" si="213"/>
        <v>0.118852</v>
      </c>
      <c r="L744" s="174">
        <f>VLOOKUP(A744,'Step 1'!$A:$E,4,FALSE)</f>
        <v>461505</v>
      </c>
      <c r="M744" s="47">
        <f t="shared" si="214"/>
        <v>54851</v>
      </c>
      <c r="N744" s="177">
        <f>SUMIFS('Support - Transition'!G:G,'Support - Transition'!J:J,'Step 2'!D744,'Support - Transition'!E:E,"2009 WELFARE ALLOCATION FACTOR")</f>
        <v>0</v>
      </c>
      <c r="O744" s="152">
        <f t="shared" si="219"/>
        <v>0</v>
      </c>
      <c r="P744" s="126">
        <f>IF(E744="Y",0,SUMIFS('Support - Transition'!G:G,'Support - Transition'!J:J,'Step 2'!D744,'Support - Transition'!E:E,"2009 SCHOOL ALLOCATION FACTOR"))</f>
        <v>0</v>
      </c>
      <c r="Q744" s="126">
        <f>IF(E744="Y",VLOOKUP(D744,'Support - Unit Adjustments'!F:G,2,FALSE),0)</f>
        <v>0</v>
      </c>
      <c r="R744" s="155">
        <f t="shared" si="231"/>
        <v>0</v>
      </c>
      <c r="S744" s="47">
        <f t="shared" si="230"/>
        <v>0</v>
      </c>
      <c r="T744" s="151">
        <f t="shared" si="215"/>
        <v>54851</v>
      </c>
      <c r="U744" s="151">
        <f t="shared" si="216"/>
        <v>0</v>
      </c>
      <c r="V744" s="139">
        <f t="shared" si="217"/>
        <v>0</v>
      </c>
      <c r="W744" s="152">
        <f t="shared" si="220"/>
        <v>54851</v>
      </c>
      <c r="X744" s="127" t="str">
        <f t="shared" si="218"/>
        <v/>
      </c>
      <c r="Y744" s="207">
        <f t="shared" si="221"/>
        <v>54851</v>
      </c>
      <c r="Z744" s="139">
        <f t="shared" si="222"/>
        <v>54851</v>
      </c>
      <c r="AA744" s="139">
        <f t="shared" si="223"/>
        <v>0</v>
      </c>
      <c r="AC744" s="47">
        <f t="shared" si="224"/>
        <v>27426</v>
      </c>
      <c r="AD744" s="47">
        <f t="shared" si="225"/>
        <v>27426</v>
      </c>
      <c r="AE744" s="47">
        <f t="shared" si="226"/>
        <v>0</v>
      </c>
      <c r="AG744" s="47">
        <f t="shared" si="227"/>
        <v>27425</v>
      </c>
      <c r="AH744" s="47">
        <f t="shared" si="228"/>
        <v>27425</v>
      </c>
      <c r="AI744" s="208">
        <f t="shared" si="229"/>
        <v>0</v>
      </c>
    </row>
    <row r="745" spans="1:35">
      <c r="A745" t="s">
        <v>2113</v>
      </c>
      <c r="B745" t="s">
        <v>3155</v>
      </c>
      <c r="C745" t="s">
        <v>2476</v>
      </c>
      <c r="D745" t="s">
        <v>4025</v>
      </c>
      <c r="F745" t="s">
        <v>599</v>
      </c>
      <c r="G745" s="126">
        <f>SUMIFS('Support - Transition'!F:F,'Support - Transition'!B:B,'Step 2'!A745,'Support - Transition'!C:C,'Step 2'!B745,'Support - Transition'!D:D,'Step 2'!C745,'Support - Transition'!E:E,"CIVIL")</f>
        <v>0</v>
      </c>
      <c r="H745" s="126">
        <f>SUMIFS('Support - Transition'!F:F,'Support - Transition'!B:B,'Step 2'!A745,'Support - Transition'!C:C,'Step 2'!B745,'Support - Transition'!D:D,'Step 2'!C745,'Support - Transition'!E:E,"FIRE")</f>
        <v>0</v>
      </c>
      <c r="I745" s="126">
        <f>IF(B745="0",SUMIFS('Support - Transition'!F:F,'Support - Transition'!J:J,'Step 2'!D745,'Support - Transition'!E:E,"STATE UNIT"),SUMIFS('Support - Transition'!F:F,'Support - Transition'!J:J,'Step 2'!D745))</f>
        <v>2.0767999999999998E-2</v>
      </c>
      <c r="J745" s="126">
        <f>SUMIFS('Support - Unit Adjustments'!E:E,'Support - Unit Adjustments'!F:F,'Step 2'!D745)</f>
        <v>0</v>
      </c>
      <c r="K745" s="126">
        <f t="shared" si="213"/>
        <v>2.0767999999999998E-2</v>
      </c>
      <c r="L745" s="174">
        <f>VLOOKUP(A745,'Step 1'!$A:$E,4,FALSE)</f>
        <v>461505</v>
      </c>
      <c r="M745" s="47">
        <f t="shared" si="214"/>
        <v>9585</v>
      </c>
      <c r="N745" s="177">
        <f>SUMIFS('Support - Transition'!G:G,'Support - Transition'!J:J,'Step 2'!D745,'Support - Transition'!E:E,"2009 WELFARE ALLOCATION FACTOR")</f>
        <v>0</v>
      </c>
      <c r="O745" s="152">
        <f t="shared" si="219"/>
        <v>0</v>
      </c>
      <c r="P745" s="126">
        <f>IF(E745="Y",0,SUMIFS('Support - Transition'!G:G,'Support - Transition'!J:J,'Step 2'!D745,'Support - Transition'!E:E,"2009 SCHOOL ALLOCATION FACTOR"))</f>
        <v>0</v>
      </c>
      <c r="Q745" s="126">
        <f>IF(E745="Y",VLOOKUP(D745,'Support - Unit Adjustments'!F:G,2,FALSE),0)</f>
        <v>0</v>
      </c>
      <c r="R745" s="155">
        <f t="shared" si="231"/>
        <v>0</v>
      </c>
      <c r="S745" s="47">
        <f t="shared" si="230"/>
        <v>0</v>
      </c>
      <c r="T745" s="151">
        <f t="shared" si="215"/>
        <v>9585</v>
      </c>
      <c r="U745" s="151">
        <f t="shared" si="216"/>
        <v>0</v>
      </c>
      <c r="V745" s="139">
        <f t="shared" si="217"/>
        <v>0</v>
      </c>
      <c r="W745" s="152">
        <f t="shared" si="220"/>
        <v>9585</v>
      </c>
      <c r="X745" s="127" t="str">
        <f t="shared" si="218"/>
        <v/>
      </c>
      <c r="Y745" s="207">
        <f t="shared" si="221"/>
        <v>9585</v>
      </c>
      <c r="Z745" s="139">
        <f t="shared" si="222"/>
        <v>9585</v>
      </c>
      <c r="AA745" s="139">
        <f t="shared" si="223"/>
        <v>0</v>
      </c>
      <c r="AC745" s="47">
        <f t="shared" si="224"/>
        <v>4793</v>
      </c>
      <c r="AD745" s="47">
        <f t="shared" si="225"/>
        <v>4793</v>
      </c>
      <c r="AE745" s="47">
        <f t="shared" si="226"/>
        <v>0</v>
      </c>
      <c r="AG745" s="47">
        <f t="shared" si="227"/>
        <v>4792</v>
      </c>
      <c r="AH745" s="47">
        <f t="shared" si="228"/>
        <v>4792</v>
      </c>
      <c r="AI745" s="208">
        <f t="shared" si="229"/>
        <v>0</v>
      </c>
    </row>
    <row r="746" spans="1:35">
      <c r="A746" t="s">
        <v>2113</v>
      </c>
      <c r="B746" t="s">
        <v>3155</v>
      </c>
      <c r="C746" t="s">
        <v>2477</v>
      </c>
      <c r="D746" t="s">
        <v>4026</v>
      </c>
      <c r="F746" t="s">
        <v>597</v>
      </c>
      <c r="G746" s="126">
        <f>SUMIFS('Support - Transition'!F:F,'Support - Transition'!B:B,'Step 2'!A746,'Support - Transition'!C:C,'Step 2'!B746,'Support - Transition'!D:D,'Step 2'!C746,'Support - Transition'!E:E,"CIVIL")</f>
        <v>0</v>
      </c>
      <c r="H746" s="126">
        <f>SUMIFS('Support - Transition'!F:F,'Support - Transition'!B:B,'Step 2'!A746,'Support - Transition'!C:C,'Step 2'!B746,'Support - Transition'!D:D,'Step 2'!C746,'Support - Transition'!E:E,"FIRE")</f>
        <v>0</v>
      </c>
      <c r="I746" s="126">
        <f>IF(B746="0",SUMIFS('Support - Transition'!F:F,'Support - Transition'!J:J,'Step 2'!D746,'Support - Transition'!E:E,"STATE UNIT"),SUMIFS('Support - Transition'!F:F,'Support - Transition'!J:J,'Step 2'!D746))</f>
        <v>3.3470000000000001E-3</v>
      </c>
      <c r="J746" s="126">
        <f>SUMIFS('Support - Unit Adjustments'!E:E,'Support - Unit Adjustments'!F:F,'Step 2'!D746)</f>
        <v>0</v>
      </c>
      <c r="K746" s="126">
        <f t="shared" si="213"/>
        <v>3.3470000000000001E-3</v>
      </c>
      <c r="L746" s="174">
        <f>VLOOKUP(A746,'Step 1'!$A:$E,4,FALSE)</f>
        <v>461505</v>
      </c>
      <c r="M746" s="47">
        <f t="shared" si="214"/>
        <v>1545</v>
      </c>
      <c r="N746" s="177">
        <f>SUMIFS('Support - Transition'!G:G,'Support - Transition'!J:J,'Step 2'!D746,'Support - Transition'!E:E,"2009 WELFARE ALLOCATION FACTOR")</f>
        <v>0</v>
      </c>
      <c r="O746" s="152">
        <f t="shared" si="219"/>
        <v>0</v>
      </c>
      <c r="P746" s="126">
        <f>IF(E746="Y",0,SUMIFS('Support - Transition'!G:G,'Support - Transition'!J:J,'Step 2'!D746,'Support - Transition'!E:E,"2009 SCHOOL ALLOCATION FACTOR"))</f>
        <v>0</v>
      </c>
      <c r="Q746" s="126">
        <f>IF(E746="Y",VLOOKUP(D746,'Support - Unit Adjustments'!F:G,2,FALSE),0)</f>
        <v>0</v>
      </c>
      <c r="R746" s="155">
        <f t="shared" si="231"/>
        <v>0</v>
      </c>
      <c r="S746" s="47">
        <f t="shared" si="230"/>
        <v>0</v>
      </c>
      <c r="T746" s="151">
        <f t="shared" si="215"/>
        <v>1545</v>
      </c>
      <c r="U746" s="151">
        <f t="shared" si="216"/>
        <v>0</v>
      </c>
      <c r="V746" s="139">
        <f t="shared" si="217"/>
        <v>0</v>
      </c>
      <c r="W746" s="152">
        <f t="shared" si="220"/>
        <v>1545</v>
      </c>
      <c r="X746" s="127" t="str">
        <f t="shared" si="218"/>
        <v/>
      </c>
      <c r="Y746" s="207">
        <f t="shared" si="221"/>
        <v>1545</v>
      </c>
      <c r="Z746" s="139">
        <f t="shared" si="222"/>
        <v>1545</v>
      </c>
      <c r="AA746" s="139">
        <f t="shared" si="223"/>
        <v>0</v>
      </c>
      <c r="AC746" s="47">
        <f t="shared" si="224"/>
        <v>773</v>
      </c>
      <c r="AD746" s="47">
        <f t="shared" si="225"/>
        <v>773</v>
      </c>
      <c r="AE746" s="47">
        <f t="shared" si="226"/>
        <v>0</v>
      </c>
      <c r="AG746" s="47">
        <f t="shared" si="227"/>
        <v>772</v>
      </c>
      <c r="AH746" s="47">
        <f t="shared" si="228"/>
        <v>772</v>
      </c>
      <c r="AI746" s="208">
        <f t="shared" si="229"/>
        <v>0</v>
      </c>
    </row>
    <row r="747" spans="1:35">
      <c r="A747" t="s">
        <v>2113</v>
      </c>
      <c r="B747" t="s">
        <v>3155</v>
      </c>
      <c r="C747" t="s">
        <v>2478</v>
      </c>
      <c r="D747" t="s">
        <v>4027</v>
      </c>
      <c r="F747" t="s">
        <v>598</v>
      </c>
      <c r="G747" s="126">
        <f>SUMIFS('Support - Transition'!F:F,'Support - Transition'!B:B,'Step 2'!A747,'Support - Transition'!C:C,'Step 2'!B747,'Support - Transition'!D:D,'Step 2'!C747,'Support - Transition'!E:E,"CIVIL")</f>
        <v>0</v>
      </c>
      <c r="H747" s="126">
        <f>SUMIFS('Support - Transition'!F:F,'Support - Transition'!B:B,'Step 2'!A747,'Support - Transition'!C:C,'Step 2'!B747,'Support - Transition'!D:D,'Step 2'!C747,'Support - Transition'!E:E,"FIRE")</f>
        <v>0</v>
      </c>
      <c r="I747" s="126">
        <f>IF(B747="0",SUMIFS('Support - Transition'!F:F,'Support - Transition'!J:J,'Step 2'!D747,'Support - Transition'!E:E,"STATE UNIT"),SUMIFS('Support - Transition'!F:F,'Support - Transition'!J:J,'Step 2'!D747))</f>
        <v>5.7000000000000003E-5</v>
      </c>
      <c r="J747" s="126">
        <f>SUMIFS('Support - Unit Adjustments'!E:E,'Support - Unit Adjustments'!F:F,'Step 2'!D747)</f>
        <v>0</v>
      </c>
      <c r="K747" s="126">
        <f t="shared" si="213"/>
        <v>5.7000000000000003E-5</v>
      </c>
      <c r="L747" s="174">
        <f>VLOOKUP(A747,'Step 1'!$A:$E,4,FALSE)</f>
        <v>461505</v>
      </c>
      <c r="M747" s="47">
        <f t="shared" si="214"/>
        <v>26</v>
      </c>
      <c r="N747" s="177">
        <f>SUMIFS('Support - Transition'!G:G,'Support - Transition'!J:J,'Step 2'!D747,'Support - Transition'!E:E,"2009 WELFARE ALLOCATION FACTOR")</f>
        <v>0</v>
      </c>
      <c r="O747" s="152">
        <f t="shared" si="219"/>
        <v>0</v>
      </c>
      <c r="P747" s="126">
        <f>IF(E747="Y",0,SUMIFS('Support - Transition'!G:G,'Support - Transition'!J:J,'Step 2'!D747,'Support - Transition'!E:E,"2009 SCHOOL ALLOCATION FACTOR"))</f>
        <v>0</v>
      </c>
      <c r="Q747" s="126">
        <f>IF(E747="Y",VLOOKUP(D747,'Support - Unit Adjustments'!F:G,2,FALSE),0)</f>
        <v>0</v>
      </c>
      <c r="R747" s="155">
        <f t="shared" si="231"/>
        <v>0</v>
      </c>
      <c r="S747" s="47">
        <f t="shared" si="230"/>
        <v>0</v>
      </c>
      <c r="T747" s="151">
        <f t="shared" si="215"/>
        <v>26</v>
      </c>
      <c r="U747" s="151">
        <f t="shared" si="216"/>
        <v>0</v>
      </c>
      <c r="V747" s="139">
        <f t="shared" si="217"/>
        <v>0</v>
      </c>
      <c r="W747" s="152">
        <f t="shared" si="220"/>
        <v>26</v>
      </c>
      <c r="X747" s="127" t="str">
        <f t="shared" si="218"/>
        <v/>
      </c>
      <c r="Y747" s="207">
        <f t="shared" si="221"/>
        <v>26</v>
      </c>
      <c r="Z747" s="139">
        <f t="shared" si="222"/>
        <v>26</v>
      </c>
      <c r="AA747" s="139">
        <f t="shared" si="223"/>
        <v>0</v>
      </c>
      <c r="AC747" s="47">
        <f t="shared" si="224"/>
        <v>13</v>
      </c>
      <c r="AD747" s="47">
        <f t="shared" si="225"/>
        <v>13</v>
      </c>
      <c r="AE747" s="47">
        <f t="shared" si="226"/>
        <v>0</v>
      </c>
      <c r="AG747" s="47">
        <f t="shared" si="227"/>
        <v>13</v>
      </c>
      <c r="AH747" s="47">
        <f t="shared" si="228"/>
        <v>13</v>
      </c>
      <c r="AI747" s="208">
        <f t="shared" si="229"/>
        <v>0</v>
      </c>
    </row>
    <row r="748" spans="1:35">
      <c r="A748" t="s">
        <v>2113</v>
      </c>
      <c r="B748" t="s">
        <v>3155</v>
      </c>
      <c r="C748" t="s">
        <v>2479</v>
      </c>
      <c r="D748" t="s">
        <v>4028</v>
      </c>
      <c r="F748" t="s">
        <v>4029</v>
      </c>
      <c r="G748" s="126">
        <f>SUMIFS('Support - Transition'!F:F,'Support - Transition'!B:B,'Step 2'!A748,'Support - Transition'!C:C,'Step 2'!B748,'Support - Transition'!D:D,'Step 2'!C748,'Support - Transition'!E:E,"CIVIL")</f>
        <v>0</v>
      </c>
      <c r="H748" s="126">
        <f>SUMIFS('Support - Transition'!F:F,'Support - Transition'!B:B,'Step 2'!A748,'Support - Transition'!C:C,'Step 2'!B748,'Support - Transition'!D:D,'Step 2'!C748,'Support - Transition'!E:E,"FIRE")</f>
        <v>0</v>
      </c>
      <c r="I748" s="126">
        <f>IF(B748="0",SUMIFS('Support - Transition'!F:F,'Support - Transition'!J:J,'Step 2'!D748,'Support - Transition'!E:E,"STATE UNIT"),SUMIFS('Support - Transition'!F:F,'Support - Transition'!J:J,'Step 2'!D748))</f>
        <v>5.5669999999999999E-3</v>
      </c>
      <c r="J748" s="126">
        <f>SUMIFS('Support - Unit Adjustments'!E:E,'Support - Unit Adjustments'!F:F,'Step 2'!D748)</f>
        <v>0</v>
      </c>
      <c r="K748" s="126">
        <f t="shared" si="213"/>
        <v>5.5669999999999999E-3</v>
      </c>
      <c r="L748" s="174">
        <f>VLOOKUP(A748,'Step 1'!$A:$E,4,FALSE)</f>
        <v>461505</v>
      </c>
      <c r="M748" s="47">
        <f t="shared" si="214"/>
        <v>2569</v>
      </c>
      <c r="N748" s="177">
        <f>SUMIFS('Support - Transition'!G:G,'Support - Transition'!J:J,'Step 2'!D748,'Support - Transition'!E:E,"2009 WELFARE ALLOCATION FACTOR")</f>
        <v>0</v>
      </c>
      <c r="O748" s="152">
        <f t="shared" si="219"/>
        <v>0</v>
      </c>
      <c r="P748" s="126">
        <f>IF(E748="Y",0,SUMIFS('Support - Transition'!G:G,'Support - Transition'!J:J,'Step 2'!D748,'Support - Transition'!E:E,"2009 SCHOOL ALLOCATION FACTOR"))</f>
        <v>0</v>
      </c>
      <c r="Q748" s="126">
        <f>IF(E748="Y",VLOOKUP(D748,'Support - Unit Adjustments'!F:G,2,FALSE),0)</f>
        <v>0</v>
      </c>
      <c r="R748" s="155">
        <f t="shared" si="231"/>
        <v>0</v>
      </c>
      <c r="S748" s="47">
        <f t="shared" si="230"/>
        <v>0</v>
      </c>
      <c r="T748" s="151">
        <f t="shared" si="215"/>
        <v>2569</v>
      </c>
      <c r="U748" s="151">
        <f t="shared" si="216"/>
        <v>0</v>
      </c>
      <c r="V748" s="139">
        <f t="shared" si="217"/>
        <v>0</v>
      </c>
      <c r="W748" s="152">
        <f t="shared" si="220"/>
        <v>2569</v>
      </c>
      <c r="X748" s="127" t="str">
        <f t="shared" si="218"/>
        <v/>
      </c>
      <c r="Y748" s="207">
        <f t="shared" si="221"/>
        <v>2569</v>
      </c>
      <c r="Z748" s="139">
        <f t="shared" si="222"/>
        <v>2569</v>
      </c>
      <c r="AA748" s="139">
        <f t="shared" si="223"/>
        <v>0</v>
      </c>
      <c r="AC748" s="47">
        <f t="shared" si="224"/>
        <v>1285</v>
      </c>
      <c r="AD748" s="47">
        <f t="shared" si="225"/>
        <v>1285</v>
      </c>
      <c r="AE748" s="47">
        <f t="shared" si="226"/>
        <v>0</v>
      </c>
      <c r="AG748" s="47">
        <f t="shared" si="227"/>
        <v>1284</v>
      </c>
      <c r="AH748" s="47">
        <f t="shared" si="228"/>
        <v>1284</v>
      </c>
      <c r="AI748" s="208">
        <f t="shared" si="229"/>
        <v>0</v>
      </c>
    </row>
    <row r="749" spans="1:35">
      <c r="A749" t="s">
        <v>2113</v>
      </c>
      <c r="B749" t="s">
        <v>3155</v>
      </c>
      <c r="C749" t="s">
        <v>2480</v>
      </c>
      <c r="D749" t="s">
        <v>4030</v>
      </c>
      <c r="F749" t="s">
        <v>602</v>
      </c>
      <c r="G749" s="126">
        <f>SUMIFS('Support - Transition'!F:F,'Support - Transition'!B:B,'Step 2'!A749,'Support - Transition'!C:C,'Step 2'!B749,'Support - Transition'!D:D,'Step 2'!C749,'Support - Transition'!E:E,"CIVIL")</f>
        <v>0</v>
      </c>
      <c r="H749" s="126">
        <f>SUMIFS('Support - Transition'!F:F,'Support - Transition'!B:B,'Step 2'!A749,'Support - Transition'!C:C,'Step 2'!B749,'Support - Transition'!D:D,'Step 2'!C749,'Support - Transition'!E:E,"FIRE")</f>
        <v>0</v>
      </c>
      <c r="I749" s="126">
        <f>IF(B749="0",SUMIFS('Support - Transition'!F:F,'Support - Transition'!J:J,'Step 2'!D749,'Support - Transition'!E:E,"STATE UNIT"),SUMIFS('Support - Transition'!F:F,'Support - Transition'!J:J,'Step 2'!D749))</f>
        <v>9.6400000000000001E-4</v>
      </c>
      <c r="J749" s="126">
        <f>SUMIFS('Support - Unit Adjustments'!E:E,'Support - Unit Adjustments'!F:F,'Step 2'!D749)</f>
        <v>0</v>
      </c>
      <c r="K749" s="126">
        <f t="shared" si="213"/>
        <v>9.6400000000000001E-4</v>
      </c>
      <c r="L749" s="174">
        <f>VLOOKUP(A749,'Step 1'!$A:$E,4,FALSE)</f>
        <v>461505</v>
      </c>
      <c r="M749" s="47">
        <f t="shared" si="214"/>
        <v>445</v>
      </c>
      <c r="N749" s="177">
        <f>SUMIFS('Support - Transition'!G:G,'Support - Transition'!J:J,'Step 2'!D749,'Support - Transition'!E:E,"2009 WELFARE ALLOCATION FACTOR")</f>
        <v>0</v>
      </c>
      <c r="O749" s="152">
        <f t="shared" si="219"/>
        <v>0</v>
      </c>
      <c r="P749" s="126">
        <f>IF(E749="Y",0,SUMIFS('Support - Transition'!G:G,'Support - Transition'!J:J,'Step 2'!D749,'Support - Transition'!E:E,"2009 SCHOOL ALLOCATION FACTOR"))</f>
        <v>0</v>
      </c>
      <c r="Q749" s="126">
        <f>IF(E749="Y",VLOOKUP(D749,'Support - Unit Adjustments'!F:G,2,FALSE),0)</f>
        <v>0</v>
      </c>
      <c r="R749" s="155">
        <f t="shared" si="231"/>
        <v>0</v>
      </c>
      <c r="S749" s="47">
        <f t="shared" si="230"/>
        <v>0</v>
      </c>
      <c r="T749" s="151">
        <f t="shared" si="215"/>
        <v>445</v>
      </c>
      <c r="U749" s="151">
        <f t="shared" si="216"/>
        <v>0</v>
      </c>
      <c r="V749" s="139">
        <f t="shared" si="217"/>
        <v>0</v>
      </c>
      <c r="W749" s="152">
        <f t="shared" si="220"/>
        <v>445</v>
      </c>
      <c r="X749" s="127" t="str">
        <f t="shared" si="218"/>
        <v/>
      </c>
      <c r="Y749" s="207">
        <f t="shared" si="221"/>
        <v>445</v>
      </c>
      <c r="Z749" s="139">
        <f t="shared" si="222"/>
        <v>445</v>
      </c>
      <c r="AA749" s="139">
        <f t="shared" si="223"/>
        <v>0</v>
      </c>
      <c r="AC749" s="47">
        <f t="shared" si="224"/>
        <v>223</v>
      </c>
      <c r="AD749" s="47">
        <f t="shared" si="225"/>
        <v>223</v>
      </c>
      <c r="AE749" s="47">
        <f t="shared" si="226"/>
        <v>0</v>
      </c>
      <c r="AG749" s="47">
        <f t="shared" si="227"/>
        <v>222</v>
      </c>
      <c r="AH749" s="47">
        <f t="shared" si="228"/>
        <v>222</v>
      </c>
      <c r="AI749" s="208">
        <f t="shared" si="229"/>
        <v>0</v>
      </c>
    </row>
    <row r="750" spans="1:35">
      <c r="A750" t="s">
        <v>2113</v>
      </c>
      <c r="B750" t="s">
        <v>3155</v>
      </c>
      <c r="C750" t="s">
        <v>2265</v>
      </c>
      <c r="D750" t="s">
        <v>4031</v>
      </c>
      <c r="F750" t="s">
        <v>603</v>
      </c>
      <c r="G750" s="126">
        <f>SUMIFS('Support - Transition'!F:F,'Support - Transition'!B:B,'Step 2'!A750,'Support - Transition'!C:C,'Step 2'!B750,'Support - Transition'!D:D,'Step 2'!C750,'Support - Transition'!E:E,"CIVIL")</f>
        <v>0</v>
      </c>
      <c r="H750" s="126">
        <f>SUMIFS('Support - Transition'!F:F,'Support - Transition'!B:B,'Step 2'!A750,'Support - Transition'!C:C,'Step 2'!B750,'Support - Transition'!D:D,'Step 2'!C750,'Support - Transition'!E:E,"FIRE")</f>
        <v>0</v>
      </c>
      <c r="I750" s="126">
        <f>IF(B750="0",SUMIFS('Support - Transition'!F:F,'Support - Transition'!J:J,'Step 2'!D750,'Support - Transition'!E:E,"STATE UNIT"),SUMIFS('Support - Transition'!F:F,'Support - Transition'!J:J,'Step 2'!D750))</f>
        <v>1.0269999999999999E-3</v>
      </c>
      <c r="J750" s="126">
        <f>SUMIFS('Support - Unit Adjustments'!E:E,'Support - Unit Adjustments'!F:F,'Step 2'!D750)</f>
        <v>0</v>
      </c>
      <c r="K750" s="126">
        <f t="shared" si="213"/>
        <v>1.0269999999999999E-3</v>
      </c>
      <c r="L750" s="174">
        <f>VLOOKUP(A750,'Step 1'!$A:$E,4,FALSE)</f>
        <v>461505</v>
      </c>
      <c r="M750" s="47">
        <f t="shared" si="214"/>
        <v>474</v>
      </c>
      <c r="N750" s="177">
        <f>SUMIFS('Support - Transition'!G:G,'Support - Transition'!J:J,'Step 2'!D750,'Support - Transition'!E:E,"2009 WELFARE ALLOCATION FACTOR")</f>
        <v>0</v>
      </c>
      <c r="O750" s="152">
        <f t="shared" si="219"/>
        <v>0</v>
      </c>
      <c r="P750" s="126">
        <f>IF(E750="Y",0,SUMIFS('Support - Transition'!G:G,'Support - Transition'!J:J,'Step 2'!D750,'Support - Transition'!E:E,"2009 SCHOOL ALLOCATION FACTOR"))</f>
        <v>0</v>
      </c>
      <c r="Q750" s="126">
        <f>IF(E750="Y",VLOOKUP(D750,'Support - Unit Adjustments'!F:G,2,FALSE),0)</f>
        <v>0</v>
      </c>
      <c r="R750" s="155">
        <f t="shared" si="231"/>
        <v>0</v>
      </c>
      <c r="S750" s="47">
        <f t="shared" si="230"/>
        <v>0</v>
      </c>
      <c r="T750" s="151">
        <f t="shared" si="215"/>
        <v>474</v>
      </c>
      <c r="U750" s="151">
        <f t="shared" si="216"/>
        <v>0</v>
      </c>
      <c r="V750" s="139">
        <f t="shared" si="217"/>
        <v>0</v>
      </c>
      <c r="W750" s="152">
        <f t="shared" si="220"/>
        <v>474</v>
      </c>
      <c r="X750" s="127" t="str">
        <f t="shared" si="218"/>
        <v/>
      </c>
      <c r="Y750" s="207">
        <f t="shared" si="221"/>
        <v>474</v>
      </c>
      <c r="Z750" s="139">
        <f t="shared" si="222"/>
        <v>474</v>
      </c>
      <c r="AA750" s="139">
        <f t="shared" si="223"/>
        <v>0</v>
      </c>
      <c r="AC750" s="47">
        <f t="shared" si="224"/>
        <v>237</v>
      </c>
      <c r="AD750" s="47">
        <f t="shared" si="225"/>
        <v>237</v>
      </c>
      <c r="AE750" s="47">
        <f t="shared" si="226"/>
        <v>0</v>
      </c>
      <c r="AG750" s="47">
        <f t="shared" si="227"/>
        <v>237</v>
      </c>
      <c r="AH750" s="47">
        <f t="shared" si="228"/>
        <v>237</v>
      </c>
      <c r="AI750" s="208">
        <f t="shared" si="229"/>
        <v>0</v>
      </c>
    </row>
    <row r="751" spans="1:35">
      <c r="A751" t="s">
        <v>2113</v>
      </c>
      <c r="B751" t="s">
        <v>3155</v>
      </c>
      <c r="C751" t="s">
        <v>2481</v>
      </c>
      <c r="D751" t="s">
        <v>4032</v>
      </c>
      <c r="F751" t="s">
        <v>604</v>
      </c>
      <c r="G751" s="126">
        <f>SUMIFS('Support - Transition'!F:F,'Support - Transition'!B:B,'Step 2'!A751,'Support - Transition'!C:C,'Step 2'!B751,'Support - Transition'!D:D,'Step 2'!C751,'Support - Transition'!E:E,"CIVIL")</f>
        <v>0</v>
      </c>
      <c r="H751" s="126">
        <f>SUMIFS('Support - Transition'!F:F,'Support - Transition'!B:B,'Step 2'!A751,'Support - Transition'!C:C,'Step 2'!B751,'Support - Transition'!D:D,'Step 2'!C751,'Support - Transition'!E:E,"FIRE")</f>
        <v>0</v>
      </c>
      <c r="I751" s="126">
        <f>IF(B751="0",SUMIFS('Support - Transition'!F:F,'Support - Transition'!J:J,'Step 2'!D751,'Support - Transition'!E:E,"STATE UNIT"),SUMIFS('Support - Transition'!F:F,'Support - Transition'!J:J,'Step 2'!D751))</f>
        <v>2.8800000000000001E-4</v>
      </c>
      <c r="J751" s="126">
        <f>SUMIFS('Support - Unit Adjustments'!E:E,'Support - Unit Adjustments'!F:F,'Step 2'!D751)</f>
        <v>0</v>
      </c>
      <c r="K751" s="126">
        <f t="shared" si="213"/>
        <v>2.8800000000000001E-4</v>
      </c>
      <c r="L751" s="174">
        <f>VLOOKUP(A751,'Step 1'!$A:$E,4,FALSE)</f>
        <v>461505</v>
      </c>
      <c r="M751" s="47">
        <f t="shared" si="214"/>
        <v>133</v>
      </c>
      <c r="N751" s="177">
        <f>SUMIFS('Support - Transition'!G:G,'Support - Transition'!J:J,'Step 2'!D751,'Support - Transition'!E:E,"2009 WELFARE ALLOCATION FACTOR")</f>
        <v>0</v>
      </c>
      <c r="O751" s="152">
        <f t="shared" si="219"/>
        <v>0</v>
      </c>
      <c r="P751" s="126">
        <f>IF(E751="Y",0,SUMIFS('Support - Transition'!G:G,'Support - Transition'!J:J,'Step 2'!D751,'Support - Transition'!E:E,"2009 SCHOOL ALLOCATION FACTOR"))</f>
        <v>0</v>
      </c>
      <c r="Q751" s="126">
        <f>IF(E751="Y",VLOOKUP(D751,'Support - Unit Adjustments'!F:G,2,FALSE),0)</f>
        <v>0</v>
      </c>
      <c r="R751" s="155">
        <f t="shared" si="231"/>
        <v>0</v>
      </c>
      <c r="S751" s="47">
        <f t="shared" si="230"/>
        <v>0</v>
      </c>
      <c r="T751" s="151">
        <f t="shared" si="215"/>
        <v>133</v>
      </c>
      <c r="U751" s="151">
        <f t="shared" si="216"/>
        <v>0</v>
      </c>
      <c r="V751" s="139">
        <f t="shared" si="217"/>
        <v>0</v>
      </c>
      <c r="W751" s="152">
        <f t="shared" si="220"/>
        <v>133</v>
      </c>
      <c r="X751" s="127" t="str">
        <f t="shared" si="218"/>
        <v/>
      </c>
      <c r="Y751" s="207">
        <f t="shared" si="221"/>
        <v>133</v>
      </c>
      <c r="Z751" s="139">
        <f t="shared" si="222"/>
        <v>133</v>
      </c>
      <c r="AA751" s="139">
        <f t="shared" si="223"/>
        <v>0</v>
      </c>
      <c r="AC751" s="47">
        <f t="shared" si="224"/>
        <v>67</v>
      </c>
      <c r="AD751" s="47">
        <f t="shared" si="225"/>
        <v>67</v>
      </c>
      <c r="AE751" s="47">
        <f t="shared" si="226"/>
        <v>0</v>
      </c>
      <c r="AG751" s="47">
        <f t="shared" si="227"/>
        <v>66</v>
      </c>
      <c r="AH751" s="47">
        <f t="shared" si="228"/>
        <v>66</v>
      </c>
      <c r="AI751" s="208">
        <f t="shared" si="229"/>
        <v>0</v>
      </c>
    </row>
    <row r="752" spans="1:35">
      <c r="A752" t="s">
        <v>2113</v>
      </c>
      <c r="B752" t="s">
        <v>3155</v>
      </c>
      <c r="C752" t="s">
        <v>2482</v>
      </c>
      <c r="D752" t="s">
        <v>4033</v>
      </c>
      <c r="F752" t="s">
        <v>605</v>
      </c>
      <c r="G752" s="126">
        <f>SUMIFS('Support - Transition'!F:F,'Support - Transition'!B:B,'Step 2'!A752,'Support - Transition'!C:C,'Step 2'!B752,'Support - Transition'!D:D,'Step 2'!C752,'Support - Transition'!E:E,"CIVIL")</f>
        <v>0</v>
      </c>
      <c r="H752" s="126">
        <f>SUMIFS('Support - Transition'!F:F,'Support - Transition'!B:B,'Step 2'!A752,'Support - Transition'!C:C,'Step 2'!B752,'Support - Transition'!D:D,'Step 2'!C752,'Support - Transition'!E:E,"FIRE")</f>
        <v>0</v>
      </c>
      <c r="I752" s="126">
        <f>IF(B752="0",SUMIFS('Support - Transition'!F:F,'Support - Transition'!J:J,'Step 2'!D752,'Support - Transition'!E:E,"STATE UNIT"),SUMIFS('Support - Transition'!F:F,'Support - Transition'!J:J,'Step 2'!D752))</f>
        <v>1.126E-3</v>
      </c>
      <c r="J752" s="126">
        <f>SUMIFS('Support - Unit Adjustments'!E:E,'Support - Unit Adjustments'!F:F,'Step 2'!D752)</f>
        <v>0</v>
      </c>
      <c r="K752" s="126">
        <f t="shared" si="213"/>
        <v>1.126E-3</v>
      </c>
      <c r="L752" s="174">
        <f>VLOOKUP(A752,'Step 1'!$A:$E,4,FALSE)</f>
        <v>461505</v>
      </c>
      <c r="M752" s="47">
        <f t="shared" si="214"/>
        <v>520</v>
      </c>
      <c r="N752" s="177">
        <f>SUMIFS('Support - Transition'!G:G,'Support - Transition'!J:J,'Step 2'!D752,'Support - Transition'!E:E,"2009 WELFARE ALLOCATION FACTOR")</f>
        <v>0</v>
      </c>
      <c r="O752" s="152">
        <f t="shared" si="219"/>
        <v>0</v>
      </c>
      <c r="P752" s="126">
        <f>IF(E752="Y",0,SUMIFS('Support - Transition'!G:G,'Support - Transition'!J:J,'Step 2'!D752,'Support - Transition'!E:E,"2009 SCHOOL ALLOCATION FACTOR"))</f>
        <v>0</v>
      </c>
      <c r="Q752" s="126">
        <f>IF(E752="Y",VLOOKUP(D752,'Support - Unit Adjustments'!F:G,2,FALSE),0)</f>
        <v>0</v>
      </c>
      <c r="R752" s="155">
        <f t="shared" si="231"/>
        <v>0</v>
      </c>
      <c r="S752" s="47">
        <f t="shared" si="230"/>
        <v>0</v>
      </c>
      <c r="T752" s="151">
        <f t="shared" si="215"/>
        <v>520</v>
      </c>
      <c r="U752" s="151">
        <f t="shared" si="216"/>
        <v>0</v>
      </c>
      <c r="V752" s="139">
        <f t="shared" si="217"/>
        <v>0</v>
      </c>
      <c r="W752" s="152">
        <f t="shared" si="220"/>
        <v>520</v>
      </c>
      <c r="X752" s="127" t="str">
        <f t="shared" si="218"/>
        <v/>
      </c>
      <c r="Y752" s="207">
        <f t="shared" si="221"/>
        <v>520</v>
      </c>
      <c r="Z752" s="139">
        <f t="shared" si="222"/>
        <v>520</v>
      </c>
      <c r="AA752" s="139">
        <f t="shared" si="223"/>
        <v>0</v>
      </c>
      <c r="AC752" s="47">
        <f t="shared" si="224"/>
        <v>260</v>
      </c>
      <c r="AD752" s="47">
        <f t="shared" si="225"/>
        <v>260</v>
      </c>
      <c r="AE752" s="47">
        <f t="shared" si="226"/>
        <v>0</v>
      </c>
      <c r="AG752" s="47">
        <f t="shared" si="227"/>
        <v>260</v>
      </c>
      <c r="AH752" s="47">
        <f t="shared" si="228"/>
        <v>260</v>
      </c>
      <c r="AI752" s="208">
        <f t="shared" si="229"/>
        <v>0</v>
      </c>
    </row>
    <row r="753" spans="1:35">
      <c r="A753" t="s">
        <v>2113</v>
      </c>
      <c r="B753" t="s">
        <v>3155</v>
      </c>
      <c r="C753" t="s">
        <v>2483</v>
      </c>
      <c r="D753" t="s">
        <v>4034</v>
      </c>
      <c r="F753" t="s">
        <v>606</v>
      </c>
      <c r="G753" s="126">
        <f>SUMIFS('Support - Transition'!F:F,'Support - Transition'!B:B,'Step 2'!A753,'Support - Transition'!C:C,'Step 2'!B753,'Support - Transition'!D:D,'Step 2'!C753,'Support - Transition'!E:E,"CIVIL")</f>
        <v>0</v>
      </c>
      <c r="H753" s="126">
        <f>SUMIFS('Support - Transition'!F:F,'Support - Transition'!B:B,'Step 2'!A753,'Support - Transition'!C:C,'Step 2'!B753,'Support - Transition'!D:D,'Step 2'!C753,'Support - Transition'!E:E,"FIRE")</f>
        <v>0</v>
      </c>
      <c r="I753" s="126">
        <f>IF(B753="0",SUMIFS('Support - Transition'!F:F,'Support - Transition'!J:J,'Step 2'!D753,'Support - Transition'!E:E,"STATE UNIT"),SUMIFS('Support - Transition'!F:F,'Support - Transition'!J:J,'Step 2'!D753))</f>
        <v>5.1180000000000002E-3</v>
      </c>
      <c r="J753" s="126">
        <f>SUMIFS('Support - Unit Adjustments'!E:E,'Support - Unit Adjustments'!F:F,'Step 2'!D753)</f>
        <v>0</v>
      </c>
      <c r="K753" s="126">
        <f t="shared" si="213"/>
        <v>5.1180000000000002E-3</v>
      </c>
      <c r="L753" s="174">
        <f>VLOOKUP(A753,'Step 1'!$A:$E,4,FALSE)</f>
        <v>461505</v>
      </c>
      <c r="M753" s="47">
        <f t="shared" si="214"/>
        <v>2362</v>
      </c>
      <c r="N753" s="177">
        <f>SUMIFS('Support - Transition'!G:G,'Support - Transition'!J:J,'Step 2'!D753,'Support - Transition'!E:E,"2009 WELFARE ALLOCATION FACTOR")</f>
        <v>0</v>
      </c>
      <c r="O753" s="152">
        <f t="shared" si="219"/>
        <v>0</v>
      </c>
      <c r="P753" s="126">
        <f>IF(E753="Y",0,SUMIFS('Support - Transition'!G:G,'Support - Transition'!J:J,'Step 2'!D753,'Support - Transition'!E:E,"2009 SCHOOL ALLOCATION FACTOR"))</f>
        <v>0</v>
      </c>
      <c r="Q753" s="126">
        <f>IF(E753="Y",VLOOKUP(D753,'Support - Unit Adjustments'!F:G,2,FALSE),0)</f>
        <v>0</v>
      </c>
      <c r="R753" s="155">
        <f t="shared" si="231"/>
        <v>0</v>
      </c>
      <c r="S753" s="47">
        <f t="shared" si="230"/>
        <v>0</v>
      </c>
      <c r="T753" s="151">
        <f t="shared" si="215"/>
        <v>2362</v>
      </c>
      <c r="U753" s="151">
        <f t="shared" si="216"/>
        <v>0</v>
      </c>
      <c r="V753" s="139">
        <f t="shared" si="217"/>
        <v>0</v>
      </c>
      <c r="W753" s="152">
        <f t="shared" si="220"/>
        <v>2362</v>
      </c>
      <c r="X753" s="127" t="str">
        <f t="shared" si="218"/>
        <v/>
      </c>
      <c r="Y753" s="207">
        <f t="shared" si="221"/>
        <v>2362</v>
      </c>
      <c r="Z753" s="139">
        <f t="shared" si="222"/>
        <v>2362</v>
      </c>
      <c r="AA753" s="139">
        <f t="shared" si="223"/>
        <v>0</v>
      </c>
      <c r="AC753" s="47">
        <f t="shared" si="224"/>
        <v>1181</v>
      </c>
      <c r="AD753" s="47">
        <f t="shared" si="225"/>
        <v>1181</v>
      </c>
      <c r="AE753" s="47">
        <f t="shared" si="226"/>
        <v>0</v>
      </c>
      <c r="AG753" s="47">
        <f t="shared" si="227"/>
        <v>1181</v>
      </c>
      <c r="AH753" s="47">
        <f t="shared" si="228"/>
        <v>1181</v>
      </c>
      <c r="AI753" s="208">
        <f t="shared" si="229"/>
        <v>0</v>
      </c>
    </row>
    <row r="754" spans="1:35">
      <c r="A754" t="s">
        <v>2113</v>
      </c>
      <c r="B754" t="s">
        <v>3155</v>
      </c>
      <c r="C754" t="s">
        <v>2484</v>
      </c>
      <c r="D754" t="s">
        <v>4035</v>
      </c>
      <c r="F754" t="s">
        <v>596</v>
      </c>
      <c r="G754" s="126">
        <f>SUMIFS('Support - Transition'!F:F,'Support - Transition'!B:B,'Step 2'!A754,'Support - Transition'!C:C,'Step 2'!B754,'Support - Transition'!D:D,'Step 2'!C754,'Support - Transition'!E:E,"CIVIL")</f>
        <v>0</v>
      </c>
      <c r="H754" s="126">
        <f>SUMIFS('Support - Transition'!F:F,'Support - Transition'!B:B,'Step 2'!A754,'Support - Transition'!C:C,'Step 2'!B754,'Support - Transition'!D:D,'Step 2'!C754,'Support - Transition'!E:E,"FIRE")</f>
        <v>0</v>
      </c>
      <c r="I754" s="126">
        <f>IF(B754="0",SUMIFS('Support - Transition'!F:F,'Support - Transition'!J:J,'Step 2'!D754,'Support - Transition'!E:E,"STATE UNIT"),SUMIFS('Support - Transition'!F:F,'Support - Transition'!J:J,'Step 2'!D754))</f>
        <v>1.5999999999999999E-5</v>
      </c>
      <c r="J754" s="126">
        <f>SUMIFS('Support - Unit Adjustments'!E:E,'Support - Unit Adjustments'!F:F,'Step 2'!D754)</f>
        <v>0</v>
      </c>
      <c r="K754" s="126">
        <f t="shared" si="213"/>
        <v>1.5999999999999999E-5</v>
      </c>
      <c r="L754" s="174">
        <f>VLOOKUP(A754,'Step 1'!$A:$E,4,FALSE)</f>
        <v>461505</v>
      </c>
      <c r="M754" s="47">
        <f t="shared" si="214"/>
        <v>7</v>
      </c>
      <c r="N754" s="177">
        <f>SUMIFS('Support - Transition'!G:G,'Support - Transition'!J:J,'Step 2'!D754,'Support - Transition'!E:E,"2009 WELFARE ALLOCATION FACTOR")</f>
        <v>0</v>
      </c>
      <c r="O754" s="152">
        <f t="shared" si="219"/>
        <v>0</v>
      </c>
      <c r="P754" s="126">
        <f>IF(E754="Y",0,SUMIFS('Support - Transition'!G:G,'Support - Transition'!J:J,'Step 2'!D754,'Support - Transition'!E:E,"2009 SCHOOL ALLOCATION FACTOR"))</f>
        <v>0</v>
      </c>
      <c r="Q754" s="126">
        <f>IF(E754="Y",VLOOKUP(D754,'Support - Unit Adjustments'!F:G,2,FALSE),0)</f>
        <v>0</v>
      </c>
      <c r="R754" s="155">
        <f t="shared" si="231"/>
        <v>0</v>
      </c>
      <c r="S754" s="47">
        <f t="shared" si="230"/>
        <v>0</v>
      </c>
      <c r="T754" s="151">
        <f t="shared" si="215"/>
        <v>7</v>
      </c>
      <c r="U754" s="151">
        <f t="shared" si="216"/>
        <v>0</v>
      </c>
      <c r="V754" s="139">
        <f t="shared" si="217"/>
        <v>0</v>
      </c>
      <c r="W754" s="152">
        <f t="shared" si="220"/>
        <v>7</v>
      </c>
      <c r="X754" s="127" t="str">
        <f t="shared" si="218"/>
        <v/>
      </c>
      <c r="Y754" s="207">
        <f t="shared" si="221"/>
        <v>7</v>
      </c>
      <c r="Z754" s="139">
        <f t="shared" si="222"/>
        <v>7</v>
      </c>
      <c r="AA754" s="139">
        <f t="shared" si="223"/>
        <v>0</v>
      </c>
      <c r="AC754" s="47">
        <f t="shared" si="224"/>
        <v>4</v>
      </c>
      <c r="AD754" s="47">
        <f t="shared" si="225"/>
        <v>4</v>
      </c>
      <c r="AE754" s="47">
        <f t="shared" si="226"/>
        <v>0</v>
      </c>
      <c r="AG754" s="47">
        <f t="shared" si="227"/>
        <v>3</v>
      </c>
      <c r="AH754" s="47">
        <f t="shared" si="228"/>
        <v>3</v>
      </c>
      <c r="AI754" s="208">
        <f t="shared" si="229"/>
        <v>0</v>
      </c>
    </row>
    <row r="755" spans="1:35">
      <c r="A755" t="s">
        <v>2113</v>
      </c>
      <c r="B755" t="s">
        <v>3160</v>
      </c>
      <c r="C755" t="s">
        <v>2485</v>
      </c>
      <c r="D755" t="s">
        <v>4036</v>
      </c>
      <c r="F755" t="s">
        <v>607</v>
      </c>
      <c r="G755" s="126">
        <f>SUMIFS('Support - Transition'!F:F,'Support - Transition'!B:B,'Step 2'!A755,'Support - Transition'!C:C,'Step 2'!B755,'Support - Transition'!D:D,'Step 2'!C755,'Support - Transition'!E:E,"CIVIL")</f>
        <v>0</v>
      </c>
      <c r="H755" s="126">
        <f>SUMIFS('Support - Transition'!F:F,'Support - Transition'!B:B,'Step 2'!A755,'Support - Transition'!C:C,'Step 2'!B755,'Support - Transition'!D:D,'Step 2'!C755,'Support - Transition'!E:E,"FIRE")</f>
        <v>0</v>
      </c>
      <c r="I755" s="126">
        <f>IF(B755="0",SUMIFS('Support - Transition'!F:F,'Support - Transition'!J:J,'Step 2'!D755,'Support - Transition'!E:E,"STATE UNIT"),SUMIFS('Support - Transition'!F:F,'Support - Transition'!J:J,'Step 2'!D755))</f>
        <v>4.7364000000000003E-2</v>
      </c>
      <c r="J755" s="126">
        <f>SUMIFS('Support - Unit Adjustments'!E:E,'Support - Unit Adjustments'!F:F,'Step 2'!D755)</f>
        <v>0</v>
      </c>
      <c r="K755" s="126">
        <f t="shared" si="213"/>
        <v>4.7364000000000003E-2</v>
      </c>
      <c r="L755" s="174">
        <f>VLOOKUP(A755,'Step 1'!$A:$E,4,FALSE)</f>
        <v>461505</v>
      </c>
      <c r="M755" s="47">
        <f t="shared" si="214"/>
        <v>21859</v>
      </c>
      <c r="N755" s="177">
        <f>SUMIFS('Support - Transition'!G:G,'Support - Transition'!J:J,'Step 2'!D755,'Support - Transition'!E:E,"2009 WELFARE ALLOCATION FACTOR")</f>
        <v>0</v>
      </c>
      <c r="O755" s="152">
        <f t="shared" si="219"/>
        <v>0</v>
      </c>
      <c r="P755" s="126">
        <f>IF(E755="Y",0,SUMIFS('Support - Transition'!G:G,'Support - Transition'!J:J,'Step 2'!D755,'Support - Transition'!E:E,"2009 SCHOOL ALLOCATION FACTOR"))</f>
        <v>0.45738400000000001</v>
      </c>
      <c r="Q755" s="126">
        <f>IF(E755="Y",VLOOKUP(D755,'Support - Unit Adjustments'!F:G,2,FALSE),0)</f>
        <v>0</v>
      </c>
      <c r="R755" s="155">
        <f t="shared" si="231"/>
        <v>0.45738400000000001</v>
      </c>
      <c r="S755" s="47">
        <f t="shared" si="230"/>
        <v>9998</v>
      </c>
      <c r="T755" s="151">
        <f t="shared" si="215"/>
        <v>11861</v>
      </c>
      <c r="U755" s="151">
        <f t="shared" si="216"/>
        <v>0</v>
      </c>
      <c r="V755" s="139">
        <f t="shared" si="217"/>
        <v>0</v>
      </c>
      <c r="W755" s="152">
        <f t="shared" si="220"/>
        <v>11861</v>
      </c>
      <c r="X755" s="127" t="str">
        <f t="shared" si="218"/>
        <v/>
      </c>
      <c r="Y755" s="207">
        <f t="shared" si="221"/>
        <v>11861</v>
      </c>
      <c r="Z755" s="139">
        <f t="shared" si="222"/>
        <v>11861</v>
      </c>
      <c r="AA755" s="139">
        <f t="shared" si="223"/>
        <v>0</v>
      </c>
      <c r="AC755" s="47">
        <f t="shared" si="224"/>
        <v>5931</v>
      </c>
      <c r="AD755" s="47">
        <f t="shared" si="225"/>
        <v>5931</v>
      </c>
      <c r="AE755" s="47">
        <f t="shared" si="226"/>
        <v>0</v>
      </c>
      <c r="AG755" s="47">
        <f t="shared" si="227"/>
        <v>5930</v>
      </c>
      <c r="AH755" s="47">
        <f t="shared" si="228"/>
        <v>5930</v>
      </c>
      <c r="AI755" s="208">
        <f t="shared" si="229"/>
        <v>0</v>
      </c>
    </row>
    <row r="756" spans="1:35">
      <c r="A756" t="s">
        <v>2113</v>
      </c>
      <c r="B756" t="s">
        <v>3160</v>
      </c>
      <c r="C756" t="s">
        <v>2486</v>
      </c>
      <c r="D756" t="s">
        <v>4037</v>
      </c>
      <c r="F756" t="s">
        <v>608</v>
      </c>
      <c r="G756" s="126">
        <f>SUMIFS('Support - Transition'!F:F,'Support - Transition'!B:B,'Step 2'!A756,'Support - Transition'!C:C,'Step 2'!B756,'Support - Transition'!D:D,'Step 2'!C756,'Support - Transition'!E:E,"CIVIL")</f>
        <v>0</v>
      </c>
      <c r="H756" s="126">
        <f>SUMIFS('Support - Transition'!F:F,'Support - Transition'!B:B,'Step 2'!A756,'Support - Transition'!C:C,'Step 2'!B756,'Support - Transition'!D:D,'Step 2'!C756,'Support - Transition'!E:E,"FIRE")</f>
        <v>0</v>
      </c>
      <c r="I756" s="126">
        <f>IF(B756="0",SUMIFS('Support - Transition'!F:F,'Support - Transition'!J:J,'Step 2'!D756,'Support - Transition'!E:E,"STATE UNIT"),SUMIFS('Support - Transition'!F:F,'Support - Transition'!J:J,'Step 2'!D756))</f>
        <v>9.0134000000000006E-2</v>
      </c>
      <c r="J756" s="126">
        <f>SUMIFS('Support - Unit Adjustments'!E:E,'Support - Unit Adjustments'!F:F,'Step 2'!D756)</f>
        <v>0</v>
      </c>
      <c r="K756" s="126">
        <f t="shared" si="213"/>
        <v>9.0134000000000006E-2</v>
      </c>
      <c r="L756" s="174">
        <f>VLOOKUP(A756,'Step 1'!$A:$E,4,FALSE)</f>
        <v>461505</v>
      </c>
      <c r="M756" s="47">
        <f t="shared" si="214"/>
        <v>41597</v>
      </c>
      <c r="N756" s="177">
        <f>SUMIFS('Support - Transition'!G:G,'Support - Transition'!J:J,'Step 2'!D756,'Support - Transition'!E:E,"2009 WELFARE ALLOCATION FACTOR")</f>
        <v>0</v>
      </c>
      <c r="O756" s="152">
        <f t="shared" si="219"/>
        <v>0</v>
      </c>
      <c r="P756" s="126">
        <f>IF(E756="Y",0,SUMIFS('Support - Transition'!G:G,'Support - Transition'!J:J,'Step 2'!D756,'Support - Transition'!E:E,"2009 SCHOOL ALLOCATION FACTOR"))</f>
        <v>0.45816000000000001</v>
      </c>
      <c r="Q756" s="126">
        <f>IF(E756="Y",VLOOKUP(D756,'Support - Unit Adjustments'!F:G,2,FALSE),0)</f>
        <v>0</v>
      </c>
      <c r="R756" s="155">
        <f t="shared" si="231"/>
        <v>0.45816000000000001</v>
      </c>
      <c r="S756" s="47">
        <f t="shared" si="230"/>
        <v>19058</v>
      </c>
      <c r="T756" s="151">
        <f t="shared" si="215"/>
        <v>22539</v>
      </c>
      <c r="U756" s="151">
        <f t="shared" si="216"/>
        <v>0</v>
      </c>
      <c r="V756" s="139">
        <f t="shared" si="217"/>
        <v>0</v>
      </c>
      <c r="W756" s="152">
        <f t="shared" si="220"/>
        <v>22539</v>
      </c>
      <c r="X756" s="127" t="str">
        <f t="shared" si="218"/>
        <v/>
      </c>
      <c r="Y756" s="207">
        <f t="shared" si="221"/>
        <v>22539</v>
      </c>
      <c r="Z756" s="139">
        <f t="shared" si="222"/>
        <v>22539</v>
      </c>
      <c r="AA756" s="139">
        <f t="shared" si="223"/>
        <v>0</v>
      </c>
      <c r="AC756" s="47">
        <f t="shared" si="224"/>
        <v>11270</v>
      </c>
      <c r="AD756" s="47">
        <f t="shared" si="225"/>
        <v>11270</v>
      </c>
      <c r="AE756" s="47">
        <f t="shared" si="226"/>
        <v>0</v>
      </c>
      <c r="AG756" s="47">
        <f t="shared" si="227"/>
        <v>11269</v>
      </c>
      <c r="AH756" s="47">
        <f t="shared" si="228"/>
        <v>11269</v>
      </c>
      <c r="AI756" s="208">
        <f t="shared" si="229"/>
        <v>0</v>
      </c>
    </row>
    <row r="757" spans="1:35">
      <c r="A757" t="s">
        <v>2113</v>
      </c>
      <c r="B757" t="s">
        <v>3160</v>
      </c>
      <c r="C757" t="s">
        <v>4038</v>
      </c>
      <c r="D757" t="s">
        <v>4039</v>
      </c>
      <c r="F757" t="s">
        <v>4040</v>
      </c>
      <c r="G757" s="126">
        <f>SUMIFS('Support - Transition'!F:F,'Support - Transition'!B:B,'Step 2'!A757,'Support - Transition'!C:C,'Step 2'!B757,'Support - Transition'!D:D,'Step 2'!C757,'Support - Transition'!E:E,"CIVIL")</f>
        <v>0</v>
      </c>
      <c r="H757" s="126">
        <f>SUMIFS('Support - Transition'!F:F,'Support - Transition'!B:B,'Step 2'!A757,'Support - Transition'!C:C,'Step 2'!B757,'Support - Transition'!D:D,'Step 2'!C757,'Support - Transition'!E:E,"FIRE")</f>
        <v>0</v>
      </c>
      <c r="I757" s="126">
        <f>IF(B757="0",SUMIFS('Support - Transition'!F:F,'Support - Transition'!J:J,'Step 2'!D757,'Support - Transition'!E:E,"STATE UNIT"),SUMIFS('Support - Transition'!F:F,'Support - Transition'!J:J,'Step 2'!D757))</f>
        <v>0.100768</v>
      </c>
      <c r="J757" s="126">
        <f>SUMIFS('Support - Unit Adjustments'!E:E,'Support - Unit Adjustments'!F:F,'Step 2'!D757)</f>
        <v>0</v>
      </c>
      <c r="K757" s="126">
        <f t="shared" si="213"/>
        <v>0.100768</v>
      </c>
      <c r="L757" s="174">
        <f>VLOOKUP(A757,'Step 1'!$A:$E,4,FALSE)</f>
        <v>461505</v>
      </c>
      <c r="M757" s="47">
        <f t="shared" si="214"/>
        <v>46505</v>
      </c>
      <c r="N757" s="177">
        <f>SUMIFS('Support - Transition'!G:G,'Support - Transition'!J:J,'Step 2'!D757,'Support - Transition'!E:E,"2009 WELFARE ALLOCATION FACTOR")</f>
        <v>0</v>
      </c>
      <c r="O757" s="152">
        <f t="shared" si="219"/>
        <v>0</v>
      </c>
      <c r="P757" s="126">
        <f>IF(E757="Y",0,SUMIFS('Support - Transition'!G:G,'Support - Transition'!J:J,'Step 2'!D757,'Support - Transition'!E:E,"2009 SCHOOL ALLOCATION FACTOR"))</f>
        <v>0.416881</v>
      </c>
      <c r="Q757" s="126">
        <f>IF(E757="Y",VLOOKUP(D757,'Support - Unit Adjustments'!F:G,2,FALSE),0)</f>
        <v>0</v>
      </c>
      <c r="R757" s="155">
        <f t="shared" si="231"/>
        <v>0.416881</v>
      </c>
      <c r="S757" s="47">
        <f t="shared" si="230"/>
        <v>19387</v>
      </c>
      <c r="T757" s="151">
        <f t="shared" si="215"/>
        <v>27118</v>
      </c>
      <c r="U757" s="151">
        <f t="shared" si="216"/>
        <v>0</v>
      </c>
      <c r="V757" s="139">
        <f t="shared" si="217"/>
        <v>0</v>
      </c>
      <c r="W757" s="152">
        <f t="shared" si="220"/>
        <v>27118</v>
      </c>
      <c r="X757" s="127" t="str">
        <f t="shared" si="218"/>
        <v/>
      </c>
      <c r="Y757" s="207">
        <f t="shared" si="221"/>
        <v>27118</v>
      </c>
      <c r="Z757" s="139">
        <f t="shared" si="222"/>
        <v>27118</v>
      </c>
      <c r="AA757" s="139">
        <f t="shared" si="223"/>
        <v>0</v>
      </c>
      <c r="AC757" s="47">
        <f t="shared" si="224"/>
        <v>13559</v>
      </c>
      <c r="AD757" s="47">
        <f t="shared" si="225"/>
        <v>13559</v>
      </c>
      <c r="AE757" s="47">
        <f t="shared" si="226"/>
        <v>0</v>
      </c>
      <c r="AG757" s="47">
        <f t="shared" si="227"/>
        <v>13559</v>
      </c>
      <c r="AH757" s="47">
        <f t="shared" si="228"/>
        <v>13559</v>
      </c>
      <c r="AI757" s="208">
        <f t="shared" si="229"/>
        <v>0</v>
      </c>
    </row>
    <row r="758" spans="1:35">
      <c r="A758" t="s">
        <v>2113</v>
      </c>
      <c r="B758" t="s">
        <v>3160</v>
      </c>
      <c r="C758" t="s">
        <v>2487</v>
      </c>
      <c r="D758" t="s">
        <v>4041</v>
      </c>
      <c r="F758" t="s">
        <v>609</v>
      </c>
      <c r="G758" s="126">
        <f>SUMIFS('Support - Transition'!F:F,'Support - Transition'!B:B,'Step 2'!A758,'Support - Transition'!C:C,'Step 2'!B758,'Support - Transition'!D:D,'Step 2'!C758,'Support - Transition'!E:E,"CIVIL")</f>
        <v>0</v>
      </c>
      <c r="H758" s="126">
        <f>SUMIFS('Support - Transition'!F:F,'Support - Transition'!B:B,'Step 2'!A758,'Support - Transition'!C:C,'Step 2'!B758,'Support - Transition'!D:D,'Step 2'!C758,'Support - Transition'!E:E,"FIRE")</f>
        <v>0</v>
      </c>
      <c r="I758" s="126">
        <f>IF(B758="0",SUMIFS('Support - Transition'!F:F,'Support - Transition'!J:J,'Step 2'!D758,'Support - Transition'!E:E,"STATE UNIT"),SUMIFS('Support - Transition'!F:F,'Support - Transition'!J:J,'Step 2'!D758))</f>
        <v>0.23348099999999999</v>
      </c>
      <c r="J758" s="126">
        <f>SUMIFS('Support - Unit Adjustments'!E:E,'Support - Unit Adjustments'!F:F,'Step 2'!D758)</f>
        <v>0</v>
      </c>
      <c r="K758" s="126">
        <f t="shared" si="213"/>
        <v>0.23348099999999999</v>
      </c>
      <c r="L758" s="174">
        <f>VLOOKUP(A758,'Step 1'!$A:$E,4,FALSE)</f>
        <v>461505</v>
      </c>
      <c r="M758" s="47">
        <f t="shared" si="214"/>
        <v>107753</v>
      </c>
      <c r="N758" s="177">
        <f>SUMIFS('Support - Transition'!G:G,'Support - Transition'!J:J,'Step 2'!D758,'Support - Transition'!E:E,"2009 WELFARE ALLOCATION FACTOR")</f>
        <v>0</v>
      </c>
      <c r="O758" s="152">
        <f t="shared" si="219"/>
        <v>0</v>
      </c>
      <c r="P758" s="126">
        <f>IF(E758="Y",0,SUMIFS('Support - Transition'!G:G,'Support - Transition'!J:J,'Step 2'!D758,'Support - Transition'!E:E,"2009 SCHOOL ALLOCATION FACTOR"))</f>
        <v>0.63361900000000004</v>
      </c>
      <c r="Q758" s="126">
        <f>IF(E758="Y",VLOOKUP(D758,'Support - Unit Adjustments'!F:G,2,FALSE),0)</f>
        <v>0</v>
      </c>
      <c r="R758" s="155">
        <f t="shared" si="231"/>
        <v>0.63361900000000004</v>
      </c>
      <c r="S758" s="47">
        <f t="shared" si="230"/>
        <v>68274</v>
      </c>
      <c r="T758" s="151">
        <f t="shared" si="215"/>
        <v>39479</v>
      </c>
      <c r="U758" s="151">
        <f t="shared" si="216"/>
        <v>0</v>
      </c>
      <c r="V758" s="139">
        <f t="shared" si="217"/>
        <v>0</v>
      </c>
      <c r="W758" s="152">
        <f t="shared" si="220"/>
        <v>39479</v>
      </c>
      <c r="X758" s="127" t="str">
        <f t="shared" si="218"/>
        <v/>
      </c>
      <c r="Y758" s="207">
        <f t="shared" si="221"/>
        <v>39479</v>
      </c>
      <c r="Z758" s="139">
        <f t="shared" si="222"/>
        <v>39479</v>
      </c>
      <c r="AA758" s="139">
        <f t="shared" si="223"/>
        <v>0</v>
      </c>
      <c r="AC758" s="47">
        <f t="shared" si="224"/>
        <v>19740</v>
      </c>
      <c r="AD758" s="47">
        <f t="shared" si="225"/>
        <v>19740</v>
      </c>
      <c r="AE758" s="47">
        <f t="shared" si="226"/>
        <v>0</v>
      </c>
      <c r="AG758" s="47">
        <f t="shared" si="227"/>
        <v>19739</v>
      </c>
      <c r="AH758" s="47">
        <f t="shared" si="228"/>
        <v>19739</v>
      </c>
      <c r="AI758" s="208">
        <f t="shared" si="229"/>
        <v>0</v>
      </c>
    </row>
    <row r="759" spans="1:35">
      <c r="A759" t="s">
        <v>2113</v>
      </c>
      <c r="B759" t="s">
        <v>3160</v>
      </c>
      <c r="C759" t="s">
        <v>2488</v>
      </c>
      <c r="D759" t="s">
        <v>4042</v>
      </c>
      <c r="F759" t="s">
        <v>611</v>
      </c>
      <c r="G759" s="126">
        <f>SUMIFS('Support - Transition'!F:F,'Support - Transition'!B:B,'Step 2'!A759,'Support - Transition'!C:C,'Step 2'!B759,'Support - Transition'!D:D,'Step 2'!C759,'Support - Transition'!E:E,"CIVIL")</f>
        <v>0</v>
      </c>
      <c r="H759" s="126">
        <f>SUMIFS('Support - Transition'!F:F,'Support - Transition'!B:B,'Step 2'!A759,'Support - Transition'!C:C,'Step 2'!B759,'Support - Transition'!D:D,'Step 2'!C759,'Support - Transition'!E:E,"FIRE")</f>
        <v>0</v>
      </c>
      <c r="I759" s="126">
        <f>IF(B759="0",SUMIFS('Support - Transition'!F:F,'Support - Transition'!J:J,'Step 2'!D759,'Support - Transition'!E:E,"STATE UNIT"),SUMIFS('Support - Transition'!F:F,'Support - Transition'!J:J,'Step 2'!D759))</f>
        <v>5.9463000000000002E-2</v>
      </c>
      <c r="J759" s="126">
        <f>SUMIFS('Support - Unit Adjustments'!E:E,'Support - Unit Adjustments'!F:F,'Step 2'!D759)</f>
        <v>0</v>
      </c>
      <c r="K759" s="126">
        <f t="shared" si="213"/>
        <v>5.9463000000000002E-2</v>
      </c>
      <c r="L759" s="174">
        <f>VLOOKUP(A759,'Step 1'!$A:$E,4,FALSE)</f>
        <v>461505</v>
      </c>
      <c r="M759" s="47">
        <f t="shared" si="214"/>
        <v>27442</v>
      </c>
      <c r="N759" s="177">
        <f>SUMIFS('Support - Transition'!G:G,'Support - Transition'!J:J,'Step 2'!D759,'Support - Transition'!E:E,"2009 WELFARE ALLOCATION FACTOR")</f>
        <v>0</v>
      </c>
      <c r="O759" s="152">
        <f t="shared" si="219"/>
        <v>0</v>
      </c>
      <c r="P759" s="126">
        <f>IF(E759="Y",0,SUMIFS('Support - Transition'!G:G,'Support - Transition'!J:J,'Step 2'!D759,'Support - Transition'!E:E,"2009 SCHOOL ALLOCATION FACTOR"))</f>
        <v>0.415018</v>
      </c>
      <c r="Q759" s="126">
        <f>IF(E759="Y",VLOOKUP(D759,'Support - Unit Adjustments'!F:G,2,FALSE),0)</f>
        <v>0</v>
      </c>
      <c r="R759" s="155">
        <f t="shared" si="231"/>
        <v>0.415018</v>
      </c>
      <c r="S759" s="47">
        <f t="shared" si="230"/>
        <v>11389</v>
      </c>
      <c r="T759" s="151">
        <f t="shared" si="215"/>
        <v>16053</v>
      </c>
      <c r="U759" s="151">
        <f t="shared" si="216"/>
        <v>0</v>
      </c>
      <c r="V759" s="139">
        <f t="shared" si="217"/>
        <v>0</v>
      </c>
      <c r="W759" s="152">
        <f t="shared" si="220"/>
        <v>16053</v>
      </c>
      <c r="X759" s="127" t="str">
        <f t="shared" si="218"/>
        <v/>
      </c>
      <c r="Y759" s="207">
        <f t="shared" si="221"/>
        <v>16053</v>
      </c>
      <c r="Z759" s="139">
        <f t="shared" si="222"/>
        <v>16053</v>
      </c>
      <c r="AA759" s="139">
        <f t="shared" si="223"/>
        <v>0</v>
      </c>
      <c r="AC759" s="47">
        <f t="shared" si="224"/>
        <v>8027</v>
      </c>
      <c r="AD759" s="47">
        <f t="shared" si="225"/>
        <v>8027</v>
      </c>
      <c r="AE759" s="47">
        <f t="shared" si="226"/>
        <v>0</v>
      </c>
      <c r="AG759" s="47">
        <f t="shared" si="227"/>
        <v>8026</v>
      </c>
      <c r="AH759" s="47">
        <f t="shared" si="228"/>
        <v>8026</v>
      </c>
      <c r="AI759" s="208">
        <f t="shared" si="229"/>
        <v>0</v>
      </c>
    </row>
    <row r="760" spans="1:35">
      <c r="A760" t="s">
        <v>2113</v>
      </c>
      <c r="B760" t="s">
        <v>3166</v>
      </c>
      <c r="C760" t="s">
        <v>2489</v>
      </c>
      <c r="D760" t="s">
        <v>4043</v>
      </c>
      <c r="F760" t="s">
        <v>614</v>
      </c>
      <c r="G760" s="126">
        <f>SUMIFS('Support - Transition'!F:F,'Support - Transition'!B:B,'Step 2'!A760,'Support - Transition'!C:C,'Step 2'!B760,'Support - Transition'!D:D,'Step 2'!C760,'Support - Transition'!E:E,"CIVIL")</f>
        <v>0</v>
      </c>
      <c r="H760" s="126">
        <f>SUMIFS('Support - Transition'!F:F,'Support - Transition'!B:B,'Step 2'!A760,'Support - Transition'!C:C,'Step 2'!B760,'Support - Transition'!D:D,'Step 2'!C760,'Support - Transition'!E:E,"FIRE")</f>
        <v>0</v>
      </c>
      <c r="I760" s="126">
        <f>IF(B760="0",SUMIFS('Support - Transition'!F:F,'Support - Transition'!J:J,'Step 2'!D760,'Support - Transition'!E:E,"STATE UNIT"),SUMIFS('Support - Transition'!F:F,'Support - Transition'!J:J,'Step 2'!D760))</f>
        <v>1.977E-3</v>
      </c>
      <c r="J760" s="126">
        <f>SUMIFS('Support - Unit Adjustments'!E:E,'Support - Unit Adjustments'!F:F,'Step 2'!D760)</f>
        <v>0</v>
      </c>
      <c r="K760" s="126">
        <f t="shared" si="213"/>
        <v>1.977E-3</v>
      </c>
      <c r="L760" s="174">
        <f>VLOOKUP(A760,'Step 1'!$A:$E,4,FALSE)</f>
        <v>461505</v>
      </c>
      <c r="M760" s="47">
        <f t="shared" si="214"/>
        <v>912</v>
      </c>
      <c r="N760" s="177">
        <f>SUMIFS('Support - Transition'!G:G,'Support - Transition'!J:J,'Step 2'!D760,'Support - Transition'!E:E,"2009 WELFARE ALLOCATION FACTOR")</f>
        <v>0</v>
      </c>
      <c r="O760" s="152">
        <f t="shared" si="219"/>
        <v>0</v>
      </c>
      <c r="P760" s="126">
        <f>IF(E760="Y",0,SUMIFS('Support - Transition'!G:G,'Support - Transition'!J:J,'Step 2'!D760,'Support - Transition'!E:E,"2009 SCHOOL ALLOCATION FACTOR"))</f>
        <v>0</v>
      </c>
      <c r="Q760" s="126">
        <f>IF(E760="Y",VLOOKUP(D760,'Support - Unit Adjustments'!F:G,2,FALSE),0)</f>
        <v>0</v>
      </c>
      <c r="R760" s="155">
        <f t="shared" si="231"/>
        <v>0</v>
      </c>
      <c r="S760" s="47">
        <f t="shared" si="230"/>
        <v>0</v>
      </c>
      <c r="T760" s="151">
        <f t="shared" si="215"/>
        <v>912</v>
      </c>
      <c r="U760" s="151">
        <f t="shared" si="216"/>
        <v>0</v>
      </c>
      <c r="V760" s="139">
        <f t="shared" si="217"/>
        <v>0</v>
      </c>
      <c r="W760" s="152">
        <f t="shared" si="220"/>
        <v>912</v>
      </c>
      <c r="X760" s="127" t="str">
        <f t="shared" si="218"/>
        <v/>
      </c>
      <c r="Y760" s="207">
        <f t="shared" si="221"/>
        <v>912</v>
      </c>
      <c r="Z760" s="139">
        <f t="shared" si="222"/>
        <v>912</v>
      </c>
      <c r="AA760" s="139">
        <f t="shared" si="223"/>
        <v>0</v>
      </c>
      <c r="AC760" s="47">
        <f t="shared" si="224"/>
        <v>456</v>
      </c>
      <c r="AD760" s="47">
        <f t="shared" si="225"/>
        <v>456</v>
      </c>
      <c r="AE760" s="47">
        <f t="shared" si="226"/>
        <v>0</v>
      </c>
      <c r="AG760" s="47">
        <f t="shared" si="227"/>
        <v>456</v>
      </c>
      <c r="AH760" s="47">
        <f t="shared" si="228"/>
        <v>456</v>
      </c>
      <c r="AI760" s="208">
        <f t="shared" si="229"/>
        <v>0</v>
      </c>
    </row>
    <row r="761" spans="1:35">
      <c r="A761" t="s">
        <v>2113</v>
      </c>
      <c r="B761" t="s">
        <v>3166</v>
      </c>
      <c r="C761" t="s">
        <v>4044</v>
      </c>
      <c r="D761" t="s">
        <v>4045</v>
      </c>
      <c r="F761" t="s">
        <v>615</v>
      </c>
      <c r="G761" s="126">
        <f>SUMIFS('Support - Transition'!F:F,'Support - Transition'!B:B,'Step 2'!A761,'Support - Transition'!C:C,'Step 2'!B761,'Support - Transition'!D:D,'Step 2'!C761,'Support - Transition'!E:E,"CIVIL")</f>
        <v>0</v>
      </c>
      <c r="H761" s="126">
        <f>SUMIFS('Support - Transition'!F:F,'Support - Transition'!B:B,'Step 2'!A761,'Support - Transition'!C:C,'Step 2'!B761,'Support - Transition'!D:D,'Step 2'!C761,'Support - Transition'!E:E,"FIRE")</f>
        <v>0</v>
      </c>
      <c r="I761" s="126">
        <f>IF(B761="0",SUMIFS('Support - Transition'!F:F,'Support - Transition'!J:J,'Step 2'!D761,'Support - Transition'!E:E,"STATE UNIT"),SUMIFS('Support - Transition'!F:F,'Support - Transition'!J:J,'Step 2'!D761))</f>
        <v>1.1566E-2</v>
      </c>
      <c r="J761" s="126">
        <f>SUMIFS('Support - Unit Adjustments'!E:E,'Support - Unit Adjustments'!F:F,'Step 2'!D761)</f>
        <v>0</v>
      </c>
      <c r="K761" s="126">
        <f t="shared" si="213"/>
        <v>1.1566E-2</v>
      </c>
      <c r="L761" s="174">
        <f>VLOOKUP(A761,'Step 1'!$A:$E,4,FALSE)</f>
        <v>461505</v>
      </c>
      <c r="M761" s="47">
        <f t="shared" si="214"/>
        <v>5338</v>
      </c>
      <c r="N761" s="177">
        <f>SUMIFS('Support - Transition'!G:G,'Support - Transition'!J:J,'Step 2'!D761,'Support - Transition'!E:E,"2009 WELFARE ALLOCATION FACTOR")</f>
        <v>0</v>
      </c>
      <c r="O761" s="152">
        <f t="shared" si="219"/>
        <v>0</v>
      </c>
      <c r="P761" s="126">
        <f>IF(E761="Y",0,SUMIFS('Support - Transition'!G:G,'Support - Transition'!J:J,'Step 2'!D761,'Support - Transition'!E:E,"2009 SCHOOL ALLOCATION FACTOR"))</f>
        <v>0</v>
      </c>
      <c r="Q761" s="126">
        <f>IF(E761="Y",VLOOKUP(D761,'Support - Unit Adjustments'!F:G,2,FALSE),0)</f>
        <v>0</v>
      </c>
      <c r="R761" s="155">
        <f t="shared" si="231"/>
        <v>0</v>
      </c>
      <c r="S761" s="47">
        <f t="shared" si="230"/>
        <v>0</v>
      </c>
      <c r="T761" s="151">
        <f t="shared" si="215"/>
        <v>5338</v>
      </c>
      <c r="U761" s="151">
        <f t="shared" si="216"/>
        <v>0</v>
      </c>
      <c r="V761" s="139">
        <f t="shared" si="217"/>
        <v>0</v>
      </c>
      <c r="W761" s="152">
        <f t="shared" si="220"/>
        <v>5338</v>
      </c>
      <c r="X761" s="127" t="str">
        <f t="shared" si="218"/>
        <v/>
      </c>
      <c r="Y761" s="207">
        <f t="shared" si="221"/>
        <v>5338</v>
      </c>
      <c r="Z761" s="139">
        <f t="shared" si="222"/>
        <v>5338</v>
      </c>
      <c r="AA761" s="139">
        <f t="shared" si="223"/>
        <v>0</v>
      </c>
      <c r="AC761" s="47">
        <f t="shared" si="224"/>
        <v>2669</v>
      </c>
      <c r="AD761" s="47">
        <f t="shared" si="225"/>
        <v>2669</v>
      </c>
      <c r="AE761" s="47">
        <f t="shared" si="226"/>
        <v>0</v>
      </c>
      <c r="AG761" s="47">
        <f t="shared" si="227"/>
        <v>2669</v>
      </c>
      <c r="AH761" s="47">
        <f t="shared" si="228"/>
        <v>2669</v>
      </c>
      <c r="AI761" s="208">
        <f t="shared" si="229"/>
        <v>0</v>
      </c>
    </row>
    <row r="762" spans="1:35">
      <c r="A762" t="s">
        <v>2113</v>
      </c>
      <c r="B762" t="s">
        <v>3166</v>
      </c>
      <c r="C762" t="s">
        <v>2490</v>
      </c>
      <c r="D762" t="s">
        <v>4046</v>
      </c>
      <c r="F762" t="s">
        <v>616</v>
      </c>
      <c r="G762" s="126">
        <f>SUMIFS('Support - Transition'!F:F,'Support - Transition'!B:B,'Step 2'!A762,'Support - Transition'!C:C,'Step 2'!B762,'Support - Transition'!D:D,'Step 2'!C762,'Support - Transition'!E:E,"CIVIL")</f>
        <v>0</v>
      </c>
      <c r="H762" s="126">
        <f>SUMIFS('Support - Transition'!F:F,'Support - Transition'!B:B,'Step 2'!A762,'Support - Transition'!C:C,'Step 2'!B762,'Support - Transition'!D:D,'Step 2'!C762,'Support - Transition'!E:E,"FIRE")</f>
        <v>0</v>
      </c>
      <c r="I762" s="126">
        <f>IF(B762="0",SUMIFS('Support - Transition'!F:F,'Support - Transition'!J:J,'Step 2'!D762,'Support - Transition'!E:E,"STATE UNIT"),SUMIFS('Support - Transition'!F:F,'Support - Transition'!J:J,'Step 2'!D762))</f>
        <v>8.6899999999999998E-4</v>
      </c>
      <c r="J762" s="126">
        <f>SUMIFS('Support - Unit Adjustments'!E:E,'Support - Unit Adjustments'!F:F,'Step 2'!D762)</f>
        <v>0</v>
      </c>
      <c r="K762" s="126">
        <f t="shared" si="213"/>
        <v>8.6899999999999998E-4</v>
      </c>
      <c r="L762" s="174">
        <f>VLOOKUP(A762,'Step 1'!$A:$E,4,FALSE)</f>
        <v>461505</v>
      </c>
      <c r="M762" s="47">
        <f t="shared" si="214"/>
        <v>401</v>
      </c>
      <c r="N762" s="177">
        <f>SUMIFS('Support - Transition'!G:G,'Support - Transition'!J:J,'Step 2'!D762,'Support - Transition'!E:E,"2009 WELFARE ALLOCATION FACTOR")</f>
        <v>0</v>
      </c>
      <c r="O762" s="152">
        <f t="shared" si="219"/>
        <v>0</v>
      </c>
      <c r="P762" s="126">
        <f>IF(E762="Y",0,SUMIFS('Support - Transition'!G:G,'Support - Transition'!J:J,'Step 2'!D762,'Support - Transition'!E:E,"2009 SCHOOL ALLOCATION FACTOR"))</f>
        <v>0</v>
      </c>
      <c r="Q762" s="126">
        <f>IF(E762="Y",VLOOKUP(D762,'Support - Unit Adjustments'!F:G,2,FALSE),0)</f>
        <v>0</v>
      </c>
      <c r="R762" s="155">
        <f t="shared" si="231"/>
        <v>0</v>
      </c>
      <c r="S762" s="47">
        <f t="shared" si="230"/>
        <v>0</v>
      </c>
      <c r="T762" s="151">
        <f t="shared" si="215"/>
        <v>401</v>
      </c>
      <c r="U762" s="151">
        <f t="shared" si="216"/>
        <v>0</v>
      </c>
      <c r="V762" s="139">
        <f t="shared" si="217"/>
        <v>0</v>
      </c>
      <c r="W762" s="152">
        <f t="shared" si="220"/>
        <v>401</v>
      </c>
      <c r="X762" s="127" t="str">
        <f t="shared" si="218"/>
        <v/>
      </c>
      <c r="Y762" s="207">
        <f t="shared" si="221"/>
        <v>401</v>
      </c>
      <c r="Z762" s="139">
        <f t="shared" si="222"/>
        <v>401</v>
      </c>
      <c r="AA762" s="139">
        <f t="shared" si="223"/>
        <v>0</v>
      </c>
      <c r="AC762" s="47">
        <f t="shared" si="224"/>
        <v>201</v>
      </c>
      <c r="AD762" s="47">
        <f t="shared" si="225"/>
        <v>201</v>
      </c>
      <c r="AE762" s="47">
        <f t="shared" si="226"/>
        <v>0</v>
      </c>
      <c r="AG762" s="47">
        <f t="shared" si="227"/>
        <v>200</v>
      </c>
      <c r="AH762" s="47">
        <f t="shared" si="228"/>
        <v>200</v>
      </c>
      <c r="AI762" s="208">
        <f t="shared" si="229"/>
        <v>0</v>
      </c>
    </row>
    <row r="763" spans="1:35">
      <c r="A763" t="s">
        <v>2113</v>
      </c>
      <c r="B763" t="s">
        <v>3166</v>
      </c>
      <c r="C763" t="s">
        <v>2491</v>
      </c>
      <c r="D763" t="s">
        <v>4047</v>
      </c>
      <c r="F763" t="s">
        <v>617</v>
      </c>
      <c r="G763" s="126">
        <f>SUMIFS('Support - Transition'!F:F,'Support - Transition'!B:B,'Step 2'!A763,'Support - Transition'!C:C,'Step 2'!B763,'Support - Transition'!D:D,'Step 2'!C763,'Support - Transition'!E:E,"CIVIL")</f>
        <v>0</v>
      </c>
      <c r="H763" s="126">
        <f>SUMIFS('Support - Transition'!F:F,'Support - Transition'!B:B,'Step 2'!A763,'Support - Transition'!C:C,'Step 2'!B763,'Support - Transition'!D:D,'Step 2'!C763,'Support - Transition'!E:E,"FIRE")</f>
        <v>0</v>
      </c>
      <c r="I763" s="126">
        <f>IF(B763="0",SUMIFS('Support - Transition'!F:F,'Support - Transition'!J:J,'Step 2'!D763,'Support - Transition'!E:E,"STATE UNIT"),SUMIFS('Support - Transition'!F:F,'Support - Transition'!J:J,'Step 2'!D763))</f>
        <v>1.6636999999999999E-2</v>
      </c>
      <c r="J763" s="126">
        <f>SUMIFS('Support - Unit Adjustments'!E:E,'Support - Unit Adjustments'!F:F,'Step 2'!D763)</f>
        <v>0</v>
      </c>
      <c r="K763" s="126">
        <f t="shared" si="213"/>
        <v>1.6636999999999999E-2</v>
      </c>
      <c r="L763" s="174">
        <f>VLOOKUP(A763,'Step 1'!$A:$E,4,FALSE)</f>
        <v>461505</v>
      </c>
      <c r="M763" s="47">
        <f t="shared" si="214"/>
        <v>7678</v>
      </c>
      <c r="N763" s="177">
        <f>SUMIFS('Support - Transition'!G:G,'Support - Transition'!J:J,'Step 2'!D763,'Support - Transition'!E:E,"2009 WELFARE ALLOCATION FACTOR")</f>
        <v>0</v>
      </c>
      <c r="O763" s="152">
        <f t="shared" si="219"/>
        <v>0</v>
      </c>
      <c r="P763" s="126">
        <f>IF(E763="Y",0,SUMIFS('Support - Transition'!G:G,'Support - Transition'!J:J,'Step 2'!D763,'Support - Transition'!E:E,"2009 SCHOOL ALLOCATION FACTOR"))</f>
        <v>0</v>
      </c>
      <c r="Q763" s="126">
        <f>IF(E763="Y",VLOOKUP(D763,'Support - Unit Adjustments'!F:G,2,FALSE),0)</f>
        <v>0</v>
      </c>
      <c r="R763" s="155">
        <f t="shared" si="231"/>
        <v>0</v>
      </c>
      <c r="S763" s="47">
        <f t="shared" si="230"/>
        <v>0</v>
      </c>
      <c r="T763" s="151">
        <f t="shared" si="215"/>
        <v>7678</v>
      </c>
      <c r="U763" s="151">
        <f t="shared" si="216"/>
        <v>0</v>
      </c>
      <c r="V763" s="139">
        <f t="shared" si="217"/>
        <v>0</v>
      </c>
      <c r="W763" s="152">
        <f t="shared" si="220"/>
        <v>7678</v>
      </c>
      <c r="X763" s="127" t="str">
        <f t="shared" si="218"/>
        <v/>
      </c>
      <c r="Y763" s="207">
        <f t="shared" si="221"/>
        <v>7678</v>
      </c>
      <c r="Z763" s="139">
        <f t="shared" si="222"/>
        <v>7678</v>
      </c>
      <c r="AA763" s="139">
        <f t="shared" si="223"/>
        <v>0</v>
      </c>
      <c r="AC763" s="47">
        <f t="shared" si="224"/>
        <v>3839</v>
      </c>
      <c r="AD763" s="47">
        <f t="shared" si="225"/>
        <v>3839</v>
      </c>
      <c r="AE763" s="47">
        <f t="shared" si="226"/>
        <v>0</v>
      </c>
      <c r="AG763" s="47">
        <f t="shared" si="227"/>
        <v>3839</v>
      </c>
      <c r="AH763" s="47">
        <f t="shared" si="228"/>
        <v>3839</v>
      </c>
      <c r="AI763" s="208">
        <f t="shared" si="229"/>
        <v>0</v>
      </c>
    </row>
    <row r="764" spans="1:35">
      <c r="A764" t="s">
        <v>2113</v>
      </c>
      <c r="B764" t="s">
        <v>3166</v>
      </c>
      <c r="C764" t="s">
        <v>2492</v>
      </c>
      <c r="D764" t="s">
        <v>4048</v>
      </c>
      <c r="F764" t="s">
        <v>618</v>
      </c>
      <c r="G764" s="126">
        <f>SUMIFS('Support - Transition'!F:F,'Support - Transition'!B:B,'Step 2'!A764,'Support - Transition'!C:C,'Step 2'!B764,'Support - Transition'!D:D,'Step 2'!C764,'Support - Transition'!E:E,"CIVIL")</f>
        <v>0</v>
      </c>
      <c r="H764" s="126">
        <f>SUMIFS('Support - Transition'!F:F,'Support - Transition'!B:B,'Step 2'!A764,'Support - Transition'!C:C,'Step 2'!B764,'Support - Transition'!D:D,'Step 2'!C764,'Support - Transition'!E:E,"FIRE")</f>
        <v>0</v>
      </c>
      <c r="I764" s="126">
        <f>IF(B764="0",SUMIFS('Support - Transition'!F:F,'Support - Transition'!J:J,'Step 2'!D764,'Support - Transition'!E:E,"STATE UNIT"),SUMIFS('Support - Transition'!F:F,'Support - Transition'!J:J,'Step 2'!D764))</f>
        <v>6.3E-5</v>
      </c>
      <c r="J764" s="126">
        <f>SUMIFS('Support - Unit Adjustments'!E:E,'Support - Unit Adjustments'!F:F,'Step 2'!D764)</f>
        <v>0</v>
      </c>
      <c r="K764" s="126">
        <f t="shared" si="213"/>
        <v>6.3E-5</v>
      </c>
      <c r="L764" s="174">
        <f>VLOOKUP(A764,'Step 1'!$A:$E,4,FALSE)</f>
        <v>461505</v>
      </c>
      <c r="M764" s="47">
        <f t="shared" si="214"/>
        <v>29</v>
      </c>
      <c r="N764" s="177">
        <f>SUMIFS('Support - Transition'!G:G,'Support - Transition'!J:J,'Step 2'!D764,'Support - Transition'!E:E,"2009 WELFARE ALLOCATION FACTOR")</f>
        <v>0</v>
      </c>
      <c r="O764" s="152">
        <f t="shared" si="219"/>
        <v>0</v>
      </c>
      <c r="P764" s="126">
        <f>IF(E764="Y",0,SUMIFS('Support - Transition'!G:G,'Support - Transition'!J:J,'Step 2'!D764,'Support - Transition'!E:E,"2009 SCHOOL ALLOCATION FACTOR"))</f>
        <v>0</v>
      </c>
      <c r="Q764" s="126">
        <f>IF(E764="Y",VLOOKUP(D764,'Support - Unit Adjustments'!F:G,2,FALSE),0)</f>
        <v>0</v>
      </c>
      <c r="R764" s="155">
        <f t="shared" si="231"/>
        <v>0</v>
      </c>
      <c r="S764" s="47">
        <f t="shared" si="230"/>
        <v>0</v>
      </c>
      <c r="T764" s="151">
        <f t="shared" si="215"/>
        <v>29</v>
      </c>
      <c r="U764" s="151">
        <f t="shared" si="216"/>
        <v>0</v>
      </c>
      <c r="V764" s="139">
        <f t="shared" si="217"/>
        <v>0</v>
      </c>
      <c r="W764" s="152">
        <f t="shared" si="220"/>
        <v>29</v>
      </c>
      <c r="X764" s="127" t="str">
        <f t="shared" si="218"/>
        <v/>
      </c>
      <c r="Y764" s="207">
        <f t="shared" si="221"/>
        <v>29</v>
      </c>
      <c r="Z764" s="139">
        <f t="shared" si="222"/>
        <v>29</v>
      </c>
      <c r="AA764" s="139">
        <f t="shared" si="223"/>
        <v>0</v>
      </c>
      <c r="AC764" s="47">
        <f t="shared" si="224"/>
        <v>15</v>
      </c>
      <c r="AD764" s="47">
        <f t="shared" si="225"/>
        <v>15</v>
      </c>
      <c r="AE764" s="47">
        <f t="shared" si="226"/>
        <v>0</v>
      </c>
      <c r="AG764" s="47">
        <f t="shared" si="227"/>
        <v>14</v>
      </c>
      <c r="AH764" s="47">
        <f t="shared" si="228"/>
        <v>14</v>
      </c>
      <c r="AI764" s="208">
        <f t="shared" si="229"/>
        <v>0</v>
      </c>
    </row>
    <row r="765" spans="1:35">
      <c r="A765" t="s">
        <v>2113</v>
      </c>
      <c r="B765" t="s">
        <v>3166</v>
      </c>
      <c r="C765" t="s">
        <v>2493</v>
      </c>
      <c r="D765" t="s">
        <v>4049</v>
      </c>
      <c r="F765" t="s">
        <v>619</v>
      </c>
      <c r="G765" s="126">
        <f>SUMIFS('Support - Transition'!F:F,'Support - Transition'!B:B,'Step 2'!A765,'Support - Transition'!C:C,'Step 2'!B765,'Support - Transition'!D:D,'Step 2'!C765,'Support - Transition'!E:E,"CIVIL")</f>
        <v>0</v>
      </c>
      <c r="H765" s="126">
        <f>SUMIFS('Support - Transition'!F:F,'Support - Transition'!B:B,'Step 2'!A765,'Support - Transition'!C:C,'Step 2'!B765,'Support - Transition'!D:D,'Step 2'!C765,'Support - Transition'!E:E,"FIRE")</f>
        <v>0</v>
      </c>
      <c r="I765" s="126">
        <f>IF(B765="0",SUMIFS('Support - Transition'!F:F,'Support - Transition'!J:J,'Step 2'!D765,'Support - Transition'!E:E,"STATE UNIT"),SUMIFS('Support - Transition'!F:F,'Support - Transition'!J:J,'Step 2'!D765))</f>
        <v>6.6699999999999995E-4</v>
      </c>
      <c r="J765" s="126">
        <f>SUMIFS('Support - Unit Adjustments'!E:E,'Support - Unit Adjustments'!F:F,'Step 2'!D765)</f>
        <v>0</v>
      </c>
      <c r="K765" s="126">
        <f t="shared" si="213"/>
        <v>6.6699999999999995E-4</v>
      </c>
      <c r="L765" s="174">
        <f>VLOOKUP(A765,'Step 1'!$A:$E,4,FALSE)</f>
        <v>461505</v>
      </c>
      <c r="M765" s="47">
        <f t="shared" si="214"/>
        <v>308</v>
      </c>
      <c r="N765" s="177">
        <f>SUMIFS('Support - Transition'!G:G,'Support - Transition'!J:J,'Step 2'!D765,'Support - Transition'!E:E,"2009 WELFARE ALLOCATION FACTOR")</f>
        <v>0</v>
      </c>
      <c r="O765" s="152">
        <f t="shared" si="219"/>
        <v>0</v>
      </c>
      <c r="P765" s="126">
        <f>IF(E765="Y",0,SUMIFS('Support - Transition'!G:G,'Support - Transition'!J:J,'Step 2'!D765,'Support - Transition'!E:E,"2009 SCHOOL ALLOCATION FACTOR"))</f>
        <v>0</v>
      </c>
      <c r="Q765" s="126">
        <f>IF(E765="Y",VLOOKUP(D765,'Support - Unit Adjustments'!F:G,2,FALSE),0)</f>
        <v>0</v>
      </c>
      <c r="R765" s="155">
        <f t="shared" si="231"/>
        <v>0</v>
      </c>
      <c r="S765" s="47">
        <f t="shared" si="230"/>
        <v>0</v>
      </c>
      <c r="T765" s="151">
        <f t="shared" si="215"/>
        <v>308</v>
      </c>
      <c r="U765" s="151">
        <f t="shared" si="216"/>
        <v>0</v>
      </c>
      <c r="V765" s="139">
        <f t="shared" si="217"/>
        <v>0</v>
      </c>
      <c r="W765" s="152">
        <f t="shared" si="220"/>
        <v>308</v>
      </c>
      <c r="X765" s="127" t="str">
        <f t="shared" si="218"/>
        <v/>
      </c>
      <c r="Y765" s="207">
        <f t="shared" si="221"/>
        <v>308</v>
      </c>
      <c r="Z765" s="139">
        <f t="shared" si="222"/>
        <v>308</v>
      </c>
      <c r="AA765" s="139">
        <f t="shared" si="223"/>
        <v>0</v>
      </c>
      <c r="AC765" s="47">
        <f t="shared" si="224"/>
        <v>154</v>
      </c>
      <c r="AD765" s="47">
        <f t="shared" si="225"/>
        <v>154</v>
      </c>
      <c r="AE765" s="47">
        <f t="shared" si="226"/>
        <v>0</v>
      </c>
      <c r="AG765" s="47">
        <f t="shared" si="227"/>
        <v>154</v>
      </c>
      <c r="AH765" s="47">
        <f t="shared" si="228"/>
        <v>154</v>
      </c>
      <c r="AI765" s="208">
        <f t="shared" si="229"/>
        <v>0</v>
      </c>
    </row>
    <row r="766" spans="1:35">
      <c r="A766" t="s">
        <v>2113</v>
      </c>
      <c r="B766" t="s">
        <v>3166</v>
      </c>
      <c r="C766" t="s">
        <v>4050</v>
      </c>
      <c r="D766" t="s">
        <v>4051</v>
      </c>
      <c r="F766" t="s">
        <v>612</v>
      </c>
      <c r="G766" s="126">
        <f>SUMIFS('Support - Transition'!F:F,'Support - Transition'!B:B,'Step 2'!A766,'Support - Transition'!C:C,'Step 2'!B766,'Support - Transition'!D:D,'Step 2'!C766,'Support - Transition'!E:E,"CIVIL")</f>
        <v>0</v>
      </c>
      <c r="H766" s="126">
        <f>SUMIFS('Support - Transition'!F:F,'Support - Transition'!B:B,'Step 2'!A766,'Support - Transition'!C:C,'Step 2'!B766,'Support - Transition'!D:D,'Step 2'!C766,'Support - Transition'!E:E,"FIRE")</f>
        <v>0</v>
      </c>
      <c r="I766" s="126">
        <f>IF(B766="0",SUMIFS('Support - Transition'!F:F,'Support - Transition'!J:J,'Step 2'!D766,'Support - Transition'!E:E,"STATE UNIT"),SUMIFS('Support - Transition'!F:F,'Support - Transition'!J:J,'Step 2'!D766))</f>
        <v>1.22E-4</v>
      </c>
      <c r="J766" s="126">
        <f>SUMIFS('Support - Unit Adjustments'!E:E,'Support - Unit Adjustments'!F:F,'Step 2'!D766)</f>
        <v>0</v>
      </c>
      <c r="K766" s="126">
        <f t="shared" si="213"/>
        <v>1.22E-4</v>
      </c>
      <c r="L766" s="174">
        <f>VLOOKUP(A766,'Step 1'!$A:$E,4,FALSE)</f>
        <v>461505</v>
      </c>
      <c r="M766" s="47">
        <f t="shared" si="214"/>
        <v>56</v>
      </c>
      <c r="N766" s="177">
        <f>SUMIFS('Support - Transition'!G:G,'Support - Transition'!J:J,'Step 2'!D766,'Support - Transition'!E:E,"2009 WELFARE ALLOCATION FACTOR")</f>
        <v>0</v>
      </c>
      <c r="O766" s="152">
        <f t="shared" si="219"/>
        <v>0</v>
      </c>
      <c r="P766" s="126">
        <f>IF(E766="Y",0,SUMIFS('Support - Transition'!G:G,'Support - Transition'!J:J,'Step 2'!D766,'Support - Transition'!E:E,"2009 SCHOOL ALLOCATION FACTOR"))</f>
        <v>0</v>
      </c>
      <c r="Q766" s="126">
        <f>IF(E766="Y",VLOOKUP(D766,'Support - Unit Adjustments'!F:G,2,FALSE),0)</f>
        <v>0</v>
      </c>
      <c r="R766" s="155">
        <f t="shared" si="231"/>
        <v>0</v>
      </c>
      <c r="S766" s="47">
        <f t="shared" si="230"/>
        <v>0</v>
      </c>
      <c r="T766" s="151">
        <f t="shared" si="215"/>
        <v>56</v>
      </c>
      <c r="U766" s="151">
        <f t="shared" si="216"/>
        <v>0</v>
      </c>
      <c r="V766" s="139">
        <f t="shared" si="217"/>
        <v>0</v>
      </c>
      <c r="W766" s="152">
        <f t="shared" si="220"/>
        <v>56</v>
      </c>
      <c r="X766" s="127" t="str">
        <f t="shared" si="218"/>
        <v/>
      </c>
      <c r="Y766" s="207">
        <f t="shared" si="221"/>
        <v>56</v>
      </c>
      <c r="Z766" s="139">
        <f t="shared" si="222"/>
        <v>56</v>
      </c>
      <c r="AA766" s="139">
        <f t="shared" si="223"/>
        <v>0</v>
      </c>
      <c r="AC766" s="47">
        <f t="shared" si="224"/>
        <v>28</v>
      </c>
      <c r="AD766" s="47">
        <f t="shared" si="225"/>
        <v>28</v>
      </c>
      <c r="AE766" s="47">
        <f t="shared" si="226"/>
        <v>0</v>
      </c>
      <c r="AG766" s="47">
        <f t="shared" si="227"/>
        <v>28</v>
      </c>
      <c r="AH766" s="47">
        <f t="shared" si="228"/>
        <v>28</v>
      </c>
      <c r="AI766" s="208">
        <f t="shared" si="229"/>
        <v>0</v>
      </c>
    </row>
    <row r="767" spans="1:35">
      <c r="A767" t="s">
        <v>2113</v>
      </c>
      <c r="B767" t="s">
        <v>3166</v>
      </c>
      <c r="C767" t="s">
        <v>2494</v>
      </c>
      <c r="D767" t="s">
        <v>4052</v>
      </c>
      <c r="F767" t="s">
        <v>620</v>
      </c>
      <c r="G767" s="126">
        <f>SUMIFS('Support - Transition'!F:F,'Support - Transition'!B:B,'Step 2'!A767,'Support - Transition'!C:C,'Step 2'!B767,'Support - Transition'!D:D,'Step 2'!C767,'Support - Transition'!E:E,"CIVIL")</f>
        <v>0</v>
      </c>
      <c r="H767" s="126">
        <f>SUMIFS('Support - Transition'!F:F,'Support - Transition'!B:B,'Step 2'!A767,'Support - Transition'!C:C,'Step 2'!B767,'Support - Transition'!D:D,'Step 2'!C767,'Support - Transition'!E:E,"FIRE")</f>
        <v>0</v>
      </c>
      <c r="I767" s="126">
        <f>IF(B767="0",SUMIFS('Support - Transition'!F:F,'Support - Transition'!J:J,'Step 2'!D767,'Support - Transition'!E:E,"STATE UNIT"),SUMIFS('Support - Transition'!F:F,'Support - Transition'!J:J,'Step 2'!D767))</f>
        <v>1.4319999999999999E-3</v>
      </c>
      <c r="J767" s="126">
        <f>SUMIFS('Support - Unit Adjustments'!E:E,'Support - Unit Adjustments'!F:F,'Step 2'!D767)</f>
        <v>0</v>
      </c>
      <c r="K767" s="126">
        <f t="shared" si="213"/>
        <v>1.4319999999999999E-3</v>
      </c>
      <c r="L767" s="174">
        <f>VLOOKUP(A767,'Step 1'!$A:$E,4,FALSE)</f>
        <v>461505</v>
      </c>
      <c r="M767" s="47">
        <f t="shared" si="214"/>
        <v>661</v>
      </c>
      <c r="N767" s="177">
        <f>SUMIFS('Support - Transition'!G:G,'Support - Transition'!J:J,'Step 2'!D767,'Support - Transition'!E:E,"2009 WELFARE ALLOCATION FACTOR")</f>
        <v>0</v>
      </c>
      <c r="O767" s="152">
        <f t="shared" si="219"/>
        <v>0</v>
      </c>
      <c r="P767" s="126">
        <f>IF(E767="Y",0,SUMIFS('Support - Transition'!G:G,'Support - Transition'!J:J,'Step 2'!D767,'Support - Transition'!E:E,"2009 SCHOOL ALLOCATION FACTOR"))</f>
        <v>0</v>
      </c>
      <c r="Q767" s="126">
        <f>IF(E767="Y",VLOOKUP(D767,'Support - Unit Adjustments'!F:G,2,FALSE),0)</f>
        <v>0</v>
      </c>
      <c r="R767" s="155">
        <f t="shared" si="231"/>
        <v>0</v>
      </c>
      <c r="S767" s="47">
        <f t="shared" si="230"/>
        <v>0</v>
      </c>
      <c r="T767" s="151">
        <f t="shared" si="215"/>
        <v>661</v>
      </c>
      <c r="U767" s="151">
        <f t="shared" si="216"/>
        <v>0</v>
      </c>
      <c r="V767" s="139">
        <f t="shared" si="217"/>
        <v>0</v>
      </c>
      <c r="W767" s="152">
        <f t="shared" si="220"/>
        <v>661</v>
      </c>
      <c r="X767" s="127" t="str">
        <f t="shared" si="218"/>
        <v/>
      </c>
      <c r="Y767" s="207">
        <f t="shared" si="221"/>
        <v>661</v>
      </c>
      <c r="Z767" s="139">
        <f t="shared" si="222"/>
        <v>661</v>
      </c>
      <c r="AA767" s="139">
        <f t="shared" si="223"/>
        <v>0</v>
      </c>
      <c r="AC767" s="47">
        <f t="shared" si="224"/>
        <v>331</v>
      </c>
      <c r="AD767" s="47">
        <f t="shared" si="225"/>
        <v>331</v>
      </c>
      <c r="AE767" s="47">
        <f t="shared" si="226"/>
        <v>0</v>
      </c>
      <c r="AG767" s="47">
        <f t="shared" si="227"/>
        <v>330</v>
      </c>
      <c r="AH767" s="47">
        <f t="shared" si="228"/>
        <v>330</v>
      </c>
      <c r="AI767" s="208">
        <f t="shared" si="229"/>
        <v>0</v>
      </c>
    </row>
    <row r="768" spans="1:35">
      <c r="A768" t="s">
        <v>2113</v>
      </c>
      <c r="B768" t="s">
        <v>3166</v>
      </c>
      <c r="C768" t="s">
        <v>2495</v>
      </c>
      <c r="D768" t="s">
        <v>4053</v>
      </c>
      <c r="F768" t="s">
        <v>1238</v>
      </c>
      <c r="G768" s="126">
        <f>SUMIFS('Support - Transition'!F:F,'Support - Transition'!B:B,'Step 2'!A768,'Support - Transition'!C:C,'Step 2'!B768,'Support - Transition'!D:D,'Step 2'!C768,'Support - Transition'!E:E,"CIVIL")</f>
        <v>0</v>
      </c>
      <c r="H768" s="126">
        <f>SUMIFS('Support - Transition'!F:F,'Support - Transition'!B:B,'Step 2'!A768,'Support - Transition'!C:C,'Step 2'!B768,'Support - Transition'!D:D,'Step 2'!C768,'Support - Transition'!E:E,"FIRE")</f>
        <v>0</v>
      </c>
      <c r="I768" s="126">
        <f>IF(B768="0",SUMIFS('Support - Transition'!F:F,'Support - Transition'!J:J,'Step 2'!D768,'Support - Transition'!E:E,"STATE UNIT"),SUMIFS('Support - Transition'!F:F,'Support - Transition'!J:J,'Step 2'!D768))</f>
        <v>1.9999999999999999E-6</v>
      </c>
      <c r="J768" s="126">
        <f>SUMIFS('Support - Unit Adjustments'!E:E,'Support - Unit Adjustments'!F:F,'Step 2'!D768)</f>
        <v>0</v>
      </c>
      <c r="K768" s="126">
        <f t="shared" si="213"/>
        <v>1.9999999999999999E-6</v>
      </c>
      <c r="L768" s="174">
        <f>VLOOKUP(A768,'Step 1'!$A:$E,4,FALSE)</f>
        <v>461505</v>
      </c>
      <c r="M768" s="47">
        <f t="shared" si="214"/>
        <v>1</v>
      </c>
      <c r="N768" s="177">
        <f>SUMIFS('Support - Transition'!G:G,'Support - Transition'!J:J,'Step 2'!D768,'Support - Transition'!E:E,"2009 WELFARE ALLOCATION FACTOR")</f>
        <v>0</v>
      </c>
      <c r="O768" s="152">
        <f t="shared" si="219"/>
        <v>0</v>
      </c>
      <c r="P768" s="126">
        <f>IF(E768="Y",0,SUMIFS('Support - Transition'!G:G,'Support - Transition'!J:J,'Step 2'!D768,'Support - Transition'!E:E,"2009 SCHOOL ALLOCATION FACTOR"))</f>
        <v>0</v>
      </c>
      <c r="Q768" s="126">
        <f>IF(E768="Y",VLOOKUP(D768,'Support - Unit Adjustments'!F:G,2,FALSE),0)</f>
        <v>0</v>
      </c>
      <c r="R768" s="155">
        <f t="shared" si="231"/>
        <v>0</v>
      </c>
      <c r="S768" s="47">
        <f t="shared" si="230"/>
        <v>0</v>
      </c>
      <c r="T768" s="151">
        <f t="shared" si="215"/>
        <v>1</v>
      </c>
      <c r="U768" s="151">
        <f t="shared" si="216"/>
        <v>0</v>
      </c>
      <c r="V768" s="139">
        <f t="shared" si="217"/>
        <v>0</v>
      </c>
      <c r="W768" s="152">
        <f t="shared" si="220"/>
        <v>1</v>
      </c>
      <c r="X768" s="127" t="str">
        <f t="shared" si="218"/>
        <v/>
      </c>
      <c r="Y768" s="207">
        <f t="shared" si="221"/>
        <v>1</v>
      </c>
      <c r="Z768" s="139">
        <f t="shared" si="222"/>
        <v>1</v>
      </c>
      <c r="AA768" s="139">
        <f t="shared" si="223"/>
        <v>0</v>
      </c>
      <c r="AC768" s="47">
        <f t="shared" si="224"/>
        <v>1</v>
      </c>
      <c r="AD768" s="47">
        <f t="shared" si="225"/>
        <v>1</v>
      </c>
      <c r="AE768" s="47">
        <f t="shared" si="226"/>
        <v>0</v>
      </c>
      <c r="AG768" s="47">
        <f t="shared" si="227"/>
        <v>0</v>
      </c>
      <c r="AH768" s="47">
        <f t="shared" si="228"/>
        <v>0</v>
      </c>
      <c r="AI768" s="208">
        <f t="shared" si="229"/>
        <v>0</v>
      </c>
    </row>
    <row r="769" spans="1:35">
      <c r="A769" t="s">
        <v>2113</v>
      </c>
      <c r="B769" t="s">
        <v>3170</v>
      </c>
      <c r="C769" t="s">
        <v>3752</v>
      </c>
      <c r="D769" t="s">
        <v>4054</v>
      </c>
      <c r="F769" t="s">
        <v>422</v>
      </c>
      <c r="G769" s="126">
        <f>SUMIFS('Support - Transition'!F:F,'Support - Transition'!B:B,'Step 2'!A769,'Support - Transition'!C:C,'Step 2'!B769,'Support - Transition'!D:D,'Step 2'!C769,'Support - Transition'!E:E,"CIVIL")</f>
        <v>0</v>
      </c>
      <c r="H769" s="126">
        <f>SUMIFS('Support - Transition'!F:F,'Support - Transition'!B:B,'Step 2'!A769,'Support - Transition'!C:C,'Step 2'!B769,'Support - Transition'!D:D,'Step 2'!C769,'Support - Transition'!E:E,"FIRE")</f>
        <v>0</v>
      </c>
      <c r="I769" s="126">
        <f>IF(B769="0",SUMIFS('Support - Transition'!F:F,'Support - Transition'!J:J,'Step 2'!D769,'Support - Transition'!E:E,"STATE UNIT"),SUMIFS('Support - Transition'!F:F,'Support - Transition'!J:J,'Step 2'!D769))</f>
        <v>2.4999999999999467E-3</v>
      </c>
      <c r="J769" s="126">
        <f>SUMIFS('Support - Unit Adjustments'!E:E,'Support - Unit Adjustments'!F:F,'Step 2'!D769)</f>
        <v>0</v>
      </c>
      <c r="K769" s="126">
        <f t="shared" si="213"/>
        <v>2.4999999999999467E-3</v>
      </c>
      <c r="L769" s="174">
        <f>VLOOKUP(A769,'Step 1'!$A:$E,4,FALSE)</f>
        <v>461505</v>
      </c>
      <c r="M769" s="47">
        <f t="shared" si="214"/>
        <v>1154</v>
      </c>
      <c r="N769" s="177">
        <f>SUMIFS('Support - Transition'!G:G,'Support - Transition'!J:J,'Step 2'!D769,'Support - Transition'!E:E,"2009 WELFARE ALLOCATION FACTOR")</f>
        <v>0</v>
      </c>
      <c r="O769" s="152">
        <f t="shared" si="219"/>
        <v>0</v>
      </c>
      <c r="P769" s="126">
        <f>IF(E769="Y",0,SUMIFS('Support - Transition'!G:G,'Support - Transition'!J:J,'Step 2'!D769,'Support - Transition'!E:E,"2009 SCHOOL ALLOCATION FACTOR"))</f>
        <v>0</v>
      </c>
      <c r="Q769" s="126">
        <f>IF(E769="Y",VLOOKUP(D769,'Support - Unit Adjustments'!F:G,2,FALSE),0)</f>
        <v>0</v>
      </c>
      <c r="R769" s="155">
        <f t="shared" si="231"/>
        <v>0</v>
      </c>
      <c r="S769" s="47">
        <f t="shared" si="230"/>
        <v>0</v>
      </c>
      <c r="T769" s="151">
        <f t="shared" si="215"/>
        <v>1154</v>
      </c>
      <c r="U769" s="151">
        <f t="shared" si="216"/>
        <v>0</v>
      </c>
      <c r="V769" s="139">
        <f t="shared" si="217"/>
        <v>0</v>
      </c>
      <c r="W769" s="152">
        <f t="shared" si="220"/>
        <v>1154</v>
      </c>
      <c r="X769" s="127" t="str">
        <f t="shared" si="218"/>
        <v/>
      </c>
      <c r="Y769" s="207">
        <f t="shared" si="221"/>
        <v>1154</v>
      </c>
      <c r="Z769" s="139">
        <f t="shared" si="222"/>
        <v>1154</v>
      </c>
      <c r="AA769" s="139">
        <f t="shared" si="223"/>
        <v>0</v>
      </c>
      <c r="AC769" s="47">
        <f t="shared" si="224"/>
        <v>577</v>
      </c>
      <c r="AD769" s="47">
        <f t="shared" si="225"/>
        <v>577</v>
      </c>
      <c r="AE769" s="47">
        <f t="shared" si="226"/>
        <v>0</v>
      </c>
      <c r="AG769" s="47">
        <f t="shared" si="227"/>
        <v>577</v>
      </c>
      <c r="AH769" s="47">
        <f t="shared" si="228"/>
        <v>577</v>
      </c>
      <c r="AI769" s="208">
        <f t="shared" si="229"/>
        <v>0</v>
      </c>
    </row>
    <row r="770" spans="1:35">
      <c r="A770" t="s">
        <v>2114</v>
      </c>
      <c r="B770" s="48" t="s">
        <v>6274</v>
      </c>
      <c r="C770" t="s">
        <v>2187</v>
      </c>
      <c r="D770" t="str">
        <f>A770&amp;B770&amp;C770</f>
        <v>2800000</v>
      </c>
      <c r="F770" t="s">
        <v>6302</v>
      </c>
      <c r="G770" s="126">
        <f>SUMIFS('Support - Transition'!F:F,'Support - Transition'!B:B,'Step 2'!A770,'Support - Transition'!C:C,'Step 2'!B770,'Support - Transition'!D:D,'Step 2'!C770,'Support - Transition'!E:E,"CIVIL")</f>
        <v>0</v>
      </c>
      <c r="H770" s="126">
        <f>SUMIFS('Support - Transition'!F:F,'Support - Transition'!B:B,'Step 2'!A770,'Support - Transition'!C:C,'Step 2'!B770,'Support - Transition'!D:D,'Step 2'!C770,'Support - Transition'!E:E,"FIRE")</f>
        <v>0</v>
      </c>
      <c r="I770" s="126">
        <f>IF(B770="0",SUMIFS('Support - Transition'!F:F,'Support - Transition'!J:J,'Step 2'!D770,'Support - Transition'!E:E,"STATE UNIT"),SUMIFS('Support - Transition'!F:F,'Support - Transition'!J:J,'Step 2'!D770))</f>
        <v>1.1119999999999999E-3</v>
      </c>
      <c r="J770" s="126">
        <f>SUMIFS('Support - Unit Adjustments'!E:E,'Support - Unit Adjustments'!F:F,'Step 2'!D770)</f>
        <v>0</v>
      </c>
      <c r="K770" s="126">
        <f t="shared" ref="K770:K833" si="232">+I770+J770</f>
        <v>1.1119999999999999E-3</v>
      </c>
      <c r="L770" s="174">
        <f>VLOOKUP(A770,'Step 1'!$A:$E,4,FALSE)</f>
        <v>251555</v>
      </c>
      <c r="M770" s="47">
        <f t="shared" ref="M770:M833" si="233">ROUND(+K770*L770,0)</f>
        <v>280</v>
      </c>
      <c r="N770" s="177">
        <f>SUMIFS('Support - Transition'!G:G,'Support - Transition'!J:J,'Step 2'!D770,'Support - Transition'!E:E,"2009 WELFARE ALLOCATION FACTOR")</f>
        <v>0</v>
      </c>
      <c r="O770" s="152">
        <f t="shared" si="219"/>
        <v>0</v>
      </c>
      <c r="P770" s="126">
        <f>IF(E770="Y",0,SUMIFS('Support - Transition'!G:G,'Support - Transition'!J:J,'Step 2'!D770,'Support - Transition'!E:E,"2009 SCHOOL ALLOCATION FACTOR"))</f>
        <v>0</v>
      </c>
      <c r="Q770" s="126">
        <f>IF(E770="Y",VLOOKUP(D770,'Support - Unit Adjustments'!F:G,2,FALSE),0)</f>
        <v>0</v>
      </c>
      <c r="R770" s="155">
        <f t="shared" si="231"/>
        <v>0</v>
      </c>
      <c r="S770" s="47">
        <f t="shared" si="230"/>
        <v>0</v>
      </c>
      <c r="T770" s="151">
        <f t="shared" ref="T770:T833" si="234">ROUND(+M770-O770-S770,2)</f>
        <v>280</v>
      </c>
      <c r="U770" s="151">
        <f t="shared" ref="U770:U833" si="235">IF(B770="0",SUMIFS(O:O,A:A,A770)+SUMIFS(S:S,A:A,A770)+SUMIFS(T:T,A:A,A770),0)</f>
        <v>251558</v>
      </c>
      <c r="V770" s="139">
        <f t="shared" ref="V770:V833" si="236">IF(B770="0",U770-L770,0)</f>
        <v>3</v>
      </c>
      <c r="W770" s="152">
        <f t="shared" si="220"/>
        <v>277</v>
      </c>
      <c r="X770" s="127">
        <f t="shared" ref="X770:X833" si="237">IF(B770="0",SUMIFS(O:O,A:A,A770)+SUMIFS(S:S,A:A,A770)+SUMIFS(W:W,A:A,A770)-L770,"")</f>
        <v>0</v>
      </c>
      <c r="Y770" s="207">
        <f t="shared" si="221"/>
        <v>277</v>
      </c>
      <c r="Z770" s="139">
        <f t="shared" si="222"/>
        <v>277</v>
      </c>
      <c r="AA770" s="139">
        <f t="shared" si="223"/>
        <v>0</v>
      </c>
      <c r="AC770" s="47">
        <f t="shared" si="224"/>
        <v>139</v>
      </c>
      <c r="AD770" s="47">
        <f t="shared" si="225"/>
        <v>139</v>
      </c>
      <c r="AE770" s="47">
        <f t="shared" si="226"/>
        <v>0</v>
      </c>
      <c r="AG770" s="47">
        <f t="shared" si="227"/>
        <v>138</v>
      </c>
      <c r="AH770" s="47">
        <f t="shared" si="228"/>
        <v>138</v>
      </c>
      <c r="AI770" s="208">
        <f t="shared" si="229"/>
        <v>0</v>
      </c>
    </row>
    <row r="771" spans="1:35">
      <c r="A771" t="s">
        <v>2114</v>
      </c>
      <c r="B771" t="s">
        <v>3140</v>
      </c>
      <c r="C771" t="s">
        <v>2187</v>
      </c>
      <c r="D771" t="s">
        <v>4055</v>
      </c>
      <c r="F771" t="s">
        <v>622</v>
      </c>
      <c r="G771" s="126">
        <f>SUMIFS('Support - Transition'!F:F,'Support - Transition'!B:B,'Step 2'!A771,'Support - Transition'!C:C,'Step 2'!B771,'Support - Transition'!D:D,'Step 2'!C771,'Support - Transition'!E:E,"CIVIL")</f>
        <v>0</v>
      </c>
      <c r="H771" s="126">
        <f>SUMIFS('Support - Transition'!F:F,'Support - Transition'!B:B,'Step 2'!A771,'Support - Transition'!C:C,'Step 2'!B771,'Support - Transition'!D:D,'Step 2'!C771,'Support - Transition'!E:E,"FIRE")</f>
        <v>0</v>
      </c>
      <c r="I771" s="126">
        <f>IF(B771="0",SUMIFS('Support - Transition'!F:F,'Support - Transition'!J:J,'Step 2'!D771,'Support - Transition'!E:E,"STATE UNIT"),SUMIFS('Support - Transition'!F:F,'Support - Transition'!J:J,'Step 2'!D771))</f>
        <v>0.24518200000000001</v>
      </c>
      <c r="J771" s="126">
        <f>SUMIFS('Support - Unit Adjustments'!E:E,'Support - Unit Adjustments'!F:F,'Step 2'!D771)</f>
        <v>0</v>
      </c>
      <c r="K771" s="126">
        <f t="shared" si="232"/>
        <v>0.24518200000000001</v>
      </c>
      <c r="L771" s="174">
        <f>VLOOKUP(A771,'Step 1'!$A:$E,4,FALSE)</f>
        <v>251555</v>
      </c>
      <c r="M771" s="47">
        <f t="shared" si="233"/>
        <v>61677</v>
      </c>
      <c r="N771" s="177">
        <f>SUMIFS('Support - Transition'!G:G,'Support - Transition'!J:J,'Step 2'!D771,'Support - Transition'!E:E,"2009 WELFARE ALLOCATION FACTOR")</f>
        <v>0.25052600000000003</v>
      </c>
      <c r="O771" s="152">
        <f t="shared" ref="O771:O834" si="238">ROUND(+N771*M771,0)</f>
        <v>15452</v>
      </c>
      <c r="P771" s="126">
        <f>IF(E771="Y",0,SUMIFS('Support - Transition'!G:G,'Support - Transition'!J:J,'Step 2'!D771,'Support - Transition'!E:E,"2009 SCHOOL ALLOCATION FACTOR"))</f>
        <v>0</v>
      </c>
      <c r="Q771" s="126">
        <f>IF(E771="Y",VLOOKUP(D771,'Support - Unit Adjustments'!F:G,2,FALSE),0)</f>
        <v>0</v>
      </c>
      <c r="R771" s="155">
        <f t="shared" si="231"/>
        <v>0</v>
      </c>
      <c r="S771" s="47">
        <f t="shared" si="230"/>
        <v>0</v>
      </c>
      <c r="T771" s="151">
        <f t="shared" si="234"/>
        <v>46225</v>
      </c>
      <c r="U771" s="151">
        <f t="shared" si="235"/>
        <v>0</v>
      </c>
      <c r="V771" s="139">
        <f t="shared" si="236"/>
        <v>0</v>
      </c>
      <c r="W771" s="152">
        <f t="shared" ref="W771:W834" si="239">+T771-V771</f>
        <v>46225</v>
      </c>
      <c r="X771" s="127" t="str">
        <f t="shared" si="237"/>
        <v/>
      </c>
      <c r="Y771" s="207">
        <f t="shared" ref="Y771:Y834" si="240">W771</f>
        <v>46225</v>
      </c>
      <c r="Z771" s="139">
        <f t="shared" ref="Z771:Z834" si="241">IFERROR(IF(B771="2",ROUND(Y771*G771/I771,0),Y771),0)</f>
        <v>46225</v>
      </c>
      <c r="AA771" s="139">
        <f t="shared" ref="AA771:AA834" si="242">+Y771-Z771</f>
        <v>0</v>
      </c>
      <c r="AC771" s="47">
        <f t="shared" ref="AC771:AC834" si="243">ROUND(Y771/2,0)</f>
        <v>23113</v>
      </c>
      <c r="AD771" s="47">
        <f t="shared" ref="AD771:AD834" si="244">ROUND(Z771/2,0)</f>
        <v>23113</v>
      </c>
      <c r="AE771" s="47">
        <f t="shared" ref="AE771:AE834" si="245">ROUND(AA771/2,0)</f>
        <v>0</v>
      </c>
      <c r="AG771" s="47">
        <f t="shared" ref="AG771:AG834" si="246">+Y771-AC771</f>
        <v>23112</v>
      </c>
      <c r="AH771" s="47">
        <f t="shared" ref="AH771:AH834" si="247">+Z771-AD771</f>
        <v>23112</v>
      </c>
      <c r="AI771" s="208">
        <f t="shared" ref="AI771:AI834" si="248">+AA771-AE771</f>
        <v>0</v>
      </c>
    </row>
    <row r="772" spans="1:35">
      <c r="A772" t="s">
        <v>2114</v>
      </c>
      <c r="B772" t="s">
        <v>3142</v>
      </c>
      <c r="C772" t="s">
        <v>2188</v>
      </c>
      <c r="D772" t="s">
        <v>4056</v>
      </c>
      <c r="F772" t="s">
        <v>623</v>
      </c>
      <c r="G772" s="126">
        <f>SUMIFS('Support - Transition'!F:F,'Support - Transition'!B:B,'Step 2'!A772,'Support - Transition'!C:C,'Step 2'!B772,'Support - Transition'!D:D,'Step 2'!C772,'Support - Transition'!E:E,"CIVIL")</f>
        <v>1.967E-3</v>
      </c>
      <c r="H772" s="126">
        <f>SUMIFS('Support - Transition'!F:F,'Support - Transition'!B:B,'Step 2'!A772,'Support - Transition'!C:C,'Step 2'!B772,'Support - Transition'!D:D,'Step 2'!C772,'Support - Transition'!E:E,"FIRE")</f>
        <v>1.6410000000000001E-3</v>
      </c>
      <c r="I772" s="126">
        <f>IF(B772="0",SUMIFS('Support - Transition'!F:F,'Support - Transition'!J:J,'Step 2'!D772,'Support - Transition'!E:E,"STATE UNIT"),SUMIFS('Support - Transition'!F:F,'Support - Transition'!J:J,'Step 2'!D772))</f>
        <v>3.6080000000000001E-3</v>
      </c>
      <c r="J772" s="126">
        <f>SUMIFS('Support - Unit Adjustments'!E:E,'Support - Unit Adjustments'!F:F,'Step 2'!D772)</f>
        <v>0</v>
      </c>
      <c r="K772" s="126">
        <f t="shared" si="232"/>
        <v>3.6080000000000001E-3</v>
      </c>
      <c r="L772" s="174">
        <f>VLOOKUP(A772,'Step 1'!$A:$E,4,FALSE)</f>
        <v>251555</v>
      </c>
      <c r="M772" s="47">
        <f t="shared" si="233"/>
        <v>908</v>
      </c>
      <c r="N772" s="177">
        <f>SUMIFS('Support - Transition'!G:G,'Support - Transition'!J:J,'Step 2'!D772,'Support - Transition'!E:E,"2009 WELFARE ALLOCATION FACTOR")</f>
        <v>0</v>
      </c>
      <c r="O772" s="152">
        <f t="shared" si="238"/>
        <v>0</v>
      </c>
      <c r="P772" s="126">
        <f>IF(E772="Y",0,SUMIFS('Support - Transition'!G:G,'Support - Transition'!J:J,'Step 2'!D772,'Support - Transition'!E:E,"2009 SCHOOL ALLOCATION FACTOR"))</f>
        <v>0</v>
      </c>
      <c r="Q772" s="126">
        <f>IF(E772="Y",VLOOKUP(D772,'Support - Unit Adjustments'!F:G,2,FALSE),0)</f>
        <v>0</v>
      </c>
      <c r="R772" s="155">
        <f t="shared" si="231"/>
        <v>0</v>
      </c>
      <c r="S772" s="47">
        <f t="shared" si="230"/>
        <v>0</v>
      </c>
      <c r="T772" s="151">
        <f t="shared" si="234"/>
        <v>908</v>
      </c>
      <c r="U772" s="151">
        <f t="shared" si="235"/>
        <v>0</v>
      </c>
      <c r="V772" s="139">
        <f t="shared" si="236"/>
        <v>0</v>
      </c>
      <c r="W772" s="152">
        <f t="shared" si="239"/>
        <v>908</v>
      </c>
      <c r="X772" s="127" t="str">
        <f t="shared" si="237"/>
        <v/>
      </c>
      <c r="Y772" s="207">
        <f t="shared" si="240"/>
        <v>908</v>
      </c>
      <c r="Z772" s="139">
        <f t="shared" si="241"/>
        <v>495</v>
      </c>
      <c r="AA772" s="139">
        <f t="shared" si="242"/>
        <v>413</v>
      </c>
      <c r="AC772" s="47">
        <f t="shared" si="243"/>
        <v>454</v>
      </c>
      <c r="AD772" s="47">
        <f t="shared" si="244"/>
        <v>248</v>
      </c>
      <c r="AE772" s="47">
        <f t="shared" si="245"/>
        <v>207</v>
      </c>
      <c r="AG772" s="47">
        <f t="shared" si="246"/>
        <v>454</v>
      </c>
      <c r="AH772" s="47">
        <f t="shared" si="247"/>
        <v>247</v>
      </c>
      <c r="AI772" s="208">
        <f t="shared" si="248"/>
        <v>206</v>
      </c>
    </row>
    <row r="773" spans="1:35">
      <c r="A773" t="s">
        <v>2114</v>
      </c>
      <c r="B773" t="s">
        <v>3142</v>
      </c>
      <c r="C773" t="s">
        <v>2189</v>
      </c>
      <c r="D773" t="s">
        <v>4057</v>
      </c>
      <c r="F773" t="s">
        <v>249</v>
      </c>
      <c r="G773" s="126">
        <f>SUMIFS('Support - Transition'!F:F,'Support - Transition'!B:B,'Step 2'!A773,'Support - Transition'!C:C,'Step 2'!B773,'Support - Transition'!D:D,'Step 2'!C773,'Support - Transition'!E:E,"CIVIL")</f>
        <v>2.8299999999999999E-4</v>
      </c>
      <c r="H773" s="126">
        <f>SUMIFS('Support - Transition'!F:F,'Support - Transition'!B:B,'Step 2'!A773,'Support - Transition'!C:C,'Step 2'!B773,'Support - Transition'!D:D,'Step 2'!C773,'Support - Transition'!E:E,"FIRE")</f>
        <v>1.0900000000000001E-4</v>
      </c>
      <c r="I773" s="126">
        <f>IF(B773="0",SUMIFS('Support - Transition'!F:F,'Support - Transition'!J:J,'Step 2'!D773,'Support - Transition'!E:E,"STATE UNIT"),SUMIFS('Support - Transition'!F:F,'Support - Transition'!J:J,'Step 2'!D773))</f>
        <v>3.9199999999999999E-4</v>
      </c>
      <c r="J773" s="126">
        <f>SUMIFS('Support - Unit Adjustments'!E:E,'Support - Unit Adjustments'!F:F,'Step 2'!D773)</f>
        <v>0</v>
      </c>
      <c r="K773" s="126">
        <f t="shared" si="232"/>
        <v>3.9199999999999999E-4</v>
      </c>
      <c r="L773" s="174">
        <f>VLOOKUP(A773,'Step 1'!$A:$E,4,FALSE)</f>
        <v>251555</v>
      </c>
      <c r="M773" s="47">
        <f t="shared" si="233"/>
        <v>99</v>
      </c>
      <c r="N773" s="177">
        <f>SUMIFS('Support - Transition'!G:G,'Support - Transition'!J:J,'Step 2'!D773,'Support - Transition'!E:E,"2009 WELFARE ALLOCATION FACTOR")</f>
        <v>0</v>
      </c>
      <c r="O773" s="152">
        <f t="shared" si="238"/>
        <v>0</v>
      </c>
      <c r="P773" s="126">
        <f>IF(E773="Y",0,SUMIFS('Support - Transition'!G:G,'Support - Transition'!J:J,'Step 2'!D773,'Support - Transition'!E:E,"2009 SCHOOL ALLOCATION FACTOR"))</f>
        <v>0</v>
      </c>
      <c r="Q773" s="126">
        <f>IF(E773="Y",VLOOKUP(D773,'Support - Unit Adjustments'!F:G,2,FALSE),0)</f>
        <v>0</v>
      </c>
      <c r="R773" s="155">
        <f t="shared" si="231"/>
        <v>0</v>
      </c>
      <c r="S773" s="47">
        <f t="shared" si="230"/>
        <v>0</v>
      </c>
      <c r="T773" s="151">
        <f t="shared" si="234"/>
        <v>99</v>
      </c>
      <c r="U773" s="151">
        <f t="shared" si="235"/>
        <v>0</v>
      </c>
      <c r="V773" s="139">
        <f t="shared" si="236"/>
        <v>0</v>
      </c>
      <c r="W773" s="152">
        <f t="shared" si="239"/>
        <v>99</v>
      </c>
      <c r="X773" s="127" t="str">
        <f t="shared" si="237"/>
        <v/>
      </c>
      <c r="Y773" s="207">
        <f t="shared" si="240"/>
        <v>99</v>
      </c>
      <c r="Z773" s="139">
        <f t="shared" si="241"/>
        <v>71</v>
      </c>
      <c r="AA773" s="139">
        <f t="shared" si="242"/>
        <v>28</v>
      </c>
      <c r="AC773" s="47">
        <f t="shared" si="243"/>
        <v>50</v>
      </c>
      <c r="AD773" s="47">
        <f t="shared" si="244"/>
        <v>36</v>
      </c>
      <c r="AE773" s="47">
        <f t="shared" si="245"/>
        <v>14</v>
      </c>
      <c r="AG773" s="47">
        <f t="shared" si="246"/>
        <v>49</v>
      </c>
      <c r="AH773" s="47">
        <f t="shared" si="247"/>
        <v>35</v>
      </c>
      <c r="AI773" s="208">
        <f t="shared" si="248"/>
        <v>14</v>
      </c>
    </row>
    <row r="774" spans="1:35">
      <c r="A774" t="s">
        <v>2114</v>
      </c>
      <c r="B774" t="s">
        <v>3142</v>
      </c>
      <c r="C774" t="s">
        <v>2190</v>
      </c>
      <c r="D774" t="s">
        <v>4058</v>
      </c>
      <c r="F774" t="s">
        <v>107</v>
      </c>
      <c r="G774" s="126">
        <f>SUMIFS('Support - Transition'!F:F,'Support - Transition'!B:B,'Step 2'!A774,'Support - Transition'!C:C,'Step 2'!B774,'Support - Transition'!D:D,'Step 2'!C774,'Support - Transition'!E:E,"CIVIL")</f>
        <v>7.7200000000000001E-4</v>
      </c>
      <c r="H774" s="126">
        <f>SUMIFS('Support - Transition'!F:F,'Support - Transition'!B:B,'Step 2'!A774,'Support - Transition'!C:C,'Step 2'!B774,'Support - Transition'!D:D,'Step 2'!C774,'Support - Transition'!E:E,"FIRE")</f>
        <v>6.6699999999999995E-4</v>
      </c>
      <c r="I774" s="126">
        <f>IF(B774="0",SUMIFS('Support - Transition'!F:F,'Support - Transition'!J:J,'Step 2'!D774,'Support - Transition'!E:E,"STATE UNIT"),SUMIFS('Support - Transition'!F:F,'Support - Transition'!J:J,'Step 2'!D774))</f>
        <v>1.439E-3</v>
      </c>
      <c r="J774" s="126">
        <f>SUMIFS('Support - Unit Adjustments'!E:E,'Support - Unit Adjustments'!F:F,'Step 2'!D774)</f>
        <v>0</v>
      </c>
      <c r="K774" s="126">
        <f t="shared" si="232"/>
        <v>1.439E-3</v>
      </c>
      <c r="L774" s="174">
        <f>VLOOKUP(A774,'Step 1'!$A:$E,4,FALSE)</f>
        <v>251555</v>
      </c>
      <c r="M774" s="47">
        <f t="shared" si="233"/>
        <v>362</v>
      </c>
      <c r="N774" s="177">
        <f>SUMIFS('Support - Transition'!G:G,'Support - Transition'!J:J,'Step 2'!D774,'Support - Transition'!E:E,"2009 WELFARE ALLOCATION FACTOR")</f>
        <v>0</v>
      </c>
      <c r="O774" s="152">
        <f t="shared" si="238"/>
        <v>0</v>
      </c>
      <c r="P774" s="126">
        <f>IF(E774="Y",0,SUMIFS('Support - Transition'!G:G,'Support - Transition'!J:J,'Step 2'!D774,'Support - Transition'!E:E,"2009 SCHOOL ALLOCATION FACTOR"))</f>
        <v>0</v>
      </c>
      <c r="Q774" s="126">
        <f>IF(E774="Y",VLOOKUP(D774,'Support - Unit Adjustments'!F:G,2,FALSE),0)</f>
        <v>0</v>
      </c>
      <c r="R774" s="155">
        <f t="shared" si="231"/>
        <v>0</v>
      </c>
      <c r="S774" s="47">
        <f t="shared" si="230"/>
        <v>0</v>
      </c>
      <c r="T774" s="151">
        <f t="shared" si="234"/>
        <v>362</v>
      </c>
      <c r="U774" s="151">
        <f t="shared" si="235"/>
        <v>0</v>
      </c>
      <c r="V774" s="139">
        <f t="shared" si="236"/>
        <v>0</v>
      </c>
      <c r="W774" s="152">
        <f t="shared" si="239"/>
        <v>362</v>
      </c>
      <c r="X774" s="127" t="str">
        <f t="shared" si="237"/>
        <v/>
      </c>
      <c r="Y774" s="207">
        <f t="shared" si="240"/>
        <v>362</v>
      </c>
      <c r="Z774" s="139">
        <f t="shared" si="241"/>
        <v>194</v>
      </c>
      <c r="AA774" s="139">
        <f t="shared" si="242"/>
        <v>168</v>
      </c>
      <c r="AC774" s="47">
        <f t="shared" si="243"/>
        <v>181</v>
      </c>
      <c r="AD774" s="47">
        <f t="shared" si="244"/>
        <v>97</v>
      </c>
      <c r="AE774" s="47">
        <f t="shared" si="245"/>
        <v>84</v>
      </c>
      <c r="AG774" s="47">
        <f t="shared" si="246"/>
        <v>181</v>
      </c>
      <c r="AH774" s="47">
        <f t="shared" si="247"/>
        <v>97</v>
      </c>
      <c r="AI774" s="208">
        <f t="shared" si="248"/>
        <v>84</v>
      </c>
    </row>
    <row r="775" spans="1:35">
      <c r="A775" t="s">
        <v>2114</v>
      </c>
      <c r="B775" t="s">
        <v>3142</v>
      </c>
      <c r="C775" t="s">
        <v>2191</v>
      </c>
      <c r="D775" t="s">
        <v>4059</v>
      </c>
      <c r="F775" t="s">
        <v>624</v>
      </c>
      <c r="G775" s="126">
        <f>SUMIFS('Support - Transition'!F:F,'Support - Transition'!B:B,'Step 2'!A775,'Support - Transition'!C:C,'Step 2'!B775,'Support - Transition'!D:D,'Step 2'!C775,'Support - Transition'!E:E,"CIVIL")</f>
        <v>1.815E-3</v>
      </c>
      <c r="H775" s="126">
        <f>SUMIFS('Support - Transition'!F:F,'Support - Transition'!B:B,'Step 2'!A775,'Support - Transition'!C:C,'Step 2'!B775,'Support - Transition'!D:D,'Step 2'!C775,'Support - Transition'!E:E,"FIRE")</f>
        <v>7.1699999999999997E-4</v>
      </c>
      <c r="I775" s="126">
        <f>IF(B775="0",SUMIFS('Support - Transition'!F:F,'Support - Transition'!J:J,'Step 2'!D775,'Support - Transition'!E:E,"STATE UNIT"),SUMIFS('Support - Transition'!F:F,'Support - Transition'!J:J,'Step 2'!D775))</f>
        <v>2.532E-3</v>
      </c>
      <c r="J775" s="126">
        <f>SUMIFS('Support - Unit Adjustments'!E:E,'Support - Unit Adjustments'!F:F,'Step 2'!D775)</f>
        <v>0</v>
      </c>
      <c r="K775" s="126">
        <f t="shared" si="232"/>
        <v>2.532E-3</v>
      </c>
      <c r="L775" s="174">
        <f>VLOOKUP(A775,'Step 1'!$A:$E,4,FALSE)</f>
        <v>251555</v>
      </c>
      <c r="M775" s="47">
        <f t="shared" si="233"/>
        <v>637</v>
      </c>
      <c r="N775" s="177">
        <f>SUMIFS('Support - Transition'!G:G,'Support - Transition'!J:J,'Step 2'!D775,'Support - Transition'!E:E,"2009 WELFARE ALLOCATION FACTOR")</f>
        <v>0</v>
      </c>
      <c r="O775" s="152">
        <f t="shared" si="238"/>
        <v>0</v>
      </c>
      <c r="P775" s="126">
        <f>IF(E775="Y",0,SUMIFS('Support - Transition'!G:G,'Support - Transition'!J:J,'Step 2'!D775,'Support - Transition'!E:E,"2009 SCHOOL ALLOCATION FACTOR"))</f>
        <v>0</v>
      </c>
      <c r="Q775" s="126">
        <f>IF(E775="Y",VLOOKUP(D775,'Support - Unit Adjustments'!F:G,2,FALSE),0)</f>
        <v>0</v>
      </c>
      <c r="R775" s="155">
        <f t="shared" si="231"/>
        <v>0</v>
      </c>
      <c r="S775" s="47">
        <f t="shared" si="230"/>
        <v>0</v>
      </c>
      <c r="T775" s="151">
        <f t="shared" si="234"/>
        <v>637</v>
      </c>
      <c r="U775" s="151">
        <f t="shared" si="235"/>
        <v>0</v>
      </c>
      <c r="V775" s="139">
        <f t="shared" si="236"/>
        <v>0</v>
      </c>
      <c r="W775" s="152">
        <f t="shared" si="239"/>
        <v>637</v>
      </c>
      <c r="X775" s="127" t="str">
        <f t="shared" si="237"/>
        <v/>
      </c>
      <c r="Y775" s="207">
        <f t="shared" si="240"/>
        <v>637</v>
      </c>
      <c r="Z775" s="139">
        <f t="shared" si="241"/>
        <v>457</v>
      </c>
      <c r="AA775" s="139">
        <f t="shared" si="242"/>
        <v>180</v>
      </c>
      <c r="AC775" s="47">
        <f t="shared" si="243"/>
        <v>319</v>
      </c>
      <c r="AD775" s="47">
        <f t="shared" si="244"/>
        <v>229</v>
      </c>
      <c r="AE775" s="47">
        <f t="shared" si="245"/>
        <v>90</v>
      </c>
      <c r="AG775" s="47">
        <f t="shared" si="246"/>
        <v>318</v>
      </c>
      <c r="AH775" s="47">
        <f t="shared" si="247"/>
        <v>228</v>
      </c>
      <c r="AI775" s="208">
        <f t="shared" si="248"/>
        <v>90</v>
      </c>
    </row>
    <row r="776" spans="1:35">
      <c r="A776" t="s">
        <v>2114</v>
      </c>
      <c r="B776" t="s">
        <v>3142</v>
      </c>
      <c r="C776" t="s">
        <v>2192</v>
      </c>
      <c r="D776" t="s">
        <v>4060</v>
      </c>
      <c r="F776" t="s">
        <v>109</v>
      </c>
      <c r="G776" s="126">
        <f>SUMIFS('Support - Transition'!F:F,'Support - Transition'!B:B,'Step 2'!A776,'Support - Transition'!C:C,'Step 2'!B776,'Support - Transition'!D:D,'Step 2'!C776,'Support - Transition'!E:E,"CIVIL")</f>
        <v>5.5099999999999995E-4</v>
      </c>
      <c r="H776" s="126">
        <f>SUMIFS('Support - Transition'!F:F,'Support - Transition'!B:B,'Step 2'!A776,'Support - Transition'!C:C,'Step 2'!B776,'Support - Transition'!D:D,'Step 2'!C776,'Support - Transition'!E:E,"FIRE")</f>
        <v>2.5000000000000001E-4</v>
      </c>
      <c r="I776" s="126">
        <f>IF(B776="0",SUMIFS('Support - Transition'!F:F,'Support - Transition'!J:J,'Step 2'!D776,'Support - Transition'!E:E,"STATE UNIT"),SUMIFS('Support - Transition'!F:F,'Support - Transition'!J:J,'Step 2'!D776))</f>
        <v>8.0099999999999995E-4</v>
      </c>
      <c r="J776" s="126">
        <f>SUMIFS('Support - Unit Adjustments'!E:E,'Support - Unit Adjustments'!F:F,'Step 2'!D776)</f>
        <v>0</v>
      </c>
      <c r="K776" s="126">
        <f t="shared" si="232"/>
        <v>8.0099999999999995E-4</v>
      </c>
      <c r="L776" s="174">
        <f>VLOOKUP(A776,'Step 1'!$A:$E,4,FALSE)</f>
        <v>251555</v>
      </c>
      <c r="M776" s="47">
        <f t="shared" si="233"/>
        <v>201</v>
      </c>
      <c r="N776" s="177">
        <f>SUMIFS('Support - Transition'!G:G,'Support - Transition'!J:J,'Step 2'!D776,'Support - Transition'!E:E,"2009 WELFARE ALLOCATION FACTOR")</f>
        <v>0</v>
      </c>
      <c r="O776" s="152">
        <f t="shared" si="238"/>
        <v>0</v>
      </c>
      <c r="P776" s="126">
        <f>IF(E776="Y",0,SUMIFS('Support - Transition'!G:G,'Support - Transition'!J:J,'Step 2'!D776,'Support - Transition'!E:E,"2009 SCHOOL ALLOCATION FACTOR"))</f>
        <v>0</v>
      </c>
      <c r="Q776" s="126">
        <f>IF(E776="Y",VLOOKUP(D776,'Support - Unit Adjustments'!F:G,2,FALSE),0)</f>
        <v>0</v>
      </c>
      <c r="R776" s="155">
        <f t="shared" si="231"/>
        <v>0</v>
      </c>
      <c r="S776" s="47">
        <f t="shared" ref="S776:S839" si="249">ROUND(+R776*M776,0)</f>
        <v>0</v>
      </c>
      <c r="T776" s="151">
        <f t="shared" si="234"/>
        <v>201</v>
      </c>
      <c r="U776" s="151">
        <f t="shared" si="235"/>
        <v>0</v>
      </c>
      <c r="V776" s="139">
        <f t="shared" si="236"/>
        <v>0</v>
      </c>
      <c r="W776" s="152">
        <f t="shared" si="239"/>
        <v>201</v>
      </c>
      <c r="X776" s="127" t="str">
        <f t="shared" si="237"/>
        <v/>
      </c>
      <c r="Y776" s="207">
        <f t="shared" si="240"/>
        <v>201</v>
      </c>
      <c r="Z776" s="139">
        <f t="shared" si="241"/>
        <v>138</v>
      </c>
      <c r="AA776" s="139">
        <f t="shared" si="242"/>
        <v>63</v>
      </c>
      <c r="AC776" s="47">
        <f t="shared" si="243"/>
        <v>101</v>
      </c>
      <c r="AD776" s="47">
        <f t="shared" si="244"/>
        <v>69</v>
      </c>
      <c r="AE776" s="47">
        <f t="shared" si="245"/>
        <v>32</v>
      </c>
      <c r="AG776" s="47">
        <f t="shared" si="246"/>
        <v>100</v>
      </c>
      <c r="AH776" s="47">
        <f t="shared" si="247"/>
        <v>69</v>
      </c>
      <c r="AI776" s="208">
        <f t="shared" si="248"/>
        <v>31</v>
      </c>
    </row>
    <row r="777" spans="1:35">
      <c r="A777" t="s">
        <v>2114</v>
      </c>
      <c r="B777" t="s">
        <v>3142</v>
      </c>
      <c r="C777" t="s">
        <v>2193</v>
      </c>
      <c r="D777" t="s">
        <v>4061</v>
      </c>
      <c r="F777" t="s">
        <v>528</v>
      </c>
      <c r="G777" s="126">
        <f>SUMIFS('Support - Transition'!F:F,'Support - Transition'!B:B,'Step 2'!A777,'Support - Transition'!C:C,'Step 2'!B777,'Support - Transition'!D:D,'Step 2'!C777,'Support - Transition'!E:E,"CIVIL")</f>
        <v>2.065E-3</v>
      </c>
      <c r="H777" s="126">
        <f>SUMIFS('Support - Transition'!F:F,'Support - Transition'!B:B,'Step 2'!A777,'Support - Transition'!C:C,'Step 2'!B777,'Support - Transition'!D:D,'Step 2'!C777,'Support - Transition'!E:E,"FIRE")</f>
        <v>1.699E-3</v>
      </c>
      <c r="I777" s="126">
        <f>IF(B777="0",SUMIFS('Support - Transition'!F:F,'Support - Transition'!J:J,'Step 2'!D777,'Support - Transition'!E:E,"STATE UNIT"),SUMIFS('Support - Transition'!F:F,'Support - Transition'!J:J,'Step 2'!D777))</f>
        <v>3.764E-3</v>
      </c>
      <c r="J777" s="126">
        <f>SUMIFS('Support - Unit Adjustments'!E:E,'Support - Unit Adjustments'!F:F,'Step 2'!D777)</f>
        <v>0</v>
      </c>
      <c r="K777" s="126">
        <f t="shared" si="232"/>
        <v>3.764E-3</v>
      </c>
      <c r="L777" s="174">
        <f>VLOOKUP(A777,'Step 1'!$A:$E,4,FALSE)</f>
        <v>251555</v>
      </c>
      <c r="M777" s="47">
        <f t="shared" si="233"/>
        <v>947</v>
      </c>
      <c r="N777" s="177">
        <f>SUMIFS('Support - Transition'!G:G,'Support - Transition'!J:J,'Step 2'!D777,'Support - Transition'!E:E,"2009 WELFARE ALLOCATION FACTOR")</f>
        <v>0</v>
      </c>
      <c r="O777" s="152">
        <f t="shared" si="238"/>
        <v>0</v>
      </c>
      <c r="P777" s="126">
        <f>IF(E777="Y",0,SUMIFS('Support - Transition'!G:G,'Support - Transition'!J:J,'Step 2'!D777,'Support - Transition'!E:E,"2009 SCHOOL ALLOCATION FACTOR"))</f>
        <v>0</v>
      </c>
      <c r="Q777" s="126">
        <f>IF(E777="Y",VLOOKUP(D777,'Support - Unit Adjustments'!F:G,2,FALSE),0)</f>
        <v>0</v>
      </c>
      <c r="R777" s="155">
        <f t="shared" ref="R777:R840" si="250">+P777+Q777</f>
        <v>0</v>
      </c>
      <c r="S777" s="47">
        <f t="shared" si="249"/>
        <v>0</v>
      </c>
      <c r="T777" s="151">
        <f t="shared" si="234"/>
        <v>947</v>
      </c>
      <c r="U777" s="151">
        <f t="shared" si="235"/>
        <v>0</v>
      </c>
      <c r="V777" s="139">
        <f t="shared" si="236"/>
        <v>0</v>
      </c>
      <c r="W777" s="152">
        <f t="shared" si="239"/>
        <v>947</v>
      </c>
      <c r="X777" s="127" t="str">
        <f t="shared" si="237"/>
        <v/>
      </c>
      <c r="Y777" s="207">
        <f t="shared" si="240"/>
        <v>947</v>
      </c>
      <c r="Z777" s="139">
        <f t="shared" si="241"/>
        <v>520</v>
      </c>
      <c r="AA777" s="139">
        <f t="shared" si="242"/>
        <v>427</v>
      </c>
      <c r="AC777" s="47">
        <f t="shared" si="243"/>
        <v>474</v>
      </c>
      <c r="AD777" s="47">
        <f t="shared" si="244"/>
        <v>260</v>
      </c>
      <c r="AE777" s="47">
        <f t="shared" si="245"/>
        <v>214</v>
      </c>
      <c r="AG777" s="47">
        <f t="shared" si="246"/>
        <v>473</v>
      </c>
      <c r="AH777" s="47">
        <f t="shared" si="247"/>
        <v>260</v>
      </c>
      <c r="AI777" s="208">
        <f t="shared" si="248"/>
        <v>213</v>
      </c>
    </row>
    <row r="778" spans="1:35">
      <c r="A778" t="s">
        <v>2114</v>
      </c>
      <c r="B778" t="s">
        <v>3142</v>
      </c>
      <c r="C778" t="s">
        <v>2194</v>
      </c>
      <c r="D778" t="s">
        <v>4062</v>
      </c>
      <c r="F778" t="s">
        <v>49</v>
      </c>
      <c r="G778" s="126">
        <f>SUMIFS('Support - Transition'!F:F,'Support - Transition'!B:B,'Step 2'!A778,'Support - Transition'!C:C,'Step 2'!B778,'Support - Transition'!D:D,'Step 2'!C778,'Support - Transition'!E:E,"CIVIL")</f>
        <v>1.9599999999999999E-4</v>
      </c>
      <c r="H778" s="126">
        <f>SUMIFS('Support - Transition'!F:F,'Support - Transition'!B:B,'Step 2'!A778,'Support - Transition'!C:C,'Step 2'!B778,'Support - Transition'!D:D,'Step 2'!C778,'Support - Transition'!E:E,"FIRE")</f>
        <v>8.7000000000000001E-5</v>
      </c>
      <c r="I778" s="126">
        <f>IF(B778="0",SUMIFS('Support - Transition'!F:F,'Support - Transition'!J:J,'Step 2'!D778,'Support - Transition'!E:E,"STATE UNIT"),SUMIFS('Support - Transition'!F:F,'Support - Transition'!J:J,'Step 2'!D778))</f>
        <v>2.8299999999999999E-4</v>
      </c>
      <c r="J778" s="126">
        <f>SUMIFS('Support - Unit Adjustments'!E:E,'Support - Unit Adjustments'!F:F,'Step 2'!D778)</f>
        <v>0</v>
      </c>
      <c r="K778" s="126">
        <f t="shared" si="232"/>
        <v>2.8299999999999999E-4</v>
      </c>
      <c r="L778" s="174">
        <f>VLOOKUP(A778,'Step 1'!$A:$E,4,FALSE)</f>
        <v>251555</v>
      </c>
      <c r="M778" s="47">
        <f t="shared" si="233"/>
        <v>71</v>
      </c>
      <c r="N778" s="177">
        <f>SUMIFS('Support - Transition'!G:G,'Support - Transition'!J:J,'Step 2'!D778,'Support - Transition'!E:E,"2009 WELFARE ALLOCATION FACTOR")</f>
        <v>0</v>
      </c>
      <c r="O778" s="152">
        <f t="shared" si="238"/>
        <v>0</v>
      </c>
      <c r="P778" s="126">
        <f>IF(E778="Y",0,SUMIFS('Support - Transition'!G:G,'Support - Transition'!J:J,'Step 2'!D778,'Support - Transition'!E:E,"2009 SCHOOL ALLOCATION FACTOR"))</f>
        <v>0</v>
      </c>
      <c r="Q778" s="126">
        <f>IF(E778="Y",VLOOKUP(D778,'Support - Unit Adjustments'!F:G,2,FALSE),0)</f>
        <v>0</v>
      </c>
      <c r="R778" s="155">
        <f t="shared" si="250"/>
        <v>0</v>
      </c>
      <c r="S778" s="47">
        <f t="shared" si="249"/>
        <v>0</v>
      </c>
      <c r="T778" s="151">
        <f t="shared" si="234"/>
        <v>71</v>
      </c>
      <c r="U778" s="151">
        <f t="shared" si="235"/>
        <v>0</v>
      </c>
      <c r="V778" s="139">
        <f t="shared" si="236"/>
        <v>0</v>
      </c>
      <c r="W778" s="152">
        <f t="shared" si="239"/>
        <v>71</v>
      </c>
      <c r="X778" s="127" t="str">
        <f t="shared" si="237"/>
        <v/>
      </c>
      <c r="Y778" s="207">
        <f t="shared" si="240"/>
        <v>71</v>
      </c>
      <c r="Z778" s="139">
        <f t="shared" si="241"/>
        <v>49</v>
      </c>
      <c r="AA778" s="139">
        <f t="shared" si="242"/>
        <v>22</v>
      </c>
      <c r="AC778" s="47">
        <f t="shared" si="243"/>
        <v>36</v>
      </c>
      <c r="AD778" s="47">
        <f t="shared" si="244"/>
        <v>25</v>
      </c>
      <c r="AE778" s="47">
        <f t="shared" si="245"/>
        <v>11</v>
      </c>
      <c r="AG778" s="47">
        <f t="shared" si="246"/>
        <v>35</v>
      </c>
      <c r="AH778" s="47">
        <f t="shared" si="247"/>
        <v>24</v>
      </c>
      <c r="AI778" s="208">
        <f t="shared" si="248"/>
        <v>11</v>
      </c>
    </row>
    <row r="779" spans="1:35">
      <c r="A779" t="s">
        <v>2114</v>
      </c>
      <c r="B779" t="s">
        <v>3142</v>
      </c>
      <c r="C779" t="s">
        <v>2195</v>
      </c>
      <c r="D779" t="s">
        <v>4063</v>
      </c>
      <c r="F779" t="s">
        <v>14</v>
      </c>
      <c r="G779" s="126">
        <f>SUMIFS('Support - Transition'!F:F,'Support - Transition'!B:B,'Step 2'!A779,'Support - Transition'!C:C,'Step 2'!B779,'Support - Transition'!D:D,'Step 2'!C779,'Support - Transition'!E:E,"CIVIL")</f>
        <v>4.9600000000000002E-4</v>
      </c>
      <c r="H779" s="126">
        <f>SUMIFS('Support - Transition'!F:F,'Support - Transition'!B:B,'Step 2'!A779,'Support - Transition'!C:C,'Step 2'!B779,'Support - Transition'!D:D,'Step 2'!C779,'Support - Transition'!E:E,"FIRE")</f>
        <v>1.45E-4</v>
      </c>
      <c r="I779" s="126">
        <f>IF(B779="0",SUMIFS('Support - Transition'!F:F,'Support - Transition'!J:J,'Step 2'!D779,'Support - Transition'!E:E,"STATE UNIT"),SUMIFS('Support - Transition'!F:F,'Support - Transition'!J:J,'Step 2'!D779))</f>
        <v>6.4100000000000008E-4</v>
      </c>
      <c r="J779" s="126">
        <f>SUMIFS('Support - Unit Adjustments'!E:E,'Support - Unit Adjustments'!F:F,'Step 2'!D779)</f>
        <v>0</v>
      </c>
      <c r="K779" s="126">
        <f t="shared" si="232"/>
        <v>6.4100000000000008E-4</v>
      </c>
      <c r="L779" s="174">
        <f>VLOOKUP(A779,'Step 1'!$A:$E,4,FALSE)</f>
        <v>251555</v>
      </c>
      <c r="M779" s="47">
        <f t="shared" si="233"/>
        <v>161</v>
      </c>
      <c r="N779" s="177">
        <f>SUMIFS('Support - Transition'!G:G,'Support - Transition'!J:J,'Step 2'!D779,'Support - Transition'!E:E,"2009 WELFARE ALLOCATION FACTOR")</f>
        <v>0</v>
      </c>
      <c r="O779" s="152">
        <f t="shared" si="238"/>
        <v>0</v>
      </c>
      <c r="P779" s="126">
        <f>IF(E779="Y",0,SUMIFS('Support - Transition'!G:G,'Support - Transition'!J:J,'Step 2'!D779,'Support - Transition'!E:E,"2009 SCHOOL ALLOCATION FACTOR"))</f>
        <v>0</v>
      </c>
      <c r="Q779" s="126">
        <f>IF(E779="Y",VLOOKUP(D779,'Support - Unit Adjustments'!F:G,2,FALSE),0)</f>
        <v>0</v>
      </c>
      <c r="R779" s="155">
        <f t="shared" si="250"/>
        <v>0</v>
      </c>
      <c r="S779" s="47">
        <f t="shared" si="249"/>
        <v>0</v>
      </c>
      <c r="T779" s="151">
        <f t="shared" si="234"/>
        <v>161</v>
      </c>
      <c r="U779" s="151">
        <f t="shared" si="235"/>
        <v>0</v>
      </c>
      <c r="V779" s="139">
        <f t="shared" si="236"/>
        <v>0</v>
      </c>
      <c r="W779" s="152">
        <f t="shared" si="239"/>
        <v>161</v>
      </c>
      <c r="X779" s="127" t="str">
        <f t="shared" si="237"/>
        <v/>
      </c>
      <c r="Y779" s="207">
        <f t="shared" si="240"/>
        <v>161</v>
      </c>
      <c r="Z779" s="139">
        <f t="shared" si="241"/>
        <v>125</v>
      </c>
      <c r="AA779" s="139">
        <f t="shared" si="242"/>
        <v>36</v>
      </c>
      <c r="AC779" s="47">
        <f t="shared" si="243"/>
        <v>81</v>
      </c>
      <c r="AD779" s="47">
        <f t="shared" si="244"/>
        <v>63</v>
      </c>
      <c r="AE779" s="47">
        <f t="shared" si="245"/>
        <v>18</v>
      </c>
      <c r="AG779" s="47">
        <f t="shared" si="246"/>
        <v>80</v>
      </c>
      <c r="AH779" s="47">
        <f t="shared" si="247"/>
        <v>62</v>
      </c>
      <c r="AI779" s="208">
        <f t="shared" si="248"/>
        <v>18</v>
      </c>
    </row>
    <row r="780" spans="1:35">
      <c r="A780" t="s">
        <v>2114</v>
      </c>
      <c r="B780" t="s">
        <v>3142</v>
      </c>
      <c r="C780" t="s">
        <v>2196</v>
      </c>
      <c r="D780" t="s">
        <v>4064</v>
      </c>
      <c r="F780" t="s">
        <v>114</v>
      </c>
      <c r="G780" s="126">
        <f>SUMIFS('Support - Transition'!F:F,'Support - Transition'!B:B,'Step 2'!A780,'Support - Transition'!C:C,'Step 2'!B780,'Support - Transition'!D:D,'Step 2'!C780,'Support - Transition'!E:E,"CIVIL")</f>
        <v>2.5509999999999999E-3</v>
      </c>
      <c r="H780" s="126">
        <f>SUMIFS('Support - Transition'!F:F,'Support - Transition'!B:B,'Step 2'!A780,'Support - Transition'!C:C,'Step 2'!B780,'Support - Transition'!D:D,'Step 2'!C780,'Support - Transition'!E:E,"FIRE")</f>
        <v>1.261E-3</v>
      </c>
      <c r="I780" s="126">
        <f>IF(B780="0",SUMIFS('Support - Transition'!F:F,'Support - Transition'!J:J,'Step 2'!D780,'Support - Transition'!E:E,"STATE UNIT"),SUMIFS('Support - Transition'!F:F,'Support - Transition'!J:J,'Step 2'!D780))</f>
        <v>3.8119999999999999E-3</v>
      </c>
      <c r="J780" s="126">
        <f>SUMIFS('Support - Unit Adjustments'!E:E,'Support - Unit Adjustments'!F:F,'Step 2'!D780)</f>
        <v>0</v>
      </c>
      <c r="K780" s="126">
        <f t="shared" si="232"/>
        <v>3.8119999999999999E-3</v>
      </c>
      <c r="L780" s="174">
        <f>VLOOKUP(A780,'Step 1'!$A:$E,4,FALSE)</f>
        <v>251555</v>
      </c>
      <c r="M780" s="47">
        <f t="shared" si="233"/>
        <v>959</v>
      </c>
      <c r="N780" s="177">
        <f>SUMIFS('Support - Transition'!G:G,'Support - Transition'!J:J,'Step 2'!D780,'Support - Transition'!E:E,"2009 WELFARE ALLOCATION FACTOR")</f>
        <v>0</v>
      </c>
      <c r="O780" s="152">
        <f t="shared" si="238"/>
        <v>0</v>
      </c>
      <c r="P780" s="126">
        <f>IF(E780="Y",0,SUMIFS('Support - Transition'!G:G,'Support - Transition'!J:J,'Step 2'!D780,'Support - Transition'!E:E,"2009 SCHOOL ALLOCATION FACTOR"))</f>
        <v>0</v>
      </c>
      <c r="Q780" s="126">
        <f>IF(E780="Y",VLOOKUP(D780,'Support - Unit Adjustments'!F:G,2,FALSE),0)</f>
        <v>0</v>
      </c>
      <c r="R780" s="155">
        <f t="shared" si="250"/>
        <v>0</v>
      </c>
      <c r="S780" s="47">
        <f t="shared" si="249"/>
        <v>0</v>
      </c>
      <c r="T780" s="151">
        <f t="shared" si="234"/>
        <v>959</v>
      </c>
      <c r="U780" s="151">
        <f t="shared" si="235"/>
        <v>0</v>
      </c>
      <c r="V780" s="139">
        <f t="shared" si="236"/>
        <v>0</v>
      </c>
      <c r="W780" s="152">
        <f t="shared" si="239"/>
        <v>959</v>
      </c>
      <c r="X780" s="127" t="str">
        <f t="shared" si="237"/>
        <v/>
      </c>
      <c r="Y780" s="207">
        <f t="shared" si="240"/>
        <v>959</v>
      </c>
      <c r="Z780" s="139">
        <f t="shared" si="241"/>
        <v>642</v>
      </c>
      <c r="AA780" s="139">
        <f t="shared" si="242"/>
        <v>317</v>
      </c>
      <c r="AC780" s="47">
        <f t="shared" si="243"/>
        <v>480</v>
      </c>
      <c r="AD780" s="47">
        <f t="shared" si="244"/>
        <v>321</v>
      </c>
      <c r="AE780" s="47">
        <f t="shared" si="245"/>
        <v>159</v>
      </c>
      <c r="AG780" s="47">
        <f t="shared" si="246"/>
        <v>479</v>
      </c>
      <c r="AH780" s="47">
        <f t="shared" si="247"/>
        <v>321</v>
      </c>
      <c r="AI780" s="208">
        <f t="shared" si="248"/>
        <v>158</v>
      </c>
    </row>
    <row r="781" spans="1:35">
      <c r="A781" t="s">
        <v>2114</v>
      </c>
      <c r="B781" t="s">
        <v>3142</v>
      </c>
      <c r="C781" t="s">
        <v>2197</v>
      </c>
      <c r="D781" t="s">
        <v>4065</v>
      </c>
      <c r="F781" t="s">
        <v>625</v>
      </c>
      <c r="G781" s="126">
        <f>SUMIFS('Support - Transition'!F:F,'Support - Transition'!B:B,'Step 2'!A781,'Support - Transition'!C:C,'Step 2'!B781,'Support - Transition'!D:D,'Step 2'!C781,'Support - Transition'!E:E,"CIVIL")</f>
        <v>7.7200000000000001E-4</v>
      </c>
      <c r="H781" s="126">
        <f>SUMIFS('Support - Transition'!F:F,'Support - Transition'!B:B,'Step 2'!A781,'Support - Transition'!C:C,'Step 2'!B781,'Support - Transition'!D:D,'Step 2'!C781,'Support - Transition'!E:E,"FIRE")</f>
        <v>4.0900000000000002E-4</v>
      </c>
      <c r="I781" s="126">
        <f>IF(B781="0",SUMIFS('Support - Transition'!F:F,'Support - Transition'!J:J,'Step 2'!D781,'Support - Transition'!E:E,"STATE UNIT"),SUMIFS('Support - Transition'!F:F,'Support - Transition'!J:J,'Step 2'!D781))</f>
        <v>1.181E-3</v>
      </c>
      <c r="J781" s="126">
        <f>SUMIFS('Support - Unit Adjustments'!E:E,'Support - Unit Adjustments'!F:F,'Step 2'!D781)</f>
        <v>0</v>
      </c>
      <c r="K781" s="126">
        <f t="shared" si="232"/>
        <v>1.181E-3</v>
      </c>
      <c r="L781" s="174">
        <f>VLOOKUP(A781,'Step 1'!$A:$E,4,FALSE)</f>
        <v>251555</v>
      </c>
      <c r="M781" s="47">
        <f t="shared" si="233"/>
        <v>297</v>
      </c>
      <c r="N781" s="177">
        <f>SUMIFS('Support - Transition'!G:G,'Support - Transition'!J:J,'Step 2'!D781,'Support - Transition'!E:E,"2009 WELFARE ALLOCATION FACTOR")</f>
        <v>0</v>
      </c>
      <c r="O781" s="152">
        <f t="shared" si="238"/>
        <v>0</v>
      </c>
      <c r="P781" s="126">
        <f>IF(E781="Y",0,SUMIFS('Support - Transition'!G:G,'Support - Transition'!J:J,'Step 2'!D781,'Support - Transition'!E:E,"2009 SCHOOL ALLOCATION FACTOR"))</f>
        <v>0</v>
      </c>
      <c r="Q781" s="126">
        <f>IF(E781="Y",VLOOKUP(D781,'Support - Unit Adjustments'!F:G,2,FALSE),0)</f>
        <v>0</v>
      </c>
      <c r="R781" s="155">
        <f t="shared" si="250"/>
        <v>0</v>
      </c>
      <c r="S781" s="47">
        <f t="shared" si="249"/>
        <v>0</v>
      </c>
      <c r="T781" s="151">
        <f t="shared" si="234"/>
        <v>297</v>
      </c>
      <c r="U781" s="151">
        <f t="shared" si="235"/>
        <v>0</v>
      </c>
      <c r="V781" s="139">
        <f t="shared" si="236"/>
        <v>0</v>
      </c>
      <c r="W781" s="152">
        <f t="shared" si="239"/>
        <v>297</v>
      </c>
      <c r="X781" s="127" t="str">
        <f t="shared" si="237"/>
        <v/>
      </c>
      <c r="Y781" s="207">
        <f t="shared" si="240"/>
        <v>297</v>
      </c>
      <c r="Z781" s="139">
        <f t="shared" si="241"/>
        <v>194</v>
      </c>
      <c r="AA781" s="139">
        <f t="shared" si="242"/>
        <v>103</v>
      </c>
      <c r="AC781" s="47">
        <f t="shared" si="243"/>
        <v>149</v>
      </c>
      <c r="AD781" s="47">
        <f t="shared" si="244"/>
        <v>97</v>
      </c>
      <c r="AE781" s="47">
        <f t="shared" si="245"/>
        <v>52</v>
      </c>
      <c r="AG781" s="47">
        <f t="shared" si="246"/>
        <v>148</v>
      </c>
      <c r="AH781" s="47">
        <f t="shared" si="247"/>
        <v>97</v>
      </c>
      <c r="AI781" s="208">
        <f t="shared" si="248"/>
        <v>51</v>
      </c>
    </row>
    <row r="782" spans="1:35">
      <c r="A782" t="s">
        <v>2114</v>
      </c>
      <c r="B782" t="s">
        <v>3142</v>
      </c>
      <c r="C782" t="s">
        <v>2198</v>
      </c>
      <c r="D782" t="s">
        <v>4066</v>
      </c>
      <c r="F782" t="s">
        <v>377</v>
      </c>
      <c r="G782" s="126">
        <f>SUMIFS('Support - Transition'!F:F,'Support - Transition'!B:B,'Step 2'!A782,'Support - Transition'!C:C,'Step 2'!B782,'Support - Transition'!D:D,'Step 2'!C782,'Support - Transition'!E:E,"CIVIL")</f>
        <v>3.3300000000000002E-4</v>
      </c>
      <c r="H782" s="126">
        <f>SUMIFS('Support - Transition'!F:F,'Support - Transition'!B:B,'Step 2'!A782,'Support - Transition'!C:C,'Step 2'!B782,'Support - Transition'!D:D,'Step 2'!C782,'Support - Transition'!E:E,"FIRE")</f>
        <v>1.6699999999999999E-4</v>
      </c>
      <c r="I782" s="126">
        <f>IF(B782="0",SUMIFS('Support - Transition'!F:F,'Support - Transition'!J:J,'Step 2'!D782,'Support - Transition'!E:E,"STATE UNIT"),SUMIFS('Support - Transition'!F:F,'Support - Transition'!J:J,'Step 2'!D782))</f>
        <v>5.0000000000000001E-4</v>
      </c>
      <c r="J782" s="126">
        <f>SUMIFS('Support - Unit Adjustments'!E:E,'Support - Unit Adjustments'!F:F,'Step 2'!D782)</f>
        <v>0</v>
      </c>
      <c r="K782" s="126">
        <f t="shared" si="232"/>
        <v>5.0000000000000001E-4</v>
      </c>
      <c r="L782" s="174">
        <f>VLOOKUP(A782,'Step 1'!$A:$E,4,FALSE)</f>
        <v>251555</v>
      </c>
      <c r="M782" s="47">
        <f t="shared" si="233"/>
        <v>126</v>
      </c>
      <c r="N782" s="177">
        <f>SUMIFS('Support - Transition'!G:G,'Support - Transition'!J:J,'Step 2'!D782,'Support - Transition'!E:E,"2009 WELFARE ALLOCATION FACTOR")</f>
        <v>0</v>
      </c>
      <c r="O782" s="152">
        <f t="shared" si="238"/>
        <v>0</v>
      </c>
      <c r="P782" s="126">
        <f>IF(E782="Y",0,SUMIFS('Support - Transition'!G:G,'Support - Transition'!J:J,'Step 2'!D782,'Support - Transition'!E:E,"2009 SCHOOL ALLOCATION FACTOR"))</f>
        <v>0</v>
      </c>
      <c r="Q782" s="126">
        <f>IF(E782="Y",VLOOKUP(D782,'Support - Unit Adjustments'!F:G,2,FALSE),0)</f>
        <v>0</v>
      </c>
      <c r="R782" s="155">
        <f t="shared" si="250"/>
        <v>0</v>
      </c>
      <c r="S782" s="47">
        <f t="shared" si="249"/>
        <v>0</v>
      </c>
      <c r="T782" s="151">
        <f t="shared" si="234"/>
        <v>126</v>
      </c>
      <c r="U782" s="151">
        <f t="shared" si="235"/>
        <v>0</v>
      </c>
      <c r="V782" s="139">
        <f t="shared" si="236"/>
        <v>0</v>
      </c>
      <c r="W782" s="152">
        <f t="shared" si="239"/>
        <v>126</v>
      </c>
      <c r="X782" s="127" t="str">
        <f t="shared" si="237"/>
        <v/>
      </c>
      <c r="Y782" s="207">
        <f t="shared" si="240"/>
        <v>126</v>
      </c>
      <c r="Z782" s="139">
        <f t="shared" si="241"/>
        <v>84</v>
      </c>
      <c r="AA782" s="139">
        <f t="shared" si="242"/>
        <v>42</v>
      </c>
      <c r="AC782" s="47">
        <f t="shared" si="243"/>
        <v>63</v>
      </c>
      <c r="AD782" s="47">
        <f t="shared" si="244"/>
        <v>42</v>
      </c>
      <c r="AE782" s="47">
        <f t="shared" si="245"/>
        <v>21</v>
      </c>
      <c r="AG782" s="47">
        <f t="shared" si="246"/>
        <v>63</v>
      </c>
      <c r="AH782" s="47">
        <f t="shared" si="247"/>
        <v>42</v>
      </c>
      <c r="AI782" s="208">
        <f t="shared" si="248"/>
        <v>21</v>
      </c>
    </row>
    <row r="783" spans="1:35">
      <c r="A783" t="s">
        <v>2114</v>
      </c>
      <c r="B783" t="s">
        <v>3142</v>
      </c>
      <c r="C783" t="s">
        <v>2199</v>
      </c>
      <c r="D783" t="s">
        <v>4067</v>
      </c>
      <c r="F783" t="s">
        <v>626</v>
      </c>
      <c r="G783" s="126">
        <f>SUMIFS('Support - Transition'!F:F,'Support - Transition'!B:B,'Step 2'!A783,'Support - Transition'!C:C,'Step 2'!B783,'Support - Transition'!D:D,'Step 2'!C783,'Support - Transition'!E:E,"CIVIL")</f>
        <v>7.025E-3</v>
      </c>
      <c r="H783" s="126">
        <f>SUMIFS('Support - Transition'!F:F,'Support - Transition'!B:B,'Step 2'!A783,'Support - Transition'!C:C,'Step 2'!B783,'Support - Transition'!D:D,'Step 2'!C783,'Support - Transition'!E:E,"FIRE")</f>
        <v>2.163E-3</v>
      </c>
      <c r="I783" s="126">
        <f>IF(B783="0",SUMIFS('Support - Transition'!F:F,'Support - Transition'!J:J,'Step 2'!D783,'Support - Transition'!E:E,"STATE UNIT"),SUMIFS('Support - Transition'!F:F,'Support - Transition'!J:J,'Step 2'!D783))</f>
        <v>9.188E-3</v>
      </c>
      <c r="J783" s="126">
        <f>SUMIFS('Support - Unit Adjustments'!E:E,'Support - Unit Adjustments'!F:F,'Step 2'!D783)</f>
        <v>0</v>
      </c>
      <c r="K783" s="126">
        <f t="shared" si="232"/>
        <v>9.188E-3</v>
      </c>
      <c r="L783" s="174">
        <f>VLOOKUP(A783,'Step 1'!$A:$E,4,FALSE)</f>
        <v>251555</v>
      </c>
      <c r="M783" s="47">
        <f t="shared" si="233"/>
        <v>2311</v>
      </c>
      <c r="N783" s="177">
        <f>SUMIFS('Support - Transition'!G:G,'Support - Transition'!J:J,'Step 2'!D783,'Support - Transition'!E:E,"2009 WELFARE ALLOCATION FACTOR")</f>
        <v>0</v>
      </c>
      <c r="O783" s="152">
        <f t="shared" si="238"/>
        <v>0</v>
      </c>
      <c r="P783" s="126">
        <f>IF(E783="Y",0,SUMIFS('Support - Transition'!G:G,'Support - Transition'!J:J,'Step 2'!D783,'Support - Transition'!E:E,"2009 SCHOOL ALLOCATION FACTOR"))</f>
        <v>0</v>
      </c>
      <c r="Q783" s="126">
        <f>IF(E783="Y",VLOOKUP(D783,'Support - Unit Adjustments'!F:G,2,FALSE),0)</f>
        <v>0</v>
      </c>
      <c r="R783" s="155">
        <f t="shared" si="250"/>
        <v>0</v>
      </c>
      <c r="S783" s="47">
        <f t="shared" si="249"/>
        <v>0</v>
      </c>
      <c r="T783" s="151">
        <f t="shared" si="234"/>
        <v>2311</v>
      </c>
      <c r="U783" s="151">
        <f t="shared" si="235"/>
        <v>0</v>
      </c>
      <c r="V783" s="139">
        <f t="shared" si="236"/>
        <v>0</v>
      </c>
      <c r="W783" s="152">
        <f t="shared" si="239"/>
        <v>2311</v>
      </c>
      <c r="X783" s="127" t="str">
        <f t="shared" si="237"/>
        <v/>
      </c>
      <c r="Y783" s="207">
        <f t="shared" si="240"/>
        <v>2311</v>
      </c>
      <c r="Z783" s="139">
        <f t="shared" si="241"/>
        <v>1767</v>
      </c>
      <c r="AA783" s="139">
        <f t="shared" si="242"/>
        <v>544</v>
      </c>
      <c r="AC783" s="47">
        <f t="shared" si="243"/>
        <v>1156</v>
      </c>
      <c r="AD783" s="47">
        <f t="shared" si="244"/>
        <v>884</v>
      </c>
      <c r="AE783" s="47">
        <f t="shared" si="245"/>
        <v>272</v>
      </c>
      <c r="AG783" s="47">
        <f t="shared" si="246"/>
        <v>1155</v>
      </c>
      <c r="AH783" s="47">
        <f t="shared" si="247"/>
        <v>883</v>
      </c>
      <c r="AI783" s="208">
        <f t="shared" si="248"/>
        <v>272</v>
      </c>
    </row>
    <row r="784" spans="1:35">
      <c r="A784" t="s">
        <v>2114</v>
      </c>
      <c r="B784" t="s">
        <v>3142</v>
      </c>
      <c r="C784" t="s">
        <v>2208</v>
      </c>
      <c r="D784" t="s">
        <v>4068</v>
      </c>
      <c r="F784" t="s">
        <v>627</v>
      </c>
      <c r="G784" s="126">
        <f>SUMIFS('Support - Transition'!F:F,'Support - Transition'!B:B,'Step 2'!A784,'Support - Transition'!C:C,'Step 2'!B784,'Support - Transition'!D:D,'Step 2'!C784,'Support - Transition'!E:E,"CIVIL")</f>
        <v>5.1099999999999995E-4</v>
      </c>
      <c r="H784" s="126">
        <f>SUMIFS('Support - Transition'!F:F,'Support - Transition'!B:B,'Step 2'!A784,'Support - Transition'!C:C,'Step 2'!B784,'Support - Transition'!D:D,'Step 2'!C784,'Support - Transition'!E:E,"FIRE")</f>
        <v>3.19E-4</v>
      </c>
      <c r="I784" s="126">
        <f>IF(B784="0",SUMIFS('Support - Transition'!F:F,'Support - Transition'!J:J,'Step 2'!D784,'Support - Transition'!E:E,"STATE UNIT"),SUMIFS('Support - Transition'!F:F,'Support - Transition'!J:J,'Step 2'!D784))</f>
        <v>8.3000000000000001E-4</v>
      </c>
      <c r="J784" s="126">
        <f>SUMIFS('Support - Unit Adjustments'!E:E,'Support - Unit Adjustments'!F:F,'Step 2'!D784)</f>
        <v>0</v>
      </c>
      <c r="K784" s="126">
        <f t="shared" si="232"/>
        <v>8.3000000000000001E-4</v>
      </c>
      <c r="L784" s="174">
        <f>VLOOKUP(A784,'Step 1'!$A:$E,4,FALSE)</f>
        <v>251555</v>
      </c>
      <c r="M784" s="47">
        <f t="shared" si="233"/>
        <v>209</v>
      </c>
      <c r="N784" s="177">
        <f>SUMIFS('Support - Transition'!G:G,'Support - Transition'!J:J,'Step 2'!D784,'Support - Transition'!E:E,"2009 WELFARE ALLOCATION FACTOR")</f>
        <v>0</v>
      </c>
      <c r="O784" s="152">
        <f t="shared" si="238"/>
        <v>0</v>
      </c>
      <c r="P784" s="126">
        <f>IF(E784="Y",0,SUMIFS('Support - Transition'!G:G,'Support - Transition'!J:J,'Step 2'!D784,'Support - Transition'!E:E,"2009 SCHOOL ALLOCATION FACTOR"))</f>
        <v>0</v>
      </c>
      <c r="Q784" s="126">
        <f>IF(E784="Y",VLOOKUP(D784,'Support - Unit Adjustments'!F:G,2,FALSE),0)</f>
        <v>0</v>
      </c>
      <c r="R784" s="155">
        <f t="shared" si="250"/>
        <v>0</v>
      </c>
      <c r="S784" s="47">
        <f t="shared" si="249"/>
        <v>0</v>
      </c>
      <c r="T784" s="151">
        <f t="shared" si="234"/>
        <v>209</v>
      </c>
      <c r="U784" s="151">
        <f t="shared" si="235"/>
        <v>0</v>
      </c>
      <c r="V784" s="139">
        <f t="shared" si="236"/>
        <v>0</v>
      </c>
      <c r="W784" s="152">
        <f t="shared" si="239"/>
        <v>209</v>
      </c>
      <c r="X784" s="127" t="str">
        <f t="shared" si="237"/>
        <v/>
      </c>
      <c r="Y784" s="207">
        <f t="shared" si="240"/>
        <v>209</v>
      </c>
      <c r="Z784" s="139">
        <f t="shared" si="241"/>
        <v>129</v>
      </c>
      <c r="AA784" s="139">
        <f t="shared" si="242"/>
        <v>80</v>
      </c>
      <c r="AC784" s="47">
        <f t="shared" si="243"/>
        <v>105</v>
      </c>
      <c r="AD784" s="47">
        <f t="shared" si="244"/>
        <v>65</v>
      </c>
      <c r="AE784" s="47">
        <f t="shared" si="245"/>
        <v>40</v>
      </c>
      <c r="AG784" s="47">
        <f t="shared" si="246"/>
        <v>104</v>
      </c>
      <c r="AH784" s="47">
        <f t="shared" si="247"/>
        <v>64</v>
      </c>
      <c r="AI784" s="208">
        <f t="shared" si="248"/>
        <v>40</v>
      </c>
    </row>
    <row r="785" spans="1:35">
      <c r="A785" t="s">
        <v>2114</v>
      </c>
      <c r="B785" t="s">
        <v>3142</v>
      </c>
      <c r="C785" t="s">
        <v>2209</v>
      </c>
      <c r="D785" t="s">
        <v>4069</v>
      </c>
      <c r="F785" t="s">
        <v>22</v>
      </c>
      <c r="G785" s="126">
        <f>SUMIFS('Support - Transition'!F:F,'Support - Transition'!B:B,'Step 2'!A785,'Support - Transition'!C:C,'Step 2'!B785,'Support - Transition'!D:D,'Step 2'!C785,'Support - Transition'!E:E,"CIVIL")</f>
        <v>1.5070000000000001E-3</v>
      </c>
      <c r="H785" s="126">
        <f>SUMIFS('Support - Transition'!F:F,'Support - Transition'!B:B,'Step 2'!A785,'Support - Transition'!C:C,'Step 2'!B785,'Support - Transition'!D:D,'Step 2'!C785,'Support - Transition'!E:E,"FIRE")</f>
        <v>2.6800000000000001E-4</v>
      </c>
      <c r="I785" s="126">
        <f>IF(B785="0",SUMIFS('Support - Transition'!F:F,'Support - Transition'!J:J,'Step 2'!D785,'Support - Transition'!E:E,"STATE UNIT"),SUMIFS('Support - Transition'!F:F,'Support - Transition'!J:J,'Step 2'!D785))</f>
        <v>1.7750000000000001E-3</v>
      </c>
      <c r="J785" s="126">
        <f>SUMIFS('Support - Unit Adjustments'!E:E,'Support - Unit Adjustments'!F:F,'Step 2'!D785)</f>
        <v>0</v>
      </c>
      <c r="K785" s="126">
        <f t="shared" si="232"/>
        <v>1.7750000000000001E-3</v>
      </c>
      <c r="L785" s="174">
        <f>VLOOKUP(A785,'Step 1'!$A:$E,4,FALSE)</f>
        <v>251555</v>
      </c>
      <c r="M785" s="47">
        <f t="shared" si="233"/>
        <v>447</v>
      </c>
      <c r="N785" s="177">
        <f>SUMIFS('Support - Transition'!G:G,'Support - Transition'!J:J,'Step 2'!D785,'Support - Transition'!E:E,"2009 WELFARE ALLOCATION FACTOR")</f>
        <v>0</v>
      </c>
      <c r="O785" s="152">
        <f t="shared" si="238"/>
        <v>0</v>
      </c>
      <c r="P785" s="126">
        <f>IF(E785="Y",0,SUMIFS('Support - Transition'!G:G,'Support - Transition'!J:J,'Step 2'!D785,'Support - Transition'!E:E,"2009 SCHOOL ALLOCATION FACTOR"))</f>
        <v>0</v>
      </c>
      <c r="Q785" s="126">
        <f>IF(E785="Y",VLOOKUP(D785,'Support - Unit Adjustments'!F:G,2,FALSE),0)</f>
        <v>0</v>
      </c>
      <c r="R785" s="155">
        <f t="shared" si="250"/>
        <v>0</v>
      </c>
      <c r="S785" s="47">
        <f t="shared" si="249"/>
        <v>0</v>
      </c>
      <c r="T785" s="151">
        <f t="shared" si="234"/>
        <v>447</v>
      </c>
      <c r="U785" s="151">
        <f t="shared" si="235"/>
        <v>0</v>
      </c>
      <c r="V785" s="139">
        <f t="shared" si="236"/>
        <v>0</v>
      </c>
      <c r="W785" s="152">
        <f t="shared" si="239"/>
        <v>447</v>
      </c>
      <c r="X785" s="127" t="str">
        <f t="shared" si="237"/>
        <v/>
      </c>
      <c r="Y785" s="207">
        <f t="shared" si="240"/>
        <v>447</v>
      </c>
      <c r="Z785" s="139">
        <f t="shared" si="241"/>
        <v>380</v>
      </c>
      <c r="AA785" s="139">
        <f t="shared" si="242"/>
        <v>67</v>
      </c>
      <c r="AC785" s="47">
        <f t="shared" si="243"/>
        <v>224</v>
      </c>
      <c r="AD785" s="47">
        <f t="shared" si="244"/>
        <v>190</v>
      </c>
      <c r="AE785" s="47">
        <f t="shared" si="245"/>
        <v>34</v>
      </c>
      <c r="AG785" s="47">
        <f t="shared" si="246"/>
        <v>223</v>
      </c>
      <c r="AH785" s="47">
        <f t="shared" si="247"/>
        <v>190</v>
      </c>
      <c r="AI785" s="208">
        <f t="shared" si="248"/>
        <v>33</v>
      </c>
    </row>
    <row r="786" spans="1:35">
      <c r="A786" t="s">
        <v>2114</v>
      </c>
      <c r="B786" t="s">
        <v>3142</v>
      </c>
      <c r="C786" t="s">
        <v>2204</v>
      </c>
      <c r="D786" t="s">
        <v>4070</v>
      </c>
      <c r="F786" t="s">
        <v>628</v>
      </c>
      <c r="G786" s="126">
        <f>SUMIFS('Support - Transition'!F:F,'Support - Transition'!B:B,'Step 2'!A786,'Support - Transition'!C:C,'Step 2'!B786,'Support - Transition'!D:D,'Step 2'!C786,'Support - Transition'!E:E,"CIVIL")</f>
        <v>5.4599999999999996E-3</v>
      </c>
      <c r="H786" s="126">
        <f>SUMIFS('Support - Transition'!F:F,'Support - Transition'!B:B,'Step 2'!A786,'Support - Transition'!C:C,'Step 2'!B786,'Support - Transition'!D:D,'Step 2'!C786,'Support - Transition'!E:E,"FIRE")</f>
        <v>2.1879999999999998E-3</v>
      </c>
      <c r="I786" s="126">
        <f>IF(B786="0",SUMIFS('Support - Transition'!F:F,'Support - Transition'!J:J,'Step 2'!D786,'Support - Transition'!E:E,"STATE UNIT"),SUMIFS('Support - Transition'!F:F,'Support - Transition'!J:J,'Step 2'!D786))</f>
        <v>7.6479999999999994E-3</v>
      </c>
      <c r="J786" s="126">
        <f>SUMIFS('Support - Unit Adjustments'!E:E,'Support - Unit Adjustments'!F:F,'Step 2'!D786)</f>
        <v>0</v>
      </c>
      <c r="K786" s="126">
        <f t="shared" si="232"/>
        <v>7.6479999999999994E-3</v>
      </c>
      <c r="L786" s="174">
        <f>VLOOKUP(A786,'Step 1'!$A:$E,4,FALSE)</f>
        <v>251555</v>
      </c>
      <c r="M786" s="47">
        <f t="shared" si="233"/>
        <v>1924</v>
      </c>
      <c r="N786" s="177">
        <f>SUMIFS('Support - Transition'!G:G,'Support - Transition'!J:J,'Step 2'!D786,'Support - Transition'!E:E,"2009 WELFARE ALLOCATION FACTOR")</f>
        <v>0</v>
      </c>
      <c r="O786" s="152">
        <f t="shared" si="238"/>
        <v>0</v>
      </c>
      <c r="P786" s="126">
        <f>IF(E786="Y",0,SUMIFS('Support - Transition'!G:G,'Support - Transition'!J:J,'Step 2'!D786,'Support - Transition'!E:E,"2009 SCHOOL ALLOCATION FACTOR"))</f>
        <v>0</v>
      </c>
      <c r="Q786" s="126">
        <f>IF(E786="Y",VLOOKUP(D786,'Support - Unit Adjustments'!F:G,2,FALSE),0)</f>
        <v>0</v>
      </c>
      <c r="R786" s="155">
        <f t="shared" si="250"/>
        <v>0</v>
      </c>
      <c r="S786" s="47">
        <f t="shared" si="249"/>
        <v>0</v>
      </c>
      <c r="T786" s="151">
        <f t="shared" si="234"/>
        <v>1924</v>
      </c>
      <c r="U786" s="151">
        <f t="shared" si="235"/>
        <v>0</v>
      </c>
      <c r="V786" s="139">
        <f t="shared" si="236"/>
        <v>0</v>
      </c>
      <c r="W786" s="152">
        <f t="shared" si="239"/>
        <v>1924</v>
      </c>
      <c r="X786" s="127" t="str">
        <f t="shared" si="237"/>
        <v/>
      </c>
      <c r="Y786" s="207">
        <f t="shared" si="240"/>
        <v>1924</v>
      </c>
      <c r="Z786" s="139">
        <f t="shared" si="241"/>
        <v>1374</v>
      </c>
      <c r="AA786" s="139">
        <f t="shared" si="242"/>
        <v>550</v>
      </c>
      <c r="AC786" s="47">
        <f t="shared" si="243"/>
        <v>962</v>
      </c>
      <c r="AD786" s="47">
        <f t="shared" si="244"/>
        <v>687</v>
      </c>
      <c r="AE786" s="47">
        <f t="shared" si="245"/>
        <v>275</v>
      </c>
      <c r="AG786" s="47">
        <f t="shared" si="246"/>
        <v>962</v>
      </c>
      <c r="AH786" s="47">
        <f t="shared" si="247"/>
        <v>687</v>
      </c>
      <c r="AI786" s="208">
        <f t="shared" si="248"/>
        <v>275</v>
      </c>
    </row>
    <row r="787" spans="1:35">
      <c r="A787" t="s">
        <v>2114</v>
      </c>
      <c r="B787" t="s">
        <v>3155</v>
      </c>
      <c r="C787" t="s">
        <v>2496</v>
      </c>
      <c r="D787" t="s">
        <v>4071</v>
      </c>
      <c r="F787" t="s">
        <v>631</v>
      </c>
      <c r="G787" s="126">
        <f>SUMIFS('Support - Transition'!F:F,'Support - Transition'!B:B,'Step 2'!A787,'Support - Transition'!C:C,'Step 2'!B787,'Support - Transition'!D:D,'Step 2'!C787,'Support - Transition'!E:E,"CIVIL")</f>
        <v>0</v>
      </c>
      <c r="H787" s="126">
        <f>SUMIFS('Support - Transition'!F:F,'Support - Transition'!B:B,'Step 2'!A787,'Support - Transition'!C:C,'Step 2'!B787,'Support - Transition'!D:D,'Step 2'!C787,'Support - Transition'!E:E,"FIRE")</f>
        <v>0</v>
      </c>
      <c r="I787" s="126">
        <f>IF(B787="0",SUMIFS('Support - Transition'!F:F,'Support - Transition'!J:J,'Step 2'!D787,'Support - Transition'!E:E,"STATE UNIT"),SUMIFS('Support - Transition'!F:F,'Support - Transition'!J:J,'Step 2'!D787))</f>
        <v>2.8975999999999998E-2</v>
      </c>
      <c r="J787" s="126">
        <f>SUMIFS('Support - Unit Adjustments'!E:E,'Support - Unit Adjustments'!F:F,'Step 2'!D787)</f>
        <v>0</v>
      </c>
      <c r="K787" s="126">
        <f t="shared" si="232"/>
        <v>2.8975999999999998E-2</v>
      </c>
      <c r="L787" s="174">
        <f>VLOOKUP(A787,'Step 1'!$A:$E,4,FALSE)</f>
        <v>251555</v>
      </c>
      <c r="M787" s="47">
        <f t="shared" si="233"/>
        <v>7289</v>
      </c>
      <c r="N787" s="177">
        <f>SUMIFS('Support - Transition'!G:G,'Support - Transition'!J:J,'Step 2'!D787,'Support - Transition'!E:E,"2009 WELFARE ALLOCATION FACTOR")</f>
        <v>0</v>
      </c>
      <c r="O787" s="152">
        <f t="shared" si="238"/>
        <v>0</v>
      </c>
      <c r="P787" s="126">
        <f>IF(E787="Y",0,SUMIFS('Support - Transition'!G:G,'Support - Transition'!J:J,'Step 2'!D787,'Support - Transition'!E:E,"2009 SCHOOL ALLOCATION FACTOR"))</f>
        <v>0</v>
      </c>
      <c r="Q787" s="126">
        <f>IF(E787="Y",VLOOKUP(D787,'Support - Unit Adjustments'!F:G,2,FALSE),0)</f>
        <v>0</v>
      </c>
      <c r="R787" s="155">
        <f t="shared" si="250"/>
        <v>0</v>
      </c>
      <c r="S787" s="47">
        <f t="shared" si="249"/>
        <v>0</v>
      </c>
      <c r="T787" s="151">
        <f t="shared" si="234"/>
        <v>7289</v>
      </c>
      <c r="U787" s="151">
        <f t="shared" si="235"/>
        <v>0</v>
      </c>
      <c r="V787" s="139">
        <f t="shared" si="236"/>
        <v>0</v>
      </c>
      <c r="W787" s="152">
        <f t="shared" si="239"/>
        <v>7289</v>
      </c>
      <c r="X787" s="127" t="str">
        <f t="shared" si="237"/>
        <v/>
      </c>
      <c r="Y787" s="207">
        <f t="shared" si="240"/>
        <v>7289</v>
      </c>
      <c r="Z787" s="139">
        <f t="shared" si="241"/>
        <v>7289</v>
      </c>
      <c r="AA787" s="139">
        <f t="shared" si="242"/>
        <v>0</v>
      </c>
      <c r="AC787" s="47">
        <f t="shared" si="243"/>
        <v>3645</v>
      </c>
      <c r="AD787" s="47">
        <f t="shared" si="244"/>
        <v>3645</v>
      </c>
      <c r="AE787" s="47">
        <f t="shared" si="245"/>
        <v>0</v>
      </c>
      <c r="AG787" s="47">
        <f t="shared" si="246"/>
        <v>3644</v>
      </c>
      <c r="AH787" s="47">
        <f t="shared" si="247"/>
        <v>3644</v>
      </c>
      <c r="AI787" s="208">
        <f t="shared" si="248"/>
        <v>0</v>
      </c>
    </row>
    <row r="788" spans="1:35">
      <c r="A788" t="s">
        <v>2114</v>
      </c>
      <c r="B788" t="s">
        <v>3155</v>
      </c>
      <c r="C788" t="s">
        <v>2497</v>
      </c>
      <c r="D788" t="s">
        <v>4072</v>
      </c>
      <c r="F788" t="s">
        <v>630</v>
      </c>
      <c r="G788" s="126">
        <f>SUMIFS('Support - Transition'!F:F,'Support - Transition'!B:B,'Step 2'!A788,'Support - Transition'!C:C,'Step 2'!B788,'Support - Transition'!D:D,'Step 2'!C788,'Support - Transition'!E:E,"CIVIL")</f>
        <v>0</v>
      </c>
      <c r="H788" s="126">
        <f>SUMIFS('Support - Transition'!F:F,'Support - Transition'!B:B,'Step 2'!A788,'Support - Transition'!C:C,'Step 2'!B788,'Support - Transition'!D:D,'Step 2'!C788,'Support - Transition'!E:E,"FIRE")</f>
        <v>0</v>
      </c>
      <c r="I788" s="126">
        <f>IF(B788="0",SUMIFS('Support - Transition'!F:F,'Support - Transition'!J:J,'Step 2'!D788,'Support - Transition'!E:E,"STATE UNIT"),SUMIFS('Support - Transition'!F:F,'Support - Transition'!J:J,'Step 2'!D788))</f>
        <v>5.1190000000000003E-3</v>
      </c>
      <c r="J788" s="126">
        <f>SUMIFS('Support - Unit Adjustments'!E:E,'Support - Unit Adjustments'!F:F,'Step 2'!D788)</f>
        <v>0</v>
      </c>
      <c r="K788" s="126">
        <f t="shared" si="232"/>
        <v>5.1190000000000003E-3</v>
      </c>
      <c r="L788" s="174">
        <f>VLOOKUP(A788,'Step 1'!$A:$E,4,FALSE)</f>
        <v>251555</v>
      </c>
      <c r="M788" s="47">
        <f t="shared" si="233"/>
        <v>1288</v>
      </c>
      <c r="N788" s="177">
        <f>SUMIFS('Support - Transition'!G:G,'Support - Transition'!J:J,'Step 2'!D788,'Support - Transition'!E:E,"2009 WELFARE ALLOCATION FACTOR")</f>
        <v>0</v>
      </c>
      <c r="O788" s="152">
        <f t="shared" si="238"/>
        <v>0</v>
      </c>
      <c r="P788" s="126">
        <f>IF(E788="Y",0,SUMIFS('Support - Transition'!G:G,'Support - Transition'!J:J,'Step 2'!D788,'Support - Transition'!E:E,"2009 SCHOOL ALLOCATION FACTOR"))</f>
        <v>0</v>
      </c>
      <c r="Q788" s="126">
        <f>IF(E788="Y",VLOOKUP(D788,'Support - Unit Adjustments'!F:G,2,FALSE),0)</f>
        <v>0</v>
      </c>
      <c r="R788" s="155">
        <f t="shared" si="250"/>
        <v>0</v>
      </c>
      <c r="S788" s="47">
        <f t="shared" si="249"/>
        <v>0</v>
      </c>
      <c r="T788" s="151">
        <f t="shared" si="234"/>
        <v>1288</v>
      </c>
      <c r="U788" s="151">
        <f t="shared" si="235"/>
        <v>0</v>
      </c>
      <c r="V788" s="139">
        <f t="shared" si="236"/>
        <v>0</v>
      </c>
      <c r="W788" s="152">
        <f t="shared" si="239"/>
        <v>1288</v>
      </c>
      <c r="X788" s="127" t="str">
        <f t="shared" si="237"/>
        <v/>
      </c>
      <c r="Y788" s="207">
        <f t="shared" si="240"/>
        <v>1288</v>
      </c>
      <c r="Z788" s="139">
        <f t="shared" si="241"/>
        <v>1288</v>
      </c>
      <c r="AA788" s="139">
        <f t="shared" si="242"/>
        <v>0</v>
      </c>
      <c r="AC788" s="47">
        <f t="shared" si="243"/>
        <v>644</v>
      </c>
      <c r="AD788" s="47">
        <f t="shared" si="244"/>
        <v>644</v>
      </c>
      <c r="AE788" s="47">
        <f t="shared" si="245"/>
        <v>0</v>
      </c>
      <c r="AG788" s="47">
        <f t="shared" si="246"/>
        <v>644</v>
      </c>
      <c r="AH788" s="47">
        <f t="shared" si="247"/>
        <v>644</v>
      </c>
      <c r="AI788" s="208">
        <f t="shared" si="248"/>
        <v>0</v>
      </c>
    </row>
    <row r="789" spans="1:35">
      <c r="A789" t="s">
        <v>2114</v>
      </c>
      <c r="B789" t="s">
        <v>3155</v>
      </c>
      <c r="C789" t="s">
        <v>2498</v>
      </c>
      <c r="D789" t="s">
        <v>4073</v>
      </c>
      <c r="F789" t="s">
        <v>629</v>
      </c>
      <c r="G789" s="126">
        <f>SUMIFS('Support - Transition'!F:F,'Support - Transition'!B:B,'Step 2'!A789,'Support - Transition'!C:C,'Step 2'!B789,'Support - Transition'!D:D,'Step 2'!C789,'Support - Transition'!E:E,"CIVIL")</f>
        <v>0</v>
      </c>
      <c r="H789" s="126">
        <f>SUMIFS('Support - Transition'!F:F,'Support - Transition'!B:B,'Step 2'!A789,'Support - Transition'!C:C,'Step 2'!B789,'Support - Transition'!D:D,'Step 2'!C789,'Support - Transition'!E:E,"FIRE")</f>
        <v>0</v>
      </c>
      <c r="I789" s="126">
        <f>IF(B789="0",SUMIFS('Support - Transition'!F:F,'Support - Transition'!J:J,'Step 2'!D789,'Support - Transition'!E:E,"STATE UNIT"),SUMIFS('Support - Transition'!F:F,'Support - Transition'!J:J,'Step 2'!D789))</f>
        <v>4.5030000000000001E-3</v>
      </c>
      <c r="J789" s="126">
        <f>SUMIFS('Support - Unit Adjustments'!E:E,'Support - Unit Adjustments'!F:F,'Step 2'!D789)</f>
        <v>0</v>
      </c>
      <c r="K789" s="126">
        <f t="shared" si="232"/>
        <v>4.5030000000000001E-3</v>
      </c>
      <c r="L789" s="174">
        <f>VLOOKUP(A789,'Step 1'!$A:$E,4,FALSE)</f>
        <v>251555</v>
      </c>
      <c r="M789" s="47">
        <f t="shared" si="233"/>
        <v>1133</v>
      </c>
      <c r="N789" s="177">
        <f>SUMIFS('Support - Transition'!G:G,'Support - Transition'!J:J,'Step 2'!D789,'Support - Transition'!E:E,"2009 WELFARE ALLOCATION FACTOR")</f>
        <v>0</v>
      </c>
      <c r="O789" s="152">
        <f t="shared" si="238"/>
        <v>0</v>
      </c>
      <c r="P789" s="126">
        <f>IF(E789="Y",0,SUMIFS('Support - Transition'!G:G,'Support - Transition'!J:J,'Step 2'!D789,'Support - Transition'!E:E,"2009 SCHOOL ALLOCATION FACTOR"))</f>
        <v>0</v>
      </c>
      <c r="Q789" s="126">
        <f>IF(E789="Y",VLOOKUP(D789,'Support - Unit Adjustments'!F:G,2,FALSE),0)</f>
        <v>0</v>
      </c>
      <c r="R789" s="155">
        <f t="shared" si="250"/>
        <v>0</v>
      </c>
      <c r="S789" s="47">
        <f t="shared" si="249"/>
        <v>0</v>
      </c>
      <c r="T789" s="151">
        <f t="shared" si="234"/>
        <v>1133</v>
      </c>
      <c r="U789" s="151">
        <f t="shared" si="235"/>
        <v>0</v>
      </c>
      <c r="V789" s="139">
        <f t="shared" si="236"/>
        <v>0</v>
      </c>
      <c r="W789" s="152">
        <f t="shared" si="239"/>
        <v>1133</v>
      </c>
      <c r="X789" s="127" t="str">
        <f t="shared" si="237"/>
        <v/>
      </c>
      <c r="Y789" s="207">
        <f t="shared" si="240"/>
        <v>1133</v>
      </c>
      <c r="Z789" s="139">
        <f t="shared" si="241"/>
        <v>1133</v>
      </c>
      <c r="AA789" s="139">
        <f t="shared" si="242"/>
        <v>0</v>
      </c>
      <c r="AC789" s="47">
        <f t="shared" si="243"/>
        <v>567</v>
      </c>
      <c r="AD789" s="47">
        <f t="shared" si="244"/>
        <v>567</v>
      </c>
      <c r="AE789" s="47">
        <f t="shared" si="245"/>
        <v>0</v>
      </c>
      <c r="AG789" s="47">
        <f t="shared" si="246"/>
        <v>566</v>
      </c>
      <c r="AH789" s="47">
        <f t="shared" si="247"/>
        <v>566</v>
      </c>
      <c r="AI789" s="208">
        <f t="shared" si="248"/>
        <v>0</v>
      </c>
    </row>
    <row r="790" spans="1:35">
      <c r="A790" t="s">
        <v>2114</v>
      </c>
      <c r="B790" t="s">
        <v>3155</v>
      </c>
      <c r="C790" t="s">
        <v>2499</v>
      </c>
      <c r="D790" t="s">
        <v>4074</v>
      </c>
      <c r="F790" t="s">
        <v>632</v>
      </c>
      <c r="G790" s="126">
        <f>SUMIFS('Support - Transition'!F:F,'Support - Transition'!B:B,'Step 2'!A790,'Support - Transition'!C:C,'Step 2'!B790,'Support - Transition'!D:D,'Step 2'!C790,'Support - Transition'!E:E,"CIVIL")</f>
        <v>0</v>
      </c>
      <c r="H790" s="126">
        <f>SUMIFS('Support - Transition'!F:F,'Support - Transition'!B:B,'Step 2'!A790,'Support - Transition'!C:C,'Step 2'!B790,'Support - Transition'!D:D,'Step 2'!C790,'Support - Transition'!E:E,"FIRE")</f>
        <v>0</v>
      </c>
      <c r="I790" s="126">
        <f>IF(B790="0",SUMIFS('Support - Transition'!F:F,'Support - Transition'!J:J,'Step 2'!D790,'Support - Transition'!E:E,"STATE UNIT"),SUMIFS('Support - Transition'!F:F,'Support - Transition'!J:J,'Step 2'!D790))</f>
        <v>1.699E-3</v>
      </c>
      <c r="J790" s="126">
        <f>SUMIFS('Support - Unit Adjustments'!E:E,'Support - Unit Adjustments'!F:F,'Step 2'!D790)</f>
        <v>0</v>
      </c>
      <c r="K790" s="126">
        <f t="shared" si="232"/>
        <v>1.699E-3</v>
      </c>
      <c r="L790" s="174">
        <f>VLOOKUP(A790,'Step 1'!$A:$E,4,FALSE)</f>
        <v>251555</v>
      </c>
      <c r="M790" s="47">
        <f t="shared" si="233"/>
        <v>427</v>
      </c>
      <c r="N790" s="177">
        <f>SUMIFS('Support - Transition'!G:G,'Support - Transition'!J:J,'Step 2'!D790,'Support - Transition'!E:E,"2009 WELFARE ALLOCATION FACTOR")</f>
        <v>0</v>
      </c>
      <c r="O790" s="152">
        <f t="shared" si="238"/>
        <v>0</v>
      </c>
      <c r="P790" s="126">
        <f>IF(E790="Y",0,SUMIFS('Support - Transition'!G:G,'Support - Transition'!J:J,'Step 2'!D790,'Support - Transition'!E:E,"2009 SCHOOL ALLOCATION FACTOR"))</f>
        <v>0</v>
      </c>
      <c r="Q790" s="126">
        <f>IF(E790="Y",VLOOKUP(D790,'Support - Unit Adjustments'!F:G,2,FALSE),0)</f>
        <v>0</v>
      </c>
      <c r="R790" s="155">
        <f t="shared" si="250"/>
        <v>0</v>
      </c>
      <c r="S790" s="47">
        <f t="shared" si="249"/>
        <v>0</v>
      </c>
      <c r="T790" s="151">
        <f t="shared" si="234"/>
        <v>427</v>
      </c>
      <c r="U790" s="151">
        <f t="shared" si="235"/>
        <v>0</v>
      </c>
      <c r="V790" s="139">
        <f t="shared" si="236"/>
        <v>0</v>
      </c>
      <c r="W790" s="152">
        <f t="shared" si="239"/>
        <v>427</v>
      </c>
      <c r="X790" s="127" t="str">
        <f t="shared" si="237"/>
        <v/>
      </c>
      <c r="Y790" s="207">
        <f t="shared" si="240"/>
        <v>427</v>
      </c>
      <c r="Z790" s="139">
        <f t="shared" si="241"/>
        <v>427</v>
      </c>
      <c r="AA790" s="139">
        <f t="shared" si="242"/>
        <v>0</v>
      </c>
      <c r="AC790" s="47">
        <f t="shared" si="243"/>
        <v>214</v>
      </c>
      <c r="AD790" s="47">
        <f t="shared" si="244"/>
        <v>214</v>
      </c>
      <c r="AE790" s="47">
        <f t="shared" si="245"/>
        <v>0</v>
      </c>
      <c r="AG790" s="47">
        <f t="shared" si="246"/>
        <v>213</v>
      </c>
      <c r="AH790" s="47">
        <f t="shared" si="247"/>
        <v>213</v>
      </c>
      <c r="AI790" s="208">
        <f t="shared" si="248"/>
        <v>0</v>
      </c>
    </row>
    <row r="791" spans="1:35">
      <c r="A791" t="s">
        <v>2114</v>
      </c>
      <c r="B791" t="s">
        <v>3155</v>
      </c>
      <c r="C791" t="s">
        <v>2500</v>
      </c>
      <c r="D791" t="s">
        <v>4075</v>
      </c>
      <c r="F791" t="s">
        <v>633</v>
      </c>
      <c r="G791" s="126">
        <f>SUMIFS('Support - Transition'!F:F,'Support - Transition'!B:B,'Step 2'!A791,'Support - Transition'!C:C,'Step 2'!B791,'Support - Transition'!D:D,'Step 2'!C791,'Support - Transition'!E:E,"CIVIL")</f>
        <v>0</v>
      </c>
      <c r="H791" s="126">
        <f>SUMIFS('Support - Transition'!F:F,'Support - Transition'!B:B,'Step 2'!A791,'Support - Transition'!C:C,'Step 2'!B791,'Support - Transition'!D:D,'Step 2'!C791,'Support - Transition'!E:E,"FIRE")</f>
        <v>0</v>
      </c>
      <c r="I791" s="126">
        <f>IF(B791="0",SUMIFS('Support - Transition'!F:F,'Support - Transition'!J:J,'Step 2'!D791,'Support - Transition'!E:E,"STATE UNIT"),SUMIFS('Support - Transition'!F:F,'Support - Transition'!J:J,'Step 2'!D791))</f>
        <v>8.9499999999999996E-4</v>
      </c>
      <c r="J791" s="126">
        <f>SUMIFS('Support - Unit Adjustments'!E:E,'Support - Unit Adjustments'!F:F,'Step 2'!D791)</f>
        <v>0</v>
      </c>
      <c r="K791" s="126">
        <f t="shared" si="232"/>
        <v>8.9499999999999996E-4</v>
      </c>
      <c r="L791" s="174">
        <f>VLOOKUP(A791,'Step 1'!$A:$E,4,FALSE)</f>
        <v>251555</v>
      </c>
      <c r="M791" s="47">
        <f t="shared" si="233"/>
        <v>225</v>
      </c>
      <c r="N791" s="177">
        <f>SUMIFS('Support - Transition'!G:G,'Support - Transition'!J:J,'Step 2'!D791,'Support - Transition'!E:E,"2009 WELFARE ALLOCATION FACTOR")</f>
        <v>0</v>
      </c>
      <c r="O791" s="152">
        <f t="shared" si="238"/>
        <v>0</v>
      </c>
      <c r="P791" s="126">
        <f>IF(E791="Y",0,SUMIFS('Support - Transition'!G:G,'Support - Transition'!J:J,'Step 2'!D791,'Support - Transition'!E:E,"2009 SCHOOL ALLOCATION FACTOR"))</f>
        <v>0</v>
      </c>
      <c r="Q791" s="126">
        <f>IF(E791="Y",VLOOKUP(D791,'Support - Unit Adjustments'!F:G,2,FALSE),0)</f>
        <v>0</v>
      </c>
      <c r="R791" s="155">
        <f t="shared" si="250"/>
        <v>0</v>
      </c>
      <c r="S791" s="47">
        <f t="shared" si="249"/>
        <v>0</v>
      </c>
      <c r="T791" s="151">
        <f t="shared" si="234"/>
        <v>225</v>
      </c>
      <c r="U791" s="151">
        <f t="shared" si="235"/>
        <v>0</v>
      </c>
      <c r="V791" s="139">
        <f t="shared" si="236"/>
        <v>0</v>
      </c>
      <c r="W791" s="152">
        <f t="shared" si="239"/>
        <v>225</v>
      </c>
      <c r="X791" s="127" t="str">
        <f t="shared" si="237"/>
        <v/>
      </c>
      <c r="Y791" s="207">
        <f t="shared" si="240"/>
        <v>225</v>
      </c>
      <c r="Z791" s="139">
        <f t="shared" si="241"/>
        <v>225</v>
      </c>
      <c r="AA791" s="139">
        <f t="shared" si="242"/>
        <v>0</v>
      </c>
      <c r="AC791" s="47">
        <f t="shared" si="243"/>
        <v>113</v>
      </c>
      <c r="AD791" s="47">
        <f t="shared" si="244"/>
        <v>113</v>
      </c>
      <c r="AE791" s="47">
        <f t="shared" si="245"/>
        <v>0</v>
      </c>
      <c r="AG791" s="47">
        <f t="shared" si="246"/>
        <v>112</v>
      </c>
      <c r="AH791" s="47">
        <f t="shared" si="247"/>
        <v>112</v>
      </c>
      <c r="AI791" s="208">
        <f t="shared" si="248"/>
        <v>0</v>
      </c>
    </row>
    <row r="792" spans="1:35">
      <c r="A792" t="s">
        <v>2114</v>
      </c>
      <c r="B792" t="s">
        <v>3155</v>
      </c>
      <c r="C792" t="s">
        <v>2501</v>
      </c>
      <c r="D792" t="s">
        <v>4076</v>
      </c>
      <c r="F792" t="s">
        <v>634</v>
      </c>
      <c r="G792" s="126">
        <f>SUMIFS('Support - Transition'!F:F,'Support - Transition'!B:B,'Step 2'!A792,'Support - Transition'!C:C,'Step 2'!B792,'Support - Transition'!D:D,'Step 2'!C792,'Support - Transition'!E:E,"CIVIL")</f>
        <v>0</v>
      </c>
      <c r="H792" s="126">
        <f>SUMIFS('Support - Transition'!F:F,'Support - Transition'!B:B,'Step 2'!A792,'Support - Transition'!C:C,'Step 2'!B792,'Support - Transition'!D:D,'Step 2'!C792,'Support - Transition'!E:E,"FIRE")</f>
        <v>0</v>
      </c>
      <c r="I792" s="126">
        <f>IF(B792="0",SUMIFS('Support - Transition'!F:F,'Support - Transition'!J:J,'Step 2'!D792,'Support - Transition'!E:E,"STATE UNIT"),SUMIFS('Support - Transition'!F:F,'Support - Transition'!J:J,'Step 2'!D792))</f>
        <v>6.9999999999999999E-6</v>
      </c>
      <c r="J792" s="126">
        <f>SUMIFS('Support - Unit Adjustments'!E:E,'Support - Unit Adjustments'!F:F,'Step 2'!D792)</f>
        <v>0</v>
      </c>
      <c r="K792" s="126">
        <f t="shared" si="232"/>
        <v>6.9999999999999999E-6</v>
      </c>
      <c r="L792" s="174">
        <f>VLOOKUP(A792,'Step 1'!$A:$E,4,FALSE)</f>
        <v>251555</v>
      </c>
      <c r="M792" s="47">
        <f t="shared" si="233"/>
        <v>2</v>
      </c>
      <c r="N792" s="177">
        <f>SUMIFS('Support - Transition'!G:G,'Support - Transition'!J:J,'Step 2'!D792,'Support - Transition'!E:E,"2009 WELFARE ALLOCATION FACTOR")</f>
        <v>0</v>
      </c>
      <c r="O792" s="152">
        <f t="shared" si="238"/>
        <v>0</v>
      </c>
      <c r="P792" s="126">
        <f>IF(E792="Y",0,SUMIFS('Support - Transition'!G:G,'Support - Transition'!J:J,'Step 2'!D792,'Support - Transition'!E:E,"2009 SCHOOL ALLOCATION FACTOR"))</f>
        <v>0</v>
      </c>
      <c r="Q792" s="126">
        <f>IF(E792="Y",VLOOKUP(D792,'Support - Unit Adjustments'!F:G,2,FALSE),0)</f>
        <v>0</v>
      </c>
      <c r="R792" s="155">
        <f t="shared" si="250"/>
        <v>0</v>
      </c>
      <c r="S792" s="47">
        <f t="shared" si="249"/>
        <v>0</v>
      </c>
      <c r="T792" s="151">
        <f t="shared" si="234"/>
        <v>2</v>
      </c>
      <c r="U792" s="151">
        <f t="shared" si="235"/>
        <v>0</v>
      </c>
      <c r="V792" s="139">
        <f t="shared" si="236"/>
        <v>0</v>
      </c>
      <c r="W792" s="152">
        <f t="shared" si="239"/>
        <v>2</v>
      </c>
      <c r="X792" s="127" t="str">
        <f t="shared" si="237"/>
        <v/>
      </c>
      <c r="Y792" s="207">
        <f t="shared" si="240"/>
        <v>2</v>
      </c>
      <c r="Z792" s="139">
        <f t="shared" si="241"/>
        <v>2</v>
      </c>
      <c r="AA792" s="139">
        <f t="shared" si="242"/>
        <v>0</v>
      </c>
      <c r="AC792" s="47">
        <f t="shared" si="243"/>
        <v>1</v>
      </c>
      <c r="AD792" s="47">
        <f t="shared" si="244"/>
        <v>1</v>
      </c>
      <c r="AE792" s="47">
        <f t="shared" si="245"/>
        <v>0</v>
      </c>
      <c r="AG792" s="47">
        <f t="shared" si="246"/>
        <v>1</v>
      </c>
      <c r="AH792" s="47">
        <f t="shared" si="247"/>
        <v>1</v>
      </c>
      <c r="AI792" s="208">
        <f t="shared" si="248"/>
        <v>0</v>
      </c>
    </row>
    <row r="793" spans="1:35">
      <c r="A793" t="s">
        <v>2114</v>
      </c>
      <c r="B793" t="s">
        <v>3155</v>
      </c>
      <c r="C793" t="s">
        <v>2502</v>
      </c>
      <c r="D793" t="s">
        <v>4077</v>
      </c>
      <c r="F793" t="s">
        <v>635</v>
      </c>
      <c r="G793" s="126">
        <f>SUMIFS('Support - Transition'!F:F,'Support - Transition'!B:B,'Step 2'!A793,'Support - Transition'!C:C,'Step 2'!B793,'Support - Transition'!D:D,'Step 2'!C793,'Support - Transition'!E:E,"CIVIL")</f>
        <v>0</v>
      </c>
      <c r="H793" s="126">
        <f>SUMIFS('Support - Transition'!F:F,'Support - Transition'!B:B,'Step 2'!A793,'Support - Transition'!C:C,'Step 2'!B793,'Support - Transition'!D:D,'Step 2'!C793,'Support - Transition'!E:E,"FIRE")</f>
        <v>0</v>
      </c>
      <c r="I793" s="126">
        <f>IF(B793="0",SUMIFS('Support - Transition'!F:F,'Support - Transition'!J:J,'Step 2'!D793,'Support - Transition'!E:E,"STATE UNIT"),SUMIFS('Support - Transition'!F:F,'Support - Transition'!J:J,'Step 2'!D793))</f>
        <v>2.8579999999999999E-3</v>
      </c>
      <c r="J793" s="126">
        <f>SUMIFS('Support - Unit Adjustments'!E:E,'Support - Unit Adjustments'!F:F,'Step 2'!D793)</f>
        <v>0</v>
      </c>
      <c r="K793" s="126">
        <f t="shared" si="232"/>
        <v>2.8579999999999999E-3</v>
      </c>
      <c r="L793" s="174">
        <f>VLOOKUP(A793,'Step 1'!$A:$E,4,FALSE)</f>
        <v>251555</v>
      </c>
      <c r="M793" s="47">
        <f t="shared" si="233"/>
        <v>719</v>
      </c>
      <c r="N793" s="177">
        <f>SUMIFS('Support - Transition'!G:G,'Support - Transition'!J:J,'Step 2'!D793,'Support - Transition'!E:E,"2009 WELFARE ALLOCATION FACTOR")</f>
        <v>0</v>
      </c>
      <c r="O793" s="152">
        <f t="shared" si="238"/>
        <v>0</v>
      </c>
      <c r="P793" s="126">
        <f>IF(E793="Y",0,SUMIFS('Support - Transition'!G:G,'Support - Transition'!J:J,'Step 2'!D793,'Support - Transition'!E:E,"2009 SCHOOL ALLOCATION FACTOR"))</f>
        <v>0</v>
      </c>
      <c r="Q793" s="126">
        <f>IF(E793="Y",VLOOKUP(D793,'Support - Unit Adjustments'!F:G,2,FALSE),0)</f>
        <v>0</v>
      </c>
      <c r="R793" s="155">
        <f t="shared" si="250"/>
        <v>0</v>
      </c>
      <c r="S793" s="47">
        <f t="shared" si="249"/>
        <v>0</v>
      </c>
      <c r="T793" s="151">
        <f t="shared" si="234"/>
        <v>719</v>
      </c>
      <c r="U793" s="151">
        <f t="shared" si="235"/>
        <v>0</v>
      </c>
      <c r="V793" s="139">
        <f t="shared" si="236"/>
        <v>0</v>
      </c>
      <c r="W793" s="152">
        <f t="shared" si="239"/>
        <v>719</v>
      </c>
      <c r="X793" s="127" t="str">
        <f t="shared" si="237"/>
        <v/>
      </c>
      <c r="Y793" s="207">
        <f t="shared" si="240"/>
        <v>719</v>
      </c>
      <c r="Z793" s="139">
        <f t="shared" si="241"/>
        <v>719</v>
      </c>
      <c r="AA793" s="139">
        <f t="shared" si="242"/>
        <v>0</v>
      </c>
      <c r="AC793" s="47">
        <f t="shared" si="243"/>
        <v>360</v>
      </c>
      <c r="AD793" s="47">
        <f t="shared" si="244"/>
        <v>360</v>
      </c>
      <c r="AE793" s="47">
        <f t="shared" si="245"/>
        <v>0</v>
      </c>
      <c r="AG793" s="47">
        <f t="shared" si="246"/>
        <v>359</v>
      </c>
      <c r="AH793" s="47">
        <f t="shared" si="247"/>
        <v>359</v>
      </c>
      <c r="AI793" s="208">
        <f t="shared" si="248"/>
        <v>0</v>
      </c>
    </row>
    <row r="794" spans="1:35">
      <c r="A794" t="s">
        <v>2114</v>
      </c>
      <c r="B794" t="s">
        <v>3160</v>
      </c>
      <c r="C794" t="s">
        <v>2503</v>
      </c>
      <c r="D794" t="s">
        <v>4078</v>
      </c>
      <c r="F794" t="s">
        <v>636</v>
      </c>
      <c r="G794" s="126">
        <f>SUMIFS('Support - Transition'!F:F,'Support - Transition'!B:B,'Step 2'!A794,'Support - Transition'!C:C,'Step 2'!B794,'Support - Transition'!D:D,'Step 2'!C794,'Support - Transition'!E:E,"CIVIL")</f>
        <v>0</v>
      </c>
      <c r="H794" s="126">
        <f>SUMIFS('Support - Transition'!F:F,'Support - Transition'!B:B,'Step 2'!A794,'Support - Transition'!C:C,'Step 2'!B794,'Support - Transition'!D:D,'Step 2'!C794,'Support - Transition'!E:E,"FIRE")</f>
        <v>0</v>
      </c>
      <c r="I794" s="126">
        <f>IF(B794="0",SUMIFS('Support - Transition'!F:F,'Support - Transition'!J:J,'Step 2'!D794,'Support - Transition'!E:E,"STATE UNIT"),SUMIFS('Support - Transition'!F:F,'Support - Transition'!J:J,'Step 2'!D794))</f>
        <v>0.161467</v>
      </c>
      <c r="J794" s="126">
        <f>SUMIFS('Support - Unit Adjustments'!E:E,'Support - Unit Adjustments'!F:F,'Step 2'!D794)</f>
        <v>0</v>
      </c>
      <c r="K794" s="126">
        <f t="shared" si="232"/>
        <v>0.161467</v>
      </c>
      <c r="L794" s="174">
        <f>VLOOKUP(A794,'Step 1'!$A:$E,4,FALSE)</f>
        <v>251555</v>
      </c>
      <c r="M794" s="47">
        <f t="shared" si="233"/>
        <v>40618</v>
      </c>
      <c r="N794" s="177">
        <f>SUMIFS('Support - Transition'!G:G,'Support - Transition'!J:J,'Step 2'!D794,'Support - Transition'!E:E,"2009 WELFARE ALLOCATION FACTOR")</f>
        <v>0</v>
      </c>
      <c r="O794" s="152">
        <f t="shared" si="238"/>
        <v>0</v>
      </c>
      <c r="P794" s="126">
        <f>IF(E794="Y",0,SUMIFS('Support - Transition'!G:G,'Support - Transition'!J:J,'Step 2'!D794,'Support - Transition'!E:E,"2009 SCHOOL ALLOCATION FACTOR"))</f>
        <v>0.38264199999999998</v>
      </c>
      <c r="Q794" s="126">
        <f>IF(E794="Y",VLOOKUP(D794,'Support - Unit Adjustments'!F:G,2,FALSE),0)</f>
        <v>0</v>
      </c>
      <c r="R794" s="155">
        <f t="shared" si="250"/>
        <v>0.38264199999999998</v>
      </c>
      <c r="S794" s="47">
        <f t="shared" si="249"/>
        <v>15542</v>
      </c>
      <c r="T794" s="151">
        <f t="shared" si="234"/>
        <v>25076</v>
      </c>
      <c r="U794" s="151">
        <f t="shared" si="235"/>
        <v>0</v>
      </c>
      <c r="V794" s="139">
        <f t="shared" si="236"/>
        <v>0</v>
      </c>
      <c r="W794" s="152">
        <f t="shared" si="239"/>
        <v>25076</v>
      </c>
      <c r="X794" s="127" t="str">
        <f t="shared" si="237"/>
        <v/>
      </c>
      <c r="Y794" s="207">
        <f t="shared" si="240"/>
        <v>25076</v>
      </c>
      <c r="Z794" s="139">
        <f t="shared" si="241"/>
        <v>25076</v>
      </c>
      <c r="AA794" s="139">
        <f t="shared" si="242"/>
        <v>0</v>
      </c>
      <c r="AC794" s="47">
        <f t="shared" si="243"/>
        <v>12538</v>
      </c>
      <c r="AD794" s="47">
        <f t="shared" si="244"/>
        <v>12538</v>
      </c>
      <c r="AE794" s="47">
        <f t="shared" si="245"/>
        <v>0</v>
      </c>
      <c r="AG794" s="47">
        <f t="shared" si="246"/>
        <v>12538</v>
      </c>
      <c r="AH794" s="47">
        <f t="shared" si="247"/>
        <v>12538</v>
      </c>
      <c r="AI794" s="208">
        <f t="shared" si="248"/>
        <v>0</v>
      </c>
    </row>
    <row r="795" spans="1:35">
      <c r="A795" t="s">
        <v>2114</v>
      </c>
      <c r="B795" t="s">
        <v>3160</v>
      </c>
      <c r="C795" t="s">
        <v>2504</v>
      </c>
      <c r="D795" t="s">
        <v>4079</v>
      </c>
      <c r="F795" t="s">
        <v>637</v>
      </c>
      <c r="G795" s="126">
        <f>SUMIFS('Support - Transition'!F:F,'Support - Transition'!B:B,'Step 2'!A795,'Support - Transition'!C:C,'Step 2'!B795,'Support - Transition'!D:D,'Step 2'!C795,'Support - Transition'!E:E,"CIVIL")</f>
        <v>0</v>
      </c>
      <c r="H795" s="126">
        <f>SUMIFS('Support - Transition'!F:F,'Support - Transition'!B:B,'Step 2'!A795,'Support - Transition'!C:C,'Step 2'!B795,'Support - Transition'!D:D,'Step 2'!C795,'Support - Transition'!E:E,"FIRE")</f>
        <v>0</v>
      </c>
      <c r="I795" s="126">
        <f>IF(B795="0",SUMIFS('Support - Transition'!F:F,'Support - Transition'!J:J,'Step 2'!D795,'Support - Transition'!E:E,"STATE UNIT"),SUMIFS('Support - Transition'!F:F,'Support - Transition'!J:J,'Step 2'!D795))</f>
        <v>7.9298999999999994E-2</v>
      </c>
      <c r="J795" s="126">
        <f>SUMIFS('Support - Unit Adjustments'!E:E,'Support - Unit Adjustments'!F:F,'Step 2'!D795)</f>
        <v>0</v>
      </c>
      <c r="K795" s="126">
        <f t="shared" si="232"/>
        <v>7.9298999999999994E-2</v>
      </c>
      <c r="L795" s="174">
        <f>VLOOKUP(A795,'Step 1'!$A:$E,4,FALSE)</f>
        <v>251555</v>
      </c>
      <c r="M795" s="47">
        <f t="shared" si="233"/>
        <v>19948</v>
      </c>
      <c r="N795" s="177">
        <f>SUMIFS('Support - Transition'!G:G,'Support - Transition'!J:J,'Step 2'!D795,'Support - Transition'!E:E,"2009 WELFARE ALLOCATION FACTOR")</f>
        <v>0</v>
      </c>
      <c r="O795" s="152">
        <f t="shared" si="238"/>
        <v>0</v>
      </c>
      <c r="P795" s="126">
        <f>IF(E795="Y",0,SUMIFS('Support - Transition'!G:G,'Support - Transition'!J:J,'Step 2'!D795,'Support - Transition'!E:E,"2009 SCHOOL ALLOCATION FACTOR"))</f>
        <v>0.31083100000000002</v>
      </c>
      <c r="Q795" s="126">
        <f>IF(E795="Y",VLOOKUP(D795,'Support - Unit Adjustments'!F:G,2,FALSE),0)</f>
        <v>0</v>
      </c>
      <c r="R795" s="155">
        <f t="shared" si="250"/>
        <v>0.31083100000000002</v>
      </c>
      <c r="S795" s="47">
        <f t="shared" si="249"/>
        <v>6200</v>
      </c>
      <c r="T795" s="151">
        <f t="shared" si="234"/>
        <v>13748</v>
      </c>
      <c r="U795" s="151">
        <f t="shared" si="235"/>
        <v>0</v>
      </c>
      <c r="V795" s="139">
        <f t="shared" si="236"/>
        <v>0</v>
      </c>
      <c r="W795" s="152">
        <f t="shared" si="239"/>
        <v>13748</v>
      </c>
      <c r="X795" s="127" t="str">
        <f t="shared" si="237"/>
        <v/>
      </c>
      <c r="Y795" s="207">
        <f t="shared" si="240"/>
        <v>13748</v>
      </c>
      <c r="Z795" s="139">
        <f t="shared" si="241"/>
        <v>13748</v>
      </c>
      <c r="AA795" s="139">
        <f t="shared" si="242"/>
        <v>0</v>
      </c>
      <c r="AC795" s="47">
        <f t="shared" si="243"/>
        <v>6874</v>
      </c>
      <c r="AD795" s="47">
        <f t="shared" si="244"/>
        <v>6874</v>
      </c>
      <c r="AE795" s="47">
        <f t="shared" si="245"/>
        <v>0</v>
      </c>
      <c r="AG795" s="47">
        <f t="shared" si="246"/>
        <v>6874</v>
      </c>
      <c r="AH795" s="47">
        <f t="shared" si="247"/>
        <v>6874</v>
      </c>
      <c r="AI795" s="208">
        <f t="shared" si="248"/>
        <v>0</v>
      </c>
    </row>
    <row r="796" spans="1:35">
      <c r="A796" t="s">
        <v>2114</v>
      </c>
      <c r="B796" t="s">
        <v>3160</v>
      </c>
      <c r="C796" t="s">
        <v>2505</v>
      </c>
      <c r="D796" t="s">
        <v>4080</v>
      </c>
      <c r="F796" t="s">
        <v>638</v>
      </c>
      <c r="G796" s="126">
        <f>SUMIFS('Support - Transition'!F:F,'Support - Transition'!B:B,'Step 2'!A796,'Support - Transition'!C:C,'Step 2'!B796,'Support - Transition'!D:D,'Step 2'!C796,'Support - Transition'!E:E,"CIVIL")</f>
        <v>0</v>
      </c>
      <c r="H796" s="126">
        <f>SUMIFS('Support - Transition'!F:F,'Support - Transition'!B:B,'Step 2'!A796,'Support - Transition'!C:C,'Step 2'!B796,'Support - Transition'!D:D,'Step 2'!C796,'Support - Transition'!E:E,"FIRE")</f>
        <v>0</v>
      </c>
      <c r="I796" s="126">
        <f>IF(B796="0",SUMIFS('Support - Transition'!F:F,'Support - Transition'!J:J,'Step 2'!D796,'Support - Transition'!E:E,"STATE UNIT"),SUMIFS('Support - Transition'!F:F,'Support - Transition'!J:J,'Step 2'!D796))</f>
        <v>0.158884</v>
      </c>
      <c r="J796" s="126">
        <f>SUMIFS('Support - Unit Adjustments'!E:E,'Support - Unit Adjustments'!F:F,'Step 2'!D796)</f>
        <v>0</v>
      </c>
      <c r="K796" s="126">
        <f t="shared" si="232"/>
        <v>0.158884</v>
      </c>
      <c r="L796" s="174">
        <f>VLOOKUP(A796,'Step 1'!$A:$E,4,FALSE)</f>
        <v>251555</v>
      </c>
      <c r="M796" s="47">
        <f t="shared" si="233"/>
        <v>39968</v>
      </c>
      <c r="N796" s="177">
        <f>SUMIFS('Support - Transition'!G:G,'Support - Transition'!J:J,'Step 2'!D796,'Support - Transition'!E:E,"2009 WELFARE ALLOCATION FACTOR")</f>
        <v>0</v>
      </c>
      <c r="O796" s="152">
        <f t="shared" si="238"/>
        <v>0</v>
      </c>
      <c r="P796" s="126">
        <f>IF(E796="Y",0,SUMIFS('Support - Transition'!G:G,'Support - Transition'!J:J,'Step 2'!D796,'Support - Transition'!E:E,"2009 SCHOOL ALLOCATION FACTOR"))</f>
        <v>0.37047000000000002</v>
      </c>
      <c r="Q796" s="126">
        <f>IF(E796="Y",VLOOKUP(D796,'Support - Unit Adjustments'!F:G,2,FALSE),0)</f>
        <v>0</v>
      </c>
      <c r="R796" s="155">
        <f t="shared" si="250"/>
        <v>0.37047000000000002</v>
      </c>
      <c r="S796" s="47">
        <f t="shared" si="249"/>
        <v>14807</v>
      </c>
      <c r="T796" s="151">
        <f t="shared" si="234"/>
        <v>25161</v>
      </c>
      <c r="U796" s="151">
        <f t="shared" si="235"/>
        <v>0</v>
      </c>
      <c r="V796" s="139">
        <f t="shared" si="236"/>
        <v>0</v>
      </c>
      <c r="W796" s="152">
        <f t="shared" si="239"/>
        <v>25161</v>
      </c>
      <c r="X796" s="127" t="str">
        <f t="shared" si="237"/>
        <v/>
      </c>
      <c r="Y796" s="207">
        <f t="shared" si="240"/>
        <v>25161</v>
      </c>
      <c r="Z796" s="139">
        <f t="shared" si="241"/>
        <v>25161</v>
      </c>
      <c r="AA796" s="139">
        <f t="shared" si="242"/>
        <v>0</v>
      </c>
      <c r="AC796" s="47">
        <f t="shared" si="243"/>
        <v>12581</v>
      </c>
      <c r="AD796" s="47">
        <f t="shared" si="244"/>
        <v>12581</v>
      </c>
      <c r="AE796" s="47">
        <f t="shared" si="245"/>
        <v>0</v>
      </c>
      <c r="AG796" s="47">
        <f t="shared" si="246"/>
        <v>12580</v>
      </c>
      <c r="AH796" s="47">
        <f t="shared" si="247"/>
        <v>12580</v>
      </c>
      <c r="AI796" s="208">
        <f t="shared" si="248"/>
        <v>0</v>
      </c>
    </row>
    <row r="797" spans="1:35">
      <c r="A797" t="s">
        <v>2114</v>
      </c>
      <c r="B797" t="s">
        <v>3160</v>
      </c>
      <c r="C797" t="s">
        <v>2310</v>
      </c>
      <c r="D797" t="s">
        <v>4081</v>
      </c>
      <c r="F797" t="s">
        <v>262</v>
      </c>
      <c r="G797" s="126">
        <f>SUMIFS('Support - Transition'!F:F,'Support - Transition'!B:B,'Step 2'!A797,'Support - Transition'!C:C,'Step 2'!B797,'Support - Transition'!D:D,'Step 2'!C797,'Support - Transition'!E:E,"CIVIL")</f>
        <v>0</v>
      </c>
      <c r="H797" s="126">
        <f>SUMIFS('Support - Transition'!F:F,'Support - Transition'!B:B,'Step 2'!A797,'Support - Transition'!C:C,'Step 2'!B797,'Support - Transition'!D:D,'Step 2'!C797,'Support - Transition'!E:E,"FIRE")</f>
        <v>0</v>
      </c>
      <c r="I797" s="126">
        <f>IF(B797="0",SUMIFS('Support - Transition'!F:F,'Support - Transition'!J:J,'Step 2'!D797,'Support - Transition'!E:E,"STATE UNIT"),SUMIFS('Support - Transition'!F:F,'Support - Transition'!J:J,'Step 2'!D797))</f>
        <v>5.3384000000000001E-2</v>
      </c>
      <c r="J797" s="126">
        <f>SUMIFS('Support - Unit Adjustments'!E:E,'Support - Unit Adjustments'!F:F,'Step 2'!D797)</f>
        <v>0</v>
      </c>
      <c r="K797" s="126">
        <f t="shared" si="232"/>
        <v>5.3384000000000001E-2</v>
      </c>
      <c r="L797" s="174">
        <f>VLOOKUP(A797,'Step 1'!$A:$E,4,FALSE)</f>
        <v>251555</v>
      </c>
      <c r="M797" s="47">
        <f t="shared" si="233"/>
        <v>13429</v>
      </c>
      <c r="N797" s="177">
        <f>SUMIFS('Support - Transition'!G:G,'Support - Transition'!J:J,'Step 2'!D797,'Support - Transition'!E:E,"2009 WELFARE ALLOCATION FACTOR")</f>
        <v>0</v>
      </c>
      <c r="O797" s="152">
        <f t="shared" si="238"/>
        <v>0</v>
      </c>
      <c r="P797" s="126">
        <f>IF(E797="Y",0,SUMIFS('Support - Transition'!G:G,'Support - Transition'!J:J,'Step 2'!D797,'Support - Transition'!E:E,"2009 SCHOOL ALLOCATION FACTOR"))</f>
        <v>0.38742599999999999</v>
      </c>
      <c r="Q797" s="126">
        <f>IF(E797="Y",VLOOKUP(D797,'Support - Unit Adjustments'!F:G,2,FALSE),0)</f>
        <v>0</v>
      </c>
      <c r="R797" s="155">
        <f t="shared" si="250"/>
        <v>0.38742599999999999</v>
      </c>
      <c r="S797" s="47">
        <f t="shared" si="249"/>
        <v>5203</v>
      </c>
      <c r="T797" s="151">
        <f t="shared" si="234"/>
        <v>8226</v>
      </c>
      <c r="U797" s="151">
        <f t="shared" si="235"/>
        <v>0</v>
      </c>
      <c r="V797" s="139">
        <f t="shared" si="236"/>
        <v>0</v>
      </c>
      <c r="W797" s="152">
        <f t="shared" si="239"/>
        <v>8226</v>
      </c>
      <c r="X797" s="127" t="str">
        <f t="shared" si="237"/>
        <v/>
      </c>
      <c r="Y797" s="207">
        <f t="shared" si="240"/>
        <v>8226</v>
      </c>
      <c r="Z797" s="139">
        <f t="shared" si="241"/>
        <v>8226</v>
      </c>
      <c r="AA797" s="139">
        <f t="shared" si="242"/>
        <v>0</v>
      </c>
      <c r="AC797" s="47">
        <f t="shared" si="243"/>
        <v>4113</v>
      </c>
      <c r="AD797" s="47">
        <f t="shared" si="244"/>
        <v>4113</v>
      </c>
      <c r="AE797" s="47">
        <f t="shared" si="245"/>
        <v>0</v>
      </c>
      <c r="AG797" s="47">
        <f t="shared" si="246"/>
        <v>4113</v>
      </c>
      <c r="AH797" s="47">
        <f t="shared" si="247"/>
        <v>4113</v>
      </c>
      <c r="AI797" s="208">
        <f t="shared" si="248"/>
        <v>0</v>
      </c>
    </row>
    <row r="798" spans="1:35">
      <c r="A798" t="s">
        <v>2114</v>
      </c>
      <c r="B798" t="s">
        <v>3160</v>
      </c>
      <c r="C798" t="s">
        <v>2506</v>
      </c>
      <c r="D798" t="s">
        <v>4082</v>
      </c>
      <c r="F798" t="s">
        <v>4083</v>
      </c>
      <c r="G798" s="126">
        <f>SUMIFS('Support - Transition'!F:F,'Support - Transition'!B:B,'Step 2'!A798,'Support - Transition'!C:C,'Step 2'!B798,'Support - Transition'!D:D,'Step 2'!C798,'Support - Transition'!E:E,"CIVIL")</f>
        <v>0</v>
      </c>
      <c r="H798" s="126">
        <f>SUMIFS('Support - Transition'!F:F,'Support - Transition'!B:B,'Step 2'!A798,'Support - Transition'!C:C,'Step 2'!B798,'Support - Transition'!D:D,'Step 2'!C798,'Support - Transition'!E:E,"FIRE")</f>
        <v>0</v>
      </c>
      <c r="I798" s="126">
        <f>IF(B798="0",SUMIFS('Support - Transition'!F:F,'Support - Transition'!J:J,'Step 2'!D798,'Support - Transition'!E:E,"STATE UNIT"),SUMIFS('Support - Transition'!F:F,'Support - Transition'!J:J,'Step 2'!D798))</f>
        <v>0.19684199999999999</v>
      </c>
      <c r="J798" s="126">
        <f>SUMIFS('Support - Unit Adjustments'!E:E,'Support - Unit Adjustments'!F:F,'Step 2'!D798)</f>
        <v>0</v>
      </c>
      <c r="K798" s="126">
        <f t="shared" si="232"/>
        <v>0.19684199999999999</v>
      </c>
      <c r="L798" s="174">
        <f>VLOOKUP(A798,'Step 1'!$A:$E,4,FALSE)</f>
        <v>251555</v>
      </c>
      <c r="M798" s="47">
        <f t="shared" si="233"/>
        <v>49517</v>
      </c>
      <c r="N798" s="177">
        <f>SUMIFS('Support - Transition'!G:G,'Support - Transition'!J:J,'Step 2'!D798,'Support - Transition'!E:E,"2009 WELFARE ALLOCATION FACTOR")</f>
        <v>0</v>
      </c>
      <c r="O798" s="152">
        <f t="shared" si="238"/>
        <v>0</v>
      </c>
      <c r="P798" s="126">
        <f>IF(E798="Y",0,SUMIFS('Support - Transition'!G:G,'Support - Transition'!J:J,'Step 2'!D798,'Support - Transition'!E:E,"2009 SCHOOL ALLOCATION FACTOR"))</f>
        <v>0.50756800000000002</v>
      </c>
      <c r="Q798" s="126">
        <f>IF(E798="Y",VLOOKUP(D798,'Support - Unit Adjustments'!F:G,2,FALSE),0)</f>
        <v>0</v>
      </c>
      <c r="R798" s="155">
        <f t="shared" si="250"/>
        <v>0.50756800000000002</v>
      </c>
      <c r="S798" s="47">
        <f t="shared" si="249"/>
        <v>25133</v>
      </c>
      <c r="T798" s="151">
        <f t="shared" si="234"/>
        <v>24384</v>
      </c>
      <c r="U798" s="151">
        <f t="shared" si="235"/>
        <v>0</v>
      </c>
      <c r="V798" s="139">
        <f t="shared" si="236"/>
        <v>0</v>
      </c>
      <c r="W798" s="152">
        <f t="shared" si="239"/>
        <v>24384</v>
      </c>
      <c r="X798" s="127" t="str">
        <f t="shared" si="237"/>
        <v/>
      </c>
      <c r="Y798" s="207">
        <f t="shared" si="240"/>
        <v>24384</v>
      </c>
      <c r="Z798" s="139">
        <f t="shared" si="241"/>
        <v>24384</v>
      </c>
      <c r="AA798" s="139">
        <f t="shared" si="242"/>
        <v>0</v>
      </c>
      <c r="AC798" s="47">
        <f t="shared" si="243"/>
        <v>12192</v>
      </c>
      <c r="AD798" s="47">
        <f t="shared" si="244"/>
        <v>12192</v>
      </c>
      <c r="AE798" s="47">
        <f t="shared" si="245"/>
        <v>0</v>
      </c>
      <c r="AG798" s="47">
        <f t="shared" si="246"/>
        <v>12192</v>
      </c>
      <c r="AH798" s="47">
        <f t="shared" si="247"/>
        <v>12192</v>
      </c>
      <c r="AI798" s="208">
        <f t="shared" si="248"/>
        <v>0</v>
      </c>
    </row>
    <row r="799" spans="1:35">
      <c r="A799" t="s">
        <v>2114</v>
      </c>
      <c r="B799" t="s">
        <v>3166</v>
      </c>
      <c r="C799" t="s">
        <v>2507</v>
      </c>
      <c r="D799" t="s">
        <v>4084</v>
      </c>
      <c r="F799" t="s">
        <v>641</v>
      </c>
      <c r="G799" s="126">
        <f>SUMIFS('Support - Transition'!F:F,'Support - Transition'!B:B,'Step 2'!A799,'Support - Transition'!C:C,'Step 2'!B799,'Support - Transition'!D:D,'Step 2'!C799,'Support - Transition'!E:E,"CIVIL")</f>
        <v>0</v>
      </c>
      <c r="H799" s="126">
        <f>SUMIFS('Support - Transition'!F:F,'Support - Transition'!B:B,'Step 2'!A799,'Support - Transition'!C:C,'Step 2'!B799,'Support - Transition'!D:D,'Step 2'!C799,'Support - Transition'!E:E,"FIRE")</f>
        <v>0</v>
      </c>
      <c r="I799" s="126">
        <f>IF(B799="0",SUMIFS('Support - Transition'!F:F,'Support - Transition'!J:J,'Step 2'!D799,'Support - Transition'!E:E,"STATE UNIT"),SUMIFS('Support - Transition'!F:F,'Support - Transition'!J:J,'Step 2'!D799))</f>
        <v>5.1099999999999995E-4</v>
      </c>
      <c r="J799" s="126">
        <f>SUMIFS('Support - Unit Adjustments'!E:E,'Support - Unit Adjustments'!F:F,'Step 2'!D799)</f>
        <v>0</v>
      </c>
      <c r="K799" s="126">
        <f t="shared" si="232"/>
        <v>5.1099999999999995E-4</v>
      </c>
      <c r="L799" s="174">
        <f>VLOOKUP(A799,'Step 1'!$A:$E,4,FALSE)</f>
        <v>251555</v>
      </c>
      <c r="M799" s="47">
        <f t="shared" si="233"/>
        <v>129</v>
      </c>
      <c r="N799" s="177">
        <f>SUMIFS('Support - Transition'!G:G,'Support - Transition'!J:J,'Step 2'!D799,'Support - Transition'!E:E,"2009 WELFARE ALLOCATION FACTOR")</f>
        <v>0</v>
      </c>
      <c r="O799" s="152">
        <f t="shared" si="238"/>
        <v>0</v>
      </c>
      <c r="P799" s="126">
        <f>IF(E799="Y",0,SUMIFS('Support - Transition'!G:G,'Support - Transition'!J:J,'Step 2'!D799,'Support - Transition'!E:E,"2009 SCHOOL ALLOCATION FACTOR"))</f>
        <v>0</v>
      </c>
      <c r="Q799" s="126">
        <f>IF(E799="Y",VLOOKUP(D799,'Support - Unit Adjustments'!F:G,2,FALSE),0)</f>
        <v>0</v>
      </c>
      <c r="R799" s="155">
        <f t="shared" si="250"/>
        <v>0</v>
      </c>
      <c r="S799" s="47">
        <f t="shared" si="249"/>
        <v>0</v>
      </c>
      <c r="T799" s="151">
        <f t="shared" si="234"/>
        <v>129</v>
      </c>
      <c r="U799" s="151">
        <f t="shared" si="235"/>
        <v>0</v>
      </c>
      <c r="V799" s="139">
        <f t="shared" si="236"/>
        <v>0</v>
      </c>
      <c r="W799" s="152">
        <f t="shared" si="239"/>
        <v>129</v>
      </c>
      <c r="X799" s="127" t="str">
        <f t="shared" si="237"/>
        <v/>
      </c>
      <c r="Y799" s="207">
        <f t="shared" si="240"/>
        <v>129</v>
      </c>
      <c r="Z799" s="139">
        <f t="shared" si="241"/>
        <v>129</v>
      </c>
      <c r="AA799" s="139">
        <f t="shared" si="242"/>
        <v>0</v>
      </c>
      <c r="AC799" s="47">
        <f t="shared" si="243"/>
        <v>65</v>
      </c>
      <c r="AD799" s="47">
        <f t="shared" si="244"/>
        <v>65</v>
      </c>
      <c r="AE799" s="47">
        <f t="shared" si="245"/>
        <v>0</v>
      </c>
      <c r="AG799" s="47">
        <f t="shared" si="246"/>
        <v>64</v>
      </c>
      <c r="AH799" s="47">
        <f t="shared" si="247"/>
        <v>64</v>
      </c>
      <c r="AI799" s="208">
        <f t="shared" si="248"/>
        <v>0</v>
      </c>
    </row>
    <row r="800" spans="1:35">
      <c r="A800" t="s">
        <v>2114</v>
      </c>
      <c r="B800" t="s">
        <v>3166</v>
      </c>
      <c r="C800" t="s">
        <v>2508</v>
      </c>
      <c r="D800" t="s">
        <v>4085</v>
      </c>
      <c r="F800" t="s">
        <v>642</v>
      </c>
      <c r="G800" s="126">
        <f>SUMIFS('Support - Transition'!F:F,'Support - Transition'!B:B,'Step 2'!A800,'Support - Transition'!C:C,'Step 2'!B800,'Support - Transition'!D:D,'Step 2'!C800,'Support - Transition'!E:E,"CIVIL")</f>
        <v>0</v>
      </c>
      <c r="H800" s="126">
        <f>SUMIFS('Support - Transition'!F:F,'Support - Transition'!B:B,'Step 2'!A800,'Support - Transition'!C:C,'Step 2'!B800,'Support - Transition'!D:D,'Step 2'!C800,'Support - Transition'!E:E,"FIRE")</f>
        <v>0</v>
      </c>
      <c r="I800" s="126">
        <f>IF(B800="0",SUMIFS('Support - Transition'!F:F,'Support - Transition'!J:J,'Step 2'!D800,'Support - Transition'!E:E,"STATE UNIT"),SUMIFS('Support - Transition'!F:F,'Support - Transition'!J:J,'Step 2'!D800))</f>
        <v>5.7970000000000001E-3</v>
      </c>
      <c r="J800" s="126">
        <f>SUMIFS('Support - Unit Adjustments'!E:E,'Support - Unit Adjustments'!F:F,'Step 2'!D800)</f>
        <v>0</v>
      </c>
      <c r="K800" s="126">
        <f t="shared" si="232"/>
        <v>5.7970000000000001E-3</v>
      </c>
      <c r="L800" s="174">
        <f>VLOOKUP(A800,'Step 1'!$A:$E,4,FALSE)</f>
        <v>251555</v>
      </c>
      <c r="M800" s="47">
        <f t="shared" si="233"/>
        <v>1458</v>
      </c>
      <c r="N800" s="177">
        <f>SUMIFS('Support - Transition'!G:G,'Support - Transition'!J:J,'Step 2'!D800,'Support - Transition'!E:E,"2009 WELFARE ALLOCATION FACTOR")</f>
        <v>0</v>
      </c>
      <c r="O800" s="152">
        <f t="shared" si="238"/>
        <v>0</v>
      </c>
      <c r="P800" s="126">
        <f>IF(E800="Y",0,SUMIFS('Support - Transition'!G:G,'Support - Transition'!J:J,'Step 2'!D800,'Support - Transition'!E:E,"2009 SCHOOL ALLOCATION FACTOR"))</f>
        <v>0</v>
      </c>
      <c r="Q800" s="126">
        <f>IF(E800="Y",VLOOKUP(D800,'Support - Unit Adjustments'!F:G,2,FALSE),0)</f>
        <v>0</v>
      </c>
      <c r="R800" s="155">
        <f t="shared" si="250"/>
        <v>0</v>
      </c>
      <c r="S800" s="47">
        <f t="shared" si="249"/>
        <v>0</v>
      </c>
      <c r="T800" s="151">
        <f t="shared" si="234"/>
        <v>1458</v>
      </c>
      <c r="U800" s="151">
        <f t="shared" si="235"/>
        <v>0</v>
      </c>
      <c r="V800" s="139">
        <f t="shared" si="236"/>
        <v>0</v>
      </c>
      <c r="W800" s="152">
        <f t="shared" si="239"/>
        <v>1458</v>
      </c>
      <c r="X800" s="127" t="str">
        <f t="shared" si="237"/>
        <v/>
      </c>
      <c r="Y800" s="207">
        <f t="shared" si="240"/>
        <v>1458</v>
      </c>
      <c r="Z800" s="139">
        <f t="shared" si="241"/>
        <v>1458</v>
      </c>
      <c r="AA800" s="139">
        <f t="shared" si="242"/>
        <v>0</v>
      </c>
      <c r="AC800" s="47">
        <f t="shared" si="243"/>
        <v>729</v>
      </c>
      <c r="AD800" s="47">
        <f t="shared" si="244"/>
        <v>729</v>
      </c>
      <c r="AE800" s="47">
        <f t="shared" si="245"/>
        <v>0</v>
      </c>
      <c r="AG800" s="47">
        <f t="shared" si="246"/>
        <v>729</v>
      </c>
      <c r="AH800" s="47">
        <f t="shared" si="247"/>
        <v>729</v>
      </c>
      <c r="AI800" s="208">
        <f t="shared" si="248"/>
        <v>0</v>
      </c>
    </row>
    <row r="801" spans="1:35">
      <c r="A801" t="s">
        <v>2114</v>
      </c>
      <c r="B801" t="s">
        <v>3166</v>
      </c>
      <c r="C801" t="s">
        <v>4086</v>
      </c>
      <c r="D801" t="s">
        <v>4087</v>
      </c>
      <c r="F801" t="s">
        <v>643</v>
      </c>
      <c r="G801" s="126">
        <f>SUMIFS('Support - Transition'!F:F,'Support - Transition'!B:B,'Step 2'!A801,'Support - Transition'!C:C,'Step 2'!B801,'Support - Transition'!D:D,'Step 2'!C801,'Support - Transition'!E:E,"CIVIL")</f>
        <v>0</v>
      </c>
      <c r="H801" s="126">
        <f>SUMIFS('Support - Transition'!F:F,'Support - Transition'!B:B,'Step 2'!A801,'Support - Transition'!C:C,'Step 2'!B801,'Support - Transition'!D:D,'Step 2'!C801,'Support - Transition'!E:E,"FIRE")</f>
        <v>0</v>
      </c>
      <c r="I801" s="126">
        <f>IF(B801="0",SUMIFS('Support - Transition'!F:F,'Support - Transition'!J:J,'Step 2'!D801,'Support - Transition'!E:E,"STATE UNIT"),SUMIFS('Support - Transition'!F:F,'Support - Transition'!J:J,'Step 2'!D801))</f>
        <v>7.0199999999998042E-4</v>
      </c>
      <c r="J801" s="126">
        <f>SUMIFS('Support - Unit Adjustments'!E:E,'Support - Unit Adjustments'!F:F,'Step 2'!D801)</f>
        <v>0</v>
      </c>
      <c r="K801" s="126">
        <f t="shared" si="232"/>
        <v>7.0199999999998042E-4</v>
      </c>
      <c r="L801" s="174">
        <f>VLOOKUP(A801,'Step 1'!$A:$E,4,FALSE)</f>
        <v>251555</v>
      </c>
      <c r="M801" s="47">
        <f t="shared" si="233"/>
        <v>177</v>
      </c>
      <c r="N801" s="177">
        <f>SUMIFS('Support - Transition'!G:G,'Support - Transition'!J:J,'Step 2'!D801,'Support - Transition'!E:E,"2009 WELFARE ALLOCATION FACTOR")</f>
        <v>0</v>
      </c>
      <c r="O801" s="152">
        <f t="shared" si="238"/>
        <v>0</v>
      </c>
      <c r="P801" s="126">
        <f>IF(E801="Y",0,SUMIFS('Support - Transition'!G:G,'Support - Transition'!J:J,'Step 2'!D801,'Support - Transition'!E:E,"2009 SCHOOL ALLOCATION FACTOR"))</f>
        <v>0</v>
      </c>
      <c r="Q801" s="126">
        <f>IF(E801="Y",VLOOKUP(D801,'Support - Unit Adjustments'!F:G,2,FALSE),0)</f>
        <v>0</v>
      </c>
      <c r="R801" s="155">
        <f t="shared" si="250"/>
        <v>0</v>
      </c>
      <c r="S801" s="47">
        <f t="shared" si="249"/>
        <v>0</v>
      </c>
      <c r="T801" s="151">
        <f t="shared" si="234"/>
        <v>177</v>
      </c>
      <c r="U801" s="151">
        <f t="shared" si="235"/>
        <v>0</v>
      </c>
      <c r="V801" s="139">
        <f t="shared" si="236"/>
        <v>0</v>
      </c>
      <c r="W801" s="152">
        <f t="shared" si="239"/>
        <v>177</v>
      </c>
      <c r="X801" s="127" t="str">
        <f t="shared" si="237"/>
        <v/>
      </c>
      <c r="Y801" s="207">
        <f t="shared" si="240"/>
        <v>177</v>
      </c>
      <c r="Z801" s="139">
        <f t="shared" si="241"/>
        <v>177</v>
      </c>
      <c r="AA801" s="139">
        <f t="shared" si="242"/>
        <v>0</v>
      </c>
      <c r="AC801" s="47">
        <f t="shared" si="243"/>
        <v>89</v>
      </c>
      <c r="AD801" s="47">
        <f t="shared" si="244"/>
        <v>89</v>
      </c>
      <c r="AE801" s="47">
        <f t="shared" si="245"/>
        <v>0</v>
      </c>
      <c r="AG801" s="47">
        <f t="shared" si="246"/>
        <v>88</v>
      </c>
      <c r="AH801" s="47">
        <f t="shared" si="247"/>
        <v>88</v>
      </c>
      <c r="AI801" s="208">
        <f t="shared" si="248"/>
        <v>0</v>
      </c>
    </row>
    <row r="802" spans="1:35">
      <c r="A802" t="s">
        <v>2114</v>
      </c>
      <c r="B802" t="s">
        <v>3166</v>
      </c>
      <c r="C802" t="s">
        <v>4088</v>
      </c>
      <c r="D802" t="s">
        <v>4089</v>
      </c>
      <c r="F802" t="s">
        <v>4090</v>
      </c>
      <c r="G802" s="126">
        <f>SUMIFS('Support - Transition'!F:F,'Support - Transition'!B:B,'Step 2'!A802,'Support - Transition'!C:C,'Step 2'!B802,'Support - Transition'!D:D,'Step 2'!C802,'Support - Transition'!E:E,"CIVIL")</f>
        <v>0</v>
      </c>
      <c r="H802" s="126">
        <f>SUMIFS('Support - Transition'!F:F,'Support - Transition'!B:B,'Step 2'!A802,'Support - Transition'!C:C,'Step 2'!B802,'Support - Transition'!D:D,'Step 2'!C802,'Support - Transition'!E:E,"FIRE")</f>
        <v>0</v>
      </c>
      <c r="I802" s="126">
        <f>IF(B802="0",SUMIFS('Support - Transition'!F:F,'Support - Transition'!J:J,'Step 2'!D802,'Support - Transition'!E:E,"STATE UNIT"),SUMIFS('Support - Transition'!F:F,'Support - Transition'!J:J,'Step 2'!D802))</f>
        <v>1.4369E-2</v>
      </c>
      <c r="J802" s="126">
        <f>SUMIFS('Support - Unit Adjustments'!E:E,'Support - Unit Adjustments'!F:F,'Step 2'!D802)</f>
        <v>0</v>
      </c>
      <c r="K802" s="126">
        <f t="shared" si="232"/>
        <v>1.4369E-2</v>
      </c>
      <c r="L802" s="174">
        <f>VLOOKUP(A802,'Step 1'!$A:$E,4,FALSE)</f>
        <v>251555</v>
      </c>
      <c r="M802" s="47">
        <f t="shared" si="233"/>
        <v>3615</v>
      </c>
      <c r="N802" s="177">
        <f>SUMIFS('Support - Transition'!G:G,'Support - Transition'!J:J,'Step 2'!D802,'Support - Transition'!E:E,"2009 WELFARE ALLOCATION FACTOR")</f>
        <v>0</v>
      </c>
      <c r="O802" s="152">
        <f t="shared" si="238"/>
        <v>0</v>
      </c>
      <c r="P802" s="126">
        <f>IF(E802="Y",0,SUMIFS('Support - Transition'!G:G,'Support - Transition'!J:J,'Step 2'!D802,'Support - Transition'!E:E,"2009 SCHOOL ALLOCATION FACTOR"))</f>
        <v>0</v>
      </c>
      <c r="Q802" s="126">
        <f>IF(E802="Y",VLOOKUP(D802,'Support - Unit Adjustments'!F:G,2,FALSE),0)</f>
        <v>0</v>
      </c>
      <c r="R802" s="155">
        <f t="shared" si="250"/>
        <v>0</v>
      </c>
      <c r="S802" s="47">
        <f t="shared" si="249"/>
        <v>0</v>
      </c>
      <c r="T802" s="151">
        <f t="shared" si="234"/>
        <v>3615</v>
      </c>
      <c r="U802" s="151">
        <f t="shared" si="235"/>
        <v>0</v>
      </c>
      <c r="V802" s="139">
        <f t="shared" si="236"/>
        <v>0</v>
      </c>
      <c r="W802" s="152">
        <f t="shared" si="239"/>
        <v>3615</v>
      </c>
      <c r="X802" s="127" t="str">
        <f t="shared" si="237"/>
        <v/>
      </c>
      <c r="Y802" s="207">
        <f t="shared" si="240"/>
        <v>3615</v>
      </c>
      <c r="Z802" s="139">
        <f t="shared" si="241"/>
        <v>3615</v>
      </c>
      <c r="AA802" s="139">
        <f t="shared" si="242"/>
        <v>0</v>
      </c>
      <c r="AC802" s="47">
        <f t="shared" si="243"/>
        <v>1808</v>
      </c>
      <c r="AD802" s="47">
        <f t="shared" si="244"/>
        <v>1808</v>
      </c>
      <c r="AE802" s="47">
        <f t="shared" si="245"/>
        <v>0</v>
      </c>
      <c r="AG802" s="47">
        <f t="shared" si="246"/>
        <v>1807</v>
      </c>
      <c r="AH802" s="47">
        <f t="shared" si="247"/>
        <v>1807</v>
      </c>
      <c r="AI802" s="208">
        <f t="shared" si="248"/>
        <v>0</v>
      </c>
    </row>
    <row r="803" spans="1:35">
      <c r="A803" t="s">
        <v>2114</v>
      </c>
      <c r="B803" t="s">
        <v>3170</v>
      </c>
      <c r="C803" t="s">
        <v>2474</v>
      </c>
      <c r="D803" t="s">
        <v>4091</v>
      </c>
      <c r="F803" t="s">
        <v>644</v>
      </c>
      <c r="G803" s="126">
        <f>SUMIFS('Support - Transition'!F:F,'Support - Transition'!B:B,'Step 2'!A803,'Support - Transition'!C:C,'Step 2'!B803,'Support - Transition'!D:D,'Step 2'!C803,'Support - Transition'!E:E,"CIVIL")</f>
        <v>0</v>
      </c>
      <c r="H803" s="126">
        <f>SUMIFS('Support - Transition'!F:F,'Support - Transition'!B:B,'Step 2'!A803,'Support - Transition'!C:C,'Step 2'!B803,'Support - Transition'!D:D,'Step 2'!C803,'Support - Transition'!E:E,"FIRE")</f>
        <v>0</v>
      </c>
      <c r="I803" s="126">
        <f>IF(B803="0",SUMIFS('Support - Transition'!F:F,'Support - Transition'!J:J,'Step 2'!D803,'Support - Transition'!E:E,"STATE UNIT"),SUMIFS('Support - Transition'!F:F,'Support - Transition'!J:J,'Step 2'!D803))</f>
        <v>0</v>
      </c>
      <c r="J803" s="126">
        <f>SUMIFS('Support - Unit Adjustments'!E:E,'Support - Unit Adjustments'!F:F,'Step 2'!D803)</f>
        <v>0</v>
      </c>
      <c r="K803" s="126">
        <f t="shared" si="232"/>
        <v>0</v>
      </c>
      <c r="L803" s="174">
        <f>VLOOKUP(A803,'Step 1'!$A:$E,4,FALSE)</f>
        <v>251555</v>
      </c>
      <c r="M803" s="47">
        <f t="shared" si="233"/>
        <v>0</v>
      </c>
      <c r="N803" s="177">
        <f>SUMIFS('Support - Transition'!G:G,'Support - Transition'!J:J,'Step 2'!D803,'Support - Transition'!E:E,"2009 WELFARE ALLOCATION FACTOR")</f>
        <v>0</v>
      </c>
      <c r="O803" s="152">
        <f t="shared" si="238"/>
        <v>0</v>
      </c>
      <c r="P803" s="126">
        <f>IF(E803="Y",0,SUMIFS('Support - Transition'!G:G,'Support - Transition'!J:J,'Step 2'!D803,'Support - Transition'!E:E,"2009 SCHOOL ALLOCATION FACTOR"))</f>
        <v>0</v>
      </c>
      <c r="Q803" s="126">
        <f>IF(E803="Y",VLOOKUP(D803,'Support - Unit Adjustments'!F:G,2,FALSE),0)</f>
        <v>0</v>
      </c>
      <c r="R803" s="155">
        <f t="shared" si="250"/>
        <v>0</v>
      </c>
      <c r="S803" s="47">
        <f t="shared" si="249"/>
        <v>0</v>
      </c>
      <c r="T803" s="151">
        <f t="shared" si="234"/>
        <v>0</v>
      </c>
      <c r="U803" s="151">
        <f t="shared" si="235"/>
        <v>0</v>
      </c>
      <c r="V803" s="139">
        <f t="shared" si="236"/>
        <v>0</v>
      </c>
      <c r="W803" s="152">
        <f t="shared" si="239"/>
        <v>0</v>
      </c>
      <c r="X803" s="127" t="str">
        <f t="shared" si="237"/>
        <v/>
      </c>
      <c r="Y803" s="207">
        <f t="shared" si="240"/>
        <v>0</v>
      </c>
      <c r="Z803" s="139">
        <f t="shared" si="241"/>
        <v>0</v>
      </c>
      <c r="AA803" s="139">
        <f t="shared" si="242"/>
        <v>0</v>
      </c>
      <c r="AC803" s="47">
        <f t="shared" si="243"/>
        <v>0</v>
      </c>
      <c r="AD803" s="47">
        <f t="shared" si="244"/>
        <v>0</v>
      </c>
      <c r="AE803" s="47">
        <f t="shared" si="245"/>
        <v>0</v>
      </c>
      <c r="AG803" s="47">
        <f t="shared" si="246"/>
        <v>0</v>
      </c>
      <c r="AH803" s="47">
        <f t="shared" si="247"/>
        <v>0</v>
      </c>
      <c r="AI803" s="208">
        <f t="shared" si="248"/>
        <v>0</v>
      </c>
    </row>
    <row r="804" spans="1:35">
      <c r="A804" t="s">
        <v>2114</v>
      </c>
      <c r="B804" t="s">
        <v>3286</v>
      </c>
      <c r="C804" t="s">
        <v>2197</v>
      </c>
      <c r="D804" t="s">
        <v>4092</v>
      </c>
      <c r="F804" t="s">
        <v>4093</v>
      </c>
      <c r="G804" s="126">
        <f>SUMIFS('Support - Transition'!F:F,'Support - Transition'!B:B,'Step 2'!A804,'Support - Transition'!C:C,'Step 2'!B804,'Support - Transition'!D:D,'Step 2'!C804,'Support - Transition'!E:E,"CIVIL")</f>
        <v>0</v>
      </c>
      <c r="H804" s="126">
        <f>SUMIFS('Support - Transition'!F:F,'Support - Transition'!B:B,'Step 2'!A804,'Support - Transition'!C:C,'Step 2'!B804,'Support - Transition'!D:D,'Step 2'!C804,'Support - Transition'!E:E,"FIRE")</f>
        <v>0</v>
      </c>
      <c r="I804" s="126">
        <f>IF(B804="0",SUMIFS('Support - Transition'!F:F,'Support - Transition'!J:J,'Step 2'!D804,'Support - Transition'!E:E,"STATE UNIT"),SUMIFS('Support - Transition'!F:F,'Support - Transition'!J:J,'Step 2'!D804))</f>
        <v>0</v>
      </c>
      <c r="J804" s="126">
        <f>SUMIFS('Support - Unit Adjustments'!E:E,'Support - Unit Adjustments'!F:F,'Step 2'!D804)</f>
        <v>0</v>
      </c>
      <c r="K804" s="126">
        <f t="shared" si="232"/>
        <v>0</v>
      </c>
      <c r="L804" s="174">
        <f>VLOOKUP(A804,'Step 1'!$A:$E,4,FALSE)</f>
        <v>251555</v>
      </c>
      <c r="M804" s="47">
        <f t="shared" si="233"/>
        <v>0</v>
      </c>
      <c r="N804" s="177">
        <f>SUMIFS('Support - Transition'!G:G,'Support - Transition'!J:J,'Step 2'!D804,'Support - Transition'!E:E,"2009 WELFARE ALLOCATION FACTOR")</f>
        <v>0</v>
      </c>
      <c r="O804" s="152">
        <f t="shared" si="238"/>
        <v>0</v>
      </c>
      <c r="P804" s="126">
        <f>IF(E804="Y",0,SUMIFS('Support - Transition'!G:G,'Support - Transition'!J:J,'Step 2'!D804,'Support - Transition'!E:E,"2009 SCHOOL ALLOCATION FACTOR"))</f>
        <v>0</v>
      </c>
      <c r="Q804" s="126">
        <f>IF(E804="Y",VLOOKUP(D804,'Support - Unit Adjustments'!F:G,2,FALSE),0)</f>
        <v>0</v>
      </c>
      <c r="R804" s="155">
        <f t="shared" si="250"/>
        <v>0</v>
      </c>
      <c r="S804" s="47">
        <f t="shared" si="249"/>
        <v>0</v>
      </c>
      <c r="T804" s="151">
        <f t="shared" si="234"/>
        <v>0</v>
      </c>
      <c r="U804" s="151">
        <f t="shared" si="235"/>
        <v>0</v>
      </c>
      <c r="V804" s="139">
        <f t="shared" si="236"/>
        <v>0</v>
      </c>
      <c r="W804" s="152">
        <f t="shared" si="239"/>
        <v>0</v>
      </c>
      <c r="X804" s="127" t="str">
        <f t="shared" si="237"/>
        <v/>
      </c>
      <c r="Y804" s="207">
        <f t="shared" si="240"/>
        <v>0</v>
      </c>
      <c r="Z804" s="139">
        <f t="shared" si="241"/>
        <v>0</v>
      </c>
      <c r="AA804" s="139">
        <f t="shared" si="242"/>
        <v>0</v>
      </c>
      <c r="AC804" s="47">
        <f t="shared" si="243"/>
        <v>0</v>
      </c>
      <c r="AD804" s="47">
        <f t="shared" si="244"/>
        <v>0</v>
      </c>
      <c r="AE804" s="47">
        <f t="shared" si="245"/>
        <v>0</v>
      </c>
      <c r="AG804" s="47">
        <f t="shared" si="246"/>
        <v>0</v>
      </c>
      <c r="AH804" s="47">
        <f t="shared" si="247"/>
        <v>0</v>
      </c>
      <c r="AI804" s="208">
        <f t="shared" si="248"/>
        <v>0</v>
      </c>
    </row>
    <row r="805" spans="1:35">
      <c r="A805" t="s">
        <v>2114</v>
      </c>
      <c r="B805" t="s">
        <v>3286</v>
      </c>
      <c r="C805" t="s">
        <v>2374</v>
      </c>
      <c r="D805" t="s">
        <v>4094</v>
      </c>
      <c r="F805" t="s">
        <v>4095</v>
      </c>
      <c r="G805" s="126">
        <f>SUMIFS('Support - Transition'!F:F,'Support - Transition'!B:B,'Step 2'!A805,'Support - Transition'!C:C,'Step 2'!B805,'Support - Transition'!D:D,'Step 2'!C805,'Support - Transition'!E:E,"CIVIL")</f>
        <v>0</v>
      </c>
      <c r="H805" s="126">
        <f>SUMIFS('Support - Transition'!F:F,'Support - Transition'!B:B,'Step 2'!A805,'Support - Transition'!C:C,'Step 2'!B805,'Support - Transition'!D:D,'Step 2'!C805,'Support - Transition'!E:E,"FIRE")</f>
        <v>0</v>
      </c>
      <c r="I805" s="126">
        <f>IF(B805="0",SUMIFS('Support - Transition'!F:F,'Support - Transition'!J:J,'Step 2'!D805,'Support - Transition'!E:E,"STATE UNIT"),SUMIFS('Support - Transition'!F:F,'Support - Transition'!J:J,'Step 2'!D805))</f>
        <v>0</v>
      </c>
      <c r="J805" s="126">
        <f>SUMIFS('Support - Unit Adjustments'!E:E,'Support - Unit Adjustments'!F:F,'Step 2'!D805)</f>
        <v>0</v>
      </c>
      <c r="K805" s="126">
        <f t="shared" si="232"/>
        <v>0</v>
      </c>
      <c r="L805" s="174">
        <f>VLOOKUP(A805,'Step 1'!$A:$E,4,FALSE)</f>
        <v>251555</v>
      </c>
      <c r="M805" s="47">
        <f t="shared" si="233"/>
        <v>0</v>
      </c>
      <c r="N805" s="177">
        <f>SUMIFS('Support - Transition'!G:G,'Support - Transition'!J:J,'Step 2'!D805,'Support - Transition'!E:E,"2009 WELFARE ALLOCATION FACTOR")</f>
        <v>0</v>
      </c>
      <c r="O805" s="152">
        <f t="shared" si="238"/>
        <v>0</v>
      </c>
      <c r="P805" s="126">
        <f>IF(E805="Y",0,SUMIFS('Support - Transition'!G:G,'Support - Transition'!J:J,'Step 2'!D805,'Support - Transition'!E:E,"2009 SCHOOL ALLOCATION FACTOR"))</f>
        <v>0</v>
      </c>
      <c r="Q805" s="126">
        <f>IF(E805="Y",VLOOKUP(D805,'Support - Unit Adjustments'!F:G,2,FALSE),0)</f>
        <v>0</v>
      </c>
      <c r="R805" s="155">
        <f t="shared" si="250"/>
        <v>0</v>
      </c>
      <c r="S805" s="47">
        <f t="shared" si="249"/>
        <v>0</v>
      </c>
      <c r="T805" s="151">
        <f t="shared" si="234"/>
        <v>0</v>
      </c>
      <c r="U805" s="151">
        <f t="shared" si="235"/>
        <v>0</v>
      </c>
      <c r="V805" s="139">
        <f t="shared" si="236"/>
        <v>0</v>
      </c>
      <c r="W805" s="152">
        <f t="shared" si="239"/>
        <v>0</v>
      </c>
      <c r="X805" s="127" t="str">
        <f t="shared" si="237"/>
        <v/>
      </c>
      <c r="Y805" s="207">
        <f t="shared" si="240"/>
        <v>0</v>
      </c>
      <c r="Z805" s="139">
        <f t="shared" si="241"/>
        <v>0</v>
      </c>
      <c r="AA805" s="139">
        <f t="shared" si="242"/>
        <v>0</v>
      </c>
      <c r="AC805" s="47">
        <f t="shared" si="243"/>
        <v>0</v>
      </c>
      <c r="AD805" s="47">
        <f t="shared" si="244"/>
        <v>0</v>
      </c>
      <c r="AE805" s="47">
        <f t="shared" si="245"/>
        <v>0</v>
      </c>
      <c r="AG805" s="47">
        <f t="shared" si="246"/>
        <v>0</v>
      </c>
      <c r="AH805" s="47">
        <f t="shared" si="247"/>
        <v>0</v>
      </c>
      <c r="AI805" s="208">
        <f t="shared" si="248"/>
        <v>0</v>
      </c>
    </row>
    <row r="806" spans="1:35">
      <c r="A806" t="s">
        <v>2115</v>
      </c>
      <c r="B806" s="48" t="s">
        <v>6274</v>
      </c>
      <c r="C806" t="s">
        <v>2187</v>
      </c>
      <c r="D806" t="str">
        <f>A806&amp;B806&amp;C806</f>
        <v>2900000</v>
      </c>
      <c r="F806" t="s">
        <v>6303</v>
      </c>
      <c r="G806" s="126">
        <f>SUMIFS('Support - Transition'!F:F,'Support - Transition'!B:B,'Step 2'!A806,'Support - Transition'!C:C,'Step 2'!B806,'Support - Transition'!D:D,'Step 2'!C806,'Support - Transition'!E:E,"CIVIL")</f>
        <v>0</v>
      </c>
      <c r="H806" s="126">
        <f>SUMIFS('Support - Transition'!F:F,'Support - Transition'!B:B,'Step 2'!A806,'Support - Transition'!C:C,'Step 2'!B806,'Support - Transition'!D:D,'Step 2'!C806,'Support - Transition'!E:E,"FIRE")</f>
        <v>0</v>
      </c>
      <c r="I806" s="126">
        <f>IF(B806="0",SUMIFS('Support - Transition'!F:F,'Support - Transition'!J:J,'Step 2'!D806,'Support - Transition'!E:E,"STATE UNIT"),SUMIFS('Support - Transition'!F:F,'Support - Transition'!J:J,'Step 2'!D806))</f>
        <v>1.1310000000000001E-3</v>
      </c>
      <c r="J806" s="126">
        <f>SUMIFS('Support - Unit Adjustments'!E:E,'Support - Unit Adjustments'!F:F,'Step 2'!D806)</f>
        <v>0</v>
      </c>
      <c r="K806" s="126">
        <f t="shared" si="232"/>
        <v>1.1310000000000001E-3</v>
      </c>
      <c r="L806" s="174">
        <f>VLOOKUP(A806,'Step 1'!$A:$E,4,FALSE)</f>
        <v>1343409</v>
      </c>
      <c r="M806" s="47">
        <f t="shared" si="233"/>
        <v>1519</v>
      </c>
      <c r="N806" s="177">
        <f>SUMIFS('Support - Transition'!G:G,'Support - Transition'!J:J,'Step 2'!D806,'Support - Transition'!E:E,"2009 WELFARE ALLOCATION FACTOR")</f>
        <v>0</v>
      </c>
      <c r="O806" s="152">
        <f t="shared" si="238"/>
        <v>0</v>
      </c>
      <c r="P806" s="126">
        <f>IF(E806="Y",0,SUMIFS('Support - Transition'!G:G,'Support - Transition'!J:J,'Step 2'!D806,'Support - Transition'!E:E,"2009 SCHOOL ALLOCATION FACTOR"))</f>
        <v>0</v>
      </c>
      <c r="Q806" s="126">
        <f>IF(E806="Y",VLOOKUP(D806,'Support - Unit Adjustments'!F:G,2,FALSE),0)</f>
        <v>0</v>
      </c>
      <c r="R806" s="155">
        <f t="shared" si="250"/>
        <v>0</v>
      </c>
      <c r="S806" s="47">
        <f t="shared" si="249"/>
        <v>0</v>
      </c>
      <c r="T806" s="151">
        <f t="shared" si="234"/>
        <v>1519</v>
      </c>
      <c r="U806" s="151">
        <f t="shared" si="235"/>
        <v>1343409</v>
      </c>
      <c r="V806" s="139">
        <f t="shared" si="236"/>
        <v>0</v>
      </c>
      <c r="W806" s="152">
        <f t="shared" si="239"/>
        <v>1519</v>
      </c>
      <c r="X806" s="127">
        <f t="shared" si="237"/>
        <v>0</v>
      </c>
      <c r="Y806" s="207">
        <f t="shared" si="240"/>
        <v>1519</v>
      </c>
      <c r="Z806" s="139">
        <f t="shared" si="241"/>
        <v>1519</v>
      </c>
      <c r="AA806" s="139">
        <f t="shared" si="242"/>
        <v>0</v>
      </c>
      <c r="AC806" s="47">
        <f t="shared" si="243"/>
        <v>760</v>
      </c>
      <c r="AD806" s="47">
        <f t="shared" si="244"/>
        <v>760</v>
      </c>
      <c r="AE806" s="47">
        <f t="shared" si="245"/>
        <v>0</v>
      </c>
      <c r="AG806" s="47">
        <f t="shared" si="246"/>
        <v>759</v>
      </c>
      <c r="AH806" s="47">
        <f t="shared" si="247"/>
        <v>759</v>
      </c>
      <c r="AI806" s="208">
        <f t="shared" si="248"/>
        <v>0</v>
      </c>
    </row>
    <row r="807" spans="1:35">
      <c r="A807" t="s">
        <v>2115</v>
      </c>
      <c r="B807" t="s">
        <v>3140</v>
      </c>
      <c r="C807" t="s">
        <v>2187</v>
      </c>
      <c r="D807" t="s">
        <v>4096</v>
      </c>
      <c r="F807" t="s">
        <v>646</v>
      </c>
      <c r="G807" s="126">
        <f>SUMIFS('Support - Transition'!F:F,'Support - Transition'!B:B,'Step 2'!A807,'Support - Transition'!C:C,'Step 2'!B807,'Support - Transition'!D:D,'Step 2'!C807,'Support - Transition'!E:E,"CIVIL")</f>
        <v>0</v>
      </c>
      <c r="H807" s="126">
        <f>SUMIFS('Support - Transition'!F:F,'Support - Transition'!B:B,'Step 2'!A807,'Support - Transition'!C:C,'Step 2'!B807,'Support - Transition'!D:D,'Step 2'!C807,'Support - Transition'!E:E,"FIRE")</f>
        <v>0</v>
      </c>
      <c r="I807" s="126">
        <f>IF(B807="0",SUMIFS('Support - Transition'!F:F,'Support - Transition'!J:J,'Step 2'!D807,'Support - Transition'!E:E,"STATE UNIT"),SUMIFS('Support - Transition'!F:F,'Support - Transition'!J:J,'Step 2'!D807))</f>
        <v>0.115262</v>
      </c>
      <c r="J807" s="126">
        <f>SUMIFS('Support - Unit Adjustments'!E:E,'Support - Unit Adjustments'!F:F,'Step 2'!D807)</f>
        <v>0</v>
      </c>
      <c r="K807" s="126">
        <f t="shared" si="232"/>
        <v>0.115262</v>
      </c>
      <c r="L807" s="174">
        <f>VLOOKUP(A807,'Step 1'!$A:$E,4,FALSE)</f>
        <v>1343409</v>
      </c>
      <c r="M807" s="47">
        <f t="shared" si="233"/>
        <v>154844</v>
      </c>
      <c r="N807" s="177">
        <f>SUMIFS('Support - Transition'!G:G,'Support - Transition'!J:J,'Step 2'!D807,'Support - Transition'!E:E,"2009 WELFARE ALLOCATION FACTOR")</f>
        <v>5.8915000000000002E-2</v>
      </c>
      <c r="O807" s="152">
        <f t="shared" si="238"/>
        <v>9123</v>
      </c>
      <c r="P807" s="126">
        <f>IF(E807="Y",0,SUMIFS('Support - Transition'!G:G,'Support - Transition'!J:J,'Step 2'!D807,'Support - Transition'!E:E,"2009 SCHOOL ALLOCATION FACTOR"))</f>
        <v>0</v>
      </c>
      <c r="Q807" s="126">
        <f>IF(E807="Y",VLOOKUP(D807,'Support - Unit Adjustments'!F:G,2,FALSE),0)</f>
        <v>0</v>
      </c>
      <c r="R807" s="155">
        <f t="shared" si="250"/>
        <v>0</v>
      </c>
      <c r="S807" s="47">
        <f t="shared" si="249"/>
        <v>0</v>
      </c>
      <c r="T807" s="151">
        <f t="shared" si="234"/>
        <v>145721</v>
      </c>
      <c r="U807" s="151">
        <f t="shared" si="235"/>
        <v>0</v>
      </c>
      <c r="V807" s="139">
        <f t="shared" si="236"/>
        <v>0</v>
      </c>
      <c r="W807" s="152">
        <f t="shared" si="239"/>
        <v>145721</v>
      </c>
      <c r="X807" s="127" t="str">
        <f t="shared" si="237"/>
        <v/>
      </c>
      <c r="Y807" s="207">
        <f t="shared" si="240"/>
        <v>145721</v>
      </c>
      <c r="Z807" s="139">
        <f t="shared" si="241"/>
        <v>145721</v>
      </c>
      <c r="AA807" s="139">
        <f t="shared" si="242"/>
        <v>0</v>
      </c>
      <c r="AC807" s="47">
        <f t="shared" si="243"/>
        <v>72861</v>
      </c>
      <c r="AD807" s="47">
        <f t="shared" si="244"/>
        <v>72861</v>
      </c>
      <c r="AE807" s="47">
        <f t="shared" si="245"/>
        <v>0</v>
      </c>
      <c r="AG807" s="47">
        <f t="shared" si="246"/>
        <v>72860</v>
      </c>
      <c r="AH807" s="47">
        <f t="shared" si="247"/>
        <v>72860</v>
      </c>
      <c r="AI807" s="208">
        <f t="shared" si="248"/>
        <v>0</v>
      </c>
    </row>
    <row r="808" spans="1:35">
      <c r="A808" t="s">
        <v>2115</v>
      </c>
      <c r="B808" t="s">
        <v>3142</v>
      </c>
      <c r="C808" t="s">
        <v>2188</v>
      </c>
      <c r="D808" t="s">
        <v>4097</v>
      </c>
      <c r="F808" t="s">
        <v>46</v>
      </c>
      <c r="G808" s="126">
        <f>SUMIFS('Support - Transition'!F:F,'Support - Transition'!B:B,'Step 2'!A808,'Support - Transition'!C:C,'Step 2'!B808,'Support - Transition'!D:D,'Step 2'!C808,'Support - Transition'!E:E,"CIVIL")</f>
        <v>0</v>
      </c>
      <c r="H808" s="126">
        <f>SUMIFS('Support - Transition'!F:F,'Support - Transition'!B:B,'Step 2'!A808,'Support - Transition'!C:C,'Step 2'!B808,'Support - Transition'!D:D,'Step 2'!C808,'Support - Transition'!E:E,"FIRE")</f>
        <v>0</v>
      </c>
      <c r="I808" s="126">
        <f>IF(B808="0",SUMIFS('Support - Transition'!F:F,'Support - Transition'!J:J,'Step 2'!D808,'Support - Transition'!E:E,"STATE UNIT"),SUMIFS('Support - Transition'!F:F,'Support - Transition'!J:J,'Step 2'!D808))</f>
        <v>0</v>
      </c>
      <c r="J808" s="126">
        <f>SUMIFS('Support - Unit Adjustments'!E:E,'Support - Unit Adjustments'!F:F,'Step 2'!D808)</f>
        <v>0</v>
      </c>
      <c r="K808" s="126">
        <f t="shared" si="232"/>
        <v>0</v>
      </c>
      <c r="L808" s="174">
        <f>VLOOKUP(A808,'Step 1'!$A:$E,4,FALSE)</f>
        <v>1343409</v>
      </c>
      <c r="M808" s="47">
        <f t="shared" si="233"/>
        <v>0</v>
      </c>
      <c r="N808" s="177">
        <f>SUMIFS('Support - Transition'!G:G,'Support - Transition'!J:J,'Step 2'!D808,'Support - Transition'!E:E,"2009 WELFARE ALLOCATION FACTOR")</f>
        <v>0</v>
      </c>
      <c r="O808" s="152">
        <f t="shared" si="238"/>
        <v>0</v>
      </c>
      <c r="P808" s="126">
        <f>IF(E808="Y",0,SUMIFS('Support - Transition'!G:G,'Support - Transition'!J:J,'Step 2'!D808,'Support - Transition'!E:E,"2009 SCHOOL ALLOCATION FACTOR"))</f>
        <v>0</v>
      </c>
      <c r="Q808" s="126">
        <f>IF(E808="Y",VLOOKUP(D808,'Support - Unit Adjustments'!F:G,2,FALSE),0)</f>
        <v>0</v>
      </c>
      <c r="R808" s="155">
        <f t="shared" si="250"/>
        <v>0</v>
      </c>
      <c r="S808" s="47">
        <f t="shared" si="249"/>
        <v>0</v>
      </c>
      <c r="T808" s="151">
        <f t="shared" si="234"/>
        <v>0</v>
      </c>
      <c r="U808" s="151">
        <f t="shared" si="235"/>
        <v>0</v>
      </c>
      <c r="V808" s="139">
        <f t="shared" si="236"/>
        <v>0</v>
      </c>
      <c r="W808" s="152">
        <f t="shared" si="239"/>
        <v>0</v>
      </c>
      <c r="X808" s="127" t="str">
        <f t="shared" si="237"/>
        <v/>
      </c>
      <c r="Y808" s="207">
        <f t="shared" si="240"/>
        <v>0</v>
      </c>
      <c r="Z808" s="139">
        <f t="shared" si="241"/>
        <v>0</v>
      </c>
      <c r="AA808" s="139">
        <f t="shared" si="242"/>
        <v>0</v>
      </c>
      <c r="AC808" s="47">
        <f t="shared" si="243"/>
        <v>0</v>
      </c>
      <c r="AD808" s="47">
        <f t="shared" si="244"/>
        <v>0</v>
      </c>
      <c r="AE808" s="47">
        <f t="shared" si="245"/>
        <v>0</v>
      </c>
      <c r="AG808" s="47">
        <f t="shared" si="246"/>
        <v>0</v>
      </c>
      <c r="AH808" s="47">
        <f t="shared" si="247"/>
        <v>0</v>
      </c>
      <c r="AI808" s="208">
        <f t="shared" si="248"/>
        <v>0</v>
      </c>
    </row>
    <row r="809" spans="1:35">
      <c r="A809" t="s">
        <v>2115</v>
      </c>
      <c r="B809" t="s">
        <v>3142</v>
      </c>
      <c r="C809" t="s">
        <v>2189</v>
      </c>
      <c r="D809" t="s">
        <v>4098</v>
      </c>
      <c r="F809" t="s">
        <v>81</v>
      </c>
      <c r="G809" s="126">
        <f>SUMIFS('Support - Transition'!F:F,'Support - Transition'!B:B,'Step 2'!A809,'Support - Transition'!C:C,'Step 2'!B809,'Support - Transition'!D:D,'Step 2'!C809,'Support - Transition'!E:E,"CIVIL")</f>
        <v>5.2050000000000004E-3</v>
      </c>
      <c r="H809" s="126">
        <f>SUMIFS('Support - Transition'!F:F,'Support - Transition'!B:B,'Step 2'!A809,'Support - Transition'!C:C,'Step 2'!B809,'Support - Transition'!D:D,'Step 2'!C809,'Support - Transition'!E:E,"FIRE")</f>
        <v>8.3600000000000005E-4</v>
      </c>
      <c r="I809" s="126">
        <f>IF(B809="0",SUMIFS('Support - Transition'!F:F,'Support - Transition'!J:J,'Step 2'!D809,'Support - Transition'!E:E,"STATE UNIT"),SUMIFS('Support - Transition'!F:F,'Support - Transition'!J:J,'Step 2'!D809))</f>
        <v>6.0410000000000004E-3</v>
      </c>
      <c r="J809" s="126">
        <f>SUMIFS('Support - Unit Adjustments'!E:E,'Support - Unit Adjustments'!F:F,'Step 2'!D809)</f>
        <v>0</v>
      </c>
      <c r="K809" s="126">
        <f t="shared" si="232"/>
        <v>6.0410000000000004E-3</v>
      </c>
      <c r="L809" s="174">
        <f>VLOOKUP(A809,'Step 1'!$A:$E,4,FALSE)</f>
        <v>1343409</v>
      </c>
      <c r="M809" s="47">
        <f t="shared" si="233"/>
        <v>8116</v>
      </c>
      <c r="N809" s="177">
        <f>SUMIFS('Support - Transition'!G:G,'Support - Transition'!J:J,'Step 2'!D809,'Support - Transition'!E:E,"2009 WELFARE ALLOCATION FACTOR")</f>
        <v>0</v>
      </c>
      <c r="O809" s="152">
        <f t="shared" si="238"/>
        <v>0</v>
      </c>
      <c r="P809" s="126">
        <f>IF(E809="Y",0,SUMIFS('Support - Transition'!G:G,'Support - Transition'!J:J,'Step 2'!D809,'Support - Transition'!E:E,"2009 SCHOOL ALLOCATION FACTOR"))</f>
        <v>0</v>
      </c>
      <c r="Q809" s="126">
        <f>IF(E809="Y",VLOOKUP(D809,'Support - Unit Adjustments'!F:G,2,FALSE),0)</f>
        <v>0</v>
      </c>
      <c r="R809" s="155">
        <f t="shared" si="250"/>
        <v>0</v>
      </c>
      <c r="S809" s="47">
        <f t="shared" si="249"/>
        <v>0</v>
      </c>
      <c r="T809" s="151">
        <f t="shared" si="234"/>
        <v>8116</v>
      </c>
      <c r="U809" s="151">
        <f t="shared" si="235"/>
        <v>0</v>
      </c>
      <c r="V809" s="139">
        <f t="shared" si="236"/>
        <v>0</v>
      </c>
      <c r="W809" s="152">
        <f t="shared" si="239"/>
        <v>8116</v>
      </c>
      <c r="X809" s="127" t="str">
        <f t="shared" si="237"/>
        <v/>
      </c>
      <c r="Y809" s="207">
        <f t="shared" si="240"/>
        <v>8116</v>
      </c>
      <c r="Z809" s="139">
        <f t="shared" si="241"/>
        <v>6993</v>
      </c>
      <c r="AA809" s="139">
        <f t="shared" si="242"/>
        <v>1123</v>
      </c>
      <c r="AC809" s="47">
        <f t="shared" si="243"/>
        <v>4058</v>
      </c>
      <c r="AD809" s="47">
        <f t="shared" si="244"/>
        <v>3497</v>
      </c>
      <c r="AE809" s="47">
        <f t="shared" si="245"/>
        <v>562</v>
      </c>
      <c r="AG809" s="47">
        <f t="shared" si="246"/>
        <v>4058</v>
      </c>
      <c r="AH809" s="47">
        <f t="shared" si="247"/>
        <v>3496</v>
      </c>
      <c r="AI809" s="208">
        <f t="shared" si="248"/>
        <v>561</v>
      </c>
    </row>
    <row r="810" spans="1:35">
      <c r="A810" t="s">
        <v>2115</v>
      </c>
      <c r="B810" t="s">
        <v>3142</v>
      </c>
      <c r="C810" t="s">
        <v>2190</v>
      </c>
      <c r="D810" t="s">
        <v>4099</v>
      </c>
      <c r="F810" t="s">
        <v>400</v>
      </c>
      <c r="G810" s="126">
        <f>SUMIFS('Support - Transition'!F:F,'Support - Transition'!B:B,'Step 2'!A810,'Support - Transition'!C:C,'Step 2'!B810,'Support - Transition'!D:D,'Step 2'!C810,'Support - Transition'!E:E,"CIVIL")</f>
        <v>2.333E-3</v>
      </c>
      <c r="H810" s="126">
        <f>SUMIFS('Support - Transition'!F:F,'Support - Transition'!B:B,'Step 2'!A810,'Support - Transition'!C:C,'Step 2'!B810,'Support - Transition'!D:D,'Step 2'!C810,'Support - Transition'!E:E,"FIRE")</f>
        <v>1.4200000000000001E-4</v>
      </c>
      <c r="I810" s="126">
        <f>IF(B810="0",SUMIFS('Support - Transition'!F:F,'Support - Transition'!J:J,'Step 2'!D810,'Support - Transition'!E:E,"STATE UNIT"),SUMIFS('Support - Transition'!F:F,'Support - Transition'!J:J,'Step 2'!D810))</f>
        <v>2.4750000000000002E-3</v>
      </c>
      <c r="J810" s="126">
        <f>SUMIFS('Support - Unit Adjustments'!E:E,'Support - Unit Adjustments'!F:F,'Step 2'!D810)</f>
        <v>0</v>
      </c>
      <c r="K810" s="126">
        <f t="shared" si="232"/>
        <v>2.4750000000000002E-3</v>
      </c>
      <c r="L810" s="174">
        <f>VLOOKUP(A810,'Step 1'!$A:$E,4,FALSE)</f>
        <v>1343409</v>
      </c>
      <c r="M810" s="47">
        <f t="shared" si="233"/>
        <v>3325</v>
      </c>
      <c r="N810" s="177">
        <f>SUMIFS('Support - Transition'!G:G,'Support - Transition'!J:J,'Step 2'!D810,'Support - Transition'!E:E,"2009 WELFARE ALLOCATION FACTOR")</f>
        <v>0</v>
      </c>
      <c r="O810" s="152">
        <f t="shared" si="238"/>
        <v>0</v>
      </c>
      <c r="P810" s="126">
        <f>IF(E810="Y",0,SUMIFS('Support - Transition'!G:G,'Support - Transition'!J:J,'Step 2'!D810,'Support - Transition'!E:E,"2009 SCHOOL ALLOCATION FACTOR"))</f>
        <v>0</v>
      </c>
      <c r="Q810" s="126">
        <f>IF(E810="Y",VLOOKUP(D810,'Support - Unit Adjustments'!F:G,2,FALSE),0)</f>
        <v>0</v>
      </c>
      <c r="R810" s="155">
        <f t="shared" si="250"/>
        <v>0</v>
      </c>
      <c r="S810" s="47">
        <f t="shared" si="249"/>
        <v>0</v>
      </c>
      <c r="T810" s="151">
        <f t="shared" si="234"/>
        <v>3325</v>
      </c>
      <c r="U810" s="151">
        <f t="shared" si="235"/>
        <v>0</v>
      </c>
      <c r="V810" s="139">
        <f t="shared" si="236"/>
        <v>0</v>
      </c>
      <c r="W810" s="152">
        <f t="shared" si="239"/>
        <v>3325</v>
      </c>
      <c r="X810" s="127" t="str">
        <f t="shared" si="237"/>
        <v/>
      </c>
      <c r="Y810" s="207">
        <f t="shared" si="240"/>
        <v>3325</v>
      </c>
      <c r="Z810" s="139">
        <f t="shared" si="241"/>
        <v>3134</v>
      </c>
      <c r="AA810" s="139">
        <f t="shared" si="242"/>
        <v>191</v>
      </c>
      <c r="AC810" s="47">
        <f t="shared" si="243"/>
        <v>1663</v>
      </c>
      <c r="AD810" s="47">
        <f t="shared" si="244"/>
        <v>1567</v>
      </c>
      <c r="AE810" s="47">
        <f t="shared" si="245"/>
        <v>96</v>
      </c>
      <c r="AG810" s="47">
        <f t="shared" si="246"/>
        <v>1662</v>
      </c>
      <c r="AH810" s="47">
        <f t="shared" si="247"/>
        <v>1567</v>
      </c>
      <c r="AI810" s="208">
        <f t="shared" si="248"/>
        <v>95</v>
      </c>
    </row>
    <row r="811" spans="1:35">
      <c r="A811" t="s">
        <v>2115</v>
      </c>
      <c r="B811" t="s">
        <v>3142</v>
      </c>
      <c r="C811" t="s">
        <v>2191</v>
      </c>
      <c r="D811" t="s">
        <v>4100</v>
      </c>
      <c r="F811" t="s">
        <v>647</v>
      </c>
      <c r="G811" s="126">
        <f>SUMIFS('Support - Transition'!F:F,'Support - Transition'!B:B,'Step 2'!A811,'Support - Transition'!C:C,'Step 2'!B811,'Support - Transition'!D:D,'Step 2'!C811,'Support - Transition'!E:E,"CIVIL")</f>
        <v>7.2099999999999996E-4</v>
      </c>
      <c r="H811" s="126">
        <f>SUMIFS('Support - Transition'!F:F,'Support - Transition'!B:B,'Step 2'!A811,'Support - Transition'!C:C,'Step 2'!B811,'Support - Transition'!D:D,'Step 2'!C811,'Support - Transition'!E:E,"FIRE")</f>
        <v>5.22E-4</v>
      </c>
      <c r="I811" s="126">
        <f>IF(B811="0",SUMIFS('Support - Transition'!F:F,'Support - Transition'!J:J,'Step 2'!D811,'Support - Transition'!E:E,"STATE UNIT"),SUMIFS('Support - Transition'!F:F,'Support - Transition'!J:J,'Step 2'!D811))</f>
        <v>1.243E-3</v>
      </c>
      <c r="J811" s="126">
        <f>SUMIFS('Support - Unit Adjustments'!E:E,'Support - Unit Adjustments'!F:F,'Step 2'!D811)</f>
        <v>0</v>
      </c>
      <c r="K811" s="126">
        <f t="shared" si="232"/>
        <v>1.243E-3</v>
      </c>
      <c r="L811" s="174">
        <f>VLOOKUP(A811,'Step 1'!$A:$E,4,FALSE)</f>
        <v>1343409</v>
      </c>
      <c r="M811" s="47">
        <f t="shared" si="233"/>
        <v>1670</v>
      </c>
      <c r="N811" s="177">
        <f>SUMIFS('Support - Transition'!G:G,'Support - Transition'!J:J,'Step 2'!D811,'Support - Transition'!E:E,"2009 WELFARE ALLOCATION FACTOR")</f>
        <v>0</v>
      </c>
      <c r="O811" s="152">
        <f t="shared" si="238"/>
        <v>0</v>
      </c>
      <c r="P811" s="126">
        <f>IF(E811="Y",0,SUMIFS('Support - Transition'!G:G,'Support - Transition'!J:J,'Step 2'!D811,'Support - Transition'!E:E,"2009 SCHOOL ALLOCATION FACTOR"))</f>
        <v>0</v>
      </c>
      <c r="Q811" s="126">
        <f>IF(E811="Y",VLOOKUP(D811,'Support - Unit Adjustments'!F:G,2,FALSE),0)</f>
        <v>0</v>
      </c>
      <c r="R811" s="155">
        <f t="shared" si="250"/>
        <v>0</v>
      </c>
      <c r="S811" s="47">
        <f t="shared" si="249"/>
        <v>0</v>
      </c>
      <c r="T811" s="151">
        <f t="shared" si="234"/>
        <v>1670</v>
      </c>
      <c r="U811" s="151">
        <f t="shared" si="235"/>
        <v>0</v>
      </c>
      <c r="V811" s="139">
        <f t="shared" si="236"/>
        <v>0</v>
      </c>
      <c r="W811" s="152">
        <f t="shared" si="239"/>
        <v>1670</v>
      </c>
      <c r="X811" s="127" t="str">
        <f t="shared" si="237"/>
        <v/>
      </c>
      <c r="Y811" s="207">
        <f t="shared" si="240"/>
        <v>1670</v>
      </c>
      <c r="Z811" s="139">
        <f t="shared" si="241"/>
        <v>969</v>
      </c>
      <c r="AA811" s="139">
        <f t="shared" si="242"/>
        <v>701</v>
      </c>
      <c r="AC811" s="47">
        <f t="shared" si="243"/>
        <v>835</v>
      </c>
      <c r="AD811" s="47">
        <f t="shared" si="244"/>
        <v>485</v>
      </c>
      <c r="AE811" s="47">
        <f t="shared" si="245"/>
        <v>351</v>
      </c>
      <c r="AG811" s="47">
        <f t="shared" si="246"/>
        <v>835</v>
      </c>
      <c r="AH811" s="47">
        <f t="shared" si="247"/>
        <v>484</v>
      </c>
      <c r="AI811" s="208">
        <f t="shared" si="248"/>
        <v>350</v>
      </c>
    </row>
    <row r="812" spans="1:35">
      <c r="A812" t="s">
        <v>2115</v>
      </c>
      <c r="B812" t="s">
        <v>3142</v>
      </c>
      <c r="C812" t="s">
        <v>2192</v>
      </c>
      <c r="D812" t="s">
        <v>4101</v>
      </c>
      <c r="F812" t="s">
        <v>49</v>
      </c>
      <c r="G812" s="126">
        <f>SUMIFS('Support - Transition'!F:F,'Support - Transition'!B:B,'Step 2'!A812,'Support - Transition'!C:C,'Step 2'!B812,'Support - Transition'!D:D,'Step 2'!C812,'Support - Transition'!E:E,"CIVIL")</f>
        <v>5.1400000000000003E-4</v>
      </c>
      <c r="H812" s="126">
        <f>SUMIFS('Support - Transition'!F:F,'Support - Transition'!B:B,'Step 2'!A812,'Support - Transition'!C:C,'Step 2'!B812,'Support - Transition'!D:D,'Step 2'!C812,'Support - Transition'!E:E,"FIRE")</f>
        <v>2.4699999999999999E-4</v>
      </c>
      <c r="I812" s="126">
        <f>IF(B812="0",SUMIFS('Support - Transition'!F:F,'Support - Transition'!J:J,'Step 2'!D812,'Support - Transition'!E:E,"STATE UNIT"),SUMIFS('Support - Transition'!F:F,'Support - Transition'!J:J,'Step 2'!D812))</f>
        <v>7.6099999999999996E-4</v>
      </c>
      <c r="J812" s="126">
        <f>SUMIFS('Support - Unit Adjustments'!E:E,'Support - Unit Adjustments'!F:F,'Step 2'!D812)</f>
        <v>0</v>
      </c>
      <c r="K812" s="126">
        <f t="shared" si="232"/>
        <v>7.6099999999999996E-4</v>
      </c>
      <c r="L812" s="174">
        <f>VLOOKUP(A812,'Step 1'!$A:$E,4,FALSE)</f>
        <v>1343409</v>
      </c>
      <c r="M812" s="47">
        <f t="shared" si="233"/>
        <v>1022</v>
      </c>
      <c r="N812" s="177">
        <f>SUMIFS('Support - Transition'!G:G,'Support - Transition'!J:J,'Step 2'!D812,'Support - Transition'!E:E,"2009 WELFARE ALLOCATION FACTOR")</f>
        <v>0</v>
      </c>
      <c r="O812" s="152">
        <f t="shared" si="238"/>
        <v>0</v>
      </c>
      <c r="P812" s="126">
        <f>IF(E812="Y",0,SUMIFS('Support - Transition'!G:G,'Support - Transition'!J:J,'Step 2'!D812,'Support - Transition'!E:E,"2009 SCHOOL ALLOCATION FACTOR"))</f>
        <v>0</v>
      </c>
      <c r="Q812" s="126">
        <f>IF(E812="Y",VLOOKUP(D812,'Support - Unit Adjustments'!F:G,2,FALSE),0)</f>
        <v>0</v>
      </c>
      <c r="R812" s="155">
        <f t="shared" si="250"/>
        <v>0</v>
      </c>
      <c r="S812" s="47">
        <f t="shared" si="249"/>
        <v>0</v>
      </c>
      <c r="T812" s="151">
        <f t="shared" si="234"/>
        <v>1022</v>
      </c>
      <c r="U812" s="151">
        <f t="shared" si="235"/>
        <v>0</v>
      </c>
      <c r="V812" s="139">
        <f t="shared" si="236"/>
        <v>0</v>
      </c>
      <c r="W812" s="152">
        <f t="shared" si="239"/>
        <v>1022</v>
      </c>
      <c r="X812" s="127" t="str">
        <f t="shared" si="237"/>
        <v/>
      </c>
      <c r="Y812" s="207">
        <f t="shared" si="240"/>
        <v>1022</v>
      </c>
      <c r="Z812" s="139">
        <f t="shared" si="241"/>
        <v>690</v>
      </c>
      <c r="AA812" s="139">
        <f t="shared" si="242"/>
        <v>332</v>
      </c>
      <c r="AC812" s="47">
        <f t="shared" si="243"/>
        <v>511</v>
      </c>
      <c r="AD812" s="47">
        <f t="shared" si="244"/>
        <v>345</v>
      </c>
      <c r="AE812" s="47">
        <f t="shared" si="245"/>
        <v>166</v>
      </c>
      <c r="AG812" s="47">
        <f t="shared" si="246"/>
        <v>511</v>
      </c>
      <c r="AH812" s="47">
        <f t="shared" si="247"/>
        <v>345</v>
      </c>
      <c r="AI812" s="208">
        <f t="shared" si="248"/>
        <v>166</v>
      </c>
    </row>
    <row r="813" spans="1:35">
      <c r="A813" t="s">
        <v>2115</v>
      </c>
      <c r="B813" t="s">
        <v>3142</v>
      </c>
      <c r="C813" t="s">
        <v>2193</v>
      </c>
      <c r="D813" t="s">
        <v>4102</v>
      </c>
      <c r="F813" t="s">
        <v>648</v>
      </c>
      <c r="G813" s="126">
        <f>SUMIFS('Support - Transition'!F:F,'Support - Transition'!B:B,'Step 2'!A813,'Support - Transition'!C:C,'Step 2'!B813,'Support - Transition'!D:D,'Step 2'!C813,'Support - Transition'!E:E,"CIVIL")</f>
        <v>6.9249999999999997E-3</v>
      </c>
      <c r="H813" s="126">
        <f>SUMIFS('Support - Transition'!F:F,'Support - Transition'!B:B,'Step 2'!A813,'Support - Transition'!C:C,'Step 2'!B813,'Support - Transition'!D:D,'Step 2'!C813,'Support - Transition'!E:E,"FIRE")</f>
        <v>1.5889999999999999E-3</v>
      </c>
      <c r="I813" s="126">
        <f>IF(B813="0",SUMIFS('Support - Transition'!F:F,'Support - Transition'!J:J,'Step 2'!D813,'Support - Transition'!E:E,"STATE UNIT"),SUMIFS('Support - Transition'!F:F,'Support - Transition'!J:J,'Step 2'!D813))</f>
        <v>8.513999999999999E-3</v>
      </c>
      <c r="J813" s="126">
        <f>SUMIFS('Support - Unit Adjustments'!E:E,'Support - Unit Adjustments'!F:F,'Step 2'!D813)</f>
        <v>0</v>
      </c>
      <c r="K813" s="126">
        <f t="shared" si="232"/>
        <v>8.513999999999999E-3</v>
      </c>
      <c r="L813" s="174">
        <f>VLOOKUP(A813,'Step 1'!$A:$E,4,FALSE)</f>
        <v>1343409</v>
      </c>
      <c r="M813" s="47">
        <f t="shared" si="233"/>
        <v>11438</v>
      </c>
      <c r="N813" s="177">
        <f>SUMIFS('Support - Transition'!G:G,'Support - Transition'!J:J,'Step 2'!D813,'Support - Transition'!E:E,"2009 WELFARE ALLOCATION FACTOR")</f>
        <v>0</v>
      </c>
      <c r="O813" s="152">
        <f t="shared" si="238"/>
        <v>0</v>
      </c>
      <c r="P813" s="126">
        <f>IF(E813="Y",0,SUMIFS('Support - Transition'!G:G,'Support - Transition'!J:J,'Step 2'!D813,'Support - Transition'!E:E,"2009 SCHOOL ALLOCATION FACTOR"))</f>
        <v>0</v>
      </c>
      <c r="Q813" s="126">
        <f>IF(E813="Y",VLOOKUP(D813,'Support - Unit Adjustments'!F:G,2,FALSE),0)</f>
        <v>0</v>
      </c>
      <c r="R813" s="155">
        <f t="shared" si="250"/>
        <v>0</v>
      </c>
      <c r="S813" s="47">
        <f t="shared" si="249"/>
        <v>0</v>
      </c>
      <c r="T813" s="151">
        <f t="shared" si="234"/>
        <v>11438</v>
      </c>
      <c r="U813" s="151">
        <f t="shared" si="235"/>
        <v>0</v>
      </c>
      <c r="V813" s="139">
        <f t="shared" si="236"/>
        <v>0</v>
      </c>
      <c r="W813" s="152">
        <f t="shared" si="239"/>
        <v>11438</v>
      </c>
      <c r="X813" s="127" t="str">
        <f t="shared" si="237"/>
        <v/>
      </c>
      <c r="Y813" s="207">
        <f t="shared" si="240"/>
        <v>11438</v>
      </c>
      <c r="Z813" s="139">
        <f t="shared" si="241"/>
        <v>9303</v>
      </c>
      <c r="AA813" s="139">
        <f t="shared" si="242"/>
        <v>2135</v>
      </c>
      <c r="AC813" s="47">
        <f t="shared" si="243"/>
        <v>5719</v>
      </c>
      <c r="AD813" s="47">
        <f t="shared" si="244"/>
        <v>4652</v>
      </c>
      <c r="AE813" s="47">
        <f t="shared" si="245"/>
        <v>1068</v>
      </c>
      <c r="AG813" s="47">
        <f t="shared" si="246"/>
        <v>5719</v>
      </c>
      <c r="AH813" s="47">
        <f t="shared" si="247"/>
        <v>4651</v>
      </c>
      <c r="AI813" s="208">
        <f t="shared" si="248"/>
        <v>1067</v>
      </c>
    </row>
    <row r="814" spans="1:35">
      <c r="A814" t="s">
        <v>2115</v>
      </c>
      <c r="B814" t="s">
        <v>3142</v>
      </c>
      <c r="C814" t="s">
        <v>2194</v>
      </c>
      <c r="D814" t="s">
        <v>4103</v>
      </c>
      <c r="F814" t="s">
        <v>22</v>
      </c>
      <c r="G814" s="126">
        <f>SUMIFS('Support - Transition'!F:F,'Support - Transition'!B:B,'Step 2'!A814,'Support - Transition'!C:C,'Step 2'!B814,'Support - Transition'!D:D,'Step 2'!C814,'Support - Transition'!E:E,"CIVIL")</f>
        <v>6.3769999999999999E-3</v>
      </c>
      <c r="H814" s="126">
        <f>SUMIFS('Support - Transition'!F:F,'Support - Transition'!B:B,'Step 2'!A814,'Support - Transition'!C:C,'Step 2'!B814,'Support - Transition'!D:D,'Step 2'!C814,'Support - Transition'!E:E,"FIRE")</f>
        <v>1.286E-3</v>
      </c>
      <c r="I814" s="126">
        <f>IF(B814="0",SUMIFS('Support - Transition'!F:F,'Support - Transition'!J:J,'Step 2'!D814,'Support - Transition'!E:E,"STATE UNIT"),SUMIFS('Support - Transition'!F:F,'Support - Transition'!J:J,'Step 2'!D814))</f>
        <v>7.6629999999999997E-3</v>
      </c>
      <c r="J814" s="126">
        <f>SUMIFS('Support - Unit Adjustments'!E:E,'Support - Unit Adjustments'!F:F,'Step 2'!D814)</f>
        <v>0</v>
      </c>
      <c r="K814" s="126">
        <f t="shared" si="232"/>
        <v>7.6629999999999997E-3</v>
      </c>
      <c r="L814" s="174">
        <f>VLOOKUP(A814,'Step 1'!$A:$E,4,FALSE)</f>
        <v>1343409</v>
      </c>
      <c r="M814" s="47">
        <f t="shared" si="233"/>
        <v>10295</v>
      </c>
      <c r="N814" s="177">
        <f>SUMIFS('Support - Transition'!G:G,'Support - Transition'!J:J,'Step 2'!D814,'Support - Transition'!E:E,"2009 WELFARE ALLOCATION FACTOR")</f>
        <v>0</v>
      </c>
      <c r="O814" s="152">
        <f t="shared" si="238"/>
        <v>0</v>
      </c>
      <c r="P814" s="126">
        <f>IF(E814="Y",0,SUMIFS('Support - Transition'!G:G,'Support - Transition'!J:J,'Step 2'!D814,'Support - Transition'!E:E,"2009 SCHOOL ALLOCATION FACTOR"))</f>
        <v>0</v>
      </c>
      <c r="Q814" s="126">
        <f>IF(E814="Y",VLOOKUP(D814,'Support - Unit Adjustments'!F:G,2,FALSE),0)</f>
        <v>0</v>
      </c>
      <c r="R814" s="155">
        <f t="shared" si="250"/>
        <v>0</v>
      </c>
      <c r="S814" s="47">
        <f t="shared" si="249"/>
        <v>0</v>
      </c>
      <c r="T814" s="151">
        <f t="shared" si="234"/>
        <v>10295</v>
      </c>
      <c r="U814" s="151">
        <f t="shared" si="235"/>
        <v>0</v>
      </c>
      <c r="V814" s="139">
        <f t="shared" si="236"/>
        <v>0</v>
      </c>
      <c r="W814" s="152">
        <f t="shared" si="239"/>
        <v>10295</v>
      </c>
      <c r="X814" s="127" t="str">
        <f t="shared" si="237"/>
        <v/>
      </c>
      <c r="Y814" s="207">
        <f t="shared" si="240"/>
        <v>10295</v>
      </c>
      <c r="Z814" s="139">
        <f t="shared" si="241"/>
        <v>8567</v>
      </c>
      <c r="AA814" s="139">
        <f t="shared" si="242"/>
        <v>1728</v>
      </c>
      <c r="AC814" s="47">
        <f t="shared" si="243"/>
        <v>5148</v>
      </c>
      <c r="AD814" s="47">
        <f t="shared" si="244"/>
        <v>4284</v>
      </c>
      <c r="AE814" s="47">
        <f t="shared" si="245"/>
        <v>864</v>
      </c>
      <c r="AG814" s="47">
        <f t="shared" si="246"/>
        <v>5147</v>
      </c>
      <c r="AH814" s="47">
        <f t="shared" si="247"/>
        <v>4283</v>
      </c>
      <c r="AI814" s="208">
        <f t="shared" si="248"/>
        <v>864</v>
      </c>
    </row>
    <row r="815" spans="1:35">
      <c r="A815" t="s">
        <v>2115</v>
      </c>
      <c r="B815" t="s">
        <v>3142</v>
      </c>
      <c r="C815" t="s">
        <v>2195</v>
      </c>
      <c r="D815" t="s">
        <v>4104</v>
      </c>
      <c r="F815" t="s">
        <v>61</v>
      </c>
      <c r="G815" s="126">
        <f>SUMIFS('Support - Transition'!F:F,'Support - Transition'!B:B,'Step 2'!A815,'Support - Transition'!C:C,'Step 2'!B815,'Support - Transition'!D:D,'Step 2'!C815,'Support - Transition'!E:E,"CIVIL")</f>
        <v>1.6699999999999999E-4</v>
      </c>
      <c r="H815" s="126">
        <f>SUMIFS('Support - Transition'!F:F,'Support - Transition'!B:B,'Step 2'!A815,'Support - Transition'!C:C,'Step 2'!B815,'Support - Transition'!D:D,'Step 2'!C815,'Support - Transition'!E:E,"FIRE")</f>
        <v>5.9500000000000004E-4</v>
      </c>
      <c r="I815" s="126">
        <f>IF(B815="0",SUMIFS('Support - Transition'!F:F,'Support - Transition'!J:J,'Step 2'!D815,'Support - Transition'!E:E,"STATE UNIT"),SUMIFS('Support - Transition'!F:F,'Support - Transition'!J:J,'Step 2'!D815))</f>
        <v>7.6200000000000009E-4</v>
      </c>
      <c r="J815" s="126">
        <f>SUMIFS('Support - Unit Adjustments'!E:E,'Support - Unit Adjustments'!F:F,'Step 2'!D815)</f>
        <v>0</v>
      </c>
      <c r="K815" s="126">
        <f t="shared" si="232"/>
        <v>7.6200000000000009E-4</v>
      </c>
      <c r="L815" s="174">
        <f>VLOOKUP(A815,'Step 1'!$A:$E,4,FALSE)</f>
        <v>1343409</v>
      </c>
      <c r="M815" s="47">
        <f t="shared" si="233"/>
        <v>1024</v>
      </c>
      <c r="N815" s="177">
        <f>SUMIFS('Support - Transition'!G:G,'Support - Transition'!J:J,'Step 2'!D815,'Support - Transition'!E:E,"2009 WELFARE ALLOCATION FACTOR")</f>
        <v>0</v>
      </c>
      <c r="O815" s="152">
        <f t="shared" si="238"/>
        <v>0</v>
      </c>
      <c r="P815" s="126">
        <f>IF(E815="Y",0,SUMIFS('Support - Transition'!G:G,'Support - Transition'!J:J,'Step 2'!D815,'Support - Transition'!E:E,"2009 SCHOOL ALLOCATION FACTOR"))</f>
        <v>0</v>
      </c>
      <c r="Q815" s="126">
        <f>IF(E815="Y",VLOOKUP(D815,'Support - Unit Adjustments'!F:G,2,FALSE),0)</f>
        <v>0</v>
      </c>
      <c r="R815" s="155">
        <f t="shared" si="250"/>
        <v>0</v>
      </c>
      <c r="S815" s="47">
        <f t="shared" si="249"/>
        <v>0</v>
      </c>
      <c r="T815" s="151">
        <f t="shared" si="234"/>
        <v>1024</v>
      </c>
      <c r="U815" s="151">
        <f t="shared" si="235"/>
        <v>0</v>
      </c>
      <c r="V815" s="139">
        <f t="shared" si="236"/>
        <v>0</v>
      </c>
      <c r="W815" s="152">
        <f t="shared" si="239"/>
        <v>1024</v>
      </c>
      <c r="X815" s="127" t="str">
        <f t="shared" si="237"/>
        <v/>
      </c>
      <c r="Y815" s="207">
        <f t="shared" si="240"/>
        <v>1024</v>
      </c>
      <c r="Z815" s="139">
        <f t="shared" si="241"/>
        <v>224</v>
      </c>
      <c r="AA815" s="139">
        <f t="shared" si="242"/>
        <v>800</v>
      </c>
      <c r="AC815" s="47">
        <f t="shared" si="243"/>
        <v>512</v>
      </c>
      <c r="AD815" s="47">
        <f t="shared" si="244"/>
        <v>112</v>
      </c>
      <c r="AE815" s="47">
        <f t="shared" si="245"/>
        <v>400</v>
      </c>
      <c r="AG815" s="47">
        <f t="shared" si="246"/>
        <v>512</v>
      </c>
      <c r="AH815" s="47">
        <f t="shared" si="247"/>
        <v>112</v>
      </c>
      <c r="AI815" s="208">
        <f t="shared" si="248"/>
        <v>400</v>
      </c>
    </row>
    <row r="816" spans="1:35">
      <c r="A816" t="s">
        <v>2115</v>
      </c>
      <c r="B816" t="s">
        <v>3142</v>
      </c>
      <c r="C816" t="s">
        <v>2196</v>
      </c>
      <c r="D816" t="s">
        <v>4105</v>
      </c>
      <c r="F816" t="s">
        <v>569</v>
      </c>
      <c r="G816" s="126">
        <f>SUMIFS('Support - Transition'!F:F,'Support - Transition'!B:B,'Step 2'!A816,'Support - Transition'!C:C,'Step 2'!B816,'Support - Transition'!D:D,'Step 2'!C816,'Support - Transition'!E:E,"CIVIL")</f>
        <v>8.9700000000000001E-4</v>
      </c>
      <c r="H816" s="126">
        <f>SUMIFS('Support - Transition'!F:F,'Support - Transition'!B:B,'Step 2'!A816,'Support - Transition'!C:C,'Step 2'!B816,'Support - Transition'!D:D,'Step 2'!C816,'Support - Transition'!E:E,"FIRE")</f>
        <v>6.0400000000000004E-4</v>
      </c>
      <c r="I816" s="126">
        <f>IF(B816="0",SUMIFS('Support - Transition'!F:F,'Support - Transition'!J:J,'Step 2'!D816,'Support - Transition'!E:E,"STATE UNIT"),SUMIFS('Support - Transition'!F:F,'Support - Transition'!J:J,'Step 2'!D816))</f>
        <v>1.5010000000000002E-3</v>
      </c>
      <c r="J816" s="126">
        <f>SUMIFS('Support - Unit Adjustments'!E:E,'Support - Unit Adjustments'!F:F,'Step 2'!D816)</f>
        <v>0</v>
      </c>
      <c r="K816" s="126">
        <f t="shared" si="232"/>
        <v>1.5010000000000002E-3</v>
      </c>
      <c r="L816" s="174">
        <f>VLOOKUP(A816,'Step 1'!$A:$E,4,FALSE)</f>
        <v>1343409</v>
      </c>
      <c r="M816" s="47">
        <f t="shared" si="233"/>
        <v>2016</v>
      </c>
      <c r="N816" s="177">
        <f>SUMIFS('Support - Transition'!G:G,'Support - Transition'!J:J,'Step 2'!D816,'Support - Transition'!E:E,"2009 WELFARE ALLOCATION FACTOR")</f>
        <v>0</v>
      </c>
      <c r="O816" s="152">
        <f t="shared" si="238"/>
        <v>0</v>
      </c>
      <c r="P816" s="126">
        <f>IF(E816="Y",0,SUMIFS('Support - Transition'!G:G,'Support - Transition'!J:J,'Step 2'!D816,'Support - Transition'!E:E,"2009 SCHOOL ALLOCATION FACTOR"))</f>
        <v>0</v>
      </c>
      <c r="Q816" s="126">
        <f>IF(E816="Y",VLOOKUP(D816,'Support - Unit Adjustments'!F:G,2,FALSE),0)</f>
        <v>0</v>
      </c>
      <c r="R816" s="155">
        <f t="shared" si="250"/>
        <v>0</v>
      </c>
      <c r="S816" s="47">
        <f t="shared" si="249"/>
        <v>0</v>
      </c>
      <c r="T816" s="151">
        <f t="shared" si="234"/>
        <v>2016</v>
      </c>
      <c r="U816" s="151">
        <f t="shared" si="235"/>
        <v>0</v>
      </c>
      <c r="V816" s="139">
        <f t="shared" si="236"/>
        <v>0</v>
      </c>
      <c r="W816" s="152">
        <f t="shared" si="239"/>
        <v>2016</v>
      </c>
      <c r="X816" s="127" t="str">
        <f t="shared" si="237"/>
        <v/>
      </c>
      <c r="Y816" s="207">
        <f t="shared" si="240"/>
        <v>2016</v>
      </c>
      <c r="Z816" s="139">
        <f t="shared" si="241"/>
        <v>1205</v>
      </c>
      <c r="AA816" s="139">
        <f t="shared" si="242"/>
        <v>811</v>
      </c>
      <c r="AC816" s="47">
        <f t="shared" si="243"/>
        <v>1008</v>
      </c>
      <c r="AD816" s="47">
        <f t="shared" si="244"/>
        <v>603</v>
      </c>
      <c r="AE816" s="47">
        <f t="shared" si="245"/>
        <v>406</v>
      </c>
      <c r="AG816" s="47">
        <f t="shared" si="246"/>
        <v>1008</v>
      </c>
      <c r="AH816" s="47">
        <f t="shared" si="247"/>
        <v>602</v>
      </c>
      <c r="AI816" s="208">
        <f t="shared" si="248"/>
        <v>405</v>
      </c>
    </row>
    <row r="817" spans="1:35">
      <c r="A817" t="s">
        <v>2115</v>
      </c>
      <c r="B817" t="s">
        <v>3155</v>
      </c>
      <c r="C817" t="s">
        <v>2509</v>
      </c>
      <c r="D817" t="s">
        <v>4106</v>
      </c>
      <c r="F817" t="s">
        <v>651</v>
      </c>
      <c r="G817" s="126">
        <f>SUMIFS('Support - Transition'!F:F,'Support - Transition'!B:B,'Step 2'!A817,'Support - Transition'!C:C,'Step 2'!B817,'Support - Transition'!D:D,'Step 2'!C817,'Support - Transition'!E:E,"CIVIL")</f>
        <v>0</v>
      </c>
      <c r="H817" s="126">
        <f>SUMIFS('Support - Transition'!F:F,'Support - Transition'!B:B,'Step 2'!A817,'Support - Transition'!C:C,'Step 2'!B817,'Support - Transition'!D:D,'Step 2'!C817,'Support - Transition'!E:E,"FIRE")</f>
        <v>0</v>
      </c>
      <c r="I817" s="126">
        <f>IF(B817="0",SUMIFS('Support - Transition'!F:F,'Support - Transition'!J:J,'Step 2'!D817,'Support - Transition'!E:E,"STATE UNIT"),SUMIFS('Support - Transition'!F:F,'Support - Transition'!J:J,'Step 2'!D817))</f>
        <v>1.9168000000000001E-2</v>
      </c>
      <c r="J817" s="126">
        <f>SUMIFS('Support - Unit Adjustments'!E:E,'Support - Unit Adjustments'!F:F,'Step 2'!D817)</f>
        <v>0</v>
      </c>
      <c r="K817" s="126">
        <f t="shared" si="232"/>
        <v>1.9168000000000001E-2</v>
      </c>
      <c r="L817" s="174">
        <f>VLOOKUP(A817,'Step 1'!$A:$E,4,FALSE)</f>
        <v>1343409</v>
      </c>
      <c r="M817" s="47">
        <f t="shared" si="233"/>
        <v>25750</v>
      </c>
      <c r="N817" s="177">
        <f>SUMIFS('Support - Transition'!G:G,'Support - Transition'!J:J,'Step 2'!D817,'Support - Transition'!E:E,"2009 WELFARE ALLOCATION FACTOR")</f>
        <v>0</v>
      </c>
      <c r="O817" s="152">
        <f t="shared" si="238"/>
        <v>0</v>
      </c>
      <c r="P817" s="126">
        <f>IF(E817="Y",0,SUMIFS('Support - Transition'!G:G,'Support - Transition'!J:J,'Step 2'!D817,'Support - Transition'!E:E,"2009 SCHOOL ALLOCATION FACTOR"))</f>
        <v>0</v>
      </c>
      <c r="Q817" s="126">
        <f>IF(E817="Y",VLOOKUP(D817,'Support - Unit Adjustments'!F:G,2,FALSE),0)</f>
        <v>0</v>
      </c>
      <c r="R817" s="155">
        <f t="shared" si="250"/>
        <v>0</v>
      </c>
      <c r="S817" s="47">
        <f t="shared" si="249"/>
        <v>0</v>
      </c>
      <c r="T817" s="151">
        <f t="shared" si="234"/>
        <v>25750</v>
      </c>
      <c r="U817" s="151">
        <f t="shared" si="235"/>
        <v>0</v>
      </c>
      <c r="V817" s="139">
        <f t="shared" si="236"/>
        <v>0</v>
      </c>
      <c r="W817" s="152">
        <f t="shared" si="239"/>
        <v>25750</v>
      </c>
      <c r="X817" s="127" t="str">
        <f t="shared" si="237"/>
        <v/>
      </c>
      <c r="Y817" s="207">
        <f t="shared" si="240"/>
        <v>25750</v>
      </c>
      <c r="Z817" s="139">
        <f t="shared" si="241"/>
        <v>25750</v>
      </c>
      <c r="AA817" s="139">
        <f t="shared" si="242"/>
        <v>0</v>
      </c>
      <c r="AC817" s="47">
        <f t="shared" si="243"/>
        <v>12875</v>
      </c>
      <c r="AD817" s="47">
        <f t="shared" si="244"/>
        <v>12875</v>
      </c>
      <c r="AE817" s="47">
        <f t="shared" si="245"/>
        <v>0</v>
      </c>
      <c r="AG817" s="47">
        <f t="shared" si="246"/>
        <v>12875</v>
      </c>
      <c r="AH817" s="47">
        <f t="shared" si="247"/>
        <v>12875</v>
      </c>
      <c r="AI817" s="208">
        <f t="shared" si="248"/>
        <v>0</v>
      </c>
    </row>
    <row r="818" spans="1:35">
      <c r="A818" t="s">
        <v>2115</v>
      </c>
      <c r="B818" t="s">
        <v>3155</v>
      </c>
      <c r="C818" t="s">
        <v>2510</v>
      </c>
      <c r="D818" t="s">
        <v>4107</v>
      </c>
      <c r="F818" t="s">
        <v>654</v>
      </c>
      <c r="G818" s="126">
        <f>SUMIFS('Support - Transition'!F:F,'Support - Transition'!B:B,'Step 2'!A818,'Support - Transition'!C:C,'Step 2'!B818,'Support - Transition'!D:D,'Step 2'!C818,'Support - Transition'!E:E,"CIVIL")</f>
        <v>0</v>
      </c>
      <c r="H818" s="126">
        <f>SUMIFS('Support - Transition'!F:F,'Support - Transition'!B:B,'Step 2'!A818,'Support - Transition'!C:C,'Step 2'!B818,'Support - Transition'!D:D,'Step 2'!C818,'Support - Transition'!E:E,"FIRE")</f>
        <v>0</v>
      </c>
      <c r="I818" s="126">
        <f>IF(B818="0",SUMIFS('Support - Transition'!F:F,'Support - Transition'!J:J,'Step 2'!D818,'Support - Transition'!E:E,"STATE UNIT"),SUMIFS('Support - Transition'!F:F,'Support - Transition'!J:J,'Step 2'!D818))</f>
        <v>2.5748E-2</v>
      </c>
      <c r="J818" s="126">
        <f>SUMIFS('Support - Unit Adjustments'!E:E,'Support - Unit Adjustments'!F:F,'Step 2'!D818)</f>
        <v>0</v>
      </c>
      <c r="K818" s="126">
        <f t="shared" si="232"/>
        <v>2.5748E-2</v>
      </c>
      <c r="L818" s="174">
        <f>VLOOKUP(A818,'Step 1'!$A:$E,4,FALSE)</f>
        <v>1343409</v>
      </c>
      <c r="M818" s="47">
        <f t="shared" si="233"/>
        <v>34590</v>
      </c>
      <c r="N818" s="177">
        <f>SUMIFS('Support - Transition'!G:G,'Support - Transition'!J:J,'Step 2'!D818,'Support - Transition'!E:E,"2009 WELFARE ALLOCATION FACTOR")</f>
        <v>0</v>
      </c>
      <c r="O818" s="152">
        <f t="shared" si="238"/>
        <v>0</v>
      </c>
      <c r="P818" s="126">
        <f>IF(E818="Y",0,SUMIFS('Support - Transition'!G:G,'Support - Transition'!J:J,'Step 2'!D818,'Support - Transition'!E:E,"2009 SCHOOL ALLOCATION FACTOR"))</f>
        <v>0</v>
      </c>
      <c r="Q818" s="126">
        <f>IF(E818="Y",VLOOKUP(D818,'Support - Unit Adjustments'!F:G,2,FALSE),0)</f>
        <v>0</v>
      </c>
      <c r="R818" s="155">
        <f t="shared" si="250"/>
        <v>0</v>
      </c>
      <c r="S818" s="47">
        <f t="shared" si="249"/>
        <v>0</v>
      </c>
      <c r="T818" s="151">
        <f t="shared" si="234"/>
        <v>34590</v>
      </c>
      <c r="U818" s="151">
        <f t="shared" si="235"/>
        <v>0</v>
      </c>
      <c r="V818" s="139">
        <f t="shared" si="236"/>
        <v>0</v>
      </c>
      <c r="W818" s="152">
        <f t="shared" si="239"/>
        <v>34590</v>
      </c>
      <c r="X818" s="127" t="str">
        <f t="shared" si="237"/>
        <v/>
      </c>
      <c r="Y818" s="207">
        <f t="shared" si="240"/>
        <v>34590</v>
      </c>
      <c r="Z818" s="139">
        <f t="shared" si="241"/>
        <v>34590</v>
      </c>
      <c r="AA818" s="139">
        <f t="shared" si="242"/>
        <v>0</v>
      </c>
      <c r="AC818" s="47">
        <f t="shared" si="243"/>
        <v>17295</v>
      </c>
      <c r="AD818" s="47">
        <f t="shared" si="244"/>
        <v>17295</v>
      </c>
      <c r="AE818" s="47">
        <f t="shared" si="245"/>
        <v>0</v>
      </c>
      <c r="AG818" s="47">
        <f t="shared" si="246"/>
        <v>17295</v>
      </c>
      <c r="AH818" s="47">
        <f t="shared" si="247"/>
        <v>17295</v>
      </c>
      <c r="AI818" s="208">
        <f t="shared" si="248"/>
        <v>0</v>
      </c>
    </row>
    <row r="819" spans="1:35">
      <c r="A819" t="s">
        <v>2115</v>
      </c>
      <c r="B819" t="s">
        <v>3155</v>
      </c>
      <c r="C819" t="s">
        <v>2511</v>
      </c>
      <c r="D819" t="s">
        <v>4108</v>
      </c>
      <c r="F819" t="s">
        <v>649</v>
      </c>
      <c r="G819" s="126">
        <f>SUMIFS('Support - Transition'!F:F,'Support - Transition'!B:B,'Step 2'!A819,'Support - Transition'!C:C,'Step 2'!B819,'Support - Transition'!D:D,'Step 2'!C819,'Support - Transition'!E:E,"CIVIL")</f>
        <v>0</v>
      </c>
      <c r="H819" s="126">
        <f>SUMIFS('Support - Transition'!F:F,'Support - Transition'!B:B,'Step 2'!A819,'Support - Transition'!C:C,'Step 2'!B819,'Support - Transition'!D:D,'Step 2'!C819,'Support - Transition'!E:E,"FIRE")</f>
        <v>0</v>
      </c>
      <c r="I819" s="126">
        <f>IF(B819="0",SUMIFS('Support - Transition'!F:F,'Support - Transition'!J:J,'Step 2'!D819,'Support - Transition'!E:E,"STATE UNIT"),SUMIFS('Support - Transition'!F:F,'Support - Transition'!J:J,'Step 2'!D819))</f>
        <v>8.4800000000000001E-4</v>
      </c>
      <c r="J819" s="126">
        <f>SUMIFS('Support - Unit Adjustments'!E:E,'Support - Unit Adjustments'!F:F,'Step 2'!D819)</f>
        <v>0</v>
      </c>
      <c r="K819" s="126">
        <f t="shared" si="232"/>
        <v>8.4800000000000001E-4</v>
      </c>
      <c r="L819" s="174">
        <f>VLOOKUP(A819,'Step 1'!$A:$E,4,FALSE)</f>
        <v>1343409</v>
      </c>
      <c r="M819" s="47">
        <f t="shared" si="233"/>
        <v>1139</v>
      </c>
      <c r="N819" s="177">
        <f>SUMIFS('Support - Transition'!G:G,'Support - Transition'!J:J,'Step 2'!D819,'Support - Transition'!E:E,"2009 WELFARE ALLOCATION FACTOR")</f>
        <v>0</v>
      </c>
      <c r="O819" s="152">
        <f t="shared" si="238"/>
        <v>0</v>
      </c>
      <c r="P819" s="126">
        <f>IF(E819="Y",0,SUMIFS('Support - Transition'!G:G,'Support - Transition'!J:J,'Step 2'!D819,'Support - Transition'!E:E,"2009 SCHOOL ALLOCATION FACTOR"))</f>
        <v>0</v>
      </c>
      <c r="Q819" s="126">
        <f>IF(E819="Y",VLOOKUP(D819,'Support - Unit Adjustments'!F:G,2,FALSE),0)</f>
        <v>0</v>
      </c>
      <c r="R819" s="155">
        <f t="shared" si="250"/>
        <v>0</v>
      </c>
      <c r="S819" s="47">
        <f t="shared" si="249"/>
        <v>0</v>
      </c>
      <c r="T819" s="151">
        <f t="shared" si="234"/>
        <v>1139</v>
      </c>
      <c r="U819" s="151">
        <f t="shared" si="235"/>
        <v>0</v>
      </c>
      <c r="V819" s="139">
        <f t="shared" si="236"/>
        <v>0</v>
      </c>
      <c r="W819" s="152">
        <f t="shared" si="239"/>
        <v>1139</v>
      </c>
      <c r="X819" s="127" t="str">
        <f t="shared" si="237"/>
        <v/>
      </c>
      <c r="Y819" s="207">
        <f t="shared" si="240"/>
        <v>1139</v>
      </c>
      <c r="Z819" s="139">
        <f t="shared" si="241"/>
        <v>1139</v>
      </c>
      <c r="AA819" s="139">
        <f t="shared" si="242"/>
        <v>0</v>
      </c>
      <c r="AC819" s="47">
        <f t="shared" si="243"/>
        <v>570</v>
      </c>
      <c r="AD819" s="47">
        <f t="shared" si="244"/>
        <v>570</v>
      </c>
      <c r="AE819" s="47">
        <f t="shared" si="245"/>
        <v>0</v>
      </c>
      <c r="AG819" s="47">
        <f t="shared" si="246"/>
        <v>569</v>
      </c>
      <c r="AH819" s="47">
        <f t="shared" si="247"/>
        <v>569</v>
      </c>
      <c r="AI819" s="208">
        <f t="shared" si="248"/>
        <v>0</v>
      </c>
    </row>
    <row r="820" spans="1:35">
      <c r="A820" t="s">
        <v>2115</v>
      </c>
      <c r="B820" t="s">
        <v>3155</v>
      </c>
      <c r="C820" t="s">
        <v>2512</v>
      </c>
      <c r="D820" t="s">
        <v>4109</v>
      </c>
      <c r="F820" t="s">
        <v>650</v>
      </c>
      <c r="G820" s="126">
        <f>SUMIFS('Support - Transition'!F:F,'Support - Transition'!B:B,'Step 2'!A820,'Support - Transition'!C:C,'Step 2'!B820,'Support - Transition'!D:D,'Step 2'!C820,'Support - Transition'!E:E,"CIVIL")</f>
        <v>0</v>
      </c>
      <c r="H820" s="126">
        <f>SUMIFS('Support - Transition'!F:F,'Support - Transition'!B:B,'Step 2'!A820,'Support - Transition'!C:C,'Step 2'!B820,'Support - Transition'!D:D,'Step 2'!C820,'Support - Transition'!E:E,"FIRE")</f>
        <v>0</v>
      </c>
      <c r="I820" s="126">
        <f>IF(B820="0",SUMIFS('Support - Transition'!F:F,'Support - Transition'!J:J,'Step 2'!D820,'Support - Transition'!E:E,"STATE UNIT"),SUMIFS('Support - Transition'!F:F,'Support - Transition'!J:J,'Step 2'!D820))</f>
        <v>2.5599999999999999E-4</v>
      </c>
      <c r="J820" s="126">
        <f>SUMIFS('Support - Unit Adjustments'!E:E,'Support - Unit Adjustments'!F:F,'Step 2'!D820)</f>
        <v>0</v>
      </c>
      <c r="K820" s="126">
        <f t="shared" si="232"/>
        <v>2.5599999999999999E-4</v>
      </c>
      <c r="L820" s="174">
        <f>VLOOKUP(A820,'Step 1'!$A:$E,4,FALSE)</f>
        <v>1343409</v>
      </c>
      <c r="M820" s="47">
        <f t="shared" si="233"/>
        <v>344</v>
      </c>
      <c r="N820" s="177">
        <f>SUMIFS('Support - Transition'!G:G,'Support - Transition'!J:J,'Step 2'!D820,'Support - Transition'!E:E,"2009 WELFARE ALLOCATION FACTOR")</f>
        <v>0</v>
      </c>
      <c r="O820" s="152">
        <f t="shared" si="238"/>
        <v>0</v>
      </c>
      <c r="P820" s="126">
        <f>IF(E820="Y",0,SUMIFS('Support - Transition'!G:G,'Support - Transition'!J:J,'Step 2'!D820,'Support - Transition'!E:E,"2009 SCHOOL ALLOCATION FACTOR"))</f>
        <v>0</v>
      </c>
      <c r="Q820" s="126">
        <f>IF(E820="Y",VLOOKUP(D820,'Support - Unit Adjustments'!F:G,2,FALSE),0)</f>
        <v>0</v>
      </c>
      <c r="R820" s="155">
        <f t="shared" si="250"/>
        <v>0</v>
      </c>
      <c r="S820" s="47">
        <f t="shared" si="249"/>
        <v>0</v>
      </c>
      <c r="T820" s="151">
        <f t="shared" si="234"/>
        <v>344</v>
      </c>
      <c r="U820" s="151">
        <f t="shared" si="235"/>
        <v>0</v>
      </c>
      <c r="V820" s="139">
        <f t="shared" si="236"/>
        <v>0</v>
      </c>
      <c r="W820" s="152">
        <f t="shared" si="239"/>
        <v>344</v>
      </c>
      <c r="X820" s="127" t="str">
        <f t="shared" si="237"/>
        <v/>
      </c>
      <c r="Y820" s="207">
        <f t="shared" si="240"/>
        <v>344</v>
      </c>
      <c r="Z820" s="139">
        <f t="shared" si="241"/>
        <v>344</v>
      </c>
      <c r="AA820" s="139">
        <f t="shared" si="242"/>
        <v>0</v>
      </c>
      <c r="AC820" s="47">
        <f t="shared" si="243"/>
        <v>172</v>
      </c>
      <c r="AD820" s="47">
        <f t="shared" si="244"/>
        <v>172</v>
      </c>
      <c r="AE820" s="47">
        <f t="shared" si="245"/>
        <v>0</v>
      </c>
      <c r="AG820" s="47">
        <f t="shared" si="246"/>
        <v>172</v>
      </c>
      <c r="AH820" s="47">
        <f t="shared" si="247"/>
        <v>172</v>
      </c>
      <c r="AI820" s="208">
        <f t="shared" si="248"/>
        <v>0</v>
      </c>
    </row>
    <row r="821" spans="1:35">
      <c r="A821" t="s">
        <v>2115</v>
      </c>
      <c r="B821" t="s">
        <v>3155</v>
      </c>
      <c r="C821" t="s">
        <v>2513</v>
      </c>
      <c r="D821" t="s">
        <v>4110</v>
      </c>
      <c r="F821" t="s">
        <v>652</v>
      </c>
      <c r="G821" s="126">
        <f>SUMIFS('Support - Transition'!F:F,'Support - Transition'!B:B,'Step 2'!A821,'Support - Transition'!C:C,'Step 2'!B821,'Support - Transition'!D:D,'Step 2'!C821,'Support - Transition'!E:E,"CIVIL")</f>
        <v>0</v>
      </c>
      <c r="H821" s="126">
        <f>SUMIFS('Support - Transition'!F:F,'Support - Transition'!B:B,'Step 2'!A821,'Support - Transition'!C:C,'Step 2'!B821,'Support - Transition'!D:D,'Step 2'!C821,'Support - Transition'!E:E,"FIRE")</f>
        <v>0</v>
      </c>
      <c r="I821" s="126">
        <f>IF(B821="0",SUMIFS('Support - Transition'!F:F,'Support - Transition'!J:J,'Step 2'!D821,'Support - Transition'!E:E,"STATE UNIT"),SUMIFS('Support - Transition'!F:F,'Support - Transition'!J:J,'Step 2'!D821))</f>
        <v>9.6699999999999998E-4</v>
      </c>
      <c r="J821" s="126">
        <f>SUMIFS('Support - Unit Adjustments'!E:E,'Support - Unit Adjustments'!F:F,'Step 2'!D821)</f>
        <v>0</v>
      </c>
      <c r="K821" s="126">
        <f t="shared" si="232"/>
        <v>9.6699999999999998E-4</v>
      </c>
      <c r="L821" s="174">
        <f>VLOOKUP(A821,'Step 1'!$A:$E,4,FALSE)</f>
        <v>1343409</v>
      </c>
      <c r="M821" s="47">
        <f t="shared" si="233"/>
        <v>1299</v>
      </c>
      <c r="N821" s="177">
        <f>SUMIFS('Support - Transition'!G:G,'Support - Transition'!J:J,'Step 2'!D821,'Support - Transition'!E:E,"2009 WELFARE ALLOCATION FACTOR")</f>
        <v>0</v>
      </c>
      <c r="O821" s="152">
        <f t="shared" si="238"/>
        <v>0</v>
      </c>
      <c r="P821" s="126">
        <f>IF(E821="Y",0,SUMIFS('Support - Transition'!G:G,'Support - Transition'!J:J,'Step 2'!D821,'Support - Transition'!E:E,"2009 SCHOOL ALLOCATION FACTOR"))</f>
        <v>0</v>
      </c>
      <c r="Q821" s="126">
        <f>IF(E821="Y",VLOOKUP(D821,'Support - Unit Adjustments'!F:G,2,FALSE),0)</f>
        <v>0</v>
      </c>
      <c r="R821" s="155">
        <f t="shared" si="250"/>
        <v>0</v>
      </c>
      <c r="S821" s="47">
        <f t="shared" si="249"/>
        <v>0</v>
      </c>
      <c r="T821" s="151">
        <f t="shared" si="234"/>
        <v>1299</v>
      </c>
      <c r="U821" s="151">
        <f t="shared" si="235"/>
        <v>0</v>
      </c>
      <c r="V821" s="139">
        <f t="shared" si="236"/>
        <v>0</v>
      </c>
      <c r="W821" s="152">
        <f t="shared" si="239"/>
        <v>1299</v>
      </c>
      <c r="X821" s="127" t="str">
        <f t="shared" si="237"/>
        <v/>
      </c>
      <c r="Y821" s="207">
        <f t="shared" si="240"/>
        <v>1299</v>
      </c>
      <c r="Z821" s="139">
        <f t="shared" si="241"/>
        <v>1299</v>
      </c>
      <c r="AA821" s="139">
        <f t="shared" si="242"/>
        <v>0</v>
      </c>
      <c r="AC821" s="47">
        <f t="shared" si="243"/>
        <v>650</v>
      </c>
      <c r="AD821" s="47">
        <f t="shared" si="244"/>
        <v>650</v>
      </c>
      <c r="AE821" s="47">
        <f t="shared" si="245"/>
        <v>0</v>
      </c>
      <c r="AG821" s="47">
        <f t="shared" si="246"/>
        <v>649</v>
      </c>
      <c r="AH821" s="47">
        <f t="shared" si="247"/>
        <v>649</v>
      </c>
      <c r="AI821" s="208">
        <f t="shared" si="248"/>
        <v>0</v>
      </c>
    </row>
    <row r="822" spans="1:35">
      <c r="A822" t="s">
        <v>2115</v>
      </c>
      <c r="B822" t="s">
        <v>3155</v>
      </c>
      <c r="C822" t="s">
        <v>2514</v>
      </c>
      <c r="D822" t="s">
        <v>4111</v>
      </c>
      <c r="F822" t="s">
        <v>4112</v>
      </c>
      <c r="G822" s="126">
        <f>SUMIFS('Support - Transition'!F:F,'Support - Transition'!B:B,'Step 2'!A822,'Support - Transition'!C:C,'Step 2'!B822,'Support - Transition'!D:D,'Step 2'!C822,'Support - Transition'!E:E,"CIVIL")</f>
        <v>0</v>
      </c>
      <c r="H822" s="126">
        <f>SUMIFS('Support - Transition'!F:F,'Support - Transition'!B:B,'Step 2'!A822,'Support - Transition'!C:C,'Step 2'!B822,'Support - Transition'!D:D,'Step 2'!C822,'Support - Transition'!E:E,"FIRE")</f>
        <v>0</v>
      </c>
      <c r="I822" s="126">
        <f>IF(B822="0",SUMIFS('Support - Transition'!F:F,'Support - Transition'!J:J,'Step 2'!D822,'Support - Transition'!E:E,"STATE UNIT"),SUMIFS('Support - Transition'!F:F,'Support - Transition'!J:J,'Step 2'!D822))</f>
        <v>3.7935999999999998E-2</v>
      </c>
      <c r="J822" s="126">
        <f>SUMIFS('Support - Unit Adjustments'!E:E,'Support - Unit Adjustments'!F:F,'Step 2'!D822)</f>
        <v>0</v>
      </c>
      <c r="K822" s="126">
        <f t="shared" si="232"/>
        <v>3.7935999999999998E-2</v>
      </c>
      <c r="L822" s="174">
        <f>VLOOKUP(A822,'Step 1'!$A:$E,4,FALSE)</f>
        <v>1343409</v>
      </c>
      <c r="M822" s="47">
        <f t="shared" si="233"/>
        <v>50964</v>
      </c>
      <c r="N822" s="177">
        <f>SUMIFS('Support - Transition'!G:G,'Support - Transition'!J:J,'Step 2'!D822,'Support - Transition'!E:E,"2009 WELFARE ALLOCATION FACTOR")</f>
        <v>0</v>
      </c>
      <c r="O822" s="152">
        <f t="shared" si="238"/>
        <v>0</v>
      </c>
      <c r="P822" s="126">
        <f>IF(E822="Y",0,SUMIFS('Support - Transition'!G:G,'Support - Transition'!J:J,'Step 2'!D822,'Support - Transition'!E:E,"2009 SCHOOL ALLOCATION FACTOR"))</f>
        <v>0</v>
      </c>
      <c r="Q822" s="126">
        <f>IF(E822="Y",VLOOKUP(D822,'Support - Unit Adjustments'!F:G,2,FALSE),0)</f>
        <v>0</v>
      </c>
      <c r="R822" s="155">
        <f t="shared" si="250"/>
        <v>0</v>
      </c>
      <c r="S822" s="47">
        <f t="shared" si="249"/>
        <v>0</v>
      </c>
      <c r="T822" s="151">
        <f t="shared" si="234"/>
        <v>50964</v>
      </c>
      <c r="U822" s="151">
        <f t="shared" si="235"/>
        <v>0</v>
      </c>
      <c r="V822" s="139">
        <f t="shared" si="236"/>
        <v>0</v>
      </c>
      <c r="W822" s="152">
        <f t="shared" si="239"/>
        <v>50964</v>
      </c>
      <c r="X822" s="127" t="str">
        <f t="shared" si="237"/>
        <v/>
      </c>
      <c r="Y822" s="207">
        <f t="shared" si="240"/>
        <v>50964</v>
      </c>
      <c r="Z822" s="139">
        <f t="shared" si="241"/>
        <v>50964</v>
      </c>
      <c r="AA822" s="139">
        <f t="shared" si="242"/>
        <v>0</v>
      </c>
      <c r="AC822" s="47">
        <f t="shared" si="243"/>
        <v>25482</v>
      </c>
      <c r="AD822" s="47">
        <f t="shared" si="244"/>
        <v>25482</v>
      </c>
      <c r="AE822" s="47">
        <f t="shared" si="245"/>
        <v>0</v>
      </c>
      <c r="AG822" s="47">
        <f t="shared" si="246"/>
        <v>25482</v>
      </c>
      <c r="AH822" s="47">
        <f t="shared" si="247"/>
        <v>25482</v>
      </c>
      <c r="AI822" s="208">
        <f t="shared" si="248"/>
        <v>0</v>
      </c>
    </row>
    <row r="823" spans="1:35">
      <c r="A823" t="s">
        <v>2115</v>
      </c>
      <c r="B823" t="s">
        <v>3155</v>
      </c>
      <c r="C823" t="s">
        <v>2515</v>
      </c>
      <c r="D823" t="s">
        <v>4113</v>
      </c>
      <c r="F823" t="s">
        <v>655</v>
      </c>
      <c r="G823" s="126">
        <f>SUMIFS('Support - Transition'!F:F,'Support - Transition'!B:B,'Step 2'!A823,'Support - Transition'!C:C,'Step 2'!B823,'Support - Transition'!D:D,'Step 2'!C823,'Support - Transition'!E:E,"CIVIL")</f>
        <v>0</v>
      </c>
      <c r="H823" s="126">
        <f>SUMIFS('Support - Transition'!F:F,'Support - Transition'!B:B,'Step 2'!A823,'Support - Transition'!C:C,'Step 2'!B823,'Support - Transition'!D:D,'Step 2'!C823,'Support - Transition'!E:E,"FIRE")</f>
        <v>0</v>
      </c>
      <c r="I823" s="126">
        <f>IF(B823="0",SUMIFS('Support - Transition'!F:F,'Support - Transition'!J:J,'Step 2'!D823,'Support - Transition'!E:E,"STATE UNIT"),SUMIFS('Support - Transition'!F:F,'Support - Transition'!J:J,'Step 2'!D823))</f>
        <v>9.8299999999999993E-4</v>
      </c>
      <c r="J823" s="126">
        <f>SUMIFS('Support - Unit Adjustments'!E:E,'Support - Unit Adjustments'!F:F,'Step 2'!D823)</f>
        <v>8.1500000000000008E-4</v>
      </c>
      <c r="K823" s="126">
        <f t="shared" si="232"/>
        <v>1.7980000000000001E-3</v>
      </c>
      <c r="L823" s="174">
        <f>VLOOKUP(A823,'Step 1'!$A:$E,4,FALSE)</f>
        <v>1343409</v>
      </c>
      <c r="M823" s="47">
        <f t="shared" si="233"/>
        <v>2415</v>
      </c>
      <c r="N823" s="177">
        <f>SUMIFS('Support - Transition'!G:G,'Support - Transition'!J:J,'Step 2'!D823,'Support - Transition'!E:E,"2009 WELFARE ALLOCATION FACTOR")</f>
        <v>0</v>
      </c>
      <c r="O823" s="152">
        <f t="shared" si="238"/>
        <v>0</v>
      </c>
      <c r="P823" s="126">
        <f>IF(E823="Y",0,SUMIFS('Support - Transition'!G:G,'Support - Transition'!J:J,'Step 2'!D823,'Support - Transition'!E:E,"2009 SCHOOL ALLOCATION FACTOR"))</f>
        <v>0</v>
      </c>
      <c r="Q823" s="126">
        <f>IF(E823="Y",VLOOKUP(D823,'Support - Unit Adjustments'!F:G,2,FALSE),0)</f>
        <v>0</v>
      </c>
      <c r="R823" s="155">
        <f t="shared" si="250"/>
        <v>0</v>
      </c>
      <c r="S823" s="47">
        <f t="shared" si="249"/>
        <v>0</v>
      </c>
      <c r="T823" s="151">
        <f t="shared" si="234"/>
        <v>2415</v>
      </c>
      <c r="U823" s="151">
        <f t="shared" si="235"/>
        <v>0</v>
      </c>
      <c r="V823" s="139">
        <f t="shared" si="236"/>
        <v>0</v>
      </c>
      <c r="W823" s="152">
        <f t="shared" si="239"/>
        <v>2415</v>
      </c>
      <c r="X823" s="127" t="str">
        <f t="shared" si="237"/>
        <v/>
      </c>
      <c r="Y823" s="207">
        <f t="shared" si="240"/>
        <v>2415</v>
      </c>
      <c r="Z823" s="139">
        <f t="shared" si="241"/>
        <v>2415</v>
      </c>
      <c r="AA823" s="139">
        <f t="shared" si="242"/>
        <v>0</v>
      </c>
      <c r="AC823" s="47">
        <f t="shared" si="243"/>
        <v>1208</v>
      </c>
      <c r="AD823" s="47">
        <f t="shared" si="244"/>
        <v>1208</v>
      </c>
      <c r="AE823" s="47">
        <f t="shared" si="245"/>
        <v>0</v>
      </c>
      <c r="AG823" s="47">
        <f t="shared" si="246"/>
        <v>1207</v>
      </c>
      <c r="AH823" s="47">
        <f t="shared" si="247"/>
        <v>1207</v>
      </c>
      <c r="AI823" s="208">
        <f t="shared" si="248"/>
        <v>0</v>
      </c>
    </row>
    <row r="824" spans="1:35">
      <c r="A824" t="s">
        <v>2115</v>
      </c>
      <c r="B824" t="s">
        <v>3155</v>
      </c>
      <c r="C824" t="s">
        <v>2516</v>
      </c>
      <c r="D824" t="s">
        <v>4114</v>
      </c>
      <c r="F824" t="s">
        <v>4115</v>
      </c>
      <c r="G824" s="126">
        <f>SUMIFS('Support - Transition'!F:F,'Support - Transition'!B:B,'Step 2'!A824,'Support - Transition'!C:C,'Step 2'!B824,'Support - Transition'!D:D,'Step 2'!C824,'Support - Transition'!E:E,"CIVIL")</f>
        <v>0</v>
      </c>
      <c r="H824" s="126">
        <f>SUMIFS('Support - Transition'!F:F,'Support - Transition'!B:B,'Step 2'!A824,'Support - Transition'!C:C,'Step 2'!B824,'Support - Transition'!D:D,'Step 2'!C824,'Support - Transition'!E:E,"FIRE")</f>
        <v>0</v>
      </c>
      <c r="I824" s="126">
        <f>IF(B824="0",SUMIFS('Support - Transition'!F:F,'Support - Transition'!J:J,'Step 2'!D824,'Support - Transition'!E:E,"STATE UNIT"),SUMIFS('Support - Transition'!F:F,'Support - Transition'!J:J,'Step 2'!D824))</f>
        <v>1.7416999999999998E-2</v>
      </c>
      <c r="J824" s="126">
        <f>SUMIFS('Support - Unit Adjustments'!E:E,'Support - Unit Adjustments'!F:F,'Step 2'!D824)</f>
        <v>0</v>
      </c>
      <c r="K824" s="126">
        <f t="shared" si="232"/>
        <v>1.7416999999999998E-2</v>
      </c>
      <c r="L824" s="174">
        <f>VLOOKUP(A824,'Step 1'!$A:$E,4,FALSE)</f>
        <v>1343409</v>
      </c>
      <c r="M824" s="47">
        <f t="shared" si="233"/>
        <v>23398</v>
      </c>
      <c r="N824" s="177">
        <f>SUMIFS('Support - Transition'!G:G,'Support - Transition'!J:J,'Step 2'!D824,'Support - Transition'!E:E,"2009 WELFARE ALLOCATION FACTOR")</f>
        <v>0</v>
      </c>
      <c r="O824" s="152">
        <f t="shared" si="238"/>
        <v>0</v>
      </c>
      <c r="P824" s="126">
        <f>IF(E824="Y",0,SUMIFS('Support - Transition'!G:G,'Support - Transition'!J:J,'Step 2'!D824,'Support - Transition'!E:E,"2009 SCHOOL ALLOCATION FACTOR"))</f>
        <v>0</v>
      </c>
      <c r="Q824" s="126">
        <f>IF(E824="Y",VLOOKUP(D824,'Support - Unit Adjustments'!F:G,2,FALSE),0)</f>
        <v>0</v>
      </c>
      <c r="R824" s="155">
        <f t="shared" si="250"/>
        <v>0</v>
      </c>
      <c r="S824" s="47">
        <f t="shared" si="249"/>
        <v>0</v>
      </c>
      <c r="T824" s="151">
        <f t="shared" si="234"/>
        <v>23398</v>
      </c>
      <c r="U824" s="151">
        <f t="shared" si="235"/>
        <v>0</v>
      </c>
      <c r="V824" s="139">
        <f t="shared" si="236"/>
        <v>0</v>
      </c>
      <c r="W824" s="152">
        <f t="shared" si="239"/>
        <v>23398</v>
      </c>
      <c r="X824" s="127" t="str">
        <f t="shared" si="237"/>
        <v/>
      </c>
      <c r="Y824" s="207">
        <f t="shared" si="240"/>
        <v>23398</v>
      </c>
      <c r="Z824" s="139">
        <f t="shared" si="241"/>
        <v>23398</v>
      </c>
      <c r="AA824" s="139">
        <f t="shared" si="242"/>
        <v>0</v>
      </c>
      <c r="AC824" s="47">
        <f t="shared" si="243"/>
        <v>11699</v>
      </c>
      <c r="AD824" s="47">
        <f t="shared" si="244"/>
        <v>11699</v>
      </c>
      <c r="AE824" s="47">
        <f t="shared" si="245"/>
        <v>0</v>
      </c>
      <c r="AG824" s="47">
        <f t="shared" si="246"/>
        <v>11699</v>
      </c>
      <c r="AH824" s="47">
        <f t="shared" si="247"/>
        <v>11699</v>
      </c>
      <c r="AI824" s="208">
        <f t="shared" si="248"/>
        <v>0</v>
      </c>
    </row>
    <row r="825" spans="1:35">
      <c r="A825" t="s">
        <v>2115</v>
      </c>
      <c r="B825" t="s">
        <v>3160</v>
      </c>
      <c r="C825" t="s">
        <v>2517</v>
      </c>
      <c r="D825" t="s">
        <v>4116</v>
      </c>
      <c r="F825" t="s">
        <v>659</v>
      </c>
      <c r="G825" s="126">
        <f>SUMIFS('Support - Transition'!F:F,'Support - Transition'!B:B,'Step 2'!A825,'Support - Transition'!C:C,'Step 2'!B825,'Support - Transition'!D:D,'Step 2'!C825,'Support - Transition'!E:E,"CIVIL")</f>
        <v>0</v>
      </c>
      <c r="H825" s="126">
        <f>SUMIFS('Support - Transition'!F:F,'Support - Transition'!B:B,'Step 2'!A825,'Support - Transition'!C:C,'Step 2'!B825,'Support - Transition'!D:D,'Step 2'!C825,'Support - Transition'!E:E,"FIRE")</f>
        <v>0</v>
      </c>
      <c r="I825" s="126">
        <f>IF(B825="0",SUMIFS('Support - Transition'!F:F,'Support - Transition'!J:J,'Step 2'!D825,'Support - Transition'!E:E,"STATE UNIT"),SUMIFS('Support - Transition'!F:F,'Support - Transition'!J:J,'Step 2'!D825))</f>
        <v>0.23035700000000001</v>
      </c>
      <c r="J825" s="126">
        <f>SUMIFS('Support - Unit Adjustments'!E:E,'Support - Unit Adjustments'!F:F,'Step 2'!D825)</f>
        <v>0</v>
      </c>
      <c r="K825" s="126">
        <f t="shared" si="232"/>
        <v>0.23035700000000001</v>
      </c>
      <c r="L825" s="174">
        <f>VLOOKUP(A825,'Step 1'!$A:$E,4,FALSE)</f>
        <v>1343409</v>
      </c>
      <c r="M825" s="47">
        <f t="shared" si="233"/>
        <v>309464</v>
      </c>
      <c r="N825" s="177">
        <f>SUMIFS('Support - Transition'!G:G,'Support - Transition'!J:J,'Step 2'!D825,'Support - Transition'!E:E,"2009 WELFARE ALLOCATION FACTOR")</f>
        <v>0</v>
      </c>
      <c r="O825" s="152">
        <f t="shared" si="238"/>
        <v>0</v>
      </c>
      <c r="P825" s="126">
        <f>IF(E825="Y",0,SUMIFS('Support - Transition'!G:G,'Support - Transition'!J:J,'Step 2'!D825,'Support - Transition'!E:E,"2009 SCHOOL ALLOCATION FACTOR"))</f>
        <v>0.465028</v>
      </c>
      <c r="Q825" s="126">
        <f>IF(E825="Y",VLOOKUP(D825,'Support - Unit Adjustments'!F:G,2,FALSE),0)</f>
        <v>0</v>
      </c>
      <c r="R825" s="155">
        <f t="shared" si="250"/>
        <v>0.465028</v>
      </c>
      <c r="S825" s="47">
        <f t="shared" si="249"/>
        <v>143909</v>
      </c>
      <c r="T825" s="151">
        <f t="shared" si="234"/>
        <v>165555</v>
      </c>
      <c r="U825" s="151">
        <f t="shared" si="235"/>
        <v>0</v>
      </c>
      <c r="V825" s="139">
        <f t="shared" si="236"/>
        <v>0</v>
      </c>
      <c r="W825" s="152">
        <f t="shared" si="239"/>
        <v>165555</v>
      </c>
      <c r="X825" s="127" t="str">
        <f t="shared" si="237"/>
        <v/>
      </c>
      <c r="Y825" s="207">
        <f t="shared" si="240"/>
        <v>165555</v>
      </c>
      <c r="Z825" s="139">
        <f t="shared" si="241"/>
        <v>165555</v>
      </c>
      <c r="AA825" s="139">
        <f t="shared" si="242"/>
        <v>0</v>
      </c>
      <c r="AC825" s="47">
        <f t="shared" si="243"/>
        <v>82778</v>
      </c>
      <c r="AD825" s="47">
        <f t="shared" si="244"/>
        <v>82778</v>
      </c>
      <c r="AE825" s="47">
        <f t="shared" si="245"/>
        <v>0</v>
      </c>
      <c r="AG825" s="47">
        <f t="shared" si="246"/>
        <v>82777</v>
      </c>
      <c r="AH825" s="47">
        <f t="shared" si="247"/>
        <v>82777</v>
      </c>
      <c r="AI825" s="208">
        <f t="shared" si="248"/>
        <v>0</v>
      </c>
    </row>
    <row r="826" spans="1:35">
      <c r="A826" t="s">
        <v>2115</v>
      </c>
      <c r="B826" t="s">
        <v>3160</v>
      </c>
      <c r="C826" t="s">
        <v>2518</v>
      </c>
      <c r="D826" t="s">
        <v>4117</v>
      </c>
      <c r="F826" t="s">
        <v>658</v>
      </c>
      <c r="G826" s="126">
        <f>SUMIFS('Support - Transition'!F:F,'Support - Transition'!B:B,'Step 2'!A826,'Support - Transition'!C:C,'Step 2'!B826,'Support - Transition'!D:D,'Step 2'!C826,'Support - Transition'!E:E,"CIVIL")</f>
        <v>0</v>
      </c>
      <c r="H826" s="126">
        <f>SUMIFS('Support - Transition'!F:F,'Support - Transition'!B:B,'Step 2'!A826,'Support - Transition'!C:C,'Step 2'!B826,'Support - Transition'!D:D,'Step 2'!C826,'Support - Transition'!E:E,"FIRE")</f>
        <v>0</v>
      </c>
      <c r="I826" s="126">
        <f>IF(B826="0",SUMIFS('Support - Transition'!F:F,'Support - Transition'!J:J,'Step 2'!D826,'Support - Transition'!E:E,"STATE UNIT"),SUMIFS('Support - Transition'!F:F,'Support - Transition'!J:J,'Step 2'!D826))</f>
        <v>5.3034999999999999E-2</v>
      </c>
      <c r="J826" s="126">
        <f>SUMIFS('Support - Unit Adjustments'!E:E,'Support - Unit Adjustments'!F:F,'Step 2'!D826)</f>
        <v>0</v>
      </c>
      <c r="K826" s="126">
        <f t="shared" si="232"/>
        <v>5.3034999999999999E-2</v>
      </c>
      <c r="L826" s="174">
        <f>VLOOKUP(A826,'Step 1'!$A:$E,4,FALSE)</f>
        <v>1343409</v>
      </c>
      <c r="M826" s="47">
        <f t="shared" si="233"/>
        <v>71248</v>
      </c>
      <c r="N826" s="177">
        <f>SUMIFS('Support - Transition'!G:G,'Support - Transition'!J:J,'Step 2'!D826,'Support - Transition'!E:E,"2009 WELFARE ALLOCATION FACTOR")</f>
        <v>0</v>
      </c>
      <c r="O826" s="152">
        <f t="shared" si="238"/>
        <v>0</v>
      </c>
      <c r="P826" s="126">
        <f>IF(E826="Y",0,SUMIFS('Support - Transition'!G:G,'Support - Transition'!J:J,'Step 2'!D826,'Support - Transition'!E:E,"2009 SCHOOL ALLOCATION FACTOR"))</f>
        <v>0.41812100000000002</v>
      </c>
      <c r="Q826" s="126">
        <f>IF(E826="Y",VLOOKUP(D826,'Support - Unit Adjustments'!F:G,2,FALSE),0)</f>
        <v>0</v>
      </c>
      <c r="R826" s="155">
        <f t="shared" si="250"/>
        <v>0.41812100000000002</v>
      </c>
      <c r="S826" s="47">
        <f t="shared" si="249"/>
        <v>29790</v>
      </c>
      <c r="T826" s="151">
        <f t="shared" si="234"/>
        <v>41458</v>
      </c>
      <c r="U826" s="151">
        <f t="shared" si="235"/>
        <v>0</v>
      </c>
      <c r="V826" s="139">
        <f t="shared" si="236"/>
        <v>0</v>
      </c>
      <c r="W826" s="152">
        <f t="shared" si="239"/>
        <v>41458</v>
      </c>
      <c r="X826" s="127" t="str">
        <f t="shared" si="237"/>
        <v/>
      </c>
      <c r="Y826" s="207">
        <f t="shared" si="240"/>
        <v>41458</v>
      </c>
      <c r="Z826" s="139">
        <f t="shared" si="241"/>
        <v>41458</v>
      </c>
      <c r="AA826" s="139">
        <f t="shared" si="242"/>
        <v>0</v>
      </c>
      <c r="AC826" s="47">
        <f t="shared" si="243"/>
        <v>20729</v>
      </c>
      <c r="AD826" s="47">
        <f t="shared" si="244"/>
        <v>20729</v>
      </c>
      <c r="AE826" s="47">
        <f t="shared" si="245"/>
        <v>0</v>
      </c>
      <c r="AG826" s="47">
        <f t="shared" si="246"/>
        <v>20729</v>
      </c>
      <c r="AH826" s="47">
        <f t="shared" si="247"/>
        <v>20729</v>
      </c>
      <c r="AI826" s="208">
        <f t="shared" si="248"/>
        <v>0</v>
      </c>
    </row>
    <row r="827" spans="1:35">
      <c r="A827" t="s">
        <v>2115</v>
      </c>
      <c r="B827" t="s">
        <v>3160</v>
      </c>
      <c r="C827" t="s">
        <v>2519</v>
      </c>
      <c r="D827" t="s">
        <v>4118</v>
      </c>
      <c r="F827" t="s">
        <v>661</v>
      </c>
      <c r="G827" s="126">
        <f>SUMIFS('Support - Transition'!F:F,'Support - Transition'!B:B,'Step 2'!A827,'Support - Transition'!C:C,'Step 2'!B827,'Support - Transition'!D:D,'Step 2'!C827,'Support - Transition'!E:E,"CIVIL")</f>
        <v>0</v>
      </c>
      <c r="H827" s="126">
        <f>SUMIFS('Support - Transition'!F:F,'Support - Transition'!B:B,'Step 2'!A827,'Support - Transition'!C:C,'Step 2'!B827,'Support - Transition'!D:D,'Step 2'!C827,'Support - Transition'!E:E,"FIRE")</f>
        <v>0</v>
      </c>
      <c r="I827" s="126">
        <f>IF(B827="0",SUMIFS('Support - Transition'!F:F,'Support - Transition'!J:J,'Step 2'!D827,'Support - Transition'!E:E,"STATE UNIT"),SUMIFS('Support - Transition'!F:F,'Support - Transition'!J:J,'Step 2'!D827))</f>
        <v>0.19853000000000001</v>
      </c>
      <c r="J827" s="126">
        <f>SUMIFS('Support - Unit Adjustments'!E:E,'Support - Unit Adjustments'!F:F,'Step 2'!D827)</f>
        <v>0</v>
      </c>
      <c r="K827" s="126">
        <f t="shared" si="232"/>
        <v>0.19853000000000001</v>
      </c>
      <c r="L827" s="174">
        <f>VLOOKUP(A827,'Step 1'!$A:$E,4,FALSE)</f>
        <v>1343409</v>
      </c>
      <c r="M827" s="47">
        <f t="shared" si="233"/>
        <v>266707</v>
      </c>
      <c r="N827" s="177">
        <f>SUMIFS('Support - Transition'!G:G,'Support - Transition'!J:J,'Step 2'!D827,'Support - Transition'!E:E,"2009 WELFARE ALLOCATION FACTOR")</f>
        <v>0</v>
      </c>
      <c r="O827" s="152">
        <f t="shared" si="238"/>
        <v>0</v>
      </c>
      <c r="P827" s="126">
        <f>IF(E827="Y",0,SUMIFS('Support - Transition'!G:G,'Support - Transition'!J:J,'Step 2'!D827,'Support - Transition'!E:E,"2009 SCHOOL ALLOCATION FACTOR"))</f>
        <v>0.38191700000000001</v>
      </c>
      <c r="Q827" s="126">
        <f>IF(E827="Y",VLOOKUP(D827,'Support - Unit Adjustments'!F:G,2,FALSE),0)</f>
        <v>0</v>
      </c>
      <c r="R827" s="155">
        <f t="shared" si="250"/>
        <v>0.38191700000000001</v>
      </c>
      <c r="S827" s="47">
        <f t="shared" si="249"/>
        <v>101860</v>
      </c>
      <c r="T827" s="151">
        <f t="shared" si="234"/>
        <v>164847</v>
      </c>
      <c r="U827" s="151">
        <f t="shared" si="235"/>
        <v>0</v>
      </c>
      <c r="V827" s="139">
        <f t="shared" si="236"/>
        <v>0</v>
      </c>
      <c r="W827" s="152">
        <f t="shared" si="239"/>
        <v>164847</v>
      </c>
      <c r="X827" s="127" t="str">
        <f t="shared" si="237"/>
        <v/>
      </c>
      <c r="Y827" s="207">
        <f t="shared" si="240"/>
        <v>164847</v>
      </c>
      <c r="Z827" s="139">
        <f t="shared" si="241"/>
        <v>164847</v>
      </c>
      <c r="AA827" s="139">
        <f t="shared" si="242"/>
        <v>0</v>
      </c>
      <c r="AC827" s="47">
        <f t="shared" si="243"/>
        <v>82424</v>
      </c>
      <c r="AD827" s="47">
        <f t="shared" si="244"/>
        <v>82424</v>
      </c>
      <c r="AE827" s="47">
        <f t="shared" si="245"/>
        <v>0</v>
      </c>
      <c r="AG827" s="47">
        <f t="shared" si="246"/>
        <v>82423</v>
      </c>
      <c r="AH827" s="47">
        <f t="shared" si="247"/>
        <v>82423</v>
      </c>
      <c r="AI827" s="208">
        <f t="shared" si="248"/>
        <v>0</v>
      </c>
    </row>
    <row r="828" spans="1:35">
      <c r="A828" t="s">
        <v>2115</v>
      </c>
      <c r="B828" t="s">
        <v>3160</v>
      </c>
      <c r="C828" t="s">
        <v>3327</v>
      </c>
      <c r="D828" t="s">
        <v>4119</v>
      </c>
      <c r="F828" t="s">
        <v>3329</v>
      </c>
      <c r="G828" s="126">
        <f>SUMIFS('Support - Transition'!F:F,'Support - Transition'!B:B,'Step 2'!A828,'Support - Transition'!C:C,'Step 2'!B828,'Support - Transition'!D:D,'Step 2'!C828,'Support - Transition'!E:E,"CIVIL")</f>
        <v>0</v>
      </c>
      <c r="H828" s="126">
        <f>SUMIFS('Support - Transition'!F:F,'Support - Transition'!B:B,'Step 2'!A828,'Support - Transition'!C:C,'Step 2'!B828,'Support - Transition'!D:D,'Step 2'!C828,'Support - Transition'!E:E,"FIRE")</f>
        <v>0</v>
      </c>
      <c r="I828" s="126">
        <f>IF(B828="0",SUMIFS('Support - Transition'!F:F,'Support - Transition'!J:J,'Step 2'!D828,'Support - Transition'!E:E,"STATE UNIT"),SUMIFS('Support - Transition'!F:F,'Support - Transition'!J:J,'Step 2'!D828))</f>
        <v>1.6403000000000001E-2</v>
      </c>
      <c r="J828" s="126">
        <f>SUMIFS('Support - Unit Adjustments'!E:E,'Support - Unit Adjustments'!F:F,'Step 2'!D828)</f>
        <v>0</v>
      </c>
      <c r="K828" s="126">
        <f t="shared" si="232"/>
        <v>1.6403000000000001E-2</v>
      </c>
      <c r="L828" s="174">
        <f>VLOOKUP(A828,'Step 1'!$A:$E,4,FALSE)</f>
        <v>1343409</v>
      </c>
      <c r="M828" s="47">
        <f t="shared" si="233"/>
        <v>22036</v>
      </c>
      <c r="N828" s="177">
        <f>SUMIFS('Support - Transition'!G:G,'Support - Transition'!J:J,'Step 2'!D828,'Support - Transition'!E:E,"2009 WELFARE ALLOCATION FACTOR")</f>
        <v>0</v>
      </c>
      <c r="O828" s="152">
        <f t="shared" si="238"/>
        <v>0</v>
      </c>
      <c r="P828" s="126">
        <f>IF(E828="Y",0,SUMIFS('Support - Transition'!G:G,'Support - Transition'!J:J,'Step 2'!D828,'Support - Transition'!E:E,"2009 SCHOOL ALLOCATION FACTOR"))</f>
        <v>0.49457099999999998</v>
      </c>
      <c r="Q828" s="126">
        <f>IF(E828="Y",VLOOKUP(D828,'Support - Unit Adjustments'!F:G,2,FALSE),0)</f>
        <v>0</v>
      </c>
      <c r="R828" s="155">
        <f t="shared" si="250"/>
        <v>0.49457099999999998</v>
      </c>
      <c r="S828" s="47">
        <f t="shared" si="249"/>
        <v>10898</v>
      </c>
      <c r="T828" s="151">
        <f t="shared" si="234"/>
        <v>11138</v>
      </c>
      <c r="U828" s="151">
        <f t="shared" si="235"/>
        <v>0</v>
      </c>
      <c r="V828" s="139">
        <f t="shared" si="236"/>
        <v>0</v>
      </c>
      <c r="W828" s="152">
        <f t="shared" si="239"/>
        <v>11138</v>
      </c>
      <c r="X828" s="127" t="str">
        <f t="shared" si="237"/>
        <v/>
      </c>
      <c r="Y828" s="207">
        <f t="shared" si="240"/>
        <v>11138</v>
      </c>
      <c r="Z828" s="139">
        <f t="shared" si="241"/>
        <v>11138</v>
      </c>
      <c r="AA828" s="139">
        <f t="shared" si="242"/>
        <v>0</v>
      </c>
      <c r="AC828" s="47">
        <f t="shared" si="243"/>
        <v>5569</v>
      </c>
      <c r="AD828" s="47">
        <f t="shared" si="244"/>
        <v>5569</v>
      </c>
      <c r="AE828" s="47">
        <f t="shared" si="245"/>
        <v>0</v>
      </c>
      <c r="AG828" s="47">
        <f t="shared" si="246"/>
        <v>5569</v>
      </c>
      <c r="AH828" s="47">
        <f t="shared" si="247"/>
        <v>5569</v>
      </c>
      <c r="AI828" s="208">
        <f t="shared" si="248"/>
        <v>0</v>
      </c>
    </row>
    <row r="829" spans="1:35">
      <c r="A829" t="s">
        <v>2115</v>
      </c>
      <c r="B829" t="s">
        <v>3160</v>
      </c>
      <c r="C829" t="s">
        <v>2520</v>
      </c>
      <c r="D829" t="s">
        <v>4120</v>
      </c>
      <c r="F829" t="s">
        <v>657</v>
      </c>
      <c r="G829" s="126">
        <f>SUMIFS('Support - Transition'!F:F,'Support - Transition'!B:B,'Step 2'!A829,'Support - Transition'!C:C,'Step 2'!B829,'Support - Transition'!D:D,'Step 2'!C829,'Support - Transition'!E:E,"CIVIL")</f>
        <v>0</v>
      </c>
      <c r="H829" s="126">
        <f>SUMIFS('Support - Transition'!F:F,'Support - Transition'!B:B,'Step 2'!A829,'Support - Transition'!C:C,'Step 2'!B829,'Support - Transition'!D:D,'Step 2'!C829,'Support - Transition'!E:E,"FIRE")</f>
        <v>0</v>
      </c>
      <c r="I829" s="126">
        <f>IF(B829="0",SUMIFS('Support - Transition'!F:F,'Support - Transition'!J:J,'Step 2'!D829,'Support - Transition'!E:E,"STATE UNIT"),SUMIFS('Support - Transition'!F:F,'Support - Transition'!J:J,'Step 2'!D829))</f>
        <v>0.102633</v>
      </c>
      <c r="J829" s="126">
        <f>SUMIFS('Support - Unit Adjustments'!E:E,'Support - Unit Adjustments'!F:F,'Step 2'!D829)</f>
        <v>0</v>
      </c>
      <c r="K829" s="126">
        <f t="shared" si="232"/>
        <v>0.102633</v>
      </c>
      <c r="L829" s="174">
        <f>VLOOKUP(A829,'Step 1'!$A:$E,4,FALSE)</f>
        <v>1343409</v>
      </c>
      <c r="M829" s="47">
        <f t="shared" si="233"/>
        <v>137878</v>
      </c>
      <c r="N829" s="177">
        <f>SUMIFS('Support - Transition'!G:G,'Support - Transition'!J:J,'Step 2'!D829,'Support - Transition'!E:E,"2009 WELFARE ALLOCATION FACTOR")</f>
        <v>0</v>
      </c>
      <c r="O829" s="152">
        <f t="shared" si="238"/>
        <v>0</v>
      </c>
      <c r="P829" s="126">
        <f>IF(E829="Y",0,SUMIFS('Support - Transition'!G:G,'Support - Transition'!J:J,'Step 2'!D829,'Support - Transition'!E:E,"2009 SCHOOL ALLOCATION FACTOR"))</f>
        <v>0.54041399999999995</v>
      </c>
      <c r="Q829" s="126">
        <f>IF(E829="Y",VLOOKUP(D829,'Support - Unit Adjustments'!F:G,2,FALSE),0)</f>
        <v>0</v>
      </c>
      <c r="R829" s="155">
        <f t="shared" si="250"/>
        <v>0.54041399999999995</v>
      </c>
      <c r="S829" s="47">
        <f t="shared" si="249"/>
        <v>74511</v>
      </c>
      <c r="T829" s="151">
        <f t="shared" si="234"/>
        <v>63367</v>
      </c>
      <c r="U829" s="151">
        <f t="shared" si="235"/>
        <v>0</v>
      </c>
      <c r="V829" s="139">
        <f t="shared" si="236"/>
        <v>0</v>
      </c>
      <c r="W829" s="152">
        <f t="shared" si="239"/>
        <v>63367</v>
      </c>
      <c r="X829" s="127" t="str">
        <f t="shared" si="237"/>
        <v/>
      </c>
      <c r="Y829" s="207">
        <f t="shared" si="240"/>
        <v>63367</v>
      </c>
      <c r="Z829" s="139">
        <f t="shared" si="241"/>
        <v>63367</v>
      </c>
      <c r="AA829" s="139">
        <f t="shared" si="242"/>
        <v>0</v>
      </c>
      <c r="AC829" s="47">
        <f t="shared" si="243"/>
        <v>31684</v>
      </c>
      <c r="AD829" s="47">
        <f t="shared" si="244"/>
        <v>31684</v>
      </c>
      <c r="AE829" s="47">
        <f t="shared" si="245"/>
        <v>0</v>
      </c>
      <c r="AG829" s="47">
        <f t="shared" si="246"/>
        <v>31683</v>
      </c>
      <c r="AH829" s="47">
        <f t="shared" si="247"/>
        <v>31683</v>
      </c>
      <c r="AI829" s="208">
        <f t="shared" si="248"/>
        <v>0</v>
      </c>
    </row>
    <row r="830" spans="1:35">
      <c r="A830" t="s">
        <v>2115</v>
      </c>
      <c r="B830" t="s">
        <v>3160</v>
      </c>
      <c r="C830" t="s">
        <v>2521</v>
      </c>
      <c r="D830" t="s">
        <v>4121</v>
      </c>
      <c r="F830" t="s">
        <v>660</v>
      </c>
      <c r="G830" s="126">
        <f>SUMIFS('Support - Transition'!F:F,'Support - Transition'!B:B,'Step 2'!A830,'Support - Transition'!C:C,'Step 2'!B830,'Support - Transition'!D:D,'Step 2'!C830,'Support - Transition'!E:E,"CIVIL")</f>
        <v>0</v>
      </c>
      <c r="H830" s="126">
        <f>SUMIFS('Support - Transition'!F:F,'Support - Transition'!B:B,'Step 2'!A830,'Support - Transition'!C:C,'Step 2'!B830,'Support - Transition'!D:D,'Step 2'!C830,'Support - Transition'!E:E,"FIRE")</f>
        <v>0</v>
      </c>
      <c r="I830" s="126">
        <f>IF(B830="0",SUMIFS('Support - Transition'!F:F,'Support - Transition'!J:J,'Step 2'!D830,'Support - Transition'!E:E,"STATE UNIT"),SUMIFS('Support - Transition'!F:F,'Support - Transition'!J:J,'Step 2'!D830))</f>
        <v>0.12553</v>
      </c>
      <c r="J830" s="126">
        <f>SUMIFS('Support - Unit Adjustments'!E:E,'Support - Unit Adjustments'!F:F,'Step 2'!D830)</f>
        <v>0</v>
      </c>
      <c r="K830" s="126">
        <f t="shared" si="232"/>
        <v>0.12553</v>
      </c>
      <c r="L830" s="174">
        <f>VLOOKUP(A830,'Step 1'!$A:$E,4,FALSE)</f>
        <v>1343409</v>
      </c>
      <c r="M830" s="47">
        <f t="shared" si="233"/>
        <v>168638</v>
      </c>
      <c r="N830" s="177">
        <f>SUMIFS('Support - Transition'!G:G,'Support - Transition'!J:J,'Step 2'!D830,'Support - Transition'!E:E,"2009 WELFARE ALLOCATION FACTOR")</f>
        <v>0</v>
      </c>
      <c r="O830" s="152">
        <f t="shared" si="238"/>
        <v>0</v>
      </c>
      <c r="P830" s="126">
        <f>IF(E830="Y",0,SUMIFS('Support - Transition'!G:G,'Support - Transition'!J:J,'Step 2'!D830,'Support - Transition'!E:E,"2009 SCHOOL ALLOCATION FACTOR"))</f>
        <v>0.45163199999999998</v>
      </c>
      <c r="Q830" s="126">
        <f>IF(E830="Y",VLOOKUP(D830,'Support - Unit Adjustments'!F:G,2,FALSE),0)</f>
        <v>0</v>
      </c>
      <c r="R830" s="155">
        <f t="shared" si="250"/>
        <v>0.45163199999999998</v>
      </c>
      <c r="S830" s="47">
        <f t="shared" si="249"/>
        <v>76162</v>
      </c>
      <c r="T830" s="151">
        <f t="shared" si="234"/>
        <v>92476</v>
      </c>
      <c r="U830" s="151">
        <f t="shared" si="235"/>
        <v>0</v>
      </c>
      <c r="V830" s="139">
        <f t="shared" si="236"/>
        <v>0</v>
      </c>
      <c r="W830" s="152">
        <f t="shared" si="239"/>
        <v>92476</v>
      </c>
      <c r="X830" s="127" t="str">
        <f t="shared" si="237"/>
        <v/>
      </c>
      <c r="Y830" s="207">
        <f t="shared" si="240"/>
        <v>92476</v>
      </c>
      <c r="Z830" s="139">
        <f t="shared" si="241"/>
        <v>92476</v>
      </c>
      <c r="AA830" s="139">
        <f t="shared" si="242"/>
        <v>0</v>
      </c>
      <c r="AC830" s="47">
        <f t="shared" si="243"/>
        <v>46238</v>
      </c>
      <c r="AD830" s="47">
        <f t="shared" si="244"/>
        <v>46238</v>
      </c>
      <c r="AE830" s="47">
        <f t="shared" si="245"/>
        <v>0</v>
      </c>
      <c r="AG830" s="47">
        <f t="shared" si="246"/>
        <v>46238</v>
      </c>
      <c r="AH830" s="47">
        <f t="shared" si="247"/>
        <v>46238</v>
      </c>
      <c r="AI830" s="208">
        <f t="shared" si="248"/>
        <v>0</v>
      </c>
    </row>
    <row r="831" spans="1:35">
      <c r="A831" t="s">
        <v>2115</v>
      </c>
      <c r="B831" t="s">
        <v>3166</v>
      </c>
      <c r="C831" t="s">
        <v>4122</v>
      </c>
      <c r="D831" t="s">
        <v>4123</v>
      </c>
      <c r="F831" t="s">
        <v>4124</v>
      </c>
      <c r="G831" s="126">
        <f>SUMIFS('Support - Transition'!F:F,'Support - Transition'!B:B,'Step 2'!A831,'Support - Transition'!C:C,'Step 2'!B831,'Support - Transition'!D:D,'Step 2'!C831,'Support - Transition'!E:E,"CIVIL")</f>
        <v>0</v>
      </c>
      <c r="H831" s="126">
        <f>SUMIFS('Support - Transition'!F:F,'Support - Transition'!B:B,'Step 2'!A831,'Support - Transition'!C:C,'Step 2'!B831,'Support - Transition'!D:D,'Step 2'!C831,'Support - Transition'!E:E,"FIRE")</f>
        <v>0</v>
      </c>
      <c r="I831" s="126">
        <f>IF(B831="0",SUMIFS('Support - Transition'!F:F,'Support - Transition'!J:J,'Step 2'!D831,'Support - Transition'!E:E,"STATE UNIT"),SUMIFS('Support - Transition'!F:F,'Support - Transition'!J:J,'Step 2'!D831))</f>
        <v>0</v>
      </c>
      <c r="J831" s="126">
        <f>SUMIFS('Support - Unit Adjustments'!E:E,'Support - Unit Adjustments'!F:F,'Step 2'!D831)</f>
        <v>1.1249999999999999E-3</v>
      </c>
      <c r="K831" s="126">
        <f t="shared" si="232"/>
        <v>1.1249999999999999E-3</v>
      </c>
      <c r="L831" s="174">
        <f>VLOOKUP(A831,'Step 1'!$A:$E,4,FALSE)</f>
        <v>1343409</v>
      </c>
      <c r="M831" s="47">
        <f t="shared" si="233"/>
        <v>1511</v>
      </c>
      <c r="N831" s="177">
        <f>SUMIFS('Support - Transition'!G:G,'Support - Transition'!J:J,'Step 2'!D831,'Support - Transition'!E:E,"2009 WELFARE ALLOCATION FACTOR")</f>
        <v>0</v>
      </c>
      <c r="O831" s="152">
        <f t="shared" si="238"/>
        <v>0</v>
      </c>
      <c r="P831" s="126">
        <f>IF(E831="Y",0,SUMIFS('Support - Transition'!G:G,'Support - Transition'!J:J,'Step 2'!D831,'Support - Transition'!E:E,"2009 SCHOOL ALLOCATION FACTOR"))</f>
        <v>0</v>
      </c>
      <c r="Q831" s="126">
        <f>IF(E831="Y",VLOOKUP(D831,'Support - Unit Adjustments'!F:G,2,FALSE),0)</f>
        <v>0</v>
      </c>
      <c r="R831" s="155">
        <f t="shared" si="250"/>
        <v>0</v>
      </c>
      <c r="S831" s="47">
        <f t="shared" si="249"/>
        <v>0</v>
      </c>
      <c r="T831" s="151">
        <f t="shared" si="234"/>
        <v>1511</v>
      </c>
      <c r="U831" s="151">
        <f t="shared" si="235"/>
        <v>0</v>
      </c>
      <c r="V831" s="139">
        <f t="shared" si="236"/>
        <v>0</v>
      </c>
      <c r="W831" s="152">
        <f t="shared" si="239"/>
        <v>1511</v>
      </c>
      <c r="X831" s="127" t="str">
        <f t="shared" si="237"/>
        <v/>
      </c>
      <c r="Y831" s="207">
        <f t="shared" si="240"/>
        <v>1511</v>
      </c>
      <c r="Z831" s="139">
        <f t="shared" si="241"/>
        <v>1511</v>
      </c>
      <c r="AA831" s="139">
        <f t="shared" si="242"/>
        <v>0</v>
      </c>
      <c r="AC831" s="47">
        <f t="shared" si="243"/>
        <v>756</v>
      </c>
      <c r="AD831" s="47">
        <f t="shared" si="244"/>
        <v>756</v>
      </c>
      <c r="AE831" s="47">
        <f t="shared" si="245"/>
        <v>0</v>
      </c>
      <c r="AG831" s="47">
        <f t="shared" si="246"/>
        <v>755</v>
      </c>
      <c r="AH831" s="47">
        <f t="shared" si="247"/>
        <v>755</v>
      </c>
      <c r="AI831" s="208">
        <f t="shared" si="248"/>
        <v>0</v>
      </c>
    </row>
    <row r="832" spans="1:35">
      <c r="A832" t="s">
        <v>2115</v>
      </c>
      <c r="B832" t="s">
        <v>3166</v>
      </c>
      <c r="C832" t="s">
        <v>4125</v>
      </c>
      <c r="D832" t="s">
        <v>4126</v>
      </c>
      <c r="F832" t="s">
        <v>663</v>
      </c>
      <c r="G832" s="126">
        <f>SUMIFS('Support - Transition'!F:F,'Support - Transition'!B:B,'Step 2'!A832,'Support - Transition'!C:C,'Step 2'!B832,'Support - Transition'!D:D,'Step 2'!C832,'Support - Transition'!E:E,"CIVIL")</f>
        <v>0</v>
      </c>
      <c r="H832" s="126">
        <f>SUMIFS('Support - Transition'!F:F,'Support - Transition'!B:B,'Step 2'!A832,'Support - Transition'!C:C,'Step 2'!B832,'Support - Transition'!D:D,'Step 2'!C832,'Support - Transition'!E:E,"FIRE")</f>
        <v>0</v>
      </c>
      <c r="I832" s="126">
        <f>IF(B832="0",SUMIFS('Support - Transition'!F:F,'Support - Transition'!J:J,'Step 2'!D832,'Support - Transition'!E:E,"STATE UNIT"),SUMIFS('Support - Transition'!F:F,'Support - Transition'!J:J,'Step 2'!D832))</f>
        <v>4.5710000000000004E-3</v>
      </c>
      <c r="J832" s="126">
        <f>SUMIFS('Support - Unit Adjustments'!E:E,'Support - Unit Adjustments'!F:F,'Step 2'!D832)</f>
        <v>0</v>
      </c>
      <c r="K832" s="126">
        <f t="shared" si="232"/>
        <v>4.5710000000000004E-3</v>
      </c>
      <c r="L832" s="174">
        <f>VLOOKUP(A832,'Step 1'!$A:$E,4,FALSE)</f>
        <v>1343409</v>
      </c>
      <c r="M832" s="47">
        <f t="shared" si="233"/>
        <v>6141</v>
      </c>
      <c r="N832" s="177">
        <f>SUMIFS('Support - Transition'!G:G,'Support - Transition'!J:J,'Step 2'!D832,'Support - Transition'!E:E,"2009 WELFARE ALLOCATION FACTOR")</f>
        <v>0</v>
      </c>
      <c r="O832" s="152">
        <f t="shared" si="238"/>
        <v>0</v>
      </c>
      <c r="P832" s="126">
        <f>IF(E832="Y",0,SUMIFS('Support - Transition'!G:G,'Support - Transition'!J:J,'Step 2'!D832,'Support - Transition'!E:E,"2009 SCHOOL ALLOCATION FACTOR"))</f>
        <v>0</v>
      </c>
      <c r="Q832" s="126">
        <f>IF(E832="Y",VLOOKUP(D832,'Support - Unit Adjustments'!F:G,2,FALSE),0)</f>
        <v>0</v>
      </c>
      <c r="R832" s="155">
        <f t="shared" si="250"/>
        <v>0</v>
      </c>
      <c r="S832" s="47">
        <f t="shared" si="249"/>
        <v>0</v>
      </c>
      <c r="T832" s="151">
        <f t="shared" si="234"/>
        <v>6141</v>
      </c>
      <c r="U832" s="151">
        <f t="shared" si="235"/>
        <v>0</v>
      </c>
      <c r="V832" s="139">
        <f t="shared" si="236"/>
        <v>0</v>
      </c>
      <c r="W832" s="152">
        <f t="shared" si="239"/>
        <v>6141</v>
      </c>
      <c r="X832" s="127" t="str">
        <f t="shared" si="237"/>
        <v/>
      </c>
      <c r="Y832" s="207">
        <f t="shared" si="240"/>
        <v>6141</v>
      </c>
      <c r="Z832" s="139">
        <f t="shared" si="241"/>
        <v>6141</v>
      </c>
      <c r="AA832" s="139">
        <f t="shared" si="242"/>
        <v>0</v>
      </c>
      <c r="AC832" s="47">
        <f t="shared" si="243"/>
        <v>3071</v>
      </c>
      <c r="AD832" s="47">
        <f t="shared" si="244"/>
        <v>3071</v>
      </c>
      <c r="AE832" s="47">
        <f t="shared" si="245"/>
        <v>0</v>
      </c>
      <c r="AG832" s="47">
        <f t="shared" si="246"/>
        <v>3070</v>
      </c>
      <c r="AH832" s="47">
        <f t="shared" si="247"/>
        <v>3070</v>
      </c>
      <c r="AI832" s="208">
        <f t="shared" si="248"/>
        <v>0</v>
      </c>
    </row>
    <row r="833" spans="1:35">
      <c r="A833" t="s">
        <v>2115</v>
      </c>
      <c r="B833" t="s">
        <v>3166</v>
      </c>
      <c r="C833" t="s">
        <v>4127</v>
      </c>
      <c r="D833" t="s">
        <v>4128</v>
      </c>
      <c r="F833" t="s">
        <v>4129</v>
      </c>
      <c r="G833" s="126">
        <f>SUMIFS('Support - Transition'!F:F,'Support - Transition'!B:B,'Step 2'!A833,'Support - Transition'!C:C,'Step 2'!B833,'Support - Transition'!D:D,'Step 2'!C833,'Support - Transition'!E:E,"CIVIL")</f>
        <v>0</v>
      </c>
      <c r="H833" s="126">
        <f>SUMIFS('Support - Transition'!F:F,'Support - Transition'!B:B,'Step 2'!A833,'Support - Transition'!C:C,'Step 2'!B833,'Support - Transition'!D:D,'Step 2'!C833,'Support - Transition'!E:E,"FIRE")</f>
        <v>0</v>
      </c>
      <c r="I833" s="126">
        <f>IF(B833="0",SUMIFS('Support - Transition'!F:F,'Support - Transition'!J:J,'Step 2'!D833,'Support - Transition'!E:E,"STATE UNIT"),SUMIFS('Support - Transition'!F:F,'Support - Transition'!J:J,'Step 2'!D833))</f>
        <v>0</v>
      </c>
      <c r="J833" s="126">
        <f>SUMIFS('Support - Unit Adjustments'!E:E,'Support - Unit Adjustments'!F:F,'Step 2'!D833)</f>
        <v>1.1701E-2</v>
      </c>
      <c r="K833" s="126">
        <f t="shared" si="232"/>
        <v>1.1701E-2</v>
      </c>
      <c r="L833" s="174">
        <f>VLOOKUP(A833,'Step 1'!$A:$E,4,FALSE)</f>
        <v>1343409</v>
      </c>
      <c r="M833" s="47">
        <f t="shared" si="233"/>
        <v>15719</v>
      </c>
      <c r="N833" s="177">
        <f>SUMIFS('Support - Transition'!G:G,'Support - Transition'!J:J,'Step 2'!D833,'Support - Transition'!E:E,"2009 WELFARE ALLOCATION FACTOR")</f>
        <v>0</v>
      </c>
      <c r="O833" s="152">
        <f t="shared" si="238"/>
        <v>0</v>
      </c>
      <c r="P833" s="126">
        <f>IF(E833="Y",0,SUMIFS('Support - Transition'!G:G,'Support - Transition'!J:J,'Step 2'!D833,'Support - Transition'!E:E,"2009 SCHOOL ALLOCATION FACTOR"))</f>
        <v>0</v>
      </c>
      <c r="Q833" s="126">
        <f>IF(E833="Y",VLOOKUP(D833,'Support - Unit Adjustments'!F:G,2,FALSE),0)</f>
        <v>0</v>
      </c>
      <c r="R833" s="155">
        <f t="shared" si="250"/>
        <v>0</v>
      </c>
      <c r="S833" s="47">
        <f t="shared" si="249"/>
        <v>0</v>
      </c>
      <c r="T833" s="151">
        <f t="shared" si="234"/>
        <v>15719</v>
      </c>
      <c r="U833" s="151">
        <f t="shared" si="235"/>
        <v>0</v>
      </c>
      <c r="V833" s="139">
        <f t="shared" si="236"/>
        <v>0</v>
      </c>
      <c r="W833" s="152">
        <f t="shared" si="239"/>
        <v>15719</v>
      </c>
      <c r="X833" s="127" t="str">
        <f t="shared" si="237"/>
        <v/>
      </c>
      <c r="Y833" s="207">
        <f t="shared" si="240"/>
        <v>15719</v>
      </c>
      <c r="Z833" s="139">
        <f t="shared" si="241"/>
        <v>15719</v>
      </c>
      <c r="AA833" s="139">
        <f t="shared" si="242"/>
        <v>0</v>
      </c>
      <c r="AC833" s="47">
        <f t="shared" si="243"/>
        <v>7860</v>
      </c>
      <c r="AD833" s="47">
        <f t="shared" si="244"/>
        <v>7860</v>
      </c>
      <c r="AE833" s="47">
        <f t="shared" si="245"/>
        <v>0</v>
      </c>
      <c r="AG833" s="47">
        <f t="shared" si="246"/>
        <v>7859</v>
      </c>
      <c r="AH833" s="47">
        <f t="shared" si="247"/>
        <v>7859</v>
      </c>
      <c r="AI833" s="208">
        <f t="shared" si="248"/>
        <v>0</v>
      </c>
    </row>
    <row r="834" spans="1:35">
      <c r="A834" t="s">
        <v>2115</v>
      </c>
      <c r="B834" t="s">
        <v>3166</v>
      </c>
      <c r="C834" t="s">
        <v>4130</v>
      </c>
      <c r="D834" t="s">
        <v>4131</v>
      </c>
      <c r="F834" t="s">
        <v>665</v>
      </c>
      <c r="G834" s="126">
        <f>SUMIFS('Support - Transition'!F:F,'Support - Transition'!B:B,'Step 2'!A834,'Support - Transition'!C:C,'Step 2'!B834,'Support - Transition'!D:D,'Step 2'!C834,'Support - Transition'!E:E,"CIVIL")</f>
        <v>0</v>
      </c>
      <c r="H834" s="126">
        <f>SUMIFS('Support - Transition'!F:F,'Support - Transition'!B:B,'Step 2'!A834,'Support - Transition'!C:C,'Step 2'!B834,'Support - Transition'!D:D,'Step 2'!C834,'Support - Transition'!E:E,"FIRE")</f>
        <v>0</v>
      </c>
      <c r="I834" s="126">
        <f>IF(B834="0",SUMIFS('Support - Transition'!F:F,'Support - Transition'!J:J,'Step 2'!D834,'Support - Transition'!E:E,"STATE UNIT"),SUMIFS('Support - Transition'!F:F,'Support - Transition'!J:J,'Step 2'!D834))</f>
        <v>4.6500000000000003E-4</v>
      </c>
      <c r="J834" s="126">
        <f>SUMIFS('Support - Unit Adjustments'!E:E,'Support - Unit Adjustments'!F:F,'Step 2'!D834)</f>
        <v>0</v>
      </c>
      <c r="K834" s="126">
        <f t="shared" ref="K834:K897" si="251">+I834+J834</f>
        <v>4.6500000000000003E-4</v>
      </c>
      <c r="L834" s="174">
        <f>VLOOKUP(A834,'Step 1'!$A:$E,4,FALSE)</f>
        <v>1343409</v>
      </c>
      <c r="M834" s="47">
        <f t="shared" ref="M834:M897" si="252">ROUND(+K834*L834,0)</f>
        <v>625</v>
      </c>
      <c r="N834" s="177">
        <f>SUMIFS('Support - Transition'!G:G,'Support - Transition'!J:J,'Step 2'!D834,'Support - Transition'!E:E,"2009 WELFARE ALLOCATION FACTOR")</f>
        <v>0</v>
      </c>
      <c r="O834" s="152">
        <f t="shared" si="238"/>
        <v>0</v>
      </c>
      <c r="P834" s="126">
        <f>IF(E834="Y",0,SUMIFS('Support - Transition'!G:G,'Support - Transition'!J:J,'Step 2'!D834,'Support - Transition'!E:E,"2009 SCHOOL ALLOCATION FACTOR"))</f>
        <v>0</v>
      </c>
      <c r="Q834" s="126">
        <f>IF(E834="Y",VLOOKUP(D834,'Support - Unit Adjustments'!F:G,2,FALSE),0)</f>
        <v>0</v>
      </c>
      <c r="R834" s="155">
        <f t="shared" si="250"/>
        <v>0</v>
      </c>
      <c r="S834" s="47">
        <f t="shared" si="249"/>
        <v>0</v>
      </c>
      <c r="T834" s="151">
        <f t="shared" ref="T834:T897" si="253">ROUND(+M834-O834-S834,2)</f>
        <v>625</v>
      </c>
      <c r="U834" s="151">
        <f t="shared" ref="U834:U897" si="254">IF(B834="0",SUMIFS(O:O,A:A,A834)+SUMIFS(S:S,A:A,A834)+SUMIFS(T:T,A:A,A834),0)</f>
        <v>0</v>
      </c>
      <c r="V834" s="139">
        <f t="shared" ref="V834:V897" si="255">IF(B834="0",U834-L834,0)</f>
        <v>0</v>
      </c>
      <c r="W834" s="152">
        <f t="shared" si="239"/>
        <v>625</v>
      </c>
      <c r="X834" s="127" t="str">
        <f t="shared" ref="X834:X897" si="256">IF(B834="0",SUMIFS(O:O,A:A,A834)+SUMIFS(S:S,A:A,A834)+SUMIFS(W:W,A:A,A834)-L834,"")</f>
        <v/>
      </c>
      <c r="Y834" s="207">
        <f t="shared" si="240"/>
        <v>625</v>
      </c>
      <c r="Z834" s="139">
        <f t="shared" si="241"/>
        <v>625</v>
      </c>
      <c r="AA834" s="139">
        <f t="shared" si="242"/>
        <v>0</v>
      </c>
      <c r="AC834" s="47">
        <f t="shared" si="243"/>
        <v>313</v>
      </c>
      <c r="AD834" s="47">
        <f t="shared" si="244"/>
        <v>313</v>
      </c>
      <c r="AE834" s="47">
        <f t="shared" si="245"/>
        <v>0</v>
      </c>
      <c r="AG834" s="47">
        <f t="shared" si="246"/>
        <v>312</v>
      </c>
      <c r="AH834" s="47">
        <f t="shared" si="247"/>
        <v>312</v>
      </c>
      <c r="AI834" s="208">
        <f t="shared" si="248"/>
        <v>0</v>
      </c>
    </row>
    <row r="835" spans="1:35">
      <c r="A835" t="s">
        <v>2115</v>
      </c>
      <c r="B835" t="s">
        <v>3166</v>
      </c>
      <c r="C835" t="s">
        <v>2522</v>
      </c>
      <c r="D835" t="s">
        <v>4132</v>
      </c>
      <c r="F835" t="s">
        <v>666</v>
      </c>
      <c r="G835" s="126">
        <f>SUMIFS('Support - Transition'!F:F,'Support - Transition'!B:B,'Step 2'!A835,'Support - Transition'!C:C,'Step 2'!B835,'Support - Transition'!D:D,'Step 2'!C835,'Support - Transition'!E:E,"CIVIL")</f>
        <v>0</v>
      </c>
      <c r="H835" s="126">
        <f>SUMIFS('Support - Transition'!F:F,'Support - Transition'!B:B,'Step 2'!A835,'Support - Transition'!C:C,'Step 2'!B835,'Support - Transition'!D:D,'Step 2'!C835,'Support - Transition'!E:E,"FIRE")</f>
        <v>0</v>
      </c>
      <c r="I835" s="126">
        <f>IF(B835="0",SUMIFS('Support - Transition'!F:F,'Support - Transition'!J:J,'Step 2'!D835,'Support - Transition'!E:E,"STATE UNIT"),SUMIFS('Support - Transition'!F:F,'Support - Transition'!J:J,'Step 2'!D835))</f>
        <v>6.1590000000000256E-3</v>
      </c>
      <c r="J835" s="126">
        <f>SUMIFS('Support - Unit Adjustments'!E:E,'Support - Unit Adjustments'!F:F,'Step 2'!D835)</f>
        <v>0</v>
      </c>
      <c r="K835" s="126">
        <f t="shared" si="251"/>
        <v>6.1590000000000256E-3</v>
      </c>
      <c r="L835" s="174">
        <f>VLOOKUP(A835,'Step 1'!$A:$E,4,FALSE)</f>
        <v>1343409</v>
      </c>
      <c r="M835" s="47">
        <f t="shared" si="252"/>
        <v>8274</v>
      </c>
      <c r="N835" s="177">
        <f>SUMIFS('Support - Transition'!G:G,'Support - Transition'!J:J,'Step 2'!D835,'Support - Transition'!E:E,"2009 WELFARE ALLOCATION FACTOR")</f>
        <v>0</v>
      </c>
      <c r="O835" s="152">
        <f t="shared" ref="O835:O898" si="257">ROUND(+N835*M835,0)</f>
        <v>0</v>
      </c>
      <c r="P835" s="126">
        <f>IF(E835="Y",0,SUMIFS('Support - Transition'!G:G,'Support - Transition'!J:J,'Step 2'!D835,'Support - Transition'!E:E,"2009 SCHOOL ALLOCATION FACTOR"))</f>
        <v>0</v>
      </c>
      <c r="Q835" s="126">
        <f>IF(E835="Y",VLOOKUP(D835,'Support - Unit Adjustments'!F:G,2,FALSE),0)</f>
        <v>0</v>
      </c>
      <c r="R835" s="155">
        <f t="shared" si="250"/>
        <v>0</v>
      </c>
      <c r="S835" s="47">
        <f t="shared" si="249"/>
        <v>0</v>
      </c>
      <c r="T835" s="151">
        <f t="shared" si="253"/>
        <v>8274</v>
      </c>
      <c r="U835" s="151">
        <f t="shared" si="254"/>
        <v>0</v>
      </c>
      <c r="V835" s="139">
        <f t="shared" si="255"/>
        <v>0</v>
      </c>
      <c r="W835" s="152">
        <f t="shared" ref="W835:W898" si="258">+T835-V835</f>
        <v>8274</v>
      </c>
      <c r="X835" s="127" t="str">
        <f t="shared" si="256"/>
        <v/>
      </c>
      <c r="Y835" s="207">
        <f t="shared" ref="Y835:Y898" si="259">W835</f>
        <v>8274</v>
      </c>
      <c r="Z835" s="139">
        <f t="shared" ref="Z835:Z898" si="260">IFERROR(IF(B835="2",ROUND(Y835*G835/I835,0),Y835),0)</f>
        <v>8274</v>
      </c>
      <c r="AA835" s="139">
        <f t="shared" ref="AA835:AA898" si="261">+Y835-Z835</f>
        <v>0</v>
      </c>
      <c r="AC835" s="47">
        <f t="shared" ref="AC835:AC898" si="262">ROUND(Y835/2,0)</f>
        <v>4137</v>
      </c>
      <c r="AD835" s="47">
        <f t="shared" ref="AD835:AD898" si="263">ROUND(Z835/2,0)</f>
        <v>4137</v>
      </c>
      <c r="AE835" s="47">
        <f t="shared" ref="AE835:AE898" si="264">ROUND(AA835/2,0)</f>
        <v>0</v>
      </c>
      <c r="AG835" s="47">
        <f t="shared" ref="AG835:AG898" si="265">+Y835-AC835</f>
        <v>4137</v>
      </c>
      <c r="AH835" s="47">
        <f t="shared" ref="AH835:AH898" si="266">+Z835-AD835</f>
        <v>4137</v>
      </c>
      <c r="AI835" s="208">
        <f t="shared" ref="AI835:AI898" si="267">+AA835-AE835</f>
        <v>0</v>
      </c>
    </row>
    <row r="836" spans="1:35">
      <c r="A836" t="s">
        <v>2115</v>
      </c>
      <c r="B836" t="s">
        <v>3170</v>
      </c>
      <c r="C836" t="s">
        <v>4133</v>
      </c>
      <c r="D836" t="s">
        <v>4134</v>
      </c>
      <c r="F836" t="s">
        <v>4135</v>
      </c>
      <c r="G836" s="126">
        <f>SUMIFS('Support - Transition'!F:F,'Support - Transition'!B:B,'Step 2'!A836,'Support - Transition'!C:C,'Step 2'!B836,'Support - Transition'!D:D,'Step 2'!C836,'Support - Transition'!E:E,"CIVIL")</f>
        <v>0</v>
      </c>
      <c r="H836" s="126">
        <f>SUMIFS('Support - Transition'!F:F,'Support - Transition'!B:B,'Step 2'!A836,'Support - Transition'!C:C,'Step 2'!B836,'Support - Transition'!D:D,'Step 2'!C836,'Support - Transition'!E:E,"FIRE")</f>
        <v>0</v>
      </c>
      <c r="I836" s="126">
        <f>IF(B836="0",SUMIFS('Support - Transition'!F:F,'Support - Transition'!J:J,'Step 2'!D836,'Support - Transition'!E:E,"STATE UNIT"),SUMIFS('Support - Transition'!F:F,'Support - Transition'!J:J,'Step 2'!D836))</f>
        <v>0</v>
      </c>
      <c r="J836" s="126">
        <f>SUMIFS('Support - Unit Adjustments'!E:E,'Support - Unit Adjustments'!F:F,'Step 2'!D836)</f>
        <v>0</v>
      </c>
      <c r="K836" s="126">
        <f t="shared" si="251"/>
        <v>0</v>
      </c>
      <c r="L836" s="174">
        <f>VLOOKUP(A836,'Step 1'!$A:$E,4,FALSE)</f>
        <v>1343409</v>
      </c>
      <c r="M836" s="47">
        <f t="shared" si="252"/>
        <v>0</v>
      </c>
      <c r="N836" s="177">
        <f>SUMIFS('Support - Transition'!G:G,'Support - Transition'!J:J,'Step 2'!D836,'Support - Transition'!E:E,"2009 WELFARE ALLOCATION FACTOR")</f>
        <v>0</v>
      </c>
      <c r="O836" s="152">
        <f t="shared" si="257"/>
        <v>0</v>
      </c>
      <c r="P836" s="126">
        <f>IF(E836="Y",0,SUMIFS('Support - Transition'!G:G,'Support - Transition'!J:J,'Step 2'!D836,'Support - Transition'!E:E,"2009 SCHOOL ALLOCATION FACTOR"))</f>
        <v>0</v>
      </c>
      <c r="Q836" s="126">
        <f>IF(E836="Y",VLOOKUP(D836,'Support - Unit Adjustments'!F:G,2,FALSE),0)</f>
        <v>0</v>
      </c>
      <c r="R836" s="155">
        <f t="shared" si="250"/>
        <v>0</v>
      </c>
      <c r="S836" s="47">
        <f t="shared" si="249"/>
        <v>0</v>
      </c>
      <c r="T836" s="151">
        <f t="shared" si="253"/>
        <v>0</v>
      </c>
      <c r="U836" s="151">
        <f t="shared" si="254"/>
        <v>0</v>
      </c>
      <c r="V836" s="139">
        <f t="shared" si="255"/>
        <v>0</v>
      </c>
      <c r="W836" s="152">
        <f t="shared" si="258"/>
        <v>0</v>
      </c>
      <c r="X836" s="127" t="str">
        <f t="shared" si="256"/>
        <v/>
      </c>
      <c r="Y836" s="207">
        <f t="shared" si="259"/>
        <v>0</v>
      </c>
      <c r="Z836" s="139">
        <f t="shared" si="260"/>
        <v>0</v>
      </c>
      <c r="AA836" s="139">
        <f t="shared" si="261"/>
        <v>0</v>
      </c>
      <c r="AC836" s="47">
        <f t="shared" si="262"/>
        <v>0</v>
      </c>
      <c r="AD836" s="47">
        <f t="shared" si="263"/>
        <v>0</v>
      </c>
      <c r="AE836" s="47">
        <f t="shared" si="264"/>
        <v>0</v>
      </c>
      <c r="AG836" s="47">
        <f t="shared" si="265"/>
        <v>0</v>
      </c>
      <c r="AH836" s="47">
        <f t="shared" si="266"/>
        <v>0</v>
      </c>
      <c r="AI836" s="208">
        <f t="shared" si="267"/>
        <v>0</v>
      </c>
    </row>
    <row r="837" spans="1:35">
      <c r="A837" t="s">
        <v>2115</v>
      </c>
      <c r="B837" t="s">
        <v>3170</v>
      </c>
      <c r="C837" t="s">
        <v>4136</v>
      </c>
      <c r="D837" t="s">
        <v>4137</v>
      </c>
      <c r="F837" t="s">
        <v>4138</v>
      </c>
      <c r="G837" s="126">
        <f>SUMIFS('Support - Transition'!F:F,'Support - Transition'!B:B,'Step 2'!A837,'Support - Transition'!C:C,'Step 2'!B837,'Support - Transition'!D:D,'Step 2'!C837,'Support - Transition'!E:E,"CIVIL")</f>
        <v>0</v>
      </c>
      <c r="H837" s="126">
        <f>SUMIFS('Support - Transition'!F:F,'Support - Transition'!B:B,'Step 2'!A837,'Support - Transition'!C:C,'Step 2'!B837,'Support - Transition'!D:D,'Step 2'!C837,'Support - Transition'!E:E,"FIRE")</f>
        <v>0</v>
      </c>
      <c r="I837" s="126">
        <f>IF(B837="0",SUMIFS('Support - Transition'!F:F,'Support - Transition'!J:J,'Step 2'!D837,'Support - Transition'!E:E,"STATE UNIT"),SUMIFS('Support - Transition'!F:F,'Support - Transition'!J:J,'Step 2'!D837))</f>
        <v>0</v>
      </c>
      <c r="J837" s="126">
        <f>SUMIFS('Support - Unit Adjustments'!E:E,'Support - Unit Adjustments'!F:F,'Step 2'!D837)</f>
        <v>0</v>
      </c>
      <c r="K837" s="126">
        <f t="shared" si="251"/>
        <v>0</v>
      </c>
      <c r="L837" s="174">
        <f>VLOOKUP(A837,'Step 1'!$A:$E,4,FALSE)</f>
        <v>1343409</v>
      </c>
      <c r="M837" s="47">
        <f t="shared" si="252"/>
        <v>0</v>
      </c>
      <c r="N837" s="177">
        <f>SUMIFS('Support - Transition'!G:G,'Support - Transition'!J:J,'Step 2'!D837,'Support - Transition'!E:E,"2009 WELFARE ALLOCATION FACTOR")</f>
        <v>0</v>
      </c>
      <c r="O837" s="152">
        <f t="shared" si="257"/>
        <v>0</v>
      </c>
      <c r="P837" s="126">
        <f>IF(E837="Y",0,SUMIFS('Support - Transition'!G:G,'Support - Transition'!J:J,'Step 2'!D837,'Support - Transition'!E:E,"2009 SCHOOL ALLOCATION FACTOR"))</f>
        <v>0</v>
      </c>
      <c r="Q837" s="126">
        <f>IF(E837="Y",VLOOKUP(D837,'Support - Unit Adjustments'!F:G,2,FALSE),0)</f>
        <v>0</v>
      </c>
      <c r="R837" s="155">
        <f t="shared" si="250"/>
        <v>0</v>
      </c>
      <c r="S837" s="47">
        <f t="shared" si="249"/>
        <v>0</v>
      </c>
      <c r="T837" s="151">
        <f t="shared" si="253"/>
        <v>0</v>
      </c>
      <c r="U837" s="151">
        <f t="shared" si="254"/>
        <v>0</v>
      </c>
      <c r="V837" s="139">
        <f t="shared" si="255"/>
        <v>0</v>
      </c>
      <c r="W837" s="152">
        <f t="shared" si="258"/>
        <v>0</v>
      </c>
      <c r="X837" s="127" t="str">
        <f t="shared" si="256"/>
        <v/>
      </c>
      <c r="Y837" s="207">
        <f t="shared" si="259"/>
        <v>0</v>
      </c>
      <c r="Z837" s="139">
        <f t="shared" si="260"/>
        <v>0</v>
      </c>
      <c r="AA837" s="139">
        <f t="shared" si="261"/>
        <v>0</v>
      </c>
      <c r="AC837" s="47">
        <f t="shared" si="262"/>
        <v>0</v>
      </c>
      <c r="AD837" s="47">
        <f t="shared" si="263"/>
        <v>0</v>
      </c>
      <c r="AE837" s="47">
        <f t="shared" si="264"/>
        <v>0</v>
      </c>
      <c r="AG837" s="47">
        <f t="shared" si="265"/>
        <v>0</v>
      </c>
      <c r="AH837" s="47">
        <f t="shared" si="266"/>
        <v>0</v>
      </c>
      <c r="AI837" s="208">
        <f t="shared" si="267"/>
        <v>0</v>
      </c>
    </row>
    <row r="838" spans="1:35">
      <c r="A838" t="s">
        <v>2116</v>
      </c>
      <c r="B838" s="48" t="s">
        <v>6274</v>
      </c>
      <c r="C838" t="s">
        <v>2187</v>
      </c>
      <c r="D838" t="str">
        <f>A838&amp;B838&amp;C838</f>
        <v>3000000</v>
      </c>
      <c r="F838" t="s">
        <v>6304</v>
      </c>
      <c r="G838" s="126">
        <f>SUMIFS('Support - Transition'!F:F,'Support - Transition'!B:B,'Step 2'!A838,'Support - Transition'!C:C,'Step 2'!B838,'Support - Transition'!D:D,'Step 2'!C838,'Support - Transition'!E:E,"CIVIL")</f>
        <v>0</v>
      </c>
      <c r="H838" s="126">
        <f>SUMIFS('Support - Transition'!F:F,'Support - Transition'!B:B,'Step 2'!A838,'Support - Transition'!C:C,'Step 2'!B838,'Support - Transition'!D:D,'Step 2'!C838,'Support - Transition'!E:E,"FIRE")</f>
        <v>0</v>
      </c>
      <c r="I838" s="126">
        <f>IF(B838="0",SUMIFS('Support - Transition'!F:F,'Support - Transition'!J:J,'Step 2'!D838,'Support - Transition'!E:E,"STATE UNIT"),SUMIFS('Support - Transition'!F:F,'Support - Transition'!J:J,'Step 2'!D838))</f>
        <v>1.299E-3</v>
      </c>
      <c r="J838" s="126">
        <f>SUMIFS('Support - Unit Adjustments'!E:E,'Support - Unit Adjustments'!F:F,'Step 2'!D838)</f>
        <v>0</v>
      </c>
      <c r="K838" s="126">
        <f t="shared" si="251"/>
        <v>1.299E-3</v>
      </c>
      <c r="L838" s="174">
        <f>VLOOKUP(A838,'Step 1'!$A:$E,4,FALSE)</f>
        <v>679825</v>
      </c>
      <c r="M838" s="47">
        <f t="shared" si="252"/>
        <v>883</v>
      </c>
      <c r="N838" s="177">
        <f>SUMIFS('Support - Transition'!G:G,'Support - Transition'!J:J,'Step 2'!D838,'Support - Transition'!E:E,"2009 WELFARE ALLOCATION FACTOR")</f>
        <v>0</v>
      </c>
      <c r="O838" s="152">
        <f t="shared" si="257"/>
        <v>0</v>
      </c>
      <c r="P838" s="126">
        <f>IF(E838="Y",0,SUMIFS('Support - Transition'!G:G,'Support - Transition'!J:J,'Step 2'!D838,'Support - Transition'!E:E,"2009 SCHOOL ALLOCATION FACTOR"))</f>
        <v>0</v>
      </c>
      <c r="Q838" s="126">
        <f>IF(E838="Y",VLOOKUP(D838,'Support - Unit Adjustments'!F:G,2,FALSE),0)</f>
        <v>0</v>
      </c>
      <c r="R838" s="155">
        <f t="shared" si="250"/>
        <v>0</v>
      </c>
      <c r="S838" s="47">
        <f t="shared" si="249"/>
        <v>0</v>
      </c>
      <c r="T838" s="151">
        <f t="shared" si="253"/>
        <v>883</v>
      </c>
      <c r="U838" s="151">
        <f t="shared" si="254"/>
        <v>679826</v>
      </c>
      <c r="V838" s="139">
        <f t="shared" si="255"/>
        <v>1</v>
      </c>
      <c r="W838" s="152">
        <f t="shared" si="258"/>
        <v>882</v>
      </c>
      <c r="X838" s="127">
        <f t="shared" si="256"/>
        <v>0</v>
      </c>
      <c r="Y838" s="207">
        <f t="shared" si="259"/>
        <v>882</v>
      </c>
      <c r="Z838" s="139">
        <f t="shared" si="260"/>
        <v>882</v>
      </c>
      <c r="AA838" s="139">
        <f t="shared" si="261"/>
        <v>0</v>
      </c>
      <c r="AC838" s="47">
        <f t="shared" si="262"/>
        <v>441</v>
      </c>
      <c r="AD838" s="47">
        <f t="shared" si="263"/>
        <v>441</v>
      </c>
      <c r="AE838" s="47">
        <f t="shared" si="264"/>
        <v>0</v>
      </c>
      <c r="AG838" s="47">
        <f t="shared" si="265"/>
        <v>441</v>
      </c>
      <c r="AH838" s="47">
        <f t="shared" si="266"/>
        <v>441</v>
      </c>
      <c r="AI838" s="208">
        <f t="shared" si="267"/>
        <v>0</v>
      </c>
    </row>
    <row r="839" spans="1:35">
      <c r="A839" t="s">
        <v>2116</v>
      </c>
      <c r="B839" t="s">
        <v>3140</v>
      </c>
      <c r="C839" t="s">
        <v>2187</v>
      </c>
      <c r="D839" t="s">
        <v>4139</v>
      </c>
      <c r="F839" t="s">
        <v>668</v>
      </c>
      <c r="G839" s="126">
        <f>SUMIFS('Support - Transition'!F:F,'Support - Transition'!B:B,'Step 2'!A839,'Support - Transition'!C:C,'Step 2'!B839,'Support - Transition'!D:D,'Step 2'!C839,'Support - Transition'!E:E,"CIVIL")</f>
        <v>0</v>
      </c>
      <c r="H839" s="126">
        <f>SUMIFS('Support - Transition'!F:F,'Support - Transition'!B:B,'Step 2'!A839,'Support - Transition'!C:C,'Step 2'!B839,'Support - Transition'!D:D,'Step 2'!C839,'Support - Transition'!E:E,"FIRE")</f>
        <v>0</v>
      </c>
      <c r="I839" s="126">
        <f>IF(B839="0",SUMIFS('Support - Transition'!F:F,'Support - Transition'!J:J,'Step 2'!D839,'Support - Transition'!E:E,"STATE UNIT"),SUMIFS('Support - Transition'!F:F,'Support - Transition'!J:J,'Step 2'!D839))</f>
        <v>0.162909</v>
      </c>
      <c r="J839" s="126">
        <f>SUMIFS('Support - Unit Adjustments'!E:E,'Support - Unit Adjustments'!F:F,'Step 2'!D839)</f>
        <v>0</v>
      </c>
      <c r="K839" s="126">
        <f t="shared" si="251"/>
        <v>0.162909</v>
      </c>
      <c r="L839" s="174">
        <f>VLOOKUP(A839,'Step 1'!$A:$E,4,FALSE)</f>
        <v>679825</v>
      </c>
      <c r="M839" s="47">
        <f t="shared" si="252"/>
        <v>110750</v>
      </c>
      <c r="N839" s="177">
        <f>SUMIFS('Support - Transition'!G:G,'Support - Transition'!J:J,'Step 2'!D839,'Support - Transition'!E:E,"2009 WELFARE ALLOCATION FACTOR")</f>
        <v>0.131215</v>
      </c>
      <c r="O839" s="152">
        <f t="shared" si="257"/>
        <v>14532</v>
      </c>
      <c r="P839" s="126">
        <f>IF(E839="Y",0,SUMIFS('Support - Transition'!G:G,'Support - Transition'!J:J,'Step 2'!D839,'Support - Transition'!E:E,"2009 SCHOOL ALLOCATION FACTOR"))</f>
        <v>0</v>
      </c>
      <c r="Q839" s="126">
        <f>IF(E839="Y",VLOOKUP(D839,'Support - Unit Adjustments'!F:G,2,FALSE),0)</f>
        <v>0</v>
      </c>
      <c r="R839" s="155">
        <f t="shared" si="250"/>
        <v>0</v>
      </c>
      <c r="S839" s="47">
        <f t="shared" si="249"/>
        <v>0</v>
      </c>
      <c r="T839" s="151">
        <f t="shared" si="253"/>
        <v>96218</v>
      </c>
      <c r="U839" s="151">
        <f t="shared" si="254"/>
        <v>0</v>
      </c>
      <c r="V839" s="139">
        <f t="shared" si="255"/>
        <v>0</v>
      </c>
      <c r="W839" s="152">
        <f t="shared" si="258"/>
        <v>96218</v>
      </c>
      <c r="X839" s="127" t="str">
        <f t="shared" si="256"/>
        <v/>
      </c>
      <c r="Y839" s="207">
        <f t="shared" si="259"/>
        <v>96218</v>
      </c>
      <c r="Z839" s="139">
        <f t="shared" si="260"/>
        <v>96218</v>
      </c>
      <c r="AA839" s="139">
        <f t="shared" si="261"/>
        <v>0</v>
      </c>
      <c r="AC839" s="47">
        <f t="shared" si="262"/>
        <v>48109</v>
      </c>
      <c r="AD839" s="47">
        <f t="shared" si="263"/>
        <v>48109</v>
      </c>
      <c r="AE839" s="47">
        <f t="shared" si="264"/>
        <v>0</v>
      </c>
      <c r="AG839" s="47">
        <f t="shared" si="265"/>
        <v>48109</v>
      </c>
      <c r="AH839" s="47">
        <f t="shared" si="266"/>
        <v>48109</v>
      </c>
      <c r="AI839" s="208">
        <f t="shared" si="267"/>
        <v>0</v>
      </c>
    </row>
    <row r="840" spans="1:35">
      <c r="A840" t="s">
        <v>2116</v>
      </c>
      <c r="B840" t="s">
        <v>3142</v>
      </c>
      <c r="C840" t="s">
        <v>2188</v>
      </c>
      <c r="D840" t="s">
        <v>4140</v>
      </c>
      <c r="F840" t="s">
        <v>669</v>
      </c>
      <c r="G840" s="126">
        <f>SUMIFS('Support - Transition'!F:F,'Support - Transition'!B:B,'Step 2'!A840,'Support - Transition'!C:C,'Step 2'!B840,'Support - Transition'!D:D,'Step 2'!C840,'Support - Transition'!E:E,"CIVIL")</f>
        <v>2.9100000000000003E-4</v>
      </c>
      <c r="H840" s="126">
        <f>SUMIFS('Support - Transition'!F:F,'Support - Transition'!B:B,'Step 2'!A840,'Support - Transition'!C:C,'Step 2'!B840,'Support - Transition'!D:D,'Step 2'!C840,'Support - Transition'!E:E,"FIRE")</f>
        <v>1.7699999999999999E-4</v>
      </c>
      <c r="I840" s="126">
        <f>IF(B840="0",SUMIFS('Support - Transition'!F:F,'Support - Transition'!J:J,'Step 2'!D840,'Support - Transition'!E:E,"STATE UNIT"),SUMIFS('Support - Transition'!F:F,'Support - Transition'!J:J,'Step 2'!D840))</f>
        <v>4.6799999999999999E-4</v>
      </c>
      <c r="J840" s="126">
        <f>SUMIFS('Support - Unit Adjustments'!E:E,'Support - Unit Adjustments'!F:F,'Step 2'!D840)</f>
        <v>0</v>
      </c>
      <c r="K840" s="126">
        <f t="shared" si="251"/>
        <v>4.6799999999999999E-4</v>
      </c>
      <c r="L840" s="174">
        <f>VLOOKUP(A840,'Step 1'!$A:$E,4,FALSE)</f>
        <v>679825</v>
      </c>
      <c r="M840" s="47">
        <f t="shared" si="252"/>
        <v>318</v>
      </c>
      <c r="N840" s="177">
        <f>SUMIFS('Support - Transition'!G:G,'Support - Transition'!J:J,'Step 2'!D840,'Support - Transition'!E:E,"2009 WELFARE ALLOCATION FACTOR")</f>
        <v>0</v>
      </c>
      <c r="O840" s="152">
        <f t="shared" si="257"/>
        <v>0</v>
      </c>
      <c r="P840" s="126">
        <f>IF(E840="Y",0,SUMIFS('Support - Transition'!G:G,'Support - Transition'!J:J,'Step 2'!D840,'Support - Transition'!E:E,"2009 SCHOOL ALLOCATION FACTOR"))</f>
        <v>0</v>
      </c>
      <c r="Q840" s="126">
        <f>IF(E840="Y",VLOOKUP(D840,'Support - Unit Adjustments'!F:G,2,FALSE),0)</f>
        <v>0</v>
      </c>
      <c r="R840" s="155">
        <f t="shared" si="250"/>
        <v>0</v>
      </c>
      <c r="S840" s="47">
        <f t="shared" ref="S840:S903" si="268">ROUND(+R840*M840,0)</f>
        <v>0</v>
      </c>
      <c r="T840" s="151">
        <f t="shared" si="253"/>
        <v>318</v>
      </c>
      <c r="U840" s="151">
        <f t="shared" si="254"/>
        <v>0</v>
      </c>
      <c r="V840" s="139">
        <f t="shared" si="255"/>
        <v>0</v>
      </c>
      <c r="W840" s="152">
        <f t="shared" si="258"/>
        <v>318</v>
      </c>
      <c r="X840" s="127" t="str">
        <f t="shared" si="256"/>
        <v/>
      </c>
      <c r="Y840" s="207">
        <f t="shared" si="259"/>
        <v>318</v>
      </c>
      <c r="Z840" s="139">
        <f t="shared" si="260"/>
        <v>198</v>
      </c>
      <c r="AA840" s="139">
        <f t="shared" si="261"/>
        <v>120</v>
      </c>
      <c r="AC840" s="47">
        <f t="shared" si="262"/>
        <v>159</v>
      </c>
      <c r="AD840" s="47">
        <f t="shared" si="263"/>
        <v>99</v>
      </c>
      <c r="AE840" s="47">
        <f t="shared" si="264"/>
        <v>60</v>
      </c>
      <c r="AG840" s="47">
        <f t="shared" si="265"/>
        <v>159</v>
      </c>
      <c r="AH840" s="47">
        <f t="shared" si="266"/>
        <v>99</v>
      </c>
      <c r="AI840" s="208">
        <f t="shared" si="267"/>
        <v>60</v>
      </c>
    </row>
    <row r="841" spans="1:35">
      <c r="A841" t="s">
        <v>2116</v>
      </c>
      <c r="B841" t="s">
        <v>3142</v>
      </c>
      <c r="C841" t="s">
        <v>2189</v>
      </c>
      <c r="D841" t="s">
        <v>4141</v>
      </c>
      <c r="F841" t="s">
        <v>670</v>
      </c>
      <c r="G841" s="126">
        <f>SUMIFS('Support - Transition'!F:F,'Support - Transition'!B:B,'Step 2'!A841,'Support - Transition'!C:C,'Step 2'!B841,'Support - Transition'!D:D,'Step 2'!C841,'Support - Transition'!E:E,"CIVIL")</f>
        <v>7.5900000000000002E-4</v>
      </c>
      <c r="H841" s="126">
        <f>SUMIFS('Support - Transition'!F:F,'Support - Transition'!B:B,'Step 2'!A841,'Support - Transition'!C:C,'Step 2'!B841,'Support - Transition'!D:D,'Step 2'!C841,'Support - Transition'!E:E,"FIRE")</f>
        <v>5.5900000000000004E-4</v>
      </c>
      <c r="I841" s="126">
        <f>IF(B841="0",SUMIFS('Support - Transition'!F:F,'Support - Transition'!J:J,'Step 2'!D841,'Support - Transition'!E:E,"STATE UNIT"),SUMIFS('Support - Transition'!F:F,'Support - Transition'!J:J,'Step 2'!D841))</f>
        <v>1.3180000000000002E-3</v>
      </c>
      <c r="J841" s="126">
        <f>SUMIFS('Support - Unit Adjustments'!E:E,'Support - Unit Adjustments'!F:F,'Step 2'!D841)</f>
        <v>0</v>
      </c>
      <c r="K841" s="126">
        <f t="shared" si="251"/>
        <v>1.3180000000000002E-3</v>
      </c>
      <c r="L841" s="174">
        <f>VLOOKUP(A841,'Step 1'!$A:$E,4,FALSE)</f>
        <v>679825</v>
      </c>
      <c r="M841" s="47">
        <f t="shared" si="252"/>
        <v>896</v>
      </c>
      <c r="N841" s="177">
        <f>SUMIFS('Support - Transition'!G:G,'Support - Transition'!J:J,'Step 2'!D841,'Support - Transition'!E:E,"2009 WELFARE ALLOCATION FACTOR")</f>
        <v>0</v>
      </c>
      <c r="O841" s="152">
        <f t="shared" si="257"/>
        <v>0</v>
      </c>
      <c r="P841" s="126">
        <f>IF(E841="Y",0,SUMIFS('Support - Transition'!G:G,'Support - Transition'!J:J,'Step 2'!D841,'Support - Transition'!E:E,"2009 SCHOOL ALLOCATION FACTOR"))</f>
        <v>0</v>
      </c>
      <c r="Q841" s="126">
        <f>IF(E841="Y",VLOOKUP(D841,'Support - Unit Adjustments'!F:G,2,FALSE),0)</f>
        <v>0</v>
      </c>
      <c r="R841" s="155">
        <f t="shared" ref="R841:R904" si="269">+P841+Q841</f>
        <v>0</v>
      </c>
      <c r="S841" s="47">
        <f t="shared" si="268"/>
        <v>0</v>
      </c>
      <c r="T841" s="151">
        <f t="shared" si="253"/>
        <v>896</v>
      </c>
      <c r="U841" s="151">
        <f t="shared" si="254"/>
        <v>0</v>
      </c>
      <c r="V841" s="139">
        <f t="shared" si="255"/>
        <v>0</v>
      </c>
      <c r="W841" s="152">
        <f t="shared" si="258"/>
        <v>896</v>
      </c>
      <c r="X841" s="127" t="str">
        <f t="shared" si="256"/>
        <v/>
      </c>
      <c r="Y841" s="207">
        <f t="shared" si="259"/>
        <v>896</v>
      </c>
      <c r="Z841" s="139">
        <f t="shared" si="260"/>
        <v>516</v>
      </c>
      <c r="AA841" s="139">
        <f t="shared" si="261"/>
        <v>380</v>
      </c>
      <c r="AC841" s="47">
        <f t="shared" si="262"/>
        <v>448</v>
      </c>
      <c r="AD841" s="47">
        <f t="shared" si="263"/>
        <v>258</v>
      </c>
      <c r="AE841" s="47">
        <f t="shared" si="264"/>
        <v>190</v>
      </c>
      <c r="AG841" s="47">
        <f t="shared" si="265"/>
        <v>448</v>
      </c>
      <c r="AH841" s="47">
        <f t="shared" si="266"/>
        <v>258</v>
      </c>
      <c r="AI841" s="208">
        <f t="shared" si="267"/>
        <v>190</v>
      </c>
    </row>
    <row r="842" spans="1:35">
      <c r="A842" t="s">
        <v>2116</v>
      </c>
      <c r="B842" t="s">
        <v>3142</v>
      </c>
      <c r="C842" t="s">
        <v>2190</v>
      </c>
      <c r="D842" t="s">
        <v>4142</v>
      </c>
      <c r="F842" t="s">
        <v>671</v>
      </c>
      <c r="G842" s="126">
        <f>SUMIFS('Support - Transition'!F:F,'Support - Transition'!B:B,'Step 2'!A842,'Support - Transition'!C:C,'Step 2'!B842,'Support - Transition'!D:D,'Step 2'!C842,'Support - Transition'!E:E,"CIVIL")</f>
        <v>4.1599999999999997E-4</v>
      </c>
      <c r="H842" s="126">
        <f>SUMIFS('Support - Transition'!F:F,'Support - Transition'!B:B,'Step 2'!A842,'Support - Transition'!C:C,'Step 2'!B842,'Support - Transition'!D:D,'Step 2'!C842,'Support - Transition'!E:E,"FIRE")</f>
        <v>3.9399999999999998E-4</v>
      </c>
      <c r="I842" s="126">
        <f>IF(B842="0",SUMIFS('Support - Transition'!F:F,'Support - Transition'!J:J,'Step 2'!D842,'Support - Transition'!E:E,"STATE UNIT"),SUMIFS('Support - Transition'!F:F,'Support - Transition'!J:J,'Step 2'!D842))</f>
        <v>8.0999999999999996E-4</v>
      </c>
      <c r="J842" s="126">
        <f>SUMIFS('Support - Unit Adjustments'!E:E,'Support - Unit Adjustments'!F:F,'Step 2'!D842)</f>
        <v>0</v>
      </c>
      <c r="K842" s="126">
        <f t="shared" si="251"/>
        <v>8.0999999999999996E-4</v>
      </c>
      <c r="L842" s="174">
        <f>VLOOKUP(A842,'Step 1'!$A:$E,4,FALSE)</f>
        <v>679825</v>
      </c>
      <c r="M842" s="47">
        <f t="shared" si="252"/>
        <v>551</v>
      </c>
      <c r="N842" s="177">
        <f>SUMIFS('Support - Transition'!G:G,'Support - Transition'!J:J,'Step 2'!D842,'Support - Transition'!E:E,"2009 WELFARE ALLOCATION FACTOR")</f>
        <v>0</v>
      </c>
      <c r="O842" s="152">
        <f t="shared" si="257"/>
        <v>0</v>
      </c>
      <c r="P842" s="126">
        <f>IF(E842="Y",0,SUMIFS('Support - Transition'!G:G,'Support - Transition'!J:J,'Step 2'!D842,'Support - Transition'!E:E,"2009 SCHOOL ALLOCATION FACTOR"))</f>
        <v>0</v>
      </c>
      <c r="Q842" s="126">
        <f>IF(E842="Y",VLOOKUP(D842,'Support - Unit Adjustments'!F:G,2,FALSE),0)</f>
        <v>0</v>
      </c>
      <c r="R842" s="155">
        <f t="shared" si="269"/>
        <v>0</v>
      </c>
      <c r="S842" s="47">
        <f t="shared" si="268"/>
        <v>0</v>
      </c>
      <c r="T842" s="151">
        <f t="shared" si="253"/>
        <v>551</v>
      </c>
      <c r="U842" s="151">
        <f t="shared" si="254"/>
        <v>0</v>
      </c>
      <c r="V842" s="139">
        <f t="shared" si="255"/>
        <v>0</v>
      </c>
      <c r="W842" s="152">
        <f t="shared" si="258"/>
        <v>551</v>
      </c>
      <c r="X842" s="127" t="str">
        <f t="shared" si="256"/>
        <v/>
      </c>
      <c r="Y842" s="207">
        <f t="shared" si="259"/>
        <v>551</v>
      </c>
      <c r="Z842" s="139">
        <f t="shared" si="260"/>
        <v>283</v>
      </c>
      <c r="AA842" s="139">
        <f t="shared" si="261"/>
        <v>268</v>
      </c>
      <c r="AC842" s="47">
        <f t="shared" si="262"/>
        <v>276</v>
      </c>
      <c r="AD842" s="47">
        <f t="shared" si="263"/>
        <v>142</v>
      </c>
      <c r="AE842" s="47">
        <f t="shared" si="264"/>
        <v>134</v>
      </c>
      <c r="AG842" s="47">
        <f t="shared" si="265"/>
        <v>275</v>
      </c>
      <c r="AH842" s="47">
        <f t="shared" si="266"/>
        <v>141</v>
      </c>
      <c r="AI842" s="208">
        <f t="shared" si="267"/>
        <v>134</v>
      </c>
    </row>
    <row r="843" spans="1:35">
      <c r="A843" t="s">
        <v>2116</v>
      </c>
      <c r="B843" t="s">
        <v>3142</v>
      </c>
      <c r="C843" t="s">
        <v>2191</v>
      </c>
      <c r="D843" t="s">
        <v>4143</v>
      </c>
      <c r="F843" t="s">
        <v>672</v>
      </c>
      <c r="G843" s="126">
        <f>SUMIFS('Support - Transition'!F:F,'Support - Transition'!B:B,'Step 2'!A843,'Support - Transition'!C:C,'Step 2'!B843,'Support - Transition'!D:D,'Step 2'!C843,'Support - Transition'!E:E,"CIVIL")</f>
        <v>4.7670000000000004E-3</v>
      </c>
      <c r="H843" s="126">
        <f>SUMIFS('Support - Transition'!F:F,'Support - Transition'!B:B,'Step 2'!A843,'Support - Transition'!C:C,'Step 2'!B843,'Support - Transition'!D:D,'Step 2'!C843,'Support - Transition'!E:E,"FIRE")</f>
        <v>5.6179999999999997E-3</v>
      </c>
      <c r="I843" s="126">
        <f>IF(B843="0",SUMIFS('Support - Transition'!F:F,'Support - Transition'!J:J,'Step 2'!D843,'Support - Transition'!E:E,"STATE UNIT"),SUMIFS('Support - Transition'!F:F,'Support - Transition'!J:J,'Step 2'!D843))</f>
        <v>1.0385E-2</v>
      </c>
      <c r="J843" s="126">
        <f>SUMIFS('Support - Unit Adjustments'!E:E,'Support - Unit Adjustments'!F:F,'Step 2'!D843)</f>
        <v>0</v>
      </c>
      <c r="K843" s="126">
        <f t="shared" si="251"/>
        <v>1.0385E-2</v>
      </c>
      <c r="L843" s="174">
        <f>VLOOKUP(A843,'Step 1'!$A:$E,4,FALSE)</f>
        <v>679825</v>
      </c>
      <c r="M843" s="47">
        <f t="shared" si="252"/>
        <v>7060</v>
      </c>
      <c r="N843" s="177">
        <f>SUMIFS('Support - Transition'!G:G,'Support - Transition'!J:J,'Step 2'!D843,'Support - Transition'!E:E,"2009 WELFARE ALLOCATION FACTOR")</f>
        <v>0</v>
      </c>
      <c r="O843" s="152">
        <f t="shared" si="257"/>
        <v>0</v>
      </c>
      <c r="P843" s="126">
        <f>IF(E843="Y",0,SUMIFS('Support - Transition'!G:G,'Support - Transition'!J:J,'Step 2'!D843,'Support - Transition'!E:E,"2009 SCHOOL ALLOCATION FACTOR"))</f>
        <v>0</v>
      </c>
      <c r="Q843" s="126">
        <f>IF(E843="Y",VLOOKUP(D843,'Support - Unit Adjustments'!F:G,2,FALSE),0)</f>
        <v>0</v>
      </c>
      <c r="R843" s="155">
        <f t="shared" si="269"/>
        <v>0</v>
      </c>
      <c r="S843" s="47">
        <f t="shared" si="268"/>
        <v>0</v>
      </c>
      <c r="T843" s="151">
        <f t="shared" si="253"/>
        <v>7060</v>
      </c>
      <c r="U843" s="151">
        <f t="shared" si="254"/>
        <v>0</v>
      </c>
      <c r="V843" s="139">
        <f t="shared" si="255"/>
        <v>0</v>
      </c>
      <c r="W843" s="152">
        <f t="shared" si="258"/>
        <v>7060</v>
      </c>
      <c r="X843" s="127" t="str">
        <f t="shared" si="256"/>
        <v/>
      </c>
      <c r="Y843" s="207">
        <f t="shared" si="259"/>
        <v>7060</v>
      </c>
      <c r="Z843" s="139">
        <f t="shared" si="260"/>
        <v>3241</v>
      </c>
      <c r="AA843" s="139">
        <f t="shared" si="261"/>
        <v>3819</v>
      </c>
      <c r="AC843" s="47">
        <f t="shared" si="262"/>
        <v>3530</v>
      </c>
      <c r="AD843" s="47">
        <f t="shared" si="263"/>
        <v>1621</v>
      </c>
      <c r="AE843" s="47">
        <f t="shared" si="264"/>
        <v>1910</v>
      </c>
      <c r="AG843" s="47">
        <f t="shared" si="265"/>
        <v>3530</v>
      </c>
      <c r="AH843" s="47">
        <f t="shared" si="266"/>
        <v>1620</v>
      </c>
      <c r="AI843" s="208">
        <f t="shared" si="267"/>
        <v>1909</v>
      </c>
    </row>
    <row r="844" spans="1:35">
      <c r="A844" t="s">
        <v>2116</v>
      </c>
      <c r="B844" t="s">
        <v>3142</v>
      </c>
      <c r="C844" t="s">
        <v>2192</v>
      </c>
      <c r="D844" t="s">
        <v>4144</v>
      </c>
      <c r="F844" t="s">
        <v>107</v>
      </c>
      <c r="G844" s="126">
        <f>SUMIFS('Support - Transition'!F:F,'Support - Transition'!B:B,'Step 2'!A844,'Support - Transition'!C:C,'Step 2'!B844,'Support - Transition'!D:D,'Step 2'!C844,'Support - Transition'!E:E,"CIVIL")</f>
        <v>2.202E-3</v>
      </c>
      <c r="H844" s="126">
        <f>SUMIFS('Support - Transition'!F:F,'Support - Transition'!B:B,'Step 2'!A844,'Support - Transition'!C:C,'Step 2'!B844,'Support - Transition'!D:D,'Step 2'!C844,'Support - Transition'!E:E,"FIRE")</f>
        <v>9.2900000000000003E-4</v>
      </c>
      <c r="I844" s="126">
        <f>IF(B844="0",SUMIFS('Support - Transition'!F:F,'Support - Transition'!J:J,'Step 2'!D844,'Support - Transition'!E:E,"STATE UNIT"),SUMIFS('Support - Transition'!F:F,'Support - Transition'!J:J,'Step 2'!D844))</f>
        <v>3.1310000000000001E-3</v>
      </c>
      <c r="J844" s="126">
        <f>SUMIFS('Support - Unit Adjustments'!E:E,'Support - Unit Adjustments'!F:F,'Step 2'!D844)</f>
        <v>0</v>
      </c>
      <c r="K844" s="126">
        <f t="shared" si="251"/>
        <v>3.1310000000000001E-3</v>
      </c>
      <c r="L844" s="174">
        <f>VLOOKUP(A844,'Step 1'!$A:$E,4,FALSE)</f>
        <v>679825</v>
      </c>
      <c r="M844" s="47">
        <f t="shared" si="252"/>
        <v>2129</v>
      </c>
      <c r="N844" s="177">
        <f>SUMIFS('Support - Transition'!G:G,'Support - Transition'!J:J,'Step 2'!D844,'Support - Transition'!E:E,"2009 WELFARE ALLOCATION FACTOR")</f>
        <v>0</v>
      </c>
      <c r="O844" s="152">
        <f t="shared" si="257"/>
        <v>0</v>
      </c>
      <c r="P844" s="126">
        <f>IF(E844="Y",0,SUMIFS('Support - Transition'!G:G,'Support - Transition'!J:J,'Step 2'!D844,'Support - Transition'!E:E,"2009 SCHOOL ALLOCATION FACTOR"))</f>
        <v>0</v>
      </c>
      <c r="Q844" s="126">
        <f>IF(E844="Y",VLOOKUP(D844,'Support - Unit Adjustments'!F:G,2,FALSE),0)</f>
        <v>0</v>
      </c>
      <c r="R844" s="155">
        <f t="shared" si="269"/>
        <v>0</v>
      </c>
      <c r="S844" s="47">
        <f t="shared" si="268"/>
        <v>0</v>
      </c>
      <c r="T844" s="151">
        <f t="shared" si="253"/>
        <v>2129</v>
      </c>
      <c r="U844" s="151">
        <f t="shared" si="254"/>
        <v>0</v>
      </c>
      <c r="V844" s="139">
        <f t="shared" si="255"/>
        <v>0</v>
      </c>
      <c r="W844" s="152">
        <f t="shared" si="258"/>
        <v>2129</v>
      </c>
      <c r="X844" s="127" t="str">
        <f t="shared" si="256"/>
        <v/>
      </c>
      <c r="Y844" s="207">
        <f t="shared" si="259"/>
        <v>2129</v>
      </c>
      <c r="Z844" s="139">
        <f t="shared" si="260"/>
        <v>1497</v>
      </c>
      <c r="AA844" s="139">
        <f t="shared" si="261"/>
        <v>632</v>
      </c>
      <c r="AC844" s="47">
        <f t="shared" si="262"/>
        <v>1065</v>
      </c>
      <c r="AD844" s="47">
        <f t="shared" si="263"/>
        <v>749</v>
      </c>
      <c r="AE844" s="47">
        <f t="shared" si="264"/>
        <v>316</v>
      </c>
      <c r="AG844" s="47">
        <f t="shared" si="265"/>
        <v>1064</v>
      </c>
      <c r="AH844" s="47">
        <f t="shared" si="266"/>
        <v>748</v>
      </c>
      <c r="AI844" s="208">
        <f t="shared" si="267"/>
        <v>316</v>
      </c>
    </row>
    <row r="845" spans="1:35">
      <c r="A845" t="s">
        <v>2116</v>
      </c>
      <c r="B845" t="s">
        <v>3142</v>
      </c>
      <c r="C845" t="s">
        <v>2193</v>
      </c>
      <c r="D845" t="s">
        <v>4145</v>
      </c>
      <c r="F845" t="s">
        <v>593</v>
      </c>
      <c r="G845" s="126">
        <f>SUMIFS('Support - Transition'!F:F,'Support - Transition'!B:B,'Step 2'!A845,'Support - Transition'!C:C,'Step 2'!B845,'Support - Transition'!D:D,'Step 2'!C845,'Support - Transition'!E:E,"CIVIL")</f>
        <v>3.5860000000000002E-3</v>
      </c>
      <c r="H845" s="126">
        <f>SUMIFS('Support - Transition'!F:F,'Support - Transition'!B:B,'Step 2'!A845,'Support - Transition'!C:C,'Step 2'!B845,'Support - Transition'!D:D,'Step 2'!C845,'Support - Transition'!E:E,"FIRE")</f>
        <v>1.0150000000000001E-3</v>
      </c>
      <c r="I845" s="126">
        <f>IF(B845="0",SUMIFS('Support - Transition'!F:F,'Support - Transition'!J:J,'Step 2'!D845,'Support - Transition'!E:E,"STATE UNIT"),SUMIFS('Support - Transition'!F:F,'Support - Transition'!J:J,'Step 2'!D845))</f>
        <v>4.6010000000000001E-3</v>
      </c>
      <c r="J845" s="126">
        <f>SUMIFS('Support - Unit Adjustments'!E:E,'Support - Unit Adjustments'!F:F,'Step 2'!D845)</f>
        <v>0</v>
      </c>
      <c r="K845" s="126">
        <f t="shared" si="251"/>
        <v>4.6010000000000001E-3</v>
      </c>
      <c r="L845" s="174">
        <f>VLOOKUP(A845,'Step 1'!$A:$E,4,FALSE)</f>
        <v>679825</v>
      </c>
      <c r="M845" s="47">
        <f t="shared" si="252"/>
        <v>3128</v>
      </c>
      <c r="N845" s="177">
        <f>SUMIFS('Support - Transition'!G:G,'Support - Transition'!J:J,'Step 2'!D845,'Support - Transition'!E:E,"2009 WELFARE ALLOCATION FACTOR")</f>
        <v>0</v>
      </c>
      <c r="O845" s="152">
        <f t="shared" si="257"/>
        <v>0</v>
      </c>
      <c r="P845" s="126">
        <f>IF(E845="Y",0,SUMIFS('Support - Transition'!G:G,'Support - Transition'!J:J,'Step 2'!D845,'Support - Transition'!E:E,"2009 SCHOOL ALLOCATION FACTOR"))</f>
        <v>0</v>
      </c>
      <c r="Q845" s="126">
        <f>IF(E845="Y",VLOOKUP(D845,'Support - Unit Adjustments'!F:G,2,FALSE),0)</f>
        <v>0</v>
      </c>
      <c r="R845" s="155">
        <f t="shared" si="269"/>
        <v>0</v>
      </c>
      <c r="S845" s="47">
        <f t="shared" si="268"/>
        <v>0</v>
      </c>
      <c r="T845" s="151">
        <f t="shared" si="253"/>
        <v>3128</v>
      </c>
      <c r="U845" s="151">
        <f t="shared" si="254"/>
        <v>0</v>
      </c>
      <c r="V845" s="139">
        <f t="shared" si="255"/>
        <v>0</v>
      </c>
      <c r="W845" s="152">
        <f t="shared" si="258"/>
        <v>3128</v>
      </c>
      <c r="X845" s="127" t="str">
        <f t="shared" si="256"/>
        <v/>
      </c>
      <c r="Y845" s="207">
        <f t="shared" si="259"/>
        <v>3128</v>
      </c>
      <c r="Z845" s="139">
        <f t="shared" si="260"/>
        <v>2438</v>
      </c>
      <c r="AA845" s="139">
        <f t="shared" si="261"/>
        <v>690</v>
      </c>
      <c r="AC845" s="47">
        <f t="shared" si="262"/>
        <v>1564</v>
      </c>
      <c r="AD845" s="47">
        <f t="shared" si="263"/>
        <v>1219</v>
      </c>
      <c r="AE845" s="47">
        <f t="shared" si="264"/>
        <v>345</v>
      </c>
      <c r="AG845" s="47">
        <f t="shared" si="265"/>
        <v>1564</v>
      </c>
      <c r="AH845" s="47">
        <f t="shared" si="266"/>
        <v>1219</v>
      </c>
      <c r="AI845" s="208">
        <f t="shared" si="267"/>
        <v>345</v>
      </c>
    </row>
    <row r="846" spans="1:35">
      <c r="A846" t="s">
        <v>2116</v>
      </c>
      <c r="B846" t="s">
        <v>3142</v>
      </c>
      <c r="C846" t="s">
        <v>2194</v>
      </c>
      <c r="D846" t="s">
        <v>4146</v>
      </c>
      <c r="F846" t="s">
        <v>49</v>
      </c>
      <c r="G846" s="126">
        <f>SUMIFS('Support - Transition'!F:F,'Support - Transition'!B:B,'Step 2'!A846,'Support - Transition'!C:C,'Step 2'!B846,'Support - Transition'!D:D,'Step 2'!C846,'Support - Transition'!E:E,"CIVIL")</f>
        <v>7.4100000000000001E-4</v>
      </c>
      <c r="H846" s="126">
        <f>SUMIFS('Support - Transition'!F:F,'Support - Transition'!B:B,'Step 2'!A846,'Support - Transition'!C:C,'Step 2'!B846,'Support - Transition'!D:D,'Step 2'!C846,'Support - Transition'!E:E,"FIRE")</f>
        <v>4.8099999999999998E-4</v>
      </c>
      <c r="I846" s="126">
        <f>IF(B846="0",SUMIFS('Support - Transition'!F:F,'Support - Transition'!J:J,'Step 2'!D846,'Support - Transition'!E:E,"STATE UNIT"),SUMIFS('Support - Transition'!F:F,'Support - Transition'!J:J,'Step 2'!D846))</f>
        <v>1.222E-3</v>
      </c>
      <c r="J846" s="126">
        <f>SUMIFS('Support - Unit Adjustments'!E:E,'Support - Unit Adjustments'!F:F,'Step 2'!D846)</f>
        <v>0</v>
      </c>
      <c r="K846" s="126">
        <f t="shared" si="251"/>
        <v>1.222E-3</v>
      </c>
      <c r="L846" s="174">
        <f>VLOOKUP(A846,'Step 1'!$A:$E,4,FALSE)</f>
        <v>679825</v>
      </c>
      <c r="M846" s="47">
        <f t="shared" si="252"/>
        <v>831</v>
      </c>
      <c r="N846" s="177">
        <f>SUMIFS('Support - Transition'!G:G,'Support - Transition'!J:J,'Step 2'!D846,'Support - Transition'!E:E,"2009 WELFARE ALLOCATION FACTOR")</f>
        <v>0</v>
      </c>
      <c r="O846" s="152">
        <f t="shared" si="257"/>
        <v>0</v>
      </c>
      <c r="P846" s="126">
        <f>IF(E846="Y",0,SUMIFS('Support - Transition'!G:G,'Support - Transition'!J:J,'Step 2'!D846,'Support - Transition'!E:E,"2009 SCHOOL ALLOCATION FACTOR"))</f>
        <v>0</v>
      </c>
      <c r="Q846" s="126">
        <f>IF(E846="Y",VLOOKUP(D846,'Support - Unit Adjustments'!F:G,2,FALSE),0)</f>
        <v>0</v>
      </c>
      <c r="R846" s="155">
        <f t="shared" si="269"/>
        <v>0</v>
      </c>
      <c r="S846" s="47">
        <f t="shared" si="268"/>
        <v>0</v>
      </c>
      <c r="T846" s="151">
        <f t="shared" si="253"/>
        <v>831</v>
      </c>
      <c r="U846" s="151">
        <f t="shared" si="254"/>
        <v>0</v>
      </c>
      <c r="V846" s="139">
        <f t="shared" si="255"/>
        <v>0</v>
      </c>
      <c r="W846" s="152">
        <f t="shared" si="258"/>
        <v>831</v>
      </c>
      <c r="X846" s="127" t="str">
        <f t="shared" si="256"/>
        <v/>
      </c>
      <c r="Y846" s="207">
        <f t="shared" si="259"/>
        <v>831</v>
      </c>
      <c r="Z846" s="139">
        <f t="shared" si="260"/>
        <v>504</v>
      </c>
      <c r="AA846" s="139">
        <f t="shared" si="261"/>
        <v>327</v>
      </c>
      <c r="AC846" s="47">
        <f t="shared" si="262"/>
        <v>416</v>
      </c>
      <c r="AD846" s="47">
        <f t="shared" si="263"/>
        <v>252</v>
      </c>
      <c r="AE846" s="47">
        <f t="shared" si="264"/>
        <v>164</v>
      </c>
      <c r="AG846" s="47">
        <f t="shared" si="265"/>
        <v>415</v>
      </c>
      <c r="AH846" s="47">
        <f t="shared" si="266"/>
        <v>252</v>
      </c>
      <c r="AI846" s="208">
        <f t="shared" si="267"/>
        <v>163</v>
      </c>
    </row>
    <row r="847" spans="1:35">
      <c r="A847" t="s">
        <v>2116</v>
      </c>
      <c r="B847" t="s">
        <v>3142</v>
      </c>
      <c r="C847" t="s">
        <v>2195</v>
      </c>
      <c r="D847" t="s">
        <v>4147</v>
      </c>
      <c r="F847" t="s">
        <v>149</v>
      </c>
      <c r="G847" s="126">
        <f>SUMIFS('Support - Transition'!F:F,'Support - Transition'!B:B,'Step 2'!A847,'Support - Transition'!C:C,'Step 2'!B847,'Support - Transition'!D:D,'Step 2'!C847,'Support - Transition'!E:E,"CIVIL")</f>
        <v>1.952E-3</v>
      </c>
      <c r="H847" s="126">
        <f>SUMIFS('Support - Transition'!F:F,'Support - Transition'!B:B,'Step 2'!A847,'Support - Transition'!C:C,'Step 2'!B847,'Support - Transition'!D:D,'Step 2'!C847,'Support - Transition'!E:E,"FIRE")</f>
        <v>5.189E-3</v>
      </c>
      <c r="I847" s="126">
        <f>IF(B847="0",SUMIFS('Support - Transition'!F:F,'Support - Transition'!J:J,'Step 2'!D847,'Support - Transition'!E:E,"STATE UNIT"),SUMIFS('Support - Transition'!F:F,'Support - Transition'!J:J,'Step 2'!D847))</f>
        <v>7.1409999999999998E-3</v>
      </c>
      <c r="J847" s="126">
        <f>SUMIFS('Support - Unit Adjustments'!E:E,'Support - Unit Adjustments'!F:F,'Step 2'!D847)</f>
        <v>0</v>
      </c>
      <c r="K847" s="126">
        <f t="shared" si="251"/>
        <v>7.1409999999999998E-3</v>
      </c>
      <c r="L847" s="174">
        <f>VLOOKUP(A847,'Step 1'!$A:$E,4,FALSE)</f>
        <v>679825</v>
      </c>
      <c r="M847" s="47">
        <f t="shared" si="252"/>
        <v>4855</v>
      </c>
      <c r="N847" s="177">
        <f>SUMIFS('Support - Transition'!G:G,'Support - Transition'!J:J,'Step 2'!D847,'Support - Transition'!E:E,"2009 WELFARE ALLOCATION FACTOR")</f>
        <v>0</v>
      </c>
      <c r="O847" s="152">
        <f t="shared" si="257"/>
        <v>0</v>
      </c>
      <c r="P847" s="126">
        <f>IF(E847="Y",0,SUMIFS('Support - Transition'!G:G,'Support - Transition'!J:J,'Step 2'!D847,'Support - Transition'!E:E,"2009 SCHOOL ALLOCATION FACTOR"))</f>
        <v>0</v>
      </c>
      <c r="Q847" s="126">
        <f>IF(E847="Y",VLOOKUP(D847,'Support - Unit Adjustments'!F:G,2,FALSE),0)</f>
        <v>0</v>
      </c>
      <c r="R847" s="155">
        <f t="shared" si="269"/>
        <v>0</v>
      </c>
      <c r="S847" s="47">
        <f t="shared" si="268"/>
        <v>0</v>
      </c>
      <c r="T847" s="151">
        <f t="shared" si="253"/>
        <v>4855</v>
      </c>
      <c r="U847" s="151">
        <f t="shared" si="254"/>
        <v>0</v>
      </c>
      <c r="V847" s="139">
        <f t="shared" si="255"/>
        <v>0</v>
      </c>
      <c r="W847" s="152">
        <f t="shared" si="258"/>
        <v>4855</v>
      </c>
      <c r="X847" s="127" t="str">
        <f t="shared" si="256"/>
        <v/>
      </c>
      <c r="Y847" s="207">
        <f t="shared" si="259"/>
        <v>4855</v>
      </c>
      <c r="Z847" s="139">
        <f t="shared" si="260"/>
        <v>1327</v>
      </c>
      <c r="AA847" s="139">
        <f t="shared" si="261"/>
        <v>3528</v>
      </c>
      <c r="AC847" s="47">
        <f t="shared" si="262"/>
        <v>2428</v>
      </c>
      <c r="AD847" s="47">
        <f t="shared" si="263"/>
        <v>664</v>
      </c>
      <c r="AE847" s="47">
        <f t="shared" si="264"/>
        <v>1764</v>
      </c>
      <c r="AG847" s="47">
        <f t="shared" si="265"/>
        <v>2427</v>
      </c>
      <c r="AH847" s="47">
        <f t="shared" si="266"/>
        <v>663</v>
      </c>
      <c r="AI847" s="208">
        <f t="shared" si="267"/>
        <v>1764</v>
      </c>
    </row>
    <row r="848" spans="1:35">
      <c r="A848" t="s">
        <v>2116</v>
      </c>
      <c r="B848" t="s">
        <v>3142</v>
      </c>
      <c r="C848" t="s">
        <v>2196</v>
      </c>
      <c r="D848" t="s">
        <v>4148</v>
      </c>
      <c r="F848" t="s">
        <v>673</v>
      </c>
      <c r="G848" s="126">
        <f>SUMIFS('Support - Transition'!F:F,'Support - Transition'!B:B,'Step 2'!A848,'Support - Transition'!C:C,'Step 2'!B848,'Support - Transition'!D:D,'Step 2'!C848,'Support - Transition'!E:E,"CIVIL")</f>
        <v>4.2859999999999999E-3</v>
      </c>
      <c r="H848" s="126">
        <f>SUMIFS('Support - Transition'!F:F,'Support - Transition'!B:B,'Step 2'!A848,'Support - Transition'!C:C,'Step 2'!B848,'Support - Transition'!D:D,'Step 2'!C848,'Support - Transition'!E:E,"FIRE")</f>
        <v>7.8700000000000005E-4</v>
      </c>
      <c r="I848" s="126">
        <f>IF(B848="0",SUMIFS('Support - Transition'!F:F,'Support - Transition'!J:J,'Step 2'!D848,'Support - Transition'!E:E,"STATE UNIT"),SUMIFS('Support - Transition'!F:F,'Support - Transition'!J:J,'Step 2'!D848))</f>
        <v>5.0730000000000003E-3</v>
      </c>
      <c r="J848" s="126">
        <f>SUMIFS('Support - Unit Adjustments'!E:E,'Support - Unit Adjustments'!F:F,'Step 2'!D848)</f>
        <v>0</v>
      </c>
      <c r="K848" s="126">
        <f t="shared" si="251"/>
        <v>5.0730000000000003E-3</v>
      </c>
      <c r="L848" s="174">
        <f>VLOOKUP(A848,'Step 1'!$A:$E,4,FALSE)</f>
        <v>679825</v>
      </c>
      <c r="M848" s="47">
        <f t="shared" si="252"/>
        <v>3449</v>
      </c>
      <c r="N848" s="177">
        <f>SUMIFS('Support - Transition'!G:G,'Support - Transition'!J:J,'Step 2'!D848,'Support - Transition'!E:E,"2009 WELFARE ALLOCATION FACTOR")</f>
        <v>0</v>
      </c>
      <c r="O848" s="152">
        <f t="shared" si="257"/>
        <v>0</v>
      </c>
      <c r="P848" s="126">
        <f>IF(E848="Y",0,SUMIFS('Support - Transition'!G:G,'Support - Transition'!J:J,'Step 2'!D848,'Support - Transition'!E:E,"2009 SCHOOL ALLOCATION FACTOR"))</f>
        <v>0</v>
      </c>
      <c r="Q848" s="126">
        <f>IF(E848="Y",VLOOKUP(D848,'Support - Unit Adjustments'!F:G,2,FALSE),0)</f>
        <v>0</v>
      </c>
      <c r="R848" s="155">
        <f t="shared" si="269"/>
        <v>0</v>
      </c>
      <c r="S848" s="47">
        <f t="shared" si="268"/>
        <v>0</v>
      </c>
      <c r="T848" s="151">
        <f t="shared" si="253"/>
        <v>3449</v>
      </c>
      <c r="U848" s="151">
        <f t="shared" si="254"/>
        <v>0</v>
      </c>
      <c r="V848" s="139">
        <f t="shared" si="255"/>
        <v>0</v>
      </c>
      <c r="W848" s="152">
        <f t="shared" si="258"/>
        <v>3449</v>
      </c>
      <c r="X848" s="127" t="str">
        <f t="shared" si="256"/>
        <v/>
      </c>
      <c r="Y848" s="207">
        <f t="shared" si="259"/>
        <v>3449</v>
      </c>
      <c r="Z848" s="139">
        <f t="shared" si="260"/>
        <v>2914</v>
      </c>
      <c r="AA848" s="139">
        <f t="shared" si="261"/>
        <v>535</v>
      </c>
      <c r="AC848" s="47">
        <f t="shared" si="262"/>
        <v>1725</v>
      </c>
      <c r="AD848" s="47">
        <f t="shared" si="263"/>
        <v>1457</v>
      </c>
      <c r="AE848" s="47">
        <f t="shared" si="264"/>
        <v>268</v>
      </c>
      <c r="AG848" s="47">
        <f t="shared" si="265"/>
        <v>1724</v>
      </c>
      <c r="AH848" s="47">
        <f t="shared" si="266"/>
        <v>1457</v>
      </c>
      <c r="AI848" s="208">
        <f t="shared" si="267"/>
        <v>267</v>
      </c>
    </row>
    <row r="849" spans="1:35">
      <c r="A849" t="s">
        <v>2116</v>
      </c>
      <c r="B849" t="s">
        <v>3155</v>
      </c>
      <c r="C849" t="s">
        <v>2523</v>
      </c>
      <c r="D849" t="s">
        <v>4149</v>
      </c>
      <c r="F849" t="s">
        <v>676</v>
      </c>
      <c r="G849" s="126">
        <f>SUMIFS('Support - Transition'!F:F,'Support - Transition'!B:B,'Step 2'!A849,'Support - Transition'!C:C,'Step 2'!B849,'Support - Transition'!D:D,'Step 2'!C849,'Support - Transition'!E:E,"CIVIL")</f>
        <v>0</v>
      </c>
      <c r="H849" s="126">
        <f>SUMIFS('Support - Transition'!F:F,'Support - Transition'!B:B,'Step 2'!A849,'Support - Transition'!C:C,'Step 2'!B849,'Support - Transition'!D:D,'Step 2'!C849,'Support - Transition'!E:E,"FIRE")</f>
        <v>0</v>
      </c>
      <c r="I849" s="126">
        <f>IF(B849="0",SUMIFS('Support - Transition'!F:F,'Support - Transition'!J:J,'Step 2'!D849,'Support - Transition'!E:E,"STATE UNIT"),SUMIFS('Support - Transition'!F:F,'Support - Transition'!J:J,'Step 2'!D849))</f>
        <v>6.4195000000000002E-2</v>
      </c>
      <c r="J849" s="126">
        <f>SUMIFS('Support - Unit Adjustments'!E:E,'Support - Unit Adjustments'!F:F,'Step 2'!D849)</f>
        <v>0</v>
      </c>
      <c r="K849" s="126">
        <f t="shared" si="251"/>
        <v>6.4195000000000002E-2</v>
      </c>
      <c r="L849" s="174">
        <f>VLOOKUP(A849,'Step 1'!$A:$E,4,FALSE)</f>
        <v>679825</v>
      </c>
      <c r="M849" s="47">
        <f t="shared" si="252"/>
        <v>43641</v>
      </c>
      <c r="N849" s="177">
        <f>SUMIFS('Support - Transition'!G:G,'Support - Transition'!J:J,'Step 2'!D849,'Support - Transition'!E:E,"2009 WELFARE ALLOCATION FACTOR")</f>
        <v>0</v>
      </c>
      <c r="O849" s="152">
        <f t="shared" si="257"/>
        <v>0</v>
      </c>
      <c r="P849" s="126">
        <f>IF(E849="Y",0,SUMIFS('Support - Transition'!G:G,'Support - Transition'!J:J,'Step 2'!D849,'Support - Transition'!E:E,"2009 SCHOOL ALLOCATION FACTOR"))</f>
        <v>0</v>
      </c>
      <c r="Q849" s="126">
        <f>IF(E849="Y",VLOOKUP(D849,'Support - Unit Adjustments'!F:G,2,FALSE),0)</f>
        <v>0</v>
      </c>
      <c r="R849" s="155">
        <f t="shared" si="269"/>
        <v>0</v>
      </c>
      <c r="S849" s="47">
        <f t="shared" si="268"/>
        <v>0</v>
      </c>
      <c r="T849" s="151">
        <f t="shared" si="253"/>
        <v>43641</v>
      </c>
      <c r="U849" s="151">
        <f t="shared" si="254"/>
        <v>0</v>
      </c>
      <c r="V849" s="139">
        <f t="shared" si="255"/>
        <v>0</v>
      </c>
      <c r="W849" s="152">
        <f t="shared" si="258"/>
        <v>43641</v>
      </c>
      <c r="X849" s="127" t="str">
        <f t="shared" si="256"/>
        <v/>
      </c>
      <c r="Y849" s="207">
        <f t="shared" si="259"/>
        <v>43641</v>
      </c>
      <c r="Z849" s="139">
        <f t="shared" si="260"/>
        <v>43641</v>
      </c>
      <c r="AA849" s="139">
        <f t="shared" si="261"/>
        <v>0</v>
      </c>
      <c r="AC849" s="47">
        <f t="shared" si="262"/>
        <v>21821</v>
      </c>
      <c r="AD849" s="47">
        <f t="shared" si="263"/>
        <v>21821</v>
      </c>
      <c r="AE849" s="47">
        <f t="shared" si="264"/>
        <v>0</v>
      </c>
      <c r="AG849" s="47">
        <f t="shared" si="265"/>
        <v>21820</v>
      </c>
      <c r="AH849" s="47">
        <f t="shared" si="266"/>
        <v>21820</v>
      </c>
      <c r="AI849" s="208">
        <f t="shared" si="267"/>
        <v>0</v>
      </c>
    </row>
    <row r="850" spans="1:35">
      <c r="A850" t="s">
        <v>2116</v>
      </c>
      <c r="B850" t="s">
        <v>3155</v>
      </c>
      <c r="C850" t="s">
        <v>2524</v>
      </c>
      <c r="D850" t="s">
        <v>4150</v>
      </c>
      <c r="F850" t="s">
        <v>675</v>
      </c>
      <c r="G850" s="126">
        <f>SUMIFS('Support - Transition'!F:F,'Support - Transition'!B:B,'Step 2'!A850,'Support - Transition'!C:C,'Step 2'!B850,'Support - Transition'!D:D,'Step 2'!C850,'Support - Transition'!E:E,"CIVIL")</f>
        <v>0</v>
      </c>
      <c r="H850" s="126">
        <f>SUMIFS('Support - Transition'!F:F,'Support - Transition'!B:B,'Step 2'!A850,'Support - Transition'!C:C,'Step 2'!B850,'Support - Transition'!D:D,'Step 2'!C850,'Support - Transition'!E:E,"FIRE")</f>
        <v>0</v>
      </c>
      <c r="I850" s="126">
        <f>IF(B850="0",SUMIFS('Support - Transition'!F:F,'Support - Transition'!J:J,'Step 2'!D850,'Support - Transition'!E:E,"STATE UNIT"),SUMIFS('Support - Transition'!F:F,'Support - Transition'!J:J,'Step 2'!D850))</f>
        <v>7.528E-3</v>
      </c>
      <c r="J850" s="126">
        <f>SUMIFS('Support - Unit Adjustments'!E:E,'Support - Unit Adjustments'!F:F,'Step 2'!D850)</f>
        <v>0</v>
      </c>
      <c r="K850" s="126">
        <f t="shared" si="251"/>
        <v>7.528E-3</v>
      </c>
      <c r="L850" s="174">
        <f>VLOOKUP(A850,'Step 1'!$A:$E,4,FALSE)</f>
        <v>679825</v>
      </c>
      <c r="M850" s="47">
        <f t="shared" si="252"/>
        <v>5118</v>
      </c>
      <c r="N850" s="177">
        <f>SUMIFS('Support - Transition'!G:G,'Support - Transition'!J:J,'Step 2'!D850,'Support - Transition'!E:E,"2009 WELFARE ALLOCATION FACTOR")</f>
        <v>0</v>
      </c>
      <c r="O850" s="152">
        <f t="shared" si="257"/>
        <v>0</v>
      </c>
      <c r="P850" s="126">
        <f>IF(E850="Y",0,SUMIFS('Support - Transition'!G:G,'Support - Transition'!J:J,'Step 2'!D850,'Support - Transition'!E:E,"2009 SCHOOL ALLOCATION FACTOR"))</f>
        <v>0</v>
      </c>
      <c r="Q850" s="126">
        <f>IF(E850="Y",VLOOKUP(D850,'Support - Unit Adjustments'!F:G,2,FALSE),0)</f>
        <v>0</v>
      </c>
      <c r="R850" s="155">
        <f t="shared" si="269"/>
        <v>0</v>
      </c>
      <c r="S850" s="47">
        <f t="shared" si="268"/>
        <v>0</v>
      </c>
      <c r="T850" s="151">
        <f t="shared" si="253"/>
        <v>5118</v>
      </c>
      <c r="U850" s="151">
        <f t="shared" si="254"/>
        <v>0</v>
      </c>
      <c r="V850" s="139">
        <f t="shared" si="255"/>
        <v>0</v>
      </c>
      <c r="W850" s="152">
        <f t="shared" si="258"/>
        <v>5118</v>
      </c>
      <c r="X850" s="127" t="str">
        <f t="shared" si="256"/>
        <v/>
      </c>
      <c r="Y850" s="207">
        <f t="shared" si="259"/>
        <v>5118</v>
      </c>
      <c r="Z850" s="139">
        <f t="shared" si="260"/>
        <v>5118</v>
      </c>
      <c r="AA850" s="139">
        <f t="shared" si="261"/>
        <v>0</v>
      </c>
      <c r="AC850" s="47">
        <f t="shared" si="262"/>
        <v>2559</v>
      </c>
      <c r="AD850" s="47">
        <f t="shared" si="263"/>
        <v>2559</v>
      </c>
      <c r="AE850" s="47">
        <f t="shared" si="264"/>
        <v>0</v>
      </c>
      <c r="AG850" s="47">
        <f t="shared" si="265"/>
        <v>2559</v>
      </c>
      <c r="AH850" s="47">
        <f t="shared" si="266"/>
        <v>2559</v>
      </c>
      <c r="AI850" s="208">
        <f t="shared" si="267"/>
        <v>0</v>
      </c>
    </row>
    <row r="851" spans="1:35">
      <c r="A851" t="s">
        <v>2116</v>
      </c>
      <c r="B851" t="s">
        <v>3155</v>
      </c>
      <c r="C851" t="s">
        <v>2525</v>
      </c>
      <c r="D851" t="s">
        <v>4151</v>
      </c>
      <c r="F851" t="s">
        <v>678</v>
      </c>
      <c r="G851" s="126">
        <f>SUMIFS('Support - Transition'!F:F,'Support - Transition'!B:B,'Step 2'!A851,'Support - Transition'!C:C,'Step 2'!B851,'Support - Transition'!D:D,'Step 2'!C851,'Support - Transition'!E:E,"CIVIL")</f>
        <v>0</v>
      </c>
      <c r="H851" s="126">
        <f>SUMIFS('Support - Transition'!F:F,'Support - Transition'!B:B,'Step 2'!A851,'Support - Transition'!C:C,'Step 2'!B851,'Support - Transition'!D:D,'Step 2'!C851,'Support - Transition'!E:E,"FIRE")</f>
        <v>0</v>
      </c>
      <c r="I851" s="126">
        <f>IF(B851="0",SUMIFS('Support - Transition'!F:F,'Support - Transition'!J:J,'Step 2'!D851,'Support - Transition'!E:E,"STATE UNIT"),SUMIFS('Support - Transition'!F:F,'Support - Transition'!J:J,'Step 2'!D851))</f>
        <v>1.2669999999999999E-3</v>
      </c>
      <c r="J851" s="126">
        <f>SUMIFS('Support - Unit Adjustments'!E:E,'Support - Unit Adjustments'!F:F,'Step 2'!D851)</f>
        <v>0</v>
      </c>
      <c r="K851" s="126">
        <f t="shared" si="251"/>
        <v>1.2669999999999999E-3</v>
      </c>
      <c r="L851" s="174">
        <f>VLOOKUP(A851,'Step 1'!$A:$E,4,FALSE)</f>
        <v>679825</v>
      </c>
      <c r="M851" s="47">
        <f t="shared" si="252"/>
        <v>861</v>
      </c>
      <c r="N851" s="177">
        <f>SUMIFS('Support - Transition'!G:G,'Support - Transition'!J:J,'Step 2'!D851,'Support - Transition'!E:E,"2009 WELFARE ALLOCATION FACTOR")</f>
        <v>0</v>
      </c>
      <c r="O851" s="152">
        <f t="shared" si="257"/>
        <v>0</v>
      </c>
      <c r="P851" s="126">
        <f>IF(E851="Y",0,SUMIFS('Support - Transition'!G:G,'Support - Transition'!J:J,'Step 2'!D851,'Support - Transition'!E:E,"2009 SCHOOL ALLOCATION FACTOR"))</f>
        <v>0</v>
      </c>
      <c r="Q851" s="126">
        <f>IF(E851="Y",VLOOKUP(D851,'Support - Unit Adjustments'!F:G,2,FALSE),0)</f>
        <v>0</v>
      </c>
      <c r="R851" s="155">
        <f t="shared" si="269"/>
        <v>0</v>
      </c>
      <c r="S851" s="47">
        <f t="shared" si="268"/>
        <v>0</v>
      </c>
      <c r="T851" s="151">
        <f t="shared" si="253"/>
        <v>861</v>
      </c>
      <c r="U851" s="151">
        <f t="shared" si="254"/>
        <v>0</v>
      </c>
      <c r="V851" s="139">
        <f t="shared" si="255"/>
        <v>0</v>
      </c>
      <c r="W851" s="152">
        <f t="shared" si="258"/>
        <v>861</v>
      </c>
      <c r="X851" s="127" t="str">
        <f t="shared" si="256"/>
        <v/>
      </c>
      <c r="Y851" s="207">
        <f t="shared" si="259"/>
        <v>861</v>
      </c>
      <c r="Z851" s="139">
        <f t="shared" si="260"/>
        <v>861</v>
      </c>
      <c r="AA851" s="139">
        <f t="shared" si="261"/>
        <v>0</v>
      </c>
      <c r="AC851" s="47">
        <f t="shared" si="262"/>
        <v>431</v>
      </c>
      <c r="AD851" s="47">
        <f t="shared" si="263"/>
        <v>431</v>
      </c>
      <c r="AE851" s="47">
        <f t="shared" si="264"/>
        <v>0</v>
      </c>
      <c r="AG851" s="47">
        <f t="shared" si="265"/>
        <v>430</v>
      </c>
      <c r="AH851" s="47">
        <f t="shared" si="266"/>
        <v>430</v>
      </c>
      <c r="AI851" s="208">
        <f t="shared" si="267"/>
        <v>0</v>
      </c>
    </row>
    <row r="852" spans="1:35">
      <c r="A852" t="s">
        <v>2116</v>
      </c>
      <c r="B852" t="s">
        <v>3155</v>
      </c>
      <c r="C852" t="s">
        <v>2526</v>
      </c>
      <c r="D852" t="s">
        <v>4152</v>
      </c>
      <c r="F852" t="s">
        <v>679</v>
      </c>
      <c r="G852" s="126">
        <f>SUMIFS('Support - Transition'!F:F,'Support - Transition'!B:B,'Step 2'!A852,'Support - Transition'!C:C,'Step 2'!B852,'Support - Transition'!D:D,'Step 2'!C852,'Support - Transition'!E:E,"CIVIL")</f>
        <v>0</v>
      </c>
      <c r="H852" s="126">
        <f>SUMIFS('Support - Transition'!F:F,'Support - Transition'!B:B,'Step 2'!A852,'Support - Transition'!C:C,'Step 2'!B852,'Support - Transition'!D:D,'Step 2'!C852,'Support - Transition'!E:E,"FIRE")</f>
        <v>0</v>
      </c>
      <c r="I852" s="126">
        <f>IF(B852="0",SUMIFS('Support - Transition'!F:F,'Support - Transition'!J:J,'Step 2'!D852,'Support - Transition'!E:E,"STATE UNIT"),SUMIFS('Support - Transition'!F:F,'Support - Transition'!J:J,'Step 2'!D852))</f>
        <v>7.6660000000000001E-3</v>
      </c>
      <c r="J852" s="126">
        <f>SUMIFS('Support - Unit Adjustments'!E:E,'Support - Unit Adjustments'!F:F,'Step 2'!D852)</f>
        <v>0</v>
      </c>
      <c r="K852" s="126">
        <f t="shared" si="251"/>
        <v>7.6660000000000001E-3</v>
      </c>
      <c r="L852" s="174">
        <f>VLOOKUP(A852,'Step 1'!$A:$E,4,FALSE)</f>
        <v>679825</v>
      </c>
      <c r="M852" s="47">
        <f t="shared" si="252"/>
        <v>5212</v>
      </c>
      <c r="N852" s="177">
        <f>SUMIFS('Support - Transition'!G:G,'Support - Transition'!J:J,'Step 2'!D852,'Support - Transition'!E:E,"2009 WELFARE ALLOCATION FACTOR")</f>
        <v>0</v>
      </c>
      <c r="O852" s="152">
        <f t="shared" si="257"/>
        <v>0</v>
      </c>
      <c r="P852" s="126">
        <f>IF(E852="Y",0,SUMIFS('Support - Transition'!G:G,'Support - Transition'!J:J,'Step 2'!D852,'Support - Transition'!E:E,"2009 SCHOOL ALLOCATION FACTOR"))</f>
        <v>0</v>
      </c>
      <c r="Q852" s="126">
        <f>IF(E852="Y",VLOOKUP(D852,'Support - Unit Adjustments'!F:G,2,FALSE),0)</f>
        <v>0</v>
      </c>
      <c r="R852" s="155">
        <f t="shared" si="269"/>
        <v>0</v>
      </c>
      <c r="S852" s="47">
        <f t="shared" si="268"/>
        <v>0</v>
      </c>
      <c r="T852" s="151">
        <f t="shared" si="253"/>
        <v>5212</v>
      </c>
      <c r="U852" s="151">
        <f t="shared" si="254"/>
        <v>0</v>
      </c>
      <c r="V852" s="139">
        <f t="shared" si="255"/>
        <v>0</v>
      </c>
      <c r="W852" s="152">
        <f t="shared" si="258"/>
        <v>5212</v>
      </c>
      <c r="X852" s="127" t="str">
        <f t="shared" si="256"/>
        <v/>
      </c>
      <c r="Y852" s="207">
        <f t="shared" si="259"/>
        <v>5212</v>
      </c>
      <c r="Z852" s="139">
        <f t="shared" si="260"/>
        <v>5212</v>
      </c>
      <c r="AA852" s="139">
        <f t="shared" si="261"/>
        <v>0</v>
      </c>
      <c r="AC852" s="47">
        <f t="shared" si="262"/>
        <v>2606</v>
      </c>
      <c r="AD852" s="47">
        <f t="shared" si="263"/>
        <v>2606</v>
      </c>
      <c r="AE852" s="47">
        <f t="shared" si="264"/>
        <v>0</v>
      </c>
      <c r="AG852" s="47">
        <f t="shared" si="265"/>
        <v>2606</v>
      </c>
      <c r="AH852" s="47">
        <f t="shared" si="266"/>
        <v>2606</v>
      </c>
      <c r="AI852" s="208">
        <f t="shared" si="267"/>
        <v>0</v>
      </c>
    </row>
    <row r="853" spans="1:35">
      <c r="A853" t="s">
        <v>2116</v>
      </c>
      <c r="B853" t="s">
        <v>3155</v>
      </c>
      <c r="C853" t="s">
        <v>2527</v>
      </c>
      <c r="D853" t="s">
        <v>4153</v>
      </c>
      <c r="F853" t="s">
        <v>680</v>
      </c>
      <c r="G853" s="126">
        <f>SUMIFS('Support - Transition'!F:F,'Support - Transition'!B:B,'Step 2'!A853,'Support - Transition'!C:C,'Step 2'!B853,'Support - Transition'!D:D,'Step 2'!C853,'Support - Transition'!E:E,"CIVIL")</f>
        <v>0</v>
      </c>
      <c r="H853" s="126">
        <f>SUMIFS('Support - Transition'!F:F,'Support - Transition'!B:B,'Step 2'!A853,'Support - Transition'!C:C,'Step 2'!B853,'Support - Transition'!D:D,'Step 2'!C853,'Support - Transition'!E:E,"FIRE")</f>
        <v>0</v>
      </c>
      <c r="I853" s="126">
        <f>IF(B853="0",SUMIFS('Support - Transition'!F:F,'Support - Transition'!J:J,'Step 2'!D853,'Support - Transition'!E:E,"STATE UNIT"),SUMIFS('Support - Transition'!F:F,'Support - Transition'!J:J,'Step 2'!D853))</f>
        <v>1.1E-5</v>
      </c>
      <c r="J853" s="126">
        <f>SUMIFS('Support - Unit Adjustments'!E:E,'Support - Unit Adjustments'!F:F,'Step 2'!D853)</f>
        <v>0</v>
      </c>
      <c r="K853" s="126">
        <f t="shared" si="251"/>
        <v>1.1E-5</v>
      </c>
      <c r="L853" s="174">
        <f>VLOOKUP(A853,'Step 1'!$A:$E,4,FALSE)</f>
        <v>679825</v>
      </c>
      <c r="M853" s="47">
        <f t="shared" si="252"/>
        <v>7</v>
      </c>
      <c r="N853" s="177">
        <f>SUMIFS('Support - Transition'!G:G,'Support - Transition'!J:J,'Step 2'!D853,'Support - Transition'!E:E,"2009 WELFARE ALLOCATION FACTOR")</f>
        <v>0</v>
      </c>
      <c r="O853" s="152">
        <f t="shared" si="257"/>
        <v>0</v>
      </c>
      <c r="P853" s="126">
        <f>IF(E853="Y",0,SUMIFS('Support - Transition'!G:G,'Support - Transition'!J:J,'Step 2'!D853,'Support - Transition'!E:E,"2009 SCHOOL ALLOCATION FACTOR"))</f>
        <v>0</v>
      </c>
      <c r="Q853" s="126">
        <f>IF(E853="Y",VLOOKUP(D853,'Support - Unit Adjustments'!F:G,2,FALSE),0)</f>
        <v>0</v>
      </c>
      <c r="R853" s="155">
        <f t="shared" si="269"/>
        <v>0</v>
      </c>
      <c r="S853" s="47">
        <f t="shared" si="268"/>
        <v>0</v>
      </c>
      <c r="T853" s="151">
        <f t="shared" si="253"/>
        <v>7</v>
      </c>
      <c r="U853" s="151">
        <f t="shared" si="254"/>
        <v>0</v>
      </c>
      <c r="V853" s="139">
        <f t="shared" si="255"/>
        <v>0</v>
      </c>
      <c r="W853" s="152">
        <f t="shared" si="258"/>
        <v>7</v>
      </c>
      <c r="X853" s="127" t="str">
        <f t="shared" si="256"/>
        <v/>
      </c>
      <c r="Y853" s="207">
        <f t="shared" si="259"/>
        <v>7</v>
      </c>
      <c r="Z853" s="139">
        <f t="shared" si="260"/>
        <v>7</v>
      </c>
      <c r="AA853" s="139">
        <f t="shared" si="261"/>
        <v>0</v>
      </c>
      <c r="AC853" s="47">
        <f t="shared" si="262"/>
        <v>4</v>
      </c>
      <c r="AD853" s="47">
        <f t="shared" si="263"/>
        <v>4</v>
      </c>
      <c r="AE853" s="47">
        <f t="shared" si="264"/>
        <v>0</v>
      </c>
      <c r="AG853" s="47">
        <f t="shared" si="265"/>
        <v>3</v>
      </c>
      <c r="AH853" s="47">
        <f t="shared" si="266"/>
        <v>3</v>
      </c>
      <c r="AI853" s="208">
        <f t="shared" si="267"/>
        <v>0</v>
      </c>
    </row>
    <row r="854" spans="1:35">
      <c r="A854" t="s">
        <v>2116</v>
      </c>
      <c r="B854" t="s">
        <v>3155</v>
      </c>
      <c r="C854" t="s">
        <v>2528</v>
      </c>
      <c r="D854" t="s">
        <v>4154</v>
      </c>
      <c r="F854" t="s">
        <v>681</v>
      </c>
      <c r="G854" s="126">
        <f>SUMIFS('Support - Transition'!F:F,'Support - Transition'!B:B,'Step 2'!A854,'Support - Transition'!C:C,'Step 2'!B854,'Support - Transition'!D:D,'Step 2'!C854,'Support - Transition'!E:E,"CIVIL")</f>
        <v>0</v>
      </c>
      <c r="H854" s="126">
        <f>SUMIFS('Support - Transition'!F:F,'Support - Transition'!B:B,'Step 2'!A854,'Support - Transition'!C:C,'Step 2'!B854,'Support - Transition'!D:D,'Step 2'!C854,'Support - Transition'!E:E,"FIRE")</f>
        <v>0</v>
      </c>
      <c r="I854" s="126">
        <f>IF(B854="0",SUMIFS('Support - Transition'!F:F,'Support - Transition'!J:J,'Step 2'!D854,'Support - Transition'!E:E,"STATE UNIT"),SUMIFS('Support - Transition'!F:F,'Support - Transition'!J:J,'Step 2'!D854))</f>
        <v>1.06E-4</v>
      </c>
      <c r="J854" s="126">
        <f>SUMIFS('Support - Unit Adjustments'!E:E,'Support - Unit Adjustments'!F:F,'Step 2'!D854)</f>
        <v>0</v>
      </c>
      <c r="K854" s="126">
        <f t="shared" si="251"/>
        <v>1.06E-4</v>
      </c>
      <c r="L854" s="174">
        <f>VLOOKUP(A854,'Step 1'!$A:$E,4,FALSE)</f>
        <v>679825</v>
      </c>
      <c r="M854" s="47">
        <f t="shared" si="252"/>
        <v>72</v>
      </c>
      <c r="N854" s="177">
        <f>SUMIFS('Support - Transition'!G:G,'Support - Transition'!J:J,'Step 2'!D854,'Support - Transition'!E:E,"2009 WELFARE ALLOCATION FACTOR")</f>
        <v>0</v>
      </c>
      <c r="O854" s="152">
        <f t="shared" si="257"/>
        <v>0</v>
      </c>
      <c r="P854" s="126">
        <f>IF(E854="Y",0,SUMIFS('Support - Transition'!G:G,'Support - Transition'!J:J,'Step 2'!D854,'Support - Transition'!E:E,"2009 SCHOOL ALLOCATION FACTOR"))</f>
        <v>0</v>
      </c>
      <c r="Q854" s="126">
        <f>IF(E854="Y",VLOOKUP(D854,'Support - Unit Adjustments'!F:G,2,FALSE),0)</f>
        <v>0</v>
      </c>
      <c r="R854" s="155">
        <f t="shared" si="269"/>
        <v>0</v>
      </c>
      <c r="S854" s="47">
        <f t="shared" si="268"/>
        <v>0</v>
      </c>
      <c r="T854" s="151">
        <f t="shared" si="253"/>
        <v>72</v>
      </c>
      <c r="U854" s="151">
        <f t="shared" si="254"/>
        <v>0</v>
      </c>
      <c r="V854" s="139">
        <f t="shared" si="255"/>
        <v>0</v>
      </c>
      <c r="W854" s="152">
        <f t="shared" si="258"/>
        <v>72</v>
      </c>
      <c r="X854" s="127" t="str">
        <f t="shared" si="256"/>
        <v/>
      </c>
      <c r="Y854" s="207">
        <f t="shared" si="259"/>
        <v>72</v>
      </c>
      <c r="Z854" s="139">
        <f t="shared" si="260"/>
        <v>72</v>
      </c>
      <c r="AA854" s="139">
        <f t="shared" si="261"/>
        <v>0</v>
      </c>
      <c r="AC854" s="47">
        <f t="shared" si="262"/>
        <v>36</v>
      </c>
      <c r="AD854" s="47">
        <f t="shared" si="263"/>
        <v>36</v>
      </c>
      <c r="AE854" s="47">
        <f t="shared" si="264"/>
        <v>0</v>
      </c>
      <c r="AG854" s="47">
        <f t="shared" si="265"/>
        <v>36</v>
      </c>
      <c r="AH854" s="47">
        <f t="shared" si="266"/>
        <v>36</v>
      </c>
      <c r="AI854" s="208">
        <f t="shared" si="267"/>
        <v>0</v>
      </c>
    </row>
    <row r="855" spans="1:35">
      <c r="A855" t="s">
        <v>2116</v>
      </c>
      <c r="B855" t="s">
        <v>3155</v>
      </c>
      <c r="C855" t="s">
        <v>2529</v>
      </c>
      <c r="D855" t="s">
        <v>4155</v>
      </c>
      <c r="F855" t="s">
        <v>674</v>
      </c>
      <c r="G855" s="126">
        <f>SUMIFS('Support - Transition'!F:F,'Support - Transition'!B:B,'Step 2'!A855,'Support - Transition'!C:C,'Step 2'!B855,'Support - Transition'!D:D,'Step 2'!C855,'Support - Transition'!E:E,"CIVIL")</f>
        <v>0</v>
      </c>
      <c r="H855" s="126">
        <f>SUMIFS('Support - Transition'!F:F,'Support - Transition'!B:B,'Step 2'!A855,'Support - Transition'!C:C,'Step 2'!B855,'Support - Transition'!D:D,'Step 2'!C855,'Support - Transition'!E:E,"FIRE")</f>
        <v>0</v>
      </c>
      <c r="I855" s="126">
        <f>IF(B855="0",SUMIFS('Support - Transition'!F:F,'Support - Transition'!J:J,'Step 2'!D855,'Support - Transition'!E:E,"STATE UNIT"),SUMIFS('Support - Transition'!F:F,'Support - Transition'!J:J,'Step 2'!D855))</f>
        <v>4.2999999999999999E-4</v>
      </c>
      <c r="J855" s="126">
        <f>SUMIFS('Support - Unit Adjustments'!E:E,'Support - Unit Adjustments'!F:F,'Step 2'!D855)</f>
        <v>0</v>
      </c>
      <c r="K855" s="126">
        <f t="shared" si="251"/>
        <v>4.2999999999999999E-4</v>
      </c>
      <c r="L855" s="174">
        <f>VLOOKUP(A855,'Step 1'!$A:$E,4,FALSE)</f>
        <v>679825</v>
      </c>
      <c r="M855" s="47">
        <f t="shared" si="252"/>
        <v>292</v>
      </c>
      <c r="N855" s="177">
        <f>SUMIFS('Support - Transition'!G:G,'Support - Transition'!J:J,'Step 2'!D855,'Support - Transition'!E:E,"2009 WELFARE ALLOCATION FACTOR")</f>
        <v>0</v>
      </c>
      <c r="O855" s="152">
        <f t="shared" si="257"/>
        <v>0</v>
      </c>
      <c r="P855" s="126">
        <f>IF(E855="Y",0,SUMIFS('Support - Transition'!G:G,'Support - Transition'!J:J,'Step 2'!D855,'Support - Transition'!E:E,"2009 SCHOOL ALLOCATION FACTOR"))</f>
        <v>0</v>
      </c>
      <c r="Q855" s="126">
        <f>IF(E855="Y",VLOOKUP(D855,'Support - Unit Adjustments'!F:G,2,FALSE),0)</f>
        <v>0</v>
      </c>
      <c r="R855" s="155">
        <f t="shared" si="269"/>
        <v>0</v>
      </c>
      <c r="S855" s="47">
        <f t="shared" si="268"/>
        <v>0</v>
      </c>
      <c r="T855" s="151">
        <f t="shared" si="253"/>
        <v>292</v>
      </c>
      <c r="U855" s="151">
        <f t="shared" si="254"/>
        <v>0</v>
      </c>
      <c r="V855" s="139">
        <f t="shared" si="255"/>
        <v>0</v>
      </c>
      <c r="W855" s="152">
        <f t="shared" si="258"/>
        <v>292</v>
      </c>
      <c r="X855" s="127" t="str">
        <f t="shared" si="256"/>
        <v/>
      </c>
      <c r="Y855" s="207">
        <f t="shared" si="259"/>
        <v>292</v>
      </c>
      <c r="Z855" s="139">
        <f t="shared" si="260"/>
        <v>292</v>
      </c>
      <c r="AA855" s="139">
        <f t="shared" si="261"/>
        <v>0</v>
      </c>
      <c r="AC855" s="47">
        <f t="shared" si="262"/>
        <v>146</v>
      </c>
      <c r="AD855" s="47">
        <f t="shared" si="263"/>
        <v>146</v>
      </c>
      <c r="AE855" s="47">
        <f t="shared" si="264"/>
        <v>0</v>
      </c>
      <c r="AG855" s="47">
        <f t="shared" si="265"/>
        <v>146</v>
      </c>
      <c r="AH855" s="47">
        <f t="shared" si="266"/>
        <v>146</v>
      </c>
      <c r="AI855" s="208">
        <f t="shared" si="267"/>
        <v>0</v>
      </c>
    </row>
    <row r="856" spans="1:35">
      <c r="A856" t="s">
        <v>2116</v>
      </c>
      <c r="B856" t="s">
        <v>3155</v>
      </c>
      <c r="C856" t="s">
        <v>2331</v>
      </c>
      <c r="D856" t="s">
        <v>4156</v>
      </c>
      <c r="F856" t="s">
        <v>677</v>
      </c>
      <c r="G856" s="126">
        <f>SUMIFS('Support - Transition'!F:F,'Support - Transition'!B:B,'Step 2'!A856,'Support - Transition'!C:C,'Step 2'!B856,'Support - Transition'!D:D,'Step 2'!C856,'Support - Transition'!E:E,"CIVIL")</f>
        <v>0</v>
      </c>
      <c r="H856" s="126">
        <f>SUMIFS('Support - Transition'!F:F,'Support - Transition'!B:B,'Step 2'!A856,'Support - Transition'!C:C,'Step 2'!B856,'Support - Transition'!D:D,'Step 2'!C856,'Support - Transition'!E:E,"FIRE")</f>
        <v>0</v>
      </c>
      <c r="I856" s="126">
        <f>IF(B856="0",SUMIFS('Support - Transition'!F:F,'Support - Transition'!J:J,'Step 2'!D856,'Support - Transition'!E:E,"STATE UNIT"),SUMIFS('Support - Transition'!F:F,'Support - Transition'!J:J,'Step 2'!D856))</f>
        <v>2.9299999999999999E-3</v>
      </c>
      <c r="J856" s="126">
        <f>SUMIFS('Support - Unit Adjustments'!E:E,'Support - Unit Adjustments'!F:F,'Step 2'!D856)</f>
        <v>0</v>
      </c>
      <c r="K856" s="126">
        <f t="shared" si="251"/>
        <v>2.9299999999999999E-3</v>
      </c>
      <c r="L856" s="174">
        <f>VLOOKUP(A856,'Step 1'!$A:$E,4,FALSE)</f>
        <v>679825</v>
      </c>
      <c r="M856" s="47">
        <f t="shared" si="252"/>
        <v>1992</v>
      </c>
      <c r="N856" s="177">
        <f>SUMIFS('Support - Transition'!G:G,'Support - Transition'!J:J,'Step 2'!D856,'Support - Transition'!E:E,"2009 WELFARE ALLOCATION FACTOR")</f>
        <v>0</v>
      </c>
      <c r="O856" s="152">
        <f t="shared" si="257"/>
        <v>0</v>
      </c>
      <c r="P856" s="126">
        <f>IF(E856="Y",0,SUMIFS('Support - Transition'!G:G,'Support - Transition'!J:J,'Step 2'!D856,'Support - Transition'!E:E,"2009 SCHOOL ALLOCATION FACTOR"))</f>
        <v>0</v>
      </c>
      <c r="Q856" s="126">
        <f>IF(E856="Y",VLOOKUP(D856,'Support - Unit Adjustments'!F:G,2,FALSE),0)</f>
        <v>0</v>
      </c>
      <c r="R856" s="155">
        <f t="shared" si="269"/>
        <v>0</v>
      </c>
      <c r="S856" s="47">
        <f t="shared" si="268"/>
        <v>0</v>
      </c>
      <c r="T856" s="151">
        <f t="shared" si="253"/>
        <v>1992</v>
      </c>
      <c r="U856" s="151">
        <f t="shared" si="254"/>
        <v>0</v>
      </c>
      <c r="V856" s="139">
        <f t="shared" si="255"/>
        <v>0</v>
      </c>
      <c r="W856" s="152">
        <f t="shared" si="258"/>
        <v>1992</v>
      </c>
      <c r="X856" s="127" t="str">
        <f t="shared" si="256"/>
        <v/>
      </c>
      <c r="Y856" s="207">
        <f t="shared" si="259"/>
        <v>1992</v>
      </c>
      <c r="Z856" s="139">
        <f t="shared" si="260"/>
        <v>1992</v>
      </c>
      <c r="AA856" s="139">
        <f t="shared" si="261"/>
        <v>0</v>
      </c>
      <c r="AC856" s="47">
        <f t="shared" si="262"/>
        <v>996</v>
      </c>
      <c r="AD856" s="47">
        <f t="shared" si="263"/>
        <v>996</v>
      </c>
      <c r="AE856" s="47">
        <f t="shared" si="264"/>
        <v>0</v>
      </c>
      <c r="AG856" s="47">
        <f t="shared" si="265"/>
        <v>996</v>
      </c>
      <c r="AH856" s="47">
        <f t="shared" si="266"/>
        <v>996</v>
      </c>
      <c r="AI856" s="208">
        <f t="shared" si="267"/>
        <v>0</v>
      </c>
    </row>
    <row r="857" spans="1:35">
      <c r="A857" t="s">
        <v>2116</v>
      </c>
      <c r="B857" t="s">
        <v>3160</v>
      </c>
      <c r="C857" t="s">
        <v>2530</v>
      </c>
      <c r="D857" t="s">
        <v>4157</v>
      </c>
      <c r="F857" t="s">
        <v>4158</v>
      </c>
      <c r="G857" s="126">
        <f>SUMIFS('Support - Transition'!F:F,'Support - Transition'!B:B,'Step 2'!A857,'Support - Transition'!C:C,'Step 2'!B857,'Support - Transition'!D:D,'Step 2'!C857,'Support - Transition'!E:E,"CIVIL")</f>
        <v>0</v>
      </c>
      <c r="H857" s="126">
        <f>SUMIFS('Support - Transition'!F:F,'Support - Transition'!B:B,'Step 2'!A857,'Support - Transition'!C:C,'Step 2'!B857,'Support - Transition'!D:D,'Step 2'!C857,'Support - Transition'!E:E,"FIRE")</f>
        <v>0</v>
      </c>
      <c r="I857" s="126">
        <f>IF(B857="0",SUMIFS('Support - Transition'!F:F,'Support - Transition'!J:J,'Step 2'!D857,'Support - Transition'!E:E,"STATE UNIT"),SUMIFS('Support - Transition'!F:F,'Support - Transition'!J:J,'Step 2'!D857))</f>
        <v>0.11738199999999988</v>
      </c>
      <c r="J857" s="126">
        <f>SUMIFS('Support - Unit Adjustments'!E:E,'Support - Unit Adjustments'!F:F,'Step 2'!D857)</f>
        <v>0</v>
      </c>
      <c r="K857" s="126">
        <f t="shared" si="251"/>
        <v>0.11738199999999988</v>
      </c>
      <c r="L857" s="174">
        <f>VLOOKUP(A857,'Step 1'!$A:$E,4,FALSE)</f>
        <v>679825</v>
      </c>
      <c r="M857" s="47">
        <f t="shared" si="252"/>
        <v>79799</v>
      </c>
      <c r="N857" s="177">
        <f>SUMIFS('Support - Transition'!G:G,'Support - Transition'!J:J,'Step 2'!D857,'Support - Transition'!E:E,"2009 WELFARE ALLOCATION FACTOR")</f>
        <v>0</v>
      </c>
      <c r="O857" s="152">
        <f t="shared" si="257"/>
        <v>0</v>
      </c>
      <c r="P857" s="126">
        <f>IF(E857="Y",0,SUMIFS('Support - Transition'!G:G,'Support - Transition'!J:J,'Step 2'!D857,'Support - Transition'!E:E,"2009 SCHOOL ALLOCATION FACTOR"))</f>
        <v>0.39052900000000002</v>
      </c>
      <c r="Q857" s="126">
        <f>IF(E857="Y",VLOOKUP(D857,'Support - Unit Adjustments'!F:G,2,FALSE),0)</f>
        <v>0</v>
      </c>
      <c r="R857" s="155">
        <f t="shared" si="269"/>
        <v>0.39052900000000002</v>
      </c>
      <c r="S857" s="47">
        <f t="shared" si="268"/>
        <v>31164</v>
      </c>
      <c r="T857" s="151">
        <f t="shared" si="253"/>
        <v>48635</v>
      </c>
      <c r="U857" s="151">
        <f t="shared" si="254"/>
        <v>0</v>
      </c>
      <c r="V857" s="139">
        <f t="shared" si="255"/>
        <v>0</v>
      </c>
      <c r="W857" s="152">
        <f t="shared" si="258"/>
        <v>48635</v>
      </c>
      <c r="X857" s="127" t="str">
        <f t="shared" si="256"/>
        <v/>
      </c>
      <c r="Y857" s="207">
        <f t="shared" si="259"/>
        <v>48635</v>
      </c>
      <c r="Z857" s="139">
        <f t="shared" si="260"/>
        <v>48635</v>
      </c>
      <c r="AA857" s="139">
        <f t="shared" si="261"/>
        <v>0</v>
      </c>
      <c r="AC857" s="47">
        <f t="shared" si="262"/>
        <v>24318</v>
      </c>
      <c r="AD857" s="47">
        <f t="shared" si="263"/>
        <v>24318</v>
      </c>
      <c r="AE857" s="47">
        <f t="shared" si="264"/>
        <v>0</v>
      </c>
      <c r="AG857" s="47">
        <f t="shared" si="265"/>
        <v>24317</v>
      </c>
      <c r="AH857" s="47">
        <f t="shared" si="266"/>
        <v>24317</v>
      </c>
      <c r="AI857" s="208">
        <f t="shared" si="267"/>
        <v>0</v>
      </c>
    </row>
    <row r="858" spans="1:35">
      <c r="A858" t="s">
        <v>2116</v>
      </c>
      <c r="B858" t="s">
        <v>3160</v>
      </c>
      <c r="C858" t="s">
        <v>2531</v>
      </c>
      <c r="D858" t="s">
        <v>4159</v>
      </c>
      <c r="F858" t="s">
        <v>683</v>
      </c>
      <c r="G858" s="126">
        <f>SUMIFS('Support - Transition'!F:F,'Support - Transition'!B:B,'Step 2'!A858,'Support - Transition'!C:C,'Step 2'!B858,'Support - Transition'!D:D,'Step 2'!C858,'Support - Transition'!E:E,"CIVIL")</f>
        <v>0</v>
      </c>
      <c r="H858" s="126">
        <f>SUMIFS('Support - Transition'!F:F,'Support - Transition'!B:B,'Step 2'!A858,'Support - Transition'!C:C,'Step 2'!B858,'Support - Transition'!D:D,'Step 2'!C858,'Support - Transition'!E:E,"FIRE")</f>
        <v>0</v>
      </c>
      <c r="I858" s="126">
        <f>IF(B858="0",SUMIFS('Support - Transition'!F:F,'Support - Transition'!J:J,'Step 2'!D858,'Support - Transition'!E:E,"STATE UNIT"),SUMIFS('Support - Transition'!F:F,'Support - Transition'!J:J,'Step 2'!D858))</f>
        <v>0.33536500000000002</v>
      </c>
      <c r="J858" s="126">
        <f>SUMIFS('Support - Unit Adjustments'!E:E,'Support - Unit Adjustments'!F:F,'Step 2'!D858)</f>
        <v>0</v>
      </c>
      <c r="K858" s="126">
        <f t="shared" si="251"/>
        <v>0.33536500000000002</v>
      </c>
      <c r="L858" s="174">
        <f>VLOOKUP(A858,'Step 1'!$A:$E,4,FALSE)</f>
        <v>679825</v>
      </c>
      <c r="M858" s="47">
        <f t="shared" si="252"/>
        <v>227990</v>
      </c>
      <c r="N858" s="177">
        <f>SUMIFS('Support - Transition'!G:G,'Support - Transition'!J:J,'Step 2'!D858,'Support - Transition'!E:E,"2009 WELFARE ALLOCATION FACTOR")</f>
        <v>0</v>
      </c>
      <c r="O858" s="152">
        <f t="shared" si="257"/>
        <v>0</v>
      </c>
      <c r="P858" s="126">
        <f>IF(E858="Y",0,SUMIFS('Support - Transition'!G:G,'Support - Transition'!J:J,'Step 2'!D858,'Support - Transition'!E:E,"2009 SCHOOL ALLOCATION FACTOR"))</f>
        <v>0.41516700000000001</v>
      </c>
      <c r="Q858" s="126">
        <f>IF(E858="Y",VLOOKUP(D858,'Support - Unit Adjustments'!F:G,2,FALSE),0)</f>
        <v>0</v>
      </c>
      <c r="R858" s="155">
        <f t="shared" si="269"/>
        <v>0.41516700000000001</v>
      </c>
      <c r="S858" s="47">
        <f t="shared" si="268"/>
        <v>94654</v>
      </c>
      <c r="T858" s="151">
        <f t="shared" si="253"/>
        <v>133336</v>
      </c>
      <c r="U858" s="151">
        <f t="shared" si="254"/>
        <v>0</v>
      </c>
      <c r="V858" s="139">
        <f t="shared" si="255"/>
        <v>0</v>
      </c>
      <c r="W858" s="152">
        <f t="shared" si="258"/>
        <v>133336</v>
      </c>
      <c r="X858" s="127" t="str">
        <f t="shared" si="256"/>
        <v/>
      </c>
      <c r="Y858" s="207">
        <f t="shared" si="259"/>
        <v>133336</v>
      </c>
      <c r="Z858" s="139">
        <f t="shared" si="260"/>
        <v>133336</v>
      </c>
      <c r="AA858" s="139">
        <f t="shared" si="261"/>
        <v>0</v>
      </c>
      <c r="AC858" s="47">
        <f t="shared" si="262"/>
        <v>66668</v>
      </c>
      <c r="AD858" s="47">
        <f t="shared" si="263"/>
        <v>66668</v>
      </c>
      <c r="AE858" s="47">
        <f t="shared" si="264"/>
        <v>0</v>
      </c>
      <c r="AG858" s="47">
        <f t="shared" si="265"/>
        <v>66668</v>
      </c>
      <c r="AH858" s="47">
        <f t="shared" si="266"/>
        <v>66668</v>
      </c>
      <c r="AI858" s="208">
        <f t="shared" si="267"/>
        <v>0</v>
      </c>
    </row>
    <row r="859" spans="1:35">
      <c r="A859" t="s">
        <v>2116</v>
      </c>
      <c r="B859" t="s">
        <v>3160</v>
      </c>
      <c r="C859" t="s">
        <v>2532</v>
      </c>
      <c r="D859" t="s">
        <v>4160</v>
      </c>
      <c r="F859" t="s">
        <v>684</v>
      </c>
      <c r="G859" s="126">
        <f>SUMIFS('Support - Transition'!F:F,'Support - Transition'!B:B,'Step 2'!A859,'Support - Transition'!C:C,'Step 2'!B859,'Support - Transition'!D:D,'Step 2'!C859,'Support - Transition'!E:E,"CIVIL")</f>
        <v>0</v>
      </c>
      <c r="H859" s="126">
        <f>SUMIFS('Support - Transition'!F:F,'Support - Transition'!B:B,'Step 2'!A859,'Support - Transition'!C:C,'Step 2'!B859,'Support - Transition'!D:D,'Step 2'!C859,'Support - Transition'!E:E,"FIRE")</f>
        <v>0</v>
      </c>
      <c r="I859" s="126">
        <f>IF(B859="0",SUMIFS('Support - Transition'!F:F,'Support - Transition'!J:J,'Step 2'!D859,'Support - Transition'!E:E,"STATE UNIT"),SUMIFS('Support - Transition'!F:F,'Support - Transition'!J:J,'Step 2'!D859))</f>
        <v>0.17296700000000001</v>
      </c>
      <c r="J859" s="126">
        <f>SUMIFS('Support - Unit Adjustments'!E:E,'Support - Unit Adjustments'!F:F,'Step 2'!D859)</f>
        <v>0</v>
      </c>
      <c r="K859" s="126">
        <f t="shared" si="251"/>
        <v>0.17296700000000001</v>
      </c>
      <c r="L859" s="174">
        <f>VLOOKUP(A859,'Step 1'!$A:$E,4,FALSE)</f>
        <v>679825</v>
      </c>
      <c r="M859" s="47">
        <f t="shared" si="252"/>
        <v>117587</v>
      </c>
      <c r="N859" s="177">
        <f>SUMIFS('Support - Transition'!G:G,'Support - Transition'!J:J,'Step 2'!D859,'Support - Transition'!E:E,"2009 WELFARE ALLOCATION FACTOR")</f>
        <v>0</v>
      </c>
      <c r="O859" s="152">
        <f t="shared" si="257"/>
        <v>0</v>
      </c>
      <c r="P859" s="126">
        <f>IF(E859="Y",0,SUMIFS('Support - Transition'!G:G,'Support - Transition'!J:J,'Step 2'!D859,'Support - Transition'!E:E,"2009 SCHOOL ALLOCATION FACTOR"))</f>
        <v>0.41213100000000003</v>
      </c>
      <c r="Q859" s="126">
        <f>IF(E859="Y",VLOOKUP(D859,'Support - Unit Adjustments'!F:G,2,FALSE),0)</f>
        <v>0</v>
      </c>
      <c r="R859" s="155">
        <f t="shared" si="269"/>
        <v>0.41213100000000003</v>
      </c>
      <c r="S859" s="47">
        <f t="shared" si="268"/>
        <v>48461</v>
      </c>
      <c r="T859" s="151">
        <f t="shared" si="253"/>
        <v>69126</v>
      </c>
      <c r="U859" s="151">
        <f t="shared" si="254"/>
        <v>0</v>
      </c>
      <c r="V859" s="139">
        <f t="shared" si="255"/>
        <v>0</v>
      </c>
      <c r="W859" s="152">
        <f t="shared" si="258"/>
        <v>69126</v>
      </c>
      <c r="X859" s="127" t="str">
        <f t="shared" si="256"/>
        <v/>
      </c>
      <c r="Y859" s="207">
        <f t="shared" si="259"/>
        <v>69126</v>
      </c>
      <c r="Z859" s="139">
        <f t="shared" si="260"/>
        <v>69126</v>
      </c>
      <c r="AA859" s="139">
        <f t="shared" si="261"/>
        <v>0</v>
      </c>
      <c r="AC859" s="47">
        <f t="shared" si="262"/>
        <v>34563</v>
      </c>
      <c r="AD859" s="47">
        <f t="shared" si="263"/>
        <v>34563</v>
      </c>
      <c r="AE859" s="47">
        <f t="shared" si="264"/>
        <v>0</v>
      </c>
      <c r="AG859" s="47">
        <f t="shared" si="265"/>
        <v>34563</v>
      </c>
      <c r="AH859" s="47">
        <f t="shared" si="266"/>
        <v>34563</v>
      </c>
      <c r="AI859" s="208">
        <f t="shared" si="267"/>
        <v>0</v>
      </c>
    </row>
    <row r="860" spans="1:35">
      <c r="A860" t="s">
        <v>2116</v>
      </c>
      <c r="B860" t="s">
        <v>3160</v>
      </c>
      <c r="C860" t="s">
        <v>2533</v>
      </c>
      <c r="D860" t="s">
        <v>4161</v>
      </c>
      <c r="F860" t="s">
        <v>682</v>
      </c>
      <c r="G860" s="126">
        <f>SUMIFS('Support - Transition'!F:F,'Support - Transition'!B:B,'Step 2'!A860,'Support - Transition'!C:C,'Step 2'!B860,'Support - Transition'!D:D,'Step 2'!C860,'Support - Transition'!E:E,"CIVIL")</f>
        <v>0</v>
      </c>
      <c r="H860" s="126">
        <f>SUMIFS('Support - Transition'!F:F,'Support - Transition'!B:B,'Step 2'!A860,'Support - Transition'!C:C,'Step 2'!B860,'Support - Transition'!D:D,'Step 2'!C860,'Support - Transition'!E:E,"FIRE")</f>
        <v>0</v>
      </c>
      <c r="I860" s="126">
        <f>IF(B860="0",SUMIFS('Support - Transition'!F:F,'Support - Transition'!J:J,'Step 2'!D860,'Support - Transition'!E:E,"STATE UNIT"),SUMIFS('Support - Transition'!F:F,'Support - Transition'!J:J,'Step 2'!D860))</f>
        <v>9.1796000000000003E-2</v>
      </c>
      <c r="J860" s="126">
        <f>SUMIFS('Support - Unit Adjustments'!E:E,'Support - Unit Adjustments'!F:F,'Step 2'!D860)</f>
        <v>0</v>
      </c>
      <c r="K860" s="126">
        <f t="shared" si="251"/>
        <v>9.1796000000000003E-2</v>
      </c>
      <c r="L860" s="174">
        <f>VLOOKUP(A860,'Step 1'!$A:$E,4,FALSE)</f>
        <v>679825</v>
      </c>
      <c r="M860" s="47">
        <f t="shared" si="252"/>
        <v>62405</v>
      </c>
      <c r="N860" s="177">
        <f>SUMIFS('Support - Transition'!G:G,'Support - Transition'!J:J,'Step 2'!D860,'Support - Transition'!E:E,"2009 WELFARE ALLOCATION FACTOR")</f>
        <v>0</v>
      </c>
      <c r="O860" s="152">
        <f t="shared" si="257"/>
        <v>0</v>
      </c>
      <c r="P860" s="126">
        <f>IF(E860="Y",0,SUMIFS('Support - Transition'!G:G,'Support - Transition'!J:J,'Step 2'!D860,'Support - Transition'!E:E,"2009 SCHOOL ALLOCATION FACTOR"))</f>
        <v>0.43088500000000002</v>
      </c>
      <c r="Q860" s="126">
        <f>IF(E860="Y",VLOOKUP(D860,'Support - Unit Adjustments'!F:G,2,FALSE),0)</f>
        <v>0</v>
      </c>
      <c r="R860" s="155">
        <f t="shared" si="269"/>
        <v>0.43088500000000002</v>
      </c>
      <c r="S860" s="47">
        <f t="shared" si="268"/>
        <v>26889</v>
      </c>
      <c r="T860" s="151">
        <f t="shared" si="253"/>
        <v>35516</v>
      </c>
      <c r="U860" s="151">
        <f t="shared" si="254"/>
        <v>0</v>
      </c>
      <c r="V860" s="139">
        <f t="shared" si="255"/>
        <v>0</v>
      </c>
      <c r="W860" s="152">
        <f t="shared" si="258"/>
        <v>35516</v>
      </c>
      <c r="X860" s="127" t="str">
        <f t="shared" si="256"/>
        <v/>
      </c>
      <c r="Y860" s="207">
        <f t="shared" si="259"/>
        <v>35516</v>
      </c>
      <c r="Z860" s="139">
        <f t="shared" si="260"/>
        <v>35516</v>
      </c>
      <c r="AA860" s="139">
        <f t="shared" si="261"/>
        <v>0</v>
      </c>
      <c r="AC860" s="47">
        <f t="shared" si="262"/>
        <v>17758</v>
      </c>
      <c r="AD860" s="47">
        <f t="shared" si="263"/>
        <v>17758</v>
      </c>
      <c r="AE860" s="47">
        <f t="shared" si="264"/>
        <v>0</v>
      </c>
      <c r="AG860" s="47">
        <f t="shared" si="265"/>
        <v>17758</v>
      </c>
      <c r="AH860" s="47">
        <f t="shared" si="266"/>
        <v>17758</v>
      </c>
      <c r="AI860" s="208">
        <f t="shared" si="267"/>
        <v>0</v>
      </c>
    </row>
    <row r="861" spans="1:35">
      <c r="A861" t="s">
        <v>2116</v>
      </c>
      <c r="B861" t="s">
        <v>3166</v>
      </c>
      <c r="C861" t="s">
        <v>2534</v>
      </c>
      <c r="D861" t="s">
        <v>4162</v>
      </c>
      <c r="F861" t="s">
        <v>686</v>
      </c>
      <c r="G861" s="126">
        <f>SUMIFS('Support - Transition'!F:F,'Support - Transition'!B:B,'Step 2'!A861,'Support - Transition'!C:C,'Step 2'!B861,'Support - Transition'!D:D,'Step 2'!C861,'Support - Transition'!E:E,"CIVIL")</f>
        <v>0</v>
      </c>
      <c r="H861" s="126">
        <f>SUMIFS('Support - Transition'!F:F,'Support - Transition'!B:B,'Step 2'!A861,'Support - Transition'!C:C,'Step 2'!B861,'Support - Transition'!D:D,'Step 2'!C861,'Support - Transition'!E:E,"FIRE")</f>
        <v>0</v>
      </c>
      <c r="I861" s="126">
        <f>IF(B861="0",SUMIFS('Support - Transition'!F:F,'Support - Transition'!J:J,'Step 2'!D861,'Support - Transition'!E:E,"STATE UNIT"),SUMIFS('Support - Transition'!F:F,'Support - Transition'!J:J,'Step 2'!D861))</f>
        <v>0</v>
      </c>
      <c r="J861" s="126">
        <f>SUMIFS('Support - Unit Adjustments'!E:E,'Support - Unit Adjustments'!F:F,'Step 2'!D861)</f>
        <v>0</v>
      </c>
      <c r="K861" s="126">
        <f t="shared" si="251"/>
        <v>0</v>
      </c>
      <c r="L861" s="174">
        <f>VLOOKUP(A861,'Step 1'!$A:$E,4,FALSE)</f>
        <v>679825</v>
      </c>
      <c r="M861" s="47">
        <f t="shared" si="252"/>
        <v>0</v>
      </c>
      <c r="N861" s="177">
        <f>SUMIFS('Support - Transition'!G:G,'Support - Transition'!J:J,'Step 2'!D861,'Support - Transition'!E:E,"2009 WELFARE ALLOCATION FACTOR")</f>
        <v>0</v>
      </c>
      <c r="O861" s="152">
        <f t="shared" si="257"/>
        <v>0</v>
      </c>
      <c r="P861" s="126">
        <f>IF(E861="Y",0,SUMIFS('Support - Transition'!G:G,'Support - Transition'!J:J,'Step 2'!D861,'Support - Transition'!E:E,"2009 SCHOOL ALLOCATION FACTOR"))</f>
        <v>0</v>
      </c>
      <c r="Q861" s="126">
        <f>IF(E861="Y",VLOOKUP(D861,'Support - Unit Adjustments'!F:G,2,FALSE),0)</f>
        <v>0</v>
      </c>
      <c r="R861" s="155">
        <f t="shared" si="269"/>
        <v>0</v>
      </c>
      <c r="S861" s="47">
        <f t="shared" si="268"/>
        <v>0</v>
      </c>
      <c r="T861" s="151">
        <f t="shared" si="253"/>
        <v>0</v>
      </c>
      <c r="U861" s="151">
        <f t="shared" si="254"/>
        <v>0</v>
      </c>
      <c r="V861" s="139">
        <f t="shared" si="255"/>
        <v>0</v>
      </c>
      <c r="W861" s="152">
        <f t="shared" si="258"/>
        <v>0</v>
      </c>
      <c r="X861" s="127" t="str">
        <f t="shared" si="256"/>
        <v/>
      </c>
      <c r="Y861" s="207">
        <f t="shared" si="259"/>
        <v>0</v>
      </c>
      <c r="Z861" s="139">
        <f t="shared" si="260"/>
        <v>0</v>
      </c>
      <c r="AA861" s="139">
        <f t="shared" si="261"/>
        <v>0</v>
      </c>
      <c r="AC861" s="47">
        <f t="shared" si="262"/>
        <v>0</v>
      </c>
      <c r="AD861" s="47">
        <f t="shared" si="263"/>
        <v>0</v>
      </c>
      <c r="AE861" s="47">
        <f t="shared" si="264"/>
        <v>0</v>
      </c>
      <c r="AG861" s="47">
        <f t="shared" si="265"/>
        <v>0</v>
      </c>
      <c r="AH861" s="47">
        <f t="shared" si="266"/>
        <v>0</v>
      </c>
      <c r="AI861" s="208">
        <f t="shared" si="267"/>
        <v>0</v>
      </c>
    </row>
    <row r="862" spans="1:35">
      <c r="A862" t="s">
        <v>2116</v>
      </c>
      <c r="B862" t="s">
        <v>3166</v>
      </c>
      <c r="C862" t="s">
        <v>4163</v>
      </c>
      <c r="D862" t="s">
        <v>4164</v>
      </c>
      <c r="F862" t="s">
        <v>687</v>
      </c>
      <c r="G862" s="126">
        <f>SUMIFS('Support - Transition'!F:F,'Support - Transition'!B:B,'Step 2'!A862,'Support - Transition'!C:C,'Step 2'!B862,'Support - Transition'!D:D,'Step 2'!C862,'Support - Transition'!E:E,"CIVIL")</f>
        <v>0</v>
      </c>
      <c r="H862" s="126">
        <f>SUMIFS('Support - Transition'!F:F,'Support - Transition'!B:B,'Step 2'!A862,'Support - Transition'!C:C,'Step 2'!B862,'Support - Transition'!D:D,'Step 2'!C862,'Support - Transition'!E:E,"FIRE")</f>
        <v>0</v>
      </c>
      <c r="I862" s="126">
        <f>IF(B862="0",SUMIFS('Support - Transition'!F:F,'Support - Transition'!J:J,'Step 2'!D862,'Support - Transition'!E:E,"STATE UNIT"),SUMIFS('Support - Transition'!F:F,'Support - Transition'!J:J,'Step 2'!D862))</f>
        <v>0</v>
      </c>
      <c r="J862" s="126">
        <f>SUMIFS('Support - Unit Adjustments'!E:E,'Support - Unit Adjustments'!F:F,'Step 2'!D862)</f>
        <v>0</v>
      </c>
      <c r="K862" s="126">
        <f t="shared" si="251"/>
        <v>0</v>
      </c>
      <c r="L862" s="174">
        <f>VLOOKUP(A862,'Step 1'!$A:$E,4,FALSE)</f>
        <v>679825</v>
      </c>
      <c r="M862" s="47">
        <f t="shared" si="252"/>
        <v>0</v>
      </c>
      <c r="N862" s="177">
        <f>SUMIFS('Support - Transition'!G:G,'Support - Transition'!J:J,'Step 2'!D862,'Support - Transition'!E:E,"2009 WELFARE ALLOCATION FACTOR")</f>
        <v>0</v>
      </c>
      <c r="O862" s="152">
        <f t="shared" si="257"/>
        <v>0</v>
      </c>
      <c r="P862" s="126">
        <f>IF(E862="Y",0,SUMIFS('Support - Transition'!G:G,'Support - Transition'!J:J,'Step 2'!D862,'Support - Transition'!E:E,"2009 SCHOOL ALLOCATION FACTOR"))</f>
        <v>0</v>
      </c>
      <c r="Q862" s="126">
        <f>IF(E862="Y",VLOOKUP(D862,'Support - Unit Adjustments'!F:G,2,FALSE),0)</f>
        <v>0</v>
      </c>
      <c r="R862" s="155">
        <f t="shared" si="269"/>
        <v>0</v>
      </c>
      <c r="S862" s="47">
        <f t="shared" si="268"/>
        <v>0</v>
      </c>
      <c r="T862" s="151">
        <f t="shared" si="253"/>
        <v>0</v>
      </c>
      <c r="U862" s="151">
        <f t="shared" si="254"/>
        <v>0</v>
      </c>
      <c r="V862" s="139">
        <f t="shared" si="255"/>
        <v>0</v>
      </c>
      <c r="W862" s="152">
        <f t="shared" si="258"/>
        <v>0</v>
      </c>
      <c r="X862" s="127" t="str">
        <f t="shared" si="256"/>
        <v/>
      </c>
      <c r="Y862" s="207">
        <f t="shared" si="259"/>
        <v>0</v>
      </c>
      <c r="Z862" s="139">
        <f t="shared" si="260"/>
        <v>0</v>
      </c>
      <c r="AA862" s="139">
        <f t="shared" si="261"/>
        <v>0</v>
      </c>
      <c r="AC862" s="47">
        <f t="shared" si="262"/>
        <v>0</v>
      </c>
      <c r="AD862" s="47">
        <f t="shared" si="263"/>
        <v>0</v>
      </c>
      <c r="AE862" s="47">
        <f t="shared" si="264"/>
        <v>0</v>
      </c>
      <c r="AG862" s="47">
        <f t="shared" si="265"/>
        <v>0</v>
      </c>
      <c r="AH862" s="47">
        <f t="shared" si="266"/>
        <v>0</v>
      </c>
      <c r="AI862" s="208">
        <f t="shared" si="267"/>
        <v>0</v>
      </c>
    </row>
    <row r="863" spans="1:35">
      <c r="A863" t="s">
        <v>2116</v>
      </c>
      <c r="B863" t="s">
        <v>3170</v>
      </c>
      <c r="C863" t="s">
        <v>4165</v>
      </c>
      <c r="D863" t="s">
        <v>4166</v>
      </c>
      <c r="F863" t="s">
        <v>4167</v>
      </c>
      <c r="G863" s="126">
        <f>SUMIFS('Support - Transition'!F:F,'Support - Transition'!B:B,'Step 2'!A863,'Support - Transition'!C:C,'Step 2'!B863,'Support - Transition'!D:D,'Step 2'!C863,'Support - Transition'!E:E,"CIVIL")</f>
        <v>0</v>
      </c>
      <c r="H863" s="126">
        <f>SUMIFS('Support - Transition'!F:F,'Support - Transition'!B:B,'Step 2'!A863,'Support - Transition'!C:C,'Step 2'!B863,'Support - Transition'!D:D,'Step 2'!C863,'Support - Transition'!E:E,"FIRE")</f>
        <v>0</v>
      </c>
      <c r="I863" s="126">
        <f>IF(B863="0",SUMIFS('Support - Transition'!F:F,'Support - Transition'!J:J,'Step 2'!D863,'Support - Transition'!E:E,"STATE UNIT"),SUMIFS('Support - Transition'!F:F,'Support - Transition'!J:J,'Step 2'!D863))</f>
        <v>0</v>
      </c>
      <c r="J863" s="126">
        <f>SUMIFS('Support - Unit Adjustments'!E:E,'Support - Unit Adjustments'!F:F,'Step 2'!D863)</f>
        <v>0</v>
      </c>
      <c r="K863" s="126">
        <f t="shared" si="251"/>
        <v>0</v>
      </c>
      <c r="L863" s="174">
        <f>VLOOKUP(A863,'Step 1'!$A:$E,4,FALSE)</f>
        <v>679825</v>
      </c>
      <c r="M863" s="47">
        <f t="shared" si="252"/>
        <v>0</v>
      </c>
      <c r="N863" s="177">
        <f>SUMIFS('Support - Transition'!G:G,'Support - Transition'!J:J,'Step 2'!D863,'Support - Transition'!E:E,"2009 WELFARE ALLOCATION FACTOR")</f>
        <v>0</v>
      </c>
      <c r="O863" s="152">
        <f t="shared" si="257"/>
        <v>0</v>
      </c>
      <c r="P863" s="126">
        <f>IF(E863="Y",0,SUMIFS('Support - Transition'!G:G,'Support - Transition'!J:J,'Step 2'!D863,'Support - Transition'!E:E,"2009 SCHOOL ALLOCATION FACTOR"))</f>
        <v>0</v>
      </c>
      <c r="Q863" s="126">
        <f>IF(E863="Y",VLOOKUP(D863,'Support - Unit Adjustments'!F:G,2,FALSE),0)</f>
        <v>0</v>
      </c>
      <c r="R863" s="155">
        <f t="shared" si="269"/>
        <v>0</v>
      </c>
      <c r="S863" s="47">
        <f t="shared" si="268"/>
        <v>0</v>
      </c>
      <c r="T863" s="151">
        <f t="shared" si="253"/>
        <v>0</v>
      </c>
      <c r="U863" s="151">
        <f t="shared" si="254"/>
        <v>0</v>
      </c>
      <c r="V863" s="139">
        <f t="shared" si="255"/>
        <v>0</v>
      </c>
      <c r="W863" s="152">
        <f t="shared" si="258"/>
        <v>0</v>
      </c>
      <c r="X863" s="127" t="str">
        <f t="shared" si="256"/>
        <v/>
      </c>
      <c r="Y863" s="207">
        <f t="shared" si="259"/>
        <v>0</v>
      </c>
      <c r="Z863" s="139">
        <f t="shared" si="260"/>
        <v>0</v>
      </c>
      <c r="AA863" s="139">
        <f t="shared" si="261"/>
        <v>0</v>
      </c>
      <c r="AC863" s="47">
        <f t="shared" si="262"/>
        <v>0</v>
      </c>
      <c r="AD863" s="47">
        <f t="shared" si="263"/>
        <v>0</v>
      </c>
      <c r="AE863" s="47">
        <f t="shared" si="264"/>
        <v>0</v>
      </c>
      <c r="AG863" s="47">
        <f t="shared" si="265"/>
        <v>0</v>
      </c>
      <c r="AH863" s="47">
        <f t="shared" si="266"/>
        <v>0</v>
      </c>
      <c r="AI863" s="208">
        <f t="shared" si="267"/>
        <v>0</v>
      </c>
    </row>
    <row r="864" spans="1:35">
      <c r="A864" t="s">
        <v>2117</v>
      </c>
      <c r="B864" s="48" t="s">
        <v>6274</v>
      </c>
      <c r="C864" t="s">
        <v>2187</v>
      </c>
      <c r="D864" t="str">
        <f>A864&amp;B864&amp;C864</f>
        <v>3100000</v>
      </c>
      <c r="F864" t="s">
        <v>6305</v>
      </c>
      <c r="G864" s="126">
        <f>SUMIFS('Support - Transition'!F:F,'Support - Transition'!B:B,'Step 2'!A864,'Support - Transition'!C:C,'Step 2'!B864,'Support - Transition'!D:D,'Step 2'!C864,'Support - Transition'!E:E,"CIVIL")</f>
        <v>0</v>
      </c>
      <c r="H864" s="126">
        <f>SUMIFS('Support - Transition'!F:F,'Support - Transition'!B:B,'Step 2'!A864,'Support - Transition'!C:C,'Step 2'!B864,'Support - Transition'!D:D,'Step 2'!C864,'Support - Transition'!E:E,"FIRE")</f>
        <v>0</v>
      </c>
      <c r="I864" s="126">
        <f>IF(B864="0",SUMIFS('Support - Transition'!F:F,'Support - Transition'!J:J,'Step 2'!D864,'Support - Transition'!E:E,"STATE UNIT"),SUMIFS('Support - Transition'!F:F,'Support - Transition'!J:J,'Step 2'!D864))</f>
        <v>1.3630000000000001E-3</v>
      </c>
      <c r="J864" s="126">
        <f>SUMIFS('Support - Unit Adjustments'!E:E,'Support - Unit Adjustments'!F:F,'Step 2'!D864)</f>
        <v>0</v>
      </c>
      <c r="K864" s="126">
        <f t="shared" si="251"/>
        <v>1.3630000000000001E-3</v>
      </c>
      <c r="L864" s="174">
        <f>VLOOKUP(A864,'Step 1'!$A:$E,4,FALSE)</f>
        <v>248005</v>
      </c>
      <c r="M864" s="47">
        <f t="shared" si="252"/>
        <v>338</v>
      </c>
      <c r="N864" s="177">
        <f>SUMIFS('Support - Transition'!G:G,'Support - Transition'!J:J,'Step 2'!D864,'Support - Transition'!E:E,"2009 WELFARE ALLOCATION FACTOR")</f>
        <v>0</v>
      </c>
      <c r="O864" s="152">
        <f t="shared" si="257"/>
        <v>0</v>
      </c>
      <c r="P864" s="126">
        <f>IF(E864="Y",0,SUMIFS('Support - Transition'!G:G,'Support - Transition'!J:J,'Step 2'!D864,'Support - Transition'!E:E,"2009 SCHOOL ALLOCATION FACTOR"))</f>
        <v>0</v>
      </c>
      <c r="Q864" s="126">
        <f>IF(E864="Y",VLOOKUP(D864,'Support - Unit Adjustments'!F:G,2,FALSE),0)</f>
        <v>0</v>
      </c>
      <c r="R864" s="155">
        <f t="shared" si="269"/>
        <v>0</v>
      </c>
      <c r="S864" s="47">
        <f t="shared" si="268"/>
        <v>0</v>
      </c>
      <c r="T864" s="151">
        <f t="shared" si="253"/>
        <v>338</v>
      </c>
      <c r="U864" s="151">
        <f t="shared" si="254"/>
        <v>248003</v>
      </c>
      <c r="V864" s="139">
        <f t="shared" si="255"/>
        <v>-2</v>
      </c>
      <c r="W864" s="152">
        <f t="shared" si="258"/>
        <v>340</v>
      </c>
      <c r="X864" s="127">
        <f t="shared" si="256"/>
        <v>0</v>
      </c>
      <c r="Y864" s="207">
        <f t="shared" si="259"/>
        <v>340</v>
      </c>
      <c r="Z864" s="139">
        <f t="shared" si="260"/>
        <v>340</v>
      </c>
      <c r="AA864" s="139">
        <f t="shared" si="261"/>
        <v>0</v>
      </c>
      <c r="AC864" s="47">
        <f t="shared" si="262"/>
        <v>170</v>
      </c>
      <c r="AD864" s="47">
        <f t="shared" si="263"/>
        <v>170</v>
      </c>
      <c r="AE864" s="47">
        <f t="shared" si="264"/>
        <v>0</v>
      </c>
      <c r="AG864" s="47">
        <f t="shared" si="265"/>
        <v>170</v>
      </c>
      <c r="AH864" s="47">
        <f t="shared" si="266"/>
        <v>170</v>
      </c>
      <c r="AI864" s="208">
        <f t="shared" si="267"/>
        <v>0</v>
      </c>
    </row>
    <row r="865" spans="1:35">
      <c r="A865" t="s">
        <v>2117</v>
      </c>
      <c r="B865" t="s">
        <v>3140</v>
      </c>
      <c r="C865" t="s">
        <v>2187</v>
      </c>
      <c r="D865" t="s">
        <v>4168</v>
      </c>
      <c r="F865" t="s">
        <v>689</v>
      </c>
      <c r="G865" s="126">
        <f>SUMIFS('Support - Transition'!F:F,'Support - Transition'!B:B,'Step 2'!A865,'Support - Transition'!C:C,'Step 2'!B865,'Support - Transition'!D:D,'Step 2'!C865,'Support - Transition'!E:E,"CIVIL")</f>
        <v>0</v>
      </c>
      <c r="H865" s="126">
        <f>SUMIFS('Support - Transition'!F:F,'Support - Transition'!B:B,'Step 2'!A865,'Support - Transition'!C:C,'Step 2'!B865,'Support - Transition'!D:D,'Step 2'!C865,'Support - Transition'!E:E,"FIRE")</f>
        <v>0</v>
      </c>
      <c r="I865" s="126">
        <f>IF(B865="0",SUMIFS('Support - Transition'!F:F,'Support - Transition'!J:J,'Step 2'!D865,'Support - Transition'!E:E,"STATE UNIT"),SUMIFS('Support - Transition'!F:F,'Support - Transition'!J:J,'Step 2'!D865))</f>
        <v>0.229241</v>
      </c>
      <c r="J865" s="126">
        <f>SUMIFS('Support - Unit Adjustments'!E:E,'Support - Unit Adjustments'!F:F,'Step 2'!D865)</f>
        <v>0</v>
      </c>
      <c r="K865" s="126">
        <f t="shared" si="251"/>
        <v>0.229241</v>
      </c>
      <c r="L865" s="174">
        <f>VLOOKUP(A865,'Step 1'!$A:$E,4,FALSE)</f>
        <v>248005</v>
      </c>
      <c r="M865" s="47">
        <f t="shared" si="252"/>
        <v>56853</v>
      </c>
      <c r="N865" s="177">
        <f>SUMIFS('Support - Transition'!G:G,'Support - Transition'!J:J,'Step 2'!D865,'Support - Transition'!E:E,"2009 WELFARE ALLOCATION FACTOR")</f>
        <v>0.31115300000000001</v>
      </c>
      <c r="O865" s="152">
        <f t="shared" si="257"/>
        <v>17690</v>
      </c>
      <c r="P865" s="126">
        <f>IF(E865="Y",0,SUMIFS('Support - Transition'!G:G,'Support - Transition'!J:J,'Step 2'!D865,'Support - Transition'!E:E,"2009 SCHOOL ALLOCATION FACTOR"))</f>
        <v>0</v>
      </c>
      <c r="Q865" s="126">
        <f>IF(E865="Y",VLOOKUP(D865,'Support - Unit Adjustments'!F:G,2,FALSE),0)</f>
        <v>0</v>
      </c>
      <c r="R865" s="155">
        <f t="shared" si="269"/>
        <v>0</v>
      </c>
      <c r="S865" s="47">
        <f t="shared" si="268"/>
        <v>0</v>
      </c>
      <c r="T865" s="151">
        <f t="shared" si="253"/>
        <v>39163</v>
      </c>
      <c r="U865" s="151">
        <f t="shared" si="254"/>
        <v>0</v>
      </c>
      <c r="V865" s="139">
        <f t="shared" si="255"/>
        <v>0</v>
      </c>
      <c r="W865" s="152">
        <f t="shared" si="258"/>
        <v>39163</v>
      </c>
      <c r="X865" s="127" t="str">
        <f t="shared" si="256"/>
        <v/>
      </c>
      <c r="Y865" s="207">
        <f t="shared" si="259"/>
        <v>39163</v>
      </c>
      <c r="Z865" s="139">
        <f t="shared" si="260"/>
        <v>39163</v>
      </c>
      <c r="AA865" s="139">
        <f t="shared" si="261"/>
        <v>0</v>
      </c>
      <c r="AC865" s="47">
        <f t="shared" si="262"/>
        <v>19582</v>
      </c>
      <c r="AD865" s="47">
        <f t="shared" si="263"/>
        <v>19582</v>
      </c>
      <c r="AE865" s="47">
        <f t="shared" si="264"/>
        <v>0</v>
      </c>
      <c r="AG865" s="47">
        <f t="shared" si="265"/>
        <v>19581</v>
      </c>
      <c r="AH865" s="47">
        <f t="shared" si="266"/>
        <v>19581</v>
      </c>
      <c r="AI865" s="208">
        <f t="shared" si="267"/>
        <v>0</v>
      </c>
    </row>
    <row r="866" spans="1:35">
      <c r="A866" t="s">
        <v>2117</v>
      </c>
      <c r="B866" t="s">
        <v>3142</v>
      </c>
      <c r="C866" t="s">
        <v>2188</v>
      </c>
      <c r="D866" t="s">
        <v>4169</v>
      </c>
      <c r="F866" t="s">
        <v>669</v>
      </c>
      <c r="G866" s="126">
        <f>SUMIFS('Support - Transition'!F:F,'Support - Transition'!B:B,'Step 2'!A866,'Support - Transition'!C:C,'Step 2'!B866,'Support - Transition'!D:D,'Step 2'!C866,'Support - Transition'!E:E,"CIVIL")</f>
        <v>1.286E-3</v>
      </c>
      <c r="H866" s="126">
        <f>SUMIFS('Support - Transition'!F:F,'Support - Transition'!B:B,'Step 2'!A866,'Support - Transition'!C:C,'Step 2'!B866,'Support - Transition'!D:D,'Step 2'!C866,'Support - Transition'!E:E,"FIRE")</f>
        <v>4.6999999999999999E-4</v>
      </c>
      <c r="I866" s="126">
        <f>IF(B866="0",SUMIFS('Support - Transition'!F:F,'Support - Transition'!J:J,'Step 2'!D866,'Support - Transition'!E:E,"STATE UNIT"),SUMIFS('Support - Transition'!F:F,'Support - Transition'!J:J,'Step 2'!D866))</f>
        <v>1.756E-3</v>
      </c>
      <c r="J866" s="126">
        <f>SUMIFS('Support - Unit Adjustments'!E:E,'Support - Unit Adjustments'!F:F,'Step 2'!D866)</f>
        <v>0</v>
      </c>
      <c r="K866" s="126">
        <f t="shared" si="251"/>
        <v>1.756E-3</v>
      </c>
      <c r="L866" s="174">
        <f>VLOOKUP(A866,'Step 1'!$A:$E,4,FALSE)</f>
        <v>248005</v>
      </c>
      <c r="M866" s="47">
        <f t="shared" si="252"/>
        <v>435</v>
      </c>
      <c r="N866" s="177">
        <f>SUMIFS('Support - Transition'!G:G,'Support - Transition'!J:J,'Step 2'!D866,'Support - Transition'!E:E,"2009 WELFARE ALLOCATION FACTOR")</f>
        <v>0</v>
      </c>
      <c r="O866" s="152">
        <f t="shared" si="257"/>
        <v>0</v>
      </c>
      <c r="P866" s="126">
        <f>IF(E866="Y",0,SUMIFS('Support - Transition'!G:G,'Support - Transition'!J:J,'Step 2'!D866,'Support - Transition'!E:E,"2009 SCHOOL ALLOCATION FACTOR"))</f>
        <v>0</v>
      </c>
      <c r="Q866" s="126">
        <f>IF(E866="Y",VLOOKUP(D866,'Support - Unit Adjustments'!F:G,2,FALSE),0)</f>
        <v>0</v>
      </c>
      <c r="R866" s="155">
        <f t="shared" si="269"/>
        <v>0</v>
      </c>
      <c r="S866" s="47">
        <f t="shared" si="268"/>
        <v>0</v>
      </c>
      <c r="T866" s="151">
        <f t="shared" si="253"/>
        <v>435</v>
      </c>
      <c r="U866" s="151">
        <f t="shared" si="254"/>
        <v>0</v>
      </c>
      <c r="V866" s="139">
        <f t="shared" si="255"/>
        <v>0</v>
      </c>
      <c r="W866" s="152">
        <f t="shared" si="258"/>
        <v>435</v>
      </c>
      <c r="X866" s="127" t="str">
        <f t="shared" si="256"/>
        <v/>
      </c>
      <c r="Y866" s="207">
        <f t="shared" si="259"/>
        <v>435</v>
      </c>
      <c r="Z866" s="139">
        <f t="shared" si="260"/>
        <v>319</v>
      </c>
      <c r="AA866" s="139">
        <f t="shared" si="261"/>
        <v>116</v>
      </c>
      <c r="AC866" s="47">
        <f t="shared" si="262"/>
        <v>218</v>
      </c>
      <c r="AD866" s="47">
        <f t="shared" si="263"/>
        <v>160</v>
      </c>
      <c r="AE866" s="47">
        <f t="shared" si="264"/>
        <v>58</v>
      </c>
      <c r="AG866" s="47">
        <f t="shared" si="265"/>
        <v>217</v>
      </c>
      <c r="AH866" s="47">
        <f t="shared" si="266"/>
        <v>159</v>
      </c>
      <c r="AI866" s="208">
        <f t="shared" si="267"/>
        <v>58</v>
      </c>
    </row>
    <row r="867" spans="1:35">
      <c r="A867" t="s">
        <v>2117</v>
      </c>
      <c r="B867" t="s">
        <v>3142</v>
      </c>
      <c r="C867" t="s">
        <v>2189</v>
      </c>
      <c r="D867" t="s">
        <v>4170</v>
      </c>
      <c r="F867" t="s">
        <v>200</v>
      </c>
      <c r="G867" s="126">
        <f>SUMIFS('Support - Transition'!F:F,'Support - Transition'!B:B,'Step 2'!A867,'Support - Transition'!C:C,'Step 2'!B867,'Support - Transition'!D:D,'Step 2'!C867,'Support - Transition'!E:E,"CIVIL")</f>
        <v>1.3999999999999999E-4</v>
      </c>
      <c r="H867" s="126">
        <f>SUMIFS('Support - Transition'!F:F,'Support - Transition'!B:B,'Step 2'!A867,'Support - Transition'!C:C,'Step 2'!B867,'Support - Transition'!D:D,'Step 2'!C867,'Support - Transition'!E:E,"FIRE")</f>
        <v>0</v>
      </c>
      <c r="I867" s="126">
        <f>IF(B867="0",SUMIFS('Support - Transition'!F:F,'Support - Transition'!J:J,'Step 2'!D867,'Support - Transition'!E:E,"STATE UNIT"),SUMIFS('Support - Transition'!F:F,'Support - Transition'!J:J,'Step 2'!D867))</f>
        <v>1.3999999999999999E-4</v>
      </c>
      <c r="J867" s="126">
        <f>SUMIFS('Support - Unit Adjustments'!E:E,'Support - Unit Adjustments'!F:F,'Step 2'!D867)</f>
        <v>0</v>
      </c>
      <c r="K867" s="126">
        <f t="shared" si="251"/>
        <v>1.3999999999999999E-4</v>
      </c>
      <c r="L867" s="174">
        <f>VLOOKUP(A867,'Step 1'!$A:$E,4,FALSE)</f>
        <v>248005</v>
      </c>
      <c r="M867" s="47">
        <f t="shared" si="252"/>
        <v>35</v>
      </c>
      <c r="N867" s="177">
        <f>SUMIFS('Support - Transition'!G:G,'Support - Transition'!J:J,'Step 2'!D867,'Support - Transition'!E:E,"2009 WELFARE ALLOCATION FACTOR")</f>
        <v>0</v>
      </c>
      <c r="O867" s="152">
        <f t="shared" si="257"/>
        <v>0</v>
      </c>
      <c r="P867" s="126">
        <f>IF(E867="Y",0,SUMIFS('Support - Transition'!G:G,'Support - Transition'!J:J,'Step 2'!D867,'Support - Transition'!E:E,"2009 SCHOOL ALLOCATION FACTOR"))</f>
        <v>0</v>
      </c>
      <c r="Q867" s="126">
        <f>IF(E867="Y",VLOOKUP(D867,'Support - Unit Adjustments'!F:G,2,FALSE),0)</f>
        <v>0</v>
      </c>
      <c r="R867" s="155">
        <f t="shared" si="269"/>
        <v>0</v>
      </c>
      <c r="S867" s="47">
        <f t="shared" si="268"/>
        <v>0</v>
      </c>
      <c r="T867" s="151">
        <f t="shared" si="253"/>
        <v>35</v>
      </c>
      <c r="U867" s="151">
        <f t="shared" si="254"/>
        <v>0</v>
      </c>
      <c r="V867" s="139">
        <f t="shared" si="255"/>
        <v>0</v>
      </c>
      <c r="W867" s="152">
        <f t="shared" si="258"/>
        <v>35</v>
      </c>
      <c r="X867" s="127" t="str">
        <f t="shared" si="256"/>
        <v/>
      </c>
      <c r="Y867" s="207">
        <f t="shared" si="259"/>
        <v>35</v>
      </c>
      <c r="Z867" s="139">
        <f t="shared" si="260"/>
        <v>35</v>
      </c>
      <c r="AA867" s="139">
        <f t="shared" si="261"/>
        <v>0</v>
      </c>
      <c r="AC867" s="47">
        <f t="shared" si="262"/>
        <v>18</v>
      </c>
      <c r="AD867" s="47">
        <f t="shared" si="263"/>
        <v>18</v>
      </c>
      <c r="AE867" s="47">
        <f t="shared" si="264"/>
        <v>0</v>
      </c>
      <c r="AG867" s="47">
        <f t="shared" si="265"/>
        <v>17</v>
      </c>
      <c r="AH867" s="47">
        <f t="shared" si="266"/>
        <v>17</v>
      </c>
      <c r="AI867" s="208">
        <f t="shared" si="267"/>
        <v>0</v>
      </c>
    </row>
    <row r="868" spans="1:35">
      <c r="A868" t="s">
        <v>2117</v>
      </c>
      <c r="B868" t="s">
        <v>3142</v>
      </c>
      <c r="C868" t="s">
        <v>2190</v>
      </c>
      <c r="D868" t="s">
        <v>4171</v>
      </c>
      <c r="F868" t="s">
        <v>372</v>
      </c>
      <c r="G868" s="126">
        <f>SUMIFS('Support - Transition'!F:F,'Support - Transition'!B:B,'Step 2'!A868,'Support - Transition'!C:C,'Step 2'!B868,'Support - Transition'!D:D,'Step 2'!C868,'Support - Transition'!E:E,"CIVIL")</f>
        <v>4.5899999999999999E-4</v>
      </c>
      <c r="H868" s="126">
        <f>SUMIFS('Support - Transition'!F:F,'Support - Transition'!B:B,'Step 2'!A868,'Support - Transition'!C:C,'Step 2'!B868,'Support - Transition'!D:D,'Step 2'!C868,'Support - Transition'!E:E,"FIRE")</f>
        <v>9.59E-4</v>
      </c>
      <c r="I868" s="126">
        <f>IF(B868="0",SUMIFS('Support - Transition'!F:F,'Support - Transition'!J:J,'Step 2'!D868,'Support - Transition'!E:E,"STATE UNIT"),SUMIFS('Support - Transition'!F:F,'Support - Transition'!J:J,'Step 2'!D868))</f>
        <v>1.418E-3</v>
      </c>
      <c r="J868" s="126">
        <f>SUMIFS('Support - Unit Adjustments'!E:E,'Support - Unit Adjustments'!F:F,'Step 2'!D868)</f>
        <v>0</v>
      </c>
      <c r="K868" s="126">
        <f t="shared" si="251"/>
        <v>1.418E-3</v>
      </c>
      <c r="L868" s="174">
        <f>VLOOKUP(A868,'Step 1'!$A:$E,4,FALSE)</f>
        <v>248005</v>
      </c>
      <c r="M868" s="47">
        <f t="shared" si="252"/>
        <v>352</v>
      </c>
      <c r="N868" s="177">
        <f>SUMIFS('Support - Transition'!G:G,'Support - Transition'!J:J,'Step 2'!D868,'Support - Transition'!E:E,"2009 WELFARE ALLOCATION FACTOR")</f>
        <v>0</v>
      </c>
      <c r="O868" s="152">
        <f t="shared" si="257"/>
        <v>0</v>
      </c>
      <c r="P868" s="126">
        <f>IF(E868="Y",0,SUMIFS('Support - Transition'!G:G,'Support - Transition'!J:J,'Step 2'!D868,'Support - Transition'!E:E,"2009 SCHOOL ALLOCATION FACTOR"))</f>
        <v>0</v>
      </c>
      <c r="Q868" s="126">
        <f>IF(E868="Y",VLOOKUP(D868,'Support - Unit Adjustments'!F:G,2,FALSE),0)</f>
        <v>0</v>
      </c>
      <c r="R868" s="155">
        <f t="shared" si="269"/>
        <v>0</v>
      </c>
      <c r="S868" s="47">
        <f t="shared" si="268"/>
        <v>0</v>
      </c>
      <c r="T868" s="151">
        <f t="shared" si="253"/>
        <v>352</v>
      </c>
      <c r="U868" s="151">
        <f t="shared" si="254"/>
        <v>0</v>
      </c>
      <c r="V868" s="139">
        <f t="shared" si="255"/>
        <v>0</v>
      </c>
      <c r="W868" s="152">
        <f t="shared" si="258"/>
        <v>352</v>
      </c>
      <c r="X868" s="127" t="str">
        <f t="shared" si="256"/>
        <v/>
      </c>
      <c r="Y868" s="207">
        <f t="shared" si="259"/>
        <v>352</v>
      </c>
      <c r="Z868" s="139">
        <f t="shared" si="260"/>
        <v>114</v>
      </c>
      <c r="AA868" s="139">
        <f t="shared" si="261"/>
        <v>238</v>
      </c>
      <c r="AC868" s="47">
        <f t="shared" si="262"/>
        <v>176</v>
      </c>
      <c r="AD868" s="47">
        <f t="shared" si="263"/>
        <v>57</v>
      </c>
      <c r="AE868" s="47">
        <f t="shared" si="264"/>
        <v>119</v>
      </c>
      <c r="AG868" s="47">
        <f t="shared" si="265"/>
        <v>176</v>
      </c>
      <c r="AH868" s="47">
        <f t="shared" si="266"/>
        <v>57</v>
      </c>
      <c r="AI868" s="208">
        <f t="shared" si="267"/>
        <v>119</v>
      </c>
    </row>
    <row r="869" spans="1:35">
      <c r="A869" t="s">
        <v>2117</v>
      </c>
      <c r="B869" t="s">
        <v>3142</v>
      </c>
      <c r="C869" t="s">
        <v>2191</v>
      </c>
      <c r="D869" t="s">
        <v>4172</v>
      </c>
      <c r="F869" t="s">
        <v>86</v>
      </c>
      <c r="G869" s="126">
        <f>SUMIFS('Support - Transition'!F:F,'Support - Transition'!B:B,'Step 2'!A869,'Support - Transition'!C:C,'Step 2'!B869,'Support - Transition'!D:D,'Step 2'!C869,'Support - Transition'!E:E,"CIVIL")</f>
        <v>2.8770000000000002E-3</v>
      </c>
      <c r="H869" s="126">
        <f>SUMIFS('Support - Transition'!F:F,'Support - Transition'!B:B,'Step 2'!A869,'Support - Transition'!C:C,'Step 2'!B869,'Support - Transition'!D:D,'Step 2'!C869,'Support - Transition'!E:E,"FIRE")</f>
        <v>2.0950000000000001E-3</v>
      </c>
      <c r="I869" s="126">
        <f>IF(B869="0",SUMIFS('Support - Transition'!F:F,'Support - Transition'!J:J,'Step 2'!D869,'Support - Transition'!E:E,"STATE UNIT"),SUMIFS('Support - Transition'!F:F,'Support - Transition'!J:J,'Step 2'!D869))</f>
        <v>4.9720000000000007E-3</v>
      </c>
      <c r="J869" s="126">
        <f>SUMIFS('Support - Unit Adjustments'!E:E,'Support - Unit Adjustments'!F:F,'Step 2'!D869)</f>
        <v>0</v>
      </c>
      <c r="K869" s="126">
        <f t="shared" si="251"/>
        <v>4.9720000000000007E-3</v>
      </c>
      <c r="L869" s="174">
        <f>VLOOKUP(A869,'Step 1'!$A:$E,4,FALSE)</f>
        <v>248005</v>
      </c>
      <c r="M869" s="47">
        <f t="shared" si="252"/>
        <v>1233</v>
      </c>
      <c r="N869" s="177">
        <f>SUMIFS('Support - Transition'!G:G,'Support - Transition'!J:J,'Step 2'!D869,'Support - Transition'!E:E,"2009 WELFARE ALLOCATION FACTOR")</f>
        <v>0</v>
      </c>
      <c r="O869" s="152">
        <f t="shared" si="257"/>
        <v>0</v>
      </c>
      <c r="P869" s="126">
        <f>IF(E869="Y",0,SUMIFS('Support - Transition'!G:G,'Support - Transition'!J:J,'Step 2'!D869,'Support - Transition'!E:E,"2009 SCHOOL ALLOCATION FACTOR"))</f>
        <v>0</v>
      </c>
      <c r="Q869" s="126">
        <f>IF(E869="Y",VLOOKUP(D869,'Support - Unit Adjustments'!F:G,2,FALSE),0)</f>
        <v>0</v>
      </c>
      <c r="R869" s="155">
        <f t="shared" si="269"/>
        <v>0</v>
      </c>
      <c r="S869" s="47">
        <f t="shared" si="268"/>
        <v>0</v>
      </c>
      <c r="T869" s="151">
        <f t="shared" si="253"/>
        <v>1233</v>
      </c>
      <c r="U869" s="151">
        <f t="shared" si="254"/>
        <v>0</v>
      </c>
      <c r="V869" s="139">
        <f t="shared" si="255"/>
        <v>0</v>
      </c>
      <c r="W869" s="152">
        <f t="shared" si="258"/>
        <v>1233</v>
      </c>
      <c r="X869" s="127" t="str">
        <f t="shared" si="256"/>
        <v/>
      </c>
      <c r="Y869" s="207">
        <f t="shared" si="259"/>
        <v>1233</v>
      </c>
      <c r="Z869" s="139">
        <f t="shared" si="260"/>
        <v>713</v>
      </c>
      <c r="AA869" s="139">
        <f t="shared" si="261"/>
        <v>520</v>
      </c>
      <c r="AC869" s="47">
        <f t="shared" si="262"/>
        <v>617</v>
      </c>
      <c r="AD869" s="47">
        <f t="shared" si="263"/>
        <v>357</v>
      </c>
      <c r="AE869" s="47">
        <f t="shared" si="264"/>
        <v>260</v>
      </c>
      <c r="AG869" s="47">
        <f t="shared" si="265"/>
        <v>616</v>
      </c>
      <c r="AH869" s="47">
        <f t="shared" si="266"/>
        <v>356</v>
      </c>
      <c r="AI869" s="208">
        <f t="shared" si="267"/>
        <v>260</v>
      </c>
    </row>
    <row r="870" spans="1:35">
      <c r="A870" t="s">
        <v>2117</v>
      </c>
      <c r="B870" t="s">
        <v>3142</v>
      </c>
      <c r="C870" t="s">
        <v>2192</v>
      </c>
      <c r="D870" t="s">
        <v>4173</v>
      </c>
      <c r="F870" t="s">
        <v>690</v>
      </c>
      <c r="G870" s="126">
        <f>SUMIFS('Support - Transition'!F:F,'Support - Transition'!B:B,'Step 2'!A870,'Support - Transition'!C:C,'Step 2'!B870,'Support - Transition'!D:D,'Step 2'!C870,'Support - Transition'!E:E,"CIVIL")</f>
        <v>7.4600000000000003E-4</v>
      </c>
      <c r="H870" s="126">
        <f>SUMIFS('Support - Transition'!F:F,'Support - Transition'!B:B,'Step 2'!A870,'Support - Transition'!C:C,'Step 2'!B870,'Support - Transition'!D:D,'Step 2'!C870,'Support - Transition'!E:E,"FIRE")</f>
        <v>0</v>
      </c>
      <c r="I870" s="126">
        <f>IF(B870="0",SUMIFS('Support - Transition'!F:F,'Support - Transition'!J:J,'Step 2'!D870,'Support - Transition'!E:E,"STATE UNIT"),SUMIFS('Support - Transition'!F:F,'Support - Transition'!J:J,'Step 2'!D870))</f>
        <v>7.4600000000000003E-4</v>
      </c>
      <c r="J870" s="126">
        <f>SUMIFS('Support - Unit Adjustments'!E:E,'Support - Unit Adjustments'!F:F,'Step 2'!D870)</f>
        <v>0</v>
      </c>
      <c r="K870" s="126">
        <f t="shared" si="251"/>
        <v>7.4600000000000003E-4</v>
      </c>
      <c r="L870" s="174">
        <f>VLOOKUP(A870,'Step 1'!$A:$E,4,FALSE)</f>
        <v>248005</v>
      </c>
      <c r="M870" s="47">
        <f t="shared" si="252"/>
        <v>185</v>
      </c>
      <c r="N870" s="177">
        <f>SUMIFS('Support - Transition'!G:G,'Support - Transition'!J:J,'Step 2'!D870,'Support - Transition'!E:E,"2009 WELFARE ALLOCATION FACTOR")</f>
        <v>0</v>
      </c>
      <c r="O870" s="152">
        <f t="shared" si="257"/>
        <v>0</v>
      </c>
      <c r="P870" s="126">
        <f>IF(E870="Y",0,SUMIFS('Support - Transition'!G:G,'Support - Transition'!J:J,'Step 2'!D870,'Support - Transition'!E:E,"2009 SCHOOL ALLOCATION FACTOR"))</f>
        <v>0</v>
      </c>
      <c r="Q870" s="126">
        <f>IF(E870="Y",VLOOKUP(D870,'Support - Unit Adjustments'!F:G,2,FALSE),0)</f>
        <v>0</v>
      </c>
      <c r="R870" s="155">
        <f t="shared" si="269"/>
        <v>0</v>
      </c>
      <c r="S870" s="47">
        <f t="shared" si="268"/>
        <v>0</v>
      </c>
      <c r="T870" s="151">
        <f t="shared" si="253"/>
        <v>185</v>
      </c>
      <c r="U870" s="151">
        <f t="shared" si="254"/>
        <v>0</v>
      </c>
      <c r="V870" s="139">
        <f t="shared" si="255"/>
        <v>0</v>
      </c>
      <c r="W870" s="152">
        <f t="shared" si="258"/>
        <v>185</v>
      </c>
      <c r="X870" s="127" t="str">
        <f t="shared" si="256"/>
        <v/>
      </c>
      <c r="Y870" s="207">
        <f t="shared" si="259"/>
        <v>185</v>
      </c>
      <c r="Z870" s="139">
        <f t="shared" si="260"/>
        <v>185</v>
      </c>
      <c r="AA870" s="139">
        <f t="shared" si="261"/>
        <v>0</v>
      </c>
      <c r="AC870" s="47">
        <f t="shared" si="262"/>
        <v>93</v>
      </c>
      <c r="AD870" s="47">
        <f t="shared" si="263"/>
        <v>93</v>
      </c>
      <c r="AE870" s="47">
        <f t="shared" si="264"/>
        <v>0</v>
      </c>
      <c r="AG870" s="47">
        <f t="shared" si="265"/>
        <v>92</v>
      </c>
      <c r="AH870" s="47">
        <f t="shared" si="266"/>
        <v>92</v>
      </c>
      <c r="AI870" s="208">
        <f t="shared" si="267"/>
        <v>0</v>
      </c>
    </row>
    <row r="871" spans="1:35">
      <c r="A871" t="s">
        <v>2117</v>
      </c>
      <c r="B871" t="s">
        <v>3142</v>
      </c>
      <c r="C871" t="s">
        <v>2193</v>
      </c>
      <c r="D871" t="s">
        <v>4174</v>
      </c>
      <c r="F871" t="s">
        <v>49</v>
      </c>
      <c r="G871" s="126">
        <f>SUMIFS('Support - Transition'!F:F,'Support - Transition'!B:B,'Step 2'!A871,'Support - Transition'!C:C,'Step 2'!B871,'Support - Transition'!D:D,'Step 2'!C871,'Support - Transition'!E:E,"CIVIL")</f>
        <v>1.7049999999999999E-3</v>
      </c>
      <c r="H871" s="126">
        <f>SUMIFS('Support - Transition'!F:F,'Support - Transition'!B:B,'Step 2'!A871,'Support - Transition'!C:C,'Step 2'!B871,'Support - Transition'!D:D,'Step 2'!C871,'Support - Transition'!E:E,"FIRE")</f>
        <v>1.0219999999999999E-3</v>
      </c>
      <c r="I871" s="126">
        <f>IF(B871="0",SUMIFS('Support - Transition'!F:F,'Support - Transition'!J:J,'Step 2'!D871,'Support - Transition'!E:E,"STATE UNIT"),SUMIFS('Support - Transition'!F:F,'Support - Transition'!J:J,'Step 2'!D871))</f>
        <v>2.7269999999999998E-3</v>
      </c>
      <c r="J871" s="126">
        <f>SUMIFS('Support - Unit Adjustments'!E:E,'Support - Unit Adjustments'!F:F,'Step 2'!D871)</f>
        <v>0</v>
      </c>
      <c r="K871" s="126">
        <f t="shared" si="251"/>
        <v>2.7269999999999998E-3</v>
      </c>
      <c r="L871" s="174">
        <f>VLOOKUP(A871,'Step 1'!$A:$E,4,FALSE)</f>
        <v>248005</v>
      </c>
      <c r="M871" s="47">
        <f t="shared" si="252"/>
        <v>676</v>
      </c>
      <c r="N871" s="177">
        <f>SUMIFS('Support - Transition'!G:G,'Support - Transition'!J:J,'Step 2'!D871,'Support - Transition'!E:E,"2009 WELFARE ALLOCATION FACTOR")</f>
        <v>0</v>
      </c>
      <c r="O871" s="152">
        <f t="shared" si="257"/>
        <v>0</v>
      </c>
      <c r="P871" s="126">
        <f>IF(E871="Y",0,SUMIFS('Support - Transition'!G:G,'Support - Transition'!J:J,'Step 2'!D871,'Support - Transition'!E:E,"2009 SCHOOL ALLOCATION FACTOR"))</f>
        <v>0</v>
      </c>
      <c r="Q871" s="126">
        <f>IF(E871="Y",VLOOKUP(D871,'Support - Unit Adjustments'!F:G,2,FALSE),0)</f>
        <v>0</v>
      </c>
      <c r="R871" s="155">
        <f t="shared" si="269"/>
        <v>0</v>
      </c>
      <c r="S871" s="47">
        <f t="shared" si="268"/>
        <v>0</v>
      </c>
      <c r="T871" s="151">
        <f t="shared" si="253"/>
        <v>676</v>
      </c>
      <c r="U871" s="151">
        <f t="shared" si="254"/>
        <v>0</v>
      </c>
      <c r="V871" s="139">
        <f t="shared" si="255"/>
        <v>0</v>
      </c>
      <c r="W871" s="152">
        <f t="shared" si="258"/>
        <v>676</v>
      </c>
      <c r="X871" s="127" t="str">
        <f t="shared" si="256"/>
        <v/>
      </c>
      <c r="Y871" s="207">
        <f t="shared" si="259"/>
        <v>676</v>
      </c>
      <c r="Z871" s="139">
        <f t="shared" si="260"/>
        <v>423</v>
      </c>
      <c r="AA871" s="139">
        <f t="shared" si="261"/>
        <v>253</v>
      </c>
      <c r="AC871" s="47">
        <f t="shared" si="262"/>
        <v>338</v>
      </c>
      <c r="AD871" s="47">
        <f t="shared" si="263"/>
        <v>212</v>
      </c>
      <c r="AE871" s="47">
        <f t="shared" si="264"/>
        <v>127</v>
      </c>
      <c r="AG871" s="47">
        <f t="shared" si="265"/>
        <v>338</v>
      </c>
      <c r="AH871" s="47">
        <f t="shared" si="266"/>
        <v>211</v>
      </c>
      <c r="AI871" s="208">
        <f t="shared" si="267"/>
        <v>126</v>
      </c>
    </row>
    <row r="872" spans="1:35">
      <c r="A872" t="s">
        <v>2117</v>
      </c>
      <c r="B872" t="s">
        <v>3142</v>
      </c>
      <c r="C872" t="s">
        <v>2194</v>
      </c>
      <c r="D872" t="s">
        <v>4175</v>
      </c>
      <c r="F872" t="s">
        <v>691</v>
      </c>
      <c r="G872" s="126">
        <f>SUMIFS('Support - Transition'!F:F,'Support - Transition'!B:B,'Step 2'!A872,'Support - Transition'!C:C,'Step 2'!B872,'Support - Transition'!D:D,'Step 2'!C872,'Support - Transition'!E:E,"CIVIL")</f>
        <v>8.9999999999999998E-4</v>
      </c>
      <c r="H872" s="126">
        <f>SUMIFS('Support - Transition'!F:F,'Support - Transition'!B:B,'Step 2'!A872,'Support - Transition'!C:C,'Step 2'!B872,'Support - Transition'!D:D,'Step 2'!C872,'Support - Transition'!E:E,"FIRE")</f>
        <v>0</v>
      </c>
      <c r="I872" s="126">
        <f>IF(B872="0",SUMIFS('Support - Transition'!F:F,'Support - Transition'!J:J,'Step 2'!D872,'Support - Transition'!E:E,"STATE UNIT"),SUMIFS('Support - Transition'!F:F,'Support - Transition'!J:J,'Step 2'!D872))</f>
        <v>8.9999999999999998E-4</v>
      </c>
      <c r="J872" s="126">
        <f>SUMIFS('Support - Unit Adjustments'!E:E,'Support - Unit Adjustments'!F:F,'Step 2'!D872)</f>
        <v>0</v>
      </c>
      <c r="K872" s="126">
        <f t="shared" si="251"/>
        <v>8.9999999999999998E-4</v>
      </c>
      <c r="L872" s="174">
        <f>VLOOKUP(A872,'Step 1'!$A:$E,4,FALSE)</f>
        <v>248005</v>
      </c>
      <c r="M872" s="47">
        <f t="shared" si="252"/>
        <v>223</v>
      </c>
      <c r="N872" s="177">
        <f>SUMIFS('Support - Transition'!G:G,'Support - Transition'!J:J,'Step 2'!D872,'Support - Transition'!E:E,"2009 WELFARE ALLOCATION FACTOR")</f>
        <v>0</v>
      </c>
      <c r="O872" s="152">
        <f t="shared" si="257"/>
        <v>0</v>
      </c>
      <c r="P872" s="126">
        <f>IF(E872="Y",0,SUMIFS('Support - Transition'!G:G,'Support - Transition'!J:J,'Step 2'!D872,'Support - Transition'!E:E,"2009 SCHOOL ALLOCATION FACTOR"))</f>
        <v>0</v>
      </c>
      <c r="Q872" s="126">
        <f>IF(E872="Y",VLOOKUP(D872,'Support - Unit Adjustments'!F:G,2,FALSE),0)</f>
        <v>0</v>
      </c>
      <c r="R872" s="155">
        <f t="shared" si="269"/>
        <v>0</v>
      </c>
      <c r="S872" s="47">
        <f t="shared" si="268"/>
        <v>0</v>
      </c>
      <c r="T872" s="151">
        <f t="shared" si="253"/>
        <v>223</v>
      </c>
      <c r="U872" s="151">
        <f t="shared" si="254"/>
        <v>0</v>
      </c>
      <c r="V872" s="139">
        <f t="shared" si="255"/>
        <v>0</v>
      </c>
      <c r="W872" s="152">
        <f t="shared" si="258"/>
        <v>223</v>
      </c>
      <c r="X872" s="127" t="str">
        <f t="shared" si="256"/>
        <v/>
      </c>
      <c r="Y872" s="207">
        <f t="shared" si="259"/>
        <v>223</v>
      </c>
      <c r="Z872" s="139">
        <f t="shared" si="260"/>
        <v>223</v>
      </c>
      <c r="AA872" s="139">
        <f t="shared" si="261"/>
        <v>0</v>
      </c>
      <c r="AC872" s="47">
        <f t="shared" si="262"/>
        <v>112</v>
      </c>
      <c r="AD872" s="47">
        <f t="shared" si="263"/>
        <v>112</v>
      </c>
      <c r="AE872" s="47">
        <f t="shared" si="264"/>
        <v>0</v>
      </c>
      <c r="AG872" s="47">
        <f t="shared" si="265"/>
        <v>111</v>
      </c>
      <c r="AH872" s="47">
        <f t="shared" si="266"/>
        <v>111</v>
      </c>
      <c r="AI872" s="208">
        <f t="shared" si="267"/>
        <v>0</v>
      </c>
    </row>
    <row r="873" spans="1:35">
      <c r="A873" t="s">
        <v>2117</v>
      </c>
      <c r="B873" t="s">
        <v>3142</v>
      </c>
      <c r="C873" t="s">
        <v>2195</v>
      </c>
      <c r="D873" t="s">
        <v>4176</v>
      </c>
      <c r="F873" t="s">
        <v>252</v>
      </c>
      <c r="G873" s="126">
        <f>SUMIFS('Support - Transition'!F:F,'Support - Transition'!B:B,'Step 2'!A873,'Support - Transition'!C:C,'Step 2'!B873,'Support - Transition'!D:D,'Step 2'!C873,'Support - Transition'!E:E,"CIVIL")</f>
        <v>3.9300000000000001E-4</v>
      </c>
      <c r="H873" s="126">
        <f>SUMIFS('Support - Transition'!F:F,'Support - Transition'!B:B,'Step 2'!A873,'Support - Transition'!C:C,'Step 2'!B873,'Support - Transition'!D:D,'Step 2'!C873,'Support - Transition'!E:E,"FIRE")</f>
        <v>3.0899999999999998E-4</v>
      </c>
      <c r="I873" s="126">
        <f>IF(B873="0",SUMIFS('Support - Transition'!F:F,'Support - Transition'!J:J,'Step 2'!D873,'Support - Transition'!E:E,"STATE UNIT"),SUMIFS('Support - Transition'!F:F,'Support - Transition'!J:J,'Step 2'!D873))</f>
        <v>7.0199999999999993E-4</v>
      </c>
      <c r="J873" s="126">
        <f>SUMIFS('Support - Unit Adjustments'!E:E,'Support - Unit Adjustments'!F:F,'Step 2'!D873)</f>
        <v>0</v>
      </c>
      <c r="K873" s="126">
        <f t="shared" si="251"/>
        <v>7.0199999999999993E-4</v>
      </c>
      <c r="L873" s="174">
        <f>VLOOKUP(A873,'Step 1'!$A:$E,4,FALSE)</f>
        <v>248005</v>
      </c>
      <c r="M873" s="47">
        <f t="shared" si="252"/>
        <v>174</v>
      </c>
      <c r="N873" s="177">
        <f>SUMIFS('Support - Transition'!G:G,'Support - Transition'!J:J,'Step 2'!D873,'Support - Transition'!E:E,"2009 WELFARE ALLOCATION FACTOR")</f>
        <v>0</v>
      </c>
      <c r="O873" s="152">
        <f t="shared" si="257"/>
        <v>0</v>
      </c>
      <c r="P873" s="126">
        <f>IF(E873="Y",0,SUMIFS('Support - Transition'!G:G,'Support - Transition'!J:J,'Step 2'!D873,'Support - Transition'!E:E,"2009 SCHOOL ALLOCATION FACTOR"))</f>
        <v>0</v>
      </c>
      <c r="Q873" s="126">
        <f>IF(E873="Y",VLOOKUP(D873,'Support - Unit Adjustments'!F:G,2,FALSE),0)</f>
        <v>0</v>
      </c>
      <c r="R873" s="155">
        <f t="shared" si="269"/>
        <v>0</v>
      </c>
      <c r="S873" s="47">
        <f t="shared" si="268"/>
        <v>0</v>
      </c>
      <c r="T873" s="151">
        <f t="shared" si="253"/>
        <v>174</v>
      </c>
      <c r="U873" s="151">
        <f t="shared" si="254"/>
        <v>0</v>
      </c>
      <c r="V873" s="139">
        <f t="shared" si="255"/>
        <v>0</v>
      </c>
      <c r="W873" s="152">
        <f t="shared" si="258"/>
        <v>174</v>
      </c>
      <c r="X873" s="127" t="str">
        <f t="shared" si="256"/>
        <v/>
      </c>
      <c r="Y873" s="207">
        <f t="shared" si="259"/>
        <v>174</v>
      </c>
      <c r="Z873" s="139">
        <f t="shared" si="260"/>
        <v>97</v>
      </c>
      <c r="AA873" s="139">
        <f t="shared" si="261"/>
        <v>77</v>
      </c>
      <c r="AC873" s="47">
        <f t="shared" si="262"/>
        <v>87</v>
      </c>
      <c r="AD873" s="47">
        <f t="shared" si="263"/>
        <v>49</v>
      </c>
      <c r="AE873" s="47">
        <f t="shared" si="264"/>
        <v>39</v>
      </c>
      <c r="AG873" s="47">
        <f t="shared" si="265"/>
        <v>87</v>
      </c>
      <c r="AH873" s="47">
        <f t="shared" si="266"/>
        <v>48</v>
      </c>
      <c r="AI873" s="208">
        <f t="shared" si="267"/>
        <v>38</v>
      </c>
    </row>
    <row r="874" spans="1:35">
      <c r="A874" t="s">
        <v>2117</v>
      </c>
      <c r="B874" t="s">
        <v>3142</v>
      </c>
      <c r="C874" t="s">
        <v>2196</v>
      </c>
      <c r="D874" t="s">
        <v>4177</v>
      </c>
      <c r="F874" t="s">
        <v>376</v>
      </c>
      <c r="G874" s="126">
        <f>SUMIFS('Support - Transition'!F:F,'Support - Transition'!B:B,'Step 2'!A874,'Support - Transition'!C:C,'Step 2'!B874,'Support - Transition'!D:D,'Step 2'!C874,'Support - Transition'!E:E,"CIVIL")</f>
        <v>1.477E-3</v>
      </c>
      <c r="H874" s="126">
        <f>SUMIFS('Support - Transition'!F:F,'Support - Transition'!B:B,'Step 2'!A874,'Support - Transition'!C:C,'Step 2'!B874,'Support - Transition'!D:D,'Step 2'!C874,'Support - Transition'!E:E,"FIRE")</f>
        <v>1.2819999999999999E-3</v>
      </c>
      <c r="I874" s="126">
        <f>IF(B874="0",SUMIFS('Support - Transition'!F:F,'Support - Transition'!J:J,'Step 2'!D874,'Support - Transition'!E:E,"STATE UNIT"),SUMIFS('Support - Transition'!F:F,'Support - Transition'!J:J,'Step 2'!D874))</f>
        <v>2.7590000000000002E-3</v>
      </c>
      <c r="J874" s="126">
        <f>SUMIFS('Support - Unit Adjustments'!E:E,'Support - Unit Adjustments'!F:F,'Step 2'!D874)</f>
        <v>0</v>
      </c>
      <c r="K874" s="126">
        <f t="shared" si="251"/>
        <v>2.7590000000000002E-3</v>
      </c>
      <c r="L874" s="174">
        <f>VLOOKUP(A874,'Step 1'!$A:$E,4,FALSE)</f>
        <v>248005</v>
      </c>
      <c r="M874" s="47">
        <f t="shared" si="252"/>
        <v>684</v>
      </c>
      <c r="N874" s="177">
        <f>SUMIFS('Support - Transition'!G:G,'Support - Transition'!J:J,'Step 2'!D874,'Support - Transition'!E:E,"2009 WELFARE ALLOCATION FACTOR")</f>
        <v>0</v>
      </c>
      <c r="O874" s="152">
        <f t="shared" si="257"/>
        <v>0</v>
      </c>
      <c r="P874" s="126">
        <f>IF(E874="Y",0,SUMIFS('Support - Transition'!G:G,'Support - Transition'!J:J,'Step 2'!D874,'Support - Transition'!E:E,"2009 SCHOOL ALLOCATION FACTOR"))</f>
        <v>0</v>
      </c>
      <c r="Q874" s="126">
        <f>IF(E874="Y",VLOOKUP(D874,'Support - Unit Adjustments'!F:G,2,FALSE),0)</f>
        <v>0</v>
      </c>
      <c r="R874" s="155">
        <f t="shared" si="269"/>
        <v>0</v>
      </c>
      <c r="S874" s="47">
        <f t="shared" si="268"/>
        <v>0</v>
      </c>
      <c r="T874" s="151">
        <f t="shared" si="253"/>
        <v>684</v>
      </c>
      <c r="U874" s="151">
        <f t="shared" si="254"/>
        <v>0</v>
      </c>
      <c r="V874" s="139">
        <f t="shared" si="255"/>
        <v>0</v>
      </c>
      <c r="W874" s="152">
        <f t="shared" si="258"/>
        <v>684</v>
      </c>
      <c r="X874" s="127" t="str">
        <f t="shared" si="256"/>
        <v/>
      </c>
      <c r="Y874" s="207">
        <f t="shared" si="259"/>
        <v>684</v>
      </c>
      <c r="Z874" s="139">
        <f t="shared" si="260"/>
        <v>366</v>
      </c>
      <c r="AA874" s="139">
        <f t="shared" si="261"/>
        <v>318</v>
      </c>
      <c r="AC874" s="47">
        <f t="shared" si="262"/>
        <v>342</v>
      </c>
      <c r="AD874" s="47">
        <f t="shared" si="263"/>
        <v>183</v>
      </c>
      <c r="AE874" s="47">
        <f t="shared" si="264"/>
        <v>159</v>
      </c>
      <c r="AG874" s="47">
        <f t="shared" si="265"/>
        <v>342</v>
      </c>
      <c r="AH874" s="47">
        <f t="shared" si="266"/>
        <v>183</v>
      </c>
      <c r="AI874" s="208">
        <f t="shared" si="267"/>
        <v>159</v>
      </c>
    </row>
    <row r="875" spans="1:35">
      <c r="A875" t="s">
        <v>2117</v>
      </c>
      <c r="B875" t="s">
        <v>3142</v>
      </c>
      <c r="C875" t="s">
        <v>2197</v>
      </c>
      <c r="D875" t="s">
        <v>4178</v>
      </c>
      <c r="F875" t="s">
        <v>627</v>
      </c>
      <c r="G875" s="126">
        <f>SUMIFS('Support - Transition'!F:F,'Support - Transition'!B:B,'Step 2'!A875,'Support - Transition'!C:C,'Step 2'!B875,'Support - Transition'!D:D,'Step 2'!C875,'Support - Transition'!E:E,"CIVIL")</f>
        <v>2.2000000000000001E-4</v>
      </c>
      <c r="H875" s="126">
        <f>SUMIFS('Support - Transition'!F:F,'Support - Transition'!B:B,'Step 2'!A875,'Support - Transition'!C:C,'Step 2'!B875,'Support - Transition'!D:D,'Step 2'!C875,'Support - Transition'!E:E,"FIRE")</f>
        <v>9.2E-5</v>
      </c>
      <c r="I875" s="126">
        <f>IF(B875="0",SUMIFS('Support - Transition'!F:F,'Support - Transition'!J:J,'Step 2'!D875,'Support - Transition'!E:E,"STATE UNIT"),SUMIFS('Support - Transition'!F:F,'Support - Transition'!J:J,'Step 2'!D875))</f>
        <v>3.1199999999999999E-4</v>
      </c>
      <c r="J875" s="126">
        <f>SUMIFS('Support - Unit Adjustments'!E:E,'Support - Unit Adjustments'!F:F,'Step 2'!D875)</f>
        <v>0</v>
      </c>
      <c r="K875" s="126">
        <f t="shared" si="251"/>
        <v>3.1199999999999999E-4</v>
      </c>
      <c r="L875" s="174">
        <f>VLOOKUP(A875,'Step 1'!$A:$E,4,FALSE)</f>
        <v>248005</v>
      </c>
      <c r="M875" s="47">
        <f t="shared" si="252"/>
        <v>77</v>
      </c>
      <c r="N875" s="177">
        <f>SUMIFS('Support - Transition'!G:G,'Support - Transition'!J:J,'Step 2'!D875,'Support - Transition'!E:E,"2009 WELFARE ALLOCATION FACTOR")</f>
        <v>0</v>
      </c>
      <c r="O875" s="152">
        <f t="shared" si="257"/>
        <v>0</v>
      </c>
      <c r="P875" s="126">
        <f>IF(E875="Y",0,SUMIFS('Support - Transition'!G:G,'Support - Transition'!J:J,'Step 2'!D875,'Support - Transition'!E:E,"2009 SCHOOL ALLOCATION FACTOR"))</f>
        <v>0</v>
      </c>
      <c r="Q875" s="126">
        <f>IF(E875="Y",VLOOKUP(D875,'Support - Unit Adjustments'!F:G,2,FALSE),0)</f>
        <v>0</v>
      </c>
      <c r="R875" s="155">
        <f t="shared" si="269"/>
        <v>0</v>
      </c>
      <c r="S875" s="47">
        <f t="shared" si="268"/>
        <v>0</v>
      </c>
      <c r="T875" s="151">
        <f t="shared" si="253"/>
        <v>77</v>
      </c>
      <c r="U875" s="151">
        <f t="shared" si="254"/>
        <v>0</v>
      </c>
      <c r="V875" s="139">
        <f t="shared" si="255"/>
        <v>0</v>
      </c>
      <c r="W875" s="152">
        <f t="shared" si="258"/>
        <v>77</v>
      </c>
      <c r="X875" s="127" t="str">
        <f t="shared" si="256"/>
        <v/>
      </c>
      <c r="Y875" s="207">
        <f t="shared" si="259"/>
        <v>77</v>
      </c>
      <c r="Z875" s="139">
        <f t="shared" si="260"/>
        <v>54</v>
      </c>
      <c r="AA875" s="139">
        <f t="shared" si="261"/>
        <v>23</v>
      </c>
      <c r="AC875" s="47">
        <f t="shared" si="262"/>
        <v>39</v>
      </c>
      <c r="AD875" s="47">
        <f t="shared" si="263"/>
        <v>27</v>
      </c>
      <c r="AE875" s="47">
        <f t="shared" si="264"/>
        <v>12</v>
      </c>
      <c r="AG875" s="47">
        <f t="shared" si="265"/>
        <v>38</v>
      </c>
      <c r="AH875" s="47">
        <f t="shared" si="266"/>
        <v>27</v>
      </c>
      <c r="AI875" s="208">
        <f t="shared" si="267"/>
        <v>11</v>
      </c>
    </row>
    <row r="876" spans="1:35">
      <c r="A876" t="s">
        <v>2117</v>
      </c>
      <c r="B876" t="s">
        <v>3142</v>
      </c>
      <c r="C876" t="s">
        <v>2198</v>
      </c>
      <c r="D876" t="s">
        <v>4179</v>
      </c>
      <c r="F876" t="s">
        <v>22</v>
      </c>
      <c r="G876" s="126">
        <f>SUMIFS('Support - Transition'!F:F,'Support - Transition'!B:B,'Step 2'!A876,'Support - Transition'!C:C,'Step 2'!B876,'Support - Transition'!D:D,'Step 2'!C876,'Support - Transition'!E:E,"CIVIL")</f>
        <v>2.1699999999999999E-4</v>
      </c>
      <c r="H876" s="126">
        <f>SUMIFS('Support - Transition'!F:F,'Support - Transition'!B:B,'Step 2'!A876,'Support - Transition'!C:C,'Step 2'!B876,'Support - Transition'!D:D,'Step 2'!C876,'Support - Transition'!E:E,"FIRE")</f>
        <v>0</v>
      </c>
      <c r="I876" s="126">
        <f>IF(B876="0",SUMIFS('Support - Transition'!F:F,'Support - Transition'!J:J,'Step 2'!D876,'Support - Transition'!E:E,"STATE UNIT"),SUMIFS('Support - Transition'!F:F,'Support - Transition'!J:J,'Step 2'!D876))</f>
        <v>2.1699999999999999E-4</v>
      </c>
      <c r="J876" s="126">
        <f>SUMIFS('Support - Unit Adjustments'!E:E,'Support - Unit Adjustments'!F:F,'Step 2'!D876)</f>
        <v>0</v>
      </c>
      <c r="K876" s="126">
        <f t="shared" si="251"/>
        <v>2.1699999999999999E-4</v>
      </c>
      <c r="L876" s="174">
        <f>VLOOKUP(A876,'Step 1'!$A:$E,4,FALSE)</f>
        <v>248005</v>
      </c>
      <c r="M876" s="47">
        <f t="shared" si="252"/>
        <v>54</v>
      </c>
      <c r="N876" s="177">
        <f>SUMIFS('Support - Transition'!G:G,'Support - Transition'!J:J,'Step 2'!D876,'Support - Transition'!E:E,"2009 WELFARE ALLOCATION FACTOR")</f>
        <v>0</v>
      </c>
      <c r="O876" s="152">
        <f t="shared" si="257"/>
        <v>0</v>
      </c>
      <c r="P876" s="126">
        <f>IF(E876="Y",0,SUMIFS('Support - Transition'!G:G,'Support - Transition'!J:J,'Step 2'!D876,'Support - Transition'!E:E,"2009 SCHOOL ALLOCATION FACTOR"))</f>
        <v>0</v>
      </c>
      <c r="Q876" s="126">
        <f>IF(E876="Y",VLOOKUP(D876,'Support - Unit Adjustments'!F:G,2,FALSE),0)</f>
        <v>0</v>
      </c>
      <c r="R876" s="155">
        <f t="shared" si="269"/>
        <v>0</v>
      </c>
      <c r="S876" s="47">
        <f t="shared" si="268"/>
        <v>0</v>
      </c>
      <c r="T876" s="151">
        <f t="shared" si="253"/>
        <v>54</v>
      </c>
      <c r="U876" s="151">
        <f t="shared" si="254"/>
        <v>0</v>
      </c>
      <c r="V876" s="139">
        <f t="shared" si="255"/>
        <v>0</v>
      </c>
      <c r="W876" s="152">
        <f t="shared" si="258"/>
        <v>54</v>
      </c>
      <c r="X876" s="127" t="str">
        <f t="shared" si="256"/>
        <v/>
      </c>
      <c r="Y876" s="207">
        <f t="shared" si="259"/>
        <v>54</v>
      </c>
      <c r="Z876" s="139">
        <f t="shared" si="260"/>
        <v>54</v>
      </c>
      <c r="AA876" s="139">
        <f t="shared" si="261"/>
        <v>0</v>
      </c>
      <c r="AC876" s="47">
        <f t="shared" si="262"/>
        <v>27</v>
      </c>
      <c r="AD876" s="47">
        <f t="shared" si="263"/>
        <v>27</v>
      </c>
      <c r="AE876" s="47">
        <f t="shared" si="264"/>
        <v>0</v>
      </c>
      <c r="AG876" s="47">
        <f t="shared" si="265"/>
        <v>27</v>
      </c>
      <c r="AH876" s="47">
        <f t="shared" si="266"/>
        <v>27</v>
      </c>
      <c r="AI876" s="208">
        <f t="shared" si="267"/>
        <v>0</v>
      </c>
    </row>
    <row r="877" spans="1:35">
      <c r="A877" t="s">
        <v>2117</v>
      </c>
      <c r="B877" t="s">
        <v>3142</v>
      </c>
      <c r="C877" t="s">
        <v>2199</v>
      </c>
      <c r="D877" t="s">
        <v>4180</v>
      </c>
      <c r="F877" t="s">
        <v>692</v>
      </c>
      <c r="G877" s="126">
        <f>SUMIFS('Support - Transition'!F:F,'Support - Transition'!B:B,'Step 2'!A877,'Support - Transition'!C:C,'Step 2'!B877,'Support - Transition'!D:D,'Step 2'!C877,'Support - Transition'!E:E,"CIVIL")</f>
        <v>3.4900000000000003E-4</v>
      </c>
      <c r="H877" s="126">
        <f>SUMIFS('Support - Transition'!F:F,'Support - Transition'!B:B,'Step 2'!A877,'Support - Transition'!C:C,'Step 2'!B877,'Support - Transition'!D:D,'Step 2'!C877,'Support - Transition'!E:E,"FIRE")</f>
        <v>0</v>
      </c>
      <c r="I877" s="126">
        <f>IF(B877="0",SUMIFS('Support - Transition'!F:F,'Support - Transition'!J:J,'Step 2'!D877,'Support - Transition'!E:E,"STATE UNIT"),SUMIFS('Support - Transition'!F:F,'Support - Transition'!J:J,'Step 2'!D877))</f>
        <v>3.4900000000000003E-4</v>
      </c>
      <c r="J877" s="126">
        <f>SUMIFS('Support - Unit Adjustments'!E:E,'Support - Unit Adjustments'!F:F,'Step 2'!D877)</f>
        <v>0</v>
      </c>
      <c r="K877" s="126">
        <f t="shared" si="251"/>
        <v>3.4900000000000003E-4</v>
      </c>
      <c r="L877" s="174">
        <f>VLOOKUP(A877,'Step 1'!$A:$E,4,FALSE)</f>
        <v>248005</v>
      </c>
      <c r="M877" s="47">
        <f t="shared" si="252"/>
        <v>87</v>
      </c>
      <c r="N877" s="177">
        <f>SUMIFS('Support - Transition'!G:G,'Support - Transition'!J:J,'Step 2'!D877,'Support - Transition'!E:E,"2009 WELFARE ALLOCATION FACTOR")</f>
        <v>0</v>
      </c>
      <c r="O877" s="152">
        <f t="shared" si="257"/>
        <v>0</v>
      </c>
      <c r="P877" s="126">
        <f>IF(E877="Y",0,SUMIFS('Support - Transition'!G:G,'Support - Transition'!J:J,'Step 2'!D877,'Support - Transition'!E:E,"2009 SCHOOL ALLOCATION FACTOR"))</f>
        <v>0</v>
      </c>
      <c r="Q877" s="126">
        <f>IF(E877="Y",VLOOKUP(D877,'Support - Unit Adjustments'!F:G,2,FALSE),0)</f>
        <v>0</v>
      </c>
      <c r="R877" s="155">
        <f t="shared" si="269"/>
        <v>0</v>
      </c>
      <c r="S877" s="47">
        <f t="shared" si="268"/>
        <v>0</v>
      </c>
      <c r="T877" s="151">
        <f t="shared" si="253"/>
        <v>87</v>
      </c>
      <c r="U877" s="151">
        <f t="shared" si="254"/>
        <v>0</v>
      </c>
      <c r="V877" s="139">
        <f t="shared" si="255"/>
        <v>0</v>
      </c>
      <c r="W877" s="152">
        <f t="shared" si="258"/>
        <v>87</v>
      </c>
      <c r="X877" s="127" t="str">
        <f t="shared" si="256"/>
        <v/>
      </c>
      <c r="Y877" s="207">
        <f t="shared" si="259"/>
        <v>87</v>
      </c>
      <c r="Z877" s="139">
        <f t="shared" si="260"/>
        <v>87</v>
      </c>
      <c r="AA877" s="139">
        <f t="shared" si="261"/>
        <v>0</v>
      </c>
      <c r="AC877" s="47">
        <f t="shared" si="262"/>
        <v>44</v>
      </c>
      <c r="AD877" s="47">
        <f t="shared" si="263"/>
        <v>44</v>
      </c>
      <c r="AE877" s="47">
        <f t="shared" si="264"/>
        <v>0</v>
      </c>
      <c r="AG877" s="47">
        <f t="shared" si="265"/>
        <v>43</v>
      </c>
      <c r="AH877" s="47">
        <f t="shared" si="266"/>
        <v>43</v>
      </c>
      <c r="AI877" s="208">
        <f t="shared" si="267"/>
        <v>0</v>
      </c>
    </row>
    <row r="878" spans="1:35">
      <c r="A878" t="s">
        <v>2117</v>
      </c>
      <c r="B878" t="s">
        <v>3155</v>
      </c>
      <c r="C878" t="s">
        <v>2328</v>
      </c>
      <c r="D878" t="s">
        <v>4181</v>
      </c>
      <c r="F878" t="s">
        <v>299</v>
      </c>
      <c r="G878" s="126">
        <f>SUMIFS('Support - Transition'!F:F,'Support - Transition'!B:B,'Step 2'!A878,'Support - Transition'!C:C,'Step 2'!B878,'Support - Transition'!D:D,'Step 2'!C878,'Support - Transition'!E:E,"CIVIL")</f>
        <v>0</v>
      </c>
      <c r="H878" s="126">
        <f>SUMIFS('Support - Transition'!F:F,'Support - Transition'!B:B,'Step 2'!A878,'Support - Transition'!C:C,'Step 2'!B878,'Support - Transition'!D:D,'Step 2'!C878,'Support - Transition'!E:E,"FIRE")</f>
        <v>0</v>
      </c>
      <c r="I878" s="126">
        <f>IF(B878="0",SUMIFS('Support - Transition'!F:F,'Support - Transition'!J:J,'Step 2'!D878,'Support - Transition'!E:E,"STATE UNIT"),SUMIFS('Support - Transition'!F:F,'Support - Transition'!J:J,'Step 2'!D878))</f>
        <v>0</v>
      </c>
      <c r="J878" s="126">
        <f>SUMIFS('Support - Unit Adjustments'!E:E,'Support - Unit Adjustments'!F:F,'Step 2'!D878)</f>
        <v>0</v>
      </c>
      <c r="K878" s="126">
        <f t="shared" si="251"/>
        <v>0</v>
      </c>
      <c r="L878" s="174">
        <f>VLOOKUP(A878,'Step 1'!$A:$E,4,FALSE)</f>
        <v>248005</v>
      </c>
      <c r="M878" s="47">
        <f t="shared" si="252"/>
        <v>0</v>
      </c>
      <c r="N878" s="177">
        <f>SUMIFS('Support - Transition'!G:G,'Support - Transition'!J:J,'Step 2'!D878,'Support - Transition'!E:E,"2009 WELFARE ALLOCATION FACTOR")</f>
        <v>0</v>
      </c>
      <c r="O878" s="152">
        <f t="shared" si="257"/>
        <v>0</v>
      </c>
      <c r="P878" s="126">
        <f>IF(E878="Y",0,SUMIFS('Support - Transition'!G:G,'Support - Transition'!J:J,'Step 2'!D878,'Support - Transition'!E:E,"2009 SCHOOL ALLOCATION FACTOR"))</f>
        <v>0</v>
      </c>
      <c r="Q878" s="126">
        <f>IF(E878="Y",VLOOKUP(D878,'Support - Unit Adjustments'!F:G,2,FALSE),0)</f>
        <v>0</v>
      </c>
      <c r="R878" s="155">
        <f t="shared" si="269"/>
        <v>0</v>
      </c>
      <c r="S878" s="47">
        <f t="shared" si="268"/>
        <v>0</v>
      </c>
      <c r="T878" s="151">
        <f t="shared" si="253"/>
        <v>0</v>
      </c>
      <c r="U878" s="151">
        <f t="shared" si="254"/>
        <v>0</v>
      </c>
      <c r="V878" s="139">
        <f t="shared" si="255"/>
        <v>0</v>
      </c>
      <c r="W878" s="152">
        <f t="shared" si="258"/>
        <v>0</v>
      </c>
      <c r="X878" s="127" t="str">
        <f t="shared" si="256"/>
        <v/>
      </c>
      <c r="Y878" s="207">
        <f t="shared" si="259"/>
        <v>0</v>
      </c>
      <c r="Z878" s="139">
        <f t="shared" si="260"/>
        <v>0</v>
      </c>
      <c r="AA878" s="139">
        <f t="shared" si="261"/>
        <v>0</v>
      </c>
      <c r="AC878" s="47">
        <f t="shared" si="262"/>
        <v>0</v>
      </c>
      <c r="AD878" s="47">
        <f t="shared" si="263"/>
        <v>0</v>
      </c>
      <c r="AE878" s="47">
        <f t="shared" si="264"/>
        <v>0</v>
      </c>
      <c r="AG878" s="47">
        <f t="shared" si="265"/>
        <v>0</v>
      </c>
      <c r="AH878" s="47">
        <f t="shared" si="266"/>
        <v>0</v>
      </c>
      <c r="AI878" s="208">
        <f t="shared" si="267"/>
        <v>0</v>
      </c>
    </row>
    <row r="879" spans="1:35">
      <c r="A879" t="s">
        <v>2117</v>
      </c>
      <c r="B879" t="s">
        <v>3155</v>
      </c>
      <c r="C879" t="s">
        <v>2535</v>
      </c>
      <c r="D879" t="s">
        <v>4182</v>
      </c>
      <c r="F879" t="s">
        <v>693</v>
      </c>
      <c r="G879" s="126">
        <f>SUMIFS('Support - Transition'!F:F,'Support - Transition'!B:B,'Step 2'!A879,'Support - Transition'!C:C,'Step 2'!B879,'Support - Transition'!D:D,'Step 2'!C879,'Support - Transition'!E:E,"CIVIL")</f>
        <v>0</v>
      </c>
      <c r="H879" s="126">
        <f>SUMIFS('Support - Transition'!F:F,'Support - Transition'!B:B,'Step 2'!A879,'Support - Transition'!C:C,'Step 2'!B879,'Support - Transition'!D:D,'Step 2'!C879,'Support - Transition'!E:E,"FIRE")</f>
        <v>0</v>
      </c>
      <c r="I879" s="126">
        <f>IF(B879="0",SUMIFS('Support - Transition'!F:F,'Support - Transition'!J:J,'Step 2'!D879,'Support - Transition'!E:E,"STATE UNIT"),SUMIFS('Support - Transition'!F:F,'Support - Transition'!J:J,'Step 2'!D879))</f>
        <v>1.1564E-2</v>
      </c>
      <c r="J879" s="126">
        <f>SUMIFS('Support - Unit Adjustments'!E:E,'Support - Unit Adjustments'!F:F,'Step 2'!D879)</f>
        <v>0</v>
      </c>
      <c r="K879" s="126">
        <f t="shared" si="251"/>
        <v>1.1564E-2</v>
      </c>
      <c r="L879" s="174">
        <f>VLOOKUP(A879,'Step 1'!$A:$E,4,FALSE)</f>
        <v>248005</v>
      </c>
      <c r="M879" s="47">
        <f t="shared" si="252"/>
        <v>2868</v>
      </c>
      <c r="N879" s="177">
        <f>SUMIFS('Support - Transition'!G:G,'Support - Transition'!J:J,'Step 2'!D879,'Support - Transition'!E:E,"2009 WELFARE ALLOCATION FACTOR")</f>
        <v>0</v>
      </c>
      <c r="O879" s="152">
        <f t="shared" si="257"/>
        <v>0</v>
      </c>
      <c r="P879" s="126">
        <f>IF(E879="Y",0,SUMIFS('Support - Transition'!G:G,'Support - Transition'!J:J,'Step 2'!D879,'Support - Transition'!E:E,"2009 SCHOOL ALLOCATION FACTOR"))</f>
        <v>0</v>
      </c>
      <c r="Q879" s="126">
        <f>IF(E879="Y",VLOOKUP(D879,'Support - Unit Adjustments'!F:G,2,FALSE),0)</f>
        <v>0</v>
      </c>
      <c r="R879" s="155">
        <f t="shared" si="269"/>
        <v>0</v>
      </c>
      <c r="S879" s="47">
        <f t="shared" si="268"/>
        <v>0</v>
      </c>
      <c r="T879" s="151">
        <f t="shared" si="253"/>
        <v>2868</v>
      </c>
      <c r="U879" s="151">
        <f t="shared" si="254"/>
        <v>0</v>
      </c>
      <c r="V879" s="139">
        <f t="shared" si="255"/>
        <v>0</v>
      </c>
      <c r="W879" s="152">
        <f t="shared" si="258"/>
        <v>2868</v>
      </c>
      <c r="X879" s="127" t="str">
        <f t="shared" si="256"/>
        <v/>
      </c>
      <c r="Y879" s="207">
        <f t="shared" si="259"/>
        <v>2868</v>
      </c>
      <c r="Z879" s="139">
        <f t="shared" si="260"/>
        <v>2868</v>
      </c>
      <c r="AA879" s="139">
        <f t="shared" si="261"/>
        <v>0</v>
      </c>
      <c r="AC879" s="47">
        <f t="shared" si="262"/>
        <v>1434</v>
      </c>
      <c r="AD879" s="47">
        <f t="shared" si="263"/>
        <v>1434</v>
      </c>
      <c r="AE879" s="47">
        <f t="shared" si="264"/>
        <v>0</v>
      </c>
      <c r="AG879" s="47">
        <f t="shared" si="265"/>
        <v>1434</v>
      </c>
      <c r="AH879" s="47">
        <f t="shared" si="266"/>
        <v>1434</v>
      </c>
      <c r="AI879" s="208">
        <f t="shared" si="267"/>
        <v>0</v>
      </c>
    </row>
    <row r="880" spans="1:35">
      <c r="A880" t="s">
        <v>2117</v>
      </c>
      <c r="B880" t="s">
        <v>3155</v>
      </c>
      <c r="C880" t="s">
        <v>2536</v>
      </c>
      <c r="D880" t="s">
        <v>4183</v>
      </c>
      <c r="F880" t="s">
        <v>694</v>
      </c>
      <c r="G880" s="126">
        <f>SUMIFS('Support - Transition'!F:F,'Support - Transition'!B:B,'Step 2'!A880,'Support - Transition'!C:C,'Step 2'!B880,'Support - Transition'!D:D,'Step 2'!C880,'Support - Transition'!E:E,"CIVIL")</f>
        <v>0</v>
      </c>
      <c r="H880" s="126">
        <f>SUMIFS('Support - Transition'!F:F,'Support - Transition'!B:B,'Step 2'!A880,'Support - Transition'!C:C,'Step 2'!B880,'Support - Transition'!D:D,'Step 2'!C880,'Support - Transition'!E:E,"FIRE")</f>
        <v>0</v>
      </c>
      <c r="I880" s="126">
        <f>IF(B880="0",SUMIFS('Support - Transition'!F:F,'Support - Transition'!J:J,'Step 2'!D880,'Support - Transition'!E:E,"STATE UNIT"),SUMIFS('Support - Transition'!F:F,'Support - Transition'!J:J,'Step 2'!D880))</f>
        <v>1.73E-4</v>
      </c>
      <c r="J880" s="126">
        <f>SUMIFS('Support - Unit Adjustments'!E:E,'Support - Unit Adjustments'!F:F,'Step 2'!D880)</f>
        <v>0</v>
      </c>
      <c r="K880" s="126">
        <f t="shared" si="251"/>
        <v>1.73E-4</v>
      </c>
      <c r="L880" s="174">
        <f>VLOOKUP(A880,'Step 1'!$A:$E,4,FALSE)</f>
        <v>248005</v>
      </c>
      <c r="M880" s="47">
        <f t="shared" si="252"/>
        <v>43</v>
      </c>
      <c r="N880" s="177">
        <f>SUMIFS('Support - Transition'!G:G,'Support - Transition'!J:J,'Step 2'!D880,'Support - Transition'!E:E,"2009 WELFARE ALLOCATION FACTOR")</f>
        <v>0</v>
      </c>
      <c r="O880" s="152">
        <f t="shared" si="257"/>
        <v>0</v>
      </c>
      <c r="P880" s="126">
        <f>IF(E880="Y",0,SUMIFS('Support - Transition'!G:G,'Support - Transition'!J:J,'Step 2'!D880,'Support - Transition'!E:E,"2009 SCHOOL ALLOCATION FACTOR"))</f>
        <v>0</v>
      </c>
      <c r="Q880" s="126">
        <f>IF(E880="Y",VLOOKUP(D880,'Support - Unit Adjustments'!F:G,2,FALSE),0)</f>
        <v>0</v>
      </c>
      <c r="R880" s="155">
        <f t="shared" si="269"/>
        <v>0</v>
      </c>
      <c r="S880" s="47">
        <f t="shared" si="268"/>
        <v>0</v>
      </c>
      <c r="T880" s="151">
        <f t="shared" si="253"/>
        <v>43</v>
      </c>
      <c r="U880" s="151">
        <f t="shared" si="254"/>
        <v>0</v>
      </c>
      <c r="V880" s="139">
        <f t="shared" si="255"/>
        <v>0</v>
      </c>
      <c r="W880" s="152">
        <f t="shared" si="258"/>
        <v>43</v>
      </c>
      <c r="X880" s="127" t="str">
        <f t="shared" si="256"/>
        <v/>
      </c>
      <c r="Y880" s="207">
        <f t="shared" si="259"/>
        <v>43</v>
      </c>
      <c r="Z880" s="139">
        <f t="shared" si="260"/>
        <v>43</v>
      </c>
      <c r="AA880" s="139">
        <f t="shared" si="261"/>
        <v>0</v>
      </c>
      <c r="AC880" s="47">
        <f t="shared" si="262"/>
        <v>22</v>
      </c>
      <c r="AD880" s="47">
        <f t="shared" si="263"/>
        <v>22</v>
      </c>
      <c r="AE880" s="47">
        <f t="shared" si="264"/>
        <v>0</v>
      </c>
      <c r="AG880" s="47">
        <f t="shared" si="265"/>
        <v>21</v>
      </c>
      <c r="AH880" s="47">
        <f t="shared" si="266"/>
        <v>21</v>
      </c>
      <c r="AI880" s="208">
        <f t="shared" si="267"/>
        <v>0</v>
      </c>
    </row>
    <row r="881" spans="1:35">
      <c r="A881" t="s">
        <v>2117</v>
      </c>
      <c r="B881" t="s">
        <v>3155</v>
      </c>
      <c r="C881" t="s">
        <v>2537</v>
      </c>
      <c r="D881" t="s">
        <v>4184</v>
      </c>
      <c r="F881" t="s">
        <v>695</v>
      </c>
      <c r="G881" s="126">
        <f>SUMIFS('Support - Transition'!F:F,'Support - Transition'!B:B,'Step 2'!A881,'Support - Transition'!C:C,'Step 2'!B881,'Support - Transition'!D:D,'Step 2'!C881,'Support - Transition'!E:E,"CIVIL")</f>
        <v>0</v>
      </c>
      <c r="H881" s="126">
        <f>SUMIFS('Support - Transition'!F:F,'Support - Transition'!B:B,'Step 2'!A881,'Support - Transition'!C:C,'Step 2'!B881,'Support - Transition'!D:D,'Step 2'!C881,'Support - Transition'!E:E,"FIRE")</f>
        <v>0</v>
      </c>
      <c r="I881" s="126">
        <f>IF(B881="0",SUMIFS('Support - Transition'!F:F,'Support - Transition'!J:J,'Step 2'!D881,'Support - Transition'!E:E,"STATE UNIT"),SUMIFS('Support - Transition'!F:F,'Support - Transition'!J:J,'Step 2'!D881))</f>
        <v>6.6000000000000005E-5</v>
      </c>
      <c r="J881" s="126">
        <f>SUMIFS('Support - Unit Adjustments'!E:E,'Support - Unit Adjustments'!F:F,'Step 2'!D881)</f>
        <v>0</v>
      </c>
      <c r="K881" s="126">
        <f t="shared" si="251"/>
        <v>6.6000000000000005E-5</v>
      </c>
      <c r="L881" s="174">
        <f>VLOOKUP(A881,'Step 1'!$A:$E,4,FALSE)</f>
        <v>248005</v>
      </c>
      <c r="M881" s="47">
        <f t="shared" si="252"/>
        <v>16</v>
      </c>
      <c r="N881" s="177">
        <f>SUMIFS('Support - Transition'!G:G,'Support - Transition'!J:J,'Step 2'!D881,'Support - Transition'!E:E,"2009 WELFARE ALLOCATION FACTOR")</f>
        <v>0</v>
      </c>
      <c r="O881" s="152">
        <f t="shared" si="257"/>
        <v>0</v>
      </c>
      <c r="P881" s="126">
        <f>IF(E881="Y",0,SUMIFS('Support - Transition'!G:G,'Support - Transition'!J:J,'Step 2'!D881,'Support - Transition'!E:E,"2009 SCHOOL ALLOCATION FACTOR"))</f>
        <v>0</v>
      </c>
      <c r="Q881" s="126">
        <f>IF(E881="Y",VLOOKUP(D881,'Support - Unit Adjustments'!F:G,2,FALSE),0)</f>
        <v>0</v>
      </c>
      <c r="R881" s="155">
        <f t="shared" si="269"/>
        <v>0</v>
      </c>
      <c r="S881" s="47">
        <f t="shared" si="268"/>
        <v>0</v>
      </c>
      <c r="T881" s="151">
        <f t="shared" si="253"/>
        <v>16</v>
      </c>
      <c r="U881" s="151">
        <f t="shared" si="254"/>
        <v>0</v>
      </c>
      <c r="V881" s="139">
        <f t="shared" si="255"/>
        <v>0</v>
      </c>
      <c r="W881" s="152">
        <f t="shared" si="258"/>
        <v>16</v>
      </c>
      <c r="X881" s="127" t="str">
        <f t="shared" si="256"/>
        <v/>
      </c>
      <c r="Y881" s="207">
        <f t="shared" si="259"/>
        <v>16</v>
      </c>
      <c r="Z881" s="139">
        <f t="shared" si="260"/>
        <v>16</v>
      </c>
      <c r="AA881" s="139">
        <f t="shared" si="261"/>
        <v>0</v>
      </c>
      <c r="AC881" s="47">
        <f t="shared" si="262"/>
        <v>8</v>
      </c>
      <c r="AD881" s="47">
        <f t="shared" si="263"/>
        <v>8</v>
      </c>
      <c r="AE881" s="47">
        <f t="shared" si="264"/>
        <v>0</v>
      </c>
      <c r="AG881" s="47">
        <f t="shared" si="265"/>
        <v>8</v>
      </c>
      <c r="AH881" s="47">
        <f t="shared" si="266"/>
        <v>8</v>
      </c>
      <c r="AI881" s="208">
        <f t="shared" si="267"/>
        <v>0</v>
      </c>
    </row>
    <row r="882" spans="1:35">
      <c r="A882" t="s">
        <v>2117</v>
      </c>
      <c r="B882" t="s">
        <v>3155</v>
      </c>
      <c r="C882" t="s">
        <v>2538</v>
      </c>
      <c r="D882" t="s">
        <v>4185</v>
      </c>
      <c r="F882" t="s">
        <v>696</v>
      </c>
      <c r="G882" s="126">
        <f>SUMIFS('Support - Transition'!F:F,'Support - Transition'!B:B,'Step 2'!A882,'Support - Transition'!C:C,'Step 2'!B882,'Support - Transition'!D:D,'Step 2'!C882,'Support - Transition'!E:E,"CIVIL")</f>
        <v>0</v>
      </c>
      <c r="H882" s="126">
        <f>SUMIFS('Support - Transition'!F:F,'Support - Transition'!B:B,'Step 2'!A882,'Support - Transition'!C:C,'Step 2'!B882,'Support - Transition'!D:D,'Step 2'!C882,'Support - Transition'!E:E,"FIRE")</f>
        <v>0</v>
      </c>
      <c r="I882" s="126">
        <f>IF(B882="0",SUMIFS('Support - Transition'!F:F,'Support - Transition'!J:J,'Step 2'!D882,'Support - Transition'!E:E,"STATE UNIT"),SUMIFS('Support - Transition'!F:F,'Support - Transition'!J:J,'Step 2'!D882))</f>
        <v>0</v>
      </c>
      <c r="J882" s="126">
        <f>SUMIFS('Support - Unit Adjustments'!E:E,'Support - Unit Adjustments'!F:F,'Step 2'!D882)</f>
        <v>0</v>
      </c>
      <c r="K882" s="126">
        <f t="shared" si="251"/>
        <v>0</v>
      </c>
      <c r="L882" s="174">
        <f>VLOOKUP(A882,'Step 1'!$A:$E,4,FALSE)</f>
        <v>248005</v>
      </c>
      <c r="M882" s="47">
        <f t="shared" si="252"/>
        <v>0</v>
      </c>
      <c r="N882" s="177">
        <f>SUMIFS('Support - Transition'!G:G,'Support - Transition'!J:J,'Step 2'!D882,'Support - Transition'!E:E,"2009 WELFARE ALLOCATION FACTOR")</f>
        <v>0</v>
      </c>
      <c r="O882" s="152">
        <f t="shared" si="257"/>
        <v>0</v>
      </c>
      <c r="P882" s="126">
        <f>IF(E882="Y",0,SUMIFS('Support - Transition'!G:G,'Support - Transition'!J:J,'Step 2'!D882,'Support - Transition'!E:E,"2009 SCHOOL ALLOCATION FACTOR"))</f>
        <v>0</v>
      </c>
      <c r="Q882" s="126">
        <f>IF(E882="Y",VLOOKUP(D882,'Support - Unit Adjustments'!F:G,2,FALSE),0)</f>
        <v>0</v>
      </c>
      <c r="R882" s="155">
        <f t="shared" si="269"/>
        <v>0</v>
      </c>
      <c r="S882" s="47">
        <f t="shared" si="268"/>
        <v>0</v>
      </c>
      <c r="T882" s="151">
        <f t="shared" si="253"/>
        <v>0</v>
      </c>
      <c r="U882" s="151">
        <f t="shared" si="254"/>
        <v>0</v>
      </c>
      <c r="V882" s="139">
        <f t="shared" si="255"/>
        <v>0</v>
      </c>
      <c r="W882" s="152">
        <f t="shared" si="258"/>
        <v>0</v>
      </c>
      <c r="X882" s="127" t="str">
        <f t="shared" si="256"/>
        <v/>
      </c>
      <c r="Y882" s="207">
        <f t="shared" si="259"/>
        <v>0</v>
      </c>
      <c r="Z882" s="139">
        <f t="shared" si="260"/>
        <v>0</v>
      </c>
      <c r="AA882" s="139">
        <f t="shared" si="261"/>
        <v>0</v>
      </c>
      <c r="AC882" s="47">
        <f t="shared" si="262"/>
        <v>0</v>
      </c>
      <c r="AD882" s="47">
        <f t="shared" si="263"/>
        <v>0</v>
      </c>
      <c r="AE882" s="47">
        <f t="shared" si="264"/>
        <v>0</v>
      </c>
      <c r="AG882" s="47">
        <f t="shared" si="265"/>
        <v>0</v>
      </c>
      <c r="AH882" s="47">
        <f t="shared" si="266"/>
        <v>0</v>
      </c>
      <c r="AI882" s="208">
        <f t="shared" si="267"/>
        <v>0</v>
      </c>
    </row>
    <row r="883" spans="1:35">
      <c r="A883" t="s">
        <v>2117</v>
      </c>
      <c r="B883" t="s">
        <v>3155</v>
      </c>
      <c r="C883" t="s">
        <v>2539</v>
      </c>
      <c r="D883" t="s">
        <v>4186</v>
      </c>
      <c r="F883" t="s">
        <v>697</v>
      </c>
      <c r="G883" s="126">
        <f>SUMIFS('Support - Transition'!F:F,'Support - Transition'!B:B,'Step 2'!A883,'Support - Transition'!C:C,'Step 2'!B883,'Support - Transition'!D:D,'Step 2'!C883,'Support - Transition'!E:E,"CIVIL")</f>
        <v>0</v>
      </c>
      <c r="H883" s="126">
        <f>SUMIFS('Support - Transition'!F:F,'Support - Transition'!B:B,'Step 2'!A883,'Support - Transition'!C:C,'Step 2'!B883,'Support - Transition'!D:D,'Step 2'!C883,'Support - Transition'!E:E,"FIRE")</f>
        <v>0</v>
      </c>
      <c r="I883" s="126">
        <f>IF(B883="0",SUMIFS('Support - Transition'!F:F,'Support - Transition'!J:J,'Step 2'!D883,'Support - Transition'!E:E,"STATE UNIT"),SUMIFS('Support - Transition'!F:F,'Support - Transition'!J:J,'Step 2'!D883))</f>
        <v>1.1E-4</v>
      </c>
      <c r="J883" s="126">
        <f>SUMIFS('Support - Unit Adjustments'!E:E,'Support - Unit Adjustments'!F:F,'Step 2'!D883)</f>
        <v>0</v>
      </c>
      <c r="K883" s="126">
        <f t="shared" si="251"/>
        <v>1.1E-4</v>
      </c>
      <c r="L883" s="174">
        <f>VLOOKUP(A883,'Step 1'!$A:$E,4,FALSE)</f>
        <v>248005</v>
      </c>
      <c r="M883" s="47">
        <f t="shared" si="252"/>
        <v>27</v>
      </c>
      <c r="N883" s="177">
        <f>SUMIFS('Support - Transition'!G:G,'Support - Transition'!J:J,'Step 2'!D883,'Support - Transition'!E:E,"2009 WELFARE ALLOCATION FACTOR")</f>
        <v>0</v>
      </c>
      <c r="O883" s="152">
        <f t="shared" si="257"/>
        <v>0</v>
      </c>
      <c r="P883" s="126">
        <f>IF(E883="Y",0,SUMIFS('Support - Transition'!G:G,'Support - Transition'!J:J,'Step 2'!D883,'Support - Transition'!E:E,"2009 SCHOOL ALLOCATION FACTOR"))</f>
        <v>0</v>
      </c>
      <c r="Q883" s="126">
        <f>IF(E883="Y",VLOOKUP(D883,'Support - Unit Adjustments'!F:G,2,FALSE),0)</f>
        <v>0</v>
      </c>
      <c r="R883" s="155">
        <f t="shared" si="269"/>
        <v>0</v>
      </c>
      <c r="S883" s="47">
        <f t="shared" si="268"/>
        <v>0</v>
      </c>
      <c r="T883" s="151">
        <f t="shared" si="253"/>
        <v>27</v>
      </c>
      <c r="U883" s="151">
        <f t="shared" si="254"/>
        <v>0</v>
      </c>
      <c r="V883" s="139">
        <f t="shared" si="255"/>
        <v>0</v>
      </c>
      <c r="W883" s="152">
        <f t="shared" si="258"/>
        <v>27</v>
      </c>
      <c r="X883" s="127" t="str">
        <f t="shared" si="256"/>
        <v/>
      </c>
      <c r="Y883" s="207">
        <f t="shared" si="259"/>
        <v>27</v>
      </c>
      <c r="Z883" s="139">
        <f t="shared" si="260"/>
        <v>27</v>
      </c>
      <c r="AA883" s="139">
        <f t="shared" si="261"/>
        <v>0</v>
      </c>
      <c r="AC883" s="47">
        <f t="shared" si="262"/>
        <v>14</v>
      </c>
      <c r="AD883" s="47">
        <f t="shared" si="263"/>
        <v>14</v>
      </c>
      <c r="AE883" s="47">
        <f t="shared" si="264"/>
        <v>0</v>
      </c>
      <c r="AG883" s="47">
        <f t="shared" si="265"/>
        <v>13</v>
      </c>
      <c r="AH883" s="47">
        <f t="shared" si="266"/>
        <v>13</v>
      </c>
      <c r="AI883" s="208">
        <f t="shared" si="267"/>
        <v>0</v>
      </c>
    </row>
    <row r="884" spans="1:35">
      <c r="A884" t="s">
        <v>2117</v>
      </c>
      <c r="B884" t="s">
        <v>3155</v>
      </c>
      <c r="C884" t="s">
        <v>2540</v>
      </c>
      <c r="D884" t="s">
        <v>4187</v>
      </c>
      <c r="F884" t="s">
        <v>698</v>
      </c>
      <c r="G884" s="126">
        <f>SUMIFS('Support - Transition'!F:F,'Support - Transition'!B:B,'Step 2'!A884,'Support - Transition'!C:C,'Step 2'!B884,'Support - Transition'!D:D,'Step 2'!C884,'Support - Transition'!E:E,"CIVIL")</f>
        <v>0</v>
      </c>
      <c r="H884" s="126">
        <f>SUMIFS('Support - Transition'!F:F,'Support - Transition'!B:B,'Step 2'!A884,'Support - Transition'!C:C,'Step 2'!B884,'Support - Transition'!D:D,'Step 2'!C884,'Support - Transition'!E:E,"FIRE")</f>
        <v>0</v>
      </c>
      <c r="I884" s="126">
        <f>IF(B884="0",SUMIFS('Support - Transition'!F:F,'Support - Transition'!J:J,'Step 2'!D884,'Support - Transition'!E:E,"STATE UNIT"),SUMIFS('Support - Transition'!F:F,'Support - Transition'!J:J,'Step 2'!D884))</f>
        <v>1.183E-3</v>
      </c>
      <c r="J884" s="126">
        <f>SUMIFS('Support - Unit Adjustments'!E:E,'Support - Unit Adjustments'!F:F,'Step 2'!D884)</f>
        <v>0</v>
      </c>
      <c r="K884" s="126">
        <f t="shared" si="251"/>
        <v>1.183E-3</v>
      </c>
      <c r="L884" s="174">
        <f>VLOOKUP(A884,'Step 1'!$A:$E,4,FALSE)</f>
        <v>248005</v>
      </c>
      <c r="M884" s="47">
        <f t="shared" si="252"/>
        <v>293</v>
      </c>
      <c r="N884" s="177">
        <f>SUMIFS('Support - Transition'!G:G,'Support - Transition'!J:J,'Step 2'!D884,'Support - Transition'!E:E,"2009 WELFARE ALLOCATION FACTOR")</f>
        <v>0</v>
      </c>
      <c r="O884" s="152">
        <f t="shared" si="257"/>
        <v>0</v>
      </c>
      <c r="P884" s="126">
        <f>IF(E884="Y",0,SUMIFS('Support - Transition'!G:G,'Support - Transition'!J:J,'Step 2'!D884,'Support - Transition'!E:E,"2009 SCHOOL ALLOCATION FACTOR"))</f>
        <v>0</v>
      </c>
      <c r="Q884" s="126">
        <f>IF(E884="Y",VLOOKUP(D884,'Support - Unit Adjustments'!F:G,2,FALSE),0)</f>
        <v>0</v>
      </c>
      <c r="R884" s="155">
        <f t="shared" si="269"/>
        <v>0</v>
      </c>
      <c r="S884" s="47">
        <f t="shared" si="268"/>
        <v>0</v>
      </c>
      <c r="T884" s="151">
        <f t="shared" si="253"/>
        <v>293</v>
      </c>
      <c r="U884" s="151">
        <f t="shared" si="254"/>
        <v>0</v>
      </c>
      <c r="V884" s="139">
        <f t="shared" si="255"/>
        <v>0</v>
      </c>
      <c r="W884" s="152">
        <f t="shared" si="258"/>
        <v>293</v>
      </c>
      <c r="X884" s="127" t="str">
        <f t="shared" si="256"/>
        <v/>
      </c>
      <c r="Y884" s="207">
        <f t="shared" si="259"/>
        <v>293</v>
      </c>
      <c r="Z884" s="139">
        <f t="shared" si="260"/>
        <v>293</v>
      </c>
      <c r="AA884" s="139">
        <f t="shared" si="261"/>
        <v>0</v>
      </c>
      <c r="AC884" s="47">
        <f t="shared" si="262"/>
        <v>147</v>
      </c>
      <c r="AD884" s="47">
        <f t="shared" si="263"/>
        <v>147</v>
      </c>
      <c r="AE884" s="47">
        <f t="shared" si="264"/>
        <v>0</v>
      </c>
      <c r="AG884" s="47">
        <f t="shared" si="265"/>
        <v>146</v>
      </c>
      <c r="AH884" s="47">
        <f t="shared" si="266"/>
        <v>146</v>
      </c>
      <c r="AI884" s="208">
        <f t="shared" si="267"/>
        <v>0</v>
      </c>
    </row>
    <row r="885" spans="1:35">
      <c r="A885" t="s">
        <v>2117</v>
      </c>
      <c r="B885" t="s">
        <v>3155</v>
      </c>
      <c r="C885" t="s">
        <v>2541</v>
      </c>
      <c r="D885" t="s">
        <v>4188</v>
      </c>
      <c r="F885" t="s">
        <v>699</v>
      </c>
      <c r="G885" s="126">
        <f>SUMIFS('Support - Transition'!F:F,'Support - Transition'!B:B,'Step 2'!A885,'Support - Transition'!C:C,'Step 2'!B885,'Support - Transition'!D:D,'Step 2'!C885,'Support - Transition'!E:E,"CIVIL")</f>
        <v>0</v>
      </c>
      <c r="H885" s="126">
        <f>SUMIFS('Support - Transition'!F:F,'Support - Transition'!B:B,'Step 2'!A885,'Support - Transition'!C:C,'Step 2'!B885,'Support - Transition'!D:D,'Step 2'!C885,'Support - Transition'!E:E,"FIRE")</f>
        <v>0</v>
      </c>
      <c r="I885" s="126">
        <f>IF(B885="0",SUMIFS('Support - Transition'!F:F,'Support - Transition'!J:J,'Step 2'!D885,'Support - Transition'!E:E,"STATE UNIT"),SUMIFS('Support - Transition'!F:F,'Support - Transition'!J:J,'Step 2'!D885))</f>
        <v>0</v>
      </c>
      <c r="J885" s="126">
        <f>SUMIFS('Support - Unit Adjustments'!E:E,'Support - Unit Adjustments'!F:F,'Step 2'!D885)</f>
        <v>0</v>
      </c>
      <c r="K885" s="126">
        <f t="shared" si="251"/>
        <v>0</v>
      </c>
      <c r="L885" s="174">
        <f>VLOOKUP(A885,'Step 1'!$A:$E,4,FALSE)</f>
        <v>248005</v>
      </c>
      <c r="M885" s="47">
        <f t="shared" si="252"/>
        <v>0</v>
      </c>
      <c r="N885" s="177">
        <f>SUMIFS('Support - Transition'!G:G,'Support - Transition'!J:J,'Step 2'!D885,'Support - Transition'!E:E,"2009 WELFARE ALLOCATION FACTOR")</f>
        <v>0</v>
      </c>
      <c r="O885" s="152">
        <f t="shared" si="257"/>
        <v>0</v>
      </c>
      <c r="P885" s="126">
        <f>IF(E885="Y",0,SUMIFS('Support - Transition'!G:G,'Support - Transition'!J:J,'Step 2'!D885,'Support - Transition'!E:E,"2009 SCHOOL ALLOCATION FACTOR"))</f>
        <v>0</v>
      </c>
      <c r="Q885" s="126">
        <f>IF(E885="Y",VLOOKUP(D885,'Support - Unit Adjustments'!F:G,2,FALSE),0)</f>
        <v>0</v>
      </c>
      <c r="R885" s="155">
        <f t="shared" si="269"/>
        <v>0</v>
      </c>
      <c r="S885" s="47">
        <f t="shared" si="268"/>
        <v>0</v>
      </c>
      <c r="T885" s="151">
        <f t="shared" si="253"/>
        <v>0</v>
      </c>
      <c r="U885" s="151">
        <f t="shared" si="254"/>
        <v>0</v>
      </c>
      <c r="V885" s="139">
        <f t="shared" si="255"/>
        <v>0</v>
      </c>
      <c r="W885" s="152">
        <f t="shared" si="258"/>
        <v>0</v>
      </c>
      <c r="X885" s="127" t="str">
        <f t="shared" si="256"/>
        <v/>
      </c>
      <c r="Y885" s="207">
        <f t="shared" si="259"/>
        <v>0</v>
      </c>
      <c r="Z885" s="139">
        <f t="shared" si="260"/>
        <v>0</v>
      </c>
      <c r="AA885" s="139">
        <f t="shared" si="261"/>
        <v>0</v>
      </c>
      <c r="AC885" s="47">
        <f t="shared" si="262"/>
        <v>0</v>
      </c>
      <c r="AD885" s="47">
        <f t="shared" si="263"/>
        <v>0</v>
      </c>
      <c r="AE885" s="47">
        <f t="shared" si="264"/>
        <v>0</v>
      </c>
      <c r="AG885" s="47">
        <f t="shared" si="265"/>
        <v>0</v>
      </c>
      <c r="AH885" s="47">
        <f t="shared" si="266"/>
        <v>0</v>
      </c>
      <c r="AI885" s="208">
        <f t="shared" si="267"/>
        <v>0</v>
      </c>
    </row>
    <row r="886" spans="1:35">
      <c r="A886" t="s">
        <v>2117</v>
      </c>
      <c r="B886" t="s">
        <v>3155</v>
      </c>
      <c r="C886" t="s">
        <v>2542</v>
      </c>
      <c r="D886" t="s">
        <v>4189</v>
      </c>
      <c r="F886" t="s">
        <v>700</v>
      </c>
      <c r="G886" s="126">
        <f>SUMIFS('Support - Transition'!F:F,'Support - Transition'!B:B,'Step 2'!A886,'Support - Transition'!C:C,'Step 2'!B886,'Support - Transition'!D:D,'Step 2'!C886,'Support - Transition'!E:E,"CIVIL")</f>
        <v>0</v>
      </c>
      <c r="H886" s="126">
        <f>SUMIFS('Support - Transition'!F:F,'Support - Transition'!B:B,'Step 2'!A886,'Support - Transition'!C:C,'Step 2'!B886,'Support - Transition'!D:D,'Step 2'!C886,'Support - Transition'!E:E,"FIRE")</f>
        <v>0</v>
      </c>
      <c r="I886" s="126">
        <f>IF(B886="0",SUMIFS('Support - Transition'!F:F,'Support - Transition'!J:J,'Step 2'!D886,'Support - Transition'!E:E,"STATE UNIT"),SUMIFS('Support - Transition'!F:F,'Support - Transition'!J:J,'Step 2'!D886))</f>
        <v>0</v>
      </c>
      <c r="J886" s="126">
        <f>SUMIFS('Support - Unit Adjustments'!E:E,'Support - Unit Adjustments'!F:F,'Step 2'!D886)</f>
        <v>0</v>
      </c>
      <c r="K886" s="126">
        <f t="shared" si="251"/>
        <v>0</v>
      </c>
      <c r="L886" s="174">
        <f>VLOOKUP(A886,'Step 1'!$A:$E,4,FALSE)</f>
        <v>248005</v>
      </c>
      <c r="M886" s="47">
        <f t="shared" si="252"/>
        <v>0</v>
      </c>
      <c r="N886" s="177">
        <f>SUMIFS('Support - Transition'!G:G,'Support - Transition'!J:J,'Step 2'!D886,'Support - Transition'!E:E,"2009 WELFARE ALLOCATION FACTOR")</f>
        <v>0</v>
      </c>
      <c r="O886" s="152">
        <f t="shared" si="257"/>
        <v>0</v>
      </c>
      <c r="P886" s="126">
        <f>IF(E886="Y",0,SUMIFS('Support - Transition'!G:G,'Support - Transition'!J:J,'Step 2'!D886,'Support - Transition'!E:E,"2009 SCHOOL ALLOCATION FACTOR"))</f>
        <v>0</v>
      </c>
      <c r="Q886" s="126">
        <f>IF(E886="Y",VLOOKUP(D886,'Support - Unit Adjustments'!F:G,2,FALSE),0)</f>
        <v>0</v>
      </c>
      <c r="R886" s="155">
        <f t="shared" si="269"/>
        <v>0</v>
      </c>
      <c r="S886" s="47">
        <f t="shared" si="268"/>
        <v>0</v>
      </c>
      <c r="T886" s="151">
        <f t="shared" si="253"/>
        <v>0</v>
      </c>
      <c r="U886" s="151">
        <f t="shared" si="254"/>
        <v>0</v>
      </c>
      <c r="V886" s="139">
        <f t="shared" si="255"/>
        <v>0</v>
      </c>
      <c r="W886" s="152">
        <f t="shared" si="258"/>
        <v>0</v>
      </c>
      <c r="X886" s="127" t="str">
        <f t="shared" si="256"/>
        <v/>
      </c>
      <c r="Y886" s="207">
        <f t="shared" si="259"/>
        <v>0</v>
      </c>
      <c r="Z886" s="139">
        <f t="shared" si="260"/>
        <v>0</v>
      </c>
      <c r="AA886" s="139">
        <f t="shared" si="261"/>
        <v>0</v>
      </c>
      <c r="AC886" s="47">
        <f t="shared" si="262"/>
        <v>0</v>
      </c>
      <c r="AD886" s="47">
        <f t="shared" si="263"/>
        <v>0</v>
      </c>
      <c r="AE886" s="47">
        <f t="shared" si="264"/>
        <v>0</v>
      </c>
      <c r="AG886" s="47">
        <f t="shared" si="265"/>
        <v>0</v>
      </c>
      <c r="AH886" s="47">
        <f t="shared" si="266"/>
        <v>0</v>
      </c>
      <c r="AI886" s="208">
        <f t="shared" si="267"/>
        <v>0</v>
      </c>
    </row>
    <row r="887" spans="1:35">
      <c r="A887" t="s">
        <v>2117</v>
      </c>
      <c r="B887" t="s">
        <v>3155</v>
      </c>
      <c r="C887" t="s">
        <v>2543</v>
      </c>
      <c r="D887" t="s">
        <v>4190</v>
      </c>
      <c r="F887" t="s">
        <v>701</v>
      </c>
      <c r="G887" s="126">
        <f>SUMIFS('Support - Transition'!F:F,'Support - Transition'!B:B,'Step 2'!A887,'Support - Transition'!C:C,'Step 2'!B887,'Support - Transition'!D:D,'Step 2'!C887,'Support - Transition'!E:E,"CIVIL")</f>
        <v>0</v>
      </c>
      <c r="H887" s="126">
        <f>SUMIFS('Support - Transition'!F:F,'Support - Transition'!B:B,'Step 2'!A887,'Support - Transition'!C:C,'Step 2'!B887,'Support - Transition'!D:D,'Step 2'!C887,'Support - Transition'!E:E,"FIRE")</f>
        <v>0</v>
      </c>
      <c r="I887" s="126">
        <f>IF(B887="0",SUMIFS('Support - Transition'!F:F,'Support - Transition'!J:J,'Step 2'!D887,'Support - Transition'!E:E,"STATE UNIT"),SUMIFS('Support - Transition'!F:F,'Support - Transition'!J:J,'Step 2'!D887))</f>
        <v>1.2750000000000001E-3</v>
      </c>
      <c r="J887" s="126">
        <f>SUMIFS('Support - Unit Adjustments'!E:E,'Support - Unit Adjustments'!F:F,'Step 2'!D887)</f>
        <v>0</v>
      </c>
      <c r="K887" s="126">
        <f t="shared" si="251"/>
        <v>1.2750000000000001E-3</v>
      </c>
      <c r="L887" s="174">
        <f>VLOOKUP(A887,'Step 1'!$A:$E,4,FALSE)</f>
        <v>248005</v>
      </c>
      <c r="M887" s="47">
        <f t="shared" si="252"/>
        <v>316</v>
      </c>
      <c r="N887" s="177">
        <f>SUMIFS('Support - Transition'!G:G,'Support - Transition'!J:J,'Step 2'!D887,'Support - Transition'!E:E,"2009 WELFARE ALLOCATION FACTOR")</f>
        <v>0</v>
      </c>
      <c r="O887" s="152">
        <f t="shared" si="257"/>
        <v>0</v>
      </c>
      <c r="P887" s="126">
        <f>IF(E887="Y",0,SUMIFS('Support - Transition'!G:G,'Support - Transition'!J:J,'Step 2'!D887,'Support - Transition'!E:E,"2009 SCHOOL ALLOCATION FACTOR"))</f>
        <v>0</v>
      </c>
      <c r="Q887" s="126">
        <f>IF(E887="Y",VLOOKUP(D887,'Support - Unit Adjustments'!F:G,2,FALSE),0)</f>
        <v>0</v>
      </c>
      <c r="R887" s="155">
        <f t="shared" si="269"/>
        <v>0</v>
      </c>
      <c r="S887" s="47">
        <f t="shared" si="268"/>
        <v>0</v>
      </c>
      <c r="T887" s="151">
        <f t="shared" si="253"/>
        <v>316</v>
      </c>
      <c r="U887" s="151">
        <f t="shared" si="254"/>
        <v>0</v>
      </c>
      <c r="V887" s="139">
        <f t="shared" si="255"/>
        <v>0</v>
      </c>
      <c r="W887" s="152">
        <f t="shared" si="258"/>
        <v>316</v>
      </c>
      <c r="X887" s="127" t="str">
        <f t="shared" si="256"/>
        <v/>
      </c>
      <c r="Y887" s="207">
        <f t="shared" si="259"/>
        <v>316</v>
      </c>
      <c r="Z887" s="139">
        <f t="shared" si="260"/>
        <v>316</v>
      </c>
      <c r="AA887" s="139">
        <f t="shared" si="261"/>
        <v>0</v>
      </c>
      <c r="AC887" s="47">
        <f t="shared" si="262"/>
        <v>158</v>
      </c>
      <c r="AD887" s="47">
        <f t="shared" si="263"/>
        <v>158</v>
      </c>
      <c r="AE887" s="47">
        <f t="shared" si="264"/>
        <v>0</v>
      </c>
      <c r="AG887" s="47">
        <f t="shared" si="265"/>
        <v>158</v>
      </c>
      <c r="AH887" s="47">
        <f t="shared" si="266"/>
        <v>158</v>
      </c>
      <c r="AI887" s="208">
        <f t="shared" si="267"/>
        <v>0</v>
      </c>
    </row>
    <row r="888" spans="1:35">
      <c r="A888" t="s">
        <v>2117</v>
      </c>
      <c r="B888" t="s">
        <v>3160</v>
      </c>
      <c r="C888" t="s">
        <v>2329</v>
      </c>
      <c r="D888" t="s">
        <v>4191</v>
      </c>
      <c r="F888" t="s">
        <v>3564</v>
      </c>
      <c r="G888" s="126">
        <f>SUMIFS('Support - Transition'!F:F,'Support - Transition'!B:B,'Step 2'!A888,'Support - Transition'!C:C,'Step 2'!B888,'Support - Transition'!D:D,'Step 2'!C888,'Support - Transition'!E:E,"CIVIL")</f>
        <v>0</v>
      </c>
      <c r="H888" s="126">
        <f>SUMIFS('Support - Transition'!F:F,'Support - Transition'!B:B,'Step 2'!A888,'Support - Transition'!C:C,'Step 2'!B888,'Support - Transition'!D:D,'Step 2'!C888,'Support - Transition'!E:E,"FIRE")</f>
        <v>0</v>
      </c>
      <c r="I888" s="126">
        <f>IF(B888="0",SUMIFS('Support - Transition'!F:F,'Support - Transition'!J:J,'Step 2'!D888,'Support - Transition'!E:E,"STATE UNIT"),SUMIFS('Support - Transition'!F:F,'Support - Transition'!J:J,'Step 2'!D888))</f>
        <v>0</v>
      </c>
      <c r="J888" s="126">
        <f>SUMIFS('Support - Unit Adjustments'!E:E,'Support - Unit Adjustments'!F:F,'Step 2'!D888)</f>
        <v>0</v>
      </c>
      <c r="K888" s="126">
        <f t="shared" si="251"/>
        <v>0</v>
      </c>
      <c r="L888" s="174">
        <f>VLOOKUP(A888,'Step 1'!$A:$E,4,FALSE)</f>
        <v>248005</v>
      </c>
      <c r="M888" s="47">
        <f t="shared" si="252"/>
        <v>0</v>
      </c>
      <c r="N888" s="177">
        <f>SUMIFS('Support - Transition'!G:G,'Support - Transition'!J:J,'Step 2'!D888,'Support - Transition'!E:E,"2009 WELFARE ALLOCATION FACTOR")</f>
        <v>0</v>
      </c>
      <c r="O888" s="152">
        <f t="shared" si="257"/>
        <v>0</v>
      </c>
      <c r="P888" s="126">
        <f>IF(E888="Y",0,SUMIFS('Support - Transition'!G:G,'Support - Transition'!J:J,'Step 2'!D888,'Support - Transition'!E:E,"2009 SCHOOL ALLOCATION FACTOR"))</f>
        <v>0.333924</v>
      </c>
      <c r="Q888" s="126">
        <f>IF(E888="Y",VLOOKUP(D888,'Support - Unit Adjustments'!F:G,2,FALSE),0)</f>
        <v>0</v>
      </c>
      <c r="R888" s="155">
        <f t="shared" si="269"/>
        <v>0.333924</v>
      </c>
      <c r="S888" s="47">
        <f t="shared" si="268"/>
        <v>0</v>
      </c>
      <c r="T888" s="151">
        <f t="shared" si="253"/>
        <v>0</v>
      </c>
      <c r="U888" s="151">
        <f t="shared" si="254"/>
        <v>0</v>
      </c>
      <c r="V888" s="139">
        <f t="shared" si="255"/>
        <v>0</v>
      </c>
      <c r="W888" s="152">
        <f t="shared" si="258"/>
        <v>0</v>
      </c>
      <c r="X888" s="127" t="str">
        <f t="shared" si="256"/>
        <v/>
      </c>
      <c r="Y888" s="207">
        <f t="shared" si="259"/>
        <v>0</v>
      </c>
      <c r="Z888" s="139">
        <f t="shared" si="260"/>
        <v>0</v>
      </c>
      <c r="AA888" s="139">
        <f t="shared" si="261"/>
        <v>0</v>
      </c>
      <c r="AC888" s="47">
        <f t="shared" si="262"/>
        <v>0</v>
      </c>
      <c r="AD888" s="47">
        <f t="shared" si="263"/>
        <v>0</v>
      </c>
      <c r="AE888" s="47">
        <f t="shared" si="264"/>
        <v>0</v>
      </c>
      <c r="AG888" s="47">
        <f t="shared" si="265"/>
        <v>0</v>
      </c>
      <c r="AH888" s="47">
        <f t="shared" si="266"/>
        <v>0</v>
      </c>
      <c r="AI888" s="208">
        <f t="shared" si="267"/>
        <v>0</v>
      </c>
    </row>
    <row r="889" spans="1:35">
      <c r="A889" t="s">
        <v>2117</v>
      </c>
      <c r="B889" t="s">
        <v>3160</v>
      </c>
      <c r="C889" t="s">
        <v>2544</v>
      </c>
      <c r="D889" t="s">
        <v>4192</v>
      </c>
      <c r="F889" t="s">
        <v>702</v>
      </c>
      <c r="G889" s="126">
        <f>SUMIFS('Support - Transition'!F:F,'Support - Transition'!B:B,'Step 2'!A889,'Support - Transition'!C:C,'Step 2'!B889,'Support - Transition'!D:D,'Step 2'!C889,'Support - Transition'!E:E,"CIVIL")</f>
        <v>0</v>
      </c>
      <c r="H889" s="126">
        <f>SUMIFS('Support - Transition'!F:F,'Support - Transition'!B:B,'Step 2'!A889,'Support - Transition'!C:C,'Step 2'!B889,'Support - Transition'!D:D,'Step 2'!C889,'Support - Transition'!E:E,"FIRE")</f>
        <v>0</v>
      </c>
      <c r="I889" s="126">
        <f>IF(B889="0",SUMIFS('Support - Transition'!F:F,'Support - Transition'!J:J,'Step 2'!D889,'Support - Transition'!E:E,"STATE UNIT"),SUMIFS('Support - Transition'!F:F,'Support - Transition'!J:J,'Step 2'!D889))</f>
        <v>4.7995999999999997E-2</v>
      </c>
      <c r="J889" s="126">
        <f>SUMIFS('Support - Unit Adjustments'!E:E,'Support - Unit Adjustments'!F:F,'Step 2'!D889)</f>
        <v>0</v>
      </c>
      <c r="K889" s="126">
        <f t="shared" si="251"/>
        <v>4.7995999999999997E-2</v>
      </c>
      <c r="L889" s="174">
        <f>VLOOKUP(A889,'Step 1'!$A:$E,4,FALSE)</f>
        <v>248005</v>
      </c>
      <c r="M889" s="47">
        <f t="shared" si="252"/>
        <v>11903</v>
      </c>
      <c r="N889" s="177">
        <f>SUMIFS('Support - Transition'!G:G,'Support - Transition'!J:J,'Step 2'!D889,'Support - Transition'!E:E,"2009 WELFARE ALLOCATION FACTOR")</f>
        <v>0</v>
      </c>
      <c r="O889" s="152">
        <f t="shared" si="257"/>
        <v>0</v>
      </c>
      <c r="P889" s="126">
        <f>IF(E889="Y",0,SUMIFS('Support - Transition'!G:G,'Support - Transition'!J:J,'Step 2'!D889,'Support - Transition'!E:E,"2009 SCHOOL ALLOCATION FACTOR"))</f>
        <v>0.469115</v>
      </c>
      <c r="Q889" s="126">
        <f>IF(E889="Y",VLOOKUP(D889,'Support - Unit Adjustments'!F:G,2,FALSE),0)</f>
        <v>0</v>
      </c>
      <c r="R889" s="155">
        <f t="shared" si="269"/>
        <v>0.469115</v>
      </c>
      <c r="S889" s="47">
        <f t="shared" si="268"/>
        <v>5584</v>
      </c>
      <c r="T889" s="151">
        <f t="shared" si="253"/>
        <v>6319</v>
      </c>
      <c r="U889" s="151">
        <f t="shared" si="254"/>
        <v>0</v>
      </c>
      <c r="V889" s="139">
        <f t="shared" si="255"/>
        <v>0</v>
      </c>
      <c r="W889" s="152">
        <f t="shared" si="258"/>
        <v>6319</v>
      </c>
      <c r="X889" s="127" t="str">
        <f t="shared" si="256"/>
        <v/>
      </c>
      <c r="Y889" s="207">
        <f t="shared" si="259"/>
        <v>6319</v>
      </c>
      <c r="Z889" s="139">
        <f t="shared" si="260"/>
        <v>6319</v>
      </c>
      <c r="AA889" s="139">
        <f t="shared" si="261"/>
        <v>0</v>
      </c>
      <c r="AC889" s="47">
        <f t="shared" si="262"/>
        <v>3160</v>
      </c>
      <c r="AD889" s="47">
        <f t="shared" si="263"/>
        <v>3160</v>
      </c>
      <c r="AE889" s="47">
        <f t="shared" si="264"/>
        <v>0</v>
      </c>
      <c r="AG889" s="47">
        <f t="shared" si="265"/>
        <v>3159</v>
      </c>
      <c r="AH889" s="47">
        <f t="shared" si="266"/>
        <v>3159</v>
      </c>
      <c r="AI889" s="208">
        <f t="shared" si="267"/>
        <v>0</v>
      </c>
    </row>
    <row r="890" spans="1:35">
      <c r="A890" t="s">
        <v>2117</v>
      </c>
      <c r="B890" t="s">
        <v>3160</v>
      </c>
      <c r="C890" t="s">
        <v>2545</v>
      </c>
      <c r="D890" t="s">
        <v>4193</v>
      </c>
      <c r="F890" t="s">
        <v>4194</v>
      </c>
      <c r="G890" s="126">
        <f>SUMIFS('Support - Transition'!F:F,'Support - Transition'!B:B,'Step 2'!A890,'Support - Transition'!C:C,'Step 2'!B890,'Support - Transition'!D:D,'Step 2'!C890,'Support - Transition'!E:E,"CIVIL")</f>
        <v>0</v>
      </c>
      <c r="H890" s="126">
        <f>SUMIFS('Support - Transition'!F:F,'Support - Transition'!B:B,'Step 2'!A890,'Support - Transition'!C:C,'Step 2'!B890,'Support - Transition'!D:D,'Step 2'!C890,'Support - Transition'!E:E,"FIRE")</f>
        <v>0</v>
      </c>
      <c r="I890" s="126">
        <f>IF(B890="0",SUMIFS('Support - Transition'!F:F,'Support - Transition'!J:J,'Step 2'!D890,'Support - Transition'!E:E,"STATE UNIT"),SUMIFS('Support - Transition'!F:F,'Support - Transition'!J:J,'Step 2'!D890))</f>
        <v>0.297682</v>
      </c>
      <c r="J890" s="126">
        <f>SUMIFS('Support - Unit Adjustments'!E:E,'Support - Unit Adjustments'!F:F,'Step 2'!D890)</f>
        <v>0</v>
      </c>
      <c r="K890" s="126">
        <f t="shared" si="251"/>
        <v>0.297682</v>
      </c>
      <c r="L890" s="174">
        <f>VLOOKUP(A890,'Step 1'!$A:$E,4,FALSE)</f>
        <v>248005</v>
      </c>
      <c r="M890" s="47">
        <f t="shared" si="252"/>
        <v>73827</v>
      </c>
      <c r="N890" s="177">
        <f>SUMIFS('Support - Transition'!G:G,'Support - Transition'!J:J,'Step 2'!D890,'Support - Transition'!E:E,"2009 WELFARE ALLOCATION FACTOR")</f>
        <v>0</v>
      </c>
      <c r="O890" s="152">
        <f t="shared" si="257"/>
        <v>0</v>
      </c>
      <c r="P890" s="126">
        <f>IF(E890="Y",0,SUMIFS('Support - Transition'!G:G,'Support - Transition'!J:J,'Step 2'!D890,'Support - Transition'!E:E,"2009 SCHOOL ALLOCATION FACTOR"))</f>
        <v>0.42880600000000002</v>
      </c>
      <c r="Q890" s="126">
        <f>IF(E890="Y",VLOOKUP(D890,'Support - Unit Adjustments'!F:G,2,FALSE),0)</f>
        <v>0</v>
      </c>
      <c r="R890" s="155">
        <f t="shared" si="269"/>
        <v>0.42880600000000002</v>
      </c>
      <c r="S890" s="47">
        <f t="shared" si="268"/>
        <v>31657</v>
      </c>
      <c r="T890" s="151">
        <f t="shared" si="253"/>
        <v>42170</v>
      </c>
      <c r="U890" s="151">
        <f t="shared" si="254"/>
        <v>0</v>
      </c>
      <c r="V890" s="139">
        <f t="shared" si="255"/>
        <v>0</v>
      </c>
      <c r="W890" s="152">
        <f t="shared" si="258"/>
        <v>42170</v>
      </c>
      <c r="X890" s="127" t="str">
        <f t="shared" si="256"/>
        <v/>
      </c>
      <c r="Y890" s="207">
        <f t="shared" si="259"/>
        <v>42170</v>
      </c>
      <c r="Z890" s="139">
        <f t="shared" si="260"/>
        <v>42170</v>
      </c>
      <c r="AA890" s="139">
        <f t="shared" si="261"/>
        <v>0</v>
      </c>
      <c r="AC890" s="47">
        <f t="shared" si="262"/>
        <v>21085</v>
      </c>
      <c r="AD890" s="47">
        <f t="shared" si="263"/>
        <v>21085</v>
      </c>
      <c r="AE890" s="47">
        <f t="shared" si="264"/>
        <v>0</v>
      </c>
      <c r="AG890" s="47">
        <f t="shared" si="265"/>
        <v>21085</v>
      </c>
      <c r="AH890" s="47">
        <f t="shared" si="266"/>
        <v>21085</v>
      </c>
      <c r="AI890" s="208">
        <f t="shared" si="267"/>
        <v>0</v>
      </c>
    </row>
    <row r="891" spans="1:35">
      <c r="A891" t="s">
        <v>2117</v>
      </c>
      <c r="B891" t="s">
        <v>3160</v>
      </c>
      <c r="C891" t="s">
        <v>2546</v>
      </c>
      <c r="D891" t="s">
        <v>4195</v>
      </c>
      <c r="F891" t="s">
        <v>704</v>
      </c>
      <c r="G891" s="126">
        <f>SUMIFS('Support - Transition'!F:F,'Support - Transition'!B:B,'Step 2'!A891,'Support - Transition'!C:C,'Step 2'!B891,'Support - Transition'!D:D,'Step 2'!C891,'Support - Transition'!E:E,"CIVIL")</f>
        <v>0</v>
      </c>
      <c r="H891" s="126">
        <f>SUMIFS('Support - Transition'!F:F,'Support - Transition'!B:B,'Step 2'!A891,'Support - Transition'!C:C,'Step 2'!B891,'Support - Transition'!D:D,'Step 2'!C891,'Support - Transition'!E:E,"FIRE")</f>
        <v>0</v>
      </c>
      <c r="I891" s="126">
        <f>IF(B891="0",SUMIFS('Support - Transition'!F:F,'Support - Transition'!J:J,'Step 2'!D891,'Support - Transition'!E:E,"STATE UNIT"),SUMIFS('Support - Transition'!F:F,'Support - Transition'!J:J,'Step 2'!D891))</f>
        <v>0.36927300000000002</v>
      </c>
      <c r="J891" s="126">
        <f>SUMIFS('Support - Unit Adjustments'!E:E,'Support - Unit Adjustments'!F:F,'Step 2'!D891)</f>
        <v>0</v>
      </c>
      <c r="K891" s="126">
        <f t="shared" si="251"/>
        <v>0.36927300000000002</v>
      </c>
      <c r="L891" s="174">
        <f>VLOOKUP(A891,'Step 1'!$A:$E,4,FALSE)</f>
        <v>248005</v>
      </c>
      <c r="M891" s="47">
        <f t="shared" si="252"/>
        <v>91582</v>
      </c>
      <c r="N891" s="177">
        <f>SUMIFS('Support - Transition'!G:G,'Support - Transition'!J:J,'Step 2'!D891,'Support - Transition'!E:E,"2009 WELFARE ALLOCATION FACTOR")</f>
        <v>0</v>
      </c>
      <c r="O891" s="152">
        <f t="shared" si="257"/>
        <v>0</v>
      </c>
      <c r="P891" s="126">
        <f>IF(E891="Y",0,SUMIFS('Support - Transition'!G:G,'Support - Transition'!J:J,'Step 2'!D891,'Support - Transition'!E:E,"2009 SCHOOL ALLOCATION FACTOR"))</f>
        <v>0.45537899999999998</v>
      </c>
      <c r="Q891" s="126">
        <f>IF(E891="Y",VLOOKUP(D891,'Support - Unit Adjustments'!F:G,2,FALSE),0)</f>
        <v>0</v>
      </c>
      <c r="R891" s="155">
        <f t="shared" si="269"/>
        <v>0.45537899999999998</v>
      </c>
      <c r="S891" s="47">
        <f t="shared" si="268"/>
        <v>41705</v>
      </c>
      <c r="T891" s="151">
        <f t="shared" si="253"/>
        <v>49877</v>
      </c>
      <c r="U891" s="151">
        <f t="shared" si="254"/>
        <v>0</v>
      </c>
      <c r="V891" s="139">
        <f t="shared" si="255"/>
        <v>0</v>
      </c>
      <c r="W891" s="152">
        <f t="shared" si="258"/>
        <v>49877</v>
      </c>
      <c r="X891" s="127" t="str">
        <f t="shared" si="256"/>
        <v/>
      </c>
      <c r="Y891" s="207">
        <f t="shared" si="259"/>
        <v>49877</v>
      </c>
      <c r="Z891" s="139">
        <f t="shared" si="260"/>
        <v>49877</v>
      </c>
      <c r="AA891" s="139">
        <f t="shared" si="261"/>
        <v>0</v>
      </c>
      <c r="AC891" s="47">
        <f t="shared" si="262"/>
        <v>24939</v>
      </c>
      <c r="AD891" s="47">
        <f t="shared" si="263"/>
        <v>24939</v>
      </c>
      <c r="AE891" s="47">
        <f t="shared" si="264"/>
        <v>0</v>
      </c>
      <c r="AG891" s="47">
        <f t="shared" si="265"/>
        <v>24938</v>
      </c>
      <c r="AH891" s="47">
        <f t="shared" si="266"/>
        <v>24938</v>
      </c>
      <c r="AI891" s="208">
        <f t="shared" si="267"/>
        <v>0</v>
      </c>
    </row>
    <row r="892" spans="1:35">
      <c r="A892" t="s">
        <v>2117</v>
      </c>
      <c r="B892" t="s">
        <v>3166</v>
      </c>
      <c r="C892" t="s">
        <v>4196</v>
      </c>
      <c r="D892" t="s">
        <v>4197</v>
      </c>
      <c r="F892" t="s">
        <v>4198</v>
      </c>
      <c r="G892" s="126">
        <f>SUMIFS('Support - Transition'!F:F,'Support - Transition'!B:B,'Step 2'!A892,'Support - Transition'!C:C,'Step 2'!B892,'Support - Transition'!D:D,'Step 2'!C892,'Support - Transition'!E:E,"CIVIL")</f>
        <v>0</v>
      </c>
      <c r="H892" s="126">
        <f>SUMIFS('Support - Transition'!F:F,'Support - Transition'!B:B,'Step 2'!A892,'Support - Transition'!C:C,'Step 2'!B892,'Support - Transition'!D:D,'Step 2'!C892,'Support - Transition'!E:E,"FIRE")</f>
        <v>0</v>
      </c>
      <c r="I892" s="126">
        <f>IF(B892="0",SUMIFS('Support - Transition'!F:F,'Support - Transition'!J:J,'Step 2'!D892,'Support - Transition'!E:E,"STATE UNIT"),SUMIFS('Support - Transition'!F:F,'Support - Transition'!J:J,'Step 2'!D892))</f>
        <v>0</v>
      </c>
      <c r="J892" s="126">
        <f>SUMIFS('Support - Unit Adjustments'!E:E,'Support - Unit Adjustments'!F:F,'Step 2'!D892)</f>
        <v>5.3800000000000002E-3</v>
      </c>
      <c r="K892" s="126">
        <f t="shared" si="251"/>
        <v>5.3800000000000002E-3</v>
      </c>
      <c r="L892" s="174">
        <f>VLOOKUP(A892,'Step 1'!$A:$E,4,FALSE)</f>
        <v>248005</v>
      </c>
      <c r="M892" s="47">
        <f t="shared" si="252"/>
        <v>1334</v>
      </c>
      <c r="N892" s="177">
        <f>SUMIFS('Support - Transition'!G:G,'Support - Transition'!J:J,'Step 2'!D892,'Support - Transition'!E:E,"2009 WELFARE ALLOCATION FACTOR")</f>
        <v>0</v>
      </c>
      <c r="O892" s="152">
        <f t="shared" si="257"/>
        <v>0</v>
      </c>
      <c r="P892" s="126">
        <f>IF(E892="Y",0,SUMIFS('Support - Transition'!G:G,'Support - Transition'!J:J,'Step 2'!D892,'Support - Transition'!E:E,"2009 SCHOOL ALLOCATION FACTOR"))</f>
        <v>0</v>
      </c>
      <c r="Q892" s="126">
        <f>IF(E892="Y",VLOOKUP(D892,'Support - Unit Adjustments'!F:G,2,FALSE),0)</f>
        <v>0</v>
      </c>
      <c r="R892" s="155">
        <f t="shared" si="269"/>
        <v>0</v>
      </c>
      <c r="S892" s="47">
        <f t="shared" si="268"/>
        <v>0</v>
      </c>
      <c r="T892" s="151">
        <f t="shared" si="253"/>
        <v>1334</v>
      </c>
      <c r="U892" s="151">
        <f t="shared" si="254"/>
        <v>0</v>
      </c>
      <c r="V892" s="139">
        <f t="shared" si="255"/>
        <v>0</v>
      </c>
      <c r="W892" s="152">
        <f t="shared" si="258"/>
        <v>1334</v>
      </c>
      <c r="X892" s="127" t="str">
        <f t="shared" si="256"/>
        <v/>
      </c>
      <c r="Y892" s="207">
        <f t="shared" si="259"/>
        <v>1334</v>
      </c>
      <c r="Z892" s="139">
        <f t="shared" si="260"/>
        <v>1334</v>
      </c>
      <c r="AA892" s="139">
        <f t="shared" si="261"/>
        <v>0</v>
      </c>
      <c r="AC892" s="47">
        <f t="shared" si="262"/>
        <v>667</v>
      </c>
      <c r="AD892" s="47">
        <f t="shared" si="263"/>
        <v>667</v>
      </c>
      <c r="AE892" s="47">
        <f t="shared" si="264"/>
        <v>0</v>
      </c>
      <c r="AG892" s="47">
        <f t="shared" si="265"/>
        <v>667</v>
      </c>
      <c r="AH892" s="47">
        <f t="shared" si="266"/>
        <v>667</v>
      </c>
      <c r="AI892" s="208">
        <f t="shared" si="267"/>
        <v>0</v>
      </c>
    </row>
    <row r="893" spans="1:35">
      <c r="A893" t="s">
        <v>2117</v>
      </c>
      <c r="B893" t="s">
        <v>3170</v>
      </c>
      <c r="C893" t="s">
        <v>4199</v>
      </c>
      <c r="D893" t="s">
        <v>4200</v>
      </c>
      <c r="F893" t="s">
        <v>4201</v>
      </c>
      <c r="G893" s="126">
        <f>SUMIFS('Support - Transition'!F:F,'Support - Transition'!B:B,'Step 2'!A893,'Support - Transition'!C:C,'Step 2'!B893,'Support - Transition'!D:D,'Step 2'!C893,'Support - Transition'!E:E,"CIVIL")</f>
        <v>0</v>
      </c>
      <c r="H893" s="126">
        <f>SUMIFS('Support - Transition'!F:F,'Support - Transition'!B:B,'Step 2'!A893,'Support - Transition'!C:C,'Step 2'!B893,'Support - Transition'!D:D,'Step 2'!C893,'Support - Transition'!E:E,"FIRE")</f>
        <v>0</v>
      </c>
      <c r="I893" s="126">
        <f>IF(B893="0",SUMIFS('Support - Transition'!F:F,'Support - Transition'!J:J,'Step 2'!D893,'Support - Transition'!E:E,"STATE UNIT"),SUMIFS('Support - Transition'!F:F,'Support - Transition'!J:J,'Step 2'!D893))</f>
        <v>0</v>
      </c>
      <c r="J893" s="126">
        <f>SUMIFS('Support - Unit Adjustments'!E:E,'Support - Unit Adjustments'!F:F,'Step 2'!D893)</f>
        <v>0</v>
      </c>
      <c r="K893" s="126">
        <f t="shared" si="251"/>
        <v>0</v>
      </c>
      <c r="L893" s="174">
        <f>VLOOKUP(A893,'Step 1'!$A:$E,4,FALSE)</f>
        <v>248005</v>
      </c>
      <c r="M893" s="47">
        <f t="shared" si="252"/>
        <v>0</v>
      </c>
      <c r="N893" s="177">
        <f>SUMIFS('Support - Transition'!G:G,'Support - Transition'!J:J,'Step 2'!D893,'Support - Transition'!E:E,"2009 WELFARE ALLOCATION FACTOR")</f>
        <v>0</v>
      </c>
      <c r="O893" s="152">
        <f t="shared" si="257"/>
        <v>0</v>
      </c>
      <c r="P893" s="126">
        <f>IF(E893="Y",0,SUMIFS('Support - Transition'!G:G,'Support - Transition'!J:J,'Step 2'!D893,'Support - Transition'!E:E,"2009 SCHOOL ALLOCATION FACTOR"))</f>
        <v>0</v>
      </c>
      <c r="Q893" s="126">
        <f>IF(E893="Y",VLOOKUP(D893,'Support - Unit Adjustments'!F:G,2,FALSE),0)</f>
        <v>0</v>
      </c>
      <c r="R893" s="155">
        <f t="shared" si="269"/>
        <v>0</v>
      </c>
      <c r="S893" s="47">
        <f t="shared" si="268"/>
        <v>0</v>
      </c>
      <c r="T893" s="151">
        <f t="shared" si="253"/>
        <v>0</v>
      </c>
      <c r="U893" s="151">
        <f t="shared" si="254"/>
        <v>0</v>
      </c>
      <c r="V893" s="139">
        <f t="shared" si="255"/>
        <v>0</v>
      </c>
      <c r="W893" s="152">
        <f t="shared" si="258"/>
        <v>0</v>
      </c>
      <c r="X893" s="127" t="str">
        <f t="shared" si="256"/>
        <v/>
      </c>
      <c r="Y893" s="207">
        <f t="shared" si="259"/>
        <v>0</v>
      </c>
      <c r="Z893" s="139">
        <f t="shared" si="260"/>
        <v>0</v>
      </c>
      <c r="AA893" s="139">
        <f t="shared" si="261"/>
        <v>0</v>
      </c>
      <c r="AC893" s="47">
        <f t="shared" si="262"/>
        <v>0</v>
      </c>
      <c r="AD893" s="47">
        <f t="shared" si="263"/>
        <v>0</v>
      </c>
      <c r="AE893" s="47">
        <f t="shared" si="264"/>
        <v>0</v>
      </c>
      <c r="AG893" s="47">
        <f t="shared" si="265"/>
        <v>0</v>
      </c>
      <c r="AH893" s="47">
        <f t="shared" si="266"/>
        <v>0</v>
      </c>
      <c r="AI893" s="208">
        <f t="shared" si="267"/>
        <v>0</v>
      </c>
    </row>
    <row r="894" spans="1:35">
      <c r="A894" t="s">
        <v>2117</v>
      </c>
      <c r="B894" t="s">
        <v>3170</v>
      </c>
      <c r="C894" t="s">
        <v>4202</v>
      </c>
      <c r="D894" t="s">
        <v>4203</v>
      </c>
      <c r="F894" t="s">
        <v>4204</v>
      </c>
      <c r="G894" s="126">
        <f>SUMIFS('Support - Transition'!F:F,'Support - Transition'!B:B,'Step 2'!A894,'Support - Transition'!C:C,'Step 2'!B894,'Support - Transition'!D:D,'Step 2'!C894,'Support - Transition'!E:E,"CIVIL")</f>
        <v>0</v>
      </c>
      <c r="H894" s="126">
        <f>SUMIFS('Support - Transition'!F:F,'Support - Transition'!B:B,'Step 2'!A894,'Support - Transition'!C:C,'Step 2'!B894,'Support - Transition'!D:D,'Step 2'!C894,'Support - Transition'!E:E,"FIRE")</f>
        <v>0</v>
      </c>
      <c r="I894" s="126">
        <f>IF(B894="0",SUMIFS('Support - Transition'!F:F,'Support - Transition'!J:J,'Step 2'!D894,'Support - Transition'!E:E,"STATE UNIT"),SUMIFS('Support - Transition'!F:F,'Support - Transition'!J:J,'Step 2'!D894))</f>
        <v>0</v>
      </c>
      <c r="J894" s="126">
        <f>SUMIFS('Support - Unit Adjustments'!E:E,'Support - Unit Adjustments'!F:F,'Step 2'!D894)</f>
        <v>0</v>
      </c>
      <c r="K894" s="126">
        <f t="shared" si="251"/>
        <v>0</v>
      </c>
      <c r="L894" s="174">
        <f>VLOOKUP(A894,'Step 1'!$A:$E,4,FALSE)</f>
        <v>248005</v>
      </c>
      <c r="M894" s="47">
        <f t="shared" si="252"/>
        <v>0</v>
      </c>
      <c r="N894" s="177">
        <f>SUMIFS('Support - Transition'!G:G,'Support - Transition'!J:J,'Step 2'!D894,'Support - Transition'!E:E,"2009 WELFARE ALLOCATION FACTOR")</f>
        <v>0</v>
      </c>
      <c r="O894" s="152">
        <f t="shared" si="257"/>
        <v>0</v>
      </c>
      <c r="P894" s="126">
        <f>IF(E894="Y",0,SUMIFS('Support - Transition'!G:G,'Support - Transition'!J:J,'Step 2'!D894,'Support - Transition'!E:E,"2009 SCHOOL ALLOCATION FACTOR"))</f>
        <v>0</v>
      </c>
      <c r="Q894" s="126">
        <f>IF(E894="Y",VLOOKUP(D894,'Support - Unit Adjustments'!F:G,2,FALSE),0)</f>
        <v>0</v>
      </c>
      <c r="R894" s="155">
        <f t="shared" si="269"/>
        <v>0</v>
      </c>
      <c r="S894" s="47">
        <f t="shared" si="268"/>
        <v>0</v>
      </c>
      <c r="T894" s="151">
        <f t="shared" si="253"/>
        <v>0</v>
      </c>
      <c r="U894" s="151">
        <f t="shared" si="254"/>
        <v>0</v>
      </c>
      <c r="V894" s="139">
        <f t="shared" si="255"/>
        <v>0</v>
      </c>
      <c r="W894" s="152">
        <f t="shared" si="258"/>
        <v>0</v>
      </c>
      <c r="X894" s="127" t="str">
        <f t="shared" si="256"/>
        <v/>
      </c>
      <c r="Y894" s="207">
        <f t="shared" si="259"/>
        <v>0</v>
      </c>
      <c r="Z894" s="139">
        <f t="shared" si="260"/>
        <v>0</v>
      </c>
      <c r="AA894" s="139">
        <f t="shared" si="261"/>
        <v>0</v>
      </c>
      <c r="AC894" s="47">
        <f t="shared" si="262"/>
        <v>0</v>
      </c>
      <c r="AD894" s="47">
        <f t="shared" si="263"/>
        <v>0</v>
      </c>
      <c r="AE894" s="47">
        <f t="shared" si="264"/>
        <v>0</v>
      </c>
      <c r="AG894" s="47">
        <f t="shared" si="265"/>
        <v>0</v>
      </c>
      <c r="AH894" s="47">
        <f t="shared" si="266"/>
        <v>0</v>
      </c>
      <c r="AI894" s="208">
        <f t="shared" si="267"/>
        <v>0</v>
      </c>
    </row>
    <row r="895" spans="1:35">
      <c r="A895" t="s">
        <v>2117</v>
      </c>
      <c r="B895" t="s">
        <v>3170</v>
      </c>
      <c r="C895" t="s">
        <v>3459</v>
      </c>
      <c r="D895" t="s">
        <v>4205</v>
      </c>
      <c r="F895" t="s">
        <v>305</v>
      </c>
      <c r="G895" s="126">
        <f>SUMIFS('Support - Transition'!F:F,'Support - Transition'!B:B,'Step 2'!A895,'Support - Transition'!C:C,'Step 2'!B895,'Support - Transition'!D:D,'Step 2'!C895,'Support - Transition'!E:E,"CIVIL")</f>
        <v>0</v>
      </c>
      <c r="H895" s="126">
        <f>SUMIFS('Support - Transition'!F:F,'Support - Transition'!B:B,'Step 2'!A895,'Support - Transition'!C:C,'Step 2'!B895,'Support - Transition'!D:D,'Step 2'!C895,'Support - Transition'!E:E,"FIRE")</f>
        <v>0</v>
      </c>
      <c r="I895" s="126">
        <f>IF(B895="0",SUMIFS('Support - Transition'!F:F,'Support - Transition'!J:J,'Step 2'!D895,'Support - Transition'!E:E,"STATE UNIT"),SUMIFS('Support - Transition'!F:F,'Support - Transition'!J:J,'Step 2'!D895))</f>
        <v>0</v>
      </c>
      <c r="J895" s="126">
        <f>SUMIFS('Support - Unit Adjustments'!E:E,'Support - Unit Adjustments'!F:F,'Step 2'!D895)</f>
        <v>0</v>
      </c>
      <c r="K895" s="126">
        <f t="shared" si="251"/>
        <v>0</v>
      </c>
      <c r="L895" s="174">
        <f>VLOOKUP(A895,'Step 1'!$A:$E,4,FALSE)</f>
        <v>248005</v>
      </c>
      <c r="M895" s="47">
        <f t="shared" si="252"/>
        <v>0</v>
      </c>
      <c r="N895" s="177">
        <f>SUMIFS('Support - Transition'!G:G,'Support - Transition'!J:J,'Step 2'!D895,'Support - Transition'!E:E,"2009 WELFARE ALLOCATION FACTOR")</f>
        <v>0</v>
      </c>
      <c r="O895" s="152">
        <f t="shared" si="257"/>
        <v>0</v>
      </c>
      <c r="P895" s="126">
        <f>IF(E895="Y",0,SUMIFS('Support - Transition'!G:G,'Support - Transition'!J:J,'Step 2'!D895,'Support - Transition'!E:E,"2009 SCHOOL ALLOCATION FACTOR"))</f>
        <v>0</v>
      </c>
      <c r="Q895" s="126">
        <f>IF(E895="Y",VLOOKUP(D895,'Support - Unit Adjustments'!F:G,2,FALSE),0)</f>
        <v>0</v>
      </c>
      <c r="R895" s="155">
        <f t="shared" si="269"/>
        <v>0</v>
      </c>
      <c r="S895" s="47">
        <f t="shared" si="268"/>
        <v>0</v>
      </c>
      <c r="T895" s="151">
        <f t="shared" si="253"/>
        <v>0</v>
      </c>
      <c r="U895" s="151">
        <f t="shared" si="254"/>
        <v>0</v>
      </c>
      <c r="V895" s="139">
        <f t="shared" si="255"/>
        <v>0</v>
      </c>
      <c r="W895" s="152">
        <f t="shared" si="258"/>
        <v>0</v>
      </c>
      <c r="X895" s="127" t="str">
        <f t="shared" si="256"/>
        <v/>
      </c>
      <c r="Y895" s="207">
        <f t="shared" si="259"/>
        <v>0</v>
      </c>
      <c r="Z895" s="139">
        <f t="shared" si="260"/>
        <v>0</v>
      </c>
      <c r="AA895" s="139">
        <f t="shared" si="261"/>
        <v>0</v>
      </c>
      <c r="AC895" s="47">
        <f t="shared" si="262"/>
        <v>0</v>
      </c>
      <c r="AD895" s="47">
        <f t="shared" si="263"/>
        <v>0</v>
      </c>
      <c r="AE895" s="47">
        <f t="shared" si="264"/>
        <v>0</v>
      </c>
      <c r="AG895" s="47">
        <f t="shared" si="265"/>
        <v>0</v>
      </c>
      <c r="AH895" s="47">
        <f t="shared" si="266"/>
        <v>0</v>
      </c>
      <c r="AI895" s="208">
        <f t="shared" si="267"/>
        <v>0</v>
      </c>
    </row>
    <row r="896" spans="1:35">
      <c r="A896" t="s">
        <v>2117</v>
      </c>
      <c r="B896" t="s">
        <v>3170</v>
      </c>
      <c r="C896" t="s">
        <v>2547</v>
      </c>
      <c r="D896" t="s">
        <v>4206</v>
      </c>
      <c r="F896" t="s">
        <v>709</v>
      </c>
      <c r="G896" s="126">
        <f>SUMIFS('Support - Transition'!F:F,'Support - Transition'!B:B,'Step 2'!A896,'Support - Transition'!C:C,'Step 2'!B896,'Support - Transition'!D:D,'Step 2'!C896,'Support - Transition'!E:E,"CIVIL")</f>
        <v>0</v>
      </c>
      <c r="H896" s="126">
        <f>SUMIFS('Support - Transition'!F:F,'Support - Transition'!B:B,'Step 2'!A896,'Support - Transition'!C:C,'Step 2'!B896,'Support - Transition'!D:D,'Step 2'!C896,'Support - Transition'!E:E,"FIRE")</f>
        <v>0</v>
      </c>
      <c r="I896" s="126">
        <f>IF(B896="0",SUMIFS('Support - Transition'!F:F,'Support - Transition'!J:J,'Step 2'!D896,'Support - Transition'!E:E,"STATE UNIT"),SUMIFS('Support - Transition'!F:F,'Support - Transition'!J:J,'Step 2'!D896))</f>
        <v>3.9690000000000003E-3</v>
      </c>
      <c r="J896" s="126">
        <f>SUMIFS('Support - Unit Adjustments'!E:E,'Support - Unit Adjustments'!F:F,'Step 2'!D896)</f>
        <v>0</v>
      </c>
      <c r="K896" s="126">
        <f t="shared" si="251"/>
        <v>3.9690000000000003E-3</v>
      </c>
      <c r="L896" s="174">
        <f>VLOOKUP(A896,'Step 1'!$A:$E,4,FALSE)</f>
        <v>248005</v>
      </c>
      <c r="M896" s="47">
        <f t="shared" si="252"/>
        <v>984</v>
      </c>
      <c r="N896" s="177">
        <f>SUMIFS('Support - Transition'!G:G,'Support - Transition'!J:J,'Step 2'!D896,'Support - Transition'!E:E,"2009 WELFARE ALLOCATION FACTOR")</f>
        <v>0</v>
      </c>
      <c r="O896" s="152">
        <f t="shared" si="257"/>
        <v>0</v>
      </c>
      <c r="P896" s="126">
        <f>IF(E896="Y",0,SUMIFS('Support - Transition'!G:G,'Support - Transition'!J:J,'Step 2'!D896,'Support - Transition'!E:E,"2009 SCHOOL ALLOCATION FACTOR"))</f>
        <v>0</v>
      </c>
      <c r="Q896" s="126">
        <f>IF(E896="Y",VLOOKUP(D896,'Support - Unit Adjustments'!F:G,2,FALSE),0)</f>
        <v>0</v>
      </c>
      <c r="R896" s="155">
        <f t="shared" si="269"/>
        <v>0</v>
      </c>
      <c r="S896" s="47">
        <f t="shared" si="268"/>
        <v>0</v>
      </c>
      <c r="T896" s="151">
        <f t="shared" si="253"/>
        <v>984</v>
      </c>
      <c r="U896" s="151">
        <f t="shared" si="254"/>
        <v>0</v>
      </c>
      <c r="V896" s="139">
        <f t="shared" si="255"/>
        <v>0</v>
      </c>
      <c r="W896" s="152">
        <f t="shared" si="258"/>
        <v>984</v>
      </c>
      <c r="X896" s="127" t="str">
        <f t="shared" si="256"/>
        <v/>
      </c>
      <c r="Y896" s="207">
        <f t="shared" si="259"/>
        <v>984</v>
      </c>
      <c r="Z896" s="139">
        <f t="shared" si="260"/>
        <v>984</v>
      </c>
      <c r="AA896" s="139">
        <f t="shared" si="261"/>
        <v>0</v>
      </c>
      <c r="AC896" s="47">
        <f t="shared" si="262"/>
        <v>492</v>
      </c>
      <c r="AD896" s="47">
        <f t="shared" si="263"/>
        <v>492</v>
      </c>
      <c r="AE896" s="47">
        <f t="shared" si="264"/>
        <v>0</v>
      </c>
      <c r="AG896" s="47">
        <f t="shared" si="265"/>
        <v>492</v>
      </c>
      <c r="AH896" s="47">
        <f t="shared" si="266"/>
        <v>492</v>
      </c>
      <c r="AI896" s="208">
        <f t="shared" si="267"/>
        <v>0</v>
      </c>
    </row>
    <row r="897" spans="1:35">
      <c r="A897" t="s">
        <v>2117</v>
      </c>
      <c r="B897" t="s">
        <v>3170</v>
      </c>
      <c r="C897" t="s">
        <v>4207</v>
      </c>
      <c r="D897" t="s">
        <v>4208</v>
      </c>
      <c r="F897" t="s">
        <v>4209</v>
      </c>
      <c r="G897" s="126">
        <f>SUMIFS('Support - Transition'!F:F,'Support - Transition'!B:B,'Step 2'!A897,'Support - Transition'!C:C,'Step 2'!B897,'Support - Transition'!D:D,'Step 2'!C897,'Support - Transition'!E:E,"CIVIL")</f>
        <v>0</v>
      </c>
      <c r="H897" s="126">
        <f>SUMIFS('Support - Transition'!F:F,'Support - Transition'!B:B,'Step 2'!A897,'Support - Transition'!C:C,'Step 2'!B897,'Support - Transition'!D:D,'Step 2'!C897,'Support - Transition'!E:E,"FIRE")</f>
        <v>0</v>
      </c>
      <c r="I897" s="126">
        <f>IF(B897="0",SUMIFS('Support - Transition'!F:F,'Support - Transition'!J:J,'Step 2'!D897,'Support - Transition'!E:E,"STATE UNIT"),SUMIFS('Support - Transition'!F:F,'Support - Transition'!J:J,'Step 2'!D897))</f>
        <v>2.9399999999999999E-3</v>
      </c>
      <c r="J897" s="126">
        <f>SUMIFS('Support - Unit Adjustments'!E:E,'Support - Unit Adjustments'!F:F,'Step 2'!D897)</f>
        <v>0</v>
      </c>
      <c r="K897" s="126">
        <f t="shared" si="251"/>
        <v>2.9399999999999999E-3</v>
      </c>
      <c r="L897" s="174">
        <f>VLOOKUP(A897,'Step 1'!$A:$E,4,FALSE)</f>
        <v>248005</v>
      </c>
      <c r="M897" s="47">
        <f t="shared" si="252"/>
        <v>729</v>
      </c>
      <c r="N897" s="177">
        <f>SUMIFS('Support - Transition'!G:G,'Support - Transition'!J:J,'Step 2'!D897,'Support - Transition'!E:E,"2009 WELFARE ALLOCATION FACTOR")</f>
        <v>0</v>
      </c>
      <c r="O897" s="152">
        <f t="shared" si="257"/>
        <v>0</v>
      </c>
      <c r="P897" s="126">
        <f>IF(E897="Y",0,SUMIFS('Support - Transition'!G:G,'Support - Transition'!J:J,'Step 2'!D897,'Support - Transition'!E:E,"2009 SCHOOL ALLOCATION FACTOR"))</f>
        <v>0</v>
      </c>
      <c r="Q897" s="126">
        <f>IF(E897="Y",VLOOKUP(D897,'Support - Unit Adjustments'!F:G,2,FALSE),0)</f>
        <v>0</v>
      </c>
      <c r="R897" s="155">
        <f t="shared" si="269"/>
        <v>0</v>
      </c>
      <c r="S897" s="47">
        <f t="shared" si="268"/>
        <v>0</v>
      </c>
      <c r="T897" s="151">
        <f t="shared" si="253"/>
        <v>729</v>
      </c>
      <c r="U897" s="151">
        <f t="shared" si="254"/>
        <v>0</v>
      </c>
      <c r="V897" s="139">
        <f t="shared" si="255"/>
        <v>0</v>
      </c>
      <c r="W897" s="152">
        <f t="shared" si="258"/>
        <v>729</v>
      </c>
      <c r="X897" s="127" t="str">
        <f t="shared" si="256"/>
        <v/>
      </c>
      <c r="Y897" s="207">
        <f t="shared" si="259"/>
        <v>729</v>
      </c>
      <c r="Z897" s="139">
        <f t="shared" si="260"/>
        <v>729</v>
      </c>
      <c r="AA897" s="139">
        <f t="shared" si="261"/>
        <v>0</v>
      </c>
      <c r="AC897" s="47">
        <f t="shared" si="262"/>
        <v>365</v>
      </c>
      <c r="AD897" s="47">
        <f t="shared" si="263"/>
        <v>365</v>
      </c>
      <c r="AE897" s="47">
        <f t="shared" si="264"/>
        <v>0</v>
      </c>
      <c r="AG897" s="47">
        <f t="shared" si="265"/>
        <v>364</v>
      </c>
      <c r="AH897" s="47">
        <f t="shared" si="266"/>
        <v>364</v>
      </c>
      <c r="AI897" s="208">
        <f t="shared" si="267"/>
        <v>0</v>
      </c>
    </row>
    <row r="898" spans="1:35">
      <c r="A898" t="s">
        <v>2117</v>
      </c>
      <c r="B898" t="s">
        <v>3170</v>
      </c>
      <c r="C898" t="s">
        <v>4210</v>
      </c>
      <c r="D898" t="s">
        <v>4211</v>
      </c>
      <c r="F898" t="s">
        <v>706</v>
      </c>
      <c r="G898" s="126">
        <f>SUMIFS('Support - Transition'!F:F,'Support - Transition'!B:B,'Step 2'!A898,'Support - Transition'!C:C,'Step 2'!B898,'Support - Transition'!D:D,'Step 2'!C898,'Support - Transition'!E:E,"CIVIL")</f>
        <v>0</v>
      </c>
      <c r="H898" s="126">
        <f>SUMIFS('Support - Transition'!F:F,'Support - Transition'!B:B,'Step 2'!A898,'Support - Transition'!C:C,'Step 2'!B898,'Support - Transition'!D:D,'Step 2'!C898,'Support - Transition'!E:E,"FIRE")</f>
        <v>0</v>
      </c>
      <c r="I898" s="126">
        <f>IF(B898="0",SUMIFS('Support - Transition'!F:F,'Support - Transition'!J:J,'Step 2'!D898,'Support - Transition'!E:E,"STATE UNIT"),SUMIFS('Support - Transition'!F:F,'Support - Transition'!J:J,'Step 2'!D898))</f>
        <v>6.8300000000000001E-4</v>
      </c>
      <c r="J898" s="126">
        <f>SUMIFS('Support - Unit Adjustments'!E:E,'Support - Unit Adjustments'!F:F,'Step 2'!D898)</f>
        <v>0</v>
      </c>
      <c r="K898" s="126">
        <f t="shared" ref="K898:K961" si="270">+I898+J898</f>
        <v>6.8300000000000001E-4</v>
      </c>
      <c r="L898" s="174">
        <f>VLOOKUP(A898,'Step 1'!$A:$E,4,FALSE)</f>
        <v>248005</v>
      </c>
      <c r="M898" s="47">
        <f t="shared" ref="M898:M961" si="271">ROUND(+K898*L898,0)</f>
        <v>169</v>
      </c>
      <c r="N898" s="177">
        <f>SUMIFS('Support - Transition'!G:G,'Support - Transition'!J:J,'Step 2'!D898,'Support - Transition'!E:E,"2009 WELFARE ALLOCATION FACTOR")</f>
        <v>0</v>
      </c>
      <c r="O898" s="152">
        <f t="shared" si="257"/>
        <v>0</v>
      </c>
      <c r="P898" s="126">
        <f>IF(E898="Y",0,SUMIFS('Support - Transition'!G:G,'Support - Transition'!J:J,'Step 2'!D898,'Support - Transition'!E:E,"2009 SCHOOL ALLOCATION FACTOR"))</f>
        <v>0</v>
      </c>
      <c r="Q898" s="126">
        <f>IF(E898="Y",VLOOKUP(D898,'Support - Unit Adjustments'!F:G,2,FALSE),0)</f>
        <v>0</v>
      </c>
      <c r="R898" s="155">
        <f t="shared" si="269"/>
        <v>0</v>
      </c>
      <c r="S898" s="47">
        <f t="shared" si="268"/>
        <v>0</v>
      </c>
      <c r="T898" s="151">
        <f t="shared" ref="T898:T961" si="272">ROUND(+M898-O898-S898,2)</f>
        <v>169</v>
      </c>
      <c r="U898" s="151">
        <f t="shared" ref="U898:U961" si="273">IF(B898="0",SUMIFS(O:O,A:A,A898)+SUMIFS(S:S,A:A,A898)+SUMIFS(T:T,A:A,A898),0)</f>
        <v>0</v>
      </c>
      <c r="V898" s="139">
        <f t="shared" ref="V898:V961" si="274">IF(B898="0",U898-L898,0)</f>
        <v>0</v>
      </c>
      <c r="W898" s="152">
        <f t="shared" si="258"/>
        <v>169</v>
      </c>
      <c r="X898" s="127" t="str">
        <f t="shared" ref="X898:X961" si="275">IF(B898="0",SUMIFS(O:O,A:A,A898)+SUMIFS(S:S,A:A,A898)+SUMIFS(W:W,A:A,A898)-L898,"")</f>
        <v/>
      </c>
      <c r="Y898" s="207">
        <f t="shared" si="259"/>
        <v>169</v>
      </c>
      <c r="Z898" s="139">
        <f t="shared" si="260"/>
        <v>169</v>
      </c>
      <c r="AA898" s="139">
        <f t="shared" si="261"/>
        <v>0</v>
      </c>
      <c r="AC898" s="47">
        <f t="shared" si="262"/>
        <v>85</v>
      </c>
      <c r="AD898" s="47">
        <f t="shared" si="263"/>
        <v>85</v>
      </c>
      <c r="AE898" s="47">
        <f t="shared" si="264"/>
        <v>0</v>
      </c>
      <c r="AG898" s="47">
        <f t="shared" si="265"/>
        <v>84</v>
      </c>
      <c r="AH898" s="47">
        <f t="shared" si="266"/>
        <v>84</v>
      </c>
      <c r="AI898" s="208">
        <f t="shared" si="267"/>
        <v>0</v>
      </c>
    </row>
    <row r="899" spans="1:35">
      <c r="A899" t="s">
        <v>2117</v>
      </c>
      <c r="B899" t="s">
        <v>3170</v>
      </c>
      <c r="C899" t="s">
        <v>4212</v>
      </c>
      <c r="D899" t="s">
        <v>4213</v>
      </c>
      <c r="F899" t="s">
        <v>707</v>
      </c>
      <c r="G899" s="126">
        <f>SUMIFS('Support - Transition'!F:F,'Support - Transition'!B:B,'Step 2'!A899,'Support - Transition'!C:C,'Step 2'!B899,'Support - Transition'!D:D,'Step 2'!C899,'Support - Transition'!E:E,"CIVIL")</f>
        <v>0</v>
      </c>
      <c r="H899" s="126">
        <f>SUMIFS('Support - Transition'!F:F,'Support - Transition'!B:B,'Step 2'!A899,'Support - Transition'!C:C,'Step 2'!B899,'Support - Transition'!D:D,'Step 2'!C899,'Support - Transition'!E:E,"FIRE")</f>
        <v>0</v>
      </c>
      <c r="I899" s="126">
        <f>IF(B899="0",SUMIFS('Support - Transition'!F:F,'Support - Transition'!J:J,'Step 2'!D899,'Support - Transition'!E:E,"STATE UNIT"),SUMIFS('Support - Transition'!F:F,'Support - Transition'!J:J,'Step 2'!D899))</f>
        <v>9.0799999999999995E-3</v>
      </c>
      <c r="J899" s="126">
        <f>SUMIFS('Support - Unit Adjustments'!E:E,'Support - Unit Adjustments'!F:F,'Step 2'!D899)</f>
        <v>0</v>
      </c>
      <c r="K899" s="126">
        <f t="shared" si="270"/>
        <v>9.0799999999999995E-3</v>
      </c>
      <c r="L899" s="174">
        <f>VLOOKUP(A899,'Step 1'!$A:$E,4,FALSE)</f>
        <v>248005</v>
      </c>
      <c r="M899" s="47">
        <f t="shared" si="271"/>
        <v>2252</v>
      </c>
      <c r="N899" s="177">
        <f>SUMIFS('Support - Transition'!G:G,'Support - Transition'!J:J,'Step 2'!D899,'Support - Transition'!E:E,"2009 WELFARE ALLOCATION FACTOR")</f>
        <v>0</v>
      </c>
      <c r="O899" s="152">
        <f t="shared" ref="O899:O962" si="276">ROUND(+N899*M899,0)</f>
        <v>0</v>
      </c>
      <c r="P899" s="126">
        <f>IF(E899="Y",0,SUMIFS('Support - Transition'!G:G,'Support - Transition'!J:J,'Step 2'!D899,'Support - Transition'!E:E,"2009 SCHOOL ALLOCATION FACTOR"))</f>
        <v>0</v>
      </c>
      <c r="Q899" s="126">
        <f>IF(E899="Y",VLOOKUP(D899,'Support - Unit Adjustments'!F:G,2,FALSE),0)</f>
        <v>0</v>
      </c>
      <c r="R899" s="155">
        <f t="shared" si="269"/>
        <v>0</v>
      </c>
      <c r="S899" s="47">
        <f t="shared" si="268"/>
        <v>0</v>
      </c>
      <c r="T899" s="151">
        <f t="shared" si="272"/>
        <v>2252</v>
      </c>
      <c r="U899" s="151">
        <f t="shared" si="273"/>
        <v>0</v>
      </c>
      <c r="V899" s="139">
        <f t="shared" si="274"/>
        <v>0</v>
      </c>
      <c r="W899" s="152">
        <f t="shared" ref="W899:W962" si="277">+T899-V899</f>
        <v>2252</v>
      </c>
      <c r="X899" s="127" t="str">
        <f t="shared" si="275"/>
        <v/>
      </c>
      <c r="Y899" s="207">
        <f t="shared" ref="Y899:Y962" si="278">W899</f>
        <v>2252</v>
      </c>
      <c r="Z899" s="139">
        <f t="shared" ref="Z899:Z962" si="279">IFERROR(IF(B899="2",ROUND(Y899*G899/I899,0),Y899),0)</f>
        <v>2252</v>
      </c>
      <c r="AA899" s="139">
        <f t="shared" ref="AA899:AA962" si="280">+Y899-Z899</f>
        <v>0</v>
      </c>
      <c r="AC899" s="47">
        <f t="shared" ref="AC899:AC962" si="281">ROUND(Y899/2,0)</f>
        <v>1126</v>
      </c>
      <c r="AD899" s="47">
        <f t="shared" ref="AD899:AD962" si="282">ROUND(Z899/2,0)</f>
        <v>1126</v>
      </c>
      <c r="AE899" s="47">
        <f t="shared" ref="AE899:AE962" si="283">ROUND(AA899/2,0)</f>
        <v>0</v>
      </c>
      <c r="AG899" s="47">
        <f t="shared" ref="AG899:AG962" si="284">+Y899-AC899</f>
        <v>1126</v>
      </c>
      <c r="AH899" s="47">
        <f t="shared" ref="AH899:AH962" si="285">+Z899-AD899</f>
        <v>1126</v>
      </c>
      <c r="AI899" s="208">
        <f t="shared" ref="AI899:AI962" si="286">+AA899-AE899</f>
        <v>0</v>
      </c>
    </row>
    <row r="900" spans="1:35">
      <c r="A900" t="s">
        <v>2117</v>
      </c>
      <c r="B900" t="s">
        <v>3170</v>
      </c>
      <c r="C900" t="s">
        <v>4214</v>
      </c>
      <c r="D900" t="s">
        <v>4215</v>
      </c>
      <c r="F900" t="s">
        <v>710</v>
      </c>
      <c r="G900" s="126">
        <f>SUMIFS('Support - Transition'!F:F,'Support - Transition'!B:B,'Step 2'!A900,'Support - Transition'!C:C,'Step 2'!B900,'Support - Transition'!D:D,'Step 2'!C900,'Support - Transition'!E:E,"CIVIL")</f>
        <v>0</v>
      </c>
      <c r="H900" s="126">
        <f>SUMIFS('Support - Transition'!F:F,'Support - Transition'!B:B,'Step 2'!A900,'Support - Transition'!C:C,'Step 2'!B900,'Support - Transition'!D:D,'Step 2'!C900,'Support - Transition'!E:E,"FIRE")</f>
        <v>0</v>
      </c>
      <c r="I900" s="126">
        <f>IF(B900="0",SUMIFS('Support - Transition'!F:F,'Support - Transition'!J:J,'Step 2'!D900,'Support - Transition'!E:E,"STATE UNIT"),SUMIFS('Support - Transition'!F:F,'Support - Transition'!J:J,'Step 2'!D900))</f>
        <v>1.0240000000000249E-3</v>
      </c>
      <c r="J900" s="126">
        <f>SUMIFS('Support - Unit Adjustments'!E:E,'Support - Unit Adjustments'!F:F,'Step 2'!D900)</f>
        <v>0</v>
      </c>
      <c r="K900" s="126">
        <f t="shared" si="270"/>
        <v>1.0240000000000249E-3</v>
      </c>
      <c r="L900" s="174">
        <f>VLOOKUP(A900,'Step 1'!$A:$E,4,FALSE)</f>
        <v>248005</v>
      </c>
      <c r="M900" s="47">
        <f t="shared" si="271"/>
        <v>254</v>
      </c>
      <c r="N900" s="177">
        <f>SUMIFS('Support - Transition'!G:G,'Support - Transition'!J:J,'Step 2'!D900,'Support - Transition'!E:E,"2009 WELFARE ALLOCATION FACTOR")</f>
        <v>0</v>
      </c>
      <c r="O900" s="152">
        <f t="shared" si="276"/>
        <v>0</v>
      </c>
      <c r="P900" s="126">
        <f>IF(E900="Y",0,SUMIFS('Support - Transition'!G:G,'Support - Transition'!J:J,'Step 2'!D900,'Support - Transition'!E:E,"2009 SCHOOL ALLOCATION FACTOR"))</f>
        <v>0</v>
      </c>
      <c r="Q900" s="126">
        <f>IF(E900="Y",VLOOKUP(D900,'Support - Unit Adjustments'!F:G,2,FALSE),0)</f>
        <v>0</v>
      </c>
      <c r="R900" s="155">
        <f t="shared" si="269"/>
        <v>0</v>
      </c>
      <c r="S900" s="47">
        <f t="shared" si="268"/>
        <v>0</v>
      </c>
      <c r="T900" s="151">
        <f t="shared" si="272"/>
        <v>254</v>
      </c>
      <c r="U900" s="151">
        <f t="shared" si="273"/>
        <v>0</v>
      </c>
      <c r="V900" s="139">
        <f t="shared" si="274"/>
        <v>0</v>
      </c>
      <c r="W900" s="152">
        <f t="shared" si="277"/>
        <v>254</v>
      </c>
      <c r="X900" s="127" t="str">
        <f t="shared" si="275"/>
        <v/>
      </c>
      <c r="Y900" s="207">
        <f t="shared" si="278"/>
        <v>254</v>
      </c>
      <c r="Z900" s="139">
        <f t="shared" si="279"/>
        <v>254</v>
      </c>
      <c r="AA900" s="139">
        <f t="shared" si="280"/>
        <v>0</v>
      </c>
      <c r="AC900" s="47">
        <f t="shared" si="281"/>
        <v>127</v>
      </c>
      <c r="AD900" s="47">
        <f t="shared" si="282"/>
        <v>127</v>
      </c>
      <c r="AE900" s="47">
        <f t="shared" si="283"/>
        <v>0</v>
      </c>
      <c r="AG900" s="47">
        <f t="shared" si="284"/>
        <v>127</v>
      </c>
      <c r="AH900" s="47">
        <f t="shared" si="285"/>
        <v>127</v>
      </c>
      <c r="AI900" s="208">
        <f t="shared" si="286"/>
        <v>0</v>
      </c>
    </row>
    <row r="901" spans="1:35">
      <c r="A901" t="s">
        <v>2118</v>
      </c>
      <c r="B901" s="48" t="s">
        <v>6274</v>
      </c>
      <c r="C901" t="s">
        <v>2187</v>
      </c>
      <c r="D901" t="str">
        <f>A901&amp;B901&amp;C901</f>
        <v>3200000</v>
      </c>
      <c r="F901" t="s">
        <v>6306</v>
      </c>
      <c r="G901" s="126">
        <f>SUMIFS('Support - Transition'!F:F,'Support - Transition'!B:B,'Step 2'!A901,'Support - Transition'!C:C,'Step 2'!B901,'Support - Transition'!D:D,'Step 2'!C901,'Support - Transition'!E:E,"CIVIL")</f>
        <v>0</v>
      </c>
      <c r="H901" s="126">
        <f>SUMIFS('Support - Transition'!F:F,'Support - Transition'!B:B,'Step 2'!A901,'Support - Transition'!C:C,'Step 2'!B901,'Support - Transition'!D:D,'Step 2'!C901,'Support - Transition'!E:E,"FIRE")</f>
        <v>0</v>
      </c>
      <c r="I901" s="126">
        <f>IF(B901="0",SUMIFS('Support - Transition'!F:F,'Support - Transition'!J:J,'Step 2'!D901,'Support - Transition'!E:E,"STATE UNIT"),SUMIFS('Support - Transition'!F:F,'Support - Transition'!J:J,'Step 2'!D901))</f>
        <v>1.1529999999999999E-3</v>
      </c>
      <c r="J901" s="126">
        <f>SUMIFS('Support - Unit Adjustments'!E:E,'Support - Unit Adjustments'!F:F,'Step 2'!D901)</f>
        <v>0</v>
      </c>
      <c r="K901" s="126">
        <f t="shared" si="270"/>
        <v>1.1529999999999999E-3</v>
      </c>
      <c r="L901" s="174">
        <f>VLOOKUP(A901,'Step 1'!$A:$E,4,FALSE)</f>
        <v>1190131</v>
      </c>
      <c r="M901" s="47">
        <f t="shared" si="271"/>
        <v>1372</v>
      </c>
      <c r="N901" s="177">
        <f>SUMIFS('Support - Transition'!G:G,'Support - Transition'!J:J,'Step 2'!D901,'Support - Transition'!E:E,"2009 WELFARE ALLOCATION FACTOR")</f>
        <v>0</v>
      </c>
      <c r="O901" s="152">
        <f t="shared" si="276"/>
        <v>0</v>
      </c>
      <c r="P901" s="126">
        <f>IF(E901="Y",0,SUMIFS('Support - Transition'!G:G,'Support - Transition'!J:J,'Step 2'!D901,'Support - Transition'!E:E,"2009 SCHOOL ALLOCATION FACTOR"))</f>
        <v>0</v>
      </c>
      <c r="Q901" s="126">
        <f>IF(E901="Y",VLOOKUP(D901,'Support - Unit Adjustments'!F:G,2,FALSE),0)</f>
        <v>0</v>
      </c>
      <c r="R901" s="155">
        <f t="shared" si="269"/>
        <v>0</v>
      </c>
      <c r="S901" s="47">
        <f t="shared" si="268"/>
        <v>0</v>
      </c>
      <c r="T901" s="151">
        <f t="shared" si="272"/>
        <v>1372</v>
      </c>
      <c r="U901" s="151">
        <f t="shared" si="273"/>
        <v>1190131</v>
      </c>
      <c r="V901" s="139">
        <f t="shared" si="274"/>
        <v>0</v>
      </c>
      <c r="W901" s="152">
        <f t="shared" si="277"/>
        <v>1372</v>
      </c>
      <c r="X901" s="127">
        <f t="shared" si="275"/>
        <v>0</v>
      </c>
      <c r="Y901" s="207">
        <f t="shared" si="278"/>
        <v>1372</v>
      </c>
      <c r="Z901" s="139">
        <f t="shared" si="279"/>
        <v>1372</v>
      </c>
      <c r="AA901" s="139">
        <f t="shared" si="280"/>
        <v>0</v>
      </c>
      <c r="AC901" s="47">
        <f t="shared" si="281"/>
        <v>686</v>
      </c>
      <c r="AD901" s="47">
        <f t="shared" si="282"/>
        <v>686</v>
      </c>
      <c r="AE901" s="47">
        <f t="shared" si="283"/>
        <v>0</v>
      </c>
      <c r="AG901" s="47">
        <f t="shared" si="284"/>
        <v>686</v>
      </c>
      <c r="AH901" s="47">
        <f t="shared" si="285"/>
        <v>686</v>
      </c>
      <c r="AI901" s="208">
        <f t="shared" si="286"/>
        <v>0</v>
      </c>
    </row>
    <row r="902" spans="1:35">
      <c r="A902" t="s">
        <v>2118</v>
      </c>
      <c r="B902" t="s">
        <v>3140</v>
      </c>
      <c r="C902" t="s">
        <v>2187</v>
      </c>
      <c r="D902" t="s">
        <v>4216</v>
      </c>
      <c r="F902" t="s">
        <v>712</v>
      </c>
      <c r="G902" s="126">
        <f>SUMIFS('Support - Transition'!F:F,'Support - Transition'!B:B,'Step 2'!A902,'Support - Transition'!C:C,'Step 2'!B902,'Support - Transition'!D:D,'Step 2'!C902,'Support - Transition'!E:E,"CIVIL")</f>
        <v>0</v>
      </c>
      <c r="H902" s="126">
        <f>SUMIFS('Support - Transition'!F:F,'Support - Transition'!B:B,'Step 2'!A902,'Support - Transition'!C:C,'Step 2'!B902,'Support - Transition'!D:D,'Step 2'!C902,'Support - Transition'!E:E,"FIRE")</f>
        <v>0</v>
      </c>
      <c r="I902" s="126">
        <f>IF(B902="0",SUMIFS('Support - Transition'!F:F,'Support - Transition'!J:J,'Step 2'!D902,'Support - Transition'!E:E,"STATE UNIT"),SUMIFS('Support - Transition'!F:F,'Support - Transition'!J:J,'Step 2'!D902))</f>
        <v>0.114068</v>
      </c>
      <c r="J902" s="126">
        <f>SUMIFS('Support - Unit Adjustments'!E:E,'Support - Unit Adjustments'!F:F,'Step 2'!D902)</f>
        <v>0</v>
      </c>
      <c r="K902" s="126">
        <f t="shared" si="270"/>
        <v>0.114068</v>
      </c>
      <c r="L902" s="174">
        <f>VLOOKUP(A902,'Step 1'!$A:$E,4,FALSE)</f>
        <v>1190131</v>
      </c>
      <c r="M902" s="47">
        <f t="shared" si="271"/>
        <v>135756</v>
      </c>
      <c r="N902" s="177">
        <f>SUMIFS('Support - Transition'!G:G,'Support - Transition'!J:J,'Step 2'!D902,'Support - Transition'!E:E,"2009 WELFARE ALLOCATION FACTOR")</f>
        <v>7.0902999999999994E-2</v>
      </c>
      <c r="O902" s="152">
        <f t="shared" si="276"/>
        <v>9626</v>
      </c>
      <c r="P902" s="126">
        <f>IF(E902="Y",0,SUMIFS('Support - Transition'!G:G,'Support - Transition'!J:J,'Step 2'!D902,'Support - Transition'!E:E,"2009 SCHOOL ALLOCATION FACTOR"))</f>
        <v>0</v>
      </c>
      <c r="Q902" s="126">
        <f>IF(E902="Y",VLOOKUP(D902,'Support - Unit Adjustments'!F:G,2,FALSE),0)</f>
        <v>0</v>
      </c>
      <c r="R902" s="155">
        <f t="shared" si="269"/>
        <v>0</v>
      </c>
      <c r="S902" s="47">
        <f t="shared" si="268"/>
        <v>0</v>
      </c>
      <c r="T902" s="151">
        <f t="shared" si="272"/>
        <v>126130</v>
      </c>
      <c r="U902" s="151">
        <f t="shared" si="273"/>
        <v>0</v>
      </c>
      <c r="V902" s="139">
        <f t="shared" si="274"/>
        <v>0</v>
      </c>
      <c r="W902" s="152">
        <f t="shared" si="277"/>
        <v>126130</v>
      </c>
      <c r="X902" s="127" t="str">
        <f t="shared" si="275"/>
        <v/>
      </c>
      <c r="Y902" s="207">
        <f t="shared" si="278"/>
        <v>126130</v>
      </c>
      <c r="Z902" s="139">
        <f t="shared" si="279"/>
        <v>126130</v>
      </c>
      <c r="AA902" s="139">
        <f t="shared" si="280"/>
        <v>0</v>
      </c>
      <c r="AC902" s="47">
        <f t="shared" si="281"/>
        <v>63065</v>
      </c>
      <c r="AD902" s="47">
        <f t="shared" si="282"/>
        <v>63065</v>
      </c>
      <c r="AE902" s="47">
        <f t="shared" si="283"/>
        <v>0</v>
      </c>
      <c r="AG902" s="47">
        <f t="shared" si="284"/>
        <v>63065</v>
      </c>
      <c r="AH902" s="47">
        <f t="shared" si="285"/>
        <v>63065</v>
      </c>
      <c r="AI902" s="208">
        <f t="shared" si="286"/>
        <v>0</v>
      </c>
    </row>
    <row r="903" spans="1:35">
      <c r="A903" t="s">
        <v>2118</v>
      </c>
      <c r="B903" t="s">
        <v>3142</v>
      </c>
      <c r="C903" t="s">
        <v>2188</v>
      </c>
      <c r="D903" t="s">
        <v>4217</v>
      </c>
      <c r="F903" t="s">
        <v>671</v>
      </c>
      <c r="G903" s="126">
        <f>SUMIFS('Support - Transition'!F:F,'Support - Transition'!B:B,'Step 2'!A903,'Support - Transition'!C:C,'Step 2'!B903,'Support - Transition'!D:D,'Step 2'!C903,'Support - Transition'!E:E,"CIVIL")</f>
        <v>2.7599999999999999E-4</v>
      </c>
      <c r="H903" s="126">
        <f>SUMIFS('Support - Transition'!F:F,'Support - Transition'!B:B,'Step 2'!A903,'Support - Transition'!C:C,'Step 2'!B903,'Support - Transition'!D:D,'Step 2'!C903,'Support - Transition'!E:E,"FIRE")</f>
        <v>0</v>
      </c>
      <c r="I903" s="126">
        <f>IF(B903="0",SUMIFS('Support - Transition'!F:F,'Support - Transition'!J:J,'Step 2'!D903,'Support - Transition'!E:E,"STATE UNIT"),SUMIFS('Support - Transition'!F:F,'Support - Transition'!J:J,'Step 2'!D903))</f>
        <v>2.7599999999999999E-4</v>
      </c>
      <c r="J903" s="126">
        <f>SUMIFS('Support - Unit Adjustments'!E:E,'Support - Unit Adjustments'!F:F,'Step 2'!D903)</f>
        <v>0</v>
      </c>
      <c r="K903" s="126">
        <f t="shared" si="270"/>
        <v>2.7599999999999999E-4</v>
      </c>
      <c r="L903" s="174">
        <f>VLOOKUP(A903,'Step 1'!$A:$E,4,FALSE)</f>
        <v>1190131</v>
      </c>
      <c r="M903" s="47">
        <f t="shared" si="271"/>
        <v>328</v>
      </c>
      <c r="N903" s="177">
        <f>SUMIFS('Support - Transition'!G:G,'Support - Transition'!J:J,'Step 2'!D903,'Support - Transition'!E:E,"2009 WELFARE ALLOCATION FACTOR")</f>
        <v>0</v>
      </c>
      <c r="O903" s="152">
        <f t="shared" si="276"/>
        <v>0</v>
      </c>
      <c r="P903" s="126">
        <f>IF(E903="Y",0,SUMIFS('Support - Transition'!G:G,'Support - Transition'!J:J,'Step 2'!D903,'Support - Transition'!E:E,"2009 SCHOOL ALLOCATION FACTOR"))</f>
        <v>0</v>
      </c>
      <c r="Q903" s="126">
        <f>IF(E903="Y",VLOOKUP(D903,'Support - Unit Adjustments'!F:G,2,FALSE),0)</f>
        <v>0</v>
      </c>
      <c r="R903" s="155">
        <f t="shared" si="269"/>
        <v>0</v>
      </c>
      <c r="S903" s="47">
        <f t="shared" si="268"/>
        <v>0</v>
      </c>
      <c r="T903" s="151">
        <f t="shared" si="272"/>
        <v>328</v>
      </c>
      <c r="U903" s="151">
        <f t="shared" si="273"/>
        <v>0</v>
      </c>
      <c r="V903" s="139">
        <f t="shared" si="274"/>
        <v>0</v>
      </c>
      <c r="W903" s="152">
        <f t="shared" si="277"/>
        <v>328</v>
      </c>
      <c r="X903" s="127" t="str">
        <f t="shared" si="275"/>
        <v/>
      </c>
      <c r="Y903" s="207">
        <f t="shared" si="278"/>
        <v>328</v>
      </c>
      <c r="Z903" s="139">
        <f t="shared" si="279"/>
        <v>328</v>
      </c>
      <c r="AA903" s="139">
        <f t="shared" si="280"/>
        <v>0</v>
      </c>
      <c r="AC903" s="47">
        <f t="shared" si="281"/>
        <v>164</v>
      </c>
      <c r="AD903" s="47">
        <f t="shared" si="282"/>
        <v>164</v>
      </c>
      <c r="AE903" s="47">
        <f t="shared" si="283"/>
        <v>0</v>
      </c>
      <c r="AG903" s="47">
        <f t="shared" si="284"/>
        <v>164</v>
      </c>
      <c r="AH903" s="47">
        <f t="shared" si="285"/>
        <v>164</v>
      </c>
      <c r="AI903" s="208">
        <f t="shared" si="286"/>
        <v>0</v>
      </c>
    </row>
    <row r="904" spans="1:35">
      <c r="A904" t="s">
        <v>2118</v>
      </c>
      <c r="B904" t="s">
        <v>3142</v>
      </c>
      <c r="C904" t="s">
        <v>2189</v>
      </c>
      <c r="D904" t="s">
        <v>4218</v>
      </c>
      <c r="F904" t="s">
        <v>107</v>
      </c>
      <c r="G904" s="126">
        <f>SUMIFS('Support - Transition'!F:F,'Support - Transition'!B:B,'Step 2'!A904,'Support - Transition'!C:C,'Step 2'!B904,'Support - Transition'!D:D,'Step 2'!C904,'Support - Transition'!E:E,"CIVIL")</f>
        <v>2.8939999999999999E-3</v>
      </c>
      <c r="H904" s="126">
        <f>SUMIFS('Support - Transition'!F:F,'Support - Transition'!B:B,'Step 2'!A904,'Support - Transition'!C:C,'Step 2'!B904,'Support - Transition'!D:D,'Step 2'!C904,'Support - Transition'!E:E,"FIRE")</f>
        <v>1.629E-3</v>
      </c>
      <c r="I904" s="126">
        <f>IF(B904="0",SUMIFS('Support - Transition'!F:F,'Support - Transition'!J:J,'Step 2'!D904,'Support - Transition'!E:E,"STATE UNIT"),SUMIFS('Support - Transition'!F:F,'Support - Transition'!J:J,'Step 2'!D904))</f>
        <v>4.5230000000000001E-3</v>
      </c>
      <c r="J904" s="126">
        <f>SUMIFS('Support - Unit Adjustments'!E:E,'Support - Unit Adjustments'!F:F,'Step 2'!D904)</f>
        <v>0</v>
      </c>
      <c r="K904" s="126">
        <f t="shared" si="270"/>
        <v>4.5230000000000001E-3</v>
      </c>
      <c r="L904" s="174">
        <f>VLOOKUP(A904,'Step 1'!$A:$E,4,FALSE)</f>
        <v>1190131</v>
      </c>
      <c r="M904" s="47">
        <f t="shared" si="271"/>
        <v>5383</v>
      </c>
      <c r="N904" s="177">
        <f>SUMIFS('Support - Transition'!G:G,'Support - Transition'!J:J,'Step 2'!D904,'Support - Transition'!E:E,"2009 WELFARE ALLOCATION FACTOR")</f>
        <v>0</v>
      </c>
      <c r="O904" s="152">
        <f t="shared" si="276"/>
        <v>0</v>
      </c>
      <c r="P904" s="126">
        <f>IF(E904="Y",0,SUMIFS('Support - Transition'!G:G,'Support - Transition'!J:J,'Step 2'!D904,'Support - Transition'!E:E,"2009 SCHOOL ALLOCATION FACTOR"))</f>
        <v>0</v>
      </c>
      <c r="Q904" s="126">
        <f>IF(E904="Y",VLOOKUP(D904,'Support - Unit Adjustments'!F:G,2,FALSE),0)</f>
        <v>0</v>
      </c>
      <c r="R904" s="155">
        <f t="shared" si="269"/>
        <v>0</v>
      </c>
      <c r="S904" s="47">
        <f t="shared" ref="S904:S967" si="287">ROUND(+R904*M904,0)</f>
        <v>0</v>
      </c>
      <c r="T904" s="151">
        <f t="shared" si="272"/>
        <v>5383</v>
      </c>
      <c r="U904" s="151">
        <f t="shared" si="273"/>
        <v>0</v>
      </c>
      <c r="V904" s="139">
        <f t="shared" si="274"/>
        <v>0</v>
      </c>
      <c r="W904" s="152">
        <f t="shared" si="277"/>
        <v>5383</v>
      </c>
      <c r="X904" s="127" t="str">
        <f t="shared" si="275"/>
        <v/>
      </c>
      <c r="Y904" s="207">
        <f t="shared" si="278"/>
        <v>5383</v>
      </c>
      <c r="Z904" s="139">
        <f t="shared" si="279"/>
        <v>3444</v>
      </c>
      <c r="AA904" s="139">
        <f t="shared" si="280"/>
        <v>1939</v>
      </c>
      <c r="AC904" s="47">
        <f t="shared" si="281"/>
        <v>2692</v>
      </c>
      <c r="AD904" s="47">
        <f t="shared" si="282"/>
        <v>1722</v>
      </c>
      <c r="AE904" s="47">
        <f t="shared" si="283"/>
        <v>970</v>
      </c>
      <c r="AG904" s="47">
        <f t="shared" si="284"/>
        <v>2691</v>
      </c>
      <c r="AH904" s="47">
        <f t="shared" si="285"/>
        <v>1722</v>
      </c>
      <c r="AI904" s="208">
        <f t="shared" si="286"/>
        <v>969</v>
      </c>
    </row>
    <row r="905" spans="1:35">
      <c r="A905" t="s">
        <v>2118</v>
      </c>
      <c r="B905" t="s">
        <v>3142</v>
      </c>
      <c r="C905" t="s">
        <v>2190</v>
      </c>
      <c r="D905" t="s">
        <v>4219</v>
      </c>
      <c r="F905" t="s">
        <v>81</v>
      </c>
      <c r="G905" s="126">
        <f>SUMIFS('Support - Transition'!F:F,'Support - Transition'!B:B,'Step 2'!A905,'Support - Transition'!C:C,'Step 2'!B905,'Support - Transition'!D:D,'Step 2'!C905,'Support - Transition'!E:E,"CIVIL")</f>
        <v>2.3000000000000001E-4</v>
      </c>
      <c r="H905" s="126">
        <f>SUMIFS('Support - Transition'!F:F,'Support - Transition'!B:B,'Step 2'!A905,'Support - Transition'!C:C,'Step 2'!B905,'Support - Transition'!D:D,'Step 2'!C905,'Support - Transition'!E:E,"FIRE")</f>
        <v>2.7599999999999999E-4</v>
      </c>
      <c r="I905" s="126">
        <f>IF(B905="0",SUMIFS('Support - Transition'!F:F,'Support - Transition'!J:J,'Step 2'!D905,'Support - Transition'!E:E,"STATE UNIT"),SUMIFS('Support - Transition'!F:F,'Support - Transition'!J:J,'Step 2'!D905))</f>
        <v>5.0599999999999994E-4</v>
      </c>
      <c r="J905" s="126">
        <f>SUMIFS('Support - Unit Adjustments'!E:E,'Support - Unit Adjustments'!F:F,'Step 2'!D905)</f>
        <v>0</v>
      </c>
      <c r="K905" s="126">
        <f t="shared" si="270"/>
        <v>5.0599999999999994E-4</v>
      </c>
      <c r="L905" s="174">
        <f>VLOOKUP(A905,'Step 1'!$A:$E,4,FALSE)</f>
        <v>1190131</v>
      </c>
      <c r="M905" s="47">
        <f t="shared" si="271"/>
        <v>602</v>
      </c>
      <c r="N905" s="177">
        <f>SUMIFS('Support - Transition'!G:G,'Support - Transition'!J:J,'Step 2'!D905,'Support - Transition'!E:E,"2009 WELFARE ALLOCATION FACTOR")</f>
        <v>0</v>
      </c>
      <c r="O905" s="152">
        <f t="shared" si="276"/>
        <v>0</v>
      </c>
      <c r="P905" s="126">
        <f>IF(E905="Y",0,SUMIFS('Support - Transition'!G:G,'Support - Transition'!J:J,'Step 2'!D905,'Support - Transition'!E:E,"2009 SCHOOL ALLOCATION FACTOR"))</f>
        <v>0</v>
      </c>
      <c r="Q905" s="126">
        <f>IF(E905="Y",VLOOKUP(D905,'Support - Unit Adjustments'!F:G,2,FALSE),0)</f>
        <v>0</v>
      </c>
      <c r="R905" s="155">
        <f t="shared" ref="R905:R968" si="288">+P905+Q905</f>
        <v>0</v>
      </c>
      <c r="S905" s="47">
        <f t="shared" si="287"/>
        <v>0</v>
      </c>
      <c r="T905" s="151">
        <f t="shared" si="272"/>
        <v>602</v>
      </c>
      <c r="U905" s="151">
        <f t="shared" si="273"/>
        <v>0</v>
      </c>
      <c r="V905" s="139">
        <f t="shared" si="274"/>
        <v>0</v>
      </c>
      <c r="W905" s="152">
        <f t="shared" si="277"/>
        <v>602</v>
      </c>
      <c r="X905" s="127" t="str">
        <f t="shared" si="275"/>
        <v/>
      </c>
      <c r="Y905" s="207">
        <f t="shared" si="278"/>
        <v>602</v>
      </c>
      <c r="Z905" s="139">
        <f t="shared" si="279"/>
        <v>274</v>
      </c>
      <c r="AA905" s="139">
        <f t="shared" si="280"/>
        <v>328</v>
      </c>
      <c r="AC905" s="47">
        <f t="shared" si="281"/>
        <v>301</v>
      </c>
      <c r="AD905" s="47">
        <f t="shared" si="282"/>
        <v>137</v>
      </c>
      <c r="AE905" s="47">
        <f t="shared" si="283"/>
        <v>164</v>
      </c>
      <c r="AG905" s="47">
        <f t="shared" si="284"/>
        <v>301</v>
      </c>
      <c r="AH905" s="47">
        <f t="shared" si="285"/>
        <v>137</v>
      </c>
      <c r="AI905" s="208">
        <f t="shared" si="286"/>
        <v>164</v>
      </c>
    </row>
    <row r="906" spans="1:35">
      <c r="A906" t="s">
        <v>2118</v>
      </c>
      <c r="B906" t="s">
        <v>3142</v>
      </c>
      <c r="C906" t="s">
        <v>2191</v>
      </c>
      <c r="D906" t="s">
        <v>4220</v>
      </c>
      <c r="F906" t="s">
        <v>48</v>
      </c>
      <c r="G906" s="126">
        <f>SUMIFS('Support - Transition'!F:F,'Support - Transition'!B:B,'Step 2'!A906,'Support - Transition'!C:C,'Step 2'!B906,'Support - Transition'!D:D,'Step 2'!C906,'Support - Transition'!E:E,"CIVIL")</f>
        <v>2.0119999999999999E-3</v>
      </c>
      <c r="H906" s="126">
        <f>SUMIFS('Support - Transition'!F:F,'Support - Transition'!B:B,'Step 2'!A906,'Support - Transition'!C:C,'Step 2'!B906,'Support - Transition'!D:D,'Step 2'!C906,'Support - Transition'!E:E,"FIRE")</f>
        <v>2.8170000000000001E-3</v>
      </c>
      <c r="I906" s="126">
        <f>IF(B906="0",SUMIFS('Support - Transition'!F:F,'Support - Transition'!J:J,'Step 2'!D906,'Support - Transition'!E:E,"STATE UNIT"),SUMIFS('Support - Transition'!F:F,'Support - Transition'!J:J,'Step 2'!D906))</f>
        <v>4.829E-3</v>
      </c>
      <c r="J906" s="126">
        <f>SUMIFS('Support - Unit Adjustments'!E:E,'Support - Unit Adjustments'!F:F,'Step 2'!D906)</f>
        <v>0</v>
      </c>
      <c r="K906" s="126">
        <f t="shared" si="270"/>
        <v>4.829E-3</v>
      </c>
      <c r="L906" s="174">
        <f>VLOOKUP(A906,'Step 1'!$A:$E,4,FALSE)</f>
        <v>1190131</v>
      </c>
      <c r="M906" s="47">
        <f t="shared" si="271"/>
        <v>5747</v>
      </c>
      <c r="N906" s="177">
        <f>SUMIFS('Support - Transition'!G:G,'Support - Transition'!J:J,'Step 2'!D906,'Support - Transition'!E:E,"2009 WELFARE ALLOCATION FACTOR")</f>
        <v>0</v>
      </c>
      <c r="O906" s="152">
        <f t="shared" si="276"/>
        <v>0</v>
      </c>
      <c r="P906" s="126">
        <f>IF(E906="Y",0,SUMIFS('Support - Transition'!G:G,'Support - Transition'!J:J,'Step 2'!D906,'Support - Transition'!E:E,"2009 SCHOOL ALLOCATION FACTOR"))</f>
        <v>0</v>
      </c>
      <c r="Q906" s="126">
        <f>IF(E906="Y",VLOOKUP(D906,'Support - Unit Adjustments'!F:G,2,FALSE),0)</f>
        <v>0</v>
      </c>
      <c r="R906" s="155">
        <f t="shared" si="288"/>
        <v>0</v>
      </c>
      <c r="S906" s="47">
        <f t="shared" si="287"/>
        <v>0</v>
      </c>
      <c r="T906" s="151">
        <f t="shared" si="272"/>
        <v>5747</v>
      </c>
      <c r="U906" s="151">
        <f t="shared" si="273"/>
        <v>0</v>
      </c>
      <c r="V906" s="139">
        <f t="shared" si="274"/>
        <v>0</v>
      </c>
      <c r="W906" s="152">
        <f t="shared" si="277"/>
        <v>5747</v>
      </c>
      <c r="X906" s="127" t="str">
        <f t="shared" si="275"/>
        <v/>
      </c>
      <c r="Y906" s="207">
        <f t="shared" si="278"/>
        <v>5747</v>
      </c>
      <c r="Z906" s="139">
        <f t="shared" si="279"/>
        <v>2394</v>
      </c>
      <c r="AA906" s="139">
        <f t="shared" si="280"/>
        <v>3353</v>
      </c>
      <c r="AC906" s="47">
        <f t="shared" si="281"/>
        <v>2874</v>
      </c>
      <c r="AD906" s="47">
        <f t="shared" si="282"/>
        <v>1197</v>
      </c>
      <c r="AE906" s="47">
        <f t="shared" si="283"/>
        <v>1677</v>
      </c>
      <c r="AG906" s="47">
        <f t="shared" si="284"/>
        <v>2873</v>
      </c>
      <c r="AH906" s="47">
        <f t="shared" si="285"/>
        <v>1197</v>
      </c>
      <c r="AI906" s="208">
        <f t="shared" si="286"/>
        <v>1676</v>
      </c>
    </row>
    <row r="907" spans="1:35">
      <c r="A907" t="s">
        <v>2118</v>
      </c>
      <c r="B907" t="s">
        <v>3142</v>
      </c>
      <c r="C907" t="s">
        <v>2192</v>
      </c>
      <c r="D907" t="s">
        <v>4221</v>
      </c>
      <c r="F907" t="s">
        <v>372</v>
      </c>
      <c r="G907" s="126">
        <f>SUMIFS('Support - Transition'!F:F,'Support - Transition'!B:B,'Step 2'!A907,'Support - Transition'!C:C,'Step 2'!B907,'Support - Transition'!D:D,'Step 2'!C907,'Support - Transition'!E:E,"CIVIL")</f>
        <v>1.5899999999999999E-4</v>
      </c>
      <c r="H907" s="126">
        <f>SUMIFS('Support - Transition'!F:F,'Support - Transition'!B:B,'Step 2'!A907,'Support - Transition'!C:C,'Step 2'!B907,'Support - Transition'!D:D,'Step 2'!C907,'Support - Transition'!E:E,"FIRE")</f>
        <v>1.56E-4</v>
      </c>
      <c r="I907" s="126">
        <f>IF(B907="0",SUMIFS('Support - Transition'!F:F,'Support - Transition'!J:J,'Step 2'!D907,'Support - Transition'!E:E,"STATE UNIT"),SUMIFS('Support - Transition'!F:F,'Support - Transition'!J:J,'Step 2'!D907))</f>
        <v>3.1499999999999996E-4</v>
      </c>
      <c r="J907" s="126">
        <f>SUMIFS('Support - Unit Adjustments'!E:E,'Support - Unit Adjustments'!F:F,'Step 2'!D907)</f>
        <v>0</v>
      </c>
      <c r="K907" s="126">
        <f t="shared" si="270"/>
        <v>3.1499999999999996E-4</v>
      </c>
      <c r="L907" s="174">
        <f>VLOOKUP(A907,'Step 1'!$A:$E,4,FALSE)</f>
        <v>1190131</v>
      </c>
      <c r="M907" s="47">
        <f t="shared" si="271"/>
        <v>375</v>
      </c>
      <c r="N907" s="177">
        <f>SUMIFS('Support - Transition'!G:G,'Support - Transition'!J:J,'Step 2'!D907,'Support - Transition'!E:E,"2009 WELFARE ALLOCATION FACTOR")</f>
        <v>0</v>
      </c>
      <c r="O907" s="152">
        <f t="shared" si="276"/>
        <v>0</v>
      </c>
      <c r="P907" s="126">
        <f>IF(E907="Y",0,SUMIFS('Support - Transition'!G:G,'Support - Transition'!J:J,'Step 2'!D907,'Support - Transition'!E:E,"2009 SCHOOL ALLOCATION FACTOR"))</f>
        <v>0</v>
      </c>
      <c r="Q907" s="126">
        <f>IF(E907="Y",VLOOKUP(D907,'Support - Unit Adjustments'!F:G,2,FALSE),0)</f>
        <v>0</v>
      </c>
      <c r="R907" s="155">
        <f t="shared" si="288"/>
        <v>0</v>
      </c>
      <c r="S907" s="47">
        <f t="shared" si="287"/>
        <v>0</v>
      </c>
      <c r="T907" s="151">
        <f t="shared" si="272"/>
        <v>375</v>
      </c>
      <c r="U907" s="151">
        <f t="shared" si="273"/>
        <v>0</v>
      </c>
      <c r="V907" s="139">
        <f t="shared" si="274"/>
        <v>0</v>
      </c>
      <c r="W907" s="152">
        <f t="shared" si="277"/>
        <v>375</v>
      </c>
      <c r="X907" s="127" t="str">
        <f t="shared" si="275"/>
        <v/>
      </c>
      <c r="Y907" s="207">
        <f t="shared" si="278"/>
        <v>375</v>
      </c>
      <c r="Z907" s="139">
        <f t="shared" si="279"/>
        <v>189</v>
      </c>
      <c r="AA907" s="139">
        <f t="shared" si="280"/>
        <v>186</v>
      </c>
      <c r="AC907" s="47">
        <f t="shared" si="281"/>
        <v>188</v>
      </c>
      <c r="AD907" s="47">
        <f t="shared" si="282"/>
        <v>95</v>
      </c>
      <c r="AE907" s="47">
        <f t="shared" si="283"/>
        <v>93</v>
      </c>
      <c r="AG907" s="47">
        <f t="shared" si="284"/>
        <v>187</v>
      </c>
      <c r="AH907" s="47">
        <f t="shared" si="285"/>
        <v>94</v>
      </c>
      <c r="AI907" s="208">
        <f t="shared" si="286"/>
        <v>93</v>
      </c>
    </row>
    <row r="908" spans="1:35">
      <c r="A908" t="s">
        <v>2118</v>
      </c>
      <c r="B908" t="s">
        <v>3142</v>
      </c>
      <c r="C908" t="s">
        <v>2193</v>
      </c>
      <c r="D908" t="s">
        <v>4222</v>
      </c>
      <c r="F908" t="s">
        <v>713</v>
      </c>
      <c r="G908" s="126">
        <f>SUMIFS('Support - Transition'!F:F,'Support - Transition'!B:B,'Step 2'!A908,'Support - Transition'!C:C,'Step 2'!B908,'Support - Transition'!D:D,'Step 2'!C908,'Support - Transition'!E:E,"CIVIL")</f>
        <v>8.319E-3</v>
      </c>
      <c r="H908" s="126">
        <f>SUMIFS('Support - Transition'!F:F,'Support - Transition'!B:B,'Step 2'!A908,'Support - Transition'!C:C,'Step 2'!B908,'Support - Transition'!D:D,'Step 2'!C908,'Support - Transition'!E:E,"FIRE")</f>
        <v>1.348E-3</v>
      </c>
      <c r="I908" s="126">
        <f>IF(B908="0",SUMIFS('Support - Transition'!F:F,'Support - Transition'!J:J,'Step 2'!D908,'Support - Transition'!E:E,"STATE UNIT"),SUMIFS('Support - Transition'!F:F,'Support - Transition'!J:J,'Step 2'!D908))</f>
        <v>9.6670000000000002E-3</v>
      </c>
      <c r="J908" s="126">
        <f>SUMIFS('Support - Unit Adjustments'!E:E,'Support - Unit Adjustments'!F:F,'Step 2'!D908)</f>
        <v>0</v>
      </c>
      <c r="K908" s="126">
        <f t="shared" si="270"/>
        <v>9.6670000000000002E-3</v>
      </c>
      <c r="L908" s="174">
        <f>VLOOKUP(A908,'Step 1'!$A:$E,4,FALSE)</f>
        <v>1190131</v>
      </c>
      <c r="M908" s="47">
        <f t="shared" si="271"/>
        <v>11505</v>
      </c>
      <c r="N908" s="177">
        <f>SUMIFS('Support - Transition'!G:G,'Support - Transition'!J:J,'Step 2'!D908,'Support - Transition'!E:E,"2009 WELFARE ALLOCATION FACTOR")</f>
        <v>0</v>
      </c>
      <c r="O908" s="152">
        <f t="shared" si="276"/>
        <v>0</v>
      </c>
      <c r="P908" s="126">
        <f>IF(E908="Y",0,SUMIFS('Support - Transition'!G:G,'Support - Transition'!J:J,'Step 2'!D908,'Support - Transition'!E:E,"2009 SCHOOL ALLOCATION FACTOR"))</f>
        <v>0</v>
      </c>
      <c r="Q908" s="126">
        <f>IF(E908="Y",VLOOKUP(D908,'Support - Unit Adjustments'!F:G,2,FALSE),0)</f>
        <v>0</v>
      </c>
      <c r="R908" s="155">
        <f t="shared" si="288"/>
        <v>0</v>
      </c>
      <c r="S908" s="47">
        <f t="shared" si="287"/>
        <v>0</v>
      </c>
      <c r="T908" s="151">
        <f t="shared" si="272"/>
        <v>11505</v>
      </c>
      <c r="U908" s="151">
        <f t="shared" si="273"/>
        <v>0</v>
      </c>
      <c r="V908" s="139">
        <f t="shared" si="274"/>
        <v>0</v>
      </c>
      <c r="W908" s="152">
        <f t="shared" si="277"/>
        <v>11505</v>
      </c>
      <c r="X908" s="127" t="str">
        <f t="shared" si="275"/>
        <v/>
      </c>
      <c r="Y908" s="207">
        <f t="shared" si="278"/>
        <v>11505</v>
      </c>
      <c r="Z908" s="139">
        <f t="shared" si="279"/>
        <v>9901</v>
      </c>
      <c r="AA908" s="139">
        <f t="shared" si="280"/>
        <v>1604</v>
      </c>
      <c r="AC908" s="47">
        <f t="shared" si="281"/>
        <v>5753</v>
      </c>
      <c r="AD908" s="47">
        <f t="shared" si="282"/>
        <v>4951</v>
      </c>
      <c r="AE908" s="47">
        <f t="shared" si="283"/>
        <v>802</v>
      </c>
      <c r="AG908" s="47">
        <f t="shared" si="284"/>
        <v>5752</v>
      </c>
      <c r="AH908" s="47">
        <f t="shared" si="285"/>
        <v>4950</v>
      </c>
      <c r="AI908" s="208">
        <f t="shared" si="286"/>
        <v>802</v>
      </c>
    </row>
    <row r="909" spans="1:35">
      <c r="A909" t="s">
        <v>2118</v>
      </c>
      <c r="B909" t="s">
        <v>3142</v>
      </c>
      <c r="C909" t="s">
        <v>2194</v>
      </c>
      <c r="D909" t="s">
        <v>4223</v>
      </c>
      <c r="F909" t="s">
        <v>181</v>
      </c>
      <c r="G909" s="126">
        <f>SUMIFS('Support - Transition'!F:F,'Support - Transition'!B:B,'Step 2'!A909,'Support - Transition'!C:C,'Step 2'!B909,'Support - Transition'!D:D,'Step 2'!C909,'Support - Transition'!E:E,"CIVIL")</f>
        <v>2.3930000000000002E-3</v>
      </c>
      <c r="H909" s="126">
        <f>SUMIFS('Support - Transition'!F:F,'Support - Transition'!B:B,'Step 2'!A909,'Support - Transition'!C:C,'Step 2'!B909,'Support - Transition'!D:D,'Step 2'!C909,'Support - Transition'!E:E,"FIRE")</f>
        <v>3.1050000000000001E-3</v>
      </c>
      <c r="I909" s="126">
        <f>IF(B909="0",SUMIFS('Support - Transition'!F:F,'Support - Transition'!J:J,'Step 2'!D909,'Support - Transition'!E:E,"STATE UNIT"),SUMIFS('Support - Transition'!F:F,'Support - Transition'!J:J,'Step 2'!D909))</f>
        <v>5.4980000000000003E-3</v>
      </c>
      <c r="J909" s="126">
        <f>SUMIFS('Support - Unit Adjustments'!E:E,'Support - Unit Adjustments'!F:F,'Step 2'!D909)</f>
        <v>0</v>
      </c>
      <c r="K909" s="126">
        <f t="shared" si="270"/>
        <v>5.4980000000000003E-3</v>
      </c>
      <c r="L909" s="174">
        <f>VLOOKUP(A909,'Step 1'!$A:$E,4,FALSE)</f>
        <v>1190131</v>
      </c>
      <c r="M909" s="47">
        <f t="shared" si="271"/>
        <v>6543</v>
      </c>
      <c r="N909" s="177">
        <f>SUMIFS('Support - Transition'!G:G,'Support - Transition'!J:J,'Step 2'!D909,'Support - Transition'!E:E,"2009 WELFARE ALLOCATION FACTOR")</f>
        <v>0</v>
      </c>
      <c r="O909" s="152">
        <f t="shared" si="276"/>
        <v>0</v>
      </c>
      <c r="P909" s="126">
        <f>IF(E909="Y",0,SUMIFS('Support - Transition'!G:G,'Support - Transition'!J:J,'Step 2'!D909,'Support - Transition'!E:E,"2009 SCHOOL ALLOCATION FACTOR"))</f>
        <v>0</v>
      </c>
      <c r="Q909" s="126">
        <f>IF(E909="Y",VLOOKUP(D909,'Support - Unit Adjustments'!F:G,2,FALSE),0)</f>
        <v>0</v>
      </c>
      <c r="R909" s="155">
        <f t="shared" si="288"/>
        <v>0</v>
      </c>
      <c r="S909" s="47">
        <f t="shared" si="287"/>
        <v>0</v>
      </c>
      <c r="T909" s="151">
        <f t="shared" si="272"/>
        <v>6543</v>
      </c>
      <c r="U909" s="151">
        <f t="shared" si="273"/>
        <v>0</v>
      </c>
      <c r="V909" s="139">
        <f t="shared" si="274"/>
        <v>0</v>
      </c>
      <c r="W909" s="152">
        <f t="shared" si="277"/>
        <v>6543</v>
      </c>
      <c r="X909" s="127" t="str">
        <f t="shared" si="275"/>
        <v/>
      </c>
      <c r="Y909" s="207">
        <f t="shared" si="278"/>
        <v>6543</v>
      </c>
      <c r="Z909" s="139">
        <f t="shared" si="279"/>
        <v>2848</v>
      </c>
      <c r="AA909" s="139">
        <f t="shared" si="280"/>
        <v>3695</v>
      </c>
      <c r="AC909" s="47">
        <f t="shared" si="281"/>
        <v>3272</v>
      </c>
      <c r="AD909" s="47">
        <f t="shared" si="282"/>
        <v>1424</v>
      </c>
      <c r="AE909" s="47">
        <f t="shared" si="283"/>
        <v>1848</v>
      </c>
      <c r="AG909" s="47">
        <f t="shared" si="284"/>
        <v>3271</v>
      </c>
      <c r="AH909" s="47">
        <f t="shared" si="285"/>
        <v>1424</v>
      </c>
      <c r="AI909" s="208">
        <f t="shared" si="286"/>
        <v>1847</v>
      </c>
    </row>
    <row r="910" spans="1:35">
      <c r="A910" t="s">
        <v>2118</v>
      </c>
      <c r="B910" t="s">
        <v>3142</v>
      </c>
      <c r="C910" t="s">
        <v>2195</v>
      </c>
      <c r="D910" t="s">
        <v>4224</v>
      </c>
      <c r="F910" t="s">
        <v>714</v>
      </c>
      <c r="G910" s="126">
        <f>SUMIFS('Support - Transition'!F:F,'Support - Transition'!B:B,'Step 2'!A910,'Support - Transition'!C:C,'Step 2'!B910,'Support - Transition'!D:D,'Step 2'!C910,'Support - Transition'!E:E,"CIVIL")</f>
        <v>8.25E-4</v>
      </c>
      <c r="H910" s="126">
        <f>SUMIFS('Support - Transition'!F:F,'Support - Transition'!B:B,'Step 2'!A910,'Support - Transition'!C:C,'Step 2'!B910,'Support - Transition'!D:D,'Step 2'!C910,'Support - Transition'!E:E,"FIRE")</f>
        <v>0</v>
      </c>
      <c r="I910" s="126">
        <f>IF(B910="0",SUMIFS('Support - Transition'!F:F,'Support - Transition'!J:J,'Step 2'!D910,'Support - Transition'!E:E,"STATE UNIT"),SUMIFS('Support - Transition'!F:F,'Support - Transition'!J:J,'Step 2'!D910))</f>
        <v>8.25E-4</v>
      </c>
      <c r="J910" s="126">
        <f>SUMIFS('Support - Unit Adjustments'!E:E,'Support - Unit Adjustments'!F:F,'Step 2'!D910)</f>
        <v>0</v>
      </c>
      <c r="K910" s="126">
        <f t="shared" si="270"/>
        <v>8.25E-4</v>
      </c>
      <c r="L910" s="174">
        <f>VLOOKUP(A910,'Step 1'!$A:$E,4,FALSE)</f>
        <v>1190131</v>
      </c>
      <c r="M910" s="47">
        <f t="shared" si="271"/>
        <v>982</v>
      </c>
      <c r="N910" s="177">
        <f>SUMIFS('Support - Transition'!G:G,'Support - Transition'!J:J,'Step 2'!D910,'Support - Transition'!E:E,"2009 WELFARE ALLOCATION FACTOR")</f>
        <v>0</v>
      </c>
      <c r="O910" s="152">
        <f t="shared" si="276"/>
        <v>0</v>
      </c>
      <c r="P910" s="126">
        <f>IF(E910="Y",0,SUMIFS('Support - Transition'!G:G,'Support - Transition'!J:J,'Step 2'!D910,'Support - Transition'!E:E,"2009 SCHOOL ALLOCATION FACTOR"))</f>
        <v>0</v>
      </c>
      <c r="Q910" s="126">
        <f>IF(E910="Y",VLOOKUP(D910,'Support - Unit Adjustments'!F:G,2,FALSE),0)</f>
        <v>0</v>
      </c>
      <c r="R910" s="155">
        <f t="shared" si="288"/>
        <v>0</v>
      </c>
      <c r="S910" s="47">
        <f t="shared" si="287"/>
        <v>0</v>
      </c>
      <c r="T910" s="151">
        <f t="shared" si="272"/>
        <v>982</v>
      </c>
      <c r="U910" s="151">
        <f t="shared" si="273"/>
        <v>0</v>
      </c>
      <c r="V910" s="139">
        <f t="shared" si="274"/>
        <v>0</v>
      </c>
      <c r="W910" s="152">
        <f t="shared" si="277"/>
        <v>982</v>
      </c>
      <c r="X910" s="127" t="str">
        <f t="shared" si="275"/>
        <v/>
      </c>
      <c r="Y910" s="207">
        <f t="shared" si="278"/>
        <v>982</v>
      </c>
      <c r="Z910" s="139">
        <f t="shared" si="279"/>
        <v>982</v>
      </c>
      <c r="AA910" s="139">
        <f t="shared" si="280"/>
        <v>0</v>
      </c>
      <c r="AC910" s="47">
        <f t="shared" si="281"/>
        <v>491</v>
      </c>
      <c r="AD910" s="47">
        <f t="shared" si="282"/>
        <v>491</v>
      </c>
      <c r="AE910" s="47">
        <f t="shared" si="283"/>
        <v>0</v>
      </c>
      <c r="AG910" s="47">
        <f t="shared" si="284"/>
        <v>491</v>
      </c>
      <c r="AH910" s="47">
        <f t="shared" si="285"/>
        <v>491</v>
      </c>
      <c r="AI910" s="208">
        <f t="shared" si="286"/>
        <v>0</v>
      </c>
    </row>
    <row r="911" spans="1:35">
      <c r="A911" t="s">
        <v>2118</v>
      </c>
      <c r="B911" t="s">
        <v>3142</v>
      </c>
      <c r="C911" t="s">
        <v>2196</v>
      </c>
      <c r="D911" t="s">
        <v>4225</v>
      </c>
      <c r="F911" t="s">
        <v>53</v>
      </c>
      <c r="G911" s="126">
        <f>SUMIFS('Support - Transition'!F:F,'Support - Transition'!B:B,'Step 2'!A911,'Support - Transition'!C:C,'Step 2'!B911,'Support - Transition'!D:D,'Step 2'!C911,'Support - Transition'!E:E,"CIVIL")</f>
        <v>2.2100000000000001E-4</v>
      </c>
      <c r="H911" s="126">
        <f>SUMIFS('Support - Transition'!F:F,'Support - Transition'!B:B,'Step 2'!A911,'Support - Transition'!C:C,'Step 2'!B911,'Support - Transition'!D:D,'Step 2'!C911,'Support - Transition'!E:E,"FIRE")</f>
        <v>1.5899999999999999E-4</v>
      </c>
      <c r="I911" s="126">
        <f>IF(B911="0",SUMIFS('Support - Transition'!F:F,'Support - Transition'!J:J,'Step 2'!D911,'Support - Transition'!E:E,"STATE UNIT"),SUMIFS('Support - Transition'!F:F,'Support - Transition'!J:J,'Step 2'!D911))</f>
        <v>3.8000000000000002E-4</v>
      </c>
      <c r="J911" s="126">
        <f>SUMIFS('Support - Unit Adjustments'!E:E,'Support - Unit Adjustments'!F:F,'Step 2'!D911)</f>
        <v>0</v>
      </c>
      <c r="K911" s="126">
        <f t="shared" si="270"/>
        <v>3.8000000000000002E-4</v>
      </c>
      <c r="L911" s="174">
        <f>VLOOKUP(A911,'Step 1'!$A:$E,4,FALSE)</f>
        <v>1190131</v>
      </c>
      <c r="M911" s="47">
        <f t="shared" si="271"/>
        <v>452</v>
      </c>
      <c r="N911" s="177">
        <f>SUMIFS('Support - Transition'!G:G,'Support - Transition'!J:J,'Step 2'!D911,'Support - Transition'!E:E,"2009 WELFARE ALLOCATION FACTOR")</f>
        <v>0</v>
      </c>
      <c r="O911" s="152">
        <f t="shared" si="276"/>
        <v>0</v>
      </c>
      <c r="P911" s="126">
        <f>IF(E911="Y",0,SUMIFS('Support - Transition'!G:G,'Support - Transition'!J:J,'Step 2'!D911,'Support - Transition'!E:E,"2009 SCHOOL ALLOCATION FACTOR"))</f>
        <v>0</v>
      </c>
      <c r="Q911" s="126">
        <f>IF(E911="Y",VLOOKUP(D911,'Support - Unit Adjustments'!F:G,2,FALSE),0)</f>
        <v>0</v>
      </c>
      <c r="R911" s="155">
        <f t="shared" si="288"/>
        <v>0</v>
      </c>
      <c r="S911" s="47">
        <f t="shared" si="287"/>
        <v>0</v>
      </c>
      <c r="T911" s="151">
        <f t="shared" si="272"/>
        <v>452</v>
      </c>
      <c r="U911" s="151">
        <f t="shared" si="273"/>
        <v>0</v>
      </c>
      <c r="V911" s="139">
        <f t="shared" si="274"/>
        <v>0</v>
      </c>
      <c r="W911" s="152">
        <f t="shared" si="277"/>
        <v>452</v>
      </c>
      <c r="X911" s="127" t="str">
        <f t="shared" si="275"/>
        <v/>
      </c>
      <c r="Y911" s="207">
        <f t="shared" si="278"/>
        <v>452</v>
      </c>
      <c r="Z911" s="139">
        <f t="shared" si="279"/>
        <v>263</v>
      </c>
      <c r="AA911" s="139">
        <f t="shared" si="280"/>
        <v>189</v>
      </c>
      <c r="AC911" s="47">
        <f t="shared" si="281"/>
        <v>226</v>
      </c>
      <c r="AD911" s="47">
        <f t="shared" si="282"/>
        <v>132</v>
      </c>
      <c r="AE911" s="47">
        <f t="shared" si="283"/>
        <v>95</v>
      </c>
      <c r="AG911" s="47">
        <f t="shared" si="284"/>
        <v>226</v>
      </c>
      <c r="AH911" s="47">
        <f t="shared" si="285"/>
        <v>131</v>
      </c>
      <c r="AI911" s="208">
        <f t="shared" si="286"/>
        <v>94</v>
      </c>
    </row>
    <row r="912" spans="1:35">
      <c r="A912" t="s">
        <v>2118</v>
      </c>
      <c r="B912" t="s">
        <v>3142</v>
      </c>
      <c r="C912" t="s">
        <v>2197</v>
      </c>
      <c r="D912" t="s">
        <v>4226</v>
      </c>
      <c r="F912" t="s">
        <v>715</v>
      </c>
      <c r="G912" s="126">
        <f>SUMIFS('Support - Transition'!F:F,'Support - Transition'!B:B,'Step 2'!A912,'Support - Transition'!C:C,'Step 2'!B912,'Support - Transition'!D:D,'Step 2'!C912,'Support - Transition'!E:E,"CIVIL")</f>
        <v>3.19E-4</v>
      </c>
      <c r="H912" s="126">
        <f>SUMIFS('Support - Transition'!F:F,'Support - Transition'!B:B,'Step 2'!A912,'Support - Transition'!C:C,'Step 2'!B912,'Support - Transition'!D:D,'Step 2'!C912,'Support - Transition'!E:E,"FIRE")</f>
        <v>1.524E-3</v>
      </c>
      <c r="I912" s="126">
        <f>IF(B912="0",SUMIFS('Support - Transition'!F:F,'Support - Transition'!J:J,'Step 2'!D912,'Support - Transition'!E:E,"STATE UNIT"),SUMIFS('Support - Transition'!F:F,'Support - Transition'!J:J,'Step 2'!D912))</f>
        <v>1.843E-3</v>
      </c>
      <c r="J912" s="126">
        <f>SUMIFS('Support - Unit Adjustments'!E:E,'Support - Unit Adjustments'!F:F,'Step 2'!D912)</f>
        <v>0</v>
      </c>
      <c r="K912" s="126">
        <f t="shared" si="270"/>
        <v>1.843E-3</v>
      </c>
      <c r="L912" s="174">
        <f>VLOOKUP(A912,'Step 1'!$A:$E,4,FALSE)</f>
        <v>1190131</v>
      </c>
      <c r="M912" s="47">
        <f t="shared" si="271"/>
        <v>2193</v>
      </c>
      <c r="N912" s="177">
        <f>SUMIFS('Support - Transition'!G:G,'Support - Transition'!J:J,'Step 2'!D912,'Support - Transition'!E:E,"2009 WELFARE ALLOCATION FACTOR")</f>
        <v>0</v>
      </c>
      <c r="O912" s="152">
        <f t="shared" si="276"/>
        <v>0</v>
      </c>
      <c r="P912" s="126">
        <f>IF(E912="Y",0,SUMIFS('Support - Transition'!G:G,'Support - Transition'!J:J,'Step 2'!D912,'Support - Transition'!E:E,"2009 SCHOOL ALLOCATION FACTOR"))</f>
        <v>0</v>
      </c>
      <c r="Q912" s="126">
        <f>IF(E912="Y",VLOOKUP(D912,'Support - Unit Adjustments'!F:G,2,FALSE),0)</f>
        <v>0</v>
      </c>
      <c r="R912" s="155">
        <f t="shared" si="288"/>
        <v>0</v>
      </c>
      <c r="S912" s="47">
        <f t="shared" si="287"/>
        <v>0</v>
      </c>
      <c r="T912" s="151">
        <f t="shared" si="272"/>
        <v>2193</v>
      </c>
      <c r="U912" s="151">
        <f t="shared" si="273"/>
        <v>0</v>
      </c>
      <c r="V912" s="139">
        <f t="shared" si="274"/>
        <v>0</v>
      </c>
      <c r="W912" s="152">
        <f t="shared" si="277"/>
        <v>2193</v>
      </c>
      <c r="X912" s="127" t="str">
        <f t="shared" si="275"/>
        <v/>
      </c>
      <c r="Y912" s="207">
        <f t="shared" si="278"/>
        <v>2193</v>
      </c>
      <c r="Z912" s="139">
        <f t="shared" si="279"/>
        <v>380</v>
      </c>
      <c r="AA912" s="139">
        <f t="shared" si="280"/>
        <v>1813</v>
      </c>
      <c r="AC912" s="47">
        <f t="shared" si="281"/>
        <v>1097</v>
      </c>
      <c r="AD912" s="47">
        <f t="shared" si="282"/>
        <v>190</v>
      </c>
      <c r="AE912" s="47">
        <f t="shared" si="283"/>
        <v>907</v>
      </c>
      <c r="AG912" s="47">
        <f t="shared" si="284"/>
        <v>1096</v>
      </c>
      <c r="AH912" s="47">
        <f t="shared" si="285"/>
        <v>190</v>
      </c>
      <c r="AI912" s="208">
        <f t="shared" si="286"/>
        <v>906</v>
      </c>
    </row>
    <row r="913" spans="1:35">
      <c r="A913" t="s">
        <v>2118</v>
      </c>
      <c r="B913" t="s">
        <v>3142</v>
      </c>
      <c r="C913" t="s">
        <v>2198</v>
      </c>
      <c r="D913" t="s">
        <v>4227</v>
      </c>
      <c r="F913" t="s">
        <v>20</v>
      </c>
      <c r="G913" s="126">
        <f>SUMIFS('Support - Transition'!F:F,'Support - Transition'!B:B,'Step 2'!A913,'Support - Transition'!C:C,'Step 2'!B913,'Support - Transition'!D:D,'Step 2'!C913,'Support - Transition'!E:E,"CIVIL")</f>
        <v>3.3599999999999998E-4</v>
      </c>
      <c r="H913" s="126">
        <f>SUMIFS('Support - Transition'!F:F,'Support - Transition'!B:B,'Step 2'!A913,'Support - Transition'!C:C,'Step 2'!B913,'Support - Transition'!D:D,'Step 2'!C913,'Support - Transition'!E:E,"FIRE")</f>
        <v>1.63E-4</v>
      </c>
      <c r="I913" s="126">
        <f>IF(B913="0",SUMIFS('Support - Transition'!F:F,'Support - Transition'!J:J,'Step 2'!D913,'Support - Transition'!E:E,"STATE UNIT"),SUMIFS('Support - Transition'!F:F,'Support - Transition'!J:J,'Step 2'!D913))</f>
        <v>4.9899999999999999E-4</v>
      </c>
      <c r="J913" s="126">
        <f>SUMIFS('Support - Unit Adjustments'!E:E,'Support - Unit Adjustments'!F:F,'Step 2'!D913)</f>
        <v>0</v>
      </c>
      <c r="K913" s="126">
        <f t="shared" si="270"/>
        <v>4.9899999999999999E-4</v>
      </c>
      <c r="L913" s="174">
        <f>VLOOKUP(A913,'Step 1'!$A:$E,4,FALSE)</f>
        <v>1190131</v>
      </c>
      <c r="M913" s="47">
        <f t="shared" si="271"/>
        <v>594</v>
      </c>
      <c r="N913" s="177">
        <f>SUMIFS('Support - Transition'!G:G,'Support - Transition'!J:J,'Step 2'!D913,'Support - Transition'!E:E,"2009 WELFARE ALLOCATION FACTOR")</f>
        <v>0</v>
      </c>
      <c r="O913" s="152">
        <f t="shared" si="276"/>
        <v>0</v>
      </c>
      <c r="P913" s="126">
        <f>IF(E913="Y",0,SUMIFS('Support - Transition'!G:G,'Support - Transition'!J:J,'Step 2'!D913,'Support - Transition'!E:E,"2009 SCHOOL ALLOCATION FACTOR"))</f>
        <v>0</v>
      </c>
      <c r="Q913" s="126">
        <f>IF(E913="Y",VLOOKUP(D913,'Support - Unit Adjustments'!F:G,2,FALSE),0)</f>
        <v>0</v>
      </c>
      <c r="R913" s="155">
        <f t="shared" si="288"/>
        <v>0</v>
      </c>
      <c r="S913" s="47">
        <f t="shared" si="287"/>
        <v>0</v>
      </c>
      <c r="T913" s="151">
        <f t="shared" si="272"/>
        <v>594</v>
      </c>
      <c r="U913" s="151">
        <f t="shared" si="273"/>
        <v>0</v>
      </c>
      <c r="V913" s="139">
        <f t="shared" si="274"/>
        <v>0</v>
      </c>
      <c r="W913" s="152">
        <f t="shared" si="277"/>
        <v>594</v>
      </c>
      <c r="X913" s="127" t="str">
        <f t="shared" si="275"/>
        <v/>
      </c>
      <c r="Y913" s="207">
        <f t="shared" si="278"/>
        <v>594</v>
      </c>
      <c r="Z913" s="139">
        <f t="shared" si="279"/>
        <v>400</v>
      </c>
      <c r="AA913" s="139">
        <f t="shared" si="280"/>
        <v>194</v>
      </c>
      <c r="AC913" s="47">
        <f t="shared" si="281"/>
        <v>297</v>
      </c>
      <c r="AD913" s="47">
        <f t="shared" si="282"/>
        <v>200</v>
      </c>
      <c r="AE913" s="47">
        <f t="shared" si="283"/>
        <v>97</v>
      </c>
      <c r="AG913" s="47">
        <f t="shared" si="284"/>
        <v>297</v>
      </c>
      <c r="AH913" s="47">
        <f t="shared" si="285"/>
        <v>200</v>
      </c>
      <c r="AI913" s="208">
        <f t="shared" si="286"/>
        <v>97</v>
      </c>
    </row>
    <row r="914" spans="1:35">
      <c r="A914" t="s">
        <v>2118</v>
      </c>
      <c r="B914" t="s">
        <v>3142</v>
      </c>
      <c r="C914" t="s">
        <v>2199</v>
      </c>
      <c r="D914" t="s">
        <v>4228</v>
      </c>
      <c r="F914" t="s">
        <v>22</v>
      </c>
      <c r="G914" s="126">
        <f>SUMIFS('Support - Transition'!F:F,'Support - Transition'!B:B,'Step 2'!A914,'Support - Transition'!C:C,'Step 2'!B914,'Support - Transition'!D:D,'Step 2'!C914,'Support - Transition'!E:E,"CIVIL")</f>
        <v>6.6660000000000001E-3</v>
      </c>
      <c r="H914" s="126">
        <f>SUMIFS('Support - Transition'!F:F,'Support - Transition'!B:B,'Step 2'!A914,'Support - Transition'!C:C,'Step 2'!B914,'Support - Transition'!D:D,'Step 2'!C914,'Support - Transition'!E:E,"FIRE")</f>
        <v>7.0000000000000001E-3</v>
      </c>
      <c r="I914" s="126">
        <f>IF(B914="0",SUMIFS('Support - Transition'!F:F,'Support - Transition'!J:J,'Step 2'!D914,'Support - Transition'!E:E,"STATE UNIT"),SUMIFS('Support - Transition'!F:F,'Support - Transition'!J:J,'Step 2'!D914))</f>
        <v>1.3666000000000001E-2</v>
      </c>
      <c r="J914" s="126">
        <f>SUMIFS('Support - Unit Adjustments'!E:E,'Support - Unit Adjustments'!F:F,'Step 2'!D914)</f>
        <v>0</v>
      </c>
      <c r="K914" s="126">
        <f t="shared" si="270"/>
        <v>1.3666000000000001E-2</v>
      </c>
      <c r="L914" s="174">
        <f>VLOOKUP(A914,'Step 1'!$A:$E,4,FALSE)</f>
        <v>1190131</v>
      </c>
      <c r="M914" s="47">
        <f t="shared" si="271"/>
        <v>16264</v>
      </c>
      <c r="N914" s="177">
        <f>SUMIFS('Support - Transition'!G:G,'Support - Transition'!J:J,'Step 2'!D914,'Support - Transition'!E:E,"2009 WELFARE ALLOCATION FACTOR")</f>
        <v>0</v>
      </c>
      <c r="O914" s="152">
        <f t="shared" si="276"/>
        <v>0</v>
      </c>
      <c r="P914" s="126">
        <f>IF(E914="Y",0,SUMIFS('Support - Transition'!G:G,'Support - Transition'!J:J,'Step 2'!D914,'Support - Transition'!E:E,"2009 SCHOOL ALLOCATION FACTOR"))</f>
        <v>0</v>
      </c>
      <c r="Q914" s="126">
        <f>IF(E914="Y",VLOOKUP(D914,'Support - Unit Adjustments'!F:G,2,FALSE),0)</f>
        <v>0</v>
      </c>
      <c r="R914" s="155">
        <f t="shared" si="288"/>
        <v>0</v>
      </c>
      <c r="S914" s="47">
        <f t="shared" si="287"/>
        <v>0</v>
      </c>
      <c r="T914" s="151">
        <f t="shared" si="272"/>
        <v>16264</v>
      </c>
      <c r="U914" s="151">
        <f t="shared" si="273"/>
        <v>0</v>
      </c>
      <c r="V914" s="139">
        <f t="shared" si="274"/>
        <v>0</v>
      </c>
      <c r="W914" s="152">
        <f t="shared" si="277"/>
        <v>16264</v>
      </c>
      <c r="X914" s="127" t="str">
        <f t="shared" si="275"/>
        <v/>
      </c>
      <c r="Y914" s="207">
        <f t="shared" si="278"/>
        <v>16264</v>
      </c>
      <c r="Z914" s="139">
        <f t="shared" si="279"/>
        <v>7933</v>
      </c>
      <c r="AA914" s="139">
        <f t="shared" si="280"/>
        <v>8331</v>
      </c>
      <c r="AC914" s="47">
        <f t="shared" si="281"/>
        <v>8132</v>
      </c>
      <c r="AD914" s="47">
        <f t="shared" si="282"/>
        <v>3967</v>
      </c>
      <c r="AE914" s="47">
        <f t="shared" si="283"/>
        <v>4166</v>
      </c>
      <c r="AG914" s="47">
        <f t="shared" si="284"/>
        <v>8132</v>
      </c>
      <c r="AH914" s="47">
        <f t="shared" si="285"/>
        <v>3966</v>
      </c>
      <c r="AI914" s="208">
        <f t="shared" si="286"/>
        <v>4165</v>
      </c>
    </row>
    <row r="915" spans="1:35">
      <c r="A915" t="s">
        <v>2118</v>
      </c>
      <c r="B915" t="s">
        <v>3155</v>
      </c>
      <c r="C915" t="s">
        <v>2548</v>
      </c>
      <c r="D915" t="s">
        <v>4229</v>
      </c>
      <c r="F915" t="s">
        <v>718</v>
      </c>
      <c r="G915" s="126">
        <f>SUMIFS('Support - Transition'!F:F,'Support - Transition'!B:B,'Step 2'!A915,'Support - Transition'!C:C,'Step 2'!B915,'Support - Transition'!D:D,'Step 2'!C915,'Support - Transition'!E:E,"CIVIL")</f>
        <v>0</v>
      </c>
      <c r="H915" s="126">
        <f>SUMIFS('Support - Transition'!F:F,'Support - Transition'!B:B,'Step 2'!A915,'Support - Transition'!C:C,'Step 2'!B915,'Support - Transition'!D:D,'Step 2'!C915,'Support - Transition'!E:E,"FIRE")</f>
        <v>0</v>
      </c>
      <c r="I915" s="126">
        <f>IF(B915="0",SUMIFS('Support - Transition'!F:F,'Support - Transition'!J:J,'Step 2'!D915,'Support - Transition'!E:E,"STATE UNIT"),SUMIFS('Support - Transition'!F:F,'Support - Transition'!J:J,'Step 2'!D915))</f>
        <v>1.2689000000000001E-2</v>
      </c>
      <c r="J915" s="126">
        <f>SUMIFS('Support - Unit Adjustments'!E:E,'Support - Unit Adjustments'!F:F,'Step 2'!D915)</f>
        <v>0</v>
      </c>
      <c r="K915" s="126">
        <f t="shared" si="270"/>
        <v>1.2689000000000001E-2</v>
      </c>
      <c r="L915" s="174">
        <f>VLOOKUP(A915,'Step 1'!$A:$E,4,FALSE)</f>
        <v>1190131</v>
      </c>
      <c r="M915" s="47">
        <f t="shared" si="271"/>
        <v>15102</v>
      </c>
      <c r="N915" s="177">
        <f>SUMIFS('Support - Transition'!G:G,'Support - Transition'!J:J,'Step 2'!D915,'Support - Transition'!E:E,"2009 WELFARE ALLOCATION FACTOR")</f>
        <v>0</v>
      </c>
      <c r="O915" s="152">
        <f t="shared" si="276"/>
        <v>0</v>
      </c>
      <c r="P915" s="126">
        <f>IF(E915="Y",0,SUMIFS('Support - Transition'!G:G,'Support - Transition'!J:J,'Step 2'!D915,'Support - Transition'!E:E,"2009 SCHOOL ALLOCATION FACTOR"))</f>
        <v>0</v>
      </c>
      <c r="Q915" s="126">
        <f>IF(E915="Y",VLOOKUP(D915,'Support - Unit Adjustments'!F:G,2,FALSE),0)</f>
        <v>0</v>
      </c>
      <c r="R915" s="155">
        <f t="shared" si="288"/>
        <v>0</v>
      </c>
      <c r="S915" s="47">
        <f t="shared" si="287"/>
        <v>0</v>
      </c>
      <c r="T915" s="151">
        <f t="shared" si="272"/>
        <v>15102</v>
      </c>
      <c r="U915" s="151">
        <f t="shared" si="273"/>
        <v>0</v>
      </c>
      <c r="V915" s="139">
        <f t="shared" si="274"/>
        <v>0</v>
      </c>
      <c r="W915" s="152">
        <f t="shared" si="277"/>
        <v>15102</v>
      </c>
      <c r="X915" s="127" t="str">
        <f t="shared" si="275"/>
        <v/>
      </c>
      <c r="Y915" s="207">
        <f t="shared" si="278"/>
        <v>15102</v>
      </c>
      <c r="Z915" s="139">
        <f t="shared" si="279"/>
        <v>15102</v>
      </c>
      <c r="AA915" s="139">
        <f t="shared" si="280"/>
        <v>0</v>
      </c>
      <c r="AC915" s="47">
        <f t="shared" si="281"/>
        <v>7551</v>
      </c>
      <c r="AD915" s="47">
        <f t="shared" si="282"/>
        <v>7551</v>
      </c>
      <c r="AE915" s="47">
        <f t="shared" si="283"/>
        <v>0</v>
      </c>
      <c r="AG915" s="47">
        <f t="shared" si="284"/>
        <v>7551</v>
      </c>
      <c r="AH915" s="47">
        <f t="shared" si="285"/>
        <v>7551</v>
      </c>
      <c r="AI915" s="208">
        <f t="shared" si="286"/>
        <v>0</v>
      </c>
    </row>
    <row r="916" spans="1:35">
      <c r="A916" t="s">
        <v>2118</v>
      </c>
      <c r="B916" t="s">
        <v>3155</v>
      </c>
      <c r="C916" t="s">
        <v>2549</v>
      </c>
      <c r="D916" t="s">
        <v>4230</v>
      </c>
      <c r="F916" t="s">
        <v>725</v>
      </c>
      <c r="G916" s="126">
        <f>SUMIFS('Support - Transition'!F:F,'Support - Transition'!B:B,'Step 2'!A916,'Support - Transition'!C:C,'Step 2'!B916,'Support - Transition'!D:D,'Step 2'!C916,'Support - Transition'!E:E,"CIVIL")</f>
        <v>0</v>
      </c>
      <c r="H916" s="126">
        <f>SUMIFS('Support - Transition'!F:F,'Support - Transition'!B:B,'Step 2'!A916,'Support - Transition'!C:C,'Step 2'!B916,'Support - Transition'!D:D,'Step 2'!C916,'Support - Transition'!E:E,"FIRE")</f>
        <v>0</v>
      </c>
      <c r="I916" s="126">
        <f>IF(B916="0",SUMIFS('Support - Transition'!F:F,'Support - Transition'!J:J,'Step 2'!D916,'Support - Transition'!E:E,"STATE UNIT"),SUMIFS('Support - Transition'!F:F,'Support - Transition'!J:J,'Step 2'!D916))</f>
        <v>5.5286000000000002E-2</v>
      </c>
      <c r="J916" s="126">
        <f>SUMIFS('Support - Unit Adjustments'!E:E,'Support - Unit Adjustments'!F:F,'Step 2'!D916)</f>
        <v>0</v>
      </c>
      <c r="K916" s="126">
        <f t="shared" si="270"/>
        <v>5.5286000000000002E-2</v>
      </c>
      <c r="L916" s="174">
        <f>VLOOKUP(A916,'Step 1'!$A:$E,4,FALSE)</f>
        <v>1190131</v>
      </c>
      <c r="M916" s="47">
        <f t="shared" si="271"/>
        <v>65798</v>
      </c>
      <c r="N916" s="177">
        <f>SUMIFS('Support - Transition'!G:G,'Support - Transition'!J:J,'Step 2'!D916,'Support - Transition'!E:E,"2009 WELFARE ALLOCATION FACTOR")</f>
        <v>0</v>
      </c>
      <c r="O916" s="152">
        <f t="shared" si="276"/>
        <v>0</v>
      </c>
      <c r="P916" s="126">
        <f>IF(E916="Y",0,SUMIFS('Support - Transition'!G:G,'Support - Transition'!J:J,'Step 2'!D916,'Support - Transition'!E:E,"2009 SCHOOL ALLOCATION FACTOR"))</f>
        <v>0</v>
      </c>
      <c r="Q916" s="126">
        <f>IF(E916="Y",VLOOKUP(D916,'Support - Unit Adjustments'!F:G,2,FALSE),0)</f>
        <v>0</v>
      </c>
      <c r="R916" s="155">
        <f t="shared" si="288"/>
        <v>0</v>
      </c>
      <c r="S916" s="47">
        <f t="shared" si="287"/>
        <v>0</v>
      </c>
      <c r="T916" s="151">
        <f t="shared" si="272"/>
        <v>65798</v>
      </c>
      <c r="U916" s="151">
        <f t="shared" si="273"/>
        <v>0</v>
      </c>
      <c r="V916" s="139">
        <f t="shared" si="274"/>
        <v>0</v>
      </c>
      <c r="W916" s="152">
        <f t="shared" si="277"/>
        <v>65798</v>
      </c>
      <c r="X916" s="127" t="str">
        <f t="shared" si="275"/>
        <v/>
      </c>
      <c r="Y916" s="207">
        <f t="shared" si="278"/>
        <v>65798</v>
      </c>
      <c r="Z916" s="139">
        <f t="shared" si="279"/>
        <v>65798</v>
      </c>
      <c r="AA916" s="139">
        <f t="shared" si="280"/>
        <v>0</v>
      </c>
      <c r="AC916" s="47">
        <f t="shared" si="281"/>
        <v>32899</v>
      </c>
      <c r="AD916" s="47">
        <f t="shared" si="282"/>
        <v>32899</v>
      </c>
      <c r="AE916" s="47">
        <f t="shared" si="283"/>
        <v>0</v>
      </c>
      <c r="AG916" s="47">
        <f t="shared" si="284"/>
        <v>32899</v>
      </c>
      <c r="AH916" s="47">
        <f t="shared" si="285"/>
        <v>32899</v>
      </c>
      <c r="AI916" s="208">
        <f t="shared" si="286"/>
        <v>0</v>
      </c>
    </row>
    <row r="917" spans="1:35">
      <c r="A917" t="s">
        <v>2118</v>
      </c>
      <c r="B917" t="s">
        <v>3155</v>
      </c>
      <c r="C917" t="s">
        <v>2259</v>
      </c>
      <c r="D917" t="s">
        <v>4231</v>
      </c>
      <c r="F917" t="s">
        <v>152</v>
      </c>
      <c r="G917" s="126">
        <f>SUMIFS('Support - Transition'!F:F,'Support - Transition'!B:B,'Step 2'!A917,'Support - Transition'!C:C,'Step 2'!B917,'Support - Transition'!D:D,'Step 2'!C917,'Support - Transition'!E:E,"CIVIL")</f>
        <v>0</v>
      </c>
      <c r="H917" s="126">
        <f>SUMIFS('Support - Transition'!F:F,'Support - Transition'!B:B,'Step 2'!A917,'Support - Transition'!C:C,'Step 2'!B917,'Support - Transition'!D:D,'Step 2'!C917,'Support - Transition'!E:E,"FIRE")</f>
        <v>0</v>
      </c>
      <c r="I917" s="126">
        <f>IF(B917="0",SUMIFS('Support - Transition'!F:F,'Support - Transition'!J:J,'Step 2'!D917,'Support - Transition'!E:E,"STATE UNIT"),SUMIFS('Support - Transition'!F:F,'Support - Transition'!J:J,'Step 2'!D917))</f>
        <v>8.5000000000000006E-5</v>
      </c>
      <c r="J917" s="126">
        <f>SUMIFS('Support - Unit Adjustments'!E:E,'Support - Unit Adjustments'!F:F,'Step 2'!D917)</f>
        <v>0</v>
      </c>
      <c r="K917" s="126">
        <f t="shared" si="270"/>
        <v>8.5000000000000006E-5</v>
      </c>
      <c r="L917" s="174">
        <f>VLOOKUP(A917,'Step 1'!$A:$E,4,FALSE)</f>
        <v>1190131</v>
      </c>
      <c r="M917" s="47">
        <f t="shared" si="271"/>
        <v>101</v>
      </c>
      <c r="N917" s="177">
        <f>SUMIFS('Support - Transition'!G:G,'Support - Transition'!J:J,'Step 2'!D917,'Support - Transition'!E:E,"2009 WELFARE ALLOCATION FACTOR")</f>
        <v>0</v>
      </c>
      <c r="O917" s="152">
        <f t="shared" si="276"/>
        <v>0</v>
      </c>
      <c r="P917" s="126">
        <f>IF(E917="Y",0,SUMIFS('Support - Transition'!G:G,'Support - Transition'!J:J,'Step 2'!D917,'Support - Transition'!E:E,"2009 SCHOOL ALLOCATION FACTOR"))</f>
        <v>0</v>
      </c>
      <c r="Q917" s="126">
        <f>IF(E917="Y",VLOOKUP(D917,'Support - Unit Adjustments'!F:G,2,FALSE),0)</f>
        <v>0</v>
      </c>
      <c r="R917" s="155">
        <f t="shared" si="288"/>
        <v>0</v>
      </c>
      <c r="S917" s="47">
        <f t="shared" si="287"/>
        <v>0</v>
      </c>
      <c r="T917" s="151">
        <f t="shared" si="272"/>
        <v>101</v>
      </c>
      <c r="U917" s="151">
        <f t="shared" si="273"/>
        <v>0</v>
      </c>
      <c r="V917" s="139">
        <f t="shared" si="274"/>
        <v>0</v>
      </c>
      <c r="W917" s="152">
        <f t="shared" si="277"/>
        <v>101</v>
      </c>
      <c r="X917" s="127" t="str">
        <f t="shared" si="275"/>
        <v/>
      </c>
      <c r="Y917" s="207">
        <f t="shared" si="278"/>
        <v>101</v>
      </c>
      <c r="Z917" s="139">
        <f t="shared" si="279"/>
        <v>101</v>
      </c>
      <c r="AA917" s="139">
        <f t="shared" si="280"/>
        <v>0</v>
      </c>
      <c r="AC917" s="47">
        <f t="shared" si="281"/>
        <v>51</v>
      </c>
      <c r="AD917" s="47">
        <f t="shared" si="282"/>
        <v>51</v>
      </c>
      <c r="AE917" s="47">
        <f t="shared" si="283"/>
        <v>0</v>
      </c>
      <c r="AG917" s="47">
        <f t="shared" si="284"/>
        <v>50</v>
      </c>
      <c r="AH917" s="47">
        <f t="shared" si="285"/>
        <v>50</v>
      </c>
      <c r="AI917" s="208">
        <f t="shared" si="286"/>
        <v>0</v>
      </c>
    </row>
    <row r="918" spans="1:35">
      <c r="A918" t="s">
        <v>2118</v>
      </c>
      <c r="B918" t="s">
        <v>3155</v>
      </c>
      <c r="C918" t="s">
        <v>2550</v>
      </c>
      <c r="D918" t="s">
        <v>4232</v>
      </c>
      <c r="F918" t="s">
        <v>716</v>
      </c>
      <c r="G918" s="126">
        <f>SUMIFS('Support - Transition'!F:F,'Support - Transition'!B:B,'Step 2'!A918,'Support - Transition'!C:C,'Step 2'!B918,'Support - Transition'!D:D,'Step 2'!C918,'Support - Transition'!E:E,"CIVIL")</f>
        <v>0</v>
      </c>
      <c r="H918" s="126">
        <f>SUMIFS('Support - Transition'!F:F,'Support - Transition'!B:B,'Step 2'!A918,'Support - Transition'!C:C,'Step 2'!B918,'Support - Transition'!D:D,'Step 2'!C918,'Support - Transition'!E:E,"FIRE")</f>
        <v>0</v>
      </c>
      <c r="I918" s="126">
        <f>IF(B918="0",SUMIFS('Support - Transition'!F:F,'Support - Transition'!J:J,'Step 2'!D918,'Support - Transition'!E:E,"STATE UNIT"),SUMIFS('Support - Transition'!F:F,'Support - Transition'!J:J,'Step 2'!D918))</f>
        <v>8.9700000000000001E-4</v>
      </c>
      <c r="J918" s="126">
        <f>SUMIFS('Support - Unit Adjustments'!E:E,'Support - Unit Adjustments'!F:F,'Step 2'!D918)</f>
        <v>0</v>
      </c>
      <c r="K918" s="126">
        <f t="shared" si="270"/>
        <v>8.9700000000000001E-4</v>
      </c>
      <c r="L918" s="174">
        <f>VLOOKUP(A918,'Step 1'!$A:$E,4,FALSE)</f>
        <v>1190131</v>
      </c>
      <c r="M918" s="47">
        <f t="shared" si="271"/>
        <v>1068</v>
      </c>
      <c r="N918" s="177">
        <f>SUMIFS('Support - Transition'!G:G,'Support - Transition'!J:J,'Step 2'!D918,'Support - Transition'!E:E,"2009 WELFARE ALLOCATION FACTOR")</f>
        <v>0</v>
      </c>
      <c r="O918" s="152">
        <f t="shared" si="276"/>
        <v>0</v>
      </c>
      <c r="P918" s="126">
        <f>IF(E918="Y",0,SUMIFS('Support - Transition'!G:G,'Support - Transition'!J:J,'Step 2'!D918,'Support - Transition'!E:E,"2009 SCHOOL ALLOCATION FACTOR"))</f>
        <v>0</v>
      </c>
      <c r="Q918" s="126">
        <f>IF(E918="Y",VLOOKUP(D918,'Support - Unit Adjustments'!F:G,2,FALSE),0)</f>
        <v>0</v>
      </c>
      <c r="R918" s="155">
        <f t="shared" si="288"/>
        <v>0</v>
      </c>
      <c r="S918" s="47">
        <f t="shared" si="287"/>
        <v>0</v>
      </c>
      <c r="T918" s="151">
        <f t="shared" si="272"/>
        <v>1068</v>
      </c>
      <c r="U918" s="151">
        <f t="shared" si="273"/>
        <v>0</v>
      </c>
      <c r="V918" s="139">
        <f t="shared" si="274"/>
        <v>0</v>
      </c>
      <c r="W918" s="152">
        <f t="shared" si="277"/>
        <v>1068</v>
      </c>
      <c r="X918" s="127" t="str">
        <f t="shared" si="275"/>
        <v/>
      </c>
      <c r="Y918" s="207">
        <f t="shared" si="278"/>
        <v>1068</v>
      </c>
      <c r="Z918" s="139">
        <f t="shared" si="279"/>
        <v>1068</v>
      </c>
      <c r="AA918" s="139">
        <f t="shared" si="280"/>
        <v>0</v>
      </c>
      <c r="AC918" s="47">
        <f t="shared" si="281"/>
        <v>534</v>
      </c>
      <c r="AD918" s="47">
        <f t="shared" si="282"/>
        <v>534</v>
      </c>
      <c r="AE918" s="47">
        <f t="shared" si="283"/>
        <v>0</v>
      </c>
      <c r="AG918" s="47">
        <f t="shared" si="284"/>
        <v>534</v>
      </c>
      <c r="AH918" s="47">
        <f t="shared" si="285"/>
        <v>534</v>
      </c>
      <c r="AI918" s="208">
        <f t="shared" si="286"/>
        <v>0</v>
      </c>
    </row>
    <row r="919" spans="1:35">
      <c r="A919" t="s">
        <v>2118</v>
      </c>
      <c r="B919" t="s">
        <v>3155</v>
      </c>
      <c r="C919" t="s">
        <v>2551</v>
      </c>
      <c r="D919" t="s">
        <v>4233</v>
      </c>
      <c r="F919" t="s">
        <v>719</v>
      </c>
      <c r="G919" s="126">
        <f>SUMIFS('Support - Transition'!F:F,'Support - Transition'!B:B,'Step 2'!A919,'Support - Transition'!C:C,'Step 2'!B919,'Support - Transition'!D:D,'Step 2'!C919,'Support - Transition'!E:E,"CIVIL")</f>
        <v>0</v>
      </c>
      <c r="H919" s="126">
        <f>SUMIFS('Support - Transition'!F:F,'Support - Transition'!B:B,'Step 2'!A919,'Support - Transition'!C:C,'Step 2'!B919,'Support - Transition'!D:D,'Step 2'!C919,'Support - Transition'!E:E,"FIRE")</f>
        <v>0</v>
      </c>
      <c r="I919" s="126">
        <f>IF(B919="0",SUMIFS('Support - Transition'!F:F,'Support - Transition'!J:J,'Step 2'!D919,'Support - Transition'!E:E,"STATE UNIT"),SUMIFS('Support - Transition'!F:F,'Support - Transition'!J:J,'Step 2'!D919))</f>
        <v>9.1799999999999998E-4</v>
      </c>
      <c r="J919" s="126">
        <f>SUMIFS('Support - Unit Adjustments'!E:E,'Support - Unit Adjustments'!F:F,'Step 2'!D919)</f>
        <v>0</v>
      </c>
      <c r="K919" s="126">
        <f t="shared" si="270"/>
        <v>9.1799999999999998E-4</v>
      </c>
      <c r="L919" s="174">
        <f>VLOOKUP(A919,'Step 1'!$A:$E,4,FALSE)</f>
        <v>1190131</v>
      </c>
      <c r="M919" s="47">
        <f t="shared" si="271"/>
        <v>1093</v>
      </c>
      <c r="N919" s="177">
        <f>SUMIFS('Support - Transition'!G:G,'Support - Transition'!J:J,'Step 2'!D919,'Support - Transition'!E:E,"2009 WELFARE ALLOCATION FACTOR")</f>
        <v>0</v>
      </c>
      <c r="O919" s="152">
        <f t="shared" si="276"/>
        <v>0</v>
      </c>
      <c r="P919" s="126">
        <f>IF(E919="Y",0,SUMIFS('Support - Transition'!G:G,'Support - Transition'!J:J,'Step 2'!D919,'Support - Transition'!E:E,"2009 SCHOOL ALLOCATION FACTOR"))</f>
        <v>0</v>
      </c>
      <c r="Q919" s="126">
        <f>IF(E919="Y",VLOOKUP(D919,'Support - Unit Adjustments'!F:G,2,FALSE),0)</f>
        <v>0</v>
      </c>
      <c r="R919" s="155">
        <f t="shared" si="288"/>
        <v>0</v>
      </c>
      <c r="S919" s="47">
        <f t="shared" si="287"/>
        <v>0</v>
      </c>
      <c r="T919" s="151">
        <f t="shared" si="272"/>
        <v>1093</v>
      </c>
      <c r="U919" s="151">
        <f t="shared" si="273"/>
        <v>0</v>
      </c>
      <c r="V919" s="139">
        <f t="shared" si="274"/>
        <v>0</v>
      </c>
      <c r="W919" s="152">
        <f t="shared" si="277"/>
        <v>1093</v>
      </c>
      <c r="X919" s="127" t="str">
        <f t="shared" si="275"/>
        <v/>
      </c>
      <c r="Y919" s="207">
        <f t="shared" si="278"/>
        <v>1093</v>
      </c>
      <c r="Z919" s="139">
        <f t="shared" si="279"/>
        <v>1093</v>
      </c>
      <c r="AA919" s="139">
        <f t="shared" si="280"/>
        <v>0</v>
      </c>
      <c r="AC919" s="47">
        <f t="shared" si="281"/>
        <v>547</v>
      </c>
      <c r="AD919" s="47">
        <f t="shared" si="282"/>
        <v>547</v>
      </c>
      <c r="AE919" s="47">
        <f t="shared" si="283"/>
        <v>0</v>
      </c>
      <c r="AG919" s="47">
        <f t="shared" si="284"/>
        <v>546</v>
      </c>
      <c r="AH919" s="47">
        <f t="shared" si="285"/>
        <v>546</v>
      </c>
      <c r="AI919" s="208">
        <f t="shared" si="286"/>
        <v>0</v>
      </c>
    </row>
    <row r="920" spans="1:35">
      <c r="A920" t="s">
        <v>2118</v>
      </c>
      <c r="B920" t="s">
        <v>3155</v>
      </c>
      <c r="C920" t="s">
        <v>2552</v>
      </c>
      <c r="D920" t="s">
        <v>4234</v>
      </c>
      <c r="F920" t="s">
        <v>720</v>
      </c>
      <c r="G920" s="126">
        <f>SUMIFS('Support - Transition'!F:F,'Support - Transition'!B:B,'Step 2'!A920,'Support - Transition'!C:C,'Step 2'!B920,'Support - Transition'!D:D,'Step 2'!C920,'Support - Transition'!E:E,"CIVIL")</f>
        <v>0</v>
      </c>
      <c r="H920" s="126">
        <f>SUMIFS('Support - Transition'!F:F,'Support - Transition'!B:B,'Step 2'!A920,'Support - Transition'!C:C,'Step 2'!B920,'Support - Transition'!D:D,'Step 2'!C920,'Support - Transition'!E:E,"FIRE")</f>
        <v>0</v>
      </c>
      <c r="I920" s="126">
        <f>IF(B920="0",SUMIFS('Support - Transition'!F:F,'Support - Transition'!J:J,'Step 2'!D920,'Support - Transition'!E:E,"STATE UNIT"),SUMIFS('Support - Transition'!F:F,'Support - Transition'!J:J,'Step 2'!D920))</f>
        <v>5.6849999999999999E-3</v>
      </c>
      <c r="J920" s="126">
        <f>SUMIFS('Support - Unit Adjustments'!E:E,'Support - Unit Adjustments'!F:F,'Step 2'!D920)</f>
        <v>0</v>
      </c>
      <c r="K920" s="126">
        <f t="shared" si="270"/>
        <v>5.6849999999999999E-3</v>
      </c>
      <c r="L920" s="174">
        <f>VLOOKUP(A920,'Step 1'!$A:$E,4,FALSE)</f>
        <v>1190131</v>
      </c>
      <c r="M920" s="47">
        <f t="shared" si="271"/>
        <v>6766</v>
      </c>
      <c r="N920" s="177">
        <f>SUMIFS('Support - Transition'!G:G,'Support - Transition'!J:J,'Step 2'!D920,'Support - Transition'!E:E,"2009 WELFARE ALLOCATION FACTOR")</f>
        <v>0</v>
      </c>
      <c r="O920" s="152">
        <f t="shared" si="276"/>
        <v>0</v>
      </c>
      <c r="P920" s="126">
        <f>IF(E920="Y",0,SUMIFS('Support - Transition'!G:G,'Support - Transition'!J:J,'Step 2'!D920,'Support - Transition'!E:E,"2009 SCHOOL ALLOCATION FACTOR"))</f>
        <v>0</v>
      </c>
      <c r="Q920" s="126">
        <f>IF(E920="Y",VLOOKUP(D920,'Support - Unit Adjustments'!F:G,2,FALSE),0)</f>
        <v>0</v>
      </c>
      <c r="R920" s="155">
        <f t="shared" si="288"/>
        <v>0</v>
      </c>
      <c r="S920" s="47">
        <f t="shared" si="287"/>
        <v>0</v>
      </c>
      <c r="T920" s="151">
        <f t="shared" si="272"/>
        <v>6766</v>
      </c>
      <c r="U920" s="151">
        <f t="shared" si="273"/>
        <v>0</v>
      </c>
      <c r="V920" s="139">
        <f t="shared" si="274"/>
        <v>0</v>
      </c>
      <c r="W920" s="152">
        <f t="shared" si="277"/>
        <v>6766</v>
      </c>
      <c r="X920" s="127" t="str">
        <f t="shared" si="275"/>
        <v/>
      </c>
      <c r="Y920" s="207">
        <f t="shared" si="278"/>
        <v>6766</v>
      </c>
      <c r="Z920" s="139">
        <f t="shared" si="279"/>
        <v>6766</v>
      </c>
      <c r="AA920" s="139">
        <f t="shared" si="280"/>
        <v>0</v>
      </c>
      <c r="AC920" s="47">
        <f t="shared" si="281"/>
        <v>3383</v>
      </c>
      <c r="AD920" s="47">
        <f t="shared" si="282"/>
        <v>3383</v>
      </c>
      <c r="AE920" s="47">
        <f t="shared" si="283"/>
        <v>0</v>
      </c>
      <c r="AG920" s="47">
        <f t="shared" si="284"/>
        <v>3383</v>
      </c>
      <c r="AH920" s="47">
        <f t="shared" si="285"/>
        <v>3383</v>
      </c>
      <c r="AI920" s="208">
        <f t="shared" si="286"/>
        <v>0</v>
      </c>
    </row>
    <row r="921" spans="1:35">
      <c r="A921" t="s">
        <v>2118</v>
      </c>
      <c r="B921" t="s">
        <v>3155</v>
      </c>
      <c r="C921" t="s">
        <v>2553</v>
      </c>
      <c r="D921" t="s">
        <v>4235</v>
      </c>
      <c r="F921" t="s">
        <v>721</v>
      </c>
      <c r="G921" s="126">
        <f>SUMIFS('Support - Transition'!F:F,'Support - Transition'!B:B,'Step 2'!A921,'Support - Transition'!C:C,'Step 2'!B921,'Support - Transition'!D:D,'Step 2'!C921,'Support - Transition'!E:E,"CIVIL")</f>
        <v>0</v>
      </c>
      <c r="H921" s="126">
        <f>SUMIFS('Support - Transition'!F:F,'Support - Transition'!B:B,'Step 2'!A921,'Support - Transition'!C:C,'Step 2'!B921,'Support - Transition'!D:D,'Step 2'!C921,'Support - Transition'!E:E,"FIRE")</f>
        <v>0</v>
      </c>
      <c r="I921" s="126">
        <f>IF(B921="0",SUMIFS('Support - Transition'!F:F,'Support - Transition'!J:J,'Step 2'!D921,'Support - Transition'!E:E,"STATE UNIT"),SUMIFS('Support - Transition'!F:F,'Support - Transition'!J:J,'Step 2'!D921))</f>
        <v>4.9329999999999999E-3</v>
      </c>
      <c r="J921" s="126">
        <f>SUMIFS('Support - Unit Adjustments'!E:E,'Support - Unit Adjustments'!F:F,'Step 2'!D921)</f>
        <v>0</v>
      </c>
      <c r="K921" s="126">
        <f t="shared" si="270"/>
        <v>4.9329999999999999E-3</v>
      </c>
      <c r="L921" s="174">
        <f>VLOOKUP(A921,'Step 1'!$A:$E,4,FALSE)</f>
        <v>1190131</v>
      </c>
      <c r="M921" s="47">
        <f t="shared" si="271"/>
        <v>5871</v>
      </c>
      <c r="N921" s="177">
        <f>SUMIFS('Support - Transition'!G:G,'Support - Transition'!J:J,'Step 2'!D921,'Support - Transition'!E:E,"2009 WELFARE ALLOCATION FACTOR")</f>
        <v>0</v>
      </c>
      <c r="O921" s="152">
        <f t="shared" si="276"/>
        <v>0</v>
      </c>
      <c r="P921" s="126">
        <f>IF(E921="Y",0,SUMIFS('Support - Transition'!G:G,'Support - Transition'!J:J,'Step 2'!D921,'Support - Transition'!E:E,"2009 SCHOOL ALLOCATION FACTOR"))</f>
        <v>0</v>
      </c>
      <c r="Q921" s="126">
        <f>IF(E921="Y",VLOOKUP(D921,'Support - Unit Adjustments'!F:G,2,FALSE),0)</f>
        <v>0</v>
      </c>
      <c r="R921" s="155">
        <f t="shared" si="288"/>
        <v>0</v>
      </c>
      <c r="S921" s="47">
        <f t="shared" si="287"/>
        <v>0</v>
      </c>
      <c r="T921" s="151">
        <f t="shared" si="272"/>
        <v>5871</v>
      </c>
      <c r="U921" s="151">
        <f t="shared" si="273"/>
        <v>0</v>
      </c>
      <c r="V921" s="139">
        <f t="shared" si="274"/>
        <v>0</v>
      </c>
      <c r="W921" s="152">
        <f t="shared" si="277"/>
        <v>5871</v>
      </c>
      <c r="X921" s="127" t="str">
        <f t="shared" si="275"/>
        <v/>
      </c>
      <c r="Y921" s="207">
        <f t="shared" si="278"/>
        <v>5871</v>
      </c>
      <c r="Z921" s="139">
        <f t="shared" si="279"/>
        <v>5871</v>
      </c>
      <c r="AA921" s="139">
        <f t="shared" si="280"/>
        <v>0</v>
      </c>
      <c r="AC921" s="47">
        <f t="shared" si="281"/>
        <v>2936</v>
      </c>
      <c r="AD921" s="47">
        <f t="shared" si="282"/>
        <v>2936</v>
      </c>
      <c r="AE921" s="47">
        <f t="shared" si="283"/>
        <v>0</v>
      </c>
      <c r="AG921" s="47">
        <f t="shared" si="284"/>
        <v>2935</v>
      </c>
      <c r="AH921" s="47">
        <f t="shared" si="285"/>
        <v>2935</v>
      </c>
      <c r="AI921" s="208">
        <f t="shared" si="286"/>
        <v>0</v>
      </c>
    </row>
    <row r="922" spans="1:35">
      <c r="A922" t="s">
        <v>2118</v>
      </c>
      <c r="B922" t="s">
        <v>3155</v>
      </c>
      <c r="C922" t="s">
        <v>2554</v>
      </c>
      <c r="D922" t="s">
        <v>4236</v>
      </c>
      <c r="F922" t="s">
        <v>722</v>
      </c>
      <c r="G922" s="126">
        <f>SUMIFS('Support - Transition'!F:F,'Support - Transition'!B:B,'Step 2'!A922,'Support - Transition'!C:C,'Step 2'!B922,'Support - Transition'!D:D,'Step 2'!C922,'Support - Transition'!E:E,"CIVIL")</f>
        <v>0</v>
      </c>
      <c r="H922" s="126">
        <f>SUMIFS('Support - Transition'!F:F,'Support - Transition'!B:B,'Step 2'!A922,'Support - Transition'!C:C,'Step 2'!B922,'Support - Transition'!D:D,'Step 2'!C922,'Support - Transition'!E:E,"FIRE")</f>
        <v>0</v>
      </c>
      <c r="I922" s="126">
        <f>IF(B922="0",SUMIFS('Support - Transition'!F:F,'Support - Transition'!J:J,'Step 2'!D922,'Support - Transition'!E:E,"STATE UNIT"),SUMIFS('Support - Transition'!F:F,'Support - Transition'!J:J,'Step 2'!D922))</f>
        <v>6.3999999999999997E-5</v>
      </c>
      <c r="J922" s="126">
        <f>SUMIFS('Support - Unit Adjustments'!E:E,'Support - Unit Adjustments'!F:F,'Step 2'!D922)</f>
        <v>0</v>
      </c>
      <c r="K922" s="126">
        <f t="shared" si="270"/>
        <v>6.3999999999999997E-5</v>
      </c>
      <c r="L922" s="174">
        <f>VLOOKUP(A922,'Step 1'!$A:$E,4,FALSE)</f>
        <v>1190131</v>
      </c>
      <c r="M922" s="47">
        <f t="shared" si="271"/>
        <v>76</v>
      </c>
      <c r="N922" s="177">
        <f>SUMIFS('Support - Transition'!G:G,'Support - Transition'!J:J,'Step 2'!D922,'Support - Transition'!E:E,"2009 WELFARE ALLOCATION FACTOR")</f>
        <v>0</v>
      </c>
      <c r="O922" s="152">
        <f t="shared" si="276"/>
        <v>0</v>
      </c>
      <c r="P922" s="126">
        <f>IF(E922="Y",0,SUMIFS('Support - Transition'!G:G,'Support - Transition'!J:J,'Step 2'!D922,'Support - Transition'!E:E,"2009 SCHOOL ALLOCATION FACTOR"))</f>
        <v>0</v>
      </c>
      <c r="Q922" s="126">
        <f>IF(E922="Y",VLOOKUP(D922,'Support - Unit Adjustments'!F:G,2,FALSE),0)</f>
        <v>0</v>
      </c>
      <c r="R922" s="155">
        <f t="shared" si="288"/>
        <v>0</v>
      </c>
      <c r="S922" s="47">
        <f t="shared" si="287"/>
        <v>0</v>
      </c>
      <c r="T922" s="151">
        <f t="shared" si="272"/>
        <v>76</v>
      </c>
      <c r="U922" s="151">
        <f t="shared" si="273"/>
        <v>0</v>
      </c>
      <c r="V922" s="139">
        <f t="shared" si="274"/>
        <v>0</v>
      </c>
      <c r="W922" s="152">
        <f t="shared" si="277"/>
        <v>76</v>
      </c>
      <c r="X922" s="127" t="str">
        <f t="shared" si="275"/>
        <v/>
      </c>
      <c r="Y922" s="207">
        <f t="shared" si="278"/>
        <v>76</v>
      </c>
      <c r="Z922" s="139">
        <f t="shared" si="279"/>
        <v>76</v>
      </c>
      <c r="AA922" s="139">
        <f t="shared" si="280"/>
        <v>0</v>
      </c>
      <c r="AC922" s="47">
        <f t="shared" si="281"/>
        <v>38</v>
      </c>
      <c r="AD922" s="47">
        <f t="shared" si="282"/>
        <v>38</v>
      </c>
      <c r="AE922" s="47">
        <f t="shared" si="283"/>
        <v>0</v>
      </c>
      <c r="AG922" s="47">
        <f t="shared" si="284"/>
        <v>38</v>
      </c>
      <c r="AH922" s="47">
        <f t="shared" si="285"/>
        <v>38</v>
      </c>
      <c r="AI922" s="208">
        <f t="shared" si="286"/>
        <v>0</v>
      </c>
    </row>
    <row r="923" spans="1:35">
      <c r="A923" t="s">
        <v>2118</v>
      </c>
      <c r="B923" t="s">
        <v>3155</v>
      </c>
      <c r="C923" t="s">
        <v>2555</v>
      </c>
      <c r="D923" t="s">
        <v>4237</v>
      </c>
      <c r="F923" t="s">
        <v>723</v>
      </c>
      <c r="G923" s="126">
        <f>SUMIFS('Support - Transition'!F:F,'Support - Transition'!B:B,'Step 2'!A923,'Support - Transition'!C:C,'Step 2'!B923,'Support - Transition'!D:D,'Step 2'!C923,'Support - Transition'!E:E,"CIVIL")</f>
        <v>0</v>
      </c>
      <c r="H923" s="126">
        <f>SUMIFS('Support - Transition'!F:F,'Support - Transition'!B:B,'Step 2'!A923,'Support - Transition'!C:C,'Step 2'!B923,'Support - Transition'!D:D,'Step 2'!C923,'Support - Transition'!E:E,"FIRE")</f>
        <v>0</v>
      </c>
      <c r="I923" s="126">
        <f>IF(B923="0",SUMIFS('Support - Transition'!F:F,'Support - Transition'!J:J,'Step 2'!D923,'Support - Transition'!E:E,"STATE UNIT"),SUMIFS('Support - Transition'!F:F,'Support - Transition'!J:J,'Step 2'!D923))</f>
        <v>6.0759999999999998E-3</v>
      </c>
      <c r="J923" s="126">
        <f>SUMIFS('Support - Unit Adjustments'!E:E,'Support - Unit Adjustments'!F:F,'Step 2'!D923)</f>
        <v>0</v>
      </c>
      <c r="K923" s="126">
        <f t="shared" si="270"/>
        <v>6.0759999999999998E-3</v>
      </c>
      <c r="L923" s="174">
        <f>VLOOKUP(A923,'Step 1'!$A:$E,4,FALSE)</f>
        <v>1190131</v>
      </c>
      <c r="M923" s="47">
        <f t="shared" si="271"/>
        <v>7231</v>
      </c>
      <c r="N923" s="177">
        <f>SUMIFS('Support - Transition'!G:G,'Support - Transition'!J:J,'Step 2'!D923,'Support - Transition'!E:E,"2009 WELFARE ALLOCATION FACTOR")</f>
        <v>0</v>
      </c>
      <c r="O923" s="152">
        <f t="shared" si="276"/>
        <v>0</v>
      </c>
      <c r="P923" s="126">
        <f>IF(E923="Y",0,SUMIFS('Support - Transition'!G:G,'Support - Transition'!J:J,'Step 2'!D923,'Support - Transition'!E:E,"2009 SCHOOL ALLOCATION FACTOR"))</f>
        <v>0</v>
      </c>
      <c r="Q923" s="126">
        <f>IF(E923="Y",VLOOKUP(D923,'Support - Unit Adjustments'!F:G,2,FALSE),0)</f>
        <v>0</v>
      </c>
      <c r="R923" s="155">
        <f t="shared" si="288"/>
        <v>0</v>
      </c>
      <c r="S923" s="47">
        <f t="shared" si="287"/>
        <v>0</v>
      </c>
      <c r="T923" s="151">
        <f t="shared" si="272"/>
        <v>7231</v>
      </c>
      <c r="U923" s="151">
        <f t="shared" si="273"/>
        <v>0</v>
      </c>
      <c r="V923" s="139">
        <f t="shared" si="274"/>
        <v>0</v>
      </c>
      <c r="W923" s="152">
        <f t="shared" si="277"/>
        <v>7231</v>
      </c>
      <c r="X923" s="127" t="str">
        <f t="shared" si="275"/>
        <v/>
      </c>
      <c r="Y923" s="207">
        <f t="shared" si="278"/>
        <v>7231</v>
      </c>
      <c r="Z923" s="139">
        <f t="shared" si="279"/>
        <v>7231</v>
      </c>
      <c r="AA923" s="139">
        <f t="shared" si="280"/>
        <v>0</v>
      </c>
      <c r="AC923" s="47">
        <f t="shared" si="281"/>
        <v>3616</v>
      </c>
      <c r="AD923" s="47">
        <f t="shared" si="282"/>
        <v>3616</v>
      </c>
      <c r="AE923" s="47">
        <f t="shared" si="283"/>
        <v>0</v>
      </c>
      <c r="AG923" s="47">
        <f t="shared" si="284"/>
        <v>3615</v>
      </c>
      <c r="AH923" s="47">
        <f t="shared" si="285"/>
        <v>3615</v>
      </c>
      <c r="AI923" s="208">
        <f t="shared" si="286"/>
        <v>0</v>
      </c>
    </row>
    <row r="924" spans="1:35">
      <c r="A924" t="s">
        <v>2118</v>
      </c>
      <c r="B924" t="s">
        <v>3155</v>
      </c>
      <c r="C924" t="s">
        <v>2266</v>
      </c>
      <c r="D924" t="s">
        <v>4238</v>
      </c>
      <c r="F924" t="s">
        <v>724</v>
      </c>
      <c r="G924" s="126">
        <f>SUMIFS('Support - Transition'!F:F,'Support - Transition'!B:B,'Step 2'!A924,'Support - Transition'!C:C,'Step 2'!B924,'Support - Transition'!D:D,'Step 2'!C924,'Support - Transition'!E:E,"CIVIL")</f>
        <v>0</v>
      </c>
      <c r="H924" s="126">
        <f>SUMIFS('Support - Transition'!F:F,'Support - Transition'!B:B,'Step 2'!A924,'Support - Transition'!C:C,'Step 2'!B924,'Support - Transition'!D:D,'Step 2'!C924,'Support - Transition'!E:E,"FIRE")</f>
        <v>0</v>
      </c>
      <c r="I924" s="126">
        <f>IF(B924="0",SUMIFS('Support - Transition'!F:F,'Support - Transition'!J:J,'Step 2'!D924,'Support - Transition'!E:E,"STATE UNIT"),SUMIFS('Support - Transition'!F:F,'Support - Transition'!J:J,'Step 2'!D924))</f>
        <v>7.5699999999999997E-4</v>
      </c>
      <c r="J924" s="126">
        <f>SUMIFS('Support - Unit Adjustments'!E:E,'Support - Unit Adjustments'!F:F,'Step 2'!D924)</f>
        <v>0</v>
      </c>
      <c r="K924" s="126">
        <f t="shared" si="270"/>
        <v>7.5699999999999997E-4</v>
      </c>
      <c r="L924" s="174">
        <f>VLOOKUP(A924,'Step 1'!$A:$E,4,FALSE)</f>
        <v>1190131</v>
      </c>
      <c r="M924" s="47">
        <f t="shared" si="271"/>
        <v>901</v>
      </c>
      <c r="N924" s="177">
        <f>SUMIFS('Support - Transition'!G:G,'Support - Transition'!J:J,'Step 2'!D924,'Support - Transition'!E:E,"2009 WELFARE ALLOCATION FACTOR")</f>
        <v>0</v>
      </c>
      <c r="O924" s="152">
        <f t="shared" si="276"/>
        <v>0</v>
      </c>
      <c r="P924" s="126">
        <f>IF(E924="Y",0,SUMIFS('Support - Transition'!G:G,'Support - Transition'!J:J,'Step 2'!D924,'Support - Transition'!E:E,"2009 SCHOOL ALLOCATION FACTOR"))</f>
        <v>0</v>
      </c>
      <c r="Q924" s="126">
        <f>IF(E924="Y",VLOOKUP(D924,'Support - Unit Adjustments'!F:G,2,FALSE),0)</f>
        <v>0</v>
      </c>
      <c r="R924" s="155">
        <f t="shared" si="288"/>
        <v>0</v>
      </c>
      <c r="S924" s="47">
        <f t="shared" si="287"/>
        <v>0</v>
      </c>
      <c r="T924" s="151">
        <f t="shared" si="272"/>
        <v>901</v>
      </c>
      <c r="U924" s="151">
        <f t="shared" si="273"/>
        <v>0</v>
      </c>
      <c r="V924" s="139">
        <f t="shared" si="274"/>
        <v>0</v>
      </c>
      <c r="W924" s="152">
        <f t="shared" si="277"/>
        <v>901</v>
      </c>
      <c r="X924" s="127" t="str">
        <f t="shared" si="275"/>
        <v/>
      </c>
      <c r="Y924" s="207">
        <f t="shared" si="278"/>
        <v>901</v>
      </c>
      <c r="Z924" s="139">
        <f t="shared" si="279"/>
        <v>901</v>
      </c>
      <c r="AA924" s="139">
        <f t="shared" si="280"/>
        <v>0</v>
      </c>
      <c r="AC924" s="47">
        <f t="shared" si="281"/>
        <v>451</v>
      </c>
      <c r="AD924" s="47">
        <f t="shared" si="282"/>
        <v>451</v>
      </c>
      <c r="AE924" s="47">
        <f t="shared" si="283"/>
        <v>0</v>
      </c>
      <c r="AG924" s="47">
        <f t="shared" si="284"/>
        <v>450</v>
      </c>
      <c r="AH924" s="47">
        <f t="shared" si="285"/>
        <v>450</v>
      </c>
      <c r="AI924" s="208">
        <f t="shared" si="286"/>
        <v>0</v>
      </c>
    </row>
    <row r="925" spans="1:35">
      <c r="A925" t="s">
        <v>2118</v>
      </c>
      <c r="B925" t="s">
        <v>3155</v>
      </c>
      <c r="C925" t="s">
        <v>2556</v>
      </c>
      <c r="D925" t="s">
        <v>4239</v>
      </c>
      <c r="F925" t="s">
        <v>726</v>
      </c>
      <c r="G925" s="126">
        <f>SUMIFS('Support - Transition'!F:F,'Support - Transition'!B:B,'Step 2'!A925,'Support - Transition'!C:C,'Step 2'!B925,'Support - Transition'!D:D,'Step 2'!C925,'Support - Transition'!E:E,"CIVIL")</f>
        <v>0</v>
      </c>
      <c r="H925" s="126">
        <f>SUMIFS('Support - Transition'!F:F,'Support - Transition'!B:B,'Step 2'!A925,'Support - Transition'!C:C,'Step 2'!B925,'Support - Transition'!D:D,'Step 2'!C925,'Support - Transition'!E:E,"FIRE")</f>
        <v>0</v>
      </c>
      <c r="I925" s="126">
        <f>IF(B925="0",SUMIFS('Support - Transition'!F:F,'Support - Transition'!J:J,'Step 2'!D925,'Support - Transition'!E:E,"STATE UNIT"),SUMIFS('Support - Transition'!F:F,'Support - Transition'!J:J,'Step 2'!D925))</f>
        <v>5.7000000000000003E-5</v>
      </c>
      <c r="J925" s="126">
        <f>SUMIFS('Support - Unit Adjustments'!E:E,'Support - Unit Adjustments'!F:F,'Step 2'!D925)</f>
        <v>0</v>
      </c>
      <c r="K925" s="126">
        <f t="shared" si="270"/>
        <v>5.7000000000000003E-5</v>
      </c>
      <c r="L925" s="174">
        <f>VLOOKUP(A925,'Step 1'!$A:$E,4,FALSE)</f>
        <v>1190131</v>
      </c>
      <c r="M925" s="47">
        <f t="shared" si="271"/>
        <v>68</v>
      </c>
      <c r="N925" s="177">
        <f>SUMIFS('Support - Transition'!G:G,'Support - Transition'!J:J,'Step 2'!D925,'Support - Transition'!E:E,"2009 WELFARE ALLOCATION FACTOR")</f>
        <v>0</v>
      </c>
      <c r="O925" s="152">
        <f t="shared" si="276"/>
        <v>0</v>
      </c>
      <c r="P925" s="126">
        <f>IF(E925="Y",0,SUMIFS('Support - Transition'!G:G,'Support - Transition'!J:J,'Step 2'!D925,'Support - Transition'!E:E,"2009 SCHOOL ALLOCATION FACTOR"))</f>
        <v>0</v>
      </c>
      <c r="Q925" s="126">
        <f>IF(E925="Y",VLOOKUP(D925,'Support - Unit Adjustments'!F:G,2,FALSE),0)</f>
        <v>0</v>
      </c>
      <c r="R925" s="155">
        <f t="shared" si="288"/>
        <v>0</v>
      </c>
      <c r="S925" s="47">
        <f t="shared" si="287"/>
        <v>0</v>
      </c>
      <c r="T925" s="151">
        <f t="shared" si="272"/>
        <v>68</v>
      </c>
      <c r="U925" s="151">
        <f t="shared" si="273"/>
        <v>0</v>
      </c>
      <c r="V925" s="139">
        <f t="shared" si="274"/>
        <v>0</v>
      </c>
      <c r="W925" s="152">
        <f t="shared" si="277"/>
        <v>68</v>
      </c>
      <c r="X925" s="127" t="str">
        <f t="shared" si="275"/>
        <v/>
      </c>
      <c r="Y925" s="207">
        <f t="shared" si="278"/>
        <v>68</v>
      </c>
      <c r="Z925" s="139">
        <f t="shared" si="279"/>
        <v>68</v>
      </c>
      <c r="AA925" s="139">
        <f t="shared" si="280"/>
        <v>0</v>
      </c>
      <c r="AC925" s="47">
        <f t="shared" si="281"/>
        <v>34</v>
      </c>
      <c r="AD925" s="47">
        <f t="shared" si="282"/>
        <v>34</v>
      </c>
      <c r="AE925" s="47">
        <f t="shared" si="283"/>
        <v>0</v>
      </c>
      <c r="AG925" s="47">
        <f t="shared" si="284"/>
        <v>34</v>
      </c>
      <c r="AH925" s="47">
        <f t="shared" si="285"/>
        <v>34</v>
      </c>
      <c r="AI925" s="208">
        <f t="shared" si="286"/>
        <v>0</v>
      </c>
    </row>
    <row r="926" spans="1:35">
      <c r="A926" t="s">
        <v>2118</v>
      </c>
      <c r="B926" t="s">
        <v>3155</v>
      </c>
      <c r="C926" t="s">
        <v>2228</v>
      </c>
      <c r="D926" t="s">
        <v>4240</v>
      </c>
      <c r="F926" t="s">
        <v>4241</v>
      </c>
      <c r="G926" s="126">
        <f>SUMIFS('Support - Transition'!F:F,'Support - Transition'!B:B,'Step 2'!A926,'Support - Transition'!C:C,'Step 2'!B926,'Support - Transition'!D:D,'Step 2'!C926,'Support - Transition'!E:E,"CIVIL")</f>
        <v>0</v>
      </c>
      <c r="H926" s="126">
        <f>SUMIFS('Support - Transition'!F:F,'Support - Transition'!B:B,'Step 2'!A926,'Support - Transition'!C:C,'Step 2'!B926,'Support - Transition'!D:D,'Step 2'!C926,'Support - Transition'!E:E,"FIRE")</f>
        <v>0</v>
      </c>
      <c r="I926" s="126">
        <f>IF(B926="0",SUMIFS('Support - Transition'!F:F,'Support - Transition'!J:J,'Step 2'!D926,'Support - Transition'!E:E,"STATE UNIT"),SUMIFS('Support - Transition'!F:F,'Support - Transition'!J:J,'Step 2'!D926))</f>
        <v>2.5820000000000001E-3</v>
      </c>
      <c r="J926" s="126">
        <f>SUMIFS('Support - Unit Adjustments'!E:E,'Support - Unit Adjustments'!F:F,'Step 2'!D926)</f>
        <v>0</v>
      </c>
      <c r="K926" s="126">
        <f t="shared" si="270"/>
        <v>2.5820000000000001E-3</v>
      </c>
      <c r="L926" s="174">
        <f>VLOOKUP(A926,'Step 1'!$A:$E,4,FALSE)</f>
        <v>1190131</v>
      </c>
      <c r="M926" s="47">
        <f t="shared" si="271"/>
        <v>3073</v>
      </c>
      <c r="N926" s="177">
        <f>SUMIFS('Support - Transition'!G:G,'Support - Transition'!J:J,'Step 2'!D926,'Support - Transition'!E:E,"2009 WELFARE ALLOCATION FACTOR")</f>
        <v>0</v>
      </c>
      <c r="O926" s="152">
        <f t="shared" si="276"/>
        <v>0</v>
      </c>
      <c r="P926" s="126">
        <f>IF(E926="Y",0,SUMIFS('Support - Transition'!G:G,'Support - Transition'!J:J,'Step 2'!D926,'Support - Transition'!E:E,"2009 SCHOOL ALLOCATION FACTOR"))</f>
        <v>0</v>
      </c>
      <c r="Q926" s="126">
        <f>IF(E926="Y",VLOOKUP(D926,'Support - Unit Adjustments'!F:G,2,FALSE),0)</f>
        <v>0</v>
      </c>
      <c r="R926" s="155">
        <f t="shared" si="288"/>
        <v>0</v>
      </c>
      <c r="S926" s="47">
        <f t="shared" si="287"/>
        <v>0</v>
      </c>
      <c r="T926" s="151">
        <f t="shared" si="272"/>
        <v>3073</v>
      </c>
      <c r="U926" s="151">
        <f t="shared" si="273"/>
        <v>0</v>
      </c>
      <c r="V926" s="139">
        <f t="shared" si="274"/>
        <v>0</v>
      </c>
      <c r="W926" s="152">
        <f t="shared" si="277"/>
        <v>3073</v>
      </c>
      <c r="X926" s="127" t="str">
        <f t="shared" si="275"/>
        <v/>
      </c>
      <c r="Y926" s="207">
        <f t="shared" si="278"/>
        <v>3073</v>
      </c>
      <c r="Z926" s="139">
        <f t="shared" si="279"/>
        <v>3073</v>
      </c>
      <c r="AA926" s="139">
        <f t="shared" si="280"/>
        <v>0</v>
      </c>
      <c r="AC926" s="47">
        <f t="shared" si="281"/>
        <v>1537</v>
      </c>
      <c r="AD926" s="47">
        <f t="shared" si="282"/>
        <v>1537</v>
      </c>
      <c r="AE926" s="47">
        <f t="shared" si="283"/>
        <v>0</v>
      </c>
      <c r="AG926" s="47">
        <f t="shared" si="284"/>
        <v>1536</v>
      </c>
      <c r="AH926" s="47">
        <f t="shared" si="285"/>
        <v>1536</v>
      </c>
      <c r="AI926" s="208">
        <f t="shared" si="286"/>
        <v>0</v>
      </c>
    </row>
    <row r="927" spans="1:35">
      <c r="A927" t="s">
        <v>2118</v>
      </c>
      <c r="B927" t="s">
        <v>3160</v>
      </c>
      <c r="C927" t="s">
        <v>2557</v>
      </c>
      <c r="D927" t="s">
        <v>4242</v>
      </c>
      <c r="F927" t="s">
        <v>731</v>
      </c>
      <c r="G927" s="126">
        <f>SUMIFS('Support - Transition'!F:F,'Support - Transition'!B:B,'Step 2'!A927,'Support - Transition'!C:C,'Step 2'!B927,'Support - Transition'!D:D,'Step 2'!C927,'Support - Transition'!E:E,"CIVIL")</f>
        <v>0</v>
      </c>
      <c r="H927" s="126">
        <f>SUMIFS('Support - Transition'!F:F,'Support - Transition'!B:B,'Step 2'!A927,'Support - Transition'!C:C,'Step 2'!B927,'Support - Transition'!D:D,'Step 2'!C927,'Support - Transition'!E:E,"FIRE")</f>
        <v>0</v>
      </c>
      <c r="I927" s="126">
        <f>IF(B927="0",SUMIFS('Support - Transition'!F:F,'Support - Transition'!J:J,'Step 2'!D927,'Support - Transition'!E:E,"STATE UNIT"),SUMIFS('Support - Transition'!F:F,'Support - Transition'!J:J,'Step 2'!D927))</f>
        <v>6.7951999999999999E-2</v>
      </c>
      <c r="J927" s="126">
        <f>SUMIFS('Support - Unit Adjustments'!E:E,'Support - Unit Adjustments'!F:F,'Step 2'!D927)</f>
        <v>0</v>
      </c>
      <c r="K927" s="126">
        <f t="shared" si="270"/>
        <v>6.7951999999999999E-2</v>
      </c>
      <c r="L927" s="174">
        <f>VLOOKUP(A927,'Step 1'!$A:$E,4,FALSE)</f>
        <v>1190131</v>
      </c>
      <c r="M927" s="47">
        <f t="shared" si="271"/>
        <v>80872</v>
      </c>
      <c r="N927" s="177">
        <f>SUMIFS('Support - Transition'!G:G,'Support - Transition'!J:J,'Step 2'!D927,'Support - Transition'!E:E,"2009 WELFARE ALLOCATION FACTOR")</f>
        <v>0</v>
      </c>
      <c r="O927" s="152">
        <f t="shared" si="276"/>
        <v>0</v>
      </c>
      <c r="P927" s="126">
        <f>IF(E927="Y",0,SUMIFS('Support - Transition'!G:G,'Support - Transition'!J:J,'Step 2'!D927,'Support - Transition'!E:E,"2009 SCHOOL ALLOCATION FACTOR"))</f>
        <v>0.43082700000000002</v>
      </c>
      <c r="Q927" s="126">
        <f>IF(E927="Y",VLOOKUP(D927,'Support - Unit Adjustments'!F:G,2,FALSE),0)</f>
        <v>0</v>
      </c>
      <c r="R927" s="155">
        <f t="shared" si="288"/>
        <v>0.43082700000000002</v>
      </c>
      <c r="S927" s="47">
        <f t="shared" si="287"/>
        <v>34842</v>
      </c>
      <c r="T927" s="151">
        <f t="shared" si="272"/>
        <v>46030</v>
      </c>
      <c r="U927" s="151">
        <f t="shared" si="273"/>
        <v>0</v>
      </c>
      <c r="V927" s="139">
        <f t="shared" si="274"/>
        <v>0</v>
      </c>
      <c r="W927" s="152">
        <f t="shared" si="277"/>
        <v>46030</v>
      </c>
      <c r="X927" s="127" t="str">
        <f t="shared" si="275"/>
        <v/>
      </c>
      <c r="Y927" s="207">
        <f t="shared" si="278"/>
        <v>46030</v>
      </c>
      <c r="Z927" s="139">
        <f t="shared" si="279"/>
        <v>46030</v>
      </c>
      <c r="AA927" s="139">
        <f t="shared" si="280"/>
        <v>0</v>
      </c>
      <c r="AC927" s="47">
        <f t="shared" si="281"/>
        <v>23015</v>
      </c>
      <c r="AD927" s="47">
        <f t="shared" si="282"/>
        <v>23015</v>
      </c>
      <c r="AE927" s="47">
        <f t="shared" si="283"/>
        <v>0</v>
      </c>
      <c r="AG927" s="47">
        <f t="shared" si="284"/>
        <v>23015</v>
      </c>
      <c r="AH927" s="47">
        <f t="shared" si="285"/>
        <v>23015</v>
      </c>
      <c r="AI927" s="208">
        <f t="shared" si="286"/>
        <v>0</v>
      </c>
    </row>
    <row r="928" spans="1:35">
      <c r="A928" t="s">
        <v>2118</v>
      </c>
      <c r="B928" t="s">
        <v>3160</v>
      </c>
      <c r="C928" t="s">
        <v>2558</v>
      </c>
      <c r="D928" t="s">
        <v>4243</v>
      </c>
      <c r="F928" t="s">
        <v>728</v>
      </c>
      <c r="G928" s="126">
        <f>SUMIFS('Support - Transition'!F:F,'Support - Transition'!B:B,'Step 2'!A928,'Support - Transition'!C:C,'Step 2'!B928,'Support - Transition'!D:D,'Step 2'!C928,'Support - Transition'!E:E,"CIVIL")</f>
        <v>0</v>
      </c>
      <c r="H928" s="126">
        <f>SUMIFS('Support - Transition'!F:F,'Support - Transition'!B:B,'Step 2'!A928,'Support - Transition'!C:C,'Step 2'!B928,'Support - Transition'!D:D,'Step 2'!C928,'Support - Transition'!E:E,"FIRE")</f>
        <v>0</v>
      </c>
      <c r="I928" s="126">
        <f>IF(B928="0",SUMIFS('Support - Transition'!F:F,'Support - Transition'!J:J,'Step 2'!D928,'Support - Transition'!E:E,"STATE UNIT"),SUMIFS('Support - Transition'!F:F,'Support - Transition'!J:J,'Step 2'!D928))</f>
        <v>8.8581999999999994E-2</v>
      </c>
      <c r="J928" s="126">
        <f>SUMIFS('Support - Unit Adjustments'!E:E,'Support - Unit Adjustments'!F:F,'Step 2'!D928)</f>
        <v>0</v>
      </c>
      <c r="K928" s="126">
        <f t="shared" si="270"/>
        <v>8.8581999999999994E-2</v>
      </c>
      <c r="L928" s="174">
        <f>VLOOKUP(A928,'Step 1'!$A:$E,4,FALSE)</f>
        <v>1190131</v>
      </c>
      <c r="M928" s="47">
        <f t="shared" si="271"/>
        <v>105424</v>
      </c>
      <c r="N928" s="177">
        <f>SUMIFS('Support - Transition'!G:G,'Support - Transition'!J:J,'Step 2'!D928,'Support - Transition'!E:E,"2009 WELFARE ALLOCATION FACTOR")</f>
        <v>0</v>
      </c>
      <c r="O928" s="152">
        <f t="shared" si="276"/>
        <v>0</v>
      </c>
      <c r="P928" s="126">
        <f>IF(E928="Y",0,SUMIFS('Support - Transition'!G:G,'Support - Transition'!J:J,'Step 2'!D928,'Support - Transition'!E:E,"2009 SCHOOL ALLOCATION FACTOR"))</f>
        <v>0.36301299999999997</v>
      </c>
      <c r="Q928" s="126">
        <f>IF(E928="Y",VLOOKUP(D928,'Support - Unit Adjustments'!F:G,2,FALSE),0)</f>
        <v>0</v>
      </c>
      <c r="R928" s="155">
        <f t="shared" si="288"/>
        <v>0.36301299999999997</v>
      </c>
      <c r="S928" s="47">
        <f t="shared" si="287"/>
        <v>38270</v>
      </c>
      <c r="T928" s="151">
        <f t="shared" si="272"/>
        <v>67154</v>
      </c>
      <c r="U928" s="151">
        <f t="shared" si="273"/>
        <v>0</v>
      </c>
      <c r="V928" s="139">
        <f t="shared" si="274"/>
        <v>0</v>
      </c>
      <c r="W928" s="152">
        <f t="shared" si="277"/>
        <v>67154</v>
      </c>
      <c r="X928" s="127" t="str">
        <f t="shared" si="275"/>
        <v/>
      </c>
      <c r="Y928" s="207">
        <f t="shared" si="278"/>
        <v>67154</v>
      </c>
      <c r="Z928" s="139">
        <f t="shared" si="279"/>
        <v>67154</v>
      </c>
      <c r="AA928" s="139">
        <f t="shared" si="280"/>
        <v>0</v>
      </c>
      <c r="AC928" s="47">
        <f t="shared" si="281"/>
        <v>33577</v>
      </c>
      <c r="AD928" s="47">
        <f t="shared" si="282"/>
        <v>33577</v>
      </c>
      <c r="AE928" s="47">
        <f t="shared" si="283"/>
        <v>0</v>
      </c>
      <c r="AG928" s="47">
        <f t="shared" si="284"/>
        <v>33577</v>
      </c>
      <c r="AH928" s="47">
        <f t="shared" si="285"/>
        <v>33577</v>
      </c>
      <c r="AI928" s="208">
        <f t="shared" si="286"/>
        <v>0</v>
      </c>
    </row>
    <row r="929" spans="1:35">
      <c r="A929" t="s">
        <v>2118</v>
      </c>
      <c r="B929" t="s">
        <v>3160</v>
      </c>
      <c r="C929" t="s">
        <v>2559</v>
      </c>
      <c r="D929" t="s">
        <v>4244</v>
      </c>
      <c r="F929" t="s">
        <v>727</v>
      </c>
      <c r="G929" s="126">
        <f>SUMIFS('Support - Transition'!F:F,'Support - Transition'!B:B,'Step 2'!A929,'Support - Transition'!C:C,'Step 2'!B929,'Support - Transition'!D:D,'Step 2'!C929,'Support - Transition'!E:E,"CIVIL")</f>
        <v>0</v>
      </c>
      <c r="H929" s="126">
        <f>SUMIFS('Support - Transition'!F:F,'Support - Transition'!B:B,'Step 2'!A929,'Support - Transition'!C:C,'Step 2'!B929,'Support - Transition'!D:D,'Step 2'!C929,'Support - Transition'!E:E,"FIRE")</f>
        <v>0</v>
      </c>
      <c r="I929" s="126">
        <f>IF(B929="0",SUMIFS('Support - Transition'!F:F,'Support - Transition'!J:J,'Step 2'!D929,'Support - Transition'!E:E,"STATE UNIT"),SUMIFS('Support - Transition'!F:F,'Support - Transition'!J:J,'Step 2'!D929))</f>
        <v>0.14166500000000001</v>
      </c>
      <c r="J929" s="126">
        <f>SUMIFS('Support - Unit Adjustments'!E:E,'Support - Unit Adjustments'!F:F,'Step 2'!D929)</f>
        <v>0</v>
      </c>
      <c r="K929" s="126">
        <f t="shared" si="270"/>
        <v>0.14166500000000001</v>
      </c>
      <c r="L929" s="174">
        <f>VLOOKUP(A929,'Step 1'!$A:$E,4,FALSE)</f>
        <v>1190131</v>
      </c>
      <c r="M929" s="47">
        <f t="shared" si="271"/>
        <v>168600</v>
      </c>
      <c r="N929" s="177">
        <f>SUMIFS('Support - Transition'!G:G,'Support - Transition'!J:J,'Step 2'!D929,'Support - Transition'!E:E,"2009 WELFARE ALLOCATION FACTOR")</f>
        <v>0</v>
      </c>
      <c r="O929" s="152">
        <f t="shared" si="276"/>
        <v>0</v>
      </c>
      <c r="P929" s="126">
        <f>IF(E929="Y",0,SUMIFS('Support - Transition'!G:G,'Support - Transition'!J:J,'Step 2'!D929,'Support - Transition'!E:E,"2009 SCHOOL ALLOCATION FACTOR"))</f>
        <v>0.38342399999999999</v>
      </c>
      <c r="Q929" s="126">
        <f>IF(E929="Y",VLOOKUP(D929,'Support - Unit Adjustments'!F:G,2,FALSE),0)</f>
        <v>0</v>
      </c>
      <c r="R929" s="155">
        <f t="shared" si="288"/>
        <v>0.38342399999999999</v>
      </c>
      <c r="S929" s="47">
        <f t="shared" si="287"/>
        <v>64645</v>
      </c>
      <c r="T929" s="151">
        <f t="shared" si="272"/>
        <v>103955</v>
      </c>
      <c r="U929" s="151">
        <f t="shared" si="273"/>
        <v>0</v>
      </c>
      <c r="V929" s="139">
        <f t="shared" si="274"/>
        <v>0</v>
      </c>
      <c r="W929" s="152">
        <f t="shared" si="277"/>
        <v>103955</v>
      </c>
      <c r="X929" s="127" t="str">
        <f t="shared" si="275"/>
        <v/>
      </c>
      <c r="Y929" s="207">
        <f t="shared" si="278"/>
        <v>103955</v>
      </c>
      <c r="Z929" s="139">
        <f t="shared" si="279"/>
        <v>103955</v>
      </c>
      <c r="AA929" s="139">
        <f t="shared" si="280"/>
        <v>0</v>
      </c>
      <c r="AC929" s="47">
        <f t="shared" si="281"/>
        <v>51978</v>
      </c>
      <c r="AD929" s="47">
        <f t="shared" si="282"/>
        <v>51978</v>
      </c>
      <c r="AE929" s="47">
        <f t="shared" si="283"/>
        <v>0</v>
      </c>
      <c r="AG929" s="47">
        <f t="shared" si="284"/>
        <v>51977</v>
      </c>
      <c r="AH929" s="47">
        <f t="shared" si="285"/>
        <v>51977</v>
      </c>
      <c r="AI929" s="208">
        <f t="shared" si="286"/>
        <v>0</v>
      </c>
    </row>
    <row r="930" spans="1:35">
      <c r="A930" t="s">
        <v>2118</v>
      </c>
      <c r="B930" t="s">
        <v>3160</v>
      </c>
      <c r="C930" t="s">
        <v>2560</v>
      </c>
      <c r="D930" t="s">
        <v>4245</v>
      </c>
      <c r="F930" t="s">
        <v>729</v>
      </c>
      <c r="G930" s="126">
        <f>SUMIFS('Support - Transition'!F:F,'Support - Transition'!B:B,'Step 2'!A930,'Support - Transition'!C:C,'Step 2'!B930,'Support - Transition'!D:D,'Step 2'!C930,'Support - Transition'!E:E,"CIVIL")</f>
        <v>0</v>
      </c>
      <c r="H930" s="126">
        <f>SUMIFS('Support - Transition'!F:F,'Support - Transition'!B:B,'Step 2'!A930,'Support - Transition'!C:C,'Step 2'!B930,'Support - Transition'!D:D,'Step 2'!C930,'Support - Transition'!E:E,"FIRE")</f>
        <v>0</v>
      </c>
      <c r="I930" s="126">
        <f>IF(B930="0",SUMIFS('Support - Transition'!F:F,'Support - Transition'!J:J,'Step 2'!D930,'Support - Transition'!E:E,"STATE UNIT"),SUMIFS('Support - Transition'!F:F,'Support - Transition'!J:J,'Step 2'!D930))</f>
        <v>8.3224999999999993E-2</v>
      </c>
      <c r="J930" s="126">
        <f>SUMIFS('Support - Unit Adjustments'!E:E,'Support - Unit Adjustments'!F:F,'Step 2'!D930)</f>
        <v>0</v>
      </c>
      <c r="K930" s="126">
        <f t="shared" si="270"/>
        <v>8.3224999999999993E-2</v>
      </c>
      <c r="L930" s="174">
        <f>VLOOKUP(A930,'Step 1'!$A:$E,4,FALSE)</f>
        <v>1190131</v>
      </c>
      <c r="M930" s="47">
        <f t="shared" si="271"/>
        <v>99049</v>
      </c>
      <c r="N930" s="177">
        <f>SUMIFS('Support - Transition'!G:G,'Support - Transition'!J:J,'Step 2'!D930,'Support - Transition'!E:E,"2009 WELFARE ALLOCATION FACTOR")</f>
        <v>0</v>
      </c>
      <c r="O930" s="152">
        <f t="shared" si="276"/>
        <v>0</v>
      </c>
      <c r="P930" s="126">
        <f>IF(E930="Y",0,SUMIFS('Support - Transition'!G:G,'Support - Transition'!J:J,'Step 2'!D930,'Support - Transition'!E:E,"2009 SCHOOL ALLOCATION FACTOR"))</f>
        <v>0.36555799999999999</v>
      </c>
      <c r="Q930" s="126">
        <f>IF(E930="Y",VLOOKUP(D930,'Support - Unit Adjustments'!F:G,2,FALSE),0)</f>
        <v>0</v>
      </c>
      <c r="R930" s="155">
        <f t="shared" si="288"/>
        <v>0.36555799999999999</v>
      </c>
      <c r="S930" s="47">
        <f t="shared" si="287"/>
        <v>36208</v>
      </c>
      <c r="T930" s="151">
        <f t="shared" si="272"/>
        <v>62841</v>
      </c>
      <c r="U930" s="151">
        <f t="shared" si="273"/>
        <v>0</v>
      </c>
      <c r="V930" s="139">
        <f t="shared" si="274"/>
        <v>0</v>
      </c>
      <c r="W930" s="152">
        <f t="shared" si="277"/>
        <v>62841</v>
      </c>
      <c r="X930" s="127" t="str">
        <f t="shared" si="275"/>
        <v/>
      </c>
      <c r="Y930" s="207">
        <f t="shared" si="278"/>
        <v>62841</v>
      </c>
      <c r="Z930" s="139">
        <f t="shared" si="279"/>
        <v>62841</v>
      </c>
      <c r="AA930" s="139">
        <f t="shared" si="280"/>
        <v>0</v>
      </c>
      <c r="AC930" s="47">
        <f t="shared" si="281"/>
        <v>31421</v>
      </c>
      <c r="AD930" s="47">
        <f t="shared" si="282"/>
        <v>31421</v>
      </c>
      <c r="AE930" s="47">
        <f t="shared" si="283"/>
        <v>0</v>
      </c>
      <c r="AG930" s="47">
        <f t="shared" si="284"/>
        <v>31420</v>
      </c>
      <c r="AH930" s="47">
        <f t="shared" si="285"/>
        <v>31420</v>
      </c>
      <c r="AI930" s="208">
        <f t="shared" si="286"/>
        <v>0</v>
      </c>
    </row>
    <row r="931" spans="1:35">
      <c r="A931" t="s">
        <v>2118</v>
      </c>
      <c r="B931" t="s">
        <v>3160</v>
      </c>
      <c r="C931" t="s">
        <v>2561</v>
      </c>
      <c r="D931" t="s">
        <v>4246</v>
      </c>
      <c r="F931" t="s">
        <v>732</v>
      </c>
      <c r="G931" s="126">
        <f>SUMIFS('Support - Transition'!F:F,'Support - Transition'!B:B,'Step 2'!A931,'Support - Transition'!C:C,'Step 2'!B931,'Support - Transition'!D:D,'Step 2'!C931,'Support - Transition'!E:E,"CIVIL")</f>
        <v>0</v>
      </c>
      <c r="H931" s="126">
        <f>SUMIFS('Support - Transition'!F:F,'Support - Transition'!B:B,'Step 2'!A931,'Support - Transition'!C:C,'Step 2'!B931,'Support - Transition'!D:D,'Step 2'!C931,'Support - Transition'!E:E,"FIRE")</f>
        <v>0</v>
      </c>
      <c r="I931" s="126">
        <f>IF(B931="0",SUMIFS('Support - Transition'!F:F,'Support - Transition'!J:J,'Step 2'!D931,'Support - Transition'!E:E,"STATE UNIT"),SUMIFS('Support - Transition'!F:F,'Support - Transition'!J:J,'Step 2'!D931))</f>
        <v>0.19527700000000001</v>
      </c>
      <c r="J931" s="126">
        <f>SUMIFS('Support - Unit Adjustments'!E:E,'Support - Unit Adjustments'!F:F,'Step 2'!D931)</f>
        <v>0</v>
      </c>
      <c r="K931" s="126">
        <f t="shared" si="270"/>
        <v>0.19527700000000001</v>
      </c>
      <c r="L931" s="174">
        <f>VLOOKUP(A931,'Step 1'!$A:$E,4,FALSE)</f>
        <v>1190131</v>
      </c>
      <c r="M931" s="47">
        <f t="shared" si="271"/>
        <v>232405</v>
      </c>
      <c r="N931" s="177">
        <f>SUMIFS('Support - Transition'!G:G,'Support - Transition'!J:J,'Step 2'!D931,'Support - Transition'!E:E,"2009 WELFARE ALLOCATION FACTOR")</f>
        <v>0</v>
      </c>
      <c r="O931" s="152">
        <f t="shared" si="276"/>
        <v>0</v>
      </c>
      <c r="P931" s="126">
        <f>IF(E931="Y",0,SUMIFS('Support - Transition'!G:G,'Support - Transition'!J:J,'Step 2'!D931,'Support - Transition'!E:E,"2009 SCHOOL ALLOCATION FACTOR"))</f>
        <v>0.36244199999999999</v>
      </c>
      <c r="Q931" s="126">
        <f>IF(E931="Y",VLOOKUP(D931,'Support - Unit Adjustments'!F:G,2,FALSE),0)</f>
        <v>0</v>
      </c>
      <c r="R931" s="155">
        <f t="shared" si="288"/>
        <v>0.36244199999999999</v>
      </c>
      <c r="S931" s="47">
        <f t="shared" si="287"/>
        <v>84233</v>
      </c>
      <c r="T931" s="151">
        <f t="shared" si="272"/>
        <v>148172</v>
      </c>
      <c r="U931" s="151">
        <f t="shared" si="273"/>
        <v>0</v>
      </c>
      <c r="V931" s="139">
        <f t="shared" si="274"/>
        <v>0</v>
      </c>
      <c r="W931" s="152">
        <f t="shared" si="277"/>
        <v>148172</v>
      </c>
      <c r="X931" s="127" t="str">
        <f t="shared" si="275"/>
        <v/>
      </c>
      <c r="Y931" s="207">
        <f t="shared" si="278"/>
        <v>148172</v>
      </c>
      <c r="Z931" s="139">
        <f t="shared" si="279"/>
        <v>148172</v>
      </c>
      <c r="AA931" s="139">
        <f t="shared" si="280"/>
        <v>0</v>
      </c>
      <c r="AC931" s="47">
        <f t="shared" si="281"/>
        <v>74086</v>
      </c>
      <c r="AD931" s="47">
        <f t="shared" si="282"/>
        <v>74086</v>
      </c>
      <c r="AE931" s="47">
        <f t="shared" si="283"/>
        <v>0</v>
      </c>
      <c r="AG931" s="47">
        <f t="shared" si="284"/>
        <v>74086</v>
      </c>
      <c r="AH931" s="47">
        <f t="shared" si="285"/>
        <v>74086</v>
      </c>
      <c r="AI931" s="208">
        <f t="shared" si="286"/>
        <v>0</v>
      </c>
    </row>
    <row r="932" spans="1:35">
      <c r="A932" t="s">
        <v>2118</v>
      </c>
      <c r="B932" t="s">
        <v>3160</v>
      </c>
      <c r="C932" t="s">
        <v>2562</v>
      </c>
      <c r="D932" t="s">
        <v>4247</v>
      </c>
      <c r="F932" t="s">
        <v>730</v>
      </c>
      <c r="G932" s="126">
        <f>SUMIFS('Support - Transition'!F:F,'Support - Transition'!B:B,'Step 2'!A932,'Support - Transition'!C:C,'Step 2'!B932,'Support - Transition'!D:D,'Step 2'!C932,'Support - Transition'!E:E,"CIVIL")</f>
        <v>0</v>
      </c>
      <c r="H932" s="126">
        <f>SUMIFS('Support - Transition'!F:F,'Support - Transition'!B:B,'Step 2'!A932,'Support - Transition'!C:C,'Step 2'!B932,'Support - Transition'!D:D,'Step 2'!C932,'Support - Transition'!E:E,"FIRE")</f>
        <v>0</v>
      </c>
      <c r="I932" s="126">
        <f>IF(B932="0",SUMIFS('Support - Transition'!F:F,'Support - Transition'!J:J,'Step 2'!D932,'Support - Transition'!E:E,"STATE UNIT"),SUMIFS('Support - Transition'!F:F,'Support - Transition'!J:J,'Step 2'!D932))</f>
        <v>0.14116400000000001</v>
      </c>
      <c r="J932" s="126">
        <f>SUMIFS('Support - Unit Adjustments'!E:E,'Support - Unit Adjustments'!F:F,'Step 2'!D932)</f>
        <v>0</v>
      </c>
      <c r="K932" s="126">
        <f t="shared" si="270"/>
        <v>0.14116400000000001</v>
      </c>
      <c r="L932" s="174">
        <f>VLOOKUP(A932,'Step 1'!$A:$E,4,FALSE)</f>
        <v>1190131</v>
      </c>
      <c r="M932" s="47">
        <f t="shared" si="271"/>
        <v>168004</v>
      </c>
      <c r="N932" s="177">
        <f>SUMIFS('Support - Transition'!G:G,'Support - Transition'!J:J,'Step 2'!D932,'Support - Transition'!E:E,"2009 WELFARE ALLOCATION FACTOR")</f>
        <v>0</v>
      </c>
      <c r="O932" s="152">
        <f t="shared" si="276"/>
        <v>0</v>
      </c>
      <c r="P932" s="126">
        <f>IF(E932="Y",0,SUMIFS('Support - Transition'!G:G,'Support - Transition'!J:J,'Step 2'!D932,'Support - Transition'!E:E,"2009 SCHOOL ALLOCATION FACTOR"))</f>
        <v>0.400366</v>
      </c>
      <c r="Q932" s="126">
        <f>IF(E932="Y",VLOOKUP(D932,'Support - Unit Adjustments'!F:G,2,FALSE),0)</f>
        <v>0</v>
      </c>
      <c r="R932" s="155">
        <f t="shared" si="288"/>
        <v>0.400366</v>
      </c>
      <c r="S932" s="47">
        <f t="shared" si="287"/>
        <v>67263</v>
      </c>
      <c r="T932" s="151">
        <f t="shared" si="272"/>
        <v>100741</v>
      </c>
      <c r="U932" s="151">
        <f t="shared" si="273"/>
        <v>0</v>
      </c>
      <c r="V932" s="139">
        <f t="shared" si="274"/>
        <v>0</v>
      </c>
      <c r="W932" s="152">
        <f t="shared" si="277"/>
        <v>100741</v>
      </c>
      <c r="X932" s="127" t="str">
        <f t="shared" si="275"/>
        <v/>
      </c>
      <c r="Y932" s="207">
        <f t="shared" si="278"/>
        <v>100741</v>
      </c>
      <c r="Z932" s="139">
        <f t="shared" si="279"/>
        <v>100741</v>
      </c>
      <c r="AA932" s="139">
        <f t="shared" si="280"/>
        <v>0</v>
      </c>
      <c r="AC932" s="47">
        <f t="shared" si="281"/>
        <v>50371</v>
      </c>
      <c r="AD932" s="47">
        <f t="shared" si="282"/>
        <v>50371</v>
      </c>
      <c r="AE932" s="47">
        <f t="shared" si="283"/>
        <v>0</v>
      </c>
      <c r="AG932" s="47">
        <f t="shared" si="284"/>
        <v>50370</v>
      </c>
      <c r="AH932" s="47">
        <f t="shared" si="285"/>
        <v>50370</v>
      </c>
      <c r="AI932" s="208">
        <f t="shared" si="286"/>
        <v>0</v>
      </c>
    </row>
    <row r="933" spans="1:35">
      <c r="A933" t="s">
        <v>2118</v>
      </c>
      <c r="B933" t="s">
        <v>3166</v>
      </c>
      <c r="C933" t="s">
        <v>4248</v>
      </c>
      <c r="D933" t="s">
        <v>4249</v>
      </c>
      <c r="F933" t="s">
        <v>738</v>
      </c>
      <c r="G933" s="126">
        <f>SUMIFS('Support - Transition'!F:F,'Support - Transition'!B:B,'Step 2'!A933,'Support - Transition'!C:C,'Step 2'!B933,'Support - Transition'!D:D,'Step 2'!C933,'Support - Transition'!E:E,"CIVIL")</f>
        <v>0</v>
      </c>
      <c r="H933" s="126">
        <f>SUMIFS('Support - Transition'!F:F,'Support - Transition'!B:B,'Step 2'!A933,'Support - Transition'!C:C,'Step 2'!B933,'Support - Transition'!D:D,'Step 2'!C933,'Support - Transition'!E:E,"FIRE")</f>
        <v>0</v>
      </c>
      <c r="I933" s="126">
        <f>IF(B933="0",SUMIFS('Support - Transition'!F:F,'Support - Transition'!J:J,'Step 2'!D933,'Support - Transition'!E:E,"STATE UNIT"),SUMIFS('Support - Transition'!F:F,'Support - Transition'!J:J,'Step 2'!D933))</f>
        <v>3.8749999999998508E-3</v>
      </c>
      <c r="J933" s="126">
        <f>SUMIFS('Support - Unit Adjustments'!E:E,'Support - Unit Adjustments'!F:F,'Step 2'!D933)</f>
        <v>0</v>
      </c>
      <c r="K933" s="126">
        <f t="shared" si="270"/>
        <v>3.8749999999998508E-3</v>
      </c>
      <c r="L933" s="174">
        <f>VLOOKUP(A933,'Step 1'!$A:$E,4,FALSE)</f>
        <v>1190131</v>
      </c>
      <c r="M933" s="47">
        <f t="shared" si="271"/>
        <v>4612</v>
      </c>
      <c r="N933" s="177">
        <f>SUMIFS('Support - Transition'!G:G,'Support - Transition'!J:J,'Step 2'!D933,'Support - Transition'!E:E,"2009 WELFARE ALLOCATION FACTOR")</f>
        <v>0</v>
      </c>
      <c r="O933" s="152">
        <f t="shared" si="276"/>
        <v>0</v>
      </c>
      <c r="P933" s="126">
        <f>IF(E933="Y",0,SUMIFS('Support - Transition'!G:G,'Support - Transition'!J:J,'Step 2'!D933,'Support - Transition'!E:E,"2009 SCHOOL ALLOCATION FACTOR"))</f>
        <v>0</v>
      </c>
      <c r="Q933" s="126">
        <f>IF(E933="Y",VLOOKUP(D933,'Support - Unit Adjustments'!F:G,2,FALSE),0)</f>
        <v>0</v>
      </c>
      <c r="R933" s="155">
        <f t="shared" si="288"/>
        <v>0</v>
      </c>
      <c r="S933" s="47">
        <f t="shared" si="287"/>
        <v>0</v>
      </c>
      <c r="T933" s="151">
        <f t="shared" si="272"/>
        <v>4612</v>
      </c>
      <c r="U933" s="151">
        <f t="shared" si="273"/>
        <v>0</v>
      </c>
      <c r="V933" s="139">
        <f t="shared" si="274"/>
        <v>0</v>
      </c>
      <c r="W933" s="152">
        <f t="shared" si="277"/>
        <v>4612</v>
      </c>
      <c r="X933" s="127" t="str">
        <f t="shared" si="275"/>
        <v/>
      </c>
      <c r="Y933" s="207">
        <f t="shared" si="278"/>
        <v>4612</v>
      </c>
      <c r="Z933" s="139">
        <f t="shared" si="279"/>
        <v>4612</v>
      </c>
      <c r="AA933" s="139">
        <f t="shared" si="280"/>
        <v>0</v>
      </c>
      <c r="AC933" s="47">
        <f t="shared" si="281"/>
        <v>2306</v>
      </c>
      <c r="AD933" s="47">
        <f t="shared" si="282"/>
        <v>2306</v>
      </c>
      <c r="AE933" s="47">
        <f t="shared" si="283"/>
        <v>0</v>
      </c>
      <c r="AG933" s="47">
        <f t="shared" si="284"/>
        <v>2306</v>
      </c>
      <c r="AH933" s="47">
        <f t="shared" si="285"/>
        <v>2306</v>
      </c>
      <c r="AI933" s="208">
        <f t="shared" si="286"/>
        <v>0</v>
      </c>
    </row>
    <row r="934" spans="1:35">
      <c r="A934" t="s">
        <v>2118</v>
      </c>
      <c r="B934" t="s">
        <v>3166</v>
      </c>
      <c r="C934" t="s">
        <v>2563</v>
      </c>
      <c r="D934" t="s">
        <v>4250</v>
      </c>
      <c r="F934" t="s">
        <v>733</v>
      </c>
      <c r="G934" s="126">
        <f>SUMIFS('Support - Transition'!F:F,'Support - Transition'!B:B,'Step 2'!A934,'Support - Transition'!C:C,'Step 2'!B934,'Support - Transition'!D:D,'Step 2'!C934,'Support - Transition'!E:E,"CIVIL")</f>
        <v>0</v>
      </c>
      <c r="H934" s="126">
        <f>SUMIFS('Support - Transition'!F:F,'Support - Transition'!B:B,'Step 2'!A934,'Support - Transition'!C:C,'Step 2'!B934,'Support - Transition'!D:D,'Step 2'!C934,'Support - Transition'!E:E,"FIRE")</f>
        <v>0</v>
      </c>
      <c r="I934" s="126">
        <f>IF(B934="0",SUMIFS('Support - Transition'!F:F,'Support - Transition'!J:J,'Step 2'!D934,'Support - Transition'!E:E,"STATE UNIT"),SUMIFS('Support - Transition'!F:F,'Support - Transition'!J:J,'Step 2'!D934))</f>
        <v>3.114E-3</v>
      </c>
      <c r="J934" s="126">
        <f>SUMIFS('Support - Unit Adjustments'!E:E,'Support - Unit Adjustments'!F:F,'Step 2'!D934)</f>
        <v>0</v>
      </c>
      <c r="K934" s="126">
        <f t="shared" si="270"/>
        <v>3.114E-3</v>
      </c>
      <c r="L934" s="174">
        <f>VLOOKUP(A934,'Step 1'!$A:$E,4,FALSE)</f>
        <v>1190131</v>
      </c>
      <c r="M934" s="47">
        <f t="shared" si="271"/>
        <v>3706</v>
      </c>
      <c r="N934" s="177">
        <f>SUMIFS('Support - Transition'!G:G,'Support - Transition'!J:J,'Step 2'!D934,'Support - Transition'!E:E,"2009 WELFARE ALLOCATION FACTOR")</f>
        <v>0</v>
      </c>
      <c r="O934" s="152">
        <f t="shared" si="276"/>
        <v>0</v>
      </c>
      <c r="P934" s="126">
        <f>IF(E934="Y",0,SUMIFS('Support - Transition'!G:G,'Support - Transition'!J:J,'Step 2'!D934,'Support - Transition'!E:E,"2009 SCHOOL ALLOCATION FACTOR"))</f>
        <v>0</v>
      </c>
      <c r="Q934" s="126">
        <f>IF(E934="Y",VLOOKUP(D934,'Support - Unit Adjustments'!F:G,2,FALSE),0)</f>
        <v>0</v>
      </c>
      <c r="R934" s="155">
        <f t="shared" si="288"/>
        <v>0</v>
      </c>
      <c r="S934" s="47">
        <f t="shared" si="287"/>
        <v>0</v>
      </c>
      <c r="T934" s="151">
        <f t="shared" si="272"/>
        <v>3706</v>
      </c>
      <c r="U934" s="151">
        <f t="shared" si="273"/>
        <v>0</v>
      </c>
      <c r="V934" s="139">
        <f t="shared" si="274"/>
        <v>0</v>
      </c>
      <c r="W934" s="152">
        <f t="shared" si="277"/>
        <v>3706</v>
      </c>
      <c r="X934" s="127" t="str">
        <f t="shared" si="275"/>
        <v/>
      </c>
      <c r="Y934" s="207">
        <f t="shared" si="278"/>
        <v>3706</v>
      </c>
      <c r="Z934" s="139">
        <f t="shared" si="279"/>
        <v>3706</v>
      </c>
      <c r="AA934" s="139">
        <f t="shared" si="280"/>
        <v>0</v>
      </c>
      <c r="AC934" s="47">
        <f t="shared" si="281"/>
        <v>1853</v>
      </c>
      <c r="AD934" s="47">
        <f t="shared" si="282"/>
        <v>1853</v>
      </c>
      <c r="AE934" s="47">
        <f t="shared" si="283"/>
        <v>0</v>
      </c>
      <c r="AG934" s="47">
        <f t="shared" si="284"/>
        <v>1853</v>
      </c>
      <c r="AH934" s="47">
        <f t="shared" si="285"/>
        <v>1853</v>
      </c>
      <c r="AI934" s="208">
        <f t="shared" si="286"/>
        <v>0</v>
      </c>
    </row>
    <row r="935" spans="1:35">
      <c r="A935" t="s">
        <v>2118</v>
      </c>
      <c r="B935" t="s">
        <v>3166</v>
      </c>
      <c r="C935" t="s">
        <v>2564</v>
      </c>
      <c r="D935" t="s">
        <v>4251</v>
      </c>
      <c r="F935" t="s">
        <v>734</v>
      </c>
      <c r="G935" s="126">
        <f>SUMIFS('Support - Transition'!F:F,'Support - Transition'!B:B,'Step 2'!A935,'Support - Transition'!C:C,'Step 2'!B935,'Support - Transition'!D:D,'Step 2'!C935,'Support - Transition'!E:E,"CIVIL")</f>
        <v>0</v>
      </c>
      <c r="H935" s="126">
        <f>SUMIFS('Support - Transition'!F:F,'Support - Transition'!B:B,'Step 2'!A935,'Support - Transition'!C:C,'Step 2'!B935,'Support - Transition'!D:D,'Step 2'!C935,'Support - Transition'!E:E,"FIRE")</f>
        <v>0</v>
      </c>
      <c r="I935" s="126">
        <f>IF(B935="0",SUMIFS('Support - Transition'!F:F,'Support - Transition'!J:J,'Step 2'!D935,'Support - Transition'!E:E,"STATE UNIT"),SUMIFS('Support - Transition'!F:F,'Support - Transition'!J:J,'Step 2'!D935))</f>
        <v>2.9320000000000001E-3</v>
      </c>
      <c r="J935" s="126">
        <f>SUMIFS('Support - Unit Adjustments'!E:E,'Support - Unit Adjustments'!F:F,'Step 2'!D935)</f>
        <v>0</v>
      </c>
      <c r="K935" s="126">
        <f t="shared" si="270"/>
        <v>2.9320000000000001E-3</v>
      </c>
      <c r="L935" s="174">
        <f>VLOOKUP(A935,'Step 1'!$A:$E,4,FALSE)</f>
        <v>1190131</v>
      </c>
      <c r="M935" s="47">
        <f t="shared" si="271"/>
        <v>3489</v>
      </c>
      <c r="N935" s="177">
        <f>SUMIFS('Support - Transition'!G:G,'Support - Transition'!J:J,'Step 2'!D935,'Support - Transition'!E:E,"2009 WELFARE ALLOCATION FACTOR")</f>
        <v>0</v>
      </c>
      <c r="O935" s="152">
        <f t="shared" si="276"/>
        <v>0</v>
      </c>
      <c r="P935" s="126">
        <f>IF(E935="Y",0,SUMIFS('Support - Transition'!G:G,'Support - Transition'!J:J,'Step 2'!D935,'Support - Transition'!E:E,"2009 SCHOOL ALLOCATION FACTOR"))</f>
        <v>0</v>
      </c>
      <c r="Q935" s="126">
        <f>IF(E935="Y",VLOOKUP(D935,'Support - Unit Adjustments'!F:G,2,FALSE),0)</f>
        <v>0</v>
      </c>
      <c r="R935" s="155">
        <f t="shared" si="288"/>
        <v>0</v>
      </c>
      <c r="S935" s="47">
        <f t="shared" si="287"/>
        <v>0</v>
      </c>
      <c r="T935" s="151">
        <f t="shared" si="272"/>
        <v>3489</v>
      </c>
      <c r="U935" s="151">
        <f t="shared" si="273"/>
        <v>0</v>
      </c>
      <c r="V935" s="139">
        <f t="shared" si="274"/>
        <v>0</v>
      </c>
      <c r="W935" s="152">
        <f t="shared" si="277"/>
        <v>3489</v>
      </c>
      <c r="X935" s="127" t="str">
        <f t="shared" si="275"/>
        <v/>
      </c>
      <c r="Y935" s="207">
        <f t="shared" si="278"/>
        <v>3489</v>
      </c>
      <c r="Z935" s="139">
        <f t="shared" si="279"/>
        <v>3489</v>
      </c>
      <c r="AA935" s="139">
        <f t="shared" si="280"/>
        <v>0</v>
      </c>
      <c r="AC935" s="47">
        <f t="shared" si="281"/>
        <v>1745</v>
      </c>
      <c r="AD935" s="47">
        <f t="shared" si="282"/>
        <v>1745</v>
      </c>
      <c r="AE935" s="47">
        <f t="shared" si="283"/>
        <v>0</v>
      </c>
      <c r="AG935" s="47">
        <f t="shared" si="284"/>
        <v>1744</v>
      </c>
      <c r="AH935" s="47">
        <f t="shared" si="285"/>
        <v>1744</v>
      </c>
      <c r="AI935" s="208">
        <f t="shared" si="286"/>
        <v>0</v>
      </c>
    </row>
    <row r="936" spans="1:35">
      <c r="A936" t="s">
        <v>2118</v>
      </c>
      <c r="B936" t="s">
        <v>3166</v>
      </c>
      <c r="C936" t="s">
        <v>2565</v>
      </c>
      <c r="D936" t="s">
        <v>4252</v>
      </c>
      <c r="F936" t="s">
        <v>4253</v>
      </c>
      <c r="G936" s="126">
        <f>SUMIFS('Support - Transition'!F:F,'Support - Transition'!B:B,'Step 2'!A936,'Support - Transition'!C:C,'Step 2'!B936,'Support - Transition'!D:D,'Step 2'!C936,'Support - Transition'!E:E,"CIVIL")</f>
        <v>0</v>
      </c>
      <c r="H936" s="126">
        <f>SUMIFS('Support - Transition'!F:F,'Support - Transition'!B:B,'Step 2'!A936,'Support - Transition'!C:C,'Step 2'!B936,'Support - Transition'!D:D,'Step 2'!C936,'Support - Transition'!E:E,"FIRE")</f>
        <v>0</v>
      </c>
      <c r="I936" s="126">
        <f>IF(B936="0",SUMIFS('Support - Transition'!F:F,'Support - Transition'!J:J,'Step 2'!D936,'Support - Transition'!E:E,"STATE UNIT"),SUMIFS('Support - Transition'!F:F,'Support - Transition'!J:J,'Step 2'!D936))</f>
        <v>1.377E-3</v>
      </c>
      <c r="J936" s="126">
        <f>SUMIFS('Support - Unit Adjustments'!E:E,'Support - Unit Adjustments'!F:F,'Step 2'!D936)</f>
        <v>0</v>
      </c>
      <c r="K936" s="126">
        <f t="shared" si="270"/>
        <v>1.377E-3</v>
      </c>
      <c r="L936" s="174">
        <f>VLOOKUP(A936,'Step 1'!$A:$E,4,FALSE)</f>
        <v>1190131</v>
      </c>
      <c r="M936" s="47">
        <f t="shared" si="271"/>
        <v>1639</v>
      </c>
      <c r="N936" s="177">
        <f>SUMIFS('Support - Transition'!G:G,'Support - Transition'!J:J,'Step 2'!D936,'Support - Transition'!E:E,"2009 WELFARE ALLOCATION FACTOR")</f>
        <v>0</v>
      </c>
      <c r="O936" s="152">
        <f t="shared" si="276"/>
        <v>0</v>
      </c>
      <c r="P936" s="126">
        <f>IF(E936="Y",0,SUMIFS('Support - Transition'!G:G,'Support - Transition'!J:J,'Step 2'!D936,'Support - Transition'!E:E,"2009 SCHOOL ALLOCATION FACTOR"))</f>
        <v>0</v>
      </c>
      <c r="Q936" s="126">
        <f>IF(E936="Y",VLOOKUP(D936,'Support - Unit Adjustments'!F:G,2,FALSE),0)</f>
        <v>0</v>
      </c>
      <c r="R936" s="155">
        <f t="shared" si="288"/>
        <v>0</v>
      </c>
      <c r="S936" s="47">
        <f t="shared" si="287"/>
        <v>0</v>
      </c>
      <c r="T936" s="151">
        <f t="shared" si="272"/>
        <v>1639</v>
      </c>
      <c r="U936" s="151">
        <f t="shared" si="273"/>
        <v>0</v>
      </c>
      <c r="V936" s="139">
        <f t="shared" si="274"/>
        <v>0</v>
      </c>
      <c r="W936" s="152">
        <f t="shared" si="277"/>
        <v>1639</v>
      </c>
      <c r="X936" s="127" t="str">
        <f t="shared" si="275"/>
        <v/>
      </c>
      <c r="Y936" s="207">
        <f t="shared" si="278"/>
        <v>1639</v>
      </c>
      <c r="Z936" s="139">
        <f t="shared" si="279"/>
        <v>1639</v>
      </c>
      <c r="AA936" s="139">
        <f t="shared" si="280"/>
        <v>0</v>
      </c>
      <c r="AC936" s="47">
        <f t="shared" si="281"/>
        <v>820</v>
      </c>
      <c r="AD936" s="47">
        <f t="shared" si="282"/>
        <v>820</v>
      </c>
      <c r="AE936" s="47">
        <f t="shared" si="283"/>
        <v>0</v>
      </c>
      <c r="AG936" s="47">
        <f t="shared" si="284"/>
        <v>819</v>
      </c>
      <c r="AH936" s="47">
        <f t="shared" si="285"/>
        <v>819</v>
      </c>
      <c r="AI936" s="208">
        <f t="shared" si="286"/>
        <v>0</v>
      </c>
    </row>
    <row r="937" spans="1:35">
      <c r="A937" t="s">
        <v>2118</v>
      </c>
      <c r="B937" t="s">
        <v>3166</v>
      </c>
      <c r="C937" t="s">
        <v>2566</v>
      </c>
      <c r="D937" t="s">
        <v>4254</v>
      </c>
      <c r="F937" t="s">
        <v>736</v>
      </c>
      <c r="G937" s="126">
        <f>SUMIFS('Support - Transition'!F:F,'Support - Transition'!B:B,'Step 2'!A937,'Support - Transition'!C:C,'Step 2'!B937,'Support - Transition'!D:D,'Step 2'!C937,'Support - Transition'!E:E,"CIVIL")</f>
        <v>0</v>
      </c>
      <c r="H937" s="126">
        <f>SUMIFS('Support - Transition'!F:F,'Support - Transition'!B:B,'Step 2'!A937,'Support - Transition'!C:C,'Step 2'!B937,'Support - Transition'!D:D,'Step 2'!C937,'Support - Transition'!E:E,"FIRE")</f>
        <v>0</v>
      </c>
      <c r="I937" s="126">
        <f>IF(B937="0",SUMIFS('Support - Transition'!F:F,'Support - Transition'!J:J,'Step 2'!D937,'Support - Transition'!E:E,"STATE UNIT"),SUMIFS('Support - Transition'!F:F,'Support - Transition'!J:J,'Step 2'!D937))</f>
        <v>4.352E-3</v>
      </c>
      <c r="J937" s="126">
        <f>SUMIFS('Support - Unit Adjustments'!E:E,'Support - Unit Adjustments'!F:F,'Step 2'!D937)</f>
        <v>0</v>
      </c>
      <c r="K937" s="126">
        <f t="shared" si="270"/>
        <v>4.352E-3</v>
      </c>
      <c r="L937" s="174">
        <f>VLOOKUP(A937,'Step 1'!$A:$E,4,FALSE)</f>
        <v>1190131</v>
      </c>
      <c r="M937" s="47">
        <f t="shared" si="271"/>
        <v>5179</v>
      </c>
      <c r="N937" s="177">
        <f>SUMIFS('Support - Transition'!G:G,'Support - Transition'!J:J,'Step 2'!D937,'Support - Transition'!E:E,"2009 WELFARE ALLOCATION FACTOR")</f>
        <v>0</v>
      </c>
      <c r="O937" s="152">
        <f t="shared" si="276"/>
        <v>0</v>
      </c>
      <c r="P937" s="126">
        <f>IF(E937="Y",0,SUMIFS('Support - Transition'!G:G,'Support - Transition'!J:J,'Step 2'!D937,'Support - Transition'!E:E,"2009 SCHOOL ALLOCATION FACTOR"))</f>
        <v>0</v>
      </c>
      <c r="Q937" s="126">
        <f>IF(E937="Y",VLOOKUP(D937,'Support - Unit Adjustments'!F:G,2,FALSE),0)</f>
        <v>0</v>
      </c>
      <c r="R937" s="155">
        <f t="shared" si="288"/>
        <v>0</v>
      </c>
      <c r="S937" s="47">
        <f t="shared" si="287"/>
        <v>0</v>
      </c>
      <c r="T937" s="151">
        <f t="shared" si="272"/>
        <v>5179</v>
      </c>
      <c r="U937" s="151">
        <f t="shared" si="273"/>
        <v>0</v>
      </c>
      <c r="V937" s="139">
        <f t="shared" si="274"/>
        <v>0</v>
      </c>
      <c r="W937" s="152">
        <f t="shared" si="277"/>
        <v>5179</v>
      </c>
      <c r="X937" s="127" t="str">
        <f t="shared" si="275"/>
        <v/>
      </c>
      <c r="Y937" s="207">
        <f t="shared" si="278"/>
        <v>5179</v>
      </c>
      <c r="Z937" s="139">
        <f t="shared" si="279"/>
        <v>5179</v>
      </c>
      <c r="AA937" s="139">
        <f t="shared" si="280"/>
        <v>0</v>
      </c>
      <c r="AC937" s="47">
        <f t="shared" si="281"/>
        <v>2590</v>
      </c>
      <c r="AD937" s="47">
        <f t="shared" si="282"/>
        <v>2590</v>
      </c>
      <c r="AE937" s="47">
        <f t="shared" si="283"/>
        <v>0</v>
      </c>
      <c r="AG937" s="47">
        <f t="shared" si="284"/>
        <v>2589</v>
      </c>
      <c r="AH937" s="47">
        <f t="shared" si="285"/>
        <v>2589</v>
      </c>
      <c r="AI937" s="208">
        <f t="shared" si="286"/>
        <v>0</v>
      </c>
    </row>
    <row r="938" spans="1:35">
      <c r="A938" t="s">
        <v>2118</v>
      </c>
      <c r="B938" t="s">
        <v>3166</v>
      </c>
      <c r="C938" t="s">
        <v>2567</v>
      </c>
      <c r="D938" t="s">
        <v>4255</v>
      </c>
      <c r="F938" t="s">
        <v>4256</v>
      </c>
      <c r="G938" s="126">
        <f>SUMIFS('Support - Transition'!F:F,'Support - Transition'!B:B,'Step 2'!A938,'Support - Transition'!C:C,'Step 2'!B938,'Support - Transition'!D:D,'Step 2'!C938,'Support - Transition'!E:E,"CIVIL")</f>
        <v>0</v>
      </c>
      <c r="H938" s="126">
        <f>SUMIFS('Support - Transition'!F:F,'Support - Transition'!B:B,'Step 2'!A938,'Support - Transition'!C:C,'Step 2'!B938,'Support - Transition'!D:D,'Step 2'!C938,'Support - Transition'!E:E,"FIRE")</f>
        <v>0</v>
      </c>
      <c r="I938" s="126">
        <f>IF(B938="0",SUMIFS('Support - Transition'!F:F,'Support - Transition'!J:J,'Step 2'!D938,'Support - Transition'!E:E,"STATE UNIT"),SUMIFS('Support - Transition'!F:F,'Support - Transition'!J:J,'Step 2'!D938))</f>
        <v>1.8408000000000001E-2</v>
      </c>
      <c r="J938" s="126">
        <f>SUMIFS('Support - Unit Adjustments'!E:E,'Support - Unit Adjustments'!F:F,'Step 2'!D938)</f>
        <v>0</v>
      </c>
      <c r="K938" s="126">
        <f t="shared" si="270"/>
        <v>1.8408000000000001E-2</v>
      </c>
      <c r="L938" s="174">
        <f>VLOOKUP(A938,'Step 1'!$A:$E,4,FALSE)</f>
        <v>1190131</v>
      </c>
      <c r="M938" s="47">
        <f t="shared" si="271"/>
        <v>21908</v>
      </c>
      <c r="N938" s="177">
        <f>SUMIFS('Support - Transition'!G:G,'Support - Transition'!J:J,'Step 2'!D938,'Support - Transition'!E:E,"2009 WELFARE ALLOCATION FACTOR")</f>
        <v>0</v>
      </c>
      <c r="O938" s="152">
        <f t="shared" si="276"/>
        <v>0</v>
      </c>
      <c r="P938" s="126">
        <f>IF(E938="Y",0,SUMIFS('Support - Transition'!G:G,'Support - Transition'!J:J,'Step 2'!D938,'Support - Transition'!E:E,"2009 SCHOOL ALLOCATION FACTOR"))</f>
        <v>0</v>
      </c>
      <c r="Q938" s="126">
        <f>IF(E938="Y",VLOOKUP(D938,'Support - Unit Adjustments'!F:G,2,FALSE),0)</f>
        <v>0</v>
      </c>
      <c r="R938" s="155">
        <f t="shared" si="288"/>
        <v>0</v>
      </c>
      <c r="S938" s="47">
        <f t="shared" si="287"/>
        <v>0</v>
      </c>
      <c r="T938" s="151">
        <f t="shared" si="272"/>
        <v>21908</v>
      </c>
      <c r="U938" s="151">
        <f t="shared" si="273"/>
        <v>0</v>
      </c>
      <c r="V938" s="139">
        <f t="shared" si="274"/>
        <v>0</v>
      </c>
      <c r="W938" s="152">
        <f t="shared" si="277"/>
        <v>21908</v>
      </c>
      <c r="X938" s="127" t="str">
        <f t="shared" si="275"/>
        <v/>
      </c>
      <c r="Y938" s="207">
        <f t="shared" si="278"/>
        <v>21908</v>
      </c>
      <c r="Z938" s="139">
        <f t="shared" si="279"/>
        <v>21908</v>
      </c>
      <c r="AA938" s="139">
        <f t="shared" si="280"/>
        <v>0</v>
      </c>
      <c r="AC938" s="47">
        <f t="shared" si="281"/>
        <v>10954</v>
      </c>
      <c r="AD938" s="47">
        <f t="shared" si="282"/>
        <v>10954</v>
      </c>
      <c r="AE938" s="47">
        <f t="shared" si="283"/>
        <v>0</v>
      </c>
      <c r="AG938" s="47">
        <f t="shared" si="284"/>
        <v>10954</v>
      </c>
      <c r="AH938" s="47">
        <f t="shared" si="285"/>
        <v>10954</v>
      </c>
      <c r="AI938" s="208">
        <f t="shared" si="286"/>
        <v>0</v>
      </c>
    </row>
    <row r="939" spans="1:35">
      <c r="A939" t="s">
        <v>2118</v>
      </c>
      <c r="B939" t="s">
        <v>3170</v>
      </c>
      <c r="C939" t="s">
        <v>4257</v>
      </c>
      <c r="D939" t="s">
        <v>4258</v>
      </c>
      <c r="F939" t="s">
        <v>4259</v>
      </c>
      <c r="G939" s="126">
        <f>SUMIFS('Support - Transition'!F:F,'Support - Transition'!B:B,'Step 2'!A939,'Support - Transition'!C:C,'Step 2'!B939,'Support - Transition'!D:D,'Step 2'!C939,'Support - Transition'!E:E,"CIVIL")</f>
        <v>0</v>
      </c>
      <c r="H939" s="126">
        <f>SUMIFS('Support - Transition'!F:F,'Support - Transition'!B:B,'Step 2'!A939,'Support - Transition'!C:C,'Step 2'!B939,'Support - Transition'!D:D,'Step 2'!C939,'Support - Transition'!E:E,"FIRE")</f>
        <v>0</v>
      </c>
      <c r="I939" s="126">
        <f>IF(B939="0",SUMIFS('Support - Transition'!F:F,'Support - Transition'!J:J,'Step 2'!D939,'Support - Transition'!E:E,"STATE UNIT"),SUMIFS('Support - Transition'!F:F,'Support - Transition'!J:J,'Step 2'!D939))</f>
        <v>0</v>
      </c>
      <c r="J939" s="126">
        <f>SUMIFS('Support - Unit Adjustments'!E:E,'Support - Unit Adjustments'!F:F,'Step 2'!D939)</f>
        <v>0</v>
      </c>
      <c r="K939" s="126">
        <f t="shared" si="270"/>
        <v>0</v>
      </c>
      <c r="L939" s="174">
        <f>VLOOKUP(A939,'Step 1'!$A:$E,4,FALSE)</f>
        <v>1190131</v>
      </c>
      <c r="M939" s="47">
        <f t="shared" si="271"/>
        <v>0</v>
      </c>
      <c r="N939" s="177">
        <f>SUMIFS('Support - Transition'!G:G,'Support - Transition'!J:J,'Step 2'!D939,'Support - Transition'!E:E,"2009 WELFARE ALLOCATION FACTOR")</f>
        <v>0</v>
      </c>
      <c r="O939" s="152">
        <f t="shared" si="276"/>
        <v>0</v>
      </c>
      <c r="P939" s="126">
        <f>IF(E939="Y",0,SUMIFS('Support - Transition'!G:G,'Support - Transition'!J:J,'Step 2'!D939,'Support - Transition'!E:E,"2009 SCHOOL ALLOCATION FACTOR"))</f>
        <v>0</v>
      </c>
      <c r="Q939" s="126">
        <f>IF(E939="Y",VLOOKUP(D939,'Support - Unit Adjustments'!F:G,2,FALSE),0)</f>
        <v>0</v>
      </c>
      <c r="R939" s="155">
        <f t="shared" si="288"/>
        <v>0</v>
      </c>
      <c r="S939" s="47">
        <f t="shared" si="287"/>
        <v>0</v>
      </c>
      <c r="T939" s="151">
        <f t="shared" si="272"/>
        <v>0</v>
      </c>
      <c r="U939" s="151">
        <f t="shared" si="273"/>
        <v>0</v>
      </c>
      <c r="V939" s="139">
        <f t="shared" si="274"/>
        <v>0</v>
      </c>
      <c r="W939" s="152">
        <f t="shared" si="277"/>
        <v>0</v>
      </c>
      <c r="X939" s="127" t="str">
        <f t="shared" si="275"/>
        <v/>
      </c>
      <c r="Y939" s="207">
        <f t="shared" si="278"/>
        <v>0</v>
      </c>
      <c r="Z939" s="139">
        <f t="shared" si="279"/>
        <v>0</v>
      </c>
      <c r="AA939" s="139">
        <f t="shared" si="280"/>
        <v>0</v>
      </c>
      <c r="AC939" s="47">
        <f t="shared" si="281"/>
        <v>0</v>
      </c>
      <c r="AD939" s="47">
        <f t="shared" si="282"/>
        <v>0</v>
      </c>
      <c r="AE939" s="47">
        <f t="shared" si="283"/>
        <v>0</v>
      </c>
      <c r="AG939" s="47">
        <f t="shared" si="284"/>
        <v>0</v>
      </c>
      <c r="AH939" s="47">
        <f t="shared" si="285"/>
        <v>0</v>
      </c>
      <c r="AI939" s="208">
        <f t="shared" si="286"/>
        <v>0</v>
      </c>
    </row>
    <row r="940" spans="1:35">
      <c r="A940" t="s">
        <v>2118</v>
      </c>
      <c r="B940" t="s">
        <v>3286</v>
      </c>
      <c r="C940" t="s">
        <v>4125</v>
      </c>
      <c r="D940" t="s">
        <v>4260</v>
      </c>
      <c r="F940" t="s">
        <v>4261</v>
      </c>
      <c r="G940" s="126">
        <f>SUMIFS('Support - Transition'!F:F,'Support - Transition'!B:B,'Step 2'!A940,'Support - Transition'!C:C,'Step 2'!B940,'Support - Transition'!D:D,'Step 2'!C940,'Support - Transition'!E:E,"CIVIL")</f>
        <v>0</v>
      </c>
      <c r="H940" s="126">
        <f>SUMIFS('Support - Transition'!F:F,'Support - Transition'!B:B,'Step 2'!A940,'Support - Transition'!C:C,'Step 2'!B940,'Support - Transition'!D:D,'Step 2'!C940,'Support - Transition'!E:E,"FIRE")</f>
        <v>0</v>
      </c>
      <c r="I940" s="126">
        <f>IF(B940="0",SUMIFS('Support - Transition'!F:F,'Support - Transition'!J:J,'Step 2'!D940,'Support - Transition'!E:E,"STATE UNIT"),SUMIFS('Support - Transition'!F:F,'Support - Transition'!J:J,'Step 2'!D940))</f>
        <v>0</v>
      </c>
      <c r="J940" s="126">
        <f>SUMIFS('Support - Unit Adjustments'!E:E,'Support - Unit Adjustments'!F:F,'Step 2'!D940)</f>
        <v>0</v>
      </c>
      <c r="K940" s="126">
        <f t="shared" si="270"/>
        <v>0</v>
      </c>
      <c r="L940" s="174">
        <f>VLOOKUP(A940,'Step 1'!$A:$E,4,FALSE)</f>
        <v>1190131</v>
      </c>
      <c r="M940" s="47">
        <f t="shared" si="271"/>
        <v>0</v>
      </c>
      <c r="N940" s="177">
        <f>SUMIFS('Support - Transition'!G:G,'Support - Transition'!J:J,'Step 2'!D940,'Support - Transition'!E:E,"2009 WELFARE ALLOCATION FACTOR")</f>
        <v>0</v>
      </c>
      <c r="O940" s="152">
        <f t="shared" si="276"/>
        <v>0</v>
      </c>
      <c r="P940" s="126">
        <f>IF(E940="Y",0,SUMIFS('Support - Transition'!G:G,'Support - Transition'!J:J,'Step 2'!D940,'Support - Transition'!E:E,"2009 SCHOOL ALLOCATION FACTOR"))</f>
        <v>0</v>
      </c>
      <c r="Q940" s="126">
        <f>IF(E940="Y",VLOOKUP(D940,'Support - Unit Adjustments'!F:G,2,FALSE),0)</f>
        <v>0</v>
      </c>
      <c r="R940" s="155">
        <f t="shared" si="288"/>
        <v>0</v>
      </c>
      <c r="S940" s="47">
        <f t="shared" si="287"/>
        <v>0</v>
      </c>
      <c r="T940" s="151">
        <f t="shared" si="272"/>
        <v>0</v>
      </c>
      <c r="U940" s="151">
        <f t="shared" si="273"/>
        <v>0</v>
      </c>
      <c r="V940" s="139">
        <f t="shared" si="274"/>
        <v>0</v>
      </c>
      <c r="W940" s="152">
        <f t="shared" si="277"/>
        <v>0</v>
      </c>
      <c r="X940" s="127" t="str">
        <f t="shared" si="275"/>
        <v/>
      </c>
      <c r="Y940" s="207">
        <f t="shared" si="278"/>
        <v>0</v>
      </c>
      <c r="Z940" s="139">
        <f t="shared" si="279"/>
        <v>0</v>
      </c>
      <c r="AA940" s="139">
        <f t="shared" si="280"/>
        <v>0</v>
      </c>
      <c r="AC940" s="47">
        <f t="shared" si="281"/>
        <v>0</v>
      </c>
      <c r="AD940" s="47">
        <f t="shared" si="282"/>
        <v>0</v>
      </c>
      <c r="AE940" s="47">
        <f t="shared" si="283"/>
        <v>0</v>
      </c>
      <c r="AG940" s="47">
        <f t="shared" si="284"/>
        <v>0</v>
      </c>
      <c r="AH940" s="47">
        <f t="shared" si="285"/>
        <v>0</v>
      </c>
      <c r="AI940" s="208">
        <f t="shared" si="286"/>
        <v>0</v>
      </c>
    </row>
    <row r="941" spans="1:35">
      <c r="A941" t="s">
        <v>2118</v>
      </c>
      <c r="B941" t="s">
        <v>3286</v>
      </c>
      <c r="C941" t="s">
        <v>4127</v>
      </c>
      <c r="D941" t="s">
        <v>4262</v>
      </c>
      <c r="F941" t="s">
        <v>4263</v>
      </c>
      <c r="G941" s="126">
        <f>SUMIFS('Support - Transition'!F:F,'Support - Transition'!B:B,'Step 2'!A941,'Support - Transition'!C:C,'Step 2'!B941,'Support - Transition'!D:D,'Step 2'!C941,'Support - Transition'!E:E,"CIVIL")</f>
        <v>0</v>
      </c>
      <c r="H941" s="126">
        <f>SUMIFS('Support - Transition'!F:F,'Support - Transition'!B:B,'Step 2'!A941,'Support - Transition'!C:C,'Step 2'!B941,'Support - Transition'!D:D,'Step 2'!C941,'Support - Transition'!E:E,"FIRE")</f>
        <v>0</v>
      </c>
      <c r="I941" s="126">
        <f>IF(B941="0",SUMIFS('Support - Transition'!F:F,'Support - Transition'!J:J,'Step 2'!D941,'Support - Transition'!E:E,"STATE UNIT"),SUMIFS('Support - Transition'!F:F,'Support - Transition'!J:J,'Step 2'!D941))</f>
        <v>0</v>
      </c>
      <c r="J941" s="126">
        <f>SUMIFS('Support - Unit Adjustments'!E:E,'Support - Unit Adjustments'!F:F,'Step 2'!D941)</f>
        <v>0</v>
      </c>
      <c r="K941" s="126">
        <f t="shared" si="270"/>
        <v>0</v>
      </c>
      <c r="L941" s="174">
        <f>VLOOKUP(A941,'Step 1'!$A:$E,4,FALSE)</f>
        <v>1190131</v>
      </c>
      <c r="M941" s="47">
        <f t="shared" si="271"/>
        <v>0</v>
      </c>
      <c r="N941" s="177">
        <f>SUMIFS('Support - Transition'!G:G,'Support - Transition'!J:J,'Step 2'!D941,'Support - Transition'!E:E,"2009 WELFARE ALLOCATION FACTOR")</f>
        <v>0</v>
      </c>
      <c r="O941" s="152">
        <f t="shared" si="276"/>
        <v>0</v>
      </c>
      <c r="P941" s="126">
        <f>IF(E941="Y",0,SUMIFS('Support - Transition'!G:G,'Support - Transition'!J:J,'Step 2'!D941,'Support - Transition'!E:E,"2009 SCHOOL ALLOCATION FACTOR"))</f>
        <v>0</v>
      </c>
      <c r="Q941" s="126">
        <f>IF(E941="Y",VLOOKUP(D941,'Support - Unit Adjustments'!F:G,2,FALSE),0)</f>
        <v>0</v>
      </c>
      <c r="R941" s="155">
        <f t="shared" si="288"/>
        <v>0</v>
      </c>
      <c r="S941" s="47">
        <f t="shared" si="287"/>
        <v>0</v>
      </c>
      <c r="T941" s="151">
        <f t="shared" si="272"/>
        <v>0</v>
      </c>
      <c r="U941" s="151">
        <f t="shared" si="273"/>
        <v>0</v>
      </c>
      <c r="V941" s="139">
        <f t="shared" si="274"/>
        <v>0</v>
      </c>
      <c r="W941" s="152">
        <f t="shared" si="277"/>
        <v>0</v>
      </c>
      <c r="X941" s="127" t="str">
        <f t="shared" si="275"/>
        <v/>
      </c>
      <c r="Y941" s="207">
        <f t="shared" si="278"/>
        <v>0</v>
      </c>
      <c r="Z941" s="139">
        <f t="shared" si="279"/>
        <v>0</v>
      </c>
      <c r="AA941" s="139">
        <f t="shared" si="280"/>
        <v>0</v>
      </c>
      <c r="AC941" s="47">
        <f t="shared" si="281"/>
        <v>0</v>
      </c>
      <c r="AD941" s="47">
        <f t="shared" si="282"/>
        <v>0</v>
      </c>
      <c r="AE941" s="47">
        <f t="shared" si="283"/>
        <v>0</v>
      </c>
      <c r="AG941" s="47">
        <f t="shared" si="284"/>
        <v>0</v>
      </c>
      <c r="AH941" s="47">
        <f t="shared" si="285"/>
        <v>0</v>
      </c>
      <c r="AI941" s="208">
        <f t="shared" si="286"/>
        <v>0</v>
      </c>
    </row>
    <row r="942" spans="1:35">
      <c r="A942" t="s">
        <v>2118</v>
      </c>
      <c r="B942" t="s">
        <v>3286</v>
      </c>
      <c r="C942" t="s">
        <v>4264</v>
      </c>
      <c r="D942" t="s">
        <v>4265</v>
      </c>
      <c r="F942" t="s">
        <v>4266</v>
      </c>
      <c r="G942" s="126">
        <f>SUMIFS('Support - Transition'!F:F,'Support - Transition'!B:B,'Step 2'!A942,'Support - Transition'!C:C,'Step 2'!B942,'Support - Transition'!D:D,'Step 2'!C942,'Support - Transition'!E:E,"CIVIL")</f>
        <v>0</v>
      </c>
      <c r="H942" s="126">
        <f>SUMIFS('Support - Transition'!F:F,'Support - Transition'!B:B,'Step 2'!A942,'Support - Transition'!C:C,'Step 2'!B942,'Support - Transition'!D:D,'Step 2'!C942,'Support - Transition'!E:E,"FIRE")</f>
        <v>0</v>
      </c>
      <c r="I942" s="126">
        <f>IF(B942="0",SUMIFS('Support - Transition'!F:F,'Support - Transition'!J:J,'Step 2'!D942,'Support - Transition'!E:E,"STATE UNIT"),SUMIFS('Support - Transition'!F:F,'Support - Transition'!J:J,'Step 2'!D942))</f>
        <v>0</v>
      </c>
      <c r="J942" s="126">
        <f>SUMIFS('Support - Unit Adjustments'!E:E,'Support - Unit Adjustments'!F:F,'Step 2'!D942)</f>
        <v>0</v>
      </c>
      <c r="K942" s="126">
        <f t="shared" si="270"/>
        <v>0</v>
      </c>
      <c r="L942" s="174">
        <f>VLOOKUP(A942,'Step 1'!$A:$E,4,FALSE)</f>
        <v>1190131</v>
      </c>
      <c r="M942" s="47">
        <f t="shared" si="271"/>
        <v>0</v>
      </c>
      <c r="N942" s="177">
        <f>SUMIFS('Support - Transition'!G:G,'Support - Transition'!J:J,'Step 2'!D942,'Support - Transition'!E:E,"2009 WELFARE ALLOCATION FACTOR")</f>
        <v>0</v>
      </c>
      <c r="O942" s="152">
        <f t="shared" si="276"/>
        <v>0</v>
      </c>
      <c r="P942" s="126">
        <f>IF(E942="Y",0,SUMIFS('Support - Transition'!G:G,'Support - Transition'!J:J,'Step 2'!D942,'Support - Transition'!E:E,"2009 SCHOOL ALLOCATION FACTOR"))</f>
        <v>0</v>
      </c>
      <c r="Q942" s="126">
        <f>IF(E942="Y",VLOOKUP(D942,'Support - Unit Adjustments'!F:G,2,FALSE),0)</f>
        <v>0</v>
      </c>
      <c r="R942" s="155">
        <f t="shared" si="288"/>
        <v>0</v>
      </c>
      <c r="S942" s="47">
        <f t="shared" si="287"/>
        <v>0</v>
      </c>
      <c r="T942" s="151">
        <f t="shared" si="272"/>
        <v>0</v>
      </c>
      <c r="U942" s="151">
        <f t="shared" si="273"/>
        <v>0</v>
      </c>
      <c r="V942" s="139">
        <f t="shared" si="274"/>
        <v>0</v>
      </c>
      <c r="W942" s="152">
        <f t="shared" si="277"/>
        <v>0</v>
      </c>
      <c r="X942" s="127" t="str">
        <f t="shared" si="275"/>
        <v/>
      </c>
      <c r="Y942" s="207">
        <f t="shared" si="278"/>
        <v>0</v>
      </c>
      <c r="Z942" s="139">
        <f t="shared" si="279"/>
        <v>0</v>
      </c>
      <c r="AA942" s="139">
        <f t="shared" si="280"/>
        <v>0</v>
      </c>
      <c r="AC942" s="47">
        <f t="shared" si="281"/>
        <v>0</v>
      </c>
      <c r="AD942" s="47">
        <f t="shared" si="282"/>
        <v>0</v>
      </c>
      <c r="AE942" s="47">
        <f t="shared" si="283"/>
        <v>0</v>
      </c>
      <c r="AG942" s="47">
        <f t="shared" si="284"/>
        <v>0</v>
      </c>
      <c r="AH942" s="47">
        <f t="shared" si="285"/>
        <v>0</v>
      </c>
      <c r="AI942" s="208">
        <f t="shared" si="286"/>
        <v>0</v>
      </c>
    </row>
    <row r="943" spans="1:35">
      <c r="A943" t="s">
        <v>2118</v>
      </c>
      <c r="B943" t="s">
        <v>3286</v>
      </c>
      <c r="C943" t="s">
        <v>4267</v>
      </c>
      <c r="D943" t="s">
        <v>4268</v>
      </c>
      <c r="F943" t="s">
        <v>4269</v>
      </c>
      <c r="G943" s="126">
        <f>SUMIFS('Support - Transition'!F:F,'Support - Transition'!B:B,'Step 2'!A943,'Support - Transition'!C:C,'Step 2'!B943,'Support - Transition'!D:D,'Step 2'!C943,'Support - Transition'!E:E,"CIVIL")</f>
        <v>0</v>
      </c>
      <c r="H943" s="126">
        <f>SUMIFS('Support - Transition'!F:F,'Support - Transition'!B:B,'Step 2'!A943,'Support - Transition'!C:C,'Step 2'!B943,'Support - Transition'!D:D,'Step 2'!C943,'Support - Transition'!E:E,"FIRE")</f>
        <v>0</v>
      </c>
      <c r="I943" s="126">
        <f>IF(B943="0",SUMIFS('Support - Transition'!F:F,'Support - Transition'!J:J,'Step 2'!D943,'Support - Transition'!E:E,"STATE UNIT"),SUMIFS('Support - Transition'!F:F,'Support - Transition'!J:J,'Step 2'!D943))</f>
        <v>0</v>
      </c>
      <c r="J943" s="126">
        <f>SUMIFS('Support - Unit Adjustments'!E:E,'Support - Unit Adjustments'!F:F,'Step 2'!D943)</f>
        <v>0</v>
      </c>
      <c r="K943" s="126">
        <f t="shared" si="270"/>
        <v>0</v>
      </c>
      <c r="L943" s="174">
        <f>VLOOKUP(A943,'Step 1'!$A:$E,4,FALSE)</f>
        <v>1190131</v>
      </c>
      <c r="M943" s="47">
        <f t="shared" si="271"/>
        <v>0</v>
      </c>
      <c r="N943" s="177">
        <f>SUMIFS('Support - Transition'!G:G,'Support - Transition'!J:J,'Step 2'!D943,'Support - Transition'!E:E,"2009 WELFARE ALLOCATION FACTOR")</f>
        <v>0</v>
      </c>
      <c r="O943" s="152">
        <f t="shared" si="276"/>
        <v>0</v>
      </c>
      <c r="P943" s="126">
        <f>IF(E943="Y",0,SUMIFS('Support - Transition'!G:G,'Support - Transition'!J:J,'Step 2'!D943,'Support - Transition'!E:E,"2009 SCHOOL ALLOCATION FACTOR"))</f>
        <v>0</v>
      </c>
      <c r="Q943" s="126">
        <f>IF(E943="Y",VLOOKUP(D943,'Support - Unit Adjustments'!F:G,2,FALSE),0)</f>
        <v>0</v>
      </c>
      <c r="R943" s="155">
        <f t="shared" si="288"/>
        <v>0</v>
      </c>
      <c r="S943" s="47">
        <f t="shared" si="287"/>
        <v>0</v>
      </c>
      <c r="T943" s="151">
        <f t="shared" si="272"/>
        <v>0</v>
      </c>
      <c r="U943" s="151">
        <f t="shared" si="273"/>
        <v>0</v>
      </c>
      <c r="V943" s="139">
        <f t="shared" si="274"/>
        <v>0</v>
      </c>
      <c r="W943" s="152">
        <f t="shared" si="277"/>
        <v>0</v>
      </c>
      <c r="X943" s="127" t="str">
        <f t="shared" si="275"/>
        <v/>
      </c>
      <c r="Y943" s="207">
        <f t="shared" si="278"/>
        <v>0</v>
      </c>
      <c r="Z943" s="139">
        <f t="shared" si="279"/>
        <v>0</v>
      </c>
      <c r="AA943" s="139">
        <f t="shared" si="280"/>
        <v>0</v>
      </c>
      <c r="AC943" s="47">
        <f t="shared" si="281"/>
        <v>0</v>
      </c>
      <c r="AD943" s="47">
        <f t="shared" si="282"/>
        <v>0</v>
      </c>
      <c r="AE943" s="47">
        <f t="shared" si="283"/>
        <v>0</v>
      </c>
      <c r="AG943" s="47">
        <f t="shared" si="284"/>
        <v>0</v>
      </c>
      <c r="AH943" s="47">
        <f t="shared" si="285"/>
        <v>0</v>
      </c>
      <c r="AI943" s="208">
        <f t="shared" si="286"/>
        <v>0</v>
      </c>
    </row>
    <row r="944" spans="1:35">
      <c r="A944" t="s">
        <v>2119</v>
      </c>
      <c r="B944" s="48" t="s">
        <v>6274</v>
      </c>
      <c r="C944" t="s">
        <v>2187</v>
      </c>
      <c r="D944" t="str">
        <f>A944&amp;B944&amp;C944</f>
        <v>3300000</v>
      </c>
      <c r="F944" t="s">
        <v>6307</v>
      </c>
      <c r="G944" s="126">
        <f>SUMIFS('Support - Transition'!F:F,'Support - Transition'!B:B,'Step 2'!A944,'Support - Transition'!C:C,'Step 2'!B944,'Support - Transition'!D:D,'Step 2'!C944,'Support - Transition'!E:E,"CIVIL")</f>
        <v>0</v>
      </c>
      <c r="H944" s="126">
        <f>SUMIFS('Support - Transition'!F:F,'Support - Transition'!B:B,'Step 2'!A944,'Support - Transition'!C:C,'Step 2'!B944,'Support - Transition'!D:D,'Step 2'!C944,'Support - Transition'!E:E,"FIRE")</f>
        <v>0</v>
      </c>
      <c r="I944" s="126">
        <f>IF(B944="0",SUMIFS('Support - Transition'!F:F,'Support - Transition'!J:J,'Step 2'!D944,'Support - Transition'!E:E,"STATE UNIT"),SUMIFS('Support - Transition'!F:F,'Support - Transition'!J:J,'Step 2'!D944))</f>
        <v>1.0660000000000001E-3</v>
      </c>
      <c r="J944" s="126">
        <f>SUMIFS('Support - Unit Adjustments'!E:E,'Support - Unit Adjustments'!F:F,'Step 2'!D944)</f>
        <v>0</v>
      </c>
      <c r="K944" s="126">
        <f t="shared" si="270"/>
        <v>1.0660000000000001E-3</v>
      </c>
      <c r="L944" s="174">
        <f>VLOOKUP(A944,'Step 1'!$A:$E,4,FALSE)</f>
        <v>301751</v>
      </c>
      <c r="M944" s="47">
        <f t="shared" si="271"/>
        <v>322</v>
      </c>
      <c r="N944" s="177">
        <f>SUMIFS('Support - Transition'!G:G,'Support - Transition'!J:J,'Step 2'!D944,'Support - Transition'!E:E,"2009 WELFARE ALLOCATION FACTOR")</f>
        <v>0</v>
      </c>
      <c r="O944" s="152">
        <f t="shared" si="276"/>
        <v>0</v>
      </c>
      <c r="P944" s="126">
        <f>IF(E944="Y",0,SUMIFS('Support - Transition'!G:G,'Support - Transition'!J:J,'Step 2'!D944,'Support - Transition'!E:E,"2009 SCHOOL ALLOCATION FACTOR"))</f>
        <v>0</v>
      </c>
      <c r="Q944" s="126">
        <f>IF(E944="Y",VLOOKUP(D944,'Support - Unit Adjustments'!F:G,2,FALSE),0)</f>
        <v>0</v>
      </c>
      <c r="R944" s="155">
        <f t="shared" si="288"/>
        <v>0</v>
      </c>
      <c r="S944" s="47">
        <f t="shared" si="287"/>
        <v>0</v>
      </c>
      <c r="T944" s="151">
        <f t="shared" si="272"/>
        <v>322</v>
      </c>
      <c r="U944" s="151">
        <f t="shared" si="273"/>
        <v>301752</v>
      </c>
      <c r="V944" s="139">
        <f t="shared" si="274"/>
        <v>1</v>
      </c>
      <c r="W944" s="152">
        <f t="shared" si="277"/>
        <v>321</v>
      </c>
      <c r="X944" s="127">
        <f t="shared" si="275"/>
        <v>0</v>
      </c>
      <c r="Y944" s="207">
        <f t="shared" si="278"/>
        <v>321</v>
      </c>
      <c r="Z944" s="139">
        <f t="shared" si="279"/>
        <v>321</v>
      </c>
      <c r="AA944" s="139">
        <f t="shared" si="280"/>
        <v>0</v>
      </c>
      <c r="AC944" s="47">
        <f t="shared" si="281"/>
        <v>161</v>
      </c>
      <c r="AD944" s="47">
        <f t="shared" si="282"/>
        <v>161</v>
      </c>
      <c r="AE944" s="47">
        <f t="shared" si="283"/>
        <v>0</v>
      </c>
      <c r="AG944" s="47">
        <f t="shared" si="284"/>
        <v>160</v>
      </c>
      <c r="AH944" s="47">
        <f t="shared" si="285"/>
        <v>160</v>
      </c>
      <c r="AI944" s="208">
        <f t="shared" si="286"/>
        <v>0</v>
      </c>
    </row>
    <row r="945" spans="1:35">
      <c r="A945" t="s">
        <v>2119</v>
      </c>
      <c r="B945" t="s">
        <v>3140</v>
      </c>
      <c r="C945" t="s">
        <v>2187</v>
      </c>
      <c r="D945" t="s">
        <v>4270</v>
      </c>
      <c r="F945" t="s">
        <v>741</v>
      </c>
      <c r="G945" s="126">
        <f>SUMIFS('Support - Transition'!F:F,'Support - Transition'!B:B,'Step 2'!A945,'Support - Transition'!C:C,'Step 2'!B945,'Support - Transition'!D:D,'Step 2'!C945,'Support - Transition'!E:E,"CIVIL")</f>
        <v>0</v>
      </c>
      <c r="H945" s="126">
        <f>SUMIFS('Support - Transition'!F:F,'Support - Transition'!B:B,'Step 2'!A945,'Support - Transition'!C:C,'Step 2'!B945,'Support - Transition'!D:D,'Step 2'!C945,'Support - Transition'!E:E,"FIRE")</f>
        <v>0</v>
      </c>
      <c r="I945" s="126">
        <f>IF(B945="0",SUMIFS('Support - Transition'!F:F,'Support - Transition'!J:J,'Step 2'!D945,'Support - Transition'!E:E,"STATE UNIT"),SUMIFS('Support - Transition'!F:F,'Support - Transition'!J:J,'Step 2'!D945))</f>
        <v>0.205958</v>
      </c>
      <c r="J945" s="126">
        <f>SUMIFS('Support - Unit Adjustments'!E:E,'Support - Unit Adjustments'!F:F,'Step 2'!D945)</f>
        <v>0</v>
      </c>
      <c r="K945" s="126">
        <f t="shared" si="270"/>
        <v>0.205958</v>
      </c>
      <c r="L945" s="174">
        <f>VLOOKUP(A945,'Step 1'!$A:$E,4,FALSE)</f>
        <v>301751</v>
      </c>
      <c r="M945" s="47">
        <f t="shared" si="271"/>
        <v>62148</v>
      </c>
      <c r="N945" s="177">
        <f>SUMIFS('Support - Transition'!G:G,'Support - Transition'!J:J,'Step 2'!D945,'Support - Transition'!E:E,"2009 WELFARE ALLOCATION FACTOR")</f>
        <v>0.23879700000000001</v>
      </c>
      <c r="O945" s="152">
        <f t="shared" si="276"/>
        <v>14841</v>
      </c>
      <c r="P945" s="126">
        <f>IF(E945="Y",0,SUMIFS('Support - Transition'!G:G,'Support - Transition'!J:J,'Step 2'!D945,'Support - Transition'!E:E,"2009 SCHOOL ALLOCATION FACTOR"))</f>
        <v>0</v>
      </c>
      <c r="Q945" s="126">
        <f>IF(E945="Y",VLOOKUP(D945,'Support - Unit Adjustments'!F:G,2,FALSE),0)</f>
        <v>0</v>
      </c>
      <c r="R945" s="155">
        <f t="shared" si="288"/>
        <v>0</v>
      </c>
      <c r="S945" s="47">
        <f t="shared" si="287"/>
        <v>0</v>
      </c>
      <c r="T945" s="151">
        <f t="shared" si="272"/>
        <v>47307</v>
      </c>
      <c r="U945" s="151">
        <f t="shared" si="273"/>
        <v>0</v>
      </c>
      <c r="V945" s="139">
        <f t="shared" si="274"/>
        <v>0</v>
      </c>
      <c r="W945" s="152">
        <f t="shared" si="277"/>
        <v>47307</v>
      </c>
      <c r="X945" s="127" t="str">
        <f t="shared" si="275"/>
        <v/>
      </c>
      <c r="Y945" s="207">
        <f t="shared" si="278"/>
        <v>47307</v>
      </c>
      <c r="Z945" s="139">
        <f t="shared" si="279"/>
        <v>47307</v>
      </c>
      <c r="AA945" s="139">
        <f t="shared" si="280"/>
        <v>0</v>
      </c>
      <c r="AC945" s="47">
        <f t="shared" si="281"/>
        <v>23654</v>
      </c>
      <c r="AD945" s="47">
        <f t="shared" si="282"/>
        <v>23654</v>
      </c>
      <c r="AE945" s="47">
        <f t="shared" si="283"/>
        <v>0</v>
      </c>
      <c r="AG945" s="47">
        <f t="shared" si="284"/>
        <v>23653</v>
      </c>
      <c r="AH945" s="47">
        <f t="shared" si="285"/>
        <v>23653</v>
      </c>
      <c r="AI945" s="208">
        <f t="shared" si="286"/>
        <v>0</v>
      </c>
    </row>
    <row r="946" spans="1:35">
      <c r="A946" t="s">
        <v>2119</v>
      </c>
      <c r="B946" t="s">
        <v>3142</v>
      </c>
      <c r="C946" t="s">
        <v>2188</v>
      </c>
      <c r="D946" t="s">
        <v>4271</v>
      </c>
      <c r="F946" t="s">
        <v>669</v>
      </c>
      <c r="G946" s="126">
        <f>SUMIFS('Support - Transition'!F:F,'Support - Transition'!B:B,'Step 2'!A946,'Support - Transition'!C:C,'Step 2'!B946,'Support - Transition'!D:D,'Step 2'!C946,'Support - Transition'!E:E,"CIVIL")</f>
        <v>5.6800000000000004E-4</v>
      </c>
      <c r="H946" s="126">
        <f>SUMIFS('Support - Transition'!F:F,'Support - Transition'!B:B,'Step 2'!A946,'Support - Transition'!C:C,'Step 2'!B946,'Support - Transition'!D:D,'Step 2'!C946,'Support - Transition'!E:E,"FIRE")</f>
        <v>3.3799999999999998E-4</v>
      </c>
      <c r="I946" s="126">
        <f>IF(B946="0",SUMIFS('Support - Transition'!F:F,'Support - Transition'!J:J,'Step 2'!D946,'Support - Transition'!E:E,"STATE UNIT"),SUMIFS('Support - Transition'!F:F,'Support - Transition'!J:J,'Step 2'!D946))</f>
        <v>9.0600000000000001E-4</v>
      </c>
      <c r="J946" s="126">
        <f>SUMIFS('Support - Unit Adjustments'!E:E,'Support - Unit Adjustments'!F:F,'Step 2'!D946)</f>
        <v>0</v>
      </c>
      <c r="K946" s="126">
        <f t="shared" si="270"/>
        <v>9.0600000000000001E-4</v>
      </c>
      <c r="L946" s="174">
        <f>VLOOKUP(A946,'Step 1'!$A:$E,4,FALSE)</f>
        <v>301751</v>
      </c>
      <c r="M946" s="47">
        <f t="shared" si="271"/>
        <v>273</v>
      </c>
      <c r="N946" s="177">
        <f>SUMIFS('Support - Transition'!G:G,'Support - Transition'!J:J,'Step 2'!D946,'Support - Transition'!E:E,"2009 WELFARE ALLOCATION FACTOR")</f>
        <v>0</v>
      </c>
      <c r="O946" s="152">
        <f t="shared" si="276"/>
        <v>0</v>
      </c>
      <c r="P946" s="126">
        <f>IF(E946="Y",0,SUMIFS('Support - Transition'!G:G,'Support - Transition'!J:J,'Step 2'!D946,'Support - Transition'!E:E,"2009 SCHOOL ALLOCATION FACTOR"))</f>
        <v>0</v>
      </c>
      <c r="Q946" s="126">
        <f>IF(E946="Y",VLOOKUP(D946,'Support - Unit Adjustments'!F:G,2,FALSE),0)</f>
        <v>0</v>
      </c>
      <c r="R946" s="155">
        <f t="shared" si="288"/>
        <v>0</v>
      </c>
      <c r="S946" s="47">
        <f t="shared" si="287"/>
        <v>0</v>
      </c>
      <c r="T946" s="151">
        <f t="shared" si="272"/>
        <v>273</v>
      </c>
      <c r="U946" s="151">
        <f t="shared" si="273"/>
        <v>0</v>
      </c>
      <c r="V946" s="139">
        <f t="shared" si="274"/>
        <v>0</v>
      </c>
      <c r="W946" s="152">
        <f t="shared" si="277"/>
        <v>273</v>
      </c>
      <c r="X946" s="127" t="str">
        <f t="shared" si="275"/>
        <v/>
      </c>
      <c r="Y946" s="207">
        <f t="shared" si="278"/>
        <v>273</v>
      </c>
      <c r="Z946" s="139">
        <f t="shared" si="279"/>
        <v>171</v>
      </c>
      <c r="AA946" s="139">
        <f t="shared" si="280"/>
        <v>102</v>
      </c>
      <c r="AC946" s="47">
        <f t="shared" si="281"/>
        <v>137</v>
      </c>
      <c r="AD946" s="47">
        <f t="shared" si="282"/>
        <v>86</v>
      </c>
      <c r="AE946" s="47">
        <f t="shared" si="283"/>
        <v>51</v>
      </c>
      <c r="AG946" s="47">
        <f t="shared" si="284"/>
        <v>136</v>
      </c>
      <c r="AH946" s="47">
        <f t="shared" si="285"/>
        <v>85</v>
      </c>
      <c r="AI946" s="208">
        <f t="shared" si="286"/>
        <v>51</v>
      </c>
    </row>
    <row r="947" spans="1:35">
      <c r="A947" t="s">
        <v>2119</v>
      </c>
      <c r="B947" t="s">
        <v>3142</v>
      </c>
      <c r="C947" t="s">
        <v>2189</v>
      </c>
      <c r="D947" t="s">
        <v>4272</v>
      </c>
      <c r="F947" t="s">
        <v>742</v>
      </c>
      <c r="G947" s="126">
        <f>SUMIFS('Support - Transition'!F:F,'Support - Transition'!B:B,'Step 2'!A947,'Support - Transition'!C:C,'Step 2'!B947,'Support - Transition'!D:D,'Step 2'!C947,'Support - Transition'!E:E,"CIVIL")</f>
        <v>1.021E-3</v>
      </c>
      <c r="H947" s="126">
        <f>SUMIFS('Support - Transition'!F:F,'Support - Transition'!B:B,'Step 2'!A947,'Support - Transition'!C:C,'Step 2'!B947,'Support - Transition'!D:D,'Step 2'!C947,'Support - Transition'!E:E,"FIRE")</f>
        <v>4.5899999999999999E-4</v>
      </c>
      <c r="I947" s="126">
        <f>IF(B947="0",SUMIFS('Support - Transition'!F:F,'Support - Transition'!J:J,'Step 2'!D947,'Support - Transition'!E:E,"STATE UNIT"),SUMIFS('Support - Transition'!F:F,'Support - Transition'!J:J,'Step 2'!D947))</f>
        <v>1.48E-3</v>
      </c>
      <c r="J947" s="126">
        <f>SUMIFS('Support - Unit Adjustments'!E:E,'Support - Unit Adjustments'!F:F,'Step 2'!D947)</f>
        <v>0</v>
      </c>
      <c r="K947" s="126">
        <f t="shared" si="270"/>
        <v>1.48E-3</v>
      </c>
      <c r="L947" s="174">
        <f>VLOOKUP(A947,'Step 1'!$A:$E,4,FALSE)</f>
        <v>301751</v>
      </c>
      <c r="M947" s="47">
        <f t="shared" si="271"/>
        <v>447</v>
      </c>
      <c r="N947" s="177">
        <f>SUMIFS('Support - Transition'!G:G,'Support - Transition'!J:J,'Step 2'!D947,'Support - Transition'!E:E,"2009 WELFARE ALLOCATION FACTOR")</f>
        <v>0</v>
      </c>
      <c r="O947" s="152">
        <f t="shared" si="276"/>
        <v>0</v>
      </c>
      <c r="P947" s="126">
        <f>IF(E947="Y",0,SUMIFS('Support - Transition'!G:G,'Support - Transition'!J:J,'Step 2'!D947,'Support - Transition'!E:E,"2009 SCHOOL ALLOCATION FACTOR"))</f>
        <v>0</v>
      </c>
      <c r="Q947" s="126">
        <f>IF(E947="Y",VLOOKUP(D947,'Support - Unit Adjustments'!F:G,2,FALSE),0)</f>
        <v>0</v>
      </c>
      <c r="R947" s="155">
        <f t="shared" si="288"/>
        <v>0</v>
      </c>
      <c r="S947" s="47">
        <f t="shared" si="287"/>
        <v>0</v>
      </c>
      <c r="T947" s="151">
        <f t="shared" si="272"/>
        <v>447</v>
      </c>
      <c r="U947" s="151">
        <f t="shared" si="273"/>
        <v>0</v>
      </c>
      <c r="V947" s="139">
        <f t="shared" si="274"/>
        <v>0</v>
      </c>
      <c r="W947" s="152">
        <f t="shared" si="277"/>
        <v>447</v>
      </c>
      <c r="X947" s="127" t="str">
        <f t="shared" si="275"/>
        <v/>
      </c>
      <c r="Y947" s="207">
        <f t="shared" si="278"/>
        <v>447</v>
      </c>
      <c r="Z947" s="139">
        <f t="shared" si="279"/>
        <v>308</v>
      </c>
      <c r="AA947" s="139">
        <f t="shared" si="280"/>
        <v>139</v>
      </c>
      <c r="AC947" s="47">
        <f t="shared" si="281"/>
        <v>224</v>
      </c>
      <c r="AD947" s="47">
        <f t="shared" si="282"/>
        <v>154</v>
      </c>
      <c r="AE947" s="47">
        <f t="shared" si="283"/>
        <v>70</v>
      </c>
      <c r="AG947" s="47">
        <f t="shared" si="284"/>
        <v>223</v>
      </c>
      <c r="AH947" s="47">
        <f t="shared" si="285"/>
        <v>154</v>
      </c>
      <c r="AI947" s="208">
        <f t="shared" si="286"/>
        <v>69</v>
      </c>
    </row>
    <row r="948" spans="1:35">
      <c r="A948" t="s">
        <v>2119</v>
      </c>
      <c r="B948" t="s">
        <v>3142</v>
      </c>
      <c r="C948" t="s">
        <v>2190</v>
      </c>
      <c r="D948" t="s">
        <v>4273</v>
      </c>
      <c r="F948" t="s">
        <v>647</v>
      </c>
      <c r="G948" s="126">
        <f>SUMIFS('Support - Transition'!F:F,'Support - Transition'!B:B,'Step 2'!A948,'Support - Transition'!C:C,'Step 2'!B948,'Support - Transition'!D:D,'Step 2'!C948,'Support - Transition'!E:E,"CIVIL")</f>
        <v>1.1839999999999999E-3</v>
      </c>
      <c r="H948" s="126">
        <f>SUMIFS('Support - Transition'!F:F,'Support - Transition'!B:B,'Step 2'!A948,'Support - Transition'!C:C,'Step 2'!B948,'Support - Transition'!D:D,'Step 2'!C948,'Support - Transition'!E:E,"FIRE")</f>
        <v>5.1599999999999997E-4</v>
      </c>
      <c r="I948" s="126">
        <f>IF(B948="0",SUMIFS('Support - Transition'!F:F,'Support - Transition'!J:J,'Step 2'!D948,'Support - Transition'!E:E,"STATE UNIT"),SUMIFS('Support - Transition'!F:F,'Support - Transition'!J:J,'Step 2'!D948))</f>
        <v>1.6999999999999999E-3</v>
      </c>
      <c r="J948" s="126">
        <f>SUMIFS('Support - Unit Adjustments'!E:E,'Support - Unit Adjustments'!F:F,'Step 2'!D948)</f>
        <v>0</v>
      </c>
      <c r="K948" s="126">
        <f t="shared" si="270"/>
        <v>1.6999999999999999E-3</v>
      </c>
      <c r="L948" s="174">
        <f>VLOOKUP(A948,'Step 1'!$A:$E,4,FALSE)</f>
        <v>301751</v>
      </c>
      <c r="M948" s="47">
        <f t="shared" si="271"/>
        <v>513</v>
      </c>
      <c r="N948" s="177">
        <f>SUMIFS('Support - Transition'!G:G,'Support - Transition'!J:J,'Step 2'!D948,'Support - Transition'!E:E,"2009 WELFARE ALLOCATION FACTOR")</f>
        <v>0</v>
      </c>
      <c r="O948" s="152">
        <f t="shared" si="276"/>
        <v>0</v>
      </c>
      <c r="P948" s="126">
        <f>IF(E948="Y",0,SUMIFS('Support - Transition'!G:G,'Support - Transition'!J:J,'Step 2'!D948,'Support - Transition'!E:E,"2009 SCHOOL ALLOCATION FACTOR"))</f>
        <v>0</v>
      </c>
      <c r="Q948" s="126">
        <f>IF(E948="Y",VLOOKUP(D948,'Support - Unit Adjustments'!F:G,2,FALSE),0)</f>
        <v>0</v>
      </c>
      <c r="R948" s="155">
        <f t="shared" si="288"/>
        <v>0</v>
      </c>
      <c r="S948" s="47">
        <f t="shared" si="287"/>
        <v>0</v>
      </c>
      <c r="T948" s="151">
        <f t="shared" si="272"/>
        <v>513</v>
      </c>
      <c r="U948" s="151">
        <f t="shared" si="273"/>
        <v>0</v>
      </c>
      <c r="V948" s="139">
        <f t="shared" si="274"/>
        <v>0</v>
      </c>
      <c r="W948" s="152">
        <f t="shared" si="277"/>
        <v>513</v>
      </c>
      <c r="X948" s="127" t="str">
        <f t="shared" si="275"/>
        <v/>
      </c>
      <c r="Y948" s="207">
        <f t="shared" si="278"/>
        <v>513</v>
      </c>
      <c r="Z948" s="139">
        <f t="shared" si="279"/>
        <v>357</v>
      </c>
      <c r="AA948" s="139">
        <f t="shared" si="280"/>
        <v>156</v>
      </c>
      <c r="AC948" s="47">
        <f t="shared" si="281"/>
        <v>257</v>
      </c>
      <c r="AD948" s="47">
        <f t="shared" si="282"/>
        <v>179</v>
      </c>
      <c r="AE948" s="47">
        <f t="shared" si="283"/>
        <v>78</v>
      </c>
      <c r="AG948" s="47">
        <f t="shared" si="284"/>
        <v>256</v>
      </c>
      <c r="AH948" s="47">
        <f t="shared" si="285"/>
        <v>178</v>
      </c>
      <c r="AI948" s="208">
        <f t="shared" si="286"/>
        <v>78</v>
      </c>
    </row>
    <row r="949" spans="1:35">
      <c r="A949" t="s">
        <v>2119</v>
      </c>
      <c r="B949" t="s">
        <v>3142</v>
      </c>
      <c r="C949" t="s">
        <v>2191</v>
      </c>
      <c r="D949" t="s">
        <v>4274</v>
      </c>
      <c r="F949" t="s">
        <v>372</v>
      </c>
      <c r="G949" s="126">
        <f>SUMIFS('Support - Transition'!F:F,'Support - Transition'!B:B,'Step 2'!A949,'Support - Transition'!C:C,'Step 2'!B949,'Support - Transition'!D:D,'Step 2'!C949,'Support - Transition'!E:E,"CIVIL")</f>
        <v>3.3500000000000001E-4</v>
      </c>
      <c r="H949" s="126">
        <f>SUMIFS('Support - Transition'!F:F,'Support - Transition'!B:B,'Step 2'!A949,'Support - Transition'!C:C,'Step 2'!B949,'Support - Transition'!D:D,'Step 2'!C949,'Support - Transition'!E:E,"FIRE")</f>
        <v>3.2600000000000001E-4</v>
      </c>
      <c r="I949" s="126">
        <f>IF(B949="0",SUMIFS('Support - Transition'!F:F,'Support - Transition'!J:J,'Step 2'!D949,'Support - Transition'!E:E,"STATE UNIT"),SUMIFS('Support - Transition'!F:F,'Support - Transition'!J:J,'Step 2'!D949))</f>
        <v>6.6100000000000002E-4</v>
      </c>
      <c r="J949" s="126">
        <f>SUMIFS('Support - Unit Adjustments'!E:E,'Support - Unit Adjustments'!F:F,'Step 2'!D949)</f>
        <v>0</v>
      </c>
      <c r="K949" s="126">
        <f t="shared" si="270"/>
        <v>6.6100000000000002E-4</v>
      </c>
      <c r="L949" s="174">
        <f>VLOOKUP(A949,'Step 1'!$A:$E,4,FALSE)</f>
        <v>301751</v>
      </c>
      <c r="M949" s="47">
        <f t="shared" si="271"/>
        <v>199</v>
      </c>
      <c r="N949" s="177">
        <f>SUMIFS('Support - Transition'!G:G,'Support - Transition'!J:J,'Step 2'!D949,'Support - Transition'!E:E,"2009 WELFARE ALLOCATION FACTOR")</f>
        <v>0</v>
      </c>
      <c r="O949" s="152">
        <f t="shared" si="276"/>
        <v>0</v>
      </c>
      <c r="P949" s="126">
        <f>IF(E949="Y",0,SUMIFS('Support - Transition'!G:G,'Support - Transition'!J:J,'Step 2'!D949,'Support - Transition'!E:E,"2009 SCHOOL ALLOCATION FACTOR"))</f>
        <v>0</v>
      </c>
      <c r="Q949" s="126">
        <f>IF(E949="Y",VLOOKUP(D949,'Support - Unit Adjustments'!F:G,2,FALSE),0)</f>
        <v>0</v>
      </c>
      <c r="R949" s="155">
        <f t="shared" si="288"/>
        <v>0</v>
      </c>
      <c r="S949" s="47">
        <f t="shared" si="287"/>
        <v>0</v>
      </c>
      <c r="T949" s="151">
        <f t="shared" si="272"/>
        <v>199</v>
      </c>
      <c r="U949" s="151">
        <f t="shared" si="273"/>
        <v>0</v>
      </c>
      <c r="V949" s="139">
        <f t="shared" si="274"/>
        <v>0</v>
      </c>
      <c r="W949" s="152">
        <f t="shared" si="277"/>
        <v>199</v>
      </c>
      <c r="X949" s="127" t="str">
        <f t="shared" si="275"/>
        <v/>
      </c>
      <c r="Y949" s="207">
        <f t="shared" si="278"/>
        <v>199</v>
      </c>
      <c r="Z949" s="139">
        <f t="shared" si="279"/>
        <v>101</v>
      </c>
      <c r="AA949" s="139">
        <f t="shared" si="280"/>
        <v>98</v>
      </c>
      <c r="AC949" s="47">
        <f t="shared" si="281"/>
        <v>100</v>
      </c>
      <c r="AD949" s="47">
        <f t="shared" si="282"/>
        <v>51</v>
      </c>
      <c r="AE949" s="47">
        <f t="shared" si="283"/>
        <v>49</v>
      </c>
      <c r="AG949" s="47">
        <f t="shared" si="284"/>
        <v>99</v>
      </c>
      <c r="AH949" s="47">
        <f t="shared" si="285"/>
        <v>50</v>
      </c>
      <c r="AI949" s="208">
        <f t="shared" si="286"/>
        <v>49</v>
      </c>
    </row>
    <row r="950" spans="1:35">
      <c r="A950" t="s">
        <v>2119</v>
      </c>
      <c r="B950" t="s">
        <v>3142</v>
      </c>
      <c r="C950" t="s">
        <v>2192</v>
      </c>
      <c r="D950" t="s">
        <v>4275</v>
      </c>
      <c r="F950" t="s">
        <v>743</v>
      </c>
      <c r="G950" s="126">
        <f>SUMIFS('Support - Transition'!F:F,'Support - Transition'!B:B,'Step 2'!A950,'Support - Transition'!C:C,'Step 2'!B950,'Support - Transition'!D:D,'Step 2'!C950,'Support - Transition'!E:E,"CIVIL")</f>
        <v>2.6600000000000001E-4</v>
      </c>
      <c r="H950" s="126">
        <f>SUMIFS('Support - Transition'!F:F,'Support - Transition'!B:B,'Step 2'!A950,'Support - Transition'!C:C,'Step 2'!B950,'Support - Transition'!D:D,'Step 2'!C950,'Support - Transition'!E:E,"FIRE")</f>
        <v>8.7999999999999998E-5</v>
      </c>
      <c r="I950" s="126">
        <f>IF(B950="0",SUMIFS('Support - Transition'!F:F,'Support - Transition'!J:J,'Step 2'!D950,'Support - Transition'!E:E,"STATE UNIT"),SUMIFS('Support - Transition'!F:F,'Support - Transition'!J:J,'Step 2'!D950))</f>
        <v>3.5400000000000004E-4</v>
      </c>
      <c r="J950" s="126">
        <f>SUMIFS('Support - Unit Adjustments'!E:E,'Support - Unit Adjustments'!F:F,'Step 2'!D950)</f>
        <v>0</v>
      </c>
      <c r="K950" s="126">
        <f t="shared" si="270"/>
        <v>3.5400000000000004E-4</v>
      </c>
      <c r="L950" s="174">
        <f>VLOOKUP(A950,'Step 1'!$A:$E,4,FALSE)</f>
        <v>301751</v>
      </c>
      <c r="M950" s="47">
        <f t="shared" si="271"/>
        <v>107</v>
      </c>
      <c r="N950" s="177">
        <f>SUMIFS('Support - Transition'!G:G,'Support - Transition'!J:J,'Step 2'!D950,'Support - Transition'!E:E,"2009 WELFARE ALLOCATION FACTOR")</f>
        <v>0</v>
      </c>
      <c r="O950" s="152">
        <f t="shared" si="276"/>
        <v>0</v>
      </c>
      <c r="P950" s="126">
        <f>IF(E950="Y",0,SUMIFS('Support - Transition'!G:G,'Support - Transition'!J:J,'Step 2'!D950,'Support - Transition'!E:E,"2009 SCHOOL ALLOCATION FACTOR"))</f>
        <v>0</v>
      </c>
      <c r="Q950" s="126">
        <f>IF(E950="Y",VLOOKUP(D950,'Support - Unit Adjustments'!F:G,2,FALSE),0)</f>
        <v>0</v>
      </c>
      <c r="R950" s="155">
        <f t="shared" si="288"/>
        <v>0</v>
      </c>
      <c r="S950" s="47">
        <f t="shared" si="287"/>
        <v>0</v>
      </c>
      <c r="T950" s="151">
        <f t="shared" si="272"/>
        <v>107</v>
      </c>
      <c r="U950" s="151">
        <f t="shared" si="273"/>
        <v>0</v>
      </c>
      <c r="V950" s="139">
        <f t="shared" si="274"/>
        <v>0</v>
      </c>
      <c r="W950" s="152">
        <f t="shared" si="277"/>
        <v>107</v>
      </c>
      <c r="X950" s="127" t="str">
        <f t="shared" si="275"/>
        <v/>
      </c>
      <c r="Y950" s="207">
        <f t="shared" si="278"/>
        <v>107</v>
      </c>
      <c r="Z950" s="139">
        <f t="shared" si="279"/>
        <v>80</v>
      </c>
      <c r="AA950" s="139">
        <f t="shared" si="280"/>
        <v>27</v>
      </c>
      <c r="AC950" s="47">
        <f t="shared" si="281"/>
        <v>54</v>
      </c>
      <c r="AD950" s="47">
        <f t="shared" si="282"/>
        <v>40</v>
      </c>
      <c r="AE950" s="47">
        <f t="shared" si="283"/>
        <v>14</v>
      </c>
      <c r="AG950" s="47">
        <f t="shared" si="284"/>
        <v>53</v>
      </c>
      <c r="AH950" s="47">
        <f t="shared" si="285"/>
        <v>40</v>
      </c>
      <c r="AI950" s="208">
        <f t="shared" si="286"/>
        <v>13</v>
      </c>
    </row>
    <row r="951" spans="1:35">
      <c r="A951" t="s">
        <v>2119</v>
      </c>
      <c r="B951" t="s">
        <v>3142</v>
      </c>
      <c r="C951" t="s">
        <v>2193</v>
      </c>
      <c r="D951" t="s">
        <v>4276</v>
      </c>
      <c r="F951" t="s">
        <v>86</v>
      </c>
      <c r="G951" s="126">
        <f>SUMIFS('Support - Transition'!F:F,'Support - Transition'!B:B,'Step 2'!A951,'Support - Transition'!C:C,'Step 2'!B951,'Support - Transition'!D:D,'Step 2'!C951,'Support - Transition'!E:E,"CIVIL")</f>
        <v>6.2500000000000001E-4</v>
      </c>
      <c r="H951" s="126">
        <f>SUMIFS('Support - Transition'!F:F,'Support - Transition'!B:B,'Step 2'!A951,'Support - Transition'!C:C,'Step 2'!B951,'Support - Transition'!D:D,'Step 2'!C951,'Support - Transition'!E:E,"FIRE")</f>
        <v>3.2600000000000001E-4</v>
      </c>
      <c r="I951" s="126">
        <f>IF(B951="0",SUMIFS('Support - Transition'!F:F,'Support - Transition'!J:J,'Step 2'!D951,'Support - Transition'!E:E,"STATE UNIT"),SUMIFS('Support - Transition'!F:F,'Support - Transition'!J:J,'Step 2'!D951))</f>
        <v>9.5100000000000002E-4</v>
      </c>
      <c r="J951" s="126">
        <f>SUMIFS('Support - Unit Adjustments'!E:E,'Support - Unit Adjustments'!F:F,'Step 2'!D951)</f>
        <v>0</v>
      </c>
      <c r="K951" s="126">
        <f t="shared" si="270"/>
        <v>9.5100000000000002E-4</v>
      </c>
      <c r="L951" s="174">
        <f>VLOOKUP(A951,'Step 1'!$A:$E,4,FALSE)</f>
        <v>301751</v>
      </c>
      <c r="M951" s="47">
        <f t="shared" si="271"/>
        <v>287</v>
      </c>
      <c r="N951" s="177">
        <f>SUMIFS('Support - Transition'!G:G,'Support - Transition'!J:J,'Step 2'!D951,'Support - Transition'!E:E,"2009 WELFARE ALLOCATION FACTOR")</f>
        <v>0</v>
      </c>
      <c r="O951" s="152">
        <f t="shared" si="276"/>
        <v>0</v>
      </c>
      <c r="P951" s="126">
        <f>IF(E951="Y",0,SUMIFS('Support - Transition'!G:G,'Support - Transition'!J:J,'Step 2'!D951,'Support - Transition'!E:E,"2009 SCHOOL ALLOCATION FACTOR"))</f>
        <v>0</v>
      </c>
      <c r="Q951" s="126">
        <f>IF(E951="Y",VLOOKUP(D951,'Support - Unit Adjustments'!F:G,2,FALSE),0)</f>
        <v>0</v>
      </c>
      <c r="R951" s="155">
        <f t="shared" si="288"/>
        <v>0</v>
      </c>
      <c r="S951" s="47">
        <f t="shared" si="287"/>
        <v>0</v>
      </c>
      <c r="T951" s="151">
        <f t="shared" si="272"/>
        <v>287</v>
      </c>
      <c r="U951" s="151">
        <f t="shared" si="273"/>
        <v>0</v>
      </c>
      <c r="V951" s="139">
        <f t="shared" si="274"/>
        <v>0</v>
      </c>
      <c r="W951" s="152">
        <f t="shared" si="277"/>
        <v>287</v>
      </c>
      <c r="X951" s="127" t="str">
        <f t="shared" si="275"/>
        <v/>
      </c>
      <c r="Y951" s="207">
        <f t="shared" si="278"/>
        <v>287</v>
      </c>
      <c r="Z951" s="139">
        <f t="shared" si="279"/>
        <v>189</v>
      </c>
      <c r="AA951" s="139">
        <f t="shared" si="280"/>
        <v>98</v>
      </c>
      <c r="AC951" s="47">
        <f t="shared" si="281"/>
        <v>144</v>
      </c>
      <c r="AD951" s="47">
        <f t="shared" si="282"/>
        <v>95</v>
      </c>
      <c r="AE951" s="47">
        <f t="shared" si="283"/>
        <v>49</v>
      </c>
      <c r="AG951" s="47">
        <f t="shared" si="284"/>
        <v>143</v>
      </c>
      <c r="AH951" s="47">
        <f t="shared" si="285"/>
        <v>94</v>
      </c>
      <c r="AI951" s="208">
        <f t="shared" si="286"/>
        <v>49</v>
      </c>
    </row>
    <row r="952" spans="1:35">
      <c r="A952" t="s">
        <v>2119</v>
      </c>
      <c r="B952" t="s">
        <v>3142</v>
      </c>
      <c r="C952" t="s">
        <v>2194</v>
      </c>
      <c r="D952" t="s">
        <v>4277</v>
      </c>
      <c r="F952" t="s">
        <v>550</v>
      </c>
      <c r="G952" s="126">
        <f>SUMIFS('Support - Transition'!F:F,'Support - Transition'!B:B,'Step 2'!A952,'Support - Transition'!C:C,'Step 2'!B952,'Support - Transition'!D:D,'Step 2'!C952,'Support - Transition'!E:E,"CIVIL")</f>
        <v>6.705E-3</v>
      </c>
      <c r="H952" s="126">
        <f>SUMIFS('Support - Transition'!F:F,'Support - Transition'!B:B,'Step 2'!A952,'Support - Transition'!C:C,'Step 2'!B952,'Support - Transition'!D:D,'Step 2'!C952,'Support - Transition'!E:E,"FIRE")</f>
        <v>2.9359999999999998E-3</v>
      </c>
      <c r="I952" s="126">
        <f>IF(B952="0",SUMIFS('Support - Transition'!F:F,'Support - Transition'!J:J,'Step 2'!D952,'Support - Transition'!E:E,"STATE UNIT"),SUMIFS('Support - Transition'!F:F,'Support - Transition'!J:J,'Step 2'!D952))</f>
        <v>9.6410000000000003E-3</v>
      </c>
      <c r="J952" s="126">
        <f>SUMIFS('Support - Unit Adjustments'!E:E,'Support - Unit Adjustments'!F:F,'Step 2'!D952)</f>
        <v>0</v>
      </c>
      <c r="K952" s="126">
        <f t="shared" si="270"/>
        <v>9.6410000000000003E-3</v>
      </c>
      <c r="L952" s="174">
        <f>VLOOKUP(A952,'Step 1'!$A:$E,4,FALSE)</f>
        <v>301751</v>
      </c>
      <c r="M952" s="47">
        <f t="shared" si="271"/>
        <v>2909</v>
      </c>
      <c r="N952" s="177">
        <f>SUMIFS('Support - Transition'!G:G,'Support - Transition'!J:J,'Step 2'!D952,'Support - Transition'!E:E,"2009 WELFARE ALLOCATION FACTOR")</f>
        <v>0</v>
      </c>
      <c r="O952" s="152">
        <f t="shared" si="276"/>
        <v>0</v>
      </c>
      <c r="P952" s="126">
        <f>IF(E952="Y",0,SUMIFS('Support - Transition'!G:G,'Support - Transition'!J:J,'Step 2'!D952,'Support - Transition'!E:E,"2009 SCHOOL ALLOCATION FACTOR"))</f>
        <v>0</v>
      </c>
      <c r="Q952" s="126">
        <f>IF(E952="Y",VLOOKUP(D952,'Support - Unit Adjustments'!F:G,2,FALSE),0)</f>
        <v>0</v>
      </c>
      <c r="R952" s="155">
        <f t="shared" si="288"/>
        <v>0</v>
      </c>
      <c r="S952" s="47">
        <f t="shared" si="287"/>
        <v>0</v>
      </c>
      <c r="T952" s="151">
        <f t="shared" si="272"/>
        <v>2909</v>
      </c>
      <c r="U952" s="151">
        <f t="shared" si="273"/>
        <v>0</v>
      </c>
      <c r="V952" s="139">
        <f t="shared" si="274"/>
        <v>0</v>
      </c>
      <c r="W952" s="152">
        <f t="shared" si="277"/>
        <v>2909</v>
      </c>
      <c r="X952" s="127" t="str">
        <f t="shared" si="275"/>
        <v/>
      </c>
      <c r="Y952" s="207">
        <f t="shared" si="278"/>
        <v>2909</v>
      </c>
      <c r="Z952" s="139">
        <f t="shared" si="279"/>
        <v>2023</v>
      </c>
      <c r="AA952" s="139">
        <f t="shared" si="280"/>
        <v>886</v>
      </c>
      <c r="AC952" s="47">
        <f t="shared" si="281"/>
        <v>1455</v>
      </c>
      <c r="AD952" s="47">
        <f t="shared" si="282"/>
        <v>1012</v>
      </c>
      <c r="AE952" s="47">
        <f t="shared" si="283"/>
        <v>443</v>
      </c>
      <c r="AG952" s="47">
        <f t="shared" si="284"/>
        <v>1454</v>
      </c>
      <c r="AH952" s="47">
        <f t="shared" si="285"/>
        <v>1011</v>
      </c>
      <c r="AI952" s="208">
        <f t="shared" si="286"/>
        <v>443</v>
      </c>
    </row>
    <row r="953" spans="1:35">
      <c r="A953" t="s">
        <v>2119</v>
      </c>
      <c r="B953" t="s">
        <v>3142</v>
      </c>
      <c r="C953" t="s">
        <v>2195</v>
      </c>
      <c r="D953" t="s">
        <v>4278</v>
      </c>
      <c r="F953" t="s">
        <v>14</v>
      </c>
      <c r="G953" s="126">
        <f>SUMIFS('Support - Transition'!F:F,'Support - Transition'!B:B,'Step 2'!A953,'Support - Transition'!C:C,'Step 2'!B953,'Support - Transition'!D:D,'Step 2'!C953,'Support - Transition'!E:E,"CIVIL")</f>
        <v>6.8300000000000001E-4</v>
      </c>
      <c r="H953" s="126">
        <f>SUMIFS('Support - Transition'!F:F,'Support - Transition'!B:B,'Step 2'!A953,'Support - Transition'!C:C,'Step 2'!B953,'Support - Transition'!D:D,'Step 2'!C953,'Support - Transition'!E:E,"FIRE")</f>
        <v>5.0699999999999996E-4</v>
      </c>
      <c r="I953" s="126">
        <f>IF(B953="0",SUMIFS('Support - Transition'!F:F,'Support - Transition'!J:J,'Step 2'!D953,'Support - Transition'!E:E,"STATE UNIT"),SUMIFS('Support - Transition'!F:F,'Support - Transition'!J:J,'Step 2'!D953))</f>
        <v>1.1900000000000001E-3</v>
      </c>
      <c r="J953" s="126">
        <f>SUMIFS('Support - Unit Adjustments'!E:E,'Support - Unit Adjustments'!F:F,'Step 2'!D953)</f>
        <v>0</v>
      </c>
      <c r="K953" s="126">
        <f t="shared" si="270"/>
        <v>1.1900000000000001E-3</v>
      </c>
      <c r="L953" s="174">
        <f>VLOOKUP(A953,'Step 1'!$A:$E,4,FALSE)</f>
        <v>301751</v>
      </c>
      <c r="M953" s="47">
        <f t="shared" si="271"/>
        <v>359</v>
      </c>
      <c r="N953" s="177">
        <f>SUMIFS('Support - Transition'!G:G,'Support - Transition'!J:J,'Step 2'!D953,'Support - Transition'!E:E,"2009 WELFARE ALLOCATION FACTOR")</f>
        <v>0</v>
      </c>
      <c r="O953" s="152">
        <f t="shared" si="276"/>
        <v>0</v>
      </c>
      <c r="P953" s="126">
        <f>IF(E953="Y",0,SUMIFS('Support - Transition'!G:G,'Support - Transition'!J:J,'Step 2'!D953,'Support - Transition'!E:E,"2009 SCHOOL ALLOCATION FACTOR"))</f>
        <v>0</v>
      </c>
      <c r="Q953" s="126">
        <f>IF(E953="Y",VLOOKUP(D953,'Support - Unit Adjustments'!F:G,2,FALSE),0)</f>
        <v>0</v>
      </c>
      <c r="R953" s="155">
        <f t="shared" si="288"/>
        <v>0</v>
      </c>
      <c r="S953" s="47">
        <f t="shared" si="287"/>
        <v>0</v>
      </c>
      <c r="T953" s="151">
        <f t="shared" si="272"/>
        <v>359</v>
      </c>
      <c r="U953" s="151">
        <f t="shared" si="273"/>
        <v>0</v>
      </c>
      <c r="V953" s="139">
        <f t="shared" si="274"/>
        <v>0</v>
      </c>
      <c r="W953" s="152">
        <f t="shared" si="277"/>
        <v>359</v>
      </c>
      <c r="X953" s="127" t="str">
        <f t="shared" si="275"/>
        <v/>
      </c>
      <c r="Y953" s="207">
        <f t="shared" si="278"/>
        <v>359</v>
      </c>
      <c r="Z953" s="139">
        <f t="shared" si="279"/>
        <v>206</v>
      </c>
      <c r="AA953" s="139">
        <f t="shared" si="280"/>
        <v>153</v>
      </c>
      <c r="AC953" s="47">
        <f t="shared" si="281"/>
        <v>180</v>
      </c>
      <c r="AD953" s="47">
        <f t="shared" si="282"/>
        <v>103</v>
      </c>
      <c r="AE953" s="47">
        <f t="shared" si="283"/>
        <v>77</v>
      </c>
      <c r="AG953" s="47">
        <f t="shared" si="284"/>
        <v>179</v>
      </c>
      <c r="AH953" s="47">
        <f t="shared" si="285"/>
        <v>103</v>
      </c>
      <c r="AI953" s="208">
        <f t="shared" si="286"/>
        <v>76</v>
      </c>
    </row>
    <row r="954" spans="1:35">
      <c r="A954" t="s">
        <v>2119</v>
      </c>
      <c r="B954" t="s">
        <v>3142</v>
      </c>
      <c r="C954" t="s">
        <v>2196</v>
      </c>
      <c r="D954" t="s">
        <v>4279</v>
      </c>
      <c r="F954" t="s">
        <v>181</v>
      </c>
      <c r="G954" s="126">
        <f>SUMIFS('Support - Transition'!F:F,'Support - Transition'!B:B,'Step 2'!A954,'Support - Transition'!C:C,'Step 2'!B954,'Support - Transition'!D:D,'Step 2'!C954,'Support - Transition'!E:E,"CIVIL")</f>
        <v>3.5599999999999998E-4</v>
      </c>
      <c r="H954" s="126">
        <f>SUMIFS('Support - Transition'!F:F,'Support - Transition'!B:B,'Step 2'!A954,'Support - Transition'!C:C,'Step 2'!B954,'Support - Transition'!D:D,'Step 2'!C954,'Support - Transition'!E:E,"FIRE")</f>
        <v>2.0799999999999999E-4</v>
      </c>
      <c r="I954" s="126">
        <f>IF(B954="0",SUMIFS('Support - Transition'!F:F,'Support - Transition'!J:J,'Step 2'!D954,'Support - Transition'!E:E,"STATE UNIT"),SUMIFS('Support - Transition'!F:F,'Support - Transition'!J:J,'Step 2'!D954))</f>
        <v>5.6399999999999994E-4</v>
      </c>
      <c r="J954" s="126">
        <f>SUMIFS('Support - Unit Adjustments'!E:E,'Support - Unit Adjustments'!F:F,'Step 2'!D954)</f>
        <v>0</v>
      </c>
      <c r="K954" s="126">
        <f t="shared" si="270"/>
        <v>5.6399999999999994E-4</v>
      </c>
      <c r="L954" s="174">
        <f>VLOOKUP(A954,'Step 1'!$A:$E,4,FALSE)</f>
        <v>301751</v>
      </c>
      <c r="M954" s="47">
        <f t="shared" si="271"/>
        <v>170</v>
      </c>
      <c r="N954" s="177">
        <f>SUMIFS('Support - Transition'!G:G,'Support - Transition'!J:J,'Step 2'!D954,'Support - Transition'!E:E,"2009 WELFARE ALLOCATION FACTOR")</f>
        <v>0</v>
      </c>
      <c r="O954" s="152">
        <f t="shared" si="276"/>
        <v>0</v>
      </c>
      <c r="P954" s="126">
        <f>IF(E954="Y",0,SUMIFS('Support - Transition'!G:G,'Support - Transition'!J:J,'Step 2'!D954,'Support - Transition'!E:E,"2009 SCHOOL ALLOCATION FACTOR"))</f>
        <v>0</v>
      </c>
      <c r="Q954" s="126">
        <f>IF(E954="Y",VLOOKUP(D954,'Support - Unit Adjustments'!F:G,2,FALSE),0)</f>
        <v>0</v>
      </c>
      <c r="R954" s="155">
        <f t="shared" si="288"/>
        <v>0</v>
      </c>
      <c r="S954" s="47">
        <f t="shared" si="287"/>
        <v>0</v>
      </c>
      <c r="T954" s="151">
        <f t="shared" si="272"/>
        <v>170</v>
      </c>
      <c r="U954" s="151">
        <f t="shared" si="273"/>
        <v>0</v>
      </c>
      <c r="V954" s="139">
        <f t="shared" si="274"/>
        <v>0</v>
      </c>
      <c r="W954" s="152">
        <f t="shared" si="277"/>
        <v>170</v>
      </c>
      <c r="X954" s="127" t="str">
        <f t="shared" si="275"/>
        <v/>
      </c>
      <c r="Y954" s="207">
        <f t="shared" si="278"/>
        <v>170</v>
      </c>
      <c r="Z954" s="139">
        <f t="shared" si="279"/>
        <v>107</v>
      </c>
      <c r="AA954" s="139">
        <f t="shared" si="280"/>
        <v>63</v>
      </c>
      <c r="AC954" s="47">
        <f t="shared" si="281"/>
        <v>85</v>
      </c>
      <c r="AD954" s="47">
        <f t="shared" si="282"/>
        <v>54</v>
      </c>
      <c r="AE954" s="47">
        <f t="shared" si="283"/>
        <v>32</v>
      </c>
      <c r="AG954" s="47">
        <f t="shared" si="284"/>
        <v>85</v>
      </c>
      <c r="AH954" s="47">
        <f t="shared" si="285"/>
        <v>53</v>
      </c>
      <c r="AI954" s="208">
        <f t="shared" si="286"/>
        <v>31</v>
      </c>
    </row>
    <row r="955" spans="1:35">
      <c r="A955" t="s">
        <v>2119</v>
      </c>
      <c r="B955" t="s">
        <v>3142</v>
      </c>
      <c r="C955" t="s">
        <v>2197</v>
      </c>
      <c r="D955" t="s">
        <v>4280</v>
      </c>
      <c r="F955" t="s">
        <v>744</v>
      </c>
      <c r="G955" s="126">
        <f>SUMIFS('Support - Transition'!F:F,'Support - Transition'!B:B,'Step 2'!A955,'Support - Transition'!C:C,'Step 2'!B955,'Support - Transition'!D:D,'Step 2'!C955,'Support - Transition'!E:E,"CIVIL")</f>
        <v>8.8800000000000001E-4</v>
      </c>
      <c r="H955" s="126">
        <f>SUMIFS('Support - Transition'!F:F,'Support - Transition'!B:B,'Step 2'!A955,'Support - Transition'!C:C,'Step 2'!B955,'Support - Transition'!D:D,'Step 2'!C955,'Support - Transition'!E:E,"FIRE")</f>
        <v>4.2339999999999999E-3</v>
      </c>
      <c r="I955" s="126">
        <f>IF(B955="0",SUMIFS('Support - Transition'!F:F,'Support - Transition'!J:J,'Step 2'!D955,'Support - Transition'!E:E,"STATE UNIT"),SUMIFS('Support - Transition'!F:F,'Support - Transition'!J:J,'Step 2'!D955))</f>
        <v>5.1219999999999998E-3</v>
      </c>
      <c r="J955" s="126">
        <f>SUMIFS('Support - Unit Adjustments'!E:E,'Support - Unit Adjustments'!F:F,'Step 2'!D955)</f>
        <v>0</v>
      </c>
      <c r="K955" s="126">
        <f t="shared" si="270"/>
        <v>5.1219999999999998E-3</v>
      </c>
      <c r="L955" s="174">
        <f>VLOOKUP(A955,'Step 1'!$A:$E,4,FALSE)</f>
        <v>301751</v>
      </c>
      <c r="M955" s="47">
        <f t="shared" si="271"/>
        <v>1546</v>
      </c>
      <c r="N955" s="177">
        <f>SUMIFS('Support - Transition'!G:G,'Support - Transition'!J:J,'Step 2'!D955,'Support - Transition'!E:E,"2009 WELFARE ALLOCATION FACTOR")</f>
        <v>0</v>
      </c>
      <c r="O955" s="152">
        <f t="shared" si="276"/>
        <v>0</v>
      </c>
      <c r="P955" s="126">
        <f>IF(E955="Y",0,SUMIFS('Support - Transition'!G:G,'Support - Transition'!J:J,'Step 2'!D955,'Support - Transition'!E:E,"2009 SCHOOL ALLOCATION FACTOR"))</f>
        <v>0</v>
      </c>
      <c r="Q955" s="126">
        <f>IF(E955="Y",VLOOKUP(D955,'Support - Unit Adjustments'!F:G,2,FALSE),0)</f>
        <v>0</v>
      </c>
      <c r="R955" s="155">
        <f t="shared" si="288"/>
        <v>0</v>
      </c>
      <c r="S955" s="47">
        <f t="shared" si="287"/>
        <v>0</v>
      </c>
      <c r="T955" s="151">
        <f t="shared" si="272"/>
        <v>1546</v>
      </c>
      <c r="U955" s="151">
        <f t="shared" si="273"/>
        <v>0</v>
      </c>
      <c r="V955" s="139">
        <f t="shared" si="274"/>
        <v>0</v>
      </c>
      <c r="W955" s="152">
        <f t="shared" si="277"/>
        <v>1546</v>
      </c>
      <c r="X955" s="127" t="str">
        <f t="shared" si="275"/>
        <v/>
      </c>
      <c r="Y955" s="207">
        <f t="shared" si="278"/>
        <v>1546</v>
      </c>
      <c r="Z955" s="139">
        <f t="shared" si="279"/>
        <v>268</v>
      </c>
      <c r="AA955" s="139">
        <f t="shared" si="280"/>
        <v>1278</v>
      </c>
      <c r="AC955" s="47">
        <f t="shared" si="281"/>
        <v>773</v>
      </c>
      <c r="AD955" s="47">
        <f t="shared" si="282"/>
        <v>134</v>
      </c>
      <c r="AE955" s="47">
        <f t="shared" si="283"/>
        <v>639</v>
      </c>
      <c r="AG955" s="47">
        <f t="shared" si="284"/>
        <v>773</v>
      </c>
      <c r="AH955" s="47">
        <f t="shared" si="285"/>
        <v>134</v>
      </c>
      <c r="AI955" s="208">
        <f t="shared" si="286"/>
        <v>639</v>
      </c>
    </row>
    <row r="956" spans="1:35">
      <c r="A956" t="s">
        <v>2119</v>
      </c>
      <c r="B956" t="s">
        <v>3142</v>
      </c>
      <c r="C956" t="s">
        <v>2198</v>
      </c>
      <c r="D956" t="s">
        <v>4281</v>
      </c>
      <c r="F956" t="s">
        <v>745</v>
      </c>
      <c r="G956" s="126">
        <f>SUMIFS('Support - Transition'!F:F,'Support - Transition'!B:B,'Step 2'!A956,'Support - Transition'!C:C,'Step 2'!B956,'Support - Transition'!D:D,'Step 2'!C956,'Support - Transition'!E:E,"CIVIL")</f>
        <v>8.1499999999999997E-4</v>
      </c>
      <c r="H956" s="126">
        <f>SUMIFS('Support - Transition'!F:F,'Support - Transition'!B:B,'Step 2'!A956,'Support - Transition'!C:C,'Step 2'!B956,'Support - Transition'!D:D,'Step 2'!C956,'Support - Transition'!E:E,"FIRE")</f>
        <v>7.85E-4</v>
      </c>
      <c r="I956" s="126">
        <f>IF(B956="0",SUMIFS('Support - Transition'!F:F,'Support - Transition'!J:J,'Step 2'!D956,'Support - Transition'!E:E,"STATE UNIT"),SUMIFS('Support - Transition'!F:F,'Support - Transition'!J:J,'Step 2'!D956))</f>
        <v>1.5999999999999999E-3</v>
      </c>
      <c r="J956" s="126">
        <f>SUMIFS('Support - Unit Adjustments'!E:E,'Support - Unit Adjustments'!F:F,'Step 2'!D956)</f>
        <v>0</v>
      </c>
      <c r="K956" s="126">
        <f t="shared" si="270"/>
        <v>1.5999999999999999E-3</v>
      </c>
      <c r="L956" s="174">
        <f>VLOOKUP(A956,'Step 1'!$A:$E,4,FALSE)</f>
        <v>301751</v>
      </c>
      <c r="M956" s="47">
        <f t="shared" si="271"/>
        <v>483</v>
      </c>
      <c r="N956" s="177">
        <f>SUMIFS('Support - Transition'!G:G,'Support - Transition'!J:J,'Step 2'!D956,'Support - Transition'!E:E,"2009 WELFARE ALLOCATION FACTOR")</f>
        <v>0</v>
      </c>
      <c r="O956" s="152">
        <f t="shared" si="276"/>
        <v>0</v>
      </c>
      <c r="P956" s="126">
        <f>IF(E956="Y",0,SUMIFS('Support - Transition'!G:G,'Support - Transition'!J:J,'Step 2'!D956,'Support - Transition'!E:E,"2009 SCHOOL ALLOCATION FACTOR"))</f>
        <v>0</v>
      </c>
      <c r="Q956" s="126">
        <f>IF(E956="Y",VLOOKUP(D956,'Support - Unit Adjustments'!F:G,2,FALSE),0)</f>
        <v>0</v>
      </c>
      <c r="R956" s="155">
        <f t="shared" si="288"/>
        <v>0</v>
      </c>
      <c r="S956" s="47">
        <f t="shared" si="287"/>
        <v>0</v>
      </c>
      <c r="T956" s="151">
        <f t="shared" si="272"/>
        <v>483</v>
      </c>
      <c r="U956" s="151">
        <f t="shared" si="273"/>
        <v>0</v>
      </c>
      <c r="V956" s="139">
        <f t="shared" si="274"/>
        <v>0</v>
      </c>
      <c r="W956" s="152">
        <f t="shared" si="277"/>
        <v>483</v>
      </c>
      <c r="X956" s="127" t="str">
        <f t="shared" si="275"/>
        <v/>
      </c>
      <c r="Y956" s="207">
        <f t="shared" si="278"/>
        <v>483</v>
      </c>
      <c r="Z956" s="139">
        <f t="shared" si="279"/>
        <v>246</v>
      </c>
      <c r="AA956" s="139">
        <f t="shared" si="280"/>
        <v>237</v>
      </c>
      <c r="AC956" s="47">
        <f t="shared" si="281"/>
        <v>242</v>
      </c>
      <c r="AD956" s="47">
        <f t="shared" si="282"/>
        <v>123</v>
      </c>
      <c r="AE956" s="47">
        <f t="shared" si="283"/>
        <v>119</v>
      </c>
      <c r="AG956" s="47">
        <f t="shared" si="284"/>
        <v>241</v>
      </c>
      <c r="AH956" s="47">
        <f t="shared" si="285"/>
        <v>123</v>
      </c>
      <c r="AI956" s="208">
        <f t="shared" si="286"/>
        <v>118</v>
      </c>
    </row>
    <row r="957" spans="1:35">
      <c r="A957" t="s">
        <v>2119</v>
      </c>
      <c r="B957" t="s">
        <v>3142</v>
      </c>
      <c r="C957" t="s">
        <v>2199</v>
      </c>
      <c r="D957" t="s">
        <v>4282</v>
      </c>
      <c r="F957" t="s">
        <v>746</v>
      </c>
      <c r="G957" s="126">
        <f>SUMIFS('Support - Transition'!F:F,'Support - Transition'!B:B,'Step 2'!A957,'Support - Transition'!C:C,'Step 2'!B957,'Support - Transition'!D:D,'Step 2'!C957,'Support - Transition'!E:E,"CIVIL")</f>
        <v>3.5E-4</v>
      </c>
      <c r="H957" s="126">
        <f>SUMIFS('Support - Transition'!F:F,'Support - Transition'!B:B,'Step 2'!A957,'Support - Transition'!C:C,'Step 2'!B957,'Support - Transition'!D:D,'Step 2'!C957,'Support - Transition'!E:E,"FIRE")</f>
        <v>5.71E-4</v>
      </c>
      <c r="I957" s="126">
        <f>IF(B957="0",SUMIFS('Support - Transition'!F:F,'Support - Transition'!J:J,'Step 2'!D957,'Support - Transition'!E:E,"STATE UNIT"),SUMIFS('Support - Transition'!F:F,'Support - Transition'!J:J,'Step 2'!D957))</f>
        <v>9.2099999999999994E-4</v>
      </c>
      <c r="J957" s="126">
        <f>SUMIFS('Support - Unit Adjustments'!E:E,'Support - Unit Adjustments'!F:F,'Step 2'!D957)</f>
        <v>0</v>
      </c>
      <c r="K957" s="126">
        <f t="shared" si="270"/>
        <v>9.2099999999999994E-4</v>
      </c>
      <c r="L957" s="174">
        <f>VLOOKUP(A957,'Step 1'!$A:$E,4,FALSE)</f>
        <v>301751</v>
      </c>
      <c r="M957" s="47">
        <f t="shared" si="271"/>
        <v>278</v>
      </c>
      <c r="N957" s="177">
        <f>SUMIFS('Support - Transition'!G:G,'Support - Transition'!J:J,'Step 2'!D957,'Support - Transition'!E:E,"2009 WELFARE ALLOCATION FACTOR")</f>
        <v>0</v>
      </c>
      <c r="O957" s="152">
        <f t="shared" si="276"/>
        <v>0</v>
      </c>
      <c r="P957" s="126">
        <f>IF(E957="Y",0,SUMIFS('Support - Transition'!G:G,'Support - Transition'!J:J,'Step 2'!D957,'Support - Transition'!E:E,"2009 SCHOOL ALLOCATION FACTOR"))</f>
        <v>0</v>
      </c>
      <c r="Q957" s="126">
        <f>IF(E957="Y",VLOOKUP(D957,'Support - Unit Adjustments'!F:G,2,FALSE),0)</f>
        <v>0</v>
      </c>
      <c r="R957" s="155">
        <f t="shared" si="288"/>
        <v>0</v>
      </c>
      <c r="S957" s="47">
        <f t="shared" si="287"/>
        <v>0</v>
      </c>
      <c r="T957" s="151">
        <f t="shared" si="272"/>
        <v>278</v>
      </c>
      <c r="U957" s="151">
        <f t="shared" si="273"/>
        <v>0</v>
      </c>
      <c r="V957" s="139">
        <f t="shared" si="274"/>
        <v>0</v>
      </c>
      <c r="W957" s="152">
        <f t="shared" si="277"/>
        <v>278</v>
      </c>
      <c r="X957" s="127" t="str">
        <f t="shared" si="275"/>
        <v/>
      </c>
      <c r="Y957" s="207">
        <f t="shared" si="278"/>
        <v>278</v>
      </c>
      <c r="Z957" s="139">
        <f t="shared" si="279"/>
        <v>106</v>
      </c>
      <c r="AA957" s="139">
        <f t="shared" si="280"/>
        <v>172</v>
      </c>
      <c r="AC957" s="47">
        <f t="shared" si="281"/>
        <v>139</v>
      </c>
      <c r="AD957" s="47">
        <f t="shared" si="282"/>
        <v>53</v>
      </c>
      <c r="AE957" s="47">
        <f t="shared" si="283"/>
        <v>86</v>
      </c>
      <c r="AG957" s="47">
        <f t="shared" si="284"/>
        <v>139</v>
      </c>
      <c r="AH957" s="47">
        <f t="shared" si="285"/>
        <v>53</v>
      </c>
      <c r="AI957" s="208">
        <f t="shared" si="286"/>
        <v>86</v>
      </c>
    </row>
    <row r="958" spans="1:35">
      <c r="A958" t="s">
        <v>2119</v>
      </c>
      <c r="B958" t="s">
        <v>3142</v>
      </c>
      <c r="C958" t="s">
        <v>2208</v>
      </c>
      <c r="D958" t="s">
        <v>4283</v>
      </c>
      <c r="F958" t="s">
        <v>61</v>
      </c>
      <c r="G958" s="126">
        <f>SUMIFS('Support - Transition'!F:F,'Support - Transition'!B:B,'Step 2'!A958,'Support - Transition'!C:C,'Step 2'!B958,'Support - Transition'!D:D,'Step 2'!C958,'Support - Transition'!E:E,"CIVIL")</f>
        <v>1.199E-3</v>
      </c>
      <c r="H958" s="126">
        <f>SUMIFS('Support - Transition'!F:F,'Support - Transition'!B:B,'Step 2'!A958,'Support - Transition'!C:C,'Step 2'!B958,'Support - Transition'!D:D,'Step 2'!C958,'Support - Transition'!E:E,"FIRE")</f>
        <v>7.3999999999999999E-4</v>
      </c>
      <c r="I958" s="126">
        <f>IF(B958="0",SUMIFS('Support - Transition'!F:F,'Support - Transition'!J:J,'Step 2'!D958,'Support - Transition'!E:E,"STATE UNIT"),SUMIFS('Support - Transition'!F:F,'Support - Transition'!J:J,'Step 2'!D958))</f>
        <v>1.939E-3</v>
      </c>
      <c r="J958" s="126">
        <f>SUMIFS('Support - Unit Adjustments'!E:E,'Support - Unit Adjustments'!F:F,'Step 2'!D958)</f>
        <v>0</v>
      </c>
      <c r="K958" s="126">
        <f t="shared" si="270"/>
        <v>1.939E-3</v>
      </c>
      <c r="L958" s="174">
        <f>VLOOKUP(A958,'Step 1'!$A:$E,4,FALSE)</f>
        <v>301751</v>
      </c>
      <c r="M958" s="47">
        <f t="shared" si="271"/>
        <v>585</v>
      </c>
      <c r="N958" s="177">
        <f>SUMIFS('Support - Transition'!G:G,'Support - Transition'!J:J,'Step 2'!D958,'Support - Transition'!E:E,"2009 WELFARE ALLOCATION FACTOR")</f>
        <v>0</v>
      </c>
      <c r="O958" s="152">
        <f t="shared" si="276"/>
        <v>0</v>
      </c>
      <c r="P958" s="126">
        <f>IF(E958="Y",0,SUMIFS('Support - Transition'!G:G,'Support - Transition'!J:J,'Step 2'!D958,'Support - Transition'!E:E,"2009 SCHOOL ALLOCATION FACTOR"))</f>
        <v>0</v>
      </c>
      <c r="Q958" s="126">
        <f>IF(E958="Y",VLOOKUP(D958,'Support - Unit Adjustments'!F:G,2,FALSE),0)</f>
        <v>0</v>
      </c>
      <c r="R958" s="155">
        <f t="shared" si="288"/>
        <v>0</v>
      </c>
      <c r="S958" s="47">
        <f t="shared" si="287"/>
        <v>0</v>
      </c>
      <c r="T958" s="151">
        <f t="shared" si="272"/>
        <v>585</v>
      </c>
      <c r="U958" s="151">
        <f t="shared" si="273"/>
        <v>0</v>
      </c>
      <c r="V958" s="139">
        <f t="shared" si="274"/>
        <v>0</v>
      </c>
      <c r="W958" s="152">
        <f t="shared" si="277"/>
        <v>585</v>
      </c>
      <c r="X958" s="127" t="str">
        <f t="shared" si="275"/>
        <v/>
      </c>
      <c r="Y958" s="207">
        <f t="shared" si="278"/>
        <v>585</v>
      </c>
      <c r="Z958" s="139">
        <f t="shared" si="279"/>
        <v>362</v>
      </c>
      <c r="AA958" s="139">
        <f t="shared" si="280"/>
        <v>223</v>
      </c>
      <c r="AC958" s="47">
        <f t="shared" si="281"/>
        <v>293</v>
      </c>
      <c r="AD958" s="47">
        <f t="shared" si="282"/>
        <v>181</v>
      </c>
      <c r="AE958" s="47">
        <f t="shared" si="283"/>
        <v>112</v>
      </c>
      <c r="AG958" s="47">
        <f t="shared" si="284"/>
        <v>292</v>
      </c>
      <c r="AH958" s="47">
        <f t="shared" si="285"/>
        <v>181</v>
      </c>
      <c r="AI958" s="208">
        <f t="shared" si="286"/>
        <v>111</v>
      </c>
    </row>
    <row r="959" spans="1:35">
      <c r="A959" t="s">
        <v>2119</v>
      </c>
      <c r="B959" t="s">
        <v>3155</v>
      </c>
      <c r="C959" t="s">
        <v>2568</v>
      </c>
      <c r="D959" t="s">
        <v>4284</v>
      </c>
      <c r="F959" t="s">
        <v>757</v>
      </c>
      <c r="G959" s="126">
        <f>SUMIFS('Support - Transition'!F:F,'Support - Transition'!B:B,'Step 2'!A959,'Support - Transition'!C:C,'Step 2'!B959,'Support - Transition'!D:D,'Step 2'!C959,'Support - Transition'!E:E,"CIVIL")</f>
        <v>0</v>
      </c>
      <c r="H959" s="126">
        <f>SUMIFS('Support - Transition'!F:F,'Support - Transition'!B:B,'Step 2'!A959,'Support - Transition'!C:C,'Step 2'!B959,'Support - Transition'!D:D,'Step 2'!C959,'Support - Transition'!E:E,"FIRE")</f>
        <v>0</v>
      </c>
      <c r="I959" s="126">
        <f>IF(B959="0",SUMIFS('Support - Transition'!F:F,'Support - Transition'!J:J,'Step 2'!D959,'Support - Transition'!E:E,"STATE UNIT"),SUMIFS('Support - Transition'!F:F,'Support - Transition'!J:J,'Step 2'!D959))</f>
        <v>0.104667</v>
      </c>
      <c r="J959" s="126">
        <f>SUMIFS('Support - Unit Adjustments'!E:E,'Support - Unit Adjustments'!F:F,'Step 2'!D959)</f>
        <v>0</v>
      </c>
      <c r="K959" s="126">
        <f t="shared" si="270"/>
        <v>0.104667</v>
      </c>
      <c r="L959" s="174">
        <f>VLOOKUP(A959,'Step 1'!$A:$E,4,FALSE)</f>
        <v>301751</v>
      </c>
      <c r="M959" s="47">
        <f t="shared" si="271"/>
        <v>31583</v>
      </c>
      <c r="N959" s="177">
        <f>SUMIFS('Support - Transition'!G:G,'Support - Transition'!J:J,'Step 2'!D959,'Support - Transition'!E:E,"2009 WELFARE ALLOCATION FACTOR")</f>
        <v>0</v>
      </c>
      <c r="O959" s="152">
        <f t="shared" si="276"/>
        <v>0</v>
      </c>
      <c r="P959" s="126">
        <f>IF(E959="Y",0,SUMIFS('Support - Transition'!G:G,'Support - Transition'!J:J,'Step 2'!D959,'Support - Transition'!E:E,"2009 SCHOOL ALLOCATION FACTOR"))</f>
        <v>0</v>
      </c>
      <c r="Q959" s="126">
        <f>IF(E959="Y",VLOOKUP(D959,'Support - Unit Adjustments'!F:G,2,FALSE),0)</f>
        <v>0</v>
      </c>
      <c r="R959" s="155">
        <f t="shared" si="288"/>
        <v>0</v>
      </c>
      <c r="S959" s="47">
        <f t="shared" si="287"/>
        <v>0</v>
      </c>
      <c r="T959" s="151">
        <f t="shared" si="272"/>
        <v>31583</v>
      </c>
      <c r="U959" s="151">
        <f t="shared" si="273"/>
        <v>0</v>
      </c>
      <c r="V959" s="139">
        <f t="shared" si="274"/>
        <v>0</v>
      </c>
      <c r="W959" s="152">
        <f t="shared" si="277"/>
        <v>31583</v>
      </c>
      <c r="X959" s="127" t="str">
        <f t="shared" si="275"/>
        <v/>
      </c>
      <c r="Y959" s="207">
        <f t="shared" si="278"/>
        <v>31583</v>
      </c>
      <c r="Z959" s="139">
        <f t="shared" si="279"/>
        <v>31583</v>
      </c>
      <c r="AA959" s="139">
        <f t="shared" si="280"/>
        <v>0</v>
      </c>
      <c r="AC959" s="47">
        <f t="shared" si="281"/>
        <v>15792</v>
      </c>
      <c r="AD959" s="47">
        <f t="shared" si="282"/>
        <v>15792</v>
      </c>
      <c r="AE959" s="47">
        <f t="shared" si="283"/>
        <v>0</v>
      </c>
      <c r="AG959" s="47">
        <f t="shared" si="284"/>
        <v>15791</v>
      </c>
      <c r="AH959" s="47">
        <f t="shared" si="285"/>
        <v>15791</v>
      </c>
      <c r="AI959" s="208">
        <f t="shared" si="286"/>
        <v>0</v>
      </c>
    </row>
    <row r="960" spans="1:35">
      <c r="A960" t="s">
        <v>2119</v>
      </c>
      <c r="B960" t="s">
        <v>3155</v>
      </c>
      <c r="C960" t="s">
        <v>2526</v>
      </c>
      <c r="D960" t="s">
        <v>4285</v>
      </c>
      <c r="F960" t="s">
        <v>679</v>
      </c>
      <c r="G960" s="126">
        <f>SUMIFS('Support - Transition'!F:F,'Support - Transition'!B:B,'Step 2'!A960,'Support - Transition'!C:C,'Step 2'!B960,'Support - Transition'!D:D,'Step 2'!C960,'Support - Transition'!E:E,"CIVIL")</f>
        <v>0</v>
      </c>
      <c r="H960" s="126">
        <f>SUMIFS('Support - Transition'!F:F,'Support - Transition'!B:B,'Step 2'!A960,'Support - Transition'!C:C,'Step 2'!B960,'Support - Transition'!D:D,'Step 2'!C960,'Support - Transition'!E:E,"FIRE")</f>
        <v>0</v>
      </c>
      <c r="I960" s="126">
        <f>IF(B960="0",SUMIFS('Support - Transition'!F:F,'Support - Transition'!J:J,'Step 2'!D960,'Support - Transition'!E:E,"STATE UNIT"),SUMIFS('Support - Transition'!F:F,'Support - Transition'!J:J,'Step 2'!D960))</f>
        <v>0</v>
      </c>
      <c r="J960" s="126">
        <f>SUMIFS('Support - Unit Adjustments'!E:E,'Support - Unit Adjustments'!F:F,'Step 2'!D960)</f>
        <v>0</v>
      </c>
      <c r="K960" s="126">
        <f t="shared" si="270"/>
        <v>0</v>
      </c>
      <c r="L960" s="174">
        <f>VLOOKUP(A960,'Step 1'!$A:$E,4,FALSE)</f>
        <v>301751</v>
      </c>
      <c r="M960" s="47">
        <f t="shared" si="271"/>
        <v>0</v>
      </c>
      <c r="N960" s="177">
        <f>SUMIFS('Support - Transition'!G:G,'Support - Transition'!J:J,'Step 2'!D960,'Support - Transition'!E:E,"2009 WELFARE ALLOCATION FACTOR")</f>
        <v>0</v>
      </c>
      <c r="O960" s="152">
        <f t="shared" si="276"/>
        <v>0</v>
      </c>
      <c r="P960" s="126">
        <f>IF(E960="Y",0,SUMIFS('Support - Transition'!G:G,'Support - Transition'!J:J,'Step 2'!D960,'Support - Transition'!E:E,"2009 SCHOOL ALLOCATION FACTOR"))</f>
        <v>0</v>
      </c>
      <c r="Q960" s="126">
        <f>IF(E960="Y",VLOOKUP(D960,'Support - Unit Adjustments'!F:G,2,FALSE),0)</f>
        <v>0</v>
      </c>
      <c r="R960" s="155">
        <f t="shared" si="288"/>
        <v>0</v>
      </c>
      <c r="S960" s="47">
        <f t="shared" si="287"/>
        <v>0</v>
      </c>
      <c r="T960" s="151">
        <f t="shared" si="272"/>
        <v>0</v>
      </c>
      <c r="U960" s="151">
        <f t="shared" si="273"/>
        <v>0</v>
      </c>
      <c r="V960" s="139">
        <f t="shared" si="274"/>
        <v>0</v>
      </c>
      <c r="W960" s="152">
        <f t="shared" si="277"/>
        <v>0</v>
      </c>
      <c r="X960" s="127" t="str">
        <f t="shared" si="275"/>
        <v/>
      </c>
      <c r="Y960" s="207">
        <f t="shared" si="278"/>
        <v>0</v>
      </c>
      <c r="Z960" s="139">
        <f t="shared" si="279"/>
        <v>0</v>
      </c>
      <c r="AA960" s="139">
        <f t="shared" si="280"/>
        <v>0</v>
      </c>
      <c r="AC960" s="47">
        <f t="shared" si="281"/>
        <v>0</v>
      </c>
      <c r="AD960" s="47">
        <f t="shared" si="282"/>
        <v>0</v>
      </c>
      <c r="AE960" s="47">
        <f t="shared" si="283"/>
        <v>0</v>
      </c>
      <c r="AG960" s="47">
        <f t="shared" si="284"/>
        <v>0</v>
      </c>
      <c r="AH960" s="47">
        <f t="shared" si="285"/>
        <v>0</v>
      </c>
      <c r="AI960" s="208">
        <f t="shared" si="286"/>
        <v>0</v>
      </c>
    </row>
    <row r="961" spans="1:35">
      <c r="A961" t="s">
        <v>2119</v>
      </c>
      <c r="B961" t="s">
        <v>3155</v>
      </c>
      <c r="C961" t="s">
        <v>2569</v>
      </c>
      <c r="D961" t="s">
        <v>4286</v>
      </c>
      <c r="F961" t="s">
        <v>747</v>
      </c>
      <c r="G961" s="126">
        <f>SUMIFS('Support - Transition'!F:F,'Support - Transition'!B:B,'Step 2'!A961,'Support - Transition'!C:C,'Step 2'!B961,'Support - Transition'!D:D,'Step 2'!C961,'Support - Transition'!E:E,"CIVIL")</f>
        <v>0</v>
      </c>
      <c r="H961" s="126">
        <f>SUMIFS('Support - Transition'!F:F,'Support - Transition'!B:B,'Step 2'!A961,'Support - Transition'!C:C,'Step 2'!B961,'Support - Transition'!D:D,'Step 2'!C961,'Support - Transition'!E:E,"FIRE")</f>
        <v>0</v>
      </c>
      <c r="I961" s="126">
        <f>IF(B961="0",SUMIFS('Support - Transition'!F:F,'Support - Transition'!J:J,'Step 2'!D961,'Support - Transition'!E:E,"STATE UNIT"),SUMIFS('Support - Transition'!F:F,'Support - Transition'!J:J,'Step 2'!D961))</f>
        <v>8.7999999999999998E-5</v>
      </c>
      <c r="J961" s="126">
        <f>SUMIFS('Support - Unit Adjustments'!E:E,'Support - Unit Adjustments'!F:F,'Step 2'!D961)</f>
        <v>0</v>
      </c>
      <c r="K961" s="126">
        <f t="shared" si="270"/>
        <v>8.7999999999999998E-5</v>
      </c>
      <c r="L961" s="174">
        <f>VLOOKUP(A961,'Step 1'!$A:$E,4,FALSE)</f>
        <v>301751</v>
      </c>
      <c r="M961" s="47">
        <f t="shared" si="271"/>
        <v>27</v>
      </c>
      <c r="N961" s="177">
        <f>SUMIFS('Support - Transition'!G:G,'Support - Transition'!J:J,'Step 2'!D961,'Support - Transition'!E:E,"2009 WELFARE ALLOCATION FACTOR")</f>
        <v>0</v>
      </c>
      <c r="O961" s="152">
        <f t="shared" si="276"/>
        <v>0</v>
      </c>
      <c r="P961" s="126">
        <f>IF(E961="Y",0,SUMIFS('Support - Transition'!G:G,'Support - Transition'!J:J,'Step 2'!D961,'Support - Transition'!E:E,"2009 SCHOOL ALLOCATION FACTOR"))</f>
        <v>0</v>
      </c>
      <c r="Q961" s="126">
        <f>IF(E961="Y",VLOOKUP(D961,'Support - Unit Adjustments'!F:G,2,FALSE),0)</f>
        <v>0</v>
      </c>
      <c r="R961" s="155">
        <f t="shared" si="288"/>
        <v>0</v>
      </c>
      <c r="S961" s="47">
        <f t="shared" si="287"/>
        <v>0</v>
      </c>
      <c r="T961" s="151">
        <f t="shared" si="272"/>
        <v>27</v>
      </c>
      <c r="U961" s="151">
        <f t="shared" si="273"/>
        <v>0</v>
      </c>
      <c r="V961" s="139">
        <f t="shared" si="274"/>
        <v>0</v>
      </c>
      <c r="W961" s="152">
        <f t="shared" si="277"/>
        <v>27</v>
      </c>
      <c r="X961" s="127" t="str">
        <f t="shared" si="275"/>
        <v/>
      </c>
      <c r="Y961" s="207">
        <f t="shared" si="278"/>
        <v>27</v>
      </c>
      <c r="Z961" s="139">
        <f t="shared" si="279"/>
        <v>27</v>
      </c>
      <c r="AA961" s="139">
        <f t="shared" si="280"/>
        <v>0</v>
      </c>
      <c r="AC961" s="47">
        <f t="shared" si="281"/>
        <v>14</v>
      </c>
      <c r="AD961" s="47">
        <f t="shared" si="282"/>
        <v>14</v>
      </c>
      <c r="AE961" s="47">
        <f t="shared" si="283"/>
        <v>0</v>
      </c>
      <c r="AG961" s="47">
        <f t="shared" si="284"/>
        <v>13</v>
      </c>
      <c r="AH961" s="47">
        <f t="shared" si="285"/>
        <v>13</v>
      </c>
      <c r="AI961" s="208">
        <f t="shared" si="286"/>
        <v>0</v>
      </c>
    </row>
    <row r="962" spans="1:35">
      <c r="A962" t="s">
        <v>2119</v>
      </c>
      <c r="B962" t="s">
        <v>3155</v>
      </c>
      <c r="C962" t="s">
        <v>2570</v>
      </c>
      <c r="D962" t="s">
        <v>4287</v>
      </c>
      <c r="F962" t="s">
        <v>748</v>
      </c>
      <c r="G962" s="126">
        <f>SUMIFS('Support - Transition'!F:F,'Support - Transition'!B:B,'Step 2'!A962,'Support - Transition'!C:C,'Step 2'!B962,'Support - Transition'!D:D,'Step 2'!C962,'Support - Transition'!E:E,"CIVIL")</f>
        <v>0</v>
      </c>
      <c r="H962" s="126">
        <f>SUMIFS('Support - Transition'!F:F,'Support - Transition'!B:B,'Step 2'!A962,'Support - Transition'!C:C,'Step 2'!B962,'Support - Transition'!D:D,'Step 2'!C962,'Support - Transition'!E:E,"FIRE")</f>
        <v>0</v>
      </c>
      <c r="I962" s="126">
        <f>IF(B962="0",SUMIFS('Support - Transition'!F:F,'Support - Transition'!J:J,'Step 2'!D962,'Support - Transition'!E:E,"STATE UNIT"),SUMIFS('Support - Transition'!F:F,'Support - Transition'!J:J,'Step 2'!D962))</f>
        <v>0</v>
      </c>
      <c r="J962" s="126">
        <f>SUMIFS('Support - Unit Adjustments'!E:E,'Support - Unit Adjustments'!F:F,'Step 2'!D962)</f>
        <v>0</v>
      </c>
      <c r="K962" s="126">
        <f t="shared" ref="K962:K1025" si="289">+I962+J962</f>
        <v>0</v>
      </c>
      <c r="L962" s="174">
        <f>VLOOKUP(A962,'Step 1'!$A:$E,4,FALSE)</f>
        <v>301751</v>
      </c>
      <c r="M962" s="47">
        <f t="shared" ref="M962:M1025" si="290">ROUND(+K962*L962,0)</f>
        <v>0</v>
      </c>
      <c r="N962" s="177">
        <f>SUMIFS('Support - Transition'!G:G,'Support - Transition'!J:J,'Step 2'!D962,'Support - Transition'!E:E,"2009 WELFARE ALLOCATION FACTOR")</f>
        <v>0</v>
      </c>
      <c r="O962" s="152">
        <f t="shared" si="276"/>
        <v>0</v>
      </c>
      <c r="P962" s="126">
        <f>IF(E962="Y",0,SUMIFS('Support - Transition'!G:G,'Support - Transition'!J:J,'Step 2'!D962,'Support - Transition'!E:E,"2009 SCHOOL ALLOCATION FACTOR"))</f>
        <v>0</v>
      </c>
      <c r="Q962" s="126">
        <f>IF(E962="Y",VLOOKUP(D962,'Support - Unit Adjustments'!F:G,2,FALSE),0)</f>
        <v>0</v>
      </c>
      <c r="R962" s="155">
        <f t="shared" si="288"/>
        <v>0</v>
      </c>
      <c r="S962" s="47">
        <f t="shared" si="287"/>
        <v>0</v>
      </c>
      <c r="T962" s="151">
        <f t="shared" ref="T962:T1025" si="291">ROUND(+M962-O962-S962,2)</f>
        <v>0</v>
      </c>
      <c r="U962" s="151">
        <f t="shared" ref="U962:U1025" si="292">IF(B962="0",SUMIFS(O:O,A:A,A962)+SUMIFS(S:S,A:A,A962)+SUMIFS(T:T,A:A,A962),0)</f>
        <v>0</v>
      </c>
      <c r="V962" s="139">
        <f t="shared" ref="V962:V1025" si="293">IF(B962="0",U962-L962,0)</f>
        <v>0</v>
      </c>
      <c r="W962" s="152">
        <f t="shared" si="277"/>
        <v>0</v>
      </c>
      <c r="X962" s="127" t="str">
        <f t="shared" ref="X962:X1025" si="294">IF(B962="0",SUMIFS(O:O,A:A,A962)+SUMIFS(S:S,A:A,A962)+SUMIFS(W:W,A:A,A962)-L962,"")</f>
        <v/>
      </c>
      <c r="Y962" s="207">
        <f t="shared" si="278"/>
        <v>0</v>
      </c>
      <c r="Z962" s="139">
        <f t="shared" si="279"/>
        <v>0</v>
      </c>
      <c r="AA962" s="139">
        <f t="shared" si="280"/>
        <v>0</v>
      </c>
      <c r="AC962" s="47">
        <f t="shared" si="281"/>
        <v>0</v>
      </c>
      <c r="AD962" s="47">
        <f t="shared" si="282"/>
        <v>0</v>
      </c>
      <c r="AE962" s="47">
        <f t="shared" si="283"/>
        <v>0</v>
      </c>
      <c r="AG962" s="47">
        <f t="shared" si="284"/>
        <v>0</v>
      </c>
      <c r="AH962" s="47">
        <f t="shared" si="285"/>
        <v>0</v>
      </c>
      <c r="AI962" s="208">
        <f t="shared" si="286"/>
        <v>0</v>
      </c>
    </row>
    <row r="963" spans="1:35">
      <c r="A963" t="s">
        <v>2119</v>
      </c>
      <c r="B963" t="s">
        <v>3155</v>
      </c>
      <c r="C963" t="s">
        <v>2571</v>
      </c>
      <c r="D963" t="s">
        <v>4288</v>
      </c>
      <c r="F963" t="s">
        <v>749</v>
      </c>
      <c r="G963" s="126">
        <f>SUMIFS('Support - Transition'!F:F,'Support - Transition'!B:B,'Step 2'!A963,'Support - Transition'!C:C,'Step 2'!B963,'Support - Transition'!D:D,'Step 2'!C963,'Support - Transition'!E:E,"CIVIL")</f>
        <v>0</v>
      </c>
      <c r="H963" s="126">
        <f>SUMIFS('Support - Transition'!F:F,'Support - Transition'!B:B,'Step 2'!A963,'Support - Transition'!C:C,'Step 2'!B963,'Support - Transition'!D:D,'Step 2'!C963,'Support - Transition'!E:E,"FIRE")</f>
        <v>0</v>
      </c>
      <c r="I963" s="126">
        <f>IF(B963="0",SUMIFS('Support - Transition'!F:F,'Support - Transition'!J:J,'Step 2'!D963,'Support - Transition'!E:E,"STATE UNIT"),SUMIFS('Support - Transition'!F:F,'Support - Transition'!J:J,'Step 2'!D963))</f>
        <v>1.9239999999999999E-3</v>
      </c>
      <c r="J963" s="126">
        <f>SUMIFS('Support - Unit Adjustments'!E:E,'Support - Unit Adjustments'!F:F,'Step 2'!D963)</f>
        <v>0</v>
      </c>
      <c r="K963" s="126">
        <f t="shared" si="289"/>
        <v>1.9239999999999999E-3</v>
      </c>
      <c r="L963" s="174">
        <f>VLOOKUP(A963,'Step 1'!$A:$E,4,FALSE)</f>
        <v>301751</v>
      </c>
      <c r="M963" s="47">
        <f t="shared" si="290"/>
        <v>581</v>
      </c>
      <c r="N963" s="177">
        <f>SUMIFS('Support - Transition'!G:G,'Support - Transition'!J:J,'Step 2'!D963,'Support - Transition'!E:E,"2009 WELFARE ALLOCATION FACTOR")</f>
        <v>0</v>
      </c>
      <c r="O963" s="152">
        <f t="shared" ref="O963:O1026" si="295">ROUND(+N963*M963,0)</f>
        <v>0</v>
      </c>
      <c r="P963" s="126">
        <f>IF(E963="Y",0,SUMIFS('Support - Transition'!G:G,'Support - Transition'!J:J,'Step 2'!D963,'Support - Transition'!E:E,"2009 SCHOOL ALLOCATION FACTOR"))</f>
        <v>0</v>
      </c>
      <c r="Q963" s="126">
        <f>IF(E963="Y",VLOOKUP(D963,'Support - Unit Adjustments'!F:G,2,FALSE),0)</f>
        <v>0</v>
      </c>
      <c r="R963" s="155">
        <f t="shared" si="288"/>
        <v>0</v>
      </c>
      <c r="S963" s="47">
        <f t="shared" si="287"/>
        <v>0</v>
      </c>
      <c r="T963" s="151">
        <f t="shared" si="291"/>
        <v>581</v>
      </c>
      <c r="U963" s="151">
        <f t="shared" si="292"/>
        <v>0</v>
      </c>
      <c r="V963" s="139">
        <f t="shared" si="293"/>
        <v>0</v>
      </c>
      <c r="W963" s="152">
        <f t="shared" ref="W963:W1026" si="296">+T963-V963</f>
        <v>581</v>
      </c>
      <c r="X963" s="127" t="str">
        <f t="shared" si="294"/>
        <v/>
      </c>
      <c r="Y963" s="207">
        <f t="shared" ref="Y963:Y1026" si="297">W963</f>
        <v>581</v>
      </c>
      <c r="Z963" s="139">
        <f t="shared" ref="Z963:Z1026" si="298">IFERROR(IF(B963="2",ROUND(Y963*G963/I963,0),Y963),0)</f>
        <v>581</v>
      </c>
      <c r="AA963" s="139">
        <f t="shared" ref="AA963:AA1026" si="299">+Y963-Z963</f>
        <v>0</v>
      </c>
      <c r="AC963" s="47">
        <f t="shared" ref="AC963:AC1026" si="300">ROUND(Y963/2,0)</f>
        <v>291</v>
      </c>
      <c r="AD963" s="47">
        <f t="shared" ref="AD963:AD1026" si="301">ROUND(Z963/2,0)</f>
        <v>291</v>
      </c>
      <c r="AE963" s="47">
        <f t="shared" ref="AE963:AE1026" si="302">ROUND(AA963/2,0)</f>
        <v>0</v>
      </c>
      <c r="AG963" s="47">
        <f t="shared" ref="AG963:AG1026" si="303">+Y963-AC963</f>
        <v>290</v>
      </c>
      <c r="AH963" s="47">
        <f t="shared" ref="AH963:AH1026" si="304">+Z963-AD963</f>
        <v>290</v>
      </c>
      <c r="AI963" s="208">
        <f t="shared" ref="AI963:AI1026" si="305">+AA963-AE963</f>
        <v>0</v>
      </c>
    </row>
    <row r="964" spans="1:35">
      <c r="A964" t="s">
        <v>2119</v>
      </c>
      <c r="B964" t="s">
        <v>3155</v>
      </c>
      <c r="C964" t="s">
        <v>2269</v>
      </c>
      <c r="D964" t="s">
        <v>4289</v>
      </c>
      <c r="F964" t="s">
        <v>750</v>
      </c>
      <c r="G964" s="126">
        <f>SUMIFS('Support - Transition'!F:F,'Support - Transition'!B:B,'Step 2'!A964,'Support - Transition'!C:C,'Step 2'!B964,'Support - Transition'!D:D,'Step 2'!C964,'Support - Transition'!E:E,"CIVIL")</f>
        <v>0</v>
      </c>
      <c r="H964" s="126">
        <f>SUMIFS('Support - Transition'!F:F,'Support - Transition'!B:B,'Step 2'!A964,'Support - Transition'!C:C,'Step 2'!B964,'Support - Transition'!D:D,'Step 2'!C964,'Support - Transition'!E:E,"FIRE")</f>
        <v>0</v>
      </c>
      <c r="I964" s="126">
        <f>IF(B964="0",SUMIFS('Support - Transition'!F:F,'Support - Transition'!J:J,'Step 2'!D964,'Support - Transition'!E:E,"STATE UNIT"),SUMIFS('Support - Transition'!F:F,'Support - Transition'!J:J,'Step 2'!D964))</f>
        <v>0</v>
      </c>
      <c r="J964" s="126">
        <f>SUMIFS('Support - Unit Adjustments'!E:E,'Support - Unit Adjustments'!F:F,'Step 2'!D964)</f>
        <v>0</v>
      </c>
      <c r="K964" s="126">
        <f t="shared" si="289"/>
        <v>0</v>
      </c>
      <c r="L964" s="174">
        <f>VLOOKUP(A964,'Step 1'!$A:$E,4,FALSE)</f>
        <v>301751</v>
      </c>
      <c r="M964" s="47">
        <f t="shared" si="290"/>
        <v>0</v>
      </c>
      <c r="N964" s="177">
        <f>SUMIFS('Support - Transition'!G:G,'Support - Transition'!J:J,'Step 2'!D964,'Support - Transition'!E:E,"2009 WELFARE ALLOCATION FACTOR")</f>
        <v>0</v>
      </c>
      <c r="O964" s="152">
        <f t="shared" si="295"/>
        <v>0</v>
      </c>
      <c r="P964" s="126">
        <f>IF(E964="Y",0,SUMIFS('Support - Transition'!G:G,'Support - Transition'!J:J,'Step 2'!D964,'Support - Transition'!E:E,"2009 SCHOOL ALLOCATION FACTOR"))</f>
        <v>0</v>
      </c>
      <c r="Q964" s="126">
        <f>IF(E964="Y",VLOOKUP(D964,'Support - Unit Adjustments'!F:G,2,FALSE),0)</f>
        <v>0</v>
      </c>
      <c r="R964" s="155">
        <f t="shared" si="288"/>
        <v>0</v>
      </c>
      <c r="S964" s="47">
        <f t="shared" si="287"/>
        <v>0</v>
      </c>
      <c r="T964" s="151">
        <f t="shared" si="291"/>
        <v>0</v>
      </c>
      <c r="U964" s="151">
        <f t="shared" si="292"/>
        <v>0</v>
      </c>
      <c r="V964" s="139">
        <f t="shared" si="293"/>
        <v>0</v>
      </c>
      <c r="W964" s="152">
        <f t="shared" si="296"/>
        <v>0</v>
      </c>
      <c r="X964" s="127" t="str">
        <f t="shared" si="294"/>
        <v/>
      </c>
      <c r="Y964" s="207">
        <f t="shared" si="297"/>
        <v>0</v>
      </c>
      <c r="Z964" s="139">
        <f t="shared" si="298"/>
        <v>0</v>
      </c>
      <c r="AA964" s="139">
        <f t="shared" si="299"/>
        <v>0</v>
      </c>
      <c r="AC964" s="47">
        <f t="shared" si="300"/>
        <v>0</v>
      </c>
      <c r="AD964" s="47">
        <f t="shared" si="301"/>
        <v>0</v>
      </c>
      <c r="AE964" s="47">
        <f t="shared" si="302"/>
        <v>0</v>
      </c>
      <c r="AG964" s="47">
        <f t="shared" si="303"/>
        <v>0</v>
      </c>
      <c r="AH964" s="47">
        <f t="shared" si="304"/>
        <v>0</v>
      </c>
      <c r="AI964" s="208">
        <f t="shared" si="305"/>
        <v>0</v>
      </c>
    </row>
    <row r="965" spans="1:35">
      <c r="A965" t="s">
        <v>2119</v>
      </c>
      <c r="B965" t="s">
        <v>3155</v>
      </c>
      <c r="C965" t="s">
        <v>2572</v>
      </c>
      <c r="D965" t="s">
        <v>4290</v>
      </c>
      <c r="F965" t="s">
        <v>751</v>
      </c>
      <c r="G965" s="126">
        <f>SUMIFS('Support - Transition'!F:F,'Support - Transition'!B:B,'Step 2'!A965,'Support - Transition'!C:C,'Step 2'!B965,'Support - Transition'!D:D,'Step 2'!C965,'Support - Transition'!E:E,"CIVIL")</f>
        <v>0</v>
      </c>
      <c r="H965" s="126">
        <f>SUMIFS('Support - Transition'!F:F,'Support - Transition'!B:B,'Step 2'!A965,'Support - Transition'!C:C,'Step 2'!B965,'Support - Transition'!D:D,'Step 2'!C965,'Support - Transition'!E:E,"FIRE")</f>
        <v>0</v>
      </c>
      <c r="I965" s="126">
        <f>IF(B965="0",SUMIFS('Support - Transition'!F:F,'Support - Transition'!J:J,'Step 2'!D965,'Support - Transition'!E:E,"STATE UNIT"),SUMIFS('Support - Transition'!F:F,'Support - Transition'!J:J,'Step 2'!D965))</f>
        <v>1.0059999999999999E-3</v>
      </c>
      <c r="J965" s="126">
        <f>SUMIFS('Support - Unit Adjustments'!E:E,'Support - Unit Adjustments'!F:F,'Step 2'!D965)</f>
        <v>0</v>
      </c>
      <c r="K965" s="126">
        <f t="shared" si="289"/>
        <v>1.0059999999999999E-3</v>
      </c>
      <c r="L965" s="174">
        <f>VLOOKUP(A965,'Step 1'!$A:$E,4,FALSE)</f>
        <v>301751</v>
      </c>
      <c r="M965" s="47">
        <f t="shared" si="290"/>
        <v>304</v>
      </c>
      <c r="N965" s="177">
        <f>SUMIFS('Support - Transition'!G:G,'Support - Transition'!J:J,'Step 2'!D965,'Support - Transition'!E:E,"2009 WELFARE ALLOCATION FACTOR")</f>
        <v>0</v>
      </c>
      <c r="O965" s="152">
        <f t="shared" si="295"/>
        <v>0</v>
      </c>
      <c r="P965" s="126">
        <f>IF(E965="Y",0,SUMIFS('Support - Transition'!G:G,'Support - Transition'!J:J,'Step 2'!D965,'Support - Transition'!E:E,"2009 SCHOOL ALLOCATION FACTOR"))</f>
        <v>0</v>
      </c>
      <c r="Q965" s="126">
        <f>IF(E965="Y",VLOOKUP(D965,'Support - Unit Adjustments'!F:G,2,FALSE),0)</f>
        <v>0</v>
      </c>
      <c r="R965" s="155">
        <f t="shared" si="288"/>
        <v>0</v>
      </c>
      <c r="S965" s="47">
        <f t="shared" si="287"/>
        <v>0</v>
      </c>
      <c r="T965" s="151">
        <f t="shared" si="291"/>
        <v>304</v>
      </c>
      <c r="U965" s="151">
        <f t="shared" si="292"/>
        <v>0</v>
      </c>
      <c r="V965" s="139">
        <f t="shared" si="293"/>
        <v>0</v>
      </c>
      <c r="W965" s="152">
        <f t="shared" si="296"/>
        <v>304</v>
      </c>
      <c r="X965" s="127" t="str">
        <f t="shared" si="294"/>
        <v/>
      </c>
      <c r="Y965" s="207">
        <f t="shared" si="297"/>
        <v>304</v>
      </c>
      <c r="Z965" s="139">
        <f t="shared" si="298"/>
        <v>304</v>
      </c>
      <c r="AA965" s="139">
        <f t="shared" si="299"/>
        <v>0</v>
      </c>
      <c r="AC965" s="47">
        <f t="shared" si="300"/>
        <v>152</v>
      </c>
      <c r="AD965" s="47">
        <f t="shared" si="301"/>
        <v>152</v>
      </c>
      <c r="AE965" s="47">
        <f t="shared" si="302"/>
        <v>0</v>
      </c>
      <c r="AG965" s="47">
        <f t="shared" si="303"/>
        <v>152</v>
      </c>
      <c r="AH965" s="47">
        <f t="shared" si="304"/>
        <v>152</v>
      </c>
      <c r="AI965" s="208">
        <f t="shared" si="305"/>
        <v>0</v>
      </c>
    </row>
    <row r="966" spans="1:35">
      <c r="A966" t="s">
        <v>2119</v>
      </c>
      <c r="B966" t="s">
        <v>3155</v>
      </c>
      <c r="C966" t="s">
        <v>2573</v>
      </c>
      <c r="D966" t="s">
        <v>4291</v>
      </c>
      <c r="F966" t="s">
        <v>752</v>
      </c>
      <c r="G966" s="126">
        <f>SUMIFS('Support - Transition'!F:F,'Support - Transition'!B:B,'Step 2'!A966,'Support - Transition'!C:C,'Step 2'!B966,'Support - Transition'!D:D,'Step 2'!C966,'Support - Transition'!E:E,"CIVIL")</f>
        <v>0</v>
      </c>
      <c r="H966" s="126">
        <f>SUMIFS('Support - Transition'!F:F,'Support - Transition'!B:B,'Step 2'!A966,'Support - Transition'!C:C,'Step 2'!B966,'Support - Transition'!D:D,'Step 2'!C966,'Support - Transition'!E:E,"FIRE")</f>
        <v>0</v>
      </c>
      <c r="I966" s="126">
        <f>IF(B966="0",SUMIFS('Support - Transition'!F:F,'Support - Transition'!J:J,'Step 2'!D966,'Support - Transition'!E:E,"STATE UNIT"),SUMIFS('Support - Transition'!F:F,'Support - Transition'!J:J,'Step 2'!D966))</f>
        <v>8.5109999999999995E-3</v>
      </c>
      <c r="J966" s="126">
        <f>SUMIFS('Support - Unit Adjustments'!E:E,'Support - Unit Adjustments'!F:F,'Step 2'!D966)</f>
        <v>0</v>
      </c>
      <c r="K966" s="126">
        <f t="shared" si="289"/>
        <v>8.5109999999999995E-3</v>
      </c>
      <c r="L966" s="174">
        <f>VLOOKUP(A966,'Step 1'!$A:$E,4,FALSE)</f>
        <v>301751</v>
      </c>
      <c r="M966" s="47">
        <f t="shared" si="290"/>
        <v>2568</v>
      </c>
      <c r="N966" s="177">
        <f>SUMIFS('Support - Transition'!G:G,'Support - Transition'!J:J,'Step 2'!D966,'Support - Transition'!E:E,"2009 WELFARE ALLOCATION FACTOR")</f>
        <v>0</v>
      </c>
      <c r="O966" s="152">
        <f t="shared" si="295"/>
        <v>0</v>
      </c>
      <c r="P966" s="126">
        <f>IF(E966="Y",0,SUMIFS('Support - Transition'!G:G,'Support - Transition'!J:J,'Step 2'!D966,'Support - Transition'!E:E,"2009 SCHOOL ALLOCATION FACTOR"))</f>
        <v>0</v>
      </c>
      <c r="Q966" s="126">
        <f>IF(E966="Y",VLOOKUP(D966,'Support - Unit Adjustments'!F:G,2,FALSE),0)</f>
        <v>0</v>
      </c>
      <c r="R966" s="155">
        <f t="shared" si="288"/>
        <v>0</v>
      </c>
      <c r="S966" s="47">
        <f t="shared" si="287"/>
        <v>0</v>
      </c>
      <c r="T966" s="151">
        <f t="shared" si="291"/>
        <v>2568</v>
      </c>
      <c r="U966" s="151">
        <f t="shared" si="292"/>
        <v>0</v>
      </c>
      <c r="V966" s="139">
        <f t="shared" si="293"/>
        <v>0</v>
      </c>
      <c r="W966" s="152">
        <f t="shared" si="296"/>
        <v>2568</v>
      </c>
      <c r="X966" s="127" t="str">
        <f t="shared" si="294"/>
        <v/>
      </c>
      <c r="Y966" s="207">
        <f t="shared" si="297"/>
        <v>2568</v>
      </c>
      <c r="Z966" s="139">
        <f t="shared" si="298"/>
        <v>2568</v>
      </c>
      <c r="AA966" s="139">
        <f t="shared" si="299"/>
        <v>0</v>
      </c>
      <c r="AC966" s="47">
        <f t="shared" si="300"/>
        <v>1284</v>
      </c>
      <c r="AD966" s="47">
        <f t="shared" si="301"/>
        <v>1284</v>
      </c>
      <c r="AE966" s="47">
        <f t="shared" si="302"/>
        <v>0</v>
      </c>
      <c r="AG966" s="47">
        <f t="shared" si="303"/>
        <v>1284</v>
      </c>
      <c r="AH966" s="47">
        <f t="shared" si="304"/>
        <v>1284</v>
      </c>
      <c r="AI966" s="208">
        <f t="shared" si="305"/>
        <v>0</v>
      </c>
    </row>
    <row r="967" spans="1:35">
      <c r="A967" t="s">
        <v>2119</v>
      </c>
      <c r="B967" t="s">
        <v>3155</v>
      </c>
      <c r="C967" t="s">
        <v>2574</v>
      </c>
      <c r="D967" t="s">
        <v>4292</v>
      </c>
      <c r="F967" t="s">
        <v>753</v>
      </c>
      <c r="G967" s="126">
        <f>SUMIFS('Support - Transition'!F:F,'Support - Transition'!B:B,'Step 2'!A967,'Support - Transition'!C:C,'Step 2'!B967,'Support - Transition'!D:D,'Step 2'!C967,'Support - Transition'!E:E,"CIVIL")</f>
        <v>0</v>
      </c>
      <c r="H967" s="126">
        <f>SUMIFS('Support - Transition'!F:F,'Support - Transition'!B:B,'Step 2'!A967,'Support - Transition'!C:C,'Step 2'!B967,'Support - Transition'!D:D,'Step 2'!C967,'Support - Transition'!E:E,"FIRE")</f>
        <v>0</v>
      </c>
      <c r="I967" s="126">
        <f>IF(B967="0",SUMIFS('Support - Transition'!F:F,'Support - Transition'!J:J,'Step 2'!D967,'Support - Transition'!E:E,"STATE UNIT"),SUMIFS('Support - Transition'!F:F,'Support - Transition'!J:J,'Step 2'!D967))</f>
        <v>0</v>
      </c>
      <c r="J967" s="126">
        <f>SUMIFS('Support - Unit Adjustments'!E:E,'Support - Unit Adjustments'!F:F,'Step 2'!D967)</f>
        <v>0</v>
      </c>
      <c r="K967" s="126">
        <f t="shared" si="289"/>
        <v>0</v>
      </c>
      <c r="L967" s="174">
        <f>VLOOKUP(A967,'Step 1'!$A:$E,4,FALSE)</f>
        <v>301751</v>
      </c>
      <c r="M967" s="47">
        <f t="shared" si="290"/>
        <v>0</v>
      </c>
      <c r="N967" s="177">
        <f>SUMIFS('Support - Transition'!G:G,'Support - Transition'!J:J,'Step 2'!D967,'Support - Transition'!E:E,"2009 WELFARE ALLOCATION FACTOR")</f>
        <v>0</v>
      </c>
      <c r="O967" s="152">
        <f t="shared" si="295"/>
        <v>0</v>
      </c>
      <c r="P967" s="126">
        <f>IF(E967="Y",0,SUMIFS('Support - Transition'!G:G,'Support - Transition'!J:J,'Step 2'!D967,'Support - Transition'!E:E,"2009 SCHOOL ALLOCATION FACTOR"))</f>
        <v>0</v>
      </c>
      <c r="Q967" s="126">
        <f>IF(E967="Y",VLOOKUP(D967,'Support - Unit Adjustments'!F:G,2,FALSE),0)</f>
        <v>0</v>
      </c>
      <c r="R967" s="155">
        <f t="shared" si="288"/>
        <v>0</v>
      </c>
      <c r="S967" s="47">
        <f t="shared" si="287"/>
        <v>0</v>
      </c>
      <c r="T967" s="151">
        <f t="shared" si="291"/>
        <v>0</v>
      </c>
      <c r="U967" s="151">
        <f t="shared" si="292"/>
        <v>0</v>
      </c>
      <c r="V967" s="139">
        <f t="shared" si="293"/>
        <v>0</v>
      </c>
      <c r="W967" s="152">
        <f t="shared" si="296"/>
        <v>0</v>
      </c>
      <c r="X967" s="127" t="str">
        <f t="shared" si="294"/>
        <v/>
      </c>
      <c r="Y967" s="207">
        <f t="shared" si="297"/>
        <v>0</v>
      </c>
      <c r="Z967" s="139">
        <f t="shared" si="298"/>
        <v>0</v>
      </c>
      <c r="AA967" s="139">
        <f t="shared" si="299"/>
        <v>0</v>
      </c>
      <c r="AC967" s="47">
        <f t="shared" si="300"/>
        <v>0</v>
      </c>
      <c r="AD967" s="47">
        <f t="shared" si="301"/>
        <v>0</v>
      </c>
      <c r="AE967" s="47">
        <f t="shared" si="302"/>
        <v>0</v>
      </c>
      <c r="AG967" s="47">
        <f t="shared" si="303"/>
        <v>0</v>
      </c>
      <c r="AH967" s="47">
        <f t="shared" si="304"/>
        <v>0</v>
      </c>
      <c r="AI967" s="208">
        <f t="shared" si="305"/>
        <v>0</v>
      </c>
    </row>
    <row r="968" spans="1:35">
      <c r="A968" t="s">
        <v>2119</v>
      </c>
      <c r="B968" t="s">
        <v>3155</v>
      </c>
      <c r="C968" t="s">
        <v>2575</v>
      </c>
      <c r="D968" t="s">
        <v>4293</v>
      </c>
      <c r="F968" t="s">
        <v>754</v>
      </c>
      <c r="G968" s="126">
        <f>SUMIFS('Support - Transition'!F:F,'Support - Transition'!B:B,'Step 2'!A968,'Support - Transition'!C:C,'Step 2'!B968,'Support - Transition'!D:D,'Step 2'!C968,'Support - Transition'!E:E,"CIVIL")</f>
        <v>0</v>
      </c>
      <c r="H968" s="126">
        <f>SUMIFS('Support - Transition'!F:F,'Support - Transition'!B:B,'Step 2'!A968,'Support - Transition'!C:C,'Step 2'!B968,'Support - Transition'!D:D,'Step 2'!C968,'Support - Transition'!E:E,"FIRE")</f>
        <v>0</v>
      </c>
      <c r="I968" s="126">
        <f>IF(B968="0",SUMIFS('Support - Transition'!F:F,'Support - Transition'!J:J,'Step 2'!D968,'Support - Transition'!E:E,"STATE UNIT"),SUMIFS('Support - Transition'!F:F,'Support - Transition'!J:J,'Step 2'!D968))</f>
        <v>5.1650000000000003E-3</v>
      </c>
      <c r="J968" s="126">
        <f>SUMIFS('Support - Unit Adjustments'!E:E,'Support - Unit Adjustments'!F:F,'Step 2'!D968)</f>
        <v>0</v>
      </c>
      <c r="K968" s="126">
        <f t="shared" si="289"/>
        <v>5.1650000000000003E-3</v>
      </c>
      <c r="L968" s="174">
        <f>VLOOKUP(A968,'Step 1'!$A:$E,4,FALSE)</f>
        <v>301751</v>
      </c>
      <c r="M968" s="47">
        <f t="shared" si="290"/>
        <v>1559</v>
      </c>
      <c r="N968" s="177">
        <f>SUMIFS('Support - Transition'!G:G,'Support - Transition'!J:J,'Step 2'!D968,'Support - Transition'!E:E,"2009 WELFARE ALLOCATION FACTOR")</f>
        <v>0</v>
      </c>
      <c r="O968" s="152">
        <f t="shared" si="295"/>
        <v>0</v>
      </c>
      <c r="P968" s="126">
        <f>IF(E968="Y",0,SUMIFS('Support - Transition'!G:G,'Support - Transition'!J:J,'Step 2'!D968,'Support - Transition'!E:E,"2009 SCHOOL ALLOCATION FACTOR"))</f>
        <v>0</v>
      </c>
      <c r="Q968" s="126">
        <f>IF(E968="Y",VLOOKUP(D968,'Support - Unit Adjustments'!F:G,2,FALSE),0)</f>
        <v>0</v>
      </c>
      <c r="R968" s="155">
        <f t="shared" si="288"/>
        <v>0</v>
      </c>
      <c r="S968" s="47">
        <f t="shared" ref="S968:S1031" si="306">ROUND(+R968*M968,0)</f>
        <v>0</v>
      </c>
      <c r="T968" s="151">
        <f t="shared" si="291"/>
        <v>1559</v>
      </c>
      <c r="U968" s="151">
        <f t="shared" si="292"/>
        <v>0</v>
      </c>
      <c r="V968" s="139">
        <f t="shared" si="293"/>
        <v>0</v>
      </c>
      <c r="W968" s="152">
        <f t="shared" si="296"/>
        <v>1559</v>
      </c>
      <c r="X968" s="127" t="str">
        <f t="shared" si="294"/>
        <v/>
      </c>
      <c r="Y968" s="207">
        <f t="shared" si="297"/>
        <v>1559</v>
      </c>
      <c r="Z968" s="139">
        <f t="shared" si="298"/>
        <v>1559</v>
      </c>
      <c r="AA968" s="139">
        <f t="shared" si="299"/>
        <v>0</v>
      </c>
      <c r="AC968" s="47">
        <f t="shared" si="300"/>
        <v>780</v>
      </c>
      <c r="AD968" s="47">
        <f t="shared" si="301"/>
        <v>780</v>
      </c>
      <c r="AE968" s="47">
        <f t="shared" si="302"/>
        <v>0</v>
      </c>
      <c r="AG968" s="47">
        <f t="shared" si="303"/>
        <v>779</v>
      </c>
      <c r="AH968" s="47">
        <f t="shared" si="304"/>
        <v>779</v>
      </c>
      <c r="AI968" s="208">
        <f t="shared" si="305"/>
        <v>0</v>
      </c>
    </row>
    <row r="969" spans="1:35">
      <c r="A969" t="s">
        <v>2119</v>
      </c>
      <c r="B969" t="s">
        <v>3155</v>
      </c>
      <c r="C969" t="s">
        <v>2576</v>
      </c>
      <c r="D969" t="s">
        <v>4294</v>
      </c>
      <c r="F969" t="s">
        <v>755</v>
      </c>
      <c r="G969" s="126">
        <f>SUMIFS('Support - Transition'!F:F,'Support - Transition'!B:B,'Step 2'!A969,'Support - Transition'!C:C,'Step 2'!B969,'Support - Transition'!D:D,'Step 2'!C969,'Support - Transition'!E:E,"CIVIL")</f>
        <v>0</v>
      </c>
      <c r="H969" s="126">
        <f>SUMIFS('Support - Transition'!F:F,'Support - Transition'!B:B,'Step 2'!A969,'Support - Transition'!C:C,'Step 2'!B969,'Support - Transition'!D:D,'Step 2'!C969,'Support - Transition'!E:E,"FIRE")</f>
        <v>0</v>
      </c>
      <c r="I969" s="126">
        <f>IF(B969="0",SUMIFS('Support - Transition'!F:F,'Support - Transition'!J:J,'Step 2'!D969,'Support - Transition'!E:E,"STATE UNIT"),SUMIFS('Support - Transition'!F:F,'Support - Transition'!J:J,'Step 2'!D969))</f>
        <v>4.86E-4</v>
      </c>
      <c r="J969" s="126">
        <f>SUMIFS('Support - Unit Adjustments'!E:E,'Support - Unit Adjustments'!F:F,'Step 2'!D969)</f>
        <v>0</v>
      </c>
      <c r="K969" s="126">
        <f t="shared" si="289"/>
        <v>4.86E-4</v>
      </c>
      <c r="L969" s="174">
        <f>VLOOKUP(A969,'Step 1'!$A:$E,4,FALSE)</f>
        <v>301751</v>
      </c>
      <c r="M969" s="47">
        <f t="shared" si="290"/>
        <v>147</v>
      </c>
      <c r="N969" s="177">
        <f>SUMIFS('Support - Transition'!G:G,'Support - Transition'!J:J,'Step 2'!D969,'Support - Transition'!E:E,"2009 WELFARE ALLOCATION FACTOR")</f>
        <v>0</v>
      </c>
      <c r="O969" s="152">
        <f t="shared" si="295"/>
        <v>0</v>
      </c>
      <c r="P969" s="126">
        <f>IF(E969="Y",0,SUMIFS('Support - Transition'!G:G,'Support - Transition'!J:J,'Step 2'!D969,'Support - Transition'!E:E,"2009 SCHOOL ALLOCATION FACTOR"))</f>
        <v>0</v>
      </c>
      <c r="Q969" s="126">
        <f>IF(E969="Y",VLOOKUP(D969,'Support - Unit Adjustments'!F:G,2,FALSE),0)</f>
        <v>0</v>
      </c>
      <c r="R969" s="155">
        <f t="shared" ref="R969:R1032" si="307">+P969+Q969</f>
        <v>0</v>
      </c>
      <c r="S969" s="47">
        <f t="shared" si="306"/>
        <v>0</v>
      </c>
      <c r="T969" s="151">
        <f t="shared" si="291"/>
        <v>147</v>
      </c>
      <c r="U969" s="151">
        <f t="shared" si="292"/>
        <v>0</v>
      </c>
      <c r="V969" s="139">
        <f t="shared" si="293"/>
        <v>0</v>
      </c>
      <c r="W969" s="152">
        <f t="shared" si="296"/>
        <v>147</v>
      </c>
      <c r="X969" s="127" t="str">
        <f t="shared" si="294"/>
        <v/>
      </c>
      <c r="Y969" s="207">
        <f t="shared" si="297"/>
        <v>147</v>
      </c>
      <c r="Z969" s="139">
        <f t="shared" si="298"/>
        <v>147</v>
      </c>
      <c r="AA969" s="139">
        <f t="shared" si="299"/>
        <v>0</v>
      </c>
      <c r="AC969" s="47">
        <f t="shared" si="300"/>
        <v>74</v>
      </c>
      <c r="AD969" s="47">
        <f t="shared" si="301"/>
        <v>74</v>
      </c>
      <c r="AE969" s="47">
        <f t="shared" si="302"/>
        <v>0</v>
      </c>
      <c r="AG969" s="47">
        <f t="shared" si="303"/>
        <v>73</v>
      </c>
      <c r="AH969" s="47">
        <f t="shared" si="304"/>
        <v>73</v>
      </c>
      <c r="AI969" s="208">
        <f t="shared" si="305"/>
        <v>0</v>
      </c>
    </row>
    <row r="970" spans="1:35">
      <c r="A970" t="s">
        <v>2119</v>
      </c>
      <c r="B970" t="s">
        <v>3155</v>
      </c>
      <c r="C970" t="s">
        <v>2577</v>
      </c>
      <c r="D970" t="s">
        <v>4295</v>
      </c>
      <c r="F970" t="s">
        <v>756</v>
      </c>
      <c r="G970" s="126">
        <f>SUMIFS('Support - Transition'!F:F,'Support - Transition'!B:B,'Step 2'!A970,'Support - Transition'!C:C,'Step 2'!B970,'Support - Transition'!D:D,'Step 2'!C970,'Support - Transition'!E:E,"CIVIL")</f>
        <v>0</v>
      </c>
      <c r="H970" s="126">
        <f>SUMIFS('Support - Transition'!F:F,'Support - Transition'!B:B,'Step 2'!A970,'Support - Transition'!C:C,'Step 2'!B970,'Support - Transition'!D:D,'Step 2'!C970,'Support - Transition'!E:E,"FIRE")</f>
        <v>0</v>
      </c>
      <c r="I970" s="126">
        <f>IF(B970="0",SUMIFS('Support - Transition'!F:F,'Support - Transition'!J:J,'Step 2'!D970,'Support - Transition'!E:E,"STATE UNIT"),SUMIFS('Support - Transition'!F:F,'Support - Transition'!J:J,'Step 2'!D970))</f>
        <v>0</v>
      </c>
      <c r="J970" s="126">
        <f>SUMIFS('Support - Unit Adjustments'!E:E,'Support - Unit Adjustments'!F:F,'Step 2'!D970)</f>
        <v>0</v>
      </c>
      <c r="K970" s="126">
        <f t="shared" si="289"/>
        <v>0</v>
      </c>
      <c r="L970" s="174">
        <f>VLOOKUP(A970,'Step 1'!$A:$E,4,FALSE)</f>
        <v>301751</v>
      </c>
      <c r="M970" s="47">
        <f t="shared" si="290"/>
        <v>0</v>
      </c>
      <c r="N970" s="177">
        <f>SUMIFS('Support - Transition'!G:G,'Support - Transition'!J:J,'Step 2'!D970,'Support - Transition'!E:E,"2009 WELFARE ALLOCATION FACTOR")</f>
        <v>0</v>
      </c>
      <c r="O970" s="152">
        <f t="shared" si="295"/>
        <v>0</v>
      </c>
      <c r="P970" s="126">
        <f>IF(E970="Y",0,SUMIFS('Support - Transition'!G:G,'Support - Transition'!J:J,'Step 2'!D970,'Support - Transition'!E:E,"2009 SCHOOL ALLOCATION FACTOR"))</f>
        <v>0</v>
      </c>
      <c r="Q970" s="126">
        <f>IF(E970="Y",VLOOKUP(D970,'Support - Unit Adjustments'!F:G,2,FALSE),0)</f>
        <v>0</v>
      </c>
      <c r="R970" s="155">
        <f t="shared" si="307"/>
        <v>0</v>
      </c>
      <c r="S970" s="47">
        <f t="shared" si="306"/>
        <v>0</v>
      </c>
      <c r="T970" s="151">
        <f t="shared" si="291"/>
        <v>0</v>
      </c>
      <c r="U970" s="151">
        <f t="shared" si="292"/>
        <v>0</v>
      </c>
      <c r="V970" s="139">
        <f t="shared" si="293"/>
        <v>0</v>
      </c>
      <c r="W970" s="152">
        <f t="shared" si="296"/>
        <v>0</v>
      </c>
      <c r="X970" s="127" t="str">
        <f t="shared" si="294"/>
        <v/>
      </c>
      <c r="Y970" s="207">
        <f t="shared" si="297"/>
        <v>0</v>
      </c>
      <c r="Z970" s="139">
        <f t="shared" si="298"/>
        <v>0</v>
      </c>
      <c r="AA970" s="139">
        <f t="shared" si="299"/>
        <v>0</v>
      </c>
      <c r="AC970" s="47">
        <f t="shared" si="300"/>
        <v>0</v>
      </c>
      <c r="AD970" s="47">
        <f t="shared" si="301"/>
        <v>0</v>
      </c>
      <c r="AE970" s="47">
        <f t="shared" si="302"/>
        <v>0</v>
      </c>
      <c r="AG970" s="47">
        <f t="shared" si="303"/>
        <v>0</v>
      </c>
      <c r="AH970" s="47">
        <f t="shared" si="304"/>
        <v>0</v>
      </c>
      <c r="AI970" s="208">
        <f t="shared" si="305"/>
        <v>0</v>
      </c>
    </row>
    <row r="971" spans="1:35">
      <c r="A971" t="s">
        <v>2119</v>
      </c>
      <c r="B971" t="s">
        <v>3155</v>
      </c>
      <c r="C971" t="s">
        <v>2578</v>
      </c>
      <c r="D971" t="s">
        <v>4296</v>
      </c>
      <c r="F971" t="s">
        <v>758</v>
      </c>
      <c r="G971" s="126">
        <f>SUMIFS('Support - Transition'!F:F,'Support - Transition'!B:B,'Step 2'!A971,'Support - Transition'!C:C,'Step 2'!B971,'Support - Transition'!D:D,'Step 2'!C971,'Support - Transition'!E:E,"CIVIL")</f>
        <v>0</v>
      </c>
      <c r="H971" s="126">
        <f>SUMIFS('Support - Transition'!F:F,'Support - Transition'!B:B,'Step 2'!A971,'Support - Transition'!C:C,'Step 2'!B971,'Support - Transition'!D:D,'Step 2'!C971,'Support - Transition'!E:E,"FIRE")</f>
        <v>0</v>
      </c>
      <c r="I971" s="126">
        <f>IF(B971="0",SUMIFS('Support - Transition'!F:F,'Support - Transition'!J:J,'Step 2'!D971,'Support - Transition'!E:E,"STATE UNIT"),SUMIFS('Support - Transition'!F:F,'Support - Transition'!J:J,'Step 2'!D971))</f>
        <v>5.6800000000000004E-4</v>
      </c>
      <c r="J971" s="126">
        <f>SUMIFS('Support - Unit Adjustments'!E:E,'Support - Unit Adjustments'!F:F,'Step 2'!D971)</f>
        <v>0</v>
      </c>
      <c r="K971" s="126">
        <f t="shared" si="289"/>
        <v>5.6800000000000004E-4</v>
      </c>
      <c r="L971" s="174">
        <f>VLOOKUP(A971,'Step 1'!$A:$E,4,FALSE)</f>
        <v>301751</v>
      </c>
      <c r="M971" s="47">
        <f t="shared" si="290"/>
        <v>171</v>
      </c>
      <c r="N971" s="177">
        <f>SUMIFS('Support - Transition'!G:G,'Support - Transition'!J:J,'Step 2'!D971,'Support - Transition'!E:E,"2009 WELFARE ALLOCATION FACTOR")</f>
        <v>0</v>
      </c>
      <c r="O971" s="152">
        <f t="shared" si="295"/>
        <v>0</v>
      </c>
      <c r="P971" s="126">
        <f>IF(E971="Y",0,SUMIFS('Support - Transition'!G:G,'Support - Transition'!J:J,'Step 2'!D971,'Support - Transition'!E:E,"2009 SCHOOL ALLOCATION FACTOR"))</f>
        <v>0</v>
      </c>
      <c r="Q971" s="126">
        <f>IF(E971="Y",VLOOKUP(D971,'Support - Unit Adjustments'!F:G,2,FALSE),0)</f>
        <v>0</v>
      </c>
      <c r="R971" s="155">
        <f t="shared" si="307"/>
        <v>0</v>
      </c>
      <c r="S971" s="47">
        <f t="shared" si="306"/>
        <v>0</v>
      </c>
      <c r="T971" s="151">
        <f t="shared" si="291"/>
        <v>171</v>
      </c>
      <c r="U971" s="151">
        <f t="shared" si="292"/>
        <v>0</v>
      </c>
      <c r="V971" s="139">
        <f t="shared" si="293"/>
        <v>0</v>
      </c>
      <c r="W971" s="152">
        <f t="shared" si="296"/>
        <v>171</v>
      </c>
      <c r="X971" s="127" t="str">
        <f t="shared" si="294"/>
        <v/>
      </c>
      <c r="Y971" s="207">
        <f t="shared" si="297"/>
        <v>171</v>
      </c>
      <c r="Z971" s="139">
        <f t="shared" si="298"/>
        <v>171</v>
      </c>
      <c r="AA971" s="139">
        <f t="shared" si="299"/>
        <v>0</v>
      </c>
      <c r="AC971" s="47">
        <f t="shared" si="300"/>
        <v>86</v>
      </c>
      <c r="AD971" s="47">
        <f t="shared" si="301"/>
        <v>86</v>
      </c>
      <c r="AE971" s="47">
        <f t="shared" si="302"/>
        <v>0</v>
      </c>
      <c r="AG971" s="47">
        <f t="shared" si="303"/>
        <v>85</v>
      </c>
      <c r="AH971" s="47">
        <f t="shared" si="304"/>
        <v>85</v>
      </c>
      <c r="AI971" s="208">
        <f t="shared" si="305"/>
        <v>0</v>
      </c>
    </row>
    <row r="972" spans="1:35">
      <c r="A972" t="s">
        <v>2119</v>
      </c>
      <c r="B972" t="s">
        <v>3155</v>
      </c>
      <c r="C972" t="s">
        <v>2579</v>
      </c>
      <c r="D972" t="s">
        <v>4297</v>
      </c>
      <c r="F972" t="s">
        <v>759</v>
      </c>
      <c r="G972" s="126">
        <f>SUMIFS('Support - Transition'!F:F,'Support - Transition'!B:B,'Step 2'!A972,'Support - Transition'!C:C,'Step 2'!B972,'Support - Transition'!D:D,'Step 2'!C972,'Support - Transition'!E:E,"CIVIL")</f>
        <v>0</v>
      </c>
      <c r="H972" s="126">
        <f>SUMIFS('Support - Transition'!F:F,'Support - Transition'!B:B,'Step 2'!A972,'Support - Transition'!C:C,'Step 2'!B972,'Support - Transition'!D:D,'Step 2'!C972,'Support - Transition'!E:E,"FIRE")</f>
        <v>0</v>
      </c>
      <c r="I972" s="126">
        <f>IF(B972="0",SUMIFS('Support - Transition'!F:F,'Support - Transition'!J:J,'Step 2'!D972,'Support - Transition'!E:E,"STATE UNIT"),SUMIFS('Support - Transition'!F:F,'Support - Transition'!J:J,'Step 2'!D972))</f>
        <v>0</v>
      </c>
      <c r="J972" s="126">
        <f>SUMIFS('Support - Unit Adjustments'!E:E,'Support - Unit Adjustments'!F:F,'Step 2'!D972)</f>
        <v>0</v>
      </c>
      <c r="K972" s="126">
        <f t="shared" si="289"/>
        <v>0</v>
      </c>
      <c r="L972" s="174">
        <f>VLOOKUP(A972,'Step 1'!$A:$E,4,FALSE)</f>
        <v>301751</v>
      </c>
      <c r="M972" s="47">
        <f t="shared" si="290"/>
        <v>0</v>
      </c>
      <c r="N972" s="177">
        <f>SUMIFS('Support - Transition'!G:G,'Support - Transition'!J:J,'Step 2'!D972,'Support - Transition'!E:E,"2009 WELFARE ALLOCATION FACTOR")</f>
        <v>0</v>
      </c>
      <c r="O972" s="152">
        <f t="shared" si="295"/>
        <v>0</v>
      </c>
      <c r="P972" s="126">
        <f>IF(E972="Y",0,SUMIFS('Support - Transition'!G:G,'Support - Transition'!J:J,'Step 2'!D972,'Support - Transition'!E:E,"2009 SCHOOL ALLOCATION FACTOR"))</f>
        <v>0</v>
      </c>
      <c r="Q972" s="126">
        <f>IF(E972="Y",VLOOKUP(D972,'Support - Unit Adjustments'!F:G,2,FALSE),0)</f>
        <v>0</v>
      </c>
      <c r="R972" s="155">
        <f t="shared" si="307"/>
        <v>0</v>
      </c>
      <c r="S972" s="47">
        <f t="shared" si="306"/>
        <v>0</v>
      </c>
      <c r="T972" s="151">
        <f t="shared" si="291"/>
        <v>0</v>
      </c>
      <c r="U972" s="151">
        <f t="shared" si="292"/>
        <v>0</v>
      </c>
      <c r="V972" s="139">
        <f t="shared" si="293"/>
        <v>0</v>
      </c>
      <c r="W972" s="152">
        <f t="shared" si="296"/>
        <v>0</v>
      </c>
      <c r="X972" s="127" t="str">
        <f t="shared" si="294"/>
        <v/>
      </c>
      <c r="Y972" s="207">
        <f t="shared" si="297"/>
        <v>0</v>
      </c>
      <c r="Z972" s="139">
        <f t="shared" si="298"/>
        <v>0</v>
      </c>
      <c r="AA972" s="139">
        <f t="shared" si="299"/>
        <v>0</v>
      </c>
      <c r="AC972" s="47">
        <f t="shared" si="300"/>
        <v>0</v>
      </c>
      <c r="AD972" s="47">
        <f t="shared" si="301"/>
        <v>0</v>
      </c>
      <c r="AE972" s="47">
        <f t="shared" si="302"/>
        <v>0</v>
      </c>
      <c r="AG972" s="47">
        <f t="shared" si="303"/>
        <v>0</v>
      </c>
      <c r="AH972" s="47">
        <f t="shared" si="304"/>
        <v>0</v>
      </c>
      <c r="AI972" s="208">
        <f t="shared" si="305"/>
        <v>0</v>
      </c>
    </row>
    <row r="973" spans="1:35">
      <c r="A973" t="s">
        <v>2119</v>
      </c>
      <c r="B973" t="s">
        <v>3155</v>
      </c>
      <c r="C973" t="s">
        <v>2580</v>
      </c>
      <c r="D973" t="s">
        <v>4298</v>
      </c>
      <c r="F973" t="s">
        <v>760</v>
      </c>
      <c r="G973" s="126">
        <f>SUMIFS('Support - Transition'!F:F,'Support - Transition'!B:B,'Step 2'!A973,'Support - Transition'!C:C,'Step 2'!B973,'Support - Transition'!D:D,'Step 2'!C973,'Support - Transition'!E:E,"CIVIL")</f>
        <v>0</v>
      </c>
      <c r="H973" s="126">
        <f>SUMIFS('Support - Transition'!F:F,'Support - Transition'!B:B,'Step 2'!A973,'Support - Transition'!C:C,'Step 2'!B973,'Support - Transition'!D:D,'Step 2'!C973,'Support - Transition'!E:E,"FIRE")</f>
        <v>0</v>
      </c>
      <c r="I973" s="126">
        <f>IF(B973="0",SUMIFS('Support - Transition'!F:F,'Support - Transition'!J:J,'Step 2'!D973,'Support - Transition'!E:E,"STATE UNIT"),SUMIFS('Support - Transition'!F:F,'Support - Transition'!J:J,'Step 2'!D973))</f>
        <v>3.3199999999999999E-4</v>
      </c>
      <c r="J973" s="126">
        <f>SUMIFS('Support - Unit Adjustments'!E:E,'Support - Unit Adjustments'!F:F,'Step 2'!D973)</f>
        <v>0</v>
      </c>
      <c r="K973" s="126">
        <f t="shared" si="289"/>
        <v>3.3199999999999999E-4</v>
      </c>
      <c r="L973" s="174">
        <f>VLOOKUP(A973,'Step 1'!$A:$E,4,FALSE)</f>
        <v>301751</v>
      </c>
      <c r="M973" s="47">
        <f t="shared" si="290"/>
        <v>100</v>
      </c>
      <c r="N973" s="177">
        <f>SUMIFS('Support - Transition'!G:G,'Support - Transition'!J:J,'Step 2'!D973,'Support - Transition'!E:E,"2009 WELFARE ALLOCATION FACTOR")</f>
        <v>0</v>
      </c>
      <c r="O973" s="152">
        <f t="shared" si="295"/>
        <v>0</v>
      </c>
      <c r="P973" s="126">
        <f>IF(E973="Y",0,SUMIFS('Support - Transition'!G:G,'Support - Transition'!J:J,'Step 2'!D973,'Support - Transition'!E:E,"2009 SCHOOL ALLOCATION FACTOR"))</f>
        <v>0</v>
      </c>
      <c r="Q973" s="126">
        <f>IF(E973="Y",VLOOKUP(D973,'Support - Unit Adjustments'!F:G,2,FALSE),0)</f>
        <v>0</v>
      </c>
      <c r="R973" s="155">
        <f t="shared" si="307"/>
        <v>0</v>
      </c>
      <c r="S973" s="47">
        <f t="shared" si="306"/>
        <v>0</v>
      </c>
      <c r="T973" s="151">
        <f t="shared" si="291"/>
        <v>100</v>
      </c>
      <c r="U973" s="151">
        <f t="shared" si="292"/>
        <v>0</v>
      </c>
      <c r="V973" s="139">
        <f t="shared" si="293"/>
        <v>0</v>
      </c>
      <c r="W973" s="152">
        <f t="shared" si="296"/>
        <v>100</v>
      </c>
      <c r="X973" s="127" t="str">
        <f t="shared" si="294"/>
        <v/>
      </c>
      <c r="Y973" s="207">
        <f t="shared" si="297"/>
        <v>100</v>
      </c>
      <c r="Z973" s="139">
        <f t="shared" si="298"/>
        <v>100</v>
      </c>
      <c r="AA973" s="139">
        <f t="shared" si="299"/>
        <v>0</v>
      </c>
      <c r="AC973" s="47">
        <f t="shared" si="300"/>
        <v>50</v>
      </c>
      <c r="AD973" s="47">
        <f t="shared" si="301"/>
        <v>50</v>
      </c>
      <c r="AE973" s="47">
        <f t="shared" si="302"/>
        <v>0</v>
      </c>
      <c r="AG973" s="47">
        <f t="shared" si="303"/>
        <v>50</v>
      </c>
      <c r="AH973" s="47">
        <f t="shared" si="304"/>
        <v>50</v>
      </c>
      <c r="AI973" s="208">
        <f t="shared" si="305"/>
        <v>0</v>
      </c>
    </row>
    <row r="974" spans="1:35">
      <c r="A974" t="s">
        <v>2119</v>
      </c>
      <c r="B974" t="s">
        <v>3155</v>
      </c>
      <c r="C974" t="s">
        <v>2581</v>
      </c>
      <c r="D974" t="s">
        <v>4299</v>
      </c>
      <c r="F974" t="s">
        <v>761</v>
      </c>
      <c r="G974" s="126">
        <f>SUMIFS('Support - Transition'!F:F,'Support - Transition'!B:B,'Step 2'!A974,'Support - Transition'!C:C,'Step 2'!B974,'Support - Transition'!D:D,'Step 2'!C974,'Support - Transition'!E:E,"CIVIL")</f>
        <v>0</v>
      </c>
      <c r="H974" s="126">
        <f>SUMIFS('Support - Transition'!F:F,'Support - Transition'!B:B,'Step 2'!A974,'Support - Transition'!C:C,'Step 2'!B974,'Support - Transition'!D:D,'Step 2'!C974,'Support - Transition'!E:E,"FIRE")</f>
        <v>0</v>
      </c>
      <c r="I974" s="126">
        <f>IF(B974="0",SUMIFS('Support - Transition'!F:F,'Support - Transition'!J:J,'Step 2'!D974,'Support - Transition'!E:E,"STATE UNIT"),SUMIFS('Support - Transition'!F:F,'Support - Transition'!J:J,'Step 2'!D974))</f>
        <v>9.3599999999999998E-4</v>
      </c>
      <c r="J974" s="126">
        <f>SUMIFS('Support - Unit Adjustments'!E:E,'Support - Unit Adjustments'!F:F,'Step 2'!D974)</f>
        <v>0</v>
      </c>
      <c r="K974" s="126">
        <f t="shared" si="289"/>
        <v>9.3599999999999998E-4</v>
      </c>
      <c r="L974" s="174">
        <f>VLOOKUP(A974,'Step 1'!$A:$E,4,FALSE)</f>
        <v>301751</v>
      </c>
      <c r="M974" s="47">
        <f t="shared" si="290"/>
        <v>282</v>
      </c>
      <c r="N974" s="177">
        <f>SUMIFS('Support - Transition'!G:G,'Support - Transition'!J:J,'Step 2'!D974,'Support - Transition'!E:E,"2009 WELFARE ALLOCATION FACTOR")</f>
        <v>0</v>
      </c>
      <c r="O974" s="152">
        <f t="shared" si="295"/>
        <v>0</v>
      </c>
      <c r="P974" s="126">
        <f>IF(E974="Y",0,SUMIFS('Support - Transition'!G:G,'Support - Transition'!J:J,'Step 2'!D974,'Support - Transition'!E:E,"2009 SCHOOL ALLOCATION FACTOR"))</f>
        <v>0</v>
      </c>
      <c r="Q974" s="126">
        <f>IF(E974="Y",VLOOKUP(D974,'Support - Unit Adjustments'!F:G,2,FALSE),0)</f>
        <v>0</v>
      </c>
      <c r="R974" s="155">
        <f t="shared" si="307"/>
        <v>0</v>
      </c>
      <c r="S974" s="47">
        <f t="shared" si="306"/>
        <v>0</v>
      </c>
      <c r="T974" s="151">
        <f t="shared" si="291"/>
        <v>282</v>
      </c>
      <c r="U974" s="151">
        <f t="shared" si="292"/>
        <v>0</v>
      </c>
      <c r="V974" s="139">
        <f t="shared" si="293"/>
        <v>0</v>
      </c>
      <c r="W974" s="152">
        <f t="shared" si="296"/>
        <v>282</v>
      </c>
      <c r="X974" s="127" t="str">
        <f t="shared" si="294"/>
        <v/>
      </c>
      <c r="Y974" s="207">
        <f t="shared" si="297"/>
        <v>282</v>
      </c>
      <c r="Z974" s="139">
        <f t="shared" si="298"/>
        <v>282</v>
      </c>
      <c r="AA974" s="139">
        <f t="shared" si="299"/>
        <v>0</v>
      </c>
      <c r="AC974" s="47">
        <f t="shared" si="300"/>
        <v>141</v>
      </c>
      <c r="AD974" s="47">
        <f t="shared" si="301"/>
        <v>141</v>
      </c>
      <c r="AE974" s="47">
        <f t="shared" si="302"/>
        <v>0</v>
      </c>
      <c r="AG974" s="47">
        <f t="shared" si="303"/>
        <v>141</v>
      </c>
      <c r="AH974" s="47">
        <f t="shared" si="304"/>
        <v>141</v>
      </c>
      <c r="AI974" s="208">
        <f t="shared" si="305"/>
        <v>0</v>
      </c>
    </row>
    <row r="975" spans="1:35">
      <c r="A975" t="s">
        <v>2119</v>
      </c>
      <c r="B975" t="s">
        <v>3160</v>
      </c>
      <c r="C975" t="s">
        <v>2582</v>
      </c>
      <c r="D975" t="s">
        <v>4300</v>
      </c>
      <c r="F975" t="s">
        <v>762</v>
      </c>
      <c r="G975" s="126">
        <f>SUMIFS('Support - Transition'!F:F,'Support - Transition'!B:B,'Step 2'!A975,'Support - Transition'!C:C,'Step 2'!B975,'Support - Transition'!D:D,'Step 2'!C975,'Support - Transition'!E:E,"CIVIL")</f>
        <v>0</v>
      </c>
      <c r="H975" s="126">
        <f>SUMIFS('Support - Transition'!F:F,'Support - Transition'!B:B,'Step 2'!A975,'Support - Transition'!C:C,'Step 2'!B975,'Support - Transition'!D:D,'Step 2'!C975,'Support - Transition'!E:E,"FIRE")</f>
        <v>0</v>
      </c>
      <c r="I975" s="126">
        <f>IF(B975="0",SUMIFS('Support - Transition'!F:F,'Support - Transition'!J:J,'Step 2'!D975,'Support - Transition'!E:E,"STATE UNIT"),SUMIFS('Support - Transition'!F:F,'Support - Transition'!J:J,'Step 2'!D975))</f>
        <v>7.9007999999999995E-2</v>
      </c>
      <c r="J975" s="126">
        <f>SUMIFS('Support - Unit Adjustments'!E:E,'Support - Unit Adjustments'!F:F,'Step 2'!D975)</f>
        <v>0</v>
      </c>
      <c r="K975" s="126">
        <f t="shared" si="289"/>
        <v>7.9007999999999995E-2</v>
      </c>
      <c r="L975" s="174">
        <f>VLOOKUP(A975,'Step 1'!$A:$E,4,FALSE)</f>
        <v>301751</v>
      </c>
      <c r="M975" s="47">
        <f t="shared" si="290"/>
        <v>23841</v>
      </c>
      <c r="N975" s="177">
        <f>SUMIFS('Support - Transition'!G:G,'Support - Transition'!J:J,'Step 2'!D975,'Support - Transition'!E:E,"2009 WELFARE ALLOCATION FACTOR")</f>
        <v>0</v>
      </c>
      <c r="O975" s="152">
        <f t="shared" si="295"/>
        <v>0</v>
      </c>
      <c r="P975" s="126">
        <f>IF(E975="Y",0,SUMIFS('Support - Transition'!G:G,'Support - Transition'!J:J,'Step 2'!D975,'Support - Transition'!E:E,"2009 SCHOOL ALLOCATION FACTOR"))</f>
        <v>0.41911999999999999</v>
      </c>
      <c r="Q975" s="126">
        <f>IF(E975="Y",VLOOKUP(D975,'Support - Unit Adjustments'!F:G,2,FALSE),0)</f>
        <v>0</v>
      </c>
      <c r="R975" s="155">
        <f t="shared" si="307"/>
        <v>0.41911999999999999</v>
      </c>
      <c r="S975" s="47">
        <f t="shared" si="306"/>
        <v>9992</v>
      </c>
      <c r="T975" s="151">
        <f t="shared" si="291"/>
        <v>13849</v>
      </c>
      <c r="U975" s="151">
        <f t="shared" si="292"/>
        <v>0</v>
      </c>
      <c r="V975" s="139">
        <f t="shared" si="293"/>
        <v>0</v>
      </c>
      <c r="W975" s="152">
        <f t="shared" si="296"/>
        <v>13849</v>
      </c>
      <c r="X975" s="127" t="str">
        <f t="shared" si="294"/>
        <v/>
      </c>
      <c r="Y975" s="207">
        <f t="shared" si="297"/>
        <v>13849</v>
      </c>
      <c r="Z975" s="139">
        <f t="shared" si="298"/>
        <v>13849</v>
      </c>
      <c r="AA975" s="139">
        <f t="shared" si="299"/>
        <v>0</v>
      </c>
      <c r="AC975" s="47">
        <f t="shared" si="300"/>
        <v>6925</v>
      </c>
      <c r="AD975" s="47">
        <f t="shared" si="301"/>
        <v>6925</v>
      </c>
      <c r="AE975" s="47">
        <f t="shared" si="302"/>
        <v>0</v>
      </c>
      <c r="AG975" s="47">
        <f t="shared" si="303"/>
        <v>6924</v>
      </c>
      <c r="AH975" s="47">
        <f t="shared" si="304"/>
        <v>6924</v>
      </c>
      <c r="AI975" s="208">
        <f t="shared" si="305"/>
        <v>0</v>
      </c>
    </row>
    <row r="976" spans="1:35">
      <c r="A976" t="s">
        <v>2119</v>
      </c>
      <c r="B976" t="s">
        <v>3160</v>
      </c>
      <c r="C976" t="s">
        <v>2583</v>
      </c>
      <c r="D976" t="s">
        <v>4301</v>
      </c>
      <c r="F976" t="s">
        <v>767</v>
      </c>
      <c r="G976" s="126">
        <f>SUMIFS('Support - Transition'!F:F,'Support - Transition'!B:B,'Step 2'!A976,'Support - Transition'!C:C,'Step 2'!B976,'Support - Transition'!D:D,'Step 2'!C976,'Support - Transition'!E:E,"CIVIL")</f>
        <v>0</v>
      </c>
      <c r="H976" s="126">
        <f>SUMIFS('Support - Transition'!F:F,'Support - Transition'!B:B,'Step 2'!A976,'Support - Transition'!C:C,'Step 2'!B976,'Support - Transition'!D:D,'Step 2'!C976,'Support - Transition'!E:E,"FIRE")</f>
        <v>0</v>
      </c>
      <c r="I976" s="126">
        <f>IF(B976="0",SUMIFS('Support - Transition'!F:F,'Support - Transition'!J:J,'Step 2'!D976,'Support - Transition'!E:E,"STATE UNIT"),SUMIFS('Support - Transition'!F:F,'Support - Transition'!J:J,'Step 2'!D976))</f>
        <v>9.7682000000000005E-2</v>
      </c>
      <c r="J976" s="126">
        <f>SUMIFS('Support - Unit Adjustments'!E:E,'Support - Unit Adjustments'!F:F,'Step 2'!D976)</f>
        <v>0</v>
      </c>
      <c r="K976" s="126">
        <f t="shared" si="289"/>
        <v>9.7682000000000005E-2</v>
      </c>
      <c r="L976" s="174">
        <f>VLOOKUP(A976,'Step 1'!$A:$E,4,FALSE)</f>
        <v>301751</v>
      </c>
      <c r="M976" s="47">
        <f t="shared" si="290"/>
        <v>29476</v>
      </c>
      <c r="N976" s="177">
        <f>SUMIFS('Support - Transition'!G:G,'Support - Transition'!J:J,'Step 2'!D976,'Support - Transition'!E:E,"2009 WELFARE ALLOCATION FACTOR")</f>
        <v>0</v>
      </c>
      <c r="O976" s="152">
        <f t="shared" si="295"/>
        <v>0</v>
      </c>
      <c r="P976" s="126">
        <f>IF(E976="Y",0,SUMIFS('Support - Transition'!G:G,'Support - Transition'!J:J,'Step 2'!D976,'Support - Transition'!E:E,"2009 SCHOOL ALLOCATION FACTOR"))</f>
        <v>0.48574699999999998</v>
      </c>
      <c r="Q976" s="126">
        <f>IF(E976="Y",VLOOKUP(D976,'Support - Unit Adjustments'!F:G,2,FALSE),0)</f>
        <v>0</v>
      </c>
      <c r="R976" s="155">
        <f t="shared" si="307"/>
        <v>0.48574699999999998</v>
      </c>
      <c r="S976" s="47">
        <f t="shared" si="306"/>
        <v>14318</v>
      </c>
      <c r="T976" s="151">
        <f t="shared" si="291"/>
        <v>15158</v>
      </c>
      <c r="U976" s="151">
        <f t="shared" si="292"/>
        <v>0</v>
      </c>
      <c r="V976" s="139">
        <f t="shared" si="293"/>
        <v>0</v>
      </c>
      <c r="W976" s="152">
        <f t="shared" si="296"/>
        <v>15158</v>
      </c>
      <c r="X976" s="127" t="str">
        <f t="shared" si="294"/>
        <v/>
      </c>
      <c r="Y976" s="207">
        <f t="shared" si="297"/>
        <v>15158</v>
      </c>
      <c r="Z976" s="139">
        <f t="shared" si="298"/>
        <v>15158</v>
      </c>
      <c r="AA976" s="139">
        <f t="shared" si="299"/>
        <v>0</v>
      </c>
      <c r="AC976" s="47">
        <f t="shared" si="300"/>
        <v>7579</v>
      </c>
      <c r="AD976" s="47">
        <f t="shared" si="301"/>
        <v>7579</v>
      </c>
      <c r="AE976" s="47">
        <f t="shared" si="302"/>
        <v>0</v>
      </c>
      <c r="AG976" s="47">
        <f t="shared" si="303"/>
        <v>7579</v>
      </c>
      <c r="AH976" s="47">
        <f t="shared" si="304"/>
        <v>7579</v>
      </c>
      <c r="AI976" s="208">
        <f t="shared" si="305"/>
        <v>0</v>
      </c>
    </row>
    <row r="977" spans="1:35">
      <c r="A977" t="s">
        <v>2119</v>
      </c>
      <c r="B977" t="s">
        <v>3160</v>
      </c>
      <c r="C977" t="s">
        <v>2584</v>
      </c>
      <c r="D977" t="s">
        <v>4302</v>
      </c>
      <c r="F977" t="s">
        <v>766</v>
      </c>
      <c r="G977" s="126">
        <f>SUMIFS('Support - Transition'!F:F,'Support - Transition'!B:B,'Step 2'!A977,'Support - Transition'!C:C,'Step 2'!B977,'Support - Transition'!D:D,'Step 2'!C977,'Support - Transition'!E:E,"CIVIL")</f>
        <v>0</v>
      </c>
      <c r="H977" s="126">
        <f>SUMIFS('Support - Transition'!F:F,'Support - Transition'!B:B,'Step 2'!A977,'Support - Transition'!C:C,'Step 2'!B977,'Support - Transition'!D:D,'Step 2'!C977,'Support - Transition'!E:E,"FIRE")</f>
        <v>0</v>
      </c>
      <c r="I977" s="126">
        <f>IF(B977="0",SUMIFS('Support - Transition'!F:F,'Support - Transition'!J:J,'Step 2'!D977,'Support - Transition'!E:E,"STATE UNIT"),SUMIFS('Support - Transition'!F:F,'Support - Transition'!J:J,'Step 2'!D977))</f>
        <v>0.111454</v>
      </c>
      <c r="J977" s="126">
        <f>SUMIFS('Support - Unit Adjustments'!E:E,'Support - Unit Adjustments'!F:F,'Step 2'!D977)</f>
        <v>0</v>
      </c>
      <c r="K977" s="126">
        <f t="shared" si="289"/>
        <v>0.111454</v>
      </c>
      <c r="L977" s="174">
        <f>VLOOKUP(A977,'Step 1'!$A:$E,4,FALSE)</f>
        <v>301751</v>
      </c>
      <c r="M977" s="47">
        <f t="shared" si="290"/>
        <v>33631</v>
      </c>
      <c r="N977" s="177">
        <f>SUMIFS('Support - Transition'!G:G,'Support - Transition'!J:J,'Step 2'!D977,'Support - Transition'!E:E,"2009 WELFARE ALLOCATION FACTOR")</f>
        <v>0</v>
      </c>
      <c r="O977" s="152">
        <f t="shared" si="295"/>
        <v>0</v>
      </c>
      <c r="P977" s="126">
        <f>IF(E977="Y",0,SUMIFS('Support - Transition'!G:G,'Support - Transition'!J:J,'Step 2'!D977,'Support - Transition'!E:E,"2009 SCHOOL ALLOCATION FACTOR"))</f>
        <v>0.41815600000000003</v>
      </c>
      <c r="Q977" s="126">
        <f>IF(E977="Y",VLOOKUP(D977,'Support - Unit Adjustments'!F:G,2,FALSE),0)</f>
        <v>0</v>
      </c>
      <c r="R977" s="155">
        <f t="shared" si="307"/>
        <v>0.41815600000000003</v>
      </c>
      <c r="S977" s="47">
        <f t="shared" si="306"/>
        <v>14063</v>
      </c>
      <c r="T977" s="151">
        <f t="shared" si="291"/>
        <v>19568</v>
      </c>
      <c r="U977" s="151">
        <f t="shared" si="292"/>
        <v>0</v>
      </c>
      <c r="V977" s="139">
        <f t="shared" si="293"/>
        <v>0</v>
      </c>
      <c r="W977" s="152">
        <f t="shared" si="296"/>
        <v>19568</v>
      </c>
      <c r="X977" s="127" t="str">
        <f t="shared" si="294"/>
        <v/>
      </c>
      <c r="Y977" s="207">
        <f t="shared" si="297"/>
        <v>19568</v>
      </c>
      <c r="Z977" s="139">
        <f t="shared" si="298"/>
        <v>19568</v>
      </c>
      <c r="AA977" s="139">
        <f t="shared" si="299"/>
        <v>0</v>
      </c>
      <c r="AC977" s="47">
        <f t="shared" si="300"/>
        <v>9784</v>
      </c>
      <c r="AD977" s="47">
        <f t="shared" si="301"/>
        <v>9784</v>
      </c>
      <c r="AE977" s="47">
        <f t="shared" si="302"/>
        <v>0</v>
      </c>
      <c r="AG977" s="47">
        <f t="shared" si="303"/>
        <v>9784</v>
      </c>
      <c r="AH977" s="47">
        <f t="shared" si="304"/>
        <v>9784</v>
      </c>
      <c r="AI977" s="208">
        <f t="shared" si="305"/>
        <v>0</v>
      </c>
    </row>
    <row r="978" spans="1:35">
      <c r="A978" t="s">
        <v>2119</v>
      </c>
      <c r="B978" t="s">
        <v>3160</v>
      </c>
      <c r="C978" t="s">
        <v>2585</v>
      </c>
      <c r="D978" t="s">
        <v>4303</v>
      </c>
      <c r="F978" t="s">
        <v>765</v>
      </c>
      <c r="G978" s="126">
        <f>SUMIFS('Support - Transition'!F:F,'Support - Transition'!B:B,'Step 2'!A978,'Support - Transition'!C:C,'Step 2'!B978,'Support - Transition'!D:D,'Step 2'!C978,'Support - Transition'!E:E,"CIVIL")</f>
        <v>0</v>
      </c>
      <c r="H978" s="126">
        <f>SUMIFS('Support - Transition'!F:F,'Support - Transition'!B:B,'Step 2'!A978,'Support - Transition'!C:C,'Step 2'!B978,'Support - Transition'!D:D,'Step 2'!C978,'Support - Transition'!E:E,"FIRE")</f>
        <v>0</v>
      </c>
      <c r="I978" s="126">
        <f>IF(B978="0",SUMIFS('Support - Transition'!F:F,'Support - Transition'!J:J,'Step 2'!D978,'Support - Transition'!E:E,"STATE UNIT"),SUMIFS('Support - Transition'!F:F,'Support - Transition'!J:J,'Step 2'!D978))</f>
        <v>0.22870599999999999</v>
      </c>
      <c r="J978" s="126">
        <f>SUMIFS('Support - Unit Adjustments'!E:E,'Support - Unit Adjustments'!F:F,'Step 2'!D978)</f>
        <v>0</v>
      </c>
      <c r="K978" s="126">
        <f t="shared" si="289"/>
        <v>0.22870599999999999</v>
      </c>
      <c r="L978" s="174">
        <f>VLOOKUP(A978,'Step 1'!$A:$E,4,FALSE)</f>
        <v>301751</v>
      </c>
      <c r="M978" s="47">
        <f t="shared" si="290"/>
        <v>69012</v>
      </c>
      <c r="N978" s="177">
        <f>SUMIFS('Support - Transition'!G:G,'Support - Transition'!J:J,'Step 2'!D978,'Support - Transition'!E:E,"2009 WELFARE ALLOCATION FACTOR")</f>
        <v>0</v>
      </c>
      <c r="O978" s="152">
        <f t="shared" si="295"/>
        <v>0</v>
      </c>
      <c r="P978" s="126">
        <f>IF(E978="Y",0,SUMIFS('Support - Transition'!G:G,'Support - Transition'!J:J,'Step 2'!D978,'Support - Transition'!E:E,"2009 SCHOOL ALLOCATION FACTOR"))</f>
        <v>0.46383000000000002</v>
      </c>
      <c r="Q978" s="126">
        <f>IF(E978="Y",VLOOKUP(D978,'Support - Unit Adjustments'!F:G,2,FALSE),0)</f>
        <v>0</v>
      </c>
      <c r="R978" s="155">
        <f t="shared" si="307"/>
        <v>0.46383000000000002</v>
      </c>
      <c r="S978" s="47">
        <f t="shared" si="306"/>
        <v>32010</v>
      </c>
      <c r="T978" s="151">
        <f t="shared" si="291"/>
        <v>37002</v>
      </c>
      <c r="U978" s="151">
        <f t="shared" si="292"/>
        <v>0</v>
      </c>
      <c r="V978" s="139">
        <f t="shared" si="293"/>
        <v>0</v>
      </c>
      <c r="W978" s="152">
        <f t="shared" si="296"/>
        <v>37002</v>
      </c>
      <c r="X978" s="127" t="str">
        <f t="shared" si="294"/>
        <v/>
      </c>
      <c r="Y978" s="207">
        <f t="shared" si="297"/>
        <v>37002</v>
      </c>
      <c r="Z978" s="139">
        <f t="shared" si="298"/>
        <v>37002</v>
      </c>
      <c r="AA978" s="139">
        <f t="shared" si="299"/>
        <v>0</v>
      </c>
      <c r="AC978" s="47">
        <f t="shared" si="300"/>
        <v>18501</v>
      </c>
      <c r="AD978" s="47">
        <f t="shared" si="301"/>
        <v>18501</v>
      </c>
      <c r="AE978" s="47">
        <f t="shared" si="302"/>
        <v>0</v>
      </c>
      <c r="AG978" s="47">
        <f t="shared" si="303"/>
        <v>18501</v>
      </c>
      <c r="AH978" s="47">
        <f t="shared" si="304"/>
        <v>18501</v>
      </c>
      <c r="AI978" s="208">
        <f t="shared" si="305"/>
        <v>0</v>
      </c>
    </row>
    <row r="979" spans="1:35">
      <c r="A979" t="s">
        <v>2119</v>
      </c>
      <c r="B979" t="s">
        <v>3160</v>
      </c>
      <c r="C979" t="s">
        <v>2586</v>
      </c>
      <c r="D979" t="s">
        <v>4304</v>
      </c>
      <c r="F979" t="s">
        <v>4305</v>
      </c>
      <c r="G979" s="126">
        <f>SUMIFS('Support - Transition'!F:F,'Support - Transition'!B:B,'Step 2'!A979,'Support - Transition'!C:C,'Step 2'!B979,'Support - Transition'!D:D,'Step 2'!C979,'Support - Transition'!E:E,"CIVIL")</f>
        <v>0</v>
      </c>
      <c r="H979" s="126">
        <f>SUMIFS('Support - Transition'!F:F,'Support - Transition'!B:B,'Step 2'!A979,'Support - Transition'!C:C,'Step 2'!B979,'Support - Transition'!D:D,'Step 2'!C979,'Support - Transition'!E:E,"FIRE")</f>
        <v>0</v>
      </c>
      <c r="I979" s="126">
        <f>IF(B979="0",SUMIFS('Support - Transition'!F:F,'Support - Transition'!J:J,'Step 2'!D979,'Support - Transition'!E:E,"STATE UNIT"),SUMIFS('Support - Transition'!F:F,'Support - Transition'!J:J,'Step 2'!D979))</f>
        <v>8.0276E-2</v>
      </c>
      <c r="J979" s="126">
        <f>SUMIFS('Support - Unit Adjustments'!E:E,'Support - Unit Adjustments'!F:F,'Step 2'!D979)</f>
        <v>0</v>
      </c>
      <c r="K979" s="126">
        <f t="shared" si="289"/>
        <v>8.0276E-2</v>
      </c>
      <c r="L979" s="174">
        <f>VLOOKUP(A979,'Step 1'!$A:$E,4,FALSE)</f>
        <v>301751</v>
      </c>
      <c r="M979" s="47">
        <f t="shared" si="290"/>
        <v>24223</v>
      </c>
      <c r="N979" s="177">
        <f>SUMIFS('Support - Transition'!G:G,'Support - Transition'!J:J,'Step 2'!D979,'Support - Transition'!E:E,"2009 WELFARE ALLOCATION FACTOR")</f>
        <v>0</v>
      </c>
      <c r="O979" s="152">
        <f t="shared" si="295"/>
        <v>0</v>
      </c>
      <c r="P979" s="126">
        <f>IF(E979="Y",0,SUMIFS('Support - Transition'!G:G,'Support - Transition'!J:J,'Step 2'!D979,'Support - Transition'!E:E,"2009 SCHOOL ALLOCATION FACTOR"))</f>
        <v>0.41227799999999998</v>
      </c>
      <c r="Q979" s="126">
        <f>IF(E979="Y",VLOOKUP(D979,'Support - Unit Adjustments'!F:G,2,FALSE),0)</f>
        <v>0</v>
      </c>
      <c r="R979" s="155">
        <f t="shared" si="307"/>
        <v>0.41227799999999998</v>
      </c>
      <c r="S979" s="47">
        <f t="shared" si="306"/>
        <v>9987</v>
      </c>
      <c r="T979" s="151">
        <f t="shared" si="291"/>
        <v>14236</v>
      </c>
      <c r="U979" s="151">
        <f t="shared" si="292"/>
        <v>0</v>
      </c>
      <c r="V979" s="139">
        <f t="shared" si="293"/>
        <v>0</v>
      </c>
      <c r="W979" s="152">
        <f t="shared" si="296"/>
        <v>14236</v>
      </c>
      <c r="X979" s="127" t="str">
        <f t="shared" si="294"/>
        <v/>
      </c>
      <c r="Y979" s="207">
        <f t="shared" si="297"/>
        <v>14236</v>
      </c>
      <c r="Z979" s="139">
        <f t="shared" si="298"/>
        <v>14236</v>
      </c>
      <c r="AA979" s="139">
        <f t="shared" si="299"/>
        <v>0</v>
      </c>
      <c r="AC979" s="47">
        <f t="shared" si="300"/>
        <v>7118</v>
      </c>
      <c r="AD979" s="47">
        <f t="shared" si="301"/>
        <v>7118</v>
      </c>
      <c r="AE979" s="47">
        <f t="shared" si="302"/>
        <v>0</v>
      </c>
      <c r="AG979" s="47">
        <f t="shared" si="303"/>
        <v>7118</v>
      </c>
      <c r="AH979" s="47">
        <f t="shared" si="304"/>
        <v>7118</v>
      </c>
      <c r="AI979" s="208">
        <f t="shared" si="305"/>
        <v>0</v>
      </c>
    </row>
    <row r="980" spans="1:35">
      <c r="A980" t="s">
        <v>2119</v>
      </c>
      <c r="B980" t="s">
        <v>3160</v>
      </c>
      <c r="C980" t="s">
        <v>2587</v>
      </c>
      <c r="D980" t="s">
        <v>4306</v>
      </c>
      <c r="F980" t="s">
        <v>768</v>
      </c>
      <c r="G980" s="126">
        <f>SUMIFS('Support - Transition'!F:F,'Support - Transition'!B:B,'Step 2'!A980,'Support - Transition'!C:C,'Step 2'!B980,'Support - Transition'!D:D,'Step 2'!C980,'Support - Transition'!E:E,"CIVIL")</f>
        <v>0</v>
      </c>
      <c r="H980" s="126">
        <f>SUMIFS('Support - Transition'!F:F,'Support - Transition'!B:B,'Step 2'!A980,'Support - Transition'!C:C,'Step 2'!B980,'Support - Transition'!D:D,'Step 2'!C980,'Support - Transition'!E:E,"FIRE")</f>
        <v>0</v>
      </c>
      <c r="I980" s="126">
        <f>IF(B980="0",SUMIFS('Support - Transition'!F:F,'Support - Transition'!J:J,'Step 2'!D980,'Support - Transition'!E:E,"STATE UNIT"),SUMIFS('Support - Transition'!F:F,'Support - Transition'!J:J,'Step 2'!D980))</f>
        <v>1.0808999999999999E-2</v>
      </c>
      <c r="J980" s="126">
        <f>SUMIFS('Support - Unit Adjustments'!E:E,'Support - Unit Adjustments'!F:F,'Step 2'!D980)</f>
        <v>0</v>
      </c>
      <c r="K980" s="126">
        <f t="shared" si="289"/>
        <v>1.0808999999999999E-2</v>
      </c>
      <c r="L980" s="174">
        <f>VLOOKUP(A980,'Step 1'!$A:$E,4,FALSE)</f>
        <v>301751</v>
      </c>
      <c r="M980" s="47">
        <f t="shared" si="290"/>
        <v>3262</v>
      </c>
      <c r="N980" s="177">
        <f>SUMIFS('Support - Transition'!G:G,'Support - Transition'!J:J,'Step 2'!D980,'Support - Transition'!E:E,"2009 WELFARE ALLOCATION FACTOR")</f>
        <v>0</v>
      </c>
      <c r="O980" s="152">
        <f t="shared" si="295"/>
        <v>0</v>
      </c>
      <c r="P980" s="126">
        <f>IF(E980="Y",0,SUMIFS('Support - Transition'!G:G,'Support - Transition'!J:J,'Step 2'!D980,'Support - Transition'!E:E,"2009 SCHOOL ALLOCATION FACTOR"))</f>
        <v>0.49706600000000001</v>
      </c>
      <c r="Q980" s="126">
        <f>IF(E980="Y",VLOOKUP(D980,'Support - Unit Adjustments'!F:G,2,FALSE),0)</f>
        <v>0</v>
      </c>
      <c r="R980" s="155">
        <f t="shared" si="307"/>
        <v>0.49706600000000001</v>
      </c>
      <c r="S980" s="47">
        <f t="shared" si="306"/>
        <v>1621</v>
      </c>
      <c r="T980" s="151">
        <f t="shared" si="291"/>
        <v>1641</v>
      </c>
      <c r="U980" s="151">
        <f t="shared" si="292"/>
        <v>0</v>
      </c>
      <c r="V980" s="139">
        <f t="shared" si="293"/>
        <v>0</v>
      </c>
      <c r="W980" s="152">
        <f t="shared" si="296"/>
        <v>1641</v>
      </c>
      <c r="X980" s="127" t="str">
        <f t="shared" si="294"/>
        <v/>
      </c>
      <c r="Y980" s="207">
        <f t="shared" si="297"/>
        <v>1641</v>
      </c>
      <c r="Z980" s="139">
        <f t="shared" si="298"/>
        <v>1641</v>
      </c>
      <c r="AA980" s="139">
        <f t="shared" si="299"/>
        <v>0</v>
      </c>
      <c r="AC980" s="47">
        <f t="shared" si="300"/>
        <v>821</v>
      </c>
      <c r="AD980" s="47">
        <f t="shared" si="301"/>
        <v>821</v>
      </c>
      <c r="AE980" s="47">
        <f t="shared" si="302"/>
        <v>0</v>
      </c>
      <c r="AG980" s="47">
        <f t="shared" si="303"/>
        <v>820</v>
      </c>
      <c r="AH980" s="47">
        <f t="shared" si="304"/>
        <v>820</v>
      </c>
      <c r="AI980" s="208">
        <f t="shared" si="305"/>
        <v>0</v>
      </c>
    </row>
    <row r="981" spans="1:35">
      <c r="A981" t="s">
        <v>2119</v>
      </c>
      <c r="B981" t="s">
        <v>3160</v>
      </c>
      <c r="C981" t="s">
        <v>2588</v>
      </c>
      <c r="D981" t="s">
        <v>4307</v>
      </c>
      <c r="F981" t="s">
        <v>764</v>
      </c>
      <c r="G981" s="126">
        <f>SUMIFS('Support - Transition'!F:F,'Support - Transition'!B:B,'Step 2'!A981,'Support - Transition'!C:C,'Step 2'!B981,'Support - Transition'!D:D,'Step 2'!C981,'Support - Transition'!E:E,"CIVIL")</f>
        <v>0</v>
      </c>
      <c r="H981" s="126">
        <f>SUMIFS('Support - Transition'!F:F,'Support - Transition'!B:B,'Step 2'!A981,'Support - Transition'!C:C,'Step 2'!B981,'Support - Transition'!D:D,'Step 2'!C981,'Support - Transition'!E:E,"FIRE")</f>
        <v>0</v>
      </c>
      <c r="I981" s="126">
        <f>IF(B981="0",SUMIFS('Support - Transition'!F:F,'Support - Transition'!J:J,'Step 2'!D981,'Support - Transition'!E:E,"STATE UNIT"),SUMIFS('Support - Transition'!F:F,'Support - Transition'!J:J,'Step 2'!D981))</f>
        <v>4.3369999999999997E-3</v>
      </c>
      <c r="J981" s="126">
        <f>SUMIFS('Support - Unit Adjustments'!E:E,'Support - Unit Adjustments'!F:F,'Step 2'!D981)</f>
        <v>0</v>
      </c>
      <c r="K981" s="126">
        <f t="shared" si="289"/>
        <v>4.3369999999999997E-3</v>
      </c>
      <c r="L981" s="174">
        <f>VLOOKUP(A981,'Step 1'!$A:$E,4,FALSE)</f>
        <v>301751</v>
      </c>
      <c r="M981" s="47">
        <f t="shared" si="290"/>
        <v>1309</v>
      </c>
      <c r="N981" s="177">
        <f>SUMIFS('Support - Transition'!G:G,'Support - Transition'!J:J,'Step 2'!D981,'Support - Transition'!E:E,"2009 WELFARE ALLOCATION FACTOR")</f>
        <v>0</v>
      </c>
      <c r="O981" s="152">
        <f t="shared" si="295"/>
        <v>0</v>
      </c>
      <c r="P981" s="126">
        <f>IF(E981="Y",0,SUMIFS('Support - Transition'!G:G,'Support - Transition'!J:J,'Step 2'!D981,'Support - Transition'!E:E,"2009 SCHOOL ALLOCATION FACTOR"))</f>
        <v>0.43467600000000001</v>
      </c>
      <c r="Q981" s="126">
        <f>IF(E981="Y",VLOOKUP(D981,'Support - Unit Adjustments'!F:G,2,FALSE),0)</f>
        <v>0</v>
      </c>
      <c r="R981" s="155">
        <f t="shared" si="307"/>
        <v>0.43467600000000001</v>
      </c>
      <c r="S981" s="47">
        <f t="shared" si="306"/>
        <v>569</v>
      </c>
      <c r="T981" s="151">
        <f t="shared" si="291"/>
        <v>740</v>
      </c>
      <c r="U981" s="151">
        <f t="shared" si="292"/>
        <v>0</v>
      </c>
      <c r="V981" s="139">
        <f t="shared" si="293"/>
        <v>0</v>
      </c>
      <c r="W981" s="152">
        <f t="shared" si="296"/>
        <v>740</v>
      </c>
      <c r="X981" s="127" t="str">
        <f t="shared" si="294"/>
        <v/>
      </c>
      <c r="Y981" s="207">
        <f t="shared" si="297"/>
        <v>740</v>
      </c>
      <c r="Z981" s="139">
        <f t="shared" si="298"/>
        <v>740</v>
      </c>
      <c r="AA981" s="139">
        <f t="shared" si="299"/>
        <v>0</v>
      </c>
      <c r="AC981" s="47">
        <f t="shared" si="300"/>
        <v>370</v>
      </c>
      <c r="AD981" s="47">
        <f t="shared" si="301"/>
        <v>370</v>
      </c>
      <c r="AE981" s="47">
        <f t="shared" si="302"/>
        <v>0</v>
      </c>
      <c r="AG981" s="47">
        <f t="shared" si="303"/>
        <v>370</v>
      </c>
      <c r="AH981" s="47">
        <f t="shared" si="304"/>
        <v>370</v>
      </c>
      <c r="AI981" s="208">
        <f t="shared" si="305"/>
        <v>0</v>
      </c>
    </row>
    <row r="982" spans="1:35">
      <c r="A982" t="s">
        <v>2119</v>
      </c>
      <c r="B982" t="s">
        <v>3166</v>
      </c>
      <c r="C982" t="s">
        <v>4308</v>
      </c>
      <c r="D982" t="s">
        <v>4309</v>
      </c>
      <c r="F982" t="s">
        <v>769</v>
      </c>
      <c r="G982" s="126">
        <f>SUMIFS('Support - Transition'!F:F,'Support - Transition'!B:B,'Step 2'!A982,'Support - Transition'!C:C,'Step 2'!B982,'Support - Transition'!D:D,'Step 2'!C982,'Support - Transition'!E:E,"CIVIL")</f>
        <v>0</v>
      </c>
      <c r="H982" s="126">
        <f>SUMIFS('Support - Transition'!F:F,'Support - Transition'!B:B,'Step 2'!A982,'Support - Transition'!C:C,'Step 2'!B982,'Support - Transition'!D:D,'Step 2'!C982,'Support - Transition'!E:E,"FIRE")</f>
        <v>0</v>
      </c>
      <c r="I982" s="126">
        <f>IF(B982="0",SUMIFS('Support - Transition'!F:F,'Support - Transition'!J:J,'Step 2'!D982,'Support - Transition'!E:E,"STATE UNIT"),SUMIFS('Support - Transition'!F:F,'Support - Transition'!J:J,'Step 2'!D982))</f>
        <v>1.0660000000000001E-3</v>
      </c>
      <c r="J982" s="126">
        <f>SUMIFS('Support - Unit Adjustments'!E:E,'Support - Unit Adjustments'!F:F,'Step 2'!D982)</f>
        <v>0</v>
      </c>
      <c r="K982" s="126">
        <f t="shared" si="289"/>
        <v>1.0660000000000001E-3</v>
      </c>
      <c r="L982" s="174">
        <f>VLOOKUP(A982,'Step 1'!$A:$E,4,FALSE)</f>
        <v>301751</v>
      </c>
      <c r="M982" s="47">
        <f t="shared" si="290"/>
        <v>322</v>
      </c>
      <c r="N982" s="177">
        <f>SUMIFS('Support - Transition'!G:G,'Support - Transition'!J:J,'Step 2'!D982,'Support - Transition'!E:E,"2009 WELFARE ALLOCATION FACTOR")</f>
        <v>0</v>
      </c>
      <c r="O982" s="152">
        <f t="shared" si="295"/>
        <v>0</v>
      </c>
      <c r="P982" s="126">
        <f>IF(E982="Y",0,SUMIFS('Support - Transition'!G:G,'Support - Transition'!J:J,'Step 2'!D982,'Support - Transition'!E:E,"2009 SCHOOL ALLOCATION FACTOR"))</f>
        <v>0</v>
      </c>
      <c r="Q982" s="126">
        <f>IF(E982="Y",VLOOKUP(D982,'Support - Unit Adjustments'!F:G,2,FALSE),0)</f>
        <v>0</v>
      </c>
      <c r="R982" s="155">
        <f t="shared" si="307"/>
        <v>0</v>
      </c>
      <c r="S982" s="47">
        <f t="shared" si="306"/>
        <v>0</v>
      </c>
      <c r="T982" s="151">
        <f t="shared" si="291"/>
        <v>322</v>
      </c>
      <c r="U982" s="151">
        <f t="shared" si="292"/>
        <v>0</v>
      </c>
      <c r="V982" s="139">
        <f t="shared" si="293"/>
        <v>0</v>
      </c>
      <c r="W982" s="152">
        <f t="shared" si="296"/>
        <v>322</v>
      </c>
      <c r="X982" s="127" t="str">
        <f t="shared" si="294"/>
        <v/>
      </c>
      <c r="Y982" s="207">
        <f t="shared" si="297"/>
        <v>322</v>
      </c>
      <c r="Z982" s="139">
        <f t="shared" si="298"/>
        <v>322</v>
      </c>
      <c r="AA982" s="139">
        <f t="shared" si="299"/>
        <v>0</v>
      </c>
      <c r="AC982" s="47">
        <f t="shared" si="300"/>
        <v>161</v>
      </c>
      <c r="AD982" s="47">
        <f t="shared" si="301"/>
        <v>161</v>
      </c>
      <c r="AE982" s="47">
        <f t="shared" si="302"/>
        <v>0</v>
      </c>
      <c r="AG982" s="47">
        <f t="shared" si="303"/>
        <v>161</v>
      </c>
      <c r="AH982" s="47">
        <f t="shared" si="304"/>
        <v>161</v>
      </c>
      <c r="AI982" s="208">
        <f t="shared" si="305"/>
        <v>0</v>
      </c>
    </row>
    <row r="983" spans="1:35">
      <c r="A983" t="s">
        <v>2119</v>
      </c>
      <c r="B983" t="s">
        <v>3166</v>
      </c>
      <c r="C983" t="s">
        <v>4310</v>
      </c>
      <c r="D983" t="s">
        <v>4311</v>
      </c>
      <c r="F983" t="s">
        <v>4312</v>
      </c>
      <c r="G983" s="126">
        <f>SUMIFS('Support - Transition'!F:F,'Support - Transition'!B:B,'Step 2'!A983,'Support - Transition'!C:C,'Step 2'!B983,'Support - Transition'!D:D,'Step 2'!C983,'Support - Transition'!E:E,"CIVIL")</f>
        <v>0</v>
      </c>
      <c r="H983" s="126">
        <f>SUMIFS('Support - Transition'!F:F,'Support - Transition'!B:B,'Step 2'!A983,'Support - Transition'!C:C,'Step 2'!B983,'Support - Transition'!D:D,'Step 2'!C983,'Support - Transition'!E:E,"FIRE")</f>
        <v>0</v>
      </c>
      <c r="I983" s="126">
        <f>IF(B983="0",SUMIFS('Support - Transition'!F:F,'Support - Transition'!J:J,'Step 2'!D983,'Support - Transition'!E:E,"STATE UNIT"),SUMIFS('Support - Transition'!F:F,'Support - Transition'!J:J,'Step 2'!D983))</f>
        <v>3.0049999999999999E-3</v>
      </c>
      <c r="J983" s="126">
        <f>SUMIFS('Support - Unit Adjustments'!E:E,'Support - Unit Adjustments'!F:F,'Step 2'!D983)</f>
        <v>0</v>
      </c>
      <c r="K983" s="126">
        <f t="shared" si="289"/>
        <v>3.0049999999999999E-3</v>
      </c>
      <c r="L983" s="174">
        <f>VLOOKUP(A983,'Step 1'!$A:$E,4,FALSE)</f>
        <v>301751</v>
      </c>
      <c r="M983" s="47">
        <f t="shared" si="290"/>
        <v>907</v>
      </c>
      <c r="N983" s="177">
        <f>SUMIFS('Support - Transition'!G:G,'Support - Transition'!J:J,'Step 2'!D983,'Support - Transition'!E:E,"2009 WELFARE ALLOCATION FACTOR")</f>
        <v>0</v>
      </c>
      <c r="O983" s="152">
        <f t="shared" si="295"/>
        <v>0</v>
      </c>
      <c r="P983" s="126">
        <f>IF(E983="Y",0,SUMIFS('Support - Transition'!G:G,'Support - Transition'!J:J,'Step 2'!D983,'Support - Transition'!E:E,"2009 SCHOOL ALLOCATION FACTOR"))</f>
        <v>0</v>
      </c>
      <c r="Q983" s="126">
        <f>IF(E983="Y",VLOOKUP(D983,'Support - Unit Adjustments'!F:G,2,FALSE),0)</f>
        <v>0</v>
      </c>
      <c r="R983" s="155">
        <f t="shared" si="307"/>
        <v>0</v>
      </c>
      <c r="S983" s="47">
        <f t="shared" si="306"/>
        <v>0</v>
      </c>
      <c r="T983" s="151">
        <f t="shared" si="291"/>
        <v>907</v>
      </c>
      <c r="U983" s="151">
        <f t="shared" si="292"/>
        <v>0</v>
      </c>
      <c r="V983" s="139">
        <f t="shared" si="293"/>
        <v>0</v>
      </c>
      <c r="W983" s="152">
        <f t="shared" si="296"/>
        <v>907</v>
      </c>
      <c r="X983" s="127" t="str">
        <f t="shared" si="294"/>
        <v/>
      </c>
      <c r="Y983" s="207">
        <f t="shared" si="297"/>
        <v>907</v>
      </c>
      <c r="Z983" s="139">
        <f t="shared" si="298"/>
        <v>907</v>
      </c>
      <c r="AA983" s="139">
        <f t="shared" si="299"/>
        <v>0</v>
      </c>
      <c r="AC983" s="47">
        <f t="shared" si="300"/>
        <v>454</v>
      </c>
      <c r="AD983" s="47">
        <f t="shared" si="301"/>
        <v>454</v>
      </c>
      <c r="AE983" s="47">
        <f t="shared" si="302"/>
        <v>0</v>
      </c>
      <c r="AG983" s="47">
        <f t="shared" si="303"/>
        <v>453</v>
      </c>
      <c r="AH983" s="47">
        <f t="shared" si="304"/>
        <v>453</v>
      </c>
      <c r="AI983" s="208">
        <f t="shared" si="305"/>
        <v>0</v>
      </c>
    </row>
    <row r="984" spans="1:35">
      <c r="A984" t="s">
        <v>2119</v>
      </c>
      <c r="B984" t="s">
        <v>3166</v>
      </c>
      <c r="C984" t="s">
        <v>2589</v>
      </c>
      <c r="D984" t="s">
        <v>4313</v>
      </c>
      <c r="F984" t="s">
        <v>772</v>
      </c>
      <c r="G984" s="126">
        <f>SUMIFS('Support - Transition'!F:F,'Support - Transition'!B:B,'Step 2'!A984,'Support - Transition'!C:C,'Step 2'!B984,'Support - Transition'!D:D,'Step 2'!C984,'Support - Transition'!E:E,"CIVIL")</f>
        <v>0</v>
      </c>
      <c r="H984" s="126">
        <f>SUMIFS('Support - Transition'!F:F,'Support - Transition'!B:B,'Step 2'!A984,'Support - Transition'!C:C,'Step 2'!B984,'Support - Transition'!D:D,'Step 2'!C984,'Support - Transition'!E:E,"FIRE")</f>
        <v>0</v>
      </c>
      <c r="I984" s="126">
        <f>IF(B984="0",SUMIFS('Support - Transition'!F:F,'Support - Transition'!J:J,'Step 2'!D984,'Support - Transition'!E:E,"STATE UNIT"),SUMIFS('Support - Transition'!F:F,'Support - Transition'!J:J,'Step 2'!D984))</f>
        <v>6.1800000000011845E-4</v>
      </c>
      <c r="J984" s="126">
        <f>SUMIFS('Support - Unit Adjustments'!E:E,'Support - Unit Adjustments'!F:F,'Step 2'!D984)</f>
        <v>0</v>
      </c>
      <c r="K984" s="126">
        <f t="shared" si="289"/>
        <v>6.1800000000011845E-4</v>
      </c>
      <c r="L984" s="174">
        <f>VLOOKUP(A984,'Step 1'!$A:$E,4,FALSE)</f>
        <v>301751</v>
      </c>
      <c r="M984" s="47">
        <f t="shared" si="290"/>
        <v>186</v>
      </c>
      <c r="N984" s="177">
        <f>SUMIFS('Support - Transition'!G:G,'Support - Transition'!J:J,'Step 2'!D984,'Support - Transition'!E:E,"2009 WELFARE ALLOCATION FACTOR")</f>
        <v>0</v>
      </c>
      <c r="O984" s="152">
        <f t="shared" si="295"/>
        <v>0</v>
      </c>
      <c r="P984" s="126">
        <f>IF(E984="Y",0,SUMIFS('Support - Transition'!G:G,'Support - Transition'!J:J,'Step 2'!D984,'Support - Transition'!E:E,"2009 SCHOOL ALLOCATION FACTOR"))</f>
        <v>0</v>
      </c>
      <c r="Q984" s="126">
        <f>IF(E984="Y",VLOOKUP(D984,'Support - Unit Adjustments'!F:G,2,FALSE),0)</f>
        <v>0</v>
      </c>
      <c r="R984" s="155">
        <f t="shared" si="307"/>
        <v>0</v>
      </c>
      <c r="S984" s="47">
        <f t="shared" si="306"/>
        <v>0</v>
      </c>
      <c r="T984" s="151">
        <f t="shared" si="291"/>
        <v>186</v>
      </c>
      <c r="U984" s="151">
        <f t="shared" si="292"/>
        <v>0</v>
      </c>
      <c r="V984" s="139">
        <f t="shared" si="293"/>
        <v>0</v>
      </c>
      <c r="W984" s="152">
        <f t="shared" si="296"/>
        <v>186</v>
      </c>
      <c r="X984" s="127" t="str">
        <f t="shared" si="294"/>
        <v/>
      </c>
      <c r="Y984" s="207">
        <f t="shared" si="297"/>
        <v>186</v>
      </c>
      <c r="Z984" s="139">
        <f t="shared" si="298"/>
        <v>186</v>
      </c>
      <c r="AA984" s="139">
        <f t="shared" si="299"/>
        <v>0</v>
      </c>
      <c r="AC984" s="47">
        <f t="shared" si="300"/>
        <v>93</v>
      </c>
      <c r="AD984" s="47">
        <f t="shared" si="301"/>
        <v>93</v>
      </c>
      <c r="AE984" s="47">
        <f t="shared" si="302"/>
        <v>0</v>
      </c>
      <c r="AG984" s="47">
        <f t="shared" si="303"/>
        <v>93</v>
      </c>
      <c r="AH984" s="47">
        <f t="shared" si="304"/>
        <v>93</v>
      </c>
      <c r="AI984" s="208">
        <f t="shared" si="305"/>
        <v>0</v>
      </c>
    </row>
    <row r="985" spans="1:35">
      <c r="A985" t="s">
        <v>2119</v>
      </c>
      <c r="B985" t="s">
        <v>3166</v>
      </c>
      <c r="C985" t="s">
        <v>4314</v>
      </c>
      <c r="D985" t="s">
        <v>4315</v>
      </c>
      <c r="F985" t="s">
        <v>771</v>
      </c>
      <c r="G985" s="126">
        <f>SUMIFS('Support - Transition'!F:F,'Support - Transition'!B:B,'Step 2'!A985,'Support - Transition'!C:C,'Step 2'!B985,'Support - Transition'!D:D,'Step 2'!C985,'Support - Transition'!E:E,"CIVIL")</f>
        <v>0</v>
      </c>
      <c r="H985" s="126">
        <f>SUMIFS('Support - Transition'!F:F,'Support - Transition'!B:B,'Step 2'!A985,'Support - Transition'!C:C,'Step 2'!B985,'Support - Transition'!D:D,'Step 2'!C985,'Support - Transition'!E:E,"FIRE")</f>
        <v>0</v>
      </c>
      <c r="I985" s="126">
        <f>IF(B985="0",SUMIFS('Support - Transition'!F:F,'Support - Transition'!J:J,'Step 2'!D985,'Support - Transition'!E:E,"STATE UNIT"),SUMIFS('Support - Transition'!F:F,'Support - Transition'!J:J,'Step 2'!D985))</f>
        <v>2.5302999999999999E-2</v>
      </c>
      <c r="J985" s="126">
        <f>SUMIFS('Support - Unit Adjustments'!E:E,'Support - Unit Adjustments'!F:F,'Step 2'!D985)</f>
        <v>0</v>
      </c>
      <c r="K985" s="126">
        <f t="shared" si="289"/>
        <v>2.5302999999999999E-2</v>
      </c>
      <c r="L985" s="174">
        <f>VLOOKUP(A985,'Step 1'!$A:$E,4,FALSE)</f>
        <v>301751</v>
      </c>
      <c r="M985" s="47">
        <f t="shared" si="290"/>
        <v>7635</v>
      </c>
      <c r="N985" s="177">
        <f>SUMIFS('Support - Transition'!G:G,'Support - Transition'!J:J,'Step 2'!D985,'Support - Transition'!E:E,"2009 WELFARE ALLOCATION FACTOR")</f>
        <v>0</v>
      </c>
      <c r="O985" s="152">
        <f t="shared" si="295"/>
        <v>0</v>
      </c>
      <c r="P985" s="126">
        <f>IF(E985="Y",0,SUMIFS('Support - Transition'!G:G,'Support - Transition'!J:J,'Step 2'!D985,'Support - Transition'!E:E,"2009 SCHOOL ALLOCATION FACTOR"))</f>
        <v>0</v>
      </c>
      <c r="Q985" s="126">
        <f>IF(E985="Y",VLOOKUP(D985,'Support - Unit Adjustments'!F:G,2,FALSE),0)</f>
        <v>0</v>
      </c>
      <c r="R985" s="155">
        <f t="shared" si="307"/>
        <v>0</v>
      </c>
      <c r="S985" s="47">
        <f t="shared" si="306"/>
        <v>0</v>
      </c>
      <c r="T985" s="151">
        <f t="shared" si="291"/>
        <v>7635</v>
      </c>
      <c r="U985" s="151">
        <f t="shared" si="292"/>
        <v>0</v>
      </c>
      <c r="V985" s="139">
        <f t="shared" si="293"/>
        <v>0</v>
      </c>
      <c r="W985" s="152">
        <f t="shared" si="296"/>
        <v>7635</v>
      </c>
      <c r="X985" s="127" t="str">
        <f t="shared" si="294"/>
        <v/>
      </c>
      <c r="Y985" s="207">
        <f t="shared" si="297"/>
        <v>7635</v>
      </c>
      <c r="Z985" s="139">
        <f t="shared" si="298"/>
        <v>7635</v>
      </c>
      <c r="AA985" s="139">
        <f t="shared" si="299"/>
        <v>0</v>
      </c>
      <c r="AC985" s="47">
        <f t="shared" si="300"/>
        <v>3818</v>
      </c>
      <c r="AD985" s="47">
        <f t="shared" si="301"/>
        <v>3818</v>
      </c>
      <c r="AE985" s="47">
        <f t="shared" si="302"/>
        <v>0</v>
      </c>
      <c r="AG985" s="47">
        <f t="shared" si="303"/>
        <v>3817</v>
      </c>
      <c r="AH985" s="47">
        <f t="shared" si="304"/>
        <v>3817</v>
      </c>
      <c r="AI985" s="208">
        <f t="shared" si="305"/>
        <v>0</v>
      </c>
    </row>
    <row r="986" spans="1:35">
      <c r="A986" t="s">
        <v>2119</v>
      </c>
      <c r="B986" t="s">
        <v>3170</v>
      </c>
      <c r="C986" t="s">
        <v>4316</v>
      </c>
      <c r="D986" t="s">
        <v>4317</v>
      </c>
      <c r="F986" t="s">
        <v>4318</v>
      </c>
      <c r="G986" s="126">
        <f>SUMIFS('Support - Transition'!F:F,'Support - Transition'!B:B,'Step 2'!A986,'Support - Transition'!C:C,'Step 2'!B986,'Support - Transition'!D:D,'Step 2'!C986,'Support - Transition'!E:E,"CIVIL")</f>
        <v>0</v>
      </c>
      <c r="H986" s="126">
        <f>SUMIFS('Support - Transition'!F:F,'Support - Transition'!B:B,'Step 2'!A986,'Support - Transition'!C:C,'Step 2'!B986,'Support - Transition'!D:D,'Step 2'!C986,'Support - Transition'!E:E,"FIRE")</f>
        <v>0</v>
      </c>
      <c r="I986" s="126">
        <f>IF(B986="0",SUMIFS('Support - Transition'!F:F,'Support - Transition'!J:J,'Step 2'!D986,'Support - Transition'!E:E,"STATE UNIT"),SUMIFS('Support - Transition'!F:F,'Support - Transition'!J:J,'Step 2'!D986))</f>
        <v>0</v>
      </c>
      <c r="J986" s="126">
        <f>SUMIFS('Support - Unit Adjustments'!E:E,'Support - Unit Adjustments'!F:F,'Step 2'!D986)</f>
        <v>0</v>
      </c>
      <c r="K986" s="126">
        <f t="shared" si="289"/>
        <v>0</v>
      </c>
      <c r="L986" s="174">
        <f>VLOOKUP(A986,'Step 1'!$A:$E,4,FALSE)</f>
        <v>301751</v>
      </c>
      <c r="M986" s="47">
        <f t="shared" si="290"/>
        <v>0</v>
      </c>
      <c r="N986" s="177">
        <f>SUMIFS('Support - Transition'!G:G,'Support - Transition'!J:J,'Step 2'!D986,'Support - Transition'!E:E,"2009 WELFARE ALLOCATION FACTOR")</f>
        <v>0</v>
      </c>
      <c r="O986" s="152">
        <f t="shared" si="295"/>
        <v>0</v>
      </c>
      <c r="P986" s="126">
        <f>IF(E986="Y",0,SUMIFS('Support - Transition'!G:G,'Support - Transition'!J:J,'Step 2'!D986,'Support - Transition'!E:E,"2009 SCHOOL ALLOCATION FACTOR"))</f>
        <v>0</v>
      </c>
      <c r="Q986" s="126">
        <f>IF(E986="Y",VLOOKUP(D986,'Support - Unit Adjustments'!F:G,2,FALSE),0)</f>
        <v>0</v>
      </c>
      <c r="R986" s="155">
        <f t="shared" si="307"/>
        <v>0</v>
      </c>
      <c r="S986" s="47">
        <f t="shared" si="306"/>
        <v>0</v>
      </c>
      <c r="T986" s="151">
        <f t="shared" si="291"/>
        <v>0</v>
      </c>
      <c r="U986" s="151">
        <f t="shared" si="292"/>
        <v>0</v>
      </c>
      <c r="V986" s="139">
        <f t="shared" si="293"/>
        <v>0</v>
      </c>
      <c r="W986" s="152">
        <f t="shared" si="296"/>
        <v>0</v>
      </c>
      <c r="X986" s="127" t="str">
        <f t="shared" si="294"/>
        <v/>
      </c>
      <c r="Y986" s="207">
        <f t="shared" si="297"/>
        <v>0</v>
      </c>
      <c r="Z986" s="139">
        <f t="shared" si="298"/>
        <v>0</v>
      </c>
      <c r="AA986" s="139">
        <f t="shared" si="299"/>
        <v>0</v>
      </c>
      <c r="AC986" s="47">
        <f t="shared" si="300"/>
        <v>0</v>
      </c>
      <c r="AD986" s="47">
        <f t="shared" si="301"/>
        <v>0</v>
      </c>
      <c r="AE986" s="47">
        <f t="shared" si="302"/>
        <v>0</v>
      </c>
      <c r="AG986" s="47">
        <f t="shared" si="303"/>
        <v>0</v>
      </c>
      <c r="AH986" s="47">
        <f t="shared" si="304"/>
        <v>0</v>
      </c>
      <c r="AI986" s="208">
        <f t="shared" si="305"/>
        <v>0</v>
      </c>
    </row>
    <row r="987" spans="1:35">
      <c r="A987" t="s">
        <v>2119</v>
      </c>
      <c r="B987" t="s">
        <v>3286</v>
      </c>
      <c r="C987" t="s">
        <v>3638</v>
      </c>
      <c r="D987" t="s">
        <v>4319</v>
      </c>
      <c r="F987" t="s">
        <v>4320</v>
      </c>
      <c r="G987" s="126">
        <f>SUMIFS('Support - Transition'!F:F,'Support - Transition'!B:B,'Step 2'!A987,'Support - Transition'!C:C,'Step 2'!B987,'Support - Transition'!D:D,'Step 2'!C987,'Support - Transition'!E:E,"CIVIL")</f>
        <v>0</v>
      </c>
      <c r="H987" s="126">
        <f>SUMIFS('Support - Transition'!F:F,'Support - Transition'!B:B,'Step 2'!A987,'Support - Transition'!C:C,'Step 2'!B987,'Support - Transition'!D:D,'Step 2'!C987,'Support - Transition'!E:E,"FIRE")</f>
        <v>0</v>
      </c>
      <c r="I987" s="126">
        <f>IF(B987="0",SUMIFS('Support - Transition'!F:F,'Support - Transition'!J:J,'Step 2'!D987,'Support - Transition'!E:E,"STATE UNIT"),SUMIFS('Support - Transition'!F:F,'Support - Transition'!J:J,'Step 2'!D987))</f>
        <v>0</v>
      </c>
      <c r="J987" s="126">
        <f>SUMIFS('Support - Unit Adjustments'!E:E,'Support - Unit Adjustments'!F:F,'Step 2'!D987)</f>
        <v>0</v>
      </c>
      <c r="K987" s="126">
        <f t="shared" si="289"/>
        <v>0</v>
      </c>
      <c r="L987" s="174">
        <f>VLOOKUP(A987,'Step 1'!$A:$E,4,FALSE)</f>
        <v>301751</v>
      </c>
      <c r="M987" s="47">
        <f t="shared" si="290"/>
        <v>0</v>
      </c>
      <c r="N987" s="177">
        <f>SUMIFS('Support - Transition'!G:G,'Support - Transition'!J:J,'Step 2'!D987,'Support - Transition'!E:E,"2009 WELFARE ALLOCATION FACTOR")</f>
        <v>0</v>
      </c>
      <c r="O987" s="152">
        <f t="shared" si="295"/>
        <v>0</v>
      </c>
      <c r="P987" s="126">
        <f>IF(E987="Y",0,SUMIFS('Support - Transition'!G:G,'Support - Transition'!J:J,'Step 2'!D987,'Support - Transition'!E:E,"2009 SCHOOL ALLOCATION FACTOR"))</f>
        <v>0</v>
      </c>
      <c r="Q987" s="126">
        <f>IF(E987="Y",VLOOKUP(D987,'Support - Unit Adjustments'!F:G,2,FALSE),0)</f>
        <v>0</v>
      </c>
      <c r="R987" s="155">
        <f t="shared" si="307"/>
        <v>0</v>
      </c>
      <c r="S987" s="47">
        <f t="shared" si="306"/>
        <v>0</v>
      </c>
      <c r="T987" s="151">
        <f t="shared" si="291"/>
        <v>0</v>
      </c>
      <c r="U987" s="151">
        <f t="shared" si="292"/>
        <v>0</v>
      </c>
      <c r="V987" s="139">
        <f t="shared" si="293"/>
        <v>0</v>
      </c>
      <c r="W987" s="152">
        <f t="shared" si="296"/>
        <v>0</v>
      </c>
      <c r="X987" s="127" t="str">
        <f t="shared" si="294"/>
        <v/>
      </c>
      <c r="Y987" s="207">
        <f t="shared" si="297"/>
        <v>0</v>
      </c>
      <c r="Z987" s="139">
        <f t="shared" si="298"/>
        <v>0</v>
      </c>
      <c r="AA987" s="139">
        <f t="shared" si="299"/>
        <v>0</v>
      </c>
      <c r="AC987" s="47">
        <f t="shared" si="300"/>
        <v>0</v>
      </c>
      <c r="AD987" s="47">
        <f t="shared" si="301"/>
        <v>0</v>
      </c>
      <c r="AE987" s="47">
        <f t="shared" si="302"/>
        <v>0</v>
      </c>
      <c r="AG987" s="47">
        <f t="shared" si="303"/>
        <v>0</v>
      </c>
      <c r="AH987" s="47">
        <f t="shared" si="304"/>
        <v>0</v>
      </c>
      <c r="AI987" s="208">
        <f t="shared" si="305"/>
        <v>0</v>
      </c>
    </row>
    <row r="988" spans="1:35">
      <c r="A988" t="s">
        <v>2120</v>
      </c>
      <c r="B988" s="48" t="s">
        <v>6274</v>
      </c>
      <c r="C988" t="s">
        <v>2187</v>
      </c>
      <c r="D988" t="str">
        <f>A988&amp;B988&amp;C988</f>
        <v>3400000</v>
      </c>
      <c r="F988" t="s">
        <v>6308</v>
      </c>
      <c r="G988" s="126">
        <f>SUMIFS('Support - Transition'!F:F,'Support - Transition'!B:B,'Step 2'!A988,'Support - Transition'!C:C,'Step 2'!B988,'Support - Transition'!D:D,'Step 2'!C988,'Support - Transition'!E:E,"CIVIL")</f>
        <v>0</v>
      </c>
      <c r="H988" s="126">
        <f>SUMIFS('Support - Transition'!F:F,'Support - Transition'!B:B,'Step 2'!A988,'Support - Transition'!C:C,'Step 2'!B988,'Support - Transition'!D:D,'Step 2'!C988,'Support - Transition'!E:E,"FIRE")</f>
        <v>0</v>
      </c>
      <c r="I988" s="126">
        <f>IF(B988="0",SUMIFS('Support - Transition'!F:F,'Support - Transition'!J:J,'Step 2'!D988,'Support - Transition'!E:E,"STATE UNIT"),SUMIFS('Support - Transition'!F:F,'Support - Transition'!J:J,'Step 2'!D988))</f>
        <v>1.114E-3</v>
      </c>
      <c r="J988" s="126">
        <f>SUMIFS('Support - Unit Adjustments'!E:E,'Support - Unit Adjustments'!F:F,'Step 2'!D988)</f>
        <v>0</v>
      </c>
      <c r="K988" s="126">
        <f t="shared" si="289"/>
        <v>1.114E-3</v>
      </c>
      <c r="L988" s="174">
        <f>VLOOKUP(A988,'Step 1'!$A:$E,4,FALSE)</f>
        <v>545828</v>
      </c>
      <c r="M988" s="47">
        <f t="shared" si="290"/>
        <v>608</v>
      </c>
      <c r="N988" s="177">
        <f>SUMIFS('Support - Transition'!G:G,'Support - Transition'!J:J,'Step 2'!D988,'Support - Transition'!E:E,"2009 WELFARE ALLOCATION FACTOR")</f>
        <v>0</v>
      </c>
      <c r="O988" s="152">
        <f t="shared" si="295"/>
        <v>0</v>
      </c>
      <c r="P988" s="126">
        <f>IF(E988="Y",0,SUMIFS('Support - Transition'!G:G,'Support - Transition'!J:J,'Step 2'!D988,'Support - Transition'!E:E,"2009 SCHOOL ALLOCATION FACTOR"))</f>
        <v>0</v>
      </c>
      <c r="Q988" s="126">
        <f>IF(E988="Y",VLOOKUP(D988,'Support - Unit Adjustments'!F:G,2,FALSE),0)</f>
        <v>0</v>
      </c>
      <c r="R988" s="155">
        <f t="shared" si="307"/>
        <v>0</v>
      </c>
      <c r="S988" s="47">
        <f t="shared" si="306"/>
        <v>0</v>
      </c>
      <c r="T988" s="151">
        <f t="shared" si="291"/>
        <v>608</v>
      </c>
      <c r="U988" s="151">
        <f t="shared" si="292"/>
        <v>545830</v>
      </c>
      <c r="V988" s="139">
        <f t="shared" si="293"/>
        <v>2</v>
      </c>
      <c r="W988" s="152">
        <f t="shared" si="296"/>
        <v>606</v>
      </c>
      <c r="X988" s="127">
        <f t="shared" si="294"/>
        <v>0</v>
      </c>
      <c r="Y988" s="207">
        <f t="shared" si="297"/>
        <v>606</v>
      </c>
      <c r="Z988" s="139">
        <f t="shared" si="298"/>
        <v>606</v>
      </c>
      <c r="AA988" s="139">
        <f t="shared" si="299"/>
        <v>0</v>
      </c>
      <c r="AC988" s="47">
        <f t="shared" si="300"/>
        <v>303</v>
      </c>
      <c r="AD988" s="47">
        <f t="shared" si="301"/>
        <v>303</v>
      </c>
      <c r="AE988" s="47">
        <f t="shared" si="302"/>
        <v>0</v>
      </c>
      <c r="AG988" s="47">
        <f t="shared" si="303"/>
        <v>303</v>
      </c>
      <c r="AH988" s="47">
        <f t="shared" si="304"/>
        <v>303</v>
      </c>
      <c r="AI988" s="208">
        <f t="shared" si="305"/>
        <v>0</v>
      </c>
    </row>
    <row r="989" spans="1:35">
      <c r="A989" t="s">
        <v>2120</v>
      </c>
      <c r="B989" t="s">
        <v>3140</v>
      </c>
      <c r="C989" t="s">
        <v>2187</v>
      </c>
      <c r="D989" t="s">
        <v>4321</v>
      </c>
      <c r="F989" t="s">
        <v>774</v>
      </c>
      <c r="G989" s="126">
        <f>SUMIFS('Support - Transition'!F:F,'Support - Transition'!B:B,'Step 2'!A989,'Support - Transition'!C:C,'Step 2'!B989,'Support - Transition'!D:D,'Step 2'!C989,'Support - Transition'!E:E,"CIVIL")</f>
        <v>0</v>
      </c>
      <c r="H989" s="126">
        <f>SUMIFS('Support - Transition'!F:F,'Support - Transition'!B:B,'Step 2'!A989,'Support - Transition'!C:C,'Step 2'!B989,'Support - Transition'!D:D,'Step 2'!C989,'Support - Transition'!E:E,"FIRE")</f>
        <v>0</v>
      </c>
      <c r="I989" s="126">
        <f>IF(B989="0",SUMIFS('Support - Transition'!F:F,'Support - Transition'!J:J,'Step 2'!D989,'Support - Transition'!E:E,"STATE UNIT"),SUMIFS('Support - Transition'!F:F,'Support - Transition'!J:J,'Step 2'!D989))</f>
        <v>0.15896199999999999</v>
      </c>
      <c r="J989" s="126">
        <f>SUMIFS('Support - Unit Adjustments'!E:E,'Support - Unit Adjustments'!F:F,'Step 2'!D989)</f>
        <v>0</v>
      </c>
      <c r="K989" s="126">
        <f t="shared" si="289"/>
        <v>0.15896199999999999</v>
      </c>
      <c r="L989" s="174">
        <f>VLOOKUP(A989,'Step 1'!$A:$E,4,FALSE)</f>
        <v>545828</v>
      </c>
      <c r="M989" s="47">
        <f t="shared" si="290"/>
        <v>86766</v>
      </c>
      <c r="N989" s="177">
        <f>SUMIFS('Support - Transition'!G:G,'Support - Transition'!J:J,'Step 2'!D989,'Support - Transition'!E:E,"2009 WELFARE ALLOCATION FACTOR")</f>
        <v>0.14154900000000001</v>
      </c>
      <c r="O989" s="152">
        <f t="shared" si="295"/>
        <v>12282</v>
      </c>
      <c r="P989" s="126">
        <f>IF(E989="Y",0,SUMIFS('Support - Transition'!G:G,'Support - Transition'!J:J,'Step 2'!D989,'Support - Transition'!E:E,"2009 SCHOOL ALLOCATION FACTOR"))</f>
        <v>0</v>
      </c>
      <c r="Q989" s="126">
        <f>IF(E989="Y",VLOOKUP(D989,'Support - Unit Adjustments'!F:G,2,FALSE),0)</f>
        <v>0</v>
      </c>
      <c r="R989" s="155">
        <f t="shared" si="307"/>
        <v>0</v>
      </c>
      <c r="S989" s="47">
        <f t="shared" si="306"/>
        <v>0</v>
      </c>
      <c r="T989" s="151">
        <f t="shared" si="291"/>
        <v>74484</v>
      </c>
      <c r="U989" s="151">
        <f t="shared" si="292"/>
        <v>0</v>
      </c>
      <c r="V989" s="139">
        <f t="shared" si="293"/>
        <v>0</v>
      </c>
      <c r="W989" s="152">
        <f t="shared" si="296"/>
        <v>74484</v>
      </c>
      <c r="X989" s="127" t="str">
        <f t="shared" si="294"/>
        <v/>
      </c>
      <c r="Y989" s="207">
        <f t="shared" si="297"/>
        <v>74484</v>
      </c>
      <c r="Z989" s="139">
        <f t="shared" si="298"/>
        <v>74484</v>
      </c>
      <c r="AA989" s="139">
        <f t="shared" si="299"/>
        <v>0</v>
      </c>
      <c r="AC989" s="47">
        <f t="shared" si="300"/>
        <v>37242</v>
      </c>
      <c r="AD989" s="47">
        <f t="shared" si="301"/>
        <v>37242</v>
      </c>
      <c r="AE989" s="47">
        <f t="shared" si="302"/>
        <v>0</v>
      </c>
      <c r="AG989" s="47">
        <f t="shared" si="303"/>
        <v>37242</v>
      </c>
      <c r="AH989" s="47">
        <f t="shared" si="304"/>
        <v>37242</v>
      </c>
      <c r="AI989" s="208">
        <f t="shared" si="305"/>
        <v>0</v>
      </c>
    </row>
    <row r="990" spans="1:35">
      <c r="A990" t="s">
        <v>2120</v>
      </c>
      <c r="B990" t="s">
        <v>3142</v>
      </c>
      <c r="C990" t="s">
        <v>2188</v>
      </c>
      <c r="D990" t="s">
        <v>4322</v>
      </c>
      <c r="F990" t="s">
        <v>107</v>
      </c>
      <c r="G990" s="126">
        <f>SUMIFS('Support - Transition'!F:F,'Support - Transition'!B:B,'Step 2'!A990,'Support - Transition'!C:C,'Step 2'!B990,'Support - Transition'!D:D,'Step 2'!C990,'Support - Transition'!E:E,"CIVIL")</f>
        <v>2.5999999999999998E-4</v>
      </c>
      <c r="H990" s="126">
        <f>SUMIFS('Support - Transition'!F:F,'Support - Transition'!B:B,'Step 2'!A990,'Support - Transition'!C:C,'Step 2'!B990,'Support - Transition'!D:D,'Step 2'!C990,'Support - Transition'!E:E,"FIRE")</f>
        <v>1.2999999999999999E-5</v>
      </c>
      <c r="I990" s="126">
        <f>IF(B990="0",SUMIFS('Support - Transition'!F:F,'Support - Transition'!J:J,'Step 2'!D990,'Support - Transition'!E:E,"STATE UNIT"),SUMIFS('Support - Transition'!F:F,'Support - Transition'!J:J,'Step 2'!D990))</f>
        <v>2.7299999999999997E-4</v>
      </c>
      <c r="J990" s="126">
        <f>SUMIFS('Support - Unit Adjustments'!E:E,'Support - Unit Adjustments'!F:F,'Step 2'!D990)</f>
        <v>0</v>
      </c>
      <c r="K990" s="126">
        <f t="shared" si="289"/>
        <v>2.7299999999999997E-4</v>
      </c>
      <c r="L990" s="174">
        <f>VLOOKUP(A990,'Step 1'!$A:$E,4,FALSE)</f>
        <v>545828</v>
      </c>
      <c r="M990" s="47">
        <f t="shared" si="290"/>
        <v>149</v>
      </c>
      <c r="N990" s="177">
        <f>SUMIFS('Support - Transition'!G:G,'Support - Transition'!J:J,'Step 2'!D990,'Support - Transition'!E:E,"2009 WELFARE ALLOCATION FACTOR")</f>
        <v>0</v>
      </c>
      <c r="O990" s="152">
        <f t="shared" si="295"/>
        <v>0</v>
      </c>
      <c r="P990" s="126">
        <f>IF(E990="Y",0,SUMIFS('Support - Transition'!G:G,'Support - Transition'!J:J,'Step 2'!D990,'Support - Transition'!E:E,"2009 SCHOOL ALLOCATION FACTOR"))</f>
        <v>0</v>
      </c>
      <c r="Q990" s="126">
        <f>IF(E990="Y",VLOOKUP(D990,'Support - Unit Adjustments'!F:G,2,FALSE),0)</f>
        <v>0</v>
      </c>
      <c r="R990" s="155">
        <f t="shared" si="307"/>
        <v>0</v>
      </c>
      <c r="S990" s="47">
        <f t="shared" si="306"/>
        <v>0</v>
      </c>
      <c r="T990" s="151">
        <f t="shared" si="291"/>
        <v>149</v>
      </c>
      <c r="U990" s="151">
        <f t="shared" si="292"/>
        <v>0</v>
      </c>
      <c r="V990" s="139">
        <f t="shared" si="293"/>
        <v>0</v>
      </c>
      <c r="W990" s="152">
        <f t="shared" si="296"/>
        <v>149</v>
      </c>
      <c r="X990" s="127" t="str">
        <f t="shared" si="294"/>
        <v/>
      </c>
      <c r="Y990" s="207">
        <f t="shared" si="297"/>
        <v>149</v>
      </c>
      <c r="Z990" s="139">
        <f t="shared" si="298"/>
        <v>142</v>
      </c>
      <c r="AA990" s="139">
        <f t="shared" si="299"/>
        <v>7</v>
      </c>
      <c r="AC990" s="47">
        <f t="shared" si="300"/>
        <v>75</v>
      </c>
      <c r="AD990" s="47">
        <f t="shared" si="301"/>
        <v>71</v>
      </c>
      <c r="AE990" s="47">
        <f t="shared" si="302"/>
        <v>4</v>
      </c>
      <c r="AG990" s="47">
        <f t="shared" si="303"/>
        <v>74</v>
      </c>
      <c r="AH990" s="47">
        <f t="shared" si="304"/>
        <v>71</v>
      </c>
      <c r="AI990" s="208">
        <f t="shared" si="305"/>
        <v>3</v>
      </c>
    </row>
    <row r="991" spans="1:35">
      <c r="A991" t="s">
        <v>2120</v>
      </c>
      <c r="B991" t="s">
        <v>3142</v>
      </c>
      <c r="C991" t="s">
        <v>2189</v>
      </c>
      <c r="D991" t="s">
        <v>4323</v>
      </c>
      <c r="F991" t="s">
        <v>81</v>
      </c>
      <c r="G991" s="126">
        <f>SUMIFS('Support - Transition'!F:F,'Support - Transition'!B:B,'Step 2'!A991,'Support - Transition'!C:C,'Step 2'!B991,'Support - Transition'!D:D,'Step 2'!C991,'Support - Transition'!E:E,"CIVIL")</f>
        <v>1.1E-4</v>
      </c>
      <c r="H991" s="126">
        <f>SUMIFS('Support - Transition'!F:F,'Support - Transition'!B:B,'Step 2'!A991,'Support - Transition'!C:C,'Step 2'!B991,'Support - Transition'!D:D,'Step 2'!C991,'Support - Transition'!E:E,"FIRE")</f>
        <v>8.0000000000000007E-5</v>
      </c>
      <c r="I991" s="126">
        <f>IF(B991="0",SUMIFS('Support - Transition'!F:F,'Support - Transition'!J:J,'Step 2'!D991,'Support - Transition'!E:E,"STATE UNIT"),SUMIFS('Support - Transition'!F:F,'Support - Transition'!J:J,'Step 2'!D991))</f>
        <v>1.9000000000000001E-4</v>
      </c>
      <c r="J991" s="126">
        <f>SUMIFS('Support - Unit Adjustments'!E:E,'Support - Unit Adjustments'!F:F,'Step 2'!D991)</f>
        <v>0</v>
      </c>
      <c r="K991" s="126">
        <f t="shared" si="289"/>
        <v>1.9000000000000001E-4</v>
      </c>
      <c r="L991" s="174">
        <f>VLOOKUP(A991,'Step 1'!$A:$E,4,FALSE)</f>
        <v>545828</v>
      </c>
      <c r="M991" s="47">
        <f t="shared" si="290"/>
        <v>104</v>
      </c>
      <c r="N991" s="177">
        <f>SUMIFS('Support - Transition'!G:G,'Support - Transition'!J:J,'Step 2'!D991,'Support - Transition'!E:E,"2009 WELFARE ALLOCATION FACTOR")</f>
        <v>0</v>
      </c>
      <c r="O991" s="152">
        <f t="shared" si="295"/>
        <v>0</v>
      </c>
      <c r="P991" s="126">
        <f>IF(E991="Y",0,SUMIFS('Support - Transition'!G:G,'Support - Transition'!J:J,'Step 2'!D991,'Support - Transition'!E:E,"2009 SCHOOL ALLOCATION FACTOR"))</f>
        <v>0</v>
      </c>
      <c r="Q991" s="126">
        <f>IF(E991="Y",VLOOKUP(D991,'Support - Unit Adjustments'!F:G,2,FALSE),0)</f>
        <v>0</v>
      </c>
      <c r="R991" s="155">
        <f t="shared" si="307"/>
        <v>0</v>
      </c>
      <c r="S991" s="47">
        <f t="shared" si="306"/>
        <v>0</v>
      </c>
      <c r="T991" s="151">
        <f t="shared" si="291"/>
        <v>104</v>
      </c>
      <c r="U991" s="151">
        <f t="shared" si="292"/>
        <v>0</v>
      </c>
      <c r="V991" s="139">
        <f t="shared" si="293"/>
        <v>0</v>
      </c>
      <c r="W991" s="152">
        <f t="shared" si="296"/>
        <v>104</v>
      </c>
      <c r="X991" s="127" t="str">
        <f t="shared" si="294"/>
        <v/>
      </c>
      <c r="Y991" s="207">
        <f t="shared" si="297"/>
        <v>104</v>
      </c>
      <c r="Z991" s="139">
        <f t="shared" si="298"/>
        <v>60</v>
      </c>
      <c r="AA991" s="139">
        <f t="shared" si="299"/>
        <v>44</v>
      </c>
      <c r="AC991" s="47">
        <f t="shared" si="300"/>
        <v>52</v>
      </c>
      <c r="AD991" s="47">
        <f t="shared" si="301"/>
        <v>30</v>
      </c>
      <c r="AE991" s="47">
        <f t="shared" si="302"/>
        <v>22</v>
      </c>
      <c r="AG991" s="47">
        <f t="shared" si="303"/>
        <v>52</v>
      </c>
      <c r="AH991" s="47">
        <f t="shared" si="304"/>
        <v>30</v>
      </c>
      <c r="AI991" s="208">
        <f t="shared" si="305"/>
        <v>22</v>
      </c>
    </row>
    <row r="992" spans="1:35">
      <c r="A992" t="s">
        <v>2120</v>
      </c>
      <c r="B992" t="s">
        <v>3142</v>
      </c>
      <c r="C992" t="s">
        <v>2190</v>
      </c>
      <c r="D992" t="s">
        <v>4324</v>
      </c>
      <c r="F992" t="s">
        <v>775</v>
      </c>
      <c r="G992" s="126">
        <f>SUMIFS('Support - Transition'!F:F,'Support - Transition'!B:B,'Step 2'!A992,'Support - Transition'!C:C,'Step 2'!B992,'Support - Transition'!D:D,'Step 2'!C992,'Support - Transition'!E:E,"CIVIL")</f>
        <v>6.29E-4</v>
      </c>
      <c r="H992" s="126">
        <f>SUMIFS('Support - Transition'!F:F,'Support - Transition'!B:B,'Step 2'!A992,'Support - Transition'!C:C,'Step 2'!B992,'Support - Transition'!D:D,'Step 2'!C992,'Support - Transition'!E:E,"FIRE")</f>
        <v>4.5399999999999998E-4</v>
      </c>
      <c r="I992" s="126">
        <f>IF(B992="0",SUMIFS('Support - Transition'!F:F,'Support - Transition'!J:J,'Step 2'!D992,'Support - Transition'!E:E,"STATE UNIT"),SUMIFS('Support - Transition'!F:F,'Support - Transition'!J:J,'Step 2'!D992))</f>
        <v>1.083E-3</v>
      </c>
      <c r="J992" s="126">
        <f>SUMIFS('Support - Unit Adjustments'!E:E,'Support - Unit Adjustments'!F:F,'Step 2'!D992)</f>
        <v>0</v>
      </c>
      <c r="K992" s="126">
        <f t="shared" si="289"/>
        <v>1.083E-3</v>
      </c>
      <c r="L992" s="174">
        <f>VLOOKUP(A992,'Step 1'!$A:$E,4,FALSE)</f>
        <v>545828</v>
      </c>
      <c r="M992" s="47">
        <f t="shared" si="290"/>
        <v>591</v>
      </c>
      <c r="N992" s="177">
        <f>SUMIFS('Support - Transition'!G:G,'Support - Transition'!J:J,'Step 2'!D992,'Support - Transition'!E:E,"2009 WELFARE ALLOCATION FACTOR")</f>
        <v>0</v>
      </c>
      <c r="O992" s="152">
        <f t="shared" si="295"/>
        <v>0</v>
      </c>
      <c r="P992" s="126">
        <f>IF(E992="Y",0,SUMIFS('Support - Transition'!G:G,'Support - Transition'!J:J,'Step 2'!D992,'Support - Transition'!E:E,"2009 SCHOOL ALLOCATION FACTOR"))</f>
        <v>0</v>
      </c>
      <c r="Q992" s="126">
        <f>IF(E992="Y",VLOOKUP(D992,'Support - Unit Adjustments'!F:G,2,FALSE),0)</f>
        <v>0</v>
      </c>
      <c r="R992" s="155">
        <f t="shared" si="307"/>
        <v>0</v>
      </c>
      <c r="S992" s="47">
        <f t="shared" si="306"/>
        <v>0</v>
      </c>
      <c r="T992" s="151">
        <f t="shared" si="291"/>
        <v>591</v>
      </c>
      <c r="U992" s="151">
        <f t="shared" si="292"/>
        <v>0</v>
      </c>
      <c r="V992" s="139">
        <f t="shared" si="293"/>
        <v>0</v>
      </c>
      <c r="W992" s="152">
        <f t="shared" si="296"/>
        <v>591</v>
      </c>
      <c r="X992" s="127" t="str">
        <f t="shared" si="294"/>
        <v/>
      </c>
      <c r="Y992" s="207">
        <f t="shared" si="297"/>
        <v>591</v>
      </c>
      <c r="Z992" s="139">
        <f t="shared" si="298"/>
        <v>343</v>
      </c>
      <c r="AA992" s="139">
        <f t="shared" si="299"/>
        <v>248</v>
      </c>
      <c r="AC992" s="47">
        <f t="shared" si="300"/>
        <v>296</v>
      </c>
      <c r="AD992" s="47">
        <f t="shared" si="301"/>
        <v>172</v>
      </c>
      <c r="AE992" s="47">
        <f t="shared" si="302"/>
        <v>124</v>
      </c>
      <c r="AG992" s="47">
        <f t="shared" si="303"/>
        <v>295</v>
      </c>
      <c r="AH992" s="47">
        <f t="shared" si="304"/>
        <v>171</v>
      </c>
      <c r="AI992" s="208">
        <f t="shared" si="305"/>
        <v>124</v>
      </c>
    </row>
    <row r="993" spans="1:35">
      <c r="A993" t="s">
        <v>2120</v>
      </c>
      <c r="B993" t="s">
        <v>3142</v>
      </c>
      <c r="C993" t="s">
        <v>2191</v>
      </c>
      <c r="D993" t="s">
        <v>4325</v>
      </c>
      <c r="F993" t="s">
        <v>86</v>
      </c>
      <c r="G993" s="126">
        <f>SUMIFS('Support - Transition'!F:F,'Support - Transition'!B:B,'Step 2'!A993,'Support - Transition'!C:C,'Step 2'!B993,'Support - Transition'!D:D,'Step 2'!C993,'Support - Transition'!E:E,"CIVIL")</f>
        <v>4.3399999999999998E-4</v>
      </c>
      <c r="H993" s="126">
        <f>SUMIFS('Support - Transition'!F:F,'Support - Transition'!B:B,'Step 2'!A993,'Support - Transition'!C:C,'Step 2'!B993,'Support - Transition'!D:D,'Step 2'!C993,'Support - Transition'!E:E,"FIRE")</f>
        <v>1.9699999999999999E-4</v>
      </c>
      <c r="I993" s="126">
        <f>IF(B993="0",SUMIFS('Support - Transition'!F:F,'Support - Transition'!J:J,'Step 2'!D993,'Support - Transition'!E:E,"STATE UNIT"),SUMIFS('Support - Transition'!F:F,'Support - Transition'!J:J,'Step 2'!D993))</f>
        <v>6.3099999999999994E-4</v>
      </c>
      <c r="J993" s="126">
        <f>SUMIFS('Support - Unit Adjustments'!E:E,'Support - Unit Adjustments'!F:F,'Step 2'!D993)</f>
        <v>0</v>
      </c>
      <c r="K993" s="126">
        <f t="shared" si="289"/>
        <v>6.3099999999999994E-4</v>
      </c>
      <c r="L993" s="174">
        <f>VLOOKUP(A993,'Step 1'!$A:$E,4,FALSE)</f>
        <v>545828</v>
      </c>
      <c r="M993" s="47">
        <f t="shared" si="290"/>
        <v>344</v>
      </c>
      <c r="N993" s="177">
        <f>SUMIFS('Support - Transition'!G:G,'Support - Transition'!J:J,'Step 2'!D993,'Support - Transition'!E:E,"2009 WELFARE ALLOCATION FACTOR")</f>
        <v>0</v>
      </c>
      <c r="O993" s="152">
        <f t="shared" si="295"/>
        <v>0</v>
      </c>
      <c r="P993" s="126">
        <f>IF(E993="Y",0,SUMIFS('Support - Transition'!G:G,'Support - Transition'!J:J,'Step 2'!D993,'Support - Transition'!E:E,"2009 SCHOOL ALLOCATION FACTOR"))</f>
        <v>0</v>
      </c>
      <c r="Q993" s="126">
        <f>IF(E993="Y",VLOOKUP(D993,'Support - Unit Adjustments'!F:G,2,FALSE),0)</f>
        <v>0</v>
      </c>
      <c r="R993" s="155">
        <f t="shared" si="307"/>
        <v>0</v>
      </c>
      <c r="S993" s="47">
        <f t="shared" si="306"/>
        <v>0</v>
      </c>
      <c r="T993" s="151">
        <f t="shared" si="291"/>
        <v>344</v>
      </c>
      <c r="U993" s="151">
        <f t="shared" si="292"/>
        <v>0</v>
      </c>
      <c r="V993" s="139">
        <f t="shared" si="293"/>
        <v>0</v>
      </c>
      <c r="W993" s="152">
        <f t="shared" si="296"/>
        <v>344</v>
      </c>
      <c r="X993" s="127" t="str">
        <f t="shared" si="294"/>
        <v/>
      </c>
      <c r="Y993" s="207">
        <f t="shared" si="297"/>
        <v>344</v>
      </c>
      <c r="Z993" s="139">
        <f t="shared" si="298"/>
        <v>237</v>
      </c>
      <c r="AA993" s="139">
        <f t="shared" si="299"/>
        <v>107</v>
      </c>
      <c r="AC993" s="47">
        <f t="shared" si="300"/>
        <v>172</v>
      </c>
      <c r="AD993" s="47">
        <f t="shared" si="301"/>
        <v>119</v>
      </c>
      <c r="AE993" s="47">
        <f t="shared" si="302"/>
        <v>54</v>
      </c>
      <c r="AG993" s="47">
        <f t="shared" si="303"/>
        <v>172</v>
      </c>
      <c r="AH993" s="47">
        <f t="shared" si="304"/>
        <v>118</v>
      </c>
      <c r="AI993" s="208">
        <f t="shared" si="305"/>
        <v>53</v>
      </c>
    </row>
    <row r="994" spans="1:35">
      <c r="A994" t="s">
        <v>2120</v>
      </c>
      <c r="B994" t="s">
        <v>3142</v>
      </c>
      <c r="C994" t="s">
        <v>2192</v>
      </c>
      <c r="D994" t="s">
        <v>4326</v>
      </c>
      <c r="F994" t="s">
        <v>776</v>
      </c>
      <c r="G994" s="126">
        <f>SUMIFS('Support - Transition'!F:F,'Support - Transition'!B:B,'Step 2'!A994,'Support - Transition'!C:C,'Step 2'!B994,'Support - Transition'!D:D,'Step 2'!C994,'Support - Transition'!E:E,"CIVIL")</f>
        <v>3.5599999999999998E-4</v>
      </c>
      <c r="H994" s="126">
        <f>SUMIFS('Support - Transition'!F:F,'Support - Transition'!B:B,'Step 2'!A994,'Support - Transition'!C:C,'Step 2'!B994,'Support - Transition'!D:D,'Step 2'!C994,'Support - Transition'!E:E,"FIRE")</f>
        <v>1.9699999999999999E-4</v>
      </c>
      <c r="I994" s="126">
        <f>IF(B994="0",SUMIFS('Support - Transition'!F:F,'Support - Transition'!J:J,'Step 2'!D994,'Support - Transition'!E:E,"STATE UNIT"),SUMIFS('Support - Transition'!F:F,'Support - Transition'!J:J,'Step 2'!D994))</f>
        <v>5.53E-4</v>
      </c>
      <c r="J994" s="126">
        <f>SUMIFS('Support - Unit Adjustments'!E:E,'Support - Unit Adjustments'!F:F,'Step 2'!D994)</f>
        <v>0</v>
      </c>
      <c r="K994" s="126">
        <f t="shared" si="289"/>
        <v>5.53E-4</v>
      </c>
      <c r="L994" s="174">
        <f>VLOOKUP(A994,'Step 1'!$A:$E,4,FALSE)</f>
        <v>545828</v>
      </c>
      <c r="M994" s="47">
        <f t="shared" si="290"/>
        <v>302</v>
      </c>
      <c r="N994" s="177">
        <f>SUMIFS('Support - Transition'!G:G,'Support - Transition'!J:J,'Step 2'!D994,'Support - Transition'!E:E,"2009 WELFARE ALLOCATION FACTOR")</f>
        <v>0</v>
      </c>
      <c r="O994" s="152">
        <f t="shared" si="295"/>
        <v>0</v>
      </c>
      <c r="P994" s="126">
        <f>IF(E994="Y",0,SUMIFS('Support - Transition'!G:G,'Support - Transition'!J:J,'Step 2'!D994,'Support - Transition'!E:E,"2009 SCHOOL ALLOCATION FACTOR"))</f>
        <v>0</v>
      </c>
      <c r="Q994" s="126">
        <f>IF(E994="Y",VLOOKUP(D994,'Support - Unit Adjustments'!F:G,2,FALSE),0)</f>
        <v>0</v>
      </c>
      <c r="R994" s="155">
        <f t="shared" si="307"/>
        <v>0</v>
      </c>
      <c r="S994" s="47">
        <f t="shared" si="306"/>
        <v>0</v>
      </c>
      <c r="T994" s="151">
        <f t="shared" si="291"/>
        <v>302</v>
      </c>
      <c r="U994" s="151">
        <f t="shared" si="292"/>
        <v>0</v>
      </c>
      <c r="V994" s="139">
        <f t="shared" si="293"/>
        <v>0</v>
      </c>
      <c r="W994" s="152">
        <f t="shared" si="296"/>
        <v>302</v>
      </c>
      <c r="X994" s="127" t="str">
        <f t="shared" si="294"/>
        <v/>
      </c>
      <c r="Y994" s="207">
        <f t="shared" si="297"/>
        <v>302</v>
      </c>
      <c r="Z994" s="139">
        <f t="shared" si="298"/>
        <v>194</v>
      </c>
      <c r="AA994" s="139">
        <f t="shared" si="299"/>
        <v>108</v>
      </c>
      <c r="AC994" s="47">
        <f t="shared" si="300"/>
        <v>151</v>
      </c>
      <c r="AD994" s="47">
        <f t="shared" si="301"/>
        <v>97</v>
      </c>
      <c r="AE994" s="47">
        <f t="shared" si="302"/>
        <v>54</v>
      </c>
      <c r="AG994" s="47">
        <f t="shared" si="303"/>
        <v>151</v>
      </c>
      <c r="AH994" s="47">
        <f t="shared" si="304"/>
        <v>97</v>
      </c>
      <c r="AI994" s="208">
        <f t="shared" si="305"/>
        <v>54</v>
      </c>
    </row>
    <row r="995" spans="1:35">
      <c r="A995" t="s">
        <v>2120</v>
      </c>
      <c r="B995" t="s">
        <v>3142</v>
      </c>
      <c r="C995" t="s">
        <v>2193</v>
      </c>
      <c r="D995" t="s">
        <v>4327</v>
      </c>
      <c r="F995" t="s">
        <v>777</v>
      </c>
      <c r="G995" s="126">
        <f>SUMIFS('Support - Transition'!F:F,'Support - Transition'!B:B,'Step 2'!A995,'Support - Transition'!C:C,'Step 2'!B995,'Support - Transition'!D:D,'Step 2'!C995,'Support - Transition'!E:E,"CIVIL")</f>
        <v>1.25E-4</v>
      </c>
      <c r="H995" s="126">
        <f>SUMIFS('Support - Transition'!F:F,'Support - Transition'!B:B,'Step 2'!A995,'Support - Transition'!C:C,'Step 2'!B995,'Support - Transition'!D:D,'Step 2'!C995,'Support - Transition'!E:E,"FIRE")</f>
        <v>7.4999999999999993E-5</v>
      </c>
      <c r="I995" s="126">
        <f>IF(B995="0",SUMIFS('Support - Transition'!F:F,'Support - Transition'!J:J,'Step 2'!D995,'Support - Transition'!E:E,"STATE UNIT"),SUMIFS('Support - Transition'!F:F,'Support - Transition'!J:J,'Step 2'!D995))</f>
        <v>1.9999999999999998E-4</v>
      </c>
      <c r="J995" s="126">
        <f>SUMIFS('Support - Unit Adjustments'!E:E,'Support - Unit Adjustments'!F:F,'Step 2'!D995)</f>
        <v>0</v>
      </c>
      <c r="K995" s="126">
        <f t="shared" si="289"/>
        <v>1.9999999999999998E-4</v>
      </c>
      <c r="L995" s="174">
        <f>VLOOKUP(A995,'Step 1'!$A:$E,4,FALSE)</f>
        <v>545828</v>
      </c>
      <c r="M995" s="47">
        <f t="shared" si="290"/>
        <v>109</v>
      </c>
      <c r="N995" s="177">
        <f>SUMIFS('Support - Transition'!G:G,'Support - Transition'!J:J,'Step 2'!D995,'Support - Transition'!E:E,"2009 WELFARE ALLOCATION FACTOR")</f>
        <v>0</v>
      </c>
      <c r="O995" s="152">
        <f t="shared" si="295"/>
        <v>0</v>
      </c>
      <c r="P995" s="126">
        <f>IF(E995="Y",0,SUMIFS('Support - Transition'!G:G,'Support - Transition'!J:J,'Step 2'!D995,'Support - Transition'!E:E,"2009 SCHOOL ALLOCATION FACTOR"))</f>
        <v>0</v>
      </c>
      <c r="Q995" s="126">
        <f>IF(E995="Y",VLOOKUP(D995,'Support - Unit Adjustments'!F:G,2,FALSE),0)</f>
        <v>0</v>
      </c>
      <c r="R995" s="155">
        <f t="shared" si="307"/>
        <v>0</v>
      </c>
      <c r="S995" s="47">
        <f t="shared" si="306"/>
        <v>0</v>
      </c>
      <c r="T995" s="151">
        <f t="shared" si="291"/>
        <v>109</v>
      </c>
      <c r="U995" s="151">
        <f t="shared" si="292"/>
        <v>0</v>
      </c>
      <c r="V995" s="139">
        <f t="shared" si="293"/>
        <v>0</v>
      </c>
      <c r="W995" s="152">
        <f t="shared" si="296"/>
        <v>109</v>
      </c>
      <c r="X995" s="127" t="str">
        <f t="shared" si="294"/>
        <v/>
      </c>
      <c r="Y995" s="207">
        <f t="shared" si="297"/>
        <v>109</v>
      </c>
      <c r="Z995" s="139">
        <f t="shared" si="298"/>
        <v>68</v>
      </c>
      <c r="AA995" s="139">
        <f t="shared" si="299"/>
        <v>41</v>
      </c>
      <c r="AC995" s="47">
        <f t="shared" si="300"/>
        <v>55</v>
      </c>
      <c r="AD995" s="47">
        <f t="shared" si="301"/>
        <v>34</v>
      </c>
      <c r="AE995" s="47">
        <f t="shared" si="302"/>
        <v>21</v>
      </c>
      <c r="AG995" s="47">
        <f t="shared" si="303"/>
        <v>54</v>
      </c>
      <c r="AH995" s="47">
        <f t="shared" si="304"/>
        <v>34</v>
      </c>
      <c r="AI995" s="208">
        <f t="shared" si="305"/>
        <v>20</v>
      </c>
    </row>
    <row r="996" spans="1:35">
      <c r="A996" t="s">
        <v>2120</v>
      </c>
      <c r="B996" t="s">
        <v>3142</v>
      </c>
      <c r="C996" t="s">
        <v>2194</v>
      </c>
      <c r="D996" t="s">
        <v>4328</v>
      </c>
      <c r="F996" t="s">
        <v>49</v>
      </c>
      <c r="G996" s="126">
        <f>SUMIFS('Support - Transition'!F:F,'Support - Transition'!B:B,'Step 2'!A996,'Support - Transition'!C:C,'Step 2'!B996,'Support - Transition'!D:D,'Step 2'!C996,'Support - Transition'!E:E,"CIVIL")</f>
        <v>1.8900000000000001E-4</v>
      </c>
      <c r="H996" s="126">
        <f>SUMIFS('Support - Transition'!F:F,'Support - Transition'!B:B,'Step 2'!A996,'Support - Transition'!C:C,'Step 2'!B996,'Support - Transition'!D:D,'Step 2'!C996,'Support - Transition'!E:E,"FIRE")</f>
        <v>1.0399999999999999E-4</v>
      </c>
      <c r="I996" s="126">
        <f>IF(B996="0",SUMIFS('Support - Transition'!F:F,'Support - Transition'!J:J,'Step 2'!D996,'Support - Transition'!E:E,"STATE UNIT"),SUMIFS('Support - Transition'!F:F,'Support - Transition'!J:J,'Step 2'!D996))</f>
        <v>2.9300000000000002E-4</v>
      </c>
      <c r="J996" s="126">
        <f>SUMIFS('Support - Unit Adjustments'!E:E,'Support - Unit Adjustments'!F:F,'Step 2'!D996)</f>
        <v>0</v>
      </c>
      <c r="K996" s="126">
        <f t="shared" si="289"/>
        <v>2.9300000000000002E-4</v>
      </c>
      <c r="L996" s="174">
        <f>VLOOKUP(A996,'Step 1'!$A:$E,4,FALSE)</f>
        <v>545828</v>
      </c>
      <c r="M996" s="47">
        <f t="shared" si="290"/>
        <v>160</v>
      </c>
      <c r="N996" s="177">
        <f>SUMIFS('Support - Transition'!G:G,'Support - Transition'!J:J,'Step 2'!D996,'Support - Transition'!E:E,"2009 WELFARE ALLOCATION FACTOR")</f>
        <v>0</v>
      </c>
      <c r="O996" s="152">
        <f t="shared" si="295"/>
        <v>0</v>
      </c>
      <c r="P996" s="126">
        <f>IF(E996="Y",0,SUMIFS('Support - Transition'!G:G,'Support - Transition'!J:J,'Step 2'!D996,'Support - Transition'!E:E,"2009 SCHOOL ALLOCATION FACTOR"))</f>
        <v>0</v>
      </c>
      <c r="Q996" s="126">
        <f>IF(E996="Y",VLOOKUP(D996,'Support - Unit Adjustments'!F:G,2,FALSE),0)</f>
        <v>0</v>
      </c>
      <c r="R996" s="155">
        <f t="shared" si="307"/>
        <v>0</v>
      </c>
      <c r="S996" s="47">
        <f t="shared" si="306"/>
        <v>0</v>
      </c>
      <c r="T996" s="151">
        <f t="shared" si="291"/>
        <v>160</v>
      </c>
      <c r="U996" s="151">
        <f t="shared" si="292"/>
        <v>0</v>
      </c>
      <c r="V996" s="139">
        <f t="shared" si="293"/>
        <v>0</v>
      </c>
      <c r="W996" s="152">
        <f t="shared" si="296"/>
        <v>160</v>
      </c>
      <c r="X996" s="127" t="str">
        <f t="shared" si="294"/>
        <v/>
      </c>
      <c r="Y996" s="207">
        <f t="shared" si="297"/>
        <v>160</v>
      </c>
      <c r="Z996" s="139">
        <f t="shared" si="298"/>
        <v>103</v>
      </c>
      <c r="AA996" s="139">
        <f t="shared" si="299"/>
        <v>57</v>
      </c>
      <c r="AC996" s="47">
        <f t="shared" si="300"/>
        <v>80</v>
      </c>
      <c r="AD996" s="47">
        <f t="shared" si="301"/>
        <v>52</v>
      </c>
      <c r="AE996" s="47">
        <f t="shared" si="302"/>
        <v>29</v>
      </c>
      <c r="AG996" s="47">
        <f t="shared" si="303"/>
        <v>80</v>
      </c>
      <c r="AH996" s="47">
        <f t="shared" si="304"/>
        <v>51</v>
      </c>
      <c r="AI996" s="208">
        <f t="shared" si="305"/>
        <v>28</v>
      </c>
    </row>
    <row r="997" spans="1:35">
      <c r="A997" t="s">
        <v>2120</v>
      </c>
      <c r="B997" t="s">
        <v>3142</v>
      </c>
      <c r="C997" t="s">
        <v>2195</v>
      </c>
      <c r="D997" t="s">
        <v>4329</v>
      </c>
      <c r="F997" t="s">
        <v>181</v>
      </c>
      <c r="G997" s="126">
        <f>SUMIFS('Support - Transition'!F:F,'Support - Transition'!B:B,'Step 2'!A997,'Support - Transition'!C:C,'Step 2'!B997,'Support - Transition'!D:D,'Step 2'!C997,'Support - Transition'!E:E,"CIVIL")</f>
        <v>1.8900000000000001E-4</v>
      </c>
      <c r="H997" s="126">
        <f>SUMIFS('Support - Transition'!F:F,'Support - Transition'!B:B,'Step 2'!A997,'Support - Transition'!C:C,'Step 2'!B997,'Support - Transition'!D:D,'Step 2'!C997,'Support - Transition'!E:E,"FIRE")</f>
        <v>1.15E-4</v>
      </c>
      <c r="I997" s="126">
        <f>IF(B997="0",SUMIFS('Support - Transition'!F:F,'Support - Transition'!J:J,'Step 2'!D997,'Support - Transition'!E:E,"STATE UNIT"),SUMIFS('Support - Transition'!F:F,'Support - Transition'!J:J,'Step 2'!D997))</f>
        <v>3.0400000000000002E-4</v>
      </c>
      <c r="J997" s="126">
        <f>SUMIFS('Support - Unit Adjustments'!E:E,'Support - Unit Adjustments'!F:F,'Step 2'!D997)</f>
        <v>0</v>
      </c>
      <c r="K997" s="126">
        <f t="shared" si="289"/>
        <v>3.0400000000000002E-4</v>
      </c>
      <c r="L997" s="174">
        <f>VLOOKUP(A997,'Step 1'!$A:$E,4,FALSE)</f>
        <v>545828</v>
      </c>
      <c r="M997" s="47">
        <f t="shared" si="290"/>
        <v>166</v>
      </c>
      <c r="N997" s="177">
        <f>SUMIFS('Support - Transition'!G:G,'Support - Transition'!J:J,'Step 2'!D997,'Support - Transition'!E:E,"2009 WELFARE ALLOCATION FACTOR")</f>
        <v>0</v>
      </c>
      <c r="O997" s="152">
        <f t="shared" si="295"/>
        <v>0</v>
      </c>
      <c r="P997" s="126">
        <f>IF(E997="Y",0,SUMIFS('Support - Transition'!G:G,'Support - Transition'!J:J,'Step 2'!D997,'Support - Transition'!E:E,"2009 SCHOOL ALLOCATION FACTOR"))</f>
        <v>0</v>
      </c>
      <c r="Q997" s="126">
        <f>IF(E997="Y",VLOOKUP(D997,'Support - Unit Adjustments'!F:G,2,FALSE),0)</f>
        <v>0</v>
      </c>
      <c r="R997" s="155">
        <f t="shared" si="307"/>
        <v>0</v>
      </c>
      <c r="S997" s="47">
        <f t="shared" si="306"/>
        <v>0</v>
      </c>
      <c r="T997" s="151">
        <f t="shared" si="291"/>
        <v>166</v>
      </c>
      <c r="U997" s="151">
        <f t="shared" si="292"/>
        <v>0</v>
      </c>
      <c r="V997" s="139">
        <f t="shared" si="293"/>
        <v>0</v>
      </c>
      <c r="W997" s="152">
        <f t="shared" si="296"/>
        <v>166</v>
      </c>
      <c r="X997" s="127" t="str">
        <f t="shared" si="294"/>
        <v/>
      </c>
      <c r="Y997" s="207">
        <f t="shared" si="297"/>
        <v>166</v>
      </c>
      <c r="Z997" s="139">
        <f t="shared" si="298"/>
        <v>103</v>
      </c>
      <c r="AA997" s="139">
        <f t="shared" si="299"/>
        <v>63</v>
      </c>
      <c r="AC997" s="47">
        <f t="shared" si="300"/>
        <v>83</v>
      </c>
      <c r="AD997" s="47">
        <f t="shared" si="301"/>
        <v>52</v>
      </c>
      <c r="AE997" s="47">
        <f t="shared" si="302"/>
        <v>32</v>
      </c>
      <c r="AG997" s="47">
        <f t="shared" si="303"/>
        <v>83</v>
      </c>
      <c r="AH997" s="47">
        <f t="shared" si="304"/>
        <v>51</v>
      </c>
      <c r="AI997" s="208">
        <f t="shared" si="305"/>
        <v>31</v>
      </c>
    </row>
    <row r="998" spans="1:35">
      <c r="A998" t="s">
        <v>2120</v>
      </c>
      <c r="B998" t="s">
        <v>3142</v>
      </c>
      <c r="C998" t="s">
        <v>2196</v>
      </c>
      <c r="D998" t="s">
        <v>4330</v>
      </c>
      <c r="F998" t="s">
        <v>16</v>
      </c>
      <c r="G998" s="126">
        <f>SUMIFS('Support - Transition'!F:F,'Support - Transition'!B:B,'Step 2'!A998,'Support - Transition'!C:C,'Step 2'!B998,'Support - Transition'!D:D,'Step 2'!C998,'Support - Transition'!E:E,"CIVIL")</f>
        <v>2.5999999999999998E-4</v>
      </c>
      <c r="H998" s="126">
        <f>SUMIFS('Support - Transition'!F:F,'Support - Transition'!B:B,'Step 2'!A998,'Support - Transition'!C:C,'Step 2'!B998,'Support - Transition'!D:D,'Step 2'!C998,'Support - Transition'!E:E,"FIRE")</f>
        <v>1.37E-4</v>
      </c>
      <c r="I998" s="126">
        <f>IF(B998="0",SUMIFS('Support - Transition'!F:F,'Support - Transition'!J:J,'Step 2'!D998,'Support - Transition'!E:E,"STATE UNIT"),SUMIFS('Support - Transition'!F:F,'Support - Transition'!J:J,'Step 2'!D998))</f>
        <v>3.97E-4</v>
      </c>
      <c r="J998" s="126">
        <f>SUMIFS('Support - Unit Adjustments'!E:E,'Support - Unit Adjustments'!F:F,'Step 2'!D998)</f>
        <v>0</v>
      </c>
      <c r="K998" s="126">
        <f t="shared" si="289"/>
        <v>3.97E-4</v>
      </c>
      <c r="L998" s="174">
        <f>VLOOKUP(A998,'Step 1'!$A:$E,4,FALSE)</f>
        <v>545828</v>
      </c>
      <c r="M998" s="47">
        <f t="shared" si="290"/>
        <v>217</v>
      </c>
      <c r="N998" s="177">
        <f>SUMIFS('Support - Transition'!G:G,'Support - Transition'!J:J,'Step 2'!D998,'Support - Transition'!E:E,"2009 WELFARE ALLOCATION FACTOR")</f>
        <v>0</v>
      </c>
      <c r="O998" s="152">
        <f t="shared" si="295"/>
        <v>0</v>
      </c>
      <c r="P998" s="126">
        <f>IF(E998="Y",0,SUMIFS('Support - Transition'!G:G,'Support - Transition'!J:J,'Step 2'!D998,'Support - Transition'!E:E,"2009 SCHOOL ALLOCATION FACTOR"))</f>
        <v>0</v>
      </c>
      <c r="Q998" s="126">
        <f>IF(E998="Y",VLOOKUP(D998,'Support - Unit Adjustments'!F:G,2,FALSE),0)</f>
        <v>0</v>
      </c>
      <c r="R998" s="155">
        <f t="shared" si="307"/>
        <v>0</v>
      </c>
      <c r="S998" s="47">
        <f t="shared" si="306"/>
        <v>0</v>
      </c>
      <c r="T998" s="151">
        <f t="shared" si="291"/>
        <v>217</v>
      </c>
      <c r="U998" s="151">
        <f t="shared" si="292"/>
        <v>0</v>
      </c>
      <c r="V998" s="139">
        <f t="shared" si="293"/>
        <v>0</v>
      </c>
      <c r="W998" s="152">
        <f t="shared" si="296"/>
        <v>217</v>
      </c>
      <c r="X998" s="127" t="str">
        <f t="shared" si="294"/>
        <v/>
      </c>
      <c r="Y998" s="207">
        <f t="shared" si="297"/>
        <v>217</v>
      </c>
      <c r="Z998" s="139">
        <f t="shared" si="298"/>
        <v>142</v>
      </c>
      <c r="AA998" s="139">
        <f t="shared" si="299"/>
        <v>75</v>
      </c>
      <c r="AC998" s="47">
        <f t="shared" si="300"/>
        <v>109</v>
      </c>
      <c r="AD998" s="47">
        <f t="shared" si="301"/>
        <v>71</v>
      </c>
      <c r="AE998" s="47">
        <f t="shared" si="302"/>
        <v>38</v>
      </c>
      <c r="AG998" s="47">
        <f t="shared" si="303"/>
        <v>108</v>
      </c>
      <c r="AH998" s="47">
        <f t="shared" si="304"/>
        <v>71</v>
      </c>
      <c r="AI998" s="208">
        <f t="shared" si="305"/>
        <v>37</v>
      </c>
    </row>
    <row r="999" spans="1:35">
      <c r="A999" t="s">
        <v>2120</v>
      </c>
      <c r="B999" t="s">
        <v>3142</v>
      </c>
      <c r="C999" t="s">
        <v>2197</v>
      </c>
      <c r="D999" t="s">
        <v>4331</v>
      </c>
      <c r="F999" t="s">
        <v>627</v>
      </c>
      <c r="G999" s="126">
        <f>SUMIFS('Support - Transition'!F:F,'Support - Transition'!B:B,'Step 2'!A999,'Support - Transition'!C:C,'Step 2'!B999,'Support - Transition'!D:D,'Step 2'!C999,'Support - Transition'!E:E,"CIVIL")</f>
        <v>5.7300000000000005E-4</v>
      </c>
      <c r="H999" s="126">
        <f>SUMIFS('Support - Transition'!F:F,'Support - Transition'!B:B,'Step 2'!A999,'Support - Transition'!C:C,'Step 2'!B999,'Support - Transition'!D:D,'Step 2'!C999,'Support - Transition'!E:E,"FIRE")</f>
        <v>6.1399999999999996E-4</v>
      </c>
      <c r="I999" s="126">
        <f>IF(B999="0",SUMIFS('Support - Transition'!F:F,'Support - Transition'!J:J,'Step 2'!D999,'Support - Transition'!E:E,"STATE UNIT"),SUMIFS('Support - Transition'!F:F,'Support - Transition'!J:J,'Step 2'!D999))</f>
        <v>1.1870000000000001E-3</v>
      </c>
      <c r="J999" s="126">
        <f>SUMIFS('Support - Unit Adjustments'!E:E,'Support - Unit Adjustments'!F:F,'Step 2'!D999)</f>
        <v>0</v>
      </c>
      <c r="K999" s="126">
        <f t="shared" si="289"/>
        <v>1.1870000000000001E-3</v>
      </c>
      <c r="L999" s="174">
        <f>VLOOKUP(A999,'Step 1'!$A:$E,4,FALSE)</f>
        <v>545828</v>
      </c>
      <c r="M999" s="47">
        <f t="shared" si="290"/>
        <v>648</v>
      </c>
      <c r="N999" s="177">
        <f>SUMIFS('Support - Transition'!G:G,'Support - Transition'!J:J,'Step 2'!D999,'Support - Transition'!E:E,"2009 WELFARE ALLOCATION FACTOR")</f>
        <v>0</v>
      </c>
      <c r="O999" s="152">
        <f t="shared" si="295"/>
        <v>0</v>
      </c>
      <c r="P999" s="126">
        <f>IF(E999="Y",0,SUMIFS('Support - Transition'!G:G,'Support - Transition'!J:J,'Step 2'!D999,'Support - Transition'!E:E,"2009 SCHOOL ALLOCATION FACTOR"))</f>
        <v>0</v>
      </c>
      <c r="Q999" s="126">
        <f>IF(E999="Y",VLOOKUP(D999,'Support - Unit Adjustments'!F:G,2,FALSE),0)</f>
        <v>0</v>
      </c>
      <c r="R999" s="155">
        <f t="shared" si="307"/>
        <v>0</v>
      </c>
      <c r="S999" s="47">
        <f t="shared" si="306"/>
        <v>0</v>
      </c>
      <c r="T999" s="151">
        <f t="shared" si="291"/>
        <v>648</v>
      </c>
      <c r="U999" s="151">
        <f t="shared" si="292"/>
        <v>0</v>
      </c>
      <c r="V999" s="139">
        <f t="shared" si="293"/>
        <v>0</v>
      </c>
      <c r="W999" s="152">
        <f t="shared" si="296"/>
        <v>648</v>
      </c>
      <c r="X999" s="127" t="str">
        <f t="shared" si="294"/>
        <v/>
      </c>
      <c r="Y999" s="207">
        <f t="shared" si="297"/>
        <v>648</v>
      </c>
      <c r="Z999" s="139">
        <f t="shared" si="298"/>
        <v>313</v>
      </c>
      <c r="AA999" s="139">
        <f t="shared" si="299"/>
        <v>335</v>
      </c>
      <c r="AC999" s="47">
        <f t="shared" si="300"/>
        <v>324</v>
      </c>
      <c r="AD999" s="47">
        <f t="shared" si="301"/>
        <v>157</v>
      </c>
      <c r="AE999" s="47">
        <f t="shared" si="302"/>
        <v>168</v>
      </c>
      <c r="AG999" s="47">
        <f t="shared" si="303"/>
        <v>324</v>
      </c>
      <c r="AH999" s="47">
        <f t="shared" si="304"/>
        <v>156</v>
      </c>
      <c r="AI999" s="208">
        <f t="shared" si="305"/>
        <v>167</v>
      </c>
    </row>
    <row r="1000" spans="1:35">
      <c r="A1000" t="s">
        <v>2120</v>
      </c>
      <c r="B1000" t="s">
        <v>3142</v>
      </c>
      <c r="C1000" t="s">
        <v>2198</v>
      </c>
      <c r="D1000" t="s">
        <v>4332</v>
      </c>
      <c r="F1000" t="s">
        <v>20</v>
      </c>
      <c r="G1000" s="126">
        <f>SUMIFS('Support - Transition'!F:F,'Support - Transition'!B:B,'Step 2'!A1000,'Support - Transition'!C:C,'Step 2'!B1000,'Support - Transition'!D:D,'Step 2'!C1000,'Support - Transition'!E:E,"CIVIL")</f>
        <v>3.1399999999999999E-4</v>
      </c>
      <c r="H1000" s="126">
        <f>SUMIFS('Support - Transition'!F:F,'Support - Transition'!B:B,'Step 2'!A1000,'Support - Transition'!C:C,'Step 2'!B1000,'Support - Transition'!D:D,'Step 2'!C1000,'Support - Transition'!E:E,"FIRE")</f>
        <v>1.5200000000000001E-4</v>
      </c>
      <c r="I1000" s="126">
        <f>IF(B1000="0",SUMIFS('Support - Transition'!F:F,'Support - Transition'!J:J,'Step 2'!D1000,'Support - Transition'!E:E,"STATE UNIT"),SUMIFS('Support - Transition'!F:F,'Support - Transition'!J:J,'Step 2'!D1000))</f>
        <v>4.66E-4</v>
      </c>
      <c r="J1000" s="126">
        <f>SUMIFS('Support - Unit Adjustments'!E:E,'Support - Unit Adjustments'!F:F,'Step 2'!D1000)</f>
        <v>0</v>
      </c>
      <c r="K1000" s="126">
        <f t="shared" si="289"/>
        <v>4.66E-4</v>
      </c>
      <c r="L1000" s="174">
        <f>VLOOKUP(A1000,'Step 1'!$A:$E,4,FALSE)</f>
        <v>545828</v>
      </c>
      <c r="M1000" s="47">
        <f t="shared" si="290"/>
        <v>254</v>
      </c>
      <c r="N1000" s="177">
        <f>SUMIFS('Support - Transition'!G:G,'Support - Transition'!J:J,'Step 2'!D1000,'Support - Transition'!E:E,"2009 WELFARE ALLOCATION FACTOR")</f>
        <v>0</v>
      </c>
      <c r="O1000" s="152">
        <f t="shared" si="295"/>
        <v>0</v>
      </c>
      <c r="P1000" s="126">
        <f>IF(E1000="Y",0,SUMIFS('Support - Transition'!G:G,'Support - Transition'!J:J,'Step 2'!D1000,'Support - Transition'!E:E,"2009 SCHOOL ALLOCATION FACTOR"))</f>
        <v>0</v>
      </c>
      <c r="Q1000" s="126">
        <f>IF(E1000="Y",VLOOKUP(D1000,'Support - Unit Adjustments'!F:G,2,FALSE),0)</f>
        <v>0</v>
      </c>
      <c r="R1000" s="155">
        <f t="shared" si="307"/>
        <v>0</v>
      </c>
      <c r="S1000" s="47">
        <f t="shared" si="306"/>
        <v>0</v>
      </c>
      <c r="T1000" s="151">
        <f t="shared" si="291"/>
        <v>254</v>
      </c>
      <c r="U1000" s="151">
        <f t="shared" si="292"/>
        <v>0</v>
      </c>
      <c r="V1000" s="139">
        <f t="shared" si="293"/>
        <v>0</v>
      </c>
      <c r="W1000" s="152">
        <f t="shared" si="296"/>
        <v>254</v>
      </c>
      <c r="X1000" s="127" t="str">
        <f t="shared" si="294"/>
        <v/>
      </c>
      <c r="Y1000" s="207">
        <f t="shared" si="297"/>
        <v>254</v>
      </c>
      <c r="Z1000" s="139">
        <f t="shared" si="298"/>
        <v>171</v>
      </c>
      <c r="AA1000" s="139">
        <f t="shared" si="299"/>
        <v>83</v>
      </c>
      <c r="AC1000" s="47">
        <f t="shared" si="300"/>
        <v>127</v>
      </c>
      <c r="AD1000" s="47">
        <f t="shared" si="301"/>
        <v>86</v>
      </c>
      <c r="AE1000" s="47">
        <f t="shared" si="302"/>
        <v>42</v>
      </c>
      <c r="AG1000" s="47">
        <f t="shared" si="303"/>
        <v>127</v>
      </c>
      <c r="AH1000" s="47">
        <f t="shared" si="304"/>
        <v>85</v>
      </c>
      <c r="AI1000" s="208">
        <f t="shared" si="305"/>
        <v>41</v>
      </c>
    </row>
    <row r="1001" spans="1:35">
      <c r="A1001" t="s">
        <v>2120</v>
      </c>
      <c r="B1001" t="s">
        <v>3155</v>
      </c>
      <c r="C1001" t="s">
        <v>2590</v>
      </c>
      <c r="D1001" t="s">
        <v>4333</v>
      </c>
      <c r="F1001" t="s">
        <v>779</v>
      </c>
      <c r="G1001" s="126">
        <f>SUMIFS('Support - Transition'!F:F,'Support - Transition'!B:B,'Step 2'!A1001,'Support - Transition'!C:C,'Step 2'!B1001,'Support - Transition'!D:D,'Step 2'!C1001,'Support - Transition'!E:E,"CIVIL")</f>
        <v>0</v>
      </c>
      <c r="H1001" s="126">
        <f>SUMIFS('Support - Transition'!F:F,'Support - Transition'!B:B,'Step 2'!A1001,'Support - Transition'!C:C,'Step 2'!B1001,'Support - Transition'!D:D,'Step 2'!C1001,'Support - Transition'!E:E,"FIRE")</f>
        <v>0</v>
      </c>
      <c r="I1001" s="126">
        <f>IF(B1001="0",SUMIFS('Support - Transition'!F:F,'Support - Transition'!J:J,'Step 2'!D1001,'Support - Transition'!E:E,"STATE UNIT"),SUMIFS('Support - Transition'!F:F,'Support - Transition'!J:J,'Step 2'!D1001))</f>
        <v>0.24615400000000001</v>
      </c>
      <c r="J1001" s="126">
        <f>SUMIFS('Support - Unit Adjustments'!E:E,'Support - Unit Adjustments'!F:F,'Step 2'!D1001)</f>
        <v>0</v>
      </c>
      <c r="K1001" s="126">
        <f t="shared" si="289"/>
        <v>0.24615400000000001</v>
      </c>
      <c r="L1001" s="174">
        <f>VLOOKUP(A1001,'Step 1'!$A:$E,4,FALSE)</f>
        <v>545828</v>
      </c>
      <c r="M1001" s="47">
        <f t="shared" si="290"/>
        <v>134358</v>
      </c>
      <c r="N1001" s="177">
        <f>SUMIFS('Support - Transition'!G:G,'Support - Transition'!J:J,'Step 2'!D1001,'Support - Transition'!E:E,"2009 WELFARE ALLOCATION FACTOR")</f>
        <v>0</v>
      </c>
      <c r="O1001" s="152">
        <f t="shared" si="295"/>
        <v>0</v>
      </c>
      <c r="P1001" s="126">
        <f>IF(E1001="Y",0,SUMIFS('Support - Transition'!G:G,'Support - Transition'!J:J,'Step 2'!D1001,'Support - Transition'!E:E,"2009 SCHOOL ALLOCATION FACTOR"))</f>
        <v>0</v>
      </c>
      <c r="Q1001" s="126">
        <f>IF(E1001="Y",VLOOKUP(D1001,'Support - Unit Adjustments'!F:G,2,FALSE),0)</f>
        <v>0</v>
      </c>
      <c r="R1001" s="155">
        <f t="shared" si="307"/>
        <v>0</v>
      </c>
      <c r="S1001" s="47">
        <f t="shared" si="306"/>
        <v>0</v>
      </c>
      <c r="T1001" s="151">
        <f t="shared" si="291"/>
        <v>134358</v>
      </c>
      <c r="U1001" s="151">
        <f t="shared" si="292"/>
        <v>0</v>
      </c>
      <c r="V1001" s="139">
        <f t="shared" si="293"/>
        <v>0</v>
      </c>
      <c r="W1001" s="152">
        <f t="shared" si="296"/>
        <v>134358</v>
      </c>
      <c r="X1001" s="127" t="str">
        <f t="shared" si="294"/>
        <v/>
      </c>
      <c r="Y1001" s="207">
        <f t="shared" si="297"/>
        <v>134358</v>
      </c>
      <c r="Z1001" s="139">
        <f t="shared" si="298"/>
        <v>134358</v>
      </c>
      <c r="AA1001" s="139">
        <f t="shared" si="299"/>
        <v>0</v>
      </c>
      <c r="AC1001" s="47">
        <f t="shared" si="300"/>
        <v>67179</v>
      </c>
      <c r="AD1001" s="47">
        <f t="shared" si="301"/>
        <v>67179</v>
      </c>
      <c r="AE1001" s="47">
        <f t="shared" si="302"/>
        <v>0</v>
      </c>
      <c r="AG1001" s="47">
        <f t="shared" si="303"/>
        <v>67179</v>
      </c>
      <c r="AH1001" s="47">
        <f t="shared" si="304"/>
        <v>67179</v>
      </c>
      <c r="AI1001" s="208">
        <f t="shared" si="305"/>
        <v>0</v>
      </c>
    </row>
    <row r="1002" spans="1:35">
      <c r="A1002" t="s">
        <v>2120</v>
      </c>
      <c r="B1002" t="s">
        <v>3155</v>
      </c>
      <c r="C1002" t="s">
        <v>2591</v>
      </c>
      <c r="D1002" t="s">
        <v>4334</v>
      </c>
      <c r="F1002" t="s">
        <v>778</v>
      </c>
      <c r="G1002" s="126">
        <f>SUMIFS('Support - Transition'!F:F,'Support - Transition'!B:B,'Step 2'!A1002,'Support - Transition'!C:C,'Step 2'!B1002,'Support - Transition'!D:D,'Step 2'!C1002,'Support - Transition'!E:E,"CIVIL")</f>
        <v>0</v>
      </c>
      <c r="H1002" s="126">
        <f>SUMIFS('Support - Transition'!F:F,'Support - Transition'!B:B,'Step 2'!A1002,'Support - Transition'!C:C,'Step 2'!B1002,'Support - Transition'!D:D,'Step 2'!C1002,'Support - Transition'!E:E,"FIRE")</f>
        <v>0</v>
      </c>
      <c r="I1002" s="126">
        <f>IF(B1002="0",SUMIFS('Support - Transition'!F:F,'Support - Transition'!J:J,'Step 2'!D1002,'Support - Transition'!E:E,"STATE UNIT"),SUMIFS('Support - Transition'!F:F,'Support - Transition'!J:J,'Step 2'!D1002))</f>
        <v>9.7799999999999992E-4</v>
      </c>
      <c r="J1002" s="126">
        <f>SUMIFS('Support - Unit Adjustments'!E:E,'Support - Unit Adjustments'!F:F,'Step 2'!D1002)</f>
        <v>0</v>
      </c>
      <c r="K1002" s="126">
        <f t="shared" si="289"/>
        <v>9.7799999999999992E-4</v>
      </c>
      <c r="L1002" s="174">
        <f>VLOOKUP(A1002,'Step 1'!$A:$E,4,FALSE)</f>
        <v>545828</v>
      </c>
      <c r="M1002" s="47">
        <f t="shared" si="290"/>
        <v>534</v>
      </c>
      <c r="N1002" s="177">
        <f>SUMIFS('Support - Transition'!G:G,'Support - Transition'!J:J,'Step 2'!D1002,'Support - Transition'!E:E,"2009 WELFARE ALLOCATION FACTOR")</f>
        <v>0</v>
      </c>
      <c r="O1002" s="152">
        <f t="shared" si="295"/>
        <v>0</v>
      </c>
      <c r="P1002" s="126">
        <f>IF(E1002="Y",0,SUMIFS('Support - Transition'!G:G,'Support - Transition'!J:J,'Step 2'!D1002,'Support - Transition'!E:E,"2009 SCHOOL ALLOCATION FACTOR"))</f>
        <v>0</v>
      </c>
      <c r="Q1002" s="126">
        <f>IF(E1002="Y",VLOOKUP(D1002,'Support - Unit Adjustments'!F:G,2,FALSE),0)</f>
        <v>0</v>
      </c>
      <c r="R1002" s="155">
        <f t="shared" si="307"/>
        <v>0</v>
      </c>
      <c r="S1002" s="47">
        <f t="shared" si="306"/>
        <v>0</v>
      </c>
      <c r="T1002" s="151">
        <f t="shared" si="291"/>
        <v>534</v>
      </c>
      <c r="U1002" s="151">
        <f t="shared" si="292"/>
        <v>0</v>
      </c>
      <c r="V1002" s="139">
        <f t="shared" si="293"/>
        <v>0</v>
      </c>
      <c r="W1002" s="152">
        <f t="shared" si="296"/>
        <v>534</v>
      </c>
      <c r="X1002" s="127" t="str">
        <f t="shared" si="294"/>
        <v/>
      </c>
      <c r="Y1002" s="207">
        <f t="shared" si="297"/>
        <v>534</v>
      </c>
      <c r="Z1002" s="139">
        <f t="shared" si="298"/>
        <v>534</v>
      </c>
      <c r="AA1002" s="139">
        <f t="shared" si="299"/>
        <v>0</v>
      </c>
      <c r="AC1002" s="47">
        <f t="shared" si="300"/>
        <v>267</v>
      </c>
      <c r="AD1002" s="47">
        <f t="shared" si="301"/>
        <v>267</v>
      </c>
      <c r="AE1002" s="47">
        <f t="shared" si="302"/>
        <v>0</v>
      </c>
      <c r="AG1002" s="47">
        <f t="shared" si="303"/>
        <v>267</v>
      </c>
      <c r="AH1002" s="47">
        <f t="shared" si="304"/>
        <v>267</v>
      </c>
      <c r="AI1002" s="208">
        <f t="shared" si="305"/>
        <v>0</v>
      </c>
    </row>
    <row r="1003" spans="1:35">
      <c r="A1003" t="s">
        <v>2120</v>
      </c>
      <c r="B1003" t="s">
        <v>3155</v>
      </c>
      <c r="C1003" t="s">
        <v>2592</v>
      </c>
      <c r="D1003" t="s">
        <v>4335</v>
      </c>
      <c r="F1003" t="s">
        <v>780</v>
      </c>
      <c r="G1003" s="126">
        <f>SUMIFS('Support - Transition'!F:F,'Support - Transition'!B:B,'Step 2'!A1003,'Support - Transition'!C:C,'Step 2'!B1003,'Support - Transition'!D:D,'Step 2'!C1003,'Support - Transition'!E:E,"CIVIL")</f>
        <v>0</v>
      </c>
      <c r="H1003" s="126">
        <f>SUMIFS('Support - Transition'!F:F,'Support - Transition'!B:B,'Step 2'!A1003,'Support - Transition'!C:C,'Step 2'!B1003,'Support - Transition'!D:D,'Step 2'!C1003,'Support - Transition'!E:E,"FIRE")</f>
        <v>0</v>
      </c>
      <c r="I1003" s="126">
        <f>IF(B1003="0",SUMIFS('Support - Transition'!F:F,'Support - Transition'!J:J,'Step 2'!D1003,'Support - Transition'!E:E,"STATE UNIT"),SUMIFS('Support - Transition'!F:F,'Support - Transition'!J:J,'Step 2'!D1003))</f>
        <v>1.3159999999999999E-3</v>
      </c>
      <c r="J1003" s="126">
        <f>SUMIFS('Support - Unit Adjustments'!E:E,'Support - Unit Adjustments'!F:F,'Step 2'!D1003)</f>
        <v>0</v>
      </c>
      <c r="K1003" s="126">
        <f t="shared" si="289"/>
        <v>1.3159999999999999E-3</v>
      </c>
      <c r="L1003" s="174">
        <f>VLOOKUP(A1003,'Step 1'!$A:$E,4,FALSE)</f>
        <v>545828</v>
      </c>
      <c r="M1003" s="47">
        <f t="shared" si="290"/>
        <v>718</v>
      </c>
      <c r="N1003" s="177">
        <f>SUMIFS('Support - Transition'!G:G,'Support - Transition'!J:J,'Step 2'!D1003,'Support - Transition'!E:E,"2009 WELFARE ALLOCATION FACTOR")</f>
        <v>0</v>
      </c>
      <c r="O1003" s="152">
        <f t="shared" si="295"/>
        <v>0</v>
      </c>
      <c r="P1003" s="126">
        <f>IF(E1003="Y",0,SUMIFS('Support - Transition'!G:G,'Support - Transition'!J:J,'Step 2'!D1003,'Support - Transition'!E:E,"2009 SCHOOL ALLOCATION FACTOR"))</f>
        <v>0</v>
      </c>
      <c r="Q1003" s="126">
        <f>IF(E1003="Y",VLOOKUP(D1003,'Support - Unit Adjustments'!F:G,2,FALSE),0)</f>
        <v>0</v>
      </c>
      <c r="R1003" s="155">
        <f t="shared" si="307"/>
        <v>0</v>
      </c>
      <c r="S1003" s="47">
        <f t="shared" si="306"/>
        <v>0</v>
      </c>
      <c r="T1003" s="151">
        <f t="shared" si="291"/>
        <v>718</v>
      </c>
      <c r="U1003" s="151">
        <f t="shared" si="292"/>
        <v>0</v>
      </c>
      <c r="V1003" s="139">
        <f t="shared" si="293"/>
        <v>0</v>
      </c>
      <c r="W1003" s="152">
        <f t="shared" si="296"/>
        <v>718</v>
      </c>
      <c r="X1003" s="127" t="str">
        <f t="shared" si="294"/>
        <v/>
      </c>
      <c r="Y1003" s="207">
        <f t="shared" si="297"/>
        <v>718</v>
      </c>
      <c r="Z1003" s="139">
        <f t="shared" si="298"/>
        <v>718</v>
      </c>
      <c r="AA1003" s="139">
        <f t="shared" si="299"/>
        <v>0</v>
      </c>
      <c r="AC1003" s="47">
        <f t="shared" si="300"/>
        <v>359</v>
      </c>
      <c r="AD1003" s="47">
        <f t="shared" si="301"/>
        <v>359</v>
      </c>
      <c r="AE1003" s="47">
        <f t="shared" si="302"/>
        <v>0</v>
      </c>
      <c r="AG1003" s="47">
        <f t="shared" si="303"/>
        <v>359</v>
      </c>
      <c r="AH1003" s="47">
        <f t="shared" si="304"/>
        <v>359</v>
      </c>
      <c r="AI1003" s="208">
        <f t="shared" si="305"/>
        <v>0</v>
      </c>
    </row>
    <row r="1004" spans="1:35">
      <c r="A1004" t="s">
        <v>2120</v>
      </c>
      <c r="B1004" t="s">
        <v>3160</v>
      </c>
      <c r="C1004" t="s">
        <v>2593</v>
      </c>
      <c r="D1004" t="s">
        <v>4336</v>
      </c>
      <c r="F1004" t="s">
        <v>784</v>
      </c>
      <c r="G1004" s="126">
        <f>SUMIFS('Support - Transition'!F:F,'Support - Transition'!B:B,'Step 2'!A1004,'Support - Transition'!C:C,'Step 2'!B1004,'Support - Transition'!D:D,'Step 2'!C1004,'Support - Transition'!E:E,"CIVIL")</f>
        <v>0</v>
      </c>
      <c r="H1004" s="126">
        <f>SUMIFS('Support - Transition'!F:F,'Support - Transition'!B:B,'Step 2'!A1004,'Support - Transition'!C:C,'Step 2'!B1004,'Support - Transition'!D:D,'Step 2'!C1004,'Support - Transition'!E:E,"FIRE")</f>
        <v>0</v>
      </c>
      <c r="I1004" s="126">
        <f>IF(B1004="0",SUMIFS('Support - Transition'!F:F,'Support - Transition'!J:J,'Step 2'!D1004,'Support - Transition'!E:E,"STATE UNIT"),SUMIFS('Support - Transition'!F:F,'Support - Transition'!J:J,'Step 2'!D1004))</f>
        <v>2.8608999999999999E-2</v>
      </c>
      <c r="J1004" s="126">
        <f>SUMIFS('Support - Unit Adjustments'!E:E,'Support - Unit Adjustments'!F:F,'Step 2'!D1004)</f>
        <v>0</v>
      </c>
      <c r="K1004" s="126">
        <f t="shared" si="289"/>
        <v>2.8608999999999999E-2</v>
      </c>
      <c r="L1004" s="174">
        <f>VLOOKUP(A1004,'Step 1'!$A:$E,4,FALSE)</f>
        <v>545828</v>
      </c>
      <c r="M1004" s="47">
        <f t="shared" si="290"/>
        <v>15616</v>
      </c>
      <c r="N1004" s="177">
        <f>SUMIFS('Support - Transition'!G:G,'Support - Transition'!J:J,'Step 2'!D1004,'Support - Transition'!E:E,"2009 WELFARE ALLOCATION FACTOR")</f>
        <v>0</v>
      </c>
      <c r="O1004" s="152">
        <f t="shared" si="295"/>
        <v>0</v>
      </c>
      <c r="P1004" s="126">
        <f>IF(E1004="Y",0,SUMIFS('Support - Transition'!G:G,'Support - Transition'!J:J,'Step 2'!D1004,'Support - Transition'!E:E,"2009 SCHOOL ALLOCATION FACTOR"))</f>
        <v>0.44720300000000002</v>
      </c>
      <c r="Q1004" s="126">
        <f>IF(E1004="Y",VLOOKUP(D1004,'Support - Unit Adjustments'!F:G,2,FALSE),0)</f>
        <v>0</v>
      </c>
      <c r="R1004" s="155">
        <f t="shared" si="307"/>
        <v>0.44720300000000002</v>
      </c>
      <c r="S1004" s="47">
        <f t="shared" si="306"/>
        <v>6984</v>
      </c>
      <c r="T1004" s="151">
        <f t="shared" si="291"/>
        <v>8632</v>
      </c>
      <c r="U1004" s="151">
        <f t="shared" si="292"/>
        <v>0</v>
      </c>
      <c r="V1004" s="139">
        <f t="shared" si="293"/>
        <v>0</v>
      </c>
      <c r="W1004" s="152">
        <f t="shared" si="296"/>
        <v>8632</v>
      </c>
      <c r="X1004" s="127" t="str">
        <f t="shared" si="294"/>
        <v/>
      </c>
      <c r="Y1004" s="207">
        <f t="shared" si="297"/>
        <v>8632</v>
      </c>
      <c r="Z1004" s="139">
        <f t="shared" si="298"/>
        <v>8632</v>
      </c>
      <c r="AA1004" s="139">
        <f t="shared" si="299"/>
        <v>0</v>
      </c>
      <c r="AC1004" s="47">
        <f t="shared" si="300"/>
        <v>4316</v>
      </c>
      <c r="AD1004" s="47">
        <f t="shared" si="301"/>
        <v>4316</v>
      </c>
      <c r="AE1004" s="47">
        <f t="shared" si="302"/>
        <v>0</v>
      </c>
      <c r="AG1004" s="47">
        <f t="shared" si="303"/>
        <v>4316</v>
      </c>
      <c r="AH1004" s="47">
        <f t="shared" si="304"/>
        <v>4316</v>
      </c>
      <c r="AI1004" s="208">
        <f t="shared" si="305"/>
        <v>0</v>
      </c>
    </row>
    <row r="1005" spans="1:35">
      <c r="A1005" t="s">
        <v>2120</v>
      </c>
      <c r="B1005" t="s">
        <v>3160</v>
      </c>
      <c r="C1005" t="s">
        <v>2594</v>
      </c>
      <c r="D1005" t="s">
        <v>4337</v>
      </c>
      <c r="F1005" t="s">
        <v>783</v>
      </c>
      <c r="G1005" s="126">
        <f>SUMIFS('Support - Transition'!F:F,'Support - Transition'!B:B,'Step 2'!A1005,'Support - Transition'!C:C,'Step 2'!B1005,'Support - Transition'!D:D,'Step 2'!C1005,'Support - Transition'!E:E,"CIVIL")</f>
        <v>0</v>
      </c>
      <c r="H1005" s="126">
        <f>SUMIFS('Support - Transition'!F:F,'Support - Transition'!B:B,'Step 2'!A1005,'Support - Transition'!C:C,'Step 2'!B1005,'Support - Transition'!D:D,'Step 2'!C1005,'Support - Transition'!E:E,"FIRE")</f>
        <v>0</v>
      </c>
      <c r="I1005" s="126">
        <f>IF(B1005="0",SUMIFS('Support - Transition'!F:F,'Support - Transition'!J:J,'Step 2'!D1005,'Support - Transition'!E:E,"STATE UNIT"),SUMIFS('Support - Transition'!F:F,'Support - Transition'!J:J,'Step 2'!D1005))</f>
        <v>7.4455999999999994E-2</v>
      </c>
      <c r="J1005" s="126">
        <f>SUMIFS('Support - Unit Adjustments'!E:E,'Support - Unit Adjustments'!F:F,'Step 2'!D1005)</f>
        <v>0</v>
      </c>
      <c r="K1005" s="126">
        <f t="shared" si="289"/>
        <v>7.4455999999999994E-2</v>
      </c>
      <c r="L1005" s="174">
        <f>VLOOKUP(A1005,'Step 1'!$A:$E,4,FALSE)</f>
        <v>545828</v>
      </c>
      <c r="M1005" s="47">
        <f t="shared" si="290"/>
        <v>40640</v>
      </c>
      <c r="N1005" s="177">
        <f>SUMIFS('Support - Transition'!G:G,'Support - Transition'!J:J,'Step 2'!D1005,'Support - Transition'!E:E,"2009 WELFARE ALLOCATION FACTOR")</f>
        <v>0</v>
      </c>
      <c r="O1005" s="152">
        <f t="shared" si="295"/>
        <v>0</v>
      </c>
      <c r="P1005" s="126">
        <f>IF(E1005="Y",0,SUMIFS('Support - Transition'!G:G,'Support - Transition'!J:J,'Step 2'!D1005,'Support - Transition'!E:E,"2009 SCHOOL ALLOCATION FACTOR"))</f>
        <v>0.50184099999999998</v>
      </c>
      <c r="Q1005" s="126">
        <f>IF(E1005="Y",VLOOKUP(D1005,'Support - Unit Adjustments'!F:G,2,FALSE),0)</f>
        <v>0</v>
      </c>
      <c r="R1005" s="155">
        <f t="shared" si="307"/>
        <v>0.50184099999999998</v>
      </c>
      <c r="S1005" s="47">
        <f t="shared" si="306"/>
        <v>20395</v>
      </c>
      <c r="T1005" s="151">
        <f t="shared" si="291"/>
        <v>20245</v>
      </c>
      <c r="U1005" s="151">
        <f t="shared" si="292"/>
        <v>0</v>
      </c>
      <c r="V1005" s="139">
        <f t="shared" si="293"/>
        <v>0</v>
      </c>
      <c r="W1005" s="152">
        <f t="shared" si="296"/>
        <v>20245</v>
      </c>
      <c r="X1005" s="127" t="str">
        <f t="shared" si="294"/>
        <v/>
      </c>
      <c r="Y1005" s="207">
        <f t="shared" si="297"/>
        <v>20245</v>
      </c>
      <c r="Z1005" s="139">
        <f t="shared" si="298"/>
        <v>20245</v>
      </c>
      <c r="AA1005" s="139">
        <f t="shared" si="299"/>
        <v>0</v>
      </c>
      <c r="AC1005" s="47">
        <f t="shared" si="300"/>
        <v>10123</v>
      </c>
      <c r="AD1005" s="47">
        <f t="shared" si="301"/>
        <v>10123</v>
      </c>
      <c r="AE1005" s="47">
        <f t="shared" si="302"/>
        <v>0</v>
      </c>
      <c r="AG1005" s="47">
        <f t="shared" si="303"/>
        <v>10122</v>
      </c>
      <c r="AH1005" s="47">
        <f t="shared" si="304"/>
        <v>10122</v>
      </c>
      <c r="AI1005" s="208">
        <f t="shared" si="305"/>
        <v>0</v>
      </c>
    </row>
    <row r="1006" spans="1:35">
      <c r="A1006" t="s">
        <v>2120</v>
      </c>
      <c r="B1006" t="s">
        <v>3160</v>
      </c>
      <c r="C1006" t="s">
        <v>2595</v>
      </c>
      <c r="D1006" t="s">
        <v>4338</v>
      </c>
      <c r="F1006" t="s">
        <v>4339</v>
      </c>
      <c r="G1006" s="126">
        <f>SUMIFS('Support - Transition'!F:F,'Support - Transition'!B:B,'Step 2'!A1006,'Support - Transition'!C:C,'Step 2'!B1006,'Support - Transition'!D:D,'Step 2'!C1006,'Support - Transition'!E:E,"CIVIL")</f>
        <v>0</v>
      </c>
      <c r="H1006" s="126">
        <f>SUMIFS('Support - Transition'!F:F,'Support - Transition'!B:B,'Step 2'!A1006,'Support - Transition'!C:C,'Step 2'!B1006,'Support - Transition'!D:D,'Step 2'!C1006,'Support - Transition'!E:E,"FIRE")</f>
        <v>0</v>
      </c>
      <c r="I1006" s="126">
        <f>IF(B1006="0",SUMIFS('Support - Transition'!F:F,'Support - Transition'!J:J,'Step 2'!D1006,'Support - Transition'!E:E,"STATE UNIT"),SUMIFS('Support - Transition'!F:F,'Support - Transition'!J:J,'Step 2'!D1006))</f>
        <v>5.4828000000000002E-2</v>
      </c>
      <c r="J1006" s="126">
        <f>SUMIFS('Support - Unit Adjustments'!E:E,'Support - Unit Adjustments'!F:F,'Step 2'!D1006)</f>
        <v>0</v>
      </c>
      <c r="K1006" s="126">
        <f t="shared" si="289"/>
        <v>5.4828000000000002E-2</v>
      </c>
      <c r="L1006" s="174">
        <f>VLOOKUP(A1006,'Step 1'!$A:$E,4,FALSE)</f>
        <v>545828</v>
      </c>
      <c r="M1006" s="47">
        <f t="shared" si="290"/>
        <v>29927</v>
      </c>
      <c r="N1006" s="177">
        <f>SUMIFS('Support - Transition'!G:G,'Support - Transition'!J:J,'Step 2'!D1006,'Support - Transition'!E:E,"2009 WELFARE ALLOCATION FACTOR")</f>
        <v>0</v>
      </c>
      <c r="O1006" s="152">
        <f t="shared" si="295"/>
        <v>0</v>
      </c>
      <c r="P1006" s="126">
        <f>IF(E1006="Y",0,SUMIFS('Support - Transition'!G:G,'Support - Transition'!J:J,'Step 2'!D1006,'Support - Transition'!E:E,"2009 SCHOOL ALLOCATION FACTOR"))</f>
        <v>0.38406200000000001</v>
      </c>
      <c r="Q1006" s="126">
        <f>IF(E1006="Y",VLOOKUP(D1006,'Support - Unit Adjustments'!F:G,2,FALSE),0)</f>
        <v>0</v>
      </c>
      <c r="R1006" s="155">
        <f t="shared" si="307"/>
        <v>0.38406200000000001</v>
      </c>
      <c r="S1006" s="47">
        <f t="shared" si="306"/>
        <v>11494</v>
      </c>
      <c r="T1006" s="151">
        <f t="shared" si="291"/>
        <v>18433</v>
      </c>
      <c r="U1006" s="151">
        <f t="shared" si="292"/>
        <v>0</v>
      </c>
      <c r="V1006" s="139">
        <f t="shared" si="293"/>
        <v>0</v>
      </c>
      <c r="W1006" s="152">
        <f t="shared" si="296"/>
        <v>18433</v>
      </c>
      <c r="X1006" s="127" t="str">
        <f t="shared" si="294"/>
        <v/>
      </c>
      <c r="Y1006" s="207">
        <f t="shared" si="297"/>
        <v>18433</v>
      </c>
      <c r="Z1006" s="139">
        <f t="shared" si="298"/>
        <v>18433</v>
      </c>
      <c r="AA1006" s="139">
        <f t="shared" si="299"/>
        <v>0</v>
      </c>
      <c r="AC1006" s="47">
        <f t="shared" si="300"/>
        <v>9217</v>
      </c>
      <c r="AD1006" s="47">
        <f t="shared" si="301"/>
        <v>9217</v>
      </c>
      <c r="AE1006" s="47">
        <f t="shared" si="302"/>
        <v>0</v>
      </c>
      <c r="AG1006" s="47">
        <f t="shared" si="303"/>
        <v>9216</v>
      </c>
      <c r="AH1006" s="47">
        <f t="shared" si="304"/>
        <v>9216</v>
      </c>
      <c r="AI1006" s="208">
        <f t="shared" si="305"/>
        <v>0</v>
      </c>
    </row>
    <row r="1007" spans="1:35">
      <c r="A1007" t="s">
        <v>2120</v>
      </c>
      <c r="B1007" t="s">
        <v>3160</v>
      </c>
      <c r="C1007" t="s">
        <v>2596</v>
      </c>
      <c r="D1007" t="s">
        <v>4340</v>
      </c>
      <c r="F1007" t="s">
        <v>785</v>
      </c>
      <c r="G1007" s="126">
        <f>SUMIFS('Support - Transition'!F:F,'Support - Transition'!B:B,'Step 2'!A1007,'Support - Transition'!C:C,'Step 2'!B1007,'Support - Transition'!D:D,'Step 2'!C1007,'Support - Transition'!E:E,"CIVIL")</f>
        <v>0</v>
      </c>
      <c r="H1007" s="126">
        <f>SUMIFS('Support - Transition'!F:F,'Support - Transition'!B:B,'Step 2'!A1007,'Support - Transition'!C:C,'Step 2'!B1007,'Support - Transition'!D:D,'Step 2'!C1007,'Support - Transition'!E:E,"FIRE")</f>
        <v>0</v>
      </c>
      <c r="I1007" s="126">
        <f>IF(B1007="0",SUMIFS('Support - Transition'!F:F,'Support - Transition'!J:J,'Step 2'!D1007,'Support - Transition'!E:E,"STATE UNIT"),SUMIFS('Support - Transition'!F:F,'Support - Transition'!J:J,'Step 2'!D1007))</f>
        <v>3.3683999999999999E-2</v>
      </c>
      <c r="J1007" s="126">
        <f>SUMIFS('Support - Unit Adjustments'!E:E,'Support - Unit Adjustments'!F:F,'Step 2'!D1007)</f>
        <v>0</v>
      </c>
      <c r="K1007" s="126">
        <f t="shared" si="289"/>
        <v>3.3683999999999999E-2</v>
      </c>
      <c r="L1007" s="174">
        <f>VLOOKUP(A1007,'Step 1'!$A:$E,4,FALSE)</f>
        <v>545828</v>
      </c>
      <c r="M1007" s="47">
        <f t="shared" si="290"/>
        <v>18386</v>
      </c>
      <c r="N1007" s="177">
        <f>SUMIFS('Support - Transition'!G:G,'Support - Transition'!J:J,'Step 2'!D1007,'Support - Transition'!E:E,"2009 WELFARE ALLOCATION FACTOR")</f>
        <v>0</v>
      </c>
      <c r="O1007" s="152">
        <f t="shared" si="295"/>
        <v>0</v>
      </c>
      <c r="P1007" s="126">
        <f>IF(E1007="Y",0,SUMIFS('Support - Transition'!G:G,'Support - Transition'!J:J,'Step 2'!D1007,'Support - Transition'!E:E,"2009 SCHOOL ALLOCATION FACTOR"))</f>
        <v>0.44162200000000001</v>
      </c>
      <c r="Q1007" s="126">
        <f>IF(E1007="Y",VLOOKUP(D1007,'Support - Unit Adjustments'!F:G,2,FALSE),0)</f>
        <v>0</v>
      </c>
      <c r="R1007" s="155">
        <f t="shared" si="307"/>
        <v>0.44162200000000001</v>
      </c>
      <c r="S1007" s="47">
        <f t="shared" si="306"/>
        <v>8120</v>
      </c>
      <c r="T1007" s="151">
        <f t="shared" si="291"/>
        <v>10266</v>
      </c>
      <c r="U1007" s="151">
        <f t="shared" si="292"/>
        <v>0</v>
      </c>
      <c r="V1007" s="139">
        <f t="shared" si="293"/>
        <v>0</v>
      </c>
      <c r="W1007" s="152">
        <f t="shared" si="296"/>
        <v>10266</v>
      </c>
      <c r="X1007" s="127" t="str">
        <f t="shared" si="294"/>
        <v/>
      </c>
      <c r="Y1007" s="207">
        <f t="shared" si="297"/>
        <v>10266</v>
      </c>
      <c r="Z1007" s="139">
        <f t="shared" si="298"/>
        <v>10266</v>
      </c>
      <c r="AA1007" s="139">
        <f t="shared" si="299"/>
        <v>0</v>
      </c>
      <c r="AC1007" s="47">
        <f t="shared" si="300"/>
        <v>5133</v>
      </c>
      <c r="AD1007" s="47">
        <f t="shared" si="301"/>
        <v>5133</v>
      </c>
      <c r="AE1007" s="47">
        <f t="shared" si="302"/>
        <v>0</v>
      </c>
      <c r="AG1007" s="47">
        <f t="shared" si="303"/>
        <v>5133</v>
      </c>
      <c r="AH1007" s="47">
        <f t="shared" si="304"/>
        <v>5133</v>
      </c>
      <c r="AI1007" s="208">
        <f t="shared" si="305"/>
        <v>0</v>
      </c>
    </row>
    <row r="1008" spans="1:35">
      <c r="A1008" t="s">
        <v>2120</v>
      </c>
      <c r="B1008" t="s">
        <v>3160</v>
      </c>
      <c r="C1008" t="s">
        <v>2597</v>
      </c>
      <c r="D1008" t="s">
        <v>4341</v>
      </c>
      <c r="F1008" t="s">
        <v>4342</v>
      </c>
      <c r="G1008" s="126">
        <f>SUMIFS('Support - Transition'!F:F,'Support - Transition'!B:B,'Step 2'!A1008,'Support - Transition'!C:C,'Step 2'!B1008,'Support - Transition'!D:D,'Step 2'!C1008,'Support - Transition'!E:E,"CIVIL")</f>
        <v>0</v>
      </c>
      <c r="H1008" s="126">
        <f>SUMIFS('Support - Transition'!F:F,'Support - Transition'!B:B,'Step 2'!A1008,'Support - Transition'!C:C,'Step 2'!B1008,'Support - Transition'!D:D,'Step 2'!C1008,'Support - Transition'!E:E,"FIRE")</f>
        <v>0</v>
      </c>
      <c r="I1008" s="126">
        <f>IF(B1008="0",SUMIFS('Support - Transition'!F:F,'Support - Transition'!J:J,'Step 2'!D1008,'Support - Transition'!E:E,"STATE UNIT"),SUMIFS('Support - Transition'!F:F,'Support - Transition'!J:J,'Step 2'!D1008))</f>
        <v>0.36520999999999998</v>
      </c>
      <c r="J1008" s="126">
        <f>SUMIFS('Support - Unit Adjustments'!E:E,'Support - Unit Adjustments'!F:F,'Step 2'!D1008)</f>
        <v>0</v>
      </c>
      <c r="K1008" s="126">
        <f t="shared" si="289"/>
        <v>0.36520999999999998</v>
      </c>
      <c r="L1008" s="174">
        <f>VLOOKUP(A1008,'Step 1'!$A:$E,4,FALSE)</f>
        <v>545828</v>
      </c>
      <c r="M1008" s="47">
        <f t="shared" si="290"/>
        <v>199342</v>
      </c>
      <c r="N1008" s="177">
        <f>SUMIFS('Support - Transition'!G:G,'Support - Transition'!J:J,'Step 2'!D1008,'Support - Transition'!E:E,"2009 WELFARE ALLOCATION FACTOR")</f>
        <v>0</v>
      </c>
      <c r="O1008" s="152">
        <f t="shared" si="295"/>
        <v>0</v>
      </c>
      <c r="P1008" s="126">
        <f>IF(E1008="Y",0,SUMIFS('Support - Transition'!G:G,'Support - Transition'!J:J,'Step 2'!D1008,'Support - Transition'!E:E,"2009 SCHOOL ALLOCATION FACTOR"))</f>
        <v>0.55304299999999995</v>
      </c>
      <c r="Q1008" s="126">
        <f>IF(E1008="Y",VLOOKUP(D1008,'Support - Unit Adjustments'!F:G,2,FALSE),0)</f>
        <v>0</v>
      </c>
      <c r="R1008" s="155">
        <f t="shared" si="307"/>
        <v>0.55304299999999995</v>
      </c>
      <c r="S1008" s="47">
        <f t="shared" si="306"/>
        <v>110245</v>
      </c>
      <c r="T1008" s="151">
        <f t="shared" si="291"/>
        <v>89097</v>
      </c>
      <c r="U1008" s="151">
        <f t="shared" si="292"/>
        <v>0</v>
      </c>
      <c r="V1008" s="139">
        <f t="shared" si="293"/>
        <v>0</v>
      </c>
      <c r="W1008" s="152">
        <f t="shared" si="296"/>
        <v>89097</v>
      </c>
      <c r="X1008" s="127" t="str">
        <f t="shared" si="294"/>
        <v/>
      </c>
      <c r="Y1008" s="207">
        <f t="shared" si="297"/>
        <v>89097</v>
      </c>
      <c r="Z1008" s="139">
        <f t="shared" si="298"/>
        <v>89097</v>
      </c>
      <c r="AA1008" s="139">
        <f t="shared" si="299"/>
        <v>0</v>
      </c>
      <c r="AC1008" s="47">
        <f t="shared" si="300"/>
        <v>44549</v>
      </c>
      <c r="AD1008" s="47">
        <f t="shared" si="301"/>
        <v>44549</v>
      </c>
      <c r="AE1008" s="47">
        <f t="shared" si="302"/>
        <v>0</v>
      </c>
      <c r="AG1008" s="47">
        <f t="shared" si="303"/>
        <v>44548</v>
      </c>
      <c r="AH1008" s="47">
        <f t="shared" si="304"/>
        <v>44548</v>
      </c>
      <c r="AI1008" s="208">
        <f t="shared" si="305"/>
        <v>0</v>
      </c>
    </row>
    <row r="1009" spans="1:35">
      <c r="A1009" t="s">
        <v>2120</v>
      </c>
      <c r="B1009" t="s">
        <v>3166</v>
      </c>
      <c r="C1009" t="s">
        <v>2598</v>
      </c>
      <c r="D1009" t="s">
        <v>4343</v>
      </c>
      <c r="F1009" t="s">
        <v>786</v>
      </c>
      <c r="G1009" s="126">
        <f>SUMIFS('Support - Transition'!F:F,'Support - Transition'!B:B,'Step 2'!A1009,'Support - Transition'!C:C,'Step 2'!B1009,'Support - Transition'!D:D,'Step 2'!C1009,'Support - Transition'!E:E,"CIVIL")</f>
        <v>0</v>
      </c>
      <c r="H1009" s="126">
        <f>SUMIFS('Support - Transition'!F:F,'Support - Transition'!B:B,'Step 2'!A1009,'Support - Transition'!C:C,'Step 2'!B1009,'Support - Transition'!D:D,'Step 2'!C1009,'Support - Transition'!E:E,"FIRE")</f>
        <v>0</v>
      </c>
      <c r="I1009" s="126">
        <f>IF(B1009="0",SUMIFS('Support - Transition'!F:F,'Support - Transition'!J:J,'Step 2'!D1009,'Support - Transition'!E:E,"STATE UNIT"),SUMIFS('Support - Transition'!F:F,'Support - Transition'!J:J,'Step 2'!D1009))</f>
        <v>2.4229999999999998E-3</v>
      </c>
      <c r="J1009" s="126">
        <f>SUMIFS('Support - Unit Adjustments'!E:E,'Support - Unit Adjustments'!F:F,'Step 2'!D1009)</f>
        <v>0</v>
      </c>
      <c r="K1009" s="126">
        <f t="shared" si="289"/>
        <v>2.4229999999999998E-3</v>
      </c>
      <c r="L1009" s="174">
        <f>VLOOKUP(A1009,'Step 1'!$A:$E,4,FALSE)</f>
        <v>545828</v>
      </c>
      <c r="M1009" s="47">
        <f t="shared" si="290"/>
        <v>1323</v>
      </c>
      <c r="N1009" s="177">
        <f>SUMIFS('Support - Transition'!G:G,'Support - Transition'!J:J,'Step 2'!D1009,'Support - Transition'!E:E,"2009 WELFARE ALLOCATION FACTOR")</f>
        <v>0</v>
      </c>
      <c r="O1009" s="152">
        <f t="shared" si="295"/>
        <v>0</v>
      </c>
      <c r="P1009" s="126">
        <f>IF(E1009="Y",0,SUMIFS('Support - Transition'!G:G,'Support - Transition'!J:J,'Step 2'!D1009,'Support - Transition'!E:E,"2009 SCHOOL ALLOCATION FACTOR"))</f>
        <v>0</v>
      </c>
      <c r="Q1009" s="126">
        <f>IF(E1009="Y",VLOOKUP(D1009,'Support - Unit Adjustments'!F:G,2,FALSE),0)</f>
        <v>0</v>
      </c>
      <c r="R1009" s="155">
        <f t="shared" si="307"/>
        <v>0</v>
      </c>
      <c r="S1009" s="47">
        <f t="shared" si="306"/>
        <v>0</v>
      </c>
      <c r="T1009" s="151">
        <f t="shared" si="291"/>
        <v>1323</v>
      </c>
      <c r="U1009" s="151">
        <f t="shared" si="292"/>
        <v>0</v>
      </c>
      <c r="V1009" s="139">
        <f t="shared" si="293"/>
        <v>0</v>
      </c>
      <c r="W1009" s="152">
        <f t="shared" si="296"/>
        <v>1323</v>
      </c>
      <c r="X1009" s="127" t="str">
        <f t="shared" si="294"/>
        <v/>
      </c>
      <c r="Y1009" s="207">
        <f t="shared" si="297"/>
        <v>1323</v>
      </c>
      <c r="Z1009" s="139">
        <f t="shared" si="298"/>
        <v>1323</v>
      </c>
      <c r="AA1009" s="139">
        <f t="shared" si="299"/>
        <v>0</v>
      </c>
      <c r="AC1009" s="47">
        <f t="shared" si="300"/>
        <v>662</v>
      </c>
      <c r="AD1009" s="47">
        <f t="shared" si="301"/>
        <v>662</v>
      </c>
      <c r="AE1009" s="47">
        <f t="shared" si="302"/>
        <v>0</v>
      </c>
      <c r="AG1009" s="47">
        <f t="shared" si="303"/>
        <v>661</v>
      </c>
      <c r="AH1009" s="47">
        <f t="shared" si="304"/>
        <v>661</v>
      </c>
      <c r="AI1009" s="208">
        <f t="shared" si="305"/>
        <v>0</v>
      </c>
    </row>
    <row r="1010" spans="1:35">
      <c r="A1010" t="s">
        <v>2120</v>
      </c>
      <c r="B1010" t="s">
        <v>3166</v>
      </c>
      <c r="C1010" t="s">
        <v>4344</v>
      </c>
      <c r="D1010" t="s">
        <v>4345</v>
      </c>
      <c r="F1010" t="s">
        <v>787</v>
      </c>
      <c r="G1010" s="126">
        <f>SUMIFS('Support - Transition'!F:F,'Support - Transition'!B:B,'Step 2'!A1010,'Support - Transition'!C:C,'Step 2'!B1010,'Support - Transition'!D:D,'Step 2'!C1010,'Support - Transition'!E:E,"CIVIL")</f>
        <v>0</v>
      </c>
      <c r="H1010" s="126">
        <f>SUMIFS('Support - Transition'!F:F,'Support - Transition'!B:B,'Step 2'!A1010,'Support - Transition'!C:C,'Step 2'!B1010,'Support - Transition'!D:D,'Step 2'!C1010,'Support - Transition'!E:E,"FIRE")</f>
        <v>0</v>
      </c>
      <c r="I1010" s="126">
        <f>IF(B1010="0",SUMIFS('Support - Transition'!F:F,'Support - Transition'!J:J,'Step 2'!D1010,'Support - Transition'!E:E,"STATE UNIT"),SUMIFS('Support - Transition'!F:F,'Support - Transition'!J:J,'Step 2'!D1010))</f>
        <v>2.162E-2</v>
      </c>
      <c r="J1010" s="126">
        <f>SUMIFS('Support - Unit Adjustments'!E:E,'Support - Unit Adjustments'!F:F,'Step 2'!D1010)</f>
        <v>0</v>
      </c>
      <c r="K1010" s="126">
        <f t="shared" si="289"/>
        <v>2.162E-2</v>
      </c>
      <c r="L1010" s="174">
        <f>VLOOKUP(A1010,'Step 1'!$A:$E,4,FALSE)</f>
        <v>545828</v>
      </c>
      <c r="M1010" s="47">
        <f t="shared" si="290"/>
        <v>11801</v>
      </c>
      <c r="N1010" s="177">
        <f>SUMIFS('Support - Transition'!G:G,'Support - Transition'!J:J,'Step 2'!D1010,'Support - Transition'!E:E,"2009 WELFARE ALLOCATION FACTOR")</f>
        <v>0</v>
      </c>
      <c r="O1010" s="152">
        <f t="shared" si="295"/>
        <v>0</v>
      </c>
      <c r="P1010" s="126">
        <f>IF(E1010="Y",0,SUMIFS('Support - Transition'!G:G,'Support - Transition'!J:J,'Step 2'!D1010,'Support - Transition'!E:E,"2009 SCHOOL ALLOCATION FACTOR"))</f>
        <v>0</v>
      </c>
      <c r="Q1010" s="126">
        <f>IF(E1010="Y",VLOOKUP(D1010,'Support - Unit Adjustments'!F:G,2,FALSE),0)</f>
        <v>0</v>
      </c>
      <c r="R1010" s="155">
        <f t="shared" si="307"/>
        <v>0</v>
      </c>
      <c r="S1010" s="47">
        <f t="shared" si="306"/>
        <v>0</v>
      </c>
      <c r="T1010" s="151">
        <f t="shared" si="291"/>
        <v>11801</v>
      </c>
      <c r="U1010" s="151">
        <f t="shared" si="292"/>
        <v>0</v>
      </c>
      <c r="V1010" s="139">
        <f t="shared" si="293"/>
        <v>0</v>
      </c>
      <c r="W1010" s="152">
        <f t="shared" si="296"/>
        <v>11801</v>
      </c>
      <c r="X1010" s="127" t="str">
        <f t="shared" si="294"/>
        <v/>
      </c>
      <c r="Y1010" s="207">
        <f t="shared" si="297"/>
        <v>11801</v>
      </c>
      <c r="Z1010" s="139">
        <f t="shared" si="298"/>
        <v>11801</v>
      </c>
      <c r="AA1010" s="139">
        <f t="shared" si="299"/>
        <v>0</v>
      </c>
      <c r="AC1010" s="47">
        <f t="shared" si="300"/>
        <v>5901</v>
      </c>
      <c r="AD1010" s="47">
        <f t="shared" si="301"/>
        <v>5901</v>
      </c>
      <c r="AE1010" s="47">
        <f t="shared" si="302"/>
        <v>0</v>
      </c>
      <c r="AG1010" s="47">
        <f t="shared" si="303"/>
        <v>5900</v>
      </c>
      <c r="AH1010" s="47">
        <f t="shared" si="304"/>
        <v>5900</v>
      </c>
      <c r="AI1010" s="208">
        <f t="shared" si="305"/>
        <v>0</v>
      </c>
    </row>
    <row r="1011" spans="1:35">
      <c r="A1011" t="s">
        <v>2120</v>
      </c>
      <c r="B1011" t="s">
        <v>3170</v>
      </c>
      <c r="C1011" t="s">
        <v>4346</v>
      </c>
      <c r="D1011" t="s">
        <v>4347</v>
      </c>
      <c r="F1011" t="s">
        <v>788</v>
      </c>
      <c r="G1011" s="126">
        <f>SUMIFS('Support - Transition'!F:F,'Support - Transition'!B:B,'Step 2'!A1011,'Support - Transition'!C:C,'Step 2'!B1011,'Support - Transition'!D:D,'Step 2'!C1011,'Support - Transition'!E:E,"CIVIL")</f>
        <v>0</v>
      </c>
      <c r="H1011" s="126">
        <f>SUMIFS('Support - Transition'!F:F,'Support - Transition'!B:B,'Step 2'!A1011,'Support - Transition'!C:C,'Step 2'!B1011,'Support - Transition'!D:D,'Step 2'!C1011,'Support - Transition'!E:E,"FIRE")</f>
        <v>0</v>
      </c>
      <c r="I1011" s="126">
        <f>IF(B1011="0",SUMIFS('Support - Transition'!F:F,'Support - Transition'!J:J,'Step 2'!D1011,'Support - Transition'!E:E,"STATE UNIT"),SUMIFS('Support - Transition'!F:F,'Support - Transition'!J:J,'Step 2'!D1011))</f>
        <v>5.0689999999999997E-3</v>
      </c>
      <c r="J1011" s="126">
        <f>SUMIFS('Support - Unit Adjustments'!E:E,'Support - Unit Adjustments'!F:F,'Step 2'!D1011)</f>
        <v>0</v>
      </c>
      <c r="K1011" s="126">
        <f t="shared" si="289"/>
        <v>5.0689999999999997E-3</v>
      </c>
      <c r="L1011" s="174">
        <f>VLOOKUP(A1011,'Step 1'!$A:$E,4,FALSE)</f>
        <v>545828</v>
      </c>
      <c r="M1011" s="47">
        <f t="shared" si="290"/>
        <v>2767</v>
      </c>
      <c r="N1011" s="177">
        <f>SUMIFS('Support - Transition'!G:G,'Support - Transition'!J:J,'Step 2'!D1011,'Support - Transition'!E:E,"2009 WELFARE ALLOCATION FACTOR")</f>
        <v>0</v>
      </c>
      <c r="O1011" s="152">
        <f t="shared" si="295"/>
        <v>0</v>
      </c>
      <c r="P1011" s="126">
        <f>IF(E1011="Y",0,SUMIFS('Support - Transition'!G:G,'Support - Transition'!J:J,'Step 2'!D1011,'Support - Transition'!E:E,"2009 SCHOOL ALLOCATION FACTOR"))</f>
        <v>0</v>
      </c>
      <c r="Q1011" s="126">
        <f>IF(E1011="Y",VLOOKUP(D1011,'Support - Unit Adjustments'!F:G,2,FALSE),0)</f>
        <v>0</v>
      </c>
      <c r="R1011" s="155">
        <f t="shared" si="307"/>
        <v>0</v>
      </c>
      <c r="S1011" s="47">
        <f t="shared" si="306"/>
        <v>0</v>
      </c>
      <c r="T1011" s="151">
        <f t="shared" si="291"/>
        <v>2767</v>
      </c>
      <c r="U1011" s="151">
        <f t="shared" si="292"/>
        <v>0</v>
      </c>
      <c r="V1011" s="139">
        <f t="shared" si="293"/>
        <v>0</v>
      </c>
      <c r="W1011" s="152">
        <f t="shared" si="296"/>
        <v>2767</v>
      </c>
      <c r="X1011" s="127" t="str">
        <f t="shared" si="294"/>
        <v/>
      </c>
      <c r="Y1011" s="207">
        <f t="shared" si="297"/>
        <v>2767</v>
      </c>
      <c r="Z1011" s="139">
        <f t="shared" si="298"/>
        <v>2767</v>
      </c>
      <c r="AA1011" s="139">
        <f t="shared" si="299"/>
        <v>0</v>
      </c>
      <c r="AC1011" s="47">
        <f t="shared" si="300"/>
        <v>1384</v>
      </c>
      <c r="AD1011" s="47">
        <f t="shared" si="301"/>
        <v>1384</v>
      </c>
      <c r="AE1011" s="47">
        <f t="shared" si="302"/>
        <v>0</v>
      </c>
      <c r="AG1011" s="47">
        <f t="shared" si="303"/>
        <v>1383</v>
      </c>
      <c r="AH1011" s="47">
        <f t="shared" si="304"/>
        <v>1383</v>
      </c>
      <c r="AI1011" s="208">
        <f t="shared" si="305"/>
        <v>0</v>
      </c>
    </row>
    <row r="1012" spans="1:35">
      <c r="A1012" t="s">
        <v>2120</v>
      </c>
      <c r="B1012" t="s">
        <v>3286</v>
      </c>
      <c r="C1012" t="s">
        <v>2189</v>
      </c>
      <c r="D1012" t="s">
        <v>4348</v>
      </c>
      <c r="F1012" t="s">
        <v>3386</v>
      </c>
      <c r="G1012" s="126">
        <f>SUMIFS('Support - Transition'!F:F,'Support - Transition'!B:B,'Step 2'!A1012,'Support - Transition'!C:C,'Step 2'!B1012,'Support - Transition'!D:D,'Step 2'!C1012,'Support - Transition'!E:E,"CIVIL")</f>
        <v>0</v>
      </c>
      <c r="H1012" s="126">
        <f>SUMIFS('Support - Transition'!F:F,'Support - Transition'!B:B,'Step 2'!A1012,'Support - Transition'!C:C,'Step 2'!B1012,'Support - Transition'!D:D,'Step 2'!C1012,'Support - Transition'!E:E,"FIRE")</f>
        <v>0</v>
      </c>
      <c r="I1012" s="126">
        <f>IF(B1012="0",SUMIFS('Support - Transition'!F:F,'Support - Transition'!J:J,'Step 2'!D1012,'Support - Transition'!E:E,"STATE UNIT"),SUMIFS('Support - Transition'!F:F,'Support - Transition'!J:J,'Step 2'!D1012))</f>
        <v>0</v>
      </c>
      <c r="J1012" s="126">
        <f>SUMIFS('Support - Unit Adjustments'!E:E,'Support - Unit Adjustments'!F:F,'Step 2'!D1012)</f>
        <v>0</v>
      </c>
      <c r="K1012" s="126">
        <f t="shared" si="289"/>
        <v>0</v>
      </c>
      <c r="L1012" s="174">
        <f>VLOOKUP(A1012,'Step 1'!$A:$E,4,FALSE)</f>
        <v>545828</v>
      </c>
      <c r="M1012" s="47">
        <f t="shared" si="290"/>
        <v>0</v>
      </c>
      <c r="N1012" s="177">
        <f>SUMIFS('Support - Transition'!G:G,'Support - Transition'!J:J,'Step 2'!D1012,'Support - Transition'!E:E,"2009 WELFARE ALLOCATION FACTOR")</f>
        <v>0</v>
      </c>
      <c r="O1012" s="152">
        <f t="shared" si="295"/>
        <v>0</v>
      </c>
      <c r="P1012" s="126">
        <f>IF(E1012="Y",0,SUMIFS('Support - Transition'!G:G,'Support - Transition'!J:J,'Step 2'!D1012,'Support - Transition'!E:E,"2009 SCHOOL ALLOCATION FACTOR"))</f>
        <v>0</v>
      </c>
      <c r="Q1012" s="126">
        <f>IF(E1012="Y",VLOOKUP(D1012,'Support - Unit Adjustments'!F:G,2,FALSE),0)</f>
        <v>0</v>
      </c>
      <c r="R1012" s="155">
        <f t="shared" si="307"/>
        <v>0</v>
      </c>
      <c r="S1012" s="47">
        <f t="shared" si="306"/>
        <v>0</v>
      </c>
      <c r="T1012" s="151">
        <f t="shared" si="291"/>
        <v>0</v>
      </c>
      <c r="U1012" s="151">
        <f t="shared" si="292"/>
        <v>0</v>
      </c>
      <c r="V1012" s="139">
        <f t="shared" si="293"/>
        <v>0</v>
      </c>
      <c r="W1012" s="152">
        <f t="shared" si="296"/>
        <v>0</v>
      </c>
      <c r="X1012" s="127" t="str">
        <f t="shared" si="294"/>
        <v/>
      </c>
      <c r="Y1012" s="207">
        <f t="shared" si="297"/>
        <v>0</v>
      </c>
      <c r="Z1012" s="139">
        <f t="shared" si="298"/>
        <v>0</v>
      </c>
      <c r="AA1012" s="139">
        <f t="shared" si="299"/>
        <v>0</v>
      </c>
      <c r="AC1012" s="47">
        <f t="shared" si="300"/>
        <v>0</v>
      </c>
      <c r="AD1012" s="47">
        <f t="shared" si="301"/>
        <v>0</v>
      </c>
      <c r="AE1012" s="47">
        <f t="shared" si="302"/>
        <v>0</v>
      </c>
      <c r="AG1012" s="47">
        <f t="shared" si="303"/>
        <v>0</v>
      </c>
      <c r="AH1012" s="47">
        <f t="shared" si="304"/>
        <v>0</v>
      </c>
      <c r="AI1012" s="208">
        <f t="shared" si="305"/>
        <v>0</v>
      </c>
    </row>
    <row r="1013" spans="1:35">
      <c r="A1013" t="s">
        <v>2121</v>
      </c>
      <c r="B1013" s="48" t="s">
        <v>6274</v>
      </c>
      <c r="C1013" t="s">
        <v>2187</v>
      </c>
      <c r="D1013" t="str">
        <f>A1013&amp;B1013&amp;C1013</f>
        <v>3500000</v>
      </c>
      <c r="F1013" t="s">
        <v>6309</v>
      </c>
      <c r="G1013" s="126">
        <f>SUMIFS('Support - Transition'!F:F,'Support - Transition'!B:B,'Step 2'!A1013,'Support - Transition'!C:C,'Step 2'!B1013,'Support - Transition'!D:D,'Step 2'!C1013,'Support - Transition'!E:E,"CIVIL")</f>
        <v>0</v>
      </c>
      <c r="H1013" s="126">
        <f>SUMIFS('Support - Transition'!F:F,'Support - Transition'!B:B,'Step 2'!A1013,'Support - Transition'!C:C,'Step 2'!B1013,'Support - Transition'!D:D,'Step 2'!C1013,'Support - Transition'!E:E,"FIRE")</f>
        <v>0</v>
      </c>
      <c r="I1013" s="126">
        <f>IF(B1013="0",SUMIFS('Support - Transition'!F:F,'Support - Transition'!J:J,'Step 2'!D1013,'Support - Transition'!E:E,"STATE UNIT"),SUMIFS('Support - Transition'!F:F,'Support - Transition'!J:J,'Step 2'!D1013))</f>
        <v>1.157E-3</v>
      </c>
      <c r="J1013" s="126">
        <f>SUMIFS('Support - Unit Adjustments'!E:E,'Support - Unit Adjustments'!F:F,'Step 2'!D1013)</f>
        <v>0</v>
      </c>
      <c r="K1013" s="126">
        <f t="shared" si="289"/>
        <v>1.157E-3</v>
      </c>
      <c r="L1013" s="174">
        <f>VLOOKUP(A1013,'Step 1'!$A:$E,4,FALSE)</f>
        <v>399214</v>
      </c>
      <c r="M1013" s="47">
        <f t="shared" si="290"/>
        <v>462</v>
      </c>
      <c r="N1013" s="177">
        <f>SUMIFS('Support - Transition'!G:G,'Support - Transition'!J:J,'Step 2'!D1013,'Support - Transition'!E:E,"2009 WELFARE ALLOCATION FACTOR")</f>
        <v>0</v>
      </c>
      <c r="O1013" s="152">
        <f t="shared" si="295"/>
        <v>0</v>
      </c>
      <c r="P1013" s="126">
        <f>IF(E1013="Y",0,SUMIFS('Support - Transition'!G:G,'Support - Transition'!J:J,'Step 2'!D1013,'Support - Transition'!E:E,"2009 SCHOOL ALLOCATION FACTOR"))</f>
        <v>0</v>
      </c>
      <c r="Q1013" s="126">
        <f>IF(E1013="Y",VLOOKUP(D1013,'Support - Unit Adjustments'!F:G,2,FALSE),0)</f>
        <v>0</v>
      </c>
      <c r="R1013" s="155">
        <f t="shared" si="307"/>
        <v>0</v>
      </c>
      <c r="S1013" s="47">
        <f t="shared" si="306"/>
        <v>0</v>
      </c>
      <c r="T1013" s="151">
        <f t="shared" si="291"/>
        <v>462</v>
      </c>
      <c r="U1013" s="151">
        <f t="shared" si="292"/>
        <v>399215</v>
      </c>
      <c r="V1013" s="139">
        <f t="shared" si="293"/>
        <v>1</v>
      </c>
      <c r="W1013" s="152">
        <f t="shared" si="296"/>
        <v>461</v>
      </c>
      <c r="X1013" s="127">
        <f t="shared" si="294"/>
        <v>0</v>
      </c>
      <c r="Y1013" s="207">
        <f t="shared" si="297"/>
        <v>461</v>
      </c>
      <c r="Z1013" s="139">
        <f t="shared" si="298"/>
        <v>461</v>
      </c>
      <c r="AA1013" s="139">
        <f t="shared" si="299"/>
        <v>0</v>
      </c>
      <c r="AC1013" s="47">
        <f t="shared" si="300"/>
        <v>231</v>
      </c>
      <c r="AD1013" s="47">
        <f t="shared" si="301"/>
        <v>231</v>
      </c>
      <c r="AE1013" s="47">
        <f t="shared" si="302"/>
        <v>0</v>
      </c>
      <c r="AG1013" s="47">
        <f t="shared" si="303"/>
        <v>230</v>
      </c>
      <c r="AH1013" s="47">
        <f t="shared" si="304"/>
        <v>230</v>
      </c>
      <c r="AI1013" s="208">
        <f t="shared" si="305"/>
        <v>0</v>
      </c>
    </row>
    <row r="1014" spans="1:35">
      <c r="A1014" t="s">
        <v>2121</v>
      </c>
      <c r="B1014" t="s">
        <v>3140</v>
      </c>
      <c r="C1014" t="s">
        <v>2187</v>
      </c>
      <c r="D1014" t="s">
        <v>4349</v>
      </c>
      <c r="F1014" t="s">
        <v>790</v>
      </c>
      <c r="G1014" s="126">
        <f>SUMIFS('Support - Transition'!F:F,'Support - Transition'!B:B,'Step 2'!A1014,'Support - Transition'!C:C,'Step 2'!B1014,'Support - Transition'!D:D,'Step 2'!C1014,'Support - Transition'!E:E,"CIVIL")</f>
        <v>0</v>
      </c>
      <c r="H1014" s="126">
        <f>SUMIFS('Support - Transition'!F:F,'Support - Transition'!B:B,'Step 2'!A1014,'Support - Transition'!C:C,'Step 2'!B1014,'Support - Transition'!D:D,'Step 2'!C1014,'Support - Transition'!E:E,"FIRE")</f>
        <v>0</v>
      </c>
      <c r="I1014" s="126">
        <f>IF(B1014="0",SUMIFS('Support - Transition'!F:F,'Support - Transition'!J:J,'Step 2'!D1014,'Support - Transition'!E:E,"STATE UNIT"),SUMIFS('Support - Transition'!F:F,'Support - Transition'!J:J,'Step 2'!D1014))</f>
        <v>0.19927800000000001</v>
      </c>
      <c r="J1014" s="126">
        <f>SUMIFS('Support - Unit Adjustments'!E:E,'Support - Unit Adjustments'!F:F,'Step 2'!D1014)</f>
        <v>0</v>
      </c>
      <c r="K1014" s="126">
        <f t="shared" si="289"/>
        <v>0.19927800000000001</v>
      </c>
      <c r="L1014" s="174">
        <f>VLOOKUP(A1014,'Step 1'!$A:$E,4,FALSE)</f>
        <v>399214</v>
      </c>
      <c r="M1014" s="47">
        <f t="shared" si="290"/>
        <v>79555</v>
      </c>
      <c r="N1014" s="177">
        <f>SUMIFS('Support - Transition'!G:G,'Support - Transition'!J:J,'Step 2'!D1014,'Support - Transition'!E:E,"2009 WELFARE ALLOCATION FACTOR")</f>
        <v>0.17790800000000001</v>
      </c>
      <c r="O1014" s="152">
        <f t="shared" si="295"/>
        <v>14153</v>
      </c>
      <c r="P1014" s="126">
        <f>IF(E1014="Y",0,SUMIFS('Support - Transition'!G:G,'Support - Transition'!J:J,'Step 2'!D1014,'Support - Transition'!E:E,"2009 SCHOOL ALLOCATION FACTOR"))</f>
        <v>0</v>
      </c>
      <c r="Q1014" s="126">
        <f>IF(E1014="Y",VLOOKUP(D1014,'Support - Unit Adjustments'!F:G,2,FALSE),0)</f>
        <v>0</v>
      </c>
      <c r="R1014" s="155">
        <f t="shared" si="307"/>
        <v>0</v>
      </c>
      <c r="S1014" s="47">
        <f t="shared" si="306"/>
        <v>0</v>
      </c>
      <c r="T1014" s="151">
        <f t="shared" si="291"/>
        <v>65402</v>
      </c>
      <c r="U1014" s="151">
        <f t="shared" si="292"/>
        <v>0</v>
      </c>
      <c r="V1014" s="139">
        <f t="shared" si="293"/>
        <v>0</v>
      </c>
      <c r="W1014" s="152">
        <f t="shared" si="296"/>
        <v>65402</v>
      </c>
      <c r="X1014" s="127" t="str">
        <f t="shared" si="294"/>
        <v/>
      </c>
      <c r="Y1014" s="207">
        <f t="shared" si="297"/>
        <v>65402</v>
      </c>
      <c r="Z1014" s="139">
        <f t="shared" si="298"/>
        <v>65402</v>
      </c>
      <c r="AA1014" s="139">
        <f t="shared" si="299"/>
        <v>0</v>
      </c>
      <c r="AC1014" s="47">
        <f t="shared" si="300"/>
        <v>32701</v>
      </c>
      <c r="AD1014" s="47">
        <f t="shared" si="301"/>
        <v>32701</v>
      </c>
      <c r="AE1014" s="47">
        <f t="shared" si="302"/>
        <v>0</v>
      </c>
      <c r="AG1014" s="47">
        <f t="shared" si="303"/>
        <v>32701</v>
      </c>
      <c r="AH1014" s="47">
        <f t="shared" si="304"/>
        <v>32701</v>
      </c>
      <c r="AI1014" s="208">
        <f t="shared" si="305"/>
        <v>0</v>
      </c>
    </row>
    <row r="1015" spans="1:35">
      <c r="A1015" t="s">
        <v>2121</v>
      </c>
      <c r="B1015" t="s">
        <v>3142</v>
      </c>
      <c r="C1015" t="s">
        <v>2188</v>
      </c>
      <c r="D1015" t="s">
        <v>4350</v>
      </c>
      <c r="F1015" t="s">
        <v>791</v>
      </c>
      <c r="G1015" s="126">
        <f>SUMIFS('Support - Transition'!F:F,'Support - Transition'!B:B,'Step 2'!A1015,'Support - Transition'!C:C,'Step 2'!B1015,'Support - Transition'!D:D,'Step 2'!C1015,'Support - Transition'!E:E,"CIVIL")</f>
        <v>1E-3</v>
      </c>
      <c r="H1015" s="126">
        <f>SUMIFS('Support - Transition'!F:F,'Support - Transition'!B:B,'Step 2'!A1015,'Support - Transition'!C:C,'Step 2'!B1015,'Support - Transition'!D:D,'Step 2'!C1015,'Support - Transition'!E:E,"FIRE")</f>
        <v>6.87E-4</v>
      </c>
      <c r="I1015" s="126">
        <f>IF(B1015="0",SUMIFS('Support - Transition'!F:F,'Support - Transition'!J:J,'Step 2'!D1015,'Support - Transition'!E:E,"STATE UNIT"),SUMIFS('Support - Transition'!F:F,'Support - Transition'!J:J,'Step 2'!D1015))</f>
        <v>1.6870000000000001E-3</v>
      </c>
      <c r="J1015" s="126">
        <f>SUMIFS('Support - Unit Adjustments'!E:E,'Support - Unit Adjustments'!F:F,'Step 2'!D1015)</f>
        <v>0</v>
      </c>
      <c r="K1015" s="126">
        <f t="shared" si="289"/>
        <v>1.6870000000000001E-3</v>
      </c>
      <c r="L1015" s="174">
        <f>VLOOKUP(A1015,'Step 1'!$A:$E,4,FALSE)</f>
        <v>399214</v>
      </c>
      <c r="M1015" s="47">
        <f t="shared" si="290"/>
        <v>673</v>
      </c>
      <c r="N1015" s="177">
        <f>SUMIFS('Support - Transition'!G:G,'Support - Transition'!J:J,'Step 2'!D1015,'Support - Transition'!E:E,"2009 WELFARE ALLOCATION FACTOR")</f>
        <v>0</v>
      </c>
      <c r="O1015" s="152">
        <f t="shared" si="295"/>
        <v>0</v>
      </c>
      <c r="P1015" s="126">
        <f>IF(E1015="Y",0,SUMIFS('Support - Transition'!G:G,'Support - Transition'!J:J,'Step 2'!D1015,'Support - Transition'!E:E,"2009 SCHOOL ALLOCATION FACTOR"))</f>
        <v>0</v>
      </c>
      <c r="Q1015" s="126">
        <f>IF(E1015="Y",VLOOKUP(D1015,'Support - Unit Adjustments'!F:G,2,FALSE),0)</f>
        <v>0</v>
      </c>
      <c r="R1015" s="155">
        <f t="shared" si="307"/>
        <v>0</v>
      </c>
      <c r="S1015" s="47">
        <f t="shared" si="306"/>
        <v>0</v>
      </c>
      <c r="T1015" s="151">
        <f t="shared" si="291"/>
        <v>673</v>
      </c>
      <c r="U1015" s="151">
        <f t="shared" si="292"/>
        <v>0</v>
      </c>
      <c r="V1015" s="139">
        <f t="shared" si="293"/>
        <v>0</v>
      </c>
      <c r="W1015" s="152">
        <f t="shared" si="296"/>
        <v>673</v>
      </c>
      <c r="X1015" s="127" t="str">
        <f t="shared" si="294"/>
        <v/>
      </c>
      <c r="Y1015" s="207">
        <f t="shared" si="297"/>
        <v>673</v>
      </c>
      <c r="Z1015" s="139">
        <f t="shared" si="298"/>
        <v>399</v>
      </c>
      <c r="AA1015" s="139">
        <f t="shared" si="299"/>
        <v>274</v>
      </c>
      <c r="AC1015" s="47">
        <f t="shared" si="300"/>
        <v>337</v>
      </c>
      <c r="AD1015" s="47">
        <f t="shared" si="301"/>
        <v>200</v>
      </c>
      <c r="AE1015" s="47">
        <f t="shared" si="302"/>
        <v>137</v>
      </c>
      <c r="AG1015" s="47">
        <f t="shared" si="303"/>
        <v>336</v>
      </c>
      <c r="AH1015" s="47">
        <f t="shared" si="304"/>
        <v>199</v>
      </c>
      <c r="AI1015" s="208">
        <f t="shared" si="305"/>
        <v>137</v>
      </c>
    </row>
    <row r="1016" spans="1:35">
      <c r="A1016" t="s">
        <v>2121</v>
      </c>
      <c r="B1016" t="s">
        <v>3142</v>
      </c>
      <c r="C1016" t="s">
        <v>2189</v>
      </c>
      <c r="D1016" t="s">
        <v>4351</v>
      </c>
      <c r="F1016" t="s">
        <v>792</v>
      </c>
      <c r="G1016" s="126">
        <f>SUMIFS('Support - Transition'!F:F,'Support - Transition'!B:B,'Step 2'!A1016,'Support - Transition'!C:C,'Step 2'!B1016,'Support - Transition'!D:D,'Step 2'!C1016,'Support - Transition'!E:E,"CIVIL")</f>
        <v>6.3900000000000003E-4</v>
      </c>
      <c r="H1016" s="126">
        <f>SUMIFS('Support - Transition'!F:F,'Support - Transition'!B:B,'Step 2'!A1016,'Support - Transition'!C:C,'Step 2'!B1016,'Support - Transition'!D:D,'Step 2'!C1016,'Support - Transition'!E:E,"FIRE")</f>
        <v>5.1599999999999997E-4</v>
      </c>
      <c r="I1016" s="126">
        <f>IF(B1016="0",SUMIFS('Support - Transition'!F:F,'Support - Transition'!J:J,'Step 2'!D1016,'Support - Transition'!E:E,"STATE UNIT"),SUMIFS('Support - Transition'!F:F,'Support - Transition'!J:J,'Step 2'!D1016))</f>
        <v>1.155E-3</v>
      </c>
      <c r="J1016" s="126">
        <f>SUMIFS('Support - Unit Adjustments'!E:E,'Support - Unit Adjustments'!F:F,'Step 2'!D1016)</f>
        <v>0</v>
      </c>
      <c r="K1016" s="126">
        <f t="shared" si="289"/>
        <v>1.155E-3</v>
      </c>
      <c r="L1016" s="174">
        <f>VLOOKUP(A1016,'Step 1'!$A:$E,4,FALSE)</f>
        <v>399214</v>
      </c>
      <c r="M1016" s="47">
        <f t="shared" si="290"/>
        <v>461</v>
      </c>
      <c r="N1016" s="177">
        <f>SUMIFS('Support - Transition'!G:G,'Support - Transition'!J:J,'Step 2'!D1016,'Support - Transition'!E:E,"2009 WELFARE ALLOCATION FACTOR")</f>
        <v>0</v>
      </c>
      <c r="O1016" s="152">
        <f t="shared" si="295"/>
        <v>0</v>
      </c>
      <c r="P1016" s="126">
        <f>IF(E1016="Y",0,SUMIFS('Support - Transition'!G:G,'Support - Transition'!J:J,'Step 2'!D1016,'Support - Transition'!E:E,"2009 SCHOOL ALLOCATION FACTOR"))</f>
        <v>0</v>
      </c>
      <c r="Q1016" s="126">
        <f>IF(E1016="Y",VLOOKUP(D1016,'Support - Unit Adjustments'!F:G,2,FALSE),0)</f>
        <v>0</v>
      </c>
      <c r="R1016" s="155">
        <f t="shared" si="307"/>
        <v>0</v>
      </c>
      <c r="S1016" s="47">
        <f t="shared" si="306"/>
        <v>0</v>
      </c>
      <c r="T1016" s="151">
        <f t="shared" si="291"/>
        <v>461</v>
      </c>
      <c r="U1016" s="151">
        <f t="shared" si="292"/>
        <v>0</v>
      </c>
      <c r="V1016" s="139">
        <f t="shared" si="293"/>
        <v>0</v>
      </c>
      <c r="W1016" s="152">
        <f t="shared" si="296"/>
        <v>461</v>
      </c>
      <c r="X1016" s="127" t="str">
        <f t="shared" si="294"/>
        <v/>
      </c>
      <c r="Y1016" s="207">
        <f t="shared" si="297"/>
        <v>461</v>
      </c>
      <c r="Z1016" s="139">
        <f t="shared" si="298"/>
        <v>255</v>
      </c>
      <c r="AA1016" s="139">
        <f t="shared" si="299"/>
        <v>206</v>
      </c>
      <c r="AC1016" s="47">
        <f t="shared" si="300"/>
        <v>231</v>
      </c>
      <c r="AD1016" s="47">
        <f t="shared" si="301"/>
        <v>128</v>
      </c>
      <c r="AE1016" s="47">
        <f t="shared" si="302"/>
        <v>103</v>
      </c>
      <c r="AG1016" s="47">
        <f t="shared" si="303"/>
        <v>230</v>
      </c>
      <c r="AH1016" s="47">
        <f t="shared" si="304"/>
        <v>127</v>
      </c>
      <c r="AI1016" s="208">
        <f t="shared" si="305"/>
        <v>103</v>
      </c>
    </row>
    <row r="1017" spans="1:35">
      <c r="A1017" t="s">
        <v>2121</v>
      </c>
      <c r="B1017" t="s">
        <v>3142</v>
      </c>
      <c r="C1017" t="s">
        <v>2190</v>
      </c>
      <c r="D1017" t="s">
        <v>4352</v>
      </c>
      <c r="F1017" t="s">
        <v>793</v>
      </c>
      <c r="G1017" s="126">
        <f>SUMIFS('Support - Transition'!F:F,'Support - Transition'!B:B,'Step 2'!A1017,'Support - Transition'!C:C,'Step 2'!B1017,'Support - Transition'!D:D,'Step 2'!C1017,'Support - Transition'!E:E,"CIVIL")</f>
        <v>4.2459999999999998E-3</v>
      </c>
      <c r="H1017" s="126">
        <f>SUMIFS('Support - Transition'!F:F,'Support - Transition'!B:B,'Step 2'!A1017,'Support - Transition'!C:C,'Step 2'!B1017,'Support - Transition'!D:D,'Step 2'!C1017,'Support - Transition'!E:E,"FIRE")</f>
        <v>5.7300000000000005E-4</v>
      </c>
      <c r="I1017" s="126">
        <f>IF(B1017="0",SUMIFS('Support - Transition'!F:F,'Support - Transition'!J:J,'Step 2'!D1017,'Support - Transition'!E:E,"STATE UNIT"),SUMIFS('Support - Transition'!F:F,'Support - Transition'!J:J,'Step 2'!D1017))</f>
        <v>4.8189999999999995E-3</v>
      </c>
      <c r="J1017" s="126">
        <f>SUMIFS('Support - Unit Adjustments'!E:E,'Support - Unit Adjustments'!F:F,'Step 2'!D1017)</f>
        <v>0</v>
      </c>
      <c r="K1017" s="126">
        <f t="shared" si="289"/>
        <v>4.8189999999999995E-3</v>
      </c>
      <c r="L1017" s="174">
        <f>VLOOKUP(A1017,'Step 1'!$A:$E,4,FALSE)</f>
        <v>399214</v>
      </c>
      <c r="M1017" s="47">
        <f t="shared" si="290"/>
        <v>1924</v>
      </c>
      <c r="N1017" s="177">
        <f>SUMIFS('Support - Transition'!G:G,'Support - Transition'!J:J,'Step 2'!D1017,'Support - Transition'!E:E,"2009 WELFARE ALLOCATION FACTOR")</f>
        <v>0</v>
      </c>
      <c r="O1017" s="152">
        <f t="shared" si="295"/>
        <v>0</v>
      </c>
      <c r="P1017" s="126">
        <f>IF(E1017="Y",0,SUMIFS('Support - Transition'!G:G,'Support - Transition'!J:J,'Step 2'!D1017,'Support - Transition'!E:E,"2009 SCHOOL ALLOCATION FACTOR"))</f>
        <v>0</v>
      </c>
      <c r="Q1017" s="126">
        <f>IF(E1017="Y",VLOOKUP(D1017,'Support - Unit Adjustments'!F:G,2,FALSE),0)</f>
        <v>0</v>
      </c>
      <c r="R1017" s="155">
        <f t="shared" si="307"/>
        <v>0</v>
      </c>
      <c r="S1017" s="47">
        <f t="shared" si="306"/>
        <v>0</v>
      </c>
      <c r="T1017" s="151">
        <f t="shared" si="291"/>
        <v>1924</v>
      </c>
      <c r="U1017" s="151">
        <f t="shared" si="292"/>
        <v>0</v>
      </c>
      <c r="V1017" s="139">
        <f t="shared" si="293"/>
        <v>0</v>
      </c>
      <c r="W1017" s="152">
        <f t="shared" si="296"/>
        <v>1924</v>
      </c>
      <c r="X1017" s="127" t="str">
        <f t="shared" si="294"/>
        <v/>
      </c>
      <c r="Y1017" s="207">
        <f t="shared" si="297"/>
        <v>1924</v>
      </c>
      <c r="Z1017" s="139">
        <f t="shared" si="298"/>
        <v>1695</v>
      </c>
      <c r="AA1017" s="139">
        <f t="shared" si="299"/>
        <v>229</v>
      </c>
      <c r="AC1017" s="47">
        <f t="shared" si="300"/>
        <v>962</v>
      </c>
      <c r="AD1017" s="47">
        <f t="shared" si="301"/>
        <v>848</v>
      </c>
      <c r="AE1017" s="47">
        <f t="shared" si="302"/>
        <v>115</v>
      </c>
      <c r="AG1017" s="47">
        <f t="shared" si="303"/>
        <v>962</v>
      </c>
      <c r="AH1017" s="47">
        <f t="shared" si="304"/>
        <v>847</v>
      </c>
      <c r="AI1017" s="208">
        <f t="shared" si="305"/>
        <v>114</v>
      </c>
    </row>
    <row r="1018" spans="1:35">
      <c r="A1018" t="s">
        <v>2121</v>
      </c>
      <c r="B1018" t="s">
        <v>3142</v>
      </c>
      <c r="C1018" t="s">
        <v>2191</v>
      </c>
      <c r="D1018" t="s">
        <v>4353</v>
      </c>
      <c r="F1018" t="s">
        <v>49</v>
      </c>
      <c r="G1018" s="126">
        <f>SUMIFS('Support - Transition'!F:F,'Support - Transition'!B:B,'Step 2'!A1018,'Support - Transition'!C:C,'Step 2'!B1018,'Support - Transition'!D:D,'Step 2'!C1018,'Support - Transition'!E:E,"CIVIL")</f>
        <v>1.9469999999999999E-3</v>
      </c>
      <c r="H1018" s="126">
        <f>SUMIFS('Support - Transition'!F:F,'Support - Transition'!B:B,'Step 2'!A1018,'Support - Transition'!C:C,'Step 2'!B1018,'Support - Transition'!D:D,'Step 2'!C1018,'Support - Transition'!E:E,"FIRE")</f>
        <v>1.361E-3</v>
      </c>
      <c r="I1018" s="126">
        <f>IF(B1018="0",SUMIFS('Support - Transition'!F:F,'Support - Transition'!J:J,'Step 2'!D1018,'Support - Transition'!E:E,"STATE UNIT"),SUMIFS('Support - Transition'!F:F,'Support - Transition'!J:J,'Step 2'!D1018))</f>
        <v>3.3080000000000002E-3</v>
      </c>
      <c r="J1018" s="126">
        <f>SUMIFS('Support - Unit Adjustments'!E:E,'Support - Unit Adjustments'!F:F,'Step 2'!D1018)</f>
        <v>0</v>
      </c>
      <c r="K1018" s="126">
        <f t="shared" si="289"/>
        <v>3.3080000000000002E-3</v>
      </c>
      <c r="L1018" s="174">
        <f>VLOOKUP(A1018,'Step 1'!$A:$E,4,FALSE)</f>
        <v>399214</v>
      </c>
      <c r="M1018" s="47">
        <f t="shared" si="290"/>
        <v>1321</v>
      </c>
      <c r="N1018" s="177">
        <f>SUMIFS('Support - Transition'!G:G,'Support - Transition'!J:J,'Step 2'!D1018,'Support - Transition'!E:E,"2009 WELFARE ALLOCATION FACTOR")</f>
        <v>0</v>
      </c>
      <c r="O1018" s="152">
        <f t="shared" si="295"/>
        <v>0</v>
      </c>
      <c r="P1018" s="126">
        <f>IF(E1018="Y",0,SUMIFS('Support - Transition'!G:G,'Support - Transition'!J:J,'Step 2'!D1018,'Support - Transition'!E:E,"2009 SCHOOL ALLOCATION FACTOR"))</f>
        <v>0</v>
      </c>
      <c r="Q1018" s="126">
        <f>IF(E1018="Y",VLOOKUP(D1018,'Support - Unit Adjustments'!F:G,2,FALSE),0)</f>
        <v>0</v>
      </c>
      <c r="R1018" s="155">
        <f t="shared" si="307"/>
        <v>0</v>
      </c>
      <c r="S1018" s="47">
        <f t="shared" si="306"/>
        <v>0</v>
      </c>
      <c r="T1018" s="151">
        <f t="shared" si="291"/>
        <v>1321</v>
      </c>
      <c r="U1018" s="151">
        <f t="shared" si="292"/>
        <v>0</v>
      </c>
      <c r="V1018" s="139">
        <f t="shared" si="293"/>
        <v>0</v>
      </c>
      <c r="W1018" s="152">
        <f t="shared" si="296"/>
        <v>1321</v>
      </c>
      <c r="X1018" s="127" t="str">
        <f t="shared" si="294"/>
        <v/>
      </c>
      <c r="Y1018" s="207">
        <f t="shared" si="297"/>
        <v>1321</v>
      </c>
      <c r="Z1018" s="139">
        <f t="shared" si="298"/>
        <v>778</v>
      </c>
      <c r="AA1018" s="139">
        <f t="shared" si="299"/>
        <v>543</v>
      </c>
      <c r="AC1018" s="47">
        <f t="shared" si="300"/>
        <v>661</v>
      </c>
      <c r="AD1018" s="47">
        <f t="shared" si="301"/>
        <v>389</v>
      </c>
      <c r="AE1018" s="47">
        <f t="shared" si="302"/>
        <v>272</v>
      </c>
      <c r="AG1018" s="47">
        <f t="shared" si="303"/>
        <v>660</v>
      </c>
      <c r="AH1018" s="47">
        <f t="shared" si="304"/>
        <v>389</v>
      </c>
      <c r="AI1018" s="208">
        <f t="shared" si="305"/>
        <v>271</v>
      </c>
    </row>
    <row r="1019" spans="1:35">
      <c r="A1019" t="s">
        <v>2121</v>
      </c>
      <c r="B1019" t="s">
        <v>3142</v>
      </c>
      <c r="C1019" t="s">
        <v>2192</v>
      </c>
      <c r="D1019" t="s">
        <v>4354</v>
      </c>
      <c r="F1019" t="s">
        <v>14</v>
      </c>
      <c r="G1019" s="126">
        <f>SUMIFS('Support - Transition'!F:F,'Support - Transition'!B:B,'Step 2'!A1019,'Support - Transition'!C:C,'Step 2'!B1019,'Support - Transition'!D:D,'Step 2'!C1019,'Support - Transition'!E:E,"CIVIL")</f>
        <v>2.4000000000000001E-4</v>
      </c>
      <c r="H1019" s="126">
        <f>SUMIFS('Support - Transition'!F:F,'Support - Transition'!B:B,'Step 2'!A1019,'Support - Transition'!C:C,'Step 2'!B1019,'Support - Transition'!D:D,'Step 2'!C1019,'Support - Transition'!E:E,"FIRE")</f>
        <v>3.4699999999999998E-4</v>
      </c>
      <c r="I1019" s="126">
        <f>IF(B1019="0",SUMIFS('Support - Transition'!F:F,'Support - Transition'!J:J,'Step 2'!D1019,'Support - Transition'!E:E,"STATE UNIT"),SUMIFS('Support - Transition'!F:F,'Support - Transition'!J:J,'Step 2'!D1019))</f>
        <v>5.8699999999999996E-4</v>
      </c>
      <c r="J1019" s="126">
        <f>SUMIFS('Support - Unit Adjustments'!E:E,'Support - Unit Adjustments'!F:F,'Step 2'!D1019)</f>
        <v>0</v>
      </c>
      <c r="K1019" s="126">
        <f t="shared" si="289"/>
        <v>5.8699999999999996E-4</v>
      </c>
      <c r="L1019" s="174">
        <f>VLOOKUP(A1019,'Step 1'!$A:$E,4,FALSE)</f>
        <v>399214</v>
      </c>
      <c r="M1019" s="47">
        <f t="shared" si="290"/>
        <v>234</v>
      </c>
      <c r="N1019" s="177">
        <f>SUMIFS('Support - Transition'!G:G,'Support - Transition'!J:J,'Step 2'!D1019,'Support - Transition'!E:E,"2009 WELFARE ALLOCATION FACTOR")</f>
        <v>0</v>
      </c>
      <c r="O1019" s="152">
        <f t="shared" si="295"/>
        <v>0</v>
      </c>
      <c r="P1019" s="126">
        <f>IF(E1019="Y",0,SUMIFS('Support - Transition'!G:G,'Support - Transition'!J:J,'Step 2'!D1019,'Support - Transition'!E:E,"2009 SCHOOL ALLOCATION FACTOR"))</f>
        <v>0</v>
      </c>
      <c r="Q1019" s="126">
        <f>IF(E1019="Y",VLOOKUP(D1019,'Support - Unit Adjustments'!F:G,2,FALSE),0)</f>
        <v>0</v>
      </c>
      <c r="R1019" s="155">
        <f t="shared" si="307"/>
        <v>0</v>
      </c>
      <c r="S1019" s="47">
        <f t="shared" si="306"/>
        <v>0</v>
      </c>
      <c r="T1019" s="151">
        <f t="shared" si="291"/>
        <v>234</v>
      </c>
      <c r="U1019" s="151">
        <f t="shared" si="292"/>
        <v>0</v>
      </c>
      <c r="V1019" s="139">
        <f t="shared" si="293"/>
        <v>0</v>
      </c>
      <c r="W1019" s="152">
        <f t="shared" si="296"/>
        <v>234</v>
      </c>
      <c r="X1019" s="127" t="str">
        <f t="shared" si="294"/>
        <v/>
      </c>
      <c r="Y1019" s="207">
        <f t="shared" si="297"/>
        <v>234</v>
      </c>
      <c r="Z1019" s="139">
        <f t="shared" si="298"/>
        <v>96</v>
      </c>
      <c r="AA1019" s="139">
        <f t="shared" si="299"/>
        <v>138</v>
      </c>
      <c r="AC1019" s="47">
        <f t="shared" si="300"/>
        <v>117</v>
      </c>
      <c r="AD1019" s="47">
        <f t="shared" si="301"/>
        <v>48</v>
      </c>
      <c r="AE1019" s="47">
        <f t="shared" si="302"/>
        <v>69</v>
      </c>
      <c r="AG1019" s="47">
        <f t="shared" si="303"/>
        <v>117</v>
      </c>
      <c r="AH1019" s="47">
        <f t="shared" si="304"/>
        <v>48</v>
      </c>
      <c r="AI1019" s="208">
        <f t="shared" si="305"/>
        <v>69</v>
      </c>
    </row>
    <row r="1020" spans="1:35">
      <c r="A1020" t="s">
        <v>2121</v>
      </c>
      <c r="B1020" t="s">
        <v>3142</v>
      </c>
      <c r="C1020" t="s">
        <v>2193</v>
      </c>
      <c r="D1020" t="s">
        <v>4355</v>
      </c>
      <c r="F1020" t="s">
        <v>794</v>
      </c>
      <c r="G1020" s="126">
        <f>SUMIFS('Support - Transition'!F:F,'Support - Transition'!B:B,'Step 2'!A1020,'Support - Transition'!C:C,'Step 2'!B1020,'Support - Transition'!D:D,'Step 2'!C1020,'Support - Transition'!E:E,"CIVIL")</f>
        <v>8.6300000000000005E-4</v>
      </c>
      <c r="H1020" s="126">
        <f>SUMIFS('Support - Transition'!F:F,'Support - Transition'!B:B,'Step 2'!A1020,'Support - Transition'!C:C,'Step 2'!B1020,'Support - Transition'!D:D,'Step 2'!C1020,'Support - Transition'!E:E,"FIRE")</f>
        <v>1.609E-3</v>
      </c>
      <c r="I1020" s="126">
        <f>IF(B1020="0",SUMIFS('Support - Transition'!F:F,'Support - Transition'!J:J,'Step 2'!D1020,'Support - Transition'!E:E,"STATE UNIT"),SUMIFS('Support - Transition'!F:F,'Support - Transition'!J:J,'Step 2'!D1020))</f>
        <v>2.4720000000000002E-3</v>
      </c>
      <c r="J1020" s="126">
        <f>SUMIFS('Support - Unit Adjustments'!E:E,'Support - Unit Adjustments'!F:F,'Step 2'!D1020)</f>
        <v>0</v>
      </c>
      <c r="K1020" s="126">
        <f t="shared" si="289"/>
        <v>2.4720000000000002E-3</v>
      </c>
      <c r="L1020" s="174">
        <f>VLOOKUP(A1020,'Step 1'!$A:$E,4,FALSE)</f>
        <v>399214</v>
      </c>
      <c r="M1020" s="47">
        <f t="shared" si="290"/>
        <v>987</v>
      </c>
      <c r="N1020" s="177">
        <f>SUMIFS('Support - Transition'!G:G,'Support - Transition'!J:J,'Step 2'!D1020,'Support - Transition'!E:E,"2009 WELFARE ALLOCATION FACTOR")</f>
        <v>0</v>
      </c>
      <c r="O1020" s="152">
        <f t="shared" si="295"/>
        <v>0</v>
      </c>
      <c r="P1020" s="126">
        <f>IF(E1020="Y",0,SUMIFS('Support - Transition'!G:G,'Support - Transition'!J:J,'Step 2'!D1020,'Support - Transition'!E:E,"2009 SCHOOL ALLOCATION FACTOR"))</f>
        <v>0</v>
      </c>
      <c r="Q1020" s="126">
        <f>IF(E1020="Y",VLOOKUP(D1020,'Support - Unit Adjustments'!F:G,2,FALSE),0)</f>
        <v>0</v>
      </c>
      <c r="R1020" s="155">
        <f t="shared" si="307"/>
        <v>0</v>
      </c>
      <c r="S1020" s="47">
        <f t="shared" si="306"/>
        <v>0</v>
      </c>
      <c r="T1020" s="151">
        <f t="shared" si="291"/>
        <v>987</v>
      </c>
      <c r="U1020" s="151">
        <f t="shared" si="292"/>
        <v>0</v>
      </c>
      <c r="V1020" s="139">
        <f t="shared" si="293"/>
        <v>0</v>
      </c>
      <c r="W1020" s="152">
        <f t="shared" si="296"/>
        <v>987</v>
      </c>
      <c r="X1020" s="127" t="str">
        <f t="shared" si="294"/>
        <v/>
      </c>
      <c r="Y1020" s="207">
        <f t="shared" si="297"/>
        <v>987</v>
      </c>
      <c r="Z1020" s="139">
        <f t="shared" si="298"/>
        <v>345</v>
      </c>
      <c r="AA1020" s="139">
        <f t="shared" si="299"/>
        <v>642</v>
      </c>
      <c r="AC1020" s="47">
        <f t="shared" si="300"/>
        <v>494</v>
      </c>
      <c r="AD1020" s="47">
        <f t="shared" si="301"/>
        <v>173</v>
      </c>
      <c r="AE1020" s="47">
        <f t="shared" si="302"/>
        <v>321</v>
      </c>
      <c r="AG1020" s="47">
        <f t="shared" si="303"/>
        <v>493</v>
      </c>
      <c r="AH1020" s="47">
        <f t="shared" si="304"/>
        <v>172</v>
      </c>
      <c r="AI1020" s="208">
        <f t="shared" si="305"/>
        <v>321</v>
      </c>
    </row>
    <row r="1021" spans="1:35">
      <c r="A1021" t="s">
        <v>2121</v>
      </c>
      <c r="B1021" t="s">
        <v>3142</v>
      </c>
      <c r="C1021" t="s">
        <v>2194</v>
      </c>
      <c r="D1021" t="s">
        <v>4356</v>
      </c>
      <c r="F1021" t="s">
        <v>795</v>
      </c>
      <c r="G1021" s="126">
        <f>SUMIFS('Support - Transition'!F:F,'Support - Transition'!B:B,'Step 2'!A1021,'Support - Transition'!C:C,'Step 2'!B1021,'Support - Transition'!D:D,'Step 2'!C1021,'Support - Transition'!E:E,"CIVIL")</f>
        <v>2.9399999999999999E-4</v>
      </c>
      <c r="H1021" s="126">
        <f>SUMIFS('Support - Transition'!F:F,'Support - Transition'!B:B,'Step 2'!A1021,'Support - Transition'!C:C,'Step 2'!B1021,'Support - Transition'!D:D,'Step 2'!C1021,'Support - Transition'!E:E,"FIRE")</f>
        <v>1.6200000000000001E-4</v>
      </c>
      <c r="I1021" s="126">
        <f>IF(B1021="0",SUMIFS('Support - Transition'!F:F,'Support - Transition'!J:J,'Step 2'!D1021,'Support - Transition'!E:E,"STATE UNIT"),SUMIFS('Support - Transition'!F:F,'Support - Transition'!J:J,'Step 2'!D1021))</f>
        <v>4.5600000000000003E-4</v>
      </c>
      <c r="J1021" s="126">
        <f>SUMIFS('Support - Unit Adjustments'!E:E,'Support - Unit Adjustments'!F:F,'Step 2'!D1021)</f>
        <v>0</v>
      </c>
      <c r="K1021" s="126">
        <f t="shared" si="289"/>
        <v>4.5600000000000003E-4</v>
      </c>
      <c r="L1021" s="174">
        <f>VLOOKUP(A1021,'Step 1'!$A:$E,4,FALSE)</f>
        <v>399214</v>
      </c>
      <c r="M1021" s="47">
        <f t="shared" si="290"/>
        <v>182</v>
      </c>
      <c r="N1021" s="177">
        <f>SUMIFS('Support - Transition'!G:G,'Support - Transition'!J:J,'Step 2'!D1021,'Support - Transition'!E:E,"2009 WELFARE ALLOCATION FACTOR")</f>
        <v>0</v>
      </c>
      <c r="O1021" s="152">
        <f t="shared" si="295"/>
        <v>0</v>
      </c>
      <c r="P1021" s="126">
        <f>IF(E1021="Y",0,SUMIFS('Support - Transition'!G:G,'Support - Transition'!J:J,'Step 2'!D1021,'Support - Transition'!E:E,"2009 SCHOOL ALLOCATION FACTOR"))</f>
        <v>0</v>
      </c>
      <c r="Q1021" s="126">
        <f>IF(E1021="Y",VLOOKUP(D1021,'Support - Unit Adjustments'!F:G,2,FALSE),0)</f>
        <v>0</v>
      </c>
      <c r="R1021" s="155">
        <f t="shared" si="307"/>
        <v>0</v>
      </c>
      <c r="S1021" s="47">
        <f t="shared" si="306"/>
        <v>0</v>
      </c>
      <c r="T1021" s="151">
        <f t="shared" si="291"/>
        <v>182</v>
      </c>
      <c r="U1021" s="151">
        <f t="shared" si="292"/>
        <v>0</v>
      </c>
      <c r="V1021" s="139">
        <f t="shared" si="293"/>
        <v>0</v>
      </c>
      <c r="W1021" s="152">
        <f t="shared" si="296"/>
        <v>182</v>
      </c>
      <c r="X1021" s="127" t="str">
        <f t="shared" si="294"/>
        <v/>
      </c>
      <c r="Y1021" s="207">
        <f t="shared" si="297"/>
        <v>182</v>
      </c>
      <c r="Z1021" s="139">
        <f t="shared" si="298"/>
        <v>117</v>
      </c>
      <c r="AA1021" s="139">
        <f t="shared" si="299"/>
        <v>65</v>
      </c>
      <c r="AC1021" s="47">
        <f t="shared" si="300"/>
        <v>91</v>
      </c>
      <c r="AD1021" s="47">
        <f t="shared" si="301"/>
        <v>59</v>
      </c>
      <c r="AE1021" s="47">
        <f t="shared" si="302"/>
        <v>33</v>
      </c>
      <c r="AG1021" s="47">
        <f t="shared" si="303"/>
        <v>91</v>
      </c>
      <c r="AH1021" s="47">
        <f t="shared" si="304"/>
        <v>58</v>
      </c>
      <c r="AI1021" s="208">
        <f t="shared" si="305"/>
        <v>32</v>
      </c>
    </row>
    <row r="1022" spans="1:35">
      <c r="A1022" t="s">
        <v>2121</v>
      </c>
      <c r="B1022" t="s">
        <v>3142</v>
      </c>
      <c r="C1022" t="s">
        <v>2195</v>
      </c>
      <c r="D1022" t="s">
        <v>4357</v>
      </c>
      <c r="F1022" t="s">
        <v>182</v>
      </c>
      <c r="G1022" s="126">
        <f>SUMIFS('Support - Transition'!F:F,'Support - Transition'!B:B,'Step 2'!A1022,'Support - Transition'!C:C,'Step 2'!B1022,'Support - Transition'!D:D,'Step 2'!C1022,'Support - Transition'!E:E,"CIVIL")</f>
        <v>2.6899999999999998E-4</v>
      </c>
      <c r="H1022" s="126">
        <f>SUMIFS('Support - Transition'!F:F,'Support - Transition'!B:B,'Step 2'!A1022,'Support - Transition'!C:C,'Step 2'!B1022,'Support - Transition'!D:D,'Step 2'!C1022,'Support - Transition'!E:E,"FIRE")</f>
        <v>1.1400000000000001E-4</v>
      </c>
      <c r="I1022" s="126">
        <f>IF(B1022="0",SUMIFS('Support - Transition'!F:F,'Support - Transition'!J:J,'Step 2'!D1022,'Support - Transition'!E:E,"STATE UNIT"),SUMIFS('Support - Transition'!F:F,'Support - Transition'!J:J,'Step 2'!D1022))</f>
        <v>3.8299999999999999E-4</v>
      </c>
      <c r="J1022" s="126">
        <f>SUMIFS('Support - Unit Adjustments'!E:E,'Support - Unit Adjustments'!F:F,'Step 2'!D1022)</f>
        <v>0</v>
      </c>
      <c r="K1022" s="126">
        <f t="shared" si="289"/>
        <v>3.8299999999999999E-4</v>
      </c>
      <c r="L1022" s="174">
        <f>VLOOKUP(A1022,'Step 1'!$A:$E,4,FALSE)</f>
        <v>399214</v>
      </c>
      <c r="M1022" s="47">
        <f t="shared" si="290"/>
        <v>153</v>
      </c>
      <c r="N1022" s="177">
        <f>SUMIFS('Support - Transition'!G:G,'Support - Transition'!J:J,'Step 2'!D1022,'Support - Transition'!E:E,"2009 WELFARE ALLOCATION FACTOR")</f>
        <v>0</v>
      </c>
      <c r="O1022" s="152">
        <f t="shared" si="295"/>
        <v>0</v>
      </c>
      <c r="P1022" s="126">
        <f>IF(E1022="Y",0,SUMIFS('Support - Transition'!G:G,'Support - Transition'!J:J,'Step 2'!D1022,'Support - Transition'!E:E,"2009 SCHOOL ALLOCATION FACTOR"))</f>
        <v>0</v>
      </c>
      <c r="Q1022" s="126">
        <f>IF(E1022="Y",VLOOKUP(D1022,'Support - Unit Adjustments'!F:G,2,FALSE),0)</f>
        <v>0</v>
      </c>
      <c r="R1022" s="155">
        <f t="shared" si="307"/>
        <v>0</v>
      </c>
      <c r="S1022" s="47">
        <f t="shared" si="306"/>
        <v>0</v>
      </c>
      <c r="T1022" s="151">
        <f t="shared" si="291"/>
        <v>153</v>
      </c>
      <c r="U1022" s="151">
        <f t="shared" si="292"/>
        <v>0</v>
      </c>
      <c r="V1022" s="139">
        <f t="shared" si="293"/>
        <v>0</v>
      </c>
      <c r="W1022" s="152">
        <f t="shared" si="296"/>
        <v>153</v>
      </c>
      <c r="X1022" s="127" t="str">
        <f t="shared" si="294"/>
        <v/>
      </c>
      <c r="Y1022" s="207">
        <f t="shared" si="297"/>
        <v>153</v>
      </c>
      <c r="Z1022" s="139">
        <f t="shared" si="298"/>
        <v>107</v>
      </c>
      <c r="AA1022" s="139">
        <f t="shared" si="299"/>
        <v>46</v>
      </c>
      <c r="AC1022" s="47">
        <f t="shared" si="300"/>
        <v>77</v>
      </c>
      <c r="AD1022" s="47">
        <f t="shared" si="301"/>
        <v>54</v>
      </c>
      <c r="AE1022" s="47">
        <f t="shared" si="302"/>
        <v>23</v>
      </c>
      <c r="AG1022" s="47">
        <f t="shared" si="303"/>
        <v>76</v>
      </c>
      <c r="AH1022" s="47">
        <f t="shared" si="304"/>
        <v>53</v>
      </c>
      <c r="AI1022" s="208">
        <f t="shared" si="305"/>
        <v>23</v>
      </c>
    </row>
    <row r="1023" spans="1:35">
      <c r="A1023" t="s">
        <v>2121</v>
      </c>
      <c r="B1023" t="s">
        <v>3142</v>
      </c>
      <c r="C1023" t="s">
        <v>2196</v>
      </c>
      <c r="D1023" t="s">
        <v>4358</v>
      </c>
      <c r="F1023" t="s">
        <v>796</v>
      </c>
      <c r="G1023" s="126">
        <f>SUMIFS('Support - Transition'!F:F,'Support - Transition'!B:B,'Step 2'!A1023,'Support - Transition'!C:C,'Step 2'!B1023,'Support - Transition'!D:D,'Step 2'!C1023,'Support - Transition'!E:E,"CIVIL")</f>
        <v>1.036E-3</v>
      </c>
      <c r="H1023" s="126">
        <f>SUMIFS('Support - Transition'!F:F,'Support - Transition'!B:B,'Step 2'!A1023,'Support - Transition'!C:C,'Step 2'!B1023,'Support - Transition'!D:D,'Step 2'!C1023,'Support - Transition'!E:E,"FIRE")</f>
        <v>5.3200000000000003E-4</v>
      </c>
      <c r="I1023" s="126">
        <f>IF(B1023="0",SUMIFS('Support - Transition'!F:F,'Support - Transition'!J:J,'Step 2'!D1023,'Support - Transition'!E:E,"STATE UNIT"),SUMIFS('Support - Transition'!F:F,'Support - Transition'!J:J,'Step 2'!D1023))</f>
        <v>1.5679999999999999E-3</v>
      </c>
      <c r="J1023" s="126">
        <f>SUMIFS('Support - Unit Adjustments'!E:E,'Support - Unit Adjustments'!F:F,'Step 2'!D1023)</f>
        <v>0</v>
      </c>
      <c r="K1023" s="126">
        <f t="shared" si="289"/>
        <v>1.5679999999999999E-3</v>
      </c>
      <c r="L1023" s="174">
        <f>VLOOKUP(A1023,'Step 1'!$A:$E,4,FALSE)</f>
        <v>399214</v>
      </c>
      <c r="M1023" s="47">
        <f t="shared" si="290"/>
        <v>626</v>
      </c>
      <c r="N1023" s="177">
        <f>SUMIFS('Support - Transition'!G:G,'Support - Transition'!J:J,'Step 2'!D1023,'Support - Transition'!E:E,"2009 WELFARE ALLOCATION FACTOR")</f>
        <v>0</v>
      </c>
      <c r="O1023" s="152">
        <f t="shared" si="295"/>
        <v>0</v>
      </c>
      <c r="P1023" s="126">
        <f>IF(E1023="Y",0,SUMIFS('Support - Transition'!G:G,'Support - Transition'!J:J,'Step 2'!D1023,'Support - Transition'!E:E,"2009 SCHOOL ALLOCATION FACTOR"))</f>
        <v>0</v>
      </c>
      <c r="Q1023" s="126">
        <f>IF(E1023="Y",VLOOKUP(D1023,'Support - Unit Adjustments'!F:G,2,FALSE),0)</f>
        <v>0</v>
      </c>
      <c r="R1023" s="155">
        <f t="shared" si="307"/>
        <v>0</v>
      </c>
      <c r="S1023" s="47">
        <f t="shared" si="306"/>
        <v>0</v>
      </c>
      <c r="T1023" s="151">
        <f t="shared" si="291"/>
        <v>626</v>
      </c>
      <c r="U1023" s="151">
        <f t="shared" si="292"/>
        <v>0</v>
      </c>
      <c r="V1023" s="139">
        <f t="shared" si="293"/>
        <v>0</v>
      </c>
      <c r="W1023" s="152">
        <f t="shared" si="296"/>
        <v>626</v>
      </c>
      <c r="X1023" s="127" t="str">
        <f t="shared" si="294"/>
        <v/>
      </c>
      <c r="Y1023" s="207">
        <f t="shared" si="297"/>
        <v>626</v>
      </c>
      <c r="Z1023" s="139">
        <f t="shared" si="298"/>
        <v>414</v>
      </c>
      <c r="AA1023" s="139">
        <f t="shared" si="299"/>
        <v>212</v>
      </c>
      <c r="AC1023" s="47">
        <f t="shared" si="300"/>
        <v>313</v>
      </c>
      <c r="AD1023" s="47">
        <f t="shared" si="301"/>
        <v>207</v>
      </c>
      <c r="AE1023" s="47">
        <f t="shared" si="302"/>
        <v>106</v>
      </c>
      <c r="AG1023" s="47">
        <f t="shared" si="303"/>
        <v>313</v>
      </c>
      <c r="AH1023" s="47">
        <f t="shared" si="304"/>
        <v>207</v>
      </c>
      <c r="AI1023" s="208">
        <f t="shared" si="305"/>
        <v>106</v>
      </c>
    </row>
    <row r="1024" spans="1:35">
      <c r="A1024" t="s">
        <v>2121</v>
      </c>
      <c r="B1024" t="s">
        <v>3142</v>
      </c>
      <c r="C1024" t="s">
        <v>2197</v>
      </c>
      <c r="D1024" t="s">
        <v>4359</v>
      </c>
      <c r="F1024" t="s">
        <v>20</v>
      </c>
      <c r="G1024" s="126">
        <f>SUMIFS('Support - Transition'!F:F,'Support - Transition'!B:B,'Step 2'!A1024,'Support - Transition'!C:C,'Step 2'!B1024,'Support - Transition'!D:D,'Step 2'!C1024,'Support - Transition'!E:E,"CIVIL")</f>
        <v>9.9799999999999997E-4</v>
      </c>
      <c r="H1024" s="126">
        <f>SUMIFS('Support - Transition'!F:F,'Support - Transition'!B:B,'Step 2'!A1024,'Support - Transition'!C:C,'Step 2'!B1024,'Support - Transition'!D:D,'Step 2'!C1024,'Support - Transition'!E:E,"FIRE")</f>
        <v>6.8300000000000001E-4</v>
      </c>
      <c r="I1024" s="126">
        <f>IF(B1024="0",SUMIFS('Support - Transition'!F:F,'Support - Transition'!J:J,'Step 2'!D1024,'Support - Transition'!E:E,"STATE UNIT"),SUMIFS('Support - Transition'!F:F,'Support - Transition'!J:J,'Step 2'!D1024))</f>
        <v>1.681E-3</v>
      </c>
      <c r="J1024" s="126">
        <f>SUMIFS('Support - Unit Adjustments'!E:E,'Support - Unit Adjustments'!F:F,'Step 2'!D1024)</f>
        <v>0</v>
      </c>
      <c r="K1024" s="126">
        <f t="shared" si="289"/>
        <v>1.681E-3</v>
      </c>
      <c r="L1024" s="174">
        <f>VLOOKUP(A1024,'Step 1'!$A:$E,4,FALSE)</f>
        <v>399214</v>
      </c>
      <c r="M1024" s="47">
        <f t="shared" si="290"/>
        <v>671</v>
      </c>
      <c r="N1024" s="177">
        <f>SUMIFS('Support - Transition'!G:G,'Support - Transition'!J:J,'Step 2'!D1024,'Support - Transition'!E:E,"2009 WELFARE ALLOCATION FACTOR")</f>
        <v>0</v>
      </c>
      <c r="O1024" s="152">
        <f t="shared" si="295"/>
        <v>0</v>
      </c>
      <c r="P1024" s="126">
        <f>IF(E1024="Y",0,SUMIFS('Support - Transition'!G:G,'Support - Transition'!J:J,'Step 2'!D1024,'Support - Transition'!E:E,"2009 SCHOOL ALLOCATION FACTOR"))</f>
        <v>0</v>
      </c>
      <c r="Q1024" s="126">
        <f>IF(E1024="Y",VLOOKUP(D1024,'Support - Unit Adjustments'!F:G,2,FALSE),0)</f>
        <v>0</v>
      </c>
      <c r="R1024" s="155">
        <f t="shared" si="307"/>
        <v>0</v>
      </c>
      <c r="S1024" s="47">
        <f t="shared" si="306"/>
        <v>0</v>
      </c>
      <c r="T1024" s="151">
        <f t="shared" si="291"/>
        <v>671</v>
      </c>
      <c r="U1024" s="151">
        <f t="shared" si="292"/>
        <v>0</v>
      </c>
      <c r="V1024" s="139">
        <f t="shared" si="293"/>
        <v>0</v>
      </c>
      <c r="W1024" s="152">
        <f t="shared" si="296"/>
        <v>671</v>
      </c>
      <c r="X1024" s="127" t="str">
        <f t="shared" si="294"/>
        <v/>
      </c>
      <c r="Y1024" s="207">
        <f t="shared" si="297"/>
        <v>671</v>
      </c>
      <c r="Z1024" s="139">
        <f t="shared" si="298"/>
        <v>398</v>
      </c>
      <c r="AA1024" s="139">
        <f t="shared" si="299"/>
        <v>273</v>
      </c>
      <c r="AC1024" s="47">
        <f t="shared" si="300"/>
        <v>336</v>
      </c>
      <c r="AD1024" s="47">
        <f t="shared" si="301"/>
        <v>199</v>
      </c>
      <c r="AE1024" s="47">
        <f t="shared" si="302"/>
        <v>137</v>
      </c>
      <c r="AG1024" s="47">
        <f t="shared" si="303"/>
        <v>335</v>
      </c>
      <c r="AH1024" s="47">
        <f t="shared" si="304"/>
        <v>199</v>
      </c>
      <c r="AI1024" s="208">
        <f t="shared" si="305"/>
        <v>136</v>
      </c>
    </row>
    <row r="1025" spans="1:35">
      <c r="A1025" t="s">
        <v>2121</v>
      </c>
      <c r="B1025" t="s">
        <v>3142</v>
      </c>
      <c r="C1025" t="s">
        <v>2198</v>
      </c>
      <c r="D1025" t="s">
        <v>4360</v>
      </c>
      <c r="F1025" t="s">
        <v>272</v>
      </c>
      <c r="G1025" s="126">
        <f>SUMIFS('Support - Transition'!F:F,'Support - Transition'!B:B,'Step 2'!A1025,'Support - Transition'!C:C,'Step 2'!B1025,'Support - Transition'!D:D,'Step 2'!C1025,'Support - Transition'!E:E,"CIVIL")</f>
        <v>1.934E-3</v>
      </c>
      <c r="H1025" s="126">
        <f>SUMIFS('Support - Transition'!F:F,'Support - Transition'!B:B,'Step 2'!A1025,'Support - Transition'!C:C,'Step 2'!B1025,'Support - Transition'!D:D,'Step 2'!C1025,'Support - Transition'!E:E,"FIRE")</f>
        <v>1.2880000000000001E-3</v>
      </c>
      <c r="I1025" s="126">
        <f>IF(B1025="0",SUMIFS('Support - Transition'!F:F,'Support - Transition'!J:J,'Step 2'!D1025,'Support - Transition'!E:E,"STATE UNIT"),SUMIFS('Support - Transition'!F:F,'Support - Transition'!J:J,'Step 2'!D1025))</f>
        <v>3.222E-3</v>
      </c>
      <c r="J1025" s="126">
        <f>SUMIFS('Support - Unit Adjustments'!E:E,'Support - Unit Adjustments'!F:F,'Step 2'!D1025)</f>
        <v>0</v>
      </c>
      <c r="K1025" s="126">
        <f t="shared" si="289"/>
        <v>3.222E-3</v>
      </c>
      <c r="L1025" s="174">
        <f>VLOOKUP(A1025,'Step 1'!$A:$E,4,FALSE)</f>
        <v>399214</v>
      </c>
      <c r="M1025" s="47">
        <f t="shared" si="290"/>
        <v>1286</v>
      </c>
      <c r="N1025" s="177">
        <f>SUMIFS('Support - Transition'!G:G,'Support - Transition'!J:J,'Step 2'!D1025,'Support - Transition'!E:E,"2009 WELFARE ALLOCATION FACTOR")</f>
        <v>0</v>
      </c>
      <c r="O1025" s="152">
        <f t="shared" si="295"/>
        <v>0</v>
      </c>
      <c r="P1025" s="126">
        <f>IF(E1025="Y",0,SUMIFS('Support - Transition'!G:G,'Support - Transition'!J:J,'Step 2'!D1025,'Support - Transition'!E:E,"2009 SCHOOL ALLOCATION FACTOR"))</f>
        <v>0</v>
      </c>
      <c r="Q1025" s="126">
        <f>IF(E1025="Y",VLOOKUP(D1025,'Support - Unit Adjustments'!F:G,2,FALSE),0)</f>
        <v>0</v>
      </c>
      <c r="R1025" s="155">
        <f t="shared" si="307"/>
        <v>0</v>
      </c>
      <c r="S1025" s="47">
        <f t="shared" si="306"/>
        <v>0</v>
      </c>
      <c r="T1025" s="151">
        <f t="shared" si="291"/>
        <v>1286</v>
      </c>
      <c r="U1025" s="151">
        <f t="shared" si="292"/>
        <v>0</v>
      </c>
      <c r="V1025" s="139">
        <f t="shared" si="293"/>
        <v>0</v>
      </c>
      <c r="W1025" s="152">
        <f t="shared" si="296"/>
        <v>1286</v>
      </c>
      <c r="X1025" s="127" t="str">
        <f t="shared" si="294"/>
        <v/>
      </c>
      <c r="Y1025" s="207">
        <f t="shared" si="297"/>
        <v>1286</v>
      </c>
      <c r="Z1025" s="139">
        <f t="shared" si="298"/>
        <v>772</v>
      </c>
      <c r="AA1025" s="139">
        <f t="shared" si="299"/>
        <v>514</v>
      </c>
      <c r="AC1025" s="47">
        <f t="shared" si="300"/>
        <v>643</v>
      </c>
      <c r="AD1025" s="47">
        <f t="shared" si="301"/>
        <v>386</v>
      </c>
      <c r="AE1025" s="47">
        <f t="shared" si="302"/>
        <v>257</v>
      </c>
      <c r="AG1025" s="47">
        <f t="shared" si="303"/>
        <v>643</v>
      </c>
      <c r="AH1025" s="47">
        <f t="shared" si="304"/>
        <v>386</v>
      </c>
      <c r="AI1025" s="208">
        <f t="shared" si="305"/>
        <v>257</v>
      </c>
    </row>
    <row r="1026" spans="1:35">
      <c r="A1026" t="s">
        <v>2121</v>
      </c>
      <c r="B1026" t="s">
        <v>3142</v>
      </c>
      <c r="C1026" t="s">
        <v>2199</v>
      </c>
      <c r="D1026" t="s">
        <v>4361</v>
      </c>
      <c r="F1026" t="s">
        <v>61</v>
      </c>
      <c r="G1026" s="126">
        <f>SUMIFS('Support - Transition'!F:F,'Support - Transition'!B:B,'Step 2'!A1026,'Support - Transition'!C:C,'Step 2'!B1026,'Support - Transition'!D:D,'Step 2'!C1026,'Support - Transition'!E:E,"CIVIL")</f>
        <v>2.8499999999999999E-4</v>
      </c>
      <c r="H1026" s="126">
        <f>SUMIFS('Support - Transition'!F:F,'Support - Transition'!B:B,'Step 2'!A1026,'Support - Transition'!C:C,'Step 2'!B1026,'Support - Transition'!D:D,'Step 2'!C1026,'Support - Transition'!E:E,"FIRE")</f>
        <v>7.3099999999999999E-4</v>
      </c>
      <c r="I1026" s="126">
        <f>IF(B1026="0",SUMIFS('Support - Transition'!F:F,'Support - Transition'!J:J,'Step 2'!D1026,'Support - Transition'!E:E,"STATE UNIT"),SUMIFS('Support - Transition'!F:F,'Support - Transition'!J:J,'Step 2'!D1026))</f>
        <v>1.016E-3</v>
      </c>
      <c r="J1026" s="126">
        <f>SUMIFS('Support - Unit Adjustments'!E:E,'Support - Unit Adjustments'!F:F,'Step 2'!D1026)</f>
        <v>0</v>
      </c>
      <c r="K1026" s="126">
        <f t="shared" ref="K1026:K1089" si="308">+I1026+J1026</f>
        <v>1.016E-3</v>
      </c>
      <c r="L1026" s="174">
        <f>VLOOKUP(A1026,'Step 1'!$A:$E,4,FALSE)</f>
        <v>399214</v>
      </c>
      <c r="M1026" s="47">
        <f t="shared" ref="M1026:M1089" si="309">ROUND(+K1026*L1026,0)</f>
        <v>406</v>
      </c>
      <c r="N1026" s="177">
        <f>SUMIFS('Support - Transition'!G:G,'Support - Transition'!J:J,'Step 2'!D1026,'Support - Transition'!E:E,"2009 WELFARE ALLOCATION FACTOR")</f>
        <v>0</v>
      </c>
      <c r="O1026" s="152">
        <f t="shared" si="295"/>
        <v>0</v>
      </c>
      <c r="P1026" s="126">
        <f>IF(E1026="Y",0,SUMIFS('Support - Transition'!G:G,'Support - Transition'!J:J,'Step 2'!D1026,'Support - Transition'!E:E,"2009 SCHOOL ALLOCATION FACTOR"))</f>
        <v>0</v>
      </c>
      <c r="Q1026" s="126">
        <f>IF(E1026="Y",VLOOKUP(D1026,'Support - Unit Adjustments'!F:G,2,FALSE),0)</f>
        <v>0</v>
      </c>
      <c r="R1026" s="155">
        <f t="shared" si="307"/>
        <v>0</v>
      </c>
      <c r="S1026" s="47">
        <f t="shared" si="306"/>
        <v>0</v>
      </c>
      <c r="T1026" s="151">
        <f t="shared" ref="T1026:T1089" si="310">ROUND(+M1026-O1026-S1026,2)</f>
        <v>406</v>
      </c>
      <c r="U1026" s="151">
        <f t="shared" ref="U1026:U1089" si="311">IF(B1026="0",SUMIFS(O:O,A:A,A1026)+SUMIFS(S:S,A:A,A1026)+SUMIFS(T:T,A:A,A1026),0)</f>
        <v>0</v>
      </c>
      <c r="V1026" s="139">
        <f t="shared" ref="V1026:V1089" si="312">IF(B1026="0",U1026-L1026,0)</f>
        <v>0</v>
      </c>
      <c r="W1026" s="152">
        <f t="shared" si="296"/>
        <v>406</v>
      </c>
      <c r="X1026" s="127" t="str">
        <f t="shared" ref="X1026:X1089" si="313">IF(B1026="0",SUMIFS(O:O,A:A,A1026)+SUMIFS(S:S,A:A,A1026)+SUMIFS(W:W,A:A,A1026)-L1026,"")</f>
        <v/>
      </c>
      <c r="Y1026" s="207">
        <f t="shared" si="297"/>
        <v>406</v>
      </c>
      <c r="Z1026" s="139">
        <f t="shared" si="298"/>
        <v>114</v>
      </c>
      <c r="AA1026" s="139">
        <f t="shared" si="299"/>
        <v>292</v>
      </c>
      <c r="AC1026" s="47">
        <f t="shared" si="300"/>
        <v>203</v>
      </c>
      <c r="AD1026" s="47">
        <f t="shared" si="301"/>
        <v>57</v>
      </c>
      <c r="AE1026" s="47">
        <f t="shared" si="302"/>
        <v>146</v>
      </c>
      <c r="AG1026" s="47">
        <f t="shared" si="303"/>
        <v>203</v>
      </c>
      <c r="AH1026" s="47">
        <f t="shared" si="304"/>
        <v>57</v>
      </c>
      <c r="AI1026" s="208">
        <f t="shared" si="305"/>
        <v>146</v>
      </c>
    </row>
    <row r="1027" spans="1:35">
      <c r="A1027" t="s">
        <v>2121</v>
      </c>
      <c r="B1027" t="s">
        <v>3155</v>
      </c>
      <c r="C1027" t="s">
        <v>2599</v>
      </c>
      <c r="D1027" t="s">
        <v>4362</v>
      </c>
      <c r="F1027" t="s">
        <v>798</v>
      </c>
      <c r="G1027" s="126">
        <f>SUMIFS('Support - Transition'!F:F,'Support - Transition'!B:B,'Step 2'!A1027,'Support - Transition'!C:C,'Step 2'!B1027,'Support - Transition'!D:D,'Step 2'!C1027,'Support - Transition'!E:E,"CIVIL")</f>
        <v>0</v>
      </c>
      <c r="H1027" s="126">
        <f>SUMIFS('Support - Transition'!F:F,'Support - Transition'!B:B,'Step 2'!A1027,'Support - Transition'!C:C,'Step 2'!B1027,'Support - Transition'!D:D,'Step 2'!C1027,'Support - Transition'!E:E,"FIRE")</f>
        <v>0</v>
      </c>
      <c r="I1027" s="126">
        <f>IF(B1027="0",SUMIFS('Support - Transition'!F:F,'Support - Transition'!J:J,'Step 2'!D1027,'Support - Transition'!E:E,"STATE UNIT"),SUMIFS('Support - Transition'!F:F,'Support - Transition'!J:J,'Step 2'!D1027))</f>
        <v>0.150117</v>
      </c>
      <c r="J1027" s="126">
        <f>SUMIFS('Support - Unit Adjustments'!E:E,'Support - Unit Adjustments'!F:F,'Step 2'!D1027)</f>
        <v>0</v>
      </c>
      <c r="K1027" s="126">
        <f t="shared" si="308"/>
        <v>0.150117</v>
      </c>
      <c r="L1027" s="174">
        <f>VLOOKUP(A1027,'Step 1'!$A:$E,4,FALSE)</f>
        <v>399214</v>
      </c>
      <c r="M1027" s="47">
        <f t="shared" si="309"/>
        <v>59929</v>
      </c>
      <c r="N1027" s="177">
        <f>SUMIFS('Support - Transition'!G:G,'Support - Transition'!J:J,'Step 2'!D1027,'Support - Transition'!E:E,"2009 WELFARE ALLOCATION FACTOR")</f>
        <v>0</v>
      </c>
      <c r="O1027" s="152">
        <f t="shared" ref="O1027:O1090" si="314">ROUND(+N1027*M1027,0)</f>
        <v>0</v>
      </c>
      <c r="P1027" s="126">
        <f>IF(E1027="Y",0,SUMIFS('Support - Transition'!G:G,'Support - Transition'!J:J,'Step 2'!D1027,'Support - Transition'!E:E,"2009 SCHOOL ALLOCATION FACTOR"))</f>
        <v>0</v>
      </c>
      <c r="Q1027" s="126">
        <f>IF(E1027="Y",VLOOKUP(D1027,'Support - Unit Adjustments'!F:G,2,FALSE),0)</f>
        <v>0</v>
      </c>
      <c r="R1027" s="155">
        <f t="shared" si="307"/>
        <v>0</v>
      </c>
      <c r="S1027" s="47">
        <f t="shared" si="306"/>
        <v>0</v>
      </c>
      <c r="T1027" s="151">
        <f t="shared" si="310"/>
        <v>59929</v>
      </c>
      <c r="U1027" s="151">
        <f t="shared" si="311"/>
        <v>0</v>
      </c>
      <c r="V1027" s="139">
        <f t="shared" si="312"/>
        <v>0</v>
      </c>
      <c r="W1027" s="152">
        <f t="shared" ref="W1027:W1090" si="315">+T1027-V1027</f>
        <v>59929</v>
      </c>
      <c r="X1027" s="127" t="str">
        <f t="shared" si="313"/>
        <v/>
      </c>
      <c r="Y1027" s="207">
        <f t="shared" ref="Y1027:Y1090" si="316">W1027</f>
        <v>59929</v>
      </c>
      <c r="Z1027" s="139">
        <f t="shared" ref="Z1027:Z1090" si="317">IFERROR(IF(B1027="2",ROUND(Y1027*G1027/I1027,0),Y1027),0)</f>
        <v>59929</v>
      </c>
      <c r="AA1027" s="139">
        <f t="shared" ref="AA1027:AA1090" si="318">+Y1027-Z1027</f>
        <v>0</v>
      </c>
      <c r="AC1027" s="47">
        <f t="shared" ref="AC1027:AC1090" si="319">ROUND(Y1027/2,0)</f>
        <v>29965</v>
      </c>
      <c r="AD1027" s="47">
        <f t="shared" ref="AD1027:AD1090" si="320">ROUND(Z1027/2,0)</f>
        <v>29965</v>
      </c>
      <c r="AE1027" s="47">
        <f t="shared" ref="AE1027:AE1090" si="321">ROUND(AA1027/2,0)</f>
        <v>0</v>
      </c>
      <c r="AG1027" s="47">
        <f t="shared" ref="AG1027:AG1090" si="322">+Y1027-AC1027</f>
        <v>29964</v>
      </c>
      <c r="AH1027" s="47">
        <f t="shared" ref="AH1027:AH1090" si="323">+Z1027-AD1027</f>
        <v>29964</v>
      </c>
      <c r="AI1027" s="208">
        <f t="shared" ref="AI1027:AI1090" si="324">+AA1027-AE1027</f>
        <v>0</v>
      </c>
    </row>
    <row r="1028" spans="1:35">
      <c r="A1028" t="s">
        <v>2121</v>
      </c>
      <c r="B1028" t="s">
        <v>3155</v>
      </c>
      <c r="C1028" t="s">
        <v>2600</v>
      </c>
      <c r="D1028" t="s">
        <v>4363</v>
      </c>
      <c r="F1028" t="s">
        <v>797</v>
      </c>
      <c r="G1028" s="126">
        <f>SUMIFS('Support - Transition'!F:F,'Support - Transition'!B:B,'Step 2'!A1028,'Support - Transition'!C:C,'Step 2'!B1028,'Support - Transition'!D:D,'Step 2'!C1028,'Support - Transition'!E:E,"CIVIL")</f>
        <v>0</v>
      </c>
      <c r="H1028" s="126">
        <f>SUMIFS('Support - Transition'!F:F,'Support - Transition'!B:B,'Step 2'!A1028,'Support - Transition'!C:C,'Step 2'!B1028,'Support - Transition'!D:D,'Step 2'!C1028,'Support - Transition'!E:E,"FIRE")</f>
        <v>0</v>
      </c>
      <c r="I1028" s="126">
        <f>IF(B1028="0",SUMIFS('Support - Transition'!F:F,'Support - Transition'!J:J,'Step 2'!D1028,'Support - Transition'!E:E,"STATE UNIT"),SUMIFS('Support - Transition'!F:F,'Support - Transition'!J:J,'Step 2'!D1028))</f>
        <v>5.0900000000000001E-4</v>
      </c>
      <c r="J1028" s="126">
        <f>SUMIFS('Support - Unit Adjustments'!E:E,'Support - Unit Adjustments'!F:F,'Step 2'!D1028)</f>
        <v>0</v>
      </c>
      <c r="K1028" s="126">
        <f t="shared" si="308"/>
        <v>5.0900000000000001E-4</v>
      </c>
      <c r="L1028" s="174">
        <f>VLOOKUP(A1028,'Step 1'!$A:$E,4,FALSE)</f>
        <v>399214</v>
      </c>
      <c r="M1028" s="47">
        <f t="shared" si="309"/>
        <v>203</v>
      </c>
      <c r="N1028" s="177">
        <f>SUMIFS('Support - Transition'!G:G,'Support - Transition'!J:J,'Step 2'!D1028,'Support - Transition'!E:E,"2009 WELFARE ALLOCATION FACTOR")</f>
        <v>0</v>
      </c>
      <c r="O1028" s="152">
        <f t="shared" si="314"/>
        <v>0</v>
      </c>
      <c r="P1028" s="126">
        <f>IF(E1028="Y",0,SUMIFS('Support - Transition'!G:G,'Support - Transition'!J:J,'Step 2'!D1028,'Support - Transition'!E:E,"2009 SCHOOL ALLOCATION FACTOR"))</f>
        <v>0</v>
      </c>
      <c r="Q1028" s="126">
        <f>IF(E1028="Y",VLOOKUP(D1028,'Support - Unit Adjustments'!F:G,2,FALSE),0)</f>
        <v>0</v>
      </c>
      <c r="R1028" s="155">
        <f t="shared" si="307"/>
        <v>0</v>
      </c>
      <c r="S1028" s="47">
        <f t="shared" si="306"/>
        <v>0</v>
      </c>
      <c r="T1028" s="151">
        <f t="shared" si="310"/>
        <v>203</v>
      </c>
      <c r="U1028" s="151">
        <f t="shared" si="311"/>
        <v>0</v>
      </c>
      <c r="V1028" s="139">
        <f t="shared" si="312"/>
        <v>0</v>
      </c>
      <c r="W1028" s="152">
        <f t="shared" si="315"/>
        <v>203</v>
      </c>
      <c r="X1028" s="127" t="str">
        <f t="shared" si="313"/>
        <v/>
      </c>
      <c r="Y1028" s="207">
        <f t="shared" si="316"/>
        <v>203</v>
      </c>
      <c r="Z1028" s="139">
        <f t="shared" si="317"/>
        <v>203</v>
      </c>
      <c r="AA1028" s="139">
        <f t="shared" si="318"/>
        <v>0</v>
      </c>
      <c r="AC1028" s="47">
        <f t="shared" si="319"/>
        <v>102</v>
      </c>
      <c r="AD1028" s="47">
        <f t="shared" si="320"/>
        <v>102</v>
      </c>
      <c r="AE1028" s="47">
        <f t="shared" si="321"/>
        <v>0</v>
      </c>
      <c r="AG1028" s="47">
        <f t="shared" si="322"/>
        <v>101</v>
      </c>
      <c r="AH1028" s="47">
        <f t="shared" si="323"/>
        <v>101</v>
      </c>
      <c r="AI1028" s="208">
        <f t="shared" si="324"/>
        <v>0</v>
      </c>
    </row>
    <row r="1029" spans="1:35">
      <c r="A1029" t="s">
        <v>2121</v>
      </c>
      <c r="B1029" t="s">
        <v>3155</v>
      </c>
      <c r="C1029" t="s">
        <v>2601</v>
      </c>
      <c r="D1029" t="s">
        <v>4364</v>
      </c>
      <c r="F1029" t="s">
        <v>799</v>
      </c>
      <c r="G1029" s="126">
        <f>SUMIFS('Support - Transition'!F:F,'Support - Transition'!B:B,'Step 2'!A1029,'Support - Transition'!C:C,'Step 2'!B1029,'Support - Transition'!D:D,'Step 2'!C1029,'Support - Transition'!E:E,"CIVIL")</f>
        <v>0</v>
      </c>
      <c r="H1029" s="126">
        <f>SUMIFS('Support - Transition'!F:F,'Support - Transition'!B:B,'Step 2'!A1029,'Support - Transition'!C:C,'Step 2'!B1029,'Support - Transition'!D:D,'Step 2'!C1029,'Support - Transition'!E:E,"FIRE")</f>
        <v>0</v>
      </c>
      <c r="I1029" s="126">
        <f>IF(B1029="0",SUMIFS('Support - Transition'!F:F,'Support - Transition'!J:J,'Step 2'!D1029,'Support - Transition'!E:E,"STATE UNIT"),SUMIFS('Support - Transition'!F:F,'Support - Transition'!J:J,'Step 2'!D1029))</f>
        <v>1.0430000000000001E-3</v>
      </c>
      <c r="J1029" s="126">
        <f>SUMIFS('Support - Unit Adjustments'!E:E,'Support - Unit Adjustments'!F:F,'Step 2'!D1029)</f>
        <v>0</v>
      </c>
      <c r="K1029" s="126">
        <f t="shared" si="308"/>
        <v>1.0430000000000001E-3</v>
      </c>
      <c r="L1029" s="174">
        <f>VLOOKUP(A1029,'Step 1'!$A:$E,4,FALSE)</f>
        <v>399214</v>
      </c>
      <c r="M1029" s="47">
        <f t="shared" si="309"/>
        <v>416</v>
      </c>
      <c r="N1029" s="177">
        <f>SUMIFS('Support - Transition'!G:G,'Support - Transition'!J:J,'Step 2'!D1029,'Support - Transition'!E:E,"2009 WELFARE ALLOCATION FACTOR")</f>
        <v>0</v>
      </c>
      <c r="O1029" s="152">
        <f t="shared" si="314"/>
        <v>0</v>
      </c>
      <c r="P1029" s="126">
        <f>IF(E1029="Y",0,SUMIFS('Support - Transition'!G:G,'Support - Transition'!J:J,'Step 2'!D1029,'Support - Transition'!E:E,"2009 SCHOOL ALLOCATION FACTOR"))</f>
        <v>0</v>
      </c>
      <c r="Q1029" s="126">
        <f>IF(E1029="Y",VLOOKUP(D1029,'Support - Unit Adjustments'!F:G,2,FALSE),0)</f>
        <v>0</v>
      </c>
      <c r="R1029" s="155">
        <f t="shared" si="307"/>
        <v>0</v>
      </c>
      <c r="S1029" s="47">
        <f t="shared" si="306"/>
        <v>0</v>
      </c>
      <c r="T1029" s="151">
        <f t="shared" si="310"/>
        <v>416</v>
      </c>
      <c r="U1029" s="151">
        <f t="shared" si="311"/>
        <v>0</v>
      </c>
      <c r="V1029" s="139">
        <f t="shared" si="312"/>
        <v>0</v>
      </c>
      <c r="W1029" s="152">
        <f t="shared" si="315"/>
        <v>416</v>
      </c>
      <c r="X1029" s="127" t="str">
        <f t="shared" si="313"/>
        <v/>
      </c>
      <c r="Y1029" s="207">
        <f t="shared" si="316"/>
        <v>416</v>
      </c>
      <c r="Z1029" s="139">
        <f t="shared" si="317"/>
        <v>416</v>
      </c>
      <c r="AA1029" s="139">
        <f t="shared" si="318"/>
        <v>0</v>
      </c>
      <c r="AC1029" s="47">
        <f t="shared" si="319"/>
        <v>208</v>
      </c>
      <c r="AD1029" s="47">
        <f t="shared" si="320"/>
        <v>208</v>
      </c>
      <c r="AE1029" s="47">
        <f t="shared" si="321"/>
        <v>0</v>
      </c>
      <c r="AG1029" s="47">
        <f t="shared" si="322"/>
        <v>208</v>
      </c>
      <c r="AH1029" s="47">
        <f t="shared" si="323"/>
        <v>208</v>
      </c>
      <c r="AI1029" s="208">
        <f t="shared" si="324"/>
        <v>0</v>
      </c>
    </row>
    <row r="1030" spans="1:35">
      <c r="A1030" t="s">
        <v>2121</v>
      </c>
      <c r="B1030" t="s">
        <v>3155</v>
      </c>
      <c r="C1030" t="s">
        <v>2602</v>
      </c>
      <c r="D1030" t="s">
        <v>4365</v>
      </c>
      <c r="F1030" t="s">
        <v>800</v>
      </c>
      <c r="G1030" s="126">
        <f>SUMIFS('Support - Transition'!F:F,'Support - Transition'!B:B,'Step 2'!A1030,'Support - Transition'!C:C,'Step 2'!B1030,'Support - Transition'!D:D,'Step 2'!C1030,'Support - Transition'!E:E,"CIVIL")</f>
        <v>0</v>
      </c>
      <c r="H1030" s="126">
        <f>SUMIFS('Support - Transition'!F:F,'Support - Transition'!B:B,'Step 2'!A1030,'Support - Transition'!C:C,'Step 2'!B1030,'Support - Transition'!D:D,'Step 2'!C1030,'Support - Transition'!E:E,"FIRE")</f>
        <v>0</v>
      </c>
      <c r="I1030" s="126">
        <f>IF(B1030="0",SUMIFS('Support - Transition'!F:F,'Support - Transition'!J:J,'Step 2'!D1030,'Support - Transition'!E:E,"STATE UNIT"),SUMIFS('Support - Transition'!F:F,'Support - Transition'!J:J,'Step 2'!D1030))</f>
        <v>3.8999999999999999E-5</v>
      </c>
      <c r="J1030" s="126">
        <f>SUMIFS('Support - Unit Adjustments'!E:E,'Support - Unit Adjustments'!F:F,'Step 2'!D1030)</f>
        <v>0</v>
      </c>
      <c r="K1030" s="126">
        <f t="shared" si="308"/>
        <v>3.8999999999999999E-5</v>
      </c>
      <c r="L1030" s="174">
        <f>VLOOKUP(A1030,'Step 1'!$A:$E,4,FALSE)</f>
        <v>399214</v>
      </c>
      <c r="M1030" s="47">
        <f t="shared" si="309"/>
        <v>16</v>
      </c>
      <c r="N1030" s="177">
        <f>SUMIFS('Support - Transition'!G:G,'Support - Transition'!J:J,'Step 2'!D1030,'Support - Transition'!E:E,"2009 WELFARE ALLOCATION FACTOR")</f>
        <v>0</v>
      </c>
      <c r="O1030" s="152">
        <f t="shared" si="314"/>
        <v>0</v>
      </c>
      <c r="P1030" s="126">
        <f>IF(E1030="Y",0,SUMIFS('Support - Transition'!G:G,'Support - Transition'!J:J,'Step 2'!D1030,'Support - Transition'!E:E,"2009 SCHOOL ALLOCATION FACTOR"))</f>
        <v>0</v>
      </c>
      <c r="Q1030" s="126">
        <f>IF(E1030="Y",VLOOKUP(D1030,'Support - Unit Adjustments'!F:G,2,FALSE),0)</f>
        <v>0</v>
      </c>
      <c r="R1030" s="155">
        <f t="shared" si="307"/>
        <v>0</v>
      </c>
      <c r="S1030" s="47">
        <f t="shared" si="306"/>
        <v>0</v>
      </c>
      <c r="T1030" s="151">
        <f t="shared" si="310"/>
        <v>16</v>
      </c>
      <c r="U1030" s="151">
        <f t="shared" si="311"/>
        <v>0</v>
      </c>
      <c r="V1030" s="139">
        <f t="shared" si="312"/>
        <v>0</v>
      </c>
      <c r="W1030" s="152">
        <f t="shared" si="315"/>
        <v>16</v>
      </c>
      <c r="X1030" s="127" t="str">
        <f t="shared" si="313"/>
        <v/>
      </c>
      <c r="Y1030" s="207">
        <f t="shared" si="316"/>
        <v>16</v>
      </c>
      <c r="Z1030" s="139">
        <f t="shared" si="317"/>
        <v>16</v>
      </c>
      <c r="AA1030" s="139">
        <f t="shared" si="318"/>
        <v>0</v>
      </c>
      <c r="AC1030" s="47">
        <f t="shared" si="319"/>
        <v>8</v>
      </c>
      <c r="AD1030" s="47">
        <f t="shared" si="320"/>
        <v>8</v>
      </c>
      <c r="AE1030" s="47">
        <f t="shared" si="321"/>
        <v>0</v>
      </c>
      <c r="AG1030" s="47">
        <f t="shared" si="322"/>
        <v>8</v>
      </c>
      <c r="AH1030" s="47">
        <f t="shared" si="323"/>
        <v>8</v>
      </c>
      <c r="AI1030" s="208">
        <f t="shared" si="324"/>
        <v>0</v>
      </c>
    </row>
    <row r="1031" spans="1:35">
      <c r="A1031" t="s">
        <v>2121</v>
      </c>
      <c r="B1031" t="s">
        <v>3155</v>
      </c>
      <c r="C1031" t="s">
        <v>2603</v>
      </c>
      <c r="D1031" t="s">
        <v>4366</v>
      </c>
      <c r="F1031" t="s">
        <v>801</v>
      </c>
      <c r="G1031" s="126">
        <f>SUMIFS('Support - Transition'!F:F,'Support - Transition'!B:B,'Step 2'!A1031,'Support - Transition'!C:C,'Step 2'!B1031,'Support - Transition'!D:D,'Step 2'!C1031,'Support - Transition'!E:E,"CIVIL")</f>
        <v>0</v>
      </c>
      <c r="H1031" s="126">
        <f>SUMIFS('Support - Transition'!F:F,'Support - Transition'!B:B,'Step 2'!A1031,'Support - Transition'!C:C,'Step 2'!B1031,'Support - Transition'!D:D,'Step 2'!C1031,'Support - Transition'!E:E,"FIRE")</f>
        <v>0</v>
      </c>
      <c r="I1031" s="126">
        <f>IF(B1031="0",SUMIFS('Support - Transition'!F:F,'Support - Transition'!J:J,'Step 2'!D1031,'Support - Transition'!E:E,"STATE UNIT"),SUMIFS('Support - Transition'!F:F,'Support - Transition'!J:J,'Step 2'!D1031))</f>
        <v>1.0870000000000001E-3</v>
      </c>
      <c r="J1031" s="126">
        <f>SUMIFS('Support - Unit Adjustments'!E:E,'Support - Unit Adjustments'!F:F,'Step 2'!D1031)</f>
        <v>0</v>
      </c>
      <c r="K1031" s="126">
        <f t="shared" si="308"/>
        <v>1.0870000000000001E-3</v>
      </c>
      <c r="L1031" s="174">
        <f>VLOOKUP(A1031,'Step 1'!$A:$E,4,FALSE)</f>
        <v>399214</v>
      </c>
      <c r="M1031" s="47">
        <f t="shared" si="309"/>
        <v>434</v>
      </c>
      <c r="N1031" s="177">
        <f>SUMIFS('Support - Transition'!G:G,'Support - Transition'!J:J,'Step 2'!D1031,'Support - Transition'!E:E,"2009 WELFARE ALLOCATION FACTOR")</f>
        <v>0</v>
      </c>
      <c r="O1031" s="152">
        <f t="shared" si="314"/>
        <v>0</v>
      </c>
      <c r="P1031" s="126">
        <f>IF(E1031="Y",0,SUMIFS('Support - Transition'!G:G,'Support - Transition'!J:J,'Step 2'!D1031,'Support - Transition'!E:E,"2009 SCHOOL ALLOCATION FACTOR"))</f>
        <v>0</v>
      </c>
      <c r="Q1031" s="126">
        <f>IF(E1031="Y",VLOOKUP(D1031,'Support - Unit Adjustments'!F:G,2,FALSE),0)</f>
        <v>0</v>
      </c>
      <c r="R1031" s="155">
        <f t="shared" si="307"/>
        <v>0</v>
      </c>
      <c r="S1031" s="47">
        <f t="shared" si="306"/>
        <v>0</v>
      </c>
      <c r="T1031" s="151">
        <f t="shared" si="310"/>
        <v>434</v>
      </c>
      <c r="U1031" s="151">
        <f t="shared" si="311"/>
        <v>0</v>
      </c>
      <c r="V1031" s="139">
        <f t="shared" si="312"/>
        <v>0</v>
      </c>
      <c r="W1031" s="152">
        <f t="shared" si="315"/>
        <v>434</v>
      </c>
      <c r="X1031" s="127" t="str">
        <f t="shared" si="313"/>
        <v/>
      </c>
      <c r="Y1031" s="207">
        <f t="shared" si="316"/>
        <v>434</v>
      </c>
      <c r="Z1031" s="139">
        <f t="shared" si="317"/>
        <v>434</v>
      </c>
      <c r="AA1031" s="139">
        <f t="shared" si="318"/>
        <v>0</v>
      </c>
      <c r="AC1031" s="47">
        <f t="shared" si="319"/>
        <v>217</v>
      </c>
      <c r="AD1031" s="47">
        <f t="shared" si="320"/>
        <v>217</v>
      </c>
      <c r="AE1031" s="47">
        <f t="shared" si="321"/>
        <v>0</v>
      </c>
      <c r="AG1031" s="47">
        <f t="shared" si="322"/>
        <v>217</v>
      </c>
      <c r="AH1031" s="47">
        <f t="shared" si="323"/>
        <v>217</v>
      </c>
      <c r="AI1031" s="208">
        <f t="shared" si="324"/>
        <v>0</v>
      </c>
    </row>
    <row r="1032" spans="1:35">
      <c r="A1032" t="s">
        <v>2121</v>
      </c>
      <c r="B1032" t="s">
        <v>3155</v>
      </c>
      <c r="C1032" t="s">
        <v>2604</v>
      </c>
      <c r="D1032" t="s">
        <v>4367</v>
      </c>
      <c r="F1032" t="s">
        <v>802</v>
      </c>
      <c r="G1032" s="126">
        <f>SUMIFS('Support - Transition'!F:F,'Support - Transition'!B:B,'Step 2'!A1032,'Support - Transition'!C:C,'Step 2'!B1032,'Support - Transition'!D:D,'Step 2'!C1032,'Support - Transition'!E:E,"CIVIL")</f>
        <v>0</v>
      </c>
      <c r="H1032" s="126">
        <f>SUMIFS('Support - Transition'!F:F,'Support - Transition'!B:B,'Step 2'!A1032,'Support - Transition'!C:C,'Step 2'!B1032,'Support - Transition'!D:D,'Step 2'!C1032,'Support - Transition'!E:E,"FIRE")</f>
        <v>0</v>
      </c>
      <c r="I1032" s="126">
        <f>IF(B1032="0",SUMIFS('Support - Transition'!F:F,'Support - Transition'!J:J,'Step 2'!D1032,'Support - Transition'!E:E,"STATE UNIT"),SUMIFS('Support - Transition'!F:F,'Support - Transition'!J:J,'Step 2'!D1032))</f>
        <v>1.0362E-2</v>
      </c>
      <c r="J1032" s="126">
        <f>SUMIFS('Support - Unit Adjustments'!E:E,'Support - Unit Adjustments'!F:F,'Step 2'!D1032)</f>
        <v>0</v>
      </c>
      <c r="K1032" s="126">
        <f t="shared" si="308"/>
        <v>1.0362E-2</v>
      </c>
      <c r="L1032" s="174">
        <f>VLOOKUP(A1032,'Step 1'!$A:$E,4,FALSE)</f>
        <v>399214</v>
      </c>
      <c r="M1032" s="47">
        <f t="shared" si="309"/>
        <v>4137</v>
      </c>
      <c r="N1032" s="177">
        <f>SUMIFS('Support - Transition'!G:G,'Support - Transition'!J:J,'Step 2'!D1032,'Support - Transition'!E:E,"2009 WELFARE ALLOCATION FACTOR")</f>
        <v>0</v>
      </c>
      <c r="O1032" s="152">
        <f t="shared" si="314"/>
        <v>0</v>
      </c>
      <c r="P1032" s="126">
        <f>IF(E1032="Y",0,SUMIFS('Support - Transition'!G:G,'Support - Transition'!J:J,'Step 2'!D1032,'Support - Transition'!E:E,"2009 SCHOOL ALLOCATION FACTOR"))</f>
        <v>0</v>
      </c>
      <c r="Q1032" s="126">
        <f>IF(E1032="Y",VLOOKUP(D1032,'Support - Unit Adjustments'!F:G,2,FALSE),0)</f>
        <v>0</v>
      </c>
      <c r="R1032" s="155">
        <f t="shared" si="307"/>
        <v>0</v>
      </c>
      <c r="S1032" s="47">
        <f t="shared" ref="S1032:S1095" si="325">ROUND(+R1032*M1032,0)</f>
        <v>0</v>
      </c>
      <c r="T1032" s="151">
        <f t="shared" si="310"/>
        <v>4137</v>
      </c>
      <c r="U1032" s="151">
        <f t="shared" si="311"/>
        <v>0</v>
      </c>
      <c r="V1032" s="139">
        <f t="shared" si="312"/>
        <v>0</v>
      </c>
      <c r="W1032" s="152">
        <f t="shared" si="315"/>
        <v>4137</v>
      </c>
      <c r="X1032" s="127" t="str">
        <f t="shared" si="313"/>
        <v/>
      </c>
      <c r="Y1032" s="207">
        <f t="shared" si="316"/>
        <v>4137</v>
      </c>
      <c r="Z1032" s="139">
        <f t="shared" si="317"/>
        <v>4137</v>
      </c>
      <c r="AA1032" s="139">
        <f t="shared" si="318"/>
        <v>0</v>
      </c>
      <c r="AC1032" s="47">
        <f t="shared" si="319"/>
        <v>2069</v>
      </c>
      <c r="AD1032" s="47">
        <f t="shared" si="320"/>
        <v>2069</v>
      </c>
      <c r="AE1032" s="47">
        <f t="shared" si="321"/>
        <v>0</v>
      </c>
      <c r="AG1032" s="47">
        <f t="shared" si="322"/>
        <v>2068</v>
      </c>
      <c r="AH1032" s="47">
        <f t="shared" si="323"/>
        <v>2068</v>
      </c>
      <c r="AI1032" s="208">
        <f t="shared" si="324"/>
        <v>0</v>
      </c>
    </row>
    <row r="1033" spans="1:35">
      <c r="A1033" t="s">
        <v>2121</v>
      </c>
      <c r="B1033" t="s">
        <v>3160</v>
      </c>
      <c r="C1033" t="s">
        <v>2605</v>
      </c>
      <c r="D1033" t="s">
        <v>4368</v>
      </c>
      <c r="F1033" t="s">
        <v>4369</v>
      </c>
      <c r="G1033" s="126">
        <f>SUMIFS('Support - Transition'!F:F,'Support - Transition'!B:B,'Step 2'!A1033,'Support - Transition'!C:C,'Step 2'!B1033,'Support - Transition'!D:D,'Step 2'!C1033,'Support - Transition'!E:E,"CIVIL")</f>
        <v>0</v>
      </c>
      <c r="H1033" s="126">
        <f>SUMIFS('Support - Transition'!F:F,'Support - Transition'!B:B,'Step 2'!A1033,'Support - Transition'!C:C,'Step 2'!B1033,'Support - Transition'!D:D,'Step 2'!C1033,'Support - Transition'!E:E,"FIRE")</f>
        <v>0</v>
      </c>
      <c r="I1033" s="126">
        <f>IF(B1033="0",SUMIFS('Support - Transition'!F:F,'Support - Transition'!J:J,'Step 2'!D1033,'Support - Transition'!E:E,"STATE UNIT"),SUMIFS('Support - Transition'!F:F,'Support - Transition'!J:J,'Step 2'!D1033))</f>
        <v>0.58491000000000004</v>
      </c>
      <c r="J1033" s="126">
        <f>SUMIFS('Support - Unit Adjustments'!E:E,'Support - Unit Adjustments'!F:F,'Step 2'!D1033)</f>
        <v>0</v>
      </c>
      <c r="K1033" s="126">
        <f t="shared" si="308"/>
        <v>0.58491000000000004</v>
      </c>
      <c r="L1033" s="174">
        <f>VLOOKUP(A1033,'Step 1'!$A:$E,4,FALSE)</f>
        <v>399214</v>
      </c>
      <c r="M1033" s="47">
        <f t="shared" si="309"/>
        <v>233504</v>
      </c>
      <c r="N1033" s="177">
        <f>SUMIFS('Support - Transition'!G:G,'Support - Transition'!J:J,'Step 2'!D1033,'Support - Transition'!E:E,"2009 WELFARE ALLOCATION FACTOR")</f>
        <v>0</v>
      </c>
      <c r="O1033" s="152">
        <f t="shared" si="314"/>
        <v>0</v>
      </c>
      <c r="P1033" s="126">
        <f>IF(E1033="Y",0,SUMIFS('Support - Transition'!G:G,'Support - Transition'!J:J,'Step 2'!D1033,'Support - Transition'!E:E,"2009 SCHOOL ALLOCATION FACTOR"))</f>
        <v>0.44848500000000002</v>
      </c>
      <c r="Q1033" s="126">
        <f>IF(E1033="Y",VLOOKUP(D1033,'Support - Unit Adjustments'!F:G,2,FALSE),0)</f>
        <v>0</v>
      </c>
      <c r="R1033" s="155">
        <f t="shared" ref="R1033:R1096" si="326">+P1033+Q1033</f>
        <v>0.44848500000000002</v>
      </c>
      <c r="S1033" s="47">
        <f t="shared" si="325"/>
        <v>104723</v>
      </c>
      <c r="T1033" s="151">
        <f t="shared" si="310"/>
        <v>128781</v>
      </c>
      <c r="U1033" s="151">
        <f t="shared" si="311"/>
        <v>0</v>
      </c>
      <c r="V1033" s="139">
        <f t="shared" si="312"/>
        <v>0</v>
      </c>
      <c r="W1033" s="152">
        <f t="shared" si="315"/>
        <v>128781</v>
      </c>
      <c r="X1033" s="127" t="str">
        <f t="shared" si="313"/>
        <v/>
      </c>
      <c r="Y1033" s="207">
        <f t="shared" si="316"/>
        <v>128781</v>
      </c>
      <c r="Z1033" s="139">
        <f t="shared" si="317"/>
        <v>128781</v>
      </c>
      <c r="AA1033" s="139">
        <f t="shared" si="318"/>
        <v>0</v>
      </c>
      <c r="AC1033" s="47">
        <f t="shared" si="319"/>
        <v>64391</v>
      </c>
      <c r="AD1033" s="47">
        <f t="shared" si="320"/>
        <v>64391</v>
      </c>
      <c r="AE1033" s="47">
        <f t="shared" si="321"/>
        <v>0</v>
      </c>
      <c r="AG1033" s="47">
        <f t="shared" si="322"/>
        <v>64390</v>
      </c>
      <c r="AH1033" s="47">
        <f t="shared" si="323"/>
        <v>64390</v>
      </c>
      <c r="AI1033" s="208">
        <f t="shared" si="324"/>
        <v>0</v>
      </c>
    </row>
    <row r="1034" spans="1:35">
      <c r="A1034" t="s">
        <v>2121</v>
      </c>
      <c r="B1034" t="s">
        <v>3166</v>
      </c>
      <c r="C1034" t="s">
        <v>2606</v>
      </c>
      <c r="D1034" t="s">
        <v>4370</v>
      </c>
      <c r="F1034" t="s">
        <v>804</v>
      </c>
      <c r="G1034" s="126">
        <f>SUMIFS('Support - Transition'!F:F,'Support - Transition'!B:B,'Step 2'!A1034,'Support - Transition'!C:C,'Step 2'!B1034,'Support - Transition'!D:D,'Step 2'!C1034,'Support - Transition'!E:E,"CIVIL")</f>
        <v>0</v>
      </c>
      <c r="H1034" s="126">
        <f>SUMIFS('Support - Transition'!F:F,'Support - Transition'!B:B,'Step 2'!A1034,'Support - Transition'!C:C,'Step 2'!B1034,'Support - Transition'!D:D,'Step 2'!C1034,'Support - Transition'!E:E,"FIRE")</f>
        <v>0</v>
      </c>
      <c r="I1034" s="126">
        <f>IF(B1034="0",SUMIFS('Support - Transition'!F:F,'Support - Transition'!J:J,'Step 2'!D1034,'Support - Transition'!E:E,"STATE UNIT"),SUMIFS('Support - Transition'!F:F,'Support - Transition'!J:J,'Step 2'!D1034))</f>
        <v>6.1600000000000001E-4</v>
      </c>
      <c r="J1034" s="126">
        <f>SUMIFS('Support - Unit Adjustments'!E:E,'Support - Unit Adjustments'!F:F,'Step 2'!D1034)</f>
        <v>0</v>
      </c>
      <c r="K1034" s="126">
        <f t="shared" si="308"/>
        <v>6.1600000000000001E-4</v>
      </c>
      <c r="L1034" s="174">
        <f>VLOOKUP(A1034,'Step 1'!$A:$E,4,FALSE)</f>
        <v>399214</v>
      </c>
      <c r="M1034" s="47">
        <f t="shared" si="309"/>
        <v>246</v>
      </c>
      <c r="N1034" s="177">
        <f>SUMIFS('Support - Transition'!G:G,'Support - Transition'!J:J,'Step 2'!D1034,'Support - Transition'!E:E,"2009 WELFARE ALLOCATION FACTOR")</f>
        <v>0</v>
      </c>
      <c r="O1034" s="152">
        <f t="shared" si="314"/>
        <v>0</v>
      </c>
      <c r="P1034" s="126">
        <f>IF(E1034="Y",0,SUMIFS('Support - Transition'!G:G,'Support - Transition'!J:J,'Step 2'!D1034,'Support - Transition'!E:E,"2009 SCHOOL ALLOCATION FACTOR"))</f>
        <v>0</v>
      </c>
      <c r="Q1034" s="126">
        <f>IF(E1034="Y",VLOOKUP(D1034,'Support - Unit Adjustments'!F:G,2,FALSE),0)</f>
        <v>0</v>
      </c>
      <c r="R1034" s="155">
        <f t="shared" si="326"/>
        <v>0</v>
      </c>
      <c r="S1034" s="47">
        <f t="shared" si="325"/>
        <v>0</v>
      </c>
      <c r="T1034" s="151">
        <f t="shared" si="310"/>
        <v>246</v>
      </c>
      <c r="U1034" s="151">
        <f t="shared" si="311"/>
        <v>0</v>
      </c>
      <c r="V1034" s="139">
        <f t="shared" si="312"/>
        <v>0</v>
      </c>
      <c r="W1034" s="152">
        <f t="shared" si="315"/>
        <v>246</v>
      </c>
      <c r="X1034" s="127" t="str">
        <f t="shared" si="313"/>
        <v/>
      </c>
      <c r="Y1034" s="207">
        <f t="shared" si="316"/>
        <v>246</v>
      </c>
      <c r="Z1034" s="139">
        <f t="shared" si="317"/>
        <v>246</v>
      </c>
      <c r="AA1034" s="139">
        <f t="shared" si="318"/>
        <v>0</v>
      </c>
      <c r="AC1034" s="47">
        <f t="shared" si="319"/>
        <v>123</v>
      </c>
      <c r="AD1034" s="47">
        <f t="shared" si="320"/>
        <v>123</v>
      </c>
      <c r="AE1034" s="47">
        <f t="shared" si="321"/>
        <v>0</v>
      </c>
      <c r="AG1034" s="47">
        <f t="shared" si="322"/>
        <v>123</v>
      </c>
      <c r="AH1034" s="47">
        <f t="shared" si="323"/>
        <v>123</v>
      </c>
      <c r="AI1034" s="208">
        <f t="shared" si="324"/>
        <v>0</v>
      </c>
    </row>
    <row r="1035" spans="1:35">
      <c r="A1035" t="s">
        <v>2121</v>
      </c>
      <c r="B1035" t="s">
        <v>3166</v>
      </c>
      <c r="C1035" t="s">
        <v>2249</v>
      </c>
      <c r="D1035" t="s">
        <v>4371</v>
      </c>
      <c r="F1035" t="s">
        <v>807</v>
      </c>
      <c r="G1035" s="126">
        <f>SUMIFS('Support - Transition'!F:F,'Support - Transition'!B:B,'Step 2'!A1035,'Support - Transition'!C:C,'Step 2'!B1035,'Support - Transition'!D:D,'Step 2'!C1035,'Support - Transition'!E:E,"CIVIL")</f>
        <v>0</v>
      </c>
      <c r="H1035" s="126">
        <f>SUMIFS('Support - Transition'!F:F,'Support - Transition'!B:B,'Step 2'!A1035,'Support - Transition'!C:C,'Step 2'!B1035,'Support - Transition'!D:D,'Step 2'!C1035,'Support - Transition'!E:E,"FIRE")</f>
        <v>0</v>
      </c>
      <c r="I1035" s="126">
        <f>IF(B1035="0",SUMIFS('Support - Transition'!F:F,'Support - Transition'!J:J,'Step 2'!D1035,'Support - Transition'!E:E,"STATE UNIT"),SUMIFS('Support - Transition'!F:F,'Support - Transition'!J:J,'Step 2'!D1035))</f>
        <v>1.1E-4</v>
      </c>
      <c r="J1035" s="126">
        <f>SUMIFS('Support - Unit Adjustments'!E:E,'Support - Unit Adjustments'!F:F,'Step 2'!D1035)</f>
        <v>0</v>
      </c>
      <c r="K1035" s="126">
        <f t="shared" si="308"/>
        <v>1.1E-4</v>
      </c>
      <c r="L1035" s="174">
        <f>VLOOKUP(A1035,'Step 1'!$A:$E,4,FALSE)</f>
        <v>399214</v>
      </c>
      <c r="M1035" s="47">
        <f t="shared" si="309"/>
        <v>44</v>
      </c>
      <c r="N1035" s="177">
        <f>SUMIFS('Support - Transition'!G:G,'Support - Transition'!J:J,'Step 2'!D1035,'Support - Transition'!E:E,"2009 WELFARE ALLOCATION FACTOR")</f>
        <v>0</v>
      </c>
      <c r="O1035" s="152">
        <f t="shared" si="314"/>
        <v>0</v>
      </c>
      <c r="P1035" s="126">
        <f>IF(E1035="Y",0,SUMIFS('Support - Transition'!G:G,'Support - Transition'!J:J,'Step 2'!D1035,'Support - Transition'!E:E,"2009 SCHOOL ALLOCATION FACTOR"))</f>
        <v>0</v>
      </c>
      <c r="Q1035" s="126">
        <f>IF(E1035="Y",VLOOKUP(D1035,'Support - Unit Adjustments'!F:G,2,FALSE),0)</f>
        <v>0</v>
      </c>
      <c r="R1035" s="155">
        <f t="shared" si="326"/>
        <v>0</v>
      </c>
      <c r="S1035" s="47">
        <f t="shared" si="325"/>
        <v>0</v>
      </c>
      <c r="T1035" s="151">
        <f t="shared" si="310"/>
        <v>44</v>
      </c>
      <c r="U1035" s="151">
        <f t="shared" si="311"/>
        <v>0</v>
      </c>
      <c r="V1035" s="139">
        <f t="shared" si="312"/>
        <v>0</v>
      </c>
      <c r="W1035" s="152">
        <f t="shared" si="315"/>
        <v>44</v>
      </c>
      <c r="X1035" s="127" t="str">
        <f t="shared" si="313"/>
        <v/>
      </c>
      <c r="Y1035" s="207">
        <f t="shared" si="316"/>
        <v>44</v>
      </c>
      <c r="Z1035" s="139">
        <f t="shared" si="317"/>
        <v>44</v>
      </c>
      <c r="AA1035" s="139">
        <f t="shared" si="318"/>
        <v>0</v>
      </c>
      <c r="AC1035" s="47">
        <f t="shared" si="319"/>
        <v>22</v>
      </c>
      <c r="AD1035" s="47">
        <f t="shared" si="320"/>
        <v>22</v>
      </c>
      <c r="AE1035" s="47">
        <f t="shared" si="321"/>
        <v>0</v>
      </c>
      <c r="AG1035" s="47">
        <f t="shared" si="322"/>
        <v>22</v>
      </c>
      <c r="AH1035" s="47">
        <f t="shared" si="323"/>
        <v>22</v>
      </c>
      <c r="AI1035" s="208">
        <f t="shared" si="324"/>
        <v>0</v>
      </c>
    </row>
    <row r="1036" spans="1:35">
      <c r="A1036" t="s">
        <v>2121</v>
      </c>
      <c r="B1036" t="s">
        <v>3166</v>
      </c>
      <c r="C1036" t="s">
        <v>2607</v>
      </c>
      <c r="D1036" t="s">
        <v>4372</v>
      </c>
      <c r="F1036" t="s">
        <v>808</v>
      </c>
      <c r="G1036" s="126">
        <f>SUMIFS('Support - Transition'!F:F,'Support - Transition'!B:B,'Step 2'!A1036,'Support - Transition'!C:C,'Step 2'!B1036,'Support - Transition'!D:D,'Step 2'!C1036,'Support - Transition'!E:E,"CIVIL")</f>
        <v>0</v>
      </c>
      <c r="H1036" s="126">
        <f>SUMIFS('Support - Transition'!F:F,'Support - Transition'!B:B,'Step 2'!A1036,'Support - Transition'!C:C,'Step 2'!B1036,'Support - Transition'!D:D,'Step 2'!C1036,'Support - Transition'!E:E,"FIRE")</f>
        <v>0</v>
      </c>
      <c r="I1036" s="126">
        <f>IF(B1036="0",SUMIFS('Support - Transition'!F:F,'Support - Transition'!J:J,'Step 2'!D1036,'Support - Transition'!E:E,"STATE UNIT"),SUMIFS('Support - Transition'!F:F,'Support - Transition'!J:J,'Step 2'!D1036))</f>
        <v>3.901E-3</v>
      </c>
      <c r="J1036" s="126">
        <f>SUMIFS('Support - Unit Adjustments'!E:E,'Support - Unit Adjustments'!F:F,'Step 2'!D1036)</f>
        <v>0</v>
      </c>
      <c r="K1036" s="126">
        <f t="shared" si="308"/>
        <v>3.901E-3</v>
      </c>
      <c r="L1036" s="174">
        <f>VLOOKUP(A1036,'Step 1'!$A:$E,4,FALSE)</f>
        <v>399214</v>
      </c>
      <c r="M1036" s="47">
        <f t="shared" si="309"/>
        <v>1557</v>
      </c>
      <c r="N1036" s="177">
        <f>SUMIFS('Support - Transition'!G:G,'Support - Transition'!J:J,'Step 2'!D1036,'Support - Transition'!E:E,"2009 WELFARE ALLOCATION FACTOR")</f>
        <v>0</v>
      </c>
      <c r="O1036" s="152">
        <f t="shared" si="314"/>
        <v>0</v>
      </c>
      <c r="P1036" s="126">
        <f>IF(E1036="Y",0,SUMIFS('Support - Transition'!G:G,'Support - Transition'!J:J,'Step 2'!D1036,'Support - Transition'!E:E,"2009 SCHOOL ALLOCATION FACTOR"))</f>
        <v>0</v>
      </c>
      <c r="Q1036" s="126">
        <f>IF(E1036="Y",VLOOKUP(D1036,'Support - Unit Adjustments'!F:G,2,FALSE),0)</f>
        <v>0</v>
      </c>
      <c r="R1036" s="155">
        <f t="shared" si="326"/>
        <v>0</v>
      </c>
      <c r="S1036" s="47">
        <f t="shared" si="325"/>
        <v>0</v>
      </c>
      <c r="T1036" s="151">
        <f t="shared" si="310"/>
        <v>1557</v>
      </c>
      <c r="U1036" s="151">
        <f t="shared" si="311"/>
        <v>0</v>
      </c>
      <c r="V1036" s="139">
        <f t="shared" si="312"/>
        <v>0</v>
      </c>
      <c r="W1036" s="152">
        <f t="shared" si="315"/>
        <v>1557</v>
      </c>
      <c r="X1036" s="127" t="str">
        <f t="shared" si="313"/>
        <v/>
      </c>
      <c r="Y1036" s="207">
        <f t="shared" si="316"/>
        <v>1557</v>
      </c>
      <c r="Z1036" s="139">
        <f t="shared" si="317"/>
        <v>1557</v>
      </c>
      <c r="AA1036" s="139">
        <f t="shared" si="318"/>
        <v>0</v>
      </c>
      <c r="AC1036" s="47">
        <f t="shared" si="319"/>
        <v>779</v>
      </c>
      <c r="AD1036" s="47">
        <f t="shared" si="320"/>
        <v>779</v>
      </c>
      <c r="AE1036" s="47">
        <f t="shared" si="321"/>
        <v>0</v>
      </c>
      <c r="AG1036" s="47">
        <f t="shared" si="322"/>
        <v>778</v>
      </c>
      <c r="AH1036" s="47">
        <f t="shared" si="323"/>
        <v>778</v>
      </c>
      <c r="AI1036" s="208">
        <f t="shared" si="324"/>
        <v>0</v>
      </c>
    </row>
    <row r="1037" spans="1:35">
      <c r="A1037" t="s">
        <v>2121</v>
      </c>
      <c r="B1037" t="s">
        <v>3166</v>
      </c>
      <c r="C1037" t="s">
        <v>2608</v>
      </c>
      <c r="D1037" t="s">
        <v>4373</v>
      </c>
      <c r="F1037" t="s">
        <v>4374</v>
      </c>
      <c r="G1037" s="126">
        <f>SUMIFS('Support - Transition'!F:F,'Support - Transition'!B:B,'Step 2'!A1037,'Support - Transition'!C:C,'Step 2'!B1037,'Support - Transition'!D:D,'Step 2'!C1037,'Support - Transition'!E:E,"CIVIL")</f>
        <v>0</v>
      </c>
      <c r="H1037" s="126">
        <f>SUMIFS('Support - Transition'!F:F,'Support - Transition'!B:B,'Step 2'!A1037,'Support - Transition'!C:C,'Step 2'!B1037,'Support - Transition'!D:D,'Step 2'!C1037,'Support - Transition'!E:E,"FIRE")</f>
        <v>0</v>
      </c>
      <c r="I1037" s="126">
        <f>IF(B1037="0",SUMIFS('Support - Transition'!F:F,'Support - Transition'!J:J,'Step 2'!D1037,'Support - Transition'!E:E,"STATE UNIT"),SUMIFS('Support - Transition'!F:F,'Support - Transition'!J:J,'Step 2'!D1037))</f>
        <v>2.0475E-2</v>
      </c>
      <c r="J1037" s="126">
        <f>SUMIFS('Support - Unit Adjustments'!E:E,'Support - Unit Adjustments'!F:F,'Step 2'!D1037)</f>
        <v>1.1E-4</v>
      </c>
      <c r="K1037" s="126">
        <f t="shared" si="308"/>
        <v>2.0584999999999999E-2</v>
      </c>
      <c r="L1037" s="174">
        <f>VLOOKUP(A1037,'Step 1'!$A:$E,4,FALSE)</f>
        <v>399214</v>
      </c>
      <c r="M1037" s="47">
        <f t="shared" si="309"/>
        <v>8218</v>
      </c>
      <c r="N1037" s="177">
        <f>SUMIFS('Support - Transition'!G:G,'Support - Transition'!J:J,'Step 2'!D1037,'Support - Transition'!E:E,"2009 WELFARE ALLOCATION FACTOR")</f>
        <v>0</v>
      </c>
      <c r="O1037" s="152">
        <f t="shared" si="314"/>
        <v>0</v>
      </c>
      <c r="P1037" s="126">
        <f>IF(E1037="Y",0,SUMIFS('Support - Transition'!G:G,'Support - Transition'!J:J,'Step 2'!D1037,'Support - Transition'!E:E,"2009 SCHOOL ALLOCATION FACTOR"))</f>
        <v>0</v>
      </c>
      <c r="Q1037" s="126">
        <f>IF(E1037="Y",VLOOKUP(D1037,'Support - Unit Adjustments'!F:G,2,FALSE),0)</f>
        <v>0</v>
      </c>
      <c r="R1037" s="155">
        <f t="shared" si="326"/>
        <v>0</v>
      </c>
      <c r="S1037" s="47">
        <f t="shared" si="325"/>
        <v>0</v>
      </c>
      <c r="T1037" s="151">
        <f t="shared" si="310"/>
        <v>8218</v>
      </c>
      <c r="U1037" s="151">
        <f t="shared" si="311"/>
        <v>0</v>
      </c>
      <c r="V1037" s="139">
        <f t="shared" si="312"/>
        <v>0</v>
      </c>
      <c r="W1037" s="152">
        <f t="shared" si="315"/>
        <v>8218</v>
      </c>
      <c r="X1037" s="127" t="str">
        <f t="shared" si="313"/>
        <v/>
      </c>
      <c r="Y1037" s="207">
        <f t="shared" si="316"/>
        <v>8218</v>
      </c>
      <c r="Z1037" s="139">
        <f t="shared" si="317"/>
        <v>8218</v>
      </c>
      <c r="AA1037" s="139">
        <f t="shared" si="318"/>
        <v>0</v>
      </c>
      <c r="AC1037" s="47">
        <f t="shared" si="319"/>
        <v>4109</v>
      </c>
      <c r="AD1037" s="47">
        <f t="shared" si="320"/>
        <v>4109</v>
      </c>
      <c r="AE1037" s="47">
        <f t="shared" si="321"/>
        <v>0</v>
      </c>
      <c r="AG1037" s="47">
        <f t="shared" si="322"/>
        <v>4109</v>
      </c>
      <c r="AH1037" s="47">
        <f t="shared" si="323"/>
        <v>4109</v>
      </c>
      <c r="AI1037" s="208">
        <f t="shared" si="324"/>
        <v>0</v>
      </c>
    </row>
    <row r="1038" spans="1:35">
      <c r="A1038" t="s">
        <v>2121</v>
      </c>
      <c r="B1038" t="s">
        <v>3170</v>
      </c>
      <c r="C1038" t="s">
        <v>4375</v>
      </c>
      <c r="D1038" t="s">
        <v>4376</v>
      </c>
      <c r="F1038" t="s">
        <v>809</v>
      </c>
      <c r="G1038" s="126">
        <f>SUMIFS('Support - Transition'!F:F,'Support - Transition'!B:B,'Step 2'!A1038,'Support - Transition'!C:C,'Step 2'!B1038,'Support - Transition'!D:D,'Step 2'!C1038,'Support - Transition'!E:E,"CIVIL")</f>
        <v>0</v>
      </c>
      <c r="H1038" s="126">
        <f>SUMIFS('Support - Transition'!F:F,'Support - Transition'!B:B,'Step 2'!A1038,'Support - Transition'!C:C,'Step 2'!B1038,'Support - Transition'!D:D,'Step 2'!C1038,'Support - Transition'!E:E,"FIRE")</f>
        <v>0</v>
      </c>
      <c r="I1038" s="126">
        <f>IF(B1038="0",SUMIFS('Support - Transition'!F:F,'Support - Transition'!J:J,'Step 2'!D1038,'Support - Transition'!E:E,"STATE UNIT"),SUMIFS('Support - Transition'!F:F,'Support - Transition'!J:J,'Step 2'!D1038))</f>
        <v>3.9319999999999355E-3</v>
      </c>
      <c r="J1038" s="126">
        <f>SUMIFS('Support - Unit Adjustments'!E:E,'Support - Unit Adjustments'!F:F,'Step 2'!D1038)</f>
        <v>0</v>
      </c>
      <c r="K1038" s="126">
        <f t="shared" si="308"/>
        <v>3.9319999999999355E-3</v>
      </c>
      <c r="L1038" s="174">
        <f>VLOOKUP(A1038,'Step 1'!$A:$E,4,FALSE)</f>
        <v>399214</v>
      </c>
      <c r="M1038" s="47">
        <f t="shared" si="309"/>
        <v>1570</v>
      </c>
      <c r="N1038" s="177">
        <f>SUMIFS('Support - Transition'!G:G,'Support - Transition'!J:J,'Step 2'!D1038,'Support - Transition'!E:E,"2009 WELFARE ALLOCATION FACTOR")</f>
        <v>0</v>
      </c>
      <c r="O1038" s="152">
        <f t="shared" si="314"/>
        <v>0</v>
      </c>
      <c r="P1038" s="126">
        <f>IF(E1038="Y",0,SUMIFS('Support - Transition'!G:G,'Support - Transition'!J:J,'Step 2'!D1038,'Support - Transition'!E:E,"2009 SCHOOL ALLOCATION FACTOR"))</f>
        <v>0</v>
      </c>
      <c r="Q1038" s="126">
        <f>IF(E1038="Y",VLOOKUP(D1038,'Support - Unit Adjustments'!F:G,2,FALSE),0)</f>
        <v>0</v>
      </c>
      <c r="R1038" s="155">
        <f t="shared" si="326"/>
        <v>0</v>
      </c>
      <c r="S1038" s="47">
        <f t="shared" si="325"/>
        <v>0</v>
      </c>
      <c r="T1038" s="151">
        <f t="shared" si="310"/>
        <v>1570</v>
      </c>
      <c r="U1038" s="151">
        <f t="shared" si="311"/>
        <v>0</v>
      </c>
      <c r="V1038" s="139">
        <f t="shared" si="312"/>
        <v>0</v>
      </c>
      <c r="W1038" s="152">
        <f t="shared" si="315"/>
        <v>1570</v>
      </c>
      <c r="X1038" s="127" t="str">
        <f t="shared" si="313"/>
        <v/>
      </c>
      <c r="Y1038" s="207">
        <f t="shared" si="316"/>
        <v>1570</v>
      </c>
      <c r="Z1038" s="139">
        <f t="shared" si="317"/>
        <v>1570</v>
      </c>
      <c r="AA1038" s="139">
        <f t="shared" si="318"/>
        <v>0</v>
      </c>
      <c r="AC1038" s="47">
        <f t="shared" si="319"/>
        <v>785</v>
      </c>
      <c r="AD1038" s="47">
        <f t="shared" si="320"/>
        <v>785</v>
      </c>
      <c r="AE1038" s="47">
        <f t="shared" si="321"/>
        <v>0</v>
      </c>
      <c r="AG1038" s="47">
        <f t="shared" si="322"/>
        <v>785</v>
      </c>
      <c r="AH1038" s="47">
        <f t="shared" si="323"/>
        <v>785</v>
      </c>
      <c r="AI1038" s="208">
        <f t="shared" si="324"/>
        <v>0</v>
      </c>
    </row>
    <row r="1039" spans="1:35">
      <c r="A1039" t="s">
        <v>2121</v>
      </c>
      <c r="B1039" t="s">
        <v>3286</v>
      </c>
      <c r="C1039" t="s">
        <v>3828</v>
      </c>
      <c r="D1039" t="s">
        <v>4377</v>
      </c>
      <c r="F1039" t="s">
        <v>4378</v>
      </c>
      <c r="G1039" s="126">
        <f>SUMIFS('Support - Transition'!F:F,'Support - Transition'!B:B,'Step 2'!A1039,'Support - Transition'!C:C,'Step 2'!B1039,'Support - Transition'!D:D,'Step 2'!C1039,'Support - Transition'!E:E,"CIVIL")</f>
        <v>0</v>
      </c>
      <c r="H1039" s="126">
        <f>SUMIFS('Support - Transition'!F:F,'Support - Transition'!B:B,'Step 2'!A1039,'Support - Transition'!C:C,'Step 2'!B1039,'Support - Transition'!D:D,'Step 2'!C1039,'Support - Transition'!E:E,"FIRE")</f>
        <v>0</v>
      </c>
      <c r="I1039" s="126">
        <f>IF(B1039="0",SUMIFS('Support - Transition'!F:F,'Support - Transition'!J:J,'Step 2'!D1039,'Support - Transition'!E:E,"STATE UNIT"),SUMIFS('Support - Transition'!F:F,'Support - Transition'!J:J,'Step 2'!D1039))</f>
        <v>0</v>
      </c>
      <c r="J1039" s="126">
        <f>SUMIFS('Support - Unit Adjustments'!E:E,'Support - Unit Adjustments'!F:F,'Step 2'!D1039)</f>
        <v>0</v>
      </c>
      <c r="K1039" s="126">
        <f t="shared" si="308"/>
        <v>0</v>
      </c>
      <c r="L1039" s="174">
        <f>VLOOKUP(A1039,'Step 1'!$A:$E,4,FALSE)</f>
        <v>399214</v>
      </c>
      <c r="M1039" s="47">
        <f t="shared" si="309"/>
        <v>0</v>
      </c>
      <c r="N1039" s="177">
        <f>SUMIFS('Support - Transition'!G:G,'Support - Transition'!J:J,'Step 2'!D1039,'Support - Transition'!E:E,"2009 WELFARE ALLOCATION FACTOR")</f>
        <v>0</v>
      </c>
      <c r="O1039" s="152">
        <f t="shared" si="314"/>
        <v>0</v>
      </c>
      <c r="P1039" s="126">
        <f>IF(E1039="Y",0,SUMIFS('Support - Transition'!G:G,'Support - Transition'!J:J,'Step 2'!D1039,'Support - Transition'!E:E,"2009 SCHOOL ALLOCATION FACTOR"))</f>
        <v>0</v>
      </c>
      <c r="Q1039" s="126">
        <f>IF(E1039="Y",VLOOKUP(D1039,'Support - Unit Adjustments'!F:G,2,FALSE),0)</f>
        <v>0</v>
      </c>
      <c r="R1039" s="155">
        <f t="shared" si="326"/>
        <v>0</v>
      </c>
      <c r="S1039" s="47">
        <f t="shared" si="325"/>
        <v>0</v>
      </c>
      <c r="T1039" s="151">
        <f t="shared" si="310"/>
        <v>0</v>
      </c>
      <c r="U1039" s="151">
        <f t="shared" si="311"/>
        <v>0</v>
      </c>
      <c r="V1039" s="139">
        <f t="shared" si="312"/>
        <v>0</v>
      </c>
      <c r="W1039" s="152">
        <f t="shared" si="315"/>
        <v>0</v>
      </c>
      <c r="X1039" s="127" t="str">
        <f t="shared" si="313"/>
        <v/>
      </c>
      <c r="Y1039" s="207">
        <f t="shared" si="316"/>
        <v>0</v>
      </c>
      <c r="Z1039" s="139">
        <f t="shared" si="317"/>
        <v>0</v>
      </c>
      <c r="AA1039" s="139">
        <f t="shared" si="318"/>
        <v>0</v>
      </c>
      <c r="AC1039" s="47">
        <f t="shared" si="319"/>
        <v>0</v>
      </c>
      <c r="AD1039" s="47">
        <f t="shared" si="320"/>
        <v>0</v>
      </c>
      <c r="AE1039" s="47">
        <f t="shared" si="321"/>
        <v>0</v>
      </c>
      <c r="AG1039" s="47">
        <f t="shared" si="322"/>
        <v>0</v>
      </c>
      <c r="AH1039" s="47">
        <f t="shared" si="323"/>
        <v>0</v>
      </c>
      <c r="AI1039" s="208">
        <f t="shared" si="324"/>
        <v>0</v>
      </c>
    </row>
    <row r="1040" spans="1:35">
      <c r="A1040" t="s">
        <v>2122</v>
      </c>
      <c r="B1040" s="48" t="s">
        <v>6274</v>
      </c>
      <c r="C1040" t="s">
        <v>2187</v>
      </c>
      <c r="D1040" t="str">
        <f>A1040&amp;B1040&amp;C1040</f>
        <v>3600000</v>
      </c>
      <c r="F1040" t="s">
        <v>6310</v>
      </c>
      <c r="G1040" s="126">
        <f>SUMIFS('Support - Transition'!F:F,'Support - Transition'!B:B,'Step 2'!A1040,'Support - Transition'!C:C,'Step 2'!B1040,'Support - Transition'!D:D,'Step 2'!C1040,'Support - Transition'!E:E,"CIVIL")</f>
        <v>0</v>
      </c>
      <c r="H1040" s="126">
        <f>SUMIFS('Support - Transition'!F:F,'Support - Transition'!B:B,'Step 2'!A1040,'Support - Transition'!C:C,'Step 2'!B1040,'Support - Transition'!D:D,'Step 2'!C1040,'Support - Transition'!E:E,"FIRE")</f>
        <v>0</v>
      </c>
      <c r="I1040" s="126">
        <f>IF(B1040="0",SUMIFS('Support - Transition'!F:F,'Support - Transition'!J:J,'Step 2'!D1040,'Support - Transition'!E:E,"STATE UNIT"),SUMIFS('Support - Transition'!F:F,'Support - Transition'!J:J,'Step 2'!D1040))</f>
        <v>1.5169999999999999E-3</v>
      </c>
      <c r="J1040" s="126">
        <f>SUMIFS('Support - Unit Adjustments'!E:E,'Support - Unit Adjustments'!F:F,'Step 2'!D1040)</f>
        <v>0</v>
      </c>
      <c r="K1040" s="126">
        <f t="shared" si="308"/>
        <v>1.5169999999999999E-3</v>
      </c>
      <c r="L1040" s="174">
        <f>VLOOKUP(A1040,'Step 1'!$A:$E,4,FALSE)</f>
        <v>502117</v>
      </c>
      <c r="M1040" s="47">
        <f t="shared" si="309"/>
        <v>762</v>
      </c>
      <c r="N1040" s="177">
        <f>SUMIFS('Support - Transition'!G:G,'Support - Transition'!J:J,'Step 2'!D1040,'Support - Transition'!E:E,"2009 WELFARE ALLOCATION FACTOR")</f>
        <v>0</v>
      </c>
      <c r="O1040" s="152">
        <f t="shared" si="314"/>
        <v>0</v>
      </c>
      <c r="P1040" s="126">
        <f>IF(E1040="Y",0,SUMIFS('Support - Transition'!G:G,'Support - Transition'!J:J,'Step 2'!D1040,'Support - Transition'!E:E,"2009 SCHOOL ALLOCATION FACTOR"))</f>
        <v>0</v>
      </c>
      <c r="Q1040" s="126">
        <f>IF(E1040="Y",VLOOKUP(D1040,'Support - Unit Adjustments'!F:G,2,FALSE),0)</f>
        <v>0</v>
      </c>
      <c r="R1040" s="155">
        <f t="shared" si="326"/>
        <v>0</v>
      </c>
      <c r="S1040" s="47">
        <f t="shared" si="325"/>
        <v>0</v>
      </c>
      <c r="T1040" s="151">
        <f t="shared" si="310"/>
        <v>762</v>
      </c>
      <c r="U1040" s="151">
        <f t="shared" si="311"/>
        <v>502118</v>
      </c>
      <c r="V1040" s="139">
        <f t="shared" si="312"/>
        <v>1</v>
      </c>
      <c r="W1040" s="152">
        <f t="shared" si="315"/>
        <v>761</v>
      </c>
      <c r="X1040" s="127">
        <f t="shared" si="313"/>
        <v>0</v>
      </c>
      <c r="Y1040" s="207">
        <f t="shared" si="316"/>
        <v>761</v>
      </c>
      <c r="Z1040" s="139">
        <f t="shared" si="317"/>
        <v>761</v>
      </c>
      <c r="AA1040" s="139">
        <f t="shared" si="318"/>
        <v>0</v>
      </c>
      <c r="AC1040" s="47">
        <f t="shared" si="319"/>
        <v>381</v>
      </c>
      <c r="AD1040" s="47">
        <f t="shared" si="320"/>
        <v>381</v>
      </c>
      <c r="AE1040" s="47">
        <f t="shared" si="321"/>
        <v>0</v>
      </c>
      <c r="AG1040" s="47">
        <f t="shared" si="322"/>
        <v>380</v>
      </c>
      <c r="AH1040" s="47">
        <f t="shared" si="323"/>
        <v>380</v>
      </c>
      <c r="AI1040" s="208">
        <f t="shared" si="324"/>
        <v>0</v>
      </c>
    </row>
    <row r="1041" spans="1:35">
      <c r="A1041" t="s">
        <v>2122</v>
      </c>
      <c r="B1041" t="s">
        <v>3140</v>
      </c>
      <c r="C1041" t="s">
        <v>2187</v>
      </c>
      <c r="D1041" t="s">
        <v>4379</v>
      </c>
      <c r="F1041" t="s">
        <v>811</v>
      </c>
      <c r="G1041" s="126">
        <f>SUMIFS('Support - Transition'!F:F,'Support - Transition'!B:B,'Step 2'!A1041,'Support - Transition'!C:C,'Step 2'!B1041,'Support - Transition'!D:D,'Step 2'!C1041,'Support - Transition'!E:E,"CIVIL")</f>
        <v>0</v>
      </c>
      <c r="H1041" s="126">
        <f>SUMIFS('Support - Transition'!F:F,'Support - Transition'!B:B,'Step 2'!A1041,'Support - Transition'!C:C,'Step 2'!B1041,'Support - Transition'!D:D,'Step 2'!C1041,'Support - Transition'!E:E,"FIRE")</f>
        <v>0</v>
      </c>
      <c r="I1041" s="126">
        <f>IF(B1041="0",SUMIFS('Support - Transition'!F:F,'Support - Transition'!J:J,'Step 2'!D1041,'Support - Transition'!E:E,"STATE UNIT"),SUMIFS('Support - Transition'!F:F,'Support - Transition'!J:J,'Step 2'!D1041))</f>
        <v>0.133662</v>
      </c>
      <c r="J1041" s="126">
        <f>SUMIFS('Support - Unit Adjustments'!E:E,'Support - Unit Adjustments'!F:F,'Step 2'!D1041)</f>
        <v>0</v>
      </c>
      <c r="K1041" s="126">
        <f t="shared" si="308"/>
        <v>0.133662</v>
      </c>
      <c r="L1041" s="174">
        <f>VLOOKUP(A1041,'Step 1'!$A:$E,4,FALSE)</f>
        <v>502117</v>
      </c>
      <c r="M1041" s="47">
        <f t="shared" si="309"/>
        <v>67114</v>
      </c>
      <c r="N1041" s="177">
        <f>SUMIFS('Support - Transition'!G:G,'Support - Transition'!J:J,'Step 2'!D1041,'Support - Transition'!E:E,"2009 WELFARE ALLOCATION FACTOR")</f>
        <v>0.22754199999999999</v>
      </c>
      <c r="O1041" s="152">
        <f t="shared" si="314"/>
        <v>15271</v>
      </c>
      <c r="P1041" s="126">
        <f>IF(E1041="Y",0,SUMIFS('Support - Transition'!G:G,'Support - Transition'!J:J,'Step 2'!D1041,'Support - Transition'!E:E,"2009 SCHOOL ALLOCATION FACTOR"))</f>
        <v>0</v>
      </c>
      <c r="Q1041" s="126">
        <f>IF(E1041="Y",VLOOKUP(D1041,'Support - Unit Adjustments'!F:G,2,FALSE),0)</f>
        <v>0</v>
      </c>
      <c r="R1041" s="155">
        <f t="shared" si="326"/>
        <v>0</v>
      </c>
      <c r="S1041" s="47">
        <f t="shared" si="325"/>
        <v>0</v>
      </c>
      <c r="T1041" s="151">
        <f t="shared" si="310"/>
        <v>51843</v>
      </c>
      <c r="U1041" s="151">
        <f t="shared" si="311"/>
        <v>0</v>
      </c>
      <c r="V1041" s="139">
        <f t="shared" si="312"/>
        <v>0</v>
      </c>
      <c r="W1041" s="152">
        <f t="shared" si="315"/>
        <v>51843</v>
      </c>
      <c r="X1041" s="127" t="str">
        <f t="shared" si="313"/>
        <v/>
      </c>
      <c r="Y1041" s="207">
        <f t="shared" si="316"/>
        <v>51843</v>
      </c>
      <c r="Z1041" s="139">
        <f t="shared" si="317"/>
        <v>51843</v>
      </c>
      <c r="AA1041" s="139">
        <f t="shared" si="318"/>
        <v>0</v>
      </c>
      <c r="AC1041" s="47">
        <f t="shared" si="319"/>
        <v>25922</v>
      </c>
      <c r="AD1041" s="47">
        <f t="shared" si="320"/>
        <v>25922</v>
      </c>
      <c r="AE1041" s="47">
        <f t="shared" si="321"/>
        <v>0</v>
      </c>
      <c r="AG1041" s="47">
        <f t="shared" si="322"/>
        <v>25921</v>
      </c>
      <c r="AH1041" s="47">
        <f t="shared" si="323"/>
        <v>25921</v>
      </c>
      <c r="AI1041" s="208">
        <f t="shared" si="324"/>
        <v>0</v>
      </c>
    </row>
    <row r="1042" spans="1:35">
      <c r="A1042" t="s">
        <v>2122</v>
      </c>
      <c r="B1042" t="s">
        <v>3142</v>
      </c>
      <c r="C1042" t="s">
        <v>2188</v>
      </c>
      <c r="D1042" t="s">
        <v>4380</v>
      </c>
      <c r="F1042" t="s">
        <v>812</v>
      </c>
      <c r="G1042" s="126">
        <f>SUMIFS('Support - Transition'!F:F,'Support - Transition'!B:B,'Step 2'!A1042,'Support - Transition'!C:C,'Step 2'!B1042,'Support - Transition'!D:D,'Step 2'!C1042,'Support - Transition'!E:E,"CIVIL")</f>
        <v>1.2310000000000001E-3</v>
      </c>
      <c r="H1042" s="126">
        <f>SUMIFS('Support - Transition'!F:F,'Support - Transition'!B:B,'Step 2'!A1042,'Support - Transition'!C:C,'Step 2'!B1042,'Support - Transition'!D:D,'Step 2'!C1042,'Support - Transition'!E:E,"FIRE")</f>
        <v>5.3700000000000004E-4</v>
      </c>
      <c r="I1042" s="126">
        <f>IF(B1042="0",SUMIFS('Support - Transition'!F:F,'Support - Transition'!J:J,'Step 2'!D1042,'Support - Transition'!E:E,"STATE UNIT"),SUMIFS('Support - Transition'!F:F,'Support - Transition'!J:J,'Step 2'!D1042))</f>
        <v>1.768E-3</v>
      </c>
      <c r="J1042" s="126">
        <f>SUMIFS('Support - Unit Adjustments'!E:E,'Support - Unit Adjustments'!F:F,'Step 2'!D1042)</f>
        <v>0</v>
      </c>
      <c r="K1042" s="126">
        <f t="shared" si="308"/>
        <v>1.768E-3</v>
      </c>
      <c r="L1042" s="174">
        <f>VLOOKUP(A1042,'Step 1'!$A:$E,4,FALSE)</f>
        <v>502117</v>
      </c>
      <c r="M1042" s="47">
        <f t="shared" si="309"/>
        <v>888</v>
      </c>
      <c r="N1042" s="177">
        <f>SUMIFS('Support - Transition'!G:G,'Support - Transition'!J:J,'Step 2'!D1042,'Support - Transition'!E:E,"2009 WELFARE ALLOCATION FACTOR")</f>
        <v>0</v>
      </c>
      <c r="O1042" s="152">
        <f t="shared" si="314"/>
        <v>0</v>
      </c>
      <c r="P1042" s="126">
        <f>IF(E1042="Y",0,SUMIFS('Support - Transition'!G:G,'Support - Transition'!J:J,'Step 2'!D1042,'Support - Transition'!E:E,"2009 SCHOOL ALLOCATION FACTOR"))</f>
        <v>0</v>
      </c>
      <c r="Q1042" s="126">
        <f>IF(E1042="Y",VLOOKUP(D1042,'Support - Unit Adjustments'!F:G,2,FALSE),0)</f>
        <v>0</v>
      </c>
      <c r="R1042" s="155">
        <f t="shared" si="326"/>
        <v>0</v>
      </c>
      <c r="S1042" s="47">
        <f t="shared" si="325"/>
        <v>0</v>
      </c>
      <c r="T1042" s="151">
        <f t="shared" si="310"/>
        <v>888</v>
      </c>
      <c r="U1042" s="151">
        <f t="shared" si="311"/>
        <v>0</v>
      </c>
      <c r="V1042" s="139">
        <f t="shared" si="312"/>
        <v>0</v>
      </c>
      <c r="W1042" s="152">
        <f t="shared" si="315"/>
        <v>888</v>
      </c>
      <c r="X1042" s="127" t="str">
        <f t="shared" si="313"/>
        <v/>
      </c>
      <c r="Y1042" s="207">
        <f t="shared" si="316"/>
        <v>888</v>
      </c>
      <c r="Z1042" s="139">
        <f t="shared" si="317"/>
        <v>618</v>
      </c>
      <c r="AA1042" s="139">
        <f t="shared" si="318"/>
        <v>270</v>
      </c>
      <c r="AC1042" s="47">
        <f t="shared" si="319"/>
        <v>444</v>
      </c>
      <c r="AD1042" s="47">
        <f t="shared" si="320"/>
        <v>309</v>
      </c>
      <c r="AE1042" s="47">
        <f t="shared" si="321"/>
        <v>135</v>
      </c>
      <c r="AG1042" s="47">
        <f t="shared" si="322"/>
        <v>444</v>
      </c>
      <c r="AH1042" s="47">
        <f t="shared" si="323"/>
        <v>309</v>
      </c>
      <c r="AI1042" s="208">
        <f t="shared" si="324"/>
        <v>135</v>
      </c>
    </row>
    <row r="1043" spans="1:35">
      <c r="A1043" t="s">
        <v>2122</v>
      </c>
      <c r="B1043" t="s">
        <v>3142</v>
      </c>
      <c r="C1043" t="s">
        <v>2189</v>
      </c>
      <c r="D1043" t="s">
        <v>4381</v>
      </c>
      <c r="F1043" t="s">
        <v>220</v>
      </c>
      <c r="G1043" s="126">
        <f>SUMIFS('Support - Transition'!F:F,'Support - Transition'!B:B,'Step 2'!A1043,'Support - Transition'!C:C,'Step 2'!B1043,'Support - Transition'!D:D,'Step 2'!C1043,'Support - Transition'!E:E,"CIVIL")</f>
        <v>1.1180000000000001E-3</v>
      </c>
      <c r="H1043" s="126">
        <f>SUMIFS('Support - Transition'!F:F,'Support - Transition'!B:B,'Step 2'!A1043,'Support - Transition'!C:C,'Step 2'!B1043,'Support - Transition'!D:D,'Step 2'!C1043,'Support - Transition'!E:E,"FIRE")</f>
        <v>6.5700000000000003E-4</v>
      </c>
      <c r="I1043" s="126">
        <f>IF(B1043="0",SUMIFS('Support - Transition'!F:F,'Support - Transition'!J:J,'Step 2'!D1043,'Support - Transition'!E:E,"STATE UNIT"),SUMIFS('Support - Transition'!F:F,'Support - Transition'!J:J,'Step 2'!D1043))</f>
        <v>1.7750000000000001E-3</v>
      </c>
      <c r="J1043" s="126">
        <f>SUMIFS('Support - Unit Adjustments'!E:E,'Support - Unit Adjustments'!F:F,'Step 2'!D1043)</f>
        <v>0</v>
      </c>
      <c r="K1043" s="126">
        <f t="shared" si="308"/>
        <v>1.7750000000000001E-3</v>
      </c>
      <c r="L1043" s="174">
        <f>VLOOKUP(A1043,'Step 1'!$A:$E,4,FALSE)</f>
        <v>502117</v>
      </c>
      <c r="M1043" s="47">
        <f t="shared" si="309"/>
        <v>891</v>
      </c>
      <c r="N1043" s="177">
        <f>SUMIFS('Support - Transition'!G:G,'Support - Transition'!J:J,'Step 2'!D1043,'Support - Transition'!E:E,"2009 WELFARE ALLOCATION FACTOR")</f>
        <v>0</v>
      </c>
      <c r="O1043" s="152">
        <f t="shared" si="314"/>
        <v>0</v>
      </c>
      <c r="P1043" s="126">
        <f>IF(E1043="Y",0,SUMIFS('Support - Transition'!G:G,'Support - Transition'!J:J,'Step 2'!D1043,'Support - Transition'!E:E,"2009 SCHOOL ALLOCATION FACTOR"))</f>
        <v>0</v>
      </c>
      <c r="Q1043" s="126">
        <f>IF(E1043="Y",VLOOKUP(D1043,'Support - Unit Adjustments'!F:G,2,FALSE),0)</f>
        <v>0</v>
      </c>
      <c r="R1043" s="155">
        <f t="shared" si="326"/>
        <v>0</v>
      </c>
      <c r="S1043" s="47">
        <f t="shared" si="325"/>
        <v>0</v>
      </c>
      <c r="T1043" s="151">
        <f t="shared" si="310"/>
        <v>891</v>
      </c>
      <c r="U1043" s="151">
        <f t="shared" si="311"/>
        <v>0</v>
      </c>
      <c r="V1043" s="139">
        <f t="shared" si="312"/>
        <v>0</v>
      </c>
      <c r="W1043" s="152">
        <f t="shared" si="315"/>
        <v>891</v>
      </c>
      <c r="X1043" s="127" t="str">
        <f t="shared" si="313"/>
        <v/>
      </c>
      <c r="Y1043" s="207">
        <f t="shared" si="316"/>
        <v>891</v>
      </c>
      <c r="Z1043" s="139">
        <f t="shared" si="317"/>
        <v>561</v>
      </c>
      <c r="AA1043" s="139">
        <f t="shared" si="318"/>
        <v>330</v>
      </c>
      <c r="AC1043" s="47">
        <f t="shared" si="319"/>
        <v>446</v>
      </c>
      <c r="AD1043" s="47">
        <f t="shared" si="320"/>
        <v>281</v>
      </c>
      <c r="AE1043" s="47">
        <f t="shared" si="321"/>
        <v>165</v>
      </c>
      <c r="AG1043" s="47">
        <f t="shared" si="322"/>
        <v>445</v>
      </c>
      <c r="AH1043" s="47">
        <f t="shared" si="323"/>
        <v>280</v>
      </c>
      <c r="AI1043" s="208">
        <f t="shared" si="324"/>
        <v>165</v>
      </c>
    </row>
    <row r="1044" spans="1:35">
      <c r="A1044" t="s">
        <v>2122</v>
      </c>
      <c r="B1044" t="s">
        <v>3142</v>
      </c>
      <c r="C1044" t="s">
        <v>2190</v>
      </c>
      <c r="D1044" t="s">
        <v>4382</v>
      </c>
      <c r="F1044" t="s">
        <v>813</v>
      </c>
      <c r="G1044" s="126">
        <f>SUMIFS('Support - Transition'!F:F,'Support - Transition'!B:B,'Step 2'!A1044,'Support - Transition'!C:C,'Step 2'!B1044,'Support - Transition'!D:D,'Step 2'!C1044,'Support - Transition'!E:E,"CIVIL")</f>
        <v>6.8400000000000004E-4</v>
      </c>
      <c r="H1044" s="126">
        <f>SUMIFS('Support - Transition'!F:F,'Support - Transition'!B:B,'Step 2'!A1044,'Support - Transition'!C:C,'Step 2'!B1044,'Support - Transition'!D:D,'Step 2'!C1044,'Support - Transition'!E:E,"FIRE")</f>
        <v>3.6699999999999998E-4</v>
      </c>
      <c r="I1044" s="126">
        <f>IF(B1044="0",SUMIFS('Support - Transition'!F:F,'Support - Transition'!J:J,'Step 2'!D1044,'Support - Transition'!E:E,"STATE UNIT"),SUMIFS('Support - Transition'!F:F,'Support - Transition'!J:J,'Step 2'!D1044))</f>
        <v>1.0510000000000001E-3</v>
      </c>
      <c r="J1044" s="126">
        <f>SUMIFS('Support - Unit Adjustments'!E:E,'Support - Unit Adjustments'!F:F,'Step 2'!D1044)</f>
        <v>0</v>
      </c>
      <c r="K1044" s="126">
        <f t="shared" si="308"/>
        <v>1.0510000000000001E-3</v>
      </c>
      <c r="L1044" s="174">
        <f>VLOOKUP(A1044,'Step 1'!$A:$E,4,FALSE)</f>
        <v>502117</v>
      </c>
      <c r="M1044" s="47">
        <f t="shared" si="309"/>
        <v>528</v>
      </c>
      <c r="N1044" s="177">
        <f>SUMIFS('Support - Transition'!G:G,'Support - Transition'!J:J,'Step 2'!D1044,'Support - Transition'!E:E,"2009 WELFARE ALLOCATION FACTOR")</f>
        <v>0</v>
      </c>
      <c r="O1044" s="152">
        <f t="shared" si="314"/>
        <v>0</v>
      </c>
      <c r="P1044" s="126">
        <f>IF(E1044="Y",0,SUMIFS('Support - Transition'!G:G,'Support - Transition'!J:J,'Step 2'!D1044,'Support - Transition'!E:E,"2009 SCHOOL ALLOCATION FACTOR"))</f>
        <v>0</v>
      </c>
      <c r="Q1044" s="126">
        <f>IF(E1044="Y",VLOOKUP(D1044,'Support - Unit Adjustments'!F:G,2,FALSE),0)</f>
        <v>0</v>
      </c>
      <c r="R1044" s="155">
        <f t="shared" si="326"/>
        <v>0</v>
      </c>
      <c r="S1044" s="47">
        <f t="shared" si="325"/>
        <v>0</v>
      </c>
      <c r="T1044" s="151">
        <f t="shared" si="310"/>
        <v>528</v>
      </c>
      <c r="U1044" s="151">
        <f t="shared" si="311"/>
        <v>0</v>
      </c>
      <c r="V1044" s="139">
        <f t="shared" si="312"/>
        <v>0</v>
      </c>
      <c r="W1044" s="152">
        <f t="shared" si="315"/>
        <v>528</v>
      </c>
      <c r="X1044" s="127" t="str">
        <f t="shared" si="313"/>
        <v/>
      </c>
      <c r="Y1044" s="207">
        <f t="shared" si="316"/>
        <v>528</v>
      </c>
      <c r="Z1044" s="139">
        <f t="shared" si="317"/>
        <v>344</v>
      </c>
      <c r="AA1044" s="139">
        <f t="shared" si="318"/>
        <v>184</v>
      </c>
      <c r="AC1044" s="47">
        <f t="shared" si="319"/>
        <v>264</v>
      </c>
      <c r="AD1044" s="47">
        <f t="shared" si="320"/>
        <v>172</v>
      </c>
      <c r="AE1044" s="47">
        <f t="shared" si="321"/>
        <v>92</v>
      </c>
      <c r="AG1044" s="47">
        <f t="shared" si="322"/>
        <v>264</v>
      </c>
      <c r="AH1044" s="47">
        <f t="shared" si="323"/>
        <v>172</v>
      </c>
      <c r="AI1044" s="208">
        <f t="shared" si="324"/>
        <v>92</v>
      </c>
    </row>
    <row r="1045" spans="1:35">
      <c r="A1045" t="s">
        <v>2122</v>
      </c>
      <c r="B1045" t="s">
        <v>3142</v>
      </c>
      <c r="C1045" t="s">
        <v>2191</v>
      </c>
      <c r="D1045" t="s">
        <v>4383</v>
      </c>
      <c r="F1045" t="s">
        <v>814</v>
      </c>
      <c r="G1045" s="126">
        <f>SUMIFS('Support - Transition'!F:F,'Support - Transition'!B:B,'Step 2'!A1045,'Support - Transition'!C:C,'Step 2'!B1045,'Support - Transition'!D:D,'Step 2'!C1045,'Support - Transition'!E:E,"CIVIL")</f>
        <v>6.8599999999999998E-4</v>
      </c>
      <c r="H1045" s="126">
        <f>SUMIFS('Support - Transition'!F:F,'Support - Transition'!B:B,'Step 2'!A1045,'Support - Transition'!C:C,'Step 2'!B1045,'Support - Transition'!D:D,'Step 2'!C1045,'Support - Transition'!E:E,"FIRE")</f>
        <v>3.5799999999999997E-4</v>
      </c>
      <c r="I1045" s="126">
        <f>IF(B1045="0",SUMIFS('Support - Transition'!F:F,'Support - Transition'!J:J,'Step 2'!D1045,'Support - Transition'!E:E,"STATE UNIT"),SUMIFS('Support - Transition'!F:F,'Support - Transition'!J:J,'Step 2'!D1045))</f>
        <v>1.044E-3</v>
      </c>
      <c r="J1045" s="126">
        <f>SUMIFS('Support - Unit Adjustments'!E:E,'Support - Unit Adjustments'!F:F,'Step 2'!D1045)</f>
        <v>0</v>
      </c>
      <c r="K1045" s="126">
        <f t="shared" si="308"/>
        <v>1.044E-3</v>
      </c>
      <c r="L1045" s="174">
        <f>VLOOKUP(A1045,'Step 1'!$A:$E,4,FALSE)</f>
        <v>502117</v>
      </c>
      <c r="M1045" s="47">
        <f t="shared" si="309"/>
        <v>524</v>
      </c>
      <c r="N1045" s="177">
        <f>SUMIFS('Support - Transition'!G:G,'Support - Transition'!J:J,'Step 2'!D1045,'Support - Transition'!E:E,"2009 WELFARE ALLOCATION FACTOR")</f>
        <v>0</v>
      </c>
      <c r="O1045" s="152">
        <f t="shared" si="314"/>
        <v>0</v>
      </c>
      <c r="P1045" s="126">
        <f>IF(E1045="Y",0,SUMIFS('Support - Transition'!G:G,'Support - Transition'!J:J,'Step 2'!D1045,'Support - Transition'!E:E,"2009 SCHOOL ALLOCATION FACTOR"))</f>
        <v>0</v>
      </c>
      <c r="Q1045" s="126">
        <f>IF(E1045="Y",VLOOKUP(D1045,'Support - Unit Adjustments'!F:G,2,FALSE),0)</f>
        <v>0</v>
      </c>
      <c r="R1045" s="155">
        <f t="shared" si="326"/>
        <v>0</v>
      </c>
      <c r="S1045" s="47">
        <f t="shared" si="325"/>
        <v>0</v>
      </c>
      <c r="T1045" s="151">
        <f t="shared" si="310"/>
        <v>524</v>
      </c>
      <c r="U1045" s="151">
        <f t="shared" si="311"/>
        <v>0</v>
      </c>
      <c r="V1045" s="139">
        <f t="shared" si="312"/>
        <v>0</v>
      </c>
      <c r="W1045" s="152">
        <f t="shared" si="315"/>
        <v>524</v>
      </c>
      <c r="X1045" s="127" t="str">
        <f t="shared" si="313"/>
        <v/>
      </c>
      <c r="Y1045" s="207">
        <f t="shared" si="316"/>
        <v>524</v>
      </c>
      <c r="Z1045" s="139">
        <f t="shared" si="317"/>
        <v>344</v>
      </c>
      <c r="AA1045" s="139">
        <f t="shared" si="318"/>
        <v>180</v>
      </c>
      <c r="AC1045" s="47">
        <f t="shared" si="319"/>
        <v>262</v>
      </c>
      <c r="AD1045" s="47">
        <f t="shared" si="320"/>
        <v>172</v>
      </c>
      <c r="AE1045" s="47">
        <f t="shared" si="321"/>
        <v>90</v>
      </c>
      <c r="AG1045" s="47">
        <f t="shared" si="322"/>
        <v>262</v>
      </c>
      <c r="AH1045" s="47">
        <f t="shared" si="323"/>
        <v>172</v>
      </c>
      <c r="AI1045" s="208">
        <f t="shared" si="324"/>
        <v>90</v>
      </c>
    </row>
    <row r="1046" spans="1:35">
      <c r="A1046" t="s">
        <v>2122</v>
      </c>
      <c r="B1046" t="s">
        <v>3142</v>
      </c>
      <c r="C1046" t="s">
        <v>2192</v>
      </c>
      <c r="D1046" t="s">
        <v>4384</v>
      </c>
      <c r="F1046" t="s">
        <v>401</v>
      </c>
      <c r="G1046" s="126">
        <f>SUMIFS('Support - Transition'!F:F,'Support - Transition'!B:B,'Step 2'!A1046,'Support - Transition'!C:C,'Step 2'!B1046,'Support - Transition'!D:D,'Step 2'!C1046,'Support - Transition'!E:E,"CIVIL")</f>
        <v>1.5950000000000001E-3</v>
      </c>
      <c r="H1046" s="126">
        <f>SUMIFS('Support - Transition'!F:F,'Support - Transition'!B:B,'Step 2'!A1046,'Support - Transition'!C:C,'Step 2'!B1046,'Support - Transition'!D:D,'Step 2'!C1046,'Support - Transition'!E:E,"FIRE")</f>
        <v>1.044E-3</v>
      </c>
      <c r="I1046" s="126">
        <f>IF(B1046="0",SUMIFS('Support - Transition'!F:F,'Support - Transition'!J:J,'Step 2'!D1046,'Support - Transition'!E:E,"STATE UNIT"),SUMIFS('Support - Transition'!F:F,'Support - Transition'!J:J,'Step 2'!D1046))</f>
        <v>2.6389999999999999E-3</v>
      </c>
      <c r="J1046" s="126">
        <f>SUMIFS('Support - Unit Adjustments'!E:E,'Support - Unit Adjustments'!F:F,'Step 2'!D1046)</f>
        <v>0</v>
      </c>
      <c r="K1046" s="126">
        <f t="shared" si="308"/>
        <v>2.6389999999999999E-3</v>
      </c>
      <c r="L1046" s="174">
        <f>VLOOKUP(A1046,'Step 1'!$A:$E,4,FALSE)</f>
        <v>502117</v>
      </c>
      <c r="M1046" s="47">
        <f t="shared" si="309"/>
        <v>1325</v>
      </c>
      <c r="N1046" s="177">
        <f>SUMIFS('Support - Transition'!G:G,'Support - Transition'!J:J,'Step 2'!D1046,'Support - Transition'!E:E,"2009 WELFARE ALLOCATION FACTOR")</f>
        <v>0</v>
      </c>
      <c r="O1046" s="152">
        <f t="shared" si="314"/>
        <v>0</v>
      </c>
      <c r="P1046" s="126">
        <f>IF(E1046="Y",0,SUMIFS('Support - Transition'!G:G,'Support - Transition'!J:J,'Step 2'!D1046,'Support - Transition'!E:E,"2009 SCHOOL ALLOCATION FACTOR"))</f>
        <v>0</v>
      </c>
      <c r="Q1046" s="126">
        <f>IF(E1046="Y",VLOOKUP(D1046,'Support - Unit Adjustments'!F:G,2,FALSE),0)</f>
        <v>0</v>
      </c>
      <c r="R1046" s="155">
        <f t="shared" si="326"/>
        <v>0</v>
      </c>
      <c r="S1046" s="47">
        <f t="shared" si="325"/>
        <v>0</v>
      </c>
      <c r="T1046" s="151">
        <f t="shared" si="310"/>
        <v>1325</v>
      </c>
      <c r="U1046" s="151">
        <f t="shared" si="311"/>
        <v>0</v>
      </c>
      <c r="V1046" s="139">
        <f t="shared" si="312"/>
        <v>0</v>
      </c>
      <c r="W1046" s="152">
        <f t="shared" si="315"/>
        <v>1325</v>
      </c>
      <c r="X1046" s="127" t="str">
        <f t="shared" si="313"/>
        <v/>
      </c>
      <c r="Y1046" s="207">
        <f t="shared" si="316"/>
        <v>1325</v>
      </c>
      <c r="Z1046" s="139">
        <f t="shared" si="317"/>
        <v>801</v>
      </c>
      <c r="AA1046" s="139">
        <f t="shared" si="318"/>
        <v>524</v>
      </c>
      <c r="AC1046" s="47">
        <f t="shared" si="319"/>
        <v>663</v>
      </c>
      <c r="AD1046" s="47">
        <f t="shared" si="320"/>
        <v>401</v>
      </c>
      <c r="AE1046" s="47">
        <f t="shared" si="321"/>
        <v>262</v>
      </c>
      <c r="AG1046" s="47">
        <f t="shared" si="322"/>
        <v>662</v>
      </c>
      <c r="AH1046" s="47">
        <f t="shared" si="323"/>
        <v>400</v>
      </c>
      <c r="AI1046" s="208">
        <f t="shared" si="324"/>
        <v>262</v>
      </c>
    </row>
    <row r="1047" spans="1:35">
      <c r="A1047" t="s">
        <v>2122</v>
      </c>
      <c r="B1047" t="s">
        <v>3142</v>
      </c>
      <c r="C1047" t="s">
        <v>2193</v>
      </c>
      <c r="D1047" t="s">
        <v>4385</v>
      </c>
      <c r="F1047" t="s">
        <v>49</v>
      </c>
      <c r="G1047" s="126">
        <f>SUMIFS('Support - Transition'!F:F,'Support - Transition'!B:B,'Step 2'!A1047,'Support - Transition'!C:C,'Step 2'!B1047,'Support - Transition'!D:D,'Step 2'!C1047,'Support - Transition'!E:E,"CIVIL")</f>
        <v>2.9689999999999999E-3</v>
      </c>
      <c r="H1047" s="126">
        <f>SUMIFS('Support - Transition'!F:F,'Support - Transition'!B:B,'Step 2'!A1047,'Support - Transition'!C:C,'Step 2'!B1047,'Support - Transition'!D:D,'Step 2'!C1047,'Support - Transition'!E:E,"FIRE")</f>
        <v>0</v>
      </c>
      <c r="I1047" s="126">
        <f>IF(B1047="0",SUMIFS('Support - Transition'!F:F,'Support - Transition'!J:J,'Step 2'!D1047,'Support - Transition'!E:E,"STATE UNIT"),SUMIFS('Support - Transition'!F:F,'Support - Transition'!J:J,'Step 2'!D1047))</f>
        <v>2.9689999999999999E-3</v>
      </c>
      <c r="J1047" s="126">
        <f>SUMIFS('Support - Unit Adjustments'!E:E,'Support - Unit Adjustments'!F:F,'Step 2'!D1047)</f>
        <v>0</v>
      </c>
      <c r="K1047" s="126">
        <f t="shared" si="308"/>
        <v>2.9689999999999999E-3</v>
      </c>
      <c r="L1047" s="174">
        <f>VLOOKUP(A1047,'Step 1'!$A:$E,4,FALSE)</f>
        <v>502117</v>
      </c>
      <c r="M1047" s="47">
        <f t="shared" si="309"/>
        <v>1491</v>
      </c>
      <c r="N1047" s="177">
        <f>SUMIFS('Support - Transition'!G:G,'Support - Transition'!J:J,'Step 2'!D1047,'Support - Transition'!E:E,"2009 WELFARE ALLOCATION FACTOR")</f>
        <v>0</v>
      </c>
      <c r="O1047" s="152">
        <f t="shared" si="314"/>
        <v>0</v>
      </c>
      <c r="P1047" s="126">
        <f>IF(E1047="Y",0,SUMIFS('Support - Transition'!G:G,'Support - Transition'!J:J,'Step 2'!D1047,'Support - Transition'!E:E,"2009 SCHOOL ALLOCATION FACTOR"))</f>
        <v>0</v>
      </c>
      <c r="Q1047" s="126">
        <f>IF(E1047="Y",VLOOKUP(D1047,'Support - Unit Adjustments'!F:G,2,FALSE),0)</f>
        <v>0</v>
      </c>
      <c r="R1047" s="155">
        <f t="shared" si="326"/>
        <v>0</v>
      </c>
      <c r="S1047" s="47">
        <f t="shared" si="325"/>
        <v>0</v>
      </c>
      <c r="T1047" s="151">
        <f t="shared" si="310"/>
        <v>1491</v>
      </c>
      <c r="U1047" s="151">
        <f t="shared" si="311"/>
        <v>0</v>
      </c>
      <c r="V1047" s="139">
        <f t="shared" si="312"/>
        <v>0</v>
      </c>
      <c r="W1047" s="152">
        <f t="shared" si="315"/>
        <v>1491</v>
      </c>
      <c r="X1047" s="127" t="str">
        <f t="shared" si="313"/>
        <v/>
      </c>
      <c r="Y1047" s="207">
        <f t="shared" si="316"/>
        <v>1491</v>
      </c>
      <c r="Z1047" s="139">
        <f t="shared" si="317"/>
        <v>1491</v>
      </c>
      <c r="AA1047" s="139">
        <f t="shared" si="318"/>
        <v>0</v>
      </c>
      <c r="AC1047" s="47">
        <f t="shared" si="319"/>
        <v>746</v>
      </c>
      <c r="AD1047" s="47">
        <f t="shared" si="320"/>
        <v>746</v>
      </c>
      <c r="AE1047" s="47">
        <f t="shared" si="321"/>
        <v>0</v>
      </c>
      <c r="AG1047" s="47">
        <f t="shared" si="322"/>
        <v>745</v>
      </c>
      <c r="AH1047" s="47">
        <f t="shared" si="323"/>
        <v>745</v>
      </c>
      <c r="AI1047" s="208">
        <f t="shared" si="324"/>
        <v>0</v>
      </c>
    </row>
    <row r="1048" spans="1:35">
      <c r="A1048" t="s">
        <v>2122</v>
      </c>
      <c r="B1048" t="s">
        <v>3142</v>
      </c>
      <c r="C1048" t="s">
        <v>2194</v>
      </c>
      <c r="D1048" t="s">
        <v>4386</v>
      </c>
      <c r="F1048" t="s">
        <v>224</v>
      </c>
      <c r="G1048" s="126">
        <f>SUMIFS('Support - Transition'!F:F,'Support - Transition'!B:B,'Step 2'!A1048,'Support - Transition'!C:C,'Step 2'!B1048,'Support - Transition'!D:D,'Step 2'!C1048,'Support - Transition'!E:E,"CIVIL")</f>
        <v>2.6899999999999998E-4</v>
      </c>
      <c r="H1048" s="126">
        <f>SUMIFS('Support - Transition'!F:F,'Support - Transition'!B:B,'Step 2'!A1048,'Support - Transition'!C:C,'Step 2'!B1048,'Support - Transition'!D:D,'Step 2'!C1048,'Support - Transition'!E:E,"FIRE")</f>
        <v>5.3000000000000001E-5</v>
      </c>
      <c r="I1048" s="126">
        <f>IF(B1048="0",SUMIFS('Support - Transition'!F:F,'Support - Transition'!J:J,'Step 2'!D1048,'Support - Transition'!E:E,"STATE UNIT"),SUMIFS('Support - Transition'!F:F,'Support - Transition'!J:J,'Step 2'!D1048))</f>
        <v>3.2199999999999997E-4</v>
      </c>
      <c r="J1048" s="126">
        <f>SUMIFS('Support - Unit Adjustments'!E:E,'Support - Unit Adjustments'!F:F,'Step 2'!D1048)</f>
        <v>0</v>
      </c>
      <c r="K1048" s="126">
        <f t="shared" si="308"/>
        <v>3.2199999999999997E-4</v>
      </c>
      <c r="L1048" s="174">
        <f>VLOOKUP(A1048,'Step 1'!$A:$E,4,FALSE)</f>
        <v>502117</v>
      </c>
      <c r="M1048" s="47">
        <f t="shared" si="309"/>
        <v>162</v>
      </c>
      <c r="N1048" s="177">
        <f>SUMIFS('Support - Transition'!G:G,'Support - Transition'!J:J,'Step 2'!D1048,'Support - Transition'!E:E,"2009 WELFARE ALLOCATION FACTOR")</f>
        <v>0</v>
      </c>
      <c r="O1048" s="152">
        <f t="shared" si="314"/>
        <v>0</v>
      </c>
      <c r="P1048" s="126">
        <f>IF(E1048="Y",0,SUMIFS('Support - Transition'!G:G,'Support - Transition'!J:J,'Step 2'!D1048,'Support - Transition'!E:E,"2009 SCHOOL ALLOCATION FACTOR"))</f>
        <v>0</v>
      </c>
      <c r="Q1048" s="126">
        <f>IF(E1048="Y",VLOOKUP(D1048,'Support - Unit Adjustments'!F:G,2,FALSE),0)</f>
        <v>0</v>
      </c>
      <c r="R1048" s="155">
        <f t="shared" si="326"/>
        <v>0</v>
      </c>
      <c r="S1048" s="47">
        <f t="shared" si="325"/>
        <v>0</v>
      </c>
      <c r="T1048" s="151">
        <f t="shared" si="310"/>
        <v>162</v>
      </c>
      <c r="U1048" s="151">
        <f t="shared" si="311"/>
        <v>0</v>
      </c>
      <c r="V1048" s="139">
        <f t="shared" si="312"/>
        <v>0</v>
      </c>
      <c r="W1048" s="152">
        <f t="shared" si="315"/>
        <v>162</v>
      </c>
      <c r="X1048" s="127" t="str">
        <f t="shared" si="313"/>
        <v/>
      </c>
      <c r="Y1048" s="207">
        <f t="shared" si="316"/>
        <v>162</v>
      </c>
      <c r="Z1048" s="139">
        <f t="shared" si="317"/>
        <v>135</v>
      </c>
      <c r="AA1048" s="139">
        <f t="shared" si="318"/>
        <v>27</v>
      </c>
      <c r="AC1048" s="47">
        <f t="shared" si="319"/>
        <v>81</v>
      </c>
      <c r="AD1048" s="47">
        <f t="shared" si="320"/>
        <v>68</v>
      </c>
      <c r="AE1048" s="47">
        <f t="shared" si="321"/>
        <v>14</v>
      </c>
      <c r="AG1048" s="47">
        <f t="shared" si="322"/>
        <v>81</v>
      </c>
      <c r="AH1048" s="47">
        <f t="shared" si="323"/>
        <v>67</v>
      </c>
      <c r="AI1048" s="208">
        <f t="shared" si="324"/>
        <v>13</v>
      </c>
    </row>
    <row r="1049" spans="1:35">
      <c r="A1049" t="s">
        <v>2122</v>
      </c>
      <c r="B1049" t="s">
        <v>3142</v>
      </c>
      <c r="C1049" t="s">
        <v>2195</v>
      </c>
      <c r="D1049" t="s">
        <v>4387</v>
      </c>
      <c r="F1049" t="s">
        <v>815</v>
      </c>
      <c r="G1049" s="126">
        <f>SUMIFS('Support - Transition'!F:F,'Support - Transition'!B:B,'Step 2'!A1049,'Support - Transition'!C:C,'Step 2'!B1049,'Support - Transition'!D:D,'Step 2'!C1049,'Support - Transition'!E:E,"CIVIL")</f>
        <v>5.2800000000000004E-4</v>
      </c>
      <c r="H1049" s="126">
        <f>SUMIFS('Support - Transition'!F:F,'Support - Transition'!B:B,'Step 2'!A1049,'Support - Transition'!C:C,'Step 2'!B1049,'Support - Transition'!D:D,'Step 2'!C1049,'Support - Transition'!E:E,"FIRE")</f>
        <v>0</v>
      </c>
      <c r="I1049" s="126">
        <f>IF(B1049="0",SUMIFS('Support - Transition'!F:F,'Support - Transition'!J:J,'Step 2'!D1049,'Support - Transition'!E:E,"STATE UNIT"),SUMIFS('Support - Transition'!F:F,'Support - Transition'!J:J,'Step 2'!D1049))</f>
        <v>5.2800000000000004E-4</v>
      </c>
      <c r="J1049" s="126">
        <f>SUMIFS('Support - Unit Adjustments'!E:E,'Support - Unit Adjustments'!F:F,'Step 2'!D1049)</f>
        <v>0</v>
      </c>
      <c r="K1049" s="126">
        <f t="shared" si="308"/>
        <v>5.2800000000000004E-4</v>
      </c>
      <c r="L1049" s="174">
        <f>VLOOKUP(A1049,'Step 1'!$A:$E,4,FALSE)</f>
        <v>502117</v>
      </c>
      <c r="M1049" s="47">
        <f t="shared" si="309"/>
        <v>265</v>
      </c>
      <c r="N1049" s="177">
        <f>SUMIFS('Support - Transition'!G:G,'Support - Transition'!J:J,'Step 2'!D1049,'Support - Transition'!E:E,"2009 WELFARE ALLOCATION FACTOR")</f>
        <v>0</v>
      </c>
      <c r="O1049" s="152">
        <f t="shared" si="314"/>
        <v>0</v>
      </c>
      <c r="P1049" s="126">
        <f>IF(E1049="Y",0,SUMIFS('Support - Transition'!G:G,'Support - Transition'!J:J,'Step 2'!D1049,'Support - Transition'!E:E,"2009 SCHOOL ALLOCATION FACTOR"))</f>
        <v>0</v>
      </c>
      <c r="Q1049" s="126">
        <f>IF(E1049="Y",VLOOKUP(D1049,'Support - Unit Adjustments'!F:G,2,FALSE),0)</f>
        <v>0</v>
      </c>
      <c r="R1049" s="155">
        <f t="shared" si="326"/>
        <v>0</v>
      </c>
      <c r="S1049" s="47">
        <f t="shared" si="325"/>
        <v>0</v>
      </c>
      <c r="T1049" s="151">
        <f t="shared" si="310"/>
        <v>265</v>
      </c>
      <c r="U1049" s="151">
        <f t="shared" si="311"/>
        <v>0</v>
      </c>
      <c r="V1049" s="139">
        <f t="shared" si="312"/>
        <v>0</v>
      </c>
      <c r="W1049" s="152">
        <f t="shared" si="315"/>
        <v>265</v>
      </c>
      <c r="X1049" s="127" t="str">
        <f t="shared" si="313"/>
        <v/>
      </c>
      <c r="Y1049" s="207">
        <f t="shared" si="316"/>
        <v>265</v>
      </c>
      <c r="Z1049" s="139">
        <f t="shared" si="317"/>
        <v>265</v>
      </c>
      <c r="AA1049" s="139">
        <f t="shared" si="318"/>
        <v>0</v>
      </c>
      <c r="AC1049" s="47">
        <f t="shared" si="319"/>
        <v>133</v>
      </c>
      <c r="AD1049" s="47">
        <f t="shared" si="320"/>
        <v>133</v>
      </c>
      <c r="AE1049" s="47">
        <f t="shared" si="321"/>
        <v>0</v>
      </c>
      <c r="AG1049" s="47">
        <f t="shared" si="322"/>
        <v>132</v>
      </c>
      <c r="AH1049" s="47">
        <f t="shared" si="323"/>
        <v>132</v>
      </c>
      <c r="AI1049" s="208">
        <f t="shared" si="324"/>
        <v>0</v>
      </c>
    </row>
    <row r="1050" spans="1:35">
      <c r="A1050" t="s">
        <v>2122</v>
      </c>
      <c r="B1050" t="s">
        <v>3142</v>
      </c>
      <c r="C1050" t="s">
        <v>2196</v>
      </c>
      <c r="D1050" t="s">
        <v>4388</v>
      </c>
      <c r="F1050" t="s">
        <v>816</v>
      </c>
      <c r="G1050" s="126">
        <f>SUMIFS('Support - Transition'!F:F,'Support - Transition'!B:B,'Step 2'!A1050,'Support - Transition'!C:C,'Step 2'!B1050,'Support - Transition'!D:D,'Step 2'!C1050,'Support - Transition'!E:E,"CIVIL")</f>
        <v>3.0699999999999998E-4</v>
      </c>
      <c r="H1050" s="126">
        <f>SUMIFS('Support - Transition'!F:F,'Support - Transition'!B:B,'Step 2'!A1050,'Support - Transition'!C:C,'Step 2'!B1050,'Support - Transition'!D:D,'Step 2'!C1050,'Support - Transition'!E:E,"FIRE")</f>
        <v>0</v>
      </c>
      <c r="I1050" s="126">
        <f>IF(B1050="0",SUMIFS('Support - Transition'!F:F,'Support - Transition'!J:J,'Step 2'!D1050,'Support - Transition'!E:E,"STATE UNIT"),SUMIFS('Support - Transition'!F:F,'Support - Transition'!J:J,'Step 2'!D1050))</f>
        <v>3.0699999999999998E-4</v>
      </c>
      <c r="J1050" s="126">
        <f>SUMIFS('Support - Unit Adjustments'!E:E,'Support - Unit Adjustments'!F:F,'Step 2'!D1050)</f>
        <v>0</v>
      </c>
      <c r="K1050" s="126">
        <f t="shared" si="308"/>
        <v>3.0699999999999998E-4</v>
      </c>
      <c r="L1050" s="174">
        <f>VLOOKUP(A1050,'Step 1'!$A:$E,4,FALSE)</f>
        <v>502117</v>
      </c>
      <c r="M1050" s="47">
        <f t="shared" si="309"/>
        <v>154</v>
      </c>
      <c r="N1050" s="177">
        <f>SUMIFS('Support - Transition'!G:G,'Support - Transition'!J:J,'Step 2'!D1050,'Support - Transition'!E:E,"2009 WELFARE ALLOCATION FACTOR")</f>
        <v>0</v>
      </c>
      <c r="O1050" s="152">
        <f t="shared" si="314"/>
        <v>0</v>
      </c>
      <c r="P1050" s="126">
        <f>IF(E1050="Y",0,SUMIFS('Support - Transition'!G:G,'Support - Transition'!J:J,'Step 2'!D1050,'Support - Transition'!E:E,"2009 SCHOOL ALLOCATION FACTOR"))</f>
        <v>0</v>
      </c>
      <c r="Q1050" s="126">
        <f>IF(E1050="Y",VLOOKUP(D1050,'Support - Unit Adjustments'!F:G,2,FALSE),0)</f>
        <v>0</v>
      </c>
      <c r="R1050" s="155">
        <f t="shared" si="326"/>
        <v>0</v>
      </c>
      <c r="S1050" s="47">
        <f t="shared" si="325"/>
        <v>0</v>
      </c>
      <c r="T1050" s="151">
        <f t="shared" si="310"/>
        <v>154</v>
      </c>
      <c r="U1050" s="151">
        <f t="shared" si="311"/>
        <v>0</v>
      </c>
      <c r="V1050" s="139">
        <f t="shared" si="312"/>
        <v>0</v>
      </c>
      <c r="W1050" s="152">
        <f t="shared" si="315"/>
        <v>154</v>
      </c>
      <c r="X1050" s="127" t="str">
        <f t="shared" si="313"/>
        <v/>
      </c>
      <c r="Y1050" s="207">
        <f t="shared" si="316"/>
        <v>154</v>
      </c>
      <c r="Z1050" s="139">
        <f t="shared" si="317"/>
        <v>154</v>
      </c>
      <c r="AA1050" s="139">
        <f t="shared" si="318"/>
        <v>0</v>
      </c>
      <c r="AC1050" s="47">
        <f t="shared" si="319"/>
        <v>77</v>
      </c>
      <c r="AD1050" s="47">
        <f t="shared" si="320"/>
        <v>77</v>
      </c>
      <c r="AE1050" s="47">
        <f t="shared" si="321"/>
        <v>0</v>
      </c>
      <c r="AG1050" s="47">
        <f t="shared" si="322"/>
        <v>77</v>
      </c>
      <c r="AH1050" s="47">
        <f t="shared" si="323"/>
        <v>77</v>
      </c>
      <c r="AI1050" s="208">
        <f t="shared" si="324"/>
        <v>0</v>
      </c>
    </row>
    <row r="1051" spans="1:35">
      <c r="A1051" t="s">
        <v>2122</v>
      </c>
      <c r="B1051" t="s">
        <v>3142</v>
      </c>
      <c r="C1051" t="s">
        <v>2197</v>
      </c>
      <c r="D1051" t="s">
        <v>4389</v>
      </c>
      <c r="F1051" t="s">
        <v>532</v>
      </c>
      <c r="G1051" s="126">
        <f>SUMIFS('Support - Transition'!F:F,'Support - Transition'!B:B,'Step 2'!A1051,'Support - Transition'!C:C,'Step 2'!B1051,'Support - Transition'!D:D,'Step 2'!C1051,'Support - Transition'!E:E,"CIVIL")</f>
        <v>1.03E-4</v>
      </c>
      <c r="H1051" s="126">
        <f>SUMIFS('Support - Transition'!F:F,'Support - Transition'!B:B,'Step 2'!A1051,'Support - Transition'!C:C,'Step 2'!B1051,'Support - Transition'!D:D,'Step 2'!C1051,'Support - Transition'!E:E,"FIRE")</f>
        <v>4.0000000000000003E-5</v>
      </c>
      <c r="I1051" s="126">
        <f>IF(B1051="0",SUMIFS('Support - Transition'!F:F,'Support - Transition'!J:J,'Step 2'!D1051,'Support - Transition'!E:E,"STATE UNIT"),SUMIFS('Support - Transition'!F:F,'Support - Transition'!J:J,'Step 2'!D1051))</f>
        <v>1.4300000000000001E-4</v>
      </c>
      <c r="J1051" s="126">
        <f>SUMIFS('Support - Unit Adjustments'!E:E,'Support - Unit Adjustments'!F:F,'Step 2'!D1051)</f>
        <v>0</v>
      </c>
      <c r="K1051" s="126">
        <f t="shared" si="308"/>
        <v>1.4300000000000001E-4</v>
      </c>
      <c r="L1051" s="174">
        <f>VLOOKUP(A1051,'Step 1'!$A:$E,4,FALSE)</f>
        <v>502117</v>
      </c>
      <c r="M1051" s="47">
        <f t="shared" si="309"/>
        <v>72</v>
      </c>
      <c r="N1051" s="177">
        <f>SUMIFS('Support - Transition'!G:G,'Support - Transition'!J:J,'Step 2'!D1051,'Support - Transition'!E:E,"2009 WELFARE ALLOCATION FACTOR")</f>
        <v>0</v>
      </c>
      <c r="O1051" s="152">
        <f t="shared" si="314"/>
        <v>0</v>
      </c>
      <c r="P1051" s="126">
        <f>IF(E1051="Y",0,SUMIFS('Support - Transition'!G:G,'Support - Transition'!J:J,'Step 2'!D1051,'Support - Transition'!E:E,"2009 SCHOOL ALLOCATION FACTOR"))</f>
        <v>0</v>
      </c>
      <c r="Q1051" s="126">
        <f>IF(E1051="Y",VLOOKUP(D1051,'Support - Unit Adjustments'!F:G,2,FALSE),0)</f>
        <v>0</v>
      </c>
      <c r="R1051" s="155">
        <f t="shared" si="326"/>
        <v>0</v>
      </c>
      <c r="S1051" s="47">
        <f t="shared" si="325"/>
        <v>0</v>
      </c>
      <c r="T1051" s="151">
        <f t="shared" si="310"/>
        <v>72</v>
      </c>
      <c r="U1051" s="151">
        <f t="shared" si="311"/>
        <v>0</v>
      </c>
      <c r="V1051" s="139">
        <f t="shared" si="312"/>
        <v>0</v>
      </c>
      <c r="W1051" s="152">
        <f t="shared" si="315"/>
        <v>72</v>
      </c>
      <c r="X1051" s="127" t="str">
        <f t="shared" si="313"/>
        <v/>
      </c>
      <c r="Y1051" s="207">
        <f t="shared" si="316"/>
        <v>72</v>
      </c>
      <c r="Z1051" s="139">
        <f t="shared" si="317"/>
        <v>52</v>
      </c>
      <c r="AA1051" s="139">
        <f t="shared" si="318"/>
        <v>20</v>
      </c>
      <c r="AC1051" s="47">
        <f t="shared" si="319"/>
        <v>36</v>
      </c>
      <c r="AD1051" s="47">
        <f t="shared" si="320"/>
        <v>26</v>
      </c>
      <c r="AE1051" s="47">
        <f t="shared" si="321"/>
        <v>10</v>
      </c>
      <c r="AG1051" s="47">
        <f t="shared" si="322"/>
        <v>36</v>
      </c>
      <c r="AH1051" s="47">
        <f t="shared" si="323"/>
        <v>26</v>
      </c>
      <c r="AI1051" s="208">
        <f t="shared" si="324"/>
        <v>10</v>
      </c>
    </row>
    <row r="1052" spans="1:35">
      <c r="A1052" t="s">
        <v>2122</v>
      </c>
      <c r="B1052" t="s">
        <v>3142</v>
      </c>
      <c r="C1052" t="s">
        <v>2198</v>
      </c>
      <c r="D1052" t="s">
        <v>4390</v>
      </c>
      <c r="F1052" t="s">
        <v>673</v>
      </c>
      <c r="G1052" s="126">
        <f>SUMIFS('Support - Transition'!F:F,'Support - Transition'!B:B,'Step 2'!A1052,'Support - Transition'!C:C,'Step 2'!B1052,'Support - Transition'!D:D,'Step 2'!C1052,'Support - Transition'!E:E,"CIVIL")</f>
        <v>6.9499999999999998E-4</v>
      </c>
      <c r="H1052" s="126">
        <f>SUMIFS('Support - Transition'!F:F,'Support - Transition'!B:B,'Step 2'!A1052,'Support - Transition'!C:C,'Step 2'!B1052,'Support - Transition'!D:D,'Step 2'!C1052,'Support - Transition'!E:E,"FIRE")</f>
        <v>4.5199999999999998E-4</v>
      </c>
      <c r="I1052" s="126">
        <f>IF(B1052="0",SUMIFS('Support - Transition'!F:F,'Support - Transition'!J:J,'Step 2'!D1052,'Support - Transition'!E:E,"STATE UNIT"),SUMIFS('Support - Transition'!F:F,'Support - Transition'!J:J,'Step 2'!D1052))</f>
        <v>1.147E-3</v>
      </c>
      <c r="J1052" s="126">
        <f>SUMIFS('Support - Unit Adjustments'!E:E,'Support - Unit Adjustments'!F:F,'Step 2'!D1052)</f>
        <v>0</v>
      </c>
      <c r="K1052" s="126">
        <f t="shared" si="308"/>
        <v>1.147E-3</v>
      </c>
      <c r="L1052" s="174">
        <f>VLOOKUP(A1052,'Step 1'!$A:$E,4,FALSE)</f>
        <v>502117</v>
      </c>
      <c r="M1052" s="47">
        <f t="shared" si="309"/>
        <v>576</v>
      </c>
      <c r="N1052" s="177">
        <f>SUMIFS('Support - Transition'!G:G,'Support - Transition'!J:J,'Step 2'!D1052,'Support - Transition'!E:E,"2009 WELFARE ALLOCATION FACTOR")</f>
        <v>0</v>
      </c>
      <c r="O1052" s="152">
        <f t="shared" si="314"/>
        <v>0</v>
      </c>
      <c r="P1052" s="126">
        <f>IF(E1052="Y",0,SUMIFS('Support - Transition'!G:G,'Support - Transition'!J:J,'Step 2'!D1052,'Support - Transition'!E:E,"2009 SCHOOL ALLOCATION FACTOR"))</f>
        <v>0</v>
      </c>
      <c r="Q1052" s="126">
        <f>IF(E1052="Y",VLOOKUP(D1052,'Support - Unit Adjustments'!F:G,2,FALSE),0)</f>
        <v>0</v>
      </c>
      <c r="R1052" s="155">
        <f t="shared" si="326"/>
        <v>0</v>
      </c>
      <c r="S1052" s="47">
        <f t="shared" si="325"/>
        <v>0</v>
      </c>
      <c r="T1052" s="151">
        <f t="shared" si="310"/>
        <v>576</v>
      </c>
      <c r="U1052" s="151">
        <f t="shared" si="311"/>
        <v>0</v>
      </c>
      <c r="V1052" s="139">
        <f t="shared" si="312"/>
        <v>0</v>
      </c>
      <c r="W1052" s="152">
        <f t="shared" si="315"/>
        <v>576</v>
      </c>
      <c r="X1052" s="127" t="str">
        <f t="shared" si="313"/>
        <v/>
      </c>
      <c r="Y1052" s="207">
        <f t="shared" si="316"/>
        <v>576</v>
      </c>
      <c r="Z1052" s="139">
        <f t="shared" si="317"/>
        <v>349</v>
      </c>
      <c r="AA1052" s="139">
        <f t="shared" si="318"/>
        <v>227</v>
      </c>
      <c r="AC1052" s="47">
        <f t="shared" si="319"/>
        <v>288</v>
      </c>
      <c r="AD1052" s="47">
        <f t="shared" si="320"/>
        <v>175</v>
      </c>
      <c r="AE1052" s="47">
        <f t="shared" si="321"/>
        <v>114</v>
      </c>
      <c r="AG1052" s="47">
        <f t="shared" si="322"/>
        <v>288</v>
      </c>
      <c r="AH1052" s="47">
        <f t="shared" si="323"/>
        <v>174</v>
      </c>
      <c r="AI1052" s="208">
        <f t="shared" si="324"/>
        <v>113</v>
      </c>
    </row>
    <row r="1053" spans="1:35">
      <c r="A1053" t="s">
        <v>2122</v>
      </c>
      <c r="B1053" t="s">
        <v>3142</v>
      </c>
      <c r="C1053" t="s">
        <v>2199</v>
      </c>
      <c r="D1053" t="s">
        <v>4391</v>
      </c>
      <c r="F1053" t="s">
        <v>22</v>
      </c>
      <c r="G1053" s="126">
        <f>SUMIFS('Support - Transition'!F:F,'Support - Transition'!B:B,'Step 2'!A1053,'Support - Transition'!C:C,'Step 2'!B1053,'Support - Transition'!D:D,'Step 2'!C1053,'Support - Transition'!E:E,"CIVIL")</f>
        <v>5.4299999999999997E-4</v>
      </c>
      <c r="H1053" s="126">
        <f>SUMIFS('Support - Transition'!F:F,'Support - Transition'!B:B,'Step 2'!A1053,'Support - Transition'!C:C,'Step 2'!B1053,'Support - Transition'!D:D,'Step 2'!C1053,'Support - Transition'!E:E,"FIRE")</f>
        <v>0</v>
      </c>
      <c r="I1053" s="126">
        <f>IF(B1053="0",SUMIFS('Support - Transition'!F:F,'Support - Transition'!J:J,'Step 2'!D1053,'Support - Transition'!E:E,"STATE UNIT"),SUMIFS('Support - Transition'!F:F,'Support - Transition'!J:J,'Step 2'!D1053))</f>
        <v>5.4299999999999997E-4</v>
      </c>
      <c r="J1053" s="126">
        <f>SUMIFS('Support - Unit Adjustments'!E:E,'Support - Unit Adjustments'!F:F,'Step 2'!D1053)</f>
        <v>0</v>
      </c>
      <c r="K1053" s="126">
        <f t="shared" si="308"/>
        <v>5.4299999999999997E-4</v>
      </c>
      <c r="L1053" s="174">
        <f>VLOOKUP(A1053,'Step 1'!$A:$E,4,FALSE)</f>
        <v>502117</v>
      </c>
      <c r="M1053" s="47">
        <f t="shared" si="309"/>
        <v>273</v>
      </c>
      <c r="N1053" s="177">
        <f>SUMIFS('Support - Transition'!G:G,'Support - Transition'!J:J,'Step 2'!D1053,'Support - Transition'!E:E,"2009 WELFARE ALLOCATION FACTOR")</f>
        <v>0</v>
      </c>
      <c r="O1053" s="152">
        <f t="shared" si="314"/>
        <v>0</v>
      </c>
      <c r="P1053" s="126">
        <f>IF(E1053="Y",0,SUMIFS('Support - Transition'!G:G,'Support - Transition'!J:J,'Step 2'!D1053,'Support - Transition'!E:E,"2009 SCHOOL ALLOCATION FACTOR"))</f>
        <v>0</v>
      </c>
      <c r="Q1053" s="126">
        <f>IF(E1053="Y",VLOOKUP(D1053,'Support - Unit Adjustments'!F:G,2,FALSE),0)</f>
        <v>0</v>
      </c>
      <c r="R1053" s="155">
        <f t="shared" si="326"/>
        <v>0</v>
      </c>
      <c r="S1053" s="47">
        <f t="shared" si="325"/>
        <v>0</v>
      </c>
      <c r="T1053" s="151">
        <f t="shared" si="310"/>
        <v>273</v>
      </c>
      <c r="U1053" s="151">
        <f t="shared" si="311"/>
        <v>0</v>
      </c>
      <c r="V1053" s="139">
        <f t="shared" si="312"/>
        <v>0</v>
      </c>
      <c r="W1053" s="152">
        <f t="shared" si="315"/>
        <v>273</v>
      </c>
      <c r="X1053" s="127" t="str">
        <f t="shared" si="313"/>
        <v/>
      </c>
      <c r="Y1053" s="207">
        <f t="shared" si="316"/>
        <v>273</v>
      </c>
      <c r="Z1053" s="139">
        <f t="shared" si="317"/>
        <v>273</v>
      </c>
      <c r="AA1053" s="139">
        <f t="shared" si="318"/>
        <v>0</v>
      </c>
      <c r="AC1053" s="47">
        <f t="shared" si="319"/>
        <v>137</v>
      </c>
      <c r="AD1053" s="47">
        <f t="shared" si="320"/>
        <v>137</v>
      </c>
      <c r="AE1053" s="47">
        <f t="shared" si="321"/>
        <v>0</v>
      </c>
      <c r="AG1053" s="47">
        <f t="shared" si="322"/>
        <v>136</v>
      </c>
      <c r="AH1053" s="47">
        <f t="shared" si="323"/>
        <v>136</v>
      </c>
      <c r="AI1053" s="208">
        <f t="shared" si="324"/>
        <v>0</v>
      </c>
    </row>
    <row r="1054" spans="1:35">
      <c r="A1054" t="s">
        <v>2122</v>
      </c>
      <c r="B1054" t="s">
        <v>3155</v>
      </c>
      <c r="C1054" t="s">
        <v>2609</v>
      </c>
      <c r="D1054" t="s">
        <v>4392</v>
      </c>
      <c r="F1054" t="s">
        <v>820</v>
      </c>
      <c r="G1054" s="126">
        <f>SUMIFS('Support - Transition'!F:F,'Support - Transition'!B:B,'Step 2'!A1054,'Support - Transition'!C:C,'Step 2'!B1054,'Support - Transition'!D:D,'Step 2'!C1054,'Support - Transition'!E:E,"CIVIL")</f>
        <v>0</v>
      </c>
      <c r="H1054" s="126">
        <f>SUMIFS('Support - Transition'!F:F,'Support - Transition'!B:B,'Step 2'!A1054,'Support - Transition'!C:C,'Step 2'!B1054,'Support - Transition'!D:D,'Step 2'!C1054,'Support - Transition'!E:E,"FIRE")</f>
        <v>0</v>
      </c>
      <c r="I1054" s="126">
        <f>IF(B1054="0",SUMIFS('Support - Transition'!F:F,'Support - Transition'!J:J,'Step 2'!D1054,'Support - Transition'!E:E,"STATE UNIT"),SUMIFS('Support - Transition'!F:F,'Support - Transition'!J:J,'Step 2'!D1054))</f>
        <v>0.148285</v>
      </c>
      <c r="J1054" s="126">
        <f>SUMIFS('Support - Unit Adjustments'!E:E,'Support - Unit Adjustments'!F:F,'Step 2'!D1054)</f>
        <v>0</v>
      </c>
      <c r="K1054" s="126">
        <f t="shared" si="308"/>
        <v>0.148285</v>
      </c>
      <c r="L1054" s="174">
        <f>VLOOKUP(A1054,'Step 1'!$A:$E,4,FALSE)</f>
        <v>502117</v>
      </c>
      <c r="M1054" s="47">
        <f t="shared" si="309"/>
        <v>74456</v>
      </c>
      <c r="N1054" s="177">
        <f>SUMIFS('Support - Transition'!G:G,'Support - Transition'!J:J,'Step 2'!D1054,'Support - Transition'!E:E,"2009 WELFARE ALLOCATION FACTOR")</f>
        <v>0</v>
      </c>
      <c r="O1054" s="152">
        <f t="shared" si="314"/>
        <v>0</v>
      </c>
      <c r="P1054" s="126">
        <f>IF(E1054="Y",0,SUMIFS('Support - Transition'!G:G,'Support - Transition'!J:J,'Step 2'!D1054,'Support - Transition'!E:E,"2009 SCHOOL ALLOCATION FACTOR"))</f>
        <v>0</v>
      </c>
      <c r="Q1054" s="126">
        <f>IF(E1054="Y",VLOOKUP(D1054,'Support - Unit Adjustments'!F:G,2,FALSE),0)</f>
        <v>0</v>
      </c>
      <c r="R1054" s="155">
        <f t="shared" si="326"/>
        <v>0</v>
      </c>
      <c r="S1054" s="47">
        <f t="shared" si="325"/>
        <v>0</v>
      </c>
      <c r="T1054" s="151">
        <f t="shared" si="310"/>
        <v>74456</v>
      </c>
      <c r="U1054" s="151">
        <f t="shared" si="311"/>
        <v>0</v>
      </c>
      <c r="V1054" s="139">
        <f t="shared" si="312"/>
        <v>0</v>
      </c>
      <c r="W1054" s="152">
        <f t="shared" si="315"/>
        <v>74456</v>
      </c>
      <c r="X1054" s="127" t="str">
        <f t="shared" si="313"/>
        <v/>
      </c>
      <c r="Y1054" s="207">
        <f t="shared" si="316"/>
        <v>74456</v>
      </c>
      <c r="Z1054" s="139">
        <f t="shared" si="317"/>
        <v>74456</v>
      </c>
      <c r="AA1054" s="139">
        <f t="shared" si="318"/>
        <v>0</v>
      </c>
      <c r="AC1054" s="47">
        <f t="shared" si="319"/>
        <v>37228</v>
      </c>
      <c r="AD1054" s="47">
        <f t="shared" si="320"/>
        <v>37228</v>
      </c>
      <c r="AE1054" s="47">
        <f t="shared" si="321"/>
        <v>0</v>
      </c>
      <c r="AG1054" s="47">
        <f t="shared" si="322"/>
        <v>37228</v>
      </c>
      <c r="AH1054" s="47">
        <f t="shared" si="323"/>
        <v>37228</v>
      </c>
      <c r="AI1054" s="208">
        <f t="shared" si="324"/>
        <v>0</v>
      </c>
    </row>
    <row r="1055" spans="1:35">
      <c r="A1055" t="s">
        <v>2122</v>
      </c>
      <c r="B1055" t="s">
        <v>3155</v>
      </c>
      <c r="C1055" t="s">
        <v>2610</v>
      </c>
      <c r="D1055" t="s">
        <v>4393</v>
      </c>
      <c r="F1055" t="s">
        <v>817</v>
      </c>
      <c r="G1055" s="126">
        <f>SUMIFS('Support - Transition'!F:F,'Support - Transition'!B:B,'Step 2'!A1055,'Support - Transition'!C:C,'Step 2'!B1055,'Support - Transition'!D:D,'Step 2'!C1055,'Support - Transition'!E:E,"CIVIL")</f>
        <v>0</v>
      </c>
      <c r="H1055" s="126">
        <f>SUMIFS('Support - Transition'!F:F,'Support - Transition'!B:B,'Step 2'!A1055,'Support - Transition'!C:C,'Step 2'!B1055,'Support - Transition'!D:D,'Step 2'!C1055,'Support - Transition'!E:E,"FIRE")</f>
        <v>0</v>
      </c>
      <c r="I1055" s="126">
        <f>IF(B1055="0",SUMIFS('Support - Transition'!F:F,'Support - Transition'!J:J,'Step 2'!D1055,'Support - Transition'!E:E,"STATE UNIT"),SUMIFS('Support - Transition'!F:F,'Support - Transition'!J:J,'Step 2'!D1055))</f>
        <v>5.7390000000000002E-3</v>
      </c>
      <c r="J1055" s="126">
        <f>SUMIFS('Support - Unit Adjustments'!E:E,'Support - Unit Adjustments'!F:F,'Step 2'!D1055)</f>
        <v>0</v>
      </c>
      <c r="K1055" s="126">
        <f t="shared" si="308"/>
        <v>5.7390000000000002E-3</v>
      </c>
      <c r="L1055" s="174">
        <f>VLOOKUP(A1055,'Step 1'!$A:$E,4,FALSE)</f>
        <v>502117</v>
      </c>
      <c r="M1055" s="47">
        <f t="shared" si="309"/>
        <v>2882</v>
      </c>
      <c r="N1055" s="177">
        <f>SUMIFS('Support - Transition'!G:G,'Support - Transition'!J:J,'Step 2'!D1055,'Support - Transition'!E:E,"2009 WELFARE ALLOCATION FACTOR")</f>
        <v>0</v>
      </c>
      <c r="O1055" s="152">
        <f t="shared" si="314"/>
        <v>0</v>
      </c>
      <c r="P1055" s="126">
        <f>IF(E1055="Y",0,SUMIFS('Support - Transition'!G:G,'Support - Transition'!J:J,'Step 2'!D1055,'Support - Transition'!E:E,"2009 SCHOOL ALLOCATION FACTOR"))</f>
        <v>0</v>
      </c>
      <c r="Q1055" s="126">
        <f>IF(E1055="Y",VLOOKUP(D1055,'Support - Unit Adjustments'!F:G,2,FALSE),0)</f>
        <v>0</v>
      </c>
      <c r="R1055" s="155">
        <f t="shared" si="326"/>
        <v>0</v>
      </c>
      <c r="S1055" s="47">
        <f t="shared" si="325"/>
        <v>0</v>
      </c>
      <c r="T1055" s="151">
        <f t="shared" si="310"/>
        <v>2882</v>
      </c>
      <c r="U1055" s="151">
        <f t="shared" si="311"/>
        <v>0</v>
      </c>
      <c r="V1055" s="139">
        <f t="shared" si="312"/>
        <v>0</v>
      </c>
      <c r="W1055" s="152">
        <f t="shared" si="315"/>
        <v>2882</v>
      </c>
      <c r="X1055" s="127" t="str">
        <f t="shared" si="313"/>
        <v/>
      </c>
      <c r="Y1055" s="207">
        <f t="shared" si="316"/>
        <v>2882</v>
      </c>
      <c r="Z1055" s="139">
        <f t="shared" si="317"/>
        <v>2882</v>
      </c>
      <c r="AA1055" s="139">
        <f t="shared" si="318"/>
        <v>0</v>
      </c>
      <c r="AC1055" s="47">
        <f t="shared" si="319"/>
        <v>1441</v>
      </c>
      <c r="AD1055" s="47">
        <f t="shared" si="320"/>
        <v>1441</v>
      </c>
      <c r="AE1055" s="47">
        <f t="shared" si="321"/>
        <v>0</v>
      </c>
      <c r="AG1055" s="47">
        <f t="shared" si="322"/>
        <v>1441</v>
      </c>
      <c r="AH1055" s="47">
        <f t="shared" si="323"/>
        <v>1441</v>
      </c>
      <c r="AI1055" s="208">
        <f t="shared" si="324"/>
        <v>0</v>
      </c>
    </row>
    <row r="1056" spans="1:35">
      <c r="A1056" t="s">
        <v>2122</v>
      </c>
      <c r="B1056" t="s">
        <v>3155</v>
      </c>
      <c r="C1056" t="s">
        <v>2611</v>
      </c>
      <c r="D1056" t="s">
        <v>4394</v>
      </c>
      <c r="F1056" t="s">
        <v>818</v>
      </c>
      <c r="G1056" s="126">
        <f>SUMIFS('Support - Transition'!F:F,'Support - Transition'!B:B,'Step 2'!A1056,'Support - Transition'!C:C,'Step 2'!B1056,'Support - Transition'!D:D,'Step 2'!C1056,'Support - Transition'!E:E,"CIVIL")</f>
        <v>0</v>
      </c>
      <c r="H1056" s="126">
        <f>SUMIFS('Support - Transition'!F:F,'Support - Transition'!B:B,'Step 2'!A1056,'Support - Transition'!C:C,'Step 2'!B1056,'Support - Transition'!D:D,'Step 2'!C1056,'Support - Transition'!E:E,"FIRE")</f>
        <v>0</v>
      </c>
      <c r="I1056" s="126">
        <f>IF(B1056="0",SUMIFS('Support - Transition'!F:F,'Support - Transition'!J:J,'Step 2'!D1056,'Support - Transition'!E:E,"STATE UNIT"),SUMIFS('Support - Transition'!F:F,'Support - Transition'!J:J,'Step 2'!D1056))</f>
        <v>1.673E-3</v>
      </c>
      <c r="J1056" s="126">
        <f>SUMIFS('Support - Unit Adjustments'!E:E,'Support - Unit Adjustments'!F:F,'Step 2'!D1056)</f>
        <v>0</v>
      </c>
      <c r="K1056" s="126">
        <f t="shared" si="308"/>
        <v>1.673E-3</v>
      </c>
      <c r="L1056" s="174">
        <f>VLOOKUP(A1056,'Step 1'!$A:$E,4,FALSE)</f>
        <v>502117</v>
      </c>
      <c r="M1056" s="47">
        <f t="shared" si="309"/>
        <v>840</v>
      </c>
      <c r="N1056" s="177">
        <f>SUMIFS('Support - Transition'!G:G,'Support - Transition'!J:J,'Step 2'!D1056,'Support - Transition'!E:E,"2009 WELFARE ALLOCATION FACTOR")</f>
        <v>0</v>
      </c>
      <c r="O1056" s="152">
        <f t="shared" si="314"/>
        <v>0</v>
      </c>
      <c r="P1056" s="126">
        <f>IF(E1056="Y",0,SUMIFS('Support - Transition'!G:G,'Support - Transition'!J:J,'Step 2'!D1056,'Support - Transition'!E:E,"2009 SCHOOL ALLOCATION FACTOR"))</f>
        <v>0</v>
      </c>
      <c r="Q1056" s="126">
        <f>IF(E1056="Y",VLOOKUP(D1056,'Support - Unit Adjustments'!F:G,2,FALSE),0)</f>
        <v>0</v>
      </c>
      <c r="R1056" s="155">
        <f t="shared" si="326"/>
        <v>0</v>
      </c>
      <c r="S1056" s="47">
        <f t="shared" si="325"/>
        <v>0</v>
      </c>
      <c r="T1056" s="151">
        <f t="shared" si="310"/>
        <v>840</v>
      </c>
      <c r="U1056" s="151">
        <f t="shared" si="311"/>
        <v>0</v>
      </c>
      <c r="V1056" s="139">
        <f t="shared" si="312"/>
        <v>0</v>
      </c>
      <c r="W1056" s="152">
        <f t="shared" si="315"/>
        <v>840</v>
      </c>
      <c r="X1056" s="127" t="str">
        <f t="shared" si="313"/>
        <v/>
      </c>
      <c r="Y1056" s="207">
        <f t="shared" si="316"/>
        <v>840</v>
      </c>
      <c r="Z1056" s="139">
        <f t="shared" si="317"/>
        <v>840</v>
      </c>
      <c r="AA1056" s="139">
        <f t="shared" si="318"/>
        <v>0</v>
      </c>
      <c r="AC1056" s="47">
        <f t="shared" si="319"/>
        <v>420</v>
      </c>
      <c r="AD1056" s="47">
        <f t="shared" si="320"/>
        <v>420</v>
      </c>
      <c r="AE1056" s="47">
        <f t="shared" si="321"/>
        <v>0</v>
      </c>
      <c r="AG1056" s="47">
        <f t="shared" si="322"/>
        <v>420</v>
      </c>
      <c r="AH1056" s="47">
        <f t="shared" si="323"/>
        <v>420</v>
      </c>
      <c r="AI1056" s="208">
        <f t="shared" si="324"/>
        <v>0</v>
      </c>
    </row>
    <row r="1057" spans="1:35">
      <c r="A1057" t="s">
        <v>2122</v>
      </c>
      <c r="B1057" t="s">
        <v>3155</v>
      </c>
      <c r="C1057" t="s">
        <v>2612</v>
      </c>
      <c r="D1057" t="s">
        <v>4395</v>
      </c>
      <c r="F1057" t="s">
        <v>819</v>
      </c>
      <c r="G1057" s="126">
        <f>SUMIFS('Support - Transition'!F:F,'Support - Transition'!B:B,'Step 2'!A1057,'Support - Transition'!C:C,'Step 2'!B1057,'Support - Transition'!D:D,'Step 2'!C1057,'Support - Transition'!E:E,"CIVIL")</f>
        <v>0</v>
      </c>
      <c r="H1057" s="126">
        <f>SUMIFS('Support - Transition'!F:F,'Support - Transition'!B:B,'Step 2'!A1057,'Support - Transition'!C:C,'Step 2'!B1057,'Support - Transition'!D:D,'Step 2'!C1057,'Support - Transition'!E:E,"FIRE")</f>
        <v>0</v>
      </c>
      <c r="I1057" s="126">
        <f>IF(B1057="0",SUMIFS('Support - Transition'!F:F,'Support - Transition'!J:J,'Step 2'!D1057,'Support - Transition'!E:E,"STATE UNIT"),SUMIFS('Support - Transition'!F:F,'Support - Transition'!J:J,'Step 2'!D1057))</f>
        <v>1.305E-3</v>
      </c>
      <c r="J1057" s="126">
        <f>SUMIFS('Support - Unit Adjustments'!E:E,'Support - Unit Adjustments'!F:F,'Step 2'!D1057)</f>
        <v>0</v>
      </c>
      <c r="K1057" s="126">
        <f t="shared" si="308"/>
        <v>1.305E-3</v>
      </c>
      <c r="L1057" s="174">
        <f>VLOOKUP(A1057,'Step 1'!$A:$E,4,FALSE)</f>
        <v>502117</v>
      </c>
      <c r="M1057" s="47">
        <f t="shared" si="309"/>
        <v>655</v>
      </c>
      <c r="N1057" s="177">
        <f>SUMIFS('Support - Transition'!G:G,'Support - Transition'!J:J,'Step 2'!D1057,'Support - Transition'!E:E,"2009 WELFARE ALLOCATION FACTOR")</f>
        <v>0</v>
      </c>
      <c r="O1057" s="152">
        <f t="shared" si="314"/>
        <v>0</v>
      </c>
      <c r="P1057" s="126">
        <f>IF(E1057="Y",0,SUMIFS('Support - Transition'!G:G,'Support - Transition'!J:J,'Step 2'!D1057,'Support - Transition'!E:E,"2009 SCHOOL ALLOCATION FACTOR"))</f>
        <v>0</v>
      </c>
      <c r="Q1057" s="126">
        <f>IF(E1057="Y",VLOOKUP(D1057,'Support - Unit Adjustments'!F:G,2,FALSE),0)</f>
        <v>0</v>
      </c>
      <c r="R1057" s="155">
        <f t="shared" si="326"/>
        <v>0</v>
      </c>
      <c r="S1057" s="47">
        <f t="shared" si="325"/>
        <v>0</v>
      </c>
      <c r="T1057" s="151">
        <f t="shared" si="310"/>
        <v>655</v>
      </c>
      <c r="U1057" s="151">
        <f t="shared" si="311"/>
        <v>0</v>
      </c>
      <c r="V1057" s="139">
        <f t="shared" si="312"/>
        <v>0</v>
      </c>
      <c r="W1057" s="152">
        <f t="shared" si="315"/>
        <v>655</v>
      </c>
      <c r="X1057" s="127" t="str">
        <f t="shared" si="313"/>
        <v/>
      </c>
      <c r="Y1057" s="207">
        <f t="shared" si="316"/>
        <v>655</v>
      </c>
      <c r="Z1057" s="139">
        <f t="shared" si="317"/>
        <v>655</v>
      </c>
      <c r="AA1057" s="139">
        <f t="shared" si="318"/>
        <v>0</v>
      </c>
      <c r="AC1057" s="47">
        <f t="shared" si="319"/>
        <v>328</v>
      </c>
      <c r="AD1057" s="47">
        <f t="shared" si="320"/>
        <v>328</v>
      </c>
      <c r="AE1057" s="47">
        <f t="shared" si="321"/>
        <v>0</v>
      </c>
      <c r="AG1057" s="47">
        <f t="shared" si="322"/>
        <v>327</v>
      </c>
      <c r="AH1057" s="47">
        <f t="shared" si="323"/>
        <v>327</v>
      </c>
      <c r="AI1057" s="208">
        <f t="shared" si="324"/>
        <v>0</v>
      </c>
    </row>
    <row r="1058" spans="1:35">
      <c r="A1058" t="s">
        <v>2122</v>
      </c>
      <c r="B1058" t="s">
        <v>3160</v>
      </c>
      <c r="C1058" t="s">
        <v>2613</v>
      </c>
      <c r="D1058" t="s">
        <v>4396</v>
      </c>
      <c r="F1058" t="s">
        <v>823</v>
      </c>
      <c r="G1058" s="126">
        <f>SUMIFS('Support - Transition'!F:F,'Support - Transition'!B:B,'Step 2'!A1058,'Support - Transition'!C:C,'Step 2'!B1058,'Support - Transition'!D:D,'Step 2'!C1058,'Support - Transition'!E:E,"CIVIL")</f>
        <v>0</v>
      </c>
      <c r="H1058" s="126">
        <f>SUMIFS('Support - Transition'!F:F,'Support - Transition'!B:B,'Step 2'!A1058,'Support - Transition'!C:C,'Step 2'!B1058,'Support - Transition'!D:D,'Step 2'!C1058,'Support - Transition'!E:E,"FIRE")</f>
        <v>0</v>
      </c>
      <c r="I1058" s="126">
        <f>IF(B1058="0",SUMIFS('Support - Transition'!F:F,'Support - Transition'!J:J,'Step 2'!D1058,'Support - Transition'!E:E,"STATE UNIT"),SUMIFS('Support - Transition'!F:F,'Support - Transition'!J:J,'Step 2'!D1058))</f>
        <v>2.5323999999999999E-2</v>
      </c>
      <c r="J1058" s="126">
        <f>SUMIFS('Support - Unit Adjustments'!E:E,'Support - Unit Adjustments'!F:F,'Step 2'!D1058)</f>
        <v>0</v>
      </c>
      <c r="K1058" s="126">
        <f t="shared" si="308"/>
        <v>2.5323999999999999E-2</v>
      </c>
      <c r="L1058" s="174">
        <f>VLOOKUP(A1058,'Step 1'!$A:$E,4,FALSE)</f>
        <v>502117</v>
      </c>
      <c r="M1058" s="47">
        <f t="shared" si="309"/>
        <v>12716</v>
      </c>
      <c r="N1058" s="177">
        <f>SUMIFS('Support - Transition'!G:G,'Support - Transition'!J:J,'Step 2'!D1058,'Support - Transition'!E:E,"2009 WELFARE ALLOCATION FACTOR")</f>
        <v>0</v>
      </c>
      <c r="O1058" s="152">
        <f t="shared" si="314"/>
        <v>0</v>
      </c>
      <c r="P1058" s="126">
        <f>IF(E1058="Y",0,SUMIFS('Support - Transition'!G:G,'Support - Transition'!J:J,'Step 2'!D1058,'Support - Transition'!E:E,"2009 SCHOOL ALLOCATION FACTOR"))</f>
        <v>0.31547700000000001</v>
      </c>
      <c r="Q1058" s="126">
        <f>IF(E1058="Y",VLOOKUP(D1058,'Support - Unit Adjustments'!F:G,2,FALSE),0)</f>
        <v>0</v>
      </c>
      <c r="R1058" s="155">
        <f t="shared" si="326"/>
        <v>0.31547700000000001</v>
      </c>
      <c r="S1058" s="47">
        <f t="shared" si="325"/>
        <v>4012</v>
      </c>
      <c r="T1058" s="151">
        <f t="shared" si="310"/>
        <v>8704</v>
      </c>
      <c r="U1058" s="151">
        <f t="shared" si="311"/>
        <v>0</v>
      </c>
      <c r="V1058" s="139">
        <f t="shared" si="312"/>
        <v>0</v>
      </c>
      <c r="W1058" s="152">
        <f t="shared" si="315"/>
        <v>8704</v>
      </c>
      <c r="X1058" s="127" t="str">
        <f t="shared" si="313"/>
        <v/>
      </c>
      <c r="Y1058" s="207">
        <f t="shared" si="316"/>
        <v>8704</v>
      </c>
      <c r="Z1058" s="139">
        <f t="shared" si="317"/>
        <v>8704</v>
      </c>
      <c r="AA1058" s="139">
        <f t="shared" si="318"/>
        <v>0</v>
      </c>
      <c r="AC1058" s="47">
        <f t="shared" si="319"/>
        <v>4352</v>
      </c>
      <c r="AD1058" s="47">
        <f t="shared" si="320"/>
        <v>4352</v>
      </c>
      <c r="AE1058" s="47">
        <f t="shared" si="321"/>
        <v>0</v>
      </c>
      <c r="AG1058" s="47">
        <f t="shared" si="322"/>
        <v>4352</v>
      </c>
      <c r="AH1058" s="47">
        <f t="shared" si="323"/>
        <v>4352</v>
      </c>
      <c r="AI1058" s="208">
        <f t="shared" si="324"/>
        <v>0</v>
      </c>
    </row>
    <row r="1059" spans="1:35">
      <c r="A1059" t="s">
        <v>2122</v>
      </c>
      <c r="B1059" t="s">
        <v>3160</v>
      </c>
      <c r="C1059" t="s">
        <v>2614</v>
      </c>
      <c r="D1059" t="s">
        <v>4397</v>
      </c>
      <c r="F1059" t="s">
        <v>824</v>
      </c>
      <c r="G1059" s="126">
        <f>SUMIFS('Support - Transition'!F:F,'Support - Transition'!B:B,'Step 2'!A1059,'Support - Transition'!C:C,'Step 2'!B1059,'Support - Transition'!D:D,'Step 2'!C1059,'Support - Transition'!E:E,"CIVIL")</f>
        <v>0</v>
      </c>
      <c r="H1059" s="126">
        <f>SUMIFS('Support - Transition'!F:F,'Support - Transition'!B:B,'Step 2'!A1059,'Support - Transition'!C:C,'Step 2'!B1059,'Support - Transition'!D:D,'Step 2'!C1059,'Support - Transition'!E:E,"FIRE")</f>
        <v>0</v>
      </c>
      <c r="I1059" s="126">
        <f>IF(B1059="0",SUMIFS('Support - Transition'!F:F,'Support - Transition'!J:J,'Step 2'!D1059,'Support - Transition'!E:E,"STATE UNIT"),SUMIFS('Support - Transition'!F:F,'Support - Transition'!J:J,'Step 2'!D1059))</f>
        <v>0.48102</v>
      </c>
      <c r="J1059" s="126">
        <f>SUMIFS('Support - Unit Adjustments'!E:E,'Support - Unit Adjustments'!F:F,'Step 2'!D1059)</f>
        <v>0</v>
      </c>
      <c r="K1059" s="126">
        <f t="shared" si="308"/>
        <v>0.48102</v>
      </c>
      <c r="L1059" s="174">
        <f>VLOOKUP(A1059,'Step 1'!$A:$E,4,FALSE)</f>
        <v>502117</v>
      </c>
      <c r="M1059" s="47">
        <f t="shared" si="309"/>
        <v>241528</v>
      </c>
      <c r="N1059" s="177">
        <f>SUMIFS('Support - Transition'!G:G,'Support - Transition'!J:J,'Step 2'!D1059,'Support - Transition'!E:E,"2009 WELFARE ALLOCATION FACTOR")</f>
        <v>0</v>
      </c>
      <c r="O1059" s="152">
        <f t="shared" si="314"/>
        <v>0</v>
      </c>
      <c r="P1059" s="126">
        <f>IF(E1059="Y",0,SUMIFS('Support - Transition'!G:G,'Support - Transition'!J:J,'Step 2'!D1059,'Support - Transition'!E:E,"2009 SCHOOL ALLOCATION FACTOR"))</f>
        <v>0.51713299999999995</v>
      </c>
      <c r="Q1059" s="126">
        <f>IF(E1059="Y",VLOOKUP(D1059,'Support - Unit Adjustments'!F:G,2,FALSE),0)</f>
        <v>0</v>
      </c>
      <c r="R1059" s="155">
        <f t="shared" si="326"/>
        <v>0.51713299999999995</v>
      </c>
      <c r="S1059" s="47">
        <f t="shared" si="325"/>
        <v>124902</v>
      </c>
      <c r="T1059" s="151">
        <f t="shared" si="310"/>
        <v>116626</v>
      </c>
      <c r="U1059" s="151">
        <f t="shared" si="311"/>
        <v>0</v>
      </c>
      <c r="V1059" s="139">
        <f t="shared" si="312"/>
        <v>0</v>
      </c>
      <c r="W1059" s="152">
        <f t="shared" si="315"/>
        <v>116626</v>
      </c>
      <c r="X1059" s="127" t="str">
        <f t="shared" si="313"/>
        <v/>
      </c>
      <c r="Y1059" s="207">
        <f t="shared" si="316"/>
        <v>116626</v>
      </c>
      <c r="Z1059" s="139">
        <f t="shared" si="317"/>
        <v>116626</v>
      </c>
      <c r="AA1059" s="139">
        <f t="shared" si="318"/>
        <v>0</v>
      </c>
      <c r="AC1059" s="47">
        <f t="shared" si="319"/>
        <v>58313</v>
      </c>
      <c r="AD1059" s="47">
        <f t="shared" si="320"/>
        <v>58313</v>
      </c>
      <c r="AE1059" s="47">
        <f t="shared" si="321"/>
        <v>0</v>
      </c>
      <c r="AG1059" s="47">
        <f t="shared" si="322"/>
        <v>58313</v>
      </c>
      <c r="AH1059" s="47">
        <f t="shared" si="323"/>
        <v>58313</v>
      </c>
      <c r="AI1059" s="208">
        <f t="shared" si="324"/>
        <v>0</v>
      </c>
    </row>
    <row r="1060" spans="1:35">
      <c r="A1060" t="s">
        <v>2122</v>
      </c>
      <c r="B1060" t="s">
        <v>3160</v>
      </c>
      <c r="C1060" t="s">
        <v>2615</v>
      </c>
      <c r="D1060" t="s">
        <v>4398</v>
      </c>
      <c r="F1060" t="s">
        <v>821</v>
      </c>
      <c r="G1060" s="126">
        <f>SUMIFS('Support - Transition'!F:F,'Support - Transition'!B:B,'Step 2'!A1060,'Support - Transition'!C:C,'Step 2'!B1060,'Support - Transition'!D:D,'Step 2'!C1060,'Support - Transition'!E:E,"CIVIL")</f>
        <v>0</v>
      </c>
      <c r="H1060" s="126">
        <f>SUMIFS('Support - Transition'!F:F,'Support - Transition'!B:B,'Step 2'!A1060,'Support - Transition'!C:C,'Step 2'!B1060,'Support - Transition'!D:D,'Step 2'!C1060,'Support - Transition'!E:E,"FIRE")</f>
        <v>0</v>
      </c>
      <c r="I1060" s="126">
        <f>IF(B1060="0",SUMIFS('Support - Transition'!F:F,'Support - Transition'!J:J,'Step 2'!D1060,'Support - Transition'!E:E,"STATE UNIT"),SUMIFS('Support - Transition'!F:F,'Support - Transition'!J:J,'Step 2'!D1060))</f>
        <v>0.110149</v>
      </c>
      <c r="J1060" s="126">
        <f>SUMIFS('Support - Unit Adjustments'!E:E,'Support - Unit Adjustments'!F:F,'Step 2'!D1060)</f>
        <v>0</v>
      </c>
      <c r="K1060" s="126">
        <f t="shared" si="308"/>
        <v>0.110149</v>
      </c>
      <c r="L1060" s="174">
        <f>VLOOKUP(A1060,'Step 1'!$A:$E,4,FALSE)</f>
        <v>502117</v>
      </c>
      <c r="M1060" s="47">
        <f t="shared" si="309"/>
        <v>55308</v>
      </c>
      <c r="N1060" s="177">
        <f>SUMIFS('Support - Transition'!G:G,'Support - Transition'!J:J,'Step 2'!D1060,'Support - Transition'!E:E,"2009 WELFARE ALLOCATION FACTOR")</f>
        <v>0</v>
      </c>
      <c r="O1060" s="152">
        <f t="shared" si="314"/>
        <v>0</v>
      </c>
      <c r="P1060" s="126">
        <f>IF(E1060="Y",0,SUMIFS('Support - Transition'!G:G,'Support - Transition'!J:J,'Step 2'!D1060,'Support - Transition'!E:E,"2009 SCHOOL ALLOCATION FACTOR"))</f>
        <v>0.43771500000000002</v>
      </c>
      <c r="Q1060" s="126">
        <f>IF(E1060="Y",VLOOKUP(D1060,'Support - Unit Adjustments'!F:G,2,FALSE),0)</f>
        <v>0</v>
      </c>
      <c r="R1060" s="155">
        <f t="shared" si="326"/>
        <v>0.43771500000000002</v>
      </c>
      <c r="S1060" s="47">
        <f t="shared" si="325"/>
        <v>24209</v>
      </c>
      <c r="T1060" s="151">
        <f t="shared" si="310"/>
        <v>31099</v>
      </c>
      <c r="U1060" s="151">
        <f t="shared" si="311"/>
        <v>0</v>
      </c>
      <c r="V1060" s="139">
        <f t="shared" si="312"/>
        <v>0</v>
      </c>
      <c r="W1060" s="152">
        <f t="shared" si="315"/>
        <v>31099</v>
      </c>
      <c r="X1060" s="127" t="str">
        <f t="shared" si="313"/>
        <v/>
      </c>
      <c r="Y1060" s="207">
        <f t="shared" si="316"/>
        <v>31099</v>
      </c>
      <c r="Z1060" s="139">
        <f t="shared" si="317"/>
        <v>31099</v>
      </c>
      <c r="AA1060" s="139">
        <f t="shared" si="318"/>
        <v>0</v>
      </c>
      <c r="AC1060" s="47">
        <f t="shared" si="319"/>
        <v>15550</v>
      </c>
      <c r="AD1060" s="47">
        <f t="shared" si="320"/>
        <v>15550</v>
      </c>
      <c r="AE1060" s="47">
        <f t="shared" si="321"/>
        <v>0</v>
      </c>
      <c r="AG1060" s="47">
        <f t="shared" si="322"/>
        <v>15549</v>
      </c>
      <c r="AH1060" s="47">
        <f t="shared" si="323"/>
        <v>15549</v>
      </c>
      <c r="AI1060" s="208">
        <f t="shared" si="324"/>
        <v>0</v>
      </c>
    </row>
    <row r="1061" spans="1:35">
      <c r="A1061" t="s">
        <v>2122</v>
      </c>
      <c r="B1061" t="s">
        <v>3160</v>
      </c>
      <c r="C1061" t="s">
        <v>2616</v>
      </c>
      <c r="D1061" t="s">
        <v>4399</v>
      </c>
      <c r="F1061" t="s">
        <v>4400</v>
      </c>
      <c r="G1061" s="126">
        <f>SUMIFS('Support - Transition'!F:F,'Support - Transition'!B:B,'Step 2'!A1061,'Support - Transition'!C:C,'Step 2'!B1061,'Support - Transition'!D:D,'Step 2'!C1061,'Support - Transition'!E:E,"CIVIL")</f>
        <v>0</v>
      </c>
      <c r="H1061" s="126">
        <f>SUMIFS('Support - Transition'!F:F,'Support - Transition'!B:B,'Step 2'!A1061,'Support - Transition'!C:C,'Step 2'!B1061,'Support - Transition'!D:D,'Step 2'!C1061,'Support - Transition'!E:E,"FIRE")</f>
        <v>0</v>
      </c>
      <c r="I1061" s="126">
        <f>IF(B1061="0",SUMIFS('Support - Transition'!F:F,'Support - Transition'!J:J,'Step 2'!D1061,'Support - Transition'!E:E,"STATE UNIT"),SUMIFS('Support - Transition'!F:F,'Support - Transition'!J:J,'Step 2'!D1061))</f>
        <v>3.4363999999999999E-2</v>
      </c>
      <c r="J1061" s="126">
        <f>SUMIFS('Support - Unit Adjustments'!E:E,'Support - Unit Adjustments'!F:F,'Step 2'!D1061)</f>
        <v>0</v>
      </c>
      <c r="K1061" s="126">
        <f t="shared" si="308"/>
        <v>3.4363999999999999E-2</v>
      </c>
      <c r="L1061" s="174">
        <f>VLOOKUP(A1061,'Step 1'!$A:$E,4,FALSE)</f>
        <v>502117</v>
      </c>
      <c r="M1061" s="47">
        <f t="shared" si="309"/>
        <v>17255</v>
      </c>
      <c r="N1061" s="177">
        <f>SUMIFS('Support - Transition'!G:G,'Support - Transition'!J:J,'Step 2'!D1061,'Support - Transition'!E:E,"2009 WELFARE ALLOCATION FACTOR")</f>
        <v>0</v>
      </c>
      <c r="O1061" s="152">
        <f t="shared" si="314"/>
        <v>0</v>
      </c>
      <c r="P1061" s="126">
        <f>IF(E1061="Y",0,SUMIFS('Support - Transition'!G:G,'Support - Transition'!J:J,'Step 2'!D1061,'Support - Transition'!E:E,"2009 SCHOOL ALLOCATION FACTOR"))</f>
        <v>0.44339000000000001</v>
      </c>
      <c r="Q1061" s="126">
        <f>IF(E1061="Y",VLOOKUP(D1061,'Support - Unit Adjustments'!F:G,2,FALSE),0)</f>
        <v>0</v>
      </c>
      <c r="R1061" s="155">
        <f t="shared" si="326"/>
        <v>0.44339000000000001</v>
      </c>
      <c r="S1061" s="47">
        <f t="shared" si="325"/>
        <v>7651</v>
      </c>
      <c r="T1061" s="151">
        <f t="shared" si="310"/>
        <v>9604</v>
      </c>
      <c r="U1061" s="151">
        <f t="shared" si="311"/>
        <v>0</v>
      </c>
      <c r="V1061" s="139">
        <f t="shared" si="312"/>
        <v>0</v>
      </c>
      <c r="W1061" s="152">
        <f t="shared" si="315"/>
        <v>9604</v>
      </c>
      <c r="X1061" s="127" t="str">
        <f t="shared" si="313"/>
        <v/>
      </c>
      <c r="Y1061" s="207">
        <f t="shared" si="316"/>
        <v>9604</v>
      </c>
      <c r="Z1061" s="139">
        <f t="shared" si="317"/>
        <v>9604</v>
      </c>
      <c r="AA1061" s="139">
        <f t="shared" si="318"/>
        <v>0</v>
      </c>
      <c r="AC1061" s="47">
        <f t="shared" si="319"/>
        <v>4802</v>
      </c>
      <c r="AD1061" s="47">
        <f t="shared" si="320"/>
        <v>4802</v>
      </c>
      <c r="AE1061" s="47">
        <f t="shared" si="321"/>
        <v>0</v>
      </c>
      <c r="AG1061" s="47">
        <f t="shared" si="322"/>
        <v>4802</v>
      </c>
      <c r="AH1061" s="47">
        <f t="shared" si="323"/>
        <v>4802</v>
      </c>
      <c r="AI1061" s="208">
        <f t="shared" si="324"/>
        <v>0</v>
      </c>
    </row>
    <row r="1062" spans="1:35">
      <c r="A1062" t="s">
        <v>2122</v>
      </c>
      <c r="B1062" t="s">
        <v>3166</v>
      </c>
      <c r="C1062" t="s">
        <v>2215</v>
      </c>
      <c r="D1062" t="s">
        <v>4401</v>
      </c>
      <c r="F1062" t="s">
        <v>825</v>
      </c>
      <c r="G1062" s="126">
        <f>SUMIFS('Support - Transition'!F:F,'Support - Transition'!B:B,'Step 2'!A1062,'Support - Transition'!C:C,'Step 2'!B1062,'Support - Transition'!D:D,'Step 2'!C1062,'Support - Transition'!E:E,"CIVIL")</f>
        <v>0</v>
      </c>
      <c r="H1062" s="126">
        <f>SUMIFS('Support - Transition'!F:F,'Support - Transition'!B:B,'Step 2'!A1062,'Support - Transition'!C:C,'Step 2'!B1062,'Support - Transition'!D:D,'Step 2'!C1062,'Support - Transition'!E:E,"FIRE")</f>
        <v>0</v>
      </c>
      <c r="I1062" s="126">
        <f>IF(B1062="0",SUMIFS('Support - Transition'!F:F,'Support - Transition'!J:J,'Step 2'!D1062,'Support - Transition'!E:E,"STATE UNIT"),SUMIFS('Support - Transition'!F:F,'Support - Transition'!J:J,'Step 2'!D1062))</f>
        <v>5.1580000000000003E-3</v>
      </c>
      <c r="J1062" s="126">
        <f>SUMIFS('Support - Unit Adjustments'!E:E,'Support - Unit Adjustments'!F:F,'Step 2'!D1062)</f>
        <v>0</v>
      </c>
      <c r="K1062" s="126">
        <f t="shared" si="308"/>
        <v>5.1580000000000003E-3</v>
      </c>
      <c r="L1062" s="174">
        <f>VLOOKUP(A1062,'Step 1'!$A:$E,4,FALSE)</f>
        <v>502117</v>
      </c>
      <c r="M1062" s="47">
        <f t="shared" si="309"/>
        <v>2590</v>
      </c>
      <c r="N1062" s="177">
        <f>SUMIFS('Support - Transition'!G:G,'Support - Transition'!J:J,'Step 2'!D1062,'Support - Transition'!E:E,"2009 WELFARE ALLOCATION FACTOR")</f>
        <v>0</v>
      </c>
      <c r="O1062" s="152">
        <f t="shared" si="314"/>
        <v>0</v>
      </c>
      <c r="P1062" s="126">
        <f>IF(E1062="Y",0,SUMIFS('Support - Transition'!G:G,'Support - Transition'!J:J,'Step 2'!D1062,'Support - Transition'!E:E,"2009 SCHOOL ALLOCATION FACTOR"))</f>
        <v>0</v>
      </c>
      <c r="Q1062" s="126">
        <f>IF(E1062="Y",VLOOKUP(D1062,'Support - Unit Adjustments'!F:G,2,FALSE),0)</f>
        <v>0</v>
      </c>
      <c r="R1062" s="155">
        <f t="shared" si="326"/>
        <v>0</v>
      </c>
      <c r="S1062" s="47">
        <f t="shared" si="325"/>
        <v>0</v>
      </c>
      <c r="T1062" s="151">
        <f t="shared" si="310"/>
        <v>2590</v>
      </c>
      <c r="U1062" s="151">
        <f t="shared" si="311"/>
        <v>0</v>
      </c>
      <c r="V1062" s="139">
        <f t="shared" si="312"/>
        <v>0</v>
      </c>
      <c r="W1062" s="152">
        <f t="shared" si="315"/>
        <v>2590</v>
      </c>
      <c r="X1062" s="127" t="str">
        <f t="shared" si="313"/>
        <v/>
      </c>
      <c r="Y1062" s="207">
        <f t="shared" si="316"/>
        <v>2590</v>
      </c>
      <c r="Z1062" s="139">
        <f t="shared" si="317"/>
        <v>2590</v>
      </c>
      <c r="AA1062" s="139">
        <f t="shared" si="318"/>
        <v>0</v>
      </c>
      <c r="AC1062" s="47">
        <f t="shared" si="319"/>
        <v>1295</v>
      </c>
      <c r="AD1062" s="47">
        <f t="shared" si="320"/>
        <v>1295</v>
      </c>
      <c r="AE1062" s="47">
        <f t="shared" si="321"/>
        <v>0</v>
      </c>
      <c r="AG1062" s="47">
        <f t="shared" si="322"/>
        <v>1295</v>
      </c>
      <c r="AH1062" s="47">
        <f t="shared" si="323"/>
        <v>1295</v>
      </c>
      <c r="AI1062" s="208">
        <f t="shared" si="324"/>
        <v>0</v>
      </c>
    </row>
    <row r="1063" spans="1:35">
      <c r="A1063" t="s">
        <v>2122</v>
      </c>
      <c r="B1063" t="s">
        <v>3166</v>
      </c>
      <c r="C1063" t="s">
        <v>4402</v>
      </c>
      <c r="D1063" t="s">
        <v>4403</v>
      </c>
      <c r="F1063" t="s">
        <v>826</v>
      </c>
      <c r="G1063" s="126">
        <f>SUMIFS('Support - Transition'!F:F,'Support - Transition'!B:B,'Step 2'!A1063,'Support - Transition'!C:C,'Step 2'!B1063,'Support - Transition'!D:D,'Step 2'!C1063,'Support - Transition'!E:E,"CIVIL")</f>
        <v>0</v>
      </c>
      <c r="H1063" s="126">
        <f>SUMIFS('Support - Transition'!F:F,'Support - Transition'!B:B,'Step 2'!A1063,'Support - Transition'!C:C,'Step 2'!B1063,'Support - Transition'!D:D,'Step 2'!C1063,'Support - Transition'!E:E,"FIRE")</f>
        <v>0</v>
      </c>
      <c r="I1063" s="126">
        <f>IF(B1063="0",SUMIFS('Support - Transition'!F:F,'Support - Transition'!J:J,'Step 2'!D1063,'Support - Transition'!E:E,"STATE UNIT"),SUMIFS('Support - Transition'!F:F,'Support - Transition'!J:J,'Step 2'!D1063))</f>
        <v>3.6632999999999999E-2</v>
      </c>
      <c r="J1063" s="126">
        <f>SUMIFS('Support - Unit Adjustments'!E:E,'Support - Unit Adjustments'!F:F,'Step 2'!D1063)</f>
        <v>0</v>
      </c>
      <c r="K1063" s="126">
        <f t="shared" si="308"/>
        <v>3.6632999999999999E-2</v>
      </c>
      <c r="L1063" s="174">
        <f>VLOOKUP(A1063,'Step 1'!$A:$E,4,FALSE)</f>
        <v>502117</v>
      </c>
      <c r="M1063" s="47">
        <f t="shared" si="309"/>
        <v>18394</v>
      </c>
      <c r="N1063" s="177">
        <f>SUMIFS('Support - Transition'!G:G,'Support - Transition'!J:J,'Step 2'!D1063,'Support - Transition'!E:E,"2009 WELFARE ALLOCATION FACTOR")</f>
        <v>0</v>
      </c>
      <c r="O1063" s="152">
        <f t="shared" si="314"/>
        <v>0</v>
      </c>
      <c r="P1063" s="126">
        <f>IF(E1063="Y",0,SUMIFS('Support - Transition'!G:G,'Support - Transition'!J:J,'Step 2'!D1063,'Support - Transition'!E:E,"2009 SCHOOL ALLOCATION FACTOR"))</f>
        <v>0</v>
      </c>
      <c r="Q1063" s="126">
        <f>IF(E1063="Y",VLOOKUP(D1063,'Support - Unit Adjustments'!F:G,2,FALSE),0)</f>
        <v>0</v>
      </c>
      <c r="R1063" s="155">
        <f t="shared" si="326"/>
        <v>0</v>
      </c>
      <c r="S1063" s="47">
        <f t="shared" si="325"/>
        <v>0</v>
      </c>
      <c r="T1063" s="151">
        <f t="shared" si="310"/>
        <v>18394</v>
      </c>
      <c r="U1063" s="151">
        <f t="shared" si="311"/>
        <v>0</v>
      </c>
      <c r="V1063" s="139">
        <f t="shared" si="312"/>
        <v>0</v>
      </c>
      <c r="W1063" s="152">
        <f t="shared" si="315"/>
        <v>18394</v>
      </c>
      <c r="X1063" s="127" t="str">
        <f t="shared" si="313"/>
        <v/>
      </c>
      <c r="Y1063" s="207">
        <f t="shared" si="316"/>
        <v>18394</v>
      </c>
      <c r="Z1063" s="139">
        <f t="shared" si="317"/>
        <v>18394</v>
      </c>
      <c r="AA1063" s="139">
        <f t="shared" si="318"/>
        <v>0</v>
      </c>
      <c r="AC1063" s="47">
        <f t="shared" si="319"/>
        <v>9197</v>
      </c>
      <c r="AD1063" s="47">
        <f t="shared" si="320"/>
        <v>9197</v>
      </c>
      <c r="AE1063" s="47">
        <f t="shared" si="321"/>
        <v>0</v>
      </c>
      <c r="AG1063" s="47">
        <f t="shared" si="322"/>
        <v>9197</v>
      </c>
      <c r="AH1063" s="47">
        <f t="shared" si="323"/>
        <v>9197</v>
      </c>
      <c r="AI1063" s="208">
        <f t="shared" si="324"/>
        <v>0</v>
      </c>
    </row>
    <row r="1064" spans="1:35">
      <c r="A1064" t="s">
        <v>2122</v>
      </c>
      <c r="B1064" t="s">
        <v>3170</v>
      </c>
      <c r="C1064" t="s">
        <v>4404</v>
      </c>
      <c r="D1064" t="s">
        <v>4405</v>
      </c>
      <c r="F1064" t="s">
        <v>4406</v>
      </c>
      <c r="G1064" s="126">
        <f>SUMIFS('Support - Transition'!F:F,'Support - Transition'!B:B,'Step 2'!A1064,'Support - Transition'!C:C,'Step 2'!B1064,'Support - Transition'!D:D,'Step 2'!C1064,'Support - Transition'!E:E,"CIVIL")</f>
        <v>0</v>
      </c>
      <c r="H1064" s="126">
        <f>SUMIFS('Support - Transition'!F:F,'Support - Transition'!B:B,'Step 2'!A1064,'Support - Transition'!C:C,'Step 2'!B1064,'Support - Transition'!D:D,'Step 2'!C1064,'Support - Transition'!E:E,"FIRE")</f>
        <v>0</v>
      </c>
      <c r="I1064" s="126">
        <f>IF(B1064="0",SUMIFS('Support - Transition'!F:F,'Support - Transition'!J:J,'Step 2'!D1064,'Support - Transition'!E:E,"STATE UNIT"),SUMIFS('Support - Transition'!F:F,'Support - Transition'!J:J,'Step 2'!D1064))</f>
        <v>0</v>
      </c>
      <c r="J1064" s="126">
        <f>SUMIFS('Support - Unit Adjustments'!E:E,'Support - Unit Adjustments'!F:F,'Step 2'!D1064)</f>
        <v>0</v>
      </c>
      <c r="K1064" s="126">
        <f t="shared" si="308"/>
        <v>0</v>
      </c>
      <c r="L1064" s="174">
        <f>VLOOKUP(A1064,'Step 1'!$A:$E,4,FALSE)</f>
        <v>502117</v>
      </c>
      <c r="M1064" s="47">
        <f t="shared" si="309"/>
        <v>0</v>
      </c>
      <c r="N1064" s="177">
        <f>SUMIFS('Support - Transition'!G:G,'Support - Transition'!J:J,'Step 2'!D1064,'Support - Transition'!E:E,"2009 WELFARE ALLOCATION FACTOR")</f>
        <v>0</v>
      </c>
      <c r="O1064" s="152">
        <f t="shared" si="314"/>
        <v>0</v>
      </c>
      <c r="P1064" s="126">
        <f>IF(E1064="Y",0,SUMIFS('Support - Transition'!G:G,'Support - Transition'!J:J,'Step 2'!D1064,'Support - Transition'!E:E,"2009 SCHOOL ALLOCATION FACTOR"))</f>
        <v>0</v>
      </c>
      <c r="Q1064" s="126">
        <f>IF(E1064="Y",VLOOKUP(D1064,'Support - Unit Adjustments'!F:G,2,FALSE),0)</f>
        <v>0</v>
      </c>
      <c r="R1064" s="155">
        <f t="shared" si="326"/>
        <v>0</v>
      </c>
      <c r="S1064" s="47">
        <f t="shared" si="325"/>
        <v>0</v>
      </c>
      <c r="T1064" s="151">
        <f t="shared" si="310"/>
        <v>0</v>
      </c>
      <c r="U1064" s="151">
        <f t="shared" si="311"/>
        <v>0</v>
      </c>
      <c r="V1064" s="139">
        <f t="shared" si="312"/>
        <v>0</v>
      </c>
      <c r="W1064" s="152">
        <f t="shared" si="315"/>
        <v>0</v>
      </c>
      <c r="X1064" s="127" t="str">
        <f t="shared" si="313"/>
        <v/>
      </c>
      <c r="Y1064" s="207">
        <f t="shared" si="316"/>
        <v>0</v>
      </c>
      <c r="Z1064" s="139">
        <f t="shared" si="317"/>
        <v>0</v>
      </c>
      <c r="AA1064" s="139">
        <f t="shared" si="318"/>
        <v>0</v>
      </c>
      <c r="AC1064" s="47">
        <f t="shared" si="319"/>
        <v>0</v>
      </c>
      <c r="AD1064" s="47">
        <f t="shared" si="320"/>
        <v>0</v>
      </c>
      <c r="AE1064" s="47">
        <f t="shared" si="321"/>
        <v>0</v>
      </c>
      <c r="AG1064" s="47">
        <f t="shared" si="322"/>
        <v>0</v>
      </c>
      <c r="AH1064" s="47">
        <f t="shared" si="323"/>
        <v>0</v>
      </c>
      <c r="AI1064" s="208">
        <f t="shared" si="324"/>
        <v>0</v>
      </c>
    </row>
    <row r="1065" spans="1:35">
      <c r="A1065" t="s">
        <v>2122</v>
      </c>
      <c r="B1065" t="s">
        <v>3170</v>
      </c>
      <c r="C1065" t="s">
        <v>2617</v>
      </c>
      <c r="D1065" t="s">
        <v>4407</v>
      </c>
      <c r="F1065" t="s">
        <v>4408</v>
      </c>
      <c r="G1065" s="126">
        <f>SUMIFS('Support - Transition'!F:F,'Support - Transition'!B:B,'Step 2'!A1065,'Support - Transition'!C:C,'Step 2'!B1065,'Support - Transition'!D:D,'Step 2'!C1065,'Support - Transition'!E:E,"CIVIL")</f>
        <v>0</v>
      </c>
      <c r="H1065" s="126">
        <f>SUMIFS('Support - Transition'!F:F,'Support - Transition'!B:B,'Step 2'!A1065,'Support - Transition'!C:C,'Step 2'!B1065,'Support - Transition'!D:D,'Step 2'!C1065,'Support - Transition'!E:E,"FIRE")</f>
        <v>0</v>
      </c>
      <c r="I1065" s="126">
        <f>IF(B1065="0",SUMIFS('Support - Transition'!F:F,'Support - Transition'!J:J,'Step 2'!D1065,'Support - Transition'!E:E,"STATE UNIT"),SUMIFS('Support - Transition'!F:F,'Support - Transition'!J:J,'Step 2'!D1065))</f>
        <v>0</v>
      </c>
      <c r="J1065" s="126">
        <f>SUMIFS('Support - Unit Adjustments'!E:E,'Support - Unit Adjustments'!F:F,'Step 2'!D1065)</f>
        <v>0</v>
      </c>
      <c r="K1065" s="126">
        <f t="shared" si="308"/>
        <v>0</v>
      </c>
      <c r="L1065" s="174">
        <f>VLOOKUP(A1065,'Step 1'!$A:$E,4,FALSE)</f>
        <v>502117</v>
      </c>
      <c r="M1065" s="47">
        <f t="shared" si="309"/>
        <v>0</v>
      </c>
      <c r="N1065" s="177">
        <f>SUMIFS('Support - Transition'!G:G,'Support - Transition'!J:J,'Step 2'!D1065,'Support - Transition'!E:E,"2009 WELFARE ALLOCATION FACTOR")</f>
        <v>0</v>
      </c>
      <c r="O1065" s="152">
        <f t="shared" si="314"/>
        <v>0</v>
      </c>
      <c r="P1065" s="126">
        <f>IF(E1065="Y",0,SUMIFS('Support - Transition'!G:G,'Support - Transition'!J:J,'Step 2'!D1065,'Support - Transition'!E:E,"2009 SCHOOL ALLOCATION FACTOR"))</f>
        <v>0</v>
      </c>
      <c r="Q1065" s="126">
        <f>IF(E1065="Y",VLOOKUP(D1065,'Support - Unit Adjustments'!F:G,2,FALSE),0)</f>
        <v>0</v>
      </c>
      <c r="R1065" s="155">
        <f t="shared" si="326"/>
        <v>0</v>
      </c>
      <c r="S1065" s="47">
        <f t="shared" si="325"/>
        <v>0</v>
      </c>
      <c r="T1065" s="151">
        <f t="shared" si="310"/>
        <v>0</v>
      </c>
      <c r="U1065" s="151">
        <f t="shared" si="311"/>
        <v>0</v>
      </c>
      <c r="V1065" s="139">
        <f t="shared" si="312"/>
        <v>0</v>
      </c>
      <c r="W1065" s="152">
        <f t="shared" si="315"/>
        <v>0</v>
      </c>
      <c r="X1065" s="127" t="str">
        <f t="shared" si="313"/>
        <v/>
      </c>
      <c r="Y1065" s="207">
        <f t="shared" si="316"/>
        <v>0</v>
      </c>
      <c r="Z1065" s="139">
        <f t="shared" si="317"/>
        <v>0</v>
      </c>
      <c r="AA1065" s="139">
        <f t="shared" si="318"/>
        <v>0</v>
      </c>
      <c r="AC1065" s="47">
        <f t="shared" si="319"/>
        <v>0</v>
      </c>
      <c r="AD1065" s="47">
        <f t="shared" si="320"/>
        <v>0</v>
      </c>
      <c r="AE1065" s="47">
        <f t="shared" si="321"/>
        <v>0</v>
      </c>
      <c r="AG1065" s="47">
        <f t="shared" si="322"/>
        <v>0</v>
      </c>
      <c r="AH1065" s="47">
        <f t="shared" si="323"/>
        <v>0</v>
      </c>
      <c r="AI1065" s="208">
        <f t="shared" si="324"/>
        <v>0</v>
      </c>
    </row>
    <row r="1066" spans="1:35">
      <c r="A1066" t="s">
        <v>2122</v>
      </c>
      <c r="B1066" t="s">
        <v>3170</v>
      </c>
      <c r="C1066" t="s">
        <v>4409</v>
      </c>
      <c r="D1066" t="s">
        <v>4410</v>
      </c>
      <c r="F1066" t="s">
        <v>827</v>
      </c>
      <c r="G1066" s="126">
        <f>SUMIFS('Support - Transition'!F:F,'Support - Transition'!B:B,'Step 2'!A1066,'Support - Transition'!C:C,'Step 2'!B1066,'Support - Transition'!D:D,'Step 2'!C1066,'Support - Transition'!E:E,"CIVIL")</f>
        <v>0</v>
      </c>
      <c r="H1066" s="126">
        <f>SUMIFS('Support - Transition'!F:F,'Support - Transition'!B:B,'Step 2'!A1066,'Support - Transition'!C:C,'Step 2'!B1066,'Support - Transition'!D:D,'Step 2'!C1066,'Support - Transition'!E:E,"FIRE")</f>
        <v>0</v>
      </c>
      <c r="I1066" s="126">
        <f>IF(B1066="0",SUMIFS('Support - Transition'!F:F,'Support - Transition'!J:J,'Step 2'!D1066,'Support - Transition'!E:E,"STATE UNIT"),SUMIFS('Support - Transition'!F:F,'Support - Transition'!J:J,'Step 2'!D1066))</f>
        <v>0</v>
      </c>
      <c r="J1066" s="126">
        <f>SUMIFS('Support - Unit Adjustments'!E:E,'Support - Unit Adjustments'!F:F,'Step 2'!D1066)</f>
        <v>0</v>
      </c>
      <c r="K1066" s="126">
        <f t="shared" si="308"/>
        <v>0</v>
      </c>
      <c r="L1066" s="174">
        <f>VLOOKUP(A1066,'Step 1'!$A:$E,4,FALSE)</f>
        <v>502117</v>
      </c>
      <c r="M1066" s="47">
        <f t="shared" si="309"/>
        <v>0</v>
      </c>
      <c r="N1066" s="177">
        <f>SUMIFS('Support - Transition'!G:G,'Support - Transition'!J:J,'Step 2'!D1066,'Support - Transition'!E:E,"2009 WELFARE ALLOCATION FACTOR")</f>
        <v>0</v>
      </c>
      <c r="O1066" s="152">
        <f t="shared" si="314"/>
        <v>0</v>
      </c>
      <c r="P1066" s="126">
        <f>IF(E1066="Y",0,SUMIFS('Support - Transition'!G:G,'Support - Transition'!J:J,'Step 2'!D1066,'Support - Transition'!E:E,"2009 SCHOOL ALLOCATION FACTOR"))</f>
        <v>0</v>
      </c>
      <c r="Q1066" s="126">
        <f>IF(E1066="Y",VLOOKUP(D1066,'Support - Unit Adjustments'!F:G,2,FALSE),0)</f>
        <v>0</v>
      </c>
      <c r="R1066" s="155">
        <f t="shared" si="326"/>
        <v>0</v>
      </c>
      <c r="S1066" s="47">
        <f t="shared" si="325"/>
        <v>0</v>
      </c>
      <c r="T1066" s="151">
        <f t="shared" si="310"/>
        <v>0</v>
      </c>
      <c r="U1066" s="151">
        <f t="shared" si="311"/>
        <v>0</v>
      </c>
      <c r="V1066" s="139">
        <f t="shared" si="312"/>
        <v>0</v>
      </c>
      <c r="W1066" s="152">
        <f t="shared" si="315"/>
        <v>0</v>
      </c>
      <c r="X1066" s="127" t="str">
        <f t="shared" si="313"/>
        <v/>
      </c>
      <c r="Y1066" s="207">
        <f t="shared" si="316"/>
        <v>0</v>
      </c>
      <c r="Z1066" s="139">
        <f t="shared" si="317"/>
        <v>0</v>
      </c>
      <c r="AA1066" s="139">
        <f t="shared" si="318"/>
        <v>0</v>
      </c>
      <c r="AC1066" s="47">
        <f t="shared" si="319"/>
        <v>0</v>
      </c>
      <c r="AD1066" s="47">
        <f t="shared" si="320"/>
        <v>0</v>
      </c>
      <c r="AE1066" s="47">
        <f t="shared" si="321"/>
        <v>0</v>
      </c>
      <c r="AG1066" s="47">
        <f t="shared" si="322"/>
        <v>0</v>
      </c>
      <c r="AH1066" s="47">
        <f t="shared" si="323"/>
        <v>0</v>
      </c>
      <c r="AI1066" s="208">
        <f t="shared" si="324"/>
        <v>0</v>
      </c>
    </row>
    <row r="1067" spans="1:35">
      <c r="A1067" t="s">
        <v>2122</v>
      </c>
      <c r="B1067" t="s">
        <v>3170</v>
      </c>
      <c r="C1067" t="s">
        <v>2618</v>
      </c>
      <c r="D1067" t="s">
        <v>4411</v>
      </c>
      <c r="F1067" t="s">
        <v>828</v>
      </c>
      <c r="G1067" s="126">
        <f>SUMIFS('Support - Transition'!F:F,'Support - Transition'!B:B,'Step 2'!A1067,'Support - Transition'!C:C,'Step 2'!B1067,'Support - Transition'!D:D,'Step 2'!C1067,'Support - Transition'!E:E,"CIVIL")</f>
        <v>0</v>
      </c>
      <c r="H1067" s="126">
        <f>SUMIFS('Support - Transition'!F:F,'Support - Transition'!B:B,'Step 2'!A1067,'Support - Transition'!C:C,'Step 2'!B1067,'Support - Transition'!D:D,'Step 2'!C1067,'Support - Transition'!E:E,"FIRE")</f>
        <v>0</v>
      </c>
      <c r="I1067" s="126">
        <f>IF(B1067="0",SUMIFS('Support - Transition'!F:F,'Support - Transition'!J:J,'Step 2'!D1067,'Support - Transition'!E:E,"STATE UNIT"),SUMIFS('Support - Transition'!F:F,'Support - Transition'!J:J,'Step 2'!D1067))</f>
        <v>9.3499999999999996E-4</v>
      </c>
      <c r="J1067" s="126">
        <f>SUMIFS('Support - Unit Adjustments'!E:E,'Support - Unit Adjustments'!F:F,'Step 2'!D1067)</f>
        <v>0</v>
      </c>
      <c r="K1067" s="126">
        <f t="shared" si="308"/>
        <v>9.3499999999999996E-4</v>
      </c>
      <c r="L1067" s="174">
        <f>VLOOKUP(A1067,'Step 1'!$A:$E,4,FALSE)</f>
        <v>502117</v>
      </c>
      <c r="M1067" s="47">
        <f t="shared" si="309"/>
        <v>469</v>
      </c>
      <c r="N1067" s="177">
        <f>SUMIFS('Support - Transition'!G:G,'Support - Transition'!J:J,'Step 2'!D1067,'Support - Transition'!E:E,"2009 WELFARE ALLOCATION FACTOR")</f>
        <v>0</v>
      </c>
      <c r="O1067" s="152">
        <f t="shared" si="314"/>
        <v>0</v>
      </c>
      <c r="P1067" s="126">
        <f>IF(E1067="Y",0,SUMIFS('Support - Transition'!G:G,'Support - Transition'!J:J,'Step 2'!D1067,'Support - Transition'!E:E,"2009 SCHOOL ALLOCATION FACTOR"))</f>
        <v>0</v>
      </c>
      <c r="Q1067" s="126">
        <f>IF(E1067="Y",VLOOKUP(D1067,'Support - Unit Adjustments'!F:G,2,FALSE),0)</f>
        <v>0</v>
      </c>
      <c r="R1067" s="155">
        <f t="shared" si="326"/>
        <v>0</v>
      </c>
      <c r="S1067" s="47">
        <f t="shared" si="325"/>
        <v>0</v>
      </c>
      <c r="T1067" s="151">
        <f t="shared" si="310"/>
        <v>469</v>
      </c>
      <c r="U1067" s="151">
        <f t="shared" si="311"/>
        <v>0</v>
      </c>
      <c r="V1067" s="139">
        <f t="shared" si="312"/>
        <v>0</v>
      </c>
      <c r="W1067" s="152">
        <f t="shared" si="315"/>
        <v>469</v>
      </c>
      <c r="X1067" s="127" t="str">
        <f t="shared" si="313"/>
        <v/>
      </c>
      <c r="Y1067" s="207">
        <f t="shared" si="316"/>
        <v>469</v>
      </c>
      <c r="Z1067" s="139">
        <f t="shared" si="317"/>
        <v>469</v>
      </c>
      <c r="AA1067" s="139">
        <f t="shared" si="318"/>
        <v>0</v>
      </c>
      <c r="AC1067" s="47">
        <f t="shared" si="319"/>
        <v>235</v>
      </c>
      <c r="AD1067" s="47">
        <f t="shared" si="320"/>
        <v>235</v>
      </c>
      <c r="AE1067" s="47">
        <f t="shared" si="321"/>
        <v>0</v>
      </c>
      <c r="AG1067" s="47">
        <f t="shared" si="322"/>
        <v>234</v>
      </c>
      <c r="AH1067" s="47">
        <f t="shared" si="323"/>
        <v>234</v>
      </c>
      <c r="AI1067" s="208">
        <f t="shared" si="324"/>
        <v>0</v>
      </c>
    </row>
    <row r="1068" spans="1:35">
      <c r="A1068" t="s">
        <v>2122</v>
      </c>
      <c r="B1068" t="s">
        <v>3170</v>
      </c>
      <c r="C1068" t="s">
        <v>4412</v>
      </c>
      <c r="D1068" t="s">
        <v>4413</v>
      </c>
      <c r="F1068" t="s">
        <v>4414</v>
      </c>
      <c r="G1068" s="126">
        <f>SUMIFS('Support - Transition'!F:F,'Support - Transition'!B:B,'Step 2'!A1068,'Support - Transition'!C:C,'Step 2'!B1068,'Support - Transition'!D:D,'Step 2'!C1068,'Support - Transition'!E:E,"CIVIL")</f>
        <v>0</v>
      </c>
      <c r="H1068" s="126">
        <f>SUMIFS('Support - Transition'!F:F,'Support - Transition'!B:B,'Step 2'!A1068,'Support - Transition'!C:C,'Step 2'!B1068,'Support - Transition'!D:D,'Step 2'!C1068,'Support - Transition'!E:E,"FIRE")</f>
        <v>0</v>
      </c>
      <c r="I1068" s="126">
        <f>IF(B1068="0",SUMIFS('Support - Transition'!F:F,'Support - Transition'!J:J,'Step 2'!D1068,'Support - Transition'!E:E,"STATE UNIT"),SUMIFS('Support - Transition'!F:F,'Support - Transition'!J:J,'Step 2'!D1068))</f>
        <v>0</v>
      </c>
      <c r="J1068" s="126">
        <f>SUMIFS('Support - Unit Adjustments'!E:E,'Support - Unit Adjustments'!F:F,'Step 2'!D1068)</f>
        <v>0</v>
      </c>
      <c r="K1068" s="126">
        <f t="shared" si="308"/>
        <v>0</v>
      </c>
      <c r="L1068" s="174">
        <f>VLOOKUP(A1068,'Step 1'!$A:$E,4,FALSE)</f>
        <v>502117</v>
      </c>
      <c r="M1068" s="47">
        <f t="shared" si="309"/>
        <v>0</v>
      </c>
      <c r="N1068" s="177">
        <f>SUMIFS('Support - Transition'!G:G,'Support - Transition'!J:J,'Step 2'!D1068,'Support - Transition'!E:E,"2009 WELFARE ALLOCATION FACTOR")</f>
        <v>0</v>
      </c>
      <c r="O1068" s="152">
        <f t="shared" si="314"/>
        <v>0</v>
      </c>
      <c r="P1068" s="126">
        <f>IF(E1068="Y",0,SUMIFS('Support - Transition'!G:G,'Support - Transition'!J:J,'Step 2'!D1068,'Support - Transition'!E:E,"2009 SCHOOL ALLOCATION FACTOR"))</f>
        <v>0</v>
      </c>
      <c r="Q1068" s="126">
        <f>IF(E1068="Y",VLOOKUP(D1068,'Support - Unit Adjustments'!F:G,2,FALSE),0)</f>
        <v>0</v>
      </c>
      <c r="R1068" s="155">
        <f t="shared" si="326"/>
        <v>0</v>
      </c>
      <c r="S1068" s="47">
        <f t="shared" si="325"/>
        <v>0</v>
      </c>
      <c r="T1068" s="151">
        <f t="shared" si="310"/>
        <v>0</v>
      </c>
      <c r="U1068" s="151">
        <f t="shared" si="311"/>
        <v>0</v>
      </c>
      <c r="V1068" s="139">
        <f t="shared" si="312"/>
        <v>0</v>
      </c>
      <c r="W1068" s="152">
        <f t="shared" si="315"/>
        <v>0</v>
      </c>
      <c r="X1068" s="127" t="str">
        <f t="shared" si="313"/>
        <v/>
      </c>
      <c r="Y1068" s="207">
        <f t="shared" si="316"/>
        <v>0</v>
      </c>
      <c r="Z1068" s="139">
        <f t="shared" si="317"/>
        <v>0</v>
      </c>
      <c r="AA1068" s="139">
        <f t="shared" si="318"/>
        <v>0</v>
      </c>
      <c r="AC1068" s="47">
        <f t="shared" si="319"/>
        <v>0</v>
      </c>
      <c r="AD1068" s="47">
        <f t="shared" si="320"/>
        <v>0</v>
      </c>
      <c r="AE1068" s="47">
        <f t="shared" si="321"/>
        <v>0</v>
      </c>
      <c r="AG1068" s="47">
        <f t="shared" si="322"/>
        <v>0</v>
      </c>
      <c r="AH1068" s="47">
        <f t="shared" si="323"/>
        <v>0</v>
      </c>
      <c r="AI1068" s="208">
        <f t="shared" si="324"/>
        <v>0</v>
      </c>
    </row>
    <row r="1069" spans="1:35">
      <c r="A1069" t="s">
        <v>2122</v>
      </c>
      <c r="B1069" t="s">
        <v>3170</v>
      </c>
      <c r="C1069" t="s">
        <v>4415</v>
      </c>
      <c r="D1069" t="s">
        <v>4416</v>
      </c>
      <c r="F1069" t="s">
        <v>4417</v>
      </c>
      <c r="G1069" s="126">
        <f>SUMIFS('Support - Transition'!F:F,'Support - Transition'!B:B,'Step 2'!A1069,'Support - Transition'!C:C,'Step 2'!B1069,'Support - Transition'!D:D,'Step 2'!C1069,'Support - Transition'!E:E,"CIVIL")</f>
        <v>0</v>
      </c>
      <c r="H1069" s="126">
        <f>SUMIFS('Support - Transition'!F:F,'Support - Transition'!B:B,'Step 2'!A1069,'Support - Transition'!C:C,'Step 2'!B1069,'Support - Transition'!D:D,'Step 2'!C1069,'Support - Transition'!E:E,"FIRE")</f>
        <v>0</v>
      </c>
      <c r="I1069" s="126">
        <f>IF(B1069="0",SUMIFS('Support - Transition'!F:F,'Support - Transition'!J:J,'Step 2'!D1069,'Support - Transition'!E:E,"STATE UNIT"),SUMIFS('Support - Transition'!F:F,'Support - Transition'!J:J,'Step 2'!D1069))</f>
        <v>0</v>
      </c>
      <c r="J1069" s="126">
        <f>SUMIFS('Support - Unit Adjustments'!E:E,'Support - Unit Adjustments'!F:F,'Step 2'!D1069)</f>
        <v>0</v>
      </c>
      <c r="K1069" s="126">
        <f t="shared" si="308"/>
        <v>0</v>
      </c>
      <c r="L1069" s="174">
        <f>VLOOKUP(A1069,'Step 1'!$A:$E,4,FALSE)</f>
        <v>502117</v>
      </c>
      <c r="M1069" s="47">
        <f t="shared" si="309"/>
        <v>0</v>
      </c>
      <c r="N1069" s="177">
        <f>SUMIFS('Support - Transition'!G:G,'Support - Transition'!J:J,'Step 2'!D1069,'Support - Transition'!E:E,"2009 WELFARE ALLOCATION FACTOR")</f>
        <v>0</v>
      </c>
      <c r="O1069" s="152">
        <f t="shared" si="314"/>
        <v>0</v>
      </c>
      <c r="P1069" s="126">
        <f>IF(E1069="Y",0,SUMIFS('Support - Transition'!G:G,'Support - Transition'!J:J,'Step 2'!D1069,'Support - Transition'!E:E,"2009 SCHOOL ALLOCATION FACTOR"))</f>
        <v>0</v>
      </c>
      <c r="Q1069" s="126">
        <f>IF(E1069="Y",VLOOKUP(D1069,'Support - Unit Adjustments'!F:G,2,FALSE),0)</f>
        <v>0</v>
      </c>
      <c r="R1069" s="155">
        <f t="shared" si="326"/>
        <v>0</v>
      </c>
      <c r="S1069" s="47">
        <f t="shared" si="325"/>
        <v>0</v>
      </c>
      <c r="T1069" s="151">
        <f t="shared" si="310"/>
        <v>0</v>
      </c>
      <c r="U1069" s="151">
        <f t="shared" si="311"/>
        <v>0</v>
      </c>
      <c r="V1069" s="139">
        <f t="shared" si="312"/>
        <v>0</v>
      </c>
      <c r="W1069" s="152">
        <f t="shared" si="315"/>
        <v>0</v>
      </c>
      <c r="X1069" s="127" t="str">
        <f t="shared" si="313"/>
        <v/>
      </c>
      <c r="Y1069" s="207">
        <f t="shared" si="316"/>
        <v>0</v>
      </c>
      <c r="Z1069" s="139">
        <f t="shared" si="317"/>
        <v>0</v>
      </c>
      <c r="AA1069" s="139">
        <f t="shared" si="318"/>
        <v>0</v>
      </c>
      <c r="AC1069" s="47">
        <f t="shared" si="319"/>
        <v>0</v>
      </c>
      <c r="AD1069" s="47">
        <f t="shared" si="320"/>
        <v>0</v>
      </c>
      <c r="AE1069" s="47">
        <f t="shared" si="321"/>
        <v>0</v>
      </c>
      <c r="AG1069" s="47">
        <f t="shared" si="322"/>
        <v>0</v>
      </c>
      <c r="AH1069" s="47">
        <f t="shared" si="323"/>
        <v>0</v>
      </c>
      <c r="AI1069" s="208">
        <f t="shared" si="324"/>
        <v>0</v>
      </c>
    </row>
    <row r="1070" spans="1:35">
      <c r="A1070" t="s">
        <v>2122</v>
      </c>
      <c r="B1070" t="s">
        <v>3170</v>
      </c>
      <c r="C1070" t="s">
        <v>4418</v>
      </c>
      <c r="D1070" t="s">
        <v>4419</v>
      </c>
      <c r="F1070" t="s">
        <v>4420</v>
      </c>
      <c r="G1070" s="126">
        <f>SUMIFS('Support - Transition'!F:F,'Support - Transition'!B:B,'Step 2'!A1070,'Support - Transition'!C:C,'Step 2'!B1070,'Support - Transition'!D:D,'Step 2'!C1070,'Support - Transition'!E:E,"CIVIL")</f>
        <v>0</v>
      </c>
      <c r="H1070" s="126">
        <f>SUMIFS('Support - Transition'!F:F,'Support - Transition'!B:B,'Step 2'!A1070,'Support - Transition'!C:C,'Step 2'!B1070,'Support - Transition'!D:D,'Step 2'!C1070,'Support - Transition'!E:E,"FIRE")</f>
        <v>0</v>
      </c>
      <c r="I1070" s="126">
        <f>IF(B1070="0",SUMIFS('Support - Transition'!F:F,'Support - Transition'!J:J,'Step 2'!D1070,'Support - Transition'!E:E,"STATE UNIT"),SUMIFS('Support - Transition'!F:F,'Support - Transition'!J:J,'Step 2'!D1070))</f>
        <v>0</v>
      </c>
      <c r="J1070" s="126">
        <f>SUMIFS('Support - Unit Adjustments'!E:E,'Support - Unit Adjustments'!F:F,'Step 2'!D1070)</f>
        <v>0</v>
      </c>
      <c r="K1070" s="126">
        <f t="shared" si="308"/>
        <v>0</v>
      </c>
      <c r="L1070" s="174">
        <f>VLOOKUP(A1070,'Step 1'!$A:$E,4,FALSE)</f>
        <v>502117</v>
      </c>
      <c r="M1070" s="47">
        <f t="shared" si="309"/>
        <v>0</v>
      </c>
      <c r="N1070" s="177">
        <f>SUMIFS('Support - Transition'!G:G,'Support - Transition'!J:J,'Step 2'!D1070,'Support - Transition'!E:E,"2009 WELFARE ALLOCATION FACTOR")</f>
        <v>0</v>
      </c>
      <c r="O1070" s="152">
        <f t="shared" si="314"/>
        <v>0</v>
      </c>
      <c r="P1070" s="126">
        <f>IF(E1070="Y",0,SUMIFS('Support - Transition'!G:G,'Support - Transition'!J:J,'Step 2'!D1070,'Support - Transition'!E:E,"2009 SCHOOL ALLOCATION FACTOR"))</f>
        <v>0</v>
      </c>
      <c r="Q1070" s="126">
        <f>IF(E1070="Y",VLOOKUP(D1070,'Support - Unit Adjustments'!F:G,2,FALSE),0)</f>
        <v>0</v>
      </c>
      <c r="R1070" s="155">
        <f t="shared" si="326"/>
        <v>0</v>
      </c>
      <c r="S1070" s="47">
        <f t="shared" si="325"/>
        <v>0</v>
      </c>
      <c r="T1070" s="151">
        <f t="shared" si="310"/>
        <v>0</v>
      </c>
      <c r="U1070" s="151">
        <f t="shared" si="311"/>
        <v>0</v>
      </c>
      <c r="V1070" s="139">
        <f t="shared" si="312"/>
        <v>0</v>
      </c>
      <c r="W1070" s="152">
        <f t="shared" si="315"/>
        <v>0</v>
      </c>
      <c r="X1070" s="127" t="str">
        <f t="shared" si="313"/>
        <v/>
      </c>
      <c r="Y1070" s="207">
        <f t="shared" si="316"/>
        <v>0</v>
      </c>
      <c r="Z1070" s="139">
        <f t="shared" si="317"/>
        <v>0</v>
      </c>
      <c r="AA1070" s="139">
        <f t="shared" si="318"/>
        <v>0</v>
      </c>
      <c r="AC1070" s="47">
        <f t="shared" si="319"/>
        <v>0</v>
      </c>
      <c r="AD1070" s="47">
        <f t="shared" si="320"/>
        <v>0</v>
      </c>
      <c r="AE1070" s="47">
        <f t="shared" si="321"/>
        <v>0</v>
      </c>
      <c r="AG1070" s="47">
        <f t="shared" si="322"/>
        <v>0</v>
      </c>
      <c r="AH1070" s="47">
        <f t="shared" si="323"/>
        <v>0</v>
      </c>
      <c r="AI1070" s="208">
        <f t="shared" si="324"/>
        <v>0</v>
      </c>
    </row>
    <row r="1071" spans="1:35">
      <c r="A1071" t="s">
        <v>2122</v>
      </c>
      <c r="B1071" t="s">
        <v>3170</v>
      </c>
      <c r="C1071" t="s">
        <v>4421</v>
      </c>
      <c r="D1071" t="s">
        <v>4422</v>
      </c>
      <c r="F1071" t="s">
        <v>4423</v>
      </c>
      <c r="G1071" s="126">
        <f>SUMIFS('Support - Transition'!F:F,'Support - Transition'!B:B,'Step 2'!A1071,'Support - Transition'!C:C,'Step 2'!B1071,'Support - Transition'!D:D,'Step 2'!C1071,'Support - Transition'!E:E,"CIVIL")</f>
        <v>0</v>
      </c>
      <c r="H1071" s="126">
        <f>SUMIFS('Support - Transition'!F:F,'Support - Transition'!B:B,'Step 2'!A1071,'Support - Transition'!C:C,'Step 2'!B1071,'Support - Transition'!D:D,'Step 2'!C1071,'Support - Transition'!E:E,"FIRE")</f>
        <v>0</v>
      </c>
      <c r="I1071" s="126">
        <f>IF(B1071="0",SUMIFS('Support - Transition'!F:F,'Support - Transition'!J:J,'Step 2'!D1071,'Support - Transition'!E:E,"STATE UNIT"),SUMIFS('Support - Transition'!F:F,'Support - Transition'!J:J,'Step 2'!D1071))</f>
        <v>0</v>
      </c>
      <c r="J1071" s="126">
        <f>SUMIFS('Support - Unit Adjustments'!E:E,'Support - Unit Adjustments'!F:F,'Step 2'!D1071)</f>
        <v>0</v>
      </c>
      <c r="K1071" s="126">
        <f t="shared" si="308"/>
        <v>0</v>
      </c>
      <c r="L1071" s="174">
        <f>VLOOKUP(A1071,'Step 1'!$A:$E,4,FALSE)</f>
        <v>502117</v>
      </c>
      <c r="M1071" s="47">
        <f t="shared" si="309"/>
        <v>0</v>
      </c>
      <c r="N1071" s="177">
        <f>SUMIFS('Support - Transition'!G:G,'Support - Transition'!J:J,'Step 2'!D1071,'Support - Transition'!E:E,"2009 WELFARE ALLOCATION FACTOR")</f>
        <v>0</v>
      </c>
      <c r="O1071" s="152">
        <f t="shared" si="314"/>
        <v>0</v>
      </c>
      <c r="P1071" s="126">
        <f>IF(E1071="Y",0,SUMIFS('Support - Transition'!G:G,'Support - Transition'!J:J,'Step 2'!D1071,'Support - Transition'!E:E,"2009 SCHOOL ALLOCATION FACTOR"))</f>
        <v>0</v>
      </c>
      <c r="Q1071" s="126">
        <f>IF(E1071="Y",VLOOKUP(D1071,'Support - Unit Adjustments'!F:G,2,FALSE),0)</f>
        <v>0</v>
      </c>
      <c r="R1071" s="155">
        <f t="shared" si="326"/>
        <v>0</v>
      </c>
      <c r="S1071" s="47">
        <f t="shared" si="325"/>
        <v>0</v>
      </c>
      <c r="T1071" s="151">
        <f t="shared" si="310"/>
        <v>0</v>
      </c>
      <c r="U1071" s="151">
        <f t="shared" si="311"/>
        <v>0</v>
      </c>
      <c r="V1071" s="139">
        <f t="shared" si="312"/>
        <v>0</v>
      </c>
      <c r="W1071" s="152">
        <f t="shared" si="315"/>
        <v>0</v>
      </c>
      <c r="X1071" s="127" t="str">
        <f t="shared" si="313"/>
        <v/>
      </c>
      <c r="Y1071" s="207">
        <f t="shared" si="316"/>
        <v>0</v>
      </c>
      <c r="Z1071" s="139">
        <f t="shared" si="317"/>
        <v>0</v>
      </c>
      <c r="AA1071" s="139">
        <f t="shared" si="318"/>
        <v>0</v>
      </c>
      <c r="AC1071" s="47">
        <f t="shared" si="319"/>
        <v>0</v>
      </c>
      <c r="AD1071" s="47">
        <f t="shared" si="320"/>
        <v>0</v>
      </c>
      <c r="AE1071" s="47">
        <f t="shared" si="321"/>
        <v>0</v>
      </c>
      <c r="AG1071" s="47">
        <f t="shared" si="322"/>
        <v>0</v>
      </c>
      <c r="AH1071" s="47">
        <f t="shared" si="323"/>
        <v>0</v>
      </c>
      <c r="AI1071" s="208">
        <f t="shared" si="324"/>
        <v>0</v>
      </c>
    </row>
    <row r="1072" spans="1:35">
      <c r="A1072" t="s">
        <v>2122</v>
      </c>
      <c r="B1072" t="s">
        <v>3170</v>
      </c>
      <c r="C1072" t="s">
        <v>4214</v>
      </c>
      <c r="D1072" t="s">
        <v>4424</v>
      </c>
      <c r="F1072" t="s">
        <v>4425</v>
      </c>
      <c r="G1072" s="126">
        <f>SUMIFS('Support - Transition'!F:F,'Support - Transition'!B:B,'Step 2'!A1072,'Support - Transition'!C:C,'Step 2'!B1072,'Support - Transition'!D:D,'Step 2'!C1072,'Support - Transition'!E:E,"CIVIL")</f>
        <v>0</v>
      </c>
      <c r="H1072" s="126">
        <f>SUMIFS('Support - Transition'!F:F,'Support - Transition'!B:B,'Step 2'!A1072,'Support - Transition'!C:C,'Step 2'!B1072,'Support - Transition'!D:D,'Step 2'!C1072,'Support - Transition'!E:E,"FIRE")</f>
        <v>0</v>
      </c>
      <c r="I1072" s="126">
        <f>IF(B1072="0",SUMIFS('Support - Transition'!F:F,'Support - Transition'!J:J,'Step 2'!D1072,'Support - Transition'!E:E,"STATE UNIT"),SUMIFS('Support - Transition'!F:F,'Support - Transition'!J:J,'Step 2'!D1072))</f>
        <v>0</v>
      </c>
      <c r="J1072" s="126">
        <f>SUMIFS('Support - Unit Adjustments'!E:E,'Support - Unit Adjustments'!F:F,'Step 2'!D1072)</f>
        <v>0</v>
      </c>
      <c r="K1072" s="126">
        <f t="shared" si="308"/>
        <v>0</v>
      </c>
      <c r="L1072" s="174">
        <f>VLOOKUP(A1072,'Step 1'!$A:$E,4,FALSE)</f>
        <v>502117</v>
      </c>
      <c r="M1072" s="47">
        <f t="shared" si="309"/>
        <v>0</v>
      </c>
      <c r="N1072" s="177">
        <f>SUMIFS('Support - Transition'!G:G,'Support - Transition'!J:J,'Step 2'!D1072,'Support - Transition'!E:E,"2009 WELFARE ALLOCATION FACTOR")</f>
        <v>0</v>
      </c>
      <c r="O1072" s="152">
        <f t="shared" si="314"/>
        <v>0</v>
      </c>
      <c r="P1072" s="126">
        <f>IF(E1072="Y",0,SUMIFS('Support - Transition'!G:G,'Support - Transition'!J:J,'Step 2'!D1072,'Support - Transition'!E:E,"2009 SCHOOL ALLOCATION FACTOR"))</f>
        <v>0</v>
      </c>
      <c r="Q1072" s="126">
        <f>IF(E1072="Y",VLOOKUP(D1072,'Support - Unit Adjustments'!F:G,2,FALSE),0)</f>
        <v>0</v>
      </c>
      <c r="R1072" s="155">
        <f t="shared" si="326"/>
        <v>0</v>
      </c>
      <c r="S1072" s="47">
        <f t="shared" si="325"/>
        <v>0</v>
      </c>
      <c r="T1072" s="151">
        <f t="shared" si="310"/>
        <v>0</v>
      </c>
      <c r="U1072" s="151">
        <f t="shared" si="311"/>
        <v>0</v>
      </c>
      <c r="V1072" s="139">
        <f t="shared" si="312"/>
        <v>0</v>
      </c>
      <c r="W1072" s="152">
        <f t="shared" si="315"/>
        <v>0</v>
      </c>
      <c r="X1072" s="127" t="str">
        <f t="shared" si="313"/>
        <v/>
      </c>
      <c r="Y1072" s="207">
        <f t="shared" si="316"/>
        <v>0</v>
      </c>
      <c r="Z1072" s="139">
        <f t="shared" si="317"/>
        <v>0</v>
      </c>
      <c r="AA1072" s="139">
        <f t="shared" si="318"/>
        <v>0</v>
      </c>
      <c r="AC1072" s="47">
        <f t="shared" si="319"/>
        <v>0</v>
      </c>
      <c r="AD1072" s="47">
        <f t="shared" si="320"/>
        <v>0</v>
      </c>
      <c r="AE1072" s="47">
        <f t="shared" si="321"/>
        <v>0</v>
      </c>
      <c r="AG1072" s="47">
        <f t="shared" si="322"/>
        <v>0</v>
      </c>
      <c r="AH1072" s="47">
        <f t="shared" si="323"/>
        <v>0</v>
      </c>
      <c r="AI1072" s="208">
        <f t="shared" si="324"/>
        <v>0</v>
      </c>
    </row>
    <row r="1073" spans="1:35">
      <c r="A1073" t="s">
        <v>2122</v>
      </c>
      <c r="B1073" t="s">
        <v>3170</v>
      </c>
      <c r="C1073" t="s">
        <v>4426</v>
      </c>
      <c r="D1073" t="s">
        <v>4427</v>
      </c>
      <c r="F1073" t="s">
        <v>4428</v>
      </c>
      <c r="G1073" s="126">
        <f>SUMIFS('Support - Transition'!F:F,'Support - Transition'!B:B,'Step 2'!A1073,'Support - Transition'!C:C,'Step 2'!B1073,'Support - Transition'!D:D,'Step 2'!C1073,'Support - Transition'!E:E,"CIVIL")</f>
        <v>0</v>
      </c>
      <c r="H1073" s="126">
        <f>SUMIFS('Support - Transition'!F:F,'Support - Transition'!B:B,'Step 2'!A1073,'Support - Transition'!C:C,'Step 2'!B1073,'Support - Transition'!D:D,'Step 2'!C1073,'Support - Transition'!E:E,"FIRE")</f>
        <v>0</v>
      </c>
      <c r="I1073" s="126">
        <f>IF(B1073="0",SUMIFS('Support - Transition'!F:F,'Support - Transition'!J:J,'Step 2'!D1073,'Support - Transition'!E:E,"STATE UNIT"),SUMIFS('Support - Transition'!F:F,'Support - Transition'!J:J,'Step 2'!D1073))</f>
        <v>0</v>
      </c>
      <c r="J1073" s="126">
        <f>SUMIFS('Support - Unit Adjustments'!E:E,'Support - Unit Adjustments'!F:F,'Step 2'!D1073)</f>
        <v>0</v>
      </c>
      <c r="K1073" s="126">
        <f t="shared" si="308"/>
        <v>0</v>
      </c>
      <c r="L1073" s="174">
        <f>VLOOKUP(A1073,'Step 1'!$A:$E,4,FALSE)</f>
        <v>502117</v>
      </c>
      <c r="M1073" s="47">
        <f t="shared" si="309"/>
        <v>0</v>
      </c>
      <c r="N1073" s="177">
        <f>SUMIFS('Support - Transition'!G:G,'Support - Transition'!J:J,'Step 2'!D1073,'Support - Transition'!E:E,"2009 WELFARE ALLOCATION FACTOR")</f>
        <v>0</v>
      </c>
      <c r="O1073" s="152">
        <f t="shared" si="314"/>
        <v>0</v>
      </c>
      <c r="P1073" s="126">
        <f>IF(E1073="Y",0,SUMIFS('Support - Transition'!G:G,'Support - Transition'!J:J,'Step 2'!D1073,'Support - Transition'!E:E,"2009 SCHOOL ALLOCATION FACTOR"))</f>
        <v>0</v>
      </c>
      <c r="Q1073" s="126">
        <f>IF(E1073="Y",VLOOKUP(D1073,'Support - Unit Adjustments'!F:G,2,FALSE),0)</f>
        <v>0</v>
      </c>
      <c r="R1073" s="155">
        <f t="shared" si="326"/>
        <v>0</v>
      </c>
      <c r="S1073" s="47">
        <f t="shared" si="325"/>
        <v>0</v>
      </c>
      <c r="T1073" s="151">
        <f t="shared" si="310"/>
        <v>0</v>
      </c>
      <c r="U1073" s="151">
        <f t="shared" si="311"/>
        <v>0</v>
      </c>
      <c r="V1073" s="139">
        <f t="shared" si="312"/>
        <v>0</v>
      </c>
      <c r="W1073" s="152">
        <f t="shared" si="315"/>
        <v>0</v>
      </c>
      <c r="X1073" s="127" t="str">
        <f t="shared" si="313"/>
        <v/>
      </c>
      <c r="Y1073" s="207">
        <f t="shared" si="316"/>
        <v>0</v>
      </c>
      <c r="Z1073" s="139">
        <f t="shared" si="317"/>
        <v>0</v>
      </c>
      <c r="AA1073" s="139">
        <f t="shared" si="318"/>
        <v>0</v>
      </c>
      <c r="AC1073" s="47">
        <f t="shared" si="319"/>
        <v>0</v>
      </c>
      <c r="AD1073" s="47">
        <f t="shared" si="320"/>
        <v>0</v>
      </c>
      <c r="AE1073" s="47">
        <f t="shared" si="321"/>
        <v>0</v>
      </c>
      <c r="AG1073" s="47">
        <f t="shared" si="322"/>
        <v>0</v>
      </c>
      <c r="AH1073" s="47">
        <f t="shared" si="323"/>
        <v>0</v>
      </c>
      <c r="AI1073" s="208">
        <f t="shared" si="324"/>
        <v>0</v>
      </c>
    </row>
    <row r="1074" spans="1:35">
      <c r="A1074" t="s">
        <v>2122</v>
      </c>
      <c r="B1074" t="s">
        <v>3170</v>
      </c>
      <c r="C1074" t="s">
        <v>4429</v>
      </c>
      <c r="D1074" t="s">
        <v>4430</v>
      </c>
      <c r="F1074" t="s">
        <v>4431</v>
      </c>
      <c r="G1074" s="126">
        <f>SUMIFS('Support - Transition'!F:F,'Support - Transition'!B:B,'Step 2'!A1074,'Support - Transition'!C:C,'Step 2'!B1074,'Support - Transition'!D:D,'Step 2'!C1074,'Support - Transition'!E:E,"CIVIL")</f>
        <v>0</v>
      </c>
      <c r="H1074" s="126">
        <f>SUMIFS('Support - Transition'!F:F,'Support - Transition'!B:B,'Step 2'!A1074,'Support - Transition'!C:C,'Step 2'!B1074,'Support - Transition'!D:D,'Step 2'!C1074,'Support - Transition'!E:E,"FIRE")</f>
        <v>0</v>
      </c>
      <c r="I1074" s="126">
        <f>IF(B1074="0",SUMIFS('Support - Transition'!F:F,'Support - Transition'!J:J,'Step 2'!D1074,'Support - Transition'!E:E,"STATE UNIT"),SUMIFS('Support - Transition'!F:F,'Support - Transition'!J:J,'Step 2'!D1074))</f>
        <v>0</v>
      </c>
      <c r="J1074" s="126">
        <f>SUMIFS('Support - Unit Adjustments'!E:E,'Support - Unit Adjustments'!F:F,'Step 2'!D1074)</f>
        <v>0</v>
      </c>
      <c r="K1074" s="126">
        <f t="shared" si="308"/>
        <v>0</v>
      </c>
      <c r="L1074" s="174">
        <f>VLOOKUP(A1074,'Step 1'!$A:$E,4,FALSE)</f>
        <v>502117</v>
      </c>
      <c r="M1074" s="47">
        <f t="shared" si="309"/>
        <v>0</v>
      </c>
      <c r="N1074" s="177">
        <f>SUMIFS('Support - Transition'!G:G,'Support - Transition'!J:J,'Step 2'!D1074,'Support - Transition'!E:E,"2009 WELFARE ALLOCATION FACTOR")</f>
        <v>0</v>
      </c>
      <c r="O1074" s="152">
        <f t="shared" si="314"/>
        <v>0</v>
      </c>
      <c r="P1074" s="126">
        <f>IF(E1074="Y",0,SUMIFS('Support - Transition'!G:G,'Support - Transition'!J:J,'Step 2'!D1074,'Support - Transition'!E:E,"2009 SCHOOL ALLOCATION FACTOR"))</f>
        <v>0</v>
      </c>
      <c r="Q1074" s="126">
        <f>IF(E1074="Y",VLOOKUP(D1074,'Support - Unit Adjustments'!F:G,2,FALSE),0)</f>
        <v>0</v>
      </c>
      <c r="R1074" s="155">
        <f t="shared" si="326"/>
        <v>0</v>
      </c>
      <c r="S1074" s="47">
        <f t="shared" si="325"/>
        <v>0</v>
      </c>
      <c r="T1074" s="151">
        <f t="shared" si="310"/>
        <v>0</v>
      </c>
      <c r="U1074" s="151">
        <f t="shared" si="311"/>
        <v>0</v>
      </c>
      <c r="V1074" s="139">
        <f t="shared" si="312"/>
        <v>0</v>
      </c>
      <c r="W1074" s="152">
        <f t="shared" si="315"/>
        <v>0</v>
      </c>
      <c r="X1074" s="127" t="str">
        <f t="shared" si="313"/>
        <v/>
      </c>
      <c r="Y1074" s="207">
        <f t="shared" si="316"/>
        <v>0</v>
      </c>
      <c r="Z1074" s="139">
        <f t="shared" si="317"/>
        <v>0</v>
      </c>
      <c r="AA1074" s="139">
        <f t="shared" si="318"/>
        <v>0</v>
      </c>
      <c r="AC1074" s="47">
        <f t="shared" si="319"/>
        <v>0</v>
      </c>
      <c r="AD1074" s="47">
        <f t="shared" si="320"/>
        <v>0</v>
      </c>
      <c r="AE1074" s="47">
        <f t="shared" si="321"/>
        <v>0</v>
      </c>
      <c r="AG1074" s="47">
        <f t="shared" si="322"/>
        <v>0</v>
      </c>
      <c r="AH1074" s="47">
        <f t="shared" si="323"/>
        <v>0</v>
      </c>
      <c r="AI1074" s="208">
        <f t="shared" si="324"/>
        <v>0</v>
      </c>
    </row>
    <row r="1075" spans="1:35">
      <c r="A1075" t="s">
        <v>2123</v>
      </c>
      <c r="B1075" s="48" t="s">
        <v>6274</v>
      </c>
      <c r="C1075" t="s">
        <v>2187</v>
      </c>
      <c r="D1075" t="str">
        <f>A1075&amp;B1075&amp;C1075</f>
        <v>3700000</v>
      </c>
      <c r="F1075" t="s">
        <v>6311</v>
      </c>
      <c r="G1075" s="126">
        <f>SUMIFS('Support - Transition'!F:F,'Support - Transition'!B:B,'Step 2'!A1075,'Support - Transition'!C:C,'Step 2'!B1075,'Support - Transition'!D:D,'Step 2'!C1075,'Support - Transition'!E:E,"CIVIL")</f>
        <v>0</v>
      </c>
      <c r="H1075" s="126">
        <f>SUMIFS('Support - Transition'!F:F,'Support - Transition'!B:B,'Step 2'!A1075,'Support - Transition'!C:C,'Step 2'!B1075,'Support - Transition'!D:D,'Step 2'!C1075,'Support - Transition'!E:E,"FIRE")</f>
        <v>0</v>
      </c>
      <c r="I1075" s="126">
        <f>IF(B1075="0",SUMIFS('Support - Transition'!F:F,'Support - Transition'!J:J,'Step 2'!D1075,'Support - Transition'!E:E,"STATE UNIT"),SUMIFS('Support - Transition'!F:F,'Support - Transition'!J:J,'Step 2'!D1075))</f>
        <v>1.3829999999999999E-3</v>
      </c>
      <c r="J1075" s="126">
        <f>SUMIFS('Support - Unit Adjustments'!E:E,'Support - Unit Adjustments'!F:F,'Step 2'!D1075)</f>
        <v>0</v>
      </c>
      <c r="K1075" s="126">
        <f t="shared" si="308"/>
        <v>1.3829999999999999E-3</v>
      </c>
      <c r="L1075" s="174">
        <f>VLOOKUP(A1075,'Step 1'!$A:$E,4,FALSE)</f>
        <v>705710</v>
      </c>
      <c r="M1075" s="47">
        <f t="shared" si="309"/>
        <v>976</v>
      </c>
      <c r="N1075" s="177">
        <f>SUMIFS('Support - Transition'!G:G,'Support - Transition'!J:J,'Step 2'!D1075,'Support - Transition'!E:E,"2009 WELFARE ALLOCATION FACTOR")</f>
        <v>0</v>
      </c>
      <c r="O1075" s="152">
        <f t="shared" si="314"/>
        <v>0</v>
      </c>
      <c r="P1075" s="126">
        <f>IF(E1075="Y",0,SUMIFS('Support - Transition'!G:G,'Support - Transition'!J:J,'Step 2'!D1075,'Support - Transition'!E:E,"2009 SCHOOL ALLOCATION FACTOR"))</f>
        <v>0</v>
      </c>
      <c r="Q1075" s="126">
        <f>IF(E1075="Y",VLOOKUP(D1075,'Support - Unit Adjustments'!F:G,2,FALSE),0)</f>
        <v>0</v>
      </c>
      <c r="R1075" s="155">
        <f t="shared" si="326"/>
        <v>0</v>
      </c>
      <c r="S1075" s="47">
        <f t="shared" si="325"/>
        <v>0</v>
      </c>
      <c r="T1075" s="151">
        <f t="shared" si="310"/>
        <v>976</v>
      </c>
      <c r="U1075" s="151">
        <f t="shared" si="311"/>
        <v>705709</v>
      </c>
      <c r="V1075" s="139">
        <f t="shared" si="312"/>
        <v>-1</v>
      </c>
      <c r="W1075" s="152">
        <f t="shared" si="315"/>
        <v>977</v>
      </c>
      <c r="X1075" s="127">
        <f t="shared" si="313"/>
        <v>0</v>
      </c>
      <c r="Y1075" s="207">
        <f t="shared" si="316"/>
        <v>977</v>
      </c>
      <c r="Z1075" s="139">
        <f t="shared" si="317"/>
        <v>977</v>
      </c>
      <c r="AA1075" s="139">
        <f t="shared" si="318"/>
        <v>0</v>
      </c>
      <c r="AC1075" s="47">
        <f t="shared" si="319"/>
        <v>489</v>
      </c>
      <c r="AD1075" s="47">
        <f t="shared" si="320"/>
        <v>489</v>
      </c>
      <c r="AE1075" s="47">
        <f t="shared" si="321"/>
        <v>0</v>
      </c>
      <c r="AG1075" s="47">
        <f t="shared" si="322"/>
        <v>488</v>
      </c>
      <c r="AH1075" s="47">
        <f t="shared" si="323"/>
        <v>488</v>
      </c>
      <c r="AI1075" s="208">
        <f t="shared" si="324"/>
        <v>0</v>
      </c>
    </row>
    <row r="1076" spans="1:35">
      <c r="A1076" t="s">
        <v>2123</v>
      </c>
      <c r="B1076" t="s">
        <v>3140</v>
      </c>
      <c r="C1076" t="s">
        <v>2187</v>
      </c>
      <c r="D1076" t="s">
        <v>4432</v>
      </c>
      <c r="F1076" t="s">
        <v>830</v>
      </c>
      <c r="G1076" s="126">
        <f>SUMIFS('Support - Transition'!F:F,'Support - Transition'!B:B,'Step 2'!A1076,'Support - Transition'!C:C,'Step 2'!B1076,'Support - Transition'!D:D,'Step 2'!C1076,'Support - Transition'!E:E,"CIVIL")</f>
        <v>0</v>
      </c>
      <c r="H1076" s="126">
        <f>SUMIFS('Support - Transition'!F:F,'Support - Transition'!B:B,'Step 2'!A1076,'Support - Transition'!C:C,'Step 2'!B1076,'Support - Transition'!D:D,'Step 2'!C1076,'Support - Transition'!E:E,"FIRE")</f>
        <v>0</v>
      </c>
      <c r="I1076" s="126">
        <f>IF(B1076="0",SUMIFS('Support - Transition'!F:F,'Support - Transition'!J:J,'Step 2'!D1076,'Support - Transition'!E:E,"STATE UNIT"),SUMIFS('Support - Transition'!F:F,'Support - Transition'!J:J,'Step 2'!D1076))</f>
        <v>0.18002499999999999</v>
      </c>
      <c r="J1076" s="126">
        <f>SUMIFS('Support - Unit Adjustments'!E:E,'Support - Unit Adjustments'!F:F,'Step 2'!D1076)</f>
        <v>0</v>
      </c>
      <c r="K1076" s="126">
        <f t="shared" si="308"/>
        <v>0.18002499999999999</v>
      </c>
      <c r="L1076" s="174">
        <f>VLOOKUP(A1076,'Step 1'!$A:$E,4,FALSE)</f>
        <v>705710</v>
      </c>
      <c r="M1076" s="47">
        <f t="shared" si="309"/>
        <v>127045</v>
      </c>
      <c r="N1076" s="177">
        <f>SUMIFS('Support - Transition'!G:G,'Support - Transition'!J:J,'Step 2'!D1076,'Support - Transition'!E:E,"2009 WELFARE ALLOCATION FACTOR")</f>
        <v>0.17832400000000001</v>
      </c>
      <c r="O1076" s="152">
        <f t="shared" si="314"/>
        <v>22655</v>
      </c>
      <c r="P1076" s="126">
        <f>IF(E1076="Y",0,SUMIFS('Support - Transition'!G:G,'Support - Transition'!J:J,'Step 2'!D1076,'Support - Transition'!E:E,"2009 SCHOOL ALLOCATION FACTOR"))</f>
        <v>0</v>
      </c>
      <c r="Q1076" s="126">
        <f>IF(E1076="Y",VLOOKUP(D1076,'Support - Unit Adjustments'!F:G,2,FALSE),0)</f>
        <v>0</v>
      </c>
      <c r="R1076" s="155">
        <f t="shared" si="326"/>
        <v>0</v>
      </c>
      <c r="S1076" s="47">
        <f t="shared" si="325"/>
        <v>0</v>
      </c>
      <c r="T1076" s="151">
        <f t="shared" si="310"/>
        <v>104390</v>
      </c>
      <c r="U1076" s="151">
        <f t="shared" si="311"/>
        <v>0</v>
      </c>
      <c r="V1076" s="139">
        <f t="shared" si="312"/>
        <v>0</v>
      </c>
      <c r="W1076" s="152">
        <f t="shared" si="315"/>
        <v>104390</v>
      </c>
      <c r="X1076" s="127" t="str">
        <f t="shared" si="313"/>
        <v/>
      </c>
      <c r="Y1076" s="207">
        <f t="shared" si="316"/>
        <v>104390</v>
      </c>
      <c r="Z1076" s="139">
        <f t="shared" si="317"/>
        <v>104390</v>
      </c>
      <c r="AA1076" s="139">
        <f t="shared" si="318"/>
        <v>0</v>
      </c>
      <c r="AC1076" s="47">
        <f t="shared" si="319"/>
        <v>52195</v>
      </c>
      <c r="AD1076" s="47">
        <f t="shared" si="320"/>
        <v>52195</v>
      </c>
      <c r="AE1076" s="47">
        <f t="shared" si="321"/>
        <v>0</v>
      </c>
      <c r="AG1076" s="47">
        <f t="shared" si="322"/>
        <v>52195</v>
      </c>
      <c r="AH1076" s="47">
        <f t="shared" si="323"/>
        <v>52195</v>
      </c>
      <c r="AI1076" s="208">
        <f t="shared" si="324"/>
        <v>0</v>
      </c>
    </row>
    <row r="1077" spans="1:35">
      <c r="A1077" t="s">
        <v>2123</v>
      </c>
      <c r="B1077" t="s">
        <v>3142</v>
      </c>
      <c r="C1077" t="s">
        <v>2188</v>
      </c>
      <c r="D1077" t="s">
        <v>4433</v>
      </c>
      <c r="F1077" t="s">
        <v>831</v>
      </c>
      <c r="G1077" s="126">
        <f>SUMIFS('Support - Transition'!F:F,'Support - Transition'!B:B,'Step 2'!A1077,'Support - Transition'!C:C,'Step 2'!B1077,'Support - Transition'!D:D,'Step 2'!C1077,'Support - Transition'!E:E,"CIVIL")</f>
        <v>2.6499999999999999E-4</v>
      </c>
      <c r="H1077" s="126">
        <f>SUMIFS('Support - Transition'!F:F,'Support - Transition'!B:B,'Step 2'!A1077,'Support - Transition'!C:C,'Step 2'!B1077,'Support - Transition'!D:D,'Step 2'!C1077,'Support - Transition'!E:E,"FIRE")</f>
        <v>1.46E-4</v>
      </c>
      <c r="I1077" s="126">
        <f>IF(B1077="0",SUMIFS('Support - Transition'!F:F,'Support - Transition'!J:J,'Step 2'!D1077,'Support - Transition'!E:E,"STATE UNIT"),SUMIFS('Support - Transition'!F:F,'Support - Transition'!J:J,'Step 2'!D1077))</f>
        <v>4.1100000000000002E-4</v>
      </c>
      <c r="J1077" s="126">
        <f>SUMIFS('Support - Unit Adjustments'!E:E,'Support - Unit Adjustments'!F:F,'Step 2'!D1077)</f>
        <v>0</v>
      </c>
      <c r="K1077" s="126">
        <f t="shared" si="308"/>
        <v>4.1100000000000002E-4</v>
      </c>
      <c r="L1077" s="174">
        <f>VLOOKUP(A1077,'Step 1'!$A:$E,4,FALSE)</f>
        <v>705710</v>
      </c>
      <c r="M1077" s="47">
        <f t="shared" si="309"/>
        <v>290</v>
      </c>
      <c r="N1077" s="177">
        <f>SUMIFS('Support - Transition'!G:G,'Support - Transition'!J:J,'Step 2'!D1077,'Support - Transition'!E:E,"2009 WELFARE ALLOCATION FACTOR")</f>
        <v>0</v>
      </c>
      <c r="O1077" s="152">
        <f t="shared" si="314"/>
        <v>0</v>
      </c>
      <c r="P1077" s="126">
        <f>IF(E1077="Y",0,SUMIFS('Support - Transition'!G:G,'Support - Transition'!J:J,'Step 2'!D1077,'Support - Transition'!E:E,"2009 SCHOOL ALLOCATION FACTOR"))</f>
        <v>0</v>
      </c>
      <c r="Q1077" s="126">
        <f>IF(E1077="Y",VLOOKUP(D1077,'Support - Unit Adjustments'!F:G,2,FALSE),0)</f>
        <v>0</v>
      </c>
      <c r="R1077" s="155">
        <f t="shared" si="326"/>
        <v>0</v>
      </c>
      <c r="S1077" s="47">
        <f t="shared" si="325"/>
        <v>0</v>
      </c>
      <c r="T1077" s="151">
        <f t="shared" si="310"/>
        <v>290</v>
      </c>
      <c r="U1077" s="151">
        <f t="shared" si="311"/>
        <v>0</v>
      </c>
      <c r="V1077" s="139">
        <f t="shared" si="312"/>
        <v>0</v>
      </c>
      <c r="W1077" s="152">
        <f t="shared" si="315"/>
        <v>290</v>
      </c>
      <c r="X1077" s="127" t="str">
        <f t="shared" si="313"/>
        <v/>
      </c>
      <c r="Y1077" s="207">
        <f t="shared" si="316"/>
        <v>290</v>
      </c>
      <c r="Z1077" s="139">
        <f t="shared" si="317"/>
        <v>187</v>
      </c>
      <c r="AA1077" s="139">
        <f t="shared" si="318"/>
        <v>103</v>
      </c>
      <c r="AC1077" s="47">
        <f t="shared" si="319"/>
        <v>145</v>
      </c>
      <c r="AD1077" s="47">
        <f t="shared" si="320"/>
        <v>94</v>
      </c>
      <c r="AE1077" s="47">
        <f t="shared" si="321"/>
        <v>52</v>
      </c>
      <c r="AG1077" s="47">
        <f t="shared" si="322"/>
        <v>145</v>
      </c>
      <c r="AH1077" s="47">
        <f t="shared" si="323"/>
        <v>93</v>
      </c>
      <c r="AI1077" s="208">
        <f t="shared" si="324"/>
        <v>51</v>
      </c>
    </row>
    <row r="1078" spans="1:35">
      <c r="A1078" t="s">
        <v>2123</v>
      </c>
      <c r="B1078" t="s">
        <v>3142</v>
      </c>
      <c r="C1078" t="s">
        <v>2189</v>
      </c>
      <c r="D1078" t="s">
        <v>4434</v>
      </c>
      <c r="F1078" t="s">
        <v>832</v>
      </c>
      <c r="G1078" s="126">
        <f>SUMIFS('Support - Transition'!F:F,'Support - Transition'!B:B,'Step 2'!A1078,'Support - Transition'!C:C,'Step 2'!B1078,'Support - Transition'!D:D,'Step 2'!C1078,'Support - Transition'!E:E,"CIVIL")</f>
        <v>1.137E-2</v>
      </c>
      <c r="H1078" s="126">
        <f>SUMIFS('Support - Transition'!F:F,'Support - Transition'!B:B,'Step 2'!A1078,'Support - Transition'!C:C,'Step 2'!B1078,'Support - Transition'!D:D,'Step 2'!C1078,'Support - Transition'!E:E,"FIRE")</f>
        <v>4.4710000000000001E-3</v>
      </c>
      <c r="I1078" s="126">
        <f>IF(B1078="0",SUMIFS('Support - Transition'!F:F,'Support - Transition'!J:J,'Step 2'!D1078,'Support - Transition'!E:E,"STATE UNIT"),SUMIFS('Support - Transition'!F:F,'Support - Transition'!J:J,'Step 2'!D1078))</f>
        <v>1.5841000000000001E-2</v>
      </c>
      <c r="J1078" s="126">
        <f>SUMIFS('Support - Unit Adjustments'!E:E,'Support - Unit Adjustments'!F:F,'Step 2'!D1078)</f>
        <v>0</v>
      </c>
      <c r="K1078" s="126">
        <f t="shared" si="308"/>
        <v>1.5841000000000001E-2</v>
      </c>
      <c r="L1078" s="174">
        <f>VLOOKUP(A1078,'Step 1'!$A:$E,4,FALSE)</f>
        <v>705710</v>
      </c>
      <c r="M1078" s="47">
        <f t="shared" si="309"/>
        <v>11179</v>
      </c>
      <c r="N1078" s="177">
        <f>SUMIFS('Support - Transition'!G:G,'Support - Transition'!J:J,'Step 2'!D1078,'Support - Transition'!E:E,"2009 WELFARE ALLOCATION FACTOR")</f>
        <v>0</v>
      </c>
      <c r="O1078" s="152">
        <f t="shared" si="314"/>
        <v>0</v>
      </c>
      <c r="P1078" s="126">
        <f>IF(E1078="Y",0,SUMIFS('Support - Transition'!G:G,'Support - Transition'!J:J,'Step 2'!D1078,'Support - Transition'!E:E,"2009 SCHOOL ALLOCATION FACTOR"))</f>
        <v>0</v>
      </c>
      <c r="Q1078" s="126">
        <f>IF(E1078="Y",VLOOKUP(D1078,'Support - Unit Adjustments'!F:G,2,FALSE),0)</f>
        <v>0</v>
      </c>
      <c r="R1078" s="155">
        <f t="shared" si="326"/>
        <v>0</v>
      </c>
      <c r="S1078" s="47">
        <f t="shared" si="325"/>
        <v>0</v>
      </c>
      <c r="T1078" s="151">
        <f t="shared" si="310"/>
        <v>11179</v>
      </c>
      <c r="U1078" s="151">
        <f t="shared" si="311"/>
        <v>0</v>
      </c>
      <c r="V1078" s="139">
        <f t="shared" si="312"/>
        <v>0</v>
      </c>
      <c r="W1078" s="152">
        <f t="shared" si="315"/>
        <v>11179</v>
      </c>
      <c r="X1078" s="127" t="str">
        <f t="shared" si="313"/>
        <v/>
      </c>
      <c r="Y1078" s="207">
        <f t="shared" si="316"/>
        <v>11179</v>
      </c>
      <c r="Z1078" s="139">
        <f t="shared" si="317"/>
        <v>8024</v>
      </c>
      <c r="AA1078" s="139">
        <f t="shared" si="318"/>
        <v>3155</v>
      </c>
      <c r="AC1078" s="47">
        <f t="shared" si="319"/>
        <v>5590</v>
      </c>
      <c r="AD1078" s="47">
        <f t="shared" si="320"/>
        <v>4012</v>
      </c>
      <c r="AE1078" s="47">
        <f t="shared" si="321"/>
        <v>1578</v>
      </c>
      <c r="AG1078" s="47">
        <f t="shared" si="322"/>
        <v>5589</v>
      </c>
      <c r="AH1078" s="47">
        <f t="shared" si="323"/>
        <v>4012</v>
      </c>
      <c r="AI1078" s="208">
        <f t="shared" si="324"/>
        <v>1577</v>
      </c>
    </row>
    <row r="1079" spans="1:35">
      <c r="A1079" t="s">
        <v>2123</v>
      </c>
      <c r="B1079" t="s">
        <v>3142</v>
      </c>
      <c r="C1079" t="s">
        <v>2190</v>
      </c>
      <c r="D1079" t="s">
        <v>4435</v>
      </c>
      <c r="F1079" t="s">
        <v>833</v>
      </c>
      <c r="G1079" s="126">
        <f>SUMIFS('Support - Transition'!F:F,'Support - Transition'!B:B,'Step 2'!A1079,'Support - Transition'!C:C,'Step 2'!B1079,'Support - Transition'!D:D,'Step 2'!C1079,'Support - Transition'!E:E,"CIVIL")</f>
        <v>2.32E-4</v>
      </c>
      <c r="H1079" s="126">
        <f>SUMIFS('Support - Transition'!F:F,'Support - Transition'!B:B,'Step 2'!A1079,'Support - Transition'!C:C,'Step 2'!B1079,'Support - Transition'!D:D,'Step 2'!C1079,'Support - Transition'!E:E,"FIRE")</f>
        <v>7.6000000000000004E-5</v>
      </c>
      <c r="I1079" s="126">
        <f>IF(B1079="0",SUMIFS('Support - Transition'!F:F,'Support - Transition'!J:J,'Step 2'!D1079,'Support - Transition'!E:E,"STATE UNIT"),SUMIFS('Support - Transition'!F:F,'Support - Transition'!J:J,'Step 2'!D1079))</f>
        <v>3.0800000000000001E-4</v>
      </c>
      <c r="J1079" s="126">
        <f>SUMIFS('Support - Unit Adjustments'!E:E,'Support - Unit Adjustments'!F:F,'Step 2'!D1079)</f>
        <v>0</v>
      </c>
      <c r="K1079" s="126">
        <f t="shared" si="308"/>
        <v>3.0800000000000001E-4</v>
      </c>
      <c r="L1079" s="174">
        <f>VLOOKUP(A1079,'Step 1'!$A:$E,4,FALSE)</f>
        <v>705710</v>
      </c>
      <c r="M1079" s="47">
        <f t="shared" si="309"/>
        <v>217</v>
      </c>
      <c r="N1079" s="177">
        <f>SUMIFS('Support - Transition'!G:G,'Support - Transition'!J:J,'Step 2'!D1079,'Support - Transition'!E:E,"2009 WELFARE ALLOCATION FACTOR")</f>
        <v>0</v>
      </c>
      <c r="O1079" s="152">
        <f t="shared" si="314"/>
        <v>0</v>
      </c>
      <c r="P1079" s="126">
        <f>IF(E1079="Y",0,SUMIFS('Support - Transition'!G:G,'Support - Transition'!J:J,'Step 2'!D1079,'Support - Transition'!E:E,"2009 SCHOOL ALLOCATION FACTOR"))</f>
        <v>0</v>
      </c>
      <c r="Q1079" s="126">
        <f>IF(E1079="Y",VLOOKUP(D1079,'Support - Unit Adjustments'!F:G,2,FALSE),0)</f>
        <v>0</v>
      </c>
      <c r="R1079" s="155">
        <f t="shared" si="326"/>
        <v>0</v>
      </c>
      <c r="S1079" s="47">
        <f t="shared" si="325"/>
        <v>0</v>
      </c>
      <c r="T1079" s="151">
        <f t="shared" si="310"/>
        <v>217</v>
      </c>
      <c r="U1079" s="151">
        <f t="shared" si="311"/>
        <v>0</v>
      </c>
      <c r="V1079" s="139">
        <f t="shared" si="312"/>
        <v>0</v>
      </c>
      <c r="W1079" s="152">
        <f t="shared" si="315"/>
        <v>217</v>
      </c>
      <c r="X1079" s="127" t="str">
        <f t="shared" si="313"/>
        <v/>
      </c>
      <c r="Y1079" s="207">
        <f t="shared" si="316"/>
        <v>217</v>
      </c>
      <c r="Z1079" s="139">
        <f t="shared" si="317"/>
        <v>163</v>
      </c>
      <c r="AA1079" s="139">
        <f t="shared" si="318"/>
        <v>54</v>
      </c>
      <c r="AC1079" s="47">
        <f t="shared" si="319"/>
        <v>109</v>
      </c>
      <c r="AD1079" s="47">
        <f t="shared" si="320"/>
        <v>82</v>
      </c>
      <c r="AE1079" s="47">
        <f t="shared" si="321"/>
        <v>27</v>
      </c>
      <c r="AG1079" s="47">
        <f t="shared" si="322"/>
        <v>108</v>
      </c>
      <c r="AH1079" s="47">
        <f t="shared" si="323"/>
        <v>81</v>
      </c>
      <c r="AI1079" s="208">
        <f t="shared" si="324"/>
        <v>27</v>
      </c>
    </row>
    <row r="1080" spans="1:35">
      <c r="A1080" t="s">
        <v>2123</v>
      </c>
      <c r="B1080" t="s">
        <v>3142</v>
      </c>
      <c r="C1080" t="s">
        <v>2191</v>
      </c>
      <c r="D1080" t="s">
        <v>4436</v>
      </c>
      <c r="F1080" t="s">
        <v>834</v>
      </c>
      <c r="G1080" s="126">
        <f>SUMIFS('Support - Transition'!F:F,'Support - Transition'!B:B,'Step 2'!A1080,'Support - Transition'!C:C,'Step 2'!B1080,'Support - Transition'!D:D,'Step 2'!C1080,'Support - Transition'!E:E,"CIVIL")</f>
        <v>3.6699999999999998E-4</v>
      </c>
      <c r="H1080" s="126">
        <f>SUMIFS('Support - Transition'!F:F,'Support - Transition'!B:B,'Step 2'!A1080,'Support - Transition'!C:C,'Step 2'!B1080,'Support - Transition'!D:D,'Step 2'!C1080,'Support - Transition'!E:E,"FIRE")</f>
        <v>2.1000000000000001E-4</v>
      </c>
      <c r="I1080" s="126">
        <f>IF(B1080="0",SUMIFS('Support - Transition'!F:F,'Support - Transition'!J:J,'Step 2'!D1080,'Support - Transition'!E:E,"STATE UNIT"),SUMIFS('Support - Transition'!F:F,'Support - Transition'!J:J,'Step 2'!D1080))</f>
        <v>5.7700000000000004E-4</v>
      </c>
      <c r="J1080" s="126">
        <f>SUMIFS('Support - Unit Adjustments'!E:E,'Support - Unit Adjustments'!F:F,'Step 2'!D1080)</f>
        <v>0</v>
      </c>
      <c r="K1080" s="126">
        <f t="shared" si="308"/>
        <v>5.7700000000000004E-4</v>
      </c>
      <c r="L1080" s="174">
        <f>VLOOKUP(A1080,'Step 1'!$A:$E,4,FALSE)</f>
        <v>705710</v>
      </c>
      <c r="M1080" s="47">
        <f t="shared" si="309"/>
        <v>407</v>
      </c>
      <c r="N1080" s="177">
        <f>SUMIFS('Support - Transition'!G:G,'Support - Transition'!J:J,'Step 2'!D1080,'Support - Transition'!E:E,"2009 WELFARE ALLOCATION FACTOR")</f>
        <v>0</v>
      </c>
      <c r="O1080" s="152">
        <f t="shared" si="314"/>
        <v>0</v>
      </c>
      <c r="P1080" s="126">
        <f>IF(E1080="Y",0,SUMIFS('Support - Transition'!G:G,'Support - Transition'!J:J,'Step 2'!D1080,'Support - Transition'!E:E,"2009 SCHOOL ALLOCATION FACTOR"))</f>
        <v>0</v>
      </c>
      <c r="Q1080" s="126">
        <f>IF(E1080="Y",VLOOKUP(D1080,'Support - Unit Adjustments'!F:G,2,FALSE),0)</f>
        <v>0</v>
      </c>
      <c r="R1080" s="155">
        <f t="shared" si="326"/>
        <v>0</v>
      </c>
      <c r="S1080" s="47">
        <f t="shared" si="325"/>
        <v>0</v>
      </c>
      <c r="T1080" s="151">
        <f t="shared" si="310"/>
        <v>407</v>
      </c>
      <c r="U1080" s="151">
        <f t="shared" si="311"/>
        <v>0</v>
      </c>
      <c r="V1080" s="139">
        <f t="shared" si="312"/>
        <v>0</v>
      </c>
      <c r="W1080" s="152">
        <f t="shared" si="315"/>
        <v>407</v>
      </c>
      <c r="X1080" s="127" t="str">
        <f t="shared" si="313"/>
        <v/>
      </c>
      <c r="Y1080" s="207">
        <f t="shared" si="316"/>
        <v>407</v>
      </c>
      <c r="Z1080" s="139">
        <f t="shared" si="317"/>
        <v>259</v>
      </c>
      <c r="AA1080" s="139">
        <f t="shared" si="318"/>
        <v>148</v>
      </c>
      <c r="AC1080" s="47">
        <f t="shared" si="319"/>
        <v>204</v>
      </c>
      <c r="AD1080" s="47">
        <f t="shared" si="320"/>
        <v>130</v>
      </c>
      <c r="AE1080" s="47">
        <f t="shared" si="321"/>
        <v>74</v>
      </c>
      <c r="AG1080" s="47">
        <f t="shared" si="322"/>
        <v>203</v>
      </c>
      <c r="AH1080" s="47">
        <f t="shared" si="323"/>
        <v>129</v>
      </c>
      <c r="AI1080" s="208">
        <f t="shared" si="324"/>
        <v>74</v>
      </c>
    </row>
    <row r="1081" spans="1:35">
      <c r="A1081" t="s">
        <v>2123</v>
      </c>
      <c r="B1081" t="s">
        <v>3142</v>
      </c>
      <c r="C1081" t="s">
        <v>2192</v>
      </c>
      <c r="D1081" t="s">
        <v>4437</v>
      </c>
      <c r="F1081" t="s">
        <v>835</v>
      </c>
      <c r="G1081" s="126">
        <f>SUMIFS('Support - Transition'!F:F,'Support - Transition'!B:B,'Step 2'!A1081,'Support - Transition'!C:C,'Step 2'!B1081,'Support - Transition'!D:D,'Step 2'!C1081,'Support - Transition'!E:E,"CIVIL")</f>
        <v>2.52E-4</v>
      </c>
      <c r="H1081" s="126">
        <f>SUMIFS('Support - Transition'!F:F,'Support - Transition'!B:B,'Step 2'!A1081,'Support - Transition'!C:C,'Step 2'!B1081,'Support - Transition'!D:D,'Step 2'!C1081,'Support - Transition'!E:E,"FIRE")</f>
        <v>1.3200000000000001E-4</v>
      </c>
      <c r="I1081" s="126">
        <f>IF(B1081="0",SUMIFS('Support - Transition'!F:F,'Support - Transition'!J:J,'Step 2'!D1081,'Support - Transition'!E:E,"STATE UNIT"),SUMIFS('Support - Transition'!F:F,'Support - Transition'!J:J,'Step 2'!D1081))</f>
        <v>3.8400000000000001E-4</v>
      </c>
      <c r="J1081" s="126">
        <f>SUMIFS('Support - Unit Adjustments'!E:E,'Support - Unit Adjustments'!F:F,'Step 2'!D1081)</f>
        <v>0</v>
      </c>
      <c r="K1081" s="126">
        <f t="shared" si="308"/>
        <v>3.8400000000000001E-4</v>
      </c>
      <c r="L1081" s="174">
        <f>VLOOKUP(A1081,'Step 1'!$A:$E,4,FALSE)</f>
        <v>705710</v>
      </c>
      <c r="M1081" s="47">
        <f t="shared" si="309"/>
        <v>271</v>
      </c>
      <c r="N1081" s="177">
        <f>SUMIFS('Support - Transition'!G:G,'Support - Transition'!J:J,'Step 2'!D1081,'Support - Transition'!E:E,"2009 WELFARE ALLOCATION FACTOR")</f>
        <v>0</v>
      </c>
      <c r="O1081" s="152">
        <f t="shared" si="314"/>
        <v>0</v>
      </c>
      <c r="P1081" s="126">
        <f>IF(E1081="Y",0,SUMIFS('Support - Transition'!G:G,'Support - Transition'!J:J,'Step 2'!D1081,'Support - Transition'!E:E,"2009 SCHOOL ALLOCATION FACTOR"))</f>
        <v>0</v>
      </c>
      <c r="Q1081" s="126">
        <f>IF(E1081="Y",VLOOKUP(D1081,'Support - Unit Adjustments'!F:G,2,FALSE),0)</f>
        <v>0</v>
      </c>
      <c r="R1081" s="155">
        <f t="shared" si="326"/>
        <v>0</v>
      </c>
      <c r="S1081" s="47">
        <f t="shared" si="325"/>
        <v>0</v>
      </c>
      <c r="T1081" s="151">
        <f t="shared" si="310"/>
        <v>271</v>
      </c>
      <c r="U1081" s="151">
        <f t="shared" si="311"/>
        <v>0</v>
      </c>
      <c r="V1081" s="139">
        <f t="shared" si="312"/>
        <v>0</v>
      </c>
      <c r="W1081" s="152">
        <f t="shared" si="315"/>
        <v>271</v>
      </c>
      <c r="X1081" s="127" t="str">
        <f t="shared" si="313"/>
        <v/>
      </c>
      <c r="Y1081" s="207">
        <f t="shared" si="316"/>
        <v>271</v>
      </c>
      <c r="Z1081" s="139">
        <f t="shared" si="317"/>
        <v>178</v>
      </c>
      <c r="AA1081" s="139">
        <f t="shared" si="318"/>
        <v>93</v>
      </c>
      <c r="AC1081" s="47">
        <f t="shared" si="319"/>
        <v>136</v>
      </c>
      <c r="AD1081" s="47">
        <f t="shared" si="320"/>
        <v>89</v>
      </c>
      <c r="AE1081" s="47">
        <f t="shared" si="321"/>
        <v>47</v>
      </c>
      <c r="AG1081" s="47">
        <f t="shared" si="322"/>
        <v>135</v>
      </c>
      <c r="AH1081" s="47">
        <f t="shared" si="323"/>
        <v>89</v>
      </c>
      <c r="AI1081" s="208">
        <f t="shared" si="324"/>
        <v>46</v>
      </c>
    </row>
    <row r="1082" spans="1:35">
      <c r="A1082" t="s">
        <v>2123</v>
      </c>
      <c r="B1082" t="s">
        <v>3142</v>
      </c>
      <c r="C1082" t="s">
        <v>2193</v>
      </c>
      <c r="D1082" t="s">
        <v>4438</v>
      </c>
      <c r="F1082" t="s">
        <v>836</v>
      </c>
      <c r="G1082" s="126">
        <f>SUMIFS('Support - Transition'!F:F,'Support - Transition'!B:B,'Step 2'!A1082,'Support - Transition'!C:C,'Step 2'!B1082,'Support - Transition'!D:D,'Step 2'!C1082,'Support - Transition'!E:E,"CIVIL")</f>
        <v>3.1799999999999998E-4</v>
      </c>
      <c r="H1082" s="126">
        <f>SUMIFS('Support - Transition'!F:F,'Support - Transition'!B:B,'Step 2'!A1082,'Support - Transition'!C:C,'Step 2'!B1082,'Support - Transition'!D:D,'Step 2'!C1082,'Support - Transition'!E:E,"FIRE")</f>
        <v>2.0699999999999999E-4</v>
      </c>
      <c r="I1082" s="126">
        <f>IF(B1082="0",SUMIFS('Support - Transition'!F:F,'Support - Transition'!J:J,'Step 2'!D1082,'Support - Transition'!E:E,"STATE UNIT"),SUMIFS('Support - Transition'!F:F,'Support - Transition'!J:J,'Step 2'!D1082))</f>
        <v>5.2499999999999997E-4</v>
      </c>
      <c r="J1082" s="126">
        <f>SUMIFS('Support - Unit Adjustments'!E:E,'Support - Unit Adjustments'!F:F,'Step 2'!D1082)</f>
        <v>0</v>
      </c>
      <c r="K1082" s="126">
        <f t="shared" si="308"/>
        <v>5.2499999999999997E-4</v>
      </c>
      <c r="L1082" s="174">
        <f>VLOOKUP(A1082,'Step 1'!$A:$E,4,FALSE)</f>
        <v>705710</v>
      </c>
      <c r="M1082" s="47">
        <f t="shared" si="309"/>
        <v>370</v>
      </c>
      <c r="N1082" s="177">
        <f>SUMIFS('Support - Transition'!G:G,'Support - Transition'!J:J,'Step 2'!D1082,'Support - Transition'!E:E,"2009 WELFARE ALLOCATION FACTOR")</f>
        <v>0</v>
      </c>
      <c r="O1082" s="152">
        <f t="shared" si="314"/>
        <v>0</v>
      </c>
      <c r="P1082" s="126">
        <f>IF(E1082="Y",0,SUMIFS('Support - Transition'!G:G,'Support - Transition'!J:J,'Step 2'!D1082,'Support - Transition'!E:E,"2009 SCHOOL ALLOCATION FACTOR"))</f>
        <v>0</v>
      </c>
      <c r="Q1082" s="126">
        <f>IF(E1082="Y",VLOOKUP(D1082,'Support - Unit Adjustments'!F:G,2,FALSE),0)</f>
        <v>0</v>
      </c>
      <c r="R1082" s="155">
        <f t="shared" si="326"/>
        <v>0</v>
      </c>
      <c r="S1082" s="47">
        <f t="shared" si="325"/>
        <v>0</v>
      </c>
      <c r="T1082" s="151">
        <f t="shared" si="310"/>
        <v>370</v>
      </c>
      <c r="U1082" s="151">
        <f t="shared" si="311"/>
        <v>0</v>
      </c>
      <c r="V1082" s="139">
        <f t="shared" si="312"/>
        <v>0</v>
      </c>
      <c r="W1082" s="152">
        <f t="shared" si="315"/>
        <v>370</v>
      </c>
      <c r="X1082" s="127" t="str">
        <f t="shared" si="313"/>
        <v/>
      </c>
      <c r="Y1082" s="207">
        <f t="shared" si="316"/>
        <v>370</v>
      </c>
      <c r="Z1082" s="139">
        <f t="shared" si="317"/>
        <v>224</v>
      </c>
      <c r="AA1082" s="139">
        <f t="shared" si="318"/>
        <v>146</v>
      </c>
      <c r="AC1082" s="47">
        <f t="shared" si="319"/>
        <v>185</v>
      </c>
      <c r="AD1082" s="47">
        <f t="shared" si="320"/>
        <v>112</v>
      </c>
      <c r="AE1082" s="47">
        <f t="shared" si="321"/>
        <v>73</v>
      </c>
      <c r="AG1082" s="47">
        <f t="shared" si="322"/>
        <v>185</v>
      </c>
      <c r="AH1082" s="47">
        <f t="shared" si="323"/>
        <v>112</v>
      </c>
      <c r="AI1082" s="208">
        <f t="shared" si="324"/>
        <v>73</v>
      </c>
    </row>
    <row r="1083" spans="1:35">
      <c r="A1083" t="s">
        <v>2123</v>
      </c>
      <c r="B1083" t="s">
        <v>3142</v>
      </c>
      <c r="C1083" t="s">
        <v>2194</v>
      </c>
      <c r="D1083" t="s">
        <v>4439</v>
      </c>
      <c r="F1083" t="s">
        <v>837</v>
      </c>
      <c r="G1083" s="126">
        <f>SUMIFS('Support - Transition'!F:F,'Support - Transition'!B:B,'Step 2'!A1083,'Support - Transition'!C:C,'Step 2'!B1083,'Support - Transition'!D:D,'Step 2'!C1083,'Support - Transition'!E:E,"CIVIL")</f>
        <v>3.5860000000000002E-3</v>
      </c>
      <c r="H1083" s="126">
        <f>SUMIFS('Support - Transition'!F:F,'Support - Transition'!B:B,'Step 2'!A1083,'Support - Transition'!C:C,'Step 2'!B1083,'Support - Transition'!D:D,'Step 2'!C1083,'Support - Transition'!E:E,"FIRE")</f>
        <v>2.6090000000000002E-3</v>
      </c>
      <c r="I1083" s="126">
        <f>IF(B1083="0",SUMIFS('Support - Transition'!F:F,'Support - Transition'!J:J,'Step 2'!D1083,'Support - Transition'!E:E,"STATE UNIT"),SUMIFS('Support - Transition'!F:F,'Support - Transition'!J:J,'Step 2'!D1083))</f>
        <v>6.1950000000000009E-3</v>
      </c>
      <c r="J1083" s="126">
        <f>SUMIFS('Support - Unit Adjustments'!E:E,'Support - Unit Adjustments'!F:F,'Step 2'!D1083)</f>
        <v>0</v>
      </c>
      <c r="K1083" s="126">
        <f t="shared" si="308"/>
        <v>6.1950000000000009E-3</v>
      </c>
      <c r="L1083" s="174">
        <f>VLOOKUP(A1083,'Step 1'!$A:$E,4,FALSE)</f>
        <v>705710</v>
      </c>
      <c r="M1083" s="47">
        <f t="shared" si="309"/>
        <v>4372</v>
      </c>
      <c r="N1083" s="177">
        <f>SUMIFS('Support - Transition'!G:G,'Support - Transition'!J:J,'Step 2'!D1083,'Support - Transition'!E:E,"2009 WELFARE ALLOCATION FACTOR")</f>
        <v>0</v>
      </c>
      <c r="O1083" s="152">
        <f t="shared" si="314"/>
        <v>0</v>
      </c>
      <c r="P1083" s="126">
        <f>IF(E1083="Y",0,SUMIFS('Support - Transition'!G:G,'Support - Transition'!J:J,'Step 2'!D1083,'Support - Transition'!E:E,"2009 SCHOOL ALLOCATION FACTOR"))</f>
        <v>0</v>
      </c>
      <c r="Q1083" s="126">
        <f>IF(E1083="Y",VLOOKUP(D1083,'Support - Unit Adjustments'!F:G,2,FALSE),0)</f>
        <v>0</v>
      </c>
      <c r="R1083" s="155">
        <f t="shared" si="326"/>
        <v>0</v>
      </c>
      <c r="S1083" s="47">
        <f t="shared" si="325"/>
        <v>0</v>
      </c>
      <c r="T1083" s="151">
        <f t="shared" si="310"/>
        <v>4372</v>
      </c>
      <c r="U1083" s="151">
        <f t="shared" si="311"/>
        <v>0</v>
      </c>
      <c r="V1083" s="139">
        <f t="shared" si="312"/>
        <v>0</v>
      </c>
      <c r="W1083" s="152">
        <f t="shared" si="315"/>
        <v>4372</v>
      </c>
      <c r="X1083" s="127" t="str">
        <f t="shared" si="313"/>
        <v/>
      </c>
      <c r="Y1083" s="207">
        <f t="shared" si="316"/>
        <v>4372</v>
      </c>
      <c r="Z1083" s="139">
        <f t="shared" si="317"/>
        <v>2531</v>
      </c>
      <c r="AA1083" s="139">
        <f t="shared" si="318"/>
        <v>1841</v>
      </c>
      <c r="AC1083" s="47">
        <f t="shared" si="319"/>
        <v>2186</v>
      </c>
      <c r="AD1083" s="47">
        <f t="shared" si="320"/>
        <v>1266</v>
      </c>
      <c r="AE1083" s="47">
        <f t="shared" si="321"/>
        <v>921</v>
      </c>
      <c r="AG1083" s="47">
        <f t="shared" si="322"/>
        <v>2186</v>
      </c>
      <c r="AH1083" s="47">
        <f t="shared" si="323"/>
        <v>1265</v>
      </c>
      <c r="AI1083" s="208">
        <f t="shared" si="324"/>
        <v>920</v>
      </c>
    </row>
    <row r="1084" spans="1:35">
      <c r="A1084" t="s">
        <v>2123</v>
      </c>
      <c r="B1084" t="s">
        <v>3142</v>
      </c>
      <c r="C1084" t="s">
        <v>2195</v>
      </c>
      <c r="D1084" t="s">
        <v>4440</v>
      </c>
      <c r="F1084" t="s">
        <v>53</v>
      </c>
      <c r="G1084" s="126">
        <f>SUMIFS('Support - Transition'!F:F,'Support - Transition'!B:B,'Step 2'!A1084,'Support - Transition'!C:C,'Step 2'!B1084,'Support - Transition'!D:D,'Step 2'!C1084,'Support - Transition'!E:E,"CIVIL")</f>
        <v>9.5600000000000004E-4</v>
      </c>
      <c r="H1084" s="126">
        <f>SUMIFS('Support - Transition'!F:F,'Support - Transition'!B:B,'Step 2'!A1084,'Support - Transition'!C:C,'Step 2'!B1084,'Support - Transition'!D:D,'Step 2'!C1084,'Support - Transition'!E:E,"FIRE")</f>
        <v>2.92E-4</v>
      </c>
      <c r="I1084" s="126">
        <f>IF(B1084="0",SUMIFS('Support - Transition'!F:F,'Support - Transition'!J:J,'Step 2'!D1084,'Support - Transition'!E:E,"STATE UNIT"),SUMIFS('Support - Transition'!F:F,'Support - Transition'!J:J,'Step 2'!D1084))</f>
        <v>1.248E-3</v>
      </c>
      <c r="J1084" s="126">
        <f>SUMIFS('Support - Unit Adjustments'!E:E,'Support - Unit Adjustments'!F:F,'Step 2'!D1084)</f>
        <v>0</v>
      </c>
      <c r="K1084" s="126">
        <f t="shared" si="308"/>
        <v>1.248E-3</v>
      </c>
      <c r="L1084" s="174">
        <f>VLOOKUP(A1084,'Step 1'!$A:$E,4,FALSE)</f>
        <v>705710</v>
      </c>
      <c r="M1084" s="47">
        <f t="shared" si="309"/>
        <v>881</v>
      </c>
      <c r="N1084" s="177">
        <f>SUMIFS('Support - Transition'!G:G,'Support - Transition'!J:J,'Step 2'!D1084,'Support - Transition'!E:E,"2009 WELFARE ALLOCATION FACTOR")</f>
        <v>0</v>
      </c>
      <c r="O1084" s="152">
        <f t="shared" si="314"/>
        <v>0</v>
      </c>
      <c r="P1084" s="126">
        <f>IF(E1084="Y",0,SUMIFS('Support - Transition'!G:G,'Support - Transition'!J:J,'Step 2'!D1084,'Support - Transition'!E:E,"2009 SCHOOL ALLOCATION FACTOR"))</f>
        <v>0</v>
      </c>
      <c r="Q1084" s="126">
        <f>IF(E1084="Y",VLOOKUP(D1084,'Support - Unit Adjustments'!F:G,2,FALSE),0)</f>
        <v>0</v>
      </c>
      <c r="R1084" s="155">
        <f t="shared" si="326"/>
        <v>0</v>
      </c>
      <c r="S1084" s="47">
        <f t="shared" si="325"/>
        <v>0</v>
      </c>
      <c r="T1084" s="151">
        <f t="shared" si="310"/>
        <v>881</v>
      </c>
      <c r="U1084" s="151">
        <f t="shared" si="311"/>
        <v>0</v>
      </c>
      <c r="V1084" s="139">
        <f t="shared" si="312"/>
        <v>0</v>
      </c>
      <c r="W1084" s="152">
        <f t="shared" si="315"/>
        <v>881</v>
      </c>
      <c r="X1084" s="127" t="str">
        <f t="shared" si="313"/>
        <v/>
      </c>
      <c r="Y1084" s="207">
        <f t="shared" si="316"/>
        <v>881</v>
      </c>
      <c r="Z1084" s="139">
        <f t="shared" si="317"/>
        <v>675</v>
      </c>
      <c r="AA1084" s="139">
        <f t="shared" si="318"/>
        <v>206</v>
      </c>
      <c r="AC1084" s="47">
        <f t="shared" si="319"/>
        <v>441</v>
      </c>
      <c r="AD1084" s="47">
        <f t="shared" si="320"/>
        <v>338</v>
      </c>
      <c r="AE1084" s="47">
        <f t="shared" si="321"/>
        <v>103</v>
      </c>
      <c r="AG1084" s="47">
        <f t="shared" si="322"/>
        <v>440</v>
      </c>
      <c r="AH1084" s="47">
        <f t="shared" si="323"/>
        <v>337</v>
      </c>
      <c r="AI1084" s="208">
        <f t="shared" si="324"/>
        <v>103</v>
      </c>
    </row>
    <row r="1085" spans="1:35">
      <c r="A1085" t="s">
        <v>2123</v>
      </c>
      <c r="B1085" t="s">
        <v>3142</v>
      </c>
      <c r="C1085" t="s">
        <v>2196</v>
      </c>
      <c r="D1085" t="s">
        <v>4441</v>
      </c>
      <c r="F1085" t="s">
        <v>838</v>
      </c>
      <c r="G1085" s="126">
        <f>SUMIFS('Support - Transition'!F:F,'Support - Transition'!B:B,'Step 2'!A1085,'Support - Transition'!C:C,'Step 2'!B1085,'Support - Transition'!D:D,'Step 2'!C1085,'Support - Transition'!E:E,"CIVIL")</f>
        <v>2.0000000000000001E-4</v>
      </c>
      <c r="H1085" s="126">
        <f>SUMIFS('Support - Transition'!F:F,'Support - Transition'!B:B,'Step 2'!A1085,'Support - Transition'!C:C,'Step 2'!B1085,'Support - Transition'!D:D,'Step 2'!C1085,'Support - Transition'!E:E,"FIRE")</f>
        <v>4.3999999999999999E-5</v>
      </c>
      <c r="I1085" s="126">
        <f>IF(B1085="0",SUMIFS('Support - Transition'!F:F,'Support - Transition'!J:J,'Step 2'!D1085,'Support - Transition'!E:E,"STATE UNIT"),SUMIFS('Support - Transition'!F:F,'Support - Transition'!J:J,'Step 2'!D1085))</f>
        <v>2.4400000000000002E-4</v>
      </c>
      <c r="J1085" s="126">
        <f>SUMIFS('Support - Unit Adjustments'!E:E,'Support - Unit Adjustments'!F:F,'Step 2'!D1085)</f>
        <v>0</v>
      </c>
      <c r="K1085" s="126">
        <f t="shared" si="308"/>
        <v>2.4400000000000002E-4</v>
      </c>
      <c r="L1085" s="174">
        <f>VLOOKUP(A1085,'Step 1'!$A:$E,4,FALSE)</f>
        <v>705710</v>
      </c>
      <c r="M1085" s="47">
        <f t="shared" si="309"/>
        <v>172</v>
      </c>
      <c r="N1085" s="177">
        <f>SUMIFS('Support - Transition'!G:G,'Support - Transition'!J:J,'Step 2'!D1085,'Support - Transition'!E:E,"2009 WELFARE ALLOCATION FACTOR")</f>
        <v>0</v>
      </c>
      <c r="O1085" s="152">
        <f t="shared" si="314"/>
        <v>0</v>
      </c>
      <c r="P1085" s="126">
        <f>IF(E1085="Y",0,SUMIFS('Support - Transition'!G:G,'Support - Transition'!J:J,'Step 2'!D1085,'Support - Transition'!E:E,"2009 SCHOOL ALLOCATION FACTOR"))</f>
        <v>0</v>
      </c>
      <c r="Q1085" s="126">
        <f>IF(E1085="Y",VLOOKUP(D1085,'Support - Unit Adjustments'!F:G,2,FALSE),0)</f>
        <v>0</v>
      </c>
      <c r="R1085" s="155">
        <f t="shared" si="326"/>
        <v>0</v>
      </c>
      <c r="S1085" s="47">
        <f t="shared" si="325"/>
        <v>0</v>
      </c>
      <c r="T1085" s="151">
        <f t="shared" si="310"/>
        <v>172</v>
      </c>
      <c r="U1085" s="151">
        <f t="shared" si="311"/>
        <v>0</v>
      </c>
      <c r="V1085" s="139">
        <f t="shared" si="312"/>
        <v>0</v>
      </c>
      <c r="W1085" s="152">
        <f t="shared" si="315"/>
        <v>172</v>
      </c>
      <c r="X1085" s="127" t="str">
        <f t="shared" si="313"/>
        <v/>
      </c>
      <c r="Y1085" s="207">
        <f t="shared" si="316"/>
        <v>172</v>
      </c>
      <c r="Z1085" s="139">
        <f t="shared" si="317"/>
        <v>141</v>
      </c>
      <c r="AA1085" s="139">
        <f t="shared" si="318"/>
        <v>31</v>
      </c>
      <c r="AC1085" s="47">
        <f t="shared" si="319"/>
        <v>86</v>
      </c>
      <c r="AD1085" s="47">
        <f t="shared" si="320"/>
        <v>71</v>
      </c>
      <c r="AE1085" s="47">
        <f t="shared" si="321"/>
        <v>16</v>
      </c>
      <c r="AG1085" s="47">
        <f t="shared" si="322"/>
        <v>86</v>
      </c>
      <c r="AH1085" s="47">
        <f t="shared" si="323"/>
        <v>70</v>
      </c>
      <c r="AI1085" s="208">
        <f t="shared" si="324"/>
        <v>15</v>
      </c>
    </row>
    <row r="1086" spans="1:35">
      <c r="A1086" t="s">
        <v>2123</v>
      </c>
      <c r="B1086" t="s">
        <v>3142</v>
      </c>
      <c r="C1086" t="s">
        <v>2197</v>
      </c>
      <c r="D1086" t="s">
        <v>4442</v>
      </c>
      <c r="F1086" t="s">
        <v>839</v>
      </c>
      <c r="G1086" s="126">
        <f>SUMIFS('Support - Transition'!F:F,'Support - Transition'!B:B,'Step 2'!A1086,'Support - Transition'!C:C,'Step 2'!B1086,'Support - Transition'!D:D,'Step 2'!C1086,'Support - Transition'!E:E,"CIVIL")</f>
        <v>1.6699999999999999E-4</v>
      </c>
      <c r="H1086" s="126">
        <f>SUMIFS('Support - Transition'!F:F,'Support - Transition'!B:B,'Step 2'!A1086,'Support - Transition'!C:C,'Step 2'!B1086,'Support - Transition'!D:D,'Step 2'!C1086,'Support - Transition'!E:E,"FIRE")</f>
        <v>9.2E-5</v>
      </c>
      <c r="I1086" s="126">
        <f>IF(B1086="0",SUMIFS('Support - Transition'!F:F,'Support - Transition'!J:J,'Step 2'!D1086,'Support - Transition'!E:E,"STATE UNIT"),SUMIFS('Support - Transition'!F:F,'Support - Transition'!J:J,'Step 2'!D1086))</f>
        <v>2.5900000000000001E-4</v>
      </c>
      <c r="J1086" s="126">
        <f>SUMIFS('Support - Unit Adjustments'!E:E,'Support - Unit Adjustments'!F:F,'Step 2'!D1086)</f>
        <v>0</v>
      </c>
      <c r="K1086" s="126">
        <f t="shared" si="308"/>
        <v>2.5900000000000001E-4</v>
      </c>
      <c r="L1086" s="174">
        <f>VLOOKUP(A1086,'Step 1'!$A:$E,4,FALSE)</f>
        <v>705710</v>
      </c>
      <c r="M1086" s="47">
        <f t="shared" si="309"/>
        <v>183</v>
      </c>
      <c r="N1086" s="177">
        <f>SUMIFS('Support - Transition'!G:G,'Support - Transition'!J:J,'Step 2'!D1086,'Support - Transition'!E:E,"2009 WELFARE ALLOCATION FACTOR")</f>
        <v>0</v>
      </c>
      <c r="O1086" s="152">
        <f t="shared" si="314"/>
        <v>0</v>
      </c>
      <c r="P1086" s="126">
        <f>IF(E1086="Y",0,SUMIFS('Support - Transition'!G:G,'Support - Transition'!J:J,'Step 2'!D1086,'Support - Transition'!E:E,"2009 SCHOOL ALLOCATION FACTOR"))</f>
        <v>0</v>
      </c>
      <c r="Q1086" s="126">
        <f>IF(E1086="Y",VLOOKUP(D1086,'Support - Unit Adjustments'!F:G,2,FALSE),0)</f>
        <v>0</v>
      </c>
      <c r="R1086" s="155">
        <f t="shared" si="326"/>
        <v>0</v>
      </c>
      <c r="S1086" s="47">
        <f t="shared" si="325"/>
        <v>0</v>
      </c>
      <c r="T1086" s="151">
        <f t="shared" si="310"/>
        <v>183</v>
      </c>
      <c r="U1086" s="151">
        <f t="shared" si="311"/>
        <v>0</v>
      </c>
      <c r="V1086" s="139">
        <f t="shared" si="312"/>
        <v>0</v>
      </c>
      <c r="W1086" s="152">
        <f t="shared" si="315"/>
        <v>183</v>
      </c>
      <c r="X1086" s="127" t="str">
        <f t="shared" si="313"/>
        <v/>
      </c>
      <c r="Y1086" s="207">
        <f t="shared" si="316"/>
        <v>183</v>
      </c>
      <c r="Z1086" s="139">
        <f t="shared" si="317"/>
        <v>118</v>
      </c>
      <c r="AA1086" s="139">
        <f t="shared" si="318"/>
        <v>65</v>
      </c>
      <c r="AC1086" s="47">
        <f t="shared" si="319"/>
        <v>92</v>
      </c>
      <c r="AD1086" s="47">
        <f t="shared" si="320"/>
        <v>59</v>
      </c>
      <c r="AE1086" s="47">
        <f t="shared" si="321"/>
        <v>33</v>
      </c>
      <c r="AG1086" s="47">
        <f t="shared" si="322"/>
        <v>91</v>
      </c>
      <c r="AH1086" s="47">
        <f t="shared" si="323"/>
        <v>59</v>
      </c>
      <c r="AI1086" s="208">
        <f t="shared" si="324"/>
        <v>32</v>
      </c>
    </row>
    <row r="1087" spans="1:35">
      <c r="A1087" t="s">
        <v>2123</v>
      </c>
      <c r="B1087" t="s">
        <v>3142</v>
      </c>
      <c r="C1087" t="s">
        <v>2198</v>
      </c>
      <c r="D1087" t="s">
        <v>4443</v>
      </c>
      <c r="F1087" t="s">
        <v>20</v>
      </c>
      <c r="G1087" s="126">
        <f>SUMIFS('Support - Transition'!F:F,'Support - Transition'!B:B,'Step 2'!A1087,'Support - Transition'!C:C,'Step 2'!B1087,'Support - Transition'!D:D,'Step 2'!C1087,'Support - Transition'!E:E,"CIVIL")</f>
        <v>3.4099999999999999E-4</v>
      </c>
      <c r="H1087" s="126">
        <f>SUMIFS('Support - Transition'!F:F,'Support - Transition'!B:B,'Step 2'!A1087,'Support - Transition'!C:C,'Step 2'!B1087,'Support - Transition'!D:D,'Step 2'!C1087,'Support - Transition'!E:E,"FIRE")</f>
        <v>9.2999999999999997E-5</v>
      </c>
      <c r="I1087" s="126">
        <f>IF(B1087="0",SUMIFS('Support - Transition'!F:F,'Support - Transition'!J:J,'Step 2'!D1087,'Support - Transition'!E:E,"STATE UNIT"),SUMIFS('Support - Transition'!F:F,'Support - Transition'!J:J,'Step 2'!D1087))</f>
        <v>4.3399999999999998E-4</v>
      </c>
      <c r="J1087" s="126">
        <f>SUMIFS('Support - Unit Adjustments'!E:E,'Support - Unit Adjustments'!F:F,'Step 2'!D1087)</f>
        <v>0</v>
      </c>
      <c r="K1087" s="126">
        <f t="shared" si="308"/>
        <v>4.3399999999999998E-4</v>
      </c>
      <c r="L1087" s="174">
        <f>VLOOKUP(A1087,'Step 1'!$A:$E,4,FALSE)</f>
        <v>705710</v>
      </c>
      <c r="M1087" s="47">
        <f t="shared" si="309"/>
        <v>306</v>
      </c>
      <c r="N1087" s="177">
        <f>SUMIFS('Support - Transition'!G:G,'Support - Transition'!J:J,'Step 2'!D1087,'Support - Transition'!E:E,"2009 WELFARE ALLOCATION FACTOR")</f>
        <v>0</v>
      </c>
      <c r="O1087" s="152">
        <f t="shared" si="314"/>
        <v>0</v>
      </c>
      <c r="P1087" s="126">
        <f>IF(E1087="Y",0,SUMIFS('Support - Transition'!G:G,'Support - Transition'!J:J,'Step 2'!D1087,'Support - Transition'!E:E,"2009 SCHOOL ALLOCATION FACTOR"))</f>
        <v>0</v>
      </c>
      <c r="Q1087" s="126">
        <f>IF(E1087="Y",VLOOKUP(D1087,'Support - Unit Adjustments'!F:G,2,FALSE),0)</f>
        <v>0</v>
      </c>
      <c r="R1087" s="155">
        <f t="shared" si="326"/>
        <v>0</v>
      </c>
      <c r="S1087" s="47">
        <f t="shared" si="325"/>
        <v>0</v>
      </c>
      <c r="T1087" s="151">
        <f t="shared" si="310"/>
        <v>306</v>
      </c>
      <c r="U1087" s="151">
        <f t="shared" si="311"/>
        <v>0</v>
      </c>
      <c r="V1087" s="139">
        <f t="shared" si="312"/>
        <v>0</v>
      </c>
      <c r="W1087" s="152">
        <f t="shared" si="315"/>
        <v>306</v>
      </c>
      <c r="X1087" s="127" t="str">
        <f t="shared" si="313"/>
        <v/>
      </c>
      <c r="Y1087" s="207">
        <f t="shared" si="316"/>
        <v>306</v>
      </c>
      <c r="Z1087" s="139">
        <f t="shared" si="317"/>
        <v>240</v>
      </c>
      <c r="AA1087" s="139">
        <f t="shared" si="318"/>
        <v>66</v>
      </c>
      <c r="AC1087" s="47">
        <f t="shared" si="319"/>
        <v>153</v>
      </c>
      <c r="AD1087" s="47">
        <f t="shared" si="320"/>
        <v>120</v>
      </c>
      <c r="AE1087" s="47">
        <f t="shared" si="321"/>
        <v>33</v>
      </c>
      <c r="AG1087" s="47">
        <f t="shared" si="322"/>
        <v>153</v>
      </c>
      <c r="AH1087" s="47">
        <f t="shared" si="323"/>
        <v>120</v>
      </c>
      <c r="AI1087" s="208">
        <f t="shared" si="324"/>
        <v>33</v>
      </c>
    </row>
    <row r="1088" spans="1:35">
      <c r="A1088" t="s">
        <v>2123</v>
      </c>
      <c r="B1088" t="s">
        <v>3142</v>
      </c>
      <c r="C1088" t="s">
        <v>2199</v>
      </c>
      <c r="D1088" t="s">
        <v>4444</v>
      </c>
      <c r="F1088" t="s">
        <v>840</v>
      </c>
      <c r="G1088" s="126">
        <f>SUMIFS('Support - Transition'!F:F,'Support - Transition'!B:B,'Step 2'!A1088,'Support - Transition'!C:C,'Step 2'!B1088,'Support - Transition'!D:D,'Step 2'!C1088,'Support - Transition'!E:E,"CIVIL")</f>
        <v>6.2200000000000005E-4</v>
      </c>
      <c r="H1088" s="126">
        <f>SUMIFS('Support - Transition'!F:F,'Support - Transition'!B:B,'Step 2'!A1088,'Support - Transition'!C:C,'Step 2'!B1088,'Support - Transition'!D:D,'Step 2'!C1088,'Support - Transition'!E:E,"FIRE")</f>
        <v>2.43E-4</v>
      </c>
      <c r="I1088" s="126">
        <f>IF(B1088="0",SUMIFS('Support - Transition'!F:F,'Support - Transition'!J:J,'Step 2'!D1088,'Support - Transition'!E:E,"STATE UNIT"),SUMIFS('Support - Transition'!F:F,'Support - Transition'!J:J,'Step 2'!D1088))</f>
        <v>8.650000000000001E-4</v>
      </c>
      <c r="J1088" s="126">
        <f>SUMIFS('Support - Unit Adjustments'!E:E,'Support - Unit Adjustments'!F:F,'Step 2'!D1088)</f>
        <v>0</v>
      </c>
      <c r="K1088" s="126">
        <f t="shared" si="308"/>
        <v>8.650000000000001E-4</v>
      </c>
      <c r="L1088" s="174">
        <f>VLOOKUP(A1088,'Step 1'!$A:$E,4,FALSE)</f>
        <v>705710</v>
      </c>
      <c r="M1088" s="47">
        <f t="shared" si="309"/>
        <v>610</v>
      </c>
      <c r="N1088" s="177">
        <f>SUMIFS('Support - Transition'!G:G,'Support - Transition'!J:J,'Step 2'!D1088,'Support - Transition'!E:E,"2009 WELFARE ALLOCATION FACTOR")</f>
        <v>0</v>
      </c>
      <c r="O1088" s="152">
        <f t="shared" si="314"/>
        <v>0</v>
      </c>
      <c r="P1088" s="126">
        <f>IF(E1088="Y",0,SUMIFS('Support - Transition'!G:G,'Support - Transition'!J:J,'Step 2'!D1088,'Support - Transition'!E:E,"2009 SCHOOL ALLOCATION FACTOR"))</f>
        <v>0</v>
      </c>
      <c r="Q1088" s="126">
        <f>IF(E1088="Y",VLOOKUP(D1088,'Support - Unit Adjustments'!F:G,2,FALSE),0)</f>
        <v>0</v>
      </c>
      <c r="R1088" s="155">
        <f t="shared" si="326"/>
        <v>0</v>
      </c>
      <c r="S1088" s="47">
        <f t="shared" si="325"/>
        <v>0</v>
      </c>
      <c r="T1088" s="151">
        <f t="shared" si="310"/>
        <v>610</v>
      </c>
      <c r="U1088" s="151">
        <f t="shared" si="311"/>
        <v>0</v>
      </c>
      <c r="V1088" s="139">
        <f t="shared" si="312"/>
        <v>0</v>
      </c>
      <c r="W1088" s="152">
        <f t="shared" si="315"/>
        <v>610</v>
      </c>
      <c r="X1088" s="127" t="str">
        <f t="shared" si="313"/>
        <v/>
      </c>
      <c r="Y1088" s="207">
        <f t="shared" si="316"/>
        <v>610</v>
      </c>
      <c r="Z1088" s="139">
        <f t="shared" si="317"/>
        <v>439</v>
      </c>
      <c r="AA1088" s="139">
        <f t="shared" si="318"/>
        <v>171</v>
      </c>
      <c r="AC1088" s="47">
        <f t="shared" si="319"/>
        <v>305</v>
      </c>
      <c r="AD1088" s="47">
        <f t="shared" si="320"/>
        <v>220</v>
      </c>
      <c r="AE1088" s="47">
        <f t="shared" si="321"/>
        <v>86</v>
      </c>
      <c r="AG1088" s="47">
        <f t="shared" si="322"/>
        <v>305</v>
      </c>
      <c r="AH1088" s="47">
        <f t="shared" si="323"/>
        <v>219</v>
      </c>
      <c r="AI1088" s="208">
        <f t="shared" si="324"/>
        <v>85</v>
      </c>
    </row>
    <row r="1089" spans="1:35">
      <c r="A1089" t="s">
        <v>2123</v>
      </c>
      <c r="B1089" t="s">
        <v>3142</v>
      </c>
      <c r="C1089" t="s">
        <v>2208</v>
      </c>
      <c r="D1089" t="s">
        <v>4445</v>
      </c>
      <c r="F1089" t="s">
        <v>841</v>
      </c>
      <c r="G1089" s="126">
        <f>SUMIFS('Support - Transition'!F:F,'Support - Transition'!B:B,'Step 2'!A1089,'Support - Transition'!C:C,'Step 2'!B1089,'Support - Transition'!D:D,'Step 2'!C1089,'Support - Transition'!E:E,"CIVIL")</f>
        <v>9.9400000000000009E-4</v>
      </c>
      <c r="H1089" s="126">
        <f>SUMIFS('Support - Transition'!F:F,'Support - Transition'!B:B,'Step 2'!A1089,'Support - Transition'!C:C,'Step 2'!B1089,'Support - Transition'!D:D,'Step 2'!C1089,'Support - Transition'!E:E,"FIRE")</f>
        <v>3.4699999999999998E-4</v>
      </c>
      <c r="I1089" s="126">
        <f>IF(B1089="0",SUMIFS('Support - Transition'!F:F,'Support - Transition'!J:J,'Step 2'!D1089,'Support - Transition'!E:E,"STATE UNIT"),SUMIFS('Support - Transition'!F:F,'Support - Transition'!J:J,'Step 2'!D1089))</f>
        <v>1.3410000000000002E-3</v>
      </c>
      <c r="J1089" s="126">
        <f>SUMIFS('Support - Unit Adjustments'!E:E,'Support - Unit Adjustments'!F:F,'Step 2'!D1089)</f>
        <v>0</v>
      </c>
      <c r="K1089" s="126">
        <f t="shared" si="308"/>
        <v>1.3410000000000002E-3</v>
      </c>
      <c r="L1089" s="174">
        <f>VLOOKUP(A1089,'Step 1'!$A:$E,4,FALSE)</f>
        <v>705710</v>
      </c>
      <c r="M1089" s="47">
        <f t="shared" si="309"/>
        <v>946</v>
      </c>
      <c r="N1089" s="177">
        <f>SUMIFS('Support - Transition'!G:G,'Support - Transition'!J:J,'Step 2'!D1089,'Support - Transition'!E:E,"2009 WELFARE ALLOCATION FACTOR")</f>
        <v>0</v>
      </c>
      <c r="O1089" s="152">
        <f t="shared" si="314"/>
        <v>0</v>
      </c>
      <c r="P1089" s="126">
        <f>IF(E1089="Y",0,SUMIFS('Support - Transition'!G:G,'Support - Transition'!J:J,'Step 2'!D1089,'Support - Transition'!E:E,"2009 SCHOOL ALLOCATION FACTOR"))</f>
        <v>0</v>
      </c>
      <c r="Q1089" s="126">
        <f>IF(E1089="Y",VLOOKUP(D1089,'Support - Unit Adjustments'!F:G,2,FALSE),0)</f>
        <v>0</v>
      </c>
      <c r="R1089" s="155">
        <f t="shared" si="326"/>
        <v>0</v>
      </c>
      <c r="S1089" s="47">
        <f t="shared" si="325"/>
        <v>0</v>
      </c>
      <c r="T1089" s="151">
        <f t="shared" si="310"/>
        <v>946</v>
      </c>
      <c r="U1089" s="151">
        <f t="shared" si="311"/>
        <v>0</v>
      </c>
      <c r="V1089" s="139">
        <f t="shared" si="312"/>
        <v>0</v>
      </c>
      <c r="W1089" s="152">
        <f t="shared" si="315"/>
        <v>946</v>
      </c>
      <c r="X1089" s="127" t="str">
        <f t="shared" si="313"/>
        <v/>
      </c>
      <c r="Y1089" s="207">
        <f t="shared" si="316"/>
        <v>946</v>
      </c>
      <c r="Z1089" s="139">
        <f t="shared" si="317"/>
        <v>701</v>
      </c>
      <c r="AA1089" s="139">
        <f t="shared" si="318"/>
        <v>245</v>
      </c>
      <c r="AC1089" s="47">
        <f t="shared" si="319"/>
        <v>473</v>
      </c>
      <c r="AD1089" s="47">
        <f t="shared" si="320"/>
        <v>351</v>
      </c>
      <c r="AE1089" s="47">
        <f t="shared" si="321"/>
        <v>123</v>
      </c>
      <c r="AG1089" s="47">
        <f t="shared" si="322"/>
        <v>473</v>
      </c>
      <c r="AH1089" s="47">
        <f t="shared" si="323"/>
        <v>350</v>
      </c>
      <c r="AI1089" s="208">
        <f t="shared" si="324"/>
        <v>122</v>
      </c>
    </row>
    <row r="1090" spans="1:35">
      <c r="A1090" t="s">
        <v>2123</v>
      </c>
      <c r="B1090" t="s">
        <v>3155</v>
      </c>
      <c r="C1090" t="s">
        <v>2619</v>
      </c>
      <c r="D1090" t="s">
        <v>4446</v>
      </c>
      <c r="F1090" t="s">
        <v>844</v>
      </c>
      <c r="G1090" s="126">
        <f>SUMIFS('Support - Transition'!F:F,'Support - Transition'!B:B,'Step 2'!A1090,'Support - Transition'!C:C,'Step 2'!B1090,'Support - Transition'!D:D,'Step 2'!C1090,'Support - Transition'!E:E,"CIVIL")</f>
        <v>0</v>
      </c>
      <c r="H1090" s="126">
        <f>SUMIFS('Support - Transition'!F:F,'Support - Transition'!B:B,'Step 2'!A1090,'Support - Transition'!C:C,'Step 2'!B1090,'Support - Transition'!D:D,'Step 2'!C1090,'Support - Transition'!E:E,"FIRE")</f>
        <v>0</v>
      </c>
      <c r="I1090" s="126">
        <f>IF(B1090="0",SUMIFS('Support - Transition'!F:F,'Support - Transition'!J:J,'Step 2'!D1090,'Support - Transition'!E:E,"STATE UNIT"),SUMIFS('Support - Transition'!F:F,'Support - Transition'!J:J,'Step 2'!D1090))</f>
        <v>1.4494999999999999E-2</v>
      </c>
      <c r="J1090" s="126">
        <f>SUMIFS('Support - Unit Adjustments'!E:E,'Support - Unit Adjustments'!F:F,'Step 2'!D1090)</f>
        <v>0</v>
      </c>
      <c r="K1090" s="126">
        <f t="shared" ref="K1090:K1153" si="327">+I1090+J1090</f>
        <v>1.4494999999999999E-2</v>
      </c>
      <c r="L1090" s="174">
        <f>VLOOKUP(A1090,'Step 1'!$A:$E,4,FALSE)</f>
        <v>705710</v>
      </c>
      <c r="M1090" s="47">
        <f t="shared" ref="M1090:M1153" si="328">ROUND(+K1090*L1090,0)</f>
        <v>10229</v>
      </c>
      <c r="N1090" s="177">
        <f>SUMIFS('Support - Transition'!G:G,'Support - Transition'!J:J,'Step 2'!D1090,'Support - Transition'!E:E,"2009 WELFARE ALLOCATION FACTOR")</f>
        <v>0</v>
      </c>
      <c r="O1090" s="152">
        <f t="shared" si="314"/>
        <v>0</v>
      </c>
      <c r="P1090" s="126">
        <f>IF(E1090="Y",0,SUMIFS('Support - Transition'!G:G,'Support - Transition'!J:J,'Step 2'!D1090,'Support - Transition'!E:E,"2009 SCHOOL ALLOCATION FACTOR"))</f>
        <v>0</v>
      </c>
      <c r="Q1090" s="126">
        <f>IF(E1090="Y",VLOOKUP(D1090,'Support - Unit Adjustments'!F:G,2,FALSE),0)</f>
        <v>0</v>
      </c>
      <c r="R1090" s="155">
        <f t="shared" si="326"/>
        <v>0</v>
      </c>
      <c r="S1090" s="47">
        <f t="shared" si="325"/>
        <v>0</v>
      </c>
      <c r="T1090" s="151">
        <f t="shared" ref="T1090:T1153" si="329">ROUND(+M1090-O1090-S1090,2)</f>
        <v>10229</v>
      </c>
      <c r="U1090" s="151">
        <f t="shared" ref="U1090:U1153" si="330">IF(B1090="0",SUMIFS(O:O,A:A,A1090)+SUMIFS(S:S,A:A,A1090)+SUMIFS(T:T,A:A,A1090),0)</f>
        <v>0</v>
      </c>
      <c r="V1090" s="139">
        <f t="shared" ref="V1090:V1153" si="331">IF(B1090="0",U1090-L1090,0)</f>
        <v>0</v>
      </c>
      <c r="W1090" s="152">
        <f t="shared" si="315"/>
        <v>10229</v>
      </c>
      <c r="X1090" s="127" t="str">
        <f t="shared" ref="X1090:X1153" si="332">IF(B1090="0",SUMIFS(O:O,A:A,A1090)+SUMIFS(S:S,A:A,A1090)+SUMIFS(W:W,A:A,A1090)-L1090,"")</f>
        <v/>
      </c>
      <c r="Y1090" s="207">
        <f t="shared" si="316"/>
        <v>10229</v>
      </c>
      <c r="Z1090" s="139">
        <f t="shared" si="317"/>
        <v>10229</v>
      </c>
      <c r="AA1090" s="139">
        <f t="shared" si="318"/>
        <v>0</v>
      </c>
      <c r="AC1090" s="47">
        <f t="shared" si="319"/>
        <v>5115</v>
      </c>
      <c r="AD1090" s="47">
        <f t="shared" si="320"/>
        <v>5115</v>
      </c>
      <c r="AE1090" s="47">
        <f t="shared" si="321"/>
        <v>0</v>
      </c>
      <c r="AG1090" s="47">
        <f t="shared" si="322"/>
        <v>5114</v>
      </c>
      <c r="AH1090" s="47">
        <f t="shared" si="323"/>
        <v>5114</v>
      </c>
      <c r="AI1090" s="208">
        <f t="shared" si="324"/>
        <v>0</v>
      </c>
    </row>
    <row r="1091" spans="1:35">
      <c r="A1091" t="s">
        <v>2123</v>
      </c>
      <c r="B1091" t="s">
        <v>3155</v>
      </c>
      <c r="C1091" t="s">
        <v>2620</v>
      </c>
      <c r="D1091" t="s">
        <v>4447</v>
      </c>
      <c r="F1091" t="s">
        <v>842</v>
      </c>
      <c r="G1091" s="126">
        <f>SUMIFS('Support - Transition'!F:F,'Support - Transition'!B:B,'Step 2'!A1091,'Support - Transition'!C:C,'Step 2'!B1091,'Support - Transition'!D:D,'Step 2'!C1091,'Support - Transition'!E:E,"CIVIL")</f>
        <v>0</v>
      </c>
      <c r="H1091" s="126">
        <f>SUMIFS('Support - Transition'!F:F,'Support - Transition'!B:B,'Step 2'!A1091,'Support - Transition'!C:C,'Step 2'!B1091,'Support - Transition'!D:D,'Step 2'!C1091,'Support - Transition'!E:E,"FIRE")</f>
        <v>0</v>
      </c>
      <c r="I1091" s="126">
        <f>IF(B1091="0",SUMIFS('Support - Transition'!F:F,'Support - Transition'!J:J,'Step 2'!D1091,'Support - Transition'!E:E,"STATE UNIT"),SUMIFS('Support - Transition'!F:F,'Support - Transition'!J:J,'Step 2'!D1091))</f>
        <v>2.1439E-2</v>
      </c>
      <c r="J1091" s="126">
        <f>SUMIFS('Support - Unit Adjustments'!E:E,'Support - Unit Adjustments'!F:F,'Step 2'!D1091)</f>
        <v>0</v>
      </c>
      <c r="K1091" s="126">
        <f t="shared" si="327"/>
        <v>2.1439E-2</v>
      </c>
      <c r="L1091" s="174">
        <f>VLOOKUP(A1091,'Step 1'!$A:$E,4,FALSE)</f>
        <v>705710</v>
      </c>
      <c r="M1091" s="47">
        <f t="shared" si="328"/>
        <v>15130</v>
      </c>
      <c r="N1091" s="177">
        <f>SUMIFS('Support - Transition'!G:G,'Support - Transition'!J:J,'Step 2'!D1091,'Support - Transition'!E:E,"2009 WELFARE ALLOCATION FACTOR")</f>
        <v>0</v>
      </c>
      <c r="O1091" s="152">
        <f t="shared" ref="O1091:O1154" si="333">ROUND(+N1091*M1091,0)</f>
        <v>0</v>
      </c>
      <c r="P1091" s="126">
        <f>IF(E1091="Y",0,SUMIFS('Support - Transition'!G:G,'Support - Transition'!J:J,'Step 2'!D1091,'Support - Transition'!E:E,"2009 SCHOOL ALLOCATION FACTOR"))</f>
        <v>0</v>
      </c>
      <c r="Q1091" s="126">
        <f>IF(E1091="Y",VLOOKUP(D1091,'Support - Unit Adjustments'!F:G,2,FALSE),0)</f>
        <v>0</v>
      </c>
      <c r="R1091" s="155">
        <f t="shared" si="326"/>
        <v>0</v>
      </c>
      <c r="S1091" s="47">
        <f t="shared" si="325"/>
        <v>0</v>
      </c>
      <c r="T1091" s="151">
        <f t="shared" si="329"/>
        <v>15130</v>
      </c>
      <c r="U1091" s="151">
        <f t="shared" si="330"/>
        <v>0</v>
      </c>
      <c r="V1091" s="139">
        <f t="shared" si="331"/>
        <v>0</v>
      </c>
      <c r="W1091" s="152">
        <f t="shared" ref="W1091:W1154" si="334">+T1091-V1091</f>
        <v>15130</v>
      </c>
      <c r="X1091" s="127" t="str">
        <f t="shared" si="332"/>
        <v/>
      </c>
      <c r="Y1091" s="207">
        <f t="shared" ref="Y1091:Y1154" si="335">W1091</f>
        <v>15130</v>
      </c>
      <c r="Z1091" s="139">
        <f t="shared" ref="Z1091:Z1154" si="336">IFERROR(IF(B1091="2",ROUND(Y1091*G1091/I1091,0),Y1091),0)</f>
        <v>15130</v>
      </c>
      <c r="AA1091" s="139">
        <f t="shared" ref="AA1091:AA1154" si="337">+Y1091-Z1091</f>
        <v>0</v>
      </c>
      <c r="AC1091" s="47">
        <f t="shared" ref="AC1091:AC1154" si="338">ROUND(Y1091/2,0)</f>
        <v>7565</v>
      </c>
      <c r="AD1091" s="47">
        <f t="shared" ref="AD1091:AD1154" si="339">ROUND(Z1091/2,0)</f>
        <v>7565</v>
      </c>
      <c r="AE1091" s="47">
        <f t="shared" ref="AE1091:AE1154" si="340">ROUND(AA1091/2,0)</f>
        <v>0</v>
      </c>
      <c r="AG1091" s="47">
        <f t="shared" ref="AG1091:AG1154" si="341">+Y1091-AC1091</f>
        <v>7565</v>
      </c>
      <c r="AH1091" s="47">
        <f t="shared" ref="AH1091:AH1154" si="342">+Z1091-AD1091</f>
        <v>7565</v>
      </c>
      <c r="AI1091" s="208">
        <f t="shared" ref="AI1091:AI1154" si="343">+AA1091-AE1091</f>
        <v>0</v>
      </c>
    </row>
    <row r="1092" spans="1:35">
      <c r="A1092" t="s">
        <v>2123</v>
      </c>
      <c r="B1092" t="s">
        <v>3155</v>
      </c>
      <c r="C1092" t="s">
        <v>2621</v>
      </c>
      <c r="D1092" t="s">
        <v>4448</v>
      </c>
      <c r="F1092" t="s">
        <v>843</v>
      </c>
      <c r="G1092" s="126">
        <f>SUMIFS('Support - Transition'!F:F,'Support - Transition'!B:B,'Step 2'!A1092,'Support - Transition'!C:C,'Step 2'!B1092,'Support - Transition'!D:D,'Step 2'!C1092,'Support - Transition'!E:E,"CIVIL")</f>
        <v>0</v>
      </c>
      <c r="H1092" s="126">
        <f>SUMIFS('Support - Transition'!F:F,'Support - Transition'!B:B,'Step 2'!A1092,'Support - Transition'!C:C,'Step 2'!B1092,'Support - Transition'!D:D,'Step 2'!C1092,'Support - Transition'!E:E,"FIRE")</f>
        <v>0</v>
      </c>
      <c r="I1092" s="126">
        <f>IF(B1092="0",SUMIFS('Support - Transition'!F:F,'Support - Transition'!J:J,'Step 2'!D1092,'Support - Transition'!E:E,"STATE UNIT"),SUMIFS('Support - Transition'!F:F,'Support - Transition'!J:J,'Step 2'!D1092))</f>
        <v>1.2251E-2</v>
      </c>
      <c r="J1092" s="126">
        <f>SUMIFS('Support - Unit Adjustments'!E:E,'Support - Unit Adjustments'!F:F,'Step 2'!D1092)</f>
        <v>0</v>
      </c>
      <c r="K1092" s="126">
        <f t="shared" si="327"/>
        <v>1.2251E-2</v>
      </c>
      <c r="L1092" s="174">
        <f>VLOOKUP(A1092,'Step 1'!$A:$E,4,FALSE)</f>
        <v>705710</v>
      </c>
      <c r="M1092" s="47">
        <f t="shared" si="328"/>
        <v>8646</v>
      </c>
      <c r="N1092" s="177">
        <f>SUMIFS('Support - Transition'!G:G,'Support - Transition'!J:J,'Step 2'!D1092,'Support - Transition'!E:E,"2009 WELFARE ALLOCATION FACTOR")</f>
        <v>0</v>
      </c>
      <c r="O1092" s="152">
        <f t="shared" si="333"/>
        <v>0</v>
      </c>
      <c r="P1092" s="126">
        <f>IF(E1092="Y",0,SUMIFS('Support - Transition'!G:G,'Support - Transition'!J:J,'Step 2'!D1092,'Support - Transition'!E:E,"2009 SCHOOL ALLOCATION FACTOR"))</f>
        <v>0</v>
      </c>
      <c r="Q1092" s="126">
        <f>IF(E1092="Y",VLOOKUP(D1092,'Support - Unit Adjustments'!F:G,2,FALSE),0)</f>
        <v>0</v>
      </c>
      <c r="R1092" s="155">
        <f t="shared" si="326"/>
        <v>0</v>
      </c>
      <c r="S1092" s="47">
        <f t="shared" si="325"/>
        <v>0</v>
      </c>
      <c r="T1092" s="151">
        <f t="shared" si="329"/>
        <v>8646</v>
      </c>
      <c r="U1092" s="151">
        <f t="shared" si="330"/>
        <v>0</v>
      </c>
      <c r="V1092" s="139">
        <f t="shared" si="331"/>
        <v>0</v>
      </c>
      <c r="W1092" s="152">
        <f t="shared" si="334"/>
        <v>8646</v>
      </c>
      <c r="X1092" s="127" t="str">
        <f t="shared" si="332"/>
        <v/>
      </c>
      <c r="Y1092" s="207">
        <f t="shared" si="335"/>
        <v>8646</v>
      </c>
      <c r="Z1092" s="139">
        <f t="shared" si="336"/>
        <v>8646</v>
      </c>
      <c r="AA1092" s="139">
        <f t="shared" si="337"/>
        <v>0</v>
      </c>
      <c r="AC1092" s="47">
        <f t="shared" si="338"/>
        <v>4323</v>
      </c>
      <c r="AD1092" s="47">
        <f t="shared" si="339"/>
        <v>4323</v>
      </c>
      <c r="AE1092" s="47">
        <f t="shared" si="340"/>
        <v>0</v>
      </c>
      <c r="AG1092" s="47">
        <f t="shared" si="341"/>
        <v>4323</v>
      </c>
      <c r="AH1092" s="47">
        <f t="shared" si="342"/>
        <v>4323</v>
      </c>
      <c r="AI1092" s="208">
        <f t="shared" si="343"/>
        <v>0</v>
      </c>
    </row>
    <row r="1093" spans="1:35">
      <c r="A1093" t="s">
        <v>2123</v>
      </c>
      <c r="B1093" t="s">
        <v>3155</v>
      </c>
      <c r="C1093" t="s">
        <v>2622</v>
      </c>
      <c r="D1093" t="s">
        <v>4449</v>
      </c>
      <c r="F1093" t="s">
        <v>845</v>
      </c>
      <c r="G1093" s="126">
        <f>SUMIFS('Support - Transition'!F:F,'Support - Transition'!B:B,'Step 2'!A1093,'Support - Transition'!C:C,'Step 2'!B1093,'Support - Transition'!D:D,'Step 2'!C1093,'Support - Transition'!E:E,"CIVIL")</f>
        <v>0</v>
      </c>
      <c r="H1093" s="126">
        <f>SUMIFS('Support - Transition'!F:F,'Support - Transition'!B:B,'Step 2'!A1093,'Support - Transition'!C:C,'Step 2'!B1093,'Support - Transition'!D:D,'Step 2'!C1093,'Support - Transition'!E:E,"FIRE")</f>
        <v>0</v>
      </c>
      <c r="I1093" s="126">
        <f>IF(B1093="0",SUMIFS('Support - Transition'!F:F,'Support - Transition'!J:J,'Step 2'!D1093,'Support - Transition'!E:E,"STATE UNIT"),SUMIFS('Support - Transition'!F:F,'Support - Transition'!J:J,'Step 2'!D1093))</f>
        <v>1.8699999999999999E-4</v>
      </c>
      <c r="J1093" s="126">
        <f>SUMIFS('Support - Unit Adjustments'!E:E,'Support - Unit Adjustments'!F:F,'Step 2'!D1093)</f>
        <v>0</v>
      </c>
      <c r="K1093" s="126">
        <f t="shared" si="327"/>
        <v>1.8699999999999999E-4</v>
      </c>
      <c r="L1093" s="174">
        <f>VLOOKUP(A1093,'Step 1'!$A:$E,4,FALSE)</f>
        <v>705710</v>
      </c>
      <c r="M1093" s="47">
        <f t="shared" si="328"/>
        <v>132</v>
      </c>
      <c r="N1093" s="177">
        <f>SUMIFS('Support - Transition'!G:G,'Support - Transition'!J:J,'Step 2'!D1093,'Support - Transition'!E:E,"2009 WELFARE ALLOCATION FACTOR")</f>
        <v>0</v>
      </c>
      <c r="O1093" s="152">
        <f t="shared" si="333"/>
        <v>0</v>
      </c>
      <c r="P1093" s="126">
        <f>IF(E1093="Y",0,SUMIFS('Support - Transition'!G:G,'Support - Transition'!J:J,'Step 2'!D1093,'Support - Transition'!E:E,"2009 SCHOOL ALLOCATION FACTOR"))</f>
        <v>0</v>
      </c>
      <c r="Q1093" s="126">
        <f>IF(E1093="Y",VLOOKUP(D1093,'Support - Unit Adjustments'!F:G,2,FALSE),0)</f>
        <v>0</v>
      </c>
      <c r="R1093" s="155">
        <f t="shared" si="326"/>
        <v>0</v>
      </c>
      <c r="S1093" s="47">
        <f t="shared" si="325"/>
        <v>0</v>
      </c>
      <c r="T1093" s="151">
        <f t="shared" si="329"/>
        <v>132</v>
      </c>
      <c r="U1093" s="151">
        <f t="shared" si="330"/>
        <v>0</v>
      </c>
      <c r="V1093" s="139">
        <f t="shared" si="331"/>
        <v>0</v>
      </c>
      <c r="W1093" s="152">
        <f t="shared" si="334"/>
        <v>132</v>
      </c>
      <c r="X1093" s="127" t="str">
        <f t="shared" si="332"/>
        <v/>
      </c>
      <c r="Y1093" s="207">
        <f t="shared" si="335"/>
        <v>132</v>
      </c>
      <c r="Z1093" s="139">
        <f t="shared" si="336"/>
        <v>132</v>
      </c>
      <c r="AA1093" s="139">
        <f t="shared" si="337"/>
        <v>0</v>
      </c>
      <c r="AC1093" s="47">
        <f t="shared" si="338"/>
        <v>66</v>
      </c>
      <c r="AD1093" s="47">
        <f t="shared" si="339"/>
        <v>66</v>
      </c>
      <c r="AE1093" s="47">
        <f t="shared" si="340"/>
        <v>0</v>
      </c>
      <c r="AG1093" s="47">
        <f t="shared" si="341"/>
        <v>66</v>
      </c>
      <c r="AH1093" s="47">
        <f t="shared" si="342"/>
        <v>66</v>
      </c>
      <c r="AI1093" s="208">
        <f t="shared" si="343"/>
        <v>0</v>
      </c>
    </row>
    <row r="1094" spans="1:35">
      <c r="A1094" t="s">
        <v>2123</v>
      </c>
      <c r="B1094" t="s">
        <v>3160</v>
      </c>
      <c r="C1094" t="s">
        <v>2623</v>
      </c>
      <c r="D1094" t="s">
        <v>4450</v>
      </c>
      <c r="F1094" t="s">
        <v>846</v>
      </c>
      <c r="G1094" s="126">
        <f>SUMIFS('Support - Transition'!F:F,'Support - Transition'!B:B,'Step 2'!A1094,'Support - Transition'!C:C,'Step 2'!B1094,'Support - Transition'!D:D,'Step 2'!C1094,'Support - Transition'!E:E,"CIVIL")</f>
        <v>0</v>
      </c>
      <c r="H1094" s="126">
        <f>SUMIFS('Support - Transition'!F:F,'Support - Transition'!B:B,'Step 2'!A1094,'Support - Transition'!C:C,'Step 2'!B1094,'Support - Transition'!D:D,'Step 2'!C1094,'Support - Transition'!E:E,"FIRE")</f>
        <v>0</v>
      </c>
      <c r="I1094" s="126">
        <f>IF(B1094="0",SUMIFS('Support - Transition'!F:F,'Support - Transition'!J:J,'Step 2'!D1094,'Support - Transition'!E:E,"STATE UNIT"),SUMIFS('Support - Transition'!F:F,'Support - Transition'!J:J,'Step 2'!D1094))</f>
        <v>0.211035</v>
      </c>
      <c r="J1094" s="126">
        <f>SUMIFS('Support - Unit Adjustments'!E:E,'Support - Unit Adjustments'!F:F,'Step 2'!D1094)</f>
        <v>0</v>
      </c>
      <c r="K1094" s="126">
        <f t="shared" si="327"/>
        <v>0.211035</v>
      </c>
      <c r="L1094" s="174">
        <f>VLOOKUP(A1094,'Step 1'!$A:$E,4,FALSE)</f>
        <v>705710</v>
      </c>
      <c r="M1094" s="47">
        <f t="shared" si="328"/>
        <v>148930</v>
      </c>
      <c r="N1094" s="177">
        <f>SUMIFS('Support - Transition'!G:G,'Support - Transition'!J:J,'Step 2'!D1094,'Support - Transition'!E:E,"2009 WELFARE ALLOCATION FACTOR")</f>
        <v>0</v>
      </c>
      <c r="O1094" s="152">
        <f t="shared" si="333"/>
        <v>0</v>
      </c>
      <c r="P1094" s="126">
        <f>IF(E1094="Y",0,SUMIFS('Support - Transition'!G:G,'Support - Transition'!J:J,'Step 2'!D1094,'Support - Transition'!E:E,"2009 SCHOOL ALLOCATION FACTOR"))</f>
        <v>0.49685600000000002</v>
      </c>
      <c r="Q1094" s="126">
        <f>IF(E1094="Y",VLOOKUP(D1094,'Support - Unit Adjustments'!F:G,2,FALSE),0)</f>
        <v>0</v>
      </c>
      <c r="R1094" s="155">
        <f t="shared" si="326"/>
        <v>0.49685600000000002</v>
      </c>
      <c r="S1094" s="47">
        <f t="shared" si="325"/>
        <v>73997</v>
      </c>
      <c r="T1094" s="151">
        <f t="shared" si="329"/>
        <v>74933</v>
      </c>
      <c r="U1094" s="151">
        <f t="shared" si="330"/>
        <v>0</v>
      </c>
      <c r="V1094" s="139">
        <f t="shared" si="331"/>
        <v>0</v>
      </c>
      <c r="W1094" s="152">
        <f t="shared" si="334"/>
        <v>74933</v>
      </c>
      <c r="X1094" s="127" t="str">
        <f t="shared" si="332"/>
        <v/>
      </c>
      <c r="Y1094" s="207">
        <f t="shared" si="335"/>
        <v>74933</v>
      </c>
      <c r="Z1094" s="139">
        <f t="shared" si="336"/>
        <v>74933</v>
      </c>
      <c r="AA1094" s="139">
        <f t="shared" si="337"/>
        <v>0</v>
      </c>
      <c r="AC1094" s="47">
        <f t="shared" si="338"/>
        <v>37467</v>
      </c>
      <c r="AD1094" s="47">
        <f t="shared" si="339"/>
        <v>37467</v>
      </c>
      <c r="AE1094" s="47">
        <f t="shared" si="340"/>
        <v>0</v>
      </c>
      <c r="AG1094" s="47">
        <f t="shared" si="341"/>
        <v>37466</v>
      </c>
      <c r="AH1094" s="47">
        <f t="shared" si="342"/>
        <v>37466</v>
      </c>
      <c r="AI1094" s="208">
        <f t="shared" si="343"/>
        <v>0</v>
      </c>
    </row>
    <row r="1095" spans="1:35">
      <c r="A1095" t="s">
        <v>2123</v>
      </c>
      <c r="B1095" t="s">
        <v>3160</v>
      </c>
      <c r="C1095" t="s">
        <v>2624</v>
      </c>
      <c r="D1095" t="s">
        <v>4451</v>
      </c>
      <c r="F1095" t="s">
        <v>847</v>
      </c>
      <c r="G1095" s="126">
        <f>SUMIFS('Support - Transition'!F:F,'Support - Transition'!B:B,'Step 2'!A1095,'Support - Transition'!C:C,'Step 2'!B1095,'Support - Transition'!D:D,'Step 2'!C1095,'Support - Transition'!E:E,"CIVIL")</f>
        <v>0</v>
      </c>
      <c r="H1095" s="126">
        <f>SUMIFS('Support - Transition'!F:F,'Support - Transition'!B:B,'Step 2'!A1095,'Support - Transition'!C:C,'Step 2'!B1095,'Support - Transition'!D:D,'Step 2'!C1095,'Support - Transition'!E:E,"FIRE")</f>
        <v>0</v>
      </c>
      <c r="I1095" s="126">
        <f>IF(B1095="0",SUMIFS('Support - Transition'!F:F,'Support - Transition'!J:J,'Step 2'!D1095,'Support - Transition'!E:E,"STATE UNIT"),SUMIFS('Support - Transition'!F:F,'Support - Transition'!J:J,'Step 2'!D1095))</f>
        <v>0.106741</v>
      </c>
      <c r="J1095" s="126">
        <f>SUMIFS('Support - Unit Adjustments'!E:E,'Support - Unit Adjustments'!F:F,'Step 2'!D1095)</f>
        <v>0</v>
      </c>
      <c r="K1095" s="126">
        <f t="shared" si="327"/>
        <v>0.106741</v>
      </c>
      <c r="L1095" s="174">
        <f>VLOOKUP(A1095,'Step 1'!$A:$E,4,FALSE)</f>
        <v>705710</v>
      </c>
      <c r="M1095" s="47">
        <f t="shared" si="328"/>
        <v>75328</v>
      </c>
      <c r="N1095" s="177">
        <f>SUMIFS('Support - Transition'!G:G,'Support - Transition'!J:J,'Step 2'!D1095,'Support - Transition'!E:E,"2009 WELFARE ALLOCATION FACTOR")</f>
        <v>0</v>
      </c>
      <c r="O1095" s="152">
        <f t="shared" si="333"/>
        <v>0</v>
      </c>
      <c r="P1095" s="126">
        <f>IF(E1095="Y",0,SUMIFS('Support - Transition'!G:G,'Support - Transition'!J:J,'Step 2'!D1095,'Support - Transition'!E:E,"2009 SCHOOL ALLOCATION FACTOR"))</f>
        <v>0.52319000000000004</v>
      </c>
      <c r="Q1095" s="126">
        <f>IF(E1095="Y",VLOOKUP(D1095,'Support - Unit Adjustments'!F:G,2,FALSE),0)</f>
        <v>0</v>
      </c>
      <c r="R1095" s="155">
        <f t="shared" si="326"/>
        <v>0.52319000000000004</v>
      </c>
      <c r="S1095" s="47">
        <f t="shared" si="325"/>
        <v>39411</v>
      </c>
      <c r="T1095" s="151">
        <f t="shared" si="329"/>
        <v>35917</v>
      </c>
      <c r="U1095" s="151">
        <f t="shared" si="330"/>
        <v>0</v>
      </c>
      <c r="V1095" s="139">
        <f t="shared" si="331"/>
        <v>0</v>
      </c>
      <c r="W1095" s="152">
        <f t="shared" si="334"/>
        <v>35917</v>
      </c>
      <c r="X1095" s="127" t="str">
        <f t="shared" si="332"/>
        <v/>
      </c>
      <c r="Y1095" s="207">
        <f t="shared" si="335"/>
        <v>35917</v>
      </c>
      <c r="Z1095" s="139">
        <f t="shared" si="336"/>
        <v>35917</v>
      </c>
      <c r="AA1095" s="139">
        <f t="shared" si="337"/>
        <v>0</v>
      </c>
      <c r="AC1095" s="47">
        <f t="shared" si="338"/>
        <v>17959</v>
      </c>
      <c r="AD1095" s="47">
        <f t="shared" si="339"/>
        <v>17959</v>
      </c>
      <c r="AE1095" s="47">
        <f t="shared" si="340"/>
        <v>0</v>
      </c>
      <c r="AG1095" s="47">
        <f t="shared" si="341"/>
        <v>17958</v>
      </c>
      <c r="AH1095" s="47">
        <f t="shared" si="342"/>
        <v>17958</v>
      </c>
      <c r="AI1095" s="208">
        <f t="shared" si="343"/>
        <v>0</v>
      </c>
    </row>
    <row r="1096" spans="1:35">
      <c r="A1096" t="s">
        <v>2123</v>
      </c>
      <c r="B1096" t="s">
        <v>3160</v>
      </c>
      <c r="C1096" t="s">
        <v>2625</v>
      </c>
      <c r="D1096" t="s">
        <v>4452</v>
      </c>
      <c r="F1096" t="s">
        <v>849</v>
      </c>
      <c r="G1096" s="126">
        <f>SUMIFS('Support - Transition'!F:F,'Support - Transition'!B:B,'Step 2'!A1096,'Support - Transition'!C:C,'Step 2'!B1096,'Support - Transition'!D:D,'Step 2'!C1096,'Support - Transition'!E:E,"CIVIL")</f>
        <v>0</v>
      </c>
      <c r="H1096" s="126">
        <f>SUMIFS('Support - Transition'!F:F,'Support - Transition'!B:B,'Step 2'!A1096,'Support - Transition'!C:C,'Step 2'!B1096,'Support - Transition'!D:D,'Step 2'!C1096,'Support - Transition'!E:E,"FIRE")</f>
        <v>0</v>
      </c>
      <c r="I1096" s="126">
        <f>IF(B1096="0",SUMIFS('Support - Transition'!F:F,'Support - Transition'!J:J,'Step 2'!D1096,'Support - Transition'!E:E,"STATE UNIT"),SUMIFS('Support - Transition'!F:F,'Support - Transition'!J:J,'Step 2'!D1096))</f>
        <v>4.052E-3</v>
      </c>
      <c r="J1096" s="126">
        <f>SUMIFS('Support - Unit Adjustments'!E:E,'Support - Unit Adjustments'!F:F,'Step 2'!D1096)</f>
        <v>0</v>
      </c>
      <c r="K1096" s="126">
        <f t="shared" si="327"/>
        <v>4.052E-3</v>
      </c>
      <c r="L1096" s="174">
        <f>VLOOKUP(A1096,'Step 1'!$A:$E,4,FALSE)</f>
        <v>705710</v>
      </c>
      <c r="M1096" s="47">
        <f t="shared" si="328"/>
        <v>2860</v>
      </c>
      <c r="N1096" s="177">
        <f>SUMIFS('Support - Transition'!G:G,'Support - Transition'!J:J,'Step 2'!D1096,'Support - Transition'!E:E,"2009 WELFARE ALLOCATION FACTOR")</f>
        <v>0</v>
      </c>
      <c r="O1096" s="152">
        <f t="shared" si="333"/>
        <v>0</v>
      </c>
      <c r="P1096" s="126">
        <f>IF(E1096="Y",0,SUMIFS('Support - Transition'!G:G,'Support - Transition'!J:J,'Step 2'!D1096,'Support - Transition'!E:E,"2009 SCHOOL ALLOCATION FACTOR"))</f>
        <v>0.571967</v>
      </c>
      <c r="Q1096" s="126">
        <f>IF(E1096="Y",VLOOKUP(D1096,'Support - Unit Adjustments'!F:G,2,FALSE),0)</f>
        <v>0</v>
      </c>
      <c r="R1096" s="155">
        <f t="shared" si="326"/>
        <v>0.571967</v>
      </c>
      <c r="S1096" s="47">
        <f t="shared" ref="S1096:S1159" si="344">ROUND(+R1096*M1096,0)</f>
        <v>1636</v>
      </c>
      <c r="T1096" s="151">
        <f t="shared" si="329"/>
        <v>1224</v>
      </c>
      <c r="U1096" s="151">
        <f t="shared" si="330"/>
        <v>0</v>
      </c>
      <c r="V1096" s="139">
        <f t="shared" si="331"/>
        <v>0</v>
      </c>
      <c r="W1096" s="152">
        <f t="shared" si="334"/>
        <v>1224</v>
      </c>
      <c r="X1096" s="127" t="str">
        <f t="shared" si="332"/>
        <v/>
      </c>
      <c r="Y1096" s="207">
        <f t="shared" si="335"/>
        <v>1224</v>
      </c>
      <c r="Z1096" s="139">
        <f t="shared" si="336"/>
        <v>1224</v>
      </c>
      <c r="AA1096" s="139">
        <f t="shared" si="337"/>
        <v>0</v>
      </c>
      <c r="AC1096" s="47">
        <f t="shared" si="338"/>
        <v>612</v>
      </c>
      <c r="AD1096" s="47">
        <f t="shared" si="339"/>
        <v>612</v>
      </c>
      <c r="AE1096" s="47">
        <f t="shared" si="340"/>
        <v>0</v>
      </c>
      <c r="AG1096" s="47">
        <f t="shared" si="341"/>
        <v>612</v>
      </c>
      <c r="AH1096" s="47">
        <f t="shared" si="342"/>
        <v>612</v>
      </c>
      <c r="AI1096" s="208">
        <f t="shared" si="343"/>
        <v>0</v>
      </c>
    </row>
    <row r="1097" spans="1:35">
      <c r="A1097" t="s">
        <v>2123</v>
      </c>
      <c r="B1097" t="s">
        <v>3160</v>
      </c>
      <c r="C1097" t="s">
        <v>2248</v>
      </c>
      <c r="D1097" t="s">
        <v>4453</v>
      </c>
      <c r="F1097" t="s">
        <v>848</v>
      </c>
      <c r="G1097" s="126">
        <f>SUMIFS('Support - Transition'!F:F,'Support - Transition'!B:B,'Step 2'!A1097,'Support - Transition'!C:C,'Step 2'!B1097,'Support - Transition'!D:D,'Step 2'!C1097,'Support - Transition'!E:E,"CIVIL")</f>
        <v>0</v>
      </c>
      <c r="H1097" s="126">
        <f>SUMIFS('Support - Transition'!F:F,'Support - Transition'!B:B,'Step 2'!A1097,'Support - Transition'!C:C,'Step 2'!B1097,'Support - Transition'!D:D,'Step 2'!C1097,'Support - Transition'!E:E,"FIRE")</f>
        <v>0</v>
      </c>
      <c r="I1097" s="126">
        <f>IF(B1097="0",SUMIFS('Support - Transition'!F:F,'Support - Transition'!J:J,'Step 2'!D1097,'Support - Transition'!E:E,"STATE UNIT"),SUMIFS('Support - Transition'!F:F,'Support - Transition'!J:J,'Step 2'!D1097))</f>
        <v>0.38769700000000001</v>
      </c>
      <c r="J1097" s="126">
        <f>SUMIFS('Support - Unit Adjustments'!E:E,'Support - Unit Adjustments'!F:F,'Step 2'!D1097)</f>
        <v>0</v>
      </c>
      <c r="K1097" s="126">
        <f t="shared" si="327"/>
        <v>0.38769700000000001</v>
      </c>
      <c r="L1097" s="174">
        <f>VLOOKUP(A1097,'Step 1'!$A:$E,4,FALSE)</f>
        <v>705710</v>
      </c>
      <c r="M1097" s="47">
        <f t="shared" si="328"/>
        <v>273602</v>
      </c>
      <c r="N1097" s="177">
        <f>SUMIFS('Support - Transition'!G:G,'Support - Transition'!J:J,'Step 2'!D1097,'Support - Transition'!E:E,"2009 WELFARE ALLOCATION FACTOR")</f>
        <v>0</v>
      </c>
      <c r="O1097" s="152">
        <f t="shared" si="333"/>
        <v>0</v>
      </c>
      <c r="P1097" s="126">
        <f>IF(E1097="Y",0,SUMIFS('Support - Transition'!G:G,'Support - Transition'!J:J,'Step 2'!D1097,'Support - Transition'!E:E,"2009 SCHOOL ALLOCATION FACTOR"))</f>
        <v>0.55119499999999999</v>
      </c>
      <c r="Q1097" s="126">
        <f>IF(E1097="Y",VLOOKUP(D1097,'Support - Unit Adjustments'!F:G,2,FALSE),0)</f>
        <v>0</v>
      </c>
      <c r="R1097" s="155">
        <f t="shared" ref="R1097:R1160" si="345">+P1097+Q1097</f>
        <v>0.55119499999999999</v>
      </c>
      <c r="S1097" s="47">
        <f t="shared" si="344"/>
        <v>150808</v>
      </c>
      <c r="T1097" s="151">
        <f t="shared" si="329"/>
        <v>122794</v>
      </c>
      <c r="U1097" s="151">
        <f t="shared" si="330"/>
        <v>0</v>
      </c>
      <c r="V1097" s="139">
        <f t="shared" si="331"/>
        <v>0</v>
      </c>
      <c r="W1097" s="152">
        <f t="shared" si="334"/>
        <v>122794</v>
      </c>
      <c r="X1097" s="127" t="str">
        <f t="shared" si="332"/>
        <v/>
      </c>
      <c r="Y1097" s="207">
        <f t="shared" si="335"/>
        <v>122794</v>
      </c>
      <c r="Z1097" s="139">
        <f t="shared" si="336"/>
        <v>122794</v>
      </c>
      <c r="AA1097" s="139">
        <f t="shared" si="337"/>
        <v>0</v>
      </c>
      <c r="AC1097" s="47">
        <f t="shared" si="338"/>
        <v>61397</v>
      </c>
      <c r="AD1097" s="47">
        <f t="shared" si="339"/>
        <v>61397</v>
      </c>
      <c r="AE1097" s="47">
        <f t="shared" si="340"/>
        <v>0</v>
      </c>
      <c r="AG1097" s="47">
        <f t="shared" si="341"/>
        <v>61397</v>
      </c>
      <c r="AH1097" s="47">
        <f t="shared" si="342"/>
        <v>61397</v>
      </c>
      <c r="AI1097" s="208">
        <f t="shared" si="343"/>
        <v>0</v>
      </c>
    </row>
    <row r="1098" spans="1:35">
      <c r="A1098" t="s">
        <v>2123</v>
      </c>
      <c r="B1098" t="s">
        <v>3166</v>
      </c>
      <c r="C1098" t="s">
        <v>2626</v>
      </c>
      <c r="D1098" t="s">
        <v>4454</v>
      </c>
      <c r="F1098" t="s">
        <v>851</v>
      </c>
      <c r="G1098" s="126">
        <f>SUMIFS('Support - Transition'!F:F,'Support - Transition'!B:B,'Step 2'!A1098,'Support - Transition'!C:C,'Step 2'!B1098,'Support - Transition'!D:D,'Step 2'!C1098,'Support - Transition'!E:E,"CIVIL")</f>
        <v>0</v>
      </c>
      <c r="H1098" s="126">
        <f>SUMIFS('Support - Transition'!F:F,'Support - Transition'!B:B,'Step 2'!A1098,'Support - Transition'!C:C,'Step 2'!B1098,'Support - Transition'!D:D,'Step 2'!C1098,'Support - Transition'!E:E,"FIRE")</f>
        <v>0</v>
      </c>
      <c r="I1098" s="126">
        <f>IF(B1098="0",SUMIFS('Support - Transition'!F:F,'Support - Transition'!J:J,'Step 2'!D1098,'Support - Transition'!E:E,"STATE UNIT"),SUMIFS('Support - Transition'!F:F,'Support - Transition'!J:J,'Step 2'!D1098))</f>
        <v>7.9159999999999994E-3</v>
      </c>
      <c r="J1098" s="126">
        <f>SUMIFS('Support - Unit Adjustments'!E:E,'Support - Unit Adjustments'!F:F,'Step 2'!D1098)</f>
        <v>0</v>
      </c>
      <c r="K1098" s="126">
        <f t="shared" si="327"/>
        <v>7.9159999999999994E-3</v>
      </c>
      <c r="L1098" s="174">
        <f>VLOOKUP(A1098,'Step 1'!$A:$E,4,FALSE)</f>
        <v>705710</v>
      </c>
      <c r="M1098" s="47">
        <f t="shared" si="328"/>
        <v>5586</v>
      </c>
      <c r="N1098" s="177">
        <f>SUMIFS('Support - Transition'!G:G,'Support - Transition'!J:J,'Step 2'!D1098,'Support - Transition'!E:E,"2009 WELFARE ALLOCATION FACTOR")</f>
        <v>0</v>
      </c>
      <c r="O1098" s="152">
        <f t="shared" si="333"/>
        <v>0</v>
      </c>
      <c r="P1098" s="126">
        <f>IF(E1098="Y",0,SUMIFS('Support - Transition'!G:G,'Support - Transition'!J:J,'Step 2'!D1098,'Support - Transition'!E:E,"2009 SCHOOL ALLOCATION FACTOR"))</f>
        <v>0</v>
      </c>
      <c r="Q1098" s="126">
        <f>IF(E1098="Y",VLOOKUP(D1098,'Support - Unit Adjustments'!F:G,2,FALSE),0)</f>
        <v>0</v>
      </c>
      <c r="R1098" s="155">
        <f t="shared" si="345"/>
        <v>0</v>
      </c>
      <c r="S1098" s="47">
        <f t="shared" si="344"/>
        <v>0</v>
      </c>
      <c r="T1098" s="151">
        <f t="shared" si="329"/>
        <v>5586</v>
      </c>
      <c r="U1098" s="151">
        <f t="shared" si="330"/>
        <v>0</v>
      </c>
      <c r="V1098" s="139">
        <f t="shared" si="331"/>
        <v>0</v>
      </c>
      <c r="W1098" s="152">
        <f t="shared" si="334"/>
        <v>5586</v>
      </c>
      <c r="X1098" s="127" t="str">
        <f t="shared" si="332"/>
        <v/>
      </c>
      <c r="Y1098" s="207">
        <f t="shared" si="335"/>
        <v>5586</v>
      </c>
      <c r="Z1098" s="139">
        <f t="shared" si="336"/>
        <v>5586</v>
      </c>
      <c r="AA1098" s="139">
        <f t="shared" si="337"/>
        <v>0</v>
      </c>
      <c r="AC1098" s="47">
        <f t="shared" si="338"/>
        <v>2793</v>
      </c>
      <c r="AD1098" s="47">
        <f t="shared" si="339"/>
        <v>2793</v>
      </c>
      <c r="AE1098" s="47">
        <f t="shared" si="340"/>
        <v>0</v>
      </c>
      <c r="AG1098" s="47">
        <f t="shared" si="341"/>
        <v>2793</v>
      </c>
      <c r="AH1098" s="47">
        <f t="shared" si="342"/>
        <v>2793</v>
      </c>
      <c r="AI1098" s="208">
        <f t="shared" si="343"/>
        <v>0</v>
      </c>
    </row>
    <row r="1099" spans="1:35">
      <c r="A1099" t="s">
        <v>2123</v>
      </c>
      <c r="B1099" t="s">
        <v>3166</v>
      </c>
      <c r="C1099" t="s">
        <v>4455</v>
      </c>
      <c r="D1099" t="s">
        <v>4456</v>
      </c>
      <c r="F1099" t="s">
        <v>850</v>
      </c>
      <c r="G1099" s="126">
        <f>SUMIFS('Support - Transition'!F:F,'Support - Transition'!B:B,'Step 2'!A1099,'Support - Transition'!C:C,'Step 2'!B1099,'Support - Transition'!D:D,'Step 2'!C1099,'Support - Transition'!E:E,"CIVIL")</f>
        <v>0</v>
      </c>
      <c r="H1099" s="126">
        <f>SUMIFS('Support - Transition'!F:F,'Support - Transition'!B:B,'Step 2'!A1099,'Support - Transition'!C:C,'Step 2'!B1099,'Support - Transition'!D:D,'Step 2'!C1099,'Support - Transition'!E:E,"FIRE")</f>
        <v>0</v>
      </c>
      <c r="I1099" s="126">
        <f>IF(B1099="0",SUMIFS('Support - Transition'!F:F,'Support - Transition'!J:J,'Step 2'!D1099,'Support - Transition'!E:E,"STATE UNIT"),SUMIFS('Support - Transition'!F:F,'Support - Transition'!J:J,'Step 2'!D1099))</f>
        <v>2.4146999999999998E-2</v>
      </c>
      <c r="J1099" s="126">
        <f>SUMIFS('Support - Unit Adjustments'!E:E,'Support - Unit Adjustments'!F:F,'Step 2'!D1099)</f>
        <v>0</v>
      </c>
      <c r="K1099" s="126">
        <f t="shared" si="327"/>
        <v>2.4146999999999998E-2</v>
      </c>
      <c r="L1099" s="174">
        <f>VLOOKUP(A1099,'Step 1'!$A:$E,4,FALSE)</f>
        <v>705710</v>
      </c>
      <c r="M1099" s="47">
        <f t="shared" si="328"/>
        <v>17041</v>
      </c>
      <c r="N1099" s="177">
        <f>SUMIFS('Support - Transition'!G:G,'Support - Transition'!J:J,'Step 2'!D1099,'Support - Transition'!E:E,"2009 WELFARE ALLOCATION FACTOR")</f>
        <v>0</v>
      </c>
      <c r="O1099" s="152">
        <f t="shared" si="333"/>
        <v>0</v>
      </c>
      <c r="P1099" s="126">
        <f>IF(E1099="Y",0,SUMIFS('Support - Transition'!G:G,'Support - Transition'!J:J,'Step 2'!D1099,'Support - Transition'!E:E,"2009 SCHOOL ALLOCATION FACTOR"))</f>
        <v>0</v>
      </c>
      <c r="Q1099" s="126">
        <f>IF(E1099="Y",VLOOKUP(D1099,'Support - Unit Adjustments'!F:G,2,FALSE),0)</f>
        <v>0</v>
      </c>
      <c r="R1099" s="155">
        <f t="shared" si="345"/>
        <v>0</v>
      </c>
      <c r="S1099" s="47">
        <f t="shared" si="344"/>
        <v>0</v>
      </c>
      <c r="T1099" s="151">
        <f t="shared" si="329"/>
        <v>17041</v>
      </c>
      <c r="U1099" s="151">
        <f t="shared" si="330"/>
        <v>0</v>
      </c>
      <c r="V1099" s="139">
        <f t="shared" si="331"/>
        <v>0</v>
      </c>
      <c r="W1099" s="152">
        <f t="shared" si="334"/>
        <v>17041</v>
      </c>
      <c r="X1099" s="127" t="str">
        <f t="shared" si="332"/>
        <v/>
      </c>
      <c r="Y1099" s="207">
        <f t="shared" si="335"/>
        <v>17041</v>
      </c>
      <c r="Z1099" s="139">
        <f t="shared" si="336"/>
        <v>17041</v>
      </c>
      <c r="AA1099" s="139">
        <f t="shared" si="337"/>
        <v>0</v>
      </c>
      <c r="AC1099" s="47">
        <f t="shared" si="338"/>
        <v>8521</v>
      </c>
      <c r="AD1099" s="47">
        <f t="shared" si="339"/>
        <v>8521</v>
      </c>
      <c r="AE1099" s="47">
        <f t="shared" si="340"/>
        <v>0</v>
      </c>
      <c r="AG1099" s="47">
        <f t="shared" si="341"/>
        <v>8520</v>
      </c>
      <c r="AH1099" s="47">
        <f t="shared" si="342"/>
        <v>8520</v>
      </c>
      <c r="AI1099" s="208">
        <f t="shared" si="343"/>
        <v>0</v>
      </c>
    </row>
    <row r="1100" spans="1:35">
      <c r="A1100" t="s">
        <v>2123</v>
      </c>
      <c r="B1100" t="s">
        <v>3170</v>
      </c>
      <c r="C1100" t="s">
        <v>4457</v>
      </c>
      <c r="D1100" t="s">
        <v>4458</v>
      </c>
      <c r="F1100" t="s">
        <v>4459</v>
      </c>
      <c r="G1100" s="126">
        <f>SUMIFS('Support - Transition'!F:F,'Support - Transition'!B:B,'Step 2'!A1100,'Support - Transition'!C:C,'Step 2'!B1100,'Support - Transition'!D:D,'Step 2'!C1100,'Support - Transition'!E:E,"CIVIL")</f>
        <v>0</v>
      </c>
      <c r="H1100" s="126">
        <f>SUMIFS('Support - Transition'!F:F,'Support - Transition'!B:B,'Step 2'!A1100,'Support - Transition'!C:C,'Step 2'!B1100,'Support - Transition'!D:D,'Step 2'!C1100,'Support - Transition'!E:E,"FIRE")</f>
        <v>0</v>
      </c>
      <c r="I1100" s="126">
        <f>IF(B1100="0",SUMIFS('Support - Transition'!F:F,'Support - Transition'!J:J,'Step 2'!D1100,'Support - Transition'!E:E,"STATE UNIT"),SUMIFS('Support - Transition'!F:F,'Support - Transition'!J:J,'Step 2'!D1100))</f>
        <v>0</v>
      </c>
      <c r="J1100" s="126">
        <f>SUMIFS('Support - Unit Adjustments'!E:E,'Support - Unit Adjustments'!F:F,'Step 2'!D1100)</f>
        <v>0</v>
      </c>
      <c r="K1100" s="126">
        <f t="shared" si="327"/>
        <v>0</v>
      </c>
      <c r="L1100" s="174">
        <f>VLOOKUP(A1100,'Step 1'!$A:$E,4,FALSE)</f>
        <v>705710</v>
      </c>
      <c r="M1100" s="47">
        <f t="shared" si="328"/>
        <v>0</v>
      </c>
      <c r="N1100" s="177">
        <f>SUMIFS('Support - Transition'!G:G,'Support - Transition'!J:J,'Step 2'!D1100,'Support - Transition'!E:E,"2009 WELFARE ALLOCATION FACTOR")</f>
        <v>0</v>
      </c>
      <c r="O1100" s="152">
        <f t="shared" si="333"/>
        <v>0</v>
      </c>
      <c r="P1100" s="126">
        <f>IF(E1100="Y",0,SUMIFS('Support - Transition'!G:G,'Support - Transition'!J:J,'Step 2'!D1100,'Support - Transition'!E:E,"2009 SCHOOL ALLOCATION FACTOR"))</f>
        <v>0</v>
      </c>
      <c r="Q1100" s="126">
        <f>IF(E1100="Y",VLOOKUP(D1100,'Support - Unit Adjustments'!F:G,2,FALSE),0)</f>
        <v>0</v>
      </c>
      <c r="R1100" s="155">
        <f t="shared" si="345"/>
        <v>0</v>
      </c>
      <c r="S1100" s="47">
        <f t="shared" si="344"/>
        <v>0</v>
      </c>
      <c r="T1100" s="151">
        <f t="shared" si="329"/>
        <v>0</v>
      </c>
      <c r="U1100" s="151">
        <f t="shared" si="330"/>
        <v>0</v>
      </c>
      <c r="V1100" s="139">
        <f t="shared" si="331"/>
        <v>0</v>
      </c>
      <c r="W1100" s="152">
        <f t="shared" si="334"/>
        <v>0</v>
      </c>
      <c r="X1100" s="127" t="str">
        <f t="shared" si="332"/>
        <v/>
      </c>
      <c r="Y1100" s="207">
        <f t="shared" si="335"/>
        <v>0</v>
      </c>
      <c r="Z1100" s="139">
        <f t="shared" si="336"/>
        <v>0</v>
      </c>
      <c r="AA1100" s="139">
        <f t="shared" si="337"/>
        <v>0</v>
      </c>
      <c r="AC1100" s="47">
        <f t="shared" si="338"/>
        <v>0</v>
      </c>
      <c r="AD1100" s="47">
        <f t="shared" si="339"/>
        <v>0</v>
      </c>
      <c r="AE1100" s="47">
        <f t="shared" si="340"/>
        <v>0</v>
      </c>
      <c r="AG1100" s="47">
        <f t="shared" si="341"/>
        <v>0</v>
      </c>
      <c r="AH1100" s="47">
        <f t="shared" si="342"/>
        <v>0</v>
      </c>
      <c r="AI1100" s="208">
        <f t="shared" si="343"/>
        <v>0</v>
      </c>
    </row>
    <row r="1101" spans="1:35">
      <c r="A1101" t="s">
        <v>2123</v>
      </c>
      <c r="B1101" t="s">
        <v>3170</v>
      </c>
      <c r="C1101" t="s">
        <v>3281</v>
      </c>
      <c r="D1101" t="s">
        <v>4460</v>
      </c>
      <c r="F1101" t="s">
        <v>131</v>
      </c>
      <c r="G1101" s="126">
        <f>SUMIFS('Support - Transition'!F:F,'Support - Transition'!B:B,'Step 2'!A1101,'Support - Transition'!C:C,'Step 2'!B1101,'Support - Transition'!D:D,'Step 2'!C1101,'Support - Transition'!E:E,"CIVIL")</f>
        <v>0</v>
      </c>
      <c r="H1101" s="126">
        <f>SUMIFS('Support - Transition'!F:F,'Support - Transition'!B:B,'Step 2'!A1101,'Support - Transition'!C:C,'Step 2'!B1101,'Support - Transition'!D:D,'Step 2'!C1101,'Support - Transition'!E:E,"FIRE")</f>
        <v>0</v>
      </c>
      <c r="I1101" s="126">
        <f>IF(B1101="0",SUMIFS('Support - Transition'!F:F,'Support - Transition'!J:J,'Step 2'!D1101,'Support - Transition'!E:E,"STATE UNIT"),SUMIFS('Support - Transition'!F:F,'Support - Transition'!J:J,'Step 2'!D1101))</f>
        <v>0</v>
      </c>
      <c r="J1101" s="126">
        <f>SUMIFS('Support - Unit Adjustments'!E:E,'Support - Unit Adjustments'!F:F,'Step 2'!D1101)</f>
        <v>0</v>
      </c>
      <c r="K1101" s="126">
        <f t="shared" si="327"/>
        <v>0</v>
      </c>
      <c r="L1101" s="174">
        <f>VLOOKUP(A1101,'Step 1'!$A:$E,4,FALSE)</f>
        <v>705710</v>
      </c>
      <c r="M1101" s="47">
        <f t="shared" si="328"/>
        <v>0</v>
      </c>
      <c r="N1101" s="177">
        <f>SUMIFS('Support - Transition'!G:G,'Support - Transition'!J:J,'Step 2'!D1101,'Support - Transition'!E:E,"2009 WELFARE ALLOCATION FACTOR")</f>
        <v>0</v>
      </c>
      <c r="O1101" s="152">
        <f t="shared" si="333"/>
        <v>0</v>
      </c>
      <c r="P1101" s="126">
        <f>IF(E1101="Y",0,SUMIFS('Support - Transition'!G:G,'Support - Transition'!J:J,'Step 2'!D1101,'Support - Transition'!E:E,"2009 SCHOOL ALLOCATION FACTOR"))</f>
        <v>0</v>
      </c>
      <c r="Q1101" s="126">
        <f>IF(E1101="Y",VLOOKUP(D1101,'Support - Unit Adjustments'!F:G,2,FALSE),0)</f>
        <v>0</v>
      </c>
      <c r="R1101" s="155">
        <f t="shared" si="345"/>
        <v>0</v>
      </c>
      <c r="S1101" s="47">
        <f t="shared" si="344"/>
        <v>0</v>
      </c>
      <c r="T1101" s="151">
        <f t="shared" si="329"/>
        <v>0</v>
      </c>
      <c r="U1101" s="151">
        <f t="shared" si="330"/>
        <v>0</v>
      </c>
      <c r="V1101" s="139">
        <f t="shared" si="331"/>
        <v>0</v>
      </c>
      <c r="W1101" s="152">
        <f t="shared" si="334"/>
        <v>0</v>
      </c>
      <c r="X1101" s="127" t="str">
        <f t="shared" si="332"/>
        <v/>
      </c>
      <c r="Y1101" s="207">
        <f t="shared" si="335"/>
        <v>0</v>
      </c>
      <c r="Z1101" s="139">
        <f t="shared" si="336"/>
        <v>0</v>
      </c>
      <c r="AA1101" s="139">
        <f t="shared" si="337"/>
        <v>0</v>
      </c>
      <c r="AC1101" s="47">
        <f t="shared" si="338"/>
        <v>0</v>
      </c>
      <c r="AD1101" s="47">
        <f t="shared" si="339"/>
        <v>0</v>
      </c>
      <c r="AE1101" s="47">
        <f t="shared" si="340"/>
        <v>0</v>
      </c>
      <c r="AG1101" s="47">
        <f t="shared" si="341"/>
        <v>0</v>
      </c>
      <c r="AH1101" s="47">
        <f t="shared" si="342"/>
        <v>0</v>
      </c>
      <c r="AI1101" s="208">
        <f t="shared" si="343"/>
        <v>0</v>
      </c>
    </row>
    <row r="1102" spans="1:35">
      <c r="A1102" t="s">
        <v>2123</v>
      </c>
      <c r="B1102" t="s">
        <v>3286</v>
      </c>
      <c r="C1102" t="s">
        <v>2249</v>
      </c>
      <c r="D1102" t="s">
        <v>4461</v>
      </c>
      <c r="F1102" t="s">
        <v>3288</v>
      </c>
      <c r="G1102" s="126">
        <f>SUMIFS('Support - Transition'!F:F,'Support - Transition'!B:B,'Step 2'!A1102,'Support - Transition'!C:C,'Step 2'!B1102,'Support - Transition'!D:D,'Step 2'!C1102,'Support - Transition'!E:E,"CIVIL")</f>
        <v>0</v>
      </c>
      <c r="H1102" s="126">
        <f>SUMIFS('Support - Transition'!F:F,'Support - Transition'!B:B,'Step 2'!A1102,'Support - Transition'!C:C,'Step 2'!B1102,'Support - Transition'!D:D,'Step 2'!C1102,'Support - Transition'!E:E,"FIRE")</f>
        <v>0</v>
      </c>
      <c r="I1102" s="126">
        <f>IF(B1102="0",SUMIFS('Support - Transition'!F:F,'Support - Transition'!J:J,'Step 2'!D1102,'Support - Transition'!E:E,"STATE UNIT"),SUMIFS('Support - Transition'!F:F,'Support - Transition'!J:J,'Step 2'!D1102))</f>
        <v>0</v>
      </c>
      <c r="J1102" s="126">
        <f>SUMIFS('Support - Unit Adjustments'!E:E,'Support - Unit Adjustments'!F:F,'Step 2'!D1102)</f>
        <v>0</v>
      </c>
      <c r="K1102" s="126">
        <f t="shared" si="327"/>
        <v>0</v>
      </c>
      <c r="L1102" s="174">
        <f>VLOOKUP(A1102,'Step 1'!$A:$E,4,FALSE)</f>
        <v>705710</v>
      </c>
      <c r="M1102" s="47">
        <f t="shared" si="328"/>
        <v>0</v>
      </c>
      <c r="N1102" s="177">
        <f>SUMIFS('Support - Transition'!G:G,'Support - Transition'!J:J,'Step 2'!D1102,'Support - Transition'!E:E,"2009 WELFARE ALLOCATION FACTOR")</f>
        <v>0</v>
      </c>
      <c r="O1102" s="152">
        <f t="shared" si="333"/>
        <v>0</v>
      </c>
      <c r="P1102" s="126">
        <f>IF(E1102="Y",0,SUMIFS('Support - Transition'!G:G,'Support - Transition'!J:J,'Step 2'!D1102,'Support - Transition'!E:E,"2009 SCHOOL ALLOCATION FACTOR"))</f>
        <v>0</v>
      </c>
      <c r="Q1102" s="126">
        <f>IF(E1102="Y",VLOOKUP(D1102,'Support - Unit Adjustments'!F:G,2,FALSE),0)</f>
        <v>0</v>
      </c>
      <c r="R1102" s="155">
        <f t="shared" si="345"/>
        <v>0</v>
      </c>
      <c r="S1102" s="47">
        <f t="shared" si="344"/>
        <v>0</v>
      </c>
      <c r="T1102" s="151">
        <f t="shared" si="329"/>
        <v>0</v>
      </c>
      <c r="U1102" s="151">
        <f t="shared" si="330"/>
        <v>0</v>
      </c>
      <c r="V1102" s="139">
        <f t="shared" si="331"/>
        <v>0</v>
      </c>
      <c r="W1102" s="152">
        <f t="shared" si="334"/>
        <v>0</v>
      </c>
      <c r="X1102" s="127" t="str">
        <f t="shared" si="332"/>
        <v/>
      </c>
      <c r="Y1102" s="207">
        <f t="shared" si="335"/>
        <v>0</v>
      </c>
      <c r="Z1102" s="139">
        <f t="shared" si="336"/>
        <v>0</v>
      </c>
      <c r="AA1102" s="139">
        <f t="shared" si="337"/>
        <v>0</v>
      </c>
      <c r="AC1102" s="47">
        <f t="shared" si="338"/>
        <v>0</v>
      </c>
      <c r="AD1102" s="47">
        <f t="shared" si="339"/>
        <v>0</v>
      </c>
      <c r="AE1102" s="47">
        <f t="shared" si="340"/>
        <v>0</v>
      </c>
      <c r="AG1102" s="47">
        <f t="shared" si="341"/>
        <v>0</v>
      </c>
      <c r="AH1102" s="47">
        <f t="shared" si="342"/>
        <v>0</v>
      </c>
      <c r="AI1102" s="208">
        <f t="shared" si="343"/>
        <v>0</v>
      </c>
    </row>
    <row r="1103" spans="1:35">
      <c r="A1103" t="s">
        <v>2184</v>
      </c>
      <c r="B1103" s="48" t="s">
        <v>6274</v>
      </c>
      <c r="C1103" t="s">
        <v>2187</v>
      </c>
      <c r="D1103" t="str">
        <f>A1103&amp;B1103&amp;C1103</f>
        <v>3800000</v>
      </c>
      <c r="F1103" t="s">
        <v>6312</v>
      </c>
      <c r="G1103" s="126">
        <f>SUMIFS('Support - Transition'!F:F,'Support - Transition'!B:B,'Step 2'!A1103,'Support - Transition'!C:C,'Step 2'!B1103,'Support - Transition'!D:D,'Step 2'!C1103,'Support - Transition'!E:E,"CIVIL")</f>
        <v>0</v>
      </c>
      <c r="H1103" s="126">
        <f>SUMIFS('Support - Transition'!F:F,'Support - Transition'!B:B,'Step 2'!A1103,'Support - Transition'!C:C,'Step 2'!B1103,'Support - Transition'!D:D,'Step 2'!C1103,'Support - Transition'!E:E,"FIRE")</f>
        <v>0</v>
      </c>
      <c r="I1103" s="126">
        <f>IF(B1103="0",SUMIFS('Support - Transition'!F:F,'Support - Transition'!J:J,'Step 2'!D1103,'Support - Transition'!E:E,"STATE UNIT"),SUMIFS('Support - Transition'!F:F,'Support - Transition'!J:J,'Step 2'!D1103))</f>
        <v>1.2149999999999999E-3</v>
      </c>
      <c r="J1103" s="126">
        <f>SUMIFS('Support - Unit Adjustments'!E:E,'Support - Unit Adjustments'!F:F,'Step 2'!D1103)</f>
        <v>0</v>
      </c>
      <c r="K1103" s="126">
        <f t="shared" si="327"/>
        <v>1.2149999999999999E-3</v>
      </c>
      <c r="L1103" s="174">
        <f>VLOOKUP(A1103,'Step 1'!$A:$E,4,FALSE)</f>
        <v>135739</v>
      </c>
      <c r="M1103" s="47">
        <f t="shared" si="328"/>
        <v>165</v>
      </c>
      <c r="N1103" s="177">
        <f>SUMIFS('Support - Transition'!G:G,'Support - Transition'!J:J,'Step 2'!D1103,'Support - Transition'!E:E,"2009 WELFARE ALLOCATION FACTOR")</f>
        <v>0</v>
      </c>
      <c r="O1103" s="152">
        <f t="shared" si="333"/>
        <v>0</v>
      </c>
      <c r="P1103" s="126">
        <f>IF(E1103="Y",0,SUMIFS('Support - Transition'!G:G,'Support - Transition'!J:J,'Step 2'!D1103,'Support - Transition'!E:E,"2009 SCHOOL ALLOCATION FACTOR"))</f>
        <v>0</v>
      </c>
      <c r="Q1103" s="126">
        <f>IF(E1103="Y",VLOOKUP(D1103,'Support - Unit Adjustments'!F:G,2,FALSE),0)</f>
        <v>0</v>
      </c>
      <c r="R1103" s="155">
        <f t="shared" si="345"/>
        <v>0</v>
      </c>
      <c r="S1103" s="47">
        <f t="shared" si="344"/>
        <v>0</v>
      </c>
      <c r="T1103" s="151">
        <f t="shared" si="329"/>
        <v>165</v>
      </c>
      <c r="U1103" s="151">
        <f t="shared" si="330"/>
        <v>135741</v>
      </c>
      <c r="V1103" s="139">
        <f t="shared" si="331"/>
        <v>2</v>
      </c>
      <c r="W1103" s="152">
        <f t="shared" si="334"/>
        <v>163</v>
      </c>
      <c r="X1103" s="127">
        <f t="shared" si="332"/>
        <v>0</v>
      </c>
      <c r="Y1103" s="207">
        <f t="shared" si="335"/>
        <v>163</v>
      </c>
      <c r="Z1103" s="139">
        <f t="shared" si="336"/>
        <v>163</v>
      </c>
      <c r="AA1103" s="139">
        <f t="shared" si="337"/>
        <v>0</v>
      </c>
      <c r="AC1103" s="47">
        <f t="shared" si="338"/>
        <v>82</v>
      </c>
      <c r="AD1103" s="47">
        <f t="shared" si="339"/>
        <v>82</v>
      </c>
      <c r="AE1103" s="47">
        <f t="shared" si="340"/>
        <v>0</v>
      </c>
      <c r="AG1103" s="47">
        <f t="shared" si="341"/>
        <v>81</v>
      </c>
      <c r="AH1103" s="47">
        <f t="shared" si="342"/>
        <v>81</v>
      </c>
      <c r="AI1103" s="208">
        <f t="shared" si="343"/>
        <v>0</v>
      </c>
    </row>
    <row r="1104" spans="1:35">
      <c r="A1104" t="s">
        <v>2184</v>
      </c>
      <c r="B1104" t="s">
        <v>3140</v>
      </c>
      <c r="C1104" t="s">
        <v>2187</v>
      </c>
      <c r="D1104" t="s">
        <v>4462</v>
      </c>
      <c r="F1104" t="s">
        <v>853</v>
      </c>
      <c r="G1104" s="126">
        <f>SUMIFS('Support - Transition'!F:F,'Support - Transition'!B:B,'Step 2'!A1104,'Support - Transition'!C:C,'Step 2'!B1104,'Support - Transition'!D:D,'Step 2'!C1104,'Support - Transition'!E:E,"CIVIL")</f>
        <v>0</v>
      </c>
      <c r="H1104" s="126">
        <f>SUMIFS('Support - Transition'!F:F,'Support - Transition'!B:B,'Step 2'!A1104,'Support - Transition'!C:C,'Step 2'!B1104,'Support - Transition'!D:D,'Step 2'!C1104,'Support - Transition'!E:E,"FIRE")</f>
        <v>0</v>
      </c>
      <c r="I1104" s="126">
        <f>IF(B1104="0",SUMIFS('Support - Transition'!F:F,'Support - Transition'!J:J,'Step 2'!D1104,'Support - Transition'!E:E,"STATE UNIT"),SUMIFS('Support - Transition'!F:F,'Support - Transition'!J:J,'Step 2'!D1104))</f>
        <v>0.23508100000000001</v>
      </c>
      <c r="J1104" s="126">
        <f>SUMIFS('Support - Unit Adjustments'!E:E,'Support - Unit Adjustments'!F:F,'Step 2'!D1104)</f>
        <v>0</v>
      </c>
      <c r="K1104" s="126">
        <f t="shared" si="327"/>
        <v>0.23508100000000001</v>
      </c>
      <c r="L1104" s="174">
        <f>VLOOKUP(A1104,'Step 1'!$A:$E,4,FALSE)</f>
        <v>135739</v>
      </c>
      <c r="M1104" s="47">
        <f t="shared" si="328"/>
        <v>31910</v>
      </c>
      <c r="N1104" s="177">
        <f>SUMIFS('Support - Transition'!G:G,'Support - Transition'!J:J,'Step 2'!D1104,'Support - Transition'!E:E,"2009 WELFARE ALLOCATION FACTOR")</f>
        <v>0.18595800000000001</v>
      </c>
      <c r="O1104" s="152">
        <f t="shared" si="333"/>
        <v>5934</v>
      </c>
      <c r="P1104" s="126">
        <f>IF(E1104="Y",0,SUMIFS('Support - Transition'!G:G,'Support - Transition'!J:J,'Step 2'!D1104,'Support - Transition'!E:E,"2009 SCHOOL ALLOCATION FACTOR"))</f>
        <v>0</v>
      </c>
      <c r="Q1104" s="126">
        <f>IF(E1104="Y",VLOOKUP(D1104,'Support - Unit Adjustments'!F:G,2,FALSE),0)</f>
        <v>0</v>
      </c>
      <c r="R1104" s="155">
        <f t="shared" si="345"/>
        <v>0</v>
      </c>
      <c r="S1104" s="47">
        <f t="shared" si="344"/>
        <v>0</v>
      </c>
      <c r="T1104" s="151">
        <f t="shared" si="329"/>
        <v>25976</v>
      </c>
      <c r="U1104" s="151">
        <f t="shared" si="330"/>
        <v>0</v>
      </c>
      <c r="V1104" s="139">
        <f t="shared" si="331"/>
        <v>0</v>
      </c>
      <c r="W1104" s="152">
        <f t="shared" si="334"/>
        <v>25976</v>
      </c>
      <c r="X1104" s="127" t="str">
        <f t="shared" si="332"/>
        <v/>
      </c>
      <c r="Y1104" s="207">
        <f t="shared" si="335"/>
        <v>25976</v>
      </c>
      <c r="Z1104" s="139">
        <f t="shared" si="336"/>
        <v>25976</v>
      </c>
      <c r="AA1104" s="139">
        <f t="shared" si="337"/>
        <v>0</v>
      </c>
      <c r="AC1104" s="47">
        <f t="shared" si="338"/>
        <v>12988</v>
      </c>
      <c r="AD1104" s="47">
        <f t="shared" si="339"/>
        <v>12988</v>
      </c>
      <c r="AE1104" s="47">
        <f t="shared" si="340"/>
        <v>0</v>
      </c>
      <c r="AG1104" s="47">
        <f t="shared" si="341"/>
        <v>12988</v>
      </c>
      <c r="AH1104" s="47">
        <f t="shared" si="342"/>
        <v>12988</v>
      </c>
      <c r="AI1104" s="208">
        <f t="shared" si="343"/>
        <v>0</v>
      </c>
    </row>
    <row r="1105" spans="1:35">
      <c r="A1105" t="s">
        <v>2184</v>
      </c>
      <c r="B1105" t="s">
        <v>3142</v>
      </c>
      <c r="C1105" t="s">
        <v>2188</v>
      </c>
      <c r="D1105" t="s">
        <v>4463</v>
      </c>
      <c r="F1105" t="s">
        <v>854</v>
      </c>
      <c r="G1105" s="126">
        <f>SUMIFS('Support - Transition'!F:F,'Support - Transition'!B:B,'Step 2'!A1105,'Support - Transition'!C:C,'Step 2'!B1105,'Support - Transition'!D:D,'Step 2'!C1105,'Support - Transition'!E:E,"CIVIL")</f>
        <v>8.2600000000000002E-4</v>
      </c>
      <c r="H1105" s="126">
        <f>SUMIFS('Support - Transition'!F:F,'Support - Transition'!B:B,'Step 2'!A1105,'Support - Transition'!C:C,'Step 2'!B1105,'Support - Transition'!D:D,'Step 2'!C1105,'Support - Transition'!E:E,"FIRE")</f>
        <v>5.1000000000000004E-4</v>
      </c>
      <c r="I1105" s="126">
        <f>IF(B1105="0",SUMIFS('Support - Transition'!F:F,'Support - Transition'!J:J,'Step 2'!D1105,'Support - Transition'!E:E,"STATE UNIT"),SUMIFS('Support - Transition'!F:F,'Support - Transition'!J:J,'Step 2'!D1105))</f>
        <v>1.3359999999999999E-3</v>
      </c>
      <c r="J1105" s="126">
        <f>SUMIFS('Support - Unit Adjustments'!E:E,'Support - Unit Adjustments'!F:F,'Step 2'!D1105)</f>
        <v>0</v>
      </c>
      <c r="K1105" s="126">
        <f t="shared" si="327"/>
        <v>1.3359999999999999E-3</v>
      </c>
      <c r="L1105" s="174">
        <f>VLOOKUP(A1105,'Step 1'!$A:$E,4,FALSE)</f>
        <v>135739</v>
      </c>
      <c r="M1105" s="47">
        <f t="shared" si="328"/>
        <v>181</v>
      </c>
      <c r="N1105" s="177">
        <f>SUMIFS('Support - Transition'!G:G,'Support - Transition'!J:J,'Step 2'!D1105,'Support - Transition'!E:E,"2009 WELFARE ALLOCATION FACTOR")</f>
        <v>0</v>
      </c>
      <c r="O1105" s="152">
        <f t="shared" si="333"/>
        <v>0</v>
      </c>
      <c r="P1105" s="126">
        <f>IF(E1105="Y",0,SUMIFS('Support - Transition'!G:G,'Support - Transition'!J:J,'Step 2'!D1105,'Support - Transition'!E:E,"2009 SCHOOL ALLOCATION FACTOR"))</f>
        <v>0</v>
      </c>
      <c r="Q1105" s="126">
        <f>IF(E1105="Y",VLOOKUP(D1105,'Support - Unit Adjustments'!F:G,2,FALSE),0)</f>
        <v>0</v>
      </c>
      <c r="R1105" s="155">
        <f t="shared" si="345"/>
        <v>0</v>
      </c>
      <c r="S1105" s="47">
        <f t="shared" si="344"/>
        <v>0</v>
      </c>
      <c r="T1105" s="151">
        <f t="shared" si="329"/>
        <v>181</v>
      </c>
      <c r="U1105" s="151">
        <f t="shared" si="330"/>
        <v>0</v>
      </c>
      <c r="V1105" s="139">
        <f t="shared" si="331"/>
        <v>0</v>
      </c>
      <c r="W1105" s="152">
        <f t="shared" si="334"/>
        <v>181</v>
      </c>
      <c r="X1105" s="127" t="str">
        <f t="shared" si="332"/>
        <v/>
      </c>
      <c r="Y1105" s="207">
        <f t="shared" si="335"/>
        <v>181</v>
      </c>
      <c r="Z1105" s="139">
        <f t="shared" si="336"/>
        <v>112</v>
      </c>
      <c r="AA1105" s="139">
        <f t="shared" si="337"/>
        <v>69</v>
      </c>
      <c r="AC1105" s="47">
        <f t="shared" si="338"/>
        <v>91</v>
      </c>
      <c r="AD1105" s="47">
        <f t="shared" si="339"/>
        <v>56</v>
      </c>
      <c r="AE1105" s="47">
        <f t="shared" si="340"/>
        <v>35</v>
      </c>
      <c r="AG1105" s="47">
        <f t="shared" si="341"/>
        <v>90</v>
      </c>
      <c r="AH1105" s="47">
        <f t="shared" si="342"/>
        <v>56</v>
      </c>
      <c r="AI1105" s="208">
        <f t="shared" si="343"/>
        <v>34</v>
      </c>
    </row>
    <row r="1106" spans="1:35">
      <c r="A1106" t="s">
        <v>2184</v>
      </c>
      <c r="B1106" t="s">
        <v>3142</v>
      </c>
      <c r="C1106" t="s">
        <v>2189</v>
      </c>
      <c r="D1106" t="s">
        <v>4464</v>
      </c>
      <c r="F1106" t="s">
        <v>855</v>
      </c>
      <c r="G1106" s="126">
        <f>SUMIFS('Support - Transition'!F:F,'Support - Transition'!B:B,'Step 2'!A1106,'Support - Transition'!C:C,'Step 2'!B1106,'Support - Transition'!D:D,'Step 2'!C1106,'Support - Transition'!E:E,"CIVIL")</f>
        <v>1.5169999999999999E-3</v>
      </c>
      <c r="H1106" s="126">
        <f>SUMIFS('Support - Transition'!F:F,'Support - Transition'!B:B,'Step 2'!A1106,'Support - Transition'!C:C,'Step 2'!B1106,'Support - Transition'!D:D,'Step 2'!C1106,'Support - Transition'!E:E,"FIRE")</f>
        <v>1.0139999999999999E-3</v>
      </c>
      <c r="I1106" s="126">
        <f>IF(B1106="0",SUMIFS('Support - Transition'!F:F,'Support - Transition'!J:J,'Step 2'!D1106,'Support - Transition'!E:E,"STATE UNIT"),SUMIFS('Support - Transition'!F:F,'Support - Transition'!J:J,'Step 2'!D1106))</f>
        <v>2.5309999999999998E-3</v>
      </c>
      <c r="J1106" s="126">
        <f>SUMIFS('Support - Unit Adjustments'!E:E,'Support - Unit Adjustments'!F:F,'Step 2'!D1106)</f>
        <v>0</v>
      </c>
      <c r="K1106" s="126">
        <f t="shared" si="327"/>
        <v>2.5309999999999998E-3</v>
      </c>
      <c r="L1106" s="174">
        <f>VLOOKUP(A1106,'Step 1'!$A:$E,4,FALSE)</f>
        <v>135739</v>
      </c>
      <c r="M1106" s="47">
        <f t="shared" si="328"/>
        <v>344</v>
      </c>
      <c r="N1106" s="177">
        <f>SUMIFS('Support - Transition'!G:G,'Support - Transition'!J:J,'Step 2'!D1106,'Support - Transition'!E:E,"2009 WELFARE ALLOCATION FACTOR")</f>
        <v>0</v>
      </c>
      <c r="O1106" s="152">
        <f t="shared" si="333"/>
        <v>0</v>
      </c>
      <c r="P1106" s="126">
        <f>IF(E1106="Y",0,SUMIFS('Support - Transition'!G:G,'Support - Transition'!J:J,'Step 2'!D1106,'Support - Transition'!E:E,"2009 SCHOOL ALLOCATION FACTOR"))</f>
        <v>0</v>
      </c>
      <c r="Q1106" s="126">
        <f>IF(E1106="Y",VLOOKUP(D1106,'Support - Unit Adjustments'!F:G,2,FALSE),0)</f>
        <v>0</v>
      </c>
      <c r="R1106" s="155">
        <f t="shared" si="345"/>
        <v>0</v>
      </c>
      <c r="S1106" s="47">
        <f t="shared" si="344"/>
        <v>0</v>
      </c>
      <c r="T1106" s="151">
        <f t="shared" si="329"/>
        <v>344</v>
      </c>
      <c r="U1106" s="151">
        <f t="shared" si="330"/>
        <v>0</v>
      </c>
      <c r="V1106" s="139">
        <f t="shared" si="331"/>
        <v>0</v>
      </c>
      <c r="W1106" s="152">
        <f t="shared" si="334"/>
        <v>344</v>
      </c>
      <c r="X1106" s="127" t="str">
        <f t="shared" si="332"/>
        <v/>
      </c>
      <c r="Y1106" s="207">
        <f t="shared" si="335"/>
        <v>344</v>
      </c>
      <c r="Z1106" s="139">
        <f t="shared" si="336"/>
        <v>206</v>
      </c>
      <c r="AA1106" s="139">
        <f t="shared" si="337"/>
        <v>138</v>
      </c>
      <c r="AC1106" s="47">
        <f t="shared" si="338"/>
        <v>172</v>
      </c>
      <c r="AD1106" s="47">
        <f t="shared" si="339"/>
        <v>103</v>
      </c>
      <c r="AE1106" s="47">
        <f t="shared" si="340"/>
        <v>69</v>
      </c>
      <c r="AG1106" s="47">
        <f t="shared" si="341"/>
        <v>172</v>
      </c>
      <c r="AH1106" s="47">
        <f t="shared" si="342"/>
        <v>103</v>
      </c>
      <c r="AI1106" s="208">
        <f t="shared" si="343"/>
        <v>69</v>
      </c>
    </row>
    <row r="1107" spans="1:35">
      <c r="A1107" t="s">
        <v>2184</v>
      </c>
      <c r="B1107" t="s">
        <v>3142</v>
      </c>
      <c r="C1107" t="s">
        <v>2190</v>
      </c>
      <c r="D1107" t="s">
        <v>4465</v>
      </c>
      <c r="F1107" t="s">
        <v>49</v>
      </c>
      <c r="G1107" s="126">
        <f>SUMIFS('Support - Transition'!F:F,'Support - Transition'!B:B,'Step 2'!A1107,'Support - Transition'!C:C,'Step 2'!B1107,'Support - Transition'!D:D,'Step 2'!C1107,'Support - Transition'!E:E,"CIVIL")</f>
        <v>3.6299999999999999E-4</v>
      </c>
      <c r="H1107" s="126">
        <f>SUMIFS('Support - Transition'!F:F,'Support - Transition'!B:B,'Step 2'!A1107,'Support - Transition'!C:C,'Step 2'!B1107,'Support - Transition'!D:D,'Step 2'!C1107,'Support - Transition'!E:E,"FIRE")</f>
        <v>1.4100000000000001E-4</v>
      </c>
      <c r="I1107" s="126">
        <f>IF(B1107="0",SUMIFS('Support - Transition'!F:F,'Support - Transition'!J:J,'Step 2'!D1107,'Support - Transition'!E:E,"STATE UNIT"),SUMIFS('Support - Transition'!F:F,'Support - Transition'!J:J,'Step 2'!D1107))</f>
        <v>5.04E-4</v>
      </c>
      <c r="J1107" s="126">
        <f>SUMIFS('Support - Unit Adjustments'!E:E,'Support - Unit Adjustments'!F:F,'Step 2'!D1107)</f>
        <v>0</v>
      </c>
      <c r="K1107" s="126">
        <f t="shared" si="327"/>
        <v>5.04E-4</v>
      </c>
      <c r="L1107" s="174">
        <f>VLOOKUP(A1107,'Step 1'!$A:$E,4,FALSE)</f>
        <v>135739</v>
      </c>
      <c r="M1107" s="47">
        <f t="shared" si="328"/>
        <v>68</v>
      </c>
      <c r="N1107" s="177">
        <f>SUMIFS('Support - Transition'!G:G,'Support - Transition'!J:J,'Step 2'!D1107,'Support - Transition'!E:E,"2009 WELFARE ALLOCATION FACTOR")</f>
        <v>0</v>
      </c>
      <c r="O1107" s="152">
        <f t="shared" si="333"/>
        <v>0</v>
      </c>
      <c r="P1107" s="126">
        <f>IF(E1107="Y",0,SUMIFS('Support - Transition'!G:G,'Support - Transition'!J:J,'Step 2'!D1107,'Support - Transition'!E:E,"2009 SCHOOL ALLOCATION FACTOR"))</f>
        <v>0</v>
      </c>
      <c r="Q1107" s="126">
        <f>IF(E1107="Y",VLOOKUP(D1107,'Support - Unit Adjustments'!F:G,2,FALSE),0)</f>
        <v>0</v>
      </c>
      <c r="R1107" s="155">
        <f t="shared" si="345"/>
        <v>0</v>
      </c>
      <c r="S1107" s="47">
        <f t="shared" si="344"/>
        <v>0</v>
      </c>
      <c r="T1107" s="151">
        <f t="shared" si="329"/>
        <v>68</v>
      </c>
      <c r="U1107" s="151">
        <f t="shared" si="330"/>
        <v>0</v>
      </c>
      <c r="V1107" s="139">
        <f t="shared" si="331"/>
        <v>0</v>
      </c>
      <c r="W1107" s="152">
        <f t="shared" si="334"/>
        <v>68</v>
      </c>
      <c r="X1107" s="127" t="str">
        <f t="shared" si="332"/>
        <v/>
      </c>
      <c r="Y1107" s="207">
        <f t="shared" si="335"/>
        <v>68</v>
      </c>
      <c r="Z1107" s="139">
        <f t="shared" si="336"/>
        <v>49</v>
      </c>
      <c r="AA1107" s="139">
        <f t="shared" si="337"/>
        <v>19</v>
      </c>
      <c r="AC1107" s="47">
        <f t="shared" si="338"/>
        <v>34</v>
      </c>
      <c r="AD1107" s="47">
        <f t="shared" si="339"/>
        <v>25</v>
      </c>
      <c r="AE1107" s="47">
        <f t="shared" si="340"/>
        <v>10</v>
      </c>
      <c r="AG1107" s="47">
        <f t="shared" si="341"/>
        <v>34</v>
      </c>
      <c r="AH1107" s="47">
        <f t="shared" si="342"/>
        <v>24</v>
      </c>
      <c r="AI1107" s="208">
        <f t="shared" si="343"/>
        <v>9</v>
      </c>
    </row>
    <row r="1108" spans="1:35">
      <c r="A1108" t="s">
        <v>2184</v>
      </c>
      <c r="B1108" t="s">
        <v>3142</v>
      </c>
      <c r="C1108" t="s">
        <v>2191</v>
      </c>
      <c r="D1108" t="s">
        <v>4466</v>
      </c>
      <c r="F1108" t="s">
        <v>14</v>
      </c>
      <c r="G1108" s="126">
        <f>SUMIFS('Support - Transition'!F:F,'Support - Transition'!B:B,'Step 2'!A1108,'Support - Transition'!C:C,'Step 2'!B1108,'Support - Transition'!D:D,'Step 2'!C1108,'Support - Transition'!E:E,"CIVIL")</f>
        <v>5.9100000000000005E-4</v>
      </c>
      <c r="H1108" s="126">
        <f>SUMIFS('Support - Transition'!F:F,'Support - Transition'!B:B,'Step 2'!A1108,'Support - Transition'!C:C,'Step 2'!B1108,'Support - Transition'!D:D,'Step 2'!C1108,'Support - Transition'!E:E,"FIRE")</f>
        <v>3.5599999999999998E-4</v>
      </c>
      <c r="I1108" s="126">
        <f>IF(B1108="0",SUMIFS('Support - Transition'!F:F,'Support - Transition'!J:J,'Step 2'!D1108,'Support - Transition'!E:E,"STATE UNIT"),SUMIFS('Support - Transition'!F:F,'Support - Transition'!J:J,'Step 2'!D1108))</f>
        <v>9.4700000000000003E-4</v>
      </c>
      <c r="J1108" s="126">
        <f>SUMIFS('Support - Unit Adjustments'!E:E,'Support - Unit Adjustments'!F:F,'Step 2'!D1108)</f>
        <v>0</v>
      </c>
      <c r="K1108" s="126">
        <f t="shared" si="327"/>
        <v>9.4700000000000003E-4</v>
      </c>
      <c r="L1108" s="174">
        <f>VLOOKUP(A1108,'Step 1'!$A:$E,4,FALSE)</f>
        <v>135739</v>
      </c>
      <c r="M1108" s="47">
        <f t="shared" si="328"/>
        <v>129</v>
      </c>
      <c r="N1108" s="177">
        <f>SUMIFS('Support - Transition'!G:G,'Support - Transition'!J:J,'Step 2'!D1108,'Support - Transition'!E:E,"2009 WELFARE ALLOCATION FACTOR")</f>
        <v>0</v>
      </c>
      <c r="O1108" s="152">
        <f t="shared" si="333"/>
        <v>0</v>
      </c>
      <c r="P1108" s="126">
        <f>IF(E1108="Y",0,SUMIFS('Support - Transition'!G:G,'Support - Transition'!J:J,'Step 2'!D1108,'Support - Transition'!E:E,"2009 SCHOOL ALLOCATION FACTOR"))</f>
        <v>0</v>
      </c>
      <c r="Q1108" s="126">
        <f>IF(E1108="Y",VLOOKUP(D1108,'Support - Unit Adjustments'!F:G,2,FALSE),0)</f>
        <v>0</v>
      </c>
      <c r="R1108" s="155">
        <f t="shared" si="345"/>
        <v>0</v>
      </c>
      <c r="S1108" s="47">
        <f t="shared" si="344"/>
        <v>0</v>
      </c>
      <c r="T1108" s="151">
        <f t="shared" si="329"/>
        <v>129</v>
      </c>
      <c r="U1108" s="151">
        <f t="shared" si="330"/>
        <v>0</v>
      </c>
      <c r="V1108" s="139">
        <f t="shared" si="331"/>
        <v>0</v>
      </c>
      <c r="W1108" s="152">
        <f t="shared" si="334"/>
        <v>129</v>
      </c>
      <c r="X1108" s="127" t="str">
        <f t="shared" si="332"/>
        <v/>
      </c>
      <c r="Y1108" s="207">
        <f t="shared" si="335"/>
        <v>129</v>
      </c>
      <c r="Z1108" s="139">
        <f t="shared" si="336"/>
        <v>81</v>
      </c>
      <c r="AA1108" s="139">
        <f t="shared" si="337"/>
        <v>48</v>
      </c>
      <c r="AC1108" s="47">
        <f t="shared" si="338"/>
        <v>65</v>
      </c>
      <c r="AD1108" s="47">
        <f t="shared" si="339"/>
        <v>41</v>
      </c>
      <c r="AE1108" s="47">
        <f t="shared" si="340"/>
        <v>24</v>
      </c>
      <c r="AG1108" s="47">
        <f t="shared" si="341"/>
        <v>64</v>
      </c>
      <c r="AH1108" s="47">
        <f t="shared" si="342"/>
        <v>40</v>
      </c>
      <c r="AI1108" s="208">
        <f t="shared" si="343"/>
        <v>24</v>
      </c>
    </row>
    <row r="1109" spans="1:35">
      <c r="A1109" t="s">
        <v>2184</v>
      </c>
      <c r="B1109" t="s">
        <v>3142</v>
      </c>
      <c r="C1109" t="s">
        <v>2192</v>
      </c>
      <c r="D1109" t="s">
        <v>4467</v>
      </c>
      <c r="F1109" t="s">
        <v>856</v>
      </c>
      <c r="G1109" s="126">
        <f>SUMIFS('Support - Transition'!F:F,'Support - Transition'!B:B,'Step 2'!A1109,'Support - Transition'!C:C,'Step 2'!B1109,'Support - Transition'!D:D,'Step 2'!C1109,'Support - Transition'!E:E,"CIVIL")</f>
        <v>6.0400000000000004E-4</v>
      </c>
      <c r="H1109" s="126">
        <f>SUMIFS('Support - Transition'!F:F,'Support - Transition'!B:B,'Step 2'!A1109,'Support - Transition'!C:C,'Step 2'!B1109,'Support - Transition'!D:D,'Step 2'!C1109,'Support - Transition'!E:E,"FIRE")</f>
        <v>2.9500000000000001E-4</v>
      </c>
      <c r="I1109" s="126">
        <f>IF(B1109="0",SUMIFS('Support - Transition'!F:F,'Support - Transition'!J:J,'Step 2'!D1109,'Support - Transition'!E:E,"STATE UNIT"),SUMIFS('Support - Transition'!F:F,'Support - Transition'!J:J,'Step 2'!D1109))</f>
        <v>8.9900000000000006E-4</v>
      </c>
      <c r="J1109" s="126">
        <f>SUMIFS('Support - Unit Adjustments'!E:E,'Support - Unit Adjustments'!F:F,'Step 2'!D1109)</f>
        <v>0</v>
      </c>
      <c r="K1109" s="126">
        <f t="shared" si="327"/>
        <v>8.9900000000000006E-4</v>
      </c>
      <c r="L1109" s="174">
        <f>VLOOKUP(A1109,'Step 1'!$A:$E,4,FALSE)</f>
        <v>135739</v>
      </c>
      <c r="M1109" s="47">
        <f t="shared" si="328"/>
        <v>122</v>
      </c>
      <c r="N1109" s="177">
        <f>SUMIFS('Support - Transition'!G:G,'Support - Transition'!J:J,'Step 2'!D1109,'Support - Transition'!E:E,"2009 WELFARE ALLOCATION FACTOR")</f>
        <v>0</v>
      </c>
      <c r="O1109" s="152">
        <f t="shared" si="333"/>
        <v>0</v>
      </c>
      <c r="P1109" s="126">
        <f>IF(E1109="Y",0,SUMIFS('Support - Transition'!G:G,'Support - Transition'!J:J,'Step 2'!D1109,'Support - Transition'!E:E,"2009 SCHOOL ALLOCATION FACTOR"))</f>
        <v>0</v>
      </c>
      <c r="Q1109" s="126">
        <f>IF(E1109="Y",VLOOKUP(D1109,'Support - Unit Adjustments'!F:G,2,FALSE),0)</f>
        <v>0</v>
      </c>
      <c r="R1109" s="155">
        <f t="shared" si="345"/>
        <v>0</v>
      </c>
      <c r="S1109" s="47">
        <f t="shared" si="344"/>
        <v>0</v>
      </c>
      <c r="T1109" s="151">
        <f t="shared" si="329"/>
        <v>122</v>
      </c>
      <c r="U1109" s="151">
        <f t="shared" si="330"/>
        <v>0</v>
      </c>
      <c r="V1109" s="139">
        <f t="shared" si="331"/>
        <v>0</v>
      </c>
      <c r="W1109" s="152">
        <f t="shared" si="334"/>
        <v>122</v>
      </c>
      <c r="X1109" s="127" t="str">
        <f t="shared" si="332"/>
        <v/>
      </c>
      <c r="Y1109" s="207">
        <f t="shared" si="335"/>
        <v>122</v>
      </c>
      <c r="Z1109" s="139">
        <f t="shared" si="336"/>
        <v>82</v>
      </c>
      <c r="AA1109" s="139">
        <f t="shared" si="337"/>
        <v>40</v>
      </c>
      <c r="AC1109" s="47">
        <f t="shared" si="338"/>
        <v>61</v>
      </c>
      <c r="AD1109" s="47">
        <f t="shared" si="339"/>
        <v>41</v>
      </c>
      <c r="AE1109" s="47">
        <f t="shared" si="340"/>
        <v>20</v>
      </c>
      <c r="AG1109" s="47">
        <f t="shared" si="341"/>
        <v>61</v>
      </c>
      <c r="AH1109" s="47">
        <f t="shared" si="342"/>
        <v>41</v>
      </c>
      <c r="AI1109" s="208">
        <f t="shared" si="343"/>
        <v>20</v>
      </c>
    </row>
    <row r="1110" spans="1:35">
      <c r="A1110" t="s">
        <v>2184</v>
      </c>
      <c r="B1110" t="s">
        <v>3142</v>
      </c>
      <c r="C1110" t="s">
        <v>2193</v>
      </c>
      <c r="D1110" t="s">
        <v>4468</v>
      </c>
      <c r="F1110" t="s">
        <v>52</v>
      </c>
      <c r="G1110" s="126">
        <f>SUMIFS('Support - Transition'!F:F,'Support - Transition'!B:B,'Step 2'!A1110,'Support - Transition'!C:C,'Step 2'!B1110,'Support - Transition'!D:D,'Step 2'!C1110,'Support - Transition'!E:E,"CIVIL")</f>
        <v>7.3899999999999997E-4</v>
      </c>
      <c r="H1110" s="126">
        <f>SUMIFS('Support - Transition'!F:F,'Support - Transition'!B:B,'Step 2'!A1110,'Support - Transition'!C:C,'Step 2'!B1110,'Support - Transition'!D:D,'Step 2'!C1110,'Support - Transition'!E:E,"FIRE")</f>
        <v>3.3599999999999998E-4</v>
      </c>
      <c r="I1110" s="126">
        <f>IF(B1110="0",SUMIFS('Support - Transition'!F:F,'Support - Transition'!J:J,'Step 2'!D1110,'Support - Transition'!E:E,"STATE UNIT"),SUMIFS('Support - Transition'!F:F,'Support - Transition'!J:J,'Step 2'!D1110))</f>
        <v>1.075E-3</v>
      </c>
      <c r="J1110" s="126">
        <f>SUMIFS('Support - Unit Adjustments'!E:E,'Support - Unit Adjustments'!F:F,'Step 2'!D1110)</f>
        <v>0</v>
      </c>
      <c r="K1110" s="126">
        <f t="shared" si="327"/>
        <v>1.075E-3</v>
      </c>
      <c r="L1110" s="174">
        <f>VLOOKUP(A1110,'Step 1'!$A:$E,4,FALSE)</f>
        <v>135739</v>
      </c>
      <c r="M1110" s="47">
        <f t="shared" si="328"/>
        <v>146</v>
      </c>
      <c r="N1110" s="177">
        <f>SUMIFS('Support - Transition'!G:G,'Support - Transition'!J:J,'Step 2'!D1110,'Support - Transition'!E:E,"2009 WELFARE ALLOCATION FACTOR")</f>
        <v>0</v>
      </c>
      <c r="O1110" s="152">
        <f t="shared" si="333"/>
        <v>0</v>
      </c>
      <c r="P1110" s="126">
        <f>IF(E1110="Y",0,SUMIFS('Support - Transition'!G:G,'Support - Transition'!J:J,'Step 2'!D1110,'Support - Transition'!E:E,"2009 SCHOOL ALLOCATION FACTOR"))</f>
        <v>0</v>
      </c>
      <c r="Q1110" s="126">
        <f>IF(E1110="Y",VLOOKUP(D1110,'Support - Unit Adjustments'!F:G,2,FALSE),0)</f>
        <v>0</v>
      </c>
      <c r="R1110" s="155">
        <f t="shared" si="345"/>
        <v>0</v>
      </c>
      <c r="S1110" s="47">
        <f t="shared" si="344"/>
        <v>0</v>
      </c>
      <c r="T1110" s="151">
        <f t="shared" si="329"/>
        <v>146</v>
      </c>
      <c r="U1110" s="151">
        <f t="shared" si="330"/>
        <v>0</v>
      </c>
      <c r="V1110" s="139">
        <f t="shared" si="331"/>
        <v>0</v>
      </c>
      <c r="W1110" s="152">
        <f t="shared" si="334"/>
        <v>146</v>
      </c>
      <c r="X1110" s="127" t="str">
        <f t="shared" si="332"/>
        <v/>
      </c>
      <c r="Y1110" s="207">
        <f t="shared" si="335"/>
        <v>146</v>
      </c>
      <c r="Z1110" s="139">
        <f t="shared" si="336"/>
        <v>100</v>
      </c>
      <c r="AA1110" s="139">
        <f t="shared" si="337"/>
        <v>46</v>
      </c>
      <c r="AC1110" s="47">
        <f t="shared" si="338"/>
        <v>73</v>
      </c>
      <c r="AD1110" s="47">
        <f t="shared" si="339"/>
        <v>50</v>
      </c>
      <c r="AE1110" s="47">
        <f t="shared" si="340"/>
        <v>23</v>
      </c>
      <c r="AG1110" s="47">
        <f t="shared" si="341"/>
        <v>73</v>
      </c>
      <c r="AH1110" s="47">
        <f t="shared" si="342"/>
        <v>50</v>
      </c>
      <c r="AI1110" s="208">
        <f t="shared" si="343"/>
        <v>23</v>
      </c>
    </row>
    <row r="1111" spans="1:35">
      <c r="A1111" t="s">
        <v>2184</v>
      </c>
      <c r="B1111" t="s">
        <v>3142</v>
      </c>
      <c r="C1111" t="s">
        <v>2194</v>
      </c>
      <c r="D1111" t="s">
        <v>4469</v>
      </c>
      <c r="F1111" t="s">
        <v>203</v>
      </c>
      <c r="G1111" s="126">
        <f>SUMIFS('Support - Transition'!F:F,'Support - Transition'!B:B,'Step 2'!A1111,'Support - Transition'!C:C,'Step 2'!B1111,'Support - Transition'!D:D,'Step 2'!C1111,'Support - Transition'!E:E,"CIVIL")</f>
        <v>5.2400000000000005E-4</v>
      </c>
      <c r="H1111" s="126">
        <f>SUMIFS('Support - Transition'!F:F,'Support - Transition'!B:B,'Step 2'!A1111,'Support - Transition'!C:C,'Step 2'!B1111,'Support - Transition'!D:D,'Step 2'!C1111,'Support - Transition'!E:E,"FIRE")</f>
        <v>1.95E-4</v>
      </c>
      <c r="I1111" s="126">
        <f>IF(B1111="0",SUMIFS('Support - Transition'!F:F,'Support - Transition'!J:J,'Step 2'!D1111,'Support - Transition'!E:E,"STATE UNIT"),SUMIFS('Support - Transition'!F:F,'Support - Transition'!J:J,'Step 2'!D1111))</f>
        <v>7.1900000000000002E-4</v>
      </c>
      <c r="J1111" s="126">
        <f>SUMIFS('Support - Unit Adjustments'!E:E,'Support - Unit Adjustments'!F:F,'Step 2'!D1111)</f>
        <v>0</v>
      </c>
      <c r="K1111" s="126">
        <f t="shared" si="327"/>
        <v>7.1900000000000002E-4</v>
      </c>
      <c r="L1111" s="174">
        <f>VLOOKUP(A1111,'Step 1'!$A:$E,4,FALSE)</f>
        <v>135739</v>
      </c>
      <c r="M1111" s="47">
        <f t="shared" si="328"/>
        <v>98</v>
      </c>
      <c r="N1111" s="177">
        <f>SUMIFS('Support - Transition'!G:G,'Support - Transition'!J:J,'Step 2'!D1111,'Support - Transition'!E:E,"2009 WELFARE ALLOCATION FACTOR")</f>
        <v>0</v>
      </c>
      <c r="O1111" s="152">
        <f t="shared" si="333"/>
        <v>0</v>
      </c>
      <c r="P1111" s="126">
        <f>IF(E1111="Y",0,SUMIFS('Support - Transition'!G:G,'Support - Transition'!J:J,'Step 2'!D1111,'Support - Transition'!E:E,"2009 SCHOOL ALLOCATION FACTOR"))</f>
        <v>0</v>
      </c>
      <c r="Q1111" s="126">
        <f>IF(E1111="Y",VLOOKUP(D1111,'Support - Unit Adjustments'!F:G,2,FALSE),0)</f>
        <v>0</v>
      </c>
      <c r="R1111" s="155">
        <f t="shared" si="345"/>
        <v>0</v>
      </c>
      <c r="S1111" s="47">
        <f t="shared" si="344"/>
        <v>0</v>
      </c>
      <c r="T1111" s="151">
        <f t="shared" si="329"/>
        <v>98</v>
      </c>
      <c r="U1111" s="151">
        <f t="shared" si="330"/>
        <v>0</v>
      </c>
      <c r="V1111" s="139">
        <f t="shared" si="331"/>
        <v>0</v>
      </c>
      <c r="W1111" s="152">
        <f t="shared" si="334"/>
        <v>98</v>
      </c>
      <c r="X1111" s="127" t="str">
        <f t="shared" si="332"/>
        <v/>
      </c>
      <c r="Y1111" s="207">
        <f t="shared" si="335"/>
        <v>98</v>
      </c>
      <c r="Z1111" s="139">
        <f t="shared" si="336"/>
        <v>71</v>
      </c>
      <c r="AA1111" s="139">
        <f t="shared" si="337"/>
        <v>27</v>
      </c>
      <c r="AC1111" s="47">
        <f t="shared" si="338"/>
        <v>49</v>
      </c>
      <c r="AD1111" s="47">
        <f t="shared" si="339"/>
        <v>36</v>
      </c>
      <c r="AE1111" s="47">
        <f t="shared" si="340"/>
        <v>14</v>
      </c>
      <c r="AG1111" s="47">
        <f t="shared" si="341"/>
        <v>49</v>
      </c>
      <c r="AH1111" s="47">
        <f t="shared" si="342"/>
        <v>35</v>
      </c>
      <c r="AI1111" s="208">
        <f t="shared" si="343"/>
        <v>13</v>
      </c>
    </row>
    <row r="1112" spans="1:35">
      <c r="A1112" t="s">
        <v>2184</v>
      </c>
      <c r="B1112" t="s">
        <v>3142</v>
      </c>
      <c r="C1112" t="s">
        <v>2195</v>
      </c>
      <c r="D1112" t="s">
        <v>4470</v>
      </c>
      <c r="F1112" t="s">
        <v>857</v>
      </c>
      <c r="G1112" s="126">
        <f>SUMIFS('Support - Transition'!F:F,'Support - Transition'!B:B,'Step 2'!A1112,'Support - Transition'!C:C,'Step 2'!B1112,'Support - Transition'!D:D,'Step 2'!C1112,'Support - Transition'!E:E,"CIVIL")</f>
        <v>1.4799999999999999E-4</v>
      </c>
      <c r="H1112" s="126">
        <f>SUMIFS('Support - Transition'!F:F,'Support - Transition'!B:B,'Step 2'!A1112,'Support - Transition'!C:C,'Step 2'!B1112,'Support - Transition'!D:D,'Step 2'!C1112,'Support - Transition'!E:E,"FIRE")</f>
        <v>2.0000000000000002E-5</v>
      </c>
      <c r="I1112" s="126">
        <f>IF(B1112="0",SUMIFS('Support - Transition'!F:F,'Support - Transition'!J:J,'Step 2'!D1112,'Support - Transition'!E:E,"STATE UNIT"),SUMIFS('Support - Transition'!F:F,'Support - Transition'!J:J,'Step 2'!D1112))</f>
        <v>1.6799999999999999E-4</v>
      </c>
      <c r="J1112" s="126">
        <f>SUMIFS('Support - Unit Adjustments'!E:E,'Support - Unit Adjustments'!F:F,'Step 2'!D1112)</f>
        <v>0</v>
      </c>
      <c r="K1112" s="126">
        <f t="shared" si="327"/>
        <v>1.6799999999999999E-4</v>
      </c>
      <c r="L1112" s="174">
        <f>VLOOKUP(A1112,'Step 1'!$A:$E,4,FALSE)</f>
        <v>135739</v>
      </c>
      <c r="M1112" s="47">
        <f t="shared" si="328"/>
        <v>23</v>
      </c>
      <c r="N1112" s="177">
        <f>SUMIFS('Support - Transition'!G:G,'Support - Transition'!J:J,'Step 2'!D1112,'Support - Transition'!E:E,"2009 WELFARE ALLOCATION FACTOR")</f>
        <v>0</v>
      </c>
      <c r="O1112" s="152">
        <f t="shared" si="333"/>
        <v>0</v>
      </c>
      <c r="P1112" s="126">
        <f>IF(E1112="Y",0,SUMIFS('Support - Transition'!G:G,'Support - Transition'!J:J,'Step 2'!D1112,'Support - Transition'!E:E,"2009 SCHOOL ALLOCATION FACTOR"))</f>
        <v>0</v>
      </c>
      <c r="Q1112" s="126">
        <f>IF(E1112="Y",VLOOKUP(D1112,'Support - Unit Adjustments'!F:G,2,FALSE),0)</f>
        <v>0</v>
      </c>
      <c r="R1112" s="155">
        <f t="shared" si="345"/>
        <v>0</v>
      </c>
      <c r="S1112" s="47">
        <f t="shared" si="344"/>
        <v>0</v>
      </c>
      <c r="T1112" s="151">
        <f t="shared" si="329"/>
        <v>23</v>
      </c>
      <c r="U1112" s="151">
        <f t="shared" si="330"/>
        <v>0</v>
      </c>
      <c r="V1112" s="139">
        <f t="shared" si="331"/>
        <v>0</v>
      </c>
      <c r="W1112" s="152">
        <f t="shared" si="334"/>
        <v>23</v>
      </c>
      <c r="X1112" s="127" t="str">
        <f t="shared" si="332"/>
        <v/>
      </c>
      <c r="Y1112" s="207">
        <f t="shared" si="335"/>
        <v>23</v>
      </c>
      <c r="Z1112" s="139">
        <f t="shared" si="336"/>
        <v>20</v>
      </c>
      <c r="AA1112" s="139">
        <f t="shared" si="337"/>
        <v>3</v>
      </c>
      <c r="AC1112" s="47">
        <f t="shared" si="338"/>
        <v>12</v>
      </c>
      <c r="AD1112" s="47">
        <f t="shared" si="339"/>
        <v>10</v>
      </c>
      <c r="AE1112" s="47">
        <f t="shared" si="340"/>
        <v>2</v>
      </c>
      <c r="AG1112" s="47">
        <f t="shared" si="341"/>
        <v>11</v>
      </c>
      <c r="AH1112" s="47">
        <f t="shared" si="342"/>
        <v>10</v>
      </c>
      <c r="AI1112" s="208">
        <f t="shared" si="343"/>
        <v>1</v>
      </c>
    </row>
    <row r="1113" spans="1:35">
      <c r="A1113" t="s">
        <v>2184</v>
      </c>
      <c r="B1113" t="s">
        <v>3142</v>
      </c>
      <c r="C1113" t="s">
        <v>2196</v>
      </c>
      <c r="D1113" t="s">
        <v>4471</v>
      </c>
      <c r="F1113" t="s">
        <v>858</v>
      </c>
      <c r="G1113" s="126">
        <f>SUMIFS('Support - Transition'!F:F,'Support - Transition'!B:B,'Step 2'!A1113,'Support - Transition'!C:C,'Step 2'!B1113,'Support - Transition'!D:D,'Step 2'!C1113,'Support - Transition'!E:E,"CIVIL")</f>
        <v>8.3900000000000001E-4</v>
      </c>
      <c r="H1113" s="126">
        <f>SUMIFS('Support - Transition'!F:F,'Support - Transition'!B:B,'Step 2'!A1113,'Support - Transition'!C:C,'Step 2'!B1113,'Support - Transition'!D:D,'Step 2'!C1113,'Support - Transition'!E:E,"FIRE")</f>
        <v>5.2400000000000005E-4</v>
      </c>
      <c r="I1113" s="126">
        <f>IF(B1113="0",SUMIFS('Support - Transition'!F:F,'Support - Transition'!J:J,'Step 2'!D1113,'Support - Transition'!E:E,"STATE UNIT"),SUMIFS('Support - Transition'!F:F,'Support - Transition'!J:J,'Step 2'!D1113))</f>
        <v>1.3630000000000001E-3</v>
      </c>
      <c r="J1113" s="126">
        <f>SUMIFS('Support - Unit Adjustments'!E:E,'Support - Unit Adjustments'!F:F,'Step 2'!D1113)</f>
        <v>0</v>
      </c>
      <c r="K1113" s="126">
        <f t="shared" si="327"/>
        <v>1.3630000000000001E-3</v>
      </c>
      <c r="L1113" s="174">
        <f>VLOOKUP(A1113,'Step 1'!$A:$E,4,FALSE)</f>
        <v>135739</v>
      </c>
      <c r="M1113" s="47">
        <f t="shared" si="328"/>
        <v>185</v>
      </c>
      <c r="N1113" s="177">
        <f>SUMIFS('Support - Transition'!G:G,'Support - Transition'!J:J,'Step 2'!D1113,'Support - Transition'!E:E,"2009 WELFARE ALLOCATION FACTOR")</f>
        <v>0</v>
      </c>
      <c r="O1113" s="152">
        <f t="shared" si="333"/>
        <v>0</v>
      </c>
      <c r="P1113" s="126">
        <f>IF(E1113="Y",0,SUMIFS('Support - Transition'!G:G,'Support - Transition'!J:J,'Step 2'!D1113,'Support - Transition'!E:E,"2009 SCHOOL ALLOCATION FACTOR"))</f>
        <v>0</v>
      </c>
      <c r="Q1113" s="126">
        <f>IF(E1113="Y",VLOOKUP(D1113,'Support - Unit Adjustments'!F:G,2,FALSE),0)</f>
        <v>0</v>
      </c>
      <c r="R1113" s="155">
        <f t="shared" si="345"/>
        <v>0</v>
      </c>
      <c r="S1113" s="47">
        <f t="shared" si="344"/>
        <v>0</v>
      </c>
      <c r="T1113" s="151">
        <f t="shared" si="329"/>
        <v>185</v>
      </c>
      <c r="U1113" s="151">
        <f t="shared" si="330"/>
        <v>0</v>
      </c>
      <c r="V1113" s="139">
        <f t="shared" si="331"/>
        <v>0</v>
      </c>
      <c r="W1113" s="152">
        <f t="shared" si="334"/>
        <v>185</v>
      </c>
      <c r="X1113" s="127" t="str">
        <f t="shared" si="332"/>
        <v/>
      </c>
      <c r="Y1113" s="207">
        <f t="shared" si="335"/>
        <v>185</v>
      </c>
      <c r="Z1113" s="139">
        <f t="shared" si="336"/>
        <v>114</v>
      </c>
      <c r="AA1113" s="139">
        <f t="shared" si="337"/>
        <v>71</v>
      </c>
      <c r="AC1113" s="47">
        <f t="shared" si="338"/>
        <v>93</v>
      </c>
      <c r="AD1113" s="47">
        <f t="shared" si="339"/>
        <v>57</v>
      </c>
      <c r="AE1113" s="47">
        <f t="shared" si="340"/>
        <v>36</v>
      </c>
      <c r="AG1113" s="47">
        <f t="shared" si="341"/>
        <v>92</v>
      </c>
      <c r="AH1113" s="47">
        <f t="shared" si="342"/>
        <v>57</v>
      </c>
      <c r="AI1113" s="208">
        <f t="shared" si="343"/>
        <v>35</v>
      </c>
    </row>
    <row r="1114" spans="1:35">
      <c r="A1114" t="s">
        <v>2184</v>
      </c>
      <c r="B1114" t="s">
        <v>3142</v>
      </c>
      <c r="C1114" t="s">
        <v>2197</v>
      </c>
      <c r="D1114" t="s">
        <v>4472</v>
      </c>
      <c r="F1114" t="s">
        <v>114</v>
      </c>
      <c r="G1114" s="126">
        <f>SUMIFS('Support - Transition'!F:F,'Support - Transition'!B:B,'Step 2'!A1114,'Support - Transition'!C:C,'Step 2'!B1114,'Support - Transition'!D:D,'Step 2'!C1114,'Support - Transition'!E:E,"CIVIL")</f>
        <v>4.7809999999999997E-3</v>
      </c>
      <c r="H1114" s="126">
        <f>SUMIFS('Support - Transition'!F:F,'Support - Transition'!B:B,'Step 2'!A1114,'Support - Transition'!C:C,'Step 2'!B1114,'Support - Transition'!D:D,'Step 2'!C1114,'Support - Transition'!E:E,"FIRE")</f>
        <v>5.3700000000000004E-4</v>
      </c>
      <c r="I1114" s="126">
        <f>IF(B1114="0",SUMIFS('Support - Transition'!F:F,'Support - Transition'!J:J,'Step 2'!D1114,'Support - Transition'!E:E,"STATE UNIT"),SUMIFS('Support - Transition'!F:F,'Support - Transition'!J:J,'Step 2'!D1114))</f>
        <v>5.3179999999999998E-3</v>
      </c>
      <c r="J1114" s="126">
        <f>SUMIFS('Support - Unit Adjustments'!E:E,'Support - Unit Adjustments'!F:F,'Step 2'!D1114)</f>
        <v>0</v>
      </c>
      <c r="K1114" s="126">
        <f t="shared" si="327"/>
        <v>5.3179999999999998E-3</v>
      </c>
      <c r="L1114" s="174">
        <f>VLOOKUP(A1114,'Step 1'!$A:$E,4,FALSE)</f>
        <v>135739</v>
      </c>
      <c r="M1114" s="47">
        <f t="shared" si="328"/>
        <v>722</v>
      </c>
      <c r="N1114" s="177">
        <f>SUMIFS('Support - Transition'!G:G,'Support - Transition'!J:J,'Step 2'!D1114,'Support - Transition'!E:E,"2009 WELFARE ALLOCATION FACTOR")</f>
        <v>0</v>
      </c>
      <c r="O1114" s="152">
        <f t="shared" si="333"/>
        <v>0</v>
      </c>
      <c r="P1114" s="126">
        <f>IF(E1114="Y",0,SUMIFS('Support - Transition'!G:G,'Support - Transition'!J:J,'Step 2'!D1114,'Support - Transition'!E:E,"2009 SCHOOL ALLOCATION FACTOR"))</f>
        <v>0</v>
      </c>
      <c r="Q1114" s="126">
        <f>IF(E1114="Y",VLOOKUP(D1114,'Support - Unit Adjustments'!F:G,2,FALSE),0)</f>
        <v>0</v>
      </c>
      <c r="R1114" s="155">
        <f t="shared" si="345"/>
        <v>0</v>
      </c>
      <c r="S1114" s="47">
        <f t="shared" si="344"/>
        <v>0</v>
      </c>
      <c r="T1114" s="151">
        <f t="shared" si="329"/>
        <v>722</v>
      </c>
      <c r="U1114" s="151">
        <f t="shared" si="330"/>
        <v>0</v>
      </c>
      <c r="V1114" s="139">
        <f t="shared" si="331"/>
        <v>0</v>
      </c>
      <c r="W1114" s="152">
        <f t="shared" si="334"/>
        <v>722</v>
      </c>
      <c r="X1114" s="127" t="str">
        <f t="shared" si="332"/>
        <v/>
      </c>
      <c r="Y1114" s="207">
        <f t="shared" si="335"/>
        <v>722</v>
      </c>
      <c r="Z1114" s="139">
        <f t="shared" si="336"/>
        <v>649</v>
      </c>
      <c r="AA1114" s="139">
        <f t="shared" si="337"/>
        <v>73</v>
      </c>
      <c r="AC1114" s="47">
        <f t="shared" si="338"/>
        <v>361</v>
      </c>
      <c r="AD1114" s="47">
        <f t="shared" si="339"/>
        <v>325</v>
      </c>
      <c r="AE1114" s="47">
        <f t="shared" si="340"/>
        <v>37</v>
      </c>
      <c r="AG1114" s="47">
        <f t="shared" si="341"/>
        <v>361</v>
      </c>
      <c r="AH1114" s="47">
        <f t="shared" si="342"/>
        <v>324</v>
      </c>
      <c r="AI1114" s="208">
        <f t="shared" si="343"/>
        <v>36</v>
      </c>
    </row>
    <row r="1115" spans="1:35">
      <c r="A1115" t="s">
        <v>2184</v>
      </c>
      <c r="B1115" t="s">
        <v>3142</v>
      </c>
      <c r="C1115" t="s">
        <v>2198</v>
      </c>
      <c r="D1115" t="s">
        <v>4473</v>
      </c>
      <c r="F1115" t="s">
        <v>21</v>
      </c>
      <c r="G1115" s="126">
        <f>SUMIFS('Support - Transition'!F:F,'Support - Transition'!B:B,'Step 2'!A1115,'Support - Transition'!C:C,'Step 2'!B1115,'Support - Transition'!D:D,'Step 2'!C1115,'Support - Transition'!E:E,"CIVIL")</f>
        <v>1.1400000000000001E-4</v>
      </c>
      <c r="H1115" s="126">
        <f>SUMIFS('Support - Transition'!F:F,'Support - Transition'!B:B,'Step 2'!A1115,'Support - Transition'!C:C,'Step 2'!B1115,'Support - Transition'!D:D,'Step 2'!C1115,'Support - Transition'!E:E,"FIRE")</f>
        <v>2.6999999999999999E-5</v>
      </c>
      <c r="I1115" s="126">
        <f>IF(B1115="0",SUMIFS('Support - Transition'!F:F,'Support - Transition'!J:J,'Step 2'!D1115,'Support - Transition'!E:E,"STATE UNIT"),SUMIFS('Support - Transition'!F:F,'Support - Transition'!J:J,'Step 2'!D1115))</f>
        <v>1.4100000000000001E-4</v>
      </c>
      <c r="J1115" s="126">
        <f>SUMIFS('Support - Unit Adjustments'!E:E,'Support - Unit Adjustments'!F:F,'Step 2'!D1115)</f>
        <v>0</v>
      </c>
      <c r="K1115" s="126">
        <f t="shared" si="327"/>
        <v>1.4100000000000001E-4</v>
      </c>
      <c r="L1115" s="174">
        <f>VLOOKUP(A1115,'Step 1'!$A:$E,4,FALSE)</f>
        <v>135739</v>
      </c>
      <c r="M1115" s="47">
        <f t="shared" si="328"/>
        <v>19</v>
      </c>
      <c r="N1115" s="177">
        <f>SUMIFS('Support - Transition'!G:G,'Support - Transition'!J:J,'Step 2'!D1115,'Support - Transition'!E:E,"2009 WELFARE ALLOCATION FACTOR")</f>
        <v>0</v>
      </c>
      <c r="O1115" s="152">
        <f t="shared" si="333"/>
        <v>0</v>
      </c>
      <c r="P1115" s="126">
        <f>IF(E1115="Y",0,SUMIFS('Support - Transition'!G:G,'Support - Transition'!J:J,'Step 2'!D1115,'Support - Transition'!E:E,"2009 SCHOOL ALLOCATION FACTOR"))</f>
        <v>0</v>
      </c>
      <c r="Q1115" s="126">
        <f>IF(E1115="Y",VLOOKUP(D1115,'Support - Unit Adjustments'!F:G,2,FALSE),0)</f>
        <v>0</v>
      </c>
      <c r="R1115" s="155">
        <f t="shared" si="345"/>
        <v>0</v>
      </c>
      <c r="S1115" s="47">
        <f t="shared" si="344"/>
        <v>0</v>
      </c>
      <c r="T1115" s="151">
        <f t="shared" si="329"/>
        <v>19</v>
      </c>
      <c r="U1115" s="151">
        <f t="shared" si="330"/>
        <v>0</v>
      </c>
      <c r="V1115" s="139">
        <f t="shared" si="331"/>
        <v>0</v>
      </c>
      <c r="W1115" s="152">
        <f t="shared" si="334"/>
        <v>19</v>
      </c>
      <c r="X1115" s="127" t="str">
        <f t="shared" si="332"/>
        <v/>
      </c>
      <c r="Y1115" s="207">
        <f t="shared" si="335"/>
        <v>19</v>
      </c>
      <c r="Z1115" s="139">
        <f t="shared" si="336"/>
        <v>15</v>
      </c>
      <c r="AA1115" s="139">
        <f t="shared" si="337"/>
        <v>4</v>
      </c>
      <c r="AC1115" s="47">
        <f t="shared" si="338"/>
        <v>10</v>
      </c>
      <c r="AD1115" s="47">
        <f t="shared" si="339"/>
        <v>8</v>
      </c>
      <c r="AE1115" s="47">
        <f t="shared" si="340"/>
        <v>2</v>
      </c>
      <c r="AG1115" s="47">
        <f t="shared" si="341"/>
        <v>9</v>
      </c>
      <c r="AH1115" s="47">
        <f t="shared" si="342"/>
        <v>7</v>
      </c>
      <c r="AI1115" s="208">
        <f t="shared" si="343"/>
        <v>2</v>
      </c>
    </row>
    <row r="1116" spans="1:35">
      <c r="A1116" t="s">
        <v>2184</v>
      </c>
      <c r="B1116" t="s">
        <v>3142</v>
      </c>
      <c r="C1116" t="s">
        <v>2199</v>
      </c>
      <c r="D1116" t="s">
        <v>4474</v>
      </c>
      <c r="F1116" t="s">
        <v>61</v>
      </c>
      <c r="G1116" s="126">
        <f>SUMIFS('Support - Transition'!F:F,'Support - Transition'!B:B,'Step 2'!A1116,'Support - Transition'!C:C,'Step 2'!B1116,'Support - Transition'!D:D,'Step 2'!C1116,'Support - Transition'!E:E,"CIVIL")</f>
        <v>7.0029999999999997E-3</v>
      </c>
      <c r="H1116" s="126">
        <f>SUMIFS('Support - Transition'!F:F,'Support - Transition'!B:B,'Step 2'!A1116,'Support - Transition'!C:C,'Step 2'!B1116,'Support - Transition'!D:D,'Step 2'!C1116,'Support - Transition'!E:E,"FIRE")</f>
        <v>1.1349999999999999E-3</v>
      </c>
      <c r="I1116" s="126">
        <f>IF(B1116="0",SUMIFS('Support - Transition'!F:F,'Support - Transition'!J:J,'Step 2'!D1116,'Support - Transition'!E:E,"STATE UNIT"),SUMIFS('Support - Transition'!F:F,'Support - Transition'!J:J,'Step 2'!D1116))</f>
        <v>8.1379999999999994E-3</v>
      </c>
      <c r="J1116" s="126">
        <f>SUMIFS('Support - Unit Adjustments'!E:E,'Support - Unit Adjustments'!F:F,'Step 2'!D1116)</f>
        <v>0</v>
      </c>
      <c r="K1116" s="126">
        <f t="shared" si="327"/>
        <v>8.1379999999999994E-3</v>
      </c>
      <c r="L1116" s="174">
        <f>VLOOKUP(A1116,'Step 1'!$A:$E,4,FALSE)</f>
        <v>135739</v>
      </c>
      <c r="M1116" s="47">
        <f t="shared" si="328"/>
        <v>1105</v>
      </c>
      <c r="N1116" s="177">
        <f>SUMIFS('Support - Transition'!G:G,'Support - Transition'!J:J,'Step 2'!D1116,'Support - Transition'!E:E,"2009 WELFARE ALLOCATION FACTOR")</f>
        <v>0</v>
      </c>
      <c r="O1116" s="152">
        <f t="shared" si="333"/>
        <v>0</v>
      </c>
      <c r="P1116" s="126">
        <f>IF(E1116="Y",0,SUMIFS('Support - Transition'!G:G,'Support - Transition'!J:J,'Step 2'!D1116,'Support - Transition'!E:E,"2009 SCHOOL ALLOCATION FACTOR"))</f>
        <v>0</v>
      </c>
      <c r="Q1116" s="126">
        <f>IF(E1116="Y",VLOOKUP(D1116,'Support - Unit Adjustments'!F:G,2,FALSE),0)</f>
        <v>0</v>
      </c>
      <c r="R1116" s="155">
        <f t="shared" si="345"/>
        <v>0</v>
      </c>
      <c r="S1116" s="47">
        <f t="shared" si="344"/>
        <v>0</v>
      </c>
      <c r="T1116" s="151">
        <f t="shared" si="329"/>
        <v>1105</v>
      </c>
      <c r="U1116" s="151">
        <f t="shared" si="330"/>
        <v>0</v>
      </c>
      <c r="V1116" s="139">
        <f t="shared" si="331"/>
        <v>0</v>
      </c>
      <c r="W1116" s="152">
        <f t="shared" si="334"/>
        <v>1105</v>
      </c>
      <c r="X1116" s="127" t="str">
        <f t="shared" si="332"/>
        <v/>
      </c>
      <c r="Y1116" s="207">
        <f t="shared" si="335"/>
        <v>1105</v>
      </c>
      <c r="Z1116" s="139">
        <f t="shared" si="336"/>
        <v>951</v>
      </c>
      <c r="AA1116" s="139">
        <f t="shared" si="337"/>
        <v>154</v>
      </c>
      <c r="AC1116" s="47">
        <f t="shared" si="338"/>
        <v>553</v>
      </c>
      <c r="AD1116" s="47">
        <f t="shared" si="339"/>
        <v>476</v>
      </c>
      <c r="AE1116" s="47">
        <f t="shared" si="340"/>
        <v>77</v>
      </c>
      <c r="AG1116" s="47">
        <f t="shared" si="341"/>
        <v>552</v>
      </c>
      <c r="AH1116" s="47">
        <f t="shared" si="342"/>
        <v>475</v>
      </c>
      <c r="AI1116" s="208">
        <f t="shared" si="343"/>
        <v>77</v>
      </c>
    </row>
    <row r="1117" spans="1:35">
      <c r="A1117" t="s">
        <v>2184</v>
      </c>
      <c r="B1117" t="s">
        <v>3155</v>
      </c>
      <c r="C1117" t="s">
        <v>2627</v>
      </c>
      <c r="D1117" t="s">
        <v>4475</v>
      </c>
      <c r="F1117" t="s">
        <v>861</v>
      </c>
      <c r="G1117" s="126">
        <f>SUMIFS('Support - Transition'!F:F,'Support - Transition'!B:B,'Step 2'!A1117,'Support - Transition'!C:C,'Step 2'!B1117,'Support - Transition'!D:D,'Step 2'!C1117,'Support - Transition'!E:E,"CIVIL")</f>
        <v>0</v>
      </c>
      <c r="H1117" s="126">
        <f>SUMIFS('Support - Transition'!F:F,'Support - Transition'!B:B,'Step 2'!A1117,'Support - Transition'!C:C,'Step 2'!B1117,'Support - Transition'!D:D,'Step 2'!C1117,'Support - Transition'!E:E,"FIRE")</f>
        <v>0</v>
      </c>
      <c r="I1117" s="126">
        <f>IF(B1117="0",SUMIFS('Support - Transition'!F:F,'Support - Transition'!J:J,'Step 2'!D1117,'Support - Transition'!E:E,"STATE UNIT"),SUMIFS('Support - Transition'!F:F,'Support - Transition'!J:J,'Step 2'!D1117))</f>
        <v>0.110793</v>
      </c>
      <c r="J1117" s="126">
        <f>SUMIFS('Support - Unit Adjustments'!E:E,'Support - Unit Adjustments'!F:F,'Step 2'!D1117)</f>
        <v>0</v>
      </c>
      <c r="K1117" s="126">
        <f t="shared" si="327"/>
        <v>0.110793</v>
      </c>
      <c r="L1117" s="174">
        <f>VLOOKUP(A1117,'Step 1'!$A:$E,4,FALSE)</f>
        <v>135739</v>
      </c>
      <c r="M1117" s="47">
        <f t="shared" si="328"/>
        <v>15039</v>
      </c>
      <c r="N1117" s="177">
        <f>SUMIFS('Support - Transition'!G:G,'Support - Transition'!J:J,'Step 2'!D1117,'Support - Transition'!E:E,"2009 WELFARE ALLOCATION FACTOR")</f>
        <v>0</v>
      </c>
      <c r="O1117" s="152">
        <f t="shared" si="333"/>
        <v>0</v>
      </c>
      <c r="P1117" s="126">
        <f>IF(E1117="Y",0,SUMIFS('Support - Transition'!G:G,'Support - Transition'!J:J,'Step 2'!D1117,'Support - Transition'!E:E,"2009 SCHOOL ALLOCATION FACTOR"))</f>
        <v>0</v>
      </c>
      <c r="Q1117" s="126">
        <f>IF(E1117="Y",VLOOKUP(D1117,'Support - Unit Adjustments'!F:G,2,FALSE),0)</f>
        <v>0</v>
      </c>
      <c r="R1117" s="155">
        <f t="shared" si="345"/>
        <v>0</v>
      </c>
      <c r="S1117" s="47">
        <f t="shared" si="344"/>
        <v>0</v>
      </c>
      <c r="T1117" s="151">
        <f t="shared" si="329"/>
        <v>15039</v>
      </c>
      <c r="U1117" s="151">
        <f t="shared" si="330"/>
        <v>0</v>
      </c>
      <c r="V1117" s="139">
        <f t="shared" si="331"/>
        <v>0</v>
      </c>
      <c r="W1117" s="152">
        <f t="shared" si="334"/>
        <v>15039</v>
      </c>
      <c r="X1117" s="127" t="str">
        <f t="shared" si="332"/>
        <v/>
      </c>
      <c r="Y1117" s="207">
        <f t="shared" si="335"/>
        <v>15039</v>
      </c>
      <c r="Z1117" s="139">
        <f t="shared" si="336"/>
        <v>15039</v>
      </c>
      <c r="AA1117" s="139">
        <f t="shared" si="337"/>
        <v>0</v>
      </c>
      <c r="AC1117" s="47">
        <f t="shared" si="338"/>
        <v>7520</v>
      </c>
      <c r="AD1117" s="47">
        <f t="shared" si="339"/>
        <v>7520</v>
      </c>
      <c r="AE1117" s="47">
        <f t="shared" si="340"/>
        <v>0</v>
      </c>
      <c r="AG1117" s="47">
        <f t="shared" si="341"/>
        <v>7519</v>
      </c>
      <c r="AH1117" s="47">
        <f t="shared" si="342"/>
        <v>7519</v>
      </c>
      <c r="AI1117" s="208">
        <f t="shared" si="343"/>
        <v>0</v>
      </c>
    </row>
    <row r="1118" spans="1:35">
      <c r="A1118" t="s">
        <v>2184</v>
      </c>
      <c r="B1118" t="s">
        <v>3155</v>
      </c>
      <c r="C1118" t="s">
        <v>2251</v>
      </c>
      <c r="D1118" t="s">
        <v>4476</v>
      </c>
      <c r="F1118" t="s">
        <v>135</v>
      </c>
      <c r="G1118" s="126">
        <f>SUMIFS('Support - Transition'!F:F,'Support - Transition'!B:B,'Step 2'!A1118,'Support - Transition'!C:C,'Step 2'!B1118,'Support - Transition'!D:D,'Step 2'!C1118,'Support - Transition'!E:E,"CIVIL")</f>
        <v>0</v>
      </c>
      <c r="H1118" s="126">
        <f>SUMIFS('Support - Transition'!F:F,'Support - Transition'!B:B,'Step 2'!A1118,'Support - Transition'!C:C,'Step 2'!B1118,'Support - Transition'!D:D,'Step 2'!C1118,'Support - Transition'!E:E,"FIRE")</f>
        <v>0</v>
      </c>
      <c r="I1118" s="126">
        <f>IF(B1118="0",SUMIFS('Support - Transition'!F:F,'Support - Transition'!J:J,'Step 2'!D1118,'Support - Transition'!E:E,"STATE UNIT"),SUMIFS('Support - Transition'!F:F,'Support - Transition'!J:J,'Step 2'!D1118))</f>
        <v>1.8148999999999998E-2</v>
      </c>
      <c r="J1118" s="126">
        <f>SUMIFS('Support - Unit Adjustments'!E:E,'Support - Unit Adjustments'!F:F,'Step 2'!D1118)</f>
        <v>0</v>
      </c>
      <c r="K1118" s="126">
        <f t="shared" si="327"/>
        <v>1.8148999999999998E-2</v>
      </c>
      <c r="L1118" s="174">
        <f>VLOOKUP(A1118,'Step 1'!$A:$E,4,FALSE)</f>
        <v>135739</v>
      </c>
      <c r="M1118" s="47">
        <f t="shared" si="328"/>
        <v>2464</v>
      </c>
      <c r="N1118" s="177">
        <f>SUMIFS('Support - Transition'!G:G,'Support - Transition'!J:J,'Step 2'!D1118,'Support - Transition'!E:E,"2009 WELFARE ALLOCATION FACTOR")</f>
        <v>0</v>
      </c>
      <c r="O1118" s="152">
        <f t="shared" si="333"/>
        <v>0</v>
      </c>
      <c r="P1118" s="126">
        <f>IF(E1118="Y",0,SUMIFS('Support - Transition'!G:G,'Support - Transition'!J:J,'Step 2'!D1118,'Support - Transition'!E:E,"2009 SCHOOL ALLOCATION FACTOR"))</f>
        <v>0</v>
      </c>
      <c r="Q1118" s="126">
        <f>IF(E1118="Y",VLOOKUP(D1118,'Support - Unit Adjustments'!F:G,2,FALSE),0)</f>
        <v>0</v>
      </c>
      <c r="R1118" s="155">
        <f t="shared" si="345"/>
        <v>0</v>
      </c>
      <c r="S1118" s="47">
        <f t="shared" si="344"/>
        <v>0</v>
      </c>
      <c r="T1118" s="151">
        <f t="shared" si="329"/>
        <v>2464</v>
      </c>
      <c r="U1118" s="151">
        <f t="shared" si="330"/>
        <v>0</v>
      </c>
      <c r="V1118" s="139">
        <f t="shared" si="331"/>
        <v>0</v>
      </c>
      <c r="W1118" s="152">
        <f t="shared" si="334"/>
        <v>2464</v>
      </c>
      <c r="X1118" s="127" t="str">
        <f t="shared" si="332"/>
        <v/>
      </c>
      <c r="Y1118" s="207">
        <f t="shared" si="335"/>
        <v>2464</v>
      </c>
      <c r="Z1118" s="139">
        <f t="shared" si="336"/>
        <v>2464</v>
      </c>
      <c r="AA1118" s="139">
        <f t="shared" si="337"/>
        <v>0</v>
      </c>
      <c r="AC1118" s="47">
        <f t="shared" si="338"/>
        <v>1232</v>
      </c>
      <c r="AD1118" s="47">
        <f t="shared" si="339"/>
        <v>1232</v>
      </c>
      <c r="AE1118" s="47">
        <f t="shared" si="340"/>
        <v>0</v>
      </c>
      <c r="AG1118" s="47">
        <f t="shared" si="341"/>
        <v>1232</v>
      </c>
      <c r="AH1118" s="47">
        <f t="shared" si="342"/>
        <v>1232</v>
      </c>
      <c r="AI1118" s="208">
        <f t="shared" si="343"/>
        <v>0</v>
      </c>
    </row>
    <row r="1119" spans="1:35">
      <c r="A1119" t="s">
        <v>2184</v>
      </c>
      <c r="B1119" t="s">
        <v>3155</v>
      </c>
      <c r="C1119" t="s">
        <v>2628</v>
      </c>
      <c r="D1119" t="s">
        <v>4477</v>
      </c>
      <c r="F1119" t="s">
        <v>859</v>
      </c>
      <c r="G1119" s="126">
        <f>SUMIFS('Support - Transition'!F:F,'Support - Transition'!B:B,'Step 2'!A1119,'Support - Transition'!C:C,'Step 2'!B1119,'Support - Transition'!D:D,'Step 2'!C1119,'Support - Transition'!E:E,"CIVIL")</f>
        <v>0</v>
      </c>
      <c r="H1119" s="126">
        <f>SUMIFS('Support - Transition'!F:F,'Support - Transition'!B:B,'Step 2'!A1119,'Support - Transition'!C:C,'Step 2'!B1119,'Support - Transition'!D:D,'Step 2'!C1119,'Support - Transition'!E:E,"FIRE")</f>
        <v>0</v>
      </c>
      <c r="I1119" s="126">
        <f>IF(B1119="0",SUMIFS('Support - Transition'!F:F,'Support - Transition'!J:J,'Step 2'!D1119,'Support - Transition'!E:E,"STATE UNIT"),SUMIFS('Support - Transition'!F:F,'Support - Transition'!J:J,'Step 2'!D1119))</f>
        <v>1.4100000000000001E-4</v>
      </c>
      <c r="J1119" s="126">
        <f>SUMIFS('Support - Unit Adjustments'!E:E,'Support - Unit Adjustments'!F:F,'Step 2'!D1119)</f>
        <v>0</v>
      </c>
      <c r="K1119" s="126">
        <f t="shared" si="327"/>
        <v>1.4100000000000001E-4</v>
      </c>
      <c r="L1119" s="174">
        <f>VLOOKUP(A1119,'Step 1'!$A:$E,4,FALSE)</f>
        <v>135739</v>
      </c>
      <c r="M1119" s="47">
        <f t="shared" si="328"/>
        <v>19</v>
      </c>
      <c r="N1119" s="177">
        <f>SUMIFS('Support - Transition'!G:G,'Support - Transition'!J:J,'Step 2'!D1119,'Support - Transition'!E:E,"2009 WELFARE ALLOCATION FACTOR")</f>
        <v>0</v>
      </c>
      <c r="O1119" s="152">
        <f t="shared" si="333"/>
        <v>0</v>
      </c>
      <c r="P1119" s="126">
        <f>IF(E1119="Y",0,SUMIFS('Support - Transition'!G:G,'Support - Transition'!J:J,'Step 2'!D1119,'Support - Transition'!E:E,"2009 SCHOOL ALLOCATION FACTOR"))</f>
        <v>0</v>
      </c>
      <c r="Q1119" s="126">
        <f>IF(E1119="Y",VLOOKUP(D1119,'Support - Unit Adjustments'!F:G,2,FALSE),0)</f>
        <v>0</v>
      </c>
      <c r="R1119" s="155">
        <f t="shared" si="345"/>
        <v>0</v>
      </c>
      <c r="S1119" s="47">
        <f t="shared" si="344"/>
        <v>0</v>
      </c>
      <c r="T1119" s="151">
        <f t="shared" si="329"/>
        <v>19</v>
      </c>
      <c r="U1119" s="151">
        <f t="shared" si="330"/>
        <v>0</v>
      </c>
      <c r="V1119" s="139">
        <f t="shared" si="331"/>
        <v>0</v>
      </c>
      <c r="W1119" s="152">
        <f t="shared" si="334"/>
        <v>19</v>
      </c>
      <c r="X1119" s="127" t="str">
        <f t="shared" si="332"/>
        <v/>
      </c>
      <c r="Y1119" s="207">
        <f t="shared" si="335"/>
        <v>19</v>
      </c>
      <c r="Z1119" s="139">
        <f t="shared" si="336"/>
        <v>19</v>
      </c>
      <c r="AA1119" s="139">
        <f t="shared" si="337"/>
        <v>0</v>
      </c>
      <c r="AC1119" s="47">
        <f t="shared" si="338"/>
        <v>10</v>
      </c>
      <c r="AD1119" s="47">
        <f t="shared" si="339"/>
        <v>10</v>
      </c>
      <c r="AE1119" s="47">
        <f t="shared" si="340"/>
        <v>0</v>
      </c>
      <c r="AG1119" s="47">
        <f t="shared" si="341"/>
        <v>9</v>
      </c>
      <c r="AH1119" s="47">
        <f t="shared" si="342"/>
        <v>9</v>
      </c>
      <c r="AI1119" s="208">
        <f t="shared" si="343"/>
        <v>0</v>
      </c>
    </row>
    <row r="1120" spans="1:35">
      <c r="A1120" t="s">
        <v>2184</v>
      </c>
      <c r="B1120" t="s">
        <v>3155</v>
      </c>
      <c r="C1120" t="s">
        <v>2629</v>
      </c>
      <c r="D1120" t="s">
        <v>4478</v>
      </c>
      <c r="F1120" t="s">
        <v>860</v>
      </c>
      <c r="G1120" s="126">
        <f>SUMIFS('Support - Transition'!F:F,'Support - Transition'!B:B,'Step 2'!A1120,'Support - Transition'!C:C,'Step 2'!B1120,'Support - Transition'!D:D,'Step 2'!C1120,'Support - Transition'!E:E,"CIVIL")</f>
        <v>0</v>
      </c>
      <c r="H1120" s="126">
        <f>SUMIFS('Support - Transition'!F:F,'Support - Transition'!B:B,'Step 2'!A1120,'Support - Transition'!C:C,'Step 2'!B1120,'Support - Transition'!D:D,'Step 2'!C1120,'Support - Transition'!E:E,"FIRE")</f>
        <v>0</v>
      </c>
      <c r="I1120" s="126">
        <f>IF(B1120="0",SUMIFS('Support - Transition'!F:F,'Support - Transition'!J:J,'Step 2'!D1120,'Support - Transition'!E:E,"STATE UNIT"),SUMIFS('Support - Transition'!F:F,'Support - Transition'!J:J,'Step 2'!D1120))</f>
        <v>1.34E-4</v>
      </c>
      <c r="J1120" s="126">
        <f>SUMIFS('Support - Unit Adjustments'!E:E,'Support - Unit Adjustments'!F:F,'Step 2'!D1120)</f>
        <v>0</v>
      </c>
      <c r="K1120" s="126">
        <f t="shared" si="327"/>
        <v>1.34E-4</v>
      </c>
      <c r="L1120" s="174">
        <f>VLOOKUP(A1120,'Step 1'!$A:$E,4,FALSE)</f>
        <v>135739</v>
      </c>
      <c r="M1120" s="47">
        <f t="shared" si="328"/>
        <v>18</v>
      </c>
      <c r="N1120" s="177">
        <f>SUMIFS('Support - Transition'!G:G,'Support - Transition'!J:J,'Step 2'!D1120,'Support - Transition'!E:E,"2009 WELFARE ALLOCATION FACTOR")</f>
        <v>0</v>
      </c>
      <c r="O1120" s="152">
        <f t="shared" si="333"/>
        <v>0</v>
      </c>
      <c r="P1120" s="126">
        <f>IF(E1120="Y",0,SUMIFS('Support - Transition'!G:G,'Support - Transition'!J:J,'Step 2'!D1120,'Support - Transition'!E:E,"2009 SCHOOL ALLOCATION FACTOR"))</f>
        <v>0</v>
      </c>
      <c r="Q1120" s="126">
        <f>IF(E1120="Y",VLOOKUP(D1120,'Support - Unit Adjustments'!F:G,2,FALSE),0)</f>
        <v>0</v>
      </c>
      <c r="R1120" s="155">
        <f t="shared" si="345"/>
        <v>0</v>
      </c>
      <c r="S1120" s="47">
        <f t="shared" si="344"/>
        <v>0</v>
      </c>
      <c r="T1120" s="151">
        <f t="shared" si="329"/>
        <v>18</v>
      </c>
      <c r="U1120" s="151">
        <f t="shared" si="330"/>
        <v>0</v>
      </c>
      <c r="V1120" s="139">
        <f t="shared" si="331"/>
        <v>0</v>
      </c>
      <c r="W1120" s="152">
        <f t="shared" si="334"/>
        <v>18</v>
      </c>
      <c r="X1120" s="127" t="str">
        <f t="shared" si="332"/>
        <v/>
      </c>
      <c r="Y1120" s="207">
        <f t="shared" si="335"/>
        <v>18</v>
      </c>
      <c r="Z1120" s="139">
        <f t="shared" si="336"/>
        <v>18</v>
      </c>
      <c r="AA1120" s="139">
        <f t="shared" si="337"/>
        <v>0</v>
      </c>
      <c r="AC1120" s="47">
        <f t="shared" si="338"/>
        <v>9</v>
      </c>
      <c r="AD1120" s="47">
        <f t="shared" si="339"/>
        <v>9</v>
      </c>
      <c r="AE1120" s="47">
        <f t="shared" si="340"/>
        <v>0</v>
      </c>
      <c r="AG1120" s="47">
        <f t="shared" si="341"/>
        <v>9</v>
      </c>
      <c r="AH1120" s="47">
        <f t="shared" si="342"/>
        <v>9</v>
      </c>
      <c r="AI1120" s="208">
        <f t="shared" si="343"/>
        <v>0</v>
      </c>
    </row>
    <row r="1121" spans="1:35">
      <c r="A1121" t="s">
        <v>2184</v>
      </c>
      <c r="B1121" t="s">
        <v>3155</v>
      </c>
      <c r="C1121" t="s">
        <v>2630</v>
      </c>
      <c r="D1121" t="s">
        <v>4479</v>
      </c>
      <c r="F1121" t="s">
        <v>862</v>
      </c>
      <c r="G1121" s="126">
        <f>SUMIFS('Support - Transition'!F:F,'Support - Transition'!B:B,'Step 2'!A1121,'Support - Transition'!C:C,'Step 2'!B1121,'Support - Transition'!D:D,'Step 2'!C1121,'Support - Transition'!E:E,"CIVIL")</f>
        <v>0</v>
      </c>
      <c r="H1121" s="126">
        <f>SUMIFS('Support - Transition'!F:F,'Support - Transition'!B:B,'Step 2'!A1121,'Support - Transition'!C:C,'Step 2'!B1121,'Support - Transition'!D:D,'Step 2'!C1121,'Support - Transition'!E:E,"FIRE")</f>
        <v>0</v>
      </c>
      <c r="I1121" s="126">
        <f>IF(B1121="0",SUMIFS('Support - Transition'!F:F,'Support - Transition'!J:J,'Step 2'!D1121,'Support - Transition'!E:E,"STATE UNIT"),SUMIFS('Support - Transition'!F:F,'Support - Transition'!J:J,'Step 2'!D1121))</f>
        <v>2.7910999999999998E-2</v>
      </c>
      <c r="J1121" s="126">
        <f>SUMIFS('Support - Unit Adjustments'!E:E,'Support - Unit Adjustments'!F:F,'Step 2'!D1121)</f>
        <v>0</v>
      </c>
      <c r="K1121" s="126">
        <f t="shared" si="327"/>
        <v>2.7910999999999998E-2</v>
      </c>
      <c r="L1121" s="174">
        <f>VLOOKUP(A1121,'Step 1'!$A:$E,4,FALSE)</f>
        <v>135739</v>
      </c>
      <c r="M1121" s="47">
        <f t="shared" si="328"/>
        <v>3789</v>
      </c>
      <c r="N1121" s="177">
        <f>SUMIFS('Support - Transition'!G:G,'Support - Transition'!J:J,'Step 2'!D1121,'Support - Transition'!E:E,"2009 WELFARE ALLOCATION FACTOR")</f>
        <v>0</v>
      </c>
      <c r="O1121" s="152">
        <f t="shared" si="333"/>
        <v>0</v>
      </c>
      <c r="P1121" s="126">
        <f>IF(E1121="Y",0,SUMIFS('Support - Transition'!G:G,'Support - Transition'!J:J,'Step 2'!D1121,'Support - Transition'!E:E,"2009 SCHOOL ALLOCATION FACTOR"))</f>
        <v>0</v>
      </c>
      <c r="Q1121" s="126">
        <f>IF(E1121="Y",VLOOKUP(D1121,'Support - Unit Adjustments'!F:G,2,FALSE),0)</f>
        <v>0</v>
      </c>
      <c r="R1121" s="155">
        <f t="shared" si="345"/>
        <v>0</v>
      </c>
      <c r="S1121" s="47">
        <f t="shared" si="344"/>
        <v>0</v>
      </c>
      <c r="T1121" s="151">
        <f t="shared" si="329"/>
        <v>3789</v>
      </c>
      <c r="U1121" s="151">
        <f t="shared" si="330"/>
        <v>0</v>
      </c>
      <c r="V1121" s="139">
        <f t="shared" si="331"/>
        <v>0</v>
      </c>
      <c r="W1121" s="152">
        <f t="shared" si="334"/>
        <v>3789</v>
      </c>
      <c r="X1121" s="127" t="str">
        <f t="shared" si="332"/>
        <v/>
      </c>
      <c r="Y1121" s="207">
        <f t="shared" si="335"/>
        <v>3789</v>
      </c>
      <c r="Z1121" s="139">
        <f t="shared" si="336"/>
        <v>3789</v>
      </c>
      <c r="AA1121" s="139">
        <f t="shared" si="337"/>
        <v>0</v>
      </c>
      <c r="AC1121" s="47">
        <f t="shared" si="338"/>
        <v>1895</v>
      </c>
      <c r="AD1121" s="47">
        <f t="shared" si="339"/>
        <v>1895</v>
      </c>
      <c r="AE1121" s="47">
        <f t="shared" si="340"/>
        <v>0</v>
      </c>
      <c r="AG1121" s="47">
        <f t="shared" si="341"/>
        <v>1894</v>
      </c>
      <c r="AH1121" s="47">
        <f t="shared" si="342"/>
        <v>1894</v>
      </c>
      <c r="AI1121" s="208">
        <f t="shared" si="343"/>
        <v>0</v>
      </c>
    </row>
    <row r="1122" spans="1:35">
      <c r="A1122" t="s">
        <v>2184</v>
      </c>
      <c r="B1122" t="s">
        <v>3155</v>
      </c>
      <c r="C1122" t="s">
        <v>2631</v>
      </c>
      <c r="D1122" t="s">
        <v>4480</v>
      </c>
      <c r="F1122" t="s">
        <v>863</v>
      </c>
      <c r="G1122" s="126">
        <f>SUMIFS('Support - Transition'!F:F,'Support - Transition'!B:B,'Step 2'!A1122,'Support - Transition'!C:C,'Step 2'!B1122,'Support - Transition'!D:D,'Step 2'!C1122,'Support - Transition'!E:E,"CIVIL")</f>
        <v>0</v>
      </c>
      <c r="H1122" s="126">
        <f>SUMIFS('Support - Transition'!F:F,'Support - Transition'!B:B,'Step 2'!A1122,'Support - Transition'!C:C,'Step 2'!B1122,'Support - Transition'!D:D,'Step 2'!C1122,'Support - Transition'!E:E,"FIRE")</f>
        <v>0</v>
      </c>
      <c r="I1122" s="126">
        <f>IF(B1122="0",SUMIFS('Support - Transition'!F:F,'Support - Transition'!J:J,'Step 2'!D1122,'Support - Transition'!E:E,"STATE UNIT"),SUMIFS('Support - Transition'!F:F,'Support - Transition'!J:J,'Step 2'!D1122))</f>
        <v>1.0939999999999999E-3</v>
      </c>
      <c r="J1122" s="126">
        <f>SUMIFS('Support - Unit Adjustments'!E:E,'Support - Unit Adjustments'!F:F,'Step 2'!D1122)</f>
        <v>0</v>
      </c>
      <c r="K1122" s="126">
        <f t="shared" si="327"/>
        <v>1.0939999999999999E-3</v>
      </c>
      <c r="L1122" s="174">
        <f>VLOOKUP(A1122,'Step 1'!$A:$E,4,FALSE)</f>
        <v>135739</v>
      </c>
      <c r="M1122" s="47">
        <f t="shared" si="328"/>
        <v>148</v>
      </c>
      <c r="N1122" s="177">
        <f>SUMIFS('Support - Transition'!G:G,'Support - Transition'!J:J,'Step 2'!D1122,'Support - Transition'!E:E,"2009 WELFARE ALLOCATION FACTOR")</f>
        <v>0</v>
      </c>
      <c r="O1122" s="152">
        <f t="shared" si="333"/>
        <v>0</v>
      </c>
      <c r="P1122" s="126">
        <f>IF(E1122="Y",0,SUMIFS('Support - Transition'!G:G,'Support - Transition'!J:J,'Step 2'!D1122,'Support - Transition'!E:E,"2009 SCHOOL ALLOCATION FACTOR"))</f>
        <v>0</v>
      </c>
      <c r="Q1122" s="126">
        <f>IF(E1122="Y",VLOOKUP(D1122,'Support - Unit Adjustments'!F:G,2,FALSE),0)</f>
        <v>0</v>
      </c>
      <c r="R1122" s="155">
        <f t="shared" si="345"/>
        <v>0</v>
      </c>
      <c r="S1122" s="47">
        <f t="shared" si="344"/>
        <v>0</v>
      </c>
      <c r="T1122" s="151">
        <f t="shared" si="329"/>
        <v>148</v>
      </c>
      <c r="U1122" s="151">
        <f t="shared" si="330"/>
        <v>0</v>
      </c>
      <c r="V1122" s="139">
        <f t="shared" si="331"/>
        <v>0</v>
      </c>
      <c r="W1122" s="152">
        <f t="shared" si="334"/>
        <v>148</v>
      </c>
      <c r="X1122" s="127" t="str">
        <f t="shared" si="332"/>
        <v/>
      </c>
      <c r="Y1122" s="207">
        <f t="shared" si="335"/>
        <v>148</v>
      </c>
      <c r="Z1122" s="139">
        <f t="shared" si="336"/>
        <v>148</v>
      </c>
      <c r="AA1122" s="139">
        <f t="shared" si="337"/>
        <v>0</v>
      </c>
      <c r="AC1122" s="47">
        <f t="shared" si="338"/>
        <v>74</v>
      </c>
      <c r="AD1122" s="47">
        <f t="shared" si="339"/>
        <v>74</v>
      </c>
      <c r="AE1122" s="47">
        <f t="shared" si="340"/>
        <v>0</v>
      </c>
      <c r="AG1122" s="47">
        <f t="shared" si="341"/>
        <v>74</v>
      </c>
      <c r="AH1122" s="47">
        <f t="shared" si="342"/>
        <v>74</v>
      </c>
      <c r="AI1122" s="208">
        <f t="shared" si="343"/>
        <v>0</v>
      </c>
    </row>
    <row r="1123" spans="1:35">
      <c r="A1123" t="s">
        <v>2184</v>
      </c>
      <c r="B1123" t="s">
        <v>3160</v>
      </c>
      <c r="C1123" t="s">
        <v>2255</v>
      </c>
      <c r="D1123" t="s">
        <v>4481</v>
      </c>
      <c r="F1123" t="s">
        <v>140</v>
      </c>
      <c r="G1123" s="126">
        <f>SUMIFS('Support - Transition'!F:F,'Support - Transition'!B:B,'Step 2'!A1123,'Support - Transition'!C:C,'Step 2'!B1123,'Support - Transition'!D:D,'Step 2'!C1123,'Support - Transition'!E:E,"CIVIL")</f>
        <v>0</v>
      </c>
      <c r="H1123" s="126">
        <f>SUMIFS('Support - Transition'!F:F,'Support - Transition'!B:B,'Step 2'!A1123,'Support - Transition'!C:C,'Step 2'!B1123,'Support - Transition'!D:D,'Step 2'!C1123,'Support - Transition'!E:E,"FIRE")</f>
        <v>0</v>
      </c>
      <c r="I1123" s="126">
        <f>IF(B1123="0",SUMIFS('Support - Transition'!F:F,'Support - Transition'!J:J,'Step 2'!D1123,'Support - Transition'!E:E,"STATE UNIT"),SUMIFS('Support - Transition'!F:F,'Support - Transition'!J:J,'Step 2'!D1123))</f>
        <v>0.54254199999999997</v>
      </c>
      <c r="J1123" s="126">
        <f>SUMIFS('Support - Unit Adjustments'!E:E,'Support - Unit Adjustments'!F:F,'Step 2'!D1123)</f>
        <v>0</v>
      </c>
      <c r="K1123" s="126">
        <f t="shared" si="327"/>
        <v>0.54254199999999997</v>
      </c>
      <c r="L1123" s="174">
        <f>VLOOKUP(A1123,'Step 1'!$A:$E,4,FALSE)</f>
        <v>135739</v>
      </c>
      <c r="M1123" s="47">
        <f t="shared" si="328"/>
        <v>73644</v>
      </c>
      <c r="N1123" s="177">
        <f>SUMIFS('Support - Transition'!G:G,'Support - Transition'!J:J,'Step 2'!D1123,'Support - Transition'!E:E,"2009 WELFARE ALLOCATION FACTOR")</f>
        <v>0</v>
      </c>
      <c r="O1123" s="152">
        <f t="shared" si="333"/>
        <v>0</v>
      </c>
      <c r="P1123" s="126">
        <f>IF(E1123="Y",0,SUMIFS('Support - Transition'!G:G,'Support - Transition'!J:J,'Step 2'!D1123,'Support - Transition'!E:E,"2009 SCHOOL ALLOCATION FACTOR"))</f>
        <v>0.43942199999999998</v>
      </c>
      <c r="Q1123" s="126">
        <f>IF(E1123="Y",VLOOKUP(D1123,'Support - Unit Adjustments'!F:G,2,FALSE),0)</f>
        <v>0</v>
      </c>
      <c r="R1123" s="155">
        <f t="shared" si="345"/>
        <v>0.43942199999999998</v>
      </c>
      <c r="S1123" s="47">
        <f t="shared" si="344"/>
        <v>32361</v>
      </c>
      <c r="T1123" s="151">
        <f t="shared" si="329"/>
        <v>41283</v>
      </c>
      <c r="U1123" s="151">
        <f t="shared" si="330"/>
        <v>0</v>
      </c>
      <c r="V1123" s="139">
        <f t="shared" si="331"/>
        <v>0</v>
      </c>
      <c r="W1123" s="152">
        <f t="shared" si="334"/>
        <v>41283</v>
      </c>
      <c r="X1123" s="127" t="str">
        <f t="shared" si="332"/>
        <v/>
      </c>
      <c r="Y1123" s="207">
        <f t="shared" si="335"/>
        <v>41283</v>
      </c>
      <c r="Z1123" s="139">
        <f t="shared" si="336"/>
        <v>41283</v>
      </c>
      <c r="AA1123" s="139">
        <f t="shared" si="337"/>
        <v>0</v>
      </c>
      <c r="AC1123" s="47">
        <f t="shared" si="338"/>
        <v>20642</v>
      </c>
      <c r="AD1123" s="47">
        <f t="shared" si="339"/>
        <v>20642</v>
      </c>
      <c r="AE1123" s="47">
        <f t="shared" si="340"/>
        <v>0</v>
      </c>
      <c r="AG1123" s="47">
        <f t="shared" si="341"/>
        <v>20641</v>
      </c>
      <c r="AH1123" s="47">
        <f t="shared" si="342"/>
        <v>20641</v>
      </c>
      <c r="AI1123" s="208">
        <f t="shared" si="343"/>
        <v>0</v>
      </c>
    </row>
    <row r="1124" spans="1:35">
      <c r="A1124" t="s">
        <v>2184</v>
      </c>
      <c r="B1124" t="s">
        <v>3166</v>
      </c>
      <c r="C1124" t="s">
        <v>2256</v>
      </c>
      <c r="D1124" t="s">
        <v>4482</v>
      </c>
      <c r="F1124" t="s">
        <v>141</v>
      </c>
      <c r="G1124" s="126">
        <f>SUMIFS('Support - Transition'!F:F,'Support - Transition'!B:B,'Step 2'!A1124,'Support - Transition'!C:C,'Step 2'!B1124,'Support - Transition'!D:D,'Step 2'!C1124,'Support - Transition'!E:E,"CIVIL")</f>
        <v>0</v>
      </c>
      <c r="H1124" s="126">
        <f>SUMIFS('Support - Transition'!F:F,'Support - Transition'!B:B,'Step 2'!A1124,'Support - Transition'!C:C,'Step 2'!B1124,'Support - Transition'!D:D,'Step 2'!C1124,'Support - Transition'!E:E,"FIRE")</f>
        <v>0</v>
      </c>
      <c r="I1124" s="126">
        <f>IF(B1124="0",SUMIFS('Support - Transition'!F:F,'Support - Transition'!J:J,'Step 2'!D1124,'Support - Transition'!E:E,"STATE UNIT"),SUMIFS('Support - Transition'!F:F,'Support - Transition'!J:J,'Step 2'!D1124))</f>
        <v>1.7730000000000001E-3</v>
      </c>
      <c r="J1124" s="126">
        <f>SUMIFS('Support - Unit Adjustments'!E:E,'Support - Unit Adjustments'!F:F,'Step 2'!D1124)</f>
        <v>0</v>
      </c>
      <c r="K1124" s="126">
        <f t="shared" si="327"/>
        <v>1.7730000000000001E-3</v>
      </c>
      <c r="L1124" s="174">
        <f>VLOOKUP(A1124,'Step 1'!$A:$E,4,FALSE)</f>
        <v>135739</v>
      </c>
      <c r="M1124" s="47">
        <f t="shared" si="328"/>
        <v>241</v>
      </c>
      <c r="N1124" s="177">
        <f>SUMIFS('Support - Transition'!G:G,'Support - Transition'!J:J,'Step 2'!D1124,'Support - Transition'!E:E,"2009 WELFARE ALLOCATION FACTOR")</f>
        <v>0</v>
      </c>
      <c r="O1124" s="152">
        <f t="shared" si="333"/>
        <v>0</v>
      </c>
      <c r="P1124" s="126">
        <f>IF(E1124="Y",0,SUMIFS('Support - Transition'!G:G,'Support - Transition'!J:J,'Step 2'!D1124,'Support - Transition'!E:E,"2009 SCHOOL ALLOCATION FACTOR"))</f>
        <v>0</v>
      </c>
      <c r="Q1124" s="126">
        <f>IF(E1124="Y",VLOOKUP(D1124,'Support - Unit Adjustments'!F:G,2,FALSE),0)</f>
        <v>0</v>
      </c>
      <c r="R1124" s="155">
        <f t="shared" si="345"/>
        <v>0</v>
      </c>
      <c r="S1124" s="47">
        <f t="shared" si="344"/>
        <v>0</v>
      </c>
      <c r="T1124" s="151">
        <f t="shared" si="329"/>
        <v>241</v>
      </c>
      <c r="U1124" s="151">
        <f t="shared" si="330"/>
        <v>0</v>
      </c>
      <c r="V1124" s="139">
        <f t="shared" si="331"/>
        <v>0</v>
      </c>
      <c r="W1124" s="152">
        <f t="shared" si="334"/>
        <v>241</v>
      </c>
      <c r="X1124" s="127" t="str">
        <f t="shared" si="332"/>
        <v/>
      </c>
      <c r="Y1124" s="207">
        <f t="shared" si="335"/>
        <v>241</v>
      </c>
      <c r="Z1124" s="139">
        <f t="shared" si="336"/>
        <v>241</v>
      </c>
      <c r="AA1124" s="139">
        <f t="shared" si="337"/>
        <v>0</v>
      </c>
      <c r="AC1124" s="47">
        <f t="shared" si="338"/>
        <v>121</v>
      </c>
      <c r="AD1124" s="47">
        <f t="shared" si="339"/>
        <v>121</v>
      </c>
      <c r="AE1124" s="47">
        <f t="shared" si="340"/>
        <v>0</v>
      </c>
      <c r="AG1124" s="47">
        <f t="shared" si="341"/>
        <v>120</v>
      </c>
      <c r="AH1124" s="47">
        <f t="shared" si="342"/>
        <v>120</v>
      </c>
      <c r="AI1124" s="208">
        <f t="shared" si="343"/>
        <v>0</v>
      </c>
    </row>
    <row r="1125" spans="1:35">
      <c r="A1125" t="s">
        <v>2184</v>
      </c>
      <c r="B1125" t="s">
        <v>3166</v>
      </c>
      <c r="C1125" t="s">
        <v>2375</v>
      </c>
      <c r="D1125" t="s">
        <v>4483</v>
      </c>
      <c r="F1125" t="s">
        <v>865</v>
      </c>
      <c r="G1125" s="126">
        <f>SUMIFS('Support - Transition'!F:F,'Support - Transition'!B:B,'Step 2'!A1125,'Support - Transition'!C:C,'Step 2'!B1125,'Support - Transition'!D:D,'Step 2'!C1125,'Support - Transition'!E:E,"CIVIL")</f>
        <v>0</v>
      </c>
      <c r="H1125" s="126">
        <f>SUMIFS('Support - Transition'!F:F,'Support - Transition'!B:B,'Step 2'!A1125,'Support - Transition'!C:C,'Step 2'!B1125,'Support - Transition'!D:D,'Step 2'!C1125,'Support - Transition'!E:E,"FIRE")</f>
        <v>0</v>
      </c>
      <c r="I1125" s="126">
        <f>IF(B1125="0",SUMIFS('Support - Transition'!F:F,'Support - Transition'!J:J,'Step 2'!D1125,'Support - Transition'!E:E,"STATE UNIT"),SUMIFS('Support - Transition'!F:F,'Support - Transition'!J:J,'Step 2'!D1125))</f>
        <v>3.8999999999900226E-5</v>
      </c>
      <c r="J1125" s="126">
        <f>SUMIFS('Support - Unit Adjustments'!E:E,'Support - Unit Adjustments'!F:F,'Step 2'!D1125)</f>
        <v>0</v>
      </c>
      <c r="K1125" s="126">
        <f t="shared" si="327"/>
        <v>3.8999999999900226E-5</v>
      </c>
      <c r="L1125" s="174">
        <f>VLOOKUP(A1125,'Step 1'!$A:$E,4,FALSE)</f>
        <v>135739</v>
      </c>
      <c r="M1125" s="47">
        <f t="shared" si="328"/>
        <v>5</v>
      </c>
      <c r="N1125" s="177">
        <f>SUMIFS('Support - Transition'!G:G,'Support - Transition'!J:J,'Step 2'!D1125,'Support - Transition'!E:E,"2009 WELFARE ALLOCATION FACTOR")</f>
        <v>0</v>
      </c>
      <c r="O1125" s="152">
        <f t="shared" si="333"/>
        <v>0</v>
      </c>
      <c r="P1125" s="126">
        <f>IF(E1125="Y",0,SUMIFS('Support - Transition'!G:G,'Support - Transition'!J:J,'Step 2'!D1125,'Support - Transition'!E:E,"2009 SCHOOL ALLOCATION FACTOR"))</f>
        <v>0</v>
      </c>
      <c r="Q1125" s="126">
        <f>IF(E1125="Y",VLOOKUP(D1125,'Support - Unit Adjustments'!F:G,2,FALSE),0)</f>
        <v>0</v>
      </c>
      <c r="R1125" s="155">
        <f t="shared" si="345"/>
        <v>0</v>
      </c>
      <c r="S1125" s="47">
        <f t="shared" si="344"/>
        <v>0</v>
      </c>
      <c r="T1125" s="151">
        <f t="shared" si="329"/>
        <v>5</v>
      </c>
      <c r="U1125" s="151">
        <f t="shared" si="330"/>
        <v>0</v>
      </c>
      <c r="V1125" s="139">
        <f t="shared" si="331"/>
        <v>0</v>
      </c>
      <c r="W1125" s="152">
        <f t="shared" si="334"/>
        <v>5</v>
      </c>
      <c r="X1125" s="127" t="str">
        <f t="shared" si="332"/>
        <v/>
      </c>
      <c r="Y1125" s="207">
        <f t="shared" si="335"/>
        <v>5</v>
      </c>
      <c r="Z1125" s="139">
        <f t="shared" si="336"/>
        <v>5</v>
      </c>
      <c r="AA1125" s="139">
        <f t="shared" si="337"/>
        <v>0</v>
      </c>
      <c r="AC1125" s="47">
        <f t="shared" si="338"/>
        <v>3</v>
      </c>
      <c r="AD1125" s="47">
        <f t="shared" si="339"/>
        <v>3</v>
      </c>
      <c r="AE1125" s="47">
        <f t="shared" si="340"/>
        <v>0</v>
      </c>
      <c r="AG1125" s="47">
        <f t="shared" si="341"/>
        <v>2</v>
      </c>
      <c r="AH1125" s="47">
        <f t="shared" si="342"/>
        <v>2</v>
      </c>
      <c r="AI1125" s="208">
        <f t="shared" si="343"/>
        <v>0</v>
      </c>
    </row>
    <row r="1126" spans="1:35">
      <c r="A1126" t="s">
        <v>2184</v>
      </c>
      <c r="B1126" t="s">
        <v>3166</v>
      </c>
      <c r="C1126" t="s">
        <v>2632</v>
      </c>
      <c r="D1126" t="s">
        <v>4484</v>
      </c>
      <c r="F1126" t="s">
        <v>864</v>
      </c>
      <c r="G1126" s="126">
        <f>SUMIFS('Support - Transition'!F:F,'Support - Transition'!B:B,'Step 2'!A1126,'Support - Transition'!C:C,'Step 2'!B1126,'Support - Transition'!D:D,'Step 2'!C1126,'Support - Transition'!E:E,"CIVIL")</f>
        <v>0</v>
      </c>
      <c r="H1126" s="126">
        <f>SUMIFS('Support - Transition'!F:F,'Support - Transition'!B:B,'Step 2'!A1126,'Support - Transition'!C:C,'Step 2'!B1126,'Support - Transition'!D:D,'Step 2'!C1126,'Support - Transition'!E:E,"FIRE")</f>
        <v>0</v>
      </c>
      <c r="I1126" s="126">
        <f>IF(B1126="0",SUMIFS('Support - Transition'!F:F,'Support - Transition'!J:J,'Step 2'!D1126,'Support - Transition'!E:E,"STATE UNIT"),SUMIFS('Support - Transition'!F:F,'Support - Transition'!J:J,'Step 2'!D1126))</f>
        <v>3.7989000000000002E-2</v>
      </c>
      <c r="J1126" s="126">
        <f>SUMIFS('Support - Unit Adjustments'!E:E,'Support - Unit Adjustments'!F:F,'Step 2'!D1126)</f>
        <v>0</v>
      </c>
      <c r="K1126" s="126">
        <f t="shared" si="327"/>
        <v>3.7989000000000002E-2</v>
      </c>
      <c r="L1126" s="174">
        <f>VLOOKUP(A1126,'Step 1'!$A:$E,4,FALSE)</f>
        <v>135739</v>
      </c>
      <c r="M1126" s="47">
        <f t="shared" si="328"/>
        <v>5157</v>
      </c>
      <c r="N1126" s="177">
        <f>SUMIFS('Support - Transition'!G:G,'Support - Transition'!J:J,'Step 2'!D1126,'Support - Transition'!E:E,"2009 WELFARE ALLOCATION FACTOR")</f>
        <v>0</v>
      </c>
      <c r="O1126" s="152">
        <f t="shared" si="333"/>
        <v>0</v>
      </c>
      <c r="P1126" s="126">
        <f>IF(E1126="Y",0,SUMIFS('Support - Transition'!G:G,'Support - Transition'!J:J,'Step 2'!D1126,'Support - Transition'!E:E,"2009 SCHOOL ALLOCATION FACTOR"))</f>
        <v>0</v>
      </c>
      <c r="Q1126" s="126">
        <f>IF(E1126="Y",VLOOKUP(D1126,'Support - Unit Adjustments'!F:G,2,FALSE),0)</f>
        <v>0</v>
      </c>
      <c r="R1126" s="155">
        <f t="shared" si="345"/>
        <v>0</v>
      </c>
      <c r="S1126" s="47">
        <f t="shared" si="344"/>
        <v>0</v>
      </c>
      <c r="T1126" s="151">
        <f t="shared" si="329"/>
        <v>5157</v>
      </c>
      <c r="U1126" s="151">
        <f t="shared" si="330"/>
        <v>0</v>
      </c>
      <c r="V1126" s="139">
        <f t="shared" si="331"/>
        <v>0</v>
      </c>
      <c r="W1126" s="152">
        <f t="shared" si="334"/>
        <v>5157</v>
      </c>
      <c r="X1126" s="127" t="str">
        <f t="shared" si="332"/>
        <v/>
      </c>
      <c r="Y1126" s="207">
        <f t="shared" si="335"/>
        <v>5157</v>
      </c>
      <c r="Z1126" s="139">
        <f t="shared" si="336"/>
        <v>5157</v>
      </c>
      <c r="AA1126" s="139">
        <f t="shared" si="337"/>
        <v>0</v>
      </c>
      <c r="AC1126" s="47">
        <f t="shared" si="338"/>
        <v>2579</v>
      </c>
      <c r="AD1126" s="47">
        <f t="shared" si="339"/>
        <v>2579</v>
      </c>
      <c r="AE1126" s="47">
        <f t="shared" si="340"/>
        <v>0</v>
      </c>
      <c r="AG1126" s="47">
        <f t="shared" si="341"/>
        <v>2578</v>
      </c>
      <c r="AH1126" s="47">
        <f t="shared" si="342"/>
        <v>2578</v>
      </c>
      <c r="AI1126" s="208">
        <f t="shared" si="343"/>
        <v>0</v>
      </c>
    </row>
    <row r="1127" spans="1:35">
      <c r="A1127" t="s">
        <v>2184</v>
      </c>
      <c r="B1127" t="s">
        <v>3170</v>
      </c>
      <c r="C1127" t="s">
        <v>4485</v>
      </c>
      <c r="D1127" t="s">
        <v>4486</v>
      </c>
      <c r="F1127" t="s">
        <v>4487</v>
      </c>
      <c r="G1127" s="126">
        <f>SUMIFS('Support - Transition'!F:F,'Support - Transition'!B:B,'Step 2'!A1127,'Support - Transition'!C:C,'Step 2'!B1127,'Support - Transition'!D:D,'Step 2'!C1127,'Support - Transition'!E:E,"CIVIL")</f>
        <v>0</v>
      </c>
      <c r="H1127" s="126">
        <f>SUMIFS('Support - Transition'!F:F,'Support - Transition'!B:B,'Step 2'!A1127,'Support - Transition'!C:C,'Step 2'!B1127,'Support - Transition'!D:D,'Step 2'!C1127,'Support - Transition'!E:E,"FIRE")</f>
        <v>0</v>
      </c>
      <c r="I1127" s="126">
        <f>IF(B1127="0",SUMIFS('Support - Transition'!F:F,'Support - Transition'!J:J,'Step 2'!D1127,'Support - Transition'!E:E,"STATE UNIT"),SUMIFS('Support - Transition'!F:F,'Support - Transition'!J:J,'Step 2'!D1127))</f>
        <v>0</v>
      </c>
      <c r="J1127" s="126">
        <f>SUMIFS('Support - Unit Adjustments'!E:E,'Support - Unit Adjustments'!F:F,'Step 2'!D1127)</f>
        <v>0</v>
      </c>
      <c r="K1127" s="126">
        <f t="shared" si="327"/>
        <v>0</v>
      </c>
      <c r="L1127" s="174">
        <f>VLOOKUP(A1127,'Step 1'!$A:$E,4,FALSE)</f>
        <v>135739</v>
      </c>
      <c r="M1127" s="47">
        <f t="shared" si="328"/>
        <v>0</v>
      </c>
      <c r="N1127" s="177">
        <f>SUMIFS('Support - Transition'!G:G,'Support - Transition'!J:J,'Step 2'!D1127,'Support - Transition'!E:E,"2009 WELFARE ALLOCATION FACTOR")</f>
        <v>0</v>
      </c>
      <c r="O1127" s="152">
        <f t="shared" si="333"/>
        <v>0</v>
      </c>
      <c r="P1127" s="126">
        <f>IF(E1127="Y",0,SUMIFS('Support - Transition'!G:G,'Support - Transition'!J:J,'Step 2'!D1127,'Support - Transition'!E:E,"2009 SCHOOL ALLOCATION FACTOR"))</f>
        <v>0</v>
      </c>
      <c r="Q1127" s="126">
        <f>IF(E1127="Y",VLOOKUP(D1127,'Support - Unit Adjustments'!F:G,2,FALSE),0)</f>
        <v>0</v>
      </c>
      <c r="R1127" s="155">
        <f t="shared" si="345"/>
        <v>0</v>
      </c>
      <c r="S1127" s="47">
        <f t="shared" si="344"/>
        <v>0</v>
      </c>
      <c r="T1127" s="151">
        <f t="shared" si="329"/>
        <v>0</v>
      </c>
      <c r="U1127" s="151">
        <f t="shared" si="330"/>
        <v>0</v>
      </c>
      <c r="V1127" s="139">
        <f t="shared" si="331"/>
        <v>0</v>
      </c>
      <c r="W1127" s="152">
        <f t="shared" si="334"/>
        <v>0</v>
      </c>
      <c r="X1127" s="127" t="str">
        <f t="shared" si="332"/>
        <v/>
      </c>
      <c r="Y1127" s="207">
        <f t="shared" si="335"/>
        <v>0</v>
      </c>
      <c r="Z1127" s="139">
        <f t="shared" si="336"/>
        <v>0</v>
      </c>
      <c r="AA1127" s="139">
        <f t="shared" si="337"/>
        <v>0</v>
      </c>
      <c r="AC1127" s="47">
        <f t="shared" si="338"/>
        <v>0</v>
      </c>
      <c r="AD1127" s="47">
        <f t="shared" si="339"/>
        <v>0</v>
      </c>
      <c r="AE1127" s="47">
        <f t="shared" si="340"/>
        <v>0</v>
      </c>
      <c r="AG1127" s="47">
        <f t="shared" si="341"/>
        <v>0</v>
      </c>
      <c r="AH1127" s="47">
        <f t="shared" si="342"/>
        <v>0</v>
      </c>
      <c r="AI1127" s="208">
        <f t="shared" si="343"/>
        <v>0</v>
      </c>
    </row>
    <row r="1128" spans="1:35">
      <c r="A1128" t="s">
        <v>2185</v>
      </c>
      <c r="B1128" s="48" t="s">
        <v>6274</v>
      </c>
      <c r="C1128" t="s">
        <v>2187</v>
      </c>
      <c r="D1128" t="str">
        <f>A1128&amp;B1128&amp;C1128</f>
        <v>3900000</v>
      </c>
      <c r="F1128" t="s">
        <v>6313</v>
      </c>
      <c r="G1128" s="126">
        <f>SUMIFS('Support - Transition'!F:F,'Support - Transition'!B:B,'Step 2'!A1128,'Support - Transition'!C:C,'Step 2'!B1128,'Support - Transition'!D:D,'Step 2'!C1128,'Support - Transition'!E:E,"CIVIL")</f>
        <v>0</v>
      </c>
      <c r="H1128" s="126">
        <f>SUMIFS('Support - Transition'!F:F,'Support - Transition'!B:B,'Step 2'!A1128,'Support - Transition'!C:C,'Step 2'!B1128,'Support - Transition'!D:D,'Step 2'!C1128,'Support - Transition'!E:E,"FIRE")</f>
        <v>0</v>
      </c>
      <c r="I1128" s="126">
        <f>IF(B1128="0",SUMIFS('Support - Transition'!F:F,'Support - Transition'!J:J,'Step 2'!D1128,'Support - Transition'!E:E,"STATE UNIT"),SUMIFS('Support - Transition'!F:F,'Support - Transition'!J:J,'Step 2'!D1128))</f>
        <v>1.188E-3</v>
      </c>
      <c r="J1128" s="126">
        <f>SUMIFS('Support - Unit Adjustments'!E:E,'Support - Unit Adjustments'!F:F,'Step 2'!D1128)</f>
        <v>0</v>
      </c>
      <c r="K1128" s="126">
        <f t="shared" si="327"/>
        <v>1.188E-3</v>
      </c>
      <c r="L1128" s="174">
        <f>VLOOKUP(A1128,'Step 1'!$A:$E,4,FALSE)</f>
        <v>84409</v>
      </c>
      <c r="M1128" s="47">
        <f t="shared" si="328"/>
        <v>100</v>
      </c>
      <c r="N1128" s="177">
        <f>SUMIFS('Support - Transition'!G:G,'Support - Transition'!J:J,'Step 2'!D1128,'Support - Transition'!E:E,"2009 WELFARE ALLOCATION FACTOR")</f>
        <v>0</v>
      </c>
      <c r="O1128" s="152">
        <f t="shared" si="333"/>
        <v>0</v>
      </c>
      <c r="P1128" s="126">
        <f>IF(E1128="Y",0,SUMIFS('Support - Transition'!G:G,'Support - Transition'!J:J,'Step 2'!D1128,'Support - Transition'!E:E,"2009 SCHOOL ALLOCATION FACTOR"))</f>
        <v>0</v>
      </c>
      <c r="Q1128" s="126">
        <f>IF(E1128="Y",VLOOKUP(D1128,'Support - Unit Adjustments'!F:G,2,FALSE),0)</f>
        <v>0</v>
      </c>
      <c r="R1128" s="155">
        <f t="shared" si="345"/>
        <v>0</v>
      </c>
      <c r="S1128" s="47">
        <f t="shared" si="344"/>
        <v>0</v>
      </c>
      <c r="T1128" s="151">
        <f t="shared" si="329"/>
        <v>100</v>
      </c>
      <c r="U1128" s="151">
        <f t="shared" si="330"/>
        <v>84408</v>
      </c>
      <c r="V1128" s="139">
        <f t="shared" si="331"/>
        <v>-1</v>
      </c>
      <c r="W1128" s="152">
        <f t="shared" si="334"/>
        <v>101</v>
      </c>
      <c r="X1128" s="127">
        <f t="shared" si="332"/>
        <v>0</v>
      </c>
      <c r="Y1128" s="207">
        <f t="shared" si="335"/>
        <v>101</v>
      </c>
      <c r="Z1128" s="139">
        <f t="shared" si="336"/>
        <v>101</v>
      </c>
      <c r="AA1128" s="139">
        <f t="shared" si="337"/>
        <v>0</v>
      </c>
      <c r="AC1128" s="47">
        <f t="shared" si="338"/>
        <v>51</v>
      </c>
      <c r="AD1128" s="47">
        <f t="shared" si="339"/>
        <v>51</v>
      </c>
      <c r="AE1128" s="47">
        <f t="shared" si="340"/>
        <v>0</v>
      </c>
      <c r="AG1128" s="47">
        <f t="shared" si="341"/>
        <v>50</v>
      </c>
      <c r="AH1128" s="47">
        <f t="shared" si="342"/>
        <v>50</v>
      </c>
      <c r="AI1128" s="208">
        <f t="shared" si="343"/>
        <v>0</v>
      </c>
    </row>
    <row r="1129" spans="1:35">
      <c r="A1129" t="s">
        <v>2185</v>
      </c>
      <c r="B1129" t="s">
        <v>3140</v>
      </c>
      <c r="C1129" t="s">
        <v>2187</v>
      </c>
      <c r="D1129" t="s">
        <v>4488</v>
      </c>
      <c r="F1129" t="s">
        <v>867</v>
      </c>
      <c r="G1129" s="126">
        <f>SUMIFS('Support - Transition'!F:F,'Support - Transition'!B:B,'Step 2'!A1129,'Support - Transition'!C:C,'Step 2'!B1129,'Support - Transition'!D:D,'Step 2'!C1129,'Support - Transition'!E:E,"CIVIL")</f>
        <v>0</v>
      </c>
      <c r="H1129" s="126">
        <f>SUMIFS('Support - Transition'!F:F,'Support - Transition'!B:B,'Step 2'!A1129,'Support - Transition'!C:C,'Step 2'!B1129,'Support - Transition'!D:D,'Step 2'!C1129,'Support - Transition'!E:E,"FIRE")</f>
        <v>0</v>
      </c>
      <c r="I1129" s="126">
        <f>IF(B1129="0",SUMIFS('Support - Transition'!F:F,'Support - Transition'!J:J,'Step 2'!D1129,'Support - Transition'!E:E,"STATE UNIT"),SUMIFS('Support - Transition'!F:F,'Support - Transition'!J:J,'Step 2'!D1129))</f>
        <v>0.27544200000000002</v>
      </c>
      <c r="J1129" s="126">
        <f>SUMIFS('Support - Unit Adjustments'!E:E,'Support - Unit Adjustments'!F:F,'Step 2'!D1129)</f>
        <v>0</v>
      </c>
      <c r="K1129" s="126">
        <f t="shared" si="327"/>
        <v>0.27544200000000002</v>
      </c>
      <c r="L1129" s="174">
        <f>VLOOKUP(A1129,'Step 1'!$A:$E,4,FALSE)</f>
        <v>84409</v>
      </c>
      <c r="M1129" s="47">
        <f t="shared" si="328"/>
        <v>23250</v>
      </c>
      <c r="N1129" s="177">
        <f>SUMIFS('Support - Transition'!G:G,'Support - Transition'!J:J,'Step 2'!D1129,'Support - Transition'!E:E,"2009 WELFARE ALLOCATION FACTOR")</f>
        <v>0.34783799999999998</v>
      </c>
      <c r="O1129" s="152">
        <f t="shared" si="333"/>
        <v>8087</v>
      </c>
      <c r="P1129" s="126">
        <f>IF(E1129="Y",0,SUMIFS('Support - Transition'!G:G,'Support - Transition'!J:J,'Step 2'!D1129,'Support - Transition'!E:E,"2009 SCHOOL ALLOCATION FACTOR"))</f>
        <v>0</v>
      </c>
      <c r="Q1129" s="126">
        <f>IF(E1129="Y",VLOOKUP(D1129,'Support - Unit Adjustments'!F:G,2,FALSE),0)</f>
        <v>0</v>
      </c>
      <c r="R1129" s="155">
        <f t="shared" si="345"/>
        <v>0</v>
      </c>
      <c r="S1129" s="47">
        <f t="shared" si="344"/>
        <v>0</v>
      </c>
      <c r="T1129" s="151">
        <f t="shared" si="329"/>
        <v>15163</v>
      </c>
      <c r="U1129" s="151">
        <f t="shared" si="330"/>
        <v>0</v>
      </c>
      <c r="V1129" s="139">
        <f t="shared" si="331"/>
        <v>0</v>
      </c>
      <c r="W1129" s="152">
        <f t="shared" si="334"/>
        <v>15163</v>
      </c>
      <c r="X1129" s="127" t="str">
        <f t="shared" si="332"/>
        <v/>
      </c>
      <c r="Y1129" s="207">
        <f t="shared" si="335"/>
        <v>15163</v>
      </c>
      <c r="Z1129" s="139">
        <f t="shared" si="336"/>
        <v>15163</v>
      </c>
      <c r="AA1129" s="139">
        <f t="shared" si="337"/>
        <v>0</v>
      </c>
      <c r="AC1129" s="47">
        <f t="shared" si="338"/>
        <v>7582</v>
      </c>
      <c r="AD1129" s="47">
        <f t="shared" si="339"/>
        <v>7582</v>
      </c>
      <c r="AE1129" s="47">
        <f t="shared" si="340"/>
        <v>0</v>
      </c>
      <c r="AG1129" s="47">
        <f t="shared" si="341"/>
        <v>7581</v>
      </c>
      <c r="AH1129" s="47">
        <f t="shared" si="342"/>
        <v>7581</v>
      </c>
      <c r="AI1129" s="208">
        <f t="shared" si="343"/>
        <v>0</v>
      </c>
    </row>
    <row r="1130" spans="1:35">
      <c r="A1130" t="s">
        <v>2185</v>
      </c>
      <c r="B1130" t="s">
        <v>3142</v>
      </c>
      <c r="C1130" t="s">
        <v>2188</v>
      </c>
      <c r="D1130" t="s">
        <v>4489</v>
      </c>
      <c r="F1130" t="s">
        <v>868</v>
      </c>
      <c r="G1130" s="126">
        <f>SUMIFS('Support - Transition'!F:F,'Support - Transition'!B:B,'Step 2'!A1130,'Support - Transition'!C:C,'Step 2'!B1130,'Support - Transition'!D:D,'Step 2'!C1130,'Support - Transition'!E:E,"CIVIL")</f>
        <v>7.0200000000000004E-4</v>
      </c>
      <c r="H1130" s="126">
        <f>SUMIFS('Support - Transition'!F:F,'Support - Transition'!B:B,'Step 2'!A1130,'Support - Transition'!C:C,'Step 2'!B1130,'Support - Transition'!D:D,'Step 2'!C1130,'Support - Transition'!E:E,"FIRE")</f>
        <v>2.3800000000000001E-4</v>
      </c>
      <c r="I1130" s="126">
        <f>IF(B1130="0",SUMIFS('Support - Transition'!F:F,'Support - Transition'!J:J,'Step 2'!D1130,'Support - Transition'!E:E,"STATE UNIT"),SUMIFS('Support - Transition'!F:F,'Support - Transition'!J:J,'Step 2'!D1130))</f>
        <v>9.4000000000000008E-4</v>
      </c>
      <c r="J1130" s="126">
        <f>SUMIFS('Support - Unit Adjustments'!E:E,'Support - Unit Adjustments'!F:F,'Step 2'!D1130)</f>
        <v>0</v>
      </c>
      <c r="K1130" s="126">
        <f t="shared" si="327"/>
        <v>9.4000000000000008E-4</v>
      </c>
      <c r="L1130" s="174">
        <f>VLOOKUP(A1130,'Step 1'!$A:$E,4,FALSE)</f>
        <v>84409</v>
      </c>
      <c r="M1130" s="47">
        <f t="shared" si="328"/>
        <v>79</v>
      </c>
      <c r="N1130" s="177">
        <f>SUMIFS('Support - Transition'!G:G,'Support - Transition'!J:J,'Step 2'!D1130,'Support - Transition'!E:E,"2009 WELFARE ALLOCATION FACTOR")</f>
        <v>0</v>
      </c>
      <c r="O1130" s="152">
        <f t="shared" si="333"/>
        <v>0</v>
      </c>
      <c r="P1130" s="126">
        <f>IF(E1130="Y",0,SUMIFS('Support - Transition'!G:G,'Support - Transition'!J:J,'Step 2'!D1130,'Support - Transition'!E:E,"2009 SCHOOL ALLOCATION FACTOR"))</f>
        <v>0</v>
      </c>
      <c r="Q1130" s="126">
        <f>IF(E1130="Y",VLOOKUP(D1130,'Support - Unit Adjustments'!F:G,2,FALSE),0)</f>
        <v>0</v>
      </c>
      <c r="R1130" s="155">
        <f t="shared" si="345"/>
        <v>0</v>
      </c>
      <c r="S1130" s="47">
        <f t="shared" si="344"/>
        <v>0</v>
      </c>
      <c r="T1130" s="151">
        <f t="shared" si="329"/>
        <v>79</v>
      </c>
      <c r="U1130" s="151">
        <f t="shared" si="330"/>
        <v>0</v>
      </c>
      <c r="V1130" s="139">
        <f t="shared" si="331"/>
        <v>0</v>
      </c>
      <c r="W1130" s="152">
        <f t="shared" si="334"/>
        <v>79</v>
      </c>
      <c r="X1130" s="127" t="str">
        <f t="shared" si="332"/>
        <v/>
      </c>
      <c r="Y1130" s="207">
        <f t="shared" si="335"/>
        <v>79</v>
      </c>
      <c r="Z1130" s="139">
        <f t="shared" si="336"/>
        <v>59</v>
      </c>
      <c r="AA1130" s="139">
        <f t="shared" si="337"/>
        <v>20</v>
      </c>
      <c r="AC1130" s="47">
        <f t="shared" si="338"/>
        <v>40</v>
      </c>
      <c r="AD1130" s="47">
        <f t="shared" si="339"/>
        <v>30</v>
      </c>
      <c r="AE1130" s="47">
        <f t="shared" si="340"/>
        <v>10</v>
      </c>
      <c r="AG1130" s="47">
        <f t="shared" si="341"/>
        <v>39</v>
      </c>
      <c r="AH1130" s="47">
        <f t="shared" si="342"/>
        <v>29</v>
      </c>
      <c r="AI1130" s="208">
        <f t="shared" si="343"/>
        <v>10</v>
      </c>
    </row>
    <row r="1131" spans="1:35">
      <c r="A1131" t="s">
        <v>2185</v>
      </c>
      <c r="B1131" t="s">
        <v>3142</v>
      </c>
      <c r="C1131" t="s">
        <v>2189</v>
      </c>
      <c r="D1131" t="s">
        <v>4490</v>
      </c>
      <c r="F1131" t="s">
        <v>869</v>
      </c>
      <c r="G1131" s="126">
        <f>SUMIFS('Support - Transition'!F:F,'Support - Transition'!B:B,'Step 2'!A1131,'Support - Transition'!C:C,'Step 2'!B1131,'Support - Transition'!D:D,'Step 2'!C1131,'Support - Transition'!E:E,"CIVIL")</f>
        <v>1.274E-3</v>
      </c>
      <c r="H1131" s="126">
        <f>SUMIFS('Support - Transition'!F:F,'Support - Transition'!B:B,'Step 2'!A1131,'Support - Transition'!C:C,'Step 2'!B1131,'Support - Transition'!D:D,'Step 2'!C1131,'Support - Transition'!E:E,"FIRE")</f>
        <v>3.2400000000000001E-4</v>
      </c>
      <c r="I1131" s="126">
        <f>IF(B1131="0",SUMIFS('Support - Transition'!F:F,'Support - Transition'!J:J,'Step 2'!D1131,'Support - Transition'!E:E,"STATE UNIT"),SUMIFS('Support - Transition'!F:F,'Support - Transition'!J:J,'Step 2'!D1131))</f>
        <v>1.598E-3</v>
      </c>
      <c r="J1131" s="126">
        <f>SUMIFS('Support - Unit Adjustments'!E:E,'Support - Unit Adjustments'!F:F,'Step 2'!D1131)</f>
        <v>0</v>
      </c>
      <c r="K1131" s="126">
        <f t="shared" si="327"/>
        <v>1.598E-3</v>
      </c>
      <c r="L1131" s="174">
        <f>VLOOKUP(A1131,'Step 1'!$A:$E,4,FALSE)</f>
        <v>84409</v>
      </c>
      <c r="M1131" s="47">
        <f t="shared" si="328"/>
        <v>135</v>
      </c>
      <c r="N1131" s="177">
        <f>SUMIFS('Support - Transition'!G:G,'Support - Transition'!J:J,'Step 2'!D1131,'Support - Transition'!E:E,"2009 WELFARE ALLOCATION FACTOR")</f>
        <v>0</v>
      </c>
      <c r="O1131" s="152">
        <f t="shared" si="333"/>
        <v>0</v>
      </c>
      <c r="P1131" s="126">
        <f>IF(E1131="Y",0,SUMIFS('Support - Transition'!G:G,'Support - Transition'!J:J,'Step 2'!D1131,'Support - Transition'!E:E,"2009 SCHOOL ALLOCATION FACTOR"))</f>
        <v>0</v>
      </c>
      <c r="Q1131" s="126">
        <f>IF(E1131="Y",VLOOKUP(D1131,'Support - Unit Adjustments'!F:G,2,FALSE),0)</f>
        <v>0</v>
      </c>
      <c r="R1131" s="155">
        <f t="shared" si="345"/>
        <v>0</v>
      </c>
      <c r="S1131" s="47">
        <f t="shared" si="344"/>
        <v>0</v>
      </c>
      <c r="T1131" s="151">
        <f t="shared" si="329"/>
        <v>135</v>
      </c>
      <c r="U1131" s="151">
        <f t="shared" si="330"/>
        <v>0</v>
      </c>
      <c r="V1131" s="139">
        <f t="shared" si="331"/>
        <v>0</v>
      </c>
      <c r="W1131" s="152">
        <f t="shared" si="334"/>
        <v>135</v>
      </c>
      <c r="X1131" s="127" t="str">
        <f t="shared" si="332"/>
        <v/>
      </c>
      <c r="Y1131" s="207">
        <f t="shared" si="335"/>
        <v>135</v>
      </c>
      <c r="Z1131" s="139">
        <f t="shared" si="336"/>
        <v>108</v>
      </c>
      <c r="AA1131" s="139">
        <f t="shared" si="337"/>
        <v>27</v>
      </c>
      <c r="AC1131" s="47">
        <f t="shared" si="338"/>
        <v>68</v>
      </c>
      <c r="AD1131" s="47">
        <f t="shared" si="339"/>
        <v>54</v>
      </c>
      <c r="AE1131" s="47">
        <f t="shared" si="340"/>
        <v>14</v>
      </c>
      <c r="AG1131" s="47">
        <f t="shared" si="341"/>
        <v>67</v>
      </c>
      <c r="AH1131" s="47">
        <f t="shared" si="342"/>
        <v>54</v>
      </c>
      <c r="AI1131" s="208">
        <f t="shared" si="343"/>
        <v>13</v>
      </c>
    </row>
    <row r="1132" spans="1:35">
      <c r="A1132" t="s">
        <v>2185</v>
      </c>
      <c r="B1132" t="s">
        <v>3142</v>
      </c>
      <c r="C1132" t="s">
        <v>2190</v>
      </c>
      <c r="D1132" t="s">
        <v>4491</v>
      </c>
      <c r="F1132" t="s">
        <v>794</v>
      </c>
      <c r="G1132" s="126">
        <f>SUMIFS('Support - Transition'!F:F,'Support - Transition'!B:B,'Step 2'!A1132,'Support - Transition'!C:C,'Step 2'!B1132,'Support - Transition'!D:D,'Step 2'!C1132,'Support - Transition'!E:E,"CIVIL")</f>
        <v>5.5099999999999995E-4</v>
      </c>
      <c r="H1132" s="126">
        <f>SUMIFS('Support - Transition'!F:F,'Support - Transition'!B:B,'Step 2'!A1132,'Support - Transition'!C:C,'Step 2'!B1132,'Support - Transition'!D:D,'Step 2'!C1132,'Support - Transition'!E:E,"FIRE")</f>
        <v>2.1599999999999999E-4</v>
      </c>
      <c r="I1132" s="126">
        <f>IF(B1132="0",SUMIFS('Support - Transition'!F:F,'Support - Transition'!J:J,'Step 2'!D1132,'Support - Transition'!E:E,"STATE UNIT"),SUMIFS('Support - Transition'!F:F,'Support - Transition'!J:J,'Step 2'!D1132))</f>
        <v>7.6699999999999989E-4</v>
      </c>
      <c r="J1132" s="126">
        <f>SUMIFS('Support - Unit Adjustments'!E:E,'Support - Unit Adjustments'!F:F,'Step 2'!D1132)</f>
        <v>0</v>
      </c>
      <c r="K1132" s="126">
        <f t="shared" si="327"/>
        <v>7.6699999999999989E-4</v>
      </c>
      <c r="L1132" s="174">
        <f>VLOOKUP(A1132,'Step 1'!$A:$E,4,FALSE)</f>
        <v>84409</v>
      </c>
      <c r="M1132" s="47">
        <f t="shared" si="328"/>
        <v>65</v>
      </c>
      <c r="N1132" s="177">
        <f>SUMIFS('Support - Transition'!G:G,'Support - Transition'!J:J,'Step 2'!D1132,'Support - Transition'!E:E,"2009 WELFARE ALLOCATION FACTOR")</f>
        <v>0</v>
      </c>
      <c r="O1132" s="152">
        <f t="shared" si="333"/>
        <v>0</v>
      </c>
      <c r="P1132" s="126">
        <f>IF(E1132="Y",0,SUMIFS('Support - Transition'!G:G,'Support - Transition'!J:J,'Step 2'!D1132,'Support - Transition'!E:E,"2009 SCHOOL ALLOCATION FACTOR"))</f>
        <v>0</v>
      </c>
      <c r="Q1132" s="126">
        <f>IF(E1132="Y",VLOOKUP(D1132,'Support - Unit Adjustments'!F:G,2,FALSE),0)</f>
        <v>0</v>
      </c>
      <c r="R1132" s="155">
        <f t="shared" si="345"/>
        <v>0</v>
      </c>
      <c r="S1132" s="47">
        <f t="shared" si="344"/>
        <v>0</v>
      </c>
      <c r="T1132" s="151">
        <f t="shared" si="329"/>
        <v>65</v>
      </c>
      <c r="U1132" s="151">
        <f t="shared" si="330"/>
        <v>0</v>
      </c>
      <c r="V1132" s="139">
        <f t="shared" si="331"/>
        <v>0</v>
      </c>
      <c r="W1132" s="152">
        <f t="shared" si="334"/>
        <v>65</v>
      </c>
      <c r="X1132" s="127" t="str">
        <f t="shared" si="332"/>
        <v/>
      </c>
      <c r="Y1132" s="207">
        <f t="shared" si="335"/>
        <v>65</v>
      </c>
      <c r="Z1132" s="139">
        <f t="shared" si="336"/>
        <v>47</v>
      </c>
      <c r="AA1132" s="139">
        <f t="shared" si="337"/>
        <v>18</v>
      </c>
      <c r="AC1132" s="47">
        <f t="shared" si="338"/>
        <v>33</v>
      </c>
      <c r="AD1132" s="47">
        <f t="shared" si="339"/>
        <v>24</v>
      </c>
      <c r="AE1132" s="47">
        <f t="shared" si="340"/>
        <v>9</v>
      </c>
      <c r="AG1132" s="47">
        <f t="shared" si="341"/>
        <v>32</v>
      </c>
      <c r="AH1132" s="47">
        <f t="shared" si="342"/>
        <v>23</v>
      </c>
      <c r="AI1132" s="208">
        <f t="shared" si="343"/>
        <v>9</v>
      </c>
    </row>
    <row r="1133" spans="1:35">
      <c r="A1133" t="s">
        <v>2185</v>
      </c>
      <c r="B1133" t="s">
        <v>3142</v>
      </c>
      <c r="C1133" t="s">
        <v>2191</v>
      </c>
      <c r="D1133" t="s">
        <v>4492</v>
      </c>
      <c r="F1133" t="s">
        <v>52</v>
      </c>
      <c r="G1133" s="126">
        <f>SUMIFS('Support - Transition'!F:F,'Support - Transition'!B:B,'Step 2'!A1133,'Support - Transition'!C:C,'Step 2'!B1133,'Support - Transition'!D:D,'Step 2'!C1133,'Support - Transition'!E:E,"CIVIL")</f>
        <v>9.1459999999999996E-3</v>
      </c>
      <c r="H1133" s="126">
        <f>SUMIFS('Support - Transition'!F:F,'Support - Transition'!B:B,'Step 2'!A1133,'Support - Transition'!C:C,'Step 2'!B1133,'Support - Transition'!D:D,'Step 2'!C1133,'Support - Transition'!E:E,"FIRE")</f>
        <v>1.609E-3</v>
      </c>
      <c r="I1133" s="126">
        <f>IF(B1133="0",SUMIFS('Support - Transition'!F:F,'Support - Transition'!J:J,'Step 2'!D1133,'Support - Transition'!E:E,"STATE UNIT"),SUMIFS('Support - Transition'!F:F,'Support - Transition'!J:J,'Step 2'!D1133))</f>
        <v>1.0754999999999999E-2</v>
      </c>
      <c r="J1133" s="126">
        <f>SUMIFS('Support - Unit Adjustments'!E:E,'Support - Unit Adjustments'!F:F,'Step 2'!D1133)</f>
        <v>0</v>
      </c>
      <c r="K1133" s="126">
        <f t="shared" si="327"/>
        <v>1.0754999999999999E-2</v>
      </c>
      <c r="L1133" s="174">
        <f>VLOOKUP(A1133,'Step 1'!$A:$E,4,FALSE)</f>
        <v>84409</v>
      </c>
      <c r="M1133" s="47">
        <f t="shared" si="328"/>
        <v>908</v>
      </c>
      <c r="N1133" s="177">
        <f>SUMIFS('Support - Transition'!G:G,'Support - Transition'!J:J,'Step 2'!D1133,'Support - Transition'!E:E,"2009 WELFARE ALLOCATION FACTOR")</f>
        <v>0</v>
      </c>
      <c r="O1133" s="152">
        <f t="shared" si="333"/>
        <v>0</v>
      </c>
      <c r="P1133" s="126">
        <f>IF(E1133="Y",0,SUMIFS('Support - Transition'!G:G,'Support - Transition'!J:J,'Step 2'!D1133,'Support - Transition'!E:E,"2009 SCHOOL ALLOCATION FACTOR"))</f>
        <v>0</v>
      </c>
      <c r="Q1133" s="126">
        <f>IF(E1133="Y",VLOOKUP(D1133,'Support - Unit Adjustments'!F:G,2,FALSE),0)</f>
        <v>0</v>
      </c>
      <c r="R1133" s="155">
        <f t="shared" si="345"/>
        <v>0</v>
      </c>
      <c r="S1133" s="47">
        <f t="shared" si="344"/>
        <v>0</v>
      </c>
      <c r="T1133" s="151">
        <f t="shared" si="329"/>
        <v>908</v>
      </c>
      <c r="U1133" s="151">
        <f t="shared" si="330"/>
        <v>0</v>
      </c>
      <c r="V1133" s="139">
        <f t="shared" si="331"/>
        <v>0</v>
      </c>
      <c r="W1133" s="152">
        <f t="shared" si="334"/>
        <v>908</v>
      </c>
      <c r="X1133" s="127" t="str">
        <f t="shared" si="332"/>
        <v/>
      </c>
      <c r="Y1133" s="207">
        <f t="shared" si="335"/>
        <v>908</v>
      </c>
      <c r="Z1133" s="139">
        <f t="shared" si="336"/>
        <v>772</v>
      </c>
      <c r="AA1133" s="139">
        <f t="shared" si="337"/>
        <v>136</v>
      </c>
      <c r="AC1133" s="47">
        <f t="shared" si="338"/>
        <v>454</v>
      </c>
      <c r="AD1133" s="47">
        <f t="shared" si="339"/>
        <v>386</v>
      </c>
      <c r="AE1133" s="47">
        <f t="shared" si="340"/>
        <v>68</v>
      </c>
      <c r="AG1133" s="47">
        <f t="shared" si="341"/>
        <v>454</v>
      </c>
      <c r="AH1133" s="47">
        <f t="shared" si="342"/>
        <v>386</v>
      </c>
      <c r="AI1133" s="208">
        <f t="shared" si="343"/>
        <v>68</v>
      </c>
    </row>
    <row r="1134" spans="1:35">
      <c r="A1134" t="s">
        <v>2185</v>
      </c>
      <c r="B1134" t="s">
        <v>3142</v>
      </c>
      <c r="C1134" t="s">
        <v>2192</v>
      </c>
      <c r="D1134" t="s">
        <v>4493</v>
      </c>
      <c r="F1134" t="s">
        <v>870</v>
      </c>
      <c r="G1134" s="126">
        <f>SUMIFS('Support - Transition'!F:F,'Support - Transition'!B:B,'Step 2'!A1134,'Support - Transition'!C:C,'Step 2'!B1134,'Support - Transition'!D:D,'Step 2'!C1134,'Support - Transition'!E:E,"CIVIL")</f>
        <v>2.1599999999999999E-4</v>
      </c>
      <c r="H1134" s="126">
        <f>SUMIFS('Support - Transition'!F:F,'Support - Transition'!B:B,'Step 2'!A1134,'Support - Transition'!C:C,'Step 2'!B1134,'Support - Transition'!D:D,'Step 2'!C1134,'Support - Transition'!E:E,"FIRE")</f>
        <v>1.94E-4</v>
      </c>
      <c r="I1134" s="126">
        <f>IF(B1134="0",SUMIFS('Support - Transition'!F:F,'Support - Transition'!J:J,'Step 2'!D1134,'Support - Transition'!E:E,"STATE UNIT"),SUMIFS('Support - Transition'!F:F,'Support - Transition'!J:J,'Step 2'!D1134))</f>
        <v>4.0999999999999999E-4</v>
      </c>
      <c r="J1134" s="126">
        <f>SUMIFS('Support - Unit Adjustments'!E:E,'Support - Unit Adjustments'!F:F,'Step 2'!D1134)</f>
        <v>0</v>
      </c>
      <c r="K1134" s="126">
        <f t="shared" si="327"/>
        <v>4.0999999999999999E-4</v>
      </c>
      <c r="L1134" s="174">
        <f>VLOOKUP(A1134,'Step 1'!$A:$E,4,FALSE)</f>
        <v>84409</v>
      </c>
      <c r="M1134" s="47">
        <f t="shared" si="328"/>
        <v>35</v>
      </c>
      <c r="N1134" s="177">
        <f>SUMIFS('Support - Transition'!G:G,'Support - Transition'!J:J,'Step 2'!D1134,'Support - Transition'!E:E,"2009 WELFARE ALLOCATION FACTOR")</f>
        <v>0</v>
      </c>
      <c r="O1134" s="152">
        <f t="shared" si="333"/>
        <v>0</v>
      </c>
      <c r="P1134" s="126">
        <f>IF(E1134="Y",0,SUMIFS('Support - Transition'!G:G,'Support - Transition'!J:J,'Step 2'!D1134,'Support - Transition'!E:E,"2009 SCHOOL ALLOCATION FACTOR"))</f>
        <v>0</v>
      </c>
      <c r="Q1134" s="126">
        <f>IF(E1134="Y",VLOOKUP(D1134,'Support - Unit Adjustments'!F:G,2,FALSE),0)</f>
        <v>0</v>
      </c>
      <c r="R1134" s="155">
        <f t="shared" si="345"/>
        <v>0</v>
      </c>
      <c r="S1134" s="47">
        <f t="shared" si="344"/>
        <v>0</v>
      </c>
      <c r="T1134" s="151">
        <f t="shared" si="329"/>
        <v>35</v>
      </c>
      <c r="U1134" s="151">
        <f t="shared" si="330"/>
        <v>0</v>
      </c>
      <c r="V1134" s="139">
        <f t="shared" si="331"/>
        <v>0</v>
      </c>
      <c r="W1134" s="152">
        <f t="shared" si="334"/>
        <v>35</v>
      </c>
      <c r="X1134" s="127" t="str">
        <f t="shared" si="332"/>
        <v/>
      </c>
      <c r="Y1134" s="207">
        <f t="shared" si="335"/>
        <v>35</v>
      </c>
      <c r="Z1134" s="139">
        <f t="shared" si="336"/>
        <v>18</v>
      </c>
      <c r="AA1134" s="139">
        <f t="shared" si="337"/>
        <v>17</v>
      </c>
      <c r="AC1134" s="47">
        <f t="shared" si="338"/>
        <v>18</v>
      </c>
      <c r="AD1134" s="47">
        <f t="shared" si="339"/>
        <v>9</v>
      </c>
      <c r="AE1134" s="47">
        <f t="shared" si="340"/>
        <v>9</v>
      </c>
      <c r="AG1134" s="47">
        <f t="shared" si="341"/>
        <v>17</v>
      </c>
      <c r="AH1134" s="47">
        <f t="shared" si="342"/>
        <v>9</v>
      </c>
      <c r="AI1134" s="208">
        <f t="shared" si="343"/>
        <v>8</v>
      </c>
    </row>
    <row r="1135" spans="1:35">
      <c r="A1135" t="s">
        <v>2185</v>
      </c>
      <c r="B1135" t="s">
        <v>3142</v>
      </c>
      <c r="C1135" t="s">
        <v>2193</v>
      </c>
      <c r="D1135" t="s">
        <v>4494</v>
      </c>
      <c r="F1135" t="s">
        <v>16</v>
      </c>
      <c r="G1135" s="126">
        <f>SUMIFS('Support - Transition'!F:F,'Support - Transition'!B:B,'Step 2'!A1135,'Support - Transition'!C:C,'Step 2'!B1135,'Support - Transition'!D:D,'Step 2'!C1135,'Support - Transition'!E:E,"CIVIL")</f>
        <v>6.4999999999999994E-5</v>
      </c>
      <c r="H1135" s="126">
        <f>SUMIFS('Support - Transition'!F:F,'Support - Transition'!B:B,'Step 2'!A1135,'Support - Transition'!C:C,'Step 2'!B1135,'Support - Transition'!D:D,'Step 2'!C1135,'Support - Transition'!E:E,"FIRE")</f>
        <v>2.1999999999999999E-5</v>
      </c>
      <c r="I1135" s="126">
        <f>IF(B1135="0",SUMIFS('Support - Transition'!F:F,'Support - Transition'!J:J,'Step 2'!D1135,'Support - Transition'!E:E,"STATE UNIT"),SUMIFS('Support - Transition'!F:F,'Support - Transition'!J:J,'Step 2'!D1135))</f>
        <v>8.7000000000000001E-5</v>
      </c>
      <c r="J1135" s="126">
        <f>SUMIFS('Support - Unit Adjustments'!E:E,'Support - Unit Adjustments'!F:F,'Step 2'!D1135)</f>
        <v>0</v>
      </c>
      <c r="K1135" s="126">
        <f t="shared" si="327"/>
        <v>8.7000000000000001E-5</v>
      </c>
      <c r="L1135" s="174">
        <f>VLOOKUP(A1135,'Step 1'!$A:$E,4,FALSE)</f>
        <v>84409</v>
      </c>
      <c r="M1135" s="47">
        <f t="shared" si="328"/>
        <v>7</v>
      </c>
      <c r="N1135" s="177">
        <f>SUMIFS('Support - Transition'!G:G,'Support - Transition'!J:J,'Step 2'!D1135,'Support - Transition'!E:E,"2009 WELFARE ALLOCATION FACTOR")</f>
        <v>0</v>
      </c>
      <c r="O1135" s="152">
        <f t="shared" si="333"/>
        <v>0</v>
      </c>
      <c r="P1135" s="126">
        <f>IF(E1135="Y",0,SUMIFS('Support - Transition'!G:G,'Support - Transition'!J:J,'Step 2'!D1135,'Support - Transition'!E:E,"2009 SCHOOL ALLOCATION FACTOR"))</f>
        <v>0</v>
      </c>
      <c r="Q1135" s="126">
        <f>IF(E1135="Y",VLOOKUP(D1135,'Support - Unit Adjustments'!F:G,2,FALSE),0)</f>
        <v>0</v>
      </c>
      <c r="R1135" s="155">
        <f t="shared" si="345"/>
        <v>0</v>
      </c>
      <c r="S1135" s="47">
        <f t="shared" si="344"/>
        <v>0</v>
      </c>
      <c r="T1135" s="151">
        <f t="shared" si="329"/>
        <v>7</v>
      </c>
      <c r="U1135" s="151">
        <f t="shared" si="330"/>
        <v>0</v>
      </c>
      <c r="V1135" s="139">
        <f t="shared" si="331"/>
        <v>0</v>
      </c>
      <c r="W1135" s="152">
        <f t="shared" si="334"/>
        <v>7</v>
      </c>
      <c r="X1135" s="127" t="str">
        <f t="shared" si="332"/>
        <v/>
      </c>
      <c r="Y1135" s="207">
        <f t="shared" si="335"/>
        <v>7</v>
      </c>
      <c r="Z1135" s="139">
        <f t="shared" si="336"/>
        <v>5</v>
      </c>
      <c r="AA1135" s="139">
        <f t="shared" si="337"/>
        <v>2</v>
      </c>
      <c r="AC1135" s="47">
        <f t="shared" si="338"/>
        <v>4</v>
      </c>
      <c r="AD1135" s="47">
        <f t="shared" si="339"/>
        <v>3</v>
      </c>
      <c r="AE1135" s="47">
        <f t="shared" si="340"/>
        <v>1</v>
      </c>
      <c r="AG1135" s="47">
        <f t="shared" si="341"/>
        <v>3</v>
      </c>
      <c r="AH1135" s="47">
        <f t="shared" si="342"/>
        <v>2</v>
      </c>
      <c r="AI1135" s="208">
        <f t="shared" si="343"/>
        <v>1</v>
      </c>
    </row>
    <row r="1136" spans="1:35">
      <c r="A1136" t="s">
        <v>2185</v>
      </c>
      <c r="B1136" t="s">
        <v>3142</v>
      </c>
      <c r="C1136" t="s">
        <v>2194</v>
      </c>
      <c r="D1136" t="s">
        <v>4495</v>
      </c>
      <c r="F1136" t="s">
        <v>871</v>
      </c>
      <c r="G1136" s="126">
        <f>SUMIFS('Support - Transition'!F:F,'Support - Transition'!B:B,'Step 2'!A1136,'Support - Transition'!C:C,'Step 2'!B1136,'Support - Transition'!D:D,'Step 2'!C1136,'Support - Transition'!E:E,"CIVIL")</f>
        <v>2.343E-3</v>
      </c>
      <c r="H1136" s="126">
        <f>SUMIFS('Support - Transition'!F:F,'Support - Transition'!B:B,'Step 2'!A1136,'Support - Transition'!C:C,'Step 2'!B1136,'Support - Transition'!D:D,'Step 2'!C1136,'Support - Transition'!E:E,"FIRE")</f>
        <v>6.4800000000000003E-4</v>
      </c>
      <c r="I1136" s="126">
        <f>IF(B1136="0",SUMIFS('Support - Transition'!F:F,'Support - Transition'!J:J,'Step 2'!D1136,'Support - Transition'!E:E,"STATE UNIT"),SUMIFS('Support - Transition'!F:F,'Support - Transition'!J:J,'Step 2'!D1136))</f>
        <v>2.9910000000000002E-3</v>
      </c>
      <c r="J1136" s="126">
        <f>SUMIFS('Support - Unit Adjustments'!E:E,'Support - Unit Adjustments'!F:F,'Step 2'!D1136)</f>
        <v>0</v>
      </c>
      <c r="K1136" s="126">
        <f t="shared" si="327"/>
        <v>2.9910000000000002E-3</v>
      </c>
      <c r="L1136" s="174">
        <f>VLOOKUP(A1136,'Step 1'!$A:$E,4,FALSE)</f>
        <v>84409</v>
      </c>
      <c r="M1136" s="47">
        <f t="shared" si="328"/>
        <v>252</v>
      </c>
      <c r="N1136" s="177">
        <f>SUMIFS('Support - Transition'!G:G,'Support - Transition'!J:J,'Step 2'!D1136,'Support - Transition'!E:E,"2009 WELFARE ALLOCATION FACTOR")</f>
        <v>0</v>
      </c>
      <c r="O1136" s="152">
        <f t="shared" si="333"/>
        <v>0</v>
      </c>
      <c r="P1136" s="126">
        <f>IF(E1136="Y",0,SUMIFS('Support - Transition'!G:G,'Support - Transition'!J:J,'Step 2'!D1136,'Support - Transition'!E:E,"2009 SCHOOL ALLOCATION FACTOR"))</f>
        <v>0</v>
      </c>
      <c r="Q1136" s="126">
        <f>IF(E1136="Y",VLOOKUP(D1136,'Support - Unit Adjustments'!F:G,2,FALSE),0)</f>
        <v>0</v>
      </c>
      <c r="R1136" s="155">
        <f t="shared" si="345"/>
        <v>0</v>
      </c>
      <c r="S1136" s="47">
        <f t="shared" si="344"/>
        <v>0</v>
      </c>
      <c r="T1136" s="151">
        <f t="shared" si="329"/>
        <v>252</v>
      </c>
      <c r="U1136" s="151">
        <f t="shared" si="330"/>
        <v>0</v>
      </c>
      <c r="V1136" s="139">
        <f t="shared" si="331"/>
        <v>0</v>
      </c>
      <c r="W1136" s="152">
        <f t="shared" si="334"/>
        <v>252</v>
      </c>
      <c r="X1136" s="127" t="str">
        <f t="shared" si="332"/>
        <v/>
      </c>
      <c r="Y1136" s="207">
        <f t="shared" si="335"/>
        <v>252</v>
      </c>
      <c r="Z1136" s="139">
        <f t="shared" si="336"/>
        <v>197</v>
      </c>
      <c r="AA1136" s="139">
        <f t="shared" si="337"/>
        <v>55</v>
      </c>
      <c r="AC1136" s="47">
        <f t="shared" si="338"/>
        <v>126</v>
      </c>
      <c r="AD1136" s="47">
        <f t="shared" si="339"/>
        <v>99</v>
      </c>
      <c r="AE1136" s="47">
        <f t="shared" si="340"/>
        <v>28</v>
      </c>
      <c r="AG1136" s="47">
        <f t="shared" si="341"/>
        <v>126</v>
      </c>
      <c r="AH1136" s="47">
        <f t="shared" si="342"/>
        <v>98</v>
      </c>
      <c r="AI1136" s="208">
        <f t="shared" si="343"/>
        <v>27</v>
      </c>
    </row>
    <row r="1137" spans="1:35">
      <c r="A1137" t="s">
        <v>2185</v>
      </c>
      <c r="B1137" t="s">
        <v>3142</v>
      </c>
      <c r="C1137" t="s">
        <v>2195</v>
      </c>
      <c r="D1137" t="s">
        <v>4496</v>
      </c>
      <c r="F1137" t="s">
        <v>872</v>
      </c>
      <c r="G1137" s="126">
        <f>SUMIFS('Support - Transition'!F:F,'Support - Transition'!B:B,'Step 2'!A1137,'Support - Transition'!C:C,'Step 2'!B1137,'Support - Transition'!D:D,'Step 2'!C1137,'Support - Transition'!E:E,"CIVIL")</f>
        <v>1.738E-3</v>
      </c>
      <c r="H1137" s="126">
        <f>SUMIFS('Support - Transition'!F:F,'Support - Transition'!B:B,'Step 2'!A1137,'Support - Transition'!C:C,'Step 2'!B1137,'Support - Transition'!D:D,'Step 2'!C1137,'Support - Transition'!E:E,"FIRE")</f>
        <v>5.1800000000000001E-4</v>
      </c>
      <c r="I1137" s="126">
        <f>IF(B1137="0",SUMIFS('Support - Transition'!F:F,'Support - Transition'!J:J,'Step 2'!D1137,'Support - Transition'!E:E,"STATE UNIT"),SUMIFS('Support - Transition'!F:F,'Support - Transition'!J:J,'Step 2'!D1137))</f>
        <v>2.2560000000000002E-3</v>
      </c>
      <c r="J1137" s="126">
        <f>SUMIFS('Support - Unit Adjustments'!E:E,'Support - Unit Adjustments'!F:F,'Step 2'!D1137)</f>
        <v>0</v>
      </c>
      <c r="K1137" s="126">
        <f t="shared" si="327"/>
        <v>2.2560000000000002E-3</v>
      </c>
      <c r="L1137" s="174">
        <f>VLOOKUP(A1137,'Step 1'!$A:$E,4,FALSE)</f>
        <v>84409</v>
      </c>
      <c r="M1137" s="47">
        <f t="shared" si="328"/>
        <v>190</v>
      </c>
      <c r="N1137" s="177">
        <f>SUMIFS('Support - Transition'!G:G,'Support - Transition'!J:J,'Step 2'!D1137,'Support - Transition'!E:E,"2009 WELFARE ALLOCATION FACTOR")</f>
        <v>0</v>
      </c>
      <c r="O1137" s="152">
        <f t="shared" si="333"/>
        <v>0</v>
      </c>
      <c r="P1137" s="126">
        <f>IF(E1137="Y",0,SUMIFS('Support - Transition'!G:G,'Support - Transition'!J:J,'Step 2'!D1137,'Support - Transition'!E:E,"2009 SCHOOL ALLOCATION FACTOR"))</f>
        <v>0</v>
      </c>
      <c r="Q1137" s="126">
        <f>IF(E1137="Y",VLOOKUP(D1137,'Support - Unit Adjustments'!F:G,2,FALSE),0)</f>
        <v>0</v>
      </c>
      <c r="R1137" s="155">
        <f t="shared" si="345"/>
        <v>0</v>
      </c>
      <c r="S1137" s="47">
        <f t="shared" si="344"/>
        <v>0</v>
      </c>
      <c r="T1137" s="151">
        <f t="shared" si="329"/>
        <v>190</v>
      </c>
      <c r="U1137" s="151">
        <f t="shared" si="330"/>
        <v>0</v>
      </c>
      <c r="V1137" s="139">
        <f t="shared" si="331"/>
        <v>0</v>
      </c>
      <c r="W1137" s="152">
        <f t="shared" si="334"/>
        <v>190</v>
      </c>
      <c r="X1137" s="127" t="str">
        <f t="shared" si="332"/>
        <v/>
      </c>
      <c r="Y1137" s="207">
        <f t="shared" si="335"/>
        <v>190</v>
      </c>
      <c r="Z1137" s="139">
        <f t="shared" si="336"/>
        <v>146</v>
      </c>
      <c r="AA1137" s="139">
        <f t="shared" si="337"/>
        <v>44</v>
      </c>
      <c r="AC1137" s="47">
        <f t="shared" si="338"/>
        <v>95</v>
      </c>
      <c r="AD1137" s="47">
        <f t="shared" si="339"/>
        <v>73</v>
      </c>
      <c r="AE1137" s="47">
        <f t="shared" si="340"/>
        <v>22</v>
      </c>
      <c r="AG1137" s="47">
        <f t="shared" si="341"/>
        <v>95</v>
      </c>
      <c r="AH1137" s="47">
        <f t="shared" si="342"/>
        <v>73</v>
      </c>
      <c r="AI1137" s="208">
        <f t="shared" si="343"/>
        <v>22</v>
      </c>
    </row>
    <row r="1138" spans="1:35">
      <c r="A1138" t="s">
        <v>2185</v>
      </c>
      <c r="B1138" t="s">
        <v>3142</v>
      </c>
      <c r="C1138" t="s">
        <v>2196</v>
      </c>
      <c r="D1138" t="s">
        <v>4497</v>
      </c>
      <c r="F1138" t="s">
        <v>873</v>
      </c>
      <c r="G1138" s="126">
        <f>SUMIFS('Support - Transition'!F:F,'Support - Transition'!B:B,'Step 2'!A1138,'Support - Transition'!C:C,'Step 2'!B1138,'Support - Transition'!D:D,'Step 2'!C1138,'Support - Transition'!E:E,"CIVIL")</f>
        <v>7.6000000000000004E-5</v>
      </c>
      <c r="H1138" s="126">
        <f>SUMIFS('Support - Transition'!F:F,'Support - Transition'!B:B,'Step 2'!A1138,'Support - Transition'!C:C,'Step 2'!B1138,'Support - Transition'!D:D,'Step 2'!C1138,'Support - Transition'!E:E,"FIRE")</f>
        <v>3.1999999999999999E-5</v>
      </c>
      <c r="I1138" s="126">
        <f>IF(B1138="0",SUMIFS('Support - Transition'!F:F,'Support - Transition'!J:J,'Step 2'!D1138,'Support - Transition'!E:E,"STATE UNIT"),SUMIFS('Support - Transition'!F:F,'Support - Transition'!J:J,'Step 2'!D1138))</f>
        <v>1.08E-4</v>
      </c>
      <c r="J1138" s="126">
        <f>SUMIFS('Support - Unit Adjustments'!E:E,'Support - Unit Adjustments'!F:F,'Step 2'!D1138)</f>
        <v>0</v>
      </c>
      <c r="K1138" s="126">
        <f t="shared" si="327"/>
        <v>1.08E-4</v>
      </c>
      <c r="L1138" s="174">
        <f>VLOOKUP(A1138,'Step 1'!$A:$E,4,FALSE)</f>
        <v>84409</v>
      </c>
      <c r="M1138" s="47">
        <f t="shared" si="328"/>
        <v>9</v>
      </c>
      <c r="N1138" s="177">
        <f>SUMIFS('Support - Transition'!G:G,'Support - Transition'!J:J,'Step 2'!D1138,'Support - Transition'!E:E,"2009 WELFARE ALLOCATION FACTOR")</f>
        <v>0</v>
      </c>
      <c r="O1138" s="152">
        <f t="shared" si="333"/>
        <v>0</v>
      </c>
      <c r="P1138" s="126">
        <f>IF(E1138="Y",0,SUMIFS('Support - Transition'!G:G,'Support - Transition'!J:J,'Step 2'!D1138,'Support - Transition'!E:E,"2009 SCHOOL ALLOCATION FACTOR"))</f>
        <v>0</v>
      </c>
      <c r="Q1138" s="126">
        <f>IF(E1138="Y",VLOOKUP(D1138,'Support - Unit Adjustments'!F:G,2,FALSE),0)</f>
        <v>0</v>
      </c>
      <c r="R1138" s="155">
        <f t="shared" si="345"/>
        <v>0</v>
      </c>
      <c r="S1138" s="47">
        <f t="shared" si="344"/>
        <v>0</v>
      </c>
      <c r="T1138" s="151">
        <f t="shared" si="329"/>
        <v>9</v>
      </c>
      <c r="U1138" s="151">
        <f t="shared" si="330"/>
        <v>0</v>
      </c>
      <c r="V1138" s="139">
        <f t="shared" si="331"/>
        <v>0</v>
      </c>
      <c r="W1138" s="152">
        <f t="shared" si="334"/>
        <v>9</v>
      </c>
      <c r="X1138" s="127" t="str">
        <f t="shared" si="332"/>
        <v/>
      </c>
      <c r="Y1138" s="207">
        <f t="shared" si="335"/>
        <v>9</v>
      </c>
      <c r="Z1138" s="139">
        <f t="shared" si="336"/>
        <v>6</v>
      </c>
      <c r="AA1138" s="139">
        <f t="shared" si="337"/>
        <v>3</v>
      </c>
      <c r="AC1138" s="47">
        <f t="shared" si="338"/>
        <v>5</v>
      </c>
      <c r="AD1138" s="47">
        <f t="shared" si="339"/>
        <v>3</v>
      </c>
      <c r="AE1138" s="47">
        <f t="shared" si="340"/>
        <v>2</v>
      </c>
      <c r="AG1138" s="47">
        <f t="shared" si="341"/>
        <v>4</v>
      </c>
      <c r="AH1138" s="47">
        <f t="shared" si="342"/>
        <v>3</v>
      </c>
      <c r="AI1138" s="208">
        <f t="shared" si="343"/>
        <v>1</v>
      </c>
    </row>
    <row r="1139" spans="1:35">
      <c r="A1139" t="s">
        <v>2185</v>
      </c>
      <c r="B1139" t="s">
        <v>3142</v>
      </c>
      <c r="C1139" t="s">
        <v>2197</v>
      </c>
      <c r="D1139" t="s">
        <v>4498</v>
      </c>
      <c r="F1139" t="s">
        <v>874</v>
      </c>
      <c r="G1139" s="126">
        <f>SUMIFS('Support - Transition'!F:F,'Support - Transition'!B:B,'Step 2'!A1139,'Support - Transition'!C:C,'Step 2'!B1139,'Support - Transition'!D:D,'Step 2'!C1139,'Support - Transition'!E:E,"CIVIL")</f>
        <v>9.2900000000000003E-4</v>
      </c>
      <c r="H1139" s="126">
        <f>SUMIFS('Support - Transition'!F:F,'Support - Transition'!B:B,'Step 2'!A1139,'Support - Transition'!C:C,'Step 2'!B1139,'Support - Transition'!D:D,'Step 2'!C1139,'Support - Transition'!E:E,"FIRE")</f>
        <v>3.0200000000000002E-4</v>
      </c>
      <c r="I1139" s="126">
        <f>IF(B1139="0",SUMIFS('Support - Transition'!F:F,'Support - Transition'!J:J,'Step 2'!D1139,'Support - Transition'!E:E,"STATE UNIT"),SUMIFS('Support - Transition'!F:F,'Support - Transition'!J:J,'Step 2'!D1139))</f>
        <v>1.2310000000000001E-3</v>
      </c>
      <c r="J1139" s="126">
        <f>SUMIFS('Support - Unit Adjustments'!E:E,'Support - Unit Adjustments'!F:F,'Step 2'!D1139)</f>
        <v>0</v>
      </c>
      <c r="K1139" s="126">
        <f t="shared" si="327"/>
        <v>1.2310000000000001E-3</v>
      </c>
      <c r="L1139" s="174">
        <f>VLOOKUP(A1139,'Step 1'!$A:$E,4,FALSE)</f>
        <v>84409</v>
      </c>
      <c r="M1139" s="47">
        <f t="shared" si="328"/>
        <v>104</v>
      </c>
      <c r="N1139" s="177">
        <f>SUMIFS('Support - Transition'!G:G,'Support - Transition'!J:J,'Step 2'!D1139,'Support - Transition'!E:E,"2009 WELFARE ALLOCATION FACTOR")</f>
        <v>0</v>
      </c>
      <c r="O1139" s="152">
        <f t="shared" si="333"/>
        <v>0</v>
      </c>
      <c r="P1139" s="126">
        <f>IF(E1139="Y",0,SUMIFS('Support - Transition'!G:G,'Support - Transition'!J:J,'Step 2'!D1139,'Support - Transition'!E:E,"2009 SCHOOL ALLOCATION FACTOR"))</f>
        <v>0</v>
      </c>
      <c r="Q1139" s="126">
        <f>IF(E1139="Y",VLOOKUP(D1139,'Support - Unit Adjustments'!F:G,2,FALSE),0)</f>
        <v>0</v>
      </c>
      <c r="R1139" s="155">
        <f t="shared" si="345"/>
        <v>0</v>
      </c>
      <c r="S1139" s="47">
        <f t="shared" si="344"/>
        <v>0</v>
      </c>
      <c r="T1139" s="151">
        <f t="shared" si="329"/>
        <v>104</v>
      </c>
      <c r="U1139" s="151">
        <f t="shared" si="330"/>
        <v>0</v>
      </c>
      <c r="V1139" s="139">
        <f t="shared" si="331"/>
        <v>0</v>
      </c>
      <c r="W1139" s="152">
        <f t="shared" si="334"/>
        <v>104</v>
      </c>
      <c r="X1139" s="127" t="str">
        <f t="shared" si="332"/>
        <v/>
      </c>
      <c r="Y1139" s="207">
        <f t="shared" si="335"/>
        <v>104</v>
      </c>
      <c r="Z1139" s="139">
        <f t="shared" si="336"/>
        <v>78</v>
      </c>
      <c r="AA1139" s="139">
        <f t="shared" si="337"/>
        <v>26</v>
      </c>
      <c r="AC1139" s="47">
        <f t="shared" si="338"/>
        <v>52</v>
      </c>
      <c r="AD1139" s="47">
        <f t="shared" si="339"/>
        <v>39</v>
      </c>
      <c r="AE1139" s="47">
        <f t="shared" si="340"/>
        <v>13</v>
      </c>
      <c r="AG1139" s="47">
        <f t="shared" si="341"/>
        <v>52</v>
      </c>
      <c r="AH1139" s="47">
        <f t="shared" si="342"/>
        <v>39</v>
      </c>
      <c r="AI1139" s="208">
        <f t="shared" si="343"/>
        <v>13</v>
      </c>
    </row>
    <row r="1140" spans="1:35">
      <c r="A1140" t="s">
        <v>2185</v>
      </c>
      <c r="B1140" t="s">
        <v>3155</v>
      </c>
      <c r="C1140" t="s">
        <v>2633</v>
      </c>
      <c r="D1140" t="s">
        <v>4499</v>
      </c>
      <c r="F1140" t="s">
        <v>878</v>
      </c>
      <c r="G1140" s="126">
        <f>SUMIFS('Support - Transition'!F:F,'Support - Transition'!B:B,'Step 2'!A1140,'Support - Transition'!C:C,'Step 2'!B1140,'Support - Transition'!D:D,'Step 2'!C1140,'Support - Transition'!E:E,"CIVIL")</f>
        <v>0</v>
      </c>
      <c r="H1140" s="126">
        <f>SUMIFS('Support - Transition'!F:F,'Support - Transition'!B:B,'Step 2'!A1140,'Support - Transition'!C:C,'Step 2'!B1140,'Support - Transition'!D:D,'Step 2'!C1140,'Support - Transition'!E:E,"FIRE")</f>
        <v>0</v>
      </c>
      <c r="I1140" s="126">
        <f>IF(B1140="0",SUMIFS('Support - Transition'!F:F,'Support - Transition'!J:J,'Step 2'!D1140,'Support - Transition'!E:E,"STATE UNIT"),SUMIFS('Support - Transition'!F:F,'Support - Transition'!J:J,'Step 2'!D1140))</f>
        <v>6.2896999999999995E-2</v>
      </c>
      <c r="J1140" s="126">
        <f>SUMIFS('Support - Unit Adjustments'!E:E,'Support - Unit Adjustments'!F:F,'Step 2'!D1140)</f>
        <v>0</v>
      </c>
      <c r="K1140" s="126">
        <f t="shared" si="327"/>
        <v>6.2896999999999995E-2</v>
      </c>
      <c r="L1140" s="174">
        <f>VLOOKUP(A1140,'Step 1'!$A:$E,4,FALSE)</f>
        <v>84409</v>
      </c>
      <c r="M1140" s="47">
        <f t="shared" si="328"/>
        <v>5309</v>
      </c>
      <c r="N1140" s="177">
        <f>SUMIFS('Support - Transition'!G:G,'Support - Transition'!J:J,'Step 2'!D1140,'Support - Transition'!E:E,"2009 WELFARE ALLOCATION FACTOR")</f>
        <v>0</v>
      </c>
      <c r="O1140" s="152">
        <f t="shared" si="333"/>
        <v>0</v>
      </c>
      <c r="P1140" s="126">
        <f>IF(E1140="Y",0,SUMIFS('Support - Transition'!G:G,'Support - Transition'!J:J,'Step 2'!D1140,'Support - Transition'!E:E,"2009 SCHOOL ALLOCATION FACTOR"))</f>
        <v>0</v>
      </c>
      <c r="Q1140" s="126">
        <f>IF(E1140="Y",VLOOKUP(D1140,'Support - Unit Adjustments'!F:G,2,FALSE),0)</f>
        <v>0</v>
      </c>
      <c r="R1140" s="155">
        <f t="shared" si="345"/>
        <v>0</v>
      </c>
      <c r="S1140" s="47">
        <f t="shared" si="344"/>
        <v>0</v>
      </c>
      <c r="T1140" s="151">
        <f t="shared" si="329"/>
        <v>5309</v>
      </c>
      <c r="U1140" s="151">
        <f t="shared" si="330"/>
        <v>0</v>
      </c>
      <c r="V1140" s="139">
        <f t="shared" si="331"/>
        <v>0</v>
      </c>
      <c r="W1140" s="152">
        <f t="shared" si="334"/>
        <v>5309</v>
      </c>
      <c r="X1140" s="127" t="str">
        <f t="shared" si="332"/>
        <v/>
      </c>
      <c r="Y1140" s="207">
        <f t="shared" si="335"/>
        <v>5309</v>
      </c>
      <c r="Z1140" s="139">
        <f t="shared" si="336"/>
        <v>5309</v>
      </c>
      <c r="AA1140" s="139">
        <f t="shared" si="337"/>
        <v>0</v>
      </c>
      <c r="AC1140" s="47">
        <f t="shared" si="338"/>
        <v>2655</v>
      </c>
      <c r="AD1140" s="47">
        <f t="shared" si="339"/>
        <v>2655</v>
      </c>
      <c r="AE1140" s="47">
        <f t="shared" si="340"/>
        <v>0</v>
      </c>
      <c r="AG1140" s="47">
        <f t="shared" si="341"/>
        <v>2654</v>
      </c>
      <c r="AH1140" s="47">
        <f t="shared" si="342"/>
        <v>2654</v>
      </c>
      <c r="AI1140" s="208">
        <f t="shared" si="343"/>
        <v>0</v>
      </c>
    </row>
    <row r="1141" spans="1:35">
      <c r="A1141" t="s">
        <v>2185</v>
      </c>
      <c r="B1141" t="s">
        <v>3155</v>
      </c>
      <c r="C1141" t="s">
        <v>2634</v>
      </c>
      <c r="D1141" t="s">
        <v>4500</v>
      </c>
      <c r="F1141" t="s">
        <v>875</v>
      </c>
      <c r="G1141" s="126">
        <f>SUMIFS('Support - Transition'!F:F,'Support - Transition'!B:B,'Step 2'!A1141,'Support - Transition'!C:C,'Step 2'!B1141,'Support - Transition'!D:D,'Step 2'!C1141,'Support - Transition'!E:E,"CIVIL")</f>
        <v>0</v>
      </c>
      <c r="H1141" s="126">
        <f>SUMIFS('Support - Transition'!F:F,'Support - Transition'!B:B,'Step 2'!A1141,'Support - Transition'!C:C,'Step 2'!B1141,'Support - Transition'!D:D,'Step 2'!C1141,'Support - Transition'!E:E,"FIRE")</f>
        <v>0</v>
      </c>
      <c r="I1141" s="126">
        <f>IF(B1141="0",SUMIFS('Support - Transition'!F:F,'Support - Transition'!J:J,'Step 2'!D1141,'Support - Transition'!E:E,"STATE UNIT"),SUMIFS('Support - Transition'!F:F,'Support - Transition'!J:J,'Step 2'!D1141))</f>
        <v>0</v>
      </c>
      <c r="J1141" s="126">
        <f>SUMIFS('Support - Unit Adjustments'!E:E,'Support - Unit Adjustments'!F:F,'Step 2'!D1141)</f>
        <v>0</v>
      </c>
      <c r="K1141" s="126">
        <f t="shared" si="327"/>
        <v>0</v>
      </c>
      <c r="L1141" s="174">
        <f>VLOOKUP(A1141,'Step 1'!$A:$E,4,FALSE)</f>
        <v>84409</v>
      </c>
      <c r="M1141" s="47">
        <f t="shared" si="328"/>
        <v>0</v>
      </c>
      <c r="N1141" s="177">
        <f>SUMIFS('Support - Transition'!G:G,'Support - Transition'!J:J,'Step 2'!D1141,'Support - Transition'!E:E,"2009 WELFARE ALLOCATION FACTOR")</f>
        <v>0</v>
      </c>
      <c r="O1141" s="152">
        <f t="shared" si="333"/>
        <v>0</v>
      </c>
      <c r="P1141" s="126">
        <f>IF(E1141="Y",0,SUMIFS('Support - Transition'!G:G,'Support - Transition'!J:J,'Step 2'!D1141,'Support - Transition'!E:E,"2009 SCHOOL ALLOCATION FACTOR"))</f>
        <v>0</v>
      </c>
      <c r="Q1141" s="126">
        <f>IF(E1141="Y",VLOOKUP(D1141,'Support - Unit Adjustments'!F:G,2,FALSE),0)</f>
        <v>0</v>
      </c>
      <c r="R1141" s="155">
        <f t="shared" si="345"/>
        <v>0</v>
      </c>
      <c r="S1141" s="47">
        <f t="shared" si="344"/>
        <v>0</v>
      </c>
      <c r="T1141" s="151">
        <f t="shared" si="329"/>
        <v>0</v>
      </c>
      <c r="U1141" s="151">
        <f t="shared" si="330"/>
        <v>0</v>
      </c>
      <c r="V1141" s="139">
        <f t="shared" si="331"/>
        <v>0</v>
      </c>
      <c r="W1141" s="152">
        <f t="shared" si="334"/>
        <v>0</v>
      </c>
      <c r="X1141" s="127" t="str">
        <f t="shared" si="332"/>
        <v/>
      </c>
      <c r="Y1141" s="207">
        <f t="shared" si="335"/>
        <v>0</v>
      </c>
      <c r="Z1141" s="139">
        <f t="shared" si="336"/>
        <v>0</v>
      </c>
      <c r="AA1141" s="139">
        <f t="shared" si="337"/>
        <v>0</v>
      </c>
      <c r="AC1141" s="47">
        <f t="shared" si="338"/>
        <v>0</v>
      </c>
      <c r="AD1141" s="47">
        <f t="shared" si="339"/>
        <v>0</v>
      </c>
      <c r="AE1141" s="47">
        <f t="shared" si="340"/>
        <v>0</v>
      </c>
      <c r="AG1141" s="47">
        <f t="shared" si="341"/>
        <v>0</v>
      </c>
      <c r="AH1141" s="47">
        <f t="shared" si="342"/>
        <v>0</v>
      </c>
      <c r="AI1141" s="208">
        <f t="shared" si="343"/>
        <v>0</v>
      </c>
    </row>
    <row r="1142" spans="1:35">
      <c r="A1142" t="s">
        <v>2185</v>
      </c>
      <c r="B1142" t="s">
        <v>3155</v>
      </c>
      <c r="C1142" t="s">
        <v>2635</v>
      </c>
      <c r="D1142" t="s">
        <v>4501</v>
      </c>
      <c r="F1142" t="s">
        <v>876</v>
      </c>
      <c r="G1142" s="126">
        <f>SUMIFS('Support - Transition'!F:F,'Support - Transition'!B:B,'Step 2'!A1142,'Support - Transition'!C:C,'Step 2'!B1142,'Support - Transition'!D:D,'Step 2'!C1142,'Support - Transition'!E:E,"CIVIL")</f>
        <v>0</v>
      </c>
      <c r="H1142" s="126">
        <f>SUMIFS('Support - Transition'!F:F,'Support - Transition'!B:B,'Step 2'!A1142,'Support - Transition'!C:C,'Step 2'!B1142,'Support - Transition'!D:D,'Step 2'!C1142,'Support - Transition'!E:E,"FIRE")</f>
        <v>0</v>
      </c>
      <c r="I1142" s="126">
        <f>IF(B1142="0",SUMIFS('Support - Transition'!F:F,'Support - Transition'!J:J,'Step 2'!D1142,'Support - Transition'!E:E,"STATE UNIT"),SUMIFS('Support - Transition'!F:F,'Support - Transition'!J:J,'Step 2'!D1142))</f>
        <v>0</v>
      </c>
      <c r="J1142" s="126">
        <f>SUMIFS('Support - Unit Adjustments'!E:E,'Support - Unit Adjustments'!F:F,'Step 2'!D1142)</f>
        <v>0</v>
      </c>
      <c r="K1142" s="126">
        <f t="shared" si="327"/>
        <v>0</v>
      </c>
      <c r="L1142" s="174">
        <f>VLOOKUP(A1142,'Step 1'!$A:$E,4,FALSE)</f>
        <v>84409</v>
      </c>
      <c r="M1142" s="47">
        <f t="shared" si="328"/>
        <v>0</v>
      </c>
      <c r="N1142" s="177">
        <f>SUMIFS('Support - Transition'!G:G,'Support - Transition'!J:J,'Step 2'!D1142,'Support - Transition'!E:E,"2009 WELFARE ALLOCATION FACTOR")</f>
        <v>0</v>
      </c>
      <c r="O1142" s="152">
        <f t="shared" si="333"/>
        <v>0</v>
      </c>
      <c r="P1142" s="126">
        <f>IF(E1142="Y",0,SUMIFS('Support - Transition'!G:G,'Support - Transition'!J:J,'Step 2'!D1142,'Support - Transition'!E:E,"2009 SCHOOL ALLOCATION FACTOR"))</f>
        <v>0</v>
      </c>
      <c r="Q1142" s="126">
        <f>IF(E1142="Y",VLOOKUP(D1142,'Support - Unit Adjustments'!F:G,2,FALSE),0)</f>
        <v>0</v>
      </c>
      <c r="R1142" s="155">
        <f t="shared" si="345"/>
        <v>0</v>
      </c>
      <c r="S1142" s="47">
        <f t="shared" si="344"/>
        <v>0</v>
      </c>
      <c r="T1142" s="151">
        <f t="shared" si="329"/>
        <v>0</v>
      </c>
      <c r="U1142" s="151">
        <f t="shared" si="330"/>
        <v>0</v>
      </c>
      <c r="V1142" s="139">
        <f t="shared" si="331"/>
        <v>0</v>
      </c>
      <c r="W1142" s="152">
        <f t="shared" si="334"/>
        <v>0</v>
      </c>
      <c r="X1142" s="127" t="str">
        <f t="shared" si="332"/>
        <v/>
      </c>
      <c r="Y1142" s="207">
        <f t="shared" si="335"/>
        <v>0</v>
      </c>
      <c r="Z1142" s="139">
        <f t="shared" si="336"/>
        <v>0</v>
      </c>
      <c r="AA1142" s="139">
        <f t="shared" si="337"/>
        <v>0</v>
      </c>
      <c r="AC1142" s="47">
        <f t="shared" si="338"/>
        <v>0</v>
      </c>
      <c r="AD1142" s="47">
        <f t="shared" si="339"/>
        <v>0</v>
      </c>
      <c r="AE1142" s="47">
        <f t="shared" si="340"/>
        <v>0</v>
      </c>
      <c r="AG1142" s="47">
        <f t="shared" si="341"/>
        <v>0</v>
      </c>
      <c r="AH1142" s="47">
        <f t="shared" si="342"/>
        <v>0</v>
      </c>
      <c r="AI1142" s="208">
        <f t="shared" si="343"/>
        <v>0</v>
      </c>
    </row>
    <row r="1143" spans="1:35">
      <c r="A1143" t="s">
        <v>2185</v>
      </c>
      <c r="B1143" t="s">
        <v>3155</v>
      </c>
      <c r="C1143" t="s">
        <v>2636</v>
      </c>
      <c r="D1143" t="s">
        <v>4502</v>
      </c>
      <c r="F1143" t="s">
        <v>877</v>
      </c>
      <c r="G1143" s="126">
        <f>SUMIFS('Support - Transition'!F:F,'Support - Transition'!B:B,'Step 2'!A1143,'Support - Transition'!C:C,'Step 2'!B1143,'Support - Transition'!D:D,'Step 2'!C1143,'Support - Transition'!E:E,"CIVIL")</f>
        <v>0</v>
      </c>
      <c r="H1143" s="126">
        <f>SUMIFS('Support - Transition'!F:F,'Support - Transition'!B:B,'Step 2'!A1143,'Support - Transition'!C:C,'Step 2'!B1143,'Support - Transition'!D:D,'Step 2'!C1143,'Support - Transition'!E:E,"FIRE")</f>
        <v>0</v>
      </c>
      <c r="I1143" s="126">
        <f>IF(B1143="0",SUMIFS('Support - Transition'!F:F,'Support - Transition'!J:J,'Step 2'!D1143,'Support - Transition'!E:E,"STATE UNIT"),SUMIFS('Support - Transition'!F:F,'Support - Transition'!J:J,'Step 2'!D1143))</f>
        <v>4.1359999999999999E-3</v>
      </c>
      <c r="J1143" s="126">
        <f>SUMIFS('Support - Unit Adjustments'!E:E,'Support - Unit Adjustments'!F:F,'Step 2'!D1143)</f>
        <v>0</v>
      </c>
      <c r="K1143" s="126">
        <f t="shared" si="327"/>
        <v>4.1359999999999999E-3</v>
      </c>
      <c r="L1143" s="174">
        <f>VLOOKUP(A1143,'Step 1'!$A:$E,4,FALSE)</f>
        <v>84409</v>
      </c>
      <c r="M1143" s="47">
        <f t="shared" si="328"/>
        <v>349</v>
      </c>
      <c r="N1143" s="177">
        <f>SUMIFS('Support - Transition'!G:G,'Support - Transition'!J:J,'Step 2'!D1143,'Support - Transition'!E:E,"2009 WELFARE ALLOCATION FACTOR")</f>
        <v>0</v>
      </c>
      <c r="O1143" s="152">
        <f t="shared" si="333"/>
        <v>0</v>
      </c>
      <c r="P1143" s="126">
        <f>IF(E1143="Y",0,SUMIFS('Support - Transition'!G:G,'Support - Transition'!J:J,'Step 2'!D1143,'Support - Transition'!E:E,"2009 SCHOOL ALLOCATION FACTOR"))</f>
        <v>0</v>
      </c>
      <c r="Q1143" s="126">
        <f>IF(E1143="Y",VLOOKUP(D1143,'Support - Unit Adjustments'!F:G,2,FALSE),0)</f>
        <v>0</v>
      </c>
      <c r="R1143" s="155">
        <f t="shared" si="345"/>
        <v>0</v>
      </c>
      <c r="S1143" s="47">
        <f t="shared" si="344"/>
        <v>0</v>
      </c>
      <c r="T1143" s="151">
        <f t="shared" si="329"/>
        <v>349</v>
      </c>
      <c r="U1143" s="151">
        <f t="shared" si="330"/>
        <v>0</v>
      </c>
      <c r="V1143" s="139">
        <f t="shared" si="331"/>
        <v>0</v>
      </c>
      <c r="W1143" s="152">
        <f t="shared" si="334"/>
        <v>349</v>
      </c>
      <c r="X1143" s="127" t="str">
        <f t="shared" si="332"/>
        <v/>
      </c>
      <c r="Y1143" s="207">
        <f t="shared" si="335"/>
        <v>349</v>
      </c>
      <c r="Z1143" s="139">
        <f t="shared" si="336"/>
        <v>349</v>
      </c>
      <c r="AA1143" s="139">
        <f t="shared" si="337"/>
        <v>0</v>
      </c>
      <c r="AC1143" s="47">
        <f t="shared" si="338"/>
        <v>175</v>
      </c>
      <c r="AD1143" s="47">
        <f t="shared" si="339"/>
        <v>175</v>
      </c>
      <c r="AE1143" s="47">
        <f t="shared" si="340"/>
        <v>0</v>
      </c>
      <c r="AG1143" s="47">
        <f t="shared" si="341"/>
        <v>174</v>
      </c>
      <c r="AH1143" s="47">
        <f t="shared" si="342"/>
        <v>174</v>
      </c>
      <c r="AI1143" s="208">
        <f t="shared" si="343"/>
        <v>0</v>
      </c>
    </row>
    <row r="1144" spans="1:35">
      <c r="A1144" t="s">
        <v>2185</v>
      </c>
      <c r="B1144" t="s">
        <v>3160</v>
      </c>
      <c r="C1144" t="s">
        <v>2637</v>
      </c>
      <c r="D1144" t="s">
        <v>4503</v>
      </c>
      <c r="F1144" t="s">
        <v>879</v>
      </c>
      <c r="G1144" s="126">
        <f>SUMIFS('Support - Transition'!F:F,'Support - Transition'!B:B,'Step 2'!A1144,'Support - Transition'!C:C,'Step 2'!B1144,'Support - Transition'!D:D,'Step 2'!C1144,'Support - Transition'!E:E,"CIVIL")</f>
        <v>0</v>
      </c>
      <c r="H1144" s="126">
        <f>SUMIFS('Support - Transition'!F:F,'Support - Transition'!B:B,'Step 2'!A1144,'Support - Transition'!C:C,'Step 2'!B1144,'Support - Transition'!D:D,'Step 2'!C1144,'Support - Transition'!E:E,"FIRE")</f>
        <v>0</v>
      </c>
      <c r="I1144" s="126">
        <f>IF(B1144="0",SUMIFS('Support - Transition'!F:F,'Support - Transition'!J:J,'Step 2'!D1144,'Support - Transition'!E:E,"STATE UNIT"),SUMIFS('Support - Transition'!F:F,'Support - Transition'!J:J,'Step 2'!D1144))</f>
        <v>0.42529499999999998</v>
      </c>
      <c r="J1144" s="126">
        <f>SUMIFS('Support - Unit Adjustments'!E:E,'Support - Unit Adjustments'!F:F,'Step 2'!D1144)</f>
        <v>0</v>
      </c>
      <c r="K1144" s="126">
        <f t="shared" si="327"/>
        <v>0.42529499999999998</v>
      </c>
      <c r="L1144" s="174">
        <f>VLOOKUP(A1144,'Step 1'!$A:$E,4,FALSE)</f>
        <v>84409</v>
      </c>
      <c r="M1144" s="47">
        <f t="shared" si="328"/>
        <v>35899</v>
      </c>
      <c r="N1144" s="177">
        <f>SUMIFS('Support - Transition'!G:G,'Support - Transition'!J:J,'Step 2'!D1144,'Support - Transition'!E:E,"2009 WELFARE ALLOCATION FACTOR")</f>
        <v>0</v>
      </c>
      <c r="O1144" s="152">
        <f t="shared" si="333"/>
        <v>0</v>
      </c>
      <c r="P1144" s="126">
        <f>IF(E1144="Y",0,SUMIFS('Support - Transition'!G:G,'Support - Transition'!J:J,'Step 2'!D1144,'Support - Transition'!E:E,"2009 SCHOOL ALLOCATION FACTOR"))</f>
        <v>0.42543599999999998</v>
      </c>
      <c r="Q1144" s="126">
        <f>IF(E1144="Y",VLOOKUP(D1144,'Support - Unit Adjustments'!F:G,2,FALSE),0)</f>
        <v>0</v>
      </c>
      <c r="R1144" s="155">
        <f t="shared" si="345"/>
        <v>0.42543599999999998</v>
      </c>
      <c r="S1144" s="47">
        <f t="shared" si="344"/>
        <v>15273</v>
      </c>
      <c r="T1144" s="151">
        <f t="shared" si="329"/>
        <v>20626</v>
      </c>
      <c r="U1144" s="151">
        <f t="shared" si="330"/>
        <v>0</v>
      </c>
      <c r="V1144" s="139">
        <f t="shared" si="331"/>
        <v>0</v>
      </c>
      <c r="W1144" s="152">
        <f t="shared" si="334"/>
        <v>20626</v>
      </c>
      <c r="X1144" s="127" t="str">
        <f t="shared" si="332"/>
        <v/>
      </c>
      <c r="Y1144" s="207">
        <f t="shared" si="335"/>
        <v>20626</v>
      </c>
      <c r="Z1144" s="139">
        <f t="shared" si="336"/>
        <v>20626</v>
      </c>
      <c r="AA1144" s="139">
        <f t="shared" si="337"/>
        <v>0</v>
      </c>
      <c r="AC1144" s="47">
        <f t="shared" si="338"/>
        <v>10313</v>
      </c>
      <c r="AD1144" s="47">
        <f t="shared" si="339"/>
        <v>10313</v>
      </c>
      <c r="AE1144" s="47">
        <f t="shared" si="340"/>
        <v>0</v>
      </c>
      <c r="AG1144" s="47">
        <f t="shared" si="341"/>
        <v>10313</v>
      </c>
      <c r="AH1144" s="47">
        <f t="shared" si="342"/>
        <v>10313</v>
      </c>
      <c r="AI1144" s="208">
        <f t="shared" si="343"/>
        <v>0</v>
      </c>
    </row>
    <row r="1145" spans="1:35">
      <c r="A1145" t="s">
        <v>2185</v>
      </c>
      <c r="B1145" t="s">
        <v>3160</v>
      </c>
      <c r="C1145" t="s">
        <v>2638</v>
      </c>
      <c r="D1145" t="s">
        <v>4504</v>
      </c>
      <c r="F1145" t="s">
        <v>880</v>
      </c>
      <c r="G1145" s="126">
        <f>SUMIFS('Support - Transition'!F:F,'Support - Transition'!B:B,'Step 2'!A1145,'Support - Transition'!C:C,'Step 2'!B1145,'Support - Transition'!D:D,'Step 2'!C1145,'Support - Transition'!E:E,"CIVIL")</f>
        <v>0</v>
      </c>
      <c r="H1145" s="126">
        <f>SUMIFS('Support - Transition'!F:F,'Support - Transition'!B:B,'Step 2'!A1145,'Support - Transition'!C:C,'Step 2'!B1145,'Support - Transition'!D:D,'Step 2'!C1145,'Support - Transition'!E:E,"FIRE")</f>
        <v>0</v>
      </c>
      <c r="I1145" s="126">
        <f>IF(B1145="0",SUMIFS('Support - Transition'!F:F,'Support - Transition'!J:J,'Step 2'!D1145,'Support - Transition'!E:E,"STATE UNIT"),SUMIFS('Support - Transition'!F:F,'Support - Transition'!J:J,'Step 2'!D1145))</f>
        <v>0.177592</v>
      </c>
      <c r="J1145" s="126">
        <f>SUMIFS('Support - Unit Adjustments'!E:E,'Support - Unit Adjustments'!F:F,'Step 2'!D1145)</f>
        <v>0</v>
      </c>
      <c r="K1145" s="126">
        <f t="shared" si="327"/>
        <v>0.177592</v>
      </c>
      <c r="L1145" s="174">
        <f>VLOOKUP(A1145,'Step 1'!$A:$E,4,FALSE)</f>
        <v>84409</v>
      </c>
      <c r="M1145" s="47">
        <f t="shared" si="328"/>
        <v>14990</v>
      </c>
      <c r="N1145" s="177">
        <f>SUMIFS('Support - Transition'!G:G,'Support - Transition'!J:J,'Step 2'!D1145,'Support - Transition'!E:E,"2009 WELFARE ALLOCATION FACTOR")</f>
        <v>0</v>
      </c>
      <c r="O1145" s="152">
        <f t="shared" si="333"/>
        <v>0</v>
      </c>
      <c r="P1145" s="126">
        <f>IF(E1145="Y",0,SUMIFS('Support - Transition'!G:G,'Support - Transition'!J:J,'Step 2'!D1145,'Support - Transition'!E:E,"2009 SCHOOL ALLOCATION FACTOR"))</f>
        <v>0.40010400000000002</v>
      </c>
      <c r="Q1145" s="126">
        <f>IF(E1145="Y",VLOOKUP(D1145,'Support - Unit Adjustments'!F:G,2,FALSE),0)</f>
        <v>0</v>
      </c>
      <c r="R1145" s="155">
        <f t="shared" si="345"/>
        <v>0.40010400000000002</v>
      </c>
      <c r="S1145" s="47">
        <f t="shared" si="344"/>
        <v>5998</v>
      </c>
      <c r="T1145" s="151">
        <f t="shared" si="329"/>
        <v>8992</v>
      </c>
      <c r="U1145" s="151">
        <f t="shared" si="330"/>
        <v>0</v>
      </c>
      <c r="V1145" s="139">
        <f t="shared" si="331"/>
        <v>0</v>
      </c>
      <c r="W1145" s="152">
        <f t="shared" si="334"/>
        <v>8992</v>
      </c>
      <c r="X1145" s="127" t="str">
        <f t="shared" si="332"/>
        <v/>
      </c>
      <c r="Y1145" s="207">
        <f t="shared" si="335"/>
        <v>8992</v>
      </c>
      <c r="Z1145" s="139">
        <f t="shared" si="336"/>
        <v>8992</v>
      </c>
      <c r="AA1145" s="139">
        <f t="shared" si="337"/>
        <v>0</v>
      </c>
      <c r="AC1145" s="47">
        <f t="shared" si="338"/>
        <v>4496</v>
      </c>
      <c r="AD1145" s="47">
        <f t="shared" si="339"/>
        <v>4496</v>
      </c>
      <c r="AE1145" s="47">
        <f t="shared" si="340"/>
        <v>0</v>
      </c>
      <c r="AG1145" s="47">
        <f t="shared" si="341"/>
        <v>4496</v>
      </c>
      <c r="AH1145" s="47">
        <f t="shared" si="342"/>
        <v>4496</v>
      </c>
      <c r="AI1145" s="208">
        <f t="shared" si="343"/>
        <v>0</v>
      </c>
    </row>
    <row r="1146" spans="1:35">
      <c r="A1146" t="s">
        <v>2185</v>
      </c>
      <c r="B1146" t="s">
        <v>3166</v>
      </c>
      <c r="C1146" t="s">
        <v>2639</v>
      </c>
      <c r="D1146" t="s">
        <v>4505</v>
      </c>
      <c r="F1146" t="s">
        <v>881</v>
      </c>
      <c r="G1146" s="126">
        <f>SUMIFS('Support - Transition'!F:F,'Support - Transition'!B:B,'Step 2'!A1146,'Support - Transition'!C:C,'Step 2'!B1146,'Support - Transition'!D:D,'Step 2'!C1146,'Support - Transition'!E:E,"CIVIL")</f>
        <v>0</v>
      </c>
      <c r="H1146" s="126">
        <f>SUMIFS('Support - Transition'!F:F,'Support - Transition'!B:B,'Step 2'!A1146,'Support - Transition'!C:C,'Step 2'!B1146,'Support - Transition'!D:D,'Step 2'!C1146,'Support - Transition'!E:E,"FIRE")</f>
        <v>0</v>
      </c>
      <c r="I1146" s="126">
        <f>IF(B1146="0",SUMIFS('Support - Transition'!F:F,'Support - Transition'!J:J,'Step 2'!D1146,'Support - Transition'!E:E,"STATE UNIT"),SUMIFS('Support - Transition'!F:F,'Support - Transition'!J:J,'Step 2'!D1146))</f>
        <v>2.7394000000000002E-2</v>
      </c>
      <c r="J1146" s="126">
        <f>SUMIFS('Support - Unit Adjustments'!E:E,'Support - Unit Adjustments'!F:F,'Step 2'!D1146)</f>
        <v>0</v>
      </c>
      <c r="K1146" s="126">
        <f t="shared" si="327"/>
        <v>2.7394000000000002E-2</v>
      </c>
      <c r="L1146" s="174">
        <f>VLOOKUP(A1146,'Step 1'!$A:$E,4,FALSE)</f>
        <v>84409</v>
      </c>
      <c r="M1146" s="47">
        <f t="shared" si="328"/>
        <v>2312</v>
      </c>
      <c r="N1146" s="177">
        <f>SUMIFS('Support - Transition'!G:G,'Support - Transition'!J:J,'Step 2'!D1146,'Support - Transition'!E:E,"2009 WELFARE ALLOCATION FACTOR")</f>
        <v>0</v>
      </c>
      <c r="O1146" s="152">
        <f t="shared" si="333"/>
        <v>0</v>
      </c>
      <c r="P1146" s="126">
        <f>IF(E1146="Y",0,SUMIFS('Support - Transition'!G:G,'Support - Transition'!J:J,'Step 2'!D1146,'Support - Transition'!E:E,"2009 SCHOOL ALLOCATION FACTOR"))</f>
        <v>0</v>
      </c>
      <c r="Q1146" s="126">
        <f>IF(E1146="Y",VLOOKUP(D1146,'Support - Unit Adjustments'!F:G,2,FALSE),0)</f>
        <v>0</v>
      </c>
      <c r="R1146" s="155">
        <f t="shared" si="345"/>
        <v>0</v>
      </c>
      <c r="S1146" s="47">
        <f t="shared" si="344"/>
        <v>0</v>
      </c>
      <c r="T1146" s="151">
        <f t="shared" si="329"/>
        <v>2312</v>
      </c>
      <c r="U1146" s="151">
        <f t="shared" si="330"/>
        <v>0</v>
      </c>
      <c r="V1146" s="139">
        <f t="shared" si="331"/>
        <v>0</v>
      </c>
      <c r="W1146" s="152">
        <f t="shared" si="334"/>
        <v>2312</v>
      </c>
      <c r="X1146" s="127" t="str">
        <f t="shared" si="332"/>
        <v/>
      </c>
      <c r="Y1146" s="207">
        <f t="shared" si="335"/>
        <v>2312</v>
      </c>
      <c r="Z1146" s="139">
        <f t="shared" si="336"/>
        <v>2312</v>
      </c>
      <c r="AA1146" s="139">
        <f t="shared" si="337"/>
        <v>0</v>
      </c>
      <c r="AC1146" s="47">
        <f t="shared" si="338"/>
        <v>1156</v>
      </c>
      <c r="AD1146" s="47">
        <f t="shared" si="339"/>
        <v>1156</v>
      </c>
      <c r="AE1146" s="47">
        <f t="shared" si="340"/>
        <v>0</v>
      </c>
      <c r="AG1146" s="47">
        <f t="shared" si="341"/>
        <v>1156</v>
      </c>
      <c r="AH1146" s="47">
        <f t="shared" si="342"/>
        <v>1156</v>
      </c>
      <c r="AI1146" s="208">
        <f t="shared" si="343"/>
        <v>0</v>
      </c>
    </row>
    <row r="1147" spans="1:35">
      <c r="A1147" t="s">
        <v>2185</v>
      </c>
      <c r="B1147" t="s">
        <v>3170</v>
      </c>
      <c r="C1147" t="s">
        <v>3936</v>
      </c>
      <c r="D1147" t="s">
        <v>4506</v>
      </c>
      <c r="F1147" t="s">
        <v>3938</v>
      </c>
      <c r="G1147" s="126">
        <f>SUMIFS('Support - Transition'!F:F,'Support - Transition'!B:B,'Step 2'!A1147,'Support - Transition'!C:C,'Step 2'!B1147,'Support - Transition'!D:D,'Step 2'!C1147,'Support - Transition'!E:E,"CIVIL")</f>
        <v>0</v>
      </c>
      <c r="H1147" s="126">
        <f>SUMIFS('Support - Transition'!F:F,'Support - Transition'!B:B,'Step 2'!A1147,'Support - Transition'!C:C,'Step 2'!B1147,'Support - Transition'!D:D,'Step 2'!C1147,'Support - Transition'!E:E,"FIRE")</f>
        <v>0</v>
      </c>
      <c r="I1147" s="126">
        <f>IF(B1147="0",SUMIFS('Support - Transition'!F:F,'Support - Transition'!J:J,'Step 2'!D1147,'Support - Transition'!E:E,"STATE UNIT"),SUMIFS('Support - Transition'!F:F,'Support - Transition'!J:J,'Step 2'!D1147))</f>
        <v>4.9129999999999998E-3</v>
      </c>
      <c r="J1147" s="126">
        <f>SUMIFS('Support - Unit Adjustments'!E:E,'Support - Unit Adjustments'!F:F,'Step 2'!D1147)</f>
        <v>0</v>
      </c>
      <c r="K1147" s="126">
        <f t="shared" si="327"/>
        <v>4.9129999999999998E-3</v>
      </c>
      <c r="L1147" s="174">
        <f>VLOOKUP(A1147,'Step 1'!$A:$E,4,FALSE)</f>
        <v>84409</v>
      </c>
      <c r="M1147" s="47">
        <f t="shared" si="328"/>
        <v>415</v>
      </c>
      <c r="N1147" s="177">
        <f>SUMIFS('Support - Transition'!G:G,'Support - Transition'!J:J,'Step 2'!D1147,'Support - Transition'!E:E,"2009 WELFARE ALLOCATION FACTOR")</f>
        <v>0</v>
      </c>
      <c r="O1147" s="152">
        <f t="shared" si="333"/>
        <v>0</v>
      </c>
      <c r="P1147" s="126">
        <f>IF(E1147="Y",0,SUMIFS('Support - Transition'!G:G,'Support - Transition'!J:J,'Step 2'!D1147,'Support - Transition'!E:E,"2009 SCHOOL ALLOCATION FACTOR"))</f>
        <v>0</v>
      </c>
      <c r="Q1147" s="126">
        <f>IF(E1147="Y",VLOOKUP(D1147,'Support - Unit Adjustments'!F:G,2,FALSE),0)</f>
        <v>0</v>
      </c>
      <c r="R1147" s="155">
        <f t="shared" si="345"/>
        <v>0</v>
      </c>
      <c r="S1147" s="47">
        <f t="shared" si="344"/>
        <v>0</v>
      </c>
      <c r="T1147" s="151">
        <f t="shared" si="329"/>
        <v>415</v>
      </c>
      <c r="U1147" s="151">
        <f t="shared" si="330"/>
        <v>0</v>
      </c>
      <c r="V1147" s="139">
        <f t="shared" si="331"/>
        <v>0</v>
      </c>
      <c r="W1147" s="152">
        <f t="shared" si="334"/>
        <v>415</v>
      </c>
      <c r="X1147" s="127" t="str">
        <f t="shared" si="332"/>
        <v/>
      </c>
      <c r="Y1147" s="207">
        <f t="shared" si="335"/>
        <v>415</v>
      </c>
      <c r="Z1147" s="139">
        <f t="shared" si="336"/>
        <v>415</v>
      </c>
      <c r="AA1147" s="139">
        <f t="shared" si="337"/>
        <v>0</v>
      </c>
      <c r="AC1147" s="47">
        <f t="shared" si="338"/>
        <v>208</v>
      </c>
      <c r="AD1147" s="47">
        <f t="shared" si="339"/>
        <v>208</v>
      </c>
      <c r="AE1147" s="47">
        <f t="shared" si="340"/>
        <v>0</v>
      </c>
      <c r="AG1147" s="47">
        <f t="shared" si="341"/>
        <v>207</v>
      </c>
      <c r="AH1147" s="47">
        <f t="shared" si="342"/>
        <v>207</v>
      </c>
      <c r="AI1147" s="208">
        <f t="shared" si="343"/>
        <v>0</v>
      </c>
    </row>
    <row r="1148" spans="1:35">
      <c r="A1148" t="s">
        <v>2185</v>
      </c>
      <c r="B1148" t="s">
        <v>3286</v>
      </c>
      <c r="C1148" t="s">
        <v>2206</v>
      </c>
      <c r="D1148" t="s">
        <v>4507</v>
      </c>
      <c r="F1148" t="s">
        <v>4508</v>
      </c>
      <c r="G1148" s="126">
        <f>SUMIFS('Support - Transition'!F:F,'Support - Transition'!B:B,'Step 2'!A1148,'Support - Transition'!C:C,'Step 2'!B1148,'Support - Transition'!D:D,'Step 2'!C1148,'Support - Transition'!E:E,"CIVIL")</f>
        <v>0</v>
      </c>
      <c r="H1148" s="126">
        <f>SUMIFS('Support - Transition'!F:F,'Support - Transition'!B:B,'Step 2'!A1148,'Support - Transition'!C:C,'Step 2'!B1148,'Support - Transition'!D:D,'Step 2'!C1148,'Support - Transition'!E:E,"FIRE")</f>
        <v>0</v>
      </c>
      <c r="I1148" s="126">
        <f>IF(B1148="0",SUMIFS('Support - Transition'!F:F,'Support - Transition'!J:J,'Step 2'!D1148,'Support - Transition'!E:E,"STATE UNIT"),SUMIFS('Support - Transition'!F:F,'Support - Transition'!J:J,'Step 2'!D1148))</f>
        <v>0</v>
      </c>
      <c r="J1148" s="126">
        <f>SUMIFS('Support - Unit Adjustments'!E:E,'Support - Unit Adjustments'!F:F,'Step 2'!D1148)</f>
        <v>0</v>
      </c>
      <c r="K1148" s="126">
        <f t="shared" si="327"/>
        <v>0</v>
      </c>
      <c r="L1148" s="174">
        <f>VLOOKUP(A1148,'Step 1'!$A:$E,4,FALSE)</f>
        <v>84409</v>
      </c>
      <c r="M1148" s="47">
        <f t="shared" si="328"/>
        <v>0</v>
      </c>
      <c r="N1148" s="177">
        <f>SUMIFS('Support - Transition'!G:G,'Support - Transition'!J:J,'Step 2'!D1148,'Support - Transition'!E:E,"2009 WELFARE ALLOCATION FACTOR")</f>
        <v>0</v>
      </c>
      <c r="O1148" s="152">
        <f t="shared" si="333"/>
        <v>0</v>
      </c>
      <c r="P1148" s="126">
        <f>IF(E1148="Y",0,SUMIFS('Support - Transition'!G:G,'Support - Transition'!J:J,'Step 2'!D1148,'Support - Transition'!E:E,"2009 SCHOOL ALLOCATION FACTOR"))</f>
        <v>0</v>
      </c>
      <c r="Q1148" s="126">
        <f>IF(E1148="Y",VLOOKUP(D1148,'Support - Unit Adjustments'!F:G,2,FALSE),0)</f>
        <v>0</v>
      </c>
      <c r="R1148" s="155">
        <f t="shared" si="345"/>
        <v>0</v>
      </c>
      <c r="S1148" s="47">
        <f t="shared" si="344"/>
        <v>0</v>
      </c>
      <c r="T1148" s="151">
        <f t="shared" si="329"/>
        <v>0</v>
      </c>
      <c r="U1148" s="151">
        <f t="shared" si="330"/>
        <v>0</v>
      </c>
      <c r="V1148" s="139">
        <f t="shared" si="331"/>
        <v>0</v>
      </c>
      <c r="W1148" s="152">
        <f t="shared" si="334"/>
        <v>0</v>
      </c>
      <c r="X1148" s="127" t="str">
        <f t="shared" si="332"/>
        <v/>
      </c>
      <c r="Y1148" s="207">
        <f t="shared" si="335"/>
        <v>0</v>
      </c>
      <c r="Z1148" s="139">
        <f t="shared" si="336"/>
        <v>0</v>
      </c>
      <c r="AA1148" s="139">
        <f t="shared" si="337"/>
        <v>0</v>
      </c>
      <c r="AC1148" s="47">
        <f t="shared" si="338"/>
        <v>0</v>
      </c>
      <c r="AD1148" s="47">
        <f t="shared" si="339"/>
        <v>0</v>
      </c>
      <c r="AE1148" s="47">
        <f t="shared" si="340"/>
        <v>0</v>
      </c>
      <c r="AG1148" s="47">
        <f t="shared" si="341"/>
        <v>0</v>
      </c>
      <c r="AH1148" s="47">
        <f t="shared" si="342"/>
        <v>0</v>
      </c>
      <c r="AI1148" s="208">
        <f t="shared" si="343"/>
        <v>0</v>
      </c>
    </row>
    <row r="1149" spans="1:35">
      <c r="A1149" t="s">
        <v>2124</v>
      </c>
      <c r="B1149" s="48" t="s">
        <v>6274</v>
      </c>
      <c r="C1149" t="s">
        <v>2187</v>
      </c>
      <c r="D1149" t="str">
        <f>A1149&amp;B1149&amp;C1149</f>
        <v>4000000</v>
      </c>
      <c r="F1149" t="s">
        <v>6314</v>
      </c>
      <c r="G1149" s="126">
        <f>SUMIFS('Support - Transition'!F:F,'Support - Transition'!B:B,'Step 2'!A1149,'Support - Transition'!C:C,'Step 2'!B1149,'Support - Transition'!D:D,'Step 2'!C1149,'Support - Transition'!E:E,"CIVIL")</f>
        <v>0</v>
      </c>
      <c r="H1149" s="126">
        <f>SUMIFS('Support - Transition'!F:F,'Support - Transition'!B:B,'Step 2'!A1149,'Support - Transition'!C:C,'Step 2'!B1149,'Support - Transition'!D:D,'Step 2'!C1149,'Support - Transition'!E:E,"FIRE")</f>
        <v>0</v>
      </c>
      <c r="I1149" s="126">
        <f>IF(B1149="0",SUMIFS('Support - Transition'!F:F,'Support - Transition'!J:J,'Step 2'!D1149,'Support - Transition'!E:E,"STATE UNIT"),SUMIFS('Support - Transition'!F:F,'Support - Transition'!J:J,'Step 2'!D1149))</f>
        <v>1.3010000000000001E-3</v>
      </c>
      <c r="J1149" s="126">
        <f>SUMIFS('Support - Unit Adjustments'!E:E,'Support - Unit Adjustments'!F:F,'Step 2'!D1149)</f>
        <v>0</v>
      </c>
      <c r="K1149" s="126">
        <f t="shared" si="327"/>
        <v>1.3010000000000001E-3</v>
      </c>
      <c r="L1149" s="174">
        <f>VLOOKUP(A1149,'Step 1'!$A:$E,4,FALSE)</f>
        <v>277465</v>
      </c>
      <c r="M1149" s="47">
        <f t="shared" si="328"/>
        <v>361</v>
      </c>
      <c r="N1149" s="177">
        <f>SUMIFS('Support - Transition'!G:G,'Support - Transition'!J:J,'Step 2'!D1149,'Support - Transition'!E:E,"2009 WELFARE ALLOCATION FACTOR")</f>
        <v>0</v>
      </c>
      <c r="O1149" s="152">
        <f t="shared" si="333"/>
        <v>0</v>
      </c>
      <c r="P1149" s="126">
        <f>IF(E1149="Y",0,SUMIFS('Support - Transition'!G:G,'Support - Transition'!J:J,'Step 2'!D1149,'Support - Transition'!E:E,"2009 SCHOOL ALLOCATION FACTOR"))</f>
        <v>0</v>
      </c>
      <c r="Q1149" s="126">
        <f>IF(E1149="Y",VLOOKUP(D1149,'Support - Unit Adjustments'!F:G,2,FALSE),0)</f>
        <v>0</v>
      </c>
      <c r="R1149" s="155">
        <f t="shared" si="345"/>
        <v>0</v>
      </c>
      <c r="S1149" s="47">
        <f t="shared" si="344"/>
        <v>0</v>
      </c>
      <c r="T1149" s="151">
        <f t="shared" si="329"/>
        <v>361</v>
      </c>
      <c r="U1149" s="151">
        <f t="shared" si="330"/>
        <v>277465</v>
      </c>
      <c r="V1149" s="139">
        <f t="shared" si="331"/>
        <v>0</v>
      </c>
      <c r="W1149" s="152">
        <f t="shared" si="334"/>
        <v>361</v>
      </c>
      <c r="X1149" s="127">
        <f t="shared" si="332"/>
        <v>0</v>
      </c>
      <c r="Y1149" s="207">
        <f t="shared" si="335"/>
        <v>361</v>
      </c>
      <c r="Z1149" s="139">
        <f t="shared" si="336"/>
        <v>361</v>
      </c>
      <c r="AA1149" s="139">
        <f t="shared" si="337"/>
        <v>0</v>
      </c>
      <c r="AC1149" s="47">
        <f t="shared" si="338"/>
        <v>181</v>
      </c>
      <c r="AD1149" s="47">
        <f t="shared" si="339"/>
        <v>181</v>
      </c>
      <c r="AE1149" s="47">
        <f t="shared" si="340"/>
        <v>0</v>
      </c>
      <c r="AG1149" s="47">
        <f t="shared" si="341"/>
        <v>180</v>
      </c>
      <c r="AH1149" s="47">
        <f t="shared" si="342"/>
        <v>180</v>
      </c>
      <c r="AI1149" s="208">
        <f t="shared" si="343"/>
        <v>0</v>
      </c>
    </row>
    <row r="1150" spans="1:35">
      <c r="A1150" t="s">
        <v>2124</v>
      </c>
      <c r="B1150" t="s">
        <v>3140</v>
      </c>
      <c r="C1150" t="s">
        <v>2187</v>
      </c>
      <c r="D1150" t="s">
        <v>4509</v>
      </c>
      <c r="F1150" t="s">
        <v>883</v>
      </c>
      <c r="G1150" s="126">
        <f>SUMIFS('Support - Transition'!F:F,'Support - Transition'!B:B,'Step 2'!A1150,'Support - Transition'!C:C,'Step 2'!B1150,'Support - Transition'!D:D,'Step 2'!C1150,'Support - Transition'!E:E,"CIVIL")</f>
        <v>0</v>
      </c>
      <c r="H1150" s="126">
        <f>SUMIFS('Support - Transition'!F:F,'Support - Transition'!B:B,'Step 2'!A1150,'Support - Transition'!C:C,'Step 2'!B1150,'Support - Transition'!D:D,'Step 2'!C1150,'Support - Transition'!E:E,"FIRE")</f>
        <v>0</v>
      </c>
      <c r="I1150" s="126">
        <f>IF(B1150="0",SUMIFS('Support - Transition'!F:F,'Support - Transition'!J:J,'Step 2'!D1150,'Support - Transition'!E:E,"STATE UNIT"),SUMIFS('Support - Transition'!F:F,'Support - Transition'!J:J,'Step 2'!D1150))</f>
        <v>0.242949</v>
      </c>
      <c r="J1150" s="126">
        <f>SUMIFS('Support - Unit Adjustments'!E:E,'Support - Unit Adjustments'!F:F,'Step 2'!D1150)</f>
        <v>0</v>
      </c>
      <c r="K1150" s="126">
        <f t="shared" si="327"/>
        <v>0.242949</v>
      </c>
      <c r="L1150" s="174">
        <f>VLOOKUP(A1150,'Step 1'!$A:$E,4,FALSE)</f>
        <v>277465</v>
      </c>
      <c r="M1150" s="47">
        <f t="shared" si="328"/>
        <v>67410</v>
      </c>
      <c r="N1150" s="177">
        <f>SUMIFS('Support - Transition'!G:G,'Support - Transition'!J:J,'Step 2'!D1150,'Support - Transition'!E:E,"2009 WELFARE ALLOCATION FACTOR")</f>
        <v>0.241366</v>
      </c>
      <c r="O1150" s="152">
        <f t="shared" si="333"/>
        <v>16270</v>
      </c>
      <c r="P1150" s="126">
        <f>IF(E1150="Y",0,SUMIFS('Support - Transition'!G:G,'Support - Transition'!J:J,'Step 2'!D1150,'Support - Transition'!E:E,"2009 SCHOOL ALLOCATION FACTOR"))</f>
        <v>0</v>
      </c>
      <c r="Q1150" s="126">
        <f>IF(E1150="Y",VLOOKUP(D1150,'Support - Unit Adjustments'!F:G,2,FALSE),0)</f>
        <v>0</v>
      </c>
      <c r="R1150" s="155">
        <f t="shared" si="345"/>
        <v>0</v>
      </c>
      <c r="S1150" s="47">
        <f t="shared" si="344"/>
        <v>0</v>
      </c>
      <c r="T1150" s="151">
        <f t="shared" si="329"/>
        <v>51140</v>
      </c>
      <c r="U1150" s="151">
        <f t="shared" si="330"/>
        <v>0</v>
      </c>
      <c r="V1150" s="139">
        <f t="shared" si="331"/>
        <v>0</v>
      </c>
      <c r="W1150" s="152">
        <f t="shared" si="334"/>
        <v>51140</v>
      </c>
      <c r="X1150" s="127" t="str">
        <f t="shared" si="332"/>
        <v/>
      </c>
      <c r="Y1150" s="207">
        <f t="shared" si="335"/>
        <v>51140</v>
      </c>
      <c r="Z1150" s="139">
        <f t="shared" si="336"/>
        <v>51140</v>
      </c>
      <c r="AA1150" s="139">
        <f t="shared" si="337"/>
        <v>0</v>
      </c>
      <c r="AC1150" s="47">
        <f t="shared" si="338"/>
        <v>25570</v>
      </c>
      <c r="AD1150" s="47">
        <f t="shared" si="339"/>
        <v>25570</v>
      </c>
      <c r="AE1150" s="47">
        <f t="shared" si="340"/>
        <v>0</v>
      </c>
      <c r="AG1150" s="47">
        <f t="shared" si="341"/>
        <v>25570</v>
      </c>
      <c r="AH1150" s="47">
        <f t="shared" si="342"/>
        <v>25570</v>
      </c>
      <c r="AI1150" s="208">
        <f t="shared" si="343"/>
        <v>0</v>
      </c>
    </row>
    <row r="1151" spans="1:35">
      <c r="A1151" t="s">
        <v>2124</v>
      </c>
      <c r="B1151" t="s">
        <v>3142</v>
      </c>
      <c r="C1151" t="s">
        <v>2188</v>
      </c>
      <c r="D1151" t="s">
        <v>4510</v>
      </c>
      <c r="F1151" t="s">
        <v>884</v>
      </c>
      <c r="G1151" s="126">
        <f>SUMIFS('Support - Transition'!F:F,'Support - Transition'!B:B,'Step 2'!A1151,'Support - Transition'!C:C,'Step 2'!B1151,'Support - Transition'!D:D,'Step 2'!C1151,'Support - Transition'!E:E,"CIVIL")</f>
        <v>3.1500000000000001E-4</v>
      </c>
      <c r="H1151" s="126">
        <f>SUMIFS('Support - Transition'!F:F,'Support - Transition'!B:B,'Step 2'!A1151,'Support - Transition'!C:C,'Step 2'!B1151,'Support - Transition'!D:D,'Step 2'!C1151,'Support - Transition'!E:E,"FIRE")</f>
        <v>1.5799999999999999E-4</v>
      </c>
      <c r="I1151" s="126">
        <f>IF(B1151="0",SUMIFS('Support - Transition'!F:F,'Support - Transition'!J:J,'Step 2'!D1151,'Support - Transition'!E:E,"STATE UNIT"),SUMIFS('Support - Transition'!F:F,'Support - Transition'!J:J,'Step 2'!D1151))</f>
        <v>4.73E-4</v>
      </c>
      <c r="J1151" s="126">
        <f>SUMIFS('Support - Unit Adjustments'!E:E,'Support - Unit Adjustments'!F:F,'Step 2'!D1151)</f>
        <v>0</v>
      </c>
      <c r="K1151" s="126">
        <f t="shared" si="327"/>
        <v>4.73E-4</v>
      </c>
      <c r="L1151" s="174">
        <f>VLOOKUP(A1151,'Step 1'!$A:$E,4,FALSE)</f>
        <v>277465</v>
      </c>
      <c r="M1151" s="47">
        <f t="shared" si="328"/>
        <v>131</v>
      </c>
      <c r="N1151" s="177">
        <f>SUMIFS('Support - Transition'!G:G,'Support - Transition'!J:J,'Step 2'!D1151,'Support - Transition'!E:E,"2009 WELFARE ALLOCATION FACTOR")</f>
        <v>0</v>
      </c>
      <c r="O1151" s="152">
        <f t="shared" si="333"/>
        <v>0</v>
      </c>
      <c r="P1151" s="126">
        <f>IF(E1151="Y",0,SUMIFS('Support - Transition'!G:G,'Support - Transition'!J:J,'Step 2'!D1151,'Support - Transition'!E:E,"2009 SCHOOL ALLOCATION FACTOR"))</f>
        <v>0</v>
      </c>
      <c r="Q1151" s="126">
        <f>IF(E1151="Y",VLOOKUP(D1151,'Support - Unit Adjustments'!F:G,2,FALSE),0)</f>
        <v>0</v>
      </c>
      <c r="R1151" s="155">
        <f t="shared" si="345"/>
        <v>0</v>
      </c>
      <c r="S1151" s="47">
        <f t="shared" si="344"/>
        <v>0</v>
      </c>
      <c r="T1151" s="151">
        <f t="shared" si="329"/>
        <v>131</v>
      </c>
      <c r="U1151" s="151">
        <f t="shared" si="330"/>
        <v>0</v>
      </c>
      <c r="V1151" s="139">
        <f t="shared" si="331"/>
        <v>0</v>
      </c>
      <c r="W1151" s="152">
        <f t="shared" si="334"/>
        <v>131</v>
      </c>
      <c r="X1151" s="127" t="str">
        <f t="shared" si="332"/>
        <v/>
      </c>
      <c r="Y1151" s="207">
        <f t="shared" si="335"/>
        <v>131</v>
      </c>
      <c r="Z1151" s="139">
        <f t="shared" si="336"/>
        <v>87</v>
      </c>
      <c r="AA1151" s="139">
        <f t="shared" si="337"/>
        <v>44</v>
      </c>
      <c r="AC1151" s="47">
        <f t="shared" si="338"/>
        <v>66</v>
      </c>
      <c r="AD1151" s="47">
        <f t="shared" si="339"/>
        <v>44</v>
      </c>
      <c r="AE1151" s="47">
        <f t="shared" si="340"/>
        <v>22</v>
      </c>
      <c r="AG1151" s="47">
        <f t="shared" si="341"/>
        <v>65</v>
      </c>
      <c r="AH1151" s="47">
        <f t="shared" si="342"/>
        <v>43</v>
      </c>
      <c r="AI1151" s="208">
        <f t="shared" si="343"/>
        <v>22</v>
      </c>
    </row>
    <row r="1152" spans="1:35">
      <c r="A1152" t="s">
        <v>2124</v>
      </c>
      <c r="B1152" t="s">
        <v>3142</v>
      </c>
      <c r="C1152" t="s">
        <v>2189</v>
      </c>
      <c r="D1152" t="s">
        <v>4511</v>
      </c>
      <c r="F1152" t="s">
        <v>885</v>
      </c>
      <c r="G1152" s="126">
        <f>SUMIFS('Support - Transition'!F:F,'Support - Transition'!B:B,'Step 2'!A1152,'Support - Transition'!C:C,'Step 2'!B1152,'Support - Transition'!D:D,'Step 2'!C1152,'Support - Transition'!E:E,"CIVIL")</f>
        <v>1.1169999999999999E-3</v>
      </c>
      <c r="H1152" s="126">
        <f>SUMIFS('Support - Transition'!F:F,'Support - Transition'!B:B,'Step 2'!A1152,'Support - Transition'!C:C,'Step 2'!B1152,'Support - Transition'!D:D,'Step 2'!C1152,'Support - Transition'!E:E,"FIRE")</f>
        <v>3.3500000000000001E-4</v>
      </c>
      <c r="I1152" s="126">
        <f>IF(B1152="0",SUMIFS('Support - Transition'!F:F,'Support - Transition'!J:J,'Step 2'!D1152,'Support - Transition'!E:E,"STATE UNIT"),SUMIFS('Support - Transition'!F:F,'Support - Transition'!J:J,'Step 2'!D1152))</f>
        <v>1.4519999999999999E-3</v>
      </c>
      <c r="J1152" s="126">
        <f>SUMIFS('Support - Unit Adjustments'!E:E,'Support - Unit Adjustments'!F:F,'Step 2'!D1152)</f>
        <v>0</v>
      </c>
      <c r="K1152" s="126">
        <f t="shared" si="327"/>
        <v>1.4519999999999999E-3</v>
      </c>
      <c r="L1152" s="174">
        <f>VLOOKUP(A1152,'Step 1'!$A:$E,4,FALSE)</f>
        <v>277465</v>
      </c>
      <c r="M1152" s="47">
        <f t="shared" si="328"/>
        <v>403</v>
      </c>
      <c r="N1152" s="177">
        <f>SUMIFS('Support - Transition'!G:G,'Support - Transition'!J:J,'Step 2'!D1152,'Support - Transition'!E:E,"2009 WELFARE ALLOCATION FACTOR")</f>
        <v>0</v>
      </c>
      <c r="O1152" s="152">
        <f t="shared" si="333"/>
        <v>0</v>
      </c>
      <c r="P1152" s="126">
        <f>IF(E1152="Y",0,SUMIFS('Support - Transition'!G:G,'Support - Transition'!J:J,'Step 2'!D1152,'Support - Transition'!E:E,"2009 SCHOOL ALLOCATION FACTOR"))</f>
        <v>0</v>
      </c>
      <c r="Q1152" s="126">
        <f>IF(E1152="Y",VLOOKUP(D1152,'Support - Unit Adjustments'!F:G,2,FALSE),0)</f>
        <v>0</v>
      </c>
      <c r="R1152" s="155">
        <f t="shared" si="345"/>
        <v>0</v>
      </c>
      <c r="S1152" s="47">
        <f t="shared" si="344"/>
        <v>0</v>
      </c>
      <c r="T1152" s="151">
        <f t="shared" si="329"/>
        <v>403</v>
      </c>
      <c r="U1152" s="151">
        <f t="shared" si="330"/>
        <v>0</v>
      </c>
      <c r="V1152" s="139">
        <f t="shared" si="331"/>
        <v>0</v>
      </c>
      <c r="W1152" s="152">
        <f t="shared" si="334"/>
        <v>403</v>
      </c>
      <c r="X1152" s="127" t="str">
        <f t="shared" si="332"/>
        <v/>
      </c>
      <c r="Y1152" s="207">
        <f t="shared" si="335"/>
        <v>403</v>
      </c>
      <c r="Z1152" s="139">
        <f t="shared" si="336"/>
        <v>310</v>
      </c>
      <c r="AA1152" s="139">
        <f t="shared" si="337"/>
        <v>93</v>
      </c>
      <c r="AC1152" s="47">
        <f t="shared" si="338"/>
        <v>202</v>
      </c>
      <c r="AD1152" s="47">
        <f t="shared" si="339"/>
        <v>155</v>
      </c>
      <c r="AE1152" s="47">
        <f t="shared" si="340"/>
        <v>47</v>
      </c>
      <c r="AG1152" s="47">
        <f t="shared" si="341"/>
        <v>201</v>
      </c>
      <c r="AH1152" s="47">
        <f t="shared" si="342"/>
        <v>155</v>
      </c>
      <c r="AI1152" s="208">
        <f t="shared" si="343"/>
        <v>46</v>
      </c>
    </row>
    <row r="1153" spans="1:35">
      <c r="A1153" t="s">
        <v>2124</v>
      </c>
      <c r="B1153" t="s">
        <v>3142</v>
      </c>
      <c r="C1153" t="s">
        <v>2190</v>
      </c>
      <c r="D1153" t="s">
        <v>4512</v>
      </c>
      <c r="F1153" t="s">
        <v>107</v>
      </c>
      <c r="G1153" s="126">
        <f>SUMIFS('Support - Transition'!F:F,'Support - Transition'!B:B,'Step 2'!A1153,'Support - Transition'!C:C,'Step 2'!B1153,'Support - Transition'!D:D,'Step 2'!C1153,'Support - Transition'!E:E,"CIVIL")</f>
        <v>2.9559999999999999E-3</v>
      </c>
      <c r="H1153" s="126">
        <f>SUMIFS('Support - Transition'!F:F,'Support - Transition'!B:B,'Step 2'!A1153,'Support - Transition'!C:C,'Step 2'!B1153,'Support - Transition'!D:D,'Step 2'!C1153,'Support - Transition'!E:E,"FIRE")</f>
        <v>9.8999999999999994E-5</v>
      </c>
      <c r="I1153" s="126">
        <f>IF(B1153="0",SUMIFS('Support - Transition'!F:F,'Support - Transition'!J:J,'Step 2'!D1153,'Support - Transition'!E:E,"STATE UNIT"),SUMIFS('Support - Transition'!F:F,'Support - Transition'!J:J,'Step 2'!D1153))</f>
        <v>3.055E-3</v>
      </c>
      <c r="J1153" s="126">
        <f>SUMIFS('Support - Unit Adjustments'!E:E,'Support - Unit Adjustments'!F:F,'Step 2'!D1153)</f>
        <v>0</v>
      </c>
      <c r="K1153" s="126">
        <f t="shared" si="327"/>
        <v>3.055E-3</v>
      </c>
      <c r="L1153" s="174">
        <f>VLOOKUP(A1153,'Step 1'!$A:$E,4,FALSE)</f>
        <v>277465</v>
      </c>
      <c r="M1153" s="47">
        <f t="shared" si="328"/>
        <v>848</v>
      </c>
      <c r="N1153" s="177">
        <f>SUMIFS('Support - Transition'!G:G,'Support - Transition'!J:J,'Step 2'!D1153,'Support - Transition'!E:E,"2009 WELFARE ALLOCATION FACTOR")</f>
        <v>0</v>
      </c>
      <c r="O1153" s="152">
        <f t="shared" si="333"/>
        <v>0</v>
      </c>
      <c r="P1153" s="126">
        <f>IF(E1153="Y",0,SUMIFS('Support - Transition'!G:G,'Support - Transition'!J:J,'Step 2'!D1153,'Support - Transition'!E:E,"2009 SCHOOL ALLOCATION FACTOR"))</f>
        <v>0</v>
      </c>
      <c r="Q1153" s="126">
        <f>IF(E1153="Y",VLOOKUP(D1153,'Support - Unit Adjustments'!F:G,2,FALSE),0)</f>
        <v>0</v>
      </c>
      <c r="R1153" s="155">
        <f t="shared" si="345"/>
        <v>0</v>
      </c>
      <c r="S1153" s="47">
        <f t="shared" si="344"/>
        <v>0</v>
      </c>
      <c r="T1153" s="151">
        <f t="shared" si="329"/>
        <v>848</v>
      </c>
      <c r="U1153" s="151">
        <f t="shared" si="330"/>
        <v>0</v>
      </c>
      <c r="V1153" s="139">
        <f t="shared" si="331"/>
        <v>0</v>
      </c>
      <c r="W1153" s="152">
        <f t="shared" si="334"/>
        <v>848</v>
      </c>
      <c r="X1153" s="127" t="str">
        <f t="shared" si="332"/>
        <v/>
      </c>
      <c r="Y1153" s="207">
        <f t="shared" si="335"/>
        <v>848</v>
      </c>
      <c r="Z1153" s="139">
        <f t="shared" si="336"/>
        <v>821</v>
      </c>
      <c r="AA1153" s="139">
        <f t="shared" si="337"/>
        <v>27</v>
      </c>
      <c r="AC1153" s="47">
        <f t="shared" si="338"/>
        <v>424</v>
      </c>
      <c r="AD1153" s="47">
        <f t="shared" si="339"/>
        <v>411</v>
      </c>
      <c r="AE1153" s="47">
        <f t="shared" si="340"/>
        <v>14</v>
      </c>
      <c r="AG1153" s="47">
        <f t="shared" si="341"/>
        <v>424</v>
      </c>
      <c r="AH1153" s="47">
        <f t="shared" si="342"/>
        <v>410</v>
      </c>
      <c r="AI1153" s="208">
        <f t="shared" si="343"/>
        <v>13</v>
      </c>
    </row>
    <row r="1154" spans="1:35">
      <c r="A1154" t="s">
        <v>2124</v>
      </c>
      <c r="B1154" t="s">
        <v>3142</v>
      </c>
      <c r="C1154" t="s">
        <v>2191</v>
      </c>
      <c r="D1154" t="s">
        <v>4513</v>
      </c>
      <c r="F1154" t="s">
        <v>429</v>
      </c>
      <c r="G1154" s="126">
        <f>SUMIFS('Support - Transition'!F:F,'Support - Transition'!B:B,'Step 2'!A1154,'Support - Transition'!C:C,'Step 2'!B1154,'Support - Transition'!D:D,'Step 2'!C1154,'Support - Transition'!E:E,"CIVIL")</f>
        <v>7.8799999999999996E-4</v>
      </c>
      <c r="H1154" s="126">
        <f>SUMIFS('Support - Transition'!F:F,'Support - Transition'!B:B,'Step 2'!A1154,'Support - Transition'!C:C,'Step 2'!B1154,'Support - Transition'!D:D,'Step 2'!C1154,'Support - Transition'!E:E,"FIRE")</f>
        <v>1.9699999999999999E-4</v>
      </c>
      <c r="I1154" s="126">
        <f>IF(B1154="0",SUMIFS('Support - Transition'!F:F,'Support - Transition'!J:J,'Step 2'!D1154,'Support - Transition'!E:E,"STATE UNIT"),SUMIFS('Support - Transition'!F:F,'Support - Transition'!J:J,'Step 2'!D1154))</f>
        <v>9.8499999999999998E-4</v>
      </c>
      <c r="J1154" s="126">
        <f>SUMIFS('Support - Unit Adjustments'!E:E,'Support - Unit Adjustments'!F:F,'Step 2'!D1154)</f>
        <v>0</v>
      </c>
      <c r="K1154" s="126">
        <f t="shared" ref="K1154:K1217" si="346">+I1154+J1154</f>
        <v>9.8499999999999998E-4</v>
      </c>
      <c r="L1154" s="174">
        <f>VLOOKUP(A1154,'Step 1'!$A:$E,4,FALSE)</f>
        <v>277465</v>
      </c>
      <c r="M1154" s="47">
        <f t="shared" ref="M1154:M1217" si="347">ROUND(+K1154*L1154,0)</f>
        <v>273</v>
      </c>
      <c r="N1154" s="177">
        <f>SUMIFS('Support - Transition'!G:G,'Support - Transition'!J:J,'Step 2'!D1154,'Support - Transition'!E:E,"2009 WELFARE ALLOCATION FACTOR")</f>
        <v>0</v>
      </c>
      <c r="O1154" s="152">
        <f t="shared" si="333"/>
        <v>0</v>
      </c>
      <c r="P1154" s="126">
        <f>IF(E1154="Y",0,SUMIFS('Support - Transition'!G:G,'Support - Transition'!J:J,'Step 2'!D1154,'Support - Transition'!E:E,"2009 SCHOOL ALLOCATION FACTOR"))</f>
        <v>0</v>
      </c>
      <c r="Q1154" s="126">
        <f>IF(E1154="Y",VLOOKUP(D1154,'Support - Unit Adjustments'!F:G,2,FALSE),0)</f>
        <v>0</v>
      </c>
      <c r="R1154" s="155">
        <f t="shared" si="345"/>
        <v>0</v>
      </c>
      <c r="S1154" s="47">
        <f t="shared" si="344"/>
        <v>0</v>
      </c>
      <c r="T1154" s="151">
        <f t="shared" ref="T1154:T1217" si="348">ROUND(+M1154-O1154-S1154,2)</f>
        <v>273</v>
      </c>
      <c r="U1154" s="151">
        <f t="shared" ref="U1154:U1217" si="349">IF(B1154="0",SUMIFS(O:O,A:A,A1154)+SUMIFS(S:S,A:A,A1154)+SUMIFS(T:T,A:A,A1154),0)</f>
        <v>0</v>
      </c>
      <c r="V1154" s="139">
        <f t="shared" ref="V1154:V1217" si="350">IF(B1154="0",U1154-L1154,0)</f>
        <v>0</v>
      </c>
      <c r="W1154" s="152">
        <f t="shared" si="334"/>
        <v>273</v>
      </c>
      <c r="X1154" s="127" t="str">
        <f t="shared" ref="X1154:X1217" si="351">IF(B1154="0",SUMIFS(O:O,A:A,A1154)+SUMIFS(S:S,A:A,A1154)+SUMIFS(W:W,A:A,A1154)-L1154,"")</f>
        <v/>
      </c>
      <c r="Y1154" s="207">
        <f t="shared" si="335"/>
        <v>273</v>
      </c>
      <c r="Z1154" s="139">
        <f t="shared" si="336"/>
        <v>218</v>
      </c>
      <c r="AA1154" s="139">
        <f t="shared" si="337"/>
        <v>55</v>
      </c>
      <c r="AC1154" s="47">
        <f t="shared" si="338"/>
        <v>137</v>
      </c>
      <c r="AD1154" s="47">
        <f t="shared" si="339"/>
        <v>109</v>
      </c>
      <c r="AE1154" s="47">
        <f t="shared" si="340"/>
        <v>28</v>
      </c>
      <c r="AG1154" s="47">
        <f t="shared" si="341"/>
        <v>136</v>
      </c>
      <c r="AH1154" s="47">
        <f t="shared" si="342"/>
        <v>109</v>
      </c>
      <c r="AI1154" s="208">
        <f t="shared" si="343"/>
        <v>27</v>
      </c>
    </row>
    <row r="1155" spans="1:35">
      <c r="A1155" t="s">
        <v>2124</v>
      </c>
      <c r="B1155" t="s">
        <v>3142</v>
      </c>
      <c r="C1155" t="s">
        <v>2192</v>
      </c>
      <c r="D1155" t="s">
        <v>4514</v>
      </c>
      <c r="F1155" t="s">
        <v>886</v>
      </c>
      <c r="G1155" s="126">
        <f>SUMIFS('Support - Transition'!F:F,'Support - Transition'!B:B,'Step 2'!A1155,'Support - Transition'!C:C,'Step 2'!B1155,'Support - Transition'!D:D,'Step 2'!C1155,'Support - Transition'!E:E,"CIVIL")</f>
        <v>2.7460000000000002E-3</v>
      </c>
      <c r="H1155" s="126">
        <f>SUMIFS('Support - Transition'!F:F,'Support - Transition'!B:B,'Step 2'!A1155,'Support - Transition'!C:C,'Step 2'!B1155,'Support - Transition'!D:D,'Step 2'!C1155,'Support - Transition'!E:E,"FIRE")</f>
        <v>1.1169999999999999E-3</v>
      </c>
      <c r="I1155" s="126">
        <f>IF(B1155="0",SUMIFS('Support - Transition'!F:F,'Support - Transition'!J:J,'Step 2'!D1155,'Support - Transition'!E:E,"STATE UNIT"),SUMIFS('Support - Transition'!F:F,'Support - Transition'!J:J,'Step 2'!D1155))</f>
        <v>3.8630000000000001E-3</v>
      </c>
      <c r="J1155" s="126">
        <f>SUMIFS('Support - Unit Adjustments'!E:E,'Support - Unit Adjustments'!F:F,'Step 2'!D1155)</f>
        <v>0</v>
      </c>
      <c r="K1155" s="126">
        <f t="shared" si="346"/>
        <v>3.8630000000000001E-3</v>
      </c>
      <c r="L1155" s="174">
        <f>VLOOKUP(A1155,'Step 1'!$A:$E,4,FALSE)</f>
        <v>277465</v>
      </c>
      <c r="M1155" s="47">
        <f t="shared" si="347"/>
        <v>1072</v>
      </c>
      <c r="N1155" s="177">
        <f>SUMIFS('Support - Transition'!G:G,'Support - Transition'!J:J,'Step 2'!D1155,'Support - Transition'!E:E,"2009 WELFARE ALLOCATION FACTOR")</f>
        <v>0</v>
      </c>
      <c r="O1155" s="152">
        <f t="shared" ref="O1155:O1218" si="352">ROUND(+N1155*M1155,0)</f>
        <v>0</v>
      </c>
      <c r="P1155" s="126">
        <f>IF(E1155="Y",0,SUMIFS('Support - Transition'!G:G,'Support - Transition'!J:J,'Step 2'!D1155,'Support - Transition'!E:E,"2009 SCHOOL ALLOCATION FACTOR"))</f>
        <v>0</v>
      </c>
      <c r="Q1155" s="126">
        <f>IF(E1155="Y",VLOOKUP(D1155,'Support - Unit Adjustments'!F:G,2,FALSE),0)</f>
        <v>0</v>
      </c>
      <c r="R1155" s="155">
        <f t="shared" si="345"/>
        <v>0</v>
      </c>
      <c r="S1155" s="47">
        <f t="shared" si="344"/>
        <v>0</v>
      </c>
      <c r="T1155" s="151">
        <f t="shared" si="348"/>
        <v>1072</v>
      </c>
      <c r="U1155" s="151">
        <f t="shared" si="349"/>
        <v>0</v>
      </c>
      <c r="V1155" s="139">
        <f t="shared" si="350"/>
        <v>0</v>
      </c>
      <c r="W1155" s="152">
        <f t="shared" ref="W1155:W1218" si="353">+T1155-V1155</f>
        <v>1072</v>
      </c>
      <c r="X1155" s="127" t="str">
        <f t="shared" si="351"/>
        <v/>
      </c>
      <c r="Y1155" s="207">
        <f t="shared" ref="Y1155:Y1218" si="354">W1155</f>
        <v>1072</v>
      </c>
      <c r="Z1155" s="139">
        <f t="shared" ref="Z1155:Z1218" si="355">IFERROR(IF(B1155="2",ROUND(Y1155*G1155/I1155,0),Y1155),0)</f>
        <v>762</v>
      </c>
      <c r="AA1155" s="139">
        <f t="shared" ref="AA1155:AA1218" si="356">+Y1155-Z1155</f>
        <v>310</v>
      </c>
      <c r="AC1155" s="47">
        <f t="shared" ref="AC1155:AC1218" si="357">ROUND(Y1155/2,0)</f>
        <v>536</v>
      </c>
      <c r="AD1155" s="47">
        <f t="shared" ref="AD1155:AD1218" si="358">ROUND(Z1155/2,0)</f>
        <v>381</v>
      </c>
      <c r="AE1155" s="47">
        <f t="shared" ref="AE1155:AE1218" si="359">ROUND(AA1155/2,0)</f>
        <v>155</v>
      </c>
      <c r="AG1155" s="47">
        <f t="shared" ref="AG1155:AG1218" si="360">+Y1155-AC1155</f>
        <v>536</v>
      </c>
      <c r="AH1155" s="47">
        <f t="shared" ref="AH1155:AH1218" si="361">+Z1155-AD1155</f>
        <v>381</v>
      </c>
      <c r="AI1155" s="208">
        <f t="shared" ref="AI1155:AI1218" si="362">+AA1155-AE1155</f>
        <v>155</v>
      </c>
    </row>
    <row r="1156" spans="1:35">
      <c r="A1156" t="s">
        <v>2124</v>
      </c>
      <c r="B1156" t="s">
        <v>3142</v>
      </c>
      <c r="C1156" t="s">
        <v>2193</v>
      </c>
      <c r="D1156" t="s">
        <v>4515</v>
      </c>
      <c r="F1156" t="s">
        <v>887</v>
      </c>
      <c r="G1156" s="126">
        <f>SUMIFS('Support - Transition'!F:F,'Support - Transition'!B:B,'Step 2'!A1156,'Support - Transition'!C:C,'Step 2'!B1156,'Support - Transition'!D:D,'Step 2'!C1156,'Support - Transition'!E:E,"CIVIL")</f>
        <v>2.33E-4</v>
      </c>
      <c r="H1156" s="126">
        <f>SUMIFS('Support - Transition'!F:F,'Support - Transition'!B:B,'Step 2'!A1156,'Support - Transition'!C:C,'Step 2'!B1156,'Support - Transition'!D:D,'Step 2'!C1156,'Support - Transition'!E:E,"FIRE")</f>
        <v>6.8999999999999997E-5</v>
      </c>
      <c r="I1156" s="126">
        <f>IF(B1156="0",SUMIFS('Support - Transition'!F:F,'Support - Transition'!J:J,'Step 2'!D1156,'Support - Transition'!E:E,"STATE UNIT"),SUMIFS('Support - Transition'!F:F,'Support - Transition'!J:J,'Step 2'!D1156))</f>
        <v>3.0199999999999997E-4</v>
      </c>
      <c r="J1156" s="126">
        <f>SUMIFS('Support - Unit Adjustments'!E:E,'Support - Unit Adjustments'!F:F,'Step 2'!D1156)</f>
        <v>0</v>
      </c>
      <c r="K1156" s="126">
        <f t="shared" si="346"/>
        <v>3.0199999999999997E-4</v>
      </c>
      <c r="L1156" s="174">
        <f>VLOOKUP(A1156,'Step 1'!$A:$E,4,FALSE)</f>
        <v>277465</v>
      </c>
      <c r="M1156" s="47">
        <f t="shared" si="347"/>
        <v>84</v>
      </c>
      <c r="N1156" s="177">
        <f>SUMIFS('Support - Transition'!G:G,'Support - Transition'!J:J,'Step 2'!D1156,'Support - Transition'!E:E,"2009 WELFARE ALLOCATION FACTOR")</f>
        <v>0</v>
      </c>
      <c r="O1156" s="152">
        <f t="shared" si="352"/>
        <v>0</v>
      </c>
      <c r="P1156" s="126">
        <f>IF(E1156="Y",0,SUMIFS('Support - Transition'!G:G,'Support - Transition'!J:J,'Step 2'!D1156,'Support - Transition'!E:E,"2009 SCHOOL ALLOCATION FACTOR"))</f>
        <v>0</v>
      </c>
      <c r="Q1156" s="126">
        <f>IF(E1156="Y",VLOOKUP(D1156,'Support - Unit Adjustments'!F:G,2,FALSE),0)</f>
        <v>0</v>
      </c>
      <c r="R1156" s="155">
        <f t="shared" si="345"/>
        <v>0</v>
      </c>
      <c r="S1156" s="47">
        <f t="shared" si="344"/>
        <v>0</v>
      </c>
      <c r="T1156" s="151">
        <f t="shared" si="348"/>
        <v>84</v>
      </c>
      <c r="U1156" s="151">
        <f t="shared" si="349"/>
        <v>0</v>
      </c>
      <c r="V1156" s="139">
        <f t="shared" si="350"/>
        <v>0</v>
      </c>
      <c r="W1156" s="152">
        <f t="shared" si="353"/>
        <v>84</v>
      </c>
      <c r="X1156" s="127" t="str">
        <f t="shared" si="351"/>
        <v/>
      </c>
      <c r="Y1156" s="207">
        <f t="shared" si="354"/>
        <v>84</v>
      </c>
      <c r="Z1156" s="139">
        <f t="shared" si="355"/>
        <v>65</v>
      </c>
      <c r="AA1156" s="139">
        <f t="shared" si="356"/>
        <v>19</v>
      </c>
      <c r="AC1156" s="47">
        <f t="shared" si="357"/>
        <v>42</v>
      </c>
      <c r="AD1156" s="47">
        <f t="shared" si="358"/>
        <v>33</v>
      </c>
      <c r="AE1156" s="47">
        <f t="shared" si="359"/>
        <v>10</v>
      </c>
      <c r="AG1156" s="47">
        <f t="shared" si="360"/>
        <v>42</v>
      </c>
      <c r="AH1156" s="47">
        <f t="shared" si="361"/>
        <v>32</v>
      </c>
      <c r="AI1156" s="208">
        <f t="shared" si="362"/>
        <v>9</v>
      </c>
    </row>
    <row r="1157" spans="1:35">
      <c r="A1157" t="s">
        <v>2124</v>
      </c>
      <c r="B1157" t="s">
        <v>3142</v>
      </c>
      <c r="C1157" t="s">
        <v>2194</v>
      </c>
      <c r="D1157" t="s">
        <v>4516</v>
      </c>
      <c r="F1157" t="s">
        <v>53</v>
      </c>
      <c r="G1157" s="126">
        <f>SUMIFS('Support - Transition'!F:F,'Support - Transition'!B:B,'Step 2'!A1157,'Support - Transition'!C:C,'Step 2'!B1157,'Support - Transition'!D:D,'Step 2'!C1157,'Support - Transition'!E:E,"CIVIL")</f>
        <v>2.3599999999999999E-4</v>
      </c>
      <c r="H1157" s="126">
        <f>SUMIFS('Support - Transition'!F:F,'Support - Transition'!B:B,'Step 2'!A1157,'Support - Transition'!C:C,'Step 2'!B1157,'Support - Transition'!D:D,'Step 2'!C1157,'Support - Transition'!E:E,"FIRE")</f>
        <v>5.8999999999999998E-5</v>
      </c>
      <c r="I1157" s="126">
        <f>IF(B1157="0",SUMIFS('Support - Transition'!F:F,'Support - Transition'!J:J,'Step 2'!D1157,'Support - Transition'!E:E,"STATE UNIT"),SUMIFS('Support - Transition'!F:F,'Support - Transition'!J:J,'Step 2'!D1157))</f>
        <v>2.9500000000000001E-4</v>
      </c>
      <c r="J1157" s="126">
        <f>SUMIFS('Support - Unit Adjustments'!E:E,'Support - Unit Adjustments'!F:F,'Step 2'!D1157)</f>
        <v>0</v>
      </c>
      <c r="K1157" s="126">
        <f t="shared" si="346"/>
        <v>2.9500000000000001E-4</v>
      </c>
      <c r="L1157" s="174">
        <f>VLOOKUP(A1157,'Step 1'!$A:$E,4,FALSE)</f>
        <v>277465</v>
      </c>
      <c r="M1157" s="47">
        <f t="shared" si="347"/>
        <v>82</v>
      </c>
      <c r="N1157" s="177">
        <f>SUMIFS('Support - Transition'!G:G,'Support - Transition'!J:J,'Step 2'!D1157,'Support - Transition'!E:E,"2009 WELFARE ALLOCATION FACTOR")</f>
        <v>0</v>
      </c>
      <c r="O1157" s="152">
        <f t="shared" si="352"/>
        <v>0</v>
      </c>
      <c r="P1157" s="126">
        <f>IF(E1157="Y",0,SUMIFS('Support - Transition'!G:G,'Support - Transition'!J:J,'Step 2'!D1157,'Support - Transition'!E:E,"2009 SCHOOL ALLOCATION FACTOR"))</f>
        <v>0</v>
      </c>
      <c r="Q1157" s="126">
        <f>IF(E1157="Y",VLOOKUP(D1157,'Support - Unit Adjustments'!F:G,2,FALSE),0)</f>
        <v>0</v>
      </c>
      <c r="R1157" s="155">
        <f t="shared" si="345"/>
        <v>0</v>
      </c>
      <c r="S1157" s="47">
        <f t="shared" si="344"/>
        <v>0</v>
      </c>
      <c r="T1157" s="151">
        <f t="shared" si="348"/>
        <v>82</v>
      </c>
      <c r="U1157" s="151">
        <f t="shared" si="349"/>
        <v>0</v>
      </c>
      <c r="V1157" s="139">
        <f t="shared" si="350"/>
        <v>0</v>
      </c>
      <c r="W1157" s="152">
        <f t="shared" si="353"/>
        <v>82</v>
      </c>
      <c r="X1157" s="127" t="str">
        <f t="shared" si="351"/>
        <v/>
      </c>
      <c r="Y1157" s="207">
        <f t="shared" si="354"/>
        <v>82</v>
      </c>
      <c r="Z1157" s="139">
        <f t="shared" si="355"/>
        <v>66</v>
      </c>
      <c r="AA1157" s="139">
        <f t="shared" si="356"/>
        <v>16</v>
      </c>
      <c r="AC1157" s="47">
        <f t="shared" si="357"/>
        <v>41</v>
      </c>
      <c r="AD1157" s="47">
        <f t="shared" si="358"/>
        <v>33</v>
      </c>
      <c r="AE1157" s="47">
        <f t="shared" si="359"/>
        <v>8</v>
      </c>
      <c r="AG1157" s="47">
        <f t="shared" si="360"/>
        <v>41</v>
      </c>
      <c r="AH1157" s="47">
        <f t="shared" si="361"/>
        <v>33</v>
      </c>
      <c r="AI1157" s="208">
        <f t="shared" si="362"/>
        <v>8</v>
      </c>
    </row>
    <row r="1158" spans="1:35">
      <c r="A1158" t="s">
        <v>2124</v>
      </c>
      <c r="B1158" t="s">
        <v>3142</v>
      </c>
      <c r="C1158" t="s">
        <v>2195</v>
      </c>
      <c r="D1158" t="s">
        <v>4517</v>
      </c>
      <c r="F1158" t="s">
        <v>568</v>
      </c>
      <c r="G1158" s="126">
        <f>SUMIFS('Support - Transition'!F:F,'Support - Transition'!B:B,'Step 2'!A1158,'Support - Transition'!C:C,'Step 2'!B1158,'Support - Transition'!D:D,'Step 2'!C1158,'Support - Transition'!E:E,"CIVIL")</f>
        <v>8.1800000000000004E-4</v>
      </c>
      <c r="H1158" s="126">
        <f>SUMIFS('Support - Transition'!F:F,'Support - Transition'!B:B,'Step 2'!A1158,'Support - Transition'!C:C,'Step 2'!B1158,'Support - Transition'!D:D,'Step 2'!C1158,'Support - Transition'!E:E,"FIRE")</f>
        <v>5.1199999999999998E-4</v>
      </c>
      <c r="I1158" s="126">
        <f>IF(B1158="0",SUMIFS('Support - Transition'!F:F,'Support - Transition'!J:J,'Step 2'!D1158,'Support - Transition'!E:E,"STATE UNIT"),SUMIFS('Support - Transition'!F:F,'Support - Transition'!J:J,'Step 2'!D1158))</f>
        <v>1.33E-3</v>
      </c>
      <c r="J1158" s="126">
        <f>SUMIFS('Support - Unit Adjustments'!E:E,'Support - Unit Adjustments'!F:F,'Step 2'!D1158)</f>
        <v>0</v>
      </c>
      <c r="K1158" s="126">
        <f t="shared" si="346"/>
        <v>1.33E-3</v>
      </c>
      <c r="L1158" s="174">
        <f>VLOOKUP(A1158,'Step 1'!$A:$E,4,FALSE)</f>
        <v>277465</v>
      </c>
      <c r="M1158" s="47">
        <f t="shared" si="347"/>
        <v>369</v>
      </c>
      <c r="N1158" s="177">
        <f>SUMIFS('Support - Transition'!G:G,'Support - Transition'!J:J,'Step 2'!D1158,'Support - Transition'!E:E,"2009 WELFARE ALLOCATION FACTOR")</f>
        <v>0</v>
      </c>
      <c r="O1158" s="152">
        <f t="shared" si="352"/>
        <v>0</v>
      </c>
      <c r="P1158" s="126">
        <f>IF(E1158="Y",0,SUMIFS('Support - Transition'!G:G,'Support - Transition'!J:J,'Step 2'!D1158,'Support - Transition'!E:E,"2009 SCHOOL ALLOCATION FACTOR"))</f>
        <v>0</v>
      </c>
      <c r="Q1158" s="126">
        <f>IF(E1158="Y",VLOOKUP(D1158,'Support - Unit Adjustments'!F:G,2,FALSE),0)</f>
        <v>0</v>
      </c>
      <c r="R1158" s="155">
        <f t="shared" si="345"/>
        <v>0</v>
      </c>
      <c r="S1158" s="47">
        <f t="shared" si="344"/>
        <v>0</v>
      </c>
      <c r="T1158" s="151">
        <f t="shared" si="348"/>
        <v>369</v>
      </c>
      <c r="U1158" s="151">
        <f t="shared" si="349"/>
        <v>0</v>
      </c>
      <c r="V1158" s="139">
        <f t="shared" si="350"/>
        <v>0</v>
      </c>
      <c r="W1158" s="152">
        <f t="shared" si="353"/>
        <v>369</v>
      </c>
      <c r="X1158" s="127" t="str">
        <f t="shared" si="351"/>
        <v/>
      </c>
      <c r="Y1158" s="207">
        <f t="shared" si="354"/>
        <v>369</v>
      </c>
      <c r="Z1158" s="139">
        <f t="shared" si="355"/>
        <v>227</v>
      </c>
      <c r="AA1158" s="139">
        <f t="shared" si="356"/>
        <v>142</v>
      </c>
      <c r="AC1158" s="47">
        <f t="shared" si="357"/>
        <v>185</v>
      </c>
      <c r="AD1158" s="47">
        <f t="shared" si="358"/>
        <v>114</v>
      </c>
      <c r="AE1158" s="47">
        <f t="shared" si="359"/>
        <v>71</v>
      </c>
      <c r="AG1158" s="47">
        <f t="shared" si="360"/>
        <v>184</v>
      </c>
      <c r="AH1158" s="47">
        <f t="shared" si="361"/>
        <v>113</v>
      </c>
      <c r="AI1158" s="208">
        <f t="shared" si="362"/>
        <v>71</v>
      </c>
    </row>
    <row r="1159" spans="1:35">
      <c r="A1159" t="s">
        <v>2124</v>
      </c>
      <c r="B1159" t="s">
        <v>3142</v>
      </c>
      <c r="C1159" t="s">
        <v>2196</v>
      </c>
      <c r="D1159" t="s">
        <v>4518</v>
      </c>
      <c r="F1159" t="s">
        <v>888</v>
      </c>
      <c r="G1159" s="126">
        <f>SUMIFS('Support - Transition'!F:F,'Support - Transition'!B:B,'Step 2'!A1159,'Support - Transition'!C:C,'Step 2'!B1159,'Support - Transition'!D:D,'Step 2'!C1159,'Support - Transition'!E:E,"CIVIL")</f>
        <v>4.3399999999999998E-4</v>
      </c>
      <c r="H1159" s="126">
        <f>SUMIFS('Support - Transition'!F:F,'Support - Transition'!B:B,'Step 2'!A1159,'Support - Transition'!C:C,'Step 2'!B1159,'Support - Transition'!D:D,'Step 2'!C1159,'Support - Transition'!E:E,"FIRE")</f>
        <v>8.5000000000000006E-5</v>
      </c>
      <c r="I1159" s="126">
        <f>IF(B1159="0",SUMIFS('Support - Transition'!F:F,'Support - Transition'!J:J,'Step 2'!D1159,'Support - Transition'!E:E,"STATE UNIT"),SUMIFS('Support - Transition'!F:F,'Support - Transition'!J:J,'Step 2'!D1159))</f>
        <v>5.1899999999999993E-4</v>
      </c>
      <c r="J1159" s="126">
        <f>SUMIFS('Support - Unit Adjustments'!E:E,'Support - Unit Adjustments'!F:F,'Step 2'!D1159)</f>
        <v>0</v>
      </c>
      <c r="K1159" s="126">
        <f t="shared" si="346"/>
        <v>5.1899999999999993E-4</v>
      </c>
      <c r="L1159" s="174">
        <f>VLOOKUP(A1159,'Step 1'!$A:$E,4,FALSE)</f>
        <v>277465</v>
      </c>
      <c r="M1159" s="47">
        <f t="shared" si="347"/>
        <v>144</v>
      </c>
      <c r="N1159" s="177">
        <f>SUMIFS('Support - Transition'!G:G,'Support - Transition'!J:J,'Step 2'!D1159,'Support - Transition'!E:E,"2009 WELFARE ALLOCATION FACTOR")</f>
        <v>0</v>
      </c>
      <c r="O1159" s="152">
        <f t="shared" si="352"/>
        <v>0</v>
      </c>
      <c r="P1159" s="126">
        <f>IF(E1159="Y",0,SUMIFS('Support - Transition'!G:G,'Support - Transition'!J:J,'Step 2'!D1159,'Support - Transition'!E:E,"2009 SCHOOL ALLOCATION FACTOR"))</f>
        <v>0</v>
      </c>
      <c r="Q1159" s="126">
        <f>IF(E1159="Y",VLOOKUP(D1159,'Support - Unit Adjustments'!F:G,2,FALSE),0)</f>
        <v>0</v>
      </c>
      <c r="R1159" s="155">
        <f t="shared" si="345"/>
        <v>0</v>
      </c>
      <c r="S1159" s="47">
        <f t="shared" si="344"/>
        <v>0</v>
      </c>
      <c r="T1159" s="151">
        <f t="shared" si="348"/>
        <v>144</v>
      </c>
      <c r="U1159" s="151">
        <f t="shared" si="349"/>
        <v>0</v>
      </c>
      <c r="V1159" s="139">
        <f t="shared" si="350"/>
        <v>0</v>
      </c>
      <c r="W1159" s="152">
        <f t="shared" si="353"/>
        <v>144</v>
      </c>
      <c r="X1159" s="127" t="str">
        <f t="shared" si="351"/>
        <v/>
      </c>
      <c r="Y1159" s="207">
        <f t="shared" si="354"/>
        <v>144</v>
      </c>
      <c r="Z1159" s="139">
        <f t="shared" si="355"/>
        <v>120</v>
      </c>
      <c r="AA1159" s="139">
        <f t="shared" si="356"/>
        <v>24</v>
      </c>
      <c r="AC1159" s="47">
        <f t="shared" si="357"/>
        <v>72</v>
      </c>
      <c r="AD1159" s="47">
        <f t="shared" si="358"/>
        <v>60</v>
      </c>
      <c r="AE1159" s="47">
        <f t="shared" si="359"/>
        <v>12</v>
      </c>
      <c r="AG1159" s="47">
        <f t="shared" si="360"/>
        <v>72</v>
      </c>
      <c r="AH1159" s="47">
        <f t="shared" si="361"/>
        <v>60</v>
      </c>
      <c r="AI1159" s="208">
        <f t="shared" si="362"/>
        <v>12</v>
      </c>
    </row>
    <row r="1160" spans="1:35">
      <c r="A1160" t="s">
        <v>2124</v>
      </c>
      <c r="B1160" t="s">
        <v>3142</v>
      </c>
      <c r="C1160" t="s">
        <v>2197</v>
      </c>
      <c r="D1160" t="s">
        <v>4519</v>
      </c>
      <c r="F1160" t="s">
        <v>376</v>
      </c>
      <c r="G1160" s="126">
        <f>SUMIFS('Support - Transition'!F:F,'Support - Transition'!B:B,'Step 2'!A1160,'Support - Transition'!C:C,'Step 2'!B1160,'Support - Transition'!D:D,'Step 2'!C1160,'Support - Transition'!E:E,"CIVIL")</f>
        <v>2.0100000000000001E-3</v>
      </c>
      <c r="H1160" s="126">
        <f>SUMIFS('Support - Transition'!F:F,'Support - Transition'!B:B,'Step 2'!A1160,'Support - Transition'!C:C,'Step 2'!B1160,'Support - Transition'!D:D,'Step 2'!C1160,'Support - Transition'!E:E,"FIRE")</f>
        <v>8.6399999999999997E-4</v>
      </c>
      <c r="I1160" s="126">
        <f>IF(B1160="0",SUMIFS('Support - Transition'!F:F,'Support - Transition'!J:J,'Step 2'!D1160,'Support - Transition'!E:E,"STATE UNIT"),SUMIFS('Support - Transition'!F:F,'Support - Transition'!J:J,'Step 2'!D1160))</f>
        <v>2.8739999999999998E-3</v>
      </c>
      <c r="J1160" s="126">
        <f>SUMIFS('Support - Unit Adjustments'!E:E,'Support - Unit Adjustments'!F:F,'Step 2'!D1160)</f>
        <v>0</v>
      </c>
      <c r="K1160" s="126">
        <f t="shared" si="346"/>
        <v>2.8739999999999998E-3</v>
      </c>
      <c r="L1160" s="174">
        <f>VLOOKUP(A1160,'Step 1'!$A:$E,4,FALSE)</f>
        <v>277465</v>
      </c>
      <c r="M1160" s="47">
        <f t="shared" si="347"/>
        <v>797</v>
      </c>
      <c r="N1160" s="177">
        <f>SUMIFS('Support - Transition'!G:G,'Support - Transition'!J:J,'Step 2'!D1160,'Support - Transition'!E:E,"2009 WELFARE ALLOCATION FACTOR")</f>
        <v>0</v>
      </c>
      <c r="O1160" s="152">
        <f t="shared" si="352"/>
        <v>0</v>
      </c>
      <c r="P1160" s="126">
        <f>IF(E1160="Y",0,SUMIFS('Support - Transition'!G:G,'Support - Transition'!J:J,'Step 2'!D1160,'Support - Transition'!E:E,"2009 SCHOOL ALLOCATION FACTOR"))</f>
        <v>0</v>
      </c>
      <c r="Q1160" s="126">
        <f>IF(E1160="Y",VLOOKUP(D1160,'Support - Unit Adjustments'!F:G,2,FALSE),0)</f>
        <v>0</v>
      </c>
      <c r="R1160" s="155">
        <f t="shared" si="345"/>
        <v>0</v>
      </c>
      <c r="S1160" s="47">
        <f t="shared" ref="S1160:S1223" si="363">ROUND(+R1160*M1160,0)</f>
        <v>0</v>
      </c>
      <c r="T1160" s="151">
        <f t="shared" si="348"/>
        <v>797</v>
      </c>
      <c r="U1160" s="151">
        <f t="shared" si="349"/>
        <v>0</v>
      </c>
      <c r="V1160" s="139">
        <f t="shared" si="350"/>
        <v>0</v>
      </c>
      <c r="W1160" s="152">
        <f t="shared" si="353"/>
        <v>797</v>
      </c>
      <c r="X1160" s="127" t="str">
        <f t="shared" si="351"/>
        <v/>
      </c>
      <c r="Y1160" s="207">
        <f t="shared" si="354"/>
        <v>797</v>
      </c>
      <c r="Z1160" s="139">
        <f t="shared" si="355"/>
        <v>557</v>
      </c>
      <c r="AA1160" s="139">
        <f t="shared" si="356"/>
        <v>240</v>
      </c>
      <c r="AC1160" s="47">
        <f t="shared" si="357"/>
        <v>399</v>
      </c>
      <c r="AD1160" s="47">
        <f t="shared" si="358"/>
        <v>279</v>
      </c>
      <c r="AE1160" s="47">
        <f t="shared" si="359"/>
        <v>120</v>
      </c>
      <c r="AG1160" s="47">
        <f t="shared" si="360"/>
        <v>398</v>
      </c>
      <c r="AH1160" s="47">
        <f t="shared" si="361"/>
        <v>278</v>
      </c>
      <c r="AI1160" s="208">
        <f t="shared" si="362"/>
        <v>120</v>
      </c>
    </row>
    <row r="1161" spans="1:35">
      <c r="A1161" t="s">
        <v>2124</v>
      </c>
      <c r="B1161" t="s">
        <v>3142</v>
      </c>
      <c r="C1161" t="s">
        <v>2198</v>
      </c>
      <c r="D1161" t="s">
        <v>4520</v>
      </c>
      <c r="F1161" t="s">
        <v>673</v>
      </c>
      <c r="G1161" s="126">
        <f>SUMIFS('Support - Transition'!F:F,'Support - Transition'!B:B,'Step 2'!A1161,'Support - Transition'!C:C,'Step 2'!B1161,'Support - Transition'!D:D,'Step 2'!C1161,'Support - Transition'!E:E,"CIVIL")</f>
        <v>4.66E-4</v>
      </c>
      <c r="H1161" s="126">
        <f>SUMIFS('Support - Transition'!F:F,'Support - Transition'!B:B,'Step 2'!A1161,'Support - Transition'!C:C,'Step 2'!B1161,'Support - Transition'!D:D,'Step 2'!C1161,'Support - Transition'!E:E,"FIRE")</f>
        <v>1.9699999999999999E-4</v>
      </c>
      <c r="I1161" s="126">
        <f>IF(B1161="0",SUMIFS('Support - Transition'!F:F,'Support - Transition'!J:J,'Step 2'!D1161,'Support - Transition'!E:E,"STATE UNIT"),SUMIFS('Support - Transition'!F:F,'Support - Transition'!J:J,'Step 2'!D1161))</f>
        <v>6.6299999999999996E-4</v>
      </c>
      <c r="J1161" s="126">
        <f>SUMIFS('Support - Unit Adjustments'!E:E,'Support - Unit Adjustments'!F:F,'Step 2'!D1161)</f>
        <v>0</v>
      </c>
      <c r="K1161" s="126">
        <f t="shared" si="346"/>
        <v>6.6299999999999996E-4</v>
      </c>
      <c r="L1161" s="174">
        <f>VLOOKUP(A1161,'Step 1'!$A:$E,4,FALSE)</f>
        <v>277465</v>
      </c>
      <c r="M1161" s="47">
        <f t="shared" si="347"/>
        <v>184</v>
      </c>
      <c r="N1161" s="177">
        <f>SUMIFS('Support - Transition'!G:G,'Support - Transition'!J:J,'Step 2'!D1161,'Support - Transition'!E:E,"2009 WELFARE ALLOCATION FACTOR")</f>
        <v>0</v>
      </c>
      <c r="O1161" s="152">
        <f t="shared" si="352"/>
        <v>0</v>
      </c>
      <c r="P1161" s="126">
        <f>IF(E1161="Y",0,SUMIFS('Support - Transition'!G:G,'Support - Transition'!J:J,'Step 2'!D1161,'Support - Transition'!E:E,"2009 SCHOOL ALLOCATION FACTOR"))</f>
        <v>0</v>
      </c>
      <c r="Q1161" s="126">
        <f>IF(E1161="Y",VLOOKUP(D1161,'Support - Unit Adjustments'!F:G,2,FALSE),0)</f>
        <v>0</v>
      </c>
      <c r="R1161" s="155">
        <f t="shared" ref="R1161:R1224" si="364">+P1161+Q1161</f>
        <v>0</v>
      </c>
      <c r="S1161" s="47">
        <f t="shared" si="363"/>
        <v>0</v>
      </c>
      <c r="T1161" s="151">
        <f t="shared" si="348"/>
        <v>184</v>
      </c>
      <c r="U1161" s="151">
        <f t="shared" si="349"/>
        <v>0</v>
      </c>
      <c r="V1161" s="139">
        <f t="shared" si="350"/>
        <v>0</v>
      </c>
      <c r="W1161" s="152">
        <f t="shared" si="353"/>
        <v>184</v>
      </c>
      <c r="X1161" s="127" t="str">
        <f t="shared" si="351"/>
        <v/>
      </c>
      <c r="Y1161" s="207">
        <f t="shared" si="354"/>
        <v>184</v>
      </c>
      <c r="Z1161" s="139">
        <f t="shared" si="355"/>
        <v>129</v>
      </c>
      <c r="AA1161" s="139">
        <f t="shared" si="356"/>
        <v>55</v>
      </c>
      <c r="AC1161" s="47">
        <f t="shared" si="357"/>
        <v>92</v>
      </c>
      <c r="AD1161" s="47">
        <f t="shared" si="358"/>
        <v>65</v>
      </c>
      <c r="AE1161" s="47">
        <f t="shared" si="359"/>
        <v>28</v>
      </c>
      <c r="AG1161" s="47">
        <f t="shared" si="360"/>
        <v>92</v>
      </c>
      <c r="AH1161" s="47">
        <f t="shared" si="361"/>
        <v>64</v>
      </c>
      <c r="AI1161" s="208">
        <f t="shared" si="362"/>
        <v>27</v>
      </c>
    </row>
    <row r="1162" spans="1:35">
      <c r="A1162" t="s">
        <v>2124</v>
      </c>
      <c r="B1162" t="s">
        <v>3155</v>
      </c>
      <c r="C1162" t="s">
        <v>2640</v>
      </c>
      <c r="D1162" t="s">
        <v>4521</v>
      </c>
      <c r="F1162" t="s">
        <v>889</v>
      </c>
      <c r="G1162" s="126">
        <f>SUMIFS('Support - Transition'!F:F,'Support - Transition'!B:B,'Step 2'!A1162,'Support - Transition'!C:C,'Step 2'!B1162,'Support - Transition'!D:D,'Step 2'!C1162,'Support - Transition'!E:E,"CIVIL")</f>
        <v>0</v>
      </c>
      <c r="H1162" s="126">
        <f>SUMIFS('Support - Transition'!F:F,'Support - Transition'!B:B,'Step 2'!A1162,'Support - Transition'!C:C,'Step 2'!B1162,'Support - Transition'!D:D,'Step 2'!C1162,'Support - Transition'!E:E,"FIRE")</f>
        <v>0</v>
      </c>
      <c r="I1162" s="126">
        <f>IF(B1162="0",SUMIFS('Support - Transition'!F:F,'Support - Transition'!J:J,'Step 2'!D1162,'Support - Transition'!E:E,"STATE UNIT"),SUMIFS('Support - Transition'!F:F,'Support - Transition'!J:J,'Step 2'!D1162))</f>
        <v>0.108455</v>
      </c>
      <c r="J1162" s="126">
        <f>SUMIFS('Support - Unit Adjustments'!E:E,'Support - Unit Adjustments'!F:F,'Step 2'!D1162)</f>
        <v>0</v>
      </c>
      <c r="K1162" s="126">
        <f t="shared" si="346"/>
        <v>0.108455</v>
      </c>
      <c r="L1162" s="174">
        <f>VLOOKUP(A1162,'Step 1'!$A:$E,4,FALSE)</f>
        <v>277465</v>
      </c>
      <c r="M1162" s="47">
        <f t="shared" si="347"/>
        <v>30092</v>
      </c>
      <c r="N1162" s="177">
        <f>SUMIFS('Support - Transition'!G:G,'Support - Transition'!J:J,'Step 2'!D1162,'Support - Transition'!E:E,"2009 WELFARE ALLOCATION FACTOR")</f>
        <v>0</v>
      </c>
      <c r="O1162" s="152">
        <f t="shared" si="352"/>
        <v>0</v>
      </c>
      <c r="P1162" s="126">
        <f>IF(E1162="Y",0,SUMIFS('Support - Transition'!G:G,'Support - Transition'!J:J,'Step 2'!D1162,'Support - Transition'!E:E,"2009 SCHOOL ALLOCATION FACTOR"))</f>
        <v>0</v>
      </c>
      <c r="Q1162" s="126">
        <f>IF(E1162="Y",VLOOKUP(D1162,'Support - Unit Adjustments'!F:G,2,FALSE),0)</f>
        <v>0</v>
      </c>
      <c r="R1162" s="155">
        <f t="shared" si="364"/>
        <v>0</v>
      </c>
      <c r="S1162" s="47">
        <f t="shared" si="363"/>
        <v>0</v>
      </c>
      <c r="T1162" s="151">
        <f t="shared" si="348"/>
        <v>30092</v>
      </c>
      <c r="U1162" s="151">
        <f t="shared" si="349"/>
        <v>0</v>
      </c>
      <c r="V1162" s="139">
        <f t="shared" si="350"/>
        <v>0</v>
      </c>
      <c r="W1162" s="152">
        <f t="shared" si="353"/>
        <v>30092</v>
      </c>
      <c r="X1162" s="127" t="str">
        <f t="shared" si="351"/>
        <v/>
      </c>
      <c r="Y1162" s="207">
        <f t="shared" si="354"/>
        <v>30092</v>
      </c>
      <c r="Z1162" s="139">
        <f t="shared" si="355"/>
        <v>30092</v>
      </c>
      <c r="AA1162" s="139">
        <f t="shared" si="356"/>
        <v>0</v>
      </c>
      <c r="AC1162" s="47">
        <f t="shared" si="357"/>
        <v>15046</v>
      </c>
      <c r="AD1162" s="47">
        <f t="shared" si="358"/>
        <v>15046</v>
      </c>
      <c r="AE1162" s="47">
        <f t="shared" si="359"/>
        <v>0</v>
      </c>
      <c r="AG1162" s="47">
        <f t="shared" si="360"/>
        <v>15046</v>
      </c>
      <c r="AH1162" s="47">
        <f t="shared" si="361"/>
        <v>15046</v>
      </c>
      <c r="AI1162" s="208">
        <f t="shared" si="362"/>
        <v>0</v>
      </c>
    </row>
    <row r="1163" spans="1:35">
      <c r="A1163" t="s">
        <v>2124</v>
      </c>
      <c r="B1163" t="s">
        <v>3155</v>
      </c>
      <c r="C1163" t="s">
        <v>2641</v>
      </c>
      <c r="D1163" t="s">
        <v>4522</v>
      </c>
      <c r="F1163" t="s">
        <v>890</v>
      </c>
      <c r="G1163" s="126">
        <f>SUMIFS('Support - Transition'!F:F,'Support - Transition'!B:B,'Step 2'!A1163,'Support - Transition'!C:C,'Step 2'!B1163,'Support - Transition'!D:D,'Step 2'!C1163,'Support - Transition'!E:E,"CIVIL")</f>
        <v>0</v>
      </c>
      <c r="H1163" s="126">
        <f>SUMIFS('Support - Transition'!F:F,'Support - Transition'!B:B,'Step 2'!A1163,'Support - Transition'!C:C,'Step 2'!B1163,'Support - Transition'!D:D,'Step 2'!C1163,'Support - Transition'!E:E,"FIRE")</f>
        <v>0</v>
      </c>
      <c r="I1163" s="126">
        <f>IF(B1163="0",SUMIFS('Support - Transition'!F:F,'Support - Transition'!J:J,'Step 2'!D1163,'Support - Transition'!E:E,"STATE UNIT"),SUMIFS('Support - Transition'!F:F,'Support - Transition'!J:J,'Step 2'!D1163))</f>
        <v>1.5100000000000001E-4</v>
      </c>
      <c r="J1163" s="126">
        <f>SUMIFS('Support - Unit Adjustments'!E:E,'Support - Unit Adjustments'!F:F,'Step 2'!D1163)</f>
        <v>0</v>
      </c>
      <c r="K1163" s="126">
        <f t="shared" si="346"/>
        <v>1.5100000000000001E-4</v>
      </c>
      <c r="L1163" s="174">
        <f>VLOOKUP(A1163,'Step 1'!$A:$E,4,FALSE)</f>
        <v>277465</v>
      </c>
      <c r="M1163" s="47">
        <f t="shared" si="347"/>
        <v>42</v>
      </c>
      <c r="N1163" s="177">
        <f>SUMIFS('Support - Transition'!G:G,'Support - Transition'!J:J,'Step 2'!D1163,'Support - Transition'!E:E,"2009 WELFARE ALLOCATION FACTOR")</f>
        <v>0</v>
      </c>
      <c r="O1163" s="152">
        <f t="shared" si="352"/>
        <v>0</v>
      </c>
      <c r="P1163" s="126">
        <f>IF(E1163="Y",0,SUMIFS('Support - Transition'!G:G,'Support - Transition'!J:J,'Step 2'!D1163,'Support - Transition'!E:E,"2009 SCHOOL ALLOCATION FACTOR"))</f>
        <v>0</v>
      </c>
      <c r="Q1163" s="126">
        <f>IF(E1163="Y",VLOOKUP(D1163,'Support - Unit Adjustments'!F:G,2,FALSE),0)</f>
        <v>0</v>
      </c>
      <c r="R1163" s="155">
        <f t="shared" si="364"/>
        <v>0</v>
      </c>
      <c r="S1163" s="47">
        <f t="shared" si="363"/>
        <v>0</v>
      </c>
      <c r="T1163" s="151">
        <f t="shared" si="348"/>
        <v>42</v>
      </c>
      <c r="U1163" s="151">
        <f t="shared" si="349"/>
        <v>0</v>
      </c>
      <c r="V1163" s="139">
        <f t="shared" si="350"/>
        <v>0</v>
      </c>
      <c r="W1163" s="152">
        <f t="shared" si="353"/>
        <v>42</v>
      </c>
      <c r="X1163" s="127" t="str">
        <f t="shared" si="351"/>
        <v/>
      </c>
      <c r="Y1163" s="207">
        <f t="shared" si="354"/>
        <v>42</v>
      </c>
      <c r="Z1163" s="139">
        <f t="shared" si="355"/>
        <v>42</v>
      </c>
      <c r="AA1163" s="139">
        <f t="shared" si="356"/>
        <v>0</v>
      </c>
      <c r="AC1163" s="47">
        <f t="shared" si="357"/>
        <v>21</v>
      </c>
      <c r="AD1163" s="47">
        <f t="shared" si="358"/>
        <v>21</v>
      </c>
      <c r="AE1163" s="47">
        <f t="shared" si="359"/>
        <v>0</v>
      </c>
      <c r="AG1163" s="47">
        <f t="shared" si="360"/>
        <v>21</v>
      </c>
      <c r="AH1163" s="47">
        <f t="shared" si="361"/>
        <v>21</v>
      </c>
      <c r="AI1163" s="208">
        <f t="shared" si="362"/>
        <v>0</v>
      </c>
    </row>
    <row r="1164" spans="1:35">
      <c r="A1164" t="s">
        <v>2124</v>
      </c>
      <c r="B1164" t="s">
        <v>3160</v>
      </c>
      <c r="C1164" t="s">
        <v>2642</v>
      </c>
      <c r="D1164" t="s">
        <v>4523</v>
      </c>
      <c r="F1164" t="s">
        <v>891</v>
      </c>
      <c r="G1164" s="126">
        <f>SUMIFS('Support - Transition'!F:F,'Support - Transition'!B:B,'Step 2'!A1164,'Support - Transition'!C:C,'Step 2'!B1164,'Support - Transition'!D:D,'Step 2'!C1164,'Support - Transition'!E:E,"CIVIL")</f>
        <v>0</v>
      </c>
      <c r="H1164" s="126">
        <f>SUMIFS('Support - Transition'!F:F,'Support - Transition'!B:B,'Step 2'!A1164,'Support - Transition'!C:C,'Step 2'!B1164,'Support - Transition'!D:D,'Step 2'!C1164,'Support - Transition'!E:E,"FIRE")</f>
        <v>0</v>
      </c>
      <c r="I1164" s="126">
        <f>IF(B1164="0",SUMIFS('Support - Transition'!F:F,'Support - Transition'!J:J,'Step 2'!D1164,'Support - Transition'!E:E,"STATE UNIT"),SUMIFS('Support - Transition'!F:F,'Support - Transition'!J:J,'Step 2'!D1164))</f>
        <v>0.58517699999999995</v>
      </c>
      <c r="J1164" s="126">
        <f>SUMIFS('Support - Unit Adjustments'!E:E,'Support - Unit Adjustments'!F:F,'Step 2'!D1164)</f>
        <v>0</v>
      </c>
      <c r="K1164" s="126">
        <f t="shared" si="346"/>
        <v>0.58517699999999995</v>
      </c>
      <c r="L1164" s="174">
        <f>VLOOKUP(A1164,'Step 1'!$A:$E,4,FALSE)</f>
        <v>277465</v>
      </c>
      <c r="M1164" s="47">
        <f t="shared" si="347"/>
        <v>162366</v>
      </c>
      <c r="N1164" s="177">
        <f>SUMIFS('Support - Transition'!G:G,'Support - Transition'!J:J,'Step 2'!D1164,'Support - Transition'!E:E,"2009 WELFARE ALLOCATION FACTOR")</f>
        <v>0</v>
      </c>
      <c r="O1164" s="152">
        <f t="shared" si="352"/>
        <v>0</v>
      </c>
      <c r="P1164" s="126">
        <f>IF(E1164="Y",0,SUMIFS('Support - Transition'!G:G,'Support - Transition'!J:J,'Step 2'!D1164,'Support - Transition'!E:E,"2009 SCHOOL ALLOCATION FACTOR"))</f>
        <v>0.39505600000000002</v>
      </c>
      <c r="Q1164" s="126">
        <f>IF(E1164="Y",VLOOKUP(D1164,'Support - Unit Adjustments'!F:G,2,FALSE),0)</f>
        <v>0</v>
      </c>
      <c r="R1164" s="155">
        <f t="shared" si="364"/>
        <v>0.39505600000000002</v>
      </c>
      <c r="S1164" s="47">
        <f t="shared" si="363"/>
        <v>64144</v>
      </c>
      <c r="T1164" s="151">
        <f t="shared" si="348"/>
        <v>98222</v>
      </c>
      <c r="U1164" s="151">
        <f t="shared" si="349"/>
        <v>0</v>
      </c>
      <c r="V1164" s="139">
        <f t="shared" si="350"/>
        <v>0</v>
      </c>
      <c r="W1164" s="152">
        <f t="shared" si="353"/>
        <v>98222</v>
      </c>
      <c r="X1164" s="127" t="str">
        <f t="shared" si="351"/>
        <v/>
      </c>
      <c r="Y1164" s="207">
        <f t="shared" si="354"/>
        <v>98222</v>
      </c>
      <c r="Z1164" s="139">
        <f t="shared" si="355"/>
        <v>98222</v>
      </c>
      <c r="AA1164" s="139">
        <f t="shared" si="356"/>
        <v>0</v>
      </c>
      <c r="AC1164" s="47">
        <f t="shared" si="357"/>
        <v>49111</v>
      </c>
      <c r="AD1164" s="47">
        <f t="shared" si="358"/>
        <v>49111</v>
      </c>
      <c r="AE1164" s="47">
        <f t="shared" si="359"/>
        <v>0</v>
      </c>
      <c r="AG1164" s="47">
        <f t="shared" si="360"/>
        <v>49111</v>
      </c>
      <c r="AH1164" s="47">
        <f t="shared" si="361"/>
        <v>49111</v>
      </c>
      <c r="AI1164" s="208">
        <f t="shared" si="362"/>
        <v>0</v>
      </c>
    </row>
    <row r="1165" spans="1:35">
      <c r="A1165" t="s">
        <v>2124</v>
      </c>
      <c r="B1165" t="s">
        <v>3166</v>
      </c>
      <c r="C1165" t="s">
        <v>2590</v>
      </c>
      <c r="D1165" t="s">
        <v>4524</v>
      </c>
      <c r="F1165" t="s">
        <v>892</v>
      </c>
      <c r="G1165" s="126">
        <f>SUMIFS('Support - Transition'!F:F,'Support - Transition'!B:B,'Step 2'!A1165,'Support - Transition'!C:C,'Step 2'!B1165,'Support - Transition'!D:D,'Step 2'!C1165,'Support - Transition'!E:E,"CIVIL")</f>
        <v>0</v>
      </c>
      <c r="H1165" s="126">
        <f>SUMIFS('Support - Transition'!F:F,'Support - Transition'!B:B,'Step 2'!A1165,'Support - Transition'!C:C,'Step 2'!B1165,'Support - Transition'!D:D,'Step 2'!C1165,'Support - Transition'!E:E,"FIRE")</f>
        <v>0</v>
      </c>
      <c r="I1165" s="126">
        <f>IF(B1165="0",SUMIFS('Support - Transition'!F:F,'Support - Transition'!J:J,'Step 2'!D1165,'Support - Transition'!E:E,"STATE UNIT"),SUMIFS('Support - Transition'!F:F,'Support - Transition'!J:J,'Step 2'!D1165))</f>
        <v>4.1137E-2</v>
      </c>
      <c r="J1165" s="126">
        <f>SUMIFS('Support - Unit Adjustments'!E:E,'Support - Unit Adjustments'!F:F,'Step 2'!D1165)</f>
        <v>0</v>
      </c>
      <c r="K1165" s="126">
        <f t="shared" si="346"/>
        <v>4.1137E-2</v>
      </c>
      <c r="L1165" s="174">
        <f>VLOOKUP(A1165,'Step 1'!$A:$E,4,FALSE)</f>
        <v>277465</v>
      </c>
      <c r="M1165" s="47">
        <f t="shared" si="347"/>
        <v>11414</v>
      </c>
      <c r="N1165" s="177">
        <f>SUMIFS('Support - Transition'!G:G,'Support - Transition'!J:J,'Step 2'!D1165,'Support - Transition'!E:E,"2009 WELFARE ALLOCATION FACTOR")</f>
        <v>0</v>
      </c>
      <c r="O1165" s="152">
        <f t="shared" si="352"/>
        <v>0</v>
      </c>
      <c r="P1165" s="126">
        <f>IF(E1165="Y",0,SUMIFS('Support - Transition'!G:G,'Support - Transition'!J:J,'Step 2'!D1165,'Support - Transition'!E:E,"2009 SCHOOL ALLOCATION FACTOR"))</f>
        <v>0</v>
      </c>
      <c r="Q1165" s="126">
        <f>IF(E1165="Y",VLOOKUP(D1165,'Support - Unit Adjustments'!F:G,2,FALSE),0)</f>
        <v>0</v>
      </c>
      <c r="R1165" s="155">
        <f t="shared" si="364"/>
        <v>0</v>
      </c>
      <c r="S1165" s="47">
        <f t="shared" si="363"/>
        <v>0</v>
      </c>
      <c r="T1165" s="151">
        <f t="shared" si="348"/>
        <v>11414</v>
      </c>
      <c r="U1165" s="151">
        <f t="shared" si="349"/>
        <v>0</v>
      </c>
      <c r="V1165" s="139">
        <f t="shared" si="350"/>
        <v>0</v>
      </c>
      <c r="W1165" s="152">
        <f t="shared" si="353"/>
        <v>11414</v>
      </c>
      <c r="X1165" s="127" t="str">
        <f t="shared" si="351"/>
        <v/>
      </c>
      <c r="Y1165" s="207">
        <f t="shared" si="354"/>
        <v>11414</v>
      </c>
      <c r="Z1165" s="139">
        <f t="shared" si="355"/>
        <v>11414</v>
      </c>
      <c r="AA1165" s="139">
        <f t="shared" si="356"/>
        <v>0</v>
      </c>
      <c r="AC1165" s="47">
        <f t="shared" si="357"/>
        <v>5707</v>
      </c>
      <c r="AD1165" s="47">
        <f t="shared" si="358"/>
        <v>5707</v>
      </c>
      <c r="AE1165" s="47">
        <f t="shared" si="359"/>
        <v>0</v>
      </c>
      <c r="AG1165" s="47">
        <f t="shared" si="360"/>
        <v>5707</v>
      </c>
      <c r="AH1165" s="47">
        <f t="shared" si="361"/>
        <v>5707</v>
      </c>
      <c r="AI1165" s="208">
        <f t="shared" si="362"/>
        <v>0</v>
      </c>
    </row>
    <row r="1166" spans="1:35">
      <c r="A1166" t="s">
        <v>2124</v>
      </c>
      <c r="B1166" t="s">
        <v>3170</v>
      </c>
      <c r="C1166" t="s">
        <v>3936</v>
      </c>
      <c r="D1166" t="s">
        <v>4525</v>
      </c>
      <c r="F1166" t="s">
        <v>3938</v>
      </c>
      <c r="G1166" s="126">
        <f>SUMIFS('Support - Transition'!F:F,'Support - Transition'!B:B,'Step 2'!A1166,'Support - Transition'!C:C,'Step 2'!B1166,'Support - Transition'!D:D,'Step 2'!C1166,'Support - Transition'!E:E,"CIVIL")</f>
        <v>0</v>
      </c>
      <c r="H1166" s="126">
        <f>SUMIFS('Support - Transition'!F:F,'Support - Transition'!B:B,'Step 2'!A1166,'Support - Transition'!C:C,'Step 2'!B1166,'Support - Transition'!D:D,'Step 2'!C1166,'Support - Transition'!E:E,"FIRE")</f>
        <v>0</v>
      </c>
      <c r="I1166" s="126">
        <f>IF(B1166="0",SUMIFS('Support - Transition'!F:F,'Support - Transition'!J:J,'Step 2'!D1166,'Support - Transition'!E:E,"STATE UNIT"),SUMIFS('Support - Transition'!F:F,'Support - Transition'!J:J,'Step 2'!D1166))</f>
        <v>5.019E-3</v>
      </c>
      <c r="J1166" s="126">
        <f>SUMIFS('Support - Unit Adjustments'!E:E,'Support - Unit Adjustments'!F:F,'Step 2'!D1166)</f>
        <v>0</v>
      </c>
      <c r="K1166" s="126">
        <f t="shared" si="346"/>
        <v>5.019E-3</v>
      </c>
      <c r="L1166" s="174">
        <f>VLOOKUP(A1166,'Step 1'!$A:$E,4,FALSE)</f>
        <v>277465</v>
      </c>
      <c r="M1166" s="47">
        <f t="shared" si="347"/>
        <v>1393</v>
      </c>
      <c r="N1166" s="177">
        <f>SUMIFS('Support - Transition'!G:G,'Support - Transition'!J:J,'Step 2'!D1166,'Support - Transition'!E:E,"2009 WELFARE ALLOCATION FACTOR")</f>
        <v>0</v>
      </c>
      <c r="O1166" s="152">
        <f t="shared" si="352"/>
        <v>0</v>
      </c>
      <c r="P1166" s="126">
        <f>IF(E1166="Y",0,SUMIFS('Support - Transition'!G:G,'Support - Transition'!J:J,'Step 2'!D1166,'Support - Transition'!E:E,"2009 SCHOOL ALLOCATION FACTOR"))</f>
        <v>0</v>
      </c>
      <c r="Q1166" s="126">
        <f>IF(E1166="Y",VLOOKUP(D1166,'Support - Unit Adjustments'!F:G,2,FALSE),0)</f>
        <v>0</v>
      </c>
      <c r="R1166" s="155">
        <f t="shared" si="364"/>
        <v>0</v>
      </c>
      <c r="S1166" s="47">
        <f t="shared" si="363"/>
        <v>0</v>
      </c>
      <c r="T1166" s="151">
        <f t="shared" si="348"/>
        <v>1393</v>
      </c>
      <c r="U1166" s="151">
        <f t="shared" si="349"/>
        <v>0</v>
      </c>
      <c r="V1166" s="139">
        <f t="shared" si="350"/>
        <v>0</v>
      </c>
      <c r="W1166" s="152">
        <f t="shared" si="353"/>
        <v>1393</v>
      </c>
      <c r="X1166" s="127" t="str">
        <f t="shared" si="351"/>
        <v/>
      </c>
      <c r="Y1166" s="207">
        <f t="shared" si="354"/>
        <v>1393</v>
      </c>
      <c r="Z1166" s="139">
        <f t="shared" si="355"/>
        <v>1393</v>
      </c>
      <c r="AA1166" s="139">
        <f t="shared" si="356"/>
        <v>0</v>
      </c>
      <c r="AC1166" s="47">
        <f t="shared" si="357"/>
        <v>697</v>
      </c>
      <c r="AD1166" s="47">
        <f t="shared" si="358"/>
        <v>697</v>
      </c>
      <c r="AE1166" s="47">
        <f t="shared" si="359"/>
        <v>0</v>
      </c>
      <c r="AG1166" s="47">
        <f t="shared" si="360"/>
        <v>696</v>
      </c>
      <c r="AH1166" s="47">
        <f t="shared" si="361"/>
        <v>696</v>
      </c>
      <c r="AI1166" s="208">
        <f t="shared" si="362"/>
        <v>0</v>
      </c>
    </row>
    <row r="1167" spans="1:35">
      <c r="A1167" t="s">
        <v>2125</v>
      </c>
      <c r="B1167" s="48" t="s">
        <v>6274</v>
      </c>
      <c r="C1167" t="s">
        <v>2187</v>
      </c>
      <c r="D1167" t="str">
        <f>A1167&amp;B1167&amp;C1167</f>
        <v>4100000</v>
      </c>
      <c r="F1167" t="s">
        <v>6315</v>
      </c>
      <c r="G1167" s="126">
        <f>SUMIFS('Support - Transition'!F:F,'Support - Transition'!B:B,'Step 2'!A1167,'Support - Transition'!C:C,'Step 2'!B1167,'Support - Transition'!D:D,'Step 2'!C1167,'Support - Transition'!E:E,"CIVIL")</f>
        <v>0</v>
      </c>
      <c r="H1167" s="126">
        <f>SUMIFS('Support - Transition'!F:F,'Support - Transition'!B:B,'Step 2'!A1167,'Support - Transition'!C:C,'Step 2'!B1167,'Support - Transition'!D:D,'Step 2'!C1167,'Support - Transition'!E:E,"FIRE")</f>
        <v>0</v>
      </c>
      <c r="I1167" s="126">
        <f>IF(B1167="0",SUMIFS('Support - Transition'!F:F,'Support - Transition'!J:J,'Step 2'!D1167,'Support - Transition'!E:E,"STATE UNIT"),SUMIFS('Support - Transition'!F:F,'Support - Transition'!J:J,'Step 2'!D1167))</f>
        <v>1.2110000000000001E-3</v>
      </c>
      <c r="J1167" s="126">
        <f>SUMIFS('Support - Unit Adjustments'!E:E,'Support - Unit Adjustments'!F:F,'Step 2'!D1167)</f>
        <v>0</v>
      </c>
      <c r="K1167" s="126">
        <f t="shared" si="346"/>
        <v>1.2110000000000001E-3</v>
      </c>
      <c r="L1167" s="174">
        <f>VLOOKUP(A1167,'Step 1'!$A:$E,4,FALSE)</f>
        <v>596008</v>
      </c>
      <c r="M1167" s="47">
        <f t="shared" si="347"/>
        <v>722</v>
      </c>
      <c r="N1167" s="177">
        <f>SUMIFS('Support - Transition'!G:G,'Support - Transition'!J:J,'Step 2'!D1167,'Support - Transition'!E:E,"2009 WELFARE ALLOCATION FACTOR")</f>
        <v>0</v>
      </c>
      <c r="O1167" s="152">
        <f t="shared" si="352"/>
        <v>0</v>
      </c>
      <c r="P1167" s="126">
        <f>IF(E1167="Y",0,SUMIFS('Support - Transition'!G:G,'Support - Transition'!J:J,'Step 2'!D1167,'Support - Transition'!E:E,"2009 SCHOOL ALLOCATION FACTOR"))</f>
        <v>0</v>
      </c>
      <c r="Q1167" s="126">
        <f>IF(E1167="Y",VLOOKUP(D1167,'Support - Unit Adjustments'!F:G,2,FALSE),0)</f>
        <v>0</v>
      </c>
      <c r="R1167" s="155">
        <f t="shared" si="364"/>
        <v>0</v>
      </c>
      <c r="S1167" s="47">
        <f t="shared" si="363"/>
        <v>0</v>
      </c>
      <c r="T1167" s="151">
        <f t="shared" si="348"/>
        <v>722</v>
      </c>
      <c r="U1167" s="151">
        <f t="shared" si="349"/>
        <v>596009</v>
      </c>
      <c r="V1167" s="139">
        <f t="shared" si="350"/>
        <v>1</v>
      </c>
      <c r="W1167" s="152">
        <f t="shared" si="353"/>
        <v>721</v>
      </c>
      <c r="X1167" s="127">
        <f t="shared" si="351"/>
        <v>0</v>
      </c>
      <c r="Y1167" s="207">
        <f t="shared" si="354"/>
        <v>721</v>
      </c>
      <c r="Z1167" s="139">
        <f t="shared" si="355"/>
        <v>721</v>
      </c>
      <c r="AA1167" s="139">
        <f t="shared" si="356"/>
        <v>0</v>
      </c>
      <c r="AC1167" s="47">
        <f t="shared" si="357"/>
        <v>361</v>
      </c>
      <c r="AD1167" s="47">
        <f t="shared" si="358"/>
        <v>361</v>
      </c>
      <c r="AE1167" s="47">
        <f t="shared" si="359"/>
        <v>0</v>
      </c>
      <c r="AG1167" s="47">
        <f t="shared" si="360"/>
        <v>360</v>
      </c>
      <c r="AH1167" s="47">
        <f t="shared" si="361"/>
        <v>360</v>
      </c>
      <c r="AI1167" s="208">
        <f t="shared" si="362"/>
        <v>0</v>
      </c>
    </row>
    <row r="1168" spans="1:35">
      <c r="A1168" t="s">
        <v>2125</v>
      </c>
      <c r="B1168" t="s">
        <v>3140</v>
      </c>
      <c r="C1168" t="s">
        <v>2187</v>
      </c>
      <c r="D1168" t="s">
        <v>4526</v>
      </c>
      <c r="F1168" t="s">
        <v>894</v>
      </c>
      <c r="G1168" s="126">
        <f>SUMIFS('Support - Transition'!F:F,'Support - Transition'!B:B,'Step 2'!A1168,'Support - Transition'!C:C,'Step 2'!B1168,'Support - Transition'!D:D,'Step 2'!C1168,'Support - Transition'!E:E,"CIVIL")</f>
        <v>0</v>
      </c>
      <c r="H1168" s="126">
        <f>SUMIFS('Support - Transition'!F:F,'Support - Transition'!B:B,'Step 2'!A1168,'Support - Transition'!C:C,'Step 2'!B1168,'Support - Transition'!D:D,'Step 2'!C1168,'Support - Transition'!E:E,"FIRE")</f>
        <v>0</v>
      </c>
      <c r="I1168" s="126">
        <f>IF(B1168="0",SUMIFS('Support - Transition'!F:F,'Support - Transition'!J:J,'Step 2'!D1168,'Support - Transition'!E:E,"STATE UNIT"),SUMIFS('Support - Transition'!F:F,'Support - Transition'!J:J,'Step 2'!D1168))</f>
        <v>0.116184</v>
      </c>
      <c r="J1168" s="126">
        <f>SUMIFS('Support - Unit Adjustments'!E:E,'Support - Unit Adjustments'!F:F,'Step 2'!D1168)</f>
        <v>0</v>
      </c>
      <c r="K1168" s="126">
        <f t="shared" si="346"/>
        <v>0.116184</v>
      </c>
      <c r="L1168" s="174">
        <f>VLOOKUP(A1168,'Step 1'!$A:$E,4,FALSE)</f>
        <v>596008</v>
      </c>
      <c r="M1168" s="47">
        <f t="shared" si="347"/>
        <v>69247</v>
      </c>
      <c r="N1168" s="177">
        <f>SUMIFS('Support - Transition'!G:G,'Support - Transition'!J:J,'Step 2'!D1168,'Support - Transition'!E:E,"2009 WELFARE ALLOCATION FACTOR")</f>
        <v>0.116608</v>
      </c>
      <c r="O1168" s="152">
        <f t="shared" si="352"/>
        <v>8075</v>
      </c>
      <c r="P1168" s="126">
        <f>IF(E1168="Y",0,SUMIFS('Support - Transition'!G:G,'Support - Transition'!J:J,'Step 2'!D1168,'Support - Transition'!E:E,"2009 SCHOOL ALLOCATION FACTOR"))</f>
        <v>0</v>
      </c>
      <c r="Q1168" s="126">
        <f>IF(E1168="Y",VLOOKUP(D1168,'Support - Unit Adjustments'!F:G,2,FALSE),0)</f>
        <v>0</v>
      </c>
      <c r="R1168" s="155">
        <f t="shared" si="364"/>
        <v>0</v>
      </c>
      <c r="S1168" s="47">
        <f t="shared" si="363"/>
        <v>0</v>
      </c>
      <c r="T1168" s="151">
        <f t="shared" si="348"/>
        <v>61172</v>
      </c>
      <c r="U1168" s="151">
        <f t="shared" si="349"/>
        <v>0</v>
      </c>
      <c r="V1168" s="139">
        <f t="shared" si="350"/>
        <v>0</v>
      </c>
      <c r="W1168" s="152">
        <f t="shared" si="353"/>
        <v>61172</v>
      </c>
      <c r="X1168" s="127" t="str">
        <f t="shared" si="351"/>
        <v/>
      </c>
      <c r="Y1168" s="207">
        <f t="shared" si="354"/>
        <v>61172</v>
      </c>
      <c r="Z1168" s="139">
        <f t="shared" si="355"/>
        <v>61172</v>
      </c>
      <c r="AA1168" s="139">
        <f t="shared" si="356"/>
        <v>0</v>
      </c>
      <c r="AC1168" s="47">
        <f t="shared" si="357"/>
        <v>30586</v>
      </c>
      <c r="AD1168" s="47">
        <f t="shared" si="358"/>
        <v>30586</v>
      </c>
      <c r="AE1168" s="47">
        <f t="shared" si="359"/>
        <v>0</v>
      </c>
      <c r="AG1168" s="47">
        <f t="shared" si="360"/>
        <v>30586</v>
      </c>
      <c r="AH1168" s="47">
        <f t="shared" si="361"/>
        <v>30586</v>
      </c>
      <c r="AI1168" s="208">
        <f t="shared" si="362"/>
        <v>0</v>
      </c>
    </row>
    <row r="1169" spans="1:35">
      <c r="A1169" t="s">
        <v>2125</v>
      </c>
      <c r="B1169" t="s">
        <v>3142</v>
      </c>
      <c r="C1169" t="s">
        <v>2188</v>
      </c>
      <c r="D1169" t="s">
        <v>4527</v>
      </c>
      <c r="F1169" t="s">
        <v>669</v>
      </c>
      <c r="G1169" s="126">
        <f>SUMIFS('Support - Transition'!F:F,'Support - Transition'!B:B,'Step 2'!A1169,'Support - Transition'!C:C,'Step 2'!B1169,'Support - Transition'!D:D,'Step 2'!C1169,'Support - Transition'!E:E,"CIVIL")</f>
        <v>5.1400000000000003E-4</v>
      </c>
      <c r="H1169" s="126">
        <f>SUMIFS('Support - Transition'!F:F,'Support - Transition'!B:B,'Step 2'!A1169,'Support - Transition'!C:C,'Step 2'!B1169,'Support - Transition'!D:D,'Step 2'!C1169,'Support - Transition'!E:E,"FIRE")</f>
        <v>3.6999999999999998E-5</v>
      </c>
      <c r="I1169" s="126">
        <f>IF(B1169="0",SUMIFS('Support - Transition'!F:F,'Support - Transition'!J:J,'Step 2'!D1169,'Support - Transition'!E:E,"STATE UNIT"),SUMIFS('Support - Transition'!F:F,'Support - Transition'!J:J,'Step 2'!D1169))</f>
        <v>5.5100000000000006E-4</v>
      </c>
      <c r="J1169" s="126">
        <f>SUMIFS('Support - Unit Adjustments'!E:E,'Support - Unit Adjustments'!F:F,'Step 2'!D1169)</f>
        <v>0</v>
      </c>
      <c r="K1169" s="126">
        <f t="shared" si="346"/>
        <v>5.5100000000000006E-4</v>
      </c>
      <c r="L1169" s="174">
        <f>VLOOKUP(A1169,'Step 1'!$A:$E,4,FALSE)</f>
        <v>596008</v>
      </c>
      <c r="M1169" s="47">
        <f t="shared" si="347"/>
        <v>328</v>
      </c>
      <c r="N1169" s="177">
        <f>SUMIFS('Support - Transition'!G:G,'Support - Transition'!J:J,'Step 2'!D1169,'Support - Transition'!E:E,"2009 WELFARE ALLOCATION FACTOR")</f>
        <v>0</v>
      </c>
      <c r="O1169" s="152">
        <f t="shared" si="352"/>
        <v>0</v>
      </c>
      <c r="P1169" s="126">
        <f>IF(E1169="Y",0,SUMIFS('Support - Transition'!G:G,'Support - Transition'!J:J,'Step 2'!D1169,'Support - Transition'!E:E,"2009 SCHOOL ALLOCATION FACTOR"))</f>
        <v>0</v>
      </c>
      <c r="Q1169" s="126">
        <f>IF(E1169="Y",VLOOKUP(D1169,'Support - Unit Adjustments'!F:G,2,FALSE),0)</f>
        <v>0</v>
      </c>
      <c r="R1169" s="155">
        <f t="shared" si="364"/>
        <v>0</v>
      </c>
      <c r="S1169" s="47">
        <f t="shared" si="363"/>
        <v>0</v>
      </c>
      <c r="T1169" s="151">
        <f t="shared" si="348"/>
        <v>328</v>
      </c>
      <c r="U1169" s="151">
        <f t="shared" si="349"/>
        <v>0</v>
      </c>
      <c r="V1169" s="139">
        <f t="shared" si="350"/>
        <v>0</v>
      </c>
      <c r="W1169" s="152">
        <f t="shared" si="353"/>
        <v>328</v>
      </c>
      <c r="X1169" s="127" t="str">
        <f t="shared" si="351"/>
        <v/>
      </c>
      <c r="Y1169" s="207">
        <f t="shared" si="354"/>
        <v>328</v>
      </c>
      <c r="Z1169" s="139">
        <f t="shared" si="355"/>
        <v>306</v>
      </c>
      <c r="AA1169" s="139">
        <f t="shared" si="356"/>
        <v>22</v>
      </c>
      <c r="AC1169" s="47">
        <f t="shared" si="357"/>
        <v>164</v>
      </c>
      <c r="AD1169" s="47">
        <f t="shared" si="358"/>
        <v>153</v>
      </c>
      <c r="AE1169" s="47">
        <f t="shared" si="359"/>
        <v>11</v>
      </c>
      <c r="AG1169" s="47">
        <f t="shared" si="360"/>
        <v>164</v>
      </c>
      <c r="AH1169" s="47">
        <f t="shared" si="361"/>
        <v>153</v>
      </c>
      <c r="AI1169" s="208">
        <f t="shared" si="362"/>
        <v>11</v>
      </c>
    </row>
    <row r="1170" spans="1:35">
      <c r="A1170" t="s">
        <v>2125</v>
      </c>
      <c r="B1170" t="s">
        <v>3142</v>
      </c>
      <c r="C1170" t="s">
        <v>2189</v>
      </c>
      <c r="D1170" t="s">
        <v>4528</v>
      </c>
      <c r="F1170" t="s">
        <v>895</v>
      </c>
      <c r="G1170" s="126">
        <f>SUMIFS('Support - Transition'!F:F,'Support - Transition'!B:B,'Step 2'!A1170,'Support - Transition'!C:C,'Step 2'!B1170,'Support - Transition'!D:D,'Step 2'!C1170,'Support - Transition'!E:E,"CIVIL")</f>
        <v>6.3299999999999999E-4</v>
      </c>
      <c r="H1170" s="126">
        <f>SUMIFS('Support - Transition'!F:F,'Support - Transition'!B:B,'Step 2'!A1170,'Support - Transition'!C:C,'Step 2'!B1170,'Support - Transition'!D:D,'Step 2'!C1170,'Support - Transition'!E:E,"FIRE")</f>
        <v>6.3900000000000003E-4</v>
      </c>
      <c r="I1170" s="126">
        <f>IF(B1170="0",SUMIFS('Support - Transition'!F:F,'Support - Transition'!J:J,'Step 2'!D1170,'Support - Transition'!E:E,"STATE UNIT"),SUMIFS('Support - Transition'!F:F,'Support - Transition'!J:J,'Step 2'!D1170))</f>
        <v>1.2720000000000001E-3</v>
      </c>
      <c r="J1170" s="126">
        <f>SUMIFS('Support - Unit Adjustments'!E:E,'Support - Unit Adjustments'!F:F,'Step 2'!D1170)</f>
        <v>0</v>
      </c>
      <c r="K1170" s="126">
        <f t="shared" si="346"/>
        <v>1.2720000000000001E-3</v>
      </c>
      <c r="L1170" s="174">
        <f>VLOOKUP(A1170,'Step 1'!$A:$E,4,FALSE)</f>
        <v>596008</v>
      </c>
      <c r="M1170" s="47">
        <f t="shared" si="347"/>
        <v>758</v>
      </c>
      <c r="N1170" s="177">
        <f>SUMIFS('Support - Transition'!G:G,'Support - Transition'!J:J,'Step 2'!D1170,'Support - Transition'!E:E,"2009 WELFARE ALLOCATION FACTOR")</f>
        <v>0</v>
      </c>
      <c r="O1170" s="152">
        <f t="shared" si="352"/>
        <v>0</v>
      </c>
      <c r="P1170" s="126">
        <f>IF(E1170="Y",0,SUMIFS('Support - Transition'!G:G,'Support - Transition'!J:J,'Step 2'!D1170,'Support - Transition'!E:E,"2009 SCHOOL ALLOCATION FACTOR"))</f>
        <v>0</v>
      </c>
      <c r="Q1170" s="126">
        <f>IF(E1170="Y",VLOOKUP(D1170,'Support - Unit Adjustments'!F:G,2,FALSE),0)</f>
        <v>0</v>
      </c>
      <c r="R1170" s="155">
        <f t="shared" si="364"/>
        <v>0</v>
      </c>
      <c r="S1170" s="47">
        <f t="shared" si="363"/>
        <v>0</v>
      </c>
      <c r="T1170" s="151">
        <f t="shared" si="348"/>
        <v>758</v>
      </c>
      <c r="U1170" s="151">
        <f t="shared" si="349"/>
        <v>0</v>
      </c>
      <c r="V1170" s="139">
        <f t="shared" si="350"/>
        <v>0</v>
      </c>
      <c r="W1170" s="152">
        <f t="shared" si="353"/>
        <v>758</v>
      </c>
      <c r="X1170" s="127" t="str">
        <f t="shared" si="351"/>
        <v/>
      </c>
      <c r="Y1170" s="207">
        <f t="shared" si="354"/>
        <v>758</v>
      </c>
      <c r="Z1170" s="139">
        <f t="shared" si="355"/>
        <v>377</v>
      </c>
      <c r="AA1170" s="139">
        <f t="shared" si="356"/>
        <v>381</v>
      </c>
      <c r="AC1170" s="47">
        <f t="shared" si="357"/>
        <v>379</v>
      </c>
      <c r="AD1170" s="47">
        <f t="shared" si="358"/>
        <v>189</v>
      </c>
      <c r="AE1170" s="47">
        <f t="shared" si="359"/>
        <v>191</v>
      </c>
      <c r="AG1170" s="47">
        <f t="shared" si="360"/>
        <v>379</v>
      </c>
      <c r="AH1170" s="47">
        <f t="shared" si="361"/>
        <v>188</v>
      </c>
      <c r="AI1170" s="208">
        <f t="shared" si="362"/>
        <v>190</v>
      </c>
    </row>
    <row r="1171" spans="1:35">
      <c r="A1171" t="s">
        <v>2125</v>
      </c>
      <c r="B1171" t="s">
        <v>3142</v>
      </c>
      <c r="C1171" t="s">
        <v>2190</v>
      </c>
      <c r="D1171" t="s">
        <v>4529</v>
      </c>
      <c r="F1171" t="s">
        <v>372</v>
      </c>
      <c r="G1171" s="126">
        <f>SUMIFS('Support - Transition'!F:F,'Support - Transition'!B:B,'Step 2'!A1171,'Support - Transition'!C:C,'Step 2'!B1171,'Support - Transition'!D:D,'Step 2'!C1171,'Support - Transition'!E:E,"CIVIL")</f>
        <v>5.3399999999999997E-4</v>
      </c>
      <c r="H1171" s="126">
        <f>SUMIFS('Support - Transition'!F:F,'Support - Transition'!B:B,'Step 2'!A1171,'Support - Transition'!C:C,'Step 2'!B1171,'Support - Transition'!D:D,'Step 2'!C1171,'Support - Transition'!E:E,"FIRE")</f>
        <v>0</v>
      </c>
      <c r="I1171" s="126">
        <f>IF(B1171="0",SUMIFS('Support - Transition'!F:F,'Support - Transition'!J:J,'Step 2'!D1171,'Support - Transition'!E:E,"STATE UNIT"),SUMIFS('Support - Transition'!F:F,'Support - Transition'!J:J,'Step 2'!D1171))</f>
        <v>5.3399999999999997E-4</v>
      </c>
      <c r="J1171" s="126">
        <f>SUMIFS('Support - Unit Adjustments'!E:E,'Support - Unit Adjustments'!F:F,'Step 2'!D1171)</f>
        <v>1.106E-3</v>
      </c>
      <c r="K1171" s="126">
        <f t="shared" si="346"/>
        <v>1.64E-3</v>
      </c>
      <c r="L1171" s="174">
        <f>VLOOKUP(A1171,'Step 1'!$A:$E,4,FALSE)</f>
        <v>596008</v>
      </c>
      <c r="M1171" s="47">
        <f t="shared" si="347"/>
        <v>977</v>
      </c>
      <c r="N1171" s="177">
        <f>SUMIFS('Support - Transition'!G:G,'Support - Transition'!J:J,'Step 2'!D1171,'Support - Transition'!E:E,"2009 WELFARE ALLOCATION FACTOR")</f>
        <v>0</v>
      </c>
      <c r="O1171" s="152">
        <f t="shared" si="352"/>
        <v>0</v>
      </c>
      <c r="P1171" s="126">
        <f>IF(E1171="Y",0,SUMIFS('Support - Transition'!G:G,'Support - Transition'!J:J,'Step 2'!D1171,'Support - Transition'!E:E,"2009 SCHOOL ALLOCATION FACTOR"))</f>
        <v>0</v>
      </c>
      <c r="Q1171" s="126">
        <f>IF(E1171="Y",VLOOKUP(D1171,'Support - Unit Adjustments'!F:G,2,FALSE),0)</f>
        <v>0</v>
      </c>
      <c r="R1171" s="155">
        <f t="shared" si="364"/>
        <v>0</v>
      </c>
      <c r="S1171" s="47">
        <f t="shared" si="363"/>
        <v>0</v>
      </c>
      <c r="T1171" s="151">
        <f t="shared" si="348"/>
        <v>977</v>
      </c>
      <c r="U1171" s="151">
        <f t="shared" si="349"/>
        <v>0</v>
      </c>
      <c r="V1171" s="139">
        <f t="shared" si="350"/>
        <v>0</v>
      </c>
      <c r="W1171" s="152">
        <f t="shared" si="353"/>
        <v>977</v>
      </c>
      <c r="X1171" s="127" t="str">
        <f t="shared" si="351"/>
        <v/>
      </c>
      <c r="Y1171" s="207">
        <f t="shared" si="354"/>
        <v>977</v>
      </c>
      <c r="Z1171" s="139">
        <f t="shared" si="355"/>
        <v>977</v>
      </c>
      <c r="AA1171" s="139">
        <f t="shared" si="356"/>
        <v>0</v>
      </c>
      <c r="AC1171" s="47">
        <f t="shared" si="357"/>
        <v>489</v>
      </c>
      <c r="AD1171" s="47">
        <f t="shared" si="358"/>
        <v>489</v>
      </c>
      <c r="AE1171" s="47">
        <f t="shared" si="359"/>
        <v>0</v>
      </c>
      <c r="AG1171" s="47">
        <f t="shared" si="360"/>
        <v>488</v>
      </c>
      <c r="AH1171" s="47">
        <f t="shared" si="361"/>
        <v>488</v>
      </c>
      <c r="AI1171" s="208">
        <f t="shared" si="362"/>
        <v>0</v>
      </c>
    </row>
    <row r="1172" spans="1:35">
      <c r="A1172" t="s">
        <v>2125</v>
      </c>
      <c r="B1172" t="s">
        <v>3142</v>
      </c>
      <c r="C1172" t="s">
        <v>2191</v>
      </c>
      <c r="D1172" t="s">
        <v>4530</v>
      </c>
      <c r="F1172" t="s">
        <v>896</v>
      </c>
      <c r="G1172" s="126">
        <f>SUMIFS('Support - Transition'!F:F,'Support - Transition'!B:B,'Step 2'!A1172,'Support - Transition'!C:C,'Step 2'!B1172,'Support - Transition'!D:D,'Step 2'!C1172,'Support - Transition'!E:E,"CIVIL")</f>
        <v>2.02E-4</v>
      </c>
      <c r="H1172" s="126">
        <f>SUMIFS('Support - Transition'!F:F,'Support - Transition'!B:B,'Step 2'!A1172,'Support - Transition'!C:C,'Step 2'!B1172,'Support - Transition'!D:D,'Step 2'!C1172,'Support - Transition'!E:E,"FIRE")</f>
        <v>0</v>
      </c>
      <c r="I1172" s="126">
        <f>IF(B1172="0",SUMIFS('Support - Transition'!F:F,'Support - Transition'!J:J,'Step 2'!D1172,'Support - Transition'!E:E,"STATE UNIT"),SUMIFS('Support - Transition'!F:F,'Support - Transition'!J:J,'Step 2'!D1172))</f>
        <v>2.02E-4</v>
      </c>
      <c r="J1172" s="126">
        <f>SUMIFS('Support - Unit Adjustments'!E:E,'Support - Unit Adjustments'!F:F,'Step 2'!D1172)</f>
        <v>0</v>
      </c>
      <c r="K1172" s="126">
        <f t="shared" si="346"/>
        <v>2.02E-4</v>
      </c>
      <c r="L1172" s="174">
        <f>VLOOKUP(A1172,'Step 1'!$A:$E,4,FALSE)</f>
        <v>596008</v>
      </c>
      <c r="M1172" s="47">
        <f t="shared" si="347"/>
        <v>120</v>
      </c>
      <c r="N1172" s="177">
        <f>SUMIFS('Support - Transition'!G:G,'Support - Transition'!J:J,'Step 2'!D1172,'Support - Transition'!E:E,"2009 WELFARE ALLOCATION FACTOR")</f>
        <v>0</v>
      </c>
      <c r="O1172" s="152">
        <f t="shared" si="352"/>
        <v>0</v>
      </c>
      <c r="P1172" s="126">
        <f>IF(E1172="Y",0,SUMIFS('Support - Transition'!G:G,'Support - Transition'!J:J,'Step 2'!D1172,'Support - Transition'!E:E,"2009 SCHOOL ALLOCATION FACTOR"))</f>
        <v>0</v>
      </c>
      <c r="Q1172" s="126">
        <f>IF(E1172="Y",VLOOKUP(D1172,'Support - Unit Adjustments'!F:G,2,FALSE),0)</f>
        <v>0</v>
      </c>
      <c r="R1172" s="155">
        <f t="shared" si="364"/>
        <v>0</v>
      </c>
      <c r="S1172" s="47">
        <f t="shared" si="363"/>
        <v>0</v>
      </c>
      <c r="T1172" s="151">
        <f t="shared" si="348"/>
        <v>120</v>
      </c>
      <c r="U1172" s="151">
        <f t="shared" si="349"/>
        <v>0</v>
      </c>
      <c r="V1172" s="139">
        <f t="shared" si="350"/>
        <v>0</v>
      </c>
      <c r="W1172" s="152">
        <f t="shared" si="353"/>
        <v>120</v>
      </c>
      <c r="X1172" s="127" t="str">
        <f t="shared" si="351"/>
        <v/>
      </c>
      <c r="Y1172" s="207">
        <f t="shared" si="354"/>
        <v>120</v>
      </c>
      <c r="Z1172" s="139">
        <f t="shared" si="355"/>
        <v>120</v>
      </c>
      <c r="AA1172" s="139">
        <f t="shared" si="356"/>
        <v>0</v>
      </c>
      <c r="AC1172" s="47">
        <f t="shared" si="357"/>
        <v>60</v>
      </c>
      <c r="AD1172" s="47">
        <f t="shared" si="358"/>
        <v>60</v>
      </c>
      <c r="AE1172" s="47">
        <f t="shared" si="359"/>
        <v>0</v>
      </c>
      <c r="AG1172" s="47">
        <f t="shared" si="360"/>
        <v>60</v>
      </c>
      <c r="AH1172" s="47">
        <f t="shared" si="361"/>
        <v>60</v>
      </c>
      <c r="AI1172" s="208">
        <f t="shared" si="362"/>
        <v>0</v>
      </c>
    </row>
    <row r="1173" spans="1:35">
      <c r="A1173" t="s">
        <v>2125</v>
      </c>
      <c r="B1173" t="s">
        <v>3142</v>
      </c>
      <c r="C1173" t="s">
        <v>2193</v>
      </c>
      <c r="D1173" t="s">
        <v>4531</v>
      </c>
      <c r="F1173" t="s">
        <v>898</v>
      </c>
      <c r="G1173" s="126">
        <f>SUMIFS('Support - Transition'!F:F,'Support - Transition'!B:B,'Step 2'!A1173,'Support - Transition'!C:C,'Step 2'!B1173,'Support - Transition'!D:D,'Step 2'!C1173,'Support - Transition'!E:E,"CIVIL")</f>
        <v>5.5000000000000002E-5</v>
      </c>
      <c r="H1173" s="126">
        <f>SUMIFS('Support - Transition'!F:F,'Support - Transition'!B:B,'Step 2'!A1173,'Support - Transition'!C:C,'Step 2'!B1173,'Support - Transition'!D:D,'Step 2'!C1173,'Support - Transition'!E:E,"FIRE")</f>
        <v>0</v>
      </c>
      <c r="I1173" s="126">
        <f>IF(B1173="0",SUMIFS('Support - Transition'!F:F,'Support - Transition'!J:J,'Step 2'!D1173,'Support - Transition'!E:E,"STATE UNIT"),SUMIFS('Support - Transition'!F:F,'Support - Transition'!J:J,'Step 2'!D1173))</f>
        <v>5.5000000000000002E-5</v>
      </c>
      <c r="J1173" s="126">
        <f>SUMIFS('Support - Unit Adjustments'!E:E,'Support - Unit Adjustments'!F:F,'Step 2'!D1173)</f>
        <v>0</v>
      </c>
      <c r="K1173" s="126">
        <f t="shared" si="346"/>
        <v>5.5000000000000002E-5</v>
      </c>
      <c r="L1173" s="174">
        <f>VLOOKUP(A1173,'Step 1'!$A:$E,4,FALSE)</f>
        <v>596008</v>
      </c>
      <c r="M1173" s="47">
        <f t="shared" si="347"/>
        <v>33</v>
      </c>
      <c r="N1173" s="177">
        <f>SUMIFS('Support - Transition'!G:G,'Support - Transition'!J:J,'Step 2'!D1173,'Support - Transition'!E:E,"2009 WELFARE ALLOCATION FACTOR")</f>
        <v>0</v>
      </c>
      <c r="O1173" s="152">
        <f t="shared" si="352"/>
        <v>0</v>
      </c>
      <c r="P1173" s="126">
        <f>IF(E1173="Y",0,SUMIFS('Support - Transition'!G:G,'Support - Transition'!J:J,'Step 2'!D1173,'Support - Transition'!E:E,"2009 SCHOOL ALLOCATION FACTOR"))</f>
        <v>0</v>
      </c>
      <c r="Q1173" s="126">
        <f>IF(E1173="Y",VLOOKUP(D1173,'Support - Unit Adjustments'!F:G,2,FALSE),0)</f>
        <v>0</v>
      </c>
      <c r="R1173" s="155">
        <f t="shared" si="364"/>
        <v>0</v>
      </c>
      <c r="S1173" s="47">
        <f t="shared" si="363"/>
        <v>0</v>
      </c>
      <c r="T1173" s="151">
        <f t="shared" si="348"/>
        <v>33</v>
      </c>
      <c r="U1173" s="151">
        <f t="shared" si="349"/>
        <v>0</v>
      </c>
      <c r="V1173" s="139">
        <f t="shared" si="350"/>
        <v>0</v>
      </c>
      <c r="W1173" s="152">
        <f t="shared" si="353"/>
        <v>33</v>
      </c>
      <c r="X1173" s="127" t="str">
        <f t="shared" si="351"/>
        <v/>
      </c>
      <c r="Y1173" s="207">
        <f t="shared" si="354"/>
        <v>33</v>
      </c>
      <c r="Z1173" s="139">
        <f t="shared" si="355"/>
        <v>33</v>
      </c>
      <c r="AA1173" s="139">
        <f t="shared" si="356"/>
        <v>0</v>
      </c>
      <c r="AC1173" s="47">
        <f t="shared" si="357"/>
        <v>17</v>
      </c>
      <c r="AD1173" s="47">
        <f t="shared" si="358"/>
        <v>17</v>
      </c>
      <c r="AE1173" s="47">
        <f t="shared" si="359"/>
        <v>0</v>
      </c>
      <c r="AG1173" s="47">
        <f t="shared" si="360"/>
        <v>16</v>
      </c>
      <c r="AH1173" s="47">
        <f t="shared" si="361"/>
        <v>16</v>
      </c>
      <c r="AI1173" s="208">
        <f t="shared" si="362"/>
        <v>0</v>
      </c>
    </row>
    <row r="1174" spans="1:35">
      <c r="A1174" t="s">
        <v>2125</v>
      </c>
      <c r="B1174" t="s">
        <v>3142</v>
      </c>
      <c r="C1174" t="s">
        <v>2194</v>
      </c>
      <c r="D1174" t="s">
        <v>4532</v>
      </c>
      <c r="F1174" t="s">
        <v>57</v>
      </c>
      <c r="G1174" s="126">
        <f>SUMIFS('Support - Transition'!F:F,'Support - Transition'!B:B,'Step 2'!A1174,'Support - Transition'!C:C,'Step 2'!B1174,'Support - Transition'!D:D,'Step 2'!C1174,'Support - Transition'!E:E,"CIVIL")</f>
        <v>1.8259999999999999E-3</v>
      </c>
      <c r="H1174" s="126">
        <f>SUMIFS('Support - Transition'!F:F,'Support - Transition'!B:B,'Step 2'!A1174,'Support - Transition'!C:C,'Step 2'!B1174,'Support - Transition'!D:D,'Step 2'!C1174,'Support - Transition'!E:E,"FIRE")</f>
        <v>4.6E-5</v>
      </c>
      <c r="I1174" s="126">
        <f>IF(B1174="0",SUMIFS('Support - Transition'!F:F,'Support - Transition'!J:J,'Step 2'!D1174,'Support - Transition'!E:E,"STATE UNIT"),SUMIFS('Support - Transition'!F:F,'Support - Transition'!J:J,'Step 2'!D1174))</f>
        <v>1.872E-3</v>
      </c>
      <c r="J1174" s="126">
        <f>SUMIFS('Support - Unit Adjustments'!E:E,'Support - Unit Adjustments'!F:F,'Step 2'!D1174)</f>
        <v>0</v>
      </c>
      <c r="K1174" s="126">
        <f t="shared" si="346"/>
        <v>1.872E-3</v>
      </c>
      <c r="L1174" s="174">
        <f>VLOOKUP(A1174,'Step 1'!$A:$E,4,FALSE)</f>
        <v>596008</v>
      </c>
      <c r="M1174" s="47">
        <f t="shared" si="347"/>
        <v>1116</v>
      </c>
      <c r="N1174" s="177">
        <f>SUMIFS('Support - Transition'!G:G,'Support - Transition'!J:J,'Step 2'!D1174,'Support - Transition'!E:E,"2009 WELFARE ALLOCATION FACTOR")</f>
        <v>0</v>
      </c>
      <c r="O1174" s="152">
        <f t="shared" si="352"/>
        <v>0</v>
      </c>
      <c r="P1174" s="126">
        <f>IF(E1174="Y",0,SUMIFS('Support - Transition'!G:G,'Support - Transition'!J:J,'Step 2'!D1174,'Support - Transition'!E:E,"2009 SCHOOL ALLOCATION FACTOR"))</f>
        <v>0</v>
      </c>
      <c r="Q1174" s="126">
        <f>IF(E1174="Y",VLOOKUP(D1174,'Support - Unit Adjustments'!F:G,2,FALSE),0)</f>
        <v>0</v>
      </c>
      <c r="R1174" s="155">
        <f t="shared" si="364"/>
        <v>0</v>
      </c>
      <c r="S1174" s="47">
        <f t="shared" si="363"/>
        <v>0</v>
      </c>
      <c r="T1174" s="151">
        <f t="shared" si="348"/>
        <v>1116</v>
      </c>
      <c r="U1174" s="151">
        <f t="shared" si="349"/>
        <v>0</v>
      </c>
      <c r="V1174" s="139">
        <f t="shared" si="350"/>
        <v>0</v>
      </c>
      <c r="W1174" s="152">
        <f t="shared" si="353"/>
        <v>1116</v>
      </c>
      <c r="X1174" s="127" t="str">
        <f t="shared" si="351"/>
        <v/>
      </c>
      <c r="Y1174" s="207">
        <f t="shared" si="354"/>
        <v>1116</v>
      </c>
      <c r="Z1174" s="139">
        <f t="shared" si="355"/>
        <v>1089</v>
      </c>
      <c r="AA1174" s="139">
        <f t="shared" si="356"/>
        <v>27</v>
      </c>
      <c r="AC1174" s="47">
        <f t="shared" si="357"/>
        <v>558</v>
      </c>
      <c r="AD1174" s="47">
        <f t="shared" si="358"/>
        <v>545</v>
      </c>
      <c r="AE1174" s="47">
        <f t="shared" si="359"/>
        <v>14</v>
      </c>
      <c r="AG1174" s="47">
        <f t="shared" si="360"/>
        <v>558</v>
      </c>
      <c r="AH1174" s="47">
        <f t="shared" si="361"/>
        <v>544</v>
      </c>
      <c r="AI1174" s="208">
        <f t="shared" si="362"/>
        <v>13</v>
      </c>
    </row>
    <row r="1175" spans="1:35">
      <c r="A1175" t="s">
        <v>2125</v>
      </c>
      <c r="B1175" t="s">
        <v>3142</v>
      </c>
      <c r="C1175" t="s">
        <v>2196</v>
      </c>
      <c r="D1175" t="s">
        <v>4533</v>
      </c>
      <c r="F1175" t="s">
        <v>569</v>
      </c>
      <c r="G1175" s="126">
        <f>SUMIFS('Support - Transition'!F:F,'Support - Transition'!B:B,'Step 2'!A1175,'Support - Transition'!C:C,'Step 2'!B1175,'Support - Transition'!D:D,'Step 2'!C1175,'Support - Transition'!E:E,"CIVIL")</f>
        <v>6.5899999999999997E-4</v>
      </c>
      <c r="H1175" s="126">
        <f>SUMIFS('Support - Transition'!F:F,'Support - Transition'!B:B,'Step 2'!A1175,'Support - Transition'!C:C,'Step 2'!B1175,'Support - Transition'!D:D,'Step 2'!C1175,'Support - Transition'!E:E,"FIRE")</f>
        <v>0</v>
      </c>
      <c r="I1175" s="126">
        <f>IF(B1175="0",SUMIFS('Support - Transition'!F:F,'Support - Transition'!J:J,'Step 2'!D1175,'Support - Transition'!E:E,"STATE UNIT"),SUMIFS('Support - Transition'!F:F,'Support - Transition'!J:J,'Step 2'!D1175))</f>
        <v>6.5899999999999997E-4</v>
      </c>
      <c r="J1175" s="126">
        <f>SUMIFS('Support - Unit Adjustments'!E:E,'Support - Unit Adjustments'!F:F,'Step 2'!D1175)</f>
        <v>0</v>
      </c>
      <c r="K1175" s="126">
        <f t="shared" si="346"/>
        <v>6.5899999999999997E-4</v>
      </c>
      <c r="L1175" s="174">
        <f>VLOOKUP(A1175,'Step 1'!$A:$E,4,FALSE)</f>
        <v>596008</v>
      </c>
      <c r="M1175" s="47">
        <f t="shared" si="347"/>
        <v>393</v>
      </c>
      <c r="N1175" s="177">
        <f>SUMIFS('Support - Transition'!G:G,'Support - Transition'!J:J,'Step 2'!D1175,'Support - Transition'!E:E,"2009 WELFARE ALLOCATION FACTOR")</f>
        <v>0</v>
      </c>
      <c r="O1175" s="152">
        <f t="shared" si="352"/>
        <v>0</v>
      </c>
      <c r="P1175" s="126">
        <f>IF(E1175="Y",0,SUMIFS('Support - Transition'!G:G,'Support - Transition'!J:J,'Step 2'!D1175,'Support - Transition'!E:E,"2009 SCHOOL ALLOCATION FACTOR"))</f>
        <v>0</v>
      </c>
      <c r="Q1175" s="126">
        <f>IF(E1175="Y",VLOOKUP(D1175,'Support - Unit Adjustments'!F:G,2,FALSE),0)</f>
        <v>0</v>
      </c>
      <c r="R1175" s="155">
        <f t="shared" si="364"/>
        <v>0</v>
      </c>
      <c r="S1175" s="47">
        <f t="shared" si="363"/>
        <v>0</v>
      </c>
      <c r="T1175" s="151">
        <f t="shared" si="348"/>
        <v>393</v>
      </c>
      <c r="U1175" s="151">
        <f t="shared" si="349"/>
        <v>0</v>
      </c>
      <c r="V1175" s="139">
        <f t="shared" si="350"/>
        <v>0</v>
      </c>
      <c r="W1175" s="152">
        <f t="shared" si="353"/>
        <v>393</v>
      </c>
      <c r="X1175" s="127" t="str">
        <f t="shared" si="351"/>
        <v/>
      </c>
      <c r="Y1175" s="207">
        <f t="shared" si="354"/>
        <v>393</v>
      </c>
      <c r="Z1175" s="139">
        <f t="shared" si="355"/>
        <v>393</v>
      </c>
      <c r="AA1175" s="139">
        <f t="shared" si="356"/>
        <v>0</v>
      </c>
      <c r="AC1175" s="47">
        <f t="shared" si="357"/>
        <v>197</v>
      </c>
      <c r="AD1175" s="47">
        <f t="shared" si="358"/>
        <v>197</v>
      </c>
      <c r="AE1175" s="47">
        <f t="shared" si="359"/>
        <v>0</v>
      </c>
      <c r="AG1175" s="47">
        <f t="shared" si="360"/>
        <v>196</v>
      </c>
      <c r="AH1175" s="47">
        <f t="shared" si="361"/>
        <v>196</v>
      </c>
      <c r="AI1175" s="208">
        <f t="shared" si="362"/>
        <v>0</v>
      </c>
    </row>
    <row r="1176" spans="1:35">
      <c r="A1176" t="s">
        <v>2125</v>
      </c>
      <c r="B1176" t="s">
        <v>3155</v>
      </c>
      <c r="C1176" t="s">
        <v>2643</v>
      </c>
      <c r="D1176" t="s">
        <v>4534</v>
      </c>
      <c r="F1176" t="s">
        <v>900</v>
      </c>
      <c r="G1176" s="126">
        <f>SUMIFS('Support - Transition'!F:F,'Support - Transition'!B:B,'Step 2'!A1176,'Support - Transition'!C:C,'Step 2'!B1176,'Support - Transition'!D:D,'Step 2'!C1176,'Support - Transition'!E:E,"CIVIL")</f>
        <v>0</v>
      </c>
      <c r="H1176" s="126">
        <f>SUMIFS('Support - Transition'!F:F,'Support - Transition'!B:B,'Step 2'!A1176,'Support - Transition'!C:C,'Step 2'!B1176,'Support - Transition'!D:D,'Step 2'!C1176,'Support - Transition'!E:E,"FIRE")</f>
        <v>0</v>
      </c>
      <c r="I1176" s="126">
        <f>IF(B1176="0",SUMIFS('Support - Transition'!F:F,'Support - Transition'!J:J,'Step 2'!D1176,'Support - Transition'!E:E,"STATE UNIT"),SUMIFS('Support - Transition'!F:F,'Support - Transition'!J:J,'Step 2'!D1176))</f>
        <v>3.3642999999999999E-2</v>
      </c>
      <c r="J1176" s="126">
        <f>SUMIFS('Support - Unit Adjustments'!E:E,'Support - Unit Adjustments'!F:F,'Step 2'!D1176)</f>
        <v>0</v>
      </c>
      <c r="K1176" s="126">
        <f t="shared" si="346"/>
        <v>3.3642999999999999E-2</v>
      </c>
      <c r="L1176" s="174">
        <f>VLOOKUP(A1176,'Step 1'!$A:$E,4,FALSE)</f>
        <v>596008</v>
      </c>
      <c r="M1176" s="47">
        <f t="shared" si="347"/>
        <v>20051</v>
      </c>
      <c r="N1176" s="177">
        <f>SUMIFS('Support - Transition'!G:G,'Support - Transition'!J:J,'Step 2'!D1176,'Support - Transition'!E:E,"2009 WELFARE ALLOCATION FACTOR")</f>
        <v>0</v>
      </c>
      <c r="O1176" s="152">
        <f t="shared" si="352"/>
        <v>0</v>
      </c>
      <c r="P1176" s="126">
        <f>IF(E1176="Y",0,SUMIFS('Support - Transition'!G:G,'Support - Transition'!J:J,'Step 2'!D1176,'Support - Transition'!E:E,"2009 SCHOOL ALLOCATION FACTOR"))</f>
        <v>0</v>
      </c>
      <c r="Q1176" s="126">
        <f>IF(E1176="Y",VLOOKUP(D1176,'Support - Unit Adjustments'!F:G,2,FALSE),0)</f>
        <v>0</v>
      </c>
      <c r="R1176" s="155">
        <f t="shared" si="364"/>
        <v>0</v>
      </c>
      <c r="S1176" s="47">
        <f t="shared" si="363"/>
        <v>0</v>
      </c>
      <c r="T1176" s="151">
        <f t="shared" si="348"/>
        <v>20051</v>
      </c>
      <c r="U1176" s="151">
        <f t="shared" si="349"/>
        <v>0</v>
      </c>
      <c r="V1176" s="139">
        <f t="shared" si="350"/>
        <v>0</v>
      </c>
      <c r="W1176" s="152">
        <f t="shared" si="353"/>
        <v>20051</v>
      </c>
      <c r="X1176" s="127" t="str">
        <f t="shared" si="351"/>
        <v/>
      </c>
      <c r="Y1176" s="207">
        <f t="shared" si="354"/>
        <v>20051</v>
      </c>
      <c r="Z1176" s="139">
        <f t="shared" si="355"/>
        <v>20051</v>
      </c>
      <c r="AA1176" s="139">
        <f t="shared" si="356"/>
        <v>0</v>
      </c>
      <c r="AC1176" s="47">
        <f t="shared" si="357"/>
        <v>10026</v>
      </c>
      <c r="AD1176" s="47">
        <f t="shared" si="358"/>
        <v>10026</v>
      </c>
      <c r="AE1176" s="47">
        <f t="shared" si="359"/>
        <v>0</v>
      </c>
      <c r="AG1176" s="47">
        <f t="shared" si="360"/>
        <v>10025</v>
      </c>
      <c r="AH1176" s="47">
        <f t="shared" si="361"/>
        <v>10025</v>
      </c>
      <c r="AI1176" s="208">
        <f t="shared" si="362"/>
        <v>0</v>
      </c>
    </row>
    <row r="1177" spans="1:35">
      <c r="A1177" t="s">
        <v>2125</v>
      </c>
      <c r="B1177" t="s">
        <v>3155</v>
      </c>
      <c r="C1177" t="s">
        <v>2644</v>
      </c>
      <c r="D1177" t="s">
        <v>4535</v>
      </c>
      <c r="F1177" t="s">
        <v>901</v>
      </c>
      <c r="G1177" s="126">
        <f>SUMIFS('Support - Transition'!F:F,'Support - Transition'!B:B,'Step 2'!A1177,'Support - Transition'!C:C,'Step 2'!B1177,'Support - Transition'!D:D,'Step 2'!C1177,'Support - Transition'!E:E,"CIVIL")</f>
        <v>0</v>
      </c>
      <c r="H1177" s="126">
        <f>SUMIFS('Support - Transition'!F:F,'Support - Transition'!B:B,'Step 2'!A1177,'Support - Transition'!C:C,'Step 2'!B1177,'Support - Transition'!D:D,'Step 2'!C1177,'Support - Transition'!E:E,"FIRE")</f>
        <v>0</v>
      </c>
      <c r="I1177" s="126">
        <f>IF(B1177="0",SUMIFS('Support - Transition'!F:F,'Support - Transition'!J:J,'Step 2'!D1177,'Support - Transition'!E:E,"STATE UNIT"),SUMIFS('Support - Transition'!F:F,'Support - Transition'!J:J,'Step 2'!D1177))</f>
        <v>5.8531E-2</v>
      </c>
      <c r="J1177" s="126">
        <f>SUMIFS('Support - Unit Adjustments'!E:E,'Support - Unit Adjustments'!F:F,'Step 2'!D1177)</f>
        <v>0</v>
      </c>
      <c r="K1177" s="126">
        <f t="shared" si="346"/>
        <v>5.8531E-2</v>
      </c>
      <c r="L1177" s="174">
        <f>VLOOKUP(A1177,'Step 1'!$A:$E,4,FALSE)</f>
        <v>596008</v>
      </c>
      <c r="M1177" s="47">
        <f t="shared" si="347"/>
        <v>34885</v>
      </c>
      <c r="N1177" s="177">
        <f>SUMIFS('Support - Transition'!G:G,'Support - Transition'!J:J,'Step 2'!D1177,'Support - Transition'!E:E,"2009 WELFARE ALLOCATION FACTOR")</f>
        <v>0</v>
      </c>
      <c r="O1177" s="152">
        <f t="shared" si="352"/>
        <v>0</v>
      </c>
      <c r="P1177" s="126">
        <f>IF(E1177="Y",0,SUMIFS('Support - Transition'!G:G,'Support - Transition'!J:J,'Step 2'!D1177,'Support - Transition'!E:E,"2009 SCHOOL ALLOCATION FACTOR"))</f>
        <v>0</v>
      </c>
      <c r="Q1177" s="126">
        <f>IF(E1177="Y",VLOOKUP(D1177,'Support - Unit Adjustments'!F:G,2,FALSE),0)</f>
        <v>0</v>
      </c>
      <c r="R1177" s="155">
        <f t="shared" si="364"/>
        <v>0</v>
      </c>
      <c r="S1177" s="47">
        <f t="shared" si="363"/>
        <v>0</v>
      </c>
      <c r="T1177" s="151">
        <f t="shared" si="348"/>
        <v>34885</v>
      </c>
      <c r="U1177" s="151">
        <f t="shared" si="349"/>
        <v>0</v>
      </c>
      <c r="V1177" s="139">
        <f t="shared" si="350"/>
        <v>0</v>
      </c>
      <c r="W1177" s="152">
        <f t="shared" si="353"/>
        <v>34885</v>
      </c>
      <c r="X1177" s="127" t="str">
        <f t="shared" si="351"/>
        <v/>
      </c>
      <c r="Y1177" s="207">
        <f t="shared" si="354"/>
        <v>34885</v>
      </c>
      <c r="Z1177" s="139">
        <f t="shared" si="355"/>
        <v>34885</v>
      </c>
      <c r="AA1177" s="139">
        <f t="shared" si="356"/>
        <v>0</v>
      </c>
      <c r="AC1177" s="47">
        <f t="shared" si="357"/>
        <v>17443</v>
      </c>
      <c r="AD1177" s="47">
        <f t="shared" si="358"/>
        <v>17443</v>
      </c>
      <c r="AE1177" s="47">
        <f t="shared" si="359"/>
        <v>0</v>
      </c>
      <c r="AG1177" s="47">
        <f t="shared" si="360"/>
        <v>17442</v>
      </c>
      <c r="AH1177" s="47">
        <f t="shared" si="361"/>
        <v>17442</v>
      </c>
      <c r="AI1177" s="208">
        <f t="shared" si="362"/>
        <v>0</v>
      </c>
    </row>
    <row r="1178" spans="1:35">
      <c r="A1178" t="s">
        <v>2125</v>
      </c>
      <c r="B1178" t="s">
        <v>3155</v>
      </c>
      <c r="C1178" t="s">
        <v>2645</v>
      </c>
      <c r="D1178" t="s">
        <v>4536</v>
      </c>
      <c r="F1178" t="s">
        <v>899</v>
      </c>
      <c r="G1178" s="126">
        <f>SUMIFS('Support - Transition'!F:F,'Support - Transition'!B:B,'Step 2'!A1178,'Support - Transition'!C:C,'Step 2'!B1178,'Support - Transition'!D:D,'Step 2'!C1178,'Support - Transition'!E:E,"CIVIL")</f>
        <v>0</v>
      </c>
      <c r="H1178" s="126">
        <f>SUMIFS('Support - Transition'!F:F,'Support - Transition'!B:B,'Step 2'!A1178,'Support - Transition'!C:C,'Step 2'!B1178,'Support - Transition'!D:D,'Step 2'!C1178,'Support - Transition'!E:E,"FIRE")</f>
        <v>0</v>
      </c>
      <c r="I1178" s="126">
        <f>IF(B1178="0",SUMIFS('Support - Transition'!F:F,'Support - Transition'!J:J,'Step 2'!D1178,'Support - Transition'!E:E,"STATE UNIT"),SUMIFS('Support - Transition'!F:F,'Support - Transition'!J:J,'Step 2'!D1178))</f>
        <v>2.7260000000000001E-3</v>
      </c>
      <c r="J1178" s="126">
        <f>SUMIFS('Support - Unit Adjustments'!E:E,'Support - Unit Adjustments'!F:F,'Step 2'!D1178)</f>
        <v>0</v>
      </c>
      <c r="K1178" s="126">
        <f t="shared" si="346"/>
        <v>2.7260000000000001E-3</v>
      </c>
      <c r="L1178" s="174">
        <f>VLOOKUP(A1178,'Step 1'!$A:$E,4,FALSE)</f>
        <v>596008</v>
      </c>
      <c r="M1178" s="47">
        <f t="shared" si="347"/>
        <v>1625</v>
      </c>
      <c r="N1178" s="177">
        <f>SUMIFS('Support - Transition'!G:G,'Support - Transition'!J:J,'Step 2'!D1178,'Support - Transition'!E:E,"2009 WELFARE ALLOCATION FACTOR")</f>
        <v>0</v>
      </c>
      <c r="O1178" s="152">
        <f t="shared" si="352"/>
        <v>0</v>
      </c>
      <c r="P1178" s="126">
        <f>IF(E1178="Y",0,SUMIFS('Support - Transition'!G:G,'Support - Transition'!J:J,'Step 2'!D1178,'Support - Transition'!E:E,"2009 SCHOOL ALLOCATION FACTOR"))</f>
        <v>0</v>
      </c>
      <c r="Q1178" s="126">
        <f>IF(E1178="Y",VLOOKUP(D1178,'Support - Unit Adjustments'!F:G,2,FALSE),0)</f>
        <v>0</v>
      </c>
      <c r="R1178" s="155">
        <f t="shared" si="364"/>
        <v>0</v>
      </c>
      <c r="S1178" s="47">
        <f t="shared" si="363"/>
        <v>0</v>
      </c>
      <c r="T1178" s="151">
        <f t="shared" si="348"/>
        <v>1625</v>
      </c>
      <c r="U1178" s="151">
        <f t="shared" si="349"/>
        <v>0</v>
      </c>
      <c r="V1178" s="139">
        <f t="shared" si="350"/>
        <v>0</v>
      </c>
      <c r="W1178" s="152">
        <f t="shared" si="353"/>
        <v>1625</v>
      </c>
      <c r="X1178" s="127" t="str">
        <f t="shared" si="351"/>
        <v/>
      </c>
      <c r="Y1178" s="207">
        <f t="shared" si="354"/>
        <v>1625</v>
      </c>
      <c r="Z1178" s="139">
        <f t="shared" si="355"/>
        <v>1625</v>
      </c>
      <c r="AA1178" s="139">
        <f t="shared" si="356"/>
        <v>0</v>
      </c>
      <c r="AC1178" s="47">
        <f t="shared" si="357"/>
        <v>813</v>
      </c>
      <c r="AD1178" s="47">
        <f t="shared" si="358"/>
        <v>813</v>
      </c>
      <c r="AE1178" s="47">
        <f t="shared" si="359"/>
        <v>0</v>
      </c>
      <c r="AG1178" s="47">
        <f t="shared" si="360"/>
        <v>812</v>
      </c>
      <c r="AH1178" s="47">
        <f t="shared" si="361"/>
        <v>812</v>
      </c>
      <c r="AI1178" s="208">
        <f t="shared" si="362"/>
        <v>0</v>
      </c>
    </row>
    <row r="1179" spans="1:35">
      <c r="A1179" t="s">
        <v>2125</v>
      </c>
      <c r="B1179" t="s">
        <v>3155</v>
      </c>
      <c r="C1179" t="s">
        <v>2235</v>
      </c>
      <c r="D1179" t="s">
        <v>4537</v>
      </c>
      <c r="F1179" t="s">
        <v>93</v>
      </c>
      <c r="G1179" s="126">
        <f>SUMIFS('Support - Transition'!F:F,'Support - Transition'!B:B,'Step 2'!A1179,'Support - Transition'!C:C,'Step 2'!B1179,'Support - Transition'!D:D,'Step 2'!C1179,'Support - Transition'!E:E,"CIVIL")</f>
        <v>0</v>
      </c>
      <c r="H1179" s="126">
        <f>SUMIFS('Support - Transition'!F:F,'Support - Transition'!B:B,'Step 2'!A1179,'Support - Transition'!C:C,'Step 2'!B1179,'Support - Transition'!D:D,'Step 2'!C1179,'Support - Transition'!E:E,"FIRE")</f>
        <v>0</v>
      </c>
      <c r="I1179" s="126">
        <f>IF(B1179="0",SUMIFS('Support - Transition'!F:F,'Support - Transition'!J:J,'Step 2'!D1179,'Support - Transition'!E:E,"STATE UNIT"),SUMIFS('Support - Transition'!F:F,'Support - Transition'!J:J,'Step 2'!D1179))</f>
        <v>1.9316E-2</v>
      </c>
      <c r="J1179" s="126">
        <f>SUMIFS('Support - Unit Adjustments'!E:E,'Support - Unit Adjustments'!F:F,'Step 2'!D1179)</f>
        <v>0</v>
      </c>
      <c r="K1179" s="126">
        <f t="shared" si="346"/>
        <v>1.9316E-2</v>
      </c>
      <c r="L1179" s="174">
        <f>VLOOKUP(A1179,'Step 1'!$A:$E,4,FALSE)</f>
        <v>596008</v>
      </c>
      <c r="M1179" s="47">
        <f t="shared" si="347"/>
        <v>11512</v>
      </c>
      <c r="N1179" s="177">
        <f>SUMIFS('Support - Transition'!G:G,'Support - Transition'!J:J,'Step 2'!D1179,'Support - Transition'!E:E,"2009 WELFARE ALLOCATION FACTOR")</f>
        <v>0</v>
      </c>
      <c r="O1179" s="152">
        <f t="shared" si="352"/>
        <v>0</v>
      </c>
      <c r="P1179" s="126">
        <f>IF(E1179="Y",0,SUMIFS('Support - Transition'!G:G,'Support - Transition'!J:J,'Step 2'!D1179,'Support - Transition'!E:E,"2009 SCHOOL ALLOCATION FACTOR"))</f>
        <v>0</v>
      </c>
      <c r="Q1179" s="126">
        <f>IF(E1179="Y",VLOOKUP(D1179,'Support - Unit Adjustments'!F:G,2,FALSE),0)</f>
        <v>0</v>
      </c>
      <c r="R1179" s="155">
        <f t="shared" si="364"/>
        <v>0</v>
      </c>
      <c r="S1179" s="47">
        <f t="shared" si="363"/>
        <v>0</v>
      </c>
      <c r="T1179" s="151">
        <f t="shared" si="348"/>
        <v>11512</v>
      </c>
      <c r="U1179" s="151">
        <f t="shared" si="349"/>
        <v>0</v>
      </c>
      <c r="V1179" s="139">
        <f t="shared" si="350"/>
        <v>0</v>
      </c>
      <c r="W1179" s="152">
        <f t="shared" si="353"/>
        <v>11512</v>
      </c>
      <c r="X1179" s="127" t="str">
        <f t="shared" si="351"/>
        <v/>
      </c>
      <c r="Y1179" s="207">
        <f t="shared" si="354"/>
        <v>11512</v>
      </c>
      <c r="Z1179" s="139">
        <f t="shared" si="355"/>
        <v>11512</v>
      </c>
      <c r="AA1179" s="139">
        <f t="shared" si="356"/>
        <v>0</v>
      </c>
      <c r="AC1179" s="47">
        <f t="shared" si="357"/>
        <v>5756</v>
      </c>
      <c r="AD1179" s="47">
        <f t="shared" si="358"/>
        <v>5756</v>
      </c>
      <c r="AE1179" s="47">
        <f t="shared" si="359"/>
        <v>0</v>
      </c>
      <c r="AG1179" s="47">
        <f t="shared" si="360"/>
        <v>5756</v>
      </c>
      <c r="AH1179" s="47">
        <f t="shared" si="361"/>
        <v>5756</v>
      </c>
      <c r="AI1179" s="208">
        <f t="shared" si="362"/>
        <v>0</v>
      </c>
    </row>
    <row r="1180" spans="1:35">
      <c r="A1180" t="s">
        <v>2125</v>
      </c>
      <c r="B1180" t="s">
        <v>3155</v>
      </c>
      <c r="C1180" t="s">
        <v>2646</v>
      </c>
      <c r="D1180" t="s">
        <v>4538</v>
      </c>
      <c r="F1180" t="s">
        <v>902</v>
      </c>
      <c r="G1180" s="126">
        <f>SUMIFS('Support - Transition'!F:F,'Support - Transition'!B:B,'Step 2'!A1180,'Support - Transition'!C:C,'Step 2'!B1180,'Support - Transition'!D:D,'Step 2'!C1180,'Support - Transition'!E:E,"CIVIL")</f>
        <v>0</v>
      </c>
      <c r="H1180" s="126">
        <f>SUMIFS('Support - Transition'!F:F,'Support - Transition'!B:B,'Step 2'!A1180,'Support - Transition'!C:C,'Step 2'!B1180,'Support - Transition'!D:D,'Step 2'!C1180,'Support - Transition'!E:E,"FIRE")</f>
        <v>0</v>
      </c>
      <c r="I1180" s="126">
        <f>IF(B1180="0",SUMIFS('Support - Transition'!F:F,'Support - Transition'!J:J,'Step 2'!D1180,'Support - Transition'!E:E,"STATE UNIT"),SUMIFS('Support - Transition'!F:F,'Support - Transition'!J:J,'Step 2'!D1180))</f>
        <v>1.0870000000000001E-3</v>
      </c>
      <c r="J1180" s="126">
        <f>SUMIFS('Support - Unit Adjustments'!E:E,'Support - Unit Adjustments'!F:F,'Step 2'!D1180)</f>
        <v>0</v>
      </c>
      <c r="K1180" s="126">
        <f t="shared" si="346"/>
        <v>1.0870000000000001E-3</v>
      </c>
      <c r="L1180" s="174">
        <f>VLOOKUP(A1180,'Step 1'!$A:$E,4,FALSE)</f>
        <v>596008</v>
      </c>
      <c r="M1180" s="47">
        <f t="shared" si="347"/>
        <v>648</v>
      </c>
      <c r="N1180" s="177">
        <f>SUMIFS('Support - Transition'!G:G,'Support - Transition'!J:J,'Step 2'!D1180,'Support - Transition'!E:E,"2009 WELFARE ALLOCATION FACTOR")</f>
        <v>0</v>
      </c>
      <c r="O1180" s="152">
        <f t="shared" si="352"/>
        <v>0</v>
      </c>
      <c r="P1180" s="126">
        <f>IF(E1180="Y",0,SUMIFS('Support - Transition'!G:G,'Support - Transition'!J:J,'Step 2'!D1180,'Support - Transition'!E:E,"2009 SCHOOL ALLOCATION FACTOR"))</f>
        <v>0</v>
      </c>
      <c r="Q1180" s="126">
        <f>IF(E1180="Y",VLOOKUP(D1180,'Support - Unit Adjustments'!F:G,2,FALSE),0)</f>
        <v>0</v>
      </c>
      <c r="R1180" s="155">
        <f t="shared" si="364"/>
        <v>0</v>
      </c>
      <c r="S1180" s="47">
        <f t="shared" si="363"/>
        <v>0</v>
      </c>
      <c r="T1180" s="151">
        <f t="shared" si="348"/>
        <v>648</v>
      </c>
      <c r="U1180" s="151">
        <f t="shared" si="349"/>
        <v>0</v>
      </c>
      <c r="V1180" s="139">
        <f t="shared" si="350"/>
        <v>0</v>
      </c>
      <c r="W1180" s="152">
        <f t="shared" si="353"/>
        <v>648</v>
      </c>
      <c r="X1180" s="127" t="str">
        <f t="shared" si="351"/>
        <v/>
      </c>
      <c r="Y1180" s="207">
        <f t="shared" si="354"/>
        <v>648</v>
      </c>
      <c r="Z1180" s="139">
        <f t="shared" si="355"/>
        <v>648</v>
      </c>
      <c r="AA1180" s="139">
        <f t="shared" si="356"/>
        <v>0</v>
      </c>
      <c r="AC1180" s="47">
        <f t="shared" si="357"/>
        <v>324</v>
      </c>
      <c r="AD1180" s="47">
        <f t="shared" si="358"/>
        <v>324</v>
      </c>
      <c r="AE1180" s="47">
        <f t="shared" si="359"/>
        <v>0</v>
      </c>
      <c r="AG1180" s="47">
        <f t="shared" si="360"/>
        <v>324</v>
      </c>
      <c r="AH1180" s="47">
        <f t="shared" si="361"/>
        <v>324</v>
      </c>
      <c r="AI1180" s="208">
        <f t="shared" si="362"/>
        <v>0</v>
      </c>
    </row>
    <row r="1181" spans="1:35">
      <c r="A1181" t="s">
        <v>2125</v>
      </c>
      <c r="B1181" t="s">
        <v>3155</v>
      </c>
      <c r="C1181" t="s">
        <v>2647</v>
      </c>
      <c r="D1181" t="s">
        <v>4539</v>
      </c>
      <c r="F1181" t="s">
        <v>903</v>
      </c>
      <c r="G1181" s="126">
        <f>SUMIFS('Support - Transition'!F:F,'Support - Transition'!B:B,'Step 2'!A1181,'Support - Transition'!C:C,'Step 2'!B1181,'Support - Transition'!D:D,'Step 2'!C1181,'Support - Transition'!E:E,"CIVIL")</f>
        <v>0</v>
      </c>
      <c r="H1181" s="126">
        <f>SUMIFS('Support - Transition'!F:F,'Support - Transition'!B:B,'Step 2'!A1181,'Support - Transition'!C:C,'Step 2'!B1181,'Support - Transition'!D:D,'Step 2'!C1181,'Support - Transition'!E:E,"FIRE")</f>
        <v>0</v>
      </c>
      <c r="I1181" s="126">
        <f>IF(B1181="0",SUMIFS('Support - Transition'!F:F,'Support - Transition'!J:J,'Step 2'!D1181,'Support - Transition'!E:E,"STATE UNIT"),SUMIFS('Support - Transition'!F:F,'Support - Transition'!J:J,'Step 2'!D1181))</f>
        <v>6.0000000000000002E-6</v>
      </c>
      <c r="J1181" s="126">
        <f>SUMIFS('Support - Unit Adjustments'!E:E,'Support - Unit Adjustments'!F:F,'Step 2'!D1181)</f>
        <v>0</v>
      </c>
      <c r="K1181" s="126">
        <f t="shared" si="346"/>
        <v>6.0000000000000002E-6</v>
      </c>
      <c r="L1181" s="174">
        <f>VLOOKUP(A1181,'Step 1'!$A:$E,4,FALSE)</f>
        <v>596008</v>
      </c>
      <c r="M1181" s="47">
        <f t="shared" si="347"/>
        <v>4</v>
      </c>
      <c r="N1181" s="177">
        <f>SUMIFS('Support - Transition'!G:G,'Support - Transition'!J:J,'Step 2'!D1181,'Support - Transition'!E:E,"2009 WELFARE ALLOCATION FACTOR")</f>
        <v>0</v>
      </c>
      <c r="O1181" s="152">
        <f t="shared" si="352"/>
        <v>0</v>
      </c>
      <c r="P1181" s="126">
        <f>IF(E1181="Y",0,SUMIFS('Support - Transition'!G:G,'Support - Transition'!J:J,'Step 2'!D1181,'Support - Transition'!E:E,"2009 SCHOOL ALLOCATION FACTOR"))</f>
        <v>0</v>
      </c>
      <c r="Q1181" s="126">
        <f>IF(E1181="Y",VLOOKUP(D1181,'Support - Unit Adjustments'!F:G,2,FALSE),0)</f>
        <v>0</v>
      </c>
      <c r="R1181" s="155">
        <f t="shared" si="364"/>
        <v>0</v>
      </c>
      <c r="S1181" s="47">
        <f t="shared" si="363"/>
        <v>0</v>
      </c>
      <c r="T1181" s="151">
        <f t="shared" si="348"/>
        <v>4</v>
      </c>
      <c r="U1181" s="151">
        <f t="shared" si="349"/>
        <v>0</v>
      </c>
      <c r="V1181" s="139">
        <f t="shared" si="350"/>
        <v>0</v>
      </c>
      <c r="W1181" s="152">
        <f t="shared" si="353"/>
        <v>4</v>
      </c>
      <c r="X1181" s="127" t="str">
        <f t="shared" si="351"/>
        <v/>
      </c>
      <c r="Y1181" s="207">
        <f t="shared" si="354"/>
        <v>4</v>
      </c>
      <c r="Z1181" s="139">
        <f t="shared" si="355"/>
        <v>4</v>
      </c>
      <c r="AA1181" s="139">
        <f t="shared" si="356"/>
        <v>0</v>
      </c>
      <c r="AC1181" s="47">
        <f t="shared" si="357"/>
        <v>2</v>
      </c>
      <c r="AD1181" s="47">
        <f t="shared" si="358"/>
        <v>2</v>
      </c>
      <c r="AE1181" s="47">
        <f t="shared" si="359"/>
        <v>0</v>
      </c>
      <c r="AG1181" s="47">
        <f t="shared" si="360"/>
        <v>2</v>
      </c>
      <c r="AH1181" s="47">
        <f t="shared" si="361"/>
        <v>2</v>
      </c>
      <c r="AI1181" s="208">
        <f t="shared" si="362"/>
        <v>0</v>
      </c>
    </row>
    <row r="1182" spans="1:35">
      <c r="A1182" t="s">
        <v>2125</v>
      </c>
      <c r="B1182" t="s">
        <v>3155</v>
      </c>
      <c r="C1182" t="s">
        <v>2648</v>
      </c>
      <c r="D1182" t="s">
        <v>4540</v>
      </c>
      <c r="F1182" t="s">
        <v>904</v>
      </c>
      <c r="G1182" s="126">
        <f>SUMIFS('Support - Transition'!F:F,'Support - Transition'!B:B,'Step 2'!A1182,'Support - Transition'!C:C,'Step 2'!B1182,'Support - Transition'!D:D,'Step 2'!C1182,'Support - Transition'!E:E,"CIVIL")</f>
        <v>0</v>
      </c>
      <c r="H1182" s="126">
        <f>SUMIFS('Support - Transition'!F:F,'Support - Transition'!B:B,'Step 2'!A1182,'Support - Transition'!C:C,'Step 2'!B1182,'Support - Transition'!D:D,'Step 2'!C1182,'Support - Transition'!E:E,"FIRE")</f>
        <v>0</v>
      </c>
      <c r="I1182" s="126">
        <f>IF(B1182="0",SUMIFS('Support - Transition'!F:F,'Support - Transition'!J:J,'Step 2'!D1182,'Support - Transition'!E:E,"STATE UNIT"),SUMIFS('Support - Transition'!F:F,'Support - Transition'!J:J,'Step 2'!D1182))</f>
        <v>4.1599999999999997E-4</v>
      </c>
      <c r="J1182" s="126">
        <f>SUMIFS('Support - Unit Adjustments'!E:E,'Support - Unit Adjustments'!F:F,'Step 2'!D1182)</f>
        <v>0</v>
      </c>
      <c r="K1182" s="126">
        <f t="shared" si="346"/>
        <v>4.1599999999999997E-4</v>
      </c>
      <c r="L1182" s="174">
        <f>VLOOKUP(A1182,'Step 1'!$A:$E,4,FALSE)</f>
        <v>596008</v>
      </c>
      <c r="M1182" s="47">
        <f t="shared" si="347"/>
        <v>248</v>
      </c>
      <c r="N1182" s="177">
        <f>SUMIFS('Support - Transition'!G:G,'Support - Transition'!J:J,'Step 2'!D1182,'Support - Transition'!E:E,"2009 WELFARE ALLOCATION FACTOR")</f>
        <v>0</v>
      </c>
      <c r="O1182" s="152">
        <f t="shared" si="352"/>
        <v>0</v>
      </c>
      <c r="P1182" s="126">
        <f>IF(E1182="Y",0,SUMIFS('Support - Transition'!G:G,'Support - Transition'!J:J,'Step 2'!D1182,'Support - Transition'!E:E,"2009 SCHOOL ALLOCATION FACTOR"))</f>
        <v>0</v>
      </c>
      <c r="Q1182" s="126">
        <f>IF(E1182="Y",VLOOKUP(D1182,'Support - Unit Adjustments'!F:G,2,FALSE),0)</f>
        <v>0</v>
      </c>
      <c r="R1182" s="155">
        <f t="shared" si="364"/>
        <v>0</v>
      </c>
      <c r="S1182" s="47">
        <f t="shared" si="363"/>
        <v>0</v>
      </c>
      <c r="T1182" s="151">
        <f t="shared" si="348"/>
        <v>248</v>
      </c>
      <c r="U1182" s="151">
        <f t="shared" si="349"/>
        <v>0</v>
      </c>
      <c r="V1182" s="139">
        <f t="shared" si="350"/>
        <v>0</v>
      </c>
      <c r="W1182" s="152">
        <f t="shared" si="353"/>
        <v>248</v>
      </c>
      <c r="X1182" s="127" t="str">
        <f t="shared" si="351"/>
        <v/>
      </c>
      <c r="Y1182" s="207">
        <f t="shared" si="354"/>
        <v>248</v>
      </c>
      <c r="Z1182" s="139">
        <f t="shared" si="355"/>
        <v>248</v>
      </c>
      <c r="AA1182" s="139">
        <f t="shared" si="356"/>
        <v>0</v>
      </c>
      <c r="AC1182" s="47">
        <f t="shared" si="357"/>
        <v>124</v>
      </c>
      <c r="AD1182" s="47">
        <f t="shared" si="358"/>
        <v>124</v>
      </c>
      <c r="AE1182" s="47">
        <f t="shared" si="359"/>
        <v>0</v>
      </c>
      <c r="AG1182" s="47">
        <f t="shared" si="360"/>
        <v>124</v>
      </c>
      <c r="AH1182" s="47">
        <f t="shared" si="361"/>
        <v>124</v>
      </c>
      <c r="AI1182" s="208">
        <f t="shared" si="362"/>
        <v>0</v>
      </c>
    </row>
    <row r="1183" spans="1:35">
      <c r="A1183" t="s">
        <v>2125</v>
      </c>
      <c r="B1183" t="s">
        <v>3155</v>
      </c>
      <c r="C1183" t="s">
        <v>2649</v>
      </c>
      <c r="D1183" t="s">
        <v>4541</v>
      </c>
      <c r="F1183" t="s">
        <v>905</v>
      </c>
      <c r="G1183" s="126">
        <f>SUMIFS('Support - Transition'!F:F,'Support - Transition'!B:B,'Step 2'!A1183,'Support - Transition'!C:C,'Step 2'!B1183,'Support - Transition'!D:D,'Step 2'!C1183,'Support - Transition'!E:E,"CIVIL")</f>
        <v>0</v>
      </c>
      <c r="H1183" s="126">
        <f>SUMIFS('Support - Transition'!F:F,'Support - Transition'!B:B,'Step 2'!A1183,'Support - Transition'!C:C,'Step 2'!B1183,'Support - Transition'!D:D,'Step 2'!C1183,'Support - Transition'!E:E,"FIRE")</f>
        <v>0</v>
      </c>
      <c r="I1183" s="126">
        <f>IF(B1183="0",SUMIFS('Support - Transition'!F:F,'Support - Transition'!J:J,'Step 2'!D1183,'Support - Transition'!E:E,"STATE UNIT"),SUMIFS('Support - Transition'!F:F,'Support - Transition'!J:J,'Step 2'!D1183))</f>
        <v>9.2379999999999997E-3</v>
      </c>
      <c r="J1183" s="126">
        <f>SUMIFS('Support - Unit Adjustments'!E:E,'Support - Unit Adjustments'!F:F,'Step 2'!D1183)</f>
        <v>2.9860000000001552E-3</v>
      </c>
      <c r="K1183" s="126">
        <f t="shared" si="346"/>
        <v>1.2224000000000155E-2</v>
      </c>
      <c r="L1183" s="174">
        <f>VLOOKUP(A1183,'Step 1'!$A:$E,4,FALSE)</f>
        <v>596008</v>
      </c>
      <c r="M1183" s="47">
        <f t="shared" si="347"/>
        <v>7286</v>
      </c>
      <c r="N1183" s="177">
        <f>SUMIFS('Support - Transition'!G:G,'Support - Transition'!J:J,'Step 2'!D1183,'Support - Transition'!E:E,"2009 WELFARE ALLOCATION FACTOR")</f>
        <v>0</v>
      </c>
      <c r="O1183" s="152">
        <f t="shared" si="352"/>
        <v>0</v>
      </c>
      <c r="P1183" s="126">
        <f>IF(E1183="Y",0,SUMIFS('Support - Transition'!G:G,'Support - Transition'!J:J,'Step 2'!D1183,'Support - Transition'!E:E,"2009 SCHOOL ALLOCATION FACTOR"))</f>
        <v>0</v>
      </c>
      <c r="Q1183" s="126">
        <f>IF(E1183="Y",VLOOKUP(D1183,'Support - Unit Adjustments'!F:G,2,FALSE),0)</f>
        <v>0</v>
      </c>
      <c r="R1183" s="155">
        <f t="shared" si="364"/>
        <v>0</v>
      </c>
      <c r="S1183" s="47">
        <f t="shared" si="363"/>
        <v>0</v>
      </c>
      <c r="T1183" s="151">
        <f t="shared" si="348"/>
        <v>7286</v>
      </c>
      <c r="U1183" s="151">
        <f t="shared" si="349"/>
        <v>0</v>
      </c>
      <c r="V1183" s="139">
        <f t="shared" si="350"/>
        <v>0</v>
      </c>
      <c r="W1183" s="152">
        <f t="shared" si="353"/>
        <v>7286</v>
      </c>
      <c r="X1183" s="127" t="str">
        <f t="shared" si="351"/>
        <v/>
      </c>
      <c r="Y1183" s="207">
        <f t="shared" si="354"/>
        <v>7286</v>
      </c>
      <c r="Z1183" s="139">
        <f t="shared" si="355"/>
        <v>7286</v>
      </c>
      <c r="AA1183" s="139">
        <f t="shared" si="356"/>
        <v>0</v>
      </c>
      <c r="AC1183" s="47">
        <f t="shared" si="357"/>
        <v>3643</v>
      </c>
      <c r="AD1183" s="47">
        <f t="shared" si="358"/>
        <v>3643</v>
      </c>
      <c r="AE1183" s="47">
        <f t="shared" si="359"/>
        <v>0</v>
      </c>
      <c r="AG1183" s="47">
        <f t="shared" si="360"/>
        <v>3643</v>
      </c>
      <c r="AH1183" s="47">
        <f t="shared" si="361"/>
        <v>3643</v>
      </c>
      <c r="AI1183" s="208">
        <f t="shared" si="362"/>
        <v>0</v>
      </c>
    </row>
    <row r="1184" spans="1:35">
      <c r="A1184" t="s">
        <v>2125</v>
      </c>
      <c r="B1184" t="s">
        <v>3160</v>
      </c>
      <c r="C1184" t="s">
        <v>2650</v>
      </c>
      <c r="D1184" t="s">
        <v>4542</v>
      </c>
      <c r="F1184" t="s">
        <v>4543</v>
      </c>
      <c r="G1184" s="126">
        <f>SUMIFS('Support - Transition'!F:F,'Support - Transition'!B:B,'Step 2'!A1184,'Support - Transition'!C:C,'Step 2'!B1184,'Support - Transition'!D:D,'Step 2'!C1184,'Support - Transition'!E:E,"CIVIL")</f>
        <v>0</v>
      </c>
      <c r="H1184" s="126">
        <f>SUMIFS('Support - Transition'!F:F,'Support - Transition'!B:B,'Step 2'!A1184,'Support - Transition'!C:C,'Step 2'!B1184,'Support - Transition'!D:D,'Step 2'!C1184,'Support - Transition'!E:E,"FIRE")</f>
        <v>0</v>
      </c>
      <c r="I1184" s="126">
        <f>IF(B1184="0",SUMIFS('Support - Transition'!F:F,'Support - Transition'!J:J,'Step 2'!D1184,'Support - Transition'!E:E,"STATE UNIT"),SUMIFS('Support - Transition'!F:F,'Support - Transition'!J:J,'Step 2'!D1184))</f>
        <v>0.24438099999999999</v>
      </c>
      <c r="J1184" s="126">
        <f>SUMIFS('Support - Unit Adjustments'!E:E,'Support - Unit Adjustments'!F:F,'Step 2'!D1184)</f>
        <v>0</v>
      </c>
      <c r="K1184" s="126">
        <f t="shared" si="346"/>
        <v>0.24438099999999999</v>
      </c>
      <c r="L1184" s="174">
        <f>VLOOKUP(A1184,'Step 1'!$A:$E,4,FALSE)</f>
        <v>596008</v>
      </c>
      <c r="M1184" s="47">
        <f t="shared" si="347"/>
        <v>145653</v>
      </c>
      <c r="N1184" s="177">
        <f>SUMIFS('Support - Transition'!G:G,'Support - Transition'!J:J,'Step 2'!D1184,'Support - Transition'!E:E,"2009 WELFARE ALLOCATION FACTOR")</f>
        <v>0</v>
      </c>
      <c r="O1184" s="152">
        <f t="shared" si="352"/>
        <v>0</v>
      </c>
      <c r="P1184" s="126">
        <f>IF(E1184="Y",0,SUMIFS('Support - Transition'!G:G,'Support - Transition'!J:J,'Step 2'!D1184,'Support - Transition'!E:E,"2009 SCHOOL ALLOCATION FACTOR"))</f>
        <v>0.32530199999999998</v>
      </c>
      <c r="Q1184" s="126">
        <f>IF(E1184="Y",VLOOKUP(D1184,'Support - Unit Adjustments'!F:G,2,FALSE),0)</f>
        <v>0</v>
      </c>
      <c r="R1184" s="155">
        <f t="shared" si="364"/>
        <v>0.32530199999999998</v>
      </c>
      <c r="S1184" s="47">
        <f t="shared" si="363"/>
        <v>47381</v>
      </c>
      <c r="T1184" s="151">
        <f t="shared" si="348"/>
        <v>98272</v>
      </c>
      <c r="U1184" s="151">
        <f t="shared" si="349"/>
        <v>0</v>
      </c>
      <c r="V1184" s="139">
        <f t="shared" si="350"/>
        <v>0</v>
      </c>
      <c r="W1184" s="152">
        <f t="shared" si="353"/>
        <v>98272</v>
      </c>
      <c r="X1184" s="127" t="str">
        <f t="shared" si="351"/>
        <v/>
      </c>
      <c r="Y1184" s="207">
        <f t="shared" si="354"/>
        <v>98272</v>
      </c>
      <c r="Z1184" s="139">
        <f t="shared" si="355"/>
        <v>98272</v>
      </c>
      <c r="AA1184" s="139">
        <f t="shared" si="356"/>
        <v>0</v>
      </c>
      <c r="AC1184" s="47">
        <f t="shared" si="357"/>
        <v>49136</v>
      </c>
      <c r="AD1184" s="47">
        <f t="shared" si="358"/>
        <v>49136</v>
      </c>
      <c r="AE1184" s="47">
        <f t="shared" si="359"/>
        <v>0</v>
      </c>
      <c r="AG1184" s="47">
        <f t="shared" si="360"/>
        <v>49136</v>
      </c>
      <c r="AH1184" s="47">
        <f t="shared" si="361"/>
        <v>49136</v>
      </c>
      <c r="AI1184" s="208">
        <f t="shared" si="362"/>
        <v>0</v>
      </c>
    </row>
    <row r="1185" spans="1:35">
      <c r="A1185" t="s">
        <v>2125</v>
      </c>
      <c r="B1185" t="s">
        <v>3160</v>
      </c>
      <c r="C1185" t="s">
        <v>2651</v>
      </c>
      <c r="D1185" t="s">
        <v>4544</v>
      </c>
      <c r="F1185" t="s">
        <v>4545</v>
      </c>
      <c r="G1185" s="126">
        <f>SUMIFS('Support - Transition'!F:F,'Support - Transition'!B:B,'Step 2'!A1185,'Support - Transition'!C:C,'Step 2'!B1185,'Support - Transition'!D:D,'Step 2'!C1185,'Support - Transition'!E:E,"CIVIL")</f>
        <v>0</v>
      </c>
      <c r="H1185" s="126">
        <f>SUMIFS('Support - Transition'!F:F,'Support - Transition'!B:B,'Step 2'!A1185,'Support - Transition'!C:C,'Step 2'!B1185,'Support - Transition'!D:D,'Step 2'!C1185,'Support - Transition'!E:E,"FIRE")</f>
        <v>0</v>
      </c>
      <c r="I1185" s="126">
        <f>IF(B1185="0",SUMIFS('Support - Transition'!F:F,'Support - Transition'!J:J,'Step 2'!D1185,'Support - Transition'!E:E,"STATE UNIT"),SUMIFS('Support - Transition'!F:F,'Support - Transition'!J:J,'Step 2'!D1185))</f>
        <v>0.102987</v>
      </c>
      <c r="J1185" s="126">
        <f>SUMIFS('Support - Unit Adjustments'!E:E,'Support - Unit Adjustments'!F:F,'Step 2'!D1185)</f>
        <v>0</v>
      </c>
      <c r="K1185" s="126">
        <f t="shared" si="346"/>
        <v>0.102987</v>
      </c>
      <c r="L1185" s="174">
        <f>VLOOKUP(A1185,'Step 1'!$A:$E,4,FALSE)</f>
        <v>596008</v>
      </c>
      <c r="M1185" s="47">
        <f t="shared" si="347"/>
        <v>61381</v>
      </c>
      <c r="N1185" s="177">
        <f>SUMIFS('Support - Transition'!G:G,'Support - Transition'!J:J,'Step 2'!D1185,'Support - Transition'!E:E,"2009 WELFARE ALLOCATION FACTOR")</f>
        <v>0</v>
      </c>
      <c r="O1185" s="152">
        <f t="shared" si="352"/>
        <v>0</v>
      </c>
      <c r="P1185" s="126">
        <f>IF(E1185="Y",0,SUMIFS('Support - Transition'!G:G,'Support - Transition'!J:J,'Step 2'!D1185,'Support - Transition'!E:E,"2009 SCHOOL ALLOCATION FACTOR"))</f>
        <v>0.45810699999999999</v>
      </c>
      <c r="Q1185" s="126">
        <f>IF(E1185="Y",VLOOKUP(D1185,'Support - Unit Adjustments'!F:G,2,FALSE),0)</f>
        <v>0</v>
      </c>
      <c r="R1185" s="155">
        <f t="shared" si="364"/>
        <v>0.45810699999999999</v>
      </c>
      <c r="S1185" s="47">
        <f t="shared" si="363"/>
        <v>28119</v>
      </c>
      <c r="T1185" s="151">
        <f t="shared" si="348"/>
        <v>33262</v>
      </c>
      <c r="U1185" s="151">
        <f t="shared" si="349"/>
        <v>0</v>
      </c>
      <c r="V1185" s="139">
        <f t="shared" si="350"/>
        <v>0</v>
      </c>
      <c r="W1185" s="152">
        <f t="shared" si="353"/>
        <v>33262</v>
      </c>
      <c r="X1185" s="127" t="str">
        <f t="shared" si="351"/>
        <v/>
      </c>
      <c r="Y1185" s="207">
        <f t="shared" si="354"/>
        <v>33262</v>
      </c>
      <c r="Z1185" s="139">
        <f t="shared" si="355"/>
        <v>33262</v>
      </c>
      <c r="AA1185" s="139">
        <f t="shared" si="356"/>
        <v>0</v>
      </c>
      <c r="AC1185" s="47">
        <f t="shared" si="357"/>
        <v>16631</v>
      </c>
      <c r="AD1185" s="47">
        <f t="shared" si="358"/>
        <v>16631</v>
      </c>
      <c r="AE1185" s="47">
        <f t="shared" si="359"/>
        <v>0</v>
      </c>
      <c r="AG1185" s="47">
        <f t="shared" si="360"/>
        <v>16631</v>
      </c>
      <c r="AH1185" s="47">
        <f t="shared" si="361"/>
        <v>16631</v>
      </c>
      <c r="AI1185" s="208">
        <f t="shared" si="362"/>
        <v>0</v>
      </c>
    </row>
    <row r="1186" spans="1:35">
      <c r="A1186" t="s">
        <v>2125</v>
      </c>
      <c r="B1186" t="s">
        <v>3160</v>
      </c>
      <c r="C1186" t="s">
        <v>2238</v>
      </c>
      <c r="D1186" t="s">
        <v>4546</v>
      </c>
      <c r="F1186" t="s">
        <v>99</v>
      </c>
      <c r="G1186" s="126">
        <f>SUMIFS('Support - Transition'!F:F,'Support - Transition'!B:B,'Step 2'!A1186,'Support - Transition'!C:C,'Step 2'!B1186,'Support - Transition'!D:D,'Step 2'!C1186,'Support - Transition'!E:E,"CIVIL")</f>
        <v>0</v>
      </c>
      <c r="H1186" s="126">
        <f>SUMIFS('Support - Transition'!F:F,'Support - Transition'!B:B,'Step 2'!A1186,'Support - Transition'!C:C,'Step 2'!B1186,'Support - Transition'!D:D,'Step 2'!C1186,'Support - Transition'!E:E,"FIRE")</f>
        <v>0</v>
      </c>
      <c r="I1186" s="126">
        <f>IF(B1186="0",SUMIFS('Support - Transition'!F:F,'Support - Transition'!J:J,'Step 2'!D1186,'Support - Transition'!E:E,"STATE UNIT"),SUMIFS('Support - Transition'!F:F,'Support - Transition'!J:J,'Step 2'!D1186))</f>
        <v>3.8554999999999999E-2</v>
      </c>
      <c r="J1186" s="126">
        <f>SUMIFS('Support - Unit Adjustments'!E:E,'Support - Unit Adjustments'!F:F,'Step 2'!D1186)</f>
        <v>0</v>
      </c>
      <c r="K1186" s="126">
        <f t="shared" si="346"/>
        <v>3.8554999999999999E-2</v>
      </c>
      <c r="L1186" s="174">
        <f>VLOOKUP(A1186,'Step 1'!$A:$E,4,FALSE)</f>
        <v>596008</v>
      </c>
      <c r="M1186" s="47">
        <f t="shared" si="347"/>
        <v>22979</v>
      </c>
      <c r="N1186" s="177">
        <f>SUMIFS('Support - Transition'!G:G,'Support - Transition'!J:J,'Step 2'!D1186,'Support - Transition'!E:E,"2009 WELFARE ALLOCATION FACTOR")</f>
        <v>0</v>
      </c>
      <c r="O1186" s="152">
        <f t="shared" si="352"/>
        <v>0</v>
      </c>
      <c r="P1186" s="126">
        <f>IF(E1186="Y",0,SUMIFS('Support - Transition'!G:G,'Support - Transition'!J:J,'Step 2'!D1186,'Support - Transition'!E:E,"2009 SCHOOL ALLOCATION FACTOR"))</f>
        <v>0.489618</v>
      </c>
      <c r="Q1186" s="126">
        <f>IF(E1186="Y",VLOOKUP(D1186,'Support - Unit Adjustments'!F:G,2,FALSE),0)</f>
        <v>0</v>
      </c>
      <c r="R1186" s="155">
        <f t="shared" si="364"/>
        <v>0.489618</v>
      </c>
      <c r="S1186" s="47">
        <f t="shared" si="363"/>
        <v>11251</v>
      </c>
      <c r="T1186" s="151">
        <f t="shared" si="348"/>
        <v>11728</v>
      </c>
      <c r="U1186" s="151">
        <f t="shared" si="349"/>
        <v>0</v>
      </c>
      <c r="V1186" s="139">
        <f t="shared" si="350"/>
        <v>0</v>
      </c>
      <c r="W1186" s="152">
        <f t="shared" si="353"/>
        <v>11728</v>
      </c>
      <c r="X1186" s="127" t="str">
        <f t="shared" si="351"/>
        <v/>
      </c>
      <c r="Y1186" s="207">
        <f t="shared" si="354"/>
        <v>11728</v>
      </c>
      <c r="Z1186" s="139">
        <f t="shared" si="355"/>
        <v>11728</v>
      </c>
      <c r="AA1186" s="139">
        <f t="shared" si="356"/>
        <v>0</v>
      </c>
      <c r="AC1186" s="47">
        <f t="shared" si="357"/>
        <v>5864</v>
      </c>
      <c r="AD1186" s="47">
        <f t="shared" si="358"/>
        <v>5864</v>
      </c>
      <c r="AE1186" s="47">
        <f t="shared" si="359"/>
        <v>0</v>
      </c>
      <c r="AG1186" s="47">
        <f t="shared" si="360"/>
        <v>5864</v>
      </c>
      <c r="AH1186" s="47">
        <f t="shared" si="361"/>
        <v>5864</v>
      </c>
      <c r="AI1186" s="208">
        <f t="shared" si="362"/>
        <v>0</v>
      </c>
    </row>
    <row r="1187" spans="1:35">
      <c r="A1187" t="s">
        <v>2125</v>
      </c>
      <c r="B1187" t="s">
        <v>3160</v>
      </c>
      <c r="C1187" t="s">
        <v>2652</v>
      </c>
      <c r="D1187" t="s">
        <v>4547</v>
      </c>
      <c r="F1187" t="s">
        <v>908</v>
      </c>
      <c r="G1187" s="126">
        <f>SUMIFS('Support - Transition'!F:F,'Support - Transition'!B:B,'Step 2'!A1187,'Support - Transition'!C:C,'Step 2'!B1187,'Support - Transition'!D:D,'Step 2'!C1187,'Support - Transition'!E:E,"CIVIL")</f>
        <v>0</v>
      </c>
      <c r="H1187" s="126">
        <f>SUMIFS('Support - Transition'!F:F,'Support - Transition'!B:B,'Step 2'!A1187,'Support - Transition'!C:C,'Step 2'!B1187,'Support - Transition'!D:D,'Step 2'!C1187,'Support - Transition'!E:E,"FIRE")</f>
        <v>0</v>
      </c>
      <c r="I1187" s="126">
        <f>IF(B1187="0",SUMIFS('Support - Transition'!F:F,'Support - Transition'!J:J,'Step 2'!D1187,'Support - Transition'!E:E,"STATE UNIT"),SUMIFS('Support - Transition'!F:F,'Support - Transition'!J:J,'Step 2'!D1187))</f>
        <v>0.19315099999999999</v>
      </c>
      <c r="J1187" s="126">
        <f>SUMIFS('Support - Unit Adjustments'!E:E,'Support - Unit Adjustments'!F:F,'Step 2'!D1187)</f>
        <v>0</v>
      </c>
      <c r="K1187" s="126">
        <f t="shared" si="346"/>
        <v>0.19315099999999999</v>
      </c>
      <c r="L1187" s="174">
        <f>VLOOKUP(A1187,'Step 1'!$A:$E,4,FALSE)</f>
        <v>596008</v>
      </c>
      <c r="M1187" s="47">
        <f t="shared" si="347"/>
        <v>115120</v>
      </c>
      <c r="N1187" s="177">
        <f>SUMIFS('Support - Transition'!G:G,'Support - Transition'!J:J,'Step 2'!D1187,'Support - Transition'!E:E,"2009 WELFARE ALLOCATION FACTOR")</f>
        <v>0</v>
      </c>
      <c r="O1187" s="152">
        <f t="shared" si="352"/>
        <v>0</v>
      </c>
      <c r="P1187" s="126">
        <f>IF(E1187="Y",0,SUMIFS('Support - Transition'!G:G,'Support - Transition'!J:J,'Step 2'!D1187,'Support - Transition'!E:E,"2009 SCHOOL ALLOCATION FACTOR"))</f>
        <v>0.35721900000000001</v>
      </c>
      <c r="Q1187" s="126">
        <f>IF(E1187="Y",VLOOKUP(D1187,'Support - Unit Adjustments'!F:G,2,FALSE),0)</f>
        <v>0</v>
      </c>
      <c r="R1187" s="155">
        <f t="shared" si="364"/>
        <v>0.35721900000000001</v>
      </c>
      <c r="S1187" s="47">
        <f t="shared" si="363"/>
        <v>41123</v>
      </c>
      <c r="T1187" s="151">
        <f t="shared" si="348"/>
        <v>73997</v>
      </c>
      <c r="U1187" s="151">
        <f t="shared" si="349"/>
        <v>0</v>
      </c>
      <c r="V1187" s="139">
        <f t="shared" si="350"/>
        <v>0</v>
      </c>
      <c r="W1187" s="152">
        <f t="shared" si="353"/>
        <v>73997</v>
      </c>
      <c r="X1187" s="127" t="str">
        <f t="shared" si="351"/>
        <v/>
      </c>
      <c r="Y1187" s="207">
        <f t="shared" si="354"/>
        <v>73997</v>
      </c>
      <c r="Z1187" s="139">
        <f t="shared" si="355"/>
        <v>73997</v>
      </c>
      <c r="AA1187" s="139">
        <f t="shared" si="356"/>
        <v>0</v>
      </c>
      <c r="AC1187" s="47">
        <f t="shared" si="357"/>
        <v>36999</v>
      </c>
      <c r="AD1187" s="47">
        <f t="shared" si="358"/>
        <v>36999</v>
      </c>
      <c r="AE1187" s="47">
        <f t="shared" si="359"/>
        <v>0</v>
      </c>
      <c r="AG1187" s="47">
        <f t="shared" si="360"/>
        <v>36998</v>
      </c>
      <c r="AH1187" s="47">
        <f t="shared" si="361"/>
        <v>36998</v>
      </c>
      <c r="AI1187" s="208">
        <f t="shared" si="362"/>
        <v>0</v>
      </c>
    </row>
    <row r="1188" spans="1:35">
      <c r="A1188" t="s">
        <v>2125</v>
      </c>
      <c r="B1188" t="s">
        <v>3160</v>
      </c>
      <c r="C1188" t="s">
        <v>2653</v>
      </c>
      <c r="D1188" t="s">
        <v>4548</v>
      </c>
      <c r="F1188" t="s">
        <v>909</v>
      </c>
      <c r="G1188" s="126">
        <f>SUMIFS('Support - Transition'!F:F,'Support - Transition'!B:B,'Step 2'!A1188,'Support - Transition'!C:C,'Step 2'!B1188,'Support - Transition'!D:D,'Step 2'!C1188,'Support - Transition'!E:E,"CIVIL")</f>
        <v>0</v>
      </c>
      <c r="H1188" s="126">
        <f>SUMIFS('Support - Transition'!F:F,'Support - Transition'!B:B,'Step 2'!A1188,'Support - Transition'!C:C,'Step 2'!B1188,'Support - Transition'!D:D,'Step 2'!C1188,'Support - Transition'!E:E,"FIRE")</f>
        <v>0</v>
      </c>
      <c r="I1188" s="126">
        <f>IF(B1188="0",SUMIFS('Support - Transition'!F:F,'Support - Transition'!J:J,'Step 2'!D1188,'Support - Transition'!E:E,"STATE UNIT"),SUMIFS('Support - Transition'!F:F,'Support - Transition'!J:J,'Step 2'!D1188))</f>
        <v>7.9033000000000006E-2</v>
      </c>
      <c r="J1188" s="126">
        <f>SUMIFS('Support - Unit Adjustments'!E:E,'Support - Unit Adjustments'!F:F,'Step 2'!D1188)</f>
        <v>0</v>
      </c>
      <c r="K1188" s="126">
        <f t="shared" si="346"/>
        <v>7.9033000000000006E-2</v>
      </c>
      <c r="L1188" s="174">
        <f>VLOOKUP(A1188,'Step 1'!$A:$E,4,FALSE)</f>
        <v>596008</v>
      </c>
      <c r="M1188" s="47">
        <f t="shared" si="347"/>
        <v>47104</v>
      </c>
      <c r="N1188" s="177">
        <f>SUMIFS('Support - Transition'!G:G,'Support - Transition'!J:J,'Step 2'!D1188,'Support - Transition'!E:E,"2009 WELFARE ALLOCATION FACTOR")</f>
        <v>0</v>
      </c>
      <c r="O1188" s="152">
        <f t="shared" si="352"/>
        <v>0</v>
      </c>
      <c r="P1188" s="126">
        <f>IF(E1188="Y",0,SUMIFS('Support - Transition'!G:G,'Support - Transition'!J:J,'Step 2'!D1188,'Support - Transition'!E:E,"2009 SCHOOL ALLOCATION FACTOR"))</f>
        <v>0.47976099999999999</v>
      </c>
      <c r="Q1188" s="126">
        <f>IF(E1188="Y",VLOOKUP(D1188,'Support - Unit Adjustments'!F:G,2,FALSE),0)</f>
        <v>0</v>
      </c>
      <c r="R1188" s="155">
        <f t="shared" si="364"/>
        <v>0.47976099999999999</v>
      </c>
      <c r="S1188" s="47">
        <f t="shared" si="363"/>
        <v>22599</v>
      </c>
      <c r="T1188" s="151">
        <f t="shared" si="348"/>
        <v>24505</v>
      </c>
      <c r="U1188" s="151">
        <f t="shared" si="349"/>
        <v>0</v>
      </c>
      <c r="V1188" s="139">
        <f t="shared" si="350"/>
        <v>0</v>
      </c>
      <c r="W1188" s="152">
        <f t="shared" si="353"/>
        <v>24505</v>
      </c>
      <c r="X1188" s="127" t="str">
        <f t="shared" si="351"/>
        <v/>
      </c>
      <c r="Y1188" s="207">
        <f t="shared" si="354"/>
        <v>24505</v>
      </c>
      <c r="Z1188" s="139">
        <f t="shared" si="355"/>
        <v>24505</v>
      </c>
      <c r="AA1188" s="139">
        <f t="shared" si="356"/>
        <v>0</v>
      </c>
      <c r="AC1188" s="47">
        <f t="shared" si="357"/>
        <v>12253</v>
      </c>
      <c r="AD1188" s="47">
        <f t="shared" si="358"/>
        <v>12253</v>
      </c>
      <c r="AE1188" s="47">
        <f t="shared" si="359"/>
        <v>0</v>
      </c>
      <c r="AG1188" s="47">
        <f t="shared" si="360"/>
        <v>12252</v>
      </c>
      <c r="AH1188" s="47">
        <f t="shared" si="361"/>
        <v>12252</v>
      </c>
      <c r="AI1188" s="208">
        <f t="shared" si="362"/>
        <v>0</v>
      </c>
    </row>
    <row r="1189" spans="1:35">
      <c r="A1189" t="s">
        <v>2125</v>
      </c>
      <c r="B1189" t="s">
        <v>3160</v>
      </c>
      <c r="C1189" t="s">
        <v>2654</v>
      </c>
      <c r="D1189" t="s">
        <v>4549</v>
      </c>
      <c r="F1189" t="s">
        <v>4550</v>
      </c>
      <c r="G1189" s="126">
        <f>SUMIFS('Support - Transition'!F:F,'Support - Transition'!B:B,'Step 2'!A1189,'Support - Transition'!C:C,'Step 2'!B1189,'Support - Transition'!D:D,'Step 2'!C1189,'Support - Transition'!E:E,"CIVIL")</f>
        <v>0</v>
      </c>
      <c r="H1189" s="126">
        <f>SUMIFS('Support - Transition'!F:F,'Support - Transition'!B:B,'Step 2'!A1189,'Support - Transition'!C:C,'Step 2'!B1189,'Support - Transition'!D:D,'Step 2'!C1189,'Support - Transition'!E:E,"FIRE")</f>
        <v>0</v>
      </c>
      <c r="I1189" s="126">
        <f>IF(B1189="0",SUMIFS('Support - Transition'!F:F,'Support - Transition'!J:J,'Step 2'!D1189,'Support - Transition'!E:E,"STATE UNIT"),SUMIFS('Support - Transition'!F:F,'Support - Transition'!J:J,'Step 2'!D1189))</f>
        <v>3.7532000000000003E-2</v>
      </c>
      <c r="J1189" s="126">
        <f>SUMIFS('Support - Unit Adjustments'!E:E,'Support - Unit Adjustments'!F:F,'Step 2'!D1189)</f>
        <v>0</v>
      </c>
      <c r="K1189" s="126">
        <f t="shared" si="346"/>
        <v>3.7532000000000003E-2</v>
      </c>
      <c r="L1189" s="174">
        <f>VLOOKUP(A1189,'Step 1'!$A:$E,4,FALSE)</f>
        <v>596008</v>
      </c>
      <c r="M1189" s="47">
        <f t="shared" si="347"/>
        <v>22369</v>
      </c>
      <c r="N1189" s="177">
        <f>SUMIFS('Support - Transition'!G:G,'Support - Transition'!J:J,'Step 2'!D1189,'Support - Transition'!E:E,"2009 WELFARE ALLOCATION FACTOR")</f>
        <v>0</v>
      </c>
      <c r="O1189" s="152">
        <f t="shared" si="352"/>
        <v>0</v>
      </c>
      <c r="P1189" s="126">
        <f>IF(E1189="Y",0,SUMIFS('Support - Transition'!G:G,'Support - Transition'!J:J,'Step 2'!D1189,'Support - Transition'!E:E,"2009 SCHOOL ALLOCATION FACTOR"))</f>
        <v>0.41912500000000003</v>
      </c>
      <c r="Q1189" s="126">
        <f>IF(E1189="Y",VLOOKUP(D1189,'Support - Unit Adjustments'!F:G,2,FALSE),0)</f>
        <v>0</v>
      </c>
      <c r="R1189" s="155">
        <f t="shared" si="364"/>
        <v>0.41912500000000003</v>
      </c>
      <c r="S1189" s="47">
        <f t="shared" si="363"/>
        <v>9375</v>
      </c>
      <c r="T1189" s="151">
        <f t="shared" si="348"/>
        <v>12994</v>
      </c>
      <c r="U1189" s="151">
        <f t="shared" si="349"/>
        <v>0</v>
      </c>
      <c r="V1189" s="139">
        <f t="shared" si="350"/>
        <v>0</v>
      </c>
      <c r="W1189" s="152">
        <f t="shared" si="353"/>
        <v>12994</v>
      </c>
      <c r="X1189" s="127" t="str">
        <f t="shared" si="351"/>
        <v/>
      </c>
      <c r="Y1189" s="207">
        <f t="shared" si="354"/>
        <v>12994</v>
      </c>
      <c r="Z1189" s="139">
        <f t="shared" si="355"/>
        <v>12994</v>
      </c>
      <c r="AA1189" s="139">
        <f t="shared" si="356"/>
        <v>0</v>
      </c>
      <c r="AC1189" s="47">
        <f t="shared" si="357"/>
        <v>6497</v>
      </c>
      <c r="AD1189" s="47">
        <f t="shared" si="358"/>
        <v>6497</v>
      </c>
      <c r="AE1189" s="47">
        <f t="shared" si="359"/>
        <v>0</v>
      </c>
      <c r="AG1189" s="47">
        <f t="shared" si="360"/>
        <v>6497</v>
      </c>
      <c r="AH1189" s="47">
        <f t="shared" si="361"/>
        <v>6497</v>
      </c>
      <c r="AI1189" s="208">
        <f t="shared" si="362"/>
        <v>0</v>
      </c>
    </row>
    <row r="1190" spans="1:35">
      <c r="A1190" t="s">
        <v>2125</v>
      </c>
      <c r="B1190" t="s">
        <v>3166</v>
      </c>
      <c r="C1190" t="s">
        <v>2239</v>
      </c>
      <c r="D1190" t="s">
        <v>4551</v>
      </c>
      <c r="F1190" t="s">
        <v>911</v>
      </c>
      <c r="G1190" s="126">
        <f>SUMIFS('Support - Transition'!F:F,'Support - Transition'!B:B,'Step 2'!A1190,'Support - Transition'!C:C,'Step 2'!B1190,'Support - Transition'!D:D,'Step 2'!C1190,'Support - Transition'!E:E,"CIVIL")</f>
        <v>0</v>
      </c>
      <c r="H1190" s="126">
        <f>SUMIFS('Support - Transition'!F:F,'Support - Transition'!B:B,'Step 2'!A1190,'Support - Transition'!C:C,'Step 2'!B1190,'Support - Transition'!D:D,'Step 2'!C1190,'Support - Transition'!E:E,"FIRE")</f>
        <v>0</v>
      </c>
      <c r="I1190" s="126">
        <f>IF(B1190="0",SUMIFS('Support - Transition'!F:F,'Support - Transition'!J:J,'Step 2'!D1190,'Support - Transition'!E:E,"STATE UNIT"),SUMIFS('Support - Transition'!F:F,'Support - Transition'!J:J,'Step 2'!D1190))</f>
        <v>1.9480000000000001E-3</v>
      </c>
      <c r="J1190" s="126">
        <f>SUMIFS('Support - Unit Adjustments'!E:E,'Support - Unit Adjustments'!F:F,'Step 2'!D1190)</f>
        <v>0</v>
      </c>
      <c r="K1190" s="126">
        <f t="shared" si="346"/>
        <v>1.9480000000000001E-3</v>
      </c>
      <c r="L1190" s="174">
        <f>VLOOKUP(A1190,'Step 1'!$A:$E,4,FALSE)</f>
        <v>596008</v>
      </c>
      <c r="M1190" s="47">
        <f t="shared" si="347"/>
        <v>1161</v>
      </c>
      <c r="N1190" s="177">
        <f>SUMIFS('Support - Transition'!G:G,'Support - Transition'!J:J,'Step 2'!D1190,'Support - Transition'!E:E,"2009 WELFARE ALLOCATION FACTOR")</f>
        <v>0</v>
      </c>
      <c r="O1190" s="152">
        <f t="shared" si="352"/>
        <v>0</v>
      </c>
      <c r="P1190" s="126">
        <f>IF(E1190="Y",0,SUMIFS('Support - Transition'!G:G,'Support - Transition'!J:J,'Step 2'!D1190,'Support - Transition'!E:E,"2009 SCHOOL ALLOCATION FACTOR"))</f>
        <v>0</v>
      </c>
      <c r="Q1190" s="126">
        <f>IF(E1190="Y",VLOOKUP(D1190,'Support - Unit Adjustments'!F:G,2,FALSE),0)</f>
        <v>0</v>
      </c>
      <c r="R1190" s="155">
        <f t="shared" si="364"/>
        <v>0</v>
      </c>
      <c r="S1190" s="47">
        <f t="shared" si="363"/>
        <v>0</v>
      </c>
      <c r="T1190" s="151">
        <f t="shared" si="348"/>
        <v>1161</v>
      </c>
      <c r="U1190" s="151">
        <f t="shared" si="349"/>
        <v>0</v>
      </c>
      <c r="V1190" s="139">
        <f t="shared" si="350"/>
        <v>0</v>
      </c>
      <c r="W1190" s="152">
        <f t="shared" si="353"/>
        <v>1161</v>
      </c>
      <c r="X1190" s="127" t="str">
        <f t="shared" si="351"/>
        <v/>
      </c>
      <c r="Y1190" s="207">
        <f t="shared" si="354"/>
        <v>1161</v>
      </c>
      <c r="Z1190" s="139">
        <f t="shared" si="355"/>
        <v>1161</v>
      </c>
      <c r="AA1190" s="139">
        <f t="shared" si="356"/>
        <v>0</v>
      </c>
      <c r="AC1190" s="47">
        <f t="shared" si="357"/>
        <v>581</v>
      </c>
      <c r="AD1190" s="47">
        <f t="shared" si="358"/>
        <v>581</v>
      </c>
      <c r="AE1190" s="47">
        <f t="shared" si="359"/>
        <v>0</v>
      </c>
      <c r="AG1190" s="47">
        <f t="shared" si="360"/>
        <v>580</v>
      </c>
      <c r="AH1190" s="47">
        <f t="shared" si="361"/>
        <v>580</v>
      </c>
      <c r="AI1190" s="208">
        <f t="shared" si="362"/>
        <v>0</v>
      </c>
    </row>
    <row r="1191" spans="1:35">
      <c r="A1191" t="s">
        <v>2125</v>
      </c>
      <c r="B1191" t="s">
        <v>3166</v>
      </c>
      <c r="C1191" t="s">
        <v>2403</v>
      </c>
      <c r="D1191" t="s">
        <v>4552</v>
      </c>
      <c r="F1191" t="s">
        <v>912</v>
      </c>
      <c r="G1191" s="126">
        <f>SUMIFS('Support - Transition'!F:F,'Support - Transition'!B:B,'Step 2'!A1191,'Support - Transition'!C:C,'Step 2'!B1191,'Support - Transition'!D:D,'Step 2'!C1191,'Support - Transition'!E:E,"CIVIL")</f>
        <v>0</v>
      </c>
      <c r="H1191" s="126">
        <f>SUMIFS('Support - Transition'!F:F,'Support - Transition'!B:B,'Step 2'!A1191,'Support - Transition'!C:C,'Step 2'!B1191,'Support - Transition'!D:D,'Step 2'!C1191,'Support - Transition'!E:E,"FIRE")</f>
        <v>0</v>
      </c>
      <c r="I1191" s="126">
        <f>IF(B1191="0",SUMIFS('Support - Transition'!F:F,'Support - Transition'!J:J,'Step 2'!D1191,'Support - Transition'!E:E,"STATE UNIT"),SUMIFS('Support - Transition'!F:F,'Support - Transition'!J:J,'Step 2'!D1191))</f>
        <v>9.0259999999999993E-3</v>
      </c>
      <c r="J1191" s="126">
        <f>SUMIFS('Support - Unit Adjustments'!E:E,'Support - Unit Adjustments'!F:F,'Step 2'!D1191)</f>
        <v>0</v>
      </c>
      <c r="K1191" s="126">
        <f t="shared" si="346"/>
        <v>9.0259999999999993E-3</v>
      </c>
      <c r="L1191" s="174">
        <f>VLOOKUP(A1191,'Step 1'!$A:$E,4,FALSE)</f>
        <v>596008</v>
      </c>
      <c r="M1191" s="47">
        <f t="shared" si="347"/>
        <v>5380</v>
      </c>
      <c r="N1191" s="177">
        <f>SUMIFS('Support - Transition'!G:G,'Support - Transition'!J:J,'Step 2'!D1191,'Support - Transition'!E:E,"2009 WELFARE ALLOCATION FACTOR")</f>
        <v>0</v>
      </c>
      <c r="O1191" s="152">
        <f t="shared" si="352"/>
        <v>0</v>
      </c>
      <c r="P1191" s="126">
        <f>IF(E1191="Y",0,SUMIFS('Support - Transition'!G:G,'Support - Transition'!J:J,'Step 2'!D1191,'Support - Transition'!E:E,"2009 SCHOOL ALLOCATION FACTOR"))</f>
        <v>0</v>
      </c>
      <c r="Q1191" s="126">
        <f>IF(E1191="Y",VLOOKUP(D1191,'Support - Unit Adjustments'!F:G,2,FALSE),0)</f>
        <v>0</v>
      </c>
      <c r="R1191" s="155">
        <f t="shared" si="364"/>
        <v>0</v>
      </c>
      <c r="S1191" s="47">
        <f t="shared" si="363"/>
        <v>0</v>
      </c>
      <c r="T1191" s="151">
        <f t="shared" si="348"/>
        <v>5380</v>
      </c>
      <c r="U1191" s="151">
        <f t="shared" si="349"/>
        <v>0</v>
      </c>
      <c r="V1191" s="139">
        <f t="shared" si="350"/>
        <v>0</v>
      </c>
      <c r="W1191" s="152">
        <f t="shared" si="353"/>
        <v>5380</v>
      </c>
      <c r="X1191" s="127" t="str">
        <f t="shared" si="351"/>
        <v/>
      </c>
      <c r="Y1191" s="207">
        <f t="shared" si="354"/>
        <v>5380</v>
      </c>
      <c r="Z1191" s="139">
        <f t="shared" si="355"/>
        <v>5380</v>
      </c>
      <c r="AA1191" s="139">
        <f t="shared" si="356"/>
        <v>0</v>
      </c>
      <c r="AC1191" s="47">
        <f t="shared" si="357"/>
        <v>2690</v>
      </c>
      <c r="AD1191" s="47">
        <f t="shared" si="358"/>
        <v>2690</v>
      </c>
      <c r="AE1191" s="47">
        <f t="shared" si="359"/>
        <v>0</v>
      </c>
      <c r="AG1191" s="47">
        <f t="shared" si="360"/>
        <v>2690</v>
      </c>
      <c r="AH1191" s="47">
        <f t="shared" si="361"/>
        <v>2690</v>
      </c>
      <c r="AI1191" s="208">
        <f t="shared" si="362"/>
        <v>0</v>
      </c>
    </row>
    <row r="1192" spans="1:35">
      <c r="A1192" t="s">
        <v>2125</v>
      </c>
      <c r="B1192" t="s">
        <v>3166</v>
      </c>
      <c r="C1192" t="s">
        <v>2655</v>
      </c>
      <c r="D1192" t="s">
        <v>4553</v>
      </c>
      <c r="F1192" t="s">
        <v>913</v>
      </c>
      <c r="G1192" s="126">
        <f>SUMIFS('Support - Transition'!F:F,'Support - Transition'!B:B,'Step 2'!A1192,'Support - Transition'!C:C,'Step 2'!B1192,'Support - Transition'!D:D,'Step 2'!C1192,'Support - Transition'!E:E,"CIVIL")</f>
        <v>0</v>
      </c>
      <c r="H1192" s="126">
        <f>SUMIFS('Support - Transition'!F:F,'Support - Transition'!B:B,'Step 2'!A1192,'Support - Transition'!C:C,'Step 2'!B1192,'Support - Transition'!D:D,'Step 2'!C1192,'Support - Transition'!E:E,"FIRE")</f>
        <v>0</v>
      </c>
      <c r="I1192" s="126">
        <f>IF(B1192="0",SUMIFS('Support - Transition'!F:F,'Support - Transition'!J:J,'Step 2'!D1192,'Support - Transition'!E:E,"STATE UNIT"),SUMIFS('Support - Transition'!F:F,'Support - Transition'!J:J,'Step 2'!D1192))</f>
        <v>2.5870000000000001E-2</v>
      </c>
      <c r="J1192" s="126">
        <f>SUMIFS('Support - Unit Adjustments'!E:E,'Support - Unit Adjustments'!F:F,'Step 2'!D1192)</f>
        <v>0</v>
      </c>
      <c r="K1192" s="126">
        <f t="shared" si="346"/>
        <v>2.5870000000000001E-2</v>
      </c>
      <c r="L1192" s="174">
        <f>VLOOKUP(A1192,'Step 1'!$A:$E,4,FALSE)</f>
        <v>596008</v>
      </c>
      <c r="M1192" s="47">
        <f t="shared" si="347"/>
        <v>15419</v>
      </c>
      <c r="N1192" s="177">
        <f>SUMIFS('Support - Transition'!G:G,'Support - Transition'!J:J,'Step 2'!D1192,'Support - Transition'!E:E,"2009 WELFARE ALLOCATION FACTOR")</f>
        <v>0</v>
      </c>
      <c r="O1192" s="152">
        <f t="shared" si="352"/>
        <v>0</v>
      </c>
      <c r="P1192" s="126">
        <f>IF(E1192="Y",0,SUMIFS('Support - Transition'!G:G,'Support - Transition'!J:J,'Step 2'!D1192,'Support - Transition'!E:E,"2009 SCHOOL ALLOCATION FACTOR"))</f>
        <v>0</v>
      </c>
      <c r="Q1192" s="126">
        <f>IF(E1192="Y",VLOOKUP(D1192,'Support - Unit Adjustments'!F:G,2,FALSE),0)</f>
        <v>0</v>
      </c>
      <c r="R1192" s="155">
        <f t="shared" si="364"/>
        <v>0</v>
      </c>
      <c r="S1192" s="47">
        <f t="shared" si="363"/>
        <v>0</v>
      </c>
      <c r="T1192" s="151">
        <f t="shared" si="348"/>
        <v>15419</v>
      </c>
      <c r="U1192" s="151">
        <f t="shared" si="349"/>
        <v>0</v>
      </c>
      <c r="V1192" s="139">
        <f t="shared" si="350"/>
        <v>0</v>
      </c>
      <c r="W1192" s="152">
        <f t="shared" si="353"/>
        <v>15419</v>
      </c>
      <c r="X1192" s="127" t="str">
        <f t="shared" si="351"/>
        <v/>
      </c>
      <c r="Y1192" s="207">
        <f t="shared" si="354"/>
        <v>15419</v>
      </c>
      <c r="Z1192" s="139">
        <f t="shared" si="355"/>
        <v>15419</v>
      </c>
      <c r="AA1192" s="139">
        <f t="shared" si="356"/>
        <v>0</v>
      </c>
      <c r="AC1192" s="47">
        <f t="shared" si="357"/>
        <v>7710</v>
      </c>
      <c r="AD1192" s="47">
        <f t="shared" si="358"/>
        <v>7710</v>
      </c>
      <c r="AE1192" s="47">
        <f t="shared" si="359"/>
        <v>0</v>
      </c>
      <c r="AG1192" s="47">
        <f t="shared" si="360"/>
        <v>7709</v>
      </c>
      <c r="AH1192" s="47">
        <f t="shared" si="361"/>
        <v>7709</v>
      </c>
      <c r="AI1192" s="208">
        <f t="shared" si="362"/>
        <v>0</v>
      </c>
    </row>
    <row r="1193" spans="1:35">
      <c r="A1193" t="s">
        <v>2125</v>
      </c>
      <c r="B1193" t="s">
        <v>3170</v>
      </c>
      <c r="C1193" t="s">
        <v>2656</v>
      </c>
      <c r="D1193" t="s">
        <v>4554</v>
      </c>
      <c r="F1193" t="s">
        <v>920</v>
      </c>
      <c r="G1193" s="126">
        <f>SUMIFS('Support - Transition'!F:F,'Support - Transition'!B:B,'Step 2'!A1193,'Support - Transition'!C:C,'Step 2'!B1193,'Support - Transition'!D:D,'Step 2'!C1193,'Support - Transition'!E:E,"CIVIL")</f>
        <v>0</v>
      </c>
      <c r="H1193" s="126">
        <f>SUMIFS('Support - Transition'!F:F,'Support - Transition'!B:B,'Step 2'!A1193,'Support - Transition'!C:C,'Step 2'!B1193,'Support - Transition'!D:D,'Step 2'!C1193,'Support - Transition'!E:E,"FIRE")</f>
        <v>0</v>
      </c>
      <c r="I1193" s="126">
        <f>IF(B1193="0",SUMIFS('Support - Transition'!F:F,'Support - Transition'!J:J,'Step 2'!D1193,'Support - Transition'!E:E,"STATE UNIT"),SUMIFS('Support - Transition'!F:F,'Support - Transition'!J:J,'Step 2'!D1193))</f>
        <v>3.8649999999999999E-3</v>
      </c>
      <c r="J1193" s="126">
        <f>SUMIFS('Support - Unit Adjustments'!E:E,'Support - Unit Adjustments'!F:F,'Step 2'!D1193)</f>
        <v>0</v>
      </c>
      <c r="K1193" s="126">
        <f t="shared" si="346"/>
        <v>3.8649999999999999E-3</v>
      </c>
      <c r="L1193" s="174">
        <f>VLOOKUP(A1193,'Step 1'!$A:$E,4,FALSE)</f>
        <v>596008</v>
      </c>
      <c r="M1193" s="47">
        <f t="shared" si="347"/>
        <v>2304</v>
      </c>
      <c r="N1193" s="177">
        <f>SUMIFS('Support - Transition'!G:G,'Support - Transition'!J:J,'Step 2'!D1193,'Support - Transition'!E:E,"2009 WELFARE ALLOCATION FACTOR")</f>
        <v>0</v>
      </c>
      <c r="O1193" s="152">
        <f t="shared" si="352"/>
        <v>0</v>
      </c>
      <c r="P1193" s="126">
        <f>IF(E1193="Y",0,SUMIFS('Support - Transition'!G:G,'Support - Transition'!J:J,'Step 2'!D1193,'Support - Transition'!E:E,"2009 SCHOOL ALLOCATION FACTOR"))</f>
        <v>0</v>
      </c>
      <c r="Q1193" s="126">
        <f>IF(E1193="Y",VLOOKUP(D1193,'Support - Unit Adjustments'!F:G,2,FALSE),0)</f>
        <v>0</v>
      </c>
      <c r="R1193" s="155">
        <f t="shared" si="364"/>
        <v>0</v>
      </c>
      <c r="S1193" s="47">
        <f t="shared" si="363"/>
        <v>0</v>
      </c>
      <c r="T1193" s="151">
        <f t="shared" si="348"/>
        <v>2304</v>
      </c>
      <c r="U1193" s="151">
        <f t="shared" si="349"/>
        <v>0</v>
      </c>
      <c r="V1193" s="139">
        <f t="shared" si="350"/>
        <v>0</v>
      </c>
      <c r="W1193" s="152">
        <f t="shared" si="353"/>
        <v>2304</v>
      </c>
      <c r="X1193" s="127" t="str">
        <f t="shared" si="351"/>
        <v/>
      </c>
      <c r="Y1193" s="207">
        <f t="shared" si="354"/>
        <v>2304</v>
      </c>
      <c r="Z1193" s="139">
        <f t="shared" si="355"/>
        <v>2304</v>
      </c>
      <c r="AA1193" s="139">
        <f t="shared" si="356"/>
        <v>0</v>
      </c>
      <c r="AC1193" s="47">
        <f t="shared" si="357"/>
        <v>1152</v>
      </c>
      <c r="AD1193" s="47">
        <f t="shared" si="358"/>
        <v>1152</v>
      </c>
      <c r="AE1193" s="47">
        <f t="shared" si="359"/>
        <v>0</v>
      </c>
      <c r="AG1193" s="47">
        <f t="shared" si="360"/>
        <v>1152</v>
      </c>
      <c r="AH1193" s="47">
        <f t="shared" si="361"/>
        <v>1152</v>
      </c>
      <c r="AI1193" s="208">
        <f t="shared" si="362"/>
        <v>0</v>
      </c>
    </row>
    <row r="1194" spans="1:35">
      <c r="A1194" t="s">
        <v>2125</v>
      </c>
      <c r="B1194" t="s">
        <v>3170</v>
      </c>
      <c r="C1194" t="s">
        <v>4555</v>
      </c>
      <c r="D1194" t="s">
        <v>4556</v>
      </c>
      <c r="F1194" t="s">
        <v>914</v>
      </c>
      <c r="G1194" s="126">
        <f>SUMIFS('Support - Transition'!F:F,'Support - Transition'!B:B,'Step 2'!A1194,'Support - Transition'!C:C,'Step 2'!B1194,'Support - Transition'!D:D,'Step 2'!C1194,'Support - Transition'!E:E,"CIVIL")</f>
        <v>0</v>
      </c>
      <c r="H1194" s="126">
        <f>SUMIFS('Support - Transition'!F:F,'Support - Transition'!B:B,'Step 2'!A1194,'Support - Transition'!C:C,'Step 2'!B1194,'Support - Transition'!D:D,'Step 2'!C1194,'Support - Transition'!E:E,"FIRE")</f>
        <v>0</v>
      </c>
      <c r="I1194" s="126">
        <f>IF(B1194="0",SUMIFS('Support - Transition'!F:F,'Support - Transition'!J:J,'Step 2'!D1194,'Support - Transition'!E:E,"STATE UNIT"),SUMIFS('Support - Transition'!F:F,'Support - Transition'!J:J,'Step 2'!D1194))</f>
        <v>1.243E-3</v>
      </c>
      <c r="J1194" s="126">
        <f>SUMIFS('Support - Unit Adjustments'!E:E,'Support - Unit Adjustments'!F:F,'Step 2'!D1194)</f>
        <v>0</v>
      </c>
      <c r="K1194" s="126">
        <f t="shared" si="346"/>
        <v>1.243E-3</v>
      </c>
      <c r="L1194" s="174">
        <f>VLOOKUP(A1194,'Step 1'!$A:$E,4,FALSE)</f>
        <v>596008</v>
      </c>
      <c r="M1194" s="47">
        <f t="shared" si="347"/>
        <v>741</v>
      </c>
      <c r="N1194" s="177">
        <f>SUMIFS('Support - Transition'!G:G,'Support - Transition'!J:J,'Step 2'!D1194,'Support - Transition'!E:E,"2009 WELFARE ALLOCATION FACTOR")</f>
        <v>0</v>
      </c>
      <c r="O1194" s="152">
        <f t="shared" si="352"/>
        <v>0</v>
      </c>
      <c r="P1194" s="126">
        <f>IF(E1194="Y",0,SUMIFS('Support - Transition'!G:G,'Support - Transition'!J:J,'Step 2'!D1194,'Support - Transition'!E:E,"2009 SCHOOL ALLOCATION FACTOR"))</f>
        <v>0</v>
      </c>
      <c r="Q1194" s="126">
        <f>IF(E1194="Y",VLOOKUP(D1194,'Support - Unit Adjustments'!F:G,2,FALSE),0)</f>
        <v>0</v>
      </c>
      <c r="R1194" s="155">
        <f t="shared" si="364"/>
        <v>0</v>
      </c>
      <c r="S1194" s="47">
        <f t="shared" si="363"/>
        <v>0</v>
      </c>
      <c r="T1194" s="151">
        <f t="shared" si="348"/>
        <v>741</v>
      </c>
      <c r="U1194" s="151">
        <f t="shared" si="349"/>
        <v>0</v>
      </c>
      <c r="V1194" s="139">
        <f t="shared" si="350"/>
        <v>0</v>
      </c>
      <c r="W1194" s="152">
        <f t="shared" si="353"/>
        <v>741</v>
      </c>
      <c r="X1194" s="127" t="str">
        <f t="shared" si="351"/>
        <v/>
      </c>
      <c r="Y1194" s="207">
        <f t="shared" si="354"/>
        <v>741</v>
      </c>
      <c r="Z1194" s="139">
        <f t="shared" si="355"/>
        <v>741</v>
      </c>
      <c r="AA1194" s="139">
        <f t="shared" si="356"/>
        <v>0</v>
      </c>
      <c r="AC1194" s="47">
        <f t="shared" si="357"/>
        <v>371</v>
      </c>
      <c r="AD1194" s="47">
        <f t="shared" si="358"/>
        <v>371</v>
      </c>
      <c r="AE1194" s="47">
        <f t="shared" si="359"/>
        <v>0</v>
      </c>
      <c r="AG1194" s="47">
        <f t="shared" si="360"/>
        <v>370</v>
      </c>
      <c r="AH1194" s="47">
        <f t="shared" si="361"/>
        <v>370</v>
      </c>
      <c r="AI1194" s="208">
        <f t="shared" si="362"/>
        <v>0</v>
      </c>
    </row>
    <row r="1195" spans="1:35">
      <c r="A1195" t="s">
        <v>2125</v>
      </c>
      <c r="B1195" t="s">
        <v>3170</v>
      </c>
      <c r="C1195" t="s">
        <v>4557</v>
      </c>
      <c r="D1195" t="s">
        <v>4558</v>
      </c>
      <c r="F1195" t="s">
        <v>919</v>
      </c>
      <c r="G1195" s="126">
        <f>SUMIFS('Support - Transition'!F:F,'Support - Transition'!B:B,'Step 2'!A1195,'Support - Transition'!C:C,'Step 2'!B1195,'Support - Transition'!D:D,'Step 2'!C1195,'Support - Transition'!E:E,"CIVIL")</f>
        <v>0</v>
      </c>
      <c r="H1195" s="126">
        <f>SUMIFS('Support - Transition'!F:F,'Support - Transition'!B:B,'Step 2'!A1195,'Support - Transition'!C:C,'Step 2'!B1195,'Support - Transition'!D:D,'Step 2'!C1195,'Support - Transition'!E:E,"FIRE")</f>
        <v>0</v>
      </c>
      <c r="I1195" s="126">
        <f>IF(B1195="0",SUMIFS('Support - Transition'!F:F,'Support - Transition'!J:J,'Step 2'!D1195,'Support - Transition'!E:E,"STATE UNIT"),SUMIFS('Support - Transition'!F:F,'Support - Transition'!J:J,'Step 2'!D1195))</f>
        <v>4.1399999999999998E-4</v>
      </c>
      <c r="J1195" s="126">
        <f>SUMIFS('Support - Unit Adjustments'!E:E,'Support - Unit Adjustments'!F:F,'Step 2'!D1195)</f>
        <v>0</v>
      </c>
      <c r="K1195" s="126">
        <f t="shared" si="346"/>
        <v>4.1399999999999998E-4</v>
      </c>
      <c r="L1195" s="174">
        <f>VLOOKUP(A1195,'Step 1'!$A:$E,4,FALSE)</f>
        <v>596008</v>
      </c>
      <c r="M1195" s="47">
        <f t="shared" si="347"/>
        <v>247</v>
      </c>
      <c r="N1195" s="177">
        <f>SUMIFS('Support - Transition'!G:G,'Support - Transition'!J:J,'Step 2'!D1195,'Support - Transition'!E:E,"2009 WELFARE ALLOCATION FACTOR")</f>
        <v>0</v>
      </c>
      <c r="O1195" s="152">
        <f t="shared" si="352"/>
        <v>0</v>
      </c>
      <c r="P1195" s="126">
        <f>IF(E1195="Y",0,SUMIFS('Support - Transition'!G:G,'Support - Transition'!J:J,'Step 2'!D1195,'Support - Transition'!E:E,"2009 SCHOOL ALLOCATION FACTOR"))</f>
        <v>0</v>
      </c>
      <c r="Q1195" s="126">
        <f>IF(E1195="Y",VLOOKUP(D1195,'Support - Unit Adjustments'!F:G,2,FALSE),0)</f>
        <v>0</v>
      </c>
      <c r="R1195" s="155">
        <f t="shared" si="364"/>
        <v>0</v>
      </c>
      <c r="S1195" s="47">
        <f t="shared" si="363"/>
        <v>0</v>
      </c>
      <c r="T1195" s="151">
        <f t="shared" si="348"/>
        <v>247</v>
      </c>
      <c r="U1195" s="151">
        <f t="shared" si="349"/>
        <v>0</v>
      </c>
      <c r="V1195" s="139">
        <f t="shared" si="350"/>
        <v>0</v>
      </c>
      <c r="W1195" s="152">
        <f t="shared" si="353"/>
        <v>247</v>
      </c>
      <c r="X1195" s="127" t="str">
        <f t="shared" si="351"/>
        <v/>
      </c>
      <c r="Y1195" s="207">
        <f t="shared" si="354"/>
        <v>247</v>
      </c>
      <c r="Z1195" s="139">
        <f t="shared" si="355"/>
        <v>247</v>
      </c>
      <c r="AA1195" s="139">
        <f t="shared" si="356"/>
        <v>0</v>
      </c>
      <c r="AC1195" s="47">
        <f t="shared" si="357"/>
        <v>124</v>
      </c>
      <c r="AD1195" s="47">
        <f t="shared" si="358"/>
        <v>124</v>
      </c>
      <c r="AE1195" s="47">
        <f t="shared" si="359"/>
        <v>0</v>
      </c>
      <c r="AG1195" s="47">
        <f t="shared" si="360"/>
        <v>123</v>
      </c>
      <c r="AH1195" s="47">
        <f t="shared" si="361"/>
        <v>123</v>
      </c>
      <c r="AI1195" s="208">
        <f t="shared" si="362"/>
        <v>0</v>
      </c>
    </row>
    <row r="1196" spans="1:35">
      <c r="A1196" t="s">
        <v>2125</v>
      </c>
      <c r="B1196" t="s">
        <v>3170</v>
      </c>
      <c r="C1196" t="s">
        <v>4559</v>
      </c>
      <c r="D1196" t="s">
        <v>4560</v>
      </c>
      <c r="F1196" t="s">
        <v>918</v>
      </c>
      <c r="G1196" s="126">
        <f>SUMIFS('Support - Transition'!F:F,'Support - Transition'!B:B,'Step 2'!A1196,'Support - Transition'!C:C,'Step 2'!B1196,'Support - Transition'!D:D,'Step 2'!C1196,'Support - Transition'!E:E,"CIVIL")</f>
        <v>0</v>
      </c>
      <c r="H1196" s="126">
        <f>SUMIFS('Support - Transition'!F:F,'Support - Transition'!B:B,'Step 2'!A1196,'Support - Transition'!C:C,'Step 2'!B1196,'Support - Transition'!D:D,'Step 2'!C1196,'Support - Transition'!E:E,"FIRE")</f>
        <v>0</v>
      </c>
      <c r="I1196" s="126">
        <f>IF(B1196="0",SUMIFS('Support - Transition'!F:F,'Support - Transition'!J:J,'Step 2'!D1196,'Support - Transition'!E:E,"STATE UNIT"),SUMIFS('Support - Transition'!F:F,'Support - Transition'!J:J,'Step 2'!D1196))</f>
        <v>9.4499999999999998E-4</v>
      </c>
      <c r="J1196" s="126">
        <f>SUMIFS('Support - Unit Adjustments'!E:E,'Support - Unit Adjustments'!F:F,'Step 2'!D1196)</f>
        <v>0</v>
      </c>
      <c r="K1196" s="126">
        <f t="shared" si="346"/>
        <v>9.4499999999999998E-4</v>
      </c>
      <c r="L1196" s="174">
        <f>VLOOKUP(A1196,'Step 1'!$A:$E,4,FALSE)</f>
        <v>596008</v>
      </c>
      <c r="M1196" s="47">
        <f t="shared" si="347"/>
        <v>563</v>
      </c>
      <c r="N1196" s="177">
        <f>SUMIFS('Support - Transition'!G:G,'Support - Transition'!J:J,'Step 2'!D1196,'Support - Transition'!E:E,"2009 WELFARE ALLOCATION FACTOR")</f>
        <v>0</v>
      </c>
      <c r="O1196" s="152">
        <f t="shared" si="352"/>
        <v>0</v>
      </c>
      <c r="P1196" s="126">
        <f>IF(E1196="Y",0,SUMIFS('Support - Transition'!G:G,'Support - Transition'!J:J,'Step 2'!D1196,'Support - Transition'!E:E,"2009 SCHOOL ALLOCATION FACTOR"))</f>
        <v>0</v>
      </c>
      <c r="Q1196" s="126">
        <f>IF(E1196="Y",VLOOKUP(D1196,'Support - Unit Adjustments'!F:G,2,FALSE),0)</f>
        <v>0</v>
      </c>
      <c r="R1196" s="155">
        <f t="shared" si="364"/>
        <v>0</v>
      </c>
      <c r="S1196" s="47">
        <f t="shared" si="363"/>
        <v>0</v>
      </c>
      <c r="T1196" s="151">
        <f t="shared" si="348"/>
        <v>563</v>
      </c>
      <c r="U1196" s="151">
        <f t="shared" si="349"/>
        <v>0</v>
      </c>
      <c r="V1196" s="139">
        <f t="shared" si="350"/>
        <v>0</v>
      </c>
      <c r="W1196" s="152">
        <f t="shared" si="353"/>
        <v>563</v>
      </c>
      <c r="X1196" s="127" t="str">
        <f t="shared" si="351"/>
        <v/>
      </c>
      <c r="Y1196" s="207">
        <f t="shared" si="354"/>
        <v>563</v>
      </c>
      <c r="Z1196" s="139">
        <f t="shared" si="355"/>
        <v>563</v>
      </c>
      <c r="AA1196" s="139">
        <f t="shared" si="356"/>
        <v>0</v>
      </c>
      <c r="AC1196" s="47">
        <f t="shared" si="357"/>
        <v>282</v>
      </c>
      <c r="AD1196" s="47">
        <f t="shared" si="358"/>
        <v>282</v>
      </c>
      <c r="AE1196" s="47">
        <f t="shared" si="359"/>
        <v>0</v>
      </c>
      <c r="AG1196" s="47">
        <f t="shared" si="360"/>
        <v>281</v>
      </c>
      <c r="AH1196" s="47">
        <f t="shared" si="361"/>
        <v>281</v>
      </c>
      <c r="AI1196" s="208">
        <f t="shared" si="362"/>
        <v>0</v>
      </c>
    </row>
    <row r="1197" spans="1:35">
      <c r="A1197" t="s">
        <v>2125</v>
      </c>
      <c r="B1197" t="s">
        <v>3170</v>
      </c>
      <c r="C1197" t="s">
        <v>4561</v>
      </c>
      <c r="D1197" t="s">
        <v>4562</v>
      </c>
      <c r="F1197" t="s">
        <v>915</v>
      </c>
      <c r="G1197" s="126">
        <f>SUMIFS('Support - Transition'!F:F,'Support - Transition'!B:B,'Step 2'!A1197,'Support - Transition'!C:C,'Step 2'!B1197,'Support - Transition'!D:D,'Step 2'!C1197,'Support - Transition'!E:E,"CIVIL")</f>
        <v>0</v>
      </c>
      <c r="H1197" s="126">
        <f>SUMIFS('Support - Transition'!F:F,'Support - Transition'!B:B,'Step 2'!A1197,'Support - Transition'!C:C,'Step 2'!B1197,'Support - Transition'!D:D,'Step 2'!C1197,'Support - Transition'!E:E,"FIRE")</f>
        <v>0</v>
      </c>
      <c r="I1197" s="126">
        <f>IF(B1197="0",SUMIFS('Support - Transition'!F:F,'Support - Transition'!J:J,'Step 2'!D1197,'Support - Transition'!E:E,"STATE UNIT"),SUMIFS('Support - Transition'!F:F,'Support - Transition'!J:J,'Step 2'!D1197))</f>
        <v>6.7349999999999997E-3</v>
      </c>
      <c r="J1197" s="126">
        <f>SUMIFS('Support - Unit Adjustments'!E:E,'Support - Unit Adjustments'!F:F,'Step 2'!D1197)</f>
        <v>0</v>
      </c>
      <c r="K1197" s="126">
        <f t="shared" si="346"/>
        <v>6.7349999999999997E-3</v>
      </c>
      <c r="L1197" s="174">
        <f>VLOOKUP(A1197,'Step 1'!$A:$E,4,FALSE)</f>
        <v>596008</v>
      </c>
      <c r="M1197" s="47">
        <f t="shared" si="347"/>
        <v>4014</v>
      </c>
      <c r="N1197" s="177">
        <f>SUMIFS('Support - Transition'!G:G,'Support - Transition'!J:J,'Step 2'!D1197,'Support - Transition'!E:E,"2009 WELFARE ALLOCATION FACTOR")</f>
        <v>0</v>
      </c>
      <c r="O1197" s="152">
        <f t="shared" si="352"/>
        <v>0</v>
      </c>
      <c r="P1197" s="126">
        <f>IF(E1197="Y",0,SUMIFS('Support - Transition'!G:G,'Support - Transition'!J:J,'Step 2'!D1197,'Support - Transition'!E:E,"2009 SCHOOL ALLOCATION FACTOR"))</f>
        <v>0</v>
      </c>
      <c r="Q1197" s="126">
        <f>IF(E1197="Y",VLOOKUP(D1197,'Support - Unit Adjustments'!F:G,2,FALSE),0)</f>
        <v>0</v>
      </c>
      <c r="R1197" s="155">
        <f t="shared" si="364"/>
        <v>0</v>
      </c>
      <c r="S1197" s="47">
        <f t="shared" si="363"/>
        <v>0</v>
      </c>
      <c r="T1197" s="151">
        <f t="shared" si="348"/>
        <v>4014</v>
      </c>
      <c r="U1197" s="151">
        <f t="shared" si="349"/>
        <v>0</v>
      </c>
      <c r="V1197" s="139">
        <f t="shared" si="350"/>
        <v>0</v>
      </c>
      <c r="W1197" s="152">
        <f t="shared" si="353"/>
        <v>4014</v>
      </c>
      <c r="X1197" s="127" t="str">
        <f t="shared" si="351"/>
        <v/>
      </c>
      <c r="Y1197" s="207">
        <f t="shared" si="354"/>
        <v>4014</v>
      </c>
      <c r="Z1197" s="139">
        <f t="shared" si="355"/>
        <v>4014</v>
      </c>
      <c r="AA1197" s="139">
        <f t="shared" si="356"/>
        <v>0</v>
      </c>
      <c r="AC1197" s="47">
        <f t="shared" si="357"/>
        <v>2007</v>
      </c>
      <c r="AD1197" s="47">
        <f t="shared" si="358"/>
        <v>2007</v>
      </c>
      <c r="AE1197" s="47">
        <f t="shared" si="359"/>
        <v>0</v>
      </c>
      <c r="AG1197" s="47">
        <f t="shared" si="360"/>
        <v>2007</v>
      </c>
      <c r="AH1197" s="47">
        <f t="shared" si="361"/>
        <v>2007</v>
      </c>
      <c r="AI1197" s="208">
        <f t="shared" si="362"/>
        <v>0</v>
      </c>
    </row>
    <row r="1198" spans="1:35">
      <c r="A1198" t="s">
        <v>2125</v>
      </c>
      <c r="B1198" t="s">
        <v>3170</v>
      </c>
      <c r="C1198" t="s">
        <v>2402</v>
      </c>
      <c r="D1198" t="s">
        <v>4563</v>
      </c>
      <c r="F1198" t="s">
        <v>916</v>
      </c>
      <c r="G1198" s="126">
        <f>SUMIFS('Support - Transition'!F:F,'Support - Transition'!B:B,'Step 2'!A1198,'Support - Transition'!C:C,'Step 2'!B1198,'Support - Transition'!D:D,'Step 2'!C1198,'Support - Transition'!E:E,"CIVIL")</f>
        <v>0</v>
      </c>
      <c r="H1198" s="126">
        <f>SUMIFS('Support - Transition'!F:F,'Support - Transition'!B:B,'Step 2'!A1198,'Support - Transition'!C:C,'Step 2'!B1198,'Support - Transition'!D:D,'Step 2'!C1198,'Support - Transition'!E:E,"FIRE")</f>
        <v>0</v>
      </c>
      <c r="I1198" s="126">
        <f>IF(B1198="0",SUMIFS('Support - Transition'!F:F,'Support - Transition'!J:J,'Step 2'!D1198,'Support - Transition'!E:E,"STATE UNIT"),SUMIFS('Support - Transition'!F:F,'Support - Transition'!J:J,'Step 2'!D1198))</f>
        <v>1.041E-3</v>
      </c>
      <c r="J1198" s="126">
        <f>SUMIFS('Support - Unit Adjustments'!E:E,'Support - Unit Adjustments'!F:F,'Step 2'!D1198)</f>
        <v>0</v>
      </c>
      <c r="K1198" s="126">
        <f t="shared" si="346"/>
        <v>1.041E-3</v>
      </c>
      <c r="L1198" s="174">
        <f>VLOOKUP(A1198,'Step 1'!$A:$E,4,FALSE)</f>
        <v>596008</v>
      </c>
      <c r="M1198" s="47">
        <f t="shared" si="347"/>
        <v>620</v>
      </c>
      <c r="N1198" s="177">
        <f>SUMIFS('Support - Transition'!G:G,'Support - Transition'!J:J,'Step 2'!D1198,'Support - Transition'!E:E,"2009 WELFARE ALLOCATION FACTOR")</f>
        <v>0</v>
      </c>
      <c r="O1198" s="152">
        <f t="shared" si="352"/>
        <v>0</v>
      </c>
      <c r="P1198" s="126">
        <f>IF(E1198="Y",0,SUMIFS('Support - Transition'!G:G,'Support - Transition'!J:J,'Step 2'!D1198,'Support - Transition'!E:E,"2009 SCHOOL ALLOCATION FACTOR"))</f>
        <v>0</v>
      </c>
      <c r="Q1198" s="126">
        <f>IF(E1198="Y",VLOOKUP(D1198,'Support - Unit Adjustments'!F:G,2,FALSE),0)</f>
        <v>0</v>
      </c>
      <c r="R1198" s="155">
        <f t="shared" si="364"/>
        <v>0</v>
      </c>
      <c r="S1198" s="47">
        <f t="shared" si="363"/>
        <v>0</v>
      </c>
      <c r="T1198" s="151">
        <f t="shared" si="348"/>
        <v>620</v>
      </c>
      <c r="U1198" s="151">
        <f t="shared" si="349"/>
        <v>0</v>
      </c>
      <c r="V1198" s="139">
        <f t="shared" si="350"/>
        <v>0</v>
      </c>
      <c r="W1198" s="152">
        <f t="shared" si="353"/>
        <v>620</v>
      </c>
      <c r="X1198" s="127" t="str">
        <f t="shared" si="351"/>
        <v/>
      </c>
      <c r="Y1198" s="207">
        <f t="shared" si="354"/>
        <v>620</v>
      </c>
      <c r="Z1198" s="139">
        <f t="shared" si="355"/>
        <v>620</v>
      </c>
      <c r="AA1198" s="139">
        <f t="shared" si="356"/>
        <v>0</v>
      </c>
      <c r="AC1198" s="47">
        <f t="shared" si="357"/>
        <v>310</v>
      </c>
      <c r="AD1198" s="47">
        <f t="shared" si="358"/>
        <v>310</v>
      </c>
      <c r="AE1198" s="47">
        <f t="shared" si="359"/>
        <v>0</v>
      </c>
      <c r="AG1198" s="47">
        <f t="shared" si="360"/>
        <v>310</v>
      </c>
      <c r="AH1198" s="47">
        <f t="shared" si="361"/>
        <v>310</v>
      </c>
      <c r="AI1198" s="208">
        <f t="shared" si="362"/>
        <v>0</v>
      </c>
    </row>
    <row r="1199" spans="1:35">
      <c r="A1199" t="s">
        <v>2125</v>
      </c>
      <c r="B1199" t="s">
        <v>3170</v>
      </c>
      <c r="C1199" t="s">
        <v>4564</v>
      </c>
      <c r="D1199" t="s">
        <v>4565</v>
      </c>
      <c r="F1199" t="s">
        <v>917</v>
      </c>
      <c r="G1199" s="126">
        <f>SUMIFS('Support - Transition'!F:F,'Support - Transition'!B:B,'Step 2'!A1199,'Support - Transition'!C:C,'Step 2'!B1199,'Support - Transition'!D:D,'Step 2'!C1199,'Support - Transition'!E:E,"CIVIL")</f>
        <v>0</v>
      </c>
      <c r="H1199" s="126">
        <f>SUMIFS('Support - Transition'!F:F,'Support - Transition'!B:B,'Step 2'!A1199,'Support - Transition'!C:C,'Step 2'!B1199,'Support - Transition'!D:D,'Step 2'!C1199,'Support - Transition'!E:E,"FIRE")</f>
        <v>0</v>
      </c>
      <c r="I1199" s="126">
        <f>IF(B1199="0",SUMIFS('Support - Transition'!F:F,'Support - Transition'!J:J,'Step 2'!D1199,'Support - Transition'!E:E,"STATE UNIT"),SUMIFS('Support - Transition'!F:F,'Support - Transition'!J:J,'Step 2'!D1199))</f>
        <v>1.6789999999999999E-3</v>
      </c>
      <c r="J1199" s="126">
        <f>SUMIFS('Support - Unit Adjustments'!E:E,'Support - Unit Adjustments'!F:F,'Step 2'!D1199)</f>
        <v>0</v>
      </c>
      <c r="K1199" s="126">
        <f t="shared" si="346"/>
        <v>1.6789999999999999E-3</v>
      </c>
      <c r="L1199" s="174">
        <f>VLOOKUP(A1199,'Step 1'!$A:$E,4,FALSE)</f>
        <v>596008</v>
      </c>
      <c r="M1199" s="47">
        <f t="shared" si="347"/>
        <v>1001</v>
      </c>
      <c r="N1199" s="177">
        <f>SUMIFS('Support - Transition'!G:G,'Support - Transition'!J:J,'Step 2'!D1199,'Support - Transition'!E:E,"2009 WELFARE ALLOCATION FACTOR")</f>
        <v>0</v>
      </c>
      <c r="O1199" s="152">
        <f t="shared" si="352"/>
        <v>0</v>
      </c>
      <c r="P1199" s="126">
        <f>IF(E1199="Y",0,SUMIFS('Support - Transition'!G:G,'Support - Transition'!J:J,'Step 2'!D1199,'Support - Transition'!E:E,"2009 SCHOOL ALLOCATION FACTOR"))</f>
        <v>0</v>
      </c>
      <c r="Q1199" s="126">
        <f>IF(E1199="Y",VLOOKUP(D1199,'Support - Unit Adjustments'!F:G,2,FALSE),0)</f>
        <v>0</v>
      </c>
      <c r="R1199" s="155">
        <f t="shared" si="364"/>
        <v>0</v>
      </c>
      <c r="S1199" s="47">
        <f t="shared" si="363"/>
        <v>0</v>
      </c>
      <c r="T1199" s="151">
        <f t="shared" si="348"/>
        <v>1001</v>
      </c>
      <c r="U1199" s="151">
        <f t="shared" si="349"/>
        <v>0</v>
      </c>
      <c r="V1199" s="139">
        <f t="shared" si="350"/>
        <v>0</v>
      </c>
      <c r="W1199" s="152">
        <f t="shared" si="353"/>
        <v>1001</v>
      </c>
      <c r="X1199" s="127" t="str">
        <f t="shared" si="351"/>
        <v/>
      </c>
      <c r="Y1199" s="207">
        <f t="shared" si="354"/>
        <v>1001</v>
      </c>
      <c r="Z1199" s="139">
        <f t="shared" si="355"/>
        <v>1001</v>
      </c>
      <c r="AA1199" s="139">
        <f t="shared" si="356"/>
        <v>0</v>
      </c>
      <c r="AC1199" s="47">
        <f t="shared" si="357"/>
        <v>501</v>
      </c>
      <c r="AD1199" s="47">
        <f t="shared" si="358"/>
        <v>501</v>
      </c>
      <c r="AE1199" s="47">
        <f t="shared" si="359"/>
        <v>0</v>
      </c>
      <c r="AG1199" s="47">
        <f t="shared" si="360"/>
        <v>500</v>
      </c>
      <c r="AH1199" s="47">
        <f t="shared" si="361"/>
        <v>500</v>
      </c>
      <c r="AI1199" s="208">
        <f t="shared" si="362"/>
        <v>0</v>
      </c>
    </row>
    <row r="1200" spans="1:35">
      <c r="A1200" t="s">
        <v>2125</v>
      </c>
      <c r="B1200" t="s">
        <v>3286</v>
      </c>
      <c r="C1200" t="s">
        <v>2199</v>
      </c>
      <c r="D1200" t="s">
        <v>4566</v>
      </c>
      <c r="F1200" t="s">
        <v>4567</v>
      </c>
      <c r="G1200" s="126">
        <f>SUMIFS('Support - Transition'!F:F,'Support - Transition'!B:B,'Step 2'!A1200,'Support - Transition'!C:C,'Step 2'!B1200,'Support - Transition'!D:D,'Step 2'!C1200,'Support - Transition'!E:E,"CIVIL")</f>
        <v>0</v>
      </c>
      <c r="H1200" s="126">
        <f>SUMIFS('Support - Transition'!F:F,'Support - Transition'!B:B,'Step 2'!A1200,'Support - Transition'!C:C,'Step 2'!B1200,'Support - Transition'!D:D,'Step 2'!C1200,'Support - Transition'!E:E,"FIRE")</f>
        <v>0</v>
      </c>
      <c r="I1200" s="126">
        <f>IF(B1200="0",SUMIFS('Support - Transition'!F:F,'Support - Transition'!J:J,'Step 2'!D1200,'Support - Transition'!E:E,"STATE UNIT"),SUMIFS('Support - Transition'!F:F,'Support - Transition'!J:J,'Step 2'!D1200))</f>
        <v>0</v>
      </c>
      <c r="J1200" s="126">
        <f>SUMIFS('Support - Unit Adjustments'!E:E,'Support - Unit Adjustments'!F:F,'Step 2'!D1200)</f>
        <v>0</v>
      </c>
      <c r="K1200" s="126">
        <f t="shared" si="346"/>
        <v>0</v>
      </c>
      <c r="L1200" s="174">
        <f>VLOOKUP(A1200,'Step 1'!$A:$E,4,FALSE)</f>
        <v>596008</v>
      </c>
      <c r="M1200" s="47">
        <f t="shared" si="347"/>
        <v>0</v>
      </c>
      <c r="N1200" s="177">
        <f>SUMIFS('Support - Transition'!G:G,'Support - Transition'!J:J,'Step 2'!D1200,'Support - Transition'!E:E,"2009 WELFARE ALLOCATION FACTOR")</f>
        <v>0</v>
      </c>
      <c r="O1200" s="152">
        <f t="shared" si="352"/>
        <v>0</v>
      </c>
      <c r="P1200" s="126">
        <f>IF(E1200="Y",0,SUMIFS('Support - Transition'!G:G,'Support - Transition'!J:J,'Step 2'!D1200,'Support - Transition'!E:E,"2009 SCHOOL ALLOCATION FACTOR"))</f>
        <v>0</v>
      </c>
      <c r="Q1200" s="126">
        <f>IF(E1200="Y",VLOOKUP(D1200,'Support - Unit Adjustments'!F:G,2,FALSE),0)</f>
        <v>0</v>
      </c>
      <c r="R1200" s="155">
        <f t="shared" si="364"/>
        <v>0</v>
      </c>
      <c r="S1200" s="47">
        <f t="shared" si="363"/>
        <v>0</v>
      </c>
      <c r="T1200" s="151">
        <f t="shared" si="348"/>
        <v>0</v>
      </c>
      <c r="U1200" s="151">
        <f t="shared" si="349"/>
        <v>0</v>
      </c>
      <c r="V1200" s="139">
        <f t="shared" si="350"/>
        <v>0</v>
      </c>
      <c r="W1200" s="152">
        <f t="shared" si="353"/>
        <v>0</v>
      </c>
      <c r="X1200" s="127" t="str">
        <f t="shared" si="351"/>
        <v/>
      </c>
      <c r="Y1200" s="207">
        <f t="shared" si="354"/>
        <v>0</v>
      </c>
      <c r="Z1200" s="139">
        <f t="shared" si="355"/>
        <v>0</v>
      </c>
      <c r="AA1200" s="139">
        <f t="shared" si="356"/>
        <v>0</v>
      </c>
      <c r="AC1200" s="47">
        <f t="shared" si="357"/>
        <v>0</v>
      </c>
      <c r="AD1200" s="47">
        <f t="shared" si="358"/>
        <v>0</v>
      </c>
      <c r="AE1200" s="47">
        <f t="shared" si="359"/>
        <v>0</v>
      </c>
      <c r="AG1200" s="47">
        <f t="shared" si="360"/>
        <v>0</v>
      </c>
      <c r="AH1200" s="47">
        <f t="shared" si="361"/>
        <v>0</v>
      </c>
      <c r="AI1200" s="208">
        <f t="shared" si="362"/>
        <v>0</v>
      </c>
    </row>
    <row r="1201" spans="1:35">
      <c r="A1201" t="s">
        <v>2125</v>
      </c>
      <c r="B1201" t="s">
        <v>3286</v>
      </c>
      <c r="C1201" t="s">
        <v>2522</v>
      </c>
      <c r="D1201" t="s">
        <v>4568</v>
      </c>
      <c r="F1201" t="s">
        <v>4569</v>
      </c>
      <c r="G1201" s="126">
        <f>SUMIFS('Support - Transition'!F:F,'Support - Transition'!B:B,'Step 2'!A1201,'Support - Transition'!C:C,'Step 2'!B1201,'Support - Transition'!D:D,'Step 2'!C1201,'Support - Transition'!E:E,"CIVIL")</f>
        <v>0</v>
      </c>
      <c r="H1201" s="126">
        <f>SUMIFS('Support - Transition'!F:F,'Support - Transition'!B:B,'Step 2'!A1201,'Support - Transition'!C:C,'Step 2'!B1201,'Support - Transition'!D:D,'Step 2'!C1201,'Support - Transition'!E:E,"FIRE")</f>
        <v>0</v>
      </c>
      <c r="I1201" s="126">
        <f>IF(B1201="0",SUMIFS('Support - Transition'!F:F,'Support - Transition'!J:J,'Step 2'!D1201,'Support - Transition'!E:E,"STATE UNIT"),SUMIFS('Support - Transition'!F:F,'Support - Transition'!J:J,'Step 2'!D1201))</f>
        <v>0</v>
      </c>
      <c r="J1201" s="126">
        <f>SUMIFS('Support - Unit Adjustments'!E:E,'Support - Unit Adjustments'!F:F,'Step 2'!D1201)</f>
        <v>0</v>
      </c>
      <c r="K1201" s="126">
        <f t="shared" si="346"/>
        <v>0</v>
      </c>
      <c r="L1201" s="174">
        <f>VLOOKUP(A1201,'Step 1'!$A:$E,4,FALSE)</f>
        <v>596008</v>
      </c>
      <c r="M1201" s="47">
        <f t="shared" si="347"/>
        <v>0</v>
      </c>
      <c r="N1201" s="177">
        <f>SUMIFS('Support - Transition'!G:G,'Support - Transition'!J:J,'Step 2'!D1201,'Support - Transition'!E:E,"2009 WELFARE ALLOCATION FACTOR")</f>
        <v>0</v>
      </c>
      <c r="O1201" s="152">
        <f t="shared" si="352"/>
        <v>0</v>
      </c>
      <c r="P1201" s="126">
        <f>IF(E1201="Y",0,SUMIFS('Support - Transition'!G:G,'Support - Transition'!J:J,'Step 2'!D1201,'Support - Transition'!E:E,"2009 SCHOOL ALLOCATION FACTOR"))</f>
        <v>0</v>
      </c>
      <c r="Q1201" s="126">
        <f>IF(E1201="Y",VLOOKUP(D1201,'Support - Unit Adjustments'!F:G,2,FALSE),0)</f>
        <v>0</v>
      </c>
      <c r="R1201" s="155">
        <f t="shared" si="364"/>
        <v>0</v>
      </c>
      <c r="S1201" s="47">
        <f t="shared" si="363"/>
        <v>0</v>
      </c>
      <c r="T1201" s="151">
        <f t="shared" si="348"/>
        <v>0</v>
      </c>
      <c r="U1201" s="151">
        <f t="shared" si="349"/>
        <v>0</v>
      </c>
      <c r="V1201" s="139">
        <f t="shared" si="350"/>
        <v>0</v>
      </c>
      <c r="W1201" s="152">
        <f t="shared" si="353"/>
        <v>0</v>
      </c>
      <c r="X1201" s="127" t="str">
        <f t="shared" si="351"/>
        <v/>
      </c>
      <c r="Y1201" s="207">
        <f t="shared" si="354"/>
        <v>0</v>
      </c>
      <c r="Z1201" s="139">
        <f t="shared" si="355"/>
        <v>0</v>
      </c>
      <c r="AA1201" s="139">
        <f t="shared" si="356"/>
        <v>0</v>
      </c>
      <c r="AC1201" s="47">
        <f t="shared" si="357"/>
        <v>0</v>
      </c>
      <c r="AD1201" s="47">
        <f t="shared" si="358"/>
        <v>0</v>
      </c>
      <c r="AE1201" s="47">
        <f t="shared" si="359"/>
        <v>0</v>
      </c>
      <c r="AG1201" s="47">
        <f t="shared" si="360"/>
        <v>0</v>
      </c>
      <c r="AH1201" s="47">
        <f t="shared" si="361"/>
        <v>0</v>
      </c>
      <c r="AI1201" s="208">
        <f t="shared" si="362"/>
        <v>0</v>
      </c>
    </row>
    <row r="1202" spans="1:35">
      <c r="A1202" t="s">
        <v>2125</v>
      </c>
      <c r="B1202" t="s">
        <v>3286</v>
      </c>
      <c r="C1202" t="s">
        <v>4163</v>
      </c>
      <c r="D1202" t="s">
        <v>4570</v>
      </c>
      <c r="F1202" t="s">
        <v>4571</v>
      </c>
      <c r="G1202" s="126">
        <f>SUMIFS('Support - Transition'!F:F,'Support - Transition'!B:B,'Step 2'!A1202,'Support - Transition'!C:C,'Step 2'!B1202,'Support - Transition'!D:D,'Step 2'!C1202,'Support - Transition'!E:E,"CIVIL")</f>
        <v>0</v>
      </c>
      <c r="H1202" s="126">
        <f>SUMIFS('Support - Transition'!F:F,'Support - Transition'!B:B,'Step 2'!A1202,'Support - Transition'!C:C,'Step 2'!B1202,'Support - Transition'!D:D,'Step 2'!C1202,'Support - Transition'!E:E,"FIRE")</f>
        <v>0</v>
      </c>
      <c r="I1202" s="126">
        <f>IF(B1202="0",SUMIFS('Support - Transition'!F:F,'Support - Transition'!J:J,'Step 2'!D1202,'Support - Transition'!E:E,"STATE UNIT"),SUMIFS('Support - Transition'!F:F,'Support - Transition'!J:J,'Step 2'!D1202))</f>
        <v>0</v>
      </c>
      <c r="J1202" s="126">
        <f>SUMIFS('Support - Unit Adjustments'!E:E,'Support - Unit Adjustments'!F:F,'Step 2'!D1202)</f>
        <v>0</v>
      </c>
      <c r="K1202" s="126">
        <f t="shared" si="346"/>
        <v>0</v>
      </c>
      <c r="L1202" s="174">
        <f>VLOOKUP(A1202,'Step 1'!$A:$E,4,FALSE)</f>
        <v>596008</v>
      </c>
      <c r="M1202" s="47">
        <f t="shared" si="347"/>
        <v>0</v>
      </c>
      <c r="N1202" s="177">
        <f>SUMIFS('Support - Transition'!G:G,'Support - Transition'!J:J,'Step 2'!D1202,'Support - Transition'!E:E,"2009 WELFARE ALLOCATION FACTOR")</f>
        <v>0</v>
      </c>
      <c r="O1202" s="152">
        <f t="shared" si="352"/>
        <v>0</v>
      </c>
      <c r="P1202" s="126">
        <f>IF(E1202="Y",0,SUMIFS('Support - Transition'!G:G,'Support - Transition'!J:J,'Step 2'!D1202,'Support - Transition'!E:E,"2009 SCHOOL ALLOCATION FACTOR"))</f>
        <v>0</v>
      </c>
      <c r="Q1202" s="126">
        <f>IF(E1202="Y",VLOOKUP(D1202,'Support - Unit Adjustments'!F:G,2,FALSE),0)</f>
        <v>0</v>
      </c>
      <c r="R1202" s="155">
        <f t="shared" si="364"/>
        <v>0</v>
      </c>
      <c r="S1202" s="47">
        <f t="shared" si="363"/>
        <v>0</v>
      </c>
      <c r="T1202" s="151">
        <f t="shared" si="348"/>
        <v>0</v>
      </c>
      <c r="U1202" s="151">
        <f t="shared" si="349"/>
        <v>0</v>
      </c>
      <c r="V1202" s="139">
        <f t="shared" si="350"/>
        <v>0</v>
      </c>
      <c r="W1202" s="152">
        <f t="shared" si="353"/>
        <v>0</v>
      </c>
      <c r="X1202" s="127" t="str">
        <f t="shared" si="351"/>
        <v/>
      </c>
      <c r="Y1202" s="207">
        <f t="shared" si="354"/>
        <v>0</v>
      </c>
      <c r="Z1202" s="139">
        <f t="shared" si="355"/>
        <v>0</v>
      </c>
      <c r="AA1202" s="139">
        <f t="shared" si="356"/>
        <v>0</v>
      </c>
      <c r="AC1202" s="47">
        <f t="shared" si="357"/>
        <v>0</v>
      </c>
      <c r="AD1202" s="47">
        <f t="shared" si="358"/>
        <v>0</v>
      </c>
      <c r="AE1202" s="47">
        <f t="shared" si="359"/>
        <v>0</v>
      </c>
      <c r="AG1202" s="47">
        <f t="shared" si="360"/>
        <v>0</v>
      </c>
      <c r="AH1202" s="47">
        <f t="shared" si="361"/>
        <v>0</v>
      </c>
      <c r="AI1202" s="208">
        <f t="shared" si="362"/>
        <v>0</v>
      </c>
    </row>
    <row r="1203" spans="1:35">
      <c r="A1203" t="s">
        <v>2125</v>
      </c>
      <c r="B1203" t="s">
        <v>3286</v>
      </c>
      <c r="C1203" t="s">
        <v>2215</v>
      </c>
      <c r="D1203" t="s">
        <v>4572</v>
      </c>
      <c r="F1203" t="s">
        <v>4573</v>
      </c>
      <c r="G1203" s="126">
        <f>SUMIFS('Support - Transition'!F:F,'Support - Transition'!B:B,'Step 2'!A1203,'Support - Transition'!C:C,'Step 2'!B1203,'Support - Transition'!D:D,'Step 2'!C1203,'Support - Transition'!E:E,"CIVIL")</f>
        <v>0</v>
      </c>
      <c r="H1203" s="126">
        <f>SUMIFS('Support - Transition'!F:F,'Support - Transition'!B:B,'Step 2'!A1203,'Support - Transition'!C:C,'Step 2'!B1203,'Support - Transition'!D:D,'Step 2'!C1203,'Support - Transition'!E:E,"FIRE")</f>
        <v>0</v>
      </c>
      <c r="I1203" s="126">
        <f>IF(B1203="0",SUMIFS('Support - Transition'!F:F,'Support - Transition'!J:J,'Step 2'!D1203,'Support - Transition'!E:E,"STATE UNIT"),SUMIFS('Support - Transition'!F:F,'Support - Transition'!J:J,'Step 2'!D1203))</f>
        <v>0</v>
      </c>
      <c r="J1203" s="126">
        <f>SUMIFS('Support - Unit Adjustments'!E:E,'Support - Unit Adjustments'!F:F,'Step 2'!D1203)</f>
        <v>0</v>
      </c>
      <c r="K1203" s="126">
        <f t="shared" si="346"/>
        <v>0</v>
      </c>
      <c r="L1203" s="174">
        <f>VLOOKUP(A1203,'Step 1'!$A:$E,4,FALSE)</f>
        <v>596008</v>
      </c>
      <c r="M1203" s="47">
        <f t="shared" si="347"/>
        <v>0</v>
      </c>
      <c r="N1203" s="177">
        <f>SUMIFS('Support - Transition'!G:G,'Support - Transition'!J:J,'Step 2'!D1203,'Support - Transition'!E:E,"2009 WELFARE ALLOCATION FACTOR")</f>
        <v>0</v>
      </c>
      <c r="O1203" s="152">
        <f t="shared" si="352"/>
        <v>0</v>
      </c>
      <c r="P1203" s="126">
        <f>IF(E1203="Y",0,SUMIFS('Support - Transition'!G:G,'Support - Transition'!J:J,'Step 2'!D1203,'Support - Transition'!E:E,"2009 SCHOOL ALLOCATION FACTOR"))</f>
        <v>0</v>
      </c>
      <c r="Q1203" s="126">
        <f>IF(E1203="Y",VLOOKUP(D1203,'Support - Unit Adjustments'!F:G,2,FALSE),0)</f>
        <v>0</v>
      </c>
      <c r="R1203" s="155">
        <f t="shared" si="364"/>
        <v>0</v>
      </c>
      <c r="S1203" s="47">
        <f t="shared" si="363"/>
        <v>0</v>
      </c>
      <c r="T1203" s="151">
        <f t="shared" si="348"/>
        <v>0</v>
      </c>
      <c r="U1203" s="151">
        <f t="shared" si="349"/>
        <v>0</v>
      </c>
      <c r="V1203" s="139">
        <f t="shared" si="350"/>
        <v>0</v>
      </c>
      <c r="W1203" s="152">
        <f t="shared" si="353"/>
        <v>0</v>
      </c>
      <c r="X1203" s="127" t="str">
        <f t="shared" si="351"/>
        <v/>
      </c>
      <c r="Y1203" s="207">
        <f t="shared" si="354"/>
        <v>0</v>
      </c>
      <c r="Z1203" s="139">
        <f t="shared" si="355"/>
        <v>0</v>
      </c>
      <c r="AA1203" s="139">
        <f t="shared" si="356"/>
        <v>0</v>
      </c>
      <c r="AC1203" s="47">
        <f t="shared" si="357"/>
        <v>0</v>
      </c>
      <c r="AD1203" s="47">
        <f t="shared" si="358"/>
        <v>0</v>
      </c>
      <c r="AE1203" s="47">
        <f t="shared" si="359"/>
        <v>0</v>
      </c>
      <c r="AG1203" s="47">
        <f t="shared" si="360"/>
        <v>0</v>
      </c>
      <c r="AH1203" s="47">
        <f t="shared" si="361"/>
        <v>0</v>
      </c>
      <c r="AI1203" s="208">
        <f t="shared" si="362"/>
        <v>0</v>
      </c>
    </row>
    <row r="1204" spans="1:35">
      <c r="A1204" t="s">
        <v>2126</v>
      </c>
      <c r="B1204" s="48" t="s">
        <v>6274</v>
      </c>
      <c r="C1204" t="s">
        <v>2187</v>
      </c>
      <c r="D1204" t="str">
        <f>A1204&amp;B1204&amp;C1204</f>
        <v>4200000</v>
      </c>
      <c r="F1204" t="s">
        <v>6316</v>
      </c>
      <c r="G1204" s="126">
        <f>SUMIFS('Support - Transition'!F:F,'Support - Transition'!B:B,'Step 2'!A1204,'Support - Transition'!C:C,'Step 2'!B1204,'Support - Transition'!D:D,'Step 2'!C1204,'Support - Transition'!E:E,"CIVIL")</f>
        <v>0</v>
      </c>
      <c r="H1204" s="126">
        <f>SUMIFS('Support - Transition'!F:F,'Support - Transition'!B:B,'Step 2'!A1204,'Support - Transition'!C:C,'Step 2'!B1204,'Support - Transition'!D:D,'Step 2'!C1204,'Support - Transition'!E:E,"FIRE")</f>
        <v>0</v>
      </c>
      <c r="I1204" s="126">
        <f>IF(B1204="0",SUMIFS('Support - Transition'!F:F,'Support - Transition'!J:J,'Step 2'!D1204,'Support - Transition'!E:E,"STATE UNIT"),SUMIFS('Support - Transition'!F:F,'Support - Transition'!J:J,'Step 2'!D1204))</f>
        <v>1.078E-3</v>
      </c>
      <c r="J1204" s="126">
        <f>SUMIFS('Support - Unit Adjustments'!E:E,'Support - Unit Adjustments'!F:F,'Step 2'!D1204)</f>
        <v>0</v>
      </c>
      <c r="K1204" s="126">
        <f t="shared" si="346"/>
        <v>1.078E-3</v>
      </c>
      <c r="L1204" s="174">
        <f>VLOOKUP(A1204,'Step 1'!$A:$E,4,FALSE)</f>
        <v>553551</v>
      </c>
      <c r="M1204" s="47">
        <f t="shared" si="347"/>
        <v>597</v>
      </c>
      <c r="N1204" s="177">
        <f>SUMIFS('Support - Transition'!G:G,'Support - Transition'!J:J,'Step 2'!D1204,'Support - Transition'!E:E,"2009 WELFARE ALLOCATION FACTOR")</f>
        <v>0</v>
      </c>
      <c r="O1204" s="152">
        <f t="shared" si="352"/>
        <v>0</v>
      </c>
      <c r="P1204" s="126">
        <f>IF(E1204="Y",0,SUMIFS('Support - Transition'!G:G,'Support - Transition'!J:J,'Step 2'!D1204,'Support - Transition'!E:E,"2009 SCHOOL ALLOCATION FACTOR"))</f>
        <v>0</v>
      </c>
      <c r="Q1204" s="126">
        <f>IF(E1204="Y",VLOOKUP(D1204,'Support - Unit Adjustments'!F:G,2,FALSE),0)</f>
        <v>0</v>
      </c>
      <c r="R1204" s="155">
        <f t="shared" si="364"/>
        <v>0</v>
      </c>
      <c r="S1204" s="47">
        <f t="shared" si="363"/>
        <v>0</v>
      </c>
      <c r="T1204" s="151">
        <f t="shared" si="348"/>
        <v>597</v>
      </c>
      <c r="U1204" s="151">
        <f t="shared" si="349"/>
        <v>553549</v>
      </c>
      <c r="V1204" s="139">
        <f t="shared" si="350"/>
        <v>-2</v>
      </c>
      <c r="W1204" s="152">
        <f t="shared" si="353"/>
        <v>599</v>
      </c>
      <c r="X1204" s="127">
        <f t="shared" si="351"/>
        <v>0</v>
      </c>
      <c r="Y1204" s="207">
        <f t="shared" si="354"/>
        <v>599</v>
      </c>
      <c r="Z1204" s="139">
        <f t="shared" si="355"/>
        <v>599</v>
      </c>
      <c r="AA1204" s="139">
        <f t="shared" si="356"/>
        <v>0</v>
      </c>
      <c r="AC1204" s="47">
        <f t="shared" si="357"/>
        <v>300</v>
      </c>
      <c r="AD1204" s="47">
        <f t="shared" si="358"/>
        <v>300</v>
      </c>
      <c r="AE1204" s="47">
        <f t="shared" si="359"/>
        <v>0</v>
      </c>
      <c r="AG1204" s="47">
        <f t="shared" si="360"/>
        <v>299</v>
      </c>
      <c r="AH1204" s="47">
        <f t="shared" si="361"/>
        <v>299</v>
      </c>
      <c r="AI1204" s="208">
        <f t="shared" si="362"/>
        <v>0</v>
      </c>
    </row>
    <row r="1205" spans="1:35">
      <c r="A1205" t="s">
        <v>2126</v>
      </c>
      <c r="B1205" t="s">
        <v>3140</v>
      </c>
      <c r="C1205" t="s">
        <v>2187</v>
      </c>
      <c r="D1205" t="s">
        <v>4574</v>
      </c>
      <c r="F1205" t="s">
        <v>923</v>
      </c>
      <c r="G1205" s="126">
        <f>SUMIFS('Support - Transition'!F:F,'Support - Transition'!B:B,'Step 2'!A1205,'Support - Transition'!C:C,'Step 2'!B1205,'Support - Transition'!D:D,'Step 2'!C1205,'Support - Transition'!E:E,"CIVIL")</f>
        <v>0</v>
      </c>
      <c r="H1205" s="126">
        <f>SUMIFS('Support - Transition'!F:F,'Support - Transition'!B:B,'Step 2'!A1205,'Support - Transition'!C:C,'Step 2'!B1205,'Support - Transition'!D:D,'Step 2'!C1205,'Support - Transition'!E:E,"FIRE")</f>
        <v>0</v>
      </c>
      <c r="I1205" s="126">
        <f>IF(B1205="0",SUMIFS('Support - Transition'!F:F,'Support - Transition'!J:J,'Step 2'!D1205,'Support - Transition'!E:E,"STATE UNIT"),SUMIFS('Support - Transition'!F:F,'Support - Transition'!J:J,'Step 2'!D1205))</f>
        <v>0.22024299999999999</v>
      </c>
      <c r="J1205" s="126">
        <f>SUMIFS('Support - Unit Adjustments'!E:E,'Support - Unit Adjustments'!F:F,'Step 2'!D1205)</f>
        <v>0</v>
      </c>
      <c r="K1205" s="126">
        <f t="shared" si="346"/>
        <v>0.22024299999999999</v>
      </c>
      <c r="L1205" s="174">
        <f>VLOOKUP(A1205,'Step 1'!$A:$E,4,FALSE)</f>
        <v>553551</v>
      </c>
      <c r="M1205" s="47">
        <f t="shared" si="347"/>
        <v>121916</v>
      </c>
      <c r="N1205" s="177">
        <f>SUMIFS('Support - Transition'!G:G,'Support - Transition'!J:J,'Step 2'!D1205,'Support - Transition'!E:E,"2009 WELFARE ALLOCATION FACTOR")</f>
        <v>0.26653500000000002</v>
      </c>
      <c r="O1205" s="152">
        <f t="shared" si="352"/>
        <v>32495</v>
      </c>
      <c r="P1205" s="126">
        <f>IF(E1205="Y",0,SUMIFS('Support - Transition'!G:G,'Support - Transition'!J:J,'Step 2'!D1205,'Support - Transition'!E:E,"2009 SCHOOL ALLOCATION FACTOR"))</f>
        <v>0</v>
      </c>
      <c r="Q1205" s="126">
        <f>IF(E1205="Y",VLOOKUP(D1205,'Support - Unit Adjustments'!F:G,2,FALSE),0)</f>
        <v>0</v>
      </c>
      <c r="R1205" s="155">
        <f t="shared" si="364"/>
        <v>0</v>
      </c>
      <c r="S1205" s="47">
        <f t="shared" si="363"/>
        <v>0</v>
      </c>
      <c r="T1205" s="151">
        <f t="shared" si="348"/>
        <v>89421</v>
      </c>
      <c r="U1205" s="151">
        <f t="shared" si="349"/>
        <v>0</v>
      </c>
      <c r="V1205" s="139">
        <f t="shared" si="350"/>
        <v>0</v>
      </c>
      <c r="W1205" s="152">
        <f t="shared" si="353"/>
        <v>89421</v>
      </c>
      <c r="X1205" s="127" t="str">
        <f t="shared" si="351"/>
        <v/>
      </c>
      <c r="Y1205" s="207">
        <f t="shared" si="354"/>
        <v>89421</v>
      </c>
      <c r="Z1205" s="139">
        <f t="shared" si="355"/>
        <v>89421</v>
      </c>
      <c r="AA1205" s="139">
        <f t="shared" si="356"/>
        <v>0</v>
      </c>
      <c r="AC1205" s="47">
        <f t="shared" si="357"/>
        <v>44711</v>
      </c>
      <c r="AD1205" s="47">
        <f t="shared" si="358"/>
        <v>44711</v>
      </c>
      <c r="AE1205" s="47">
        <f t="shared" si="359"/>
        <v>0</v>
      </c>
      <c r="AG1205" s="47">
        <f t="shared" si="360"/>
        <v>44710</v>
      </c>
      <c r="AH1205" s="47">
        <f t="shared" si="361"/>
        <v>44710</v>
      </c>
      <c r="AI1205" s="208">
        <f t="shared" si="362"/>
        <v>0</v>
      </c>
    </row>
    <row r="1206" spans="1:35">
      <c r="A1206" t="s">
        <v>2126</v>
      </c>
      <c r="B1206" t="s">
        <v>3142</v>
      </c>
      <c r="C1206" t="s">
        <v>2188</v>
      </c>
      <c r="D1206" t="s">
        <v>4575</v>
      </c>
      <c r="F1206" t="s">
        <v>924</v>
      </c>
      <c r="G1206" s="126">
        <f>SUMIFS('Support - Transition'!F:F,'Support - Transition'!B:B,'Step 2'!A1206,'Support - Transition'!C:C,'Step 2'!B1206,'Support - Transition'!D:D,'Step 2'!C1206,'Support - Transition'!E:E,"CIVIL")</f>
        <v>1.039E-3</v>
      </c>
      <c r="H1206" s="126">
        <f>SUMIFS('Support - Transition'!F:F,'Support - Transition'!B:B,'Step 2'!A1206,'Support - Transition'!C:C,'Step 2'!B1206,'Support - Transition'!D:D,'Step 2'!C1206,'Support - Transition'!E:E,"FIRE")</f>
        <v>6.6699999999999995E-4</v>
      </c>
      <c r="I1206" s="126">
        <f>IF(B1206="0",SUMIFS('Support - Transition'!F:F,'Support - Transition'!J:J,'Step 2'!D1206,'Support - Transition'!E:E,"STATE UNIT"),SUMIFS('Support - Transition'!F:F,'Support - Transition'!J:J,'Step 2'!D1206))</f>
        <v>1.7060000000000001E-3</v>
      </c>
      <c r="J1206" s="126">
        <f>SUMIFS('Support - Unit Adjustments'!E:E,'Support - Unit Adjustments'!F:F,'Step 2'!D1206)</f>
        <v>0</v>
      </c>
      <c r="K1206" s="126">
        <f t="shared" si="346"/>
        <v>1.7060000000000001E-3</v>
      </c>
      <c r="L1206" s="174">
        <f>VLOOKUP(A1206,'Step 1'!$A:$E,4,FALSE)</f>
        <v>553551</v>
      </c>
      <c r="M1206" s="47">
        <f t="shared" si="347"/>
        <v>944</v>
      </c>
      <c r="N1206" s="177">
        <f>SUMIFS('Support - Transition'!G:G,'Support - Transition'!J:J,'Step 2'!D1206,'Support - Transition'!E:E,"2009 WELFARE ALLOCATION FACTOR")</f>
        <v>0</v>
      </c>
      <c r="O1206" s="152">
        <f t="shared" si="352"/>
        <v>0</v>
      </c>
      <c r="P1206" s="126">
        <f>IF(E1206="Y",0,SUMIFS('Support - Transition'!G:G,'Support - Transition'!J:J,'Step 2'!D1206,'Support - Transition'!E:E,"2009 SCHOOL ALLOCATION FACTOR"))</f>
        <v>0</v>
      </c>
      <c r="Q1206" s="126">
        <f>IF(E1206="Y",VLOOKUP(D1206,'Support - Unit Adjustments'!F:G,2,FALSE),0)</f>
        <v>0</v>
      </c>
      <c r="R1206" s="155">
        <f t="shared" si="364"/>
        <v>0</v>
      </c>
      <c r="S1206" s="47">
        <f t="shared" si="363"/>
        <v>0</v>
      </c>
      <c r="T1206" s="151">
        <f t="shared" si="348"/>
        <v>944</v>
      </c>
      <c r="U1206" s="151">
        <f t="shared" si="349"/>
        <v>0</v>
      </c>
      <c r="V1206" s="139">
        <f t="shared" si="350"/>
        <v>0</v>
      </c>
      <c r="W1206" s="152">
        <f t="shared" si="353"/>
        <v>944</v>
      </c>
      <c r="X1206" s="127" t="str">
        <f t="shared" si="351"/>
        <v/>
      </c>
      <c r="Y1206" s="207">
        <f t="shared" si="354"/>
        <v>944</v>
      </c>
      <c r="Z1206" s="139">
        <f t="shared" si="355"/>
        <v>575</v>
      </c>
      <c r="AA1206" s="139">
        <f t="shared" si="356"/>
        <v>369</v>
      </c>
      <c r="AC1206" s="47">
        <f t="shared" si="357"/>
        <v>472</v>
      </c>
      <c r="AD1206" s="47">
        <f t="shared" si="358"/>
        <v>288</v>
      </c>
      <c r="AE1206" s="47">
        <f t="shared" si="359"/>
        <v>185</v>
      </c>
      <c r="AG1206" s="47">
        <f t="shared" si="360"/>
        <v>472</v>
      </c>
      <c r="AH1206" s="47">
        <f t="shared" si="361"/>
        <v>287</v>
      </c>
      <c r="AI1206" s="208">
        <f t="shared" si="362"/>
        <v>184</v>
      </c>
    </row>
    <row r="1207" spans="1:35">
      <c r="A1207" t="s">
        <v>2126</v>
      </c>
      <c r="B1207" t="s">
        <v>3142</v>
      </c>
      <c r="C1207" t="s">
        <v>2189</v>
      </c>
      <c r="D1207" t="s">
        <v>4576</v>
      </c>
      <c r="F1207" t="s">
        <v>925</v>
      </c>
      <c r="G1207" s="126">
        <f>SUMIFS('Support - Transition'!F:F,'Support - Transition'!B:B,'Step 2'!A1207,'Support - Transition'!C:C,'Step 2'!B1207,'Support - Transition'!D:D,'Step 2'!C1207,'Support - Transition'!E:E,"CIVIL")</f>
        <v>4.6099999999999998E-4</v>
      </c>
      <c r="H1207" s="126">
        <f>SUMIFS('Support - Transition'!F:F,'Support - Transition'!B:B,'Step 2'!A1207,'Support - Transition'!C:C,'Step 2'!B1207,'Support - Transition'!D:D,'Step 2'!C1207,'Support - Transition'!E:E,"FIRE")</f>
        <v>1.07E-4</v>
      </c>
      <c r="I1207" s="126">
        <f>IF(B1207="0",SUMIFS('Support - Transition'!F:F,'Support - Transition'!J:J,'Step 2'!D1207,'Support - Transition'!E:E,"STATE UNIT"),SUMIFS('Support - Transition'!F:F,'Support - Transition'!J:J,'Step 2'!D1207))</f>
        <v>5.6799999999999993E-4</v>
      </c>
      <c r="J1207" s="126">
        <f>SUMIFS('Support - Unit Adjustments'!E:E,'Support - Unit Adjustments'!F:F,'Step 2'!D1207)</f>
        <v>0</v>
      </c>
      <c r="K1207" s="126">
        <f t="shared" si="346"/>
        <v>5.6799999999999993E-4</v>
      </c>
      <c r="L1207" s="174">
        <f>VLOOKUP(A1207,'Step 1'!$A:$E,4,FALSE)</f>
        <v>553551</v>
      </c>
      <c r="M1207" s="47">
        <f t="shared" si="347"/>
        <v>314</v>
      </c>
      <c r="N1207" s="177">
        <f>SUMIFS('Support - Transition'!G:G,'Support - Transition'!J:J,'Step 2'!D1207,'Support - Transition'!E:E,"2009 WELFARE ALLOCATION FACTOR")</f>
        <v>0</v>
      </c>
      <c r="O1207" s="152">
        <f t="shared" si="352"/>
        <v>0</v>
      </c>
      <c r="P1207" s="126">
        <f>IF(E1207="Y",0,SUMIFS('Support - Transition'!G:G,'Support - Transition'!J:J,'Step 2'!D1207,'Support - Transition'!E:E,"2009 SCHOOL ALLOCATION FACTOR"))</f>
        <v>0</v>
      </c>
      <c r="Q1207" s="126">
        <f>IF(E1207="Y",VLOOKUP(D1207,'Support - Unit Adjustments'!F:G,2,FALSE),0)</f>
        <v>0</v>
      </c>
      <c r="R1207" s="155">
        <f t="shared" si="364"/>
        <v>0</v>
      </c>
      <c r="S1207" s="47">
        <f t="shared" si="363"/>
        <v>0</v>
      </c>
      <c r="T1207" s="151">
        <f t="shared" si="348"/>
        <v>314</v>
      </c>
      <c r="U1207" s="151">
        <f t="shared" si="349"/>
        <v>0</v>
      </c>
      <c r="V1207" s="139">
        <f t="shared" si="350"/>
        <v>0</v>
      </c>
      <c r="W1207" s="152">
        <f t="shared" si="353"/>
        <v>314</v>
      </c>
      <c r="X1207" s="127" t="str">
        <f t="shared" si="351"/>
        <v/>
      </c>
      <c r="Y1207" s="207">
        <f t="shared" si="354"/>
        <v>314</v>
      </c>
      <c r="Z1207" s="139">
        <f t="shared" si="355"/>
        <v>255</v>
      </c>
      <c r="AA1207" s="139">
        <f t="shared" si="356"/>
        <v>59</v>
      </c>
      <c r="AC1207" s="47">
        <f t="shared" si="357"/>
        <v>157</v>
      </c>
      <c r="AD1207" s="47">
        <f t="shared" si="358"/>
        <v>128</v>
      </c>
      <c r="AE1207" s="47">
        <f t="shared" si="359"/>
        <v>30</v>
      </c>
      <c r="AG1207" s="47">
        <f t="shared" si="360"/>
        <v>157</v>
      </c>
      <c r="AH1207" s="47">
        <f t="shared" si="361"/>
        <v>127</v>
      </c>
      <c r="AI1207" s="208">
        <f t="shared" si="362"/>
        <v>29</v>
      </c>
    </row>
    <row r="1208" spans="1:35">
      <c r="A1208" t="s">
        <v>2126</v>
      </c>
      <c r="B1208" t="s">
        <v>3142</v>
      </c>
      <c r="C1208" t="s">
        <v>2190</v>
      </c>
      <c r="D1208" t="s">
        <v>4577</v>
      </c>
      <c r="F1208" t="s">
        <v>86</v>
      </c>
      <c r="G1208" s="126">
        <f>SUMIFS('Support - Transition'!F:F,'Support - Transition'!B:B,'Step 2'!A1208,'Support - Transition'!C:C,'Step 2'!B1208,'Support - Transition'!D:D,'Step 2'!C1208,'Support - Transition'!E:E,"CIVIL")</f>
        <v>5.9299999999999999E-4</v>
      </c>
      <c r="H1208" s="126">
        <f>SUMIFS('Support - Transition'!F:F,'Support - Transition'!B:B,'Step 2'!A1208,'Support - Transition'!C:C,'Step 2'!B1208,'Support - Transition'!D:D,'Step 2'!C1208,'Support - Transition'!E:E,"FIRE")</f>
        <v>6.8000000000000005E-4</v>
      </c>
      <c r="I1208" s="126">
        <f>IF(B1208="0",SUMIFS('Support - Transition'!F:F,'Support - Transition'!J:J,'Step 2'!D1208,'Support - Transition'!E:E,"STATE UNIT"),SUMIFS('Support - Transition'!F:F,'Support - Transition'!J:J,'Step 2'!D1208))</f>
        <v>1.273E-3</v>
      </c>
      <c r="J1208" s="126">
        <f>SUMIFS('Support - Unit Adjustments'!E:E,'Support - Unit Adjustments'!F:F,'Step 2'!D1208)</f>
        <v>0</v>
      </c>
      <c r="K1208" s="126">
        <f t="shared" si="346"/>
        <v>1.273E-3</v>
      </c>
      <c r="L1208" s="174">
        <f>VLOOKUP(A1208,'Step 1'!$A:$E,4,FALSE)</f>
        <v>553551</v>
      </c>
      <c r="M1208" s="47">
        <f t="shared" si="347"/>
        <v>705</v>
      </c>
      <c r="N1208" s="177">
        <f>SUMIFS('Support - Transition'!G:G,'Support - Transition'!J:J,'Step 2'!D1208,'Support - Transition'!E:E,"2009 WELFARE ALLOCATION FACTOR")</f>
        <v>0</v>
      </c>
      <c r="O1208" s="152">
        <f t="shared" si="352"/>
        <v>0</v>
      </c>
      <c r="P1208" s="126">
        <f>IF(E1208="Y",0,SUMIFS('Support - Transition'!G:G,'Support - Transition'!J:J,'Step 2'!D1208,'Support - Transition'!E:E,"2009 SCHOOL ALLOCATION FACTOR"))</f>
        <v>0</v>
      </c>
      <c r="Q1208" s="126">
        <f>IF(E1208="Y",VLOOKUP(D1208,'Support - Unit Adjustments'!F:G,2,FALSE),0)</f>
        <v>0</v>
      </c>
      <c r="R1208" s="155">
        <f t="shared" si="364"/>
        <v>0</v>
      </c>
      <c r="S1208" s="47">
        <f t="shared" si="363"/>
        <v>0</v>
      </c>
      <c r="T1208" s="151">
        <f t="shared" si="348"/>
        <v>705</v>
      </c>
      <c r="U1208" s="151">
        <f t="shared" si="349"/>
        <v>0</v>
      </c>
      <c r="V1208" s="139">
        <f t="shared" si="350"/>
        <v>0</v>
      </c>
      <c r="W1208" s="152">
        <f t="shared" si="353"/>
        <v>705</v>
      </c>
      <c r="X1208" s="127" t="str">
        <f t="shared" si="351"/>
        <v/>
      </c>
      <c r="Y1208" s="207">
        <f t="shared" si="354"/>
        <v>705</v>
      </c>
      <c r="Z1208" s="139">
        <f t="shared" si="355"/>
        <v>328</v>
      </c>
      <c r="AA1208" s="139">
        <f t="shared" si="356"/>
        <v>377</v>
      </c>
      <c r="AC1208" s="47">
        <f t="shared" si="357"/>
        <v>353</v>
      </c>
      <c r="AD1208" s="47">
        <f t="shared" si="358"/>
        <v>164</v>
      </c>
      <c r="AE1208" s="47">
        <f t="shared" si="359"/>
        <v>189</v>
      </c>
      <c r="AG1208" s="47">
        <f t="shared" si="360"/>
        <v>352</v>
      </c>
      <c r="AH1208" s="47">
        <f t="shared" si="361"/>
        <v>164</v>
      </c>
      <c r="AI1208" s="208">
        <f t="shared" si="362"/>
        <v>188</v>
      </c>
    </row>
    <row r="1209" spans="1:35">
      <c r="A1209" t="s">
        <v>2126</v>
      </c>
      <c r="B1209" t="s">
        <v>3142</v>
      </c>
      <c r="C1209" t="s">
        <v>2191</v>
      </c>
      <c r="D1209" t="s">
        <v>4578</v>
      </c>
      <c r="F1209" t="s">
        <v>268</v>
      </c>
      <c r="G1209" s="126">
        <f>SUMIFS('Support - Transition'!F:F,'Support - Transition'!B:B,'Step 2'!A1209,'Support - Transition'!C:C,'Step 2'!B1209,'Support - Transition'!D:D,'Step 2'!C1209,'Support - Transition'!E:E,"CIVIL")</f>
        <v>2.5000000000000001E-4</v>
      </c>
      <c r="H1209" s="126">
        <f>SUMIFS('Support - Transition'!F:F,'Support - Transition'!B:B,'Step 2'!A1209,'Support - Transition'!C:C,'Step 2'!B1209,'Support - Transition'!D:D,'Step 2'!C1209,'Support - Transition'!E:E,"FIRE")</f>
        <v>0</v>
      </c>
      <c r="I1209" s="126">
        <f>IF(B1209="0",SUMIFS('Support - Transition'!F:F,'Support - Transition'!J:J,'Step 2'!D1209,'Support - Transition'!E:E,"STATE UNIT"),SUMIFS('Support - Transition'!F:F,'Support - Transition'!J:J,'Step 2'!D1209))</f>
        <v>2.5000000000000001E-4</v>
      </c>
      <c r="J1209" s="126">
        <f>SUMIFS('Support - Unit Adjustments'!E:E,'Support - Unit Adjustments'!F:F,'Step 2'!D1209)</f>
        <v>0</v>
      </c>
      <c r="K1209" s="126">
        <f t="shared" si="346"/>
        <v>2.5000000000000001E-4</v>
      </c>
      <c r="L1209" s="174">
        <f>VLOOKUP(A1209,'Step 1'!$A:$E,4,FALSE)</f>
        <v>553551</v>
      </c>
      <c r="M1209" s="47">
        <f t="shared" si="347"/>
        <v>138</v>
      </c>
      <c r="N1209" s="177">
        <f>SUMIFS('Support - Transition'!G:G,'Support - Transition'!J:J,'Step 2'!D1209,'Support - Transition'!E:E,"2009 WELFARE ALLOCATION FACTOR")</f>
        <v>0</v>
      </c>
      <c r="O1209" s="152">
        <f t="shared" si="352"/>
        <v>0</v>
      </c>
      <c r="P1209" s="126">
        <f>IF(E1209="Y",0,SUMIFS('Support - Transition'!G:G,'Support - Transition'!J:J,'Step 2'!D1209,'Support - Transition'!E:E,"2009 SCHOOL ALLOCATION FACTOR"))</f>
        <v>0</v>
      </c>
      <c r="Q1209" s="126">
        <f>IF(E1209="Y",VLOOKUP(D1209,'Support - Unit Adjustments'!F:G,2,FALSE),0)</f>
        <v>0</v>
      </c>
      <c r="R1209" s="155">
        <f t="shared" si="364"/>
        <v>0</v>
      </c>
      <c r="S1209" s="47">
        <f t="shared" si="363"/>
        <v>0</v>
      </c>
      <c r="T1209" s="151">
        <f t="shared" si="348"/>
        <v>138</v>
      </c>
      <c r="U1209" s="151">
        <f t="shared" si="349"/>
        <v>0</v>
      </c>
      <c r="V1209" s="139">
        <f t="shared" si="350"/>
        <v>0</v>
      </c>
      <c r="W1209" s="152">
        <f t="shared" si="353"/>
        <v>138</v>
      </c>
      <c r="X1209" s="127" t="str">
        <f t="shared" si="351"/>
        <v/>
      </c>
      <c r="Y1209" s="207">
        <f t="shared" si="354"/>
        <v>138</v>
      </c>
      <c r="Z1209" s="139">
        <f t="shared" si="355"/>
        <v>138</v>
      </c>
      <c r="AA1209" s="139">
        <f t="shared" si="356"/>
        <v>0</v>
      </c>
      <c r="AC1209" s="47">
        <f t="shared" si="357"/>
        <v>69</v>
      </c>
      <c r="AD1209" s="47">
        <f t="shared" si="358"/>
        <v>69</v>
      </c>
      <c r="AE1209" s="47">
        <f t="shared" si="359"/>
        <v>0</v>
      </c>
      <c r="AG1209" s="47">
        <f t="shared" si="360"/>
        <v>69</v>
      </c>
      <c r="AH1209" s="47">
        <f t="shared" si="361"/>
        <v>69</v>
      </c>
      <c r="AI1209" s="208">
        <f t="shared" si="362"/>
        <v>0</v>
      </c>
    </row>
    <row r="1210" spans="1:35">
      <c r="A1210" t="s">
        <v>2126</v>
      </c>
      <c r="B1210" t="s">
        <v>3142</v>
      </c>
      <c r="C1210" t="s">
        <v>2192</v>
      </c>
      <c r="D1210" t="s">
        <v>4579</v>
      </c>
      <c r="F1210" t="s">
        <v>926</v>
      </c>
      <c r="G1210" s="126">
        <f>SUMIFS('Support - Transition'!F:F,'Support - Transition'!B:B,'Step 2'!A1210,'Support - Transition'!C:C,'Step 2'!B1210,'Support - Transition'!D:D,'Step 2'!C1210,'Support - Transition'!E:E,"CIVIL")</f>
        <v>1.6230000000000001E-3</v>
      </c>
      <c r="H1210" s="126">
        <f>SUMIFS('Support - Transition'!F:F,'Support - Transition'!B:B,'Step 2'!A1210,'Support - Transition'!C:C,'Step 2'!B1210,'Support - Transition'!D:D,'Step 2'!C1210,'Support - Transition'!E:E,"FIRE")</f>
        <v>8.5599999999999999E-4</v>
      </c>
      <c r="I1210" s="126">
        <f>IF(B1210="0",SUMIFS('Support - Transition'!F:F,'Support - Transition'!J:J,'Step 2'!D1210,'Support - Transition'!E:E,"STATE UNIT"),SUMIFS('Support - Transition'!F:F,'Support - Transition'!J:J,'Step 2'!D1210))</f>
        <v>2.4790000000000003E-3</v>
      </c>
      <c r="J1210" s="126">
        <f>SUMIFS('Support - Unit Adjustments'!E:E,'Support - Unit Adjustments'!F:F,'Step 2'!D1210)</f>
        <v>0</v>
      </c>
      <c r="K1210" s="126">
        <f t="shared" si="346"/>
        <v>2.4790000000000003E-3</v>
      </c>
      <c r="L1210" s="174">
        <f>VLOOKUP(A1210,'Step 1'!$A:$E,4,FALSE)</f>
        <v>553551</v>
      </c>
      <c r="M1210" s="47">
        <f t="shared" si="347"/>
        <v>1372</v>
      </c>
      <c r="N1210" s="177">
        <f>SUMIFS('Support - Transition'!G:G,'Support - Transition'!J:J,'Step 2'!D1210,'Support - Transition'!E:E,"2009 WELFARE ALLOCATION FACTOR")</f>
        <v>0</v>
      </c>
      <c r="O1210" s="152">
        <f t="shared" si="352"/>
        <v>0</v>
      </c>
      <c r="P1210" s="126">
        <f>IF(E1210="Y",0,SUMIFS('Support - Transition'!G:G,'Support - Transition'!J:J,'Step 2'!D1210,'Support - Transition'!E:E,"2009 SCHOOL ALLOCATION FACTOR"))</f>
        <v>0</v>
      </c>
      <c r="Q1210" s="126">
        <f>IF(E1210="Y",VLOOKUP(D1210,'Support - Unit Adjustments'!F:G,2,FALSE),0)</f>
        <v>0</v>
      </c>
      <c r="R1210" s="155">
        <f t="shared" si="364"/>
        <v>0</v>
      </c>
      <c r="S1210" s="47">
        <f t="shared" si="363"/>
        <v>0</v>
      </c>
      <c r="T1210" s="151">
        <f t="shared" si="348"/>
        <v>1372</v>
      </c>
      <c r="U1210" s="151">
        <f t="shared" si="349"/>
        <v>0</v>
      </c>
      <c r="V1210" s="139">
        <f t="shared" si="350"/>
        <v>0</v>
      </c>
      <c r="W1210" s="152">
        <f t="shared" si="353"/>
        <v>1372</v>
      </c>
      <c r="X1210" s="127" t="str">
        <f t="shared" si="351"/>
        <v/>
      </c>
      <c r="Y1210" s="207">
        <f t="shared" si="354"/>
        <v>1372</v>
      </c>
      <c r="Z1210" s="139">
        <f t="shared" si="355"/>
        <v>898</v>
      </c>
      <c r="AA1210" s="139">
        <f t="shared" si="356"/>
        <v>474</v>
      </c>
      <c r="AC1210" s="47">
        <f t="shared" si="357"/>
        <v>686</v>
      </c>
      <c r="AD1210" s="47">
        <f t="shared" si="358"/>
        <v>449</v>
      </c>
      <c r="AE1210" s="47">
        <f t="shared" si="359"/>
        <v>237</v>
      </c>
      <c r="AG1210" s="47">
        <f t="shared" si="360"/>
        <v>686</v>
      </c>
      <c r="AH1210" s="47">
        <f t="shared" si="361"/>
        <v>449</v>
      </c>
      <c r="AI1210" s="208">
        <f t="shared" si="362"/>
        <v>237</v>
      </c>
    </row>
    <row r="1211" spans="1:35">
      <c r="A1211" t="s">
        <v>2126</v>
      </c>
      <c r="B1211" t="s">
        <v>3142</v>
      </c>
      <c r="C1211" t="s">
        <v>2193</v>
      </c>
      <c r="D1211" t="s">
        <v>4580</v>
      </c>
      <c r="F1211" t="s">
        <v>927</v>
      </c>
      <c r="G1211" s="126">
        <f>SUMIFS('Support - Transition'!F:F,'Support - Transition'!B:B,'Step 2'!A1211,'Support - Transition'!C:C,'Step 2'!B1211,'Support - Transition'!D:D,'Step 2'!C1211,'Support - Transition'!E:E,"CIVIL")</f>
        <v>1.199E-3</v>
      </c>
      <c r="H1211" s="126">
        <f>SUMIFS('Support - Transition'!F:F,'Support - Transition'!B:B,'Step 2'!A1211,'Support - Transition'!C:C,'Step 2'!B1211,'Support - Transition'!D:D,'Step 2'!C1211,'Support - Transition'!E:E,"FIRE")</f>
        <v>1.1150000000000001E-3</v>
      </c>
      <c r="I1211" s="126">
        <f>IF(B1211="0",SUMIFS('Support - Transition'!F:F,'Support - Transition'!J:J,'Step 2'!D1211,'Support - Transition'!E:E,"STATE UNIT"),SUMIFS('Support - Transition'!F:F,'Support - Transition'!J:J,'Step 2'!D1211))</f>
        <v>2.3140000000000001E-3</v>
      </c>
      <c r="J1211" s="126">
        <f>SUMIFS('Support - Unit Adjustments'!E:E,'Support - Unit Adjustments'!F:F,'Step 2'!D1211)</f>
        <v>0</v>
      </c>
      <c r="K1211" s="126">
        <f t="shared" si="346"/>
        <v>2.3140000000000001E-3</v>
      </c>
      <c r="L1211" s="174">
        <f>VLOOKUP(A1211,'Step 1'!$A:$E,4,FALSE)</f>
        <v>553551</v>
      </c>
      <c r="M1211" s="47">
        <f t="shared" si="347"/>
        <v>1281</v>
      </c>
      <c r="N1211" s="177">
        <f>SUMIFS('Support - Transition'!G:G,'Support - Transition'!J:J,'Step 2'!D1211,'Support - Transition'!E:E,"2009 WELFARE ALLOCATION FACTOR")</f>
        <v>0</v>
      </c>
      <c r="O1211" s="152">
        <f t="shared" si="352"/>
        <v>0</v>
      </c>
      <c r="P1211" s="126">
        <f>IF(E1211="Y",0,SUMIFS('Support - Transition'!G:G,'Support - Transition'!J:J,'Step 2'!D1211,'Support - Transition'!E:E,"2009 SCHOOL ALLOCATION FACTOR"))</f>
        <v>0</v>
      </c>
      <c r="Q1211" s="126">
        <f>IF(E1211="Y",VLOOKUP(D1211,'Support - Unit Adjustments'!F:G,2,FALSE),0)</f>
        <v>0</v>
      </c>
      <c r="R1211" s="155">
        <f t="shared" si="364"/>
        <v>0</v>
      </c>
      <c r="S1211" s="47">
        <f t="shared" si="363"/>
        <v>0</v>
      </c>
      <c r="T1211" s="151">
        <f t="shared" si="348"/>
        <v>1281</v>
      </c>
      <c r="U1211" s="151">
        <f t="shared" si="349"/>
        <v>0</v>
      </c>
      <c r="V1211" s="139">
        <f t="shared" si="350"/>
        <v>0</v>
      </c>
      <c r="W1211" s="152">
        <f t="shared" si="353"/>
        <v>1281</v>
      </c>
      <c r="X1211" s="127" t="str">
        <f t="shared" si="351"/>
        <v/>
      </c>
      <c r="Y1211" s="207">
        <f t="shared" si="354"/>
        <v>1281</v>
      </c>
      <c r="Z1211" s="139">
        <f t="shared" si="355"/>
        <v>664</v>
      </c>
      <c r="AA1211" s="139">
        <f t="shared" si="356"/>
        <v>617</v>
      </c>
      <c r="AC1211" s="47">
        <f t="shared" si="357"/>
        <v>641</v>
      </c>
      <c r="AD1211" s="47">
        <f t="shared" si="358"/>
        <v>332</v>
      </c>
      <c r="AE1211" s="47">
        <f t="shared" si="359"/>
        <v>309</v>
      </c>
      <c r="AG1211" s="47">
        <f t="shared" si="360"/>
        <v>640</v>
      </c>
      <c r="AH1211" s="47">
        <f t="shared" si="361"/>
        <v>332</v>
      </c>
      <c r="AI1211" s="208">
        <f t="shared" si="362"/>
        <v>308</v>
      </c>
    </row>
    <row r="1212" spans="1:35">
      <c r="A1212" t="s">
        <v>2126</v>
      </c>
      <c r="B1212" t="s">
        <v>3142</v>
      </c>
      <c r="C1212" t="s">
        <v>2194</v>
      </c>
      <c r="D1212" t="s">
        <v>4581</v>
      </c>
      <c r="F1212" t="s">
        <v>928</v>
      </c>
      <c r="G1212" s="126">
        <f>SUMIFS('Support - Transition'!F:F,'Support - Transition'!B:B,'Step 2'!A1212,'Support - Transition'!C:C,'Step 2'!B1212,'Support - Transition'!D:D,'Step 2'!C1212,'Support - Transition'!E:E,"CIVIL")</f>
        <v>2.82E-3</v>
      </c>
      <c r="H1212" s="126">
        <f>SUMIFS('Support - Transition'!F:F,'Support - Transition'!B:B,'Step 2'!A1212,'Support - Transition'!C:C,'Step 2'!B1212,'Support - Transition'!D:D,'Step 2'!C1212,'Support - Transition'!E:E,"FIRE")</f>
        <v>4.0700000000000003E-4</v>
      </c>
      <c r="I1212" s="126">
        <f>IF(B1212="0",SUMIFS('Support - Transition'!F:F,'Support - Transition'!J:J,'Step 2'!D1212,'Support - Transition'!E:E,"STATE UNIT"),SUMIFS('Support - Transition'!F:F,'Support - Transition'!J:J,'Step 2'!D1212))</f>
        <v>3.2269999999999998E-3</v>
      </c>
      <c r="J1212" s="126">
        <f>SUMIFS('Support - Unit Adjustments'!E:E,'Support - Unit Adjustments'!F:F,'Step 2'!D1212)</f>
        <v>0</v>
      </c>
      <c r="K1212" s="126">
        <f t="shared" si="346"/>
        <v>3.2269999999999998E-3</v>
      </c>
      <c r="L1212" s="174">
        <f>VLOOKUP(A1212,'Step 1'!$A:$E,4,FALSE)</f>
        <v>553551</v>
      </c>
      <c r="M1212" s="47">
        <f t="shared" si="347"/>
        <v>1786</v>
      </c>
      <c r="N1212" s="177">
        <f>SUMIFS('Support - Transition'!G:G,'Support - Transition'!J:J,'Step 2'!D1212,'Support - Transition'!E:E,"2009 WELFARE ALLOCATION FACTOR")</f>
        <v>0</v>
      </c>
      <c r="O1212" s="152">
        <f t="shared" si="352"/>
        <v>0</v>
      </c>
      <c r="P1212" s="126">
        <f>IF(E1212="Y",0,SUMIFS('Support - Transition'!G:G,'Support - Transition'!J:J,'Step 2'!D1212,'Support - Transition'!E:E,"2009 SCHOOL ALLOCATION FACTOR"))</f>
        <v>0</v>
      </c>
      <c r="Q1212" s="126">
        <f>IF(E1212="Y",VLOOKUP(D1212,'Support - Unit Adjustments'!F:G,2,FALSE),0)</f>
        <v>0</v>
      </c>
      <c r="R1212" s="155">
        <f t="shared" si="364"/>
        <v>0</v>
      </c>
      <c r="S1212" s="47">
        <f t="shared" si="363"/>
        <v>0</v>
      </c>
      <c r="T1212" s="151">
        <f t="shared" si="348"/>
        <v>1786</v>
      </c>
      <c r="U1212" s="151">
        <f t="shared" si="349"/>
        <v>0</v>
      </c>
      <c r="V1212" s="139">
        <f t="shared" si="350"/>
        <v>0</v>
      </c>
      <c r="W1212" s="152">
        <f t="shared" si="353"/>
        <v>1786</v>
      </c>
      <c r="X1212" s="127" t="str">
        <f t="shared" si="351"/>
        <v/>
      </c>
      <c r="Y1212" s="207">
        <f t="shared" si="354"/>
        <v>1786</v>
      </c>
      <c r="Z1212" s="139">
        <f t="shared" si="355"/>
        <v>1561</v>
      </c>
      <c r="AA1212" s="139">
        <f t="shared" si="356"/>
        <v>225</v>
      </c>
      <c r="AC1212" s="47">
        <f t="shared" si="357"/>
        <v>893</v>
      </c>
      <c r="AD1212" s="47">
        <f t="shared" si="358"/>
        <v>781</v>
      </c>
      <c r="AE1212" s="47">
        <f t="shared" si="359"/>
        <v>113</v>
      </c>
      <c r="AG1212" s="47">
        <f t="shared" si="360"/>
        <v>893</v>
      </c>
      <c r="AH1212" s="47">
        <f t="shared" si="361"/>
        <v>780</v>
      </c>
      <c r="AI1212" s="208">
        <f t="shared" si="362"/>
        <v>112</v>
      </c>
    </row>
    <row r="1213" spans="1:35">
      <c r="A1213" t="s">
        <v>2126</v>
      </c>
      <c r="B1213" t="s">
        <v>3142</v>
      </c>
      <c r="C1213" t="s">
        <v>2195</v>
      </c>
      <c r="D1213" t="s">
        <v>4582</v>
      </c>
      <c r="F1213" t="s">
        <v>929</v>
      </c>
      <c r="G1213" s="126">
        <f>SUMIFS('Support - Transition'!F:F,'Support - Transition'!B:B,'Step 2'!A1213,'Support - Transition'!C:C,'Step 2'!B1213,'Support - Transition'!D:D,'Step 2'!C1213,'Support - Transition'!E:E,"CIVIL")</f>
        <v>4.5729999999999998E-3</v>
      </c>
      <c r="H1213" s="126">
        <f>SUMIFS('Support - Transition'!F:F,'Support - Transition'!B:B,'Step 2'!A1213,'Support - Transition'!C:C,'Step 2'!B1213,'Support - Transition'!D:D,'Step 2'!C1213,'Support - Transition'!E:E,"FIRE")</f>
        <v>0</v>
      </c>
      <c r="I1213" s="126">
        <f>IF(B1213="0",SUMIFS('Support - Transition'!F:F,'Support - Transition'!J:J,'Step 2'!D1213,'Support - Transition'!E:E,"STATE UNIT"),SUMIFS('Support - Transition'!F:F,'Support - Transition'!J:J,'Step 2'!D1213))</f>
        <v>4.5729999999999998E-3</v>
      </c>
      <c r="J1213" s="126">
        <f>SUMIFS('Support - Unit Adjustments'!E:E,'Support - Unit Adjustments'!F:F,'Step 2'!D1213)</f>
        <v>0</v>
      </c>
      <c r="K1213" s="126">
        <f t="shared" si="346"/>
        <v>4.5729999999999998E-3</v>
      </c>
      <c r="L1213" s="174">
        <f>VLOOKUP(A1213,'Step 1'!$A:$E,4,FALSE)</f>
        <v>553551</v>
      </c>
      <c r="M1213" s="47">
        <f t="shared" si="347"/>
        <v>2531</v>
      </c>
      <c r="N1213" s="177">
        <f>SUMIFS('Support - Transition'!G:G,'Support - Transition'!J:J,'Step 2'!D1213,'Support - Transition'!E:E,"2009 WELFARE ALLOCATION FACTOR")</f>
        <v>0</v>
      </c>
      <c r="O1213" s="152">
        <f t="shared" si="352"/>
        <v>0</v>
      </c>
      <c r="P1213" s="126">
        <f>IF(E1213="Y",0,SUMIFS('Support - Transition'!G:G,'Support - Transition'!J:J,'Step 2'!D1213,'Support - Transition'!E:E,"2009 SCHOOL ALLOCATION FACTOR"))</f>
        <v>0</v>
      </c>
      <c r="Q1213" s="126">
        <f>IF(E1213="Y",VLOOKUP(D1213,'Support - Unit Adjustments'!F:G,2,FALSE),0)</f>
        <v>0</v>
      </c>
      <c r="R1213" s="155">
        <f t="shared" si="364"/>
        <v>0</v>
      </c>
      <c r="S1213" s="47">
        <f t="shared" si="363"/>
        <v>0</v>
      </c>
      <c r="T1213" s="151">
        <f t="shared" si="348"/>
        <v>2531</v>
      </c>
      <c r="U1213" s="151">
        <f t="shared" si="349"/>
        <v>0</v>
      </c>
      <c r="V1213" s="139">
        <f t="shared" si="350"/>
        <v>0</v>
      </c>
      <c r="W1213" s="152">
        <f t="shared" si="353"/>
        <v>2531</v>
      </c>
      <c r="X1213" s="127" t="str">
        <f t="shared" si="351"/>
        <v/>
      </c>
      <c r="Y1213" s="207">
        <f t="shared" si="354"/>
        <v>2531</v>
      </c>
      <c r="Z1213" s="139">
        <f t="shared" si="355"/>
        <v>2531</v>
      </c>
      <c r="AA1213" s="139">
        <f t="shared" si="356"/>
        <v>0</v>
      </c>
      <c r="AC1213" s="47">
        <f t="shared" si="357"/>
        <v>1266</v>
      </c>
      <c r="AD1213" s="47">
        <f t="shared" si="358"/>
        <v>1266</v>
      </c>
      <c r="AE1213" s="47">
        <f t="shared" si="359"/>
        <v>0</v>
      </c>
      <c r="AG1213" s="47">
        <f t="shared" si="360"/>
        <v>1265</v>
      </c>
      <c r="AH1213" s="47">
        <f t="shared" si="361"/>
        <v>1265</v>
      </c>
      <c r="AI1213" s="208">
        <f t="shared" si="362"/>
        <v>0</v>
      </c>
    </row>
    <row r="1214" spans="1:35">
      <c r="A1214" t="s">
        <v>2126</v>
      </c>
      <c r="B1214" t="s">
        <v>3142</v>
      </c>
      <c r="C1214" t="s">
        <v>2196</v>
      </c>
      <c r="D1214" t="s">
        <v>4583</v>
      </c>
      <c r="F1214" t="s">
        <v>22</v>
      </c>
      <c r="G1214" s="126">
        <f>SUMIFS('Support - Transition'!F:F,'Support - Transition'!B:B,'Step 2'!A1214,'Support - Transition'!C:C,'Step 2'!B1214,'Support - Transition'!D:D,'Step 2'!C1214,'Support - Transition'!E:E,"CIVIL")</f>
        <v>1.4920000000000001E-3</v>
      </c>
      <c r="H1214" s="126">
        <f>SUMIFS('Support - Transition'!F:F,'Support - Transition'!B:B,'Step 2'!A1214,'Support - Transition'!C:C,'Step 2'!B1214,'Support - Transition'!D:D,'Step 2'!C1214,'Support - Transition'!E:E,"FIRE")</f>
        <v>1.475E-3</v>
      </c>
      <c r="I1214" s="126">
        <f>IF(B1214="0",SUMIFS('Support - Transition'!F:F,'Support - Transition'!J:J,'Step 2'!D1214,'Support - Transition'!E:E,"STATE UNIT"),SUMIFS('Support - Transition'!F:F,'Support - Transition'!J:J,'Step 2'!D1214))</f>
        <v>2.967E-3</v>
      </c>
      <c r="J1214" s="126">
        <f>SUMIFS('Support - Unit Adjustments'!E:E,'Support - Unit Adjustments'!F:F,'Step 2'!D1214)</f>
        <v>0</v>
      </c>
      <c r="K1214" s="126">
        <f t="shared" si="346"/>
        <v>2.967E-3</v>
      </c>
      <c r="L1214" s="174">
        <f>VLOOKUP(A1214,'Step 1'!$A:$E,4,FALSE)</f>
        <v>553551</v>
      </c>
      <c r="M1214" s="47">
        <f t="shared" si="347"/>
        <v>1642</v>
      </c>
      <c r="N1214" s="177">
        <f>SUMIFS('Support - Transition'!G:G,'Support - Transition'!J:J,'Step 2'!D1214,'Support - Transition'!E:E,"2009 WELFARE ALLOCATION FACTOR")</f>
        <v>0</v>
      </c>
      <c r="O1214" s="152">
        <f t="shared" si="352"/>
        <v>0</v>
      </c>
      <c r="P1214" s="126">
        <f>IF(E1214="Y",0,SUMIFS('Support - Transition'!G:G,'Support - Transition'!J:J,'Step 2'!D1214,'Support - Transition'!E:E,"2009 SCHOOL ALLOCATION FACTOR"))</f>
        <v>0</v>
      </c>
      <c r="Q1214" s="126">
        <f>IF(E1214="Y",VLOOKUP(D1214,'Support - Unit Adjustments'!F:G,2,FALSE),0)</f>
        <v>0</v>
      </c>
      <c r="R1214" s="155">
        <f t="shared" si="364"/>
        <v>0</v>
      </c>
      <c r="S1214" s="47">
        <f t="shared" si="363"/>
        <v>0</v>
      </c>
      <c r="T1214" s="151">
        <f t="shared" si="348"/>
        <v>1642</v>
      </c>
      <c r="U1214" s="151">
        <f t="shared" si="349"/>
        <v>0</v>
      </c>
      <c r="V1214" s="139">
        <f t="shared" si="350"/>
        <v>0</v>
      </c>
      <c r="W1214" s="152">
        <f t="shared" si="353"/>
        <v>1642</v>
      </c>
      <c r="X1214" s="127" t="str">
        <f t="shared" si="351"/>
        <v/>
      </c>
      <c r="Y1214" s="207">
        <f t="shared" si="354"/>
        <v>1642</v>
      </c>
      <c r="Z1214" s="139">
        <f t="shared" si="355"/>
        <v>826</v>
      </c>
      <c r="AA1214" s="139">
        <f t="shared" si="356"/>
        <v>816</v>
      </c>
      <c r="AC1214" s="47">
        <f t="shared" si="357"/>
        <v>821</v>
      </c>
      <c r="AD1214" s="47">
        <f t="shared" si="358"/>
        <v>413</v>
      </c>
      <c r="AE1214" s="47">
        <f t="shared" si="359"/>
        <v>408</v>
      </c>
      <c r="AG1214" s="47">
        <f t="shared" si="360"/>
        <v>821</v>
      </c>
      <c r="AH1214" s="47">
        <f t="shared" si="361"/>
        <v>413</v>
      </c>
      <c r="AI1214" s="208">
        <f t="shared" si="362"/>
        <v>408</v>
      </c>
    </row>
    <row r="1215" spans="1:35">
      <c r="A1215" t="s">
        <v>2126</v>
      </c>
      <c r="B1215" t="s">
        <v>3142</v>
      </c>
      <c r="C1215" t="s">
        <v>2197</v>
      </c>
      <c r="D1215" t="s">
        <v>4584</v>
      </c>
      <c r="F1215" t="s">
        <v>930</v>
      </c>
      <c r="G1215" s="126">
        <f>SUMIFS('Support - Transition'!F:F,'Support - Transition'!B:B,'Step 2'!A1215,'Support - Transition'!C:C,'Step 2'!B1215,'Support - Transition'!D:D,'Step 2'!C1215,'Support - Transition'!E:E,"CIVIL")</f>
        <v>1.289E-3</v>
      </c>
      <c r="H1215" s="126">
        <f>SUMIFS('Support - Transition'!F:F,'Support - Transition'!B:B,'Step 2'!A1215,'Support - Transition'!C:C,'Step 2'!B1215,'Support - Transition'!D:D,'Step 2'!C1215,'Support - Transition'!E:E,"FIRE")</f>
        <v>9.6500000000000004E-4</v>
      </c>
      <c r="I1215" s="126">
        <f>IF(B1215="0",SUMIFS('Support - Transition'!F:F,'Support - Transition'!J:J,'Step 2'!D1215,'Support - Transition'!E:E,"STATE UNIT"),SUMIFS('Support - Transition'!F:F,'Support - Transition'!J:J,'Step 2'!D1215))</f>
        <v>2.2539999999999999E-3</v>
      </c>
      <c r="J1215" s="126">
        <f>SUMIFS('Support - Unit Adjustments'!E:E,'Support - Unit Adjustments'!F:F,'Step 2'!D1215)</f>
        <v>0</v>
      </c>
      <c r="K1215" s="126">
        <f t="shared" si="346"/>
        <v>2.2539999999999999E-3</v>
      </c>
      <c r="L1215" s="174">
        <f>VLOOKUP(A1215,'Step 1'!$A:$E,4,FALSE)</f>
        <v>553551</v>
      </c>
      <c r="M1215" s="47">
        <f t="shared" si="347"/>
        <v>1248</v>
      </c>
      <c r="N1215" s="177">
        <f>SUMIFS('Support - Transition'!G:G,'Support - Transition'!J:J,'Step 2'!D1215,'Support - Transition'!E:E,"2009 WELFARE ALLOCATION FACTOR")</f>
        <v>0</v>
      </c>
      <c r="O1215" s="152">
        <f t="shared" si="352"/>
        <v>0</v>
      </c>
      <c r="P1215" s="126">
        <f>IF(E1215="Y",0,SUMIFS('Support - Transition'!G:G,'Support - Transition'!J:J,'Step 2'!D1215,'Support - Transition'!E:E,"2009 SCHOOL ALLOCATION FACTOR"))</f>
        <v>0</v>
      </c>
      <c r="Q1215" s="126">
        <f>IF(E1215="Y",VLOOKUP(D1215,'Support - Unit Adjustments'!F:G,2,FALSE),0)</f>
        <v>0</v>
      </c>
      <c r="R1215" s="155">
        <f t="shared" si="364"/>
        <v>0</v>
      </c>
      <c r="S1215" s="47">
        <f t="shared" si="363"/>
        <v>0</v>
      </c>
      <c r="T1215" s="151">
        <f t="shared" si="348"/>
        <v>1248</v>
      </c>
      <c r="U1215" s="151">
        <f t="shared" si="349"/>
        <v>0</v>
      </c>
      <c r="V1215" s="139">
        <f t="shared" si="350"/>
        <v>0</v>
      </c>
      <c r="W1215" s="152">
        <f t="shared" si="353"/>
        <v>1248</v>
      </c>
      <c r="X1215" s="127" t="str">
        <f t="shared" si="351"/>
        <v/>
      </c>
      <c r="Y1215" s="207">
        <f t="shared" si="354"/>
        <v>1248</v>
      </c>
      <c r="Z1215" s="139">
        <f t="shared" si="355"/>
        <v>714</v>
      </c>
      <c r="AA1215" s="139">
        <f t="shared" si="356"/>
        <v>534</v>
      </c>
      <c r="AC1215" s="47">
        <f t="shared" si="357"/>
        <v>624</v>
      </c>
      <c r="AD1215" s="47">
        <f t="shared" si="358"/>
        <v>357</v>
      </c>
      <c r="AE1215" s="47">
        <f t="shared" si="359"/>
        <v>267</v>
      </c>
      <c r="AG1215" s="47">
        <f t="shared" si="360"/>
        <v>624</v>
      </c>
      <c r="AH1215" s="47">
        <f t="shared" si="361"/>
        <v>357</v>
      </c>
      <c r="AI1215" s="208">
        <f t="shared" si="362"/>
        <v>267</v>
      </c>
    </row>
    <row r="1216" spans="1:35">
      <c r="A1216" t="s">
        <v>2126</v>
      </c>
      <c r="B1216" t="s">
        <v>3155</v>
      </c>
      <c r="C1216" t="s">
        <v>2442</v>
      </c>
      <c r="D1216" t="s">
        <v>4585</v>
      </c>
      <c r="F1216" t="s">
        <v>937</v>
      </c>
      <c r="G1216" s="126">
        <f>SUMIFS('Support - Transition'!F:F,'Support - Transition'!B:B,'Step 2'!A1216,'Support - Transition'!C:C,'Step 2'!B1216,'Support - Transition'!D:D,'Step 2'!C1216,'Support - Transition'!E:E,"CIVIL")</f>
        <v>0</v>
      </c>
      <c r="H1216" s="126">
        <f>SUMIFS('Support - Transition'!F:F,'Support - Transition'!B:B,'Step 2'!A1216,'Support - Transition'!C:C,'Step 2'!B1216,'Support - Transition'!D:D,'Step 2'!C1216,'Support - Transition'!E:E,"FIRE")</f>
        <v>0</v>
      </c>
      <c r="I1216" s="126">
        <f>IF(B1216="0",SUMIFS('Support - Transition'!F:F,'Support - Transition'!J:J,'Step 2'!D1216,'Support - Transition'!E:E,"STATE UNIT"),SUMIFS('Support - Transition'!F:F,'Support - Transition'!J:J,'Step 2'!D1216))</f>
        <v>8.8205000000000006E-2</v>
      </c>
      <c r="J1216" s="126">
        <f>SUMIFS('Support - Unit Adjustments'!E:E,'Support - Unit Adjustments'!F:F,'Step 2'!D1216)</f>
        <v>0</v>
      </c>
      <c r="K1216" s="126">
        <f t="shared" si="346"/>
        <v>8.8205000000000006E-2</v>
      </c>
      <c r="L1216" s="174">
        <f>VLOOKUP(A1216,'Step 1'!$A:$E,4,FALSE)</f>
        <v>553551</v>
      </c>
      <c r="M1216" s="47">
        <f t="shared" si="347"/>
        <v>48826</v>
      </c>
      <c r="N1216" s="177">
        <f>SUMIFS('Support - Transition'!G:G,'Support - Transition'!J:J,'Step 2'!D1216,'Support - Transition'!E:E,"2009 WELFARE ALLOCATION FACTOR")</f>
        <v>0</v>
      </c>
      <c r="O1216" s="152">
        <f t="shared" si="352"/>
        <v>0</v>
      </c>
      <c r="P1216" s="126">
        <f>IF(E1216="Y",0,SUMIFS('Support - Transition'!G:G,'Support - Transition'!J:J,'Step 2'!D1216,'Support - Transition'!E:E,"2009 SCHOOL ALLOCATION FACTOR"))</f>
        <v>0</v>
      </c>
      <c r="Q1216" s="126">
        <f>IF(E1216="Y",VLOOKUP(D1216,'Support - Unit Adjustments'!F:G,2,FALSE),0)</f>
        <v>0</v>
      </c>
      <c r="R1216" s="155">
        <f t="shared" si="364"/>
        <v>0</v>
      </c>
      <c r="S1216" s="47">
        <f t="shared" si="363"/>
        <v>0</v>
      </c>
      <c r="T1216" s="151">
        <f t="shared" si="348"/>
        <v>48826</v>
      </c>
      <c r="U1216" s="151">
        <f t="shared" si="349"/>
        <v>0</v>
      </c>
      <c r="V1216" s="139">
        <f t="shared" si="350"/>
        <v>0</v>
      </c>
      <c r="W1216" s="152">
        <f t="shared" si="353"/>
        <v>48826</v>
      </c>
      <c r="X1216" s="127" t="str">
        <f t="shared" si="351"/>
        <v/>
      </c>
      <c r="Y1216" s="207">
        <f t="shared" si="354"/>
        <v>48826</v>
      </c>
      <c r="Z1216" s="139">
        <f t="shared" si="355"/>
        <v>48826</v>
      </c>
      <c r="AA1216" s="139">
        <f t="shared" si="356"/>
        <v>0</v>
      </c>
      <c r="AC1216" s="47">
        <f t="shared" si="357"/>
        <v>24413</v>
      </c>
      <c r="AD1216" s="47">
        <f t="shared" si="358"/>
        <v>24413</v>
      </c>
      <c r="AE1216" s="47">
        <f t="shared" si="359"/>
        <v>0</v>
      </c>
      <c r="AG1216" s="47">
        <f t="shared" si="360"/>
        <v>24413</v>
      </c>
      <c r="AH1216" s="47">
        <f t="shared" si="361"/>
        <v>24413</v>
      </c>
      <c r="AI1216" s="208">
        <f t="shared" si="362"/>
        <v>0</v>
      </c>
    </row>
    <row r="1217" spans="1:35">
      <c r="A1217" t="s">
        <v>2126</v>
      </c>
      <c r="B1217" t="s">
        <v>3155</v>
      </c>
      <c r="C1217" t="s">
        <v>4586</v>
      </c>
      <c r="D1217" t="s">
        <v>4587</v>
      </c>
      <c r="F1217" t="s">
        <v>949</v>
      </c>
      <c r="G1217" s="126">
        <f>SUMIFS('Support - Transition'!F:F,'Support - Transition'!B:B,'Step 2'!A1217,'Support - Transition'!C:C,'Step 2'!B1217,'Support - Transition'!D:D,'Step 2'!C1217,'Support - Transition'!E:E,"CIVIL")</f>
        <v>0</v>
      </c>
      <c r="H1217" s="126">
        <f>SUMIFS('Support - Transition'!F:F,'Support - Transition'!B:B,'Step 2'!A1217,'Support - Transition'!C:C,'Step 2'!B1217,'Support - Transition'!D:D,'Step 2'!C1217,'Support - Transition'!E:E,"FIRE")</f>
        <v>0</v>
      </c>
      <c r="I1217" s="126">
        <f>IF(B1217="0",SUMIFS('Support - Transition'!F:F,'Support - Transition'!J:J,'Step 2'!D1217,'Support - Transition'!E:E,"STATE UNIT"),SUMIFS('Support - Transition'!F:F,'Support - Transition'!J:J,'Step 2'!D1217))</f>
        <v>2.7250000000000885E-3</v>
      </c>
      <c r="J1217" s="126">
        <f>SUMIFS('Support - Unit Adjustments'!E:E,'Support - Unit Adjustments'!F:F,'Step 2'!D1217)</f>
        <v>0</v>
      </c>
      <c r="K1217" s="126">
        <f t="shared" si="346"/>
        <v>2.7250000000000885E-3</v>
      </c>
      <c r="L1217" s="174">
        <f>VLOOKUP(A1217,'Step 1'!$A:$E,4,FALSE)</f>
        <v>553551</v>
      </c>
      <c r="M1217" s="47">
        <f t="shared" si="347"/>
        <v>1508</v>
      </c>
      <c r="N1217" s="177">
        <f>SUMIFS('Support - Transition'!G:G,'Support - Transition'!J:J,'Step 2'!D1217,'Support - Transition'!E:E,"2009 WELFARE ALLOCATION FACTOR")</f>
        <v>0</v>
      </c>
      <c r="O1217" s="152">
        <f t="shared" si="352"/>
        <v>0</v>
      </c>
      <c r="P1217" s="126">
        <f>IF(E1217="Y",0,SUMIFS('Support - Transition'!G:G,'Support - Transition'!J:J,'Step 2'!D1217,'Support - Transition'!E:E,"2009 SCHOOL ALLOCATION FACTOR"))</f>
        <v>0</v>
      </c>
      <c r="Q1217" s="126">
        <f>IF(E1217="Y",VLOOKUP(D1217,'Support - Unit Adjustments'!F:G,2,FALSE),0)</f>
        <v>0</v>
      </c>
      <c r="R1217" s="155">
        <f t="shared" si="364"/>
        <v>0</v>
      </c>
      <c r="S1217" s="47">
        <f t="shared" si="363"/>
        <v>0</v>
      </c>
      <c r="T1217" s="151">
        <f t="shared" si="348"/>
        <v>1508</v>
      </c>
      <c r="U1217" s="151">
        <f t="shared" si="349"/>
        <v>0</v>
      </c>
      <c r="V1217" s="139">
        <f t="shared" si="350"/>
        <v>0</v>
      </c>
      <c r="W1217" s="152">
        <f t="shared" si="353"/>
        <v>1508</v>
      </c>
      <c r="X1217" s="127" t="str">
        <f t="shared" si="351"/>
        <v/>
      </c>
      <c r="Y1217" s="207">
        <f t="shared" si="354"/>
        <v>1508</v>
      </c>
      <c r="Z1217" s="139">
        <f t="shared" si="355"/>
        <v>1508</v>
      </c>
      <c r="AA1217" s="139">
        <f t="shared" si="356"/>
        <v>0</v>
      </c>
      <c r="AC1217" s="47">
        <f t="shared" si="357"/>
        <v>754</v>
      </c>
      <c r="AD1217" s="47">
        <f t="shared" si="358"/>
        <v>754</v>
      </c>
      <c r="AE1217" s="47">
        <f t="shared" si="359"/>
        <v>0</v>
      </c>
      <c r="AG1217" s="47">
        <f t="shared" si="360"/>
        <v>754</v>
      </c>
      <c r="AH1217" s="47">
        <f t="shared" si="361"/>
        <v>754</v>
      </c>
      <c r="AI1217" s="208">
        <f t="shared" si="362"/>
        <v>0</v>
      </c>
    </row>
    <row r="1218" spans="1:35">
      <c r="A1218" t="s">
        <v>2126</v>
      </c>
      <c r="B1218" t="s">
        <v>3155</v>
      </c>
      <c r="C1218" t="s">
        <v>2657</v>
      </c>
      <c r="D1218" t="s">
        <v>4588</v>
      </c>
      <c r="F1218" t="s">
        <v>931</v>
      </c>
      <c r="G1218" s="126">
        <f>SUMIFS('Support - Transition'!F:F,'Support - Transition'!B:B,'Step 2'!A1218,'Support - Transition'!C:C,'Step 2'!B1218,'Support - Transition'!D:D,'Step 2'!C1218,'Support - Transition'!E:E,"CIVIL")</f>
        <v>0</v>
      </c>
      <c r="H1218" s="126">
        <f>SUMIFS('Support - Transition'!F:F,'Support - Transition'!B:B,'Step 2'!A1218,'Support - Transition'!C:C,'Step 2'!B1218,'Support - Transition'!D:D,'Step 2'!C1218,'Support - Transition'!E:E,"FIRE")</f>
        <v>0</v>
      </c>
      <c r="I1218" s="126">
        <f>IF(B1218="0",SUMIFS('Support - Transition'!F:F,'Support - Transition'!J:J,'Step 2'!D1218,'Support - Transition'!E:E,"STATE UNIT"),SUMIFS('Support - Transition'!F:F,'Support - Transition'!J:J,'Step 2'!D1218))</f>
        <v>1.66E-4</v>
      </c>
      <c r="J1218" s="126">
        <f>SUMIFS('Support - Unit Adjustments'!E:E,'Support - Unit Adjustments'!F:F,'Step 2'!D1218)</f>
        <v>0</v>
      </c>
      <c r="K1218" s="126">
        <f t="shared" ref="K1218:K1281" si="365">+I1218+J1218</f>
        <v>1.66E-4</v>
      </c>
      <c r="L1218" s="174">
        <f>VLOOKUP(A1218,'Step 1'!$A:$E,4,FALSE)</f>
        <v>553551</v>
      </c>
      <c r="M1218" s="47">
        <f t="shared" ref="M1218:M1281" si="366">ROUND(+K1218*L1218,0)</f>
        <v>92</v>
      </c>
      <c r="N1218" s="177">
        <f>SUMIFS('Support - Transition'!G:G,'Support - Transition'!J:J,'Step 2'!D1218,'Support - Transition'!E:E,"2009 WELFARE ALLOCATION FACTOR")</f>
        <v>0</v>
      </c>
      <c r="O1218" s="152">
        <f t="shared" si="352"/>
        <v>0</v>
      </c>
      <c r="P1218" s="126">
        <f>IF(E1218="Y",0,SUMIFS('Support - Transition'!G:G,'Support - Transition'!J:J,'Step 2'!D1218,'Support - Transition'!E:E,"2009 SCHOOL ALLOCATION FACTOR"))</f>
        <v>0</v>
      </c>
      <c r="Q1218" s="126">
        <f>IF(E1218="Y",VLOOKUP(D1218,'Support - Unit Adjustments'!F:G,2,FALSE),0)</f>
        <v>0</v>
      </c>
      <c r="R1218" s="155">
        <f t="shared" si="364"/>
        <v>0</v>
      </c>
      <c r="S1218" s="47">
        <f t="shared" si="363"/>
        <v>0</v>
      </c>
      <c r="T1218" s="151">
        <f t="shared" ref="T1218:T1281" si="367">ROUND(+M1218-O1218-S1218,2)</f>
        <v>92</v>
      </c>
      <c r="U1218" s="151">
        <f t="shared" ref="U1218:U1281" si="368">IF(B1218="0",SUMIFS(O:O,A:A,A1218)+SUMIFS(S:S,A:A,A1218)+SUMIFS(T:T,A:A,A1218),0)</f>
        <v>0</v>
      </c>
      <c r="V1218" s="139">
        <f t="shared" ref="V1218:V1281" si="369">IF(B1218="0",U1218-L1218,0)</f>
        <v>0</v>
      </c>
      <c r="W1218" s="152">
        <f t="shared" si="353"/>
        <v>92</v>
      </c>
      <c r="X1218" s="127" t="str">
        <f t="shared" ref="X1218:X1281" si="370">IF(B1218="0",SUMIFS(O:O,A:A,A1218)+SUMIFS(S:S,A:A,A1218)+SUMIFS(W:W,A:A,A1218)-L1218,"")</f>
        <v/>
      </c>
      <c r="Y1218" s="207">
        <f t="shared" si="354"/>
        <v>92</v>
      </c>
      <c r="Z1218" s="139">
        <f t="shared" si="355"/>
        <v>92</v>
      </c>
      <c r="AA1218" s="139">
        <f t="shared" si="356"/>
        <v>0</v>
      </c>
      <c r="AC1218" s="47">
        <f t="shared" si="357"/>
        <v>46</v>
      </c>
      <c r="AD1218" s="47">
        <f t="shared" si="358"/>
        <v>46</v>
      </c>
      <c r="AE1218" s="47">
        <f t="shared" si="359"/>
        <v>0</v>
      </c>
      <c r="AG1218" s="47">
        <f t="shared" si="360"/>
        <v>46</v>
      </c>
      <c r="AH1218" s="47">
        <f t="shared" si="361"/>
        <v>46</v>
      </c>
      <c r="AI1218" s="208">
        <f t="shared" si="362"/>
        <v>0</v>
      </c>
    </row>
    <row r="1219" spans="1:35">
      <c r="A1219" t="s">
        <v>2126</v>
      </c>
      <c r="B1219" t="s">
        <v>3155</v>
      </c>
      <c r="C1219" t="s">
        <v>2658</v>
      </c>
      <c r="D1219" t="s">
        <v>4589</v>
      </c>
      <c r="F1219" t="s">
        <v>932</v>
      </c>
      <c r="G1219" s="126">
        <f>SUMIFS('Support - Transition'!F:F,'Support - Transition'!B:B,'Step 2'!A1219,'Support - Transition'!C:C,'Step 2'!B1219,'Support - Transition'!D:D,'Step 2'!C1219,'Support - Transition'!E:E,"CIVIL")</f>
        <v>0</v>
      </c>
      <c r="H1219" s="126">
        <f>SUMIFS('Support - Transition'!F:F,'Support - Transition'!B:B,'Step 2'!A1219,'Support - Transition'!C:C,'Step 2'!B1219,'Support - Transition'!D:D,'Step 2'!C1219,'Support - Transition'!E:E,"FIRE")</f>
        <v>0</v>
      </c>
      <c r="I1219" s="126">
        <f>IF(B1219="0",SUMIFS('Support - Transition'!F:F,'Support - Transition'!J:J,'Step 2'!D1219,'Support - Transition'!E:E,"STATE UNIT"),SUMIFS('Support - Transition'!F:F,'Support - Transition'!J:J,'Step 2'!D1219))</f>
        <v>0</v>
      </c>
      <c r="J1219" s="126">
        <f>SUMIFS('Support - Unit Adjustments'!E:E,'Support - Unit Adjustments'!F:F,'Step 2'!D1219)</f>
        <v>0</v>
      </c>
      <c r="K1219" s="126">
        <f t="shared" si="365"/>
        <v>0</v>
      </c>
      <c r="L1219" s="174">
        <f>VLOOKUP(A1219,'Step 1'!$A:$E,4,FALSE)</f>
        <v>553551</v>
      </c>
      <c r="M1219" s="47">
        <f t="shared" si="366"/>
        <v>0</v>
      </c>
      <c r="N1219" s="177">
        <f>SUMIFS('Support - Transition'!G:G,'Support - Transition'!J:J,'Step 2'!D1219,'Support - Transition'!E:E,"2009 WELFARE ALLOCATION FACTOR")</f>
        <v>0</v>
      </c>
      <c r="O1219" s="152">
        <f t="shared" ref="O1219:O1282" si="371">ROUND(+N1219*M1219,0)</f>
        <v>0</v>
      </c>
      <c r="P1219" s="126">
        <f>IF(E1219="Y",0,SUMIFS('Support - Transition'!G:G,'Support - Transition'!J:J,'Step 2'!D1219,'Support - Transition'!E:E,"2009 SCHOOL ALLOCATION FACTOR"))</f>
        <v>0</v>
      </c>
      <c r="Q1219" s="126">
        <f>IF(E1219="Y",VLOOKUP(D1219,'Support - Unit Adjustments'!F:G,2,FALSE),0)</f>
        <v>0</v>
      </c>
      <c r="R1219" s="155">
        <f t="shared" si="364"/>
        <v>0</v>
      </c>
      <c r="S1219" s="47">
        <f t="shared" si="363"/>
        <v>0</v>
      </c>
      <c r="T1219" s="151">
        <f t="shared" si="367"/>
        <v>0</v>
      </c>
      <c r="U1219" s="151">
        <f t="shared" si="368"/>
        <v>0</v>
      </c>
      <c r="V1219" s="139">
        <f t="shared" si="369"/>
        <v>0</v>
      </c>
      <c r="W1219" s="152">
        <f t="shared" ref="W1219:W1282" si="372">+T1219-V1219</f>
        <v>0</v>
      </c>
      <c r="X1219" s="127" t="str">
        <f t="shared" si="370"/>
        <v/>
      </c>
      <c r="Y1219" s="207">
        <f t="shared" ref="Y1219:Y1282" si="373">W1219</f>
        <v>0</v>
      </c>
      <c r="Z1219" s="139">
        <f t="shared" ref="Z1219:Z1282" si="374">IFERROR(IF(B1219="2",ROUND(Y1219*G1219/I1219,0),Y1219),0)</f>
        <v>0</v>
      </c>
      <c r="AA1219" s="139">
        <f t="shared" ref="AA1219:AA1282" si="375">+Y1219-Z1219</f>
        <v>0</v>
      </c>
      <c r="AC1219" s="47">
        <f t="shared" ref="AC1219:AC1282" si="376">ROUND(Y1219/2,0)</f>
        <v>0</v>
      </c>
      <c r="AD1219" s="47">
        <f t="shared" ref="AD1219:AD1282" si="377">ROUND(Z1219/2,0)</f>
        <v>0</v>
      </c>
      <c r="AE1219" s="47">
        <f t="shared" ref="AE1219:AE1282" si="378">ROUND(AA1219/2,0)</f>
        <v>0</v>
      </c>
      <c r="AG1219" s="47">
        <f t="shared" ref="AG1219:AG1282" si="379">+Y1219-AC1219</f>
        <v>0</v>
      </c>
      <c r="AH1219" s="47">
        <f t="shared" ref="AH1219:AH1282" si="380">+Z1219-AD1219</f>
        <v>0</v>
      </c>
      <c r="AI1219" s="208">
        <f t="shared" ref="AI1219:AI1282" si="381">+AA1219-AE1219</f>
        <v>0</v>
      </c>
    </row>
    <row r="1220" spans="1:35">
      <c r="A1220" t="s">
        <v>2126</v>
      </c>
      <c r="B1220" t="s">
        <v>3155</v>
      </c>
      <c r="C1220" t="s">
        <v>2659</v>
      </c>
      <c r="D1220" t="s">
        <v>4590</v>
      </c>
      <c r="F1220" t="s">
        <v>933</v>
      </c>
      <c r="G1220" s="126">
        <f>SUMIFS('Support - Transition'!F:F,'Support - Transition'!B:B,'Step 2'!A1220,'Support - Transition'!C:C,'Step 2'!B1220,'Support - Transition'!D:D,'Step 2'!C1220,'Support - Transition'!E:E,"CIVIL")</f>
        <v>0</v>
      </c>
      <c r="H1220" s="126">
        <f>SUMIFS('Support - Transition'!F:F,'Support - Transition'!B:B,'Step 2'!A1220,'Support - Transition'!C:C,'Step 2'!B1220,'Support - Transition'!D:D,'Step 2'!C1220,'Support - Transition'!E:E,"FIRE")</f>
        <v>0</v>
      </c>
      <c r="I1220" s="126">
        <f>IF(B1220="0",SUMIFS('Support - Transition'!F:F,'Support - Transition'!J:J,'Step 2'!D1220,'Support - Transition'!E:E,"STATE UNIT"),SUMIFS('Support - Transition'!F:F,'Support - Transition'!J:J,'Step 2'!D1220))</f>
        <v>1.0139999999999999E-3</v>
      </c>
      <c r="J1220" s="126">
        <f>SUMIFS('Support - Unit Adjustments'!E:E,'Support - Unit Adjustments'!F:F,'Step 2'!D1220)</f>
        <v>0</v>
      </c>
      <c r="K1220" s="126">
        <f t="shared" si="365"/>
        <v>1.0139999999999999E-3</v>
      </c>
      <c r="L1220" s="174">
        <f>VLOOKUP(A1220,'Step 1'!$A:$E,4,FALSE)</f>
        <v>553551</v>
      </c>
      <c r="M1220" s="47">
        <f t="shared" si="366"/>
        <v>561</v>
      </c>
      <c r="N1220" s="177">
        <f>SUMIFS('Support - Transition'!G:G,'Support - Transition'!J:J,'Step 2'!D1220,'Support - Transition'!E:E,"2009 WELFARE ALLOCATION FACTOR")</f>
        <v>0</v>
      </c>
      <c r="O1220" s="152">
        <f t="shared" si="371"/>
        <v>0</v>
      </c>
      <c r="P1220" s="126">
        <f>IF(E1220="Y",0,SUMIFS('Support - Transition'!G:G,'Support - Transition'!J:J,'Step 2'!D1220,'Support - Transition'!E:E,"2009 SCHOOL ALLOCATION FACTOR"))</f>
        <v>0</v>
      </c>
      <c r="Q1220" s="126">
        <f>IF(E1220="Y",VLOOKUP(D1220,'Support - Unit Adjustments'!F:G,2,FALSE),0)</f>
        <v>0</v>
      </c>
      <c r="R1220" s="155">
        <f t="shared" si="364"/>
        <v>0</v>
      </c>
      <c r="S1220" s="47">
        <f t="shared" si="363"/>
        <v>0</v>
      </c>
      <c r="T1220" s="151">
        <f t="shared" si="367"/>
        <v>561</v>
      </c>
      <c r="U1220" s="151">
        <f t="shared" si="368"/>
        <v>0</v>
      </c>
      <c r="V1220" s="139">
        <f t="shared" si="369"/>
        <v>0</v>
      </c>
      <c r="W1220" s="152">
        <f t="shared" si="372"/>
        <v>561</v>
      </c>
      <c r="X1220" s="127" t="str">
        <f t="shared" si="370"/>
        <v/>
      </c>
      <c r="Y1220" s="207">
        <f t="shared" si="373"/>
        <v>561</v>
      </c>
      <c r="Z1220" s="139">
        <f t="shared" si="374"/>
        <v>561</v>
      </c>
      <c r="AA1220" s="139">
        <f t="shared" si="375"/>
        <v>0</v>
      </c>
      <c r="AC1220" s="47">
        <f t="shared" si="376"/>
        <v>281</v>
      </c>
      <c r="AD1220" s="47">
        <f t="shared" si="377"/>
        <v>281</v>
      </c>
      <c r="AE1220" s="47">
        <f t="shared" si="378"/>
        <v>0</v>
      </c>
      <c r="AG1220" s="47">
        <f t="shared" si="379"/>
        <v>280</v>
      </c>
      <c r="AH1220" s="47">
        <f t="shared" si="380"/>
        <v>280</v>
      </c>
      <c r="AI1220" s="208">
        <f t="shared" si="381"/>
        <v>0</v>
      </c>
    </row>
    <row r="1221" spans="1:35">
      <c r="A1221" t="s">
        <v>2126</v>
      </c>
      <c r="B1221" t="s">
        <v>3155</v>
      </c>
      <c r="C1221" t="s">
        <v>2660</v>
      </c>
      <c r="D1221" t="s">
        <v>4591</v>
      </c>
      <c r="F1221" t="s">
        <v>934</v>
      </c>
      <c r="G1221" s="126">
        <f>SUMIFS('Support - Transition'!F:F,'Support - Transition'!B:B,'Step 2'!A1221,'Support - Transition'!C:C,'Step 2'!B1221,'Support - Transition'!D:D,'Step 2'!C1221,'Support - Transition'!E:E,"CIVIL")</f>
        <v>0</v>
      </c>
      <c r="H1221" s="126">
        <f>SUMIFS('Support - Transition'!F:F,'Support - Transition'!B:B,'Step 2'!A1221,'Support - Transition'!C:C,'Step 2'!B1221,'Support - Transition'!D:D,'Step 2'!C1221,'Support - Transition'!E:E,"FIRE")</f>
        <v>0</v>
      </c>
      <c r="I1221" s="126">
        <f>IF(B1221="0",SUMIFS('Support - Transition'!F:F,'Support - Transition'!J:J,'Step 2'!D1221,'Support - Transition'!E:E,"STATE UNIT"),SUMIFS('Support - Transition'!F:F,'Support - Transition'!J:J,'Step 2'!D1221))</f>
        <v>0</v>
      </c>
      <c r="J1221" s="126">
        <f>SUMIFS('Support - Unit Adjustments'!E:E,'Support - Unit Adjustments'!F:F,'Step 2'!D1221)</f>
        <v>0</v>
      </c>
      <c r="K1221" s="126">
        <f t="shared" si="365"/>
        <v>0</v>
      </c>
      <c r="L1221" s="174">
        <f>VLOOKUP(A1221,'Step 1'!$A:$E,4,FALSE)</f>
        <v>553551</v>
      </c>
      <c r="M1221" s="47">
        <f t="shared" si="366"/>
        <v>0</v>
      </c>
      <c r="N1221" s="177">
        <f>SUMIFS('Support - Transition'!G:G,'Support - Transition'!J:J,'Step 2'!D1221,'Support - Transition'!E:E,"2009 WELFARE ALLOCATION FACTOR")</f>
        <v>0</v>
      </c>
      <c r="O1221" s="152">
        <f t="shared" si="371"/>
        <v>0</v>
      </c>
      <c r="P1221" s="126">
        <f>IF(E1221="Y",0,SUMIFS('Support - Transition'!G:G,'Support - Transition'!J:J,'Step 2'!D1221,'Support - Transition'!E:E,"2009 SCHOOL ALLOCATION FACTOR"))</f>
        <v>0</v>
      </c>
      <c r="Q1221" s="126">
        <f>IF(E1221="Y",VLOOKUP(D1221,'Support - Unit Adjustments'!F:G,2,FALSE),0)</f>
        <v>0</v>
      </c>
      <c r="R1221" s="155">
        <f t="shared" si="364"/>
        <v>0</v>
      </c>
      <c r="S1221" s="47">
        <f t="shared" si="363"/>
        <v>0</v>
      </c>
      <c r="T1221" s="151">
        <f t="shared" si="367"/>
        <v>0</v>
      </c>
      <c r="U1221" s="151">
        <f t="shared" si="368"/>
        <v>0</v>
      </c>
      <c r="V1221" s="139">
        <f t="shared" si="369"/>
        <v>0</v>
      </c>
      <c r="W1221" s="152">
        <f t="shared" si="372"/>
        <v>0</v>
      </c>
      <c r="X1221" s="127" t="str">
        <f t="shared" si="370"/>
        <v/>
      </c>
      <c r="Y1221" s="207">
        <f t="shared" si="373"/>
        <v>0</v>
      </c>
      <c r="Z1221" s="139">
        <f t="shared" si="374"/>
        <v>0</v>
      </c>
      <c r="AA1221" s="139">
        <f t="shared" si="375"/>
        <v>0</v>
      </c>
      <c r="AC1221" s="47">
        <f t="shared" si="376"/>
        <v>0</v>
      </c>
      <c r="AD1221" s="47">
        <f t="shared" si="377"/>
        <v>0</v>
      </c>
      <c r="AE1221" s="47">
        <f t="shared" si="378"/>
        <v>0</v>
      </c>
      <c r="AG1221" s="47">
        <f t="shared" si="379"/>
        <v>0</v>
      </c>
      <c r="AH1221" s="47">
        <f t="shared" si="380"/>
        <v>0</v>
      </c>
      <c r="AI1221" s="208">
        <f t="shared" si="381"/>
        <v>0</v>
      </c>
    </row>
    <row r="1222" spans="1:35">
      <c r="A1222" t="s">
        <v>2126</v>
      </c>
      <c r="B1222" t="s">
        <v>3155</v>
      </c>
      <c r="C1222" t="s">
        <v>2661</v>
      </c>
      <c r="D1222" t="s">
        <v>4592</v>
      </c>
      <c r="F1222" t="s">
        <v>935</v>
      </c>
      <c r="G1222" s="126">
        <f>SUMIFS('Support - Transition'!F:F,'Support - Transition'!B:B,'Step 2'!A1222,'Support - Transition'!C:C,'Step 2'!B1222,'Support - Transition'!D:D,'Step 2'!C1222,'Support - Transition'!E:E,"CIVIL")</f>
        <v>0</v>
      </c>
      <c r="H1222" s="126">
        <f>SUMIFS('Support - Transition'!F:F,'Support - Transition'!B:B,'Step 2'!A1222,'Support - Transition'!C:C,'Step 2'!B1222,'Support - Transition'!D:D,'Step 2'!C1222,'Support - Transition'!E:E,"FIRE")</f>
        <v>0</v>
      </c>
      <c r="I1222" s="126">
        <f>IF(B1222="0",SUMIFS('Support - Transition'!F:F,'Support - Transition'!J:J,'Step 2'!D1222,'Support - Transition'!E:E,"STATE UNIT"),SUMIFS('Support - Transition'!F:F,'Support - Transition'!J:J,'Step 2'!D1222))</f>
        <v>2.6800000000000001E-4</v>
      </c>
      <c r="J1222" s="126">
        <f>SUMIFS('Support - Unit Adjustments'!E:E,'Support - Unit Adjustments'!F:F,'Step 2'!D1222)</f>
        <v>0</v>
      </c>
      <c r="K1222" s="126">
        <f t="shared" si="365"/>
        <v>2.6800000000000001E-4</v>
      </c>
      <c r="L1222" s="174">
        <f>VLOOKUP(A1222,'Step 1'!$A:$E,4,FALSE)</f>
        <v>553551</v>
      </c>
      <c r="M1222" s="47">
        <f t="shared" si="366"/>
        <v>148</v>
      </c>
      <c r="N1222" s="177">
        <f>SUMIFS('Support - Transition'!G:G,'Support - Transition'!J:J,'Step 2'!D1222,'Support - Transition'!E:E,"2009 WELFARE ALLOCATION FACTOR")</f>
        <v>0</v>
      </c>
      <c r="O1222" s="152">
        <f t="shared" si="371"/>
        <v>0</v>
      </c>
      <c r="P1222" s="126">
        <f>IF(E1222="Y",0,SUMIFS('Support - Transition'!G:G,'Support - Transition'!J:J,'Step 2'!D1222,'Support - Transition'!E:E,"2009 SCHOOL ALLOCATION FACTOR"))</f>
        <v>0</v>
      </c>
      <c r="Q1222" s="126">
        <f>IF(E1222="Y",VLOOKUP(D1222,'Support - Unit Adjustments'!F:G,2,FALSE),0)</f>
        <v>0</v>
      </c>
      <c r="R1222" s="155">
        <f t="shared" si="364"/>
        <v>0</v>
      </c>
      <c r="S1222" s="47">
        <f t="shared" si="363"/>
        <v>0</v>
      </c>
      <c r="T1222" s="151">
        <f t="shared" si="367"/>
        <v>148</v>
      </c>
      <c r="U1222" s="151">
        <f t="shared" si="368"/>
        <v>0</v>
      </c>
      <c r="V1222" s="139">
        <f t="shared" si="369"/>
        <v>0</v>
      </c>
      <c r="W1222" s="152">
        <f t="shared" si="372"/>
        <v>148</v>
      </c>
      <c r="X1222" s="127" t="str">
        <f t="shared" si="370"/>
        <v/>
      </c>
      <c r="Y1222" s="207">
        <f t="shared" si="373"/>
        <v>148</v>
      </c>
      <c r="Z1222" s="139">
        <f t="shared" si="374"/>
        <v>148</v>
      </c>
      <c r="AA1222" s="139">
        <f t="shared" si="375"/>
        <v>0</v>
      </c>
      <c r="AC1222" s="47">
        <f t="shared" si="376"/>
        <v>74</v>
      </c>
      <c r="AD1222" s="47">
        <f t="shared" si="377"/>
        <v>74</v>
      </c>
      <c r="AE1222" s="47">
        <f t="shared" si="378"/>
        <v>0</v>
      </c>
      <c r="AG1222" s="47">
        <f t="shared" si="379"/>
        <v>74</v>
      </c>
      <c r="AH1222" s="47">
        <f t="shared" si="380"/>
        <v>74</v>
      </c>
      <c r="AI1222" s="208">
        <f t="shared" si="381"/>
        <v>0</v>
      </c>
    </row>
    <row r="1223" spans="1:35">
      <c r="A1223" t="s">
        <v>2126</v>
      </c>
      <c r="B1223" t="s">
        <v>3155</v>
      </c>
      <c r="C1223" t="s">
        <v>2662</v>
      </c>
      <c r="D1223" t="s">
        <v>4593</v>
      </c>
      <c r="F1223" t="s">
        <v>936</v>
      </c>
      <c r="G1223" s="126">
        <f>SUMIFS('Support - Transition'!F:F,'Support - Transition'!B:B,'Step 2'!A1223,'Support - Transition'!C:C,'Step 2'!B1223,'Support - Transition'!D:D,'Step 2'!C1223,'Support - Transition'!E:E,"CIVIL")</f>
        <v>0</v>
      </c>
      <c r="H1223" s="126">
        <f>SUMIFS('Support - Transition'!F:F,'Support - Transition'!B:B,'Step 2'!A1223,'Support - Transition'!C:C,'Step 2'!B1223,'Support - Transition'!D:D,'Step 2'!C1223,'Support - Transition'!E:E,"FIRE")</f>
        <v>0</v>
      </c>
      <c r="I1223" s="126">
        <f>IF(B1223="0",SUMIFS('Support - Transition'!F:F,'Support - Transition'!J:J,'Step 2'!D1223,'Support - Transition'!E:E,"STATE UNIT"),SUMIFS('Support - Transition'!F:F,'Support - Transition'!J:J,'Step 2'!D1223))</f>
        <v>6.8999999999999997E-4</v>
      </c>
      <c r="J1223" s="126">
        <f>SUMIFS('Support - Unit Adjustments'!E:E,'Support - Unit Adjustments'!F:F,'Step 2'!D1223)</f>
        <v>0</v>
      </c>
      <c r="K1223" s="126">
        <f t="shared" si="365"/>
        <v>6.8999999999999997E-4</v>
      </c>
      <c r="L1223" s="174">
        <f>VLOOKUP(A1223,'Step 1'!$A:$E,4,FALSE)</f>
        <v>553551</v>
      </c>
      <c r="M1223" s="47">
        <f t="shared" si="366"/>
        <v>382</v>
      </c>
      <c r="N1223" s="177">
        <f>SUMIFS('Support - Transition'!G:G,'Support - Transition'!J:J,'Step 2'!D1223,'Support - Transition'!E:E,"2009 WELFARE ALLOCATION FACTOR")</f>
        <v>0</v>
      </c>
      <c r="O1223" s="152">
        <f t="shared" si="371"/>
        <v>0</v>
      </c>
      <c r="P1223" s="126">
        <f>IF(E1223="Y",0,SUMIFS('Support - Transition'!G:G,'Support - Transition'!J:J,'Step 2'!D1223,'Support - Transition'!E:E,"2009 SCHOOL ALLOCATION FACTOR"))</f>
        <v>0</v>
      </c>
      <c r="Q1223" s="126">
        <f>IF(E1223="Y",VLOOKUP(D1223,'Support - Unit Adjustments'!F:G,2,FALSE),0)</f>
        <v>0</v>
      </c>
      <c r="R1223" s="155">
        <f t="shared" si="364"/>
        <v>0</v>
      </c>
      <c r="S1223" s="47">
        <f t="shared" si="363"/>
        <v>0</v>
      </c>
      <c r="T1223" s="151">
        <f t="shared" si="367"/>
        <v>382</v>
      </c>
      <c r="U1223" s="151">
        <f t="shared" si="368"/>
        <v>0</v>
      </c>
      <c r="V1223" s="139">
        <f t="shared" si="369"/>
        <v>0</v>
      </c>
      <c r="W1223" s="152">
        <f t="shared" si="372"/>
        <v>382</v>
      </c>
      <c r="X1223" s="127" t="str">
        <f t="shared" si="370"/>
        <v/>
      </c>
      <c r="Y1223" s="207">
        <f t="shared" si="373"/>
        <v>382</v>
      </c>
      <c r="Z1223" s="139">
        <f t="shared" si="374"/>
        <v>382</v>
      </c>
      <c r="AA1223" s="139">
        <f t="shared" si="375"/>
        <v>0</v>
      </c>
      <c r="AC1223" s="47">
        <f t="shared" si="376"/>
        <v>191</v>
      </c>
      <c r="AD1223" s="47">
        <f t="shared" si="377"/>
        <v>191</v>
      </c>
      <c r="AE1223" s="47">
        <f t="shared" si="378"/>
        <v>0</v>
      </c>
      <c r="AG1223" s="47">
        <f t="shared" si="379"/>
        <v>191</v>
      </c>
      <c r="AH1223" s="47">
        <f t="shared" si="380"/>
        <v>191</v>
      </c>
      <c r="AI1223" s="208">
        <f t="shared" si="381"/>
        <v>0</v>
      </c>
    </row>
    <row r="1224" spans="1:35">
      <c r="A1224" t="s">
        <v>2126</v>
      </c>
      <c r="B1224" t="s">
        <v>3155</v>
      </c>
      <c r="C1224" t="s">
        <v>2663</v>
      </c>
      <c r="D1224" t="s">
        <v>4594</v>
      </c>
      <c r="F1224" t="s">
        <v>938</v>
      </c>
      <c r="G1224" s="126">
        <f>SUMIFS('Support - Transition'!F:F,'Support - Transition'!B:B,'Step 2'!A1224,'Support - Transition'!C:C,'Step 2'!B1224,'Support - Transition'!D:D,'Step 2'!C1224,'Support - Transition'!E:E,"CIVIL")</f>
        <v>0</v>
      </c>
      <c r="H1224" s="126">
        <f>SUMIFS('Support - Transition'!F:F,'Support - Transition'!B:B,'Step 2'!A1224,'Support - Transition'!C:C,'Step 2'!B1224,'Support - Transition'!D:D,'Step 2'!C1224,'Support - Transition'!E:E,"FIRE")</f>
        <v>0</v>
      </c>
      <c r="I1224" s="126">
        <f>IF(B1224="0",SUMIFS('Support - Transition'!F:F,'Support - Transition'!J:J,'Step 2'!D1224,'Support - Transition'!E:E,"STATE UNIT"),SUMIFS('Support - Transition'!F:F,'Support - Transition'!J:J,'Step 2'!D1224))</f>
        <v>2.0300000000000001E-3</v>
      </c>
      <c r="J1224" s="126">
        <f>SUMIFS('Support - Unit Adjustments'!E:E,'Support - Unit Adjustments'!F:F,'Step 2'!D1224)</f>
        <v>0</v>
      </c>
      <c r="K1224" s="126">
        <f t="shared" si="365"/>
        <v>2.0300000000000001E-3</v>
      </c>
      <c r="L1224" s="174">
        <f>VLOOKUP(A1224,'Step 1'!$A:$E,4,FALSE)</f>
        <v>553551</v>
      </c>
      <c r="M1224" s="47">
        <f t="shared" si="366"/>
        <v>1124</v>
      </c>
      <c r="N1224" s="177">
        <f>SUMIFS('Support - Transition'!G:G,'Support - Transition'!J:J,'Step 2'!D1224,'Support - Transition'!E:E,"2009 WELFARE ALLOCATION FACTOR")</f>
        <v>0</v>
      </c>
      <c r="O1224" s="152">
        <f t="shared" si="371"/>
        <v>0</v>
      </c>
      <c r="P1224" s="126">
        <f>IF(E1224="Y",0,SUMIFS('Support - Transition'!G:G,'Support - Transition'!J:J,'Step 2'!D1224,'Support - Transition'!E:E,"2009 SCHOOL ALLOCATION FACTOR"))</f>
        <v>0</v>
      </c>
      <c r="Q1224" s="126">
        <f>IF(E1224="Y",VLOOKUP(D1224,'Support - Unit Adjustments'!F:G,2,FALSE),0)</f>
        <v>0</v>
      </c>
      <c r="R1224" s="155">
        <f t="shared" si="364"/>
        <v>0</v>
      </c>
      <c r="S1224" s="47">
        <f t="shared" ref="S1224:S1287" si="382">ROUND(+R1224*M1224,0)</f>
        <v>0</v>
      </c>
      <c r="T1224" s="151">
        <f t="shared" si="367"/>
        <v>1124</v>
      </c>
      <c r="U1224" s="151">
        <f t="shared" si="368"/>
        <v>0</v>
      </c>
      <c r="V1224" s="139">
        <f t="shared" si="369"/>
        <v>0</v>
      </c>
      <c r="W1224" s="152">
        <f t="shared" si="372"/>
        <v>1124</v>
      </c>
      <c r="X1224" s="127" t="str">
        <f t="shared" si="370"/>
        <v/>
      </c>
      <c r="Y1224" s="207">
        <f t="shared" si="373"/>
        <v>1124</v>
      </c>
      <c r="Z1224" s="139">
        <f t="shared" si="374"/>
        <v>1124</v>
      </c>
      <c r="AA1224" s="139">
        <f t="shared" si="375"/>
        <v>0</v>
      </c>
      <c r="AC1224" s="47">
        <f t="shared" si="376"/>
        <v>562</v>
      </c>
      <c r="AD1224" s="47">
        <f t="shared" si="377"/>
        <v>562</v>
      </c>
      <c r="AE1224" s="47">
        <f t="shared" si="378"/>
        <v>0</v>
      </c>
      <c r="AG1224" s="47">
        <f t="shared" si="379"/>
        <v>562</v>
      </c>
      <c r="AH1224" s="47">
        <f t="shared" si="380"/>
        <v>562</v>
      </c>
      <c r="AI1224" s="208">
        <f t="shared" si="381"/>
        <v>0</v>
      </c>
    </row>
    <row r="1225" spans="1:35">
      <c r="A1225" t="s">
        <v>2126</v>
      </c>
      <c r="B1225" t="s">
        <v>3160</v>
      </c>
      <c r="C1225" t="s">
        <v>2664</v>
      </c>
      <c r="D1225" t="s">
        <v>4595</v>
      </c>
      <c r="F1225" t="s">
        <v>939</v>
      </c>
      <c r="G1225" s="126">
        <f>SUMIFS('Support - Transition'!F:F,'Support - Transition'!B:B,'Step 2'!A1225,'Support - Transition'!C:C,'Step 2'!B1225,'Support - Transition'!D:D,'Step 2'!C1225,'Support - Transition'!E:E,"CIVIL")</f>
        <v>0</v>
      </c>
      <c r="H1225" s="126">
        <f>SUMIFS('Support - Transition'!F:F,'Support - Transition'!B:B,'Step 2'!A1225,'Support - Transition'!C:C,'Step 2'!B1225,'Support - Transition'!D:D,'Step 2'!C1225,'Support - Transition'!E:E,"FIRE")</f>
        <v>0</v>
      </c>
      <c r="I1225" s="126">
        <f>IF(B1225="0",SUMIFS('Support - Transition'!F:F,'Support - Transition'!J:J,'Step 2'!D1225,'Support - Transition'!E:E,"STATE UNIT"),SUMIFS('Support - Transition'!F:F,'Support - Transition'!J:J,'Step 2'!D1225))</f>
        <v>0.139871</v>
      </c>
      <c r="J1225" s="126">
        <f>SUMIFS('Support - Unit Adjustments'!E:E,'Support - Unit Adjustments'!F:F,'Step 2'!D1225)</f>
        <v>0</v>
      </c>
      <c r="K1225" s="126">
        <f t="shared" si="365"/>
        <v>0.139871</v>
      </c>
      <c r="L1225" s="174">
        <f>VLOOKUP(A1225,'Step 1'!$A:$E,4,FALSE)</f>
        <v>553551</v>
      </c>
      <c r="M1225" s="47">
        <f t="shared" si="366"/>
        <v>77426</v>
      </c>
      <c r="N1225" s="177">
        <f>SUMIFS('Support - Transition'!G:G,'Support - Transition'!J:J,'Step 2'!D1225,'Support - Transition'!E:E,"2009 WELFARE ALLOCATION FACTOR")</f>
        <v>0</v>
      </c>
      <c r="O1225" s="152">
        <f t="shared" si="371"/>
        <v>0</v>
      </c>
      <c r="P1225" s="126">
        <f>IF(E1225="Y",0,SUMIFS('Support - Transition'!G:G,'Support - Transition'!J:J,'Step 2'!D1225,'Support - Transition'!E:E,"2009 SCHOOL ALLOCATION FACTOR"))</f>
        <v>0.45267400000000002</v>
      </c>
      <c r="Q1225" s="126">
        <f>IF(E1225="Y",VLOOKUP(D1225,'Support - Unit Adjustments'!F:G,2,FALSE),0)</f>
        <v>0</v>
      </c>
      <c r="R1225" s="155">
        <f t="shared" ref="R1225:R1288" si="383">+P1225+Q1225</f>
        <v>0.45267400000000002</v>
      </c>
      <c r="S1225" s="47">
        <f t="shared" si="382"/>
        <v>35049</v>
      </c>
      <c r="T1225" s="151">
        <f t="shared" si="367"/>
        <v>42377</v>
      </c>
      <c r="U1225" s="151">
        <f t="shared" si="368"/>
        <v>0</v>
      </c>
      <c r="V1225" s="139">
        <f t="shared" si="369"/>
        <v>0</v>
      </c>
      <c r="W1225" s="152">
        <f t="shared" si="372"/>
        <v>42377</v>
      </c>
      <c r="X1225" s="127" t="str">
        <f t="shared" si="370"/>
        <v/>
      </c>
      <c r="Y1225" s="207">
        <f t="shared" si="373"/>
        <v>42377</v>
      </c>
      <c r="Z1225" s="139">
        <f t="shared" si="374"/>
        <v>42377</v>
      </c>
      <c r="AA1225" s="139">
        <f t="shared" si="375"/>
        <v>0</v>
      </c>
      <c r="AC1225" s="47">
        <f t="shared" si="376"/>
        <v>21189</v>
      </c>
      <c r="AD1225" s="47">
        <f t="shared" si="377"/>
        <v>21189</v>
      </c>
      <c r="AE1225" s="47">
        <f t="shared" si="378"/>
        <v>0</v>
      </c>
      <c r="AG1225" s="47">
        <f t="shared" si="379"/>
        <v>21188</v>
      </c>
      <c r="AH1225" s="47">
        <f t="shared" si="380"/>
        <v>21188</v>
      </c>
      <c r="AI1225" s="208">
        <f t="shared" si="381"/>
        <v>0</v>
      </c>
    </row>
    <row r="1226" spans="1:35">
      <c r="A1226" t="s">
        <v>2126</v>
      </c>
      <c r="B1226" t="s">
        <v>3160</v>
      </c>
      <c r="C1226" t="s">
        <v>2665</v>
      </c>
      <c r="D1226" t="s">
        <v>4596</v>
      </c>
      <c r="F1226" t="s">
        <v>940</v>
      </c>
      <c r="G1226" s="126">
        <f>SUMIFS('Support - Transition'!F:F,'Support - Transition'!B:B,'Step 2'!A1226,'Support - Transition'!C:C,'Step 2'!B1226,'Support - Transition'!D:D,'Step 2'!C1226,'Support - Transition'!E:E,"CIVIL")</f>
        <v>0</v>
      </c>
      <c r="H1226" s="126">
        <f>SUMIFS('Support - Transition'!F:F,'Support - Transition'!B:B,'Step 2'!A1226,'Support - Transition'!C:C,'Step 2'!B1226,'Support - Transition'!D:D,'Step 2'!C1226,'Support - Transition'!E:E,"FIRE")</f>
        <v>0</v>
      </c>
      <c r="I1226" s="126">
        <f>IF(B1226="0",SUMIFS('Support - Transition'!F:F,'Support - Transition'!J:J,'Step 2'!D1226,'Support - Transition'!E:E,"STATE UNIT"),SUMIFS('Support - Transition'!F:F,'Support - Transition'!J:J,'Step 2'!D1226))</f>
        <v>0.15743599999999999</v>
      </c>
      <c r="J1226" s="126">
        <f>SUMIFS('Support - Unit Adjustments'!E:E,'Support - Unit Adjustments'!F:F,'Step 2'!D1226)</f>
        <v>0</v>
      </c>
      <c r="K1226" s="126">
        <f t="shared" si="365"/>
        <v>0.15743599999999999</v>
      </c>
      <c r="L1226" s="174">
        <f>VLOOKUP(A1226,'Step 1'!$A:$E,4,FALSE)</f>
        <v>553551</v>
      </c>
      <c r="M1226" s="47">
        <f t="shared" si="366"/>
        <v>87149</v>
      </c>
      <c r="N1226" s="177">
        <f>SUMIFS('Support - Transition'!G:G,'Support - Transition'!J:J,'Step 2'!D1226,'Support - Transition'!E:E,"2009 WELFARE ALLOCATION FACTOR")</f>
        <v>0</v>
      </c>
      <c r="O1226" s="152">
        <f t="shared" si="371"/>
        <v>0</v>
      </c>
      <c r="P1226" s="126">
        <f>IF(E1226="Y",0,SUMIFS('Support - Transition'!G:G,'Support - Transition'!J:J,'Step 2'!D1226,'Support - Transition'!E:E,"2009 SCHOOL ALLOCATION FACTOR"))</f>
        <v>0.45930399999999999</v>
      </c>
      <c r="Q1226" s="126">
        <f>IF(E1226="Y",VLOOKUP(D1226,'Support - Unit Adjustments'!F:G,2,FALSE),0)</f>
        <v>0</v>
      </c>
      <c r="R1226" s="155">
        <f t="shared" si="383"/>
        <v>0.45930399999999999</v>
      </c>
      <c r="S1226" s="47">
        <f t="shared" si="382"/>
        <v>40028</v>
      </c>
      <c r="T1226" s="151">
        <f t="shared" si="367"/>
        <v>47121</v>
      </c>
      <c r="U1226" s="151">
        <f t="shared" si="368"/>
        <v>0</v>
      </c>
      <c r="V1226" s="139">
        <f t="shared" si="369"/>
        <v>0</v>
      </c>
      <c r="W1226" s="152">
        <f t="shared" si="372"/>
        <v>47121</v>
      </c>
      <c r="X1226" s="127" t="str">
        <f t="shared" si="370"/>
        <v/>
      </c>
      <c r="Y1226" s="207">
        <f t="shared" si="373"/>
        <v>47121</v>
      </c>
      <c r="Z1226" s="139">
        <f t="shared" si="374"/>
        <v>47121</v>
      </c>
      <c r="AA1226" s="139">
        <f t="shared" si="375"/>
        <v>0</v>
      </c>
      <c r="AC1226" s="47">
        <f t="shared" si="376"/>
        <v>23561</v>
      </c>
      <c r="AD1226" s="47">
        <f t="shared" si="377"/>
        <v>23561</v>
      </c>
      <c r="AE1226" s="47">
        <f t="shared" si="378"/>
        <v>0</v>
      </c>
      <c r="AG1226" s="47">
        <f t="shared" si="379"/>
        <v>23560</v>
      </c>
      <c r="AH1226" s="47">
        <f t="shared" si="380"/>
        <v>23560</v>
      </c>
      <c r="AI1226" s="208">
        <f t="shared" si="381"/>
        <v>0</v>
      </c>
    </row>
    <row r="1227" spans="1:35">
      <c r="A1227" t="s">
        <v>2126</v>
      </c>
      <c r="B1227" t="s">
        <v>3160</v>
      </c>
      <c r="C1227" t="s">
        <v>2666</v>
      </c>
      <c r="D1227" t="s">
        <v>4597</v>
      </c>
      <c r="F1227" t="s">
        <v>941</v>
      </c>
      <c r="G1227" s="126">
        <f>SUMIFS('Support - Transition'!F:F,'Support - Transition'!B:B,'Step 2'!A1227,'Support - Transition'!C:C,'Step 2'!B1227,'Support - Transition'!D:D,'Step 2'!C1227,'Support - Transition'!E:E,"CIVIL")</f>
        <v>0</v>
      </c>
      <c r="H1227" s="126">
        <f>SUMIFS('Support - Transition'!F:F,'Support - Transition'!B:B,'Step 2'!A1227,'Support - Transition'!C:C,'Step 2'!B1227,'Support - Transition'!D:D,'Step 2'!C1227,'Support - Transition'!E:E,"FIRE")</f>
        <v>0</v>
      </c>
      <c r="I1227" s="126">
        <f>IF(B1227="0",SUMIFS('Support - Transition'!F:F,'Support - Transition'!J:J,'Step 2'!D1227,'Support - Transition'!E:E,"STATE UNIT"),SUMIFS('Support - Transition'!F:F,'Support - Transition'!J:J,'Step 2'!D1227))</f>
        <v>0.28235399999999999</v>
      </c>
      <c r="J1227" s="126">
        <f>SUMIFS('Support - Unit Adjustments'!E:E,'Support - Unit Adjustments'!F:F,'Step 2'!D1227)</f>
        <v>0</v>
      </c>
      <c r="K1227" s="126">
        <f t="shared" si="365"/>
        <v>0.28235399999999999</v>
      </c>
      <c r="L1227" s="174">
        <f>VLOOKUP(A1227,'Step 1'!$A:$E,4,FALSE)</f>
        <v>553551</v>
      </c>
      <c r="M1227" s="47">
        <f t="shared" si="366"/>
        <v>156297</v>
      </c>
      <c r="N1227" s="177">
        <f>SUMIFS('Support - Transition'!G:G,'Support - Transition'!J:J,'Step 2'!D1227,'Support - Transition'!E:E,"2009 WELFARE ALLOCATION FACTOR")</f>
        <v>0</v>
      </c>
      <c r="O1227" s="152">
        <f t="shared" si="371"/>
        <v>0</v>
      </c>
      <c r="P1227" s="126">
        <f>IF(E1227="Y",0,SUMIFS('Support - Transition'!G:G,'Support - Transition'!J:J,'Step 2'!D1227,'Support - Transition'!E:E,"2009 SCHOOL ALLOCATION FACTOR"))</f>
        <v>0.45843200000000001</v>
      </c>
      <c r="Q1227" s="126">
        <f>IF(E1227="Y",VLOOKUP(D1227,'Support - Unit Adjustments'!F:G,2,FALSE),0)</f>
        <v>0</v>
      </c>
      <c r="R1227" s="155">
        <f t="shared" si="383"/>
        <v>0.45843200000000001</v>
      </c>
      <c r="S1227" s="47">
        <f t="shared" si="382"/>
        <v>71652</v>
      </c>
      <c r="T1227" s="151">
        <f t="shared" si="367"/>
        <v>84645</v>
      </c>
      <c r="U1227" s="151">
        <f t="shared" si="368"/>
        <v>0</v>
      </c>
      <c r="V1227" s="139">
        <f t="shared" si="369"/>
        <v>0</v>
      </c>
      <c r="W1227" s="152">
        <f t="shared" si="372"/>
        <v>84645</v>
      </c>
      <c r="X1227" s="127" t="str">
        <f t="shared" si="370"/>
        <v/>
      </c>
      <c r="Y1227" s="207">
        <f t="shared" si="373"/>
        <v>84645</v>
      </c>
      <c r="Z1227" s="139">
        <f t="shared" si="374"/>
        <v>84645</v>
      </c>
      <c r="AA1227" s="139">
        <f t="shared" si="375"/>
        <v>0</v>
      </c>
      <c r="AC1227" s="47">
        <f t="shared" si="376"/>
        <v>42323</v>
      </c>
      <c r="AD1227" s="47">
        <f t="shared" si="377"/>
        <v>42323</v>
      </c>
      <c r="AE1227" s="47">
        <f t="shared" si="378"/>
        <v>0</v>
      </c>
      <c r="AG1227" s="47">
        <f t="shared" si="379"/>
        <v>42322</v>
      </c>
      <c r="AH1227" s="47">
        <f t="shared" si="380"/>
        <v>42322</v>
      </c>
      <c r="AI1227" s="208">
        <f t="shared" si="381"/>
        <v>0</v>
      </c>
    </row>
    <row r="1228" spans="1:35">
      <c r="A1228" t="s">
        <v>2126</v>
      </c>
      <c r="B1228" t="s">
        <v>3166</v>
      </c>
      <c r="C1228" t="s">
        <v>2475</v>
      </c>
      <c r="D1228" t="s">
        <v>4598</v>
      </c>
      <c r="F1228" t="s">
        <v>942</v>
      </c>
      <c r="G1228" s="126">
        <f>SUMIFS('Support - Transition'!F:F,'Support - Transition'!B:B,'Step 2'!A1228,'Support - Transition'!C:C,'Step 2'!B1228,'Support - Transition'!D:D,'Step 2'!C1228,'Support - Transition'!E:E,"CIVIL")</f>
        <v>0</v>
      </c>
      <c r="H1228" s="126">
        <f>SUMIFS('Support - Transition'!F:F,'Support - Transition'!B:B,'Step 2'!A1228,'Support - Transition'!C:C,'Step 2'!B1228,'Support - Transition'!D:D,'Step 2'!C1228,'Support - Transition'!E:E,"FIRE")</f>
        <v>0</v>
      </c>
      <c r="I1228" s="126">
        <f>IF(B1228="0",SUMIFS('Support - Transition'!F:F,'Support - Transition'!J:J,'Step 2'!D1228,'Support - Transition'!E:E,"STATE UNIT"),SUMIFS('Support - Transition'!F:F,'Support - Transition'!J:J,'Step 2'!D1228))</f>
        <v>2.9880000000000002E-3</v>
      </c>
      <c r="J1228" s="126">
        <f>SUMIFS('Support - Unit Adjustments'!E:E,'Support - Unit Adjustments'!F:F,'Step 2'!D1228)</f>
        <v>0</v>
      </c>
      <c r="K1228" s="126">
        <f t="shared" si="365"/>
        <v>2.9880000000000002E-3</v>
      </c>
      <c r="L1228" s="174">
        <f>VLOOKUP(A1228,'Step 1'!$A:$E,4,FALSE)</f>
        <v>553551</v>
      </c>
      <c r="M1228" s="47">
        <f t="shared" si="366"/>
        <v>1654</v>
      </c>
      <c r="N1228" s="177">
        <f>SUMIFS('Support - Transition'!G:G,'Support - Transition'!J:J,'Step 2'!D1228,'Support - Transition'!E:E,"2009 WELFARE ALLOCATION FACTOR")</f>
        <v>0</v>
      </c>
      <c r="O1228" s="152">
        <f t="shared" si="371"/>
        <v>0</v>
      </c>
      <c r="P1228" s="126">
        <f>IF(E1228="Y",0,SUMIFS('Support - Transition'!G:G,'Support - Transition'!J:J,'Step 2'!D1228,'Support - Transition'!E:E,"2009 SCHOOL ALLOCATION FACTOR"))</f>
        <v>0</v>
      </c>
      <c r="Q1228" s="126">
        <f>IF(E1228="Y",VLOOKUP(D1228,'Support - Unit Adjustments'!F:G,2,FALSE),0)</f>
        <v>0</v>
      </c>
      <c r="R1228" s="155">
        <f t="shared" si="383"/>
        <v>0</v>
      </c>
      <c r="S1228" s="47">
        <f t="shared" si="382"/>
        <v>0</v>
      </c>
      <c r="T1228" s="151">
        <f t="shared" si="367"/>
        <v>1654</v>
      </c>
      <c r="U1228" s="151">
        <f t="shared" si="368"/>
        <v>0</v>
      </c>
      <c r="V1228" s="139">
        <f t="shared" si="369"/>
        <v>0</v>
      </c>
      <c r="W1228" s="152">
        <f t="shared" si="372"/>
        <v>1654</v>
      </c>
      <c r="X1228" s="127" t="str">
        <f t="shared" si="370"/>
        <v/>
      </c>
      <c r="Y1228" s="207">
        <f t="shared" si="373"/>
        <v>1654</v>
      </c>
      <c r="Z1228" s="139">
        <f t="shared" si="374"/>
        <v>1654</v>
      </c>
      <c r="AA1228" s="139">
        <f t="shared" si="375"/>
        <v>0</v>
      </c>
      <c r="AC1228" s="47">
        <f t="shared" si="376"/>
        <v>827</v>
      </c>
      <c r="AD1228" s="47">
        <f t="shared" si="377"/>
        <v>827</v>
      </c>
      <c r="AE1228" s="47">
        <f t="shared" si="378"/>
        <v>0</v>
      </c>
      <c r="AG1228" s="47">
        <f t="shared" si="379"/>
        <v>827</v>
      </c>
      <c r="AH1228" s="47">
        <f t="shared" si="380"/>
        <v>827</v>
      </c>
      <c r="AI1228" s="208">
        <f t="shared" si="381"/>
        <v>0</v>
      </c>
    </row>
    <row r="1229" spans="1:35">
      <c r="A1229" t="s">
        <v>2126</v>
      </c>
      <c r="B1229" t="s">
        <v>3166</v>
      </c>
      <c r="C1229" t="s">
        <v>2424</v>
      </c>
      <c r="D1229" t="s">
        <v>4599</v>
      </c>
      <c r="F1229" t="s">
        <v>943</v>
      </c>
      <c r="G1229" s="126">
        <f>SUMIFS('Support - Transition'!F:F,'Support - Transition'!B:B,'Step 2'!A1229,'Support - Transition'!C:C,'Step 2'!B1229,'Support - Transition'!D:D,'Step 2'!C1229,'Support - Transition'!E:E,"CIVIL")</f>
        <v>0</v>
      </c>
      <c r="H1229" s="126">
        <f>SUMIFS('Support - Transition'!F:F,'Support - Transition'!B:B,'Step 2'!A1229,'Support - Transition'!C:C,'Step 2'!B1229,'Support - Transition'!D:D,'Step 2'!C1229,'Support - Transition'!E:E,"FIRE")</f>
        <v>0</v>
      </c>
      <c r="I1229" s="126">
        <f>IF(B1229="0",SUMIFS('Support - Transition'!F:F,'Support - Transition'!J:J,'Step 2'!D1229,'Support - Transition'!E:E,"STATE UNIT"),SUMIFS('Support - Transition'!F:F,'Support - Transition'!J:J,'Step 2'!D1229))</f>
        <v>3.1432000000000002E-2</v>
      </c>
      <c r="J1229" s="126">
        <f>SUMIFS('Support - Unit Adjustments'!E:E,'Support - Unit Adjustments'!F:F,'Step 2'!D1229)</f>
        <v>0</v>
      </c>
      <c r="K1229" s="126">
        <f t="shared" si="365"/>
        <v>3.1432000000000002E-2</v>
      </c>
      <c r="L1229" s="174">
        <f>VLOOKUP(A1229,'Step 1'!$A:$E,4,FALSE)</f>
        <v>553551</v>
      </c>
      <c r="M1229" s="47">
        <f t="shared" si="366"/>
        <v>17399</v>
      </c>
      <c r="N1229" s="177">
        <f>SUMIFS('Support - Transition'!G:G,'Support - Transition'!J:J,'Step 2'!D1229,'Support - Transition'!E:E,"2009 WELFARE ALLOCATION FACTOR")</f>
        <v>0</v>
      </c>
      <c r="O1229" s="152">
        <f t="shared" si="371"/>
        <v>0</v>
      </c>
      <c r="P1229" s="126">
        <f>IF(E1229="Y",0,SUMIFS('Support - Transition'!G:G,'Support - Transition'!J:J,'Step 2'!D1229,'Support - Transition'!E:E,"2009 SCHOOL ALLOCATION FACTOR"))</f>
        <v>0</v>
      </c>
      <c r="Q1229" s="126">
        <f>IF(E1229="Y",VLOOKUP(D1229,'Support - Unit Adjustments'!F:G,2,FALSE),0)</f>
        <v>0</v>
      </c>
      <c r="R1229" s="155">
        <f t="shared" si="383"/>
        <v>0</v>
      </c>
      <c r="S1229" s="47">
        <f t="shared" si="382"/>
        <v>0</v>
      </c>
      <c r="T1229" s="151">
        <f t="shared" si="367"/>
        <v>17399</v>
      </c>
      <c r="U1229" s="151">
        <f t="shared" si="368"/>
        <v>0</v>
      </c>
      <c r="V1229" s="139">
        <f t="shared" si="369"/>
        <v>0</v>
      </c>
      <c r="W1229" s="152">
        <f t="shared" si="372"/>
        <v>17399</v>
      </c>
      <c r="X1229" s="127" t="str">
        <f t="shared" si="370"/>
        <v/>
      </c>
      <c r="Y1229" s="207">
        <f t="shared" si="373"/>
        <v>17399</v>
      </c>
      <c r="Z1229" s="139">
        <f t="shared" si="374"/>
        <v>17399</v>
      </c>
      <c r="AA1229" s="139">
        <f t="shared" si="375"/>
        <v>0</v>
      </c>
      <c r="AC1229" s="47">
        <f t="shared" si="376"/>
        <v>8700</v>
      </c>
      <c r="AD1229" s="47">
        <f t="shared" si="377"/>
        <v>8700</v>
      </c>
      <c r="AE1229" s="47">
        <f t="shared" si="378"/>
        <v>0</v>
      </c>
      <c r="AG1229" s="47">
        <f t="shared" si="379"/>
        <v>8699</v>
      </c>
      <c r="AH1229" s="47">
        <f t="shared" si="380"/>
        <v>8699</v>
      </c>
      <c r="AI1229" s="208">
        <f t="shared" si="381"/>
        <v>0</v>
      </c>
    </row>
    <row r="1230" spans="1:35">
      <c r="A1230" t="s">
        <v>2126</v>
      </c>
      <c r="B1230" t="s">
        <v>3170</v>
      </c>
      <c r="C1230" t="s">
        <v>2667</v>
      </c>
      <c r="D1230" t="s">
        <v>4600</v>
      </c>
      <c r="F1230" t="s">
        <v>948</v>
      </c>
      <c r="G1230" s="126">
        <f>SUMIFS('Support - Transition'!F:F,'Support - Transition'!B:B,'Step 2'!A1230,'Support - Transition'!C:C,'Step 2'!B1230,'Support - Transition'!D:D,'Step 2'!C1230,'Support - Transition'!E:E,"CIVIL")</f>
        <v>0</v>
      </c>
      <c r="H1230" s="126">
        <f>SUMIFS('Support - Transition'!F:F,'Support - Transition'!B:B,'Step 2'!A1230,'Support - Transition'!C:C,'Step 2'!B1230,'Support - Transition'!D:D,'Step 2'!C1230,'Support - Transition'!E:E,"FIRE")</f>
        <v>0</v>
      </c>
      <c r="I1230" s="126">
        <f>IF(B1230="0",SUMIFS('Support - Transition'!F:F,'Support - Transition'!J:J,'Step 2'!D1230,'Support - Transition'!E:E,"STATE UNIT"),SUMIFS('Support - Transition'!F:F,'Support - Transition'!J:J,'Step 2'!D1230))</f>
        <v>4.0252999999999997E-2</v>
      </c>
      <c r="J1230" s="126">
        <f>SUMIFS('Support - Unit Adjustments'!E:E,'Support - Unit Adjustments'!F:F,'Step 2'!D1230)</f>
        <v>0</v>
      </c>
      <c r="K1230" s="126">
        <f t="shared" si="365"/>
        <v>4.0252999999999997E-2</v>
      </c>
      <c r="L1230" s="174">
        <f>VLOOKUP(A1230,'Step 1'!$A:$E,4,FALSE)</f>
        <v>553551</v>
      </c>
      <c r="M1230" s="47">
        <f t="shared" si="366"/>
        <v>22282</v>
      </c>
      <c r="N1230" s="177">
        <f>SUMIFS('Support - Transition'!G:G,'Support - Transition'!J:J,'Step 2'!D1230,'Support - Transition'!E:E,"2009 WELFARE ALLOCATION FACTOR")</f>
        <v>0</v>
      </c>
      <c r="O1230" s="152">
        <f t="shared" si="371"/>
        <v>0</v>
      </c>
      <c r="P1230" s="126">
        <f>IF(E1230="Y",0,SUMIFS('Support - Transition'!G:G,'Support - Transition'!J:J,'Step 2'!D1230,'Support - Transition'!E:E,"2009 SCHOOL ALLOCATION FACTOR"))</f>
        <v>0</v>
      </c>
      <c r="Q1230" s="126">
        <f>IF(E1230="Y",VLOOKUP(D1230,'Support - Unit Adjustments'!F:G,2,FALSE),0)</f>
        <v>0</v>
      </c>
      <c r="R1230" s="155">
        <f t="shared" si="383"/>
        <v>0</v>
      </c>
      <c r="S1230" s="47">
        <f t="shared" si="382"/>
        <v>0</v>
      </c>
      <c r="T1230" s="151">
        <f t="shared" si="367"/>
        <v>22282</v>
      </c>
      <c r="U1230" s="151">
        <f t="shared" si="368"/>
        <v>0</v>
      </c>
      <c r="V1230" s="139">
        <f t="shared" si="369"/>
        <v>0</v>
      </c>
      <c r="W1230" s="152">
        <f t="shared" si="372"/>
        <v>22282</v>
      </c>
      <c r="X1230" s="127" t="str">
        <f t="shared" si="370"/>
        <v/>
      </c>
      <c r="Y1230" s="207">
        <f t="shared" si="373"/>
        <v>22282</v>
      </c>
      <c r="Z1230" s="139">
        <f t="shared" si="374"/>
        <v>22282</v>
      </c>
      <c r="AA1230" s="139">
        <f t="shared" si="375"/>
        <v>0</v>
      </c>
      <c r="AC1230" s="47">
        <f t="shared" si="376"/>
        <v>11141</v>
      </c>
      <c r="AD1230" s="47">
        <f t="shared" si="377"/>
        <v>11141</v>
      </c>
      <c r="AE1230" s="47">
        <f t="shared" si="378"/>
        <v>0</v>
      </c>
      <c r="AG1230" s="47">
        <f t="shared" si="379"/>
        <v>11141</v>
      </c>
      <c r="AH1230" s="47">
        <f t="shared" si="380"/>
        <v>11141</v>
      </c>
      <c r="AI1230" s="208">
        <f t="shared" si="381"/>
        <v>0</v>
      </c>
    </row>
    <row r="1231" spans="1:35">
      <c r="A1231" t="s">
        <v>2126</v>
      </c>
      <c r="B1231" t="s">
        <v>3170</v>
      </c>
      <c r="C1231" t="s">
        <v>2448</v>
      </c>
      <c r="D1231" t="s">
        <v>4601</v>
      </c>
      <c r="F1231" t="s">
        <v>946</v>
      </c>
      <c r="G1231" s="126">
        <f>SUMIFS('Support - Transition'!F:F,'Support - Transition'!B:B,'Step 2'!A1231,'Support - Transition'!C:C,'Step 2'!B1231,'Support - Transition'!D:D,'Step 2'!C1231,'Support - Transition'!E:E,"CIVIL")</f>
        <v>0</v>
      </c>
      <c r="H1231" s="126">
        <f>SUMIFS('Support - Transition'!F:F,'Support - Transition'!B:B,'Step 2'!A1231,'Support - Transition'!C:C,'Step 2'!B1231,'Support - Transition'!D:D,'Step 2'!C1231,'Support - Transition'!E:E,"FIRE")</f>
        <v>0</v>
      </c>
      <c r="I1231" s="126">
        <f>IF(B1231="0",SUMIFS('Support - Transition'!F:F,'Support - Transition'!J:J,'Step 2'!D1231,'Support - Transition'!E:E,"STATE UNIT"),SUMIFS('Support - Transition'!F:F,'Support - Transition'!J:J,'Step 2'!D1231))</f>
        <v>2.2109999999999999E-3</v>
      </c>
      <c r="J1231" s="126">
        <f>SUMIFS('Support - Unit Adjustments'!E:E,'Support - Unit Adjustments'!F:F,'Step 2'!D1231)</f>
        <v>0</v>
      </c>
      <c r="K1231" s="126">
        <f t="shared" si="365"/>
        <v>2.2109999999999999E-3</v>
      </c>
      <c r="L1231" s="174">
        <f>VLOOKUP(A1231,'Step 1'!$A:$E,4,FALSE)</f>
        <v>553551</v>
      </c>
      <c r="M1231" s="47">
        <f t="shared" si="366"/>
        <v>1224</v>
      </c>
      <c r="N1231" s="177">
        <f>SUMIFS('Support - Transition'!G:G,'Support - Transition'!J:J,'Step 2'!D1231,'Support - Transition'!E:E,"2009 WELFARE ALLOCATION FACTOR")</f>
        <v>0</v>
      </c>
      <c r="O1231" s="152">
        <f t="shared" si="371"/>
        <v>0</v>
      </c>
      <c r="P1231" s="126">
        <f>IF(E1231="Y",0,SUMIFS('Support - Transition'!G:G,'Support - Transition'!J:J,'Step 2'!D1231,'Support - Transition'!E:E,"2009 SCHOOL ALLOCATION FACTOR"))</f>
        <v>0</v>
      </c>
      <c r="Q1231" s="126">
        <f>IF(E1231="Y",VLOOKUP(D1231,'Support - Unit Adjustments'!F:G,2,FALSE),0)</f>
        <v>0</v>
      </c>
      <c r="R1231" s="155">
        <f t="shared" si="383"/>
        <v>0</v>
      </c>
      <c r="S1231" s="47">
        <f t="shared" si="382"/>
        <v>0</v>
      </c>
      <c r="T1231" s="151">
        <f t="shared" si="367"/>
        <v>1224</v>
      </c>
      <c r="U1231" s="151">
        <f t="shared" si="368"/>
        <v>0</v>
      </c>
      <c r="V1231" s="139">
        <f t="shared" si="369"/>
        <v>0</v>
      </c>
      <c r="W1231" s="152">
        <f t="shared" si="372"/>
        <v>1224</v>
      </c>
      <c r="X1231" s="127" t="str">
        <f t="shared" si="370"/>
        <v/>
      </c>
      <c r="Y1231" s="207">
        <f t="shared" si="373"/>
        <v>1224</v>
      </c>
      <c r="Z1231" s="139">
        <f t="shared" si="374"/>
        <v>1224</v>
      </c>
      <c r="AA1231" s="139">
        <f t="shared" si="375"/>
        <v>0</v>
      </c>
      <c r="AC1231" s="47">
        <f t="shared" si="376"/>
        <v>612</v>
      </c>
      <c r="AD1231" s="47">
        <f t="shared" si="377"/>
        <v>612</v>
      </c>
      <c r="AE1231" s="47">
        <f t="shared" si="378"/>
        <v>0</v>
      </c>
      <c r="AG1231" s="47">
        <f t="shared" si="379"/>
        <v>612</v>
      </c>
      <c r="AH1231" s="47">
        <f t="shared" si="380"/>
        <v>612</v>
      </c>
      <c r="AI1231" s="208">
        <f t="shared" si="381"/>
        <v>0</v>
      </c>
    </row>
    <row r="1232" spans="1:35">
      <c r="A1232" t="s">
        <v>2126</v>
      </c>
      <c r="B1232" t="s">
        <v>3170</v>
      </c>
      <c r="C1232" t="s">
        <v>4602</v>
      </c>
      <c r="D1232" t="s">
        <v>4603</v>
      </c>
      <c r="F1232" t="s">
        <v>947</v>
      </c>
      <c r="G1232" s="126">
        <f>SUMIFS('Support - Transition'!F:F,'Support - Transition'!B:B,'Step 2'!A1232,'Support - Transition'!C:C,'Step 2'!B1232,'Support - Transition'!D:D,'Step 2'!C1232,'Support - Transition'!E:E,"CIVIL")</f>
        <v>0</v>
      </c>
      <c r="H1232" s="126">
        <f>SUMIFS('Support - Transition'!F:F,'Support - Transition'!B:B,'Step 2'!A1232,'Support - Transition'!C:C,'Step 2'!B1232,'Support - Transition'!D:D,'Step 2'!C1232,'Support - Transition'!E:E,"FIRE")</f>
        <v>0</v>
      </c>
      <c r="I1232" s="126">
        <f>IF(B1232="0",SUMIFS('Support - Transition'!F:F,'Support - Transition'!J:J,'Step 2'!D1232,'Support - Transition'!E:E,"STATE UNIT"),SUMIFS('Support - Transition'!F:F,'Support - Transition'!J:J,'Step 2'!D1232))</f>
        <v>3.4280000000000001E-3</v>
      </c>
      <c r="J1232" s="126">
        <f>SUMIFS('Support - Unit Adjustments'!E:E,'Support - Unit Adjustments'!F:F,'Step 2'!D1232)</f>
        <v>0</v>
      </c>
      <c r="K1232" s="126">
        <f t="shared" si="365"/>
        <v>3.4280000000000001E-3</v>
      </c>
      <c r="L1232" s="174">
        <f>VLOOKUP(A1232,'Step 1'!$A:$E,4,FALSE)</f>
        <v>553551</v>
      </c>
      <c r="M1232" s="47">
        <f t="shared" si="366"/>
        <v>1898</v>
      </c>
      <c r="N1232" s="177">
        <f>SUMIFS('Support - Transition'!G:G,'Support - Transition'!J:J,'Step 2'!D1232,'Support - Transition'!E:E,"2009 WELFARE ALLOCATION FACTOR")</f>
        <v>0</v>
      </c>
      <c r="O1232" s="152">
        <f t="shared" si="371"/>
        <v>0</v>
      </c>
      <c r="P1232" s="126">
        <f>IF(E1232="Y",0,SUMIFS('Support - Transition'!G:G,'Support - Transition'!J:J,'Step 2'!D1232,'Support - Transition'!E:E,"2009 SCHOOL ALLOCATION FACTOR"))</f>
        <v>0</v>
      </c>
      <c r="Q1232" s="126">
        <f>IF(E1232="Y",VLOOKUP(D1232,'Support - Unit Adjustments'!F:G,2,FALSE),0)</f>
        <v>0</v>
      </c>
      <c r="R1232" s="155">
        <f t="shared" si="383"/>
        <v>0</v>
      </c>
      <c r="S1232" s="47">
        <f t="shared" si="382"/>
        <v>0</v>
      </c>
      <c r="T1232" s="151">
        <f t="shared" si="367"/>
        <v>1898</v>
      </c>
      <c r="U1232" s="151">
        <f t="shared" si="368"/>
        <v>0</v>
      </c>
      <c r="V1232" s="139">
        <f t="shared" si="369"/>
        <v>0</v>
      </c>
      <c r="W1232" s="152">
        <f t="shared" si="372"/>
        <v>1898</v>
      </c>
      <c r="X1232" s="127" t="str">
        <f t="shared" si="370"/>
        <v/>
      </c>
      <c r="Y1232" s="207">
        <f t="shared" si="373"/>
        <v>1898</v>
      </c>
      <c r="Z1232" s="139">
        <f t="shared" si="374"/>
        <v>1898</v>
      </c>
      <c r="AA1232" s="139">
        <f t="shared" si="375"/>
        <v>0</v>
      </c>
      <c r="AC1232" s="47">
        <f t="shared" si="376"/>
        <v>949</v>
      </c>
      <c r="AD1232" s="47">
        <f t="shared" si="377"/>
        <v>949</v>
      </c>
      <c r="AE1232" s="47">
        <f t="shared" si="378"/>
        <v>0</v>
      </c>
      <c r="AG1232" s="47">
        <f t="shared" si="379"/>
        <v>949</v>
      </c>
      <c r="AH1232" s="47">
        <f t="shared" si="380"/>
        <v>949</v>
      </c>
      <c r="AI1232" s="208">
        <f t="shared" si="381"/>
        <v>0</v>
      </c>
    </row>
    <row r="1233" spans="1:35">
      <c r="A1233" t="s">
        <v>2126</v>
      </c>
      <c r="B1233" t="s">
        <v>3170</v>
      </c>
      <c r="C1233" t="s">
        <v>2668</v>
      </c>
      <c r="D1233" t="s">
        <v>4604</v>
      </c>
      <c r="F1233" t="s">
        <v>944</v>
      </c>
      <c r="G1233" s="126">
        <f>SUMIFS('Support - Transition'!F:F,'Support - Transition'!B:B,'Step 2'!A1233,'Support - Transition'!C:C,'Step 2'!B1233,'Support - Transition'!D:D,'Step 2'!C1233,'Support - Transition'!E:E,"CIVIL")</f>
        <v>0</v>
      </c>
      <c r="H1233" s="126">
        <f>SUMIFS('Support - Transition'!F:F,'Support - Transition'!B:B,'Step 2'!A1233,'Support - Transition'!C:C,'Step 2'!B1233,'Support - Transition'!D:D,'Step 2'!C1233,'Support - Transition'!E:E,"FIRE")</f>
        <v>0</v>
      </c>
      <c r="I1233" s="126">
        <f>IF(B1233="0",SUMIFS('Support - Transition'!F:F,'Support - Transition'!J:J,'Step 2'!D1233,'Support - Transition'!E:E,"STATE UNIT"),SUMIFS('Support - Transition'!F:F,'Support - Transition'!J:J,'Step 2'!D1233))</f>
        <v>1.9970000000000001E-3</v>
      </c>
      <c r="J1233" s="126">
        <f>SUMIFS('Support - Unit Adjustments'!E:E,'Support - Unit Adjustments'!F:F,'Step 2'!D1233)</f>
        <v>0</v>
      </c>
      <c r="K1233" s="126">
        <f t="shared" si="365"/>
        <v>1.9970000000000001E-3</v>
      </c>
      <c r="L1233" s="174">
        <f>VLOOKUP(A1233,'Step 1'!$A:$E,4,FALSE)</f>
        <v>553551</v>
      </c>
      <c r="M1233" s="47">
        <f t="shared" si="366"/>
        <v>1105</v>
      </c>
      <c r="N1233" s="177">
        <f>SUMIFS('Support - Transition'!G:G,'Support - Transition'!J:J,'Step 2'!D1233,'Support - Transition'!E:E,"2009 WELFARE ALLOCATION FACTOR")</f>
        <v>0</v>
      </c>
      <c r="O1233" s="152">
        <f t="shared" si="371"/>
        <v>0</v>
      </c>
      <c r="P1233" s="126">
        <f>IF(E1233="Y",0,SUMIFS('Support - Transition'!G:G,'Support - Transition'!J:J,'Step 2'!D1233,'Support - Transition'!E:E,"2009 SCHOOL ALLOCATION FACTOR"))</f>
        <v>0</v>
      </c>
      <c r="Q1233" s="126">
        <f>IF(E1233="Y",VLOOKUP(D1233,'Support - Unit Adjustments'!F:G,2,FALSE),0)</f>
        <v>0</v>
      </c>
      <c r="R1233" s="155">
        <f t="shared" si="383"/>
        <v>0</v>
      </c>
      <c r="S1233" s="47">
        <f t="shared" si="382"/>
        <v>0</v>
      </c>
      <c r="T1233" s="151">
        <f t="shared" si="367"/>
        <v>1105</v>
      </c>
      <c r="U1233" s="151">
        <f t="shared" si="368"/>
        <v>0</v>
      </c>
      <c r="V1233" s="139">
        <f t="shared" si="369"/>
        <v>0</v>
      </c>
      <c r="W1233" s="152">
        <f t="shared" si="372"/>
        <v>1105</v>
      </c>
      <c r="X1233" s="127" t="str">
        <f t="shared" si="370"/>
        <v/>
      </c>
      <c r="Y1233" s="207">
        <f t="shared" si="373"/>
        <v>1105</v>
      </c>
      <c r="Z1233" s="139">
        <f t="shared" si="374"/>
        <v>1105</v>
      </c>
      <c r="AA1233" s="139">
        <f t="shared" si="375"/>
        <v>0</v>
      </c>
      <c r="AC1233" s="47">
        <f t="shared" si="376"/>
        <v>553</v>
      </c>
      <c r="AD1233" s="47">
        <f t="shared" si="377"/>
        <v>553</v>
      </c>
      <c r="AE1233" s="47">
        <f t="shared" si="378"/>
        <v>0</v>
      </c>
      <c r="AG1233" s="47">
        <f t="shared" si="379"/>
        <v>552</v>
      </c>
      <c r="AH1233" s="47">
        <f t="shared" si="380"/>
        <v>552</v>
      </c>
      <c r="AI1233" s="208">
        <f t="shared" si="381"/>
        <v>0</v>
      </c>
    </row>
    <row r="1234" spans="1:35">
      <c r="A1234" t="s">
        <v>2126</v>
      </c>
      <c r="B1234" t="s">
        <v>3170</v>
      </c>
      <c r="C1234" t="s">
        <v>4605</v>
      </c>
      <c r="D1234" t="s">
        <v>4606</v>
      </c>
      <c r="F1234" t="s">
        <v>4607</v>
      </c>
      <c r="G1234" s="126">
        <f>SUMIFS('Support - Transition'!F:F,'Support - Transition'!B:B,'Step 2'!A1234,'Support - Transition'!C:C,'Step 2'!B1234,'Support - Transition'!D:D,'Step 2'!C1234,'Support - Transition'!E:E,"CIVIL")</f>
        <v>0</v>
      </c>
      <c r="H1234" s="126">
        <f>SUMIFS('Support - Transition'!F:F,'Support - Transition'!B:B,'Step 2'!A1234,'Support - Transition'!C:C,'Step 2'!B1234,'Support - Transition'!D:D,'Step 2'!C1234,'Support - Transition'!E:E,"FIRE")</f>
        <v>0</v>
      </c>
      <c r="I1234" s="126">
        <f>IF(B1234="0",SUMIFS('Support - Transition'!F:F,'Support - Transition'!J:J,'Step 2'!D1234,'Support - Transition'!E:E,"STATE UNIT"),SUMIFS('Support - Transition'!F:F,'Support - Transition'!J:J,'Step 2'!D1234))</f>
        <v>0</v>
      </c>
      <c r="J1234" s="126">
        <f>SUMIFS('Support - Unit Adjustments'!E:E,'Support - Unit Adjustments'!F:F,'Step 2'!D1234)</f>
        <v>0</v>
      </c>
      <c r="K1234" s="126">
        <f t="shared" si="365"/>
        <v>0</v>
      </c>
      <c r="L1234" s="174">
        <f>VLOOKUP(A1234,'Step 1'!$A:$E,4,FALSE)</f>
        <v>553551</v>
      </c>
      <c r="M1234" s="47">
        <f t="shared" si="366"/>
        <v>0</v>
      </c>
      <c r="N1234" s="177">
        <f>SUMIFS('Support - Transition'!G:G,'Support - Transition'!J:J,'Step 2'!D1234,'Support - Transition'!E:E,"2009 WELFARE ALLOCATION FACTOR")</f>
        <v>0</v>
      </c>
      <c r="O1234" s="152">
        <f t="shared" si="371"/>
        <v>0</v>
      </c>
      <c r="P1234" s="126">
        <f>IF(E1234="Y",0,SUMIFS('Support - Transition'!G:G,'Support - Transition'!J:J,'Step 2'!D1234,'Support - Transition'!E:E,"2009 SCHOOL ALLOCATION FACTOR"))</f>
        <v>0</v>
      </c>
      <c r="Q1234" s="126">
        <f>IF(E1234="Y",VLOOKUP(D1234,'Support - Unit Adjustments'!F:G,2,FALSE),0)</f>
        <v>0</v>
      </c>
      <c r="R1234" s="155">
        <f t="shared" si="383"/>
        <v>0</v>
      </c>
      <c r="S1234" s="47">
        <f t="shared" si="382"/>
        <v>0</v>
      </c>
      <c r="T1234" s="151">
        <f t="shared" si="367"/>
        <v>0</v>
      </c>
      <c r="U1234" s="151">
        <f t="shared" si="368"/>
        <v>0</v>
      </c>
      <c r="V1234" s="139">
        <f t="shared" si="369"/>
        <v>0</v>
      </c>
      <c r="W1234" s="152">
        <f t="shared" si="372"/>
        <v>0</v>
      </c>
      <c r="X1234" s="127" t="str">
        <f t="shared" si="370"/>
        <v/>
      </c>
      <c r="Y1234" s="207">
        <f t="shared" si="373"/>
        <v>0</v>
      </c>
      <c r="Z1234" s="139">
        <f t="shared" si="374"/>
        <v>0</v>
      </c>
      <c r="AA1234" s="139">
        <f t="shared" si="375"/>
        <v>0</v>
      </c>
      <c r="AC1234" s="47">
        <f t="shared" si="376"/>
        <v>0</v>
      </c>
      <c r="AD1234" s="47">
        <f t="shared" si="377"/>
        <v>0</v>
      </c>
      <c r="AE1234" s="47">
        <f t="shared" si="378"/>
        <v>0</v>
      </c>
      <c r="AG1234" s="47">
        <f t="shared" si="379"/>
        <v>0</v>
      </c>
      <c r="AH1234" s="47">
        <f t="shared" si="380"/>
        <v>0</v>
      </c>
      <c r="AI1234" s="208">
        <f t="shared" si="381"/>
        <v>0</v>
      </c>
    </row>
    <row r="1235" spans="1:35">
      <c r="A1235" t="s">
        <v>2126</v>
      </c>
      <c r="B1235" t="s">
        <v>3286</v>
      </c>
      <c r="C1235" t="s">
        <v>2208</v>
      </c>
      <c r="D1235" t="s">
        <v>4608</v>
      </c>
      <c r="F1235" t="s">
        <v>4609</v>
      </c>
      <c r="G1235" s="126">
        <f>SUMIFS('Support - Transition'!F:F,'Support - Transition'!B:B,'Step 2'!A1235,'Support - Transition'!C:C,'Step 2'!B1235,'Support - Transition'!D:D,'Step 2'!C1235,'Support - Transition'!E:E,"CIVIL")</f>
        <v>0</v>
      </c>
      <c r="H1235" s="126">
        <f>SUMIFS('Support - Transition'!F:F,'Support - Transition'!B:B,'Step 2'!A1235,'Support - Transition'!C:C,'Step 2'!B1235,'Support - Transition'!D:D,'Step 2'!C1235,'Support - Transition'!E:E,"FIRE")</f>
        <v>0</v>
      </c>
      <c r="I1235" s="126">
        <f>IF(B1235="0",SUMIFS('Support - Transition'!F:F,'Support - Transition'!J:J,'Step 2'!D1235,'Support - Transition'!E:E,"STATE UNIT"),SUMIFS('Support - Transition'!F:F,'Support - Transition'!J:J,'Step 2'!D1235))</f>
        <v>0</v>
      </c>
      <c r="J1235" s="126">
        <f>SUMIFS('Support - Unit Adjustments'!E:E,'Support - Unit Adjustments'!F:F,'Step 2'!D1235)</f>
        <v>0</v>
      </c>
      <c r="K1235" s="126">
        <f t="shared" si="365"/>
        <v>0</v>
      </c>
      <c r="L1235" s="174">
        <f>VLOOKUP(A1235,'Step 1'!$A:$E,4,FALSE)</f>
        <v>553551</v>
      </c>
      <c r="M1235" s="47">
        <f t="shared" si="366"/>
        <v>0</v>
      </c>
      <c r="N1235" s="177">
        <f>SUMIFS('Support - Transition'!G:G,'Support - Transition'!J:J,'Step 2'!D1235,'Support - Transition'!E:E,"2009 WELFARE ALLOCATION FACTOR")</f>
        <v>0</v>
      </c>
      <c r="O1235" s="152">
        <f t="shared" si="371"/>
        <v>0</v>
      </c>
      <c r="P1235" s="126">
        <f>IF(E1235="Y",0,SUMIFS('Support - Transition'!G:G,'Support - Transition'!J:J,'Step 2'!D1235,'Support - Transition'!E:E,"2009 SCHOOL ALLOCATION FACTOR"))</f>
        <v>0</v>
      </c>
      <c r="Q1235" s="126">
        <f>IF(E1235="Y",VLOOKUP(D1235,'Support - Unit Adjustments'!F:G,2,FALSE),0)</f>
        <v>0</v>
      </c>
      <c r="R1235" s="155">
        <f t="shared" si="383"/>
        <v>0</v>
      </c>
      <c r="S1235" s="47">
        <f t="shared" si="382"/>
        <v>0</v>
      </c>
      <c r="T1235" s="151">
        <f t="shared" si="367"/>
        <v>0</v>
      </c>
      <c r="U1235" s="151">
        <f t="shared" si="368"/>
        <v>0</v>
      </c>
      <c r="V1235" s="139">
        <f t="shared" si="369"/>
        <v>0</v>
      </c>
      <c r="W1235" s="152">
        <f t="shared" si="372"/>
        <v>0</v>
      </c>
      <c r="X1235" s="127" t="str">
        <f t="shared" si="370"/>
        <v/>
      </c>
      <c r="Y1235" s="207">
        <f t="shared" si="373"/>
        <v>0</v>
      </c>
      <c r="Z1235" s="139">
        <f t="shared" si="374"/>
        <v>0</v>
      </c>
      <c r="AA1235" s="139">
        <f t="shared" si="375"/>
        <v>0</v>
      </c>
      <c r="AC1235" s="47">
        <f t="shared" si="376"/>
        <v>0</v>
      </c>
      <c r="AD1235" s="47">
        <f t="shared" si="377"/>
        <v>0</v>
      </c>
      <c r="AE1235" s="47">
        <f t="shared" si="378"/>
        <v>0</v>
      </c>
      <c r="AG1235" s="47">
        <f t="shared" si="379"/>
        <v>0</v>
      </c>
      <c r="AH1235" s="47">
        <f t="shared" si="380"/>
        <v>0</v>
      </c>
      <c r="AI1235" s="208">
        <f t="shared" si="381"/>
        <v>0</v>
      </c>
    </row>
    <row r="1236" spans="1:35">
      <c r="A1236" t="s">
        <v>2127</v>
      </c>
      <c r="B1236" s="48" t="s">
        <v>6274</v>
      </c>
      <c r="C1236" t="s">
        <v>2187</v>
      </c>
      <c r="D1236" t="str">
        <f>A1236&amp;B1236&amp;C1236</f>
        <v>4300000</v>
      </c>
      <c r="F1236" t="s">
        <v>6317</v>
      </c>
      <c r="G1236" s="126">
        <f>SUMIFS('Support - Transition'!F:F,'Support - Transition'!B:B,'Step 2'!A1236,'Support - Transition'!C:C,'Step 2'!B1236,'Support - Transition'!D:D,'Step 2'!C1236,'Support - Transition'!E:E,"CIVIL")</f>
        <v>0</v>
      </c>
      <c r="H1236" s="126">
        <f>SUMIFS('Support - Transition'!F:F,'Support - Transition'!B:B,'Step 2'!A1236,'Support - Transition'!C:C,'Step 2'!B1236,'Support - Transition'!D:D,'Step 2'!C1236,'Support - Transition'!E:E,"FIRE")</f>
        <v>0</v>
      </c>
      <c r="I1236" s="126">
        <f>IF(B1236="0",SUMIFS('Support - Transition'!F:F,'Support - Transition'!J:J,'Step 2'!D1236,'Support - Transition'!E:E,"STATE UNIT"),SUMIFS('Support - Transition'!F:F,'Support - Transition'!J:J,'Step 2'!D1236))</f>
        <v>1.4270000000000001E-3</v>
      </c>
      <c r="J1236" s="126">
        <f>SUMIFS('Support - Unit Adjustments'!E:E,'Support - Unit Adjustments'!F:F,'Step 2'!D1236)</f>
        <v>0</v>
      </c>
      <c r="K1236" s="126">
        <f t="shared" si="365"/>
        <v>1.4270000000000001E-3</v>
      </c>
      <c r="L1236" s="174">
        <f>VLOOKUP(A1236,'Step 1'!$A:$E,4,FALSE)</f>
        <v>615101</v>
      </c>
      <c r="M1236" s="47">
        <f t="shared" si="366"/>
        <v>878</v>
      </c>
      <c r="N1236" s="177">
        <f>SUMIFS('Support - Transition'!G:G,'Support - Transition'!J:J,'Step 2'!D1236,'Support - Transition'!E:E,"2009 WELFARE ALLOCATION FACTOR")</f>
        <v>0</v>
      </c>
      <c r="O1236" s="152">
        <f t="shared" si="371"/>
        <v>0</v>
      </c>
      <c r="P1236" s="126">
        <f>IF(E1236="Y",0,SUMIFS('Support - Transition'!G:G,'Support - Transition'!J:J,'Step 2'!D1236,'Support - Transition'!E:E,"2009 SCHOOL ALLOCATION FACTOR"))</f>
        <v>0</v>
      </c>
      <c r="Q1236" s="126">
        <f>IF(E1236="Y",VLOOKUP(D1236,'Support - Unit Adjustments'!F:G,2,FALSE),0)</f>
        <v>0</v>
      </c>
      <c r="R1236" s="155">
        <f t="shared" si="383"/>
        <v>0</v>
      </c>
      <c r="S1236" s="47">
        <f t="shared" si="382"/>
        <v>0</v>
      </c>
      <c r="T1236" s="151">
        <f t="shared" si="367"/>
        <v>878</v>
      </c>
      <c r="U1236" s="151">
        <f t="shared" si="368"/>
        <v>615105</v>
      </c>
      <c r="V1236" s="139">
        <f t="shared" si="369"/>
        <v>4</v>
      </c>
      <c r="W1236" s="152">
        <f t="shared" si="372"/>
        <v>874</v>
      </c>
      <c r="X1236" s="127">
        <f t="shared" si="370"/>
        <v>0</v>
      </c>
      <c r="Y1236" s="207">
        <f t="shared" si="373"/>
        <v>874</v>
      </c>
      <c r="Z1236" s="139">
        <f t="shared" si="374"/>
        <v>874</v>
      </c>
      <c r="AA1236" s="139">
        <f t="shared" si="375"/>
        <v>0</v>
      </c>
      <c r="AC1236" s="47">
        <f t="shared" si="376"/>
        <v>437</v>
      </c>
      <c r="AD1236" s="47">
        <f t="shared" si="377"/>
        <v>437</v>
      </c>
      <c r="AE1236" s="47">
        <f t="shared" si="378"/>
        <v>0</v>
      </c>
      <c r="AG1236" s="47">
        <f t="shared" si="379"/>
        <v>437</v>
      </c>
      <c r="AH1236" s="47">
        <f t="shared" si="380"/>
        <v>437</v>
      </c>
      <c r="AI1236" s="208">
        <f t="shared" si="381"/>
        <v>0</v>
      </c>
    </row>
    <row r="1237" spans="1:35">
      <c r="A1237" t="s">
        <v>2127</v>
      </c>
      <c r="B1237" t="s">
        <v>3140</v>
      </c>
      <c r="C1237" t="s">
        <v>2187</v>
      </c>
      <c r="D1237" t="s">
        <v>4610</v>
      </c>
      <c r="F1237" t="s">
        <v>951</v>
      </c>
      <c r="G1237" s="126">
        <f>SUMIFS('Support - Transition'!F:F,'Support - Transition'!B:B,'Step 2'!A1237,'Support - Transition'!C:C,'Step 2'!B1237,'Support - Transition'!D:D,'Step 2'!C1237,'Support - Transition'!E:E,"CIVIL")</f>
        <v>0</v>
      </c>
      <c r="H1237" s="126">
        <f>SUMIFS('Support - Transition'!F:F,'Support - Transition'!B:B,'Step 2'!A1237,'Support - Transition'!C:C,'Step 2'!B1237,'Support - Transition'!D:D,'Step 2'!C1237,'Support - Transition'!E:E,"FIRE")</f>
        <v>0</v>
      </c>
      <c r="I1237" s="126">
        <f>IF(B1237="0",SUMIFS('Support - Transition'!F:F,'Support - Transition'!J:J,'Step 2'!D1237,'Support - Transition'!E:E,"STATE UNIT"),SUMIFS('Support - Transition'!F:F,'Support - Transition'!J:J,'Step 2'!D1237))</f>
        <v>0.13065199999999999</v>
      </c>
      <c r="J1237" s="126">
        <f>SUMIFS('Support - Unit Adjustments'!E:E,'Support - Unit Adjustments'!F:F,'Step 2'!D1237)</f>
        <v>0</v>
      </c>
      <c r="K1237" s="126">
        <f t="shared" si="365"/>
        <v>0.13065199999999999</v>
      </c>
      <c r="L1237" s="174">
        <f>VLOOKUP(A1237,'Step 1'!$A:$E,4,FALSE)</f>
        <v>615101</v>
      </c>
      <c r="M1237" s="47">
        <f t="shared" si="366"/>
        <v>80364</v>
      </c>
      <c r="N1237" s="177">
        <f>SUMIFS('Support - Transition'!G:G,'Support - Transition'!J:J,'Step 2'!D1237,'Support - Transition'!E:E,"2009 WELFARE ALLOCATION FACTOR")</f>
        <v>0.12561900000000001</v>
      </c>
      <c r="O1237" s="152">
        <f t="shared" si="371"/>
        <v>10095</v>
      </c>
      <c r="P1237" s="126">
        <f>IF(E1237="Y",0,SUMIFS('Support - Transition'!G:G,'Support - Transition'!J:J,'Step 2'!D1237,'Support - Transition'!E:E,"2009 SCHOOL ALLOCATION FACTOR"))</f>
        <v>0</v>
      </c>
      <c r="Q1237" s="126">
        <f>IF(E1237="Y",VLOOKUP(D1237,'Support - Unit Adjustments'!F:G,2,FALSE),0)</f>
        <v>0</v>
      </c>
      <c r="R1237" s="155">
        <f t="shared" si="383"/>
        <v>0</v>
      </c>
      <c r="S1237" s="47">
        <f t="shared" si="382"/>
        <v>0</v>
      </c>
      <c r="T1237" s="151">
        <f t="shared" si="367"/>
        <v>70269</v>
      </c>
      <c r="U1237" s="151">
        <f t="shared" si="368"/>
        <v>0</v>
      </c>
      <c r="V1237" s="139">
        <f t="shared" si="369"/>
        <v>0</v>
      </c>
      <c r="W1237" s="152">
        <f t="shared" si="372"/>
        <v>70269</v>
      </c>
      <c r="X1237" s="127" t="str">
        <f t="shared" si="370"/>
        <v/>
      </c>
      <c r="Y1237" s="207">
        <f t="shared" si="373"/>
        <v>70269</v>
      </c>
      <c r="Z1237" s="139">
        <f t="shared" si="374"/>
        <v>70269</v>
      </c>
      <c r="AA1237" s="139">
        <f t="shared" si="375"/>
        <v>0</v>
      </c>
      <c r="AC1237" s="47">
        <f t="shared" si="376"/>
        <v>35135</v>
      </c>
      <c r="AD1237" s="47">
        <f t="shared" si="377"/>
        <v>35135</v>
      </c>
      <c r="AE1237" s="47">
        <f t="shared" si="378"/>
        <v>0</v>
      </c>
      <c r="AG1237" s="47">
        <f t="shared" si="379"/>
        <v>35134</v>
      </c>
      <c r="AH1237" s="47">
        <f t="shared" si="380"/>
        <v>35134</v>
      </c>
      <c r="AI1237" s="208">
        <f t="shared" si="381"/>
        <v>0</v>
      </c>
    </row>
    <row r="1238" spans="1:35">
      <c r="A1238" t="s">
        <v>2127</v>
      </c>
      <c r="B1238" t="s">
        <v>3142</v>
      </c>
      <c r="C1238" t="s">
        <v>2188</v>
      </c>
      <c r="D1238" t="s">
        <v>4611</v>
      </c>
      <c r="F1238" t="s">
        <v>81</v>
      </c>
      <c r="G1238" s="126">
        <f>SUMIFS('Support - Transition'!F:F,'Support - Transition'!B:B,'Step 2'!A1238,'Support - Transition'!C:C,'Step 2'!B1238,'Support - Transition'!D:D,'Step 2'!C1238,'Support - Transition'!E:E,"CIVIL")</f>
        <v>1.119E-3</v>
      </c>
      <c r="H1238" s="126">
        <f>SUMIFS('Support - Transition'!F:F,'Support - Transition'!B:B,'Step 2'!A1238,'Support - Transition'!C:C,'Step 2'!B1238,'Support - Transition'!D:D,'Step 2'!C1238,'Support - Transition'!E:E,"FIRE")</f>
        <v>1.6000000000000001E-4</v>
      </c>
      <c r="I1238" s="126">
        <f>IF(B1238="0",SUMIFS('Support - Transition'!F:F,'Support - Transition'!J:J,'Step 2'!D1238,'Support - Transition'!E:E,"STATE UNIT"),SUMIFS('Support - Transition'!F:F,'Support - Transition'!J:J,'Step 2'!D1238))</f>
        <v>1.279E-3</v>
      </c>
      <c r="J1238" s="126">
        <f>SUMIFS('Support - Unit Adjustments'!E:E,'Support - Unit Adjustments'!F:F,'Step 2'!D1238)</f>
        <v>0</v>
      </c>
      <c r="K1238" s="126">
        <f t="shared" si="365"/>
        <v>1.279E-3</v>
      </c>
      <c r="L1238" s="174">
        <f>VLOOKUP(A1238,'Step 1'!$A:$E,4,FALSE)</f>
        <v>615101</v>
      </c>
      <c r="M1238" s="47">
        <f t="shared" si="366"/>
        <v>787</v>
      </c>
      <c r="N1238" s="177">
        <f>SUMIFS('Support - Transition'!G:G,'Support - Transition'!J:J,'Step 2'!D1238,'Support - Transition'!E:E,"2009 WELFARE ALLOCATION FACTOR")</f>
        <v>0</v>
      </c>
      <c r="O1238" s="152">
        <f t="shared" si="371"/>
        <v>0</v>
      </c>
      <c r="P1238" s="126">
        <f>IF(E1238="Y",0,SUMIFS('Support - Transition'!G:G,'Support - Transition'!J:J,'Step 2'!D1238,'Support - Transition'!E:E,"2009 SCHOOL ALLOCATION FACTOR"))</f>
        <v>0</v>
      </c>
      <c r="Q1238" s="126">
        <f>IF(E1238="Y",VLOOKUP(D1238,'Support - Unit Adjustments'!F:G,2,FALSE),0)</f>
        <v>0</v>
      </c>
      <c r="R1238" s="155">
        <f t="shared" si="383"/>
        <v>0</v>
      </c>
      <c r="S1238" s="47">
        <f t="shared" si="382"/>
        <v>0</v>
      </c>
      <c r="T1238" s="151">
        <f t="shared" si="367"/>
        <v>787</v>
      </c>
      <c r="U1238" s="151">
        <f t="shared" si="368"/>
        <v>0</v>
      </c>
      <c r="V1238" s="139">
        <f t="shared" si="369"/>
        <v>0</v>
      </c>
      <c r="W1238" s="152">
        <f t="shared" si="372"/>
        <v>787</v>
      </c>
      <c r="X1238" s="127" t="str">
        <f t="shared" si="370"/>
        <v/>
      </c>
      <c r="Y1238" s="207">
        <f t="shared" si="373"/>
        <v>787</v>
      </c>
      <c r="Z1238" s="139">
        <f t="shared" si="374"/>
        <v>689</v>
      </c>
      <c r="AA1238" s="139">
        <f t="shared" si="375"/>
        <v>98</v>
      </c>
      <c r="AC1238" s="47">
        <f t="shared" si="376"/>
        <v>394</v>
      </c>
      <c r="AD1238" s="47">
        <f t="shared" si="377"/>
        <v>345</v>
      </c>
      <c r="AE1238" s="47">
        <f t="shared" si="378"/>
        <v>49</v>
      </c>
      <c r="AG1238" s="47">
        <f t="shared" si="379"/>
        <v>393</v>
      </c>
      <c r="AH1238" s="47">
        <f t="shared" si="380"/>
        <v>344</v>
      </c>
      <c r="AI1238" s="208">
        <f t="shared" si="381"/>
        <v>49</v>
      </c>
    </row>
    <row r="1239" spans="1:35">
      <c r="A1239" t="s">
        <v>2127</v>
      </c>
      <c r="B1239" t="s">
        <v>3142</v>
      </c>
      <c r="C1239" t="s">
        <v>2189</v>
      </c>
      <c r="D1239" t="s">
        <v>4612</v>
      </c>
      <c r="F1239" t="s">
        <v>952</v>
      </c>
      <c r="G1239" s="126">
        <f>SUMIFS('Support - Transition'!F:F,'Support - Transition'!B:B,'Step 2'!A1239,'Support - Transition'!C:C,'Step 2'!B1239,'Support - Transition'!D:D,'Step 2'!C1239,'Support - Transition'!E:E,"CIVIL")</f>
        <v>5.7300000000000005E-4</v>
      </c>
      <c r="H1239" s="126">
        <f>SUMIFS('Support - Transition'!F:F,'Support - Transition'!B:B,'Step 2'!A1239,'Support - Transition'!C:C,'Step 2'!B1239,'Support - Transition'!D:D,'Step 2'!C1239,'Support - Transition'!E:E,"FIRE")</f>
        <v>3.19E-4</v>
      </c>
      <c r="I1239" s="126">
        <f>IF(B1239="0",SUMIFS('Support - Transition'!F:F,'Support - Transition'!J:J,'Step 2'!D1239,'Support - Transition'!E:E,"STATE UNIT"),SUMIFS('Support - Transition'!F:F,'Support - Transition'!J:J,'Step 2'!D1239))</f>
        <v>8.92E-4</v>
      </c>
      <c r="J1239" s="126">
        <f>SUMIFS('Support - Unit Adjustments'!E:E,'Support - Unit Adjustments'!F:F,'Step 2'!D1239)</f>
        <v>0</v>
      </c>
      <c r="K1239" s="126">
        <f t="shared" si="365"/>
        <v>8.92E-4</v>
      </c>
      <c r="L1239" s="174">
        <f>VLOOKUP(A1239,'Step 1'!$A:$E,4,FALSE)</f>
        <v>615101</v>
      </c>
      <c r="M1239" s="47">
        <f t="shared" si="366"/>
        <v>549</v>
      </c>
      <c r="N1239" s="177">
        <f>SUMIFS('Support - Transition'!G:G,'Support - Transition'!J:J,'Step 2'!D1239,'Support - Transition'!E:E,"2009 WELFARE ALLOCATION FACTOR")</f>
        <v>0</v>
      </c>
      <c r="O1239" s="152">
        <f t="shared" si="371"/>
        <v>0</v>
      </c>
      <c r="P1239" s="126">
        <f>IF(E1239="Y",0,SUMIFS('Support - Transition'!G:G,'Support - Transition'!J:J,'Step 2'!D1239,'Support - Transition'!E:E,"2009 SCHOOL ALLOCATION FACTOR"))</f>
        <v>0</v>
      </c>
      <c r="Q1239" s="126">
        <f>IF(E1239="Y",VLOOKUP(D1239,'Support - Unit Adjustments'!F:G,2,FALSE),0)</f>
        <v>0</v>
      </c>
      <c r="R1239" s="155">
        <f t="shared" si="383"/>
        <v>0</v>
      </c>
      <c r="S1239" s="47">
        <f t="shared" si="382"/>
        <v>0</v>
      </c>
      <c r="T1239" s="151">
        <f t="shared" si="367"/>
        <v>549</v>
      </c>
      <c r="U1239" s="151">
        <f t="shared" si="368"/>
        <v>0</v>
      </c>
      <c r="V1239" s="139">
        <f t="shared" si="369"/>
        <v>0</v>
      </c>
      <c r="W1239" s="152">
        <f t="shared" si="372"/>
        <v>549</v>
      </c>
      <c r="X1239" s="127" t="str">
        <f t="shared" si="370"/>
        <v/>
      </c>
      <c r="Y1239" s="207">
        <f t="shared" si="373"/>
        <v>549</v>
      </c>
      <c r="Z1239" s="139">
        <f t="shared" si="374"/>
        <v>353</v>
      </c>
      <c r="AA1239" s="139">
        <f t="shared" si="375"/>
        <v>196</v>
      </c>
      <c r="AC1239" s="47">
        <f t="shared" si="376"/>
        <v>275</v>
      </c>
      <c r="AD1239" s="47">
        <f t="shared" si="377"/>
        <v>177</v>
      </c>
      <c r="AE1239" s="47">
        <f t="shared" si="378"/>
        <v>98</v>
      </c>
      <c r="AG1239" s="47">
        <f t="shared" si="379"/>
        <v>274</v>
      </c>
      <c r="AH1239" s="47">
        <f t="shared" si="380"/>
        <v>176</v>
      </c>
      <c r="AI1239" s="208">
        <f t="shared" si="381"/>
        <v>98</v>
      </c>
    </row>
    <row r="1240" spans="1:35">
      <c r="A1240" t="s">
        <v>2127</v>
      </c>
      <c r="B1240" t="s">
        <v>3142</v>
      </c>
      <c r="C1240" t="s">
        <v>2190</v>
      </c>
      <c r="D1240" t="s">
        <v>4613</v>
      </c>
      <c r="F1240" t="s">
        <v>372</v>
      </c>
      <c r="G1240" s="126">
        <f>SUMIFS('Support - Transition'!F:F,'Support - Transition'!B:B,'Step 2'!A1240,'Support - Transition'!C:C,'Step 2'!B1240,'Support - Transition'!D:D,'Step 2'!C1240,'Support - Transition'!E:E,"CIVIL")</f>
        <v>2.1499999999999999E-4</v>
      </c>
      <c r="H1240" s="126">
        <f>SUMIFS('Support - Transition'!F:F,'Support - Transition'!B:B,'Step 2'!A1240,'Support - Transition'!C:C,'Step 2'!B1240,'Support - Transition'!D:D,'Step 2'!C1240,'Support - Transition'!E:E,"FIRE")</f>
        <v>3.8999999999999999E-5</v>
      </c>
      <c r="I1240" s="126">
        <f>IF(B1240="0",SUMIFS('Support - Transition'!F:F,'Support - Transition'!J:J,'Step 2'!D1240,'Support - Transition'!E:E,"STATE UNIT"),SUMIFS('Support - Transition'!F:F,'Support - Transition'!J:J,'Step 2'!D1240))</f>
        <v>2.5399999999999999E-4</v>
      </c>
      <c r="J1240" s="126">
        <f>SUMIFS('Support - Unit Adjustments'!E:E,'Support - Unit Adjustments'!F:F,'Step 2'!D1240)</f>
        <v>0</v>
      </c>
      <c r="K1240" s="126">
        <f t="shared" si="365"/>
        <v>2.5399999999999999E-4</v>
      </c>
      <c r="L1240" s="174">
        <f>VLOOKUP(A1240,'Step 1'!$A:$E,4,FALSE)</f>
        <v>615101</v>
      </c>
      <c r="M1240" s="47">
        <f t="shared" si="366"/>
        <v>156</v>
      </c>
      <c r="N1240" s="177">
        <f>SUMIFS('Support - Transition'!G:G,'Support - Transition'!J:J,'Step 2'!D1240,'Support - Transition'!E:E,"2009 WELFARE ALLOCATION FACTOR")</f>
        <v>0</v>
      </c>
      <c r="O1240" s="152">
        <f t="shared" si="371"/>
        <v>0</v>
      </c>
      <c r="P1240" s="126">
        <f>IF(E1240="Y",0,SUMIFS('Support - Transition'!G:G,'Support - Transition'!J:J,'Step 2'!D1240,'Support - Transition'!E:E,"2009 SCHOOL ALLOCATION FACTOR"))</f>
        <v>0</v>
      </c>
      <c r="Q1240" s="126">
        <f>IF(E1240="Y",VLOOKUP(D1240,'Support - Unit Adjustments'!F:G,2,FALSE),0)</f>
        <v>0</v>
      </c>
      <c r="R1240" s="155">
        <f t="shared" si="383"/>
        <v>0</v>
      </c>
      <c r="S1240" s="47">
        <f t="shared" si="382"/>
        <v>0</v>
      </c>
      <c r="T1240" s="151">
        <f t="shared" si="367"/>
        <v>156</v>
      </c>
      <c r="U1240" s="151">
        <f t="shared" si="368"/>
        <v>0</v>
      </c>
      <c r="V1240" s="139">
        <f t="shared" si="369"/>
        <v>0</v>
      </c>
      <c r="W1240" s="152">
        <f t="shared" si="372"/>
        <v>156</v>
      </c>
      <c r="X1240" s="127" t="str">
        <f t="shared" si="370"/>
        <v/>
      </c>
      <c r="Y1240" s="207">
        <f t="shared" si="373"/>
        <v>156</v>
      </c>
      <c r="Z1240" s="139">
        <f t="shared" si="374"/>
        <v>132</v>
      </c>
      <c r="AA1240" s="139">
        <f t="shared" si="375"/>
        <v>24</v>
      </c>
      <c r="AC1240" s="47">
        <f t="shared" si="376"/>
        <v>78</v>
      </c>
      <c r="AD1240" s="47">
        <f t="shared" si="377"/>
        <v>66</v>
      </c>
      <c r="AE1240" s="47">
        <f t="shared" si="378"/>
        <v>12</v>
      </c>
      <c r="AG1240" s="47">
        <f t="shared" si="379"/>
        <v>78</v>
      </c>
      <c r="AH1240" s="47">
        <f t="shared" si="380"/>
        <v>66</v>
      </c>
      <c r="AI1240" s="208">
        <f t="shared" si="381"/>
        <v>12</v>
      </c>
    </row>
    <row r="1241" spans="1:35">
      <c r="A1241" t="s">
        <v>2127</v>
      </c>
      <c r="B1241" t="s">
        <v>3142</v>
      </c>
      <c r="C1241" t="s">
        <v>2191</v>
      </c>
      <c r="D1241" t="s">
        <v>4614</v>
      </c>
      <c r="F1241" t="s">
        <v>86</v>
      </c>
      <c r="G1241" s="126">
        <f>SUMIFS('Support - Transition'!F:F,'Support - Transition'!B:B,'Step 2'!A1241,'Support - Transition'!C:C,'Step 2'!B1241,'Support - Transition'!D:D,'Step 2'!C1241,'Support - Transition'!E:E,"CIVIL")</f>
        <v>2.689E-3</v>
      </c>
      <c r="H1241" s="126">
        <f>SUMIFS('Support - Transition'!F:F,'Support - Transition'!B:B,'Step 2'!A1241,'Support - Transition'!C:C,'Step 2'!B1241,'Support - Transition'!D:D,'Step 2'!C1241,'Support - Transition'!E:E,"FIRE")</f>
        <v>4.2999999999999999E-4</v>
      </c>
      <c r="I1241" s="126">
        <f>IF(B1241="0",SUMIFS('Support - Transition'!F:F,'Support - Transition'!J:J,'Step 2'!D1241,'Support - Transition'!E:E,"STATE UNIT"),SUMIFS('Support - Transition'!F:F,'Support - Transition'!J:J,'Step 2'!D1241))</f>
        <v>3.1189999999999998E-3</v>
      </c>
      <c r="J1241" s="126">
        <f>SUMIFS('Support - Unit Adjustments'!E:E,'Support - Unit Adjustments'!F:F,'Step 2'!D1241)</f>
        <v>0</v>
      </c>
      <c r="K1241" s="126">
        <f t="shared" si="365"/>
        <v>3.1189999999999998E-3</v>
      </c>
      <c r="L1241" s="174">
        <f>VLOOKUP(A1241,'Step 1'!$A:$E,4,FALSE)</f>
        <v>615101</v>
      </c>
      <c r="M1241" s="47">
        <f t="shared" si="366"/>
        <v>1919</v>
      </c>
      <c r="N1241" s="177">
        <f>SUMIFS('Support - Transition'!G:G,'Support - Transition'!J:J,'Step 2'!D1241,'Support - Transition'!E:E,"2009 WELFARE ALLOCATION FACTOR")</f>
        <v>0</v>
      </c>
      <c r="O1241" s="152">
        <f t="shared" si="371"/>
        <v>0</v>
      </c>
      <c r="P1241" s="126">
        <f>IF(E1241="Y",0,SUMIFS('Support - Transition'!G:G,'Support - Transition'!J:J,'Step 2'!D1241,'Support - Transition'!E:E,"2009 SCHOOL ALLOCATION FACTOR"))</f>
        <v>0</v>
      </c>
      <c r="Q1241" s="126">
        <f>IF(E1241="Y",VLOOKUP(D1241,'Support - Unit Adjustments'!F:G,2,FALSE),0)</f>
        <v>0</v>
      </c>
      <c r="R1241" s="155">
        <f t="shared" si="383"/>
        <v>0</v>
      </c>
      <c r="S1241" s="47">
        <f t="shared" si="382"/>
        <v>0</v>
      </c>
      <c r="T1241" s="151">
        <f t="shared" si="367"/>
        <v>1919</v>
      </c>
      <c r="U1241" s="151">
        <f t="shared" si="368"/>
        <v>0</v>
      </c>
      <c r="V1241" s="139">
        <f t="shared" si="369"/>
        <v>0</v>
      </c>
      <c r="W1241" s="152">
        <f t="shared" si="372"/>
        <v>1919</v>
      </c>
      <c r="X1241" s="127" t="str">
        <f t="shared" si="370"/>
        <v/>
      </c>
      <c r="Y1241" s="207">
        <f t="shared" si="373"/>
        <v>1919</v>
      </c>
      <c r="Z1241" s="139">
        <f t="shared" si="374"/>
        <v>1654</v>
      </c>
      <c r="AA1241" s="139">
        <f t="shared" si="375"/>
        <v>265</v>
      </c>
      <c r="AC1241" s="47">
        <f t="shared" si="376"/>
        <v>960</v>
      </c>
      <c r="AD1241" s="47">
        <f t="shared" si="377"/>
        <v>827</v>
      </c>
      <c r="AE1241" s="47">
        <f t="shared" si="378"/>
        <v>133</v>
      </c>
      <c r="AG1241" s="47">
        <f t="shared" si="379"/>
        <v>959</v>
      </c>
      <c r="AH1241" s="47">
        <f t="shared" si="380"/>
        <v>827</v>
      </c>
      <c r="AI1241" s="208">
        <f t="shared" si="381"/>
        <v>132</v>
      </c>
    </row>
    <row r="1242" spans="1:35">
      <c r="A1242" t="s">
        <v>2127</v>
      </c>
      <c r="B1242" t="s">
        <v>3142</v>
      </c>
      <c r="C1242" t="s">
        <v>2192</v>
      </c>
      <c r="D1242" t="s">
        <v>4615</v>
      </c>
      <c r="F1242" t="s">
        <v>49</v>
      </c>
      <c r="G1242" s="126">
        <f>SUMIFS('Support - Transition'!F:F,'Support - Transition'!B:B,'Step 2'!A1242,'Support - Transition'!C:C,'Step 2'!B1242,'Support - Transition'!D:D,'Step 2'!C1242,'Support - Transition'!E:E,"CIVIL")</f>
        <v>5.2700000000000002E-4</v>
      </c>
      <c r="H1242" s="126">
        <f>SUMIFS('Support - Transition'!F:F,'Support - Transition'!B:B,'Step 2'!A1242,'Support - Transition'!C:C,'Step 2'!B1242,'Support - Transition'!D:D,'Step 2'!C1242,'Support - Transition'!E:E,"FIRE")</f>
        <v>3.2699999999999998E-4</v>
      </c>
      <c r="I1242" s="126">
        <f>IF(B1242="0",SUMIFS('Support - Transition'!F:F,'Support - Transition'!J:J,'Step 2'!D1242,'Support - Transition'!E:E,"STATE UNIT"),SUMIFS('Support - Transition'!F:F,'Support - Transition'!J:J,'Step 2'!D1242))</f>
        <v>8.5399999999999994E-4</v>
      </c>
      <c r="J1242" s="126">
        <f>SUMIFS('Support - Unit Adjustments'!E:E,'Support - Unit Adjustments'!F:F,'Step 2'!D1242)</f>
        <v>0</v>
      </c>
      <c r="K1242" s="126">
        <f t="shared" si="365"/>
        <v>8.5399999999999994E-4</v>
      </c>
      <c r="L1242" s="174">
        <f>VLOOKUP(A1242,'Step 1'!$A:$E,4,FALSE)</f>
        <v>615101</v>
      </c>
      <c r="M1242" s="47">
        <f t="shared" si="366"/>
        <v>525</v>
      </c>
      <c r="N1242" s="177">
        <f>SUMIFS('Support - Transition'!G:G,'Support - Transition'!J:J,'Step 2'!D1242,'Support - Transition'!E:E,"2009 WELFARE ALLOCATION FACTOR")</f>
        <v>0</v>
      </c>
      <c r="O1242" s="152">
        <f t="shared" si="371"/>
        <v>0</v>
      </c>
      <c r="P1242" s="126">
        <f>IF(E1242="Y",0,SUMIFS('Support - Transition'!G:G,'Support - Transition'!J:J,'Step 2'!D1242,'Support - Transition'!E:E,"2009 SCHOOL ALLOCATION FACTOR"))</f>
        <v>0</v>
      </c>
      <c r="Q1242" s="126">
        <f>IF(E1242="Y",VLOOKUP(D1242,'Support - Unit Adjustments'!F:G,2,FALSE),0)</f>
        <v>0</v>
      </c>
      <c r="R1242" s="155">
        <f t="shared" si="383"/>
        <v>0</v>
      </c>
      <c r="S1242" s="47">
        <f t="shared" si="382"/>
        <v>0</v>
      </c>
      <c r="T1242" s="151">
        <f t="shared" si="367"/>
        <v>525</v>
      </c>
      <c r="U1242" s="151">
        <f t="shared" si="368"/>
        <v>0</v>
      </c>
      <c r="V1242" s="139">
        <f t="shared" si="369"/>
        <v>0</v>
      </c>
      <c r="W1242" s="152">
        <f t="shared" si="372"/>
        <v>525</v>
      </c>
      <c r="X1242" s="127" t="str">
        <f t="shared" si="370"/>
        <v/>
      </c>
      <c r="Y1242" s="207">
        <f t="shared" si="373"/>
        <v>525</v>
      </c>
      <c r="Z1242" s="139">
        <f t="shared" si="374"/>
        <v>324</v>
      </c>
      <c r="AA1242" s="139">
        <f t="shared" si="375"/>
        <v>201</v>
      </c>
      <c r="AC1242" s="47">
        <f t="shared" si="376"/>
        <v>263</v>
      </c>
      <c r="AD1242" s="47">
        <f t="shared" si="377"/>
        <v>162</v>
      </c>
      <c r="AE1242" s="47">
        <f t="shared" si="378"/>
        <v>101</v>
      </c>
      <c r="AG1242" s="47">
        <f t="shared" si="379"/>
        <v>262</v>
      </c>
      <c r="AH1242" s="47">
        <f t="shared" si="380"/>
        <v>162</v>
      </c>
      <c r="AI1242" s="208">
        <f t="shared" si="381"/>
        <v>100</v>
      </c>
    </row>
    <row r="1243" spans="1:35">
      <c r="A1243" t="s">
        <v>2127</v>
      </c>
      <c r="B1243" t="s">
        <v>3142</v>
      </c>
      <c r="C1243" t="s">
        <v>2193</v>
      </c>
      <c r="D1243" t="s">
        <v>4616</v>
      </c>
      <c r="F1243" t="s">
        <v>14</v>
      </c>
      <c r="G1243" s="126">
        <f>SUMIFS('Support - Transition'!F:F,'Support - Transition'!B:B,'Step 2'!A1243,'Support - Transition'!C:C,'Step 2'!B1243,'Support - Transition'!D:D,'Step 2'!C1243,'Support - Transition'!E:E,"CIVIL")</f>
        <v>2.42E-4</v>
      </c>
      <c r="H1243" s="126">
        <f>SUMIFS('Support - Transition'!F:F,'Support - Transition'!B:B,'Step 2'!A1243,'Support - Transition'!C:C,'Step 2'!B1243,'Support - Transition'!D:D,'Step 2'!C1243,'Support - Transition'!E:E,"FIRE")</f>
        <v>3.6999999999999998E-5</v>
      </c>
      <c r="I1243" s="126">
        <f>IF(B1243="0",SUMIFS('Support - Transition'!F:F,'Support - Transition'!J:J,'Step 2'!D1243,'Support - Transition'!E:E,"STATE UNIT"),SUMIFS('Support - Transition'!F:F,'Support - Transition'!J:J,'Step 2'!D1243))</f>
        <v>2.7900000000000001E-4</v>
      </c>
      <c r="J1243" s="126">
        <f>SUMIFS('Support - Unit Adjustments'!E:E,'Support - Unit Adjustments'!F:F,'Step 2'!D1243)</f>
        <v>0</v>
      </c>
      <c r="K1243" s="126">
        <f t="shared" si="365"/>
        <v>2.7900000000000001E-4</v>
      </c>
      <c r="L1243" s="174">
        <f>VLOOKUP(A1243,'Step 1'!$A:$E,4,FALSE)</f>
        <v>615101</v>
      </c>
      <c r="M1243" s="47">
        <f t="shared" si="366"/>
        <v>172</v>
      </c>
      <c r="N1243" s="177">
        <f>SUMIFS('Support - Transition'!G:G,'Support - Transition'!J:J,'Step 2'!D1243,'Support - Transition'!E:E,"2009 WELFARE ALLOCATION FACTOR")</f>
        <v>0</v>
      </c>
      <c r="O1243" s="152">
        <f t="shared" si="371"/>
        <v>0</v>
      </c>
      <c r="P1243" s="126">
        <f>IF(E1243="Y",0,SUMIFS('Support - Transition'!G:G,'Support - Transition'!J:J,'Step 2'!D1243,'Support - Transition'!E:E,"2009 SCHOOL ALLOCATION FACTOR"))</f>
        <v>0</v>
      </c>
      <c r="Q1243" s="126">
        <f>IF(E1243="Y",VLOOKUP(D1243,'Support - Unit Adjustments'!F:G,2,FALSE),0)</f>
        <v>0</v>
      </c>
      <c r="R1243" s="155">
        <f t="shared" si="383"/>
        <v>0</v>
      </c>
      <c r="S1243" s="47">
        <f t="shared" si="382"/>
        <v>0</v>
      </c>
      <c r="T1243" s="151">
        <f t="shared" si="367"/>
        <v>172</v>
      </c>
      <c r="U1243" s="151">
        <f t="shared" si="368"/>
        <v>0</v>
      </c>
      <c r="V1243" s="139">
        <f t="shared" si="369"/>
        <v>0</v>
      </c>
      <c r="W1243" s="152">
        <f t="shared" si="372"/>
        <v>172</v>
      </c>
      <c r="X1243" s="127" t="str">
        <f t="shared" si="370"/>
        <v/>
      </c>
      <c r="Y1243" s="207">
        <f t="shared" si="373"/>
        <v>172</v>
      </c>
      <c r="Z1243" s="139">
        <f t="shared" si="374"/>
        <v>149</v>
      </c>
      <c r="AA1243" s="139">
        <f t="shared" si="375"/>
        <v>23</v>
      </c>
      <c r="AC1243" s="47">
        <f t="shared" si="376"/>
        <v>86</v>
      </c>
      <c r="AD1243" s="47">
        <f t="shared" si="377"/>
        <v>75</v>
      </c>
      <c r="AE1243" s="47">
        <f t="shared" si="378"/>
        <v>12</v>
      </c>
      <c r="AG1243" s="47">
        <f t="shared" si="379"/>
        <v>86</v>
      </c>
      <c r="AH1243" s="47">
        <f t="shared" si="380"/>
        <v>74</v>
      </c>
      <c r="AI1243" s="208">
        <f t="shared" si="381"/>
        <v>11</v>
      </c>
    </row>
    <row r="1244" spans="1:35">
      <c r="A1244" t="s">
        <v>2127</v>
      </c>
      <c r="B1244" t="s">
        <v>3142</v>
      </c>
      <c r="C1244" t="s">
        <v>2194</v>
      </c>
      <c r="D1244" t="s">
        <v>4617</v>
      </c>
      <c r="F1244" t="s">
        <v>51</v>
      </c>
      <c r="G1244" s="126">
        <f>SUMIFS('Support - Transition'!F:F,'Support - Transition'!B:B,'Step 2'!A1244,'Support - Transition'!C:C,'Step 2'!B1244,'Support - Transition'!D:D,'Step 2'!C1244,'Support - Transition'!E:E,"CIVIL")</f>
        <v>2.1080000000000001E-3</v>
      </c>
      <c r="H1244" s="126">
        <f>SUMIFS('Support - Transition'!F:F,'Support - Transition'!B:B,'Step 2'!A1244,'Support - Transition'!C:C,'Step 2'!B1244,'Support - Transition'!D:D,'Step 2'!C1244,'Support - Transition'!E:E,"FIRE")</f>
        <v>3.9100000000000002E-4</v>
      </c>
      <c r="I1244" s="126">
        <f>IF(B1244="0",SUMIFS('Support - Transition'!F:F,'Support - Transition'!J:J,'Step 2'!D1244,'Support - Transition'!E:E,"STATE UNIT"),SUMIFS('Support - Transition'!F:F,'Support - Transition'!J:J,'Step 2'!D1244))</f>
        <v>2.4989999999999999E-3</v>
      </c>
      <c r="J1244" s="126">
        <f>SUMIFS('Support - Unit Adjustments'!E:E,'Support - Unit Adjustments'!F:F,'Step 2'!D1244)</f>
        <v>0</v>
      </c>
      <c r="K1244" s="126">
        <f t="shared" si="365"/>
        <v>2.4989999999999999E-3</v>
      </c>
      <c r="L1244" s="174">
        <f>VLOOKUP(A1244,'Step 1'!$A:$E,4,FALSE)</f>
        <v>615101</v>
      </c>
      <c r="M1244" s="47">
        <f t="shared" si="366"/>
        <v>1537</v>
      </c>
      <c r="N1244" s="177">
        <f>SUMIFS('Support - Transition'!G:G,'Support - Transition'!J:J,'Step 2'!D1244,'Support - Transition'!E:E,"2009 WELFARE ALLOCATION FACTOR")</f>
        <v>0</v>
      </c>
      <c r="O1244" s="152">
        <f t="shared" si="371"/>
        <v>0</v>
      </c>
      <c r="P1244" s="126">
        <f>IF(E1244="Y",0,SUMIFS('Support - Transition'!G:G,'Support - Transition'!J:J,'Step 2'!D1244,'Support - Transition'!E:E,"2009 SCHOOL ALLOCATION FACTOR"))</f>
        <v>0</v>
      </c>
      <c r="Q1244" s="126">
        <f>IF(E1244="Y",VLOOKUP(D1244,'Support - Unit Adjustments'!F:G,2,FALSE),0)</f>
        <v>0</v>
      </c>
      <c r="R1244" s="155">
        <f t="shared" si="383"/>
        <v>0</v>
      </c>
      <c r="S1244" s="47">
        <f t="shared" si="382"/>
        <v>0</v>
      </c>
      <c r="T1244" s="151">
        <f t="shared" si="367"/>
        <v>1537</v>
      </c>
      <c r="U1244" s="151">
        <f t="shared" si="368"/>
        <v>0</v>
      </c>
      <c r="V1244" s="139">
        <f t="shared" si="369"/>
        <v>0</v>
      </c>
      <c r="W1244" s="152">
        <f t="shared" si="372"/>
        <v>1537</v>
      </c>
      <c r="X1244" s="127" t="str">
        <f t="shared" si="370"/>
        <v/>
      </c>
      <c r="Y1244" s="207">
        <f t="shared" si="373"/>
        <v>1537</v>
      </c>
      <c r="Z1244" s="139">
        <f t="shared" si="374"/>
        <v>1297</v>
      </c>
      <c r="AA1244" s="139">
        <f t="shared" si="375"/>
        <v>240</v>
      </c>
      <c r="AC1244" s="47">
        <f t="shared" si="376"/>
        <v>769</v>
      </c>
      <c r="AD1244" s="47">
        <f t="shared" si="377"/>
        <v>649</v>
      </c>
      <c r="AE1244" s="47">
        <f t="shared" si="378"/>
        <v>120</v>
      </c>
      <c r="AG1244" s="47">
        <f t="shared" si="379"/>
        <v>768</v>
      </c>
      <c r="AH1244" s="47">
        <f t="shared" si="380"/>
        <v>648</v>
      </c>
      <c r="AI1244" s="208">
        <f t="shared" si="381"/>
        <v>120</v>
      </c>
    </row>
    <row r="1245" spans="1:35">
      <c r="A1245" t="s">
        <v>2127</v>
      </c>
      <c r="B1245" t="s">
        <v>3142</v>
      </c>
      <c r="C1245" t="s">
        <v>2195</v>
      </c>
      <c r="D1245" t="s">
        <v>4618</v>
      </c>
      <c r="F1245" t="s">
        <v>16</v>
      </c>
      <c r="G1245" s="126">
        <f>SUMIFS('Support - Transition'!F:F,'Support - Transition'!B:B,'Step 2'!A1245,'Support - Transition'!C:C,'Step 2'!B1245,'Support - Transition'!D:D,'Step 2'!C1245,'Support - Transition'!E:E,"CIVIL")</f>
        <v>1.1E-4</v>
      </c>
      <c r="H1245" s="126">
        <f>SUMIFS('Support - Transition'!F:F,'Support - Transition'!B:B,'Step 2'!A1245,'Support - Transition'!C:C,'Step 2'!B1245,'Support - Transition'!D:D,'Step 2'!C1245,'Support - Transition'!E:E,"FIRE")</f>
        <v>6.7000000000000002E-5</v>
      </c>
      <c r="I1245" s="126">
        <f>IF(B1245="0",SUMIFS('Support - Transition'!F:F,'Support - Transition'!J:J,'Step 2'!D1245,'Support - Transition'!E:E,"STATE UNIT"),SUMIFS('Support - Transition'!F:F,'Support - Transition'!J:J,'Step 2'!D1245))</f>
        <v>1.7700000000000002E-4</v>
      </c>
      <c r="J1245" s="126">
        <f>SUMIFS('Support - Unit Adjustments'!E:E,'Support - Unit Adjustments'!F:F,'Step 2'!D1245)</f>
        <v>0</v>
      </c>
      <c r="K1245" s="126">
        <f t="shared" si="365"/>
        <v>1.7700000000000002E-4</v>
      </c>
      <c r="L1245" s="174">
        <f>VLOOKUP(A1245,'Step 1'!$A:$E,4,FALSE)</f>
        <v>615101</v>
      </c>
      <c r="M1245" s="47">
        <f t="shared" si="366"/>
        <v>109</v>
      </c>
      <c r="N1245" s="177">
        <f>SUMIFS('Support - Transition'!G:G,'Support - Transition'!J:J,'Step 2'!D1245,'Support - Transition'!E:E,"2009 WELFARE ALLOCATION FACTOR")</f>
        <v>0</v>
      </c>
      <c r="O1245" s="152">
        <f t="shared" si="371"/>
        <v>0</v>
      </c>
      <c r="P1245" s="126">
        <f>IF(E1245="Y",0,SUMIFS('Support - Transition'!G:G,'Support - Transition'!J:J,'Step 2'!D1245,'Support - Transition'!E:E,"2009 SCHOOL ALLOCATION FACTOR"))</f>
        <v>0</v>
      </c>
      <c r="Q1245" s="126">
        <f>IF(E1245="Y",VLOOKUP(D1245,'Support - Unit Adjustments'!F:G,2,FALSE),0)</f>
        <v>0</v>
      </c>
      <c r="R1245" s="155">
        <f t="shared" si="383"/>
        <v>0</v>
      </c>
      <c r="S1245" s="47">
        <f t="shared" si="382"/>
        <v>0</v>
      </c>
      <c r="T1245" s="151">
        <f t="shared" si="367"/>
        <v>109</v>
      </c>
      <c r="U1245" s="151">
        <f t="shared" si="368"/>
        <v>0</v>
      </c>
      <c r="V1245" s="139">
        <f t="shared" si="369"/>
        <v>0</v>
      </c>
      <c r="W1245" s="152">
        <f t="shared" si="372"/>
        <v>109</v>
      </c>
      <c r="X1245" s="127" t="str">
        <f t="shared" si="370"/>
        <v/>
      </c>
      <c r="Y1245" s="207">
        <f t="shared" si="373"/>
        <v>109</v>
      </c>
      <c r="Z1245" s="139">
        <f t="shared" si="374"/>
        <v>68</v>
      </c>
      <c r="AA1245" s="139">
        <f t="shared" si="375"/>
        <v>41</v>
      </c>
      <c r="AC1245" s="47">
        <f t="shared" si="376"/>
        <v>55</v>
      </c>
      <c r="AD1245" s="47">
        <f t="shared" si="377"/>
        <v>34</v>
      </c>
      <c r="AE1245" s="47">
        <f t="shared" si="378"/>
        <v>21</v>
      </c>
      <c r="AG1245" s="47">
        <f t="shared" si="379"/>
        <v>54</v>
      </c>
      <c r="AH1245" s="47">
        <f t="shared" si="380"/>
        <v>34</v>
      </c>
      <c r="AI1245" s="208">
        <f t="shared" si="381"/>
        <v>20</v>
      </c>
    </row>
    <row r="1246" spans="1:35">
      <c r="A1246" t="s">
        <v>2127</v>
      </c>
      <c r="B1246" t="s">
        <v>3142</v>
      </c>
      <c r="C1246" t="s">
        <v>2196</v>
      </c>
      <c r="D1246" t="s">
        <v>4619</v>
      </c>
      <c r="F1246" t="s">
        <v>953</v>
      </c>
      <c r="G1246" s="126">
        <f>SUMIFS('Support - Transition'!F:F,'Support - Transition'!B:B,'Step 2'!A1246,'Support - Transition'!C:C,'Step 2'!B1246,'Support - Transition'!D:D,'Step 2'!C1246,'Support - Transition'!E:E,"CIVIL")</f>
        <v>6.8849999999999996E-3</v>
      </c>
      <c r="H1246" s="126">
        <f>SUMIFS('Support - Transition'!F:F,'Support - Transition'!B:B,'Step 2'!A1246,'Support - Transition'!C:C,'Step 2'!B1246,'Support - Transition'!D:D,'Step 2'!C1246,'Support - Transition'!E:E,"FIRE")</f>
        <v>1.168E-3</v>
      </c>
      <c r="I1246" s="126">
        <f>IF(B1246="0",SUMIFS('Support - Transition'!F:F,'Support - Transition'!J:J,'Step 2'!D1246,'Support - Transition'!E:E,"STATE UNIT"),SUMIFS('Support - Transition'!F:F,'Support - Transition'!J:J,'Step 2'!D1246))</f>
        <v>8.0529999999999994E-3</v>
      </c>
      <c r="J1246" s="126">
        <f>SUMIFS('Support - Unit Adjustments'!E:E,'Support - Unit Adjustments'!F:F,'Step 2'!D1246)</f>
        <v>0</v>
      </c>
      <c r="K1246" s="126">
        <f t="shared" si="365"/>
        <v>8.0529999999999994E-3</v>
      </c>
      <c r="L1246" s="174">
        <f>VLOOKUP(A1246,'Step 1'!$A:$E,4,FALSE)</f>
        <v>615101</v>
      </c>
      <c r="M1246" s="47">
        <f t="shared" si="366"/>
        <v>4953</v>
      </c>
      <c r="N1246" s="177">
        <f>SUMIFS('Support - Transition'!G:G,'Support - Transition'!J:J,'Step 2'!D1246,'Support - Transition'!E:E,"2009 WELFARE ALLOCATION FACTOR")</f>
        <v>0</v>
      </c>
      <c r="O1246" s="152">
        <f t="shared" si="371"/>
        <v>0</v>
      </c>
      <c r="P1246" s="126">
        <f>IF(E1246="Y",0,SUMIFS('Support - Transition'!G:G,'Support - Transition'!J:J,'Step 2'!D1246,'Support - Transition'!E:E,"2009 SCHOOL ALLOCATION FACTOR"))</f>
        <v>0</v>
      </c>
      <c r="Q1246" s="126">
        <f>IF(E1246="Y",VLOOKUP(D1246,'Support - Unit Adjustments'!F:G,2,FALSE),0)</f>
        <v>0</v>
      </c>
      <c r="R1246" s="155">
        <f t="shared" si="383"/>
        <v>0</v>
      </c>
      <c r="S1246" s="47">
        <f t="shared" si="382"/>
        <v>0</v>
      </c>
      <c r="T1246" s="151">
        <f t="shared" si="367"/>
        <v>4953</v>
      </c>
      <c r="U1246" s="151">
        <f t="shared" si="368"/>
        <v>0</v>
      </c>
      <c r="V1246" s="139">
        <f t="shared" si="369"/>
        <v>0</v>
      </c>
      <c r="W1246" s="152">
        <f t="shared" si="372"/>
        <v>4953</v>
      </c>
      <c r="X1246" s="127" t="str">
        <f t="shared" si="370"/>
        <v/>
      </c>
      <c r="Y1246" s="207">
        <f t="shared" si="373"/>
        <v>4953</v>
      </c>
      <c r="Z1246" s="139">
        <f t="shared" si="374"/>
        <v>4235</v>
      </c>
      <c r="AA1246" s="139">
        <f t="shared" si="375"/>
        <v>718</v>
      </c>
      <c r="AC1246" s="47">
        <f t="shared" si="376"/>
        <v>2477</v>
      </c>
      <c r="AD1246" s="47">
        <f t="shared" si="377"/>
        <v>2118</v>
      </c>
      <c r="AE1246" s="47">
        <f t="shared" si="378"/>
        <v>359</v>
      </c>
      <c r="AG1246" s="47">
        <f t="shared" si="379"/>
        <v>2476</v>
      </c>
      <c r="AH1246" s="47">
        <f t="shared" si="380"/>
        <v>2117</v>
      </c>
      <c r="AI1246" s="208">
        <f t="shared" si="381"/>
        <v>359</v>
      </c>
    </row>
    <row r="1247" spans="1:35">
      <c r="A1247" t="s">
        <v>2127</v>
      </c>
      <c r="B1247" t="s">
        <v>3142</v>
      </c>
      <c r="C1247" t="s">
        <v>2197</v>
      </c>
      <c r="D1247" t="s">
        <v>4620</v>
      </c>
      <c r="F1247" t="s">
        <v>744</v>
      </c>
      <c r="G1247" s="126">
        <f>SUMIFS('Support - Transition'!F:F,'Support - Transition'!B:B,'Step 2'!A1247,'Support - Transition'!C:C,'Step 2'!B1247,'Support - Transition'!D:D,'Step 2'!C1247,'Support - Transition'!E:E,"CIVIL")</f>
        <v>8.0900000000000004E-4</v>
      </c>
      <c r="H1247" s="126">
        <f>SUMIFS('Support - Transition'!F:F,'Support - Transition'!B:B,'Step 2'!A1247,'Support - Transition'!C:C,'Step 2'!B1247,'Support - Transition'!D:D,'Step 2'!C1247,'Support - Transition'!E:E,"FIRE")</f>
        <v>3.39E-4</v>
      </c>
      <c r="I1247" s="126">
        <f>IF(B1247="0",SUMIFS('Support - Transition'!F:F,'Support - Transition'!J:J,'Step 2'!D1247,'Support - Transition'!E:E,"STATE UNIT"),SUMIFS('Support - Transition'!F:F,'Support - Transition'!J:J,'Step 2'!D1247))</f>
        <v>1.1480000000000001E-3</v>
      </c>
      <c r="J1247" s="126">
        <f>SUMIFS('Support - Unit Adjustments'!E:E,'Support - Unit Adjustments'!F:F,'Step 2'!D1247)</f>
        <v>0</v>
      </c>
      <c r="K1247" s="126">
        <f t="shared" si="365"/>
        <v>1.1480000000000001E-3</v>
      </c>
      <c r="L1247" s="174">
        <f>VLOOKUP(A1247,'Step 1'!$A:$E,4,FALSE)</f>
        <v>615101</v>
      </c>
      <c r="M1247" s="47">
        <f t="shared" si="366"/>
        <v>706</v>
      </c>
      <c r="N1247" s="177">
        <f>SUMIFS('Support - Transition'!G:G,'Support - Transition'!J:J,'Step 2'!D1247,'Support - Transition'!E:E,"2009 WELFARE ALLOCATION FACTOR")</f>
        <v>0</v>
      </c>
      <c r="O1247" s="152">
        <f t="shared" si="371"/>
        <v>0</v>
      </c>
      <c r="P1247" s="126">
        <f>IF(E1247="Y",0,SUMIFS('Support - Transition'!G:G,'Support - Transition'!J:J,'Step 2'!D1247,'Support - Transition'!E:E,"2009 SCHOOL ALLOCATION FACTOR"))</f>
        <v>0</v>
      </c>
      <c r="Q1247" s="126">
        <f>IF(E1247="Y",VLOOKUP(D1247,'Support - Unit Adjustments'!F:G,2,FALSE),0)</f>
        <v>0</v>
      </c>
      <c r="R1247" s="155">
        <f t="shared" si="383"/>
        <v>0</v>
      </c>
      <c r="S1247" s="47">
        <f t="shared" si="382"/>
        <v>0</v>
      </c>
      <c r="T1247" s="151">
        <f t="shared" si="367"/>
        <v>706</v>
      </c>
      <c r="U1247" s="151">
        <f t="shared" si="368"/>
        <v>0</v>
      </c>
      <c r="V1247" s="139">
        <f t="shared" si="369"/>
        <v>0</v>
      </c>
      <c r="W1247" s="152">
        <f t="shared" si="372"/>
        <v>706</v>
      </c>
      <c r="X1247" s="127" t="str">
        <f t="shared" si="370"/>
        <v/>
      </c>
      <c r="Y1247" s="207">
        <f t="shared" si="373"/>
        <v>706</v>
      </c>
      <c r="Z1247" s="139">
        <f t="shared" si="374"/>
        <v>498</v>
      </c>
      <c r="AA1247" s="139">
        <f t="shared" si="375"/>
        <v>208</v>
      </c>
      <c r="AC1247" s="47">
        <f t="shared" si="376"/>
        <v>353</v>
      </c>
      <c r="AD1247" s="47">
        <f t="shared" si="377"/>
        <v>249</v>
      </c>
      <c r="AE1247" s="47">
        <f t="shared" si="378"/>
        <v>104</v>
      </c>
      <c r="AG1247" s="47">
        <f t="shared" si="379"/>
        <v>353</v>
      </c>
      <c r="AH1247" s="47">
        <f t="shared" si="380"/>
        <v>249</v>
      </c>
      <c r="AI1247" s="208">
        <f t="shared" si="381"/>
        <v>104</v>
      </c>
    </row>
    <row r="1248" spans="1:35">
      <c r="A1248" t="s">
        <v>2127</v>
      </c>
      <c r="B1248" t="s">
        <v>3142</v>
      </c>
      <c r="C1248" t="s">
        <v>2198</v>
      </c>
      <c r="D1248" t="s">
        <v>4621</v>
      </c>
      <c r="F1248" t="s">
        <v>954</v>
      </c>
      <c r="G1248" s="126">
        <f>SUMIFS('Support - Transition'!F:F,'Support - Transition'!B:B,'Step 2'!A1248,'Support - Transition'!C:C,'Step 2'!B1248,'Support - Transition'!D:D,'Step 2'!C1248,'Support - Transition'!E:E,"CIVIL")</f>
        <v>1.5699999999999999E-4</v>
      </c>
      <c r="H1248" s="126">
        <f>SUMIFS('Support - Transition'!F:F,'Support - Transition'!B:B,'Step 2'!A1248,'Support - Transition'!C:C,'Step 2'!B1248,'Support - Transition'!D:D,'Step 2'!C1248,'Support - Transition'!E:E,"FIRE")</f>
        <v>1.16E-4</v>
      </c>
      <c r="I1248" s="126">
        <f>IF(B1248="0",SUMIFS('Support - Transition'!F:F,'Support - Transition'!J:J,'Step 2'!D1248,'Support - Transition'!E:E,"STATE UNIT"),SUMIFS('Support - Transition'!F:F,'Support - Transition'!J:J,'Step 2'!D1248))</f>
        <v>2.7300000000000002E-4</v>
      </c>
      <c r="J1248" s="126">
        <f>SUMIFS('Support - Unit Adjustments'!E:E,'Support - Unit Adjustments'!F:F,'Step 2'!D1248)</f>
        <v>0</v>
      </c>
      <c r="K1248" s="126">
        <f t="shared" si="365"/>
        <v>2.7300000000000002E-4</v>
      </c>
      <c r="L1248" s="174">
        <f>VLOOKUP(A1248,'Step 1'!$A:$E,4,FALSE)</f>
        <v>615101</v>
      </c>
      <c r="M1248" s="47">
        <f t="shared" si="366"/>
        <v>168</v>
      </c>
      <c r="N1248" s="177">
        <f>SUMIFS('Support - Transition'!G:G,'Support - Transition'!J:J,'Step 2'!D1248,'Support - Transition'!E:E,"2009 WELFARE ALLOCATION FACTOR")</f>
        <v>0</v>
      </c>
      <c r="O1248" s="152">
        <f t="shared" si="371"/>
        <v>0</v>
      </c>
      <c r="P1248" s="126">
        <f>IF(E1248="Y",0,SUMIFS('Support - Transition'!G:G,'Support - Transition'!J:J,'Step 2'!D1248,'Support - Transition'!E:E,"2009 SCHOOL ALLOCATION FACTOR"))</f>
        <v>0</v>
      </c>
      <c r="Q1248" s="126">
        <f>IF(E1248="Y",VLOOKUP(D1248,'Support - Unit Adjustments'!F:G,2,FALSE),0)</f>
        <v>0</v>
      </c>
      <c r="R1248" s="155">
        <f t="shared" si="383"/>
        <v>0</v>
      </c>
      <c r="S1248" s="47">
        <f t="shared" si="382"/>
        <v>0</v>
      </c>
      <c r="T1248" s="151">
        <f t="shared" si="367"/>
        <v>168</v>
      </c>
      <c r="U1248" s="151">
        <f t="shared" si="368"/>
        <v>0</v>
      </c>
      <c r="V1248" s="139">
        <f t="shared" si="369"/>
        <v>0</v>
      </c>
      <c r="W1248" s="152">
        <f t="shared" si="372"/>
        <v>168</v>
      </c>
      <c r="X1248" s="127" t="str">
        <f t="shared" si="370"/>
        <v/>
      </c>
      <c r="Y1248" s="207">
        <f t="shared" si="373"/>
        <v>168</v>
      </c>
      <c r="Z1248" s="139">
        <f t="shared" si="374"/>
        <v>97</v>
      </c>
      <c r="AA1248" s="139">
        <f t="shared" si="375"/>
        <v>71</v>
      </c>
      <c r="AC1248" s="47">
        <f t="shared" si="376"/>
        <v>84</v>
      </c>
      <c r="AD1248" s="47">
        <f t="shared" si="377"/>
        <v>49</v>
      </c>
      <c r="AE1248" s="47">
        <f t="shared" si="378"/>
        <v>36</v>
      </c>
      <c r="AG1248" s="47">
        <f t="shared" si="379"/>
        <v>84</v>
      </c>
      <c r="AH1248" s="47">
        <f t="shared" si="380"/>
        <v>48</v>
      </c>
      <c r="AI1248" s="208">
        <f t="shared" si="381"/>
        <v>35</v>
      </c>
    </row>
    <row r="1249" spans="1:35">
      <c r="A1249" t="s">
        <v>2127</v>
      </c>
      <c r="B1249" t="s">
        <v>3142</v>
      </c>
      <c r="C1249" t="s">
        <v>2199</v>
      </c>
      <c r="D1249" t="s">
        <v>4622</v>
      </c>
      <c r="F1249" t="s">
        <v>955</v>
      </c>
      <c r="G1249" s="126">
        <f>SUMIFS('Support - Transition'!F:F,'Support - Transition'!B:B,'Step 2'!A1249,'Support - Transition'!C:C,'Step 2'!B1249,'Support - Transition'!D:D,'Step 2'!C1249,'Support - Transition'!E:E,"CIVIL")</f>
        <v>1.9589999999999998E-3</v>
      </c>
      <c r="H1249" s="126">
        <f>SUMIFS('Support - Transition'!F:F,'Support - Transition'!B:B,'Step 2'!A1249,'Support - Transition'!C:C,'Step 2'!B1249,'Support - Transition'!D:D,'Step 2'!C1249,'Support - Transition'!E:E,"FIRE")</f>
        <v>2.3809999999999999E-3</v>
      </c>
      <c r="I1249" s="126">
        <f>IF(B1249="0",SUMIFS('Support - Transition'!F:F,'Support - Transition'!J:J,'Step 2'!D1249,'Support - Transition'!E:E,"STATE UNIT"),SUMIFS('Support - Transition'!F:F,'Support - Transition'!J:J,'Step 2'!D1249))</f>
        <v>4.3400000000000001E-3</v>
      </c>
      <c r="J1249" s="126">
        <f>SUMIFS('Support - Unit Adjustments'!E:E,'Support - Unit Adjustments'!F:F,'Step 2'!D1249)</f>
        <v>0</v>
      </c>
      <c r="K1249" s="126">
        <f t="shared" si="365"/>
        <v>4.3400000000000001E-3</v>
      </c>
      <c r="L1249" s="174">
        <f>VLOOKUP(A1249,'Step 1'!$A:$E,4,FALSE)</f>
        <v>615101</v>
      </c>
      <c r="M1249" s="47">
        <f t="shared" si="366"/>
        <v>2670</v>
      </c>
      <c r="N1249" s="177">
        <f>SUMIFS('Support - Transition'!G:G,'Support - Transition'!J:J,'Step 2'!D1249,'Support - Transition'!E:E,"2009 WELFARE ALLOCATION FACTOR")</f>
        <v>0</v>
      </c>
      <c r="O1249" s="152">
        <f t="shared" si="371"/>
        <v>0</v>
      </c>
      <c r="P1249" s="126">
        <f>IF(E1249="Y",0,SUMIFS('Support - Transition'!G:G,'Support - Transition'!J:J,'Step 2'!D1249,'Support - Transition'!E:E,"2009 SCHOOL ALLOCATION FACTOR"))</f>
        <v>0</v>
      </c>
      <c r="Q1249" s="126">
        <f>IF(E1249="Y",VLOOKUP(D1249,'Support - Unit Adjustments'!F:G,2,FALSE),0)</f>
        <v>0</v>
      </c>
      <c r="R1249" s="155">
        <f t="shared" si="383"/>
        <v>0</v>
      </c>
      <c r="S1249" s="47">
        <f t="shared" si="382"/>
        <v>0</v>
      </c>
      <c r="T1249" s="151">
        <f t="shared" si="367"/>
        <v>2670</v>
      </c>
      <c r="U1249" s="151">
        <f t="shared" si="368"/>
        <v>0</v>
      </c>
      <c r="V1249" s="139">
        <f t="shared" si="369"/>
        <v>0</v>
      </c>
      <c r="W1249" s="152">
        <f t="shared" si="372"/>
        <v>2670</v>
      </c>
      <c r="X1249" s="127" t="str">
        <f t="shared" si="370"/>
        <v/>
      </c>
      <c r="Y1249" s="207">
        <f t="shared" si="373"/>
        <v>2670</v>
      </c>
      <c r="Z1249" s="139">
        <f t="shared" si="374"/>
        <v>1205</v>
      </c>
      <c r="AA1249" s="139">
        <f t="shared" si="375"/>
        <v>1465</v>
      </c>
      <c r="AC1249" s="47">
        <f t="shared" si="376"/>
        <v>1335</v>
      </c>
      <c r="AD1249" s="47">
        <f t="shared" si="377"/>
        <v>603</v>
      </c>
      <c r="AE1249" s="47">
        <f t="shared" si="378"/>
        <v>733</v>
      </c>
      <c r="AG1249" s="47">
        <f t="shared" si="379"/>
        <v>1335</v>
      </c>
      <c r="AH1249" s="47">
        <f t="shared" si="380"/>
        <v>602</v>
      </c>
      <c r="AI1249" s="208">
        <f t="shared" si="381"/>
        <v>732</v>
      </c>
    </row>
    <row r="1250" spans="1:35">
      <c r="A1250" t="s">
        <v>2127</v>
      </c>
      <c r="B1250" t="s">
        <v>3142</v>
      </c>
      <c r="C1250" t="s">
        <v>2208</v>
      </c>
      <c r="D1250" t="s">
        <v>4623</v>
      </c>
      <c r="F1250" t="s">
        <v>183</v>
      </c>
      <c r="G1250" s="126">
        <f>SUMIFS('Support - Transition'!F:F,'Support - Transition'!B:B,'Step 2'!A1250,'Support - Transition'!C:C,'Step 2'!B1250,'Support - Transition'!D:D,'Step 2'!C1250,'Support - Transition'!E:E,"CIVIL")</f>
        <v>1.668E-3</v>
      </c>
      <c r="H1250" s="126">
        <f>SUMIFS('Support - Transition'!F:F,'Support - Transition'!B:B,'Step 2'!A1250,'Support - Transition'!C:C,'Step 2'!B1250,'Support - Transition'!D:D,'Step 2'!C1250,'Support - Transition'!E:E,"FIRE")</f>
        <v>1.1249999999999999E-3</v>
      </c>
      <c r="I1250" s="126">
        <f>IF(B1250="0",SUMIFS('Support - Transition'!F:F,'Support - Transition'!J:J,'Step 2'!D1250,'Support - Transition'!E:E,"STATE UNIT"),SUMIFS('Support - Transition'!F:F,'Support - Transition'!J:J,'Step 2'!D1250))</f>
        <v>2.7929999999999999E-3</v>
      </c>
      <c r="J1250" s="126">
        <f>SUMIFS('Support - Unit Adjustments'!E:E,'Support - Unit Adjustments'!F:F,'Step 2'!D1250)</f>
        <v>0</v>
      </c>
      <c r="K1250" s="126">
        <f t="shared" si="365"/>
        <v>2.7929999999999999E-3</v>
      </c>
      <c r="L1250" s="174">
        <f>VLOOKUP(A1250,'Step 1'!$A:$E,4,FALSE)</f>
        <v>615101</v>
      </c>
      <c r="M1250" s="47">
        <f t="shared" si="366"/>
        <v>1718</v>
      </c>
      <c r="N1250" s="177">
        <f>SUMIFS('Support - Transition'!G:G,'Support - Transition'!J:J,'Step 2'!D1250,'Support - Transition'!E:E,"2009 WELFARE ALLOCATION FACTOR")</f>
        <v>0</v>
      </c>
      <c r="O1250" s="152">
        <f t="shared" si="371"/>
        <v>0</v>
      </c>
      <c r="P1250" s="126">
        <f>IF(E1250="Y",0,SUMIFS('Support - Transition'!G:G,'Support - Transition'!J:J,'Step 2'!D1250,'Support - Transition'!E:E,"2009 SCHOOL ALLOCATION FACTOR"))</f>
        <v>0</v>
      </c>
      <c r="Q1250" s="126">
        <f>IF(E1250="Y",VLOOKUP(D1250,'Support - Unit Adjustments'!F:G,2,FALSE),0)</f>
        <v>0</v>
      </c>
      <c r="R1250" s="155">
        <f t="shared" si="383"/>
        <v>0</v>
      </c>
      <c r="S1250" s="47">
        <f t="shared" si="382"/>
        <v>0</v>
      </c>
      <c r="T1250" s="151">
        <f t="shared" si="367"/>
        <v>1718</v>
      </c>
      <c r="U1250" s="151">
        <f t="shared" si="368"/>
        <v>0</v>
      </c>
      <c r="V1250" s="139">
        <f t="shared" si="369"/>
        <v>0</v>
      </c>
      <c r="W1250" s="152">
        <f t="shared" si="372"/>
        <v>1718</v>
      </c>
      <c r="X1250" s="127" t="str">
        <f t="shared" si="370"/>
        <v/>
      </c>
      <c r="Y1250" s="207">
        <f t="shared" si="373"/>
        <v>1718</v>
      </c>
      <c r="Z1250" s="139">
        <f t="shared" si="374"/>
        <v>1026</v>
      </c>
      <c r="AA1250" s="139">
        <f t="shared" si="375"/>
        <v>692</v>
      </c>
      <c r="AC1250" s="47">
        <f t="shared" si="376"/>
        <v>859</v>
      </c>
      <c r="AD1250" s="47">
        <f t="shared" si="377"/>
        <v>513</v>
      </c>
      <c r="AE1250" s="47">
        <f t="shared" si="378"/>
        <v>346</v>
      </c>
      <c r="AG1250" s="47">
        <f t="shared" si="379"/>
        <v>859</v>
      </c>
      <c r="AH1250" s="47">
        <f t="shared" si="380"/>
        <v>513</v>
      </c>
      <c r="AI1250" s="208">
        <f t="shared" si="381"/>
        <v>346</v>
      </c>
    </row>
    <row r="1251" spans="1:35">
      <c r="A1251" t="s">
        <v>2127</v>
      </c>
      <c r="B1251" t="s">
        <v>3142</v>
      </c>
      <c r="C1251" t="s">
        <v>2209</v>
      </c>
      <c r="D1251" t="s">
        <v>4624</v>
      </c>
      <c r="F1251" t="s">
        <v>956</v>
      </c>
      <c r="G1251" s="126">
        <f>SUMIFS('Support - Transition'!F:F,'Support - Transition'!B:B,'Step 2'!A1251,'Support - Transition'!C:C,'Step 2'!B1251,'Support - Transition'!D:D,'Step 2'!C1251,'Support - Transition'!E:E,"CIVIL")</f>
        <v>8.5800000000000004E-4</v>
      </c>
      <c r="H1251" s="126">
        <f>SUMIFS('Support - Transition'!F:F,'Support - Transition'!B:B,'Step 2'!A1251,'Support - Transition'!C:C,'Step 2'!B1251,'Support - Transition'!D:D,'Step 2'!C1251,'Support - Transition'!E:E,"FIRE")</f>
        <v>8.0900000000000004E-4</v>
      </c>
      <c r="I1251" s="126">
        <f>IF(B1251="0",SUMIFS('Support - Transition'!F:F,'Support - Transition'!J:J,'Step 2'!D1251,'Support - Transition'!E:E,"STATE UNIT"),SUMIFS('Support - Transition'!F:F,'Support - Transition'!J:J,'Step 2'!D1251))</f>
        <v>1.6670000000000001E-3</v>
      </c>
      <c r="J1251" s="126">
        <f>SUMIFS('Support - Unit Adjustments'!E:E,'Support - Unit Adjustments'!F:F,'Step 2'!D1251)</f>
        <v>0</v>
      </c>
      <c r="K1251" s="126">
        <f t="shared" si="365"/>
        <v>1.6670000000000001E-3</v>
      </c>
      <c r="L1251" s="174">
        <f>VLOOKUP(A1251,'Step 1'!$A:$E,4,FALSE)</f>
        <v>615101</v>
      </c>
      <c r="M1251" s="47">
        <f t="shared" si="366"/>
        <v>1025</v>
      </c>
      <c r="N1251" s="177">
        <f>SUMIFS('Support - Transition'!G:G,'Support - Transition'!J:J,'Step 2'!D1251,'Support - Transition'!E:E,"2009 WELFARE ALLOCATION FACTOR")</f>
        <v>0</v>
      </c>
      <c r="O1251" s="152">
        <f t="shared" si="371"/>
        <v>0</v>
      </c>
      <c r="P1251" s="126">
        <f>IF(E1251="Y",0,SUMIFS('Support - Transition'!G:G,'Support - Transition'!J:J,'Step 2'!D1251,'Support - Transition'!E:E,"2009 SCHOOL ALLOCATION FACTOR"))</f>
        <v>0</v>
      </c>
      <c r="Q1251" s="126">
        <f>IF(E1251="Y",VLOOKUP(D1251,'Support - Unit Adjustments'!F:G,2,FALSE),0)</f>
        <v>0</v>
      </c>
      <c r="R1251" s="155">
        <f t="shared" si="383"/>
        <v>0</v>
      </c>
      <c r="S1251" s="47">
        <f t="shared" si="382"/>
        <v>0</v>
      </c>
      <c r="T1251" s="151">
        <f t="shared" si="367"/>
        <v>1025</v>
      </c>
      <c r="U1251" s="151">
        <f t="shared" si="368"/>
        <v>0</v>
      </c>
      <c r="V1251" s="139">
        <f t="shared" si="369"/>
        <v>0</v>
      </c>
      <c r="W1251" s="152">
        <f t="shared" si="372"/>
        <v>1025</v>
      </c>
      <c r="X1251" s="127" t="str">
        <f t="shared" si="370"/>
        <v/>
      </c>
      <c r="Y1251" s="207">
        <f t="shared" si="373"/>
        <v>1025</v>
      </c>
      <c r="Z1251" s="139">
        <f t="shared" si="374"/>
        <v>528</v>
      </c>
      <c r="AA1251" s="139">
        <f t="shared" si="375"/>
        <v>497</v>
      </c>
      <c r="AC1251" s="47">
        <f t="shared" si="376"/>
        <v>513</v>
      </c>
      <c r="AD1251" s="47">
        <f t="shared" si="377"/>
        <v>264</v>
      </c>
      <c r="AE1251" s="47">
        <f t="shared" si="378"/>
        <v>249</v>
      </c>
      <c r="AG1251" s="47">
        <f t="shared" si="379"/>
        <v>512</v>
      </c>
      <c r="AH1251" s="47">
        <f t="shared" si="380"/>
        <v>264</v>
      </c>
      <c r="AI1251" s="208">
        <f t="shared" si="381"/>
        <v>248</v>
      </c>
    </row>
    <row r="1252" spans="1:35">
      <c r="A1252" t="s">
        <v>2127</v>
      </c>
      <c r="B1252" t="s">
        <v>3142</v>
      </c>
      <c r="C1252" t="s">
        <v>2204</v>
      </c>
      <c r="D1252" t="s">
        <v>4625</v>
      </c>
      <c r="F1252" t="s">
        <v>169</v>
      </c>
      <c r="G1252" s="126">
        <f>SUMIFS('Support - Transition'!F:F,'Support - Transition'!B:B,'Step 2'!A1252,'Support - Transition'!C:C,'Step 2'!B1252,'Support - Transition'!D:D,'Step 2'!C1252,'Support - Transition'!E:E,"CIVIL")</f>
        <v>1.1440000000000001E-3</v>
      </c>
      <c r="H1252" s="126">
        <f>SUMIFS('Support - Transition'!F:F,'Support - Transition'!B:B,'Step 2'!A1252,'Support - Transition'!C:C,'Step 2'!B1252,'Support - Transition'!D:D,'Step 2'!C1252,'Support - Transition'!E:E,"FIRE")</f>
        <v>2.0000000000000001E-4</v>
      </c>
      <c r="I1252" s="126">
        <f>IF(B1252="0",SUMIFS('Support - Transition'!F:F,'Support - Transition'!J:J,'Step 2'!D1252,'Support - Transition'!E:E,"STATE UNIT"),SUMIFS('Support - Transition'!F:F,'Support - Transition'!J:J,'Step 2'!D1252))</f>
        <v>1.3440000000000001E-3</v>
      </c>
      <c r="J1252" s="126">
        <f>SUMIFS('Support - Unit Adjustments'!E:E,'Support - Unit Adjustments'!F:F,'Step 2'!D1252)</f>
        <v>0</v>
      </c>
      <c r="K1252" s="126">
        <f t="shared" si="365"/>
        <v>1.3440000000000001E-3</v>
      </c>
      <c r="L1252" s="174">
        <f>VLOOKUP(A1252,'Step 1'!$A:$E,4,FALSE)</f>
        <v>615101</v>
      </c>
      <c r="M1252" s="47">
        <f t="shared" si="366"/>
        <v>827</v>
      </c>
      <c r="N1252" s="177">
        <f>SUMIFS('Support - Transition'!G:G,'Support - Transition'!J:J,'Step 2'!D1252,'Support - Transition'!E:E,"2009 WELFARE ALLOCATION FACTOR")</f>
        <v>0</v>
      </c>
      <c r="O1252" s="152">
        <f t="shared" si="371"/>
        <v>0</v>
      </c>
      <c r="P1252" s="126">
        <f>IF(E1252="Y",0,SUMIFS('Support - Transition'!G:G,'Support - Transition'!J:J,'Step 2'!D1252,'Support - Transition'!E:E,"2009 SCHOOL ALLOCATION FACTOR"))</f>
        <v>0</v>
      </c>
      <c r="Q1252" s="126">
        <f>IF(E1252="Y",VLOOKUP(D1252,'Support - Unit Adjustments'!F:G,2,FALSE),0)</f>
        <v>0</v>
      </c>
      <c r="R1252" s="155">
        <f t="shared" si="383"/>
        <v>0</v>
      </c>
      <c r="S1252" s="47">
        <f t="shared" si="382"/>
        <v>0</v>
      </c>
      <c r="T1252" s="151">
        <f t="shared" si="367"/>
        <v>827</v>
      </c>
      <c r="U1252" s="151">
        <f t="shared" si="368"/>
        <v>0</v>
      </c>
      <c r="V1252" s="139">
        <f t="shared" si="369"/>
        <v>0</v>
      </c>
      <c r="W1252" s="152">
        <f t="shared" si="372"/>
        <v>827</v>
      </c>
      <c r="X1252" s="127" t="str">
        <f t="shared" si="370"/>
        <v/>
      </c>
      <c r="Y1252" s="207">
        <f t="shared" si="373"/>
        <v>827</v>
      </c>
      <c r="Z1252" s="139">
        <f t="shared" si="374"/>
        <v>704</v>
      </c>
      <c r="AA1252" s="139">
        <f t="shared" si="375"/>
        <v>123</v>
      </c>
      <c r="AC1252" s="47">
        <f t="shared" si="376"/>
        <v>414</v>
      </c>
      <c r="AD1252" s="47">
        <f t="shared" si="377"/>
        <v>352</v>
      </c>
      <c r="AE1252" s="47">
        <f t="shared" si="378"/>
        <v>62</v>
      </c>
      <c r="AG1252" s="47">
        <f t="shared" si="379"/>
        <v>413</v>
      </c>
      <c r="AH1252" s="47">
        <f t="shared" si="380"/>
        <v>352</v>
      </c>
      <c r="AI1252" s="208">
        <f t="shared" si="381"/>
        <v>61</v>
      </c>
    </row>
    <row r="1253" spans="1:35">
      <c r="A1253" t="s">
        <v>2127</v>
      </c>
      <c r="B1253" t="s">
        <v>3142</v>
      </c>
      <c r="C1253" t="s">
        <v>2210</v>
      </c>
      <c r="D1253" t="s">
        <v>4626</v>
      </c>
      <c r="F1253" t="s">
        <v>22</v>
      </c>
      <c r="G1253" s="126">
        <f>SUMIFS('Support - Transition'!F:F,'Support - Transition'!B:B,'Step 2'!A1253,'Support - Transition'!C:C,'Step 2'!B1253,'Support - Transition'!D:D,'Step 2'!C1253,'Support - Transition'!E:E,"CIVIL")</f>
        <v>1.196E-3</v>
      </c>
      <c r="H1253" s="126">
        <f>SUMIFS('Support - Transition'!F:F,'Support - Transition'!B:B,'Step 2'!A1253,'Support - Transition'!C:C,'Step 2'!B1253,'Support - Transition'!D:D,'Step 2'!C1253,'Support - Transition'!E:E,"FIRE")</f>
        <v>6.02E-4</v>
      </c>
      <c r="I1253" s="126">
        <f>IF(B1253="0",SUMIFS('Support - Transition'!F:F,'Support - Transition'!J:J,'Step 2'!D1253,'Support - Transition'!E:E,"STATE UNIT"),SUMIFS('Support - Transition'!F:F,'Support - Transition'!J:J,'Step 2'!D1253))</f>
        <v>1.7980000000000001E-3</v>
      </c>
      <c r="J1253" s="126">
        <f>SUMIFS('Support - Unit Adjustments'!E:E,'Support - Unit Adjustments'!F:F,'Step 2'!D1253)</f>
        <v>0</v>
      </c>
      <c r="K1253" s="126">
        <f t="shared" si="365"/>
        <v>1.7980000000000001E-3</v>
      </c>
      <c r="L1253" s="174">
        <f>VLOOKUP(A1253,'Step 1'!$A:$E,4,FALSE)</f>
        <v>615101</v>
      </c>
      <c r="M1253" s="47">
        <f t="shared" si="366"/>
        <v>1106</v>
      </c>
      <c r="N1253" s="177">
        <f>SUMIFS('Support - Transition'!G:G,'Support - Transition'!J:J,'Step 2'!D1253,'Support - Transition'!E:E,"2009 WELFARE ALLOCATION FACTOR")</f>
        <v>0</v>
      </c>
      <c r="O1253" s="152">
        <f t="shared" si="371"/>
        <v>0</v>
      </c>
      <c r="P1253" s="126">
        <f>IF(E1253="Y",0,SUMIFS('Support - Transition'!G:G,'Support - Transition'!J:J,'Step 2'!D1253,'Support - Transition'!E:E,"2009 SCHOOL ALLOCATION FACTOR"))</f>
        <v>0</v>
      </c>
      <c r="Q1253" s="126">
        <f>IF(E1253="Y",VLOOKUP(D1253,'Support - Unit Adjustments'!F:G,2,FALSE),0)</f>
        <v>0</v>
      </c>
      <c r="R1253" s="155">
        <f t="shared" si="383"/>
        <v>0</v>
      </c>
      <c r="S1253" s="47">
        <f t="shared" si="382"/>
        <v>0</v>
      </c>
      <c r="T1253" s="151">
        <f t="shared" si="367"/>
        <v>1106</v>
      </c>
      <c r="U1253" s="151">
        <f t="shared" si="368"/>
        <v>0</v>
      </c>
      <c r="V1253" s="139">
        <f t="shared" si="369"/>
        <v>0</v>
      </c>
      <c r="W1253" s="152">
        <f t="shared" si="372"/>
        <v>1106</v>
      </c>
      <c r="X1253" s="127" t="str">
        <f t="shared" si="370"/>
        <v/>
      </c>
      <c r="Y1253" s="207">
        <f t="shared" si="373"/>
        <v>1106</v>
      </c>
      <c r="Z1253" s="139">
        <f t="shared" si="374"/>
        <v>736</v>
      </c>
      <c r="AA1253" s="139">
        <f t="shared" si="375"/>
        <v>370</v>
      </c>
      <c r="AC1253" s="47">
        <f t="shared" si="376"/>
        <v>553</v>
      </c>
      <c r="AD1253" s="47">
        <f t="shared" si="377"/>
        <v>368</v>
      </c>
      <c r="AE1253" s="47">
        <f t="shared" si="378"/>
        <v>185</v>
      </c>
      <c r="AG1253" s="47">
        <f t="shared" si="379"/>
        <v>553</v>
      </c>
      <c r="AH1253" s="47">
        <f t="shared" si="380"/>
        <v>368</v>
      </c>
      <c r="AI1253" s="208">
        <f t="shared" si="381"/>
        <v>185</v>
      </c>
    </row>
    <row r="1254" spans="1:35">
      <c r="A1254" t="s">
        <v>2127</v>
      </c>
      <c r="B1254" t="s">
        <v>3142</v>
      </c>
      <c r="C1254" t="s">
        <v>2211</v>
      </c>
      <c r="D1254" t="s">
        <v>4627</v>
      </c>
      <c r="F1254" t="s">
        <v>61</v>
      </c>
      <c r="G1254" s="126">
        <f>SUMIFS('Support - Transition'!F:F,'Support - Transition'!B:B,'Step 2'!A1254,'Support - Transition'!C:C,'Step 2'!B1254,'Support - Transition'!D:D,'Step 2'!C1254,'Support - Transition'!E:E,"CIVIL")</f>
        <v>4.836E-3</v>
      </c>
      <c r="H1254" s="126">
        <f>SUMIFS('Support - Transition'!F:F,'Support - Transition'!B:B,'Step 2'!A1254,'Support - Transition'!C:C,'Step 2'!B1254,'Support - Transition'!D:D,'Step 2'!C1254,'Support - Transition'!E:E,"FIRE")</f>
        <v>7.4200000000000004E-4</v>
      </c>
      <c r="I1254" s="126">
        <f>IF(B1254="0",SUMIFS('Support - Transition'!F:F,'Support - Transition'!J:J,'Step 2'!D1254,'Support - Transition'!E:E,"STATE UNIT"),SUMIFS('Support - Transition'!F:F,'Support - Transition'!J:J,'Step 2'!D1254))</f>
        <v>5.5779999999999996E-3</v>
      </c>
      <c r="J1254" s="126">
        <f>SUMIFS('Support - Unit Adjustments'!E:E,'Support - Unit Adjustments'!F:F,'Step 2'!D1254)</f>
        <v>0</v>
      </c>
      <c r="K1254" s="126">
        <f t="shared" si="365"/>
        <v>5.5779999999999996E-3</v>
      </c>
      <c r="L1254" s="174">
        <f>VLOOKUP(A1254,'Step 1'!$A:$E,4,FALSE)</f>
        <v>615101</v>
      </c>
      <c r="M1254" s="47">
        <f t="shared" si="366"/>
        <v>3431</v>
      </c>
      <c r="N1254" s="177">
        <f>SUMIFS('Support - Transition'!G:G,'Support - Transition'!J:J,'Step 2'!D1254,'Support - Transition'!E:E,"2009 WELFARE ALLOCATION FACTOR")</f>
        <v>0</v>
      </c>
      <c r="O1254" s="152">
        <f t="shared" si="371"/>
        <v>0</v>
      </c>
      <c r="P1254" s="126">
        <f>IF(E1254="Y",0,SUMIFS('Support - Transition'!G:G,'Support - Transition'!J:J,'Step 2'!D1254,'Support - Transition'!E:E,"2009 SCHOOL ALLOCATION FACTOR"))</f>
        <v>0</v>
      </c>
      <c r="Q1254" s="126">
        <f>IF(E1254="Y",VLOOKUP(D1254,'Support - Unit Adjustments'!F:G,2,FALSE),0)</f>
        <v>0</v>
      </c>
      <c r="R1254" s="155">
        <f t="shared" si="383"/>
        <v>0</v>
      </c>
      <c r="S1254" s="47">
        <f t="shared" si="382"/>
        <v>0</v>
      </c>
      <c r="T1254" s="151">
        <f t="shared" si="367"/>
        <v>3431</v>
      </c>
      <c r="U1254" s="151">
        <f t="shared" si="368"/>
        <v>0</v>
      </c>
      <c r="V1254" s="139">
        <f t="shared" si="369"/>
        <v>0</v>
      </c>
      <c r="W1254" s="152">
        <f t="shared" si="372"/>
        <v>3431</v>
      </c>
      <c r="X1254" s="127" t="str">
        <f t="shared" si="370"/>
        <v/>
      </c>
      <c r="Y1254" s="207">
        <f t="shared" si="373"/>
        <v>3431</v>
      </c>
      <c r="Z1254" s="139">
        <f t="shared" si="374"/>
        <v>2975</v>
      </c>
      <c r="AA1254" s="139">
        <f t="shared" si="375"/>
        <v>456</v>
      </c>
      <c r="AC1254" s="47">
        <f t="shared" si="376"/>
        <v>1716</v>
      </c>
      <c r="AD1254" s="47">
        <f t="shared" si="377"/>
        <v>1488</v>
      </c>
      <c r="AE1254" s="47">
        <f t="shared" si="378"/>
        <v>228</v>
      </c>
      <c r="AG1254" s="47">
        <f t="shared" si="379"/>
        <v>1715</v>
      </c>
      <c r="AH1254" s="47">
        <f t="shared" si="380"/>
        <v>1487</v>
      </c>
      <c r="AI1254" s="208">
        <f t="shared" si="381"/>
        <v>228</v>
      </c>
    </row>
    <row r="1255" spans="1:35">
      <c r="A1255" t="s">
        <v>2127</v>
      </c>
      <c r="B1255" t="s">
        <v>3155</v>
      </c>
      <c r="C1255" t="s">
        <v>2669</v>
      </c>
      <c r="D1255" t="s">
        <v>4628</v>
      </c>
      <c r="F1255" t="s">
        <v>967</v>
      </c>
      <c r="G1255" s="126">
        <f>SUMIFS('Support - Transition'!F:F,'Support - Transition'!B:B,'Step 2'!A1255,'Support - Transition'!C:C,'Step 2'!B1255,'Support - Transition'!D:D,'Step 2'!C1255,'Support - Transition'!E:E,"CIVIL")</f>
        <v>0</v>
      </c>
      <c r="H1255" s="126">
        <f>SUMIFS('Support - Transition'!F:F,'Support - Transition'!B:B,'Step 2'!A1255,'Support - Transition'!C:C,'Step 2'!B1255,'Support - Transition'!D:D,'Step 2'!C1255,'Support - Transition'!E:E,"FIRE")</f>
        <v>0</v>
      </c>
      <c r="I1255" s="126">
        <f>IF(B1255="0",SUMIFS('Support - Transition'!F:F,'Support - Transition'!J:J,'Step 2'!D1255,'Support - Transition'!E:E,"STATE UNIT"),SUMIFS('Support - Transition'!F:F,'Support - Transition'!J:J,'Step 2'!D1255))</f>
        <v>4.6195E-2</v>
      </c>
      <c r="J1255" s="126">
        <f>SUMIFS('Support - Unit Adjustments'!E:E,'Support - Unit Adjustments'!F:F,'Step 2'!D1255)</f>
        <v>0</v>
      </c>
      <c r="K1255" s="126">
        <f t="shared" si="365"/>
        <v>4.6195E-2</v>
      </c>
      <c r="L1255" s="174">
        <f>VLOOKUP(A1255,'Step 1'!$A:$E,4,FALSE)</f>
        <v>615101</v>
      </c>
      <c r="M1255" s="47">
        <f t="shared" si="366"/>
        <v>28415</v>
      </c>
      <c r="N1255" s="177">
        <f>SUMIFS('Support - Transition'!G:G,'Support - Transition'!J:J,'Step 2'!D1255,'Support - Transition'!E:E,"2009 WELFARE ALLOCATION FACTOR")</f>
        <v>0</v>
      </c>
      <c r="O1255" s="152">
        <f t="shared" si="371"/>
        <v>0</v>
      </c>
      <c r="P1255" s="126">
        <f>IF(E1255="Y",0,SUMIFS('Support - Transition'!G:G,'Support - Transition'!J:J,'Step 2'!D1255,'Support - Transition'!E:E,"2009 SCHOOL ALLOCATION FACTOR"))</f>
        <v>0</v>
      </c>
      <c r="Q1255" s="126">
        <f>IF(E1255="Y",VLOOKUP(D1255,'Support - Unit Adjustments'!F:G,2,FALSE),0)</f>
        <v>0</v>
      </c>
      <c r="R1255" s="155">
        <f t="shared" si="383"/>
        <v>0</v>
      </c>
      <c r="S1255" s="47">
        <f t="shared" si="382"/>
        <v>0</v>
      </c>
      <c r="T1255" s="151">
        <f t="shared" si="367"/>
        <v>28415</v>
      </c>
      <c r="U1255" s="151">
        <f t="shared" si="368"/>
        <v>0</v>
      </c>
      <c r="V1255" s="139">
        <f t="shared" si="369"/>
        <v>0</v>
      </c>
      <c r="W1255" s="152">
        <f t="shared" si="372"/>
        <v>28415</v>
      </c>
      <c r="X1255" s="127" t="str">
        <f t="shared" si="370"/>
        <v/>
      </c>
      <c r="Y1255" s="207">
        <f t="shared" si="373"/>
        <v>28415</v>
      </c>
      <c r="Z1255" s="139">
        <f t="shared" si="374"/>
        <v>28415</v>
      </c>
      <c r="AA1255" s="139">
        <f t="shared" si="375"/>
        <v>0</v>
      </c>
      <c r="AC1255" s="47">
        <f t="shared" si="376"/>
        <v>14208</v>
      </c>
      <c r="AD1255" s="47">
        <f t="shared" si="377"/>
        <v>14208</v>
      </c>
      <c r="AE1255" s="47">
        <f t="shared" si="378"/>
        <v>0</v>
      </c>
      <c r="AG1255" s="47">
        <f t="shared" si="379"/>
        <v>14207</v>
      </c>
      <c r="AH1255" s="47">
        <f t="shared" si="380"/>
        <v>14207</v>
      </c>
      <c r="AI1255" s="208">
        <f t="shared" si="381"/>
        <v>0</v>
      </c>
    </row>
    <row r="1256" spans="1:35">
      <c r="A1256" t="s">
        <v>2127</v>
      </c>
      <c r="B1256" t="s">
        <v>3155</v>
      </c>
      <c r="C1256" t="s">
        <v>2405</v>
      </c>
      <c r="D1256" t="s">
        <v>4629</v>
      </c>
      <c r="F1256" t="s">
        <v>462</v>
      </c>
      <c r="G1256" s="126">
        <f>SUMIFS('Support - Transition'!F:F,'Support - Transition'!B:B,'Step 2'!A1256,'Support - Transition'!C:C,'Step 2'!B1256,'Support - Transition'!D:D,'Step 2'!C1256,'Support - Transition'!E:E,"CIVIL")</f>
        <v>0</v>
      </c>
      <c r="H1256" s="126">
        <f>SUMIFS('Support - Transition'!F:F,'Support - Transition'!B:B,'Step 2'!A1256,'Support - Transition'!C:C,'Step 2'!B1256,'Support - Transition'!D:D,'Step 2'!C1256,'Support - Transition'!E:E,"FIRE")</f>
        <v>0</v>
      </c>
      <c r="I1256" s="126">
        <f>IF(B1256="0",SUMIFS('Support - Transition'!F:F,'Support - Transition'!J:J,'Step 2'!D1256,'Support - Transition'!E:E,"STATE UNIT"),SUMIFS('Support - Transition'!F:F,'Support - Transition'!J:J,'Step 2'!D1256))</f>
        <v>0</v>
      </c>
      <c r="J1256" s="126">
        <f>SUMIFS('Support - Unit Adjustments'!E:E,'Support - Unit Adjustments'!F:F,'Step 2'!D1256)</f>
        <v>0</v>
      </c>
      <c r="K1256" s="126">
        <f t="shared" si="365"/>
        <v>0</v>
      </c>
      <c r="L1256" s="174">
        <f>VLOOKUP(A1256,'Step 1'!$A:$E,4,FALSE)</f>
        <v>615101</v>
      </c>
      <c r="M1256" s="47">
        <f t="shared" si="366"/>
        <v>0</v>
      </c>
      <c r="N1256" s="177">
        <f>SUMIFS('Support - Transition'!G:G,'Support - Transition'!J:J,'Step 2'!D1256,'Support - Transition'!E:E,"2009 WELFARE ALLOCATION FACTOR")</f>
        <v>0</v>
      </c>
      <c r="O1256" s="152">
        <f t="shared" si="371"/>
        <v>0</v>
      </c>
      <c r="P1256" s="126">
        <f>IF(E1256="Y",0,SUMIFS('Support - Transition'!G:G,'Support - Transition'!J:J,'Step 2'!D1256,'Support - Transition'!E:E,"2009 SCHOOL ALLOCATION FACTOR"))</f>
        <v>0</v>
      </c>
      <c r="Q1256" s="126">
        <f>IF(E1256="Y",VLOOKUP(D1256,'Support - Unit Adjustments'!F:G,2,FALSE),0)</f>
        <v>0</v>
      </c>
      <c r="R1256" s="155">
        <f t="shared" si="383"/>
        <v>0</v>
      </c>
      <c r="S1256" s="47">
        <f t="shared" si="382"/>
        <v>0</v>
      </c>
      <c r="T1256" s="151">
        <f t="shared" si="367"/>
        <v>0</v>
      </c>
      <c r="U1256" s="151">
        <f t="shared" si="368"/>
        <v>0</v>
      </c>
      <c r="V1256" s="139">
        <f t="shared" si="369"/>
        <v>0</v>
      </c>
      <c r="W1256" s="152">
        <f t="shared" si="372"/>
        <v>0</v>
      </c>
      <c r="X1256" s="127" t="str">
        <f t="shared" si="370"/>
        <v/>
      </c>
      <c r="Y1256" s="207">
        <f t="shared" si="373"/>
        <v>0</v>
      </c>
      <c r="Z1256" s="139">
        <f t="shared" si="374"/>
        <v>0</v>
      </c>
      <c r="AA1256" s="139">
        <f t="shared" si="375"/>
        <v>0</v>
      </c>
      <c r="AC1256" s="47">
        <f t="shared" si="376"/>
        <v>0</v>
      </c>
      <c r="AD1256" s="47">
        <f t="shared" si="377"/>
        <v>0</v>
      </c>
      <c r="AE1256" s="47">
        <f t="shared" si="378"/>
        <v>0</v>
      </c>
      <c r="AG1256" s="47">
        <f t="shared" si="379"/>
        <v>0</v>
      </c>
      <c r="AH1256" s="47">
        <f t="shared" si="380"/>
        <v>0</v>
      </c>
      <c r="AI1256" s="208">
        <f t="shared" si="381"/>
        <v>0</v>
      </c>
    </row>
    <row r="1257" spans="1:35">
      <c r="A1257" t="s">
        <v>2127</v>
      </c>
      <c r="B1257" t="s">
        <v>3155</v>
      </c>
      <c r="C1257" t="s">
        <v>2670</v>
      </c>
      <c r="D1257" t="s">
        <v>4630</v>
      </c>
      <c r="F1257" t="s">
        <v>957</v>
      </c>
      <c r="G1257" s="126">
        <f>SUMIFS('Support - Transition'!F:F,'Support - Transition'!B:B,'Step 2'!A1257,'Support - Transition'!C:C,'Step 2'!B1257,'Support - Transition'!D:D,'Step 2'!C1257,'Support - Transition'!E:E,"CIVIL")</f>
        <v>0</v>
      </c>
      <c r="H1257" s="126">
        <f>SUMIFS('Support - Transition'!F:F,'Support - Transition'!B:B,'Step 2'!A1257,'Support - Transition'!C:C,'Step 2'!B1257,'Support - Transition'!D:D,'Step 2'!C1257,'Support - Transition'!E:E,"FIRE")</f>
        <v>0</v>
      </c>
      <c r="I1257" s="126">
        <f>IF(B1257="0",SUMIFS('Support - Transition'!F:F,'Support - Transition'!J:J,'Step 2'!D1257,'Support - Transition'!E:E,"STATE UNIT"),SUMIFS('Support - Transition'!F:F,'Support - Transition'!J:J,'Step 2'!D1257))</f>
        <v>2.61E-4</v>
      </c>
      <c r="J1257" s="126">
        <f>SUMIFS('Support - Unit Adjustments'!E:E,'Support - Unit Adjustments'!F:F,'Step 2'!D1257)</f>
        <v>0</v>
      </c>
      <c r="K1257" s="126">
        <f t="shared" si="365"/>
        <v>2.61E-4</v>
      </c>
      <c r="L1257" s="174">
        <f>VLOOKUP(A1257,'Step 1'!$A:$E,4,FALSE)</f>
        <v>615101</v>
      </c>
      <c r="M1257" s="47">
        <f t="shared" si="366"/>
        <v>161</v>
      </c>
      <c r="N1257" s="177">
        <f>SUMIFS('Support - Transition'!G:G,'Support - Transition'!J:J,'Step 2'!D1257,'Support - Transition'!E:E,"2009 WELFARE ALLOCATION FACTOR")</f>
        <v>0</v>
      </c>
      <c r="O1257" s="152">
        <f t="shared" si="371"/>
        <v>0</v>
      </c>
      <c r="P1257" s="126">
        <f>IF(E1257="Y",0,SUMIFS('Support - Transition'!G:G,'Support - Transition'!J:J,'Step 2'!D1257,'Support - Transition'!E:E,"2009 SCHOOL ALLOCATION FACTOR"))</f>
        <v>0</v>
      </c>
      <c r="Q1257" s="126">
        <f>IF(E1257="Y",VLOOKUP(D1257,'Support - Unit Adjustments'!F:G,2,FALSE),0)</f>
        <v>0</v>
      </c>
      <c r="R1257" s="155">
        <f t="shared" si="383"/>
        <v>0</v>
      </c>
      <c r="S1257" s="47">
        <f t="shared" si="382"/>
        <v>0</v>
      </c>
      <c r="T1257" s="151">
        <f t="shared" si="367"/>
        <v>161</v>
      </c>
      <c r="U1257" s="151">
        <f t="shared" si="368"/>
        <v>0</v>
      </c>
      <c r="V1257" s="139">
        <f t="shared" si="369"/>
        <v>0</v>
      </c>
      <c r="W1257" s="152">
        <f t="shared" si="372"/>
        <v>161</v>
      </c>
      <c r="X1257" s="127" t="str">
        <f t="shared" si="370"/>
        <v/>
      </c>
      <c r="Y1257" s="207">
        <f t="shared" si="373"/>
        <v>161</v>
      </c>
      <c r="Z1257" s="139">
        <f t="shared" si="374"/>
        <v>161</v>
      </c>
      <c r="AA1257" s="139">
        <f t="shared" si="375"/>
        <v>0</v>
      </c>
      <c r="AC1257" s="47">
        <f t="shared" si="376"/>
        <v>81</v>
      </c>
      <c r="AD1257" s="47">
        <f t="shared" si="377"/>
        <v>81</v>
      </c>
      <c r="AE1257" s="47">
        <f t="shared" si="378"/>
        <v>0</v>
      </c>
      <c r="AG1257" s="47">
        <f t="shared" si="379"/>
        <v>80</v>
      </c>
      <c r="AH1257" s="47">
        <f t="shared" si="380"/>
        <v>80</v>
      </c>
      <c r="AI1257" s="208">
        <f t="shared" si="381"/>
        <v>0</v>
      </c>
    </row>
    <row r="1258" spans="1:35">
      <c r="A1258" t="s">
        <v>2127</v>
      </c>
      <c r="B1258" t="s">
        <v>3155</v>
      </c>
      <c r="C1258" t="s">
        <v>2671</v>
      </c>
      <c r="D1258" t="s">
        <v>4631</v>
      </c>
      <c r="F1258" t="s">
        <v>958</v>
      </c>
      <c r="G1258" s="126">
        <f>SUMIFS('Support - Transition'!F:F,'Support - Transition'!B:B,'Step 2'!A1258,'Support - Transition'!C:C,'Step 2'!B1258,'Support - Transition'!D:D,'Step 2'!C1258,'Support - Transition'!E:E,"CIVIL")</f>
        <v>0</v>
      </c>
      <c r="H1258" s="126">
        <f>SUMIFS('Support - Transition'!F:F,'Support - Transition'!B:B,'Step 2'!A1258,'Support - Transition'!C:C,'Step 2'!B1258,'Support - Transition'!D:D,'Step 2'!C1258,'Support - Transition'!E:E,"FIRE")</f>
        <v>0</v>
      </c>
      <c r="I1258" s="126">
        <f>IF(B1258="0",SUMIFS('Support - Transition'!F:F,'Support - Transition'!J:J,'Step 2'!D1258,'Support - Transition'!E:E,"STATE UNIT"),SUMIFS('Support - Transition'!F:F,'Support - Transition'!J:J,'Step 2'!D1258))</f>
        <v>1.85E-4</v>
      </c>
      <c r="J1258" s="126">
        <f>SUMIFS('Support - Unit Adjustments'!E:E,'Support - Unit Adjustments'!F:F,'Step 2'!D1258)</f>
        <v>0</v>
      </c>
      <c r="K1258" s="126">
        <f t="shared" si="365"/>
        <v>1.85E-4</v>
      </c>
      <c r="L1258" s="174">
        <f>VLOOKUP(A1258,'Step 1'!$A:$E,4,FALSE)</f>
        <v>615101</v>
      </c>
      <c r="M1258" s="47">
        <f t="shared" si="366"/>
        <v>114</v>
      </c>
      <c r="N1258" s="177">
        <f>SUMIFS('Support - Transition'!G:G,'Support - Transition'!J:J,'Step 2'!D1258,'Support - Transition'!E:E,"2009 WELFARE ALLOCATION FACTOR")</f>
        <v>0</v>
      </c>
      <c r="O1258" s="152">
        <f t="shared" si="371"/>
        <v>0</v>
      </c>
      <c r="P1258" s="126">
        <f>IF(E1258="Y",0,SUMIFS('Support - Transition'!G:G,'Support - Transition'!J:J,'Step 2'!D1258,'Support - Transition'!E:E,"2009 SCHOOL ALLOCATION FACTOR"))</f>
        <v>0</v>
      </c>
      <c r="Q1258" s="126">
        <f>IF(E1258="Y",VLOOKUP(D1258,'Support - Unit Adjustments'!F:G,2,FALSE),0)</f>
        <v>0</v>
      </c>
      <c r="R1258" s="155">
        <f t="shared" si="383"/>
        <v>0</v>
      </c>
      <c r="S1258" s="47">
        <f t="shared" si="382"/>
        <v>0</v>
      </c>
      <c r="T1258" s="151">
        <f t="shared" si="367"/>
        <v>114</v>
      </c>
      <c r="U1258" s="151">
        <f t="shared" si="368"/>
        <v>0</v>
      </c>
      <c r="V1258" s="139">
        <f t="shared" si="369"/>
        <v>0</v>
      </c>
      <c r="W1258" s="152">
        <f t="shared" si="372"/>
        <v>114</v>
      </c>
      <c r="X1258" s="127" t="str">
        <f t="shared" si="370"/>
        <v/>
      </c>
      <c r="Y1258" s="207">
        <f t="shared" si="373"/>
        <v>114</v>
      </c>
      <c r="Z1258" s="139">
        <f t="shared" si="374"/>
        <v>114</v>
      </c>
      <c r="AA1258" s="139">
        <f t="shared" si="375"/>
        <v>0</v>
      </c>
      <c r="AC1258" s="47">
        <f t="shared" si="376"/>
        <v>57</v>
      </c>
      <c r="AD1258" s="47">
        <f t="shared" si="377"/>
        <v>57</v>
      </c>
      <c r="AE1258" s="47">
        <f t="shared" si="378"/>
        <v>0</v>
      </c>
      <c r="AG1258" s="47">
        <f t="shared" si="379"/>
        <v>57</v>
      </c>
      <c r="AH1258" s="47">
        <f t="shared" si="380"/>
        <v>57</v>
      </c>
      <c r="AI1258" s="208">
        <f t="shared" si="381"/>
        <v>0</v>
      </c>
    </row>
    <row r="1259" spans="1:35">
      <c r="A1259" t="s">
        <v>2127</v>
      </c>
      <c r="B1259" t="s">
        <v>3155</v>
      </c>
      <c r="C1259" t="s">
        <v>2672</v>
      </c>
      <c r="D1259" t="s">
        <v>4632</v>
      </c>
      <c r="F1259" t="s">
        <v>959</v>
      </c>
      <c r="G1259" s="126">
        <f>SUMIFS('Support - Transition'!F:F,'Support - Transition'!B:B,'Step 2'!A1259,'Support - Transition'!C:C,'Step 2'!B1259,'Support - Transition'!D:D,'Step 2'!C1259,'Support - Transition'!E:E,"CIVIL")</f>
        <v>0</v>
      </c>
      <c r="H1259" s="126">
        <f>SUMIFS('Support - Transition'!F:F,'Support - Transition'!B:B,'Step 2'!A1259,'Support - Transition'!C:C,'Step 2'!B1259,'Support - Transition'!D:D,'Step 2'!C1259,'Support - Transition'!E:E,"FIRE")</f>
        <v>0</v>
      </c>
      <c r="I1259" s="126">
        <f>IF(B1259="0",SUMIFS('Support - Transition'!F:F,'Support - Transition'!J:J,'Step 2'!D1259,'Support - Transition'!E:E,"STATE UNIT"),SUMIFS('Support - Transition'!F:F,'Support - Transition'!J:J,'Step 2'!D1259))</f>
        <v>0</v>
      </c>
      <c r="J1259" s="126">
        <f>SUMIFS('Support - Unit Adjustments'!E:E,'Support - Unit Adjustments'!F:F,'Step 2'!D1259)</f>
        <v>0</v>
      </c>
      <c r="K1259" s="126">
        <f t="shared" si="365"/>
        <v>0</v>
      </c>
      <c r="L1259" s="174">
        <f>VLOOKUP(A1259,'Step 1'!$A:$E,4,FALSE)</f>
        <v>615101</v>
      </c>
      <c r="M1259" s="47">
        <f t="shared" si="366"/>
        <v>0</v>
      </c>
      <c r="N1259" s="177">
        <f>SUMIFS('Support - Transition'!G:G,'Support - Transition'!J:J,'Step 2'!D1259,'Support - Transition'!E:E,"2009 WELFARE ALLOCATION FACTOR")</f>
        <v>0</v>
      </c>
      <c r="O1259" s="152">
        <f t="shared" si="371"/>
        <v>0</v>
      </c>
      <c r="P1259" s="126">
        <f>IF(E1259="Y",0,SUMIFS('Support - Transition'!G:G,'Support - Transition'!J:J,'Step 2'!D1259,'Support - Transition'!E:E,"2009 SCHOOL ALLOCATION FACTOR"))</f>
        <v>0</v>
      </c>
      <c r="Q1259" s="126">
        <f>IF(E1259="Y",VLOOKUP(D1259,'Support - Unit Adjustments'!F:G,2,FALSE),0)</f>
        <v>0</v>
      </c>
      <c r="R1259" s="155">
        <f t="shared" si="383"/>
        <v>0</v>
      </c>
      <c r="S1259" s="47">
        <f t="shared" si="382"/>
        <v>0</v>
      </c>
      <c r="T1259" s="151">
        <f t="shared" si="367"/>
        <v>0</v>
      </c>
      <c r="U1259" s="151">
        <f t="shared" si="368"/>
        <v>0</v>
      </c>
      <c r="V1259" s="139">
        <f t="shared" si="369"/>
        <v>0</v>
      </c>
      <c r="W1259" s="152">
        <f t="shared" si="372"/>
        <v>0</v>
      </c>
      <c r="X1259" s="127" t="str">
        <f t="shared" si="370"/>
        <v/>
      </c>
      <c r="Y1259" s="207">
        <f t="shared" si="373"/>
        <v>0</v>
      </c>
      <c r="Z1259" s="139">
        <f t="shared" si="374"/>
        <v>0</v>
      </c>
      <c r="AA1259" s="139">
        <f t="shared" si="375"/>
        <v>0</v>
      </c>
      <c r="AC1259" s="47">
        <f t="shared" si="376"/>
        <v>0</v>
      </c>
      <c r="AD1259" s="47">
        <f t="shared" si="377"/>
        <v>0</v>
      </c>
      <c r="AE1259" s="47">
        <f t="shared" si="378"/>
        <v>0</v>
      </c>
      <c r="AG1259" s="47">
        <f t="shared" si="379"/>
        <v>0</v>
      </c>
      <c r="AH1259" s="47">
        <f t="shared" si="380"/>
        <v>0</v>
      </c>
      <c r="AI1259" s="208">
        <f t="shared" si="381"/>
        <v>0</v>
      </c>
    </row>
    <row r="1260" spans="1:35">
      <c r="A1260" t="s">
        <v>2127</v>
      </c>
      <c r="B1260" t="s">
        <v>3155</v>
      </c>
      <c r="C1260" t="s">
        <v>2673</v>
      </c>
      <c r="D1260" t="s">
        <v>4633</v>
      </c>
      <c r="F1260" t="s">
        <v>960</v>
      </c>
      <c r="G1260" s="126">
        <f>SUMIFS('Support - Transition'!F:F,'Support - Transition'!B:B,'Step 2'!A1260,'Support - Transition'!C:C,'Step 2'!B1260,'Support - Transition'!D:D,'Step 2'!C1260,'Support - Transition'!E:E,"CIVIL")</f>
        <v>0</v>
      </c>
      <c r="H1260" s="126">
        <f>SUMIFS('Support - Transition'!F:F,'Support - Transition'!B:B,'Step 2'!A1260,'Support - Transition'!C:C,'Step 2'!B1260,'Support - Transition'!D:D,'Step 2'!C1260,'Support - Transition'!E:E,"FIRE")</f>
        <v>0</v>
      </c>
      <c r="I1260" s="126">
        <f>IF(B1260="0",SUMIFS('Support - Transition'!F:F,'Support - Transition'!J:J,'Step 2'!D1260,'Support - Transition'!E:E,"STATE UNIT"),SUMIFS('Support - Transition'!F:F,'Support - Transition'!J:J,'Step 2'!D1260))</f>
        <v>9.5600000000000004E-4</v>
      </c>
      <c r="J1260" s="126">
        <f>SUMIFS('Support - Unit Adjustments'!E:E,'Support - Unit Adjustments'!F:F,'Step 2'!D1260)</f>
        <v>0</v>
      </c>
      <c r="K1260" s="126">
        <f t="shared" si="365"/>
        <v>9.5600000000000004E-4</v>
      </c>
      <c r="L1260" s="174">
        <f>VLOOKUP(A1260,'Step 1'!$A:$E,4,FALSE)</f>
        <v>615101</v>
      </c>
      <c r="M1260" s="47">
        <f t="shared" si="366"/>
        <v>588</v>
      </c>
      <c r="N1260" s="177">
        <f>SUMIFS('Support - Transition'!G:G,'Support - Transition'!J:J,'Step 2'!D1260,'Support - Transition'!E:E,"2009 WELFARE ALLOCATION FACTOR")</f>
        <v>0</v>
      </c>
      <c r="O1260" s="152">
        <f t="shared" si="371"/>
        <v>0</v>
      </c>
      <c r="P1260" s="126">
        <f>IF(E1260="Y",0,SUMIFS('Support - Transition'!G:G,'Support - Transition'!J:J,'Step 2'!D1260,'Support - Transition'!E:E,"2009 SCHOOL ALLOCATION FACTOR"))</f>
        <v>0</v>
      </c>
      <c r="Q1260" s="126">
        <f>IF(E1260="Y",VLOOKUP(D1260,'Support - Unit Adjustments'!F:G,2,FALSE),0)</f>
        <v>0</v>
      </c>
      <c r="R1260" s="155">
        <f t="shared" si="383"/>
        <v>0</v>
      </c>
      <c r="S1260" s="47">
        <f t="shared" si="382"/>
        <v>0</v>
      </c>
      <c r="T1260" s="151">
        <f t="shared" si="367"/>
        <v>588</v>
      </c>
      <c r="U1260" s="151">
        <f t="shared" si="368"/>
        <v>0</v>
      </c>
      <c r="V1260" s="139">
        <f t="shared" si="369"/>
        <v>0</v>
      </c>
      <c r="W1260" s="152">
        <f t="shared" si="372"/>
        <v>588</v>
      </c>
      <c r="X1260" s="127" t="str">
        <f t="shared" si="370"/>
        <v/>
      </c>
      <c r="Y1260" s="207">
        <f t="shared" si="373"/>
        <v>588</v>
      </c>
      <c r="Z1260" s="139">
        <f t="shared" si="374"/>
        <v>588</v>
      </c>
      <c r="AA1260" s="139">
        <f t="shared" si="375"/>
        <v>0</v>
      </c>
      <c r="AC1260" s="47">
        <f t="shared" si="376"/>
        <v>294</v>
      </c>
      <c r="AD1260" s="47">
        <f t="shared" si="377"/>
        <v>294</v>
      </c>
      <c r="AE1260" s="47">
        <f t="shared" si="378"/>
        <v>0</v>
      </c>
      <c r="AG1260" s="47">
        <f t="shared" si="379"/>
        <v>294</v>
      </c>
      <c r="AH1260" s="47">
        <f t="shared" si="380"/>
        <v>294</v>
      </c>
      <c r="AI1260" s="208">
        <f t="shared" si="381"/>
        <v>0</v>
      </c>
    </row>
    <row r="1261" spans="1:35">
      <c r="A1261" t="s">
        <v>2127</v>
      </c>
      <c r="B1261" t="s">
        <v>3155</v>
      </c>
      <c r="C1261" t="s">
        <v>2674</v>
      </c>
      <c r="D1261" t="s">
        <v>4634</v>
      </c>
      <c r="F1261" t="s">
        <v>961</v>
      </c>
      <c r="G1261" s="126">
        <f>SUMIFS('Support - Transition'!F:F,'Support - Transition'!B:B,'Step 2'!A1261,'Support - Transition'!C:C,'Step 2'!B1261,'Support - Transition'!D:D,'Step 2'!C1261,'Support - Transition'!E:E,"CIVIL")</f>
        <v>0</v>
      </c>
      <c r="H1261" s="126">
        <f>SUMIFS('Support - Transition'!F:F,'Support - Transition'!B:B,'Step 2'!A1261,'Support - Transition'!C:C,'Step 2'!B1261,'Support - Transition'!D:D,'Step 2'!C1261,'Support - Transition'!E:E,"FIRE")</f>
        <v>0</v>
      </c>
      <c r="I1261" s="126">
        <f>IF(B1261="0",SUMIFS('Support - Transition'!F:F,'Support - Transition'!J:J,'Step 2'!D1261,'Support - Transition'!E:E,"STATE UNIT"),SUMIFS('Support - Transition'!F:F,'Support - Transition'!J:J,'Step 2'!D1261))</f>
        <v>2.5739999999999999E-3</v>
      </c>
      <c r="J1261" s="126">
        <f>SUMIFS('Support - Unit Adjustments'!E:E,'Support - Unit Adjustments'!F:F,'Step 2'!D1261)</f>
        <v>0</v>
      </c>
      <c r="K1261" s="126">
        <f t="shared" si="365"/>
        <v>2.5739999999999999E-3</v>
      </c>
      <c r="L1261" s="174">
        <f>VLOOKUP(A1261,'Step 1'!$A:$E,4,FALSE)</f>
        <v>615101</v>
      </c>
      <c r="M1261" s="47">
        <f t="shared" si="366"/>
        <v>1583</v>
      </c>
      <c r="N1261" s="177">
        <f>SUMIFS('Support - Transition'!G:G,'Support - Transition'!J:J,'Step 2'!D1261,'Support - Transition'!E:E,"2009 WELFARE ALLOCATION FACTOR")</f>
        <v>0</v>
      </c>
      <c r="O1261" s="152">
        <f t="shared" si="371"/>
        <v>0</v>
      </c>
      <c r="P1261" s="126">
        <f>IF(E1261="Y",0,SUMIFS('Support - Transition'!G:G,'Support - Transition'!J:J,'Step 2'!D1261,'Support - Transition'!E:E,"2009 SCHOOL ALLOCATION FACTOR"))</f>
        <v>0</v>
      </c>
      <c r="Q1261" s="126">
        <f>IF(E1261="Y",VLOOKUP(D1261,'Support - Unit Adjustments'!F:G,2,FALSE),0)</f>
        <v>0</v>
      </c>
      <c r="R1261" s="155">
        <f t="shared" si="383"/>
        <v>0</v>
      </c>
      <c r="S1261" s="47">
        <f t="shared" si="382"/>
        <v>0</v>
      </c>
      <c r="T1261" s="151">
        <f t="shared" si="367"/>
        <v>1583</v>
      </c>
      <c r="U1261" s="151">
        <f t="shared" si="368"/>
        <v>0</v>
      </c>
      <c r="V1261" s="139">
        <f t="shared" si="369"/>
        <v>0</v>
      </c>
      <c r="W1261" s="152">
        <f t="shared" si="372"/>
        <v>1583</v>
      </c>
      <c r="X1261" s="127" t="str">
        <f t="shared" si="370"/>
        <v/>
      </c>
      <c r="Y1261" s="207">
        <f t="shared" si="373"/>
        <v>1583</v>
      </c>
      <c r="Z1261" s="139">
        <f t="shared" si="374"/>
        <v>1583</v>
      </c>
      <c r="AA1261" s="139">
        <f t="shared" si="375"/>
        <v>0</v>
      </c>
      <c r="AC1261" s="47">
        <f t="shared" si="376"/>
        <v>792</v>
      </c>
      <c r="AD1261" s="47">
        <f t="shared" si="377"/>
        <v>792</v>
      </c>
      <c r="AE1261" s="47">
        <f t="shared" si="378"/>
        <v>0</v>
      </c>
      <c r="AG1261" s="47">
        <f t="shared" si="379"/>
        <v>791</v>
      </c>
      <c r="AH1261" s="47">
        <f t="shared" si="380"/>
        <v>791</v>
      </c>
      <c r="AI1261" s="208">
        <f t="shared" si="381"/>
        <v>0</v>
      </c>
    </row>
    <row r="1262" spans="1:35">
      <c r="A1262" t="s">
        <v>2127</v>
      </c>
      <c r="B1262" t="s">
        <v>3155</v>
      </c>
      <c r="C1262" t="s">
        <v>2675</v>
      </c>
      <c r="D1262" t="s">
        <v>4635</v>
      </c>
      <c r="F1262" t="s">
        <v>357</v>
      </c>
      <c r="G1262" s="126">
        <f>SUMIFS('Support - Transition'!F:F,'Support - Transition'!B:B,'Step 2'!A1262,'Support - Transition'!C:C,'Step 2'!B1262,'Support - Transition'!D:D,'Step 2'!C1262,'Support - Transition'!E:E,"CIVIL")</f>
        <v>0</v>
      </c>
      <c r="H1262" s="126">
        <f>SUMIFS('Support - Transition'!F:F,'Support - Transition'!B:B,'Step 2'!A1262,'Support - Transition'!C:C,'Step 2'!B1262,'Support - Transition'!D:D,'Step 2'!C1262,'Support - Transition'!E:E,"FIRE")</f>
        <v>0</v>
      </c>
      <c r="I1262" s="126">
        <f>IF(B1262="0",SUMIFS('Support - Transition'!F:F,'Support - Transition'!J:J,'Step 2'!D1262,'Support - Transition'!E:E,"STATE UNIT"),SUMIFS('Support - Transition'!F:F,'Support - Transition'!J:J,'Step 2'!D1262))</f>
        <v>4.3779999999999999E-3</v>
      </c>
      <c r="J1262" s="126">
        <f>SUMIFS('Support - Unit Adjustments'!E:E,'Support - Unit Adjustments'!F:F,'Step 2'!D1262)</f>
        <v>0</v>
      </c>
      <c r="K1262" s="126">
        <f t="shared" si="365"/>
        <v>4.3779999999999999E-3</v>
      </c>
      <c r="L1262" s="174">
        <f>VLOOKUP(A1262,'Step 1'!$A:$E,4,FALSE)</f>
        <v>615101</v>
      </c>
      <c r="M1262" s="47">
        <f t="shared" si="366"/>
        <v>2693</v>
      </c>
      <c r="N1262" s="177">
        <f>SUMIFS('Support - Transition'!G:G,'Support - Transition'!J:J,'Step 2'!D1262,'Support - Transition'!E:E,"2009 WELFARE ALLOCATION FACTOR")</f>
        <v>0</v>
      </c>
      <c r="O1262" s="152">
        <f t="shared" si="371"/>
        <v>0</v>
      </c>
      <c r="P1262" s="126">
        <f>IF(E1262="Y",0,SUMIFS('Support - Transition'!G:G,'Support - Transition'!J:J,'Step 2'!D1262,'Support - Transition'!E:E,"2009 SCHOOL ALLOCATION FACTOR"))</f>
        <v>0</v>
      </c>
      <c r="Q1262" s="126">
        <f>IF(E1262="Y",VLOOKUP(D1262,'Support - Unit Adjustments'!F:G,2,FALSE),0)</f>
        <v>0</v>
      </c>
      <c r="R1262" s="155">
        <f t="shared" si="383"/>
        <v>0</v>
      </c>
      <c r="S1262" s="47">
        <f t="shared" si="382"/>
        <v>0</v>
      </c>
      <c r="T1262" s="151">
        <f t="shared" si="367"/>
        <v>2693</v>
      </c>
      <c r="U1262" s="151">
        <f t="shared" si="368"/>
        <v>0</v>
      </c>
      <c r="V1262" s="139">
        <f t="shared" si="369"/>
        <v>0</v>
      </c>
      <c r="W1262" s="152">
        <f t="shared" si="372"/>
        <v>2693</v>
      </c>
      <c r="X1262" s="127" t="str">
        <f t="shared" si="370"/>
        <v/>
      </c>
      <c r="Y1262" s="207">
        <f t="shared" si="373"/>
        <v>2693</v>
      </c>
      <c r="Z1262" s="139">
        <f t="shared" si="374"/>
        <v>2693</v>
      </c>
      <c r="AA1262" s="139">
        <f t="shared" si="375"/>
        <v>0</v>
      </c>
      <c r="AC1262" s="47">
        <f t="shared" si="376"/>
        <v>1347</v>
      </c>
      <c r="AD1262" s="47">
        <f t="shared" si="377"/>
        <v>1347</v>
      </c>
      <c r="AE1262" s="47">
        <f t="shared" si="378"/>
        <v>0</v>
      </c>
      <c r="AG1262" s="47">
        <f t="shared" si="379"/>
        <v>1346</v>
      </c>
      <c r="AH1262" s="47">
        <f t="shared" si="380"/>
        <v>1346</v>
      </c>
      <c r="AI1262" s="208">
        <f t="shared" si="381"/>
        <v>0</v>
      </c>
    </row>
    <row r="1263" spans="1:35">
      <c r="A1263" t="s">
        <v>2127</v>
      </c>
      <c r="B1263" t="s">
        <v>3155</v>
      </c>
      <c r="C1263" t="s">
        <v>2676</v>
      </c>
      <c r="D1263" t="s">
        <v>4636</v>
      </c>
      <c r="F1263" t="s">
        <v>962</v>
      </c>
      <c r="G1263" s="126">
        <f>SUMIFS('Support - Transition'!F:F,'Support - Transition'!B:B,'Step 2'!A1263,'Support - Transition'!C:C,'Step 2'!B1263,'Support - Transition'!D:D,'Step 2'!C1263,'Support - Transition'!E:E,"CIVIL")</f>
        <v>0</v>
      </c>
      <c r="H1263" s="126">
        <f>SUMIFS('Support - Transition'!F:F,'Support - Transition'!B:B,'Step 2'!A1263,'Support - Transition'!C:C,'Step 2'!B1263,'Support - Transition'!D:D,'Step 2'!C1263,'Support - Transition'!E:E,"FIRE")</f>
        <v>0</v>
      </c>
      <c r="I1263" s="126">
        <f>IF(B1263="0",SUMIFS('Support - Transition'!F:F,'Support - Transition'!J:J,'Step 2'!D1263,'Support - Transition'!E:E,"STATE UNIT"),SUMIFS('Support - Transition'!F:F,'Support - Transition'!J:J,'Step 2'!D1263))</f>
        <v>2.7079999999999999E-3</v>
      </c>
      <c r="J1263" s="126">
        <f>SUMIFS('Support - Unit Adjustments'!E:E,'Support - Unit Adjustments'!F:F,'Step 2'!D1263)</f>
        <v>0</v>
      </c>
      <c r="K1263" s="126">
        <f t="shared" si="365"/>
        <v>2.7079999999999999E-3</v>
      </c>
      <c r="L1263" s="174">
        <f>VLOOKUP(A1263,'Step 1'!$A:$E,4,FALSE)</f>
        <v>615101</v>
      </c>
      <c r="M1263" s="47">
        <f t="shared" si="366"/>
        <v>1666</v>
      </c>
      <c r="N1263" s="177">
        <f>SUMIFS('Support - Transition'!G:G,'Support - Transition'!J:J,'Step 2'!D1263,'Support - Transition'!E:E,"2009 WELFARE ALLOCATION FACTOR")</f>
        <v>0</v>
      </c>
      <c r="O1263" s="152">
        <f t="shared" si="371"/>
        <v>0</v>
      </c>
      <c r="P1263" s="126">
        <f>IF(E1263="Y",0,SUMIFS('Support - Transition'!G:G,'Support - Transition'!J:J,'Step 2'!D1263,'Support - Transition'!E:E,"2009 SCHOOL ALLOCATION FACTOR"))</f>
        <v>0</v>
      </c>
      <c r="Q1263" s="126">
        <f>IF(E1263="Y",VLOOKUP(D1263,'Support - Unit Adjustments'!F:G,2,FALSE),0)</f>
        <v>0</v>
      </c>
      <c r="R1263" s="155">
        <f t="shared" si="383"/>
        <v>0</v>
      </c>
      <c r="S1263" s="47">
        <f t="shared" si="382"/>
        <v>0</v>
      </c>
      <c r="T1263" s="151">
        <f t="shared" si="367"/>
        <v>1666</v>
      </c>
      <c r="U1263" s="151">
        <f t="shared" si="368"/>
        <v>0</v>
      </c>
      <c r="V1263" s="139">
        <f t="shared" si="369"/>
        <v>0</v>
      </c>
      <c r="W1263" s="152">
        <f t="shared" si="372"/>
        <v>1666</v>
      </c>
      <c r="X1263" s="127" t="str">
        <f t="shared" si="370"/>
        <v/>
      </c>
      <c r="Y1263" s="207">
        <f t="shared" si="373"/>
        <v>1666</v>
      </c>
      <c r="Z1263" s="139">
        <f t="shared" si="374"/>
        <v>1666</v>
      </c>
      <c r="AA1263" s="139">
        <f t="shared" si="375"/>
        <v>0</v>
      </c>
      <c r="AC1263" s="47">
        <f t="shared" si="376"/>
        <v>833</v>
      </c>
      <c r="AD1263" s="47">
        <f t="shared" si="377"/>
        <v>833</v>
      </c>
      <c r="AE1263" s="47">
        <f t="shared" si="378"/>
        <v>0</v>
      </c>
      <c r="AG1263" s="47">
        <f t="shared" si="379"/>
        <v>833</v>
      </c>
      <c r="AH1263" s="47">
        <f t="shared" si="380"/>
        <v>833</v>
      </c>
      <c r="AI1263" s="208">
        <f t="shared" si="381"/>
        <v>0</v>
      </c>
    </row>
    <row r="1264" spans="1:35">
      <c r="A1264" t="s">
        <v>2127</v>
      </c>
      <c r="B1264" t="s">
        <v>3155</v>
      </c>
      <c r="C1264" t="s">
        <v>2677</v>
      </c>
      <c r="D1264" t="s">
        <v>4637</v>
      </c>
      <c r="F1264" t="s">
        <v>963</v>
      </c>
      <c r="G1264" s="126">
        <f>SUMIFS('Support - Transition'!F:F,'Support - Transition'!B:B,'Step 2'!A1264,'Support - Transition'!C:C,'Step 2'!B1264,'Support - Transition'!D:D,'Step 2'!C1264,'Support - Transition'!E:E,"CIVIL")</f>
        <v>0</v>
      </c>
      <c r="H1264" s="126">
        <f>SUMIFS('Support - Transition'!F:F,'Support - Transition'!B:B,'Step 2'!A1264,'Support - Transition'!C:C,'Step 2'!B1264,'Support - Transition'!D:D,'Step 2'!C1264,'Support - Transition'!E:E,"FIRE")</f>
        <v>0</v>
      </c>
      <c r="I1264" s="126">
        <f>IF(B1264="0",SUMIFS('Support - Transition'!F:F,'Support - Transition'!J:J,'Step 2'!D1264,'Support - Transition'!E:E,"STATE UNIT"),SUMIFS('Support - Transition'!F:F,'Support - Transition'!J:J,'Step 2'!D1264))</f>
        <v>2.7339999999999999E-3</v>
      </c>
      <c r="J1264" s="126">
        <f>SUMIFS('Support - Unit Adjustments'!E:E,'Support - Unit Adjustments'!F:F,'Step 2'!D1264)</f>
        <v>0</v>
      </c>
      <c r="K1264" s="126">
        <f t="shared" si="365"/>
        <v>2.7339999999999999E-3</v>
      </c>
      <c r="L1264" s="174">
        <f>VLOOKUP(A1264,'Step 1'!$A:$E,4,FALSE)</f>
        <v>615101</v>
      </c>
      <c r="M1264" s="47">
        <f t="shared" si="366"/>
        <v>1682</v>
      </c>
      <c r="N1264" s="177">
        <f>SUMIFS('Support - Transition'!G:G,'Support - Transition'!J:J,'Step 2'!D1264,'Support - Transition'!E:E,"2009 WELFARE ALLOCATION FACTOR")</f>
        <v>0</v>
      </c>
      <c r="O1264" s="152">
        <f t="shared" si="371"/>
        <v>0</v>
      </c>
      <c r="P1264" s="126">
        <f>IF(E1264="Y",0,SUMIFS('Support - Transition'!G:G,'Support - Transition'!J:J,'Step 2'!D1264,'Support - Transition'!E:E,"2009 SCHOOL ALLOCATION FACTOR"))</f>
        <v>0</v>
      </c>
      <c r="Q1264" s="126">
        <f>IF(E1264="Y",VLOOKUP(D1264,'Support - Unit Adjustments'!F:G,2,FALSE),0)</f>
        <v>0</v>
      </c>
      <c r="R1264" s="155">
        <f t="shared" si="383"/>
        <v>0</v>
      </c>
      <c r="S1264" s="47">
        <f t="shared" si="382"/>
        <v>0</v>
      </c>
      <c r="T1264" s="151">
        <f t="shared" si="367"/>
        <v>1682</v>
      </c>
      <c r="U1264" s="151">
        <f t="shared" si="368"/>
        <v>0</v>
      </c>
      <c r="V1264" s="139">
        <f t="shared" si="369"/>
        <v>0</v>
      </c>
      <c r="W1264" s="152">
        <f t="shared" si="372"/>
        <v>1682</v>
      </c>
      <c r="X1264" s="127" t="str">
        <f t="shared" si="370"/>
        <v/>
      </c>
      <c r="Y1264" s="207">
        <f t="shared" si="373"/>
        <v>1682</v>
      </c>
      <c r="Z1264" s="139">
        <f t="shared" si="374"/>
        <v>1682</v>
      </c>
      <c r="AA1264" s="139">
        <f t="shared" si="375"/>
        <v>0</v>
      </c>
      <c r="AC1264" s="47">
        <f t="shared" si="376"/>
        <v>841</v>
      </c>
      <c r="AD1264" s="47">
        <f t="shared" si="377"/>
        <v>841</v>
      </c>
      <c r="AE1264" s="47">
        <f t="shared" si="378"/>
        <v>0</v>
      </c>
      <c r="AG1264" s="47">
        <f t="shared" si="379"/>
        <v>841</v>
      </c>
      <c r="AH1264" s="47">
        <f t="shared" si="380"/>
        <v>841</v>
      </c>
      <c r="AI1264" s="208">
        <f t="shared" si="381"/>
        <v>0</v>
      </c>
    </row>
    <row r="1265" spans="1:35">
      <c r="A1265" t="s">
        <v>2127</v>
      </c>
      <c r="B1265" t="s">
        <v>3155</v>
      </c>
      <c r="C1265" t="s">
        <v>2678</v>
      </c>
      <c r="D1265" t="s">
        <v>4638</v>
      </c>
      <c r="F1265" t="s">
        <v>964</v>
      </c>
      <c r="G1265" s="126">
        <f>SUMIFS('Support - Transition'!F:F,'Support - Transition'!B:B,'Step 2'!A1265,'Support - Transition'!C:C,'Step 2'!B1265,'Support - Transition'!D:D,'Step 2'!C1265,'Support - Transition'!E:E,"CIVIL")</f>
        <v>0</v>
      </c>
      <c r="H1265" s="126">
        <f>SUMIFS('Support - Transition'!F:F,'Support - Transition'!B:B,'Step 2'!A1265,'Support - Transition'!C:C,'Step 2'!B1265,'Support - Transition'!D:D,'Step 2'!C1265,'Support - Transition'!E:E,"FIRE")</f>
        <v>0</v>
      </c>
      <c r="I1265" s="126">
        <f>IF(B1265="0",SUMIFS('Support - Transition'!F:F,'Support - Transition'!J:J,'Step 2'!D1265,'Support - Transition'!E:E,"STATE UNIT"),SUMIFS('Support - Transition'!F:F,'Support - Transition'!J:J,'Step 2'!D1265))</f>
        <v>0</v>
      </c>
      <c r="J1265" s="126">
        <f>SUMIFS('Support - Unit Adjustments'!E:E,'Support - Unit Adjustments'!F:F,'Step 2'!D1265)</f>
        <v>0</v>
      </c>
      <c r="K1265" s="126">
        <f t="shared" si="365"/>
        <v>0</v>
      </c>
      <c r="L1265" s="174">
        <f>VLOOKUP(A1265,'Step 1'!$A:$E,4,FALSE)</f>
        <v>615101</v>
      </c>
      <c r="M1265" s="47">
        <f t="shared" si="366"/>
        <v>0</v>
      </c>
      <c r="N1265" s="177">
        <f>SUMIFS('Support - Transition'!G:G,'Support - Transition'!J:J,'Step 2'!D1265,'Support - Transition'!E:E,"2009 WELFARE ALLOCATION FACTOR")</f>
        <v>0</v>
      </c>
      <c r="O1265" s="152">
        <f t="shared" si="371"/>
        <v>0</v>
      </c>
      <c r="P1265" s="126">
        <f>IF(E1265="Y",0,SUMIFS('Support - Transition'!G:G,'Support - Transition'!J:J,'Step 2'!D1265,'Support - Transition'!E:E,"2009 SCHOOL ALLOCATION FACTOR"))</f>
        <v>0</v>
      </c>
      <c r="Q1265" s="126">
        <f>IF(E1265="Y",VLOOKUP(D1265,'Support - Unit Adjustments'!F:G,2,FALSE),0)</f>
        <v>0</v>
      </c>
      <c r="R1265" s="155">
        <f t="shared" si="383"/>
        <v>0</v>
      </c>
      <c r="S1265" s="47">
        <f t="shared" si="382"/>
        <v>0</v>
      </c>
      <c r="T1265" s="151">
        <f t="shared" si="367"/>
        <v>0</v>
      </c>
      <c r="U1265" s="151">
        <f t="shared" si="368"/>
        <v>0</v>
      </c>
      <c r="V1265" s="139">
        <f t="shared" si="369"/>
        <v>0</v>
      </c>
      <c r="W1265" s="152">
        <f t="shared" si="372"/>
        <v>0</v>
      </c>
      <c r="X1265" s="127" t="str">
        <f t="shared" si="370"/>
        <v/>
      </c>
      <c r="Y1265" s="207">
        <f t="shared" si="373"/>
        <v>0</v>
      </c>
      <c r="Z1265" s="139">
        <f t="shared" si="374"/>
        <v>0</v>
      </c>
      <c r="AA1265" s="139">
        <f t="shared" si="375"/>
        <v>0</v>
      </c>
      <c r="AC1265" s="47">
        <f t="shared" si="376"/>
        <v>0</v>
      </c>
      <c r="AD1265" s="47">
        <f t="shared" si="377"/>
        <v>0</v>
      </c>
      <c r="AE1265" s="47">
        <f t="shared" si="378"/>
        <v>0</v>
      </c>
      <c r="AG1265" s="47">
        <f t="shared" si="379"/>
        <v>0</v>
      </c>
      <c r="AH1265" s="47">
        <f t="shared" si="380"/>
        <v>0</v>
      </c>
      <c r="AI1265" s="208">
        <f t="shared" si="381"/>
        <v>0</v>
      </c>
    </row>
    <row r="1266" spans="1:35">
      <c r="A1266" t="s">
        <v>2127</v>
      </c>
      <c r="B1266" t="s">
        <v>3155</v>
      </c>
      <c r="C1266" t="s">
        <v>2679</v>
      </c>
      <c r="D1266" t="s">
        <v>4639</v>
      </c>
      <c r="F1266" t="s">
        <v>965</v>
      </c>
      <c r="G1266" s="126">
        <f>SUMIFS('Support - Transition'!F:F,'Support - Transition'!B:B,'Step 2'!A1266,'Support - Transition'!C:C,'Step 2'!B1266,'Support - Transition'!D:D,'Step 2'!C1266,'Support - Transition'!E:E,"CIVIL")</f>
        <v>0</v>
      </c>
      <c r="H1266" s="126">
        <f>SUMIFS('Support - Transition'!F:F,'Support - Transition'!B:B,'Step 2'!A1266,'Support - Transition'!C:C,'Step 2'!B1266,'Support - Transition'!D:D,'Step 2'!C1266,'Support - Transition'!E:E,"FIRE")</f>
        <v>0</v>
      </c>
      <c r="I1266" s="126">
        <f>IF(B1266="0",SUMIFS('Support - Transition'!F:F,'Support - Transition'!J:J,'Step 2'!D1266,'Support - Transition'!E:E,"STATE UNIT"),SUMIFS('Support - Transition'!F:F,'Support - Transition'!J:J,'Step 2'!D1266))</f>
        <v>2.6999999999999999E-5</v>
      </c>
      <c r="J1266" s="126">
        <f>SUMIFS('Support - Unit Adjustments'!E:E,'Support - Unit Adjustments'!F:F,'Step 2'!D1266)</f>
        <v>0</v>
      </c>
      <c r="K1266" s="126">
        <f t="shared" si="365"/>
        <v>2.6999999999999999E-5</v>
      </c>
      <c r="L1266" s="174">
        <f>VLOOKUP(A1266,'Step 1'!$A:$E,4,FALSE)</f>
        <v>615101</v>
      </c>
      <c r="M1266" s="47">
        <f t="shared" si="366"/>
        <v>17</v>
      </c>
      <c r="N1266" s="177">
        <f>SUMIFS('Support - Transition'!G:G,'Support - Transition'!J:J,'Step 2'!D1266,'Support - Transition'!E:E,"2009 WELFARE ALLOCATION FACTOR")</f>
        <v>0</v>
      </c>
      <c r="O1266" s="152">
        <f t="shared" si="371"/>
        <v>0</v>
      </c>
      <c r="P1266" s="126">
        <f>IF(E1266="Y",0,SUMIFS('Support - Transition'!G:G,'Support - Transition'!J:J,'Step 2'!D1266,'Support - Transition'!E:E,"2009 SCHOOL ALLOCATION FACTOR"))</f>
        <v>0</v>
      </c>
      <c r="Q1266" s="126">
        <f>IF(E1266="Y",VLOOKUP(D1266,'Support - Unit Adjustments'!F:G,2,FALSE),0)</f>
        <v>0</v>
      </c>
      <c r="R1266" s="155">
        <f t="shared" si="383"/>
        <v>0</v>
      </c>
      <c r="S1266" s="47">
        <f t="shared" si="382"/>
        <v>0</v>
      </c>
      <c r="T1266" s="151">
        <f t="shared" si="367"/>
        <v>17</v>
      </c>
      <c r="U1266" s="151">
        <f t="shared" si="368"/>
        <v>0</v>
      </c>
      <c r="V1266" s="139">
        <f t="shared" si="369"/>
        <v>0</v>
      </c>
      <c r="W1266" s="152">
        <f t="shared" si="372"/>
        <v>17</v>
      </c>
      <c r="X1266" s="127" t="str">
        <f t="shared" si="370"/>
        <v/>
      </c>
      <c r="Y1266" s="207">
        <f t="shared" si="373"/>
        <v>17</v>
      </c>
      <c r="Z1266" s="139">
        <f t="shared" si="374"/>
        <v>17</v>
      </c>
      <c r="AA1266" s="139">
        <f t="shared" si="375"/>
        <v>0</v>
      </c>
      <c r="AC1266" s="47">
        <f t="shared" si="376"/>
        <v>9</v>
      </c>
      <c r="AD1266" s="47">
        <f t="shared" si="377"/>
        <v>9</v>
      </c>
      <c r="AE1266" s="47">
        <f t="shared" si="378"/>
        <v>0</v>
      </c>
      <c r="AG1266" s="47">
        <f t="shared" si="379"/>
        <v>8</v>
      </c>
      <c r="AH1266" s="47">
        <f t="shared" si="380"/>
        <v>8</v>
      </c>
      <c r="AI1266" s="208">
        <f t="shared" si="381"/>
        <v>0</v>
      </c>
    </row>
    <row r="1267" spans="1:35">
      <c r="A1267" t="s">
        <v>2127</v>
      </c>
      <c r="B1267" t="s">
        <v>3155</v>
      </c>
      <c r="C1267" t="s">
        <v>3815</v>
      </c>
      <c r="D1267" t="s">
        <v>4640</v>
      </c>
      <c r="F1267" t="s">
        <v>966</v>
      </c>
      <c r="G1267" s="126">
        <f>SUMIFS('Support - Transition'!F:F,'Support - Transition'!B:B,'Step 2'!A1267,'Support - Transition'!C:C,'Step 2'!B1267,'Support - Transition'!D:D,'Step 2'!C1267,'Support - Transition'!E:E,"CIVIL")</f>
        <v>0</v>
      </c>
      <c r="H1267" s="126">
        <f>SUMIFS('Support - Transition'!F:F,'Support - Transition'!B:B,'Step 2'!A1267,'Support - Transition'!C:C,'Step 2'!B1267,'Support - Transition'!D:D,'Step 2'!C1267,'Support - Transition'!E:E,"FIRE")</f>
        <v>0</v>
      </c>
      <c r="I1267" s="126">
        <f>IF(B1267="0",SUMIFS('Support - Transition'!F:F,'Support - Transition'!J:J,'Step 2'!D1267,'Support - Transition'!E:E,"STATE UNIT"),SUMIFS('Support - Transition'!F:F,'Support - Transition'!J:J,'Step 2'!D1267))</f>
        <v>3.7309999999999999E-3</v>
      </c>
      <c r="J1267" s="126">
        <f>SUMIFS('Support - Unit Adjustments'!E:E,'Support - Unit Adjustments'!F:F,'Step 2'!D1267)</f>
        <v>0</v>
      </c>
      <c r="K1267" s="126">
        <f t="shared" si="365"/>
        <v>3.7309999999999999E-3</v>
      </c>
      <c r="L1267" s="174">
        <f>VLOOKUP(A1267,'Step 1'!$A:$E,4,FALSE)</f>
        <v>615101</v>
      </c>
      <c r="M1267" s="47">
        <f t="shared" si="366"/>
        <v>2295</v>
      </c>
      <c r="N1267" s="177">
        <f>SUMIFS('Support - Transition'!G:G,'Support - Transition'!J:J,'Step 2'!D1267,'Support - Transition'!E:E,"2009 WELFARE ALLOCATION FACTOR")</f>
        <v>0</v>
      </c>
      <c r="O1267" s="152">
        <f t="shared" si="371"/>
        <v>0</v>
      </c>
      <c r="P1267" s="126">
        <f>IF(E1267="Y",0,SUMIFS('Support - Transition'!G:G,'Support - Transition'!J:J,'Step 2'!D1267,'Support - Transition'!E:E,"2009 SCHOOL ALLOCATION FACTOR"))</f>
        <v>0</v>
      </c>
      <c r="Q1267" s="126">
        <f>IF(E1267="Y",VLOOKUP(D1267,'Support - Unit Adjustments'!F:G,2,FALSE),0)</f>
        <v>0</v>
      </c>
      <c r="R1267" s="155">
        <f t="shared" si="383"/>
        <v>0</v>
      </c>
      <c r="S1267" s="47">
        <f t="shared" si="382"/>
        <v>0</v>
      </c>
      <c r="T1267" s="151">
        <f t="shared" si="367"/>
        <v>2295</v>
      </c>
      <c r="U1267" s="151">
        <f t="shared" si="368"/>
        <v>0</v>
      </c>
      <c r="V1267" s="139">
        <f t="shared" si="369"/>
        <v>0</v>
      </c>
      <c r="W1267" s="152">
        <f t="shared" si="372"/>
        <v>2295</v>
      </c>
      <c r="X1267" s="127" t="str">
        <f t="shared" si="370"/>
        <v/>
      </c>
      <c r="Y1267" s="207">
        <f t="shared" si="373"/>
        <v>2295</v>
      </c>
      <c r="Z1267" s="139">
        <f t="shared" si="374"/>
        <v>2295</v>
      </c>
      <c r="AA1267" s="139">
        <f t="shared" si="375"/>
        <v>0</v>
      </c>
      <c r="AC1267" s="47">
        <f t="shared" si="376"/>
        <v>1148</v>
      </c>
      <c r="AD1267" s="47">
        <f t="shared" si="377"/>
        <v>1148</v>
      </c>
      <c r="AE1267" s="47">
        <f t="shared" si="378"/>
        <v>0</v>
      </c>
      <c r="AG1267" s="47">
        <f t="shared" si="379"/>
        <v>1147</v>
      </c>
      <c r="AH1267" s="47">
        <f t="shared" si="380"/>
        <v>1147</v>
      </c>
      <c r="AI1267" s="208">
        <f t="shared" si="381"/>
        <v>0</v>
      </c>
    </row>
    <row r="1268" spans="1:35">
      <c r="A1268" t="s">
        <v>2127</v>
      </c>
      <c r="B1268" t="s">
        <v>3155</v>
      </c>
      <c r="C1268" t="s">
        <v>2680</v>
      </c>
      <c r="D1268" t="s">
        <v>4641</v>
      </c>
      <c r="F1268" t="s">
        <v>968</v>
      </c>
      <c r="G1268" s="126">
        <f>SUMIFS('Support - Transition'!F:F,'Support - Transition'!B:B,'Step 2'!A1268,'Support - Transition'!C:C,'Step 2'!B1268,'Support - Transition'!D:D,'Step 2'!C1268,'Support - Transition'!E:E,"CIVIL")</f>
        <v>0</v>
      </c>
      <c r="H1268" s="126">
        <f>SUMIFS('Support - Transition'!F:F,'Support - Transition'!B:B,'Step 2'!A1268,'Support - Transition'!C:C,'Step 2'!B1268,'Support - Transition'!D:D,'Step 2'!C1268,'Support - Transition'!E:E,"FIRE")</f>
        <v>0</v>
      </c>
      <c r="I1268" s="126">
        <f>IF(B1268="0",SUMIFS('Support - Transition'!F:F,'Support - Transition'!J:J,'Step 2'!D1268,'Support - Transition'!E:E,"STATE UNIT"),SUMIFS('Support - Transition'!F:F,'Support - Transition'!J:J,'Step 2'!D1268))</f>
        <v>1.941E-3</v>
      </c>
      <c r="J1268" s="126">
        <f>SUMIFS('Support - Unit Adjustments'!E:E,'Support - Unit Adjustments'!F:F,'Step 2'!D1268)</f>
        <v>0</v>
      </c>
      <c r="K1268" s="126">
        <f t="shared" si="365"/>
        <v>1.941E-3</v>
      </c>
      <c r="L1268" s="174">
        <f>VLOOKUP(A1268,'Step 1'!$A:$E,4,FALSE)</f>
        <v>615101</v>
      </c>
      <c r="M1268" s="47">
        <f t="shared" si="366"/>
        <v>1194</v>
      </c>
      <c r="N1268" s="177">
        <f>SUMIFS('Support - Transition'!G:G,'Support - Transition'!J:J,'Step 2'!D1268,'Support - Transition'!E:E,"2009 WELFARE ALLOCATION FACTOR")</f>
        <v>0</v>
      </c>
      <c r="O1268" s="152">
        <f t="shared" si="371"/>
        <v>0</v>
      </c>
      <c r="P1268" s="126">
        <f>IF(E1268="Y",0,SUMIFS('Support - Transition'!G:G,'Support - Transition'!J:J,'Step 2'!D1268,'Support - Transition'!E:E,"2009 SCHOOL ALLOCATION FACTOR"))</f>
        <v>0</v>
      </c>
      <c r="Q1268" s="126">
        <f>IF(E1268="Y",VLOOKUP(D1268,'Support - Unit Adjustments'!F:G,2,FALSE),0)</f>
        <v>0</v>
      </c>
      <c r="R1268" s="155">
        <f t="shared" si="383"/>
        <v>0</v>
      </c>
      <c r="S1268" s="47">
        <f t="shared" si="382"/>
        <v>0</v>
      </c>
      <c r="T1268" s="151">
        <f t="shared" si="367"/>
        <v>1194</v>
      </c>
      <c r="U1268" s="151">
        <f t="shared" si="368"/>
        <v>0</v>
      </c>
      <c r="V1268" s="139">
        <f t="shared" si="369"/>
        <v>0</v>
      </c>
      <c r="W1268" s="152">
        <f t="shared" si="372"/>
        <v>1194</v>
      </c>
      <c r="X1268" s="127" t="str">
        <f t="shared" si="370"/>
        <v/>
      </c>
      <c r="Y1268" s="207">
        <f t="shared" si="373"/>
        <v>1194</v>
      </c>
      <c r="Z1268" s="139">
        <f t="shared" si="374"/>
        <v>1194</v>
      </c>
      <c r="AA1268" s="139">
        <f t="shared" si="375"/>
        <v>0</v>
      </c>
      <c r="AC1268" s="47">
        <f t="shared" si="376"/>
        <v>597</v>
      </c>
      <c r="AD1268" s="47">
        <f t="shared" si="377"/>
        <v>597</v>
      </c>
      <c r="AE1268" s="47">
        <f t="shared" si="378"/>
        <v>0</v>
      </c>
      <c r="AG1268" s="47">
        <f t="shared" si="379"/>
        <v>597</v>
      </c>
      <c r="AH1268" s="47">
        <f t="shared" si="380"/>
        <v>597</v>
      </c>
      <c r="AI1268" s="208">
        <f t="shared" si="381"/>
        <v>0</v>
      </c>
    </row>
    <row r="1269" spans="1:35">
      <c r="A1269" t="s">
        <v>2127</v>
      </c>
      <c r="B1269" t="s">
        <v>3160</v>
      </c>
      <c r="C1269" t="s">
        <v>2414</v>
      </c>
      <c r="D1269" t="s">
        <v>4642</v>
      </c>
      <c r="F1269" t="s">
        <v>470</v>
      </c>
      <c r="G1269" s="126">
        <f>SUMIFS('Support - Transition'!F:F,'Support - Transition'!B:B,'Step 2'!A1269,'Support - Transition'!C:C,'Step 2'!B1269,'Support - Transition'!D:D,'Step 2'!C1269,'Support - Transition'!E:E,"CIVIL")</f>
        <v>0</v>
      </c>
      <c r="H1269" s="126">
        <f>SUMIFS('Support - Transition'!F:F,'Support - Transition'!B:B,'Step 2'!A1269,'Support - Transition'!C:C,'Step 2'!B1269,'Support - Transition'!D:D,'Step 2'!C1269,'Support - Transition'!E:E,"FIRE")</f>
        <v>0</v>
      </c>
      <c r="I1269" s="126">
        <f>IF(B1269="0",SUMIFS('Support - Transition'!F:F,'Support - Transition'!J:J,'Step 2'!D1269,'Support - Transition'!E:E,"STATE UNIT"),SUMIFS('Support - Transition'!F:F,'Support - Transition'!J:J,'Step 2'!D1269))</f>
        <v>2.0636999999999999E-2</v>
      </c>
      <c r="J1269" s="126">
        <f>SUMIFS('Support - Unit Adjustments'!E:E,'Support - Unit Adjustments'!F:F,'Step 2'!D1269)</f>
        <v>0</v>
      </c>
      <c r="K1269" s="126">
        <f t="shared" si="365"/>
        <v>2.0636999999999999E-2</v>
      </c>
      <c r="L1269" s="174">
        <f>VLOOKUP(A1269,'Step 1'!$A:$E,4,FALSE)</f>
        <v>615101</v>
      </c>
      <c r="M1269" s="47">
        <f t="shared" si="366"/>
        <v>12694</v>
      </c>
      <c r="N1269" s="177">
        <f>SUMIFS('Support - Transition'!G:G,'Support - Transition'!J:J,'Step 2'!D1269,'Support - Transition'!E:E,"2009 WELFARE ALLOCATION FACTOR")</f>
        <v>0</v>
      </c>
      <c r="O1269" s="152">
        <f t="shared" si="371"/>
        <v>0</v>
      </c>
      <c r="P1269" s="126">
        <f>IF(E1269="Y",0,SUMIFS('Support - Transition'!G:G,'Support - Transition'!J:J,'Step 2'!D1269,'Support - Transition'!E:E,"2009 SCHOOL ALLOCATION FACTOR"))</f>
        <v>0.384515</v>
      </c>
      <c r="Q1269" s="126">
        <f>IF(E1269="Y",VLOOKUP(D1269,'Support - Unit Adjustments'!F:G,2,FALSE),0)</f>
        <v>0</v>
      </c>
      <c r="R1269" s="155">
        <f t="shared" si="383"/>
        <v>0.384515</v>
      </c>
      <c r="S1269" s="47">
        <f t="shared" si="382"/>
        <v>4881</v>
      </c>
      <c r="T1269" s="151">
        <f t="shared" si="367"/>
        <v>7813</v>
      </c>
      <c r="U1269" s="151">
        <f t="shared" si="368"/>
        <v>0</v>
      </c>
      <c r="V1269" s="139">
        <f t="shared" si="369"/>
        <v>0</v>
      </c>
      <c r="W1269" s="152">
        <f t="shared" si="372"/>
        <v>7813</v>
      </c>
      <c r="X1269" s="127" t="str">
        <f t="shared" si="370"/>
        <v/>
      </c>
      <c r="Y1269" s="207">
        <f t="shared" si="373"/>
        <v>7813</v>
      </c>
      <c r="Z1269" s="139">
        <f t="shared" si="374"/>
        <v>7813</v>
      </c>
      <c r="AA1269" s="139">
        <f t="shared" si="375"/>
        <v>0</v>
      </c>
      <c r="AC1269" s="47">
        <f t="shared" si="376"/>
        <v>3907</v>
      </c>
      <c r="AD1269" s="47">
        <f t="shared" si="377"/>
        <v>3907</v>
      </c>
      <c r="AE1269" s="47">
        <f t="shared" si="378"/>
        <v>0</v>
      </c>
      <c r="AG1269" s="47">
        <f t="shared" si="379"/>
        <v>3906</v>
      </c>
      <c r="AH1269" s="47">
        <f t="shared" si="380"/>
        <v>3906</v>
      </c>
      <c r="AI1269" s="208">
        <f t="shared" si="381"/>
        <v>0</v>
      </c>
    </row>
    <row r="1270" spans="1:35">
      <c r="A1270" t="s">
        <v>2127</v>
      </c>
      <c r="B1270" t="s">
        <v>3160</v>
      </c>
      <c r="C1270" t="s">
        <v>2681</v>
      </c>
      <c r="D1270" t="s">
        <v>4643</v>
      </c>
      <c r="F1270" t="s">
        <v>971</v>
      </c>
      <c r="G1270" s="126">
        <f>SUMIFS('Support - Transition'!F:F,'Support - Transition'!B:B,'Step 2'!A1270,'Support - Transition'!C:C,'Step 2'!B1270,'Support - Transition'!D:D,'Step 2'!C1270,'Support - Transition'!E:E,"CIVIL")</f>
        <v>0</v>
      </c>
      <c r="H1270" s="126">
        <f>SUMIFS('Support - Transition'!F:F,'Support - Transition'!B:B,'Step 2'!A1270,'Support - Transition'!C:C,'Step 2'!B1270,'Support - Transition'!D:D,'Step 2'!C1270,'Support - Transition'!E:E,"FIRE")</f>
        <v>0</v>
      </c>
      <c r="I1270" s="126">
        <f>IF(B1270="0",SUMIFS('Support - Transition'!F:F,'Support - Transition'!J:J,'Step 2'!D1270,'Support - Transition'!E:E,"STATE UNIT"),SUMIFS('Support - Transition'!F:F,'Support - Transition'!J:J,'Step 2'!D1270))</f>
        <v>0.129999</v>
      </c>
      <c r="J1270" s="126">
        <f>SUMIFS('Support - Unit Adjustments'!E:E,'Support - Unit Adjustments'!F:F,'Step 2'!D1270)</f>
        <v>0</v>
      </c>
      <c r="K1270" s="126">
        <f t="shared" si="365"/>
        <v>0.129999</v>
      </c>
      <c r="L1270" s="174">
        <f>VLOOKUP(A1270,'Step 1'!$A:$E,4,FALSE)</f>
        <v>615101</v>
      </c>
      <c r="M1270" s="47">
        <f t="shared" si="366"/>
        <v>79963</v>
      </c>
      <c r="N1270" s="177">
        <f>SUMIFS('Support - Transition'!G:G,'Support - Transition'!J:J,'Step 2'!D1270,'Support - Transition'!E:E,"2009 WELFARE ALLOCATION FACTOR")</f>
        <v>0</v>
      </c>
      <c r="O1270" s="152">
        <f t="shared" si="371"/>
        <v>0</v>
      </c>
      <c r="P1270" s="126">
        <f>IF(E1270="Y",0,SUMIFS('Support - Transition'!G:G,'Support - Transition'!J:J,'Step 2'!D1270,'Support - Transition'!E:E,"2009 SCHOOL ALLOCATION FACTOR"))</f>
        <v>0.55624700000000005</v>
      </c>
      <c r="Q1270" s="126">
        <f>IF(E1270="Y",VLOOKUP(D1270,'Support - Unit Adjustments'!F:G,2,FALSE),0)</f>
        <v>0</v>
      </c>
      <c r="R1270" s="155">
        <f t="shared" si="383"/>
        <v>0.55624700000000005</v>
      </c>
      <c r="S1270" s="47">
        <f t="shared" si="382"/>
        <v>44479</v>
      </c>
      <c r="T1270" s="151">
        <f t="shared" si="367"/>
        <v>35484</v>
      </c>
      <c r="U1270" s="151">
        <f t="shared" si="368"/>
        <v>0</v>
      </c>
      <c r="V1270" s="139">
        <f t="shared" si="369"/>
        <v>0</v>
      </c>
      <c r="W1270" s="152">
        <f t="shared" si="372"/>
        <v>35484</v>
      </c>
      <c r="X1270" s="127" t="str">
        <f t="shared" si="370"/>
        <v/>
      </c>
      <c r="Y1270" s="207">
        <f t="shared" si="373"/>
        <v>35484</v>
      </c>
      <c r="Z1270" s="139">
        <f t="shared" si="374"/>
        <v>35484</v>
      </c>
      <c r="AA1270" s="139">
        <f t="shared" si="375"/>
        <v>0</v>
      </c>
      <c r="AC1270" s="47">
        <f t="shared" si="376"/>
        <v>17742</v>
      </c>
      <c r="AD1270" s="47">
        <f t="shared" si="377"/>
        <v>17742</v>
      </c>
      <c r="AE1270" s="47">
        <f t="shared" si="378"/>
        <v>0</v>
      </c>
      <c r="AG1270" s="47">
        <f t="shared" si="379"/>
        <v>17742</v>
      </c>
      <c r="AH1270" s="47">
        <f t="shared" si="380"/>
        <v>17742</v>
      </c>
      <c r="AI1270" s="208">
        <f t="shared" si="381"/>
        <v>0</v>
      </c>
    </row>
    <row r="1271" spans="1:35">
      <c r="A1271" t="s">
        <v>2127</v>
      </c>
      <c r="B1271" t="s">
        <v>3160</v>
      </c>
      <c r="C1271" t="s">
        <v>2682</v>
      </c>
      <c r="D1271" t="s">
        <v>4644</v>
      </c>
      <c r="F1271" t="s">
        <v>970</v>
      </c>
      <c r="G1271" s="126">
        <f>SUMIFS('Support - Transition'!F:F,'Support - Transition'!B:B,'Step 2'!A1271,'Support - Transition'!C:C,'Step 2'!B1271,'Support - Transition'!D:D,'Step 2'!C1271,'Support - Transition'!E:E,"CIVIL")</f>
        <v>0</v>
      </c>
      <c r="H1271" s="126">
        <f>SUMIFS('Support - Transition'!F:F,'Support - Transition'!B:B,'Step 2'!A1271,'Support - Transition'!C:C,'Step 2'!B1271,'Support - Transition'!D:D,'Step 2'!C1271,'Support - Transition'!E:E,"FIRE")</f>
        <v>0</v>
      </c>
      <c r="I1271" s="126">
        <f>IF(B1271="0",SUMIFS('Support - Transition'!F:F,'Support - Transition'!J:J,'Step 2'!D1271,'Support - Transition'!E:E,"STATE UNIT"),SUMIFS('Support - Transition'!F:F,'Support - Transition'!J:J,'Step 2'!D1271))</f>
        <v>0.34298899999999999</v>
      </c>
      <c r="J1271" s="126">
        <f>SUMIFS('Support - Unit Adjustments'!E:E,'Support - Unit Adjustments'!F:F,'Step 2'!D1271)</f>
        <v>0</v>
      </c>
      <c r="K1271" s="126">
        <f t="shared" si="365"/>
        <v>0.34298899999999999</v>
      </c>
      <c r="L1271" s="174">
        <f>VLOOKUP(A1271,'Step 1'!$A:$E,4,FALSE)</f>
        <v>615101</v>
      </c>
      <c r="M1271" s="47">
        <f t="shared" si="366"/>
        <v>210973</v>
      </c>
      <c r="N1271" s="177">
        <f>SUMIFS('Support - Transition'!G:G,'Support - Transition'!J:J,'Step 2'!D1271,'Support - Transition'!E:E,"2009 WELFARE ALLOCATION FACTOR")</f>
        <v>0</v>
      </c>
      <c r="O1271" s="152">
        <f t="shared" si="371"/>
        <v>0</v>
      </c>
      <c r="P1271" s="126">
        <f>IF(E1271="Y",0,SUMIFS('Support - Transition'!G:G,'Support - Transition'!J:J,'Step 2'!D1271,'Support - Transition'!E:E,"2009 SCHOOL ALLOCATION FACTOR"))</f>
        <v>0.51649999999999996</v>
      </c>
      <c r="Q1271" s="126">
        <f>IF(E1271="Y",VLOOKUP(D1271,'Support - Unit Adjustments'!F:G,2,FALSE),0)</f>
        <v>0</v>
      </c>
      <c r="R1271" s="155">
        <f t="shared" si="383"/>
        <v>0.51649999999999996</v>
      </c>
      <c r="S1271" s="47">
        <f t="shared" si="382"/>
        <v>108968</v>
      </c>
      <c r="T1271" s="151">
        <f t="shared" si="367"/>
        <v>102005</v>
      </c>
      <c r="U1271" s="151">
        <f t="shared" si="368"/>
        <v>0</v>
      </c>
      <c r="V1271" s="139">
        <f t="shared" si="369"/>
        <v>0</v>
      </c>
      <c r="W1271" s="152">
        <f t="shared" si="372"/>
        <v>102005</v>
      </c>
      <c r="X1271" s="127" t="str">
        <f t="shared" si="370"/>
        <v/>
      </c>
      <c r="Y1271" s="207">
        <f t="shared" si="373"/>
        <v>102005</v>
      </c>
      <c r="Z1271" s="139">
        <f t="shared" si="374"/>
        <v>102005</v>
      </c>
      <c r="AA1271" s="139">
        <f t="shared" si="375"/>
        <v>0</v>
      </c>
      <c r="AC1271" s="47">
        <f t="shared" si="376"/>
        <v>51003</v>
      </c>
      <c r="AD1271" s="47">
        <f t="shared" si="377"/>
        <v>51003</v>
      </c>
      <c r="AE1271" s="47">
        <f t="shared" si="378"/>
        <v>0</v>
      </c>
      <c r="AG1271" s="47">
        <f t="shared" si="379"/>
        <v>51002</v>
      </c>
      <c r="AH1271" s="47">
        <f t="shared" si="380"/>
        <v>51002</v>
      </c>
      <c r="AI1271" s="208">
        <f t="shared" si="381"/>
        <v>0</v>
      </c>
    </row>
    <row r="1272" spans="1:35">
      <c r="A1272" t="s">
        <v>2127</v>
      </c>
      <c r="B1272" t="s">
        <v>3160</v>
      </c>
      <c r="C1272" t="s">
        <v>2457</v>
      </c>
      <c r="D1272" t="s">
        <v>4645</v>
      </c>
      <c r="F1272" t="s">
        <v>559</v>
      </c>
      <c r="G1272" s="126">
        <f>SUMIFS('Support - Transition'!F:F,'Support - Transition'!B:B,'Step 2'!A1272,'Support - Transition'!C:C,'Step 2'!B1272,'Support - Transition'!D:D,'Step 2'!C1272,'Support - Transition'!E:E,"CIVIL")</f>
        <v>0</v>
      </c>
      <c r="H1272" s="126">
        <f>SUMIFS('Support - Transition'!F:F,'Support - Transition'!B:B,'Step 2'!A1272,'Support - Transition'!C:C,'Step 2'!B1272,'Support - Transition'!D:D,'Step 2'!C1272,'Support - Transition'!E:E,"FIRE")</f>
        <v>0</v>
      </c>
      <c r="I1272" s="126">
        <f>IF(B1272="0",SUMIFS('Support - Transition'!F:F,'Support - Transition'!J:J,'Step 2'!D1272,'Support - Transition'!E:E,"STATE UNIT"),SUMIFS('Support - Transition'!F:F,'Support - Transition'!J:J,'Step 2'!D1272))</f>
        <v>0.18701799999999999</v>
      </c>
      <c r="J1272" s="126">
        <f>SUMIFS('Support - Unit Adjustments'!E:E,'Support - Unit Adjustments'!F:F,'Step 2'!D1272)</f>
        <v>0</v>
      </c>
      <c r="K1272" s="126">
        <f t="shared" si="365"/>
        <v>0.18701799999999999</v>
      </c>
      <c r="L1272" s="174">
        <f>VLOOKUP(A1272,'Step 1'!$A:$E,4,FALSE)</f>
        <v>615101</v>
      </c>
      <c r="M1272" s="47">
        <f t="shared" si="366"/>
        <v>115035</v>
      </c>
      <c r="N1272" s="177">
        <f>SUMIFS('Support - Transition'!G:G,'Support - Transition'!J:J,'Step 2'!D1272,'Support - Transition'!E:E,"2009 WELFARE ALLOCATION FACTOR")</f>
        <v>0</v>
      </c>
      <c r="O1272" s="152">
        <f t="shared" si="371"/>
        <v>0</v>
      </c>
      <c r="P1272" s="126">
        <f>IF(E1272="Y",0,SUMIFS('Support - Transition'!G:G,'Support - Transition'!J:J,'Step 2'!D1272,'Support - Transition'!E:E,"2009 SCHOOL ALLOCATION FACTOR"))</f>
        <v>0.37656099999999998</v>
      </c>
      <c r="Q1272" s="126">
        <f>IF(E1272="Y",VLOOKUP(D1272,'Support - Unit Adjustments'!F:G,2,FALSE),0)</f>
        <v>0</v>
      </c>
      <c r="R1272" s="155">
        <f t="shared" si="383"/>
        <v>0.37656099999999998</v>
      </c>
      <c r="S1272" s="47">
        <f t="shared" si="382"/>
        <v>43318</v>
      </c>
      <c r="T1272" s="151">
        <f t="shared" si="367"/>
        <v>71717</v>
      </c>
      <c r="U1272" s="151">
        <f t="shared" si="368"/>
        <v>0</v>
      </c>
      <c r="V1272" s="139">
        <f t="shared" si="369"/>
        <v>0</v>
      </c>
      <c r="W1272" s="152">
        <f t="shared" si="372"/>
        <v>71717</v>
      </c>
      <c r="X1272" s="127" t="str">
        <f t="shared" si="370"/>
        <v/>
      </c>
      <c r="Y1272" s="207">
        <f t="shared" si="373"/>
        <v>71717</v>
      </c>
      <c r="Z1272" s="139">
        <f t="shared" si="374"/>
        <v>71717</v>
      </c>
      <c r="AA1272" s="139">
        <f t="shared" si="375"/>
        <v>0</v>
      </c>
      <c r="AC1272" s="47">
        <f t="shared" si="376"/>
        <v>35859</v>
      </c>
      <c r="AD1272" s="47">
        <f t="shared" si="377"/>
        <v>35859</v>
      </c>
      <c r="AE1272" s="47">
        <f t="shared" si="378"/>
        <v>0</v>
      </c>
      <c r="AG1272" s="47">
        <f t="shared" si="379"/>
        <v>35858</v>
      </c>
      <c r="AH1272" s="47">
        <f t="shared" si="380"/>
        <v>35858</v>
      </c>
      <c r="AI1272" s="208">
        <f t="shared" si="381"/>
        <v>0</v>
      </c>
    </row>
    <row r="1273" spans="1:35">
      <c r="A1273" t="s">
        <v>2127</v>
      </c>
      <c r="B1273" t="s">
        <v>3160</v>
      </c>
      <c r="C1273" t="s">
        <v>2683</v>
      </c>
      <c r="D1273" t="s">
        <v>4646</v>
      </c>
      <c r="F1273" t="s">
        <v>972</v>
      </c>
      <c r="G1273" s="126">
        <f>SUMIFS('Support - Transition'!F:F,'Support - Transition'!B:B,'Step 2'!A1273,'Support - Transition'!C:C,'Step 2'!B1273,'Support - Transition'!D:D,'Step 2'!C1273,'Support - Transition'!E:E,"CIVIL")</f>
        <v>0</v>
      </c>
      <c r="H1273" s="126">
        <f>SUMIFS('Support - Transition'!F:F,'Support - Transition'!B:B,'Step 2'!A1273,'Support - Transition'!C:C,'Step 2'!B1273,'Support - Transition'!D:D,'Step 2'!C1273,'Support - Transition'!E:E,"FIRE")</f>
        <v>0</v>
      </c>
      <c r="I1273" s="126">
        <f>IF(B1273="0",SUMIFS('Support - Transition'!F:F,'Support - Transition'!J:J,'Step 2'!D1273,'Support - Transition'!E:E,"STATE UNIT"),SUMIFS('Support - Transition'!F:F,'Support - Transition'!J:J,'Step 2'!D1273))</f>
        <v>5.1174999999999998E-2</v>
      </c>
      <c r="J1273" s="126">
        <f>SUMIFS('Support - Unit Adjustments'!E:E,'Support - Unit Adjustments'!F:F,'Step 2'!D1273)</f>
        <v>0</v>
      </c>
      <c r="K1273" s="126">
        <f t="shared" si="365"/>
        <v>5.1174999999999998E-2</v>
      </c>
      <c r="L1273" s="174">
        <f>VLOOKUP(A1273,'Step 1'!$A:$E,4,FALSE)</f>
        <v>615101</v>
      </c>
      <c r="M1273" s="47">
        <f t="shared" si="366"/>
        <v>31478</v>
      </c>
      <c r="N1273" s="177">
        <f>SUMIFS('Support - Transition'!G:G,'Support - Transition'!J:J,'Step 2'!D1273,'Support - Transition'!E:E,"2009 WELFARE ALLOCATION FACTOR")</f>
        <v>0</v>
      </c>
      <c r="O1273" s="152">
        <f t="shared" si="371"/>
        <v>0</v>
      </c>
      <c r="P1273" s="126">
        <f>IF(E1273="Y",0,SUMIFS('Support - Transition'!G:G,'Support - Transition'!J:J,'Step 2'!D1273,'Support - Transition'!E:E,"2009 SCHOOL ALLOCATION FACTOR"))</f>
        <v>0.39507700000000001</v>
      </c>
      <c r="Q1273" s="126">
        <f>IF(E1273="Y",VLOOKUP(D1273,'Support - Unit Adjustments'!F:G,2,FALSE),0)</f>
        <v>0</v>
      </c>
      <c r="R1273" s="155">
        <f t="shared" si="383"/>
        <v>0.39507700000000001</v>
      </c>
      <c r="S1273" s="47">
        <f t="shared" si="382"/>
        <v>12436</v>
      </c>
      <c r="T1273" s="151">
        <f t="shared" si="367"/>
        <v>19042</v>
      </c>
      <c r="U1273" s="151">
        <f t="shared" si="368"/>
        <v>0</v>
      </c>
      <c r="V1273" s="139">
        <f t="shared" si="369"/>
        <v>0</v>
      </c>
      <c r="W1273" s="152">
        <f t="shared" si="372"/>
        <v>19042</v>
      </c>
      <c r="X1273" s="127" t="str">
        <f t="shared" si="370"/>
        <v/>
      </c>
      <c r="Y1273" s="207">
        <f t="shared" si="373"/>
        <v>19042</v>
      </c>
      <c r="Z1273" s="139">
        <f t="shared" si="374"/>
        <v>19042</v>
      </c>
      <c r="AA1273" s="139">
        <f t="shared" si="375"/>
        <v>0</v>
      </c>
      <c r="AC1273" s="47">
        <f t="shared" si="376"/>
        <v>9521</v>
      </c>
      <c r="AD1273" s="47">
        <f t="shared" si="377"/>
        <v>9521</v>
      </c>
      <c r="AE1273" s="47">
        <f t="shared" si="378"/>
        <v>0</v>
      </c>
      <c r="AG1273" s="47">
        <f t="shared" si="379"/>
        <v>9521</v>
      </c>
      <c r="AH1273" s="47">
        <f t="shared" si="380"/>
        <v>9521</v>
      </c>
      <c r="AI1273" s="208">
        <f t="shared" si="381"/>
        <v>0</v>
      </c>
    </row>
    <row r="1274" spans="1:35">
      <c r="A1274" t="s">
        <v>2127</v>
      </c>
      <c r="B1274" t="s">
        <v>3160</v>
      </c>
      <c r="C1274" t="s">
        <v>2684</v>
      </c>
      <c r="D1274" t="s">
        <v>4647</v>
      </c>
      <c r="F1274" t="s">
        <v>969</v>
      </c>
      <c r="G1274" s="126">
        <f>SUMIFS('Support - Transition'!F:F,'Support - Transition'!B:B,'Step 2'!A1274,'Support - Transition'!C:C,'Step 2'!B1274,'Support - Transition'!D:D,'Step 2'!C1274,'Support - Transition'!E:E,"CIVIL")</f>
        <v>0</v>
      </c>
      <c r="H1274" s="126">
        <f>SUMIFS('Support - Transition'!F:F,'Support - Transition'!B:B,'Step 2'!A1274,'Support - Transition'!C:C,'Step 2'!B1274,'Support - Transition'!D:D,'Step 2'!C1274,'Support - Transition'!E:E,"FIRE")</f>
        <v>0</v>
      </c>
      <c r="I1274" s="126">
        <f>IF(B1274="0",SUMIFS('Support - Transition'!F:F,'Support - Transition'!J:J,'Step 2'!D1274,'Support - Transition'!E:E,"STATE UNIT"),SUMIFS('Support - Transition'!F:F,'Support - Transition'!J:J,'Step 2'!D1274))</f>
        <v>1.1773E-2</v>
      </c>
      <c r="J1274" s="126">
        <f>SUMIFS('Support - Unit Adjustments'!E:E,'Support - Unit Adjustments'!F:F,'Step 2'!D1274)</f>
        <v>0</v>
      </c>
      <c r="K1274" s="126">
        <f t="shared" si="365"/>
        <v>1.1773E-2</v>
      </c>
      <c r="L1274" s="174">
        <f>VLOOKUP(A1274,'Step 1'!$A:$E,4,FALSE)</f>
        <v>615101</v>
      </c>
      <c r="M1274" s="47">
        <f t="shared" si="366"/>
        <v>7242</v>
      </c>
      <c r="N1274" s="177">
        <f>SUMIFS('Support - Transition'!G:G,'Support - Transition'!J:J,'Step 2'!D1274,'Support - Transition'!E:E,"2009 WELFARE ALLOCATION FACTOR")</f>
        <v>0</v>
      </c>
      <c r="O1274" s="152">
        <f t="shared" si="371"/>
        <v>0</v>
      </c>
      <c r="P1274" s="126">
        <f>IF(E1274="Y",0,SUMIFS('Support - Transition'!G:G,'Support - Transition'!J:J,'Step 2'!D1274,'Support - Transition'!E:E,"2009 SCHOOL ALLOCATION FACTOR"))</f>
        <v>0.50334699999999999</v>
      </c>
      <c r="Q1274" s="126">
        <f>IF(E1274="Y",VLOOKUP(D1274,'Support - Unit Adjustments'!F:G,2,FALSE),0)</f>
        <v>0</v>
      </c>
      <c r="R1274" s="155">
        <f t="shared" si="383"/>
        <v>0.50334699999999999</v>
      </c>
      <c r="S1274" s="47">
        <f t="shared" si="382"/>
        <v>3645</v>
      </c>
      <c r="T1274" s="151">
        <f t="shared" si="367"/>
        <v>3597</v>
      </c>
      <c r="U1274" s="151">
        <f t="shared" si="368"/>
        <v>0</v>
      </c>
      <c r="V1274" s="139">
        <f t="shared" si="369"/>
        <v>0</v>
      </c>
      <c r="W1274" s="152">
        <f t="shared" si="372"/>
        <v>3597</v>
      </c>
      <c r="X1274" s="127" t="str">
        <f t="shared" si="370"/>
        <v/>
      </c>
      <c r="Y1274" s="207">
        <f t="shared" si="373"/>
        <v>3597</v>
      </c>
      <c r="Z1274" s="139">
        <f t="shared" si="374"/>
        <v>3597</v>
      </c>
      <c r="AA1274" s="139">
        <f t="shared" si="375"/>
        <v>0</v>
      </c>
      <c r="AC1274" s="47">
        <f t="shared" si="376"/>
        <v>1799</v>
      </c>
      <c r="AD1274" s="47">
        <f t="shared" si="377"/>
        <v>1799</v>
      </c>
      <c r="AE1274" s="47">
        <f t="shared" si="378"/>
        <v>0</v>
      </c>
      <c r="AG1274" s="47">
        <f t="shared" si="379"/>
        <v>1798</v>
      </c>
      <c r="AH1274" s="47">
        <f t="shared" si="380"/>
        <v>1798</v>
      </c>
      <c r="AI1274" s="208">
        <f t="shared" si="381"/>
        <v>0</v>
      </c>
    </row>
    <row r="1275" spans="1:35">
      <c r="A1275" t="s">
        <v>2127</v>
      </c>
      <c r="B1275" t="s">
        <v>3166</v>
      </c>
      <c r="C1275" t="s">
        <v>2420</v>
      </c>
      <c r="D1275" t="s">
        <v>4648</v>
      </c>
      <c r="F1275" t="s">
        <v>475</v>
      </c>
      <c r="G1275" s="126">
        <f>SUMIFS('Support - Transition'!F:F,'Support - Transition'!B:B,'Step 2'!A1275,'Support - Transition'!C:C,'Step 2'!B1275,'Support - Transition'!D:D,'Step 2'!C1275,'Support - Transition'!E:E,"CIVIL")</f>
        <v>0</v>
      </c>
      <c r="H1275" s="126">
        <f>SUMIFS('Support - Transition'!F:F,'Support - Transition'!B:B,'Step 2'!A1275,'Support - Transition'!C:C,'Step 2'!B1275,'Support - Transition'!D:D,'Step 2'!C1275,'Support - Transition'!E:E,"FIRE")</f>
        <v>0</v>
      </c>
      <c r="I1275" s="126">
        <f>IF(B1275="0",SUMIFS('Support - Transition'!F:F,'Support - Transition'!J:J,'Step 2'!D1275,'Support - Transition'!E:E,"STATE UNIT"),SUMIFS('Support - Transition'!F:F,'Support - Transition'!J:J,'Step 2'!D1275))</f>
        <v>0</v>
      </c>
      <c r="J1275" s="126">
        <f>SUMIFS('Support - Unit Adjustments'!E:E,'Support - Unit Adjustments'!F:F,'Step 2'!D1275)</f>
        <v>0</v>
      </c>
      <c r="K1275" s="126">
        <f t="shared" si="365"/>
        <v>0</v>
      </c>
      <c r="L1275" s="174">
        <f>VLOOKUP(A1275,'Step 1'!$A:$E,4,FALSE)</f>
        <v>615101</v>
      </c>
      <c r="M1275" s="47">
        <f t="shared" si="366"/>
        <v>0</v>
      </c>
      <c r="N1275" s="177">
        <f>SUMIFS('Support - Transition'!G:G,'Support - Transition'!J:J,'Step 2'!D1275,'Support - Transition'!E:E,"2009 WELFARE ALLOCATION FACTOR")</f>
        <v>0</v>
      </c>
      <c r="O1275" s="152">
        <f t="shared" si="371"/>
        <v>0</v>
      </c>
      <c r="P1275" s="126">
        <f>IF(E1275="Y",0,SUMIFS('Support - Transition'!G:G,'Support - Transition'!J:J,'Step 2'!D1275,'Support - Transition'!E:E,"2009 SCHOOL ALLOCATION FACTOR"))</f>
        <v>0</v>
      </c>
      <c r="Q1275" s="126">
        <f>IF(E1275="Y",VLOOKUP(D1275,'Support - Unit Adjustments'!F:G,2,FALSE),0)</f>
        <v>0</v>
      </c>
      <c r="R1275" s="155">
        <f t="shared" si="383"/>
        <v>0</v>
      </c>
      <c r="S1275" s="47">
        <f t="shared" si="382"/>
        <v>0</v>
      </c>
      <c r="T1275" s="151">
        <f t="shared" si="367"/>
        <v>0</v>
      </c>
      <c r="U1275" s="151">
        <f t="shared" si="368"/>
        <v>0</v>
      </c>
      <c r="V1275" s="139">
        <f t="shared" si="369"/>
        <v>0</v>
      </c>
      <c r="W1275" s="152">
        <f t="shared" si="372"/>
        <v>0</v>
      </c>
      <c r="X1275" s="127" t="str">
        <f t="shared" si="370"/>
        <v/>
      </c>
      <c r="Y1275" s="207">
        <f t="shared" si="373"/>
        <v>0</v>
      </c>
      <c r="Z1275" s="139">
        <f t="shared" si="374"/>
        <v>0</v>
      </c>
      <c r="AA1275" s="139">
        <f t="shared" si="375"/>
        <v>0</v>
      </c>
      <c r="AC1275" s="47">
        <f t="shared" si="376"/>
        <v>0</v>
      </c>
      <c r="AD1275" s="47">
        <f t="shared" si="377"/>
        <v>0</v>
      </c>
      <c r="AE1275" s="47">
        <f t="shared" si="378"/>
        <v>0</v>
      </c>
      <c r="AG1275" s="47">
        <f t="shared" si="379"/>
        <v>0</v>
      </c>
      <c r="AH1275" s="47">
        <f t="shared" si="380"/>
        <v>0</v>
      </c>
      <c r="AI1275" s="208">
        <f t="shared" si="381"/>
        <v>0</v>
      </c>
    </row>
    <row r="1276" spans="1:35">
      <c r="A1276" t="s">
        <v>2127</v>
      </c>
      <c r="B1276" t="s">
        <v>3166</v>
      </c>
      <c r="C1276" t="s">
        <v>2685</v>
      </c>
      <c r="D1276" t="s">
        <v>4649</v>
      </c>
      <c r="F1276" t="s">
        <v>974</v>
      </c>
      <c r="G1276" s="126">
        <f>SUMIFS('Support - Transition'!F:F,'Support - Transition'!B:B,'Step 2'!A1276,'Support - Transition'!C:C,'Step 2'!B1276,'Support - Transition'!D:D,'Step 2'!C1276,'Support - Transition'!E:E,"CIVIL")</f>
        <v>0</v>
      </c>
      <c r="H1276" s="126">
        <f>SUMIFS('Support - Transition'!F:F,'Support - Transition'!B:B,'Step 2'!A1276,'Support - Transition'!C:C,'Step 2'!B1276,'Support - Transition'!D:D,'Step 2'!C1276,'Support - Transition'!E:E,"FIRE")</f>
        <v>0</v>
      </c>
      <c r="I1276" s="126">
        <f>IF(B1276="0",SUMIFS('Support - Transition'!F:F,'Support - Transition'!J:J,'Step 2'!D1276,'Support - Transition'!E:E,"STATE UNIT"),SUMIFS('Support - Transition'!F:F,'Support - Transition'!J:J,'Step 2'!D1276))</f>
        <v>4.2389999999999997E-3</v>
      </c>
      <c r="J1276" s="126">
        <f>SUMIFS('Support - Unit Adjustments'!E:E,'Support - Unit Adjustments'!F:F,'Step 2'!D1276)</f>
        <v>0</v>
      </c>
      <c r="K1276" s="126">
        <f t="shared" si="365"/>
        <v>4.2389999999999997E-3</v>
      </c>
      <c r="L1276" s="174">
        <f>VLOOKUP(A1276,'Step 1'!$A:$E,4,FALSE)</f>
        <v>615101</v>
      </c>
      <c r="M1276" s="47">
        <f t="shared" si="366"/>
        <v>2607</v>
      </c>
      <c r="N1276" s="177">
        <f>SUMIFS('Support - Transition'!G:G,'Support - Transition'!J:J,'Step 2'!D1276,'Support - Transition'!E:E,"2009 WELFARE ALLOCATION FACTOR")</f>
        <v>0</v>
      </c>
      <c r="O1276" s="152">
        <f t="shared" si="371"/>
        <v>0</v>
      </c>
      <c r="P1276" s="126">
        <f>IF(E1276="Y",0,SUMIFS('Support - Transition'!G:G,'Support - Transition'!J:J,'Step 2'!D1276,'Support - Transition'!E:E,"2009 SCHOOL ALLOCATION FACTOR"))</f>
        <v>0</v>
      </c>
      <c r="Q1276" s="126">
        <f>IF(E1276="Y",VLOOKUP(D1276,'Support - Unit Adjustments'!F:G,2,FALSE),0)</f>
        <v>0</v>
      </c>
      <c r="R1276" s="155">
        <f t="shared" si="383"/>
        <v>0</v>
      </c>
      <c r="S1276" s="47">
        <f t="shared" si="382"/>
        <v>0</v>
      </c>
      <c r="T1276" s="151">
        <f t="shared" si="367"/>
        <v>2607</v>
      </c>
      <c r="U1276" s="151">
        <f t="shared" si="368"/>
        <v>0</v>
      </c>
      <c r="V1276" s="139">
        <f t="shared" si="369"/>
        <v>0</v>
      </c>
      <c r="W1276" s="152">
        <f t="shared" si="372"/>
        <v>2607</v>
      </c>
      <c r="X1276" s="127" t="str">
        <f t="shared" si="370"/>
        <v/>
      </c>
      <c r="Y1276" s="207">
        <f t="shared" si="373"/>
        <v>2607</v>
      </c>
      <c r="Z1276" s="139">
        <f t="shared" si="374"/>
        <v>2607</v>
      </c>
      <c r="AA1276" s="139">
        <f t="shared" si="375"/>
        <v>0</v>
      </c>
      <c r="AC1276" s="47">
        <f t="shared" si="376"/>
        <v>1304</v>
      </c>
      <c r="AD1276" s="47">
        <f t="shared" si="377"/>
        <v>1304</v>
      </c>
      <c r="AE1276" s="47">
        <f t="shared" si="378"/>
        <v>0</v>
      </c>
      <c r="AG1276" s="47">
        <f t="shared" si="379"/>
        <v>1303</v>
      </c>
      <c r="AH1276" s="47">
        <f t="shared" si="380"/>
        <v>1303</v>
      </c>
      <c r="AI1276" s="208">
        <f t="shared" si="381"/>
        <v>0</v>
      </c>
    </row>
    <row r="1277" spans="1:35">
      <c r="A1277" t="s">
        <v>2127</v>
      </c>
      <c r="B1277" t="s">
        <v>3166</v>
      </c>
      <c r="C1277" t="s">
        <v>2686</v>
      </c>
      <c r="D1277" t="s">
        <v>4650</v>
      </c>
      <c r="F1277" t="s">
        <v>975</v>
      </c>
      <c r="G1277" s="126">
        <f>SUMIFS('Support - Transition'!F:F,'Support - Transition'!B:B,'Step 2'!A1277,'Support - Transition'!C:C,'Step 2'!B1277,'Support - Transition'!D:D,'Step 2'!C1277,'Support - Transition'!E:E,"CIVIL")</f>
        <v>0</v>
      </c>
      <c r="H1277" s="126">
        <f>SUMIFS('Support - Transition'!F:F,'Support - Transition'!B:B,'Step 2'!A1277,'Support - Transition'!C:C,'Step 2'!B1277,'Support - Transition'!D:D,'Step 2'!C1277,'Support - Transition'!E:E,"FIRE")</f>
        <v>0</v>
      </c>
      <c r="I1277" s="126">
        <f>IF(B1277="0",SUMIFS('Support - Transition'!F:F,'Support - Transition'!J:J,'Step 2'!D1277,'Support - Transition'!E:E,"STATE UNIT"),SUMIFS('Support - Transition'!F:F,'Support - Transition'!J:J,'Step 2'!D1277))</f>
        <v>7.5000000000000002E-4</v>
      </c>
      <c r="J1277" s="126">
        <f>SUMIFS('Support - Unit Adjustments'!E:E,'Support - Unit Adjustments'!F:F,'Step 2'!D1277)</f>
        <v>0</v>
      </c>
      <c r="K1277" s="126">
        <f t="shared" si="365"/>
        <v>7.5000000000000002E-4</v>
      </c>
      <c r="L1277" s="174">
        <f>VLOOKUP(A1277,'Step 1'!$A:$E,4,FALSE)</f>
        <v>615101</v>
      </c>
      <c r="M1277" s="47">
        <f t="shared" si="366"/>
        <v>461</v>
      </c>
      <c r="N1277" s="177">
        <f>SUMIFS('Support - Transition'!G:G,'Support - Transition'!J:J,'Step 2'!D1277,'Support - Transition'!E:E,"2009 WELFARE ALLOCATION FACTOR")</f>
        <v>0</v>
      </c>
      <c r="O1277" s="152">
        <f t="shared" si="371"/>
        <v>0</v>
      </c>
      <c r="P1277" s="126">
        <f>IF(E1277="Y",0,SUMIFS('Support - Transition'!G:G,'Support - Transition'!J:J,'Step 2'!D1277,'Support - Transition'!E:E,"2009 SCHOOL ALLOCATION FACTOR"))</f>
        <v>0</v>
      </c>
      <c r="Q1277" s="126">
        <f>IF(E1277="Y",VLOOKUP(D1277,'Support - Unit Adjustments'!F:G,2,FALSE),0)</f>
        <v>0</v>
      </c>
      <c r="R1277" s="155">
        <f t="shared" si="383"/>
        <v>0</v>
      </c>
      <c r="S1277" s="47">
        <f t="shared" si="382"/>
        <v>0</v>
      </c>
      <c r="T1277" s="151">
        <f t="shared" si="367"/>
        <v>461</v>
      </c>
      <c r="U1277" s="151">
        <f t="shared" si="368"/>
        <v>0</v>
      </c>
      <c r="V1277" s="139">
        <f t="shared" si="369"/>
        <v>0</v>
      </c>
      <c r="W1277" s="152">
        <f t="shared" si="372"/>
        <v>461</v>
      </c>
      <c r="X1277" s="127" t="str">
        <f t="shared" si="370"/>
        <v/>
      </c>
      <c r="Y1277" s="207">
        <f t="shared" si="373"/>
        <v>461</v>
      </c>
      <c r="Z1277" s="139">
        <f t="shared" si="374"/>
        <v>461</v>
      </c>
      <c r="AA1277" s="139">
        <f t="shared" si="375"/>
        <v>0</v>
      </c>
      <c r="AC1277" s="47">
        <f t="shared" si="376"/>
        <v>231</v>
      </c>
      <c r="AD1277" s="47">
        <f t="shared" si="377"/>
        <v>231</v>
      </c>
      <c r="AE1277" s="47">
        <f t="shared" si="378"/>
        <v>0</v>
      </c>
      <c r="AG1277" s="47">
        <f t="shared" si="379"/>
        <v>230</v>
      </c>
      <c r="AH1277" s="47">
        <f t="shared" si="380"/>
        <v>230</v>
      </c>
      <c r="AI1277" s="208">
        <f t="shared" si="381"/>
        <v>0</v>
      </c>
    </row>
    <row r="1278" spans="1:35">
      <c r="A1278" t="s">
        <v>2127</v>
      </c>
      <c r="B1278" t="s">
        <v>3166</v>
      </c>
      <c r="C1278" t="s">
        <v>2687</v>
      </c>
      <c r="D1278" t="s">
        <v>4651</v>
      </c>
      <c r="F1278" t="s">
        <v>976</v>
      </c>
      <c r="G1278" s="126">
        <f>SUMIFS('Support - Transition'!F:F,'Support - Transition'!B:B,'Step 2'!A1278,'Support - Transition'!C:C,'Step 2'!B1278,'Support - Transition'!D:D,'Step 2'!C1278,'Support - Transition'!E:E,"CIVIL")</f>
        <v>0</v>
      </c>
      <c r="H1278" s="126">
        <f>SUMIFS('Support - Transition'!F:F,'Support - Transition'!B:B,'Step 2'!A1278,'Support - Transition'!C:C,'Step 2'!B1278,'Support - Transition'!D:D,'Step 2'!C1278,'Support - Transition'!E:E,"FIRE")</f>
        <v>0</v>
      </c>
      <c r="I1278" s="126">
        <f>IF(B1278="0",SUMIFS('Support - Transition'!F:F,'Support - Transition'!J:J,'Step 2'!D1278,'Support - Transition'!E:E,"STATE UNIT"),SUMIFS('Support - Transition'!F:F,'Support - Transition'!J:J,'Step 2'!D1278))</f>
        <v>1.108E-3</v>
      </c>
      <c r="J1278" s="126">
        <f>SUMIFS('Support - Unit Adjustments'!E:E,'Support - Unit Adjustments'!F:F,'Step 2'!D1278)</f>
        <v>0</v>
      </c>
      <c r="K1278" s="126">
        <f t="shared" si="365"/>
        <v>1.108E-3</v>
      </c>
      <c r="L1278" s="174">
        <f>VLOOKUP(A1278,'Step 1'!$A:$E,4,FALSE)</f>
        <v>615101</v>
      </c>
      <c r="M1278" s="47">
        <f t="shared" si="366"/>
        <v>682</v>
      </c>
      <c r="N1278" s="177">
        <f>SUMIFS('Support - Transition'!G:G,'Support - Transition'!J:J,'Step 2'!D1278,'Support - Transition'!E:E,"2009 WELFARE ALLOCATION FACTOR")</f>
        <v>0</v>
      </c>
      <c r="O1278" s="152">
        <f t="shared" si="371"/>
        <v>0</v>
      </c>
      <c r="P1278" s="126">
        <f>IF(E1278="Y",0,SUMIFS('Support - Transition'!G:G,'Support - Transition'!J:J,'Step 2'!D1278,'Support - Transition'!E:E,"2009 SCHOOL ALLOCATION FACTOR"))</f>
        <v>0</v>
      </c>
      <c r="Q1278" s="126">
        <f>IF(E1278="Y",VLOOKUP(D1278,'Support - Unit Adjustments'!F:G,2,FALSE),0)</f>
        <v>0</v>
      </c>
      <c r="R1278" s="155">
        <f t="shared" si="383"/>
        <v>0</v>
      </c>
      <c r="S1278" s="47">
        <f t="shared" si="382"/>
        <v>0</v>
      </c>
      <c r="T1278" s="151">
        <f t="shared" si="367"/>
        <v>682</v>
      </c>
      <c r="U1278" s="151">
        <f t="shared" si="368"/>
        <v>0</v>
      </c>
      <c r="V1278" s="139">
        <f t="shared" si="369"/>
        <v>0</v>
      </c>
      <c r="W1278" s="152">
        <f t="shared" si="372"/>
        <v>682</v>
      </c>
      <c r="X1278" s="127" t="str">
        <f t="shared" si="370"/>
        <v/>
      </c>
      <c r="Y1278" s="207">
        <f t="shared" si="373"/>
        <v>682</v>
      </c>
      <c r="Z1278" s="139">
        <f t="shared" si="374"/>
        <v>682</v>
      </c>
      <c r="AA1278" s="139">
        <f t="shared" si="375"/>
        <v>0</v>
      </c>
      <c r="AC1278" s="47">
        <f t="shared" si="376"/>
        <v>341</v>
      </c>
      <c r="AD1278" s="47">
        <f t="shared" si="377"/>
        <v>341</v>
      </c>
      <c r="AE1278" s="47">
        <f t="shared" si="378"/>
        <v>0</v>
      </c>
      <c r="AG1278" s="47">
        <f t="shared" si="379"/>
        <v>341</v>
      </c>
      <c r="AH1278" s="47">
        <f t="shared" si="380"/>
        <v>341</v>
      </c>
      <c r="AI1278" s="208">
        <f t="shared" si="381"/>
        <v>0</v>
      </c>
    </row>
    <row r="1279" spans="1:35">
      <c r="A1279" t="s">
        <v>2127</v>
      </c>
      <c r="B1279" t="s">
        <v>3166</v>
      </c>
      <c r="C1279" t="s">
        <v>4652</v>
      </c>
      <c r="D1279" t="s">
        <v>4653</v>
      </c>
      <c r="F1279" t="s">
        <v>977</v>
      </c>
      <c r="G1279" s="126">
        <f>SUMIFS('Support - Transition'!F:F,'Support - Transition'!B:B,'Step 2'!A1279,'Support - Transition'!C:C,'Step 2'!B1279,'Support - Transition'!D:D,'Step 2'!C1279,'Support - Transition'!E:E,"CIVIL")</f>
        <v>0</v>
      </c>
      <c r="H1279" s="126">
        <f>SUMIFS('Support - Transition'!F:F,'Support - Transition'!B:B,'Step 2'!A1279,'Support - Transition'!C:C,'Step 2'!B1279,'Support - Transition'!D:D,'Step 2'!C1279,'Support - Transition'!E:E,"FIRE")</f>
        <v>0</v>
      </c>
      <c r="I1279" s="126">
        <f>IF(B1279="0",SUMIFS('Support - Transition'!F:F,'Support - Transition'!J:J,'Step 2'!D1279,'Support - Transition'!E:E,"STATE UNIT"),SUMIFS('Support - Transition'!F:F,'Support - Transition'!J:J,'Step 2'!D1279))</f>
        <v>1.0956E-2</v>
      </c>
      <c r="J1279" s="126">
        <f>SUMIFS('Support - Unit Adjustments'!E:E,'Support - Unit Adjustments'!F:F,'Step 2'!D1279)</f>
        <v>0</v>
      </c>
      <c r="K1279" s="126">
        <f t="shared" si="365"/>
        <v>1.0956E-2</v>
      </c>
      <c r="L1279" s="174">
        <f>VLOOKUP(A1279,'Step 1'!$A:$E,4,FALSE)</f>
        <v>615101</v>
      </c>
      <c r="M1279" s="47">
        <f t="shared" si="366"/>
        <v>6739</v>
      </c>
      <c r="N1279" s="177">
        <f>SUMIFS('Support - Transition'!G:G,'Support - Transition'!J:J,'Step 2'!D1279,'Support - Transition'!E:E,"2009 WELFARE ALLOCATION FACTOR")</f>
        <v>0</v>
      </c>
      <c r="O1279" s="152">
        <f t="shared" si="371"/>
        <v>0</v>
      </c>
      <c r="P1279" s="126">
        <f>IF(E1279="Y",0,SUMIFS('Support - Transition'!G:G,'Support - Transition'!J:J,'Step 2'!D1279,'Support - Transition'!E:E,"2009 SCHOOL ALLOCATION FACTOR"))</f>
        <v>0</v>
      </c>
      <c r="Q1279" s="126">
        <f>IF(E1279="Y",VLOOKUP(D1279,'Support - Unit Adjustments'!F:G,2,FALSE),0)</f>
        <v>0</v>
      </c>
      <c r="R1279" s="155">
        <f t="shared" si="383"/>
        <v>0</v>
      </c>
      <c r="S1279" s="47">
        <f t="shared" si="382"/>
        <v>0</v>
      </c>
      <c r="T1279" s="151">
        <f t="shared" si="367"/>
        <v>6739</v>
      </c>
      <c r="U1279" s="151">
        <f t="shared" si="368"/>
        <v>0</v>
      </c>
      <c r="V1279" s="139">
        <f t="shared" si="369"/>
        <v>0</v>
      </c>
      <c r="W1279" s="152">
        <f t="shared" si="372"/>
        <v>6739</v>
      </c>
      <c r="X1279" s="127" t="str">
        <f t="shared" si="370"/>
        <v/>
      </c>
      <c r="Y1279" s="207">
        <f t="shared" si="373"/>
        <v>6739</v>
      </c>
      <c r="Z1279" s="139">
        <f t="shared" si="374"/>
        <v>6739</v>
      </c>
      <c r="AA1279" s="139">
        <f t="shared" si="375"/>
        <v>0</v>
      </c>
      <c r="AC1279" s="47">
        <f t="shared" si="376"/>
        <v>3370</v>
      </c>
      <c r="AD1279" s="47">
        <f t="shared" si="377"/>
        <v>3370</v>
      </c>
      <c r="AE1279" s="47">
        <f t="shared" si="378"/>
        <v>0</v>
      </c>
      <c r="AG1279" s="47">
        <f t="shared" si="379"/>
        <v>3369</v>
      </c>
      <c r="AH1279" s="47">
        <f t="shared" si="380"/>
        <v>3369</v>
      </c>
      <c r="AI1279" s="208">
        <f t="shared" si="381"/>
        <v>0</v>
      </c>
    </row>
    <row r="1280" spans="1:35">
      <c r="A1280" t="s">
        <v>2127</v>
      </c>
      <c r="B1280" t="s">
        <v>3166</v>
      </c>
      <c r="C1280" t="s">
        <v>4654</v>
      </c>
      <c r="D1280" t="s">
        <v>4655</v>
      </c>
      <c r="F1280" t="s">
        <v>973</v>
      </c>
      <c r="G1280" s="126">
        <f>SUMIFS('Support - Transition'!F:F,'Support - Transition'!B:B,'Step 2'!A1280,'Support - Transition'!C:C,'Step 2'!B1280,'Support - Transition'!D:D,'Step 2'!C1280,'Support - Transition'!E:E,"CIVIL")</f>
        <v>0</v>
      </c>
      <c r="H1280" s="126">
        <f>SUMIFS('Support - Transition'!F:F,'Support - Transition'!B:B,'Step 2'!A1280,'Support - Transition'!C:C,'Step 2'!B1280,'Support - Transition'!D:D,'Step 2'!C1280,'Support - Transition'!E:E,"FIRE")</f>
        <v>0</v>
      </c>
      <c r="I1280" s="126">
        <f>IF(B1280="0",SUMIFS('Support - Transition'!F:F,'Support - Transition'!J:J,'Step 2'!D1280,'Support - Transition'!E:E,"STATE UNIT"),SUMIFS('Support - Transition'!F:F,'Support - Transition'!J:J,'Step 2'!D1280))</f>
        <v>4.261E-3</v>
      </c>
      <c r="J1280" s="126">
        <f>SUMIFS('Support - Unit Adjustments'!E:E,'Support - Unit Adjustments'!F:F,'Step 2'!D1280)</f>
        <v>0</v>
      </c>
      <c r="K1280" s="126">
        <f t="shared" si="365"/>
        <v>4.261E-3</v>
      </c>
      <c r="L1280" s="174">
        <f>VLOOKUP(A1280,'Step 1'!$A:$E,4,FALSE)</f>
        <v>615101</v>
      </c>
      <c r="M1280" s="47">
        <f t="shared" si="366"/>
        <v>2621</v>
      </c>
      <c r="N1280" s="177">
        <f>SUMIFS('Support - Transition'!G:G,'Support - Transition'!J:J,'Step 2'!D1280,'Support - Transition'!E:E,"2009 WELFARE ALLOCATION FACTOR")</f>
        <v>0</v>
      </c>
      <c r="O1280" s="152">
        <f t="shared" si="371"/>
        <v>0</v>
      </c>
      <c r="P1280" s="126">
        <f>IF(E1280="Y",0,SUMIFS('Support - Transition'!G:G,'Support - Transition'!J:J,'Step 2'!D1280,'Support - Transition'!E:E,"2009 SCHOOL ALLOCATION FACTOR"))</f>
        <v>0</v>
      </c>
      <c r="Q1280" s="126">
        <f>IF(E1280="Y",VLOOKUP(D1280,'Support - Unit Adjustments'!F:G,2,FALSE),0)</f>
        <v>0</v>
      </c>
      <c r="R1280" s="155">
        <f t="shared" si="383"/>
        <v>0</v>
      </c>
      <c r="S1280" s="47">
        <f t="shared" si="382"/>
        <v>0</v>
      </c>
      <c r="T1280" s="151">
        <f t="shared" si="367"/>
        <v>2621</v>
      </c>
      <c r="U1280" s="151">
        <f t="shared" si="368"/>
        <v>0</v>
      </c>
      <c r="V1280" s="139">
        <f t="shared" si="369"/>
        <v>0</v>
      </c>
      <c r="W1280" s="152">
        <f t="shared" si="372"/>
        <v>2621</v>
      </c>
      <c r="X1280" s="127" t="str">
        <f t="shared" si="370"/>
        <v/>
      </c>
      <c r="Y1280" s="207">
        <f t="shared" si="373"/>
        <v>2621</v>
      </c>
      <c r="Z1280" s="139">
        <f t="shared" si="374"/>
        <v>2621</v>
      </c>
      <c r="AA1280" s="139">
        <f t="shared" si="375"/>
        <v>0</v>
      </c>
      <c r="AC1280" s="47">
        <f t="shared" si="376"/>
        <v>1311</v>
      </c>
      <c r="AD1280" s="47">
        <f t="shared" si="377"/>
        <v>1311</v>
      </c>
      <c r="AE1280" s="47">
        <f t="shared" si="378"/>
        <v>0</v>
      </c>
      <c r="AG1280" s="47">
        <f t="shared" si="379"/>
        <v>1310</v>
      </c>
      <c r="AH1280" s="47">
        <f t="shared" si="380"/>
        <v>1310</v>
      </c>
      <c r="AI1280" s="208">
        <f t="shared" si="381"/>
        <v>0</v>
      </c>
    </row>
    <row r="1281" spans="1:35">
      <c r="A1281" t="s">
        <v>2127</v>
      </c>
      <c r="B1281" t="s">
        <v>3166</v>
      </c>
      <c r="C1281" t="s">
        <v>2688</v>
      </c>
      <c r="D1281" t="s">
        <v>4656</v>
      </c>
      <c r="F1281" t="s">
        <v>4657</v>
      </c>
      <c r="G1281" s="126">
        <f>SUMIFS('Support - Transition'!F:F,'Support - Transition'!B:B,'Step 2'!A1281,'Support - Transition'!C:C,'Step 2'!B1281,'Support - Transition'!D:D,'Step 2'!C1281,'Support - Transition'!E:E,"CIVIL")</f>
        <v>0</v>
      </c>
      <c r="H1281" s="126">
        <f>SUMIFS('Support - Transition'!F:F,'Support - Transition'!B:B,'Step 2'!A1281,'Support - Transition'!C:C,'Step 2'!B1281,'Support - Transition'!D:D,'Step 2'!C1281,'Support - Transition'!E:E,"FIRE")</f>
        <v>0</v>
      </c>
      <c r="I1281" s="126">
        <f>IF(B1281="0",SUMIFS('Support - Transition'!F:F,'Support - Transition'!J:J,'Step 2'!D1281,'Support - Transition'!E:E,"STATE UNIT"),SUMIFS('Support - Transition'!F:F,'Support - Transition'!J:J,'Step 2'!D1281))</f>
        <v>0</v>
      </c>
      <c r="J1281" s="126">
        <f>SUMIFS('Support - Unit Adjustments'!E:E,'Support - Unit Adjustments'!F:F,'Step 2'!D1281)</f>
        <v>0</v>
      </c>
      <c r="K1281" s="126">
        <f t="shared" si="365"/>
        <v>0</v>
      </c>
      <c r="L1281" s="174">
        <f>VLOOKUP(A1281,'Step 1'!$A:$E,4,FALSE)</f>
        <v>615101</v>
      </c>
      <c r="M1281" s="47">
        <f t="shared" si="366"/>
        <v>0</v>
      </c>
      <c r="N1281" s="177">
        <f>SUMIFS('Support - Transition'!G:G,'Support - Transition'!J:J,'Step 2'!D1281,'Support - Transition'!E:E,"2009 WELFARE ALLOCATION FACTOR")</f>
        <v>0</v>
      </c>
      <c r="O1281" s="152">
        <f t="shared" si="371"/>
        <v>0</v>
      </c>
      <c r="P1281" s="126">
        <f>IF(E1281="Y",0,SUMIFS('Support - Transition'!G:G,'Support - Transition'!J:J,'Step 2'!D1281,'Support - Transition'!E:E,"2009 SCHOOL ALLOCATION FACTOR"))</f>
        <v>0</v>
      </c>
      <c r="Q1281" s="126">
        <f>IF(E1281="Y",VLOOKUP(D1281,'Support - Unit Adjustments'!F:G,2,FALSE),0)</f>
        <v>0</v>
      </c>
      <c r="R1281" s="155">
        <f t="shared" si="383"/>
        <v>0</v>
      </c>
      <c r="S1281" s="47">
        <f t="shared" si="382"/>
        <v>0</v>
      </c>
      <c r="T1281" s="151">
        <f t="shared" si="367"/>
        <v>0</v>
      </c>
      <c r="U1281" s="151">
        <f t="shared" si="368"/>
        <v>0</v>
      </c>
      <c r="V1281" s="139">
        <f t="shared" si="369"/>
        <v>0</v>
      </c>
      <c r="W1281" s="152">
        <f t="shared" si="372"/>
        <v>0</v>
      </c>
      <c r="X1281" s="127" t="str">
        <f t="shared" si="370"/>
        <v/>
      </c>
      <c r="Y1281" s="207">
        <f t="shared" si="373"/>
        <v>0</v>
      </c>
      <c r="Z1281" s="139">
        <f t="shared" si="374"/>
        <v>0</v>
      </c>
      <c r="AA1281" s="139">
        <f t="shared" si="375"/>
        <v>0</v>
      </c>
      <c r="AC1281" s="47">
        <f t="shared" si="376"/>
        <v>0</v>
      </c>
      <c r="AD1281" s="47">
        <f t="shared" si="377"/>
        <v>0</v>
      </c>
      <c r="AE1281" s="47">
        <f t="shared" si="378"/>
        <v>0</v>
      </c>
      <c r="AG1281" s="47">
        <f t="shared" si="379"/>
        <v>0</v>
      </c>
      <c r="AH1281" s="47">
        <f t="shared" si="380"/>
        <v>0</v>
      </c>
      <c r="AI1281" s="208">
        <f t="shared" si="381"/>
        <v>0</v>
      </c>
    </row>
    <row r="1282" spans="1:35">
      <c r="A1282" t="s">
        <v>2127</v>
      </c>
      <c r="B1282" t="s">
        <v>3170</v>
      </c>
      <c r="C1282" t="s">
        <v>4658</v>
      </c>
      <c r="D1282" t="s">
        <v>4659</v>
      </c>
      <c r="F1282" t="s">
        <v>978</v>
      </c>
      <c r="G1282" s="126">
        <f>SUMIFS('Support - Transition'!F:F,'Support - Transition'!B:B,'Step 2'!A1282,'Support - Transition'!C:C,'Step 2'!B1282,'Support - Transition'!D:D,'Step 2'!C1282,'Support - Transition'!E:E,"CIVIL")</f>
        <v>0</v>
      </c>
      <c r="H1282" s="126">
        <f>SUMIFS('Support - Transition'!F:F,'Support - Transition'!B:B,'Step 2'!A1282,'Support - Transition'!C:C,'Step 2'!B1282,'Support - Transition'!D:D,'Step 2'!C1282,'Support - Transition'!E:E,"FIRE")</f>
        <v>0</v>
      </c>
      <c r="I1282" s="126">
        <f>IF(B1282="0",SUMIFS('Support - Transition'!F:F,'Support - Transition'!J:J,'Step 2'!D1282,'Support - Transition'!E:E,"STATE UNIT"),SUMIFS('Support - Transition'!F:F,'Support - Transition'!J:J,'Step 2'!D1282))</f>
        <v>9.7900000000017418E-4</v>
      </c>
      <c r="J1282" s="126">
        <f>SUMIFS('Support - Unit Adjustments'!E:E,'Support - Unit Adjustments'!F:F,'Step 2'!D1282)</f>
        <v>0</v>
      </c>
      <c r="K1282" s="126">
        <f t="shared" ref="K1282:K1345" si="384">+I1282+J1282</f>
        <v>9.7900000000017418E-4</v>
      </c>
      <c r="L1282" s="174">
        <f>VLOOKUP(A1282,'Step 1'!$A:$E,4,FALSE)</f>
        <v>615101</v>
      </c>
      <c r="M1282" s="47">
        <f t="shared" ref="M1282:M1345" si="385">ROUND(+K1282*L1282,0)</f>
        <v>602</v>
      </c>
      <c r="N1282" s="177">
        <f>SUMIFS('Support - Transition'!G:G,'Support - Transition'!J:J,'Step 2'!D1282,'Support - Transition'!E:E,"2009 WELFARE ALLOCATION FACTOR")</f>
        <v>0</v>
      </c>
      <c r="O1282" s="152">
        <f t="shared" si="371"/>
        <v>0</v>
      </c>
      <c r="P1282" s="126">
        <f>IF(E1282="Y",0,SUMIFS('Support - Transition'!G:G,'Support - Transition'!J:J,'Step 2'!D1282,'Support - Transition'!E:E,"2009 SCHOOL ALLOCATION FACTOR"))</f>
        <v>0</v>
      </c>
      <c r="Q1282" s="126">
        <f>IF(E1282="Y",VLOOKUP(D1282,'Support - Unit Adjustments'!F:G,2,FALSE),0)</f>
        <v>0</v>
      </c>
      <c r="R1282" s="155">
        <f t="shared" si="383"/>
        <v>0</v>
      </c>
      <c r="S1282" s="47">
        <f t="shared" si="382"/>
        <v>0</v>
      </c>
      <c r="T1282" s="151">
        <f t="shared" ref="T1282:T1345" si="386">ROUND(+M1282-O1282-S1282,2)</f>
        <v>602</v>
      </c>
      <c r="U1282" s="151">
        <f t="shared" ref="U1282:U1345" si="387">IF(B1282="0",SUMIFS(O:O,A:A,A1282)+SUMIFS(S:S,A:A,A1282)+SUMIFS(T:T,A:A,A1282),0)</f>
        <v>0</v>
      </c>
      <c r="V1282" s="139">
        <f t="shared" ref="V1282:V1345" si="388">IF(B1282="0",U1282-L1282,0)</f>
        <v>0</v>
      </c>
      <c r="W1282" s="152">
        <f t="shared" si="372"/>
        <v>602</v>
      </c>
      <c r="X1282" s="127" t="str">
        <f t="shared" ref="X1282:X1345" si="389">IF(B1282="0",SUMIFS(O:O,A:A,A1282)+SUMIFS(S:S,A:A,A1282)+SUMIFS(W:W,A:A,A1282)-L1282,"")</f>
        <v/>
      </c>
      <c r="Y1282" s="207">
        <f t="shared" si="373"/>
        <v>602</v>
      </c>
      <c r="Z1282" s="139">
        <f t="shared" si="374"/>
        <v>602</v>
      </c>
      <c r="AA1282" s="139">
        <f t="shared" si="375"/>
        <v>0</v>
      </c>
      <c r="AC1282" s="47">
        <f t="shared" si="376"/>
        <v>301</v>
      </c>
      <c r="AD1282" s="47">
        <f t="shared" si="377"/>
        <v>301</v>
      </c>
      <c r="AE1282" s="47">
        <f t="shared" si="378"/>
        <v>0</v>
      </c>
      <c r="AG1282" s="47">
        <f t="shared" si="379"/>
        <v>301</v>
      </c>
      <c r="AH1282" s="47">
        <f t="shared" si="380"/>
        <v>301</v>
      </c>
      <c r="AI1282" s="208">
        <f t="shared" si="381"/>
        <v>0</v>
      </c>
    </row>
    <row r="1283" spans="1:35">
      <c r="A1283" t="s">
        <v>2127</v>
      </c>
      <c r="B1283" t="s">
        <v>3286</v>
      </c>
      <c r="C1283" t="s">
        <v>2420</v>
      </c>
      <c r="D1283" t="s">
        <v>4660</v>
      </c>
      <c r="F1283" t="s">
        <v>4661</v>
      </c>
      <c r="G1283" s="126">
        <f>SUMIFS('Support - Transition'!F:F,'Support - Transition'!B:B,'Step 2'!A1283,'Support - Transition'!C:C,'Step 2'!B1283,'Support - Transition'!D:D,'Step 2'!C1283,'Support - Transition'!E:E,"CIVIL")</f>
        <v>0</v>
      </c>
      <c r="H1283" s="126">
        <f>SUMIFS('Support - Transition'!F:F,'Support - Transition'!B:B,'Step 2'!A1283,'Support - Transition'!C:C,'Step 2'!B1283,'Support - Transition'!D:D,'Step 2'!C1283,'Support - Transition'!E:E,"FIRE")</f>
        <v>0</v>
      </c>
      <c r="I1283" s="126">
        <f>IF(B1283="0",SUMIFS('Support - Transition'!F:F,'Support - Transition'!J:J,'Step 2'!D1283,'Support - Transition'!E:E,"STATE UNIT"),SUMIFS('Support - Transition'!F:F,'Support - Transition'!J:J,'Step 2'!D1283))</f>
        <v>0</v>
      </c>
      <c r="J1283" s="126">
        <f>SUMIFS('Support - Unit Adjustments'!E:E,'Support - Unit Adjustments'!F:F,'Step 2'!D1283)</f>
        <v>0</v>
      </c>
      <c r="K1283" s="126">
        <f t="shared" si="384"/>
        <v>0</v>
      </c>
      <c r="L1283" s="174">
        <f>VLOOKUP(A1283,'Step 1'!$A:$E,4,FALSE)</f>
        <v>615101</v>
      </c>
      <c r="M1283" s="47">
        <f t="shared" si="385"/>
        <v>0</v>
      </c>
      <c r="N1283" s="177">
        <f>SUMIFS('Support - Transition'!G:G,'Support - Transition'!J:J,'Step 2'!D1283,'Support - Transition'!E:E,"2009 WELFARE ALLOCATION FACTOR")</f>
        <v>0</v>
      </c>
      <c r="O1283" s="152">
        <f t="shared" ref="O1283:O1346" si="390">ROUND(+N1283*M1283,0)</f>
        <v>0</v>
      </c>
      <c r="P1283" s="126">
        <f>IF(E1283="Y",0,SUMIFS('Support - Transition'!G:G,'Support - Transition'!J:J,'Step 2'!D1283,'Support - Transition'!E:E,"2009 SCHOOL ALLOCATION FACTOR"))</f>
        <v>0</v>
      </c>
      <c r="Q1283" s="126">
        <f>IF(E1283="Y",VLOOKUP(D1283,'Support - Unit Adjustments'!F:G,2,FALSE),0)</f>
        <v>0</v>
      </c>
      <c r="R1283" s="155">
        <f t="shared" si="383"/>
        <v>0</v>
      </c>
      <c r="S1283" s="47">
        <f t="shared" si="382"/>
        <v>0</v>
      </c>
      <c r="T1283" s="151">
        <f t="shared" si="386"/>
        <v>0</v>
      </c>
      <c r="U1283" s="151">
        <f t="shared" si="387"/>
        <v>0</v>
      </c>
      <c r="V1283" s="139">
        <f t="shared" si="388"/>
        <v>0</v>
      </c>
      <c r="W1283" s="152">
        <f t="shared" ref="W1283:W1346" si="391">+T1283-V1283</f>
        <v>0</v>
      </c>
      <c r="X1283" s="127" t="str">
        <f t="shared" si="389"/>
        <v/>
      </c>
      <c r="Y1283" s="207">
        <f t="shared" ref="Y1283:Y1346" si="392">W1283</f>
        <v>0</v>
      </c>
      <c r="Z1283" s="139">
        <f t="shared" ref="Z1283:Z1346" si="393">IFERROR(IF(B1283="2",ROUND(Y1283*G1283/I1283,0),Y1283),0)</f>
        <v>0</v>
      </c>
      <c r="AA1283" s="139">
        <f t="shared" ref="AA1283:AA1346" si="394">+Y1283-Z1283</f>
        <v>0</v>
      </c>
      <c r="AC1283" s="47">
        <f t="shared" ref="AC1283:AC1346" si="395">ROUND(Y1283/2,0)</f>
        <v>0</v>
      </c>
      <c r="AD1283" s="47">
        <f t="shared" ref="AD1283:AD1346" si="396">ROUND(Z1283/2,0)</f>
        <v>0</v>
      </c>
      <c r="AE1283" s="47">
        <f t="shared" ref="AE1283:AE1346" si="397">ROUND(AA1283/2,0)</f>
        <v>0</v>
      </c>
      <c r="AG1283" s="47">
        <f t="shared" ref="AG1283:AG1346" si="398">+Y1283-AC1283</f>
        <v>0</v>
      </c>
      <c r="AH1283" s="47">
        <f t="shared" ref="AH1283:AH1346" si="399">+Z1283-AD1283</f>
        <v>0</v>
      </c>
      <c r="AI1283" s="208">
        <f t="shared" ref="AI1283:AI1346" si="400">+AA1283-AE1283</f>
        <v>0</v>
      </c>
    </row>
    <row r="1284" spans="1:35">
      <c r="A1284" t="s">
        <v>2128</v>
      </c>
      <c r="B1284" s="48" t="s">
        <v>6274</v>
      </c>
      <c r="C1284" t="s">
        <v>2187</v>
      </c>
      <c r="D1284" t="str">
        <f>A1284&amp;B1284&amp;C1284</f>
        <v>4400000</v>
      </c>
      <c r="F1284" t="s">
        <v>6318</v>
      </c>
      <c r="G1284" s="126">
        <f>SUMIFS('Support - Transition'!F:F,'Support - Transition'!B:B,'Step 2'!A1284,'Support - Transition'!C:C,'Step 2'!B1284,'Support - Transition'!D:D,'Step 2'!C1284,'Support - Transition'!E:E,"CIVIL")</f>
        <v>0</v>
      </c>
      <c r="H1284" s="126">
        <f>SUMIFS('Support - Transition'!F:F,'Support - Transition'!B:B,'Step 2'!A1284,'Support - Transition'!C:C,'Step 2'!B1284,'Support - Transition'!D:D,'Step 2'!C1284,'Support - Transition'!E:E,"FIRE")</f>
        <v>0</v>
      </c>
      <c r="I1284" s="126">
        <f>IF(B1284="0",SUMIFS('Support - Transition'!F:F,'Support - Transition'!J:J,'Step 2'!D1284,'Support - Transition'!E:E,"STATE UNIT"),SUMIFS('Support - Transition'!F:F,'Support - Transition'!J:J,'Step 2'!D1284))</f>
        <v>1.3910000000000001E-3</v>
      </c>
      <c r="J1284" s="126">
        <f>SUMIFS('Support - Unit Adjustments'!E:E,'Support - Unit Adjustments'!F:F,'Step 2'!D1284)</f>
        <v>0</v>
      </c>
      <c r="K1284" s="126">
        <f t="shared" si="384"/>
        <v>1.3910000000000001E-3</v>
      </c>
      <c r="L1284" s="174">
        <f>VLOOKUP(A1284,'Step 1'!$A:$E,4,FALSE)</f>
        <v>231283</v>
      </c>
      <c r="M1284" s="47">
        <f t="shared" si="385"/>
        <v>322</v>
      </c>
      <c r="N1284" s="177">
        <f>SUMIFS('Support - Transition'!G:G,'Support - Transition'!J:J,'Step 2'!D1284,'Support - Transition'!E:E,"2009 WELFARE ALLOCATION FACTOR")</f>
        <v>0</v>
      </c>
      <c r="O1284" s="152">
        <f t="shared" si="390"/>
        <v>0</v>
      </c>
      <c r="P1284" s="126">
        <f>IF(E1284="Y",0,SUMIFS('Support - Transition'!G:G,'Support - Transition'!J:J,'Step 2'!D1284,'Support - Transition'!E:E,"2009 SCHOOL ALLOCATION FACTOR"))</f>
        <v>0</v>
      </c>
      <c r="Q1284" s="126">
        <f>IF(E1284="Y",VLOOKUP(D1284,'Support - Unit Adjustments'!F:G,2,FALSE),0)</f>
        <v>0</v>
      </c>
      <c r="R1284" s="155">
        <f t="shared" si="383"/>
        <v>0</v>
      </c>
      <c r="S1284" s="47">
        <f t="shared" si="382"/>
        <v>0</v>
      </c>
      <c r="T1284" s="151">
        <f t="shared" si="386"/>
        <v>322</v>
      </c>
      <c r="U1284" s="151">
        <f t="shared" si="387"/>
        <v>231284</v>
      </c>
      <c r="V1284" s="139">
        <f t="shared" si="388"/>
        <v>1</v>
      </c>
      <c r="W1284" s="152">
        <f t="shared" si="391"/>
        <v>321</v>
      </c>
      <c r="X1284" s="127">
        <f t="shared" si="389"/>
        <v>0</v>
      </c>
      <c r="Y1284" s="207">
        <f t="shared" si="392"/>
        <v>321</v>
      </c>
      <c r="Z1284" s="139">
        <f t="shared" si="393"/>
        <v>321</v>
      </c>
      <c r="AA1284" s="139">
        <f t="shared" si="394"/>
        <v>0</v>
      </c>
      <c r="AC1284" s="47">
        <f t="shared" si="395"/>
        <v>161</v>
      </c>
      <c r="AD1284" s="47">
        <f t="shared" si="396"/>
        <v>161</v>
      </c>
      <c r="AE1284" s="47">
        <f t="shared" si="397"/>
        <v>0</v>
      </c>
      <c r="AG1284" s="47">
        <f t="shared" si="398"/>
        <v>160</v>
      </c>
      <c r="AH1284" s="47">
        <f t="shared" si="399"/>
        <v>160</v>
      </c>
      <c r="AI1284" s="208">
        <f t="shared" si="400"/>
        <v>0</v>
      </c>
    </row>
    <row r="1285" spans="1:35">
      <c r="A1285" t="s">
        <v>2128</v>
      </c>
      <c r="B1285" t="s">
        <v>3140</v>
      </c>
      <c r="C1285" t="s">
        <v>2187</v>
      </c>
      <c r="D1285" t="s">
        <v>4662</v>
      </c>
      <c r="F1285" t="s">
        <v>980</v>
      </c>
      <c r="G1285" s="126">
        <f>SUMIFS('Support - Transition'!F:F,'Support - Transition'!B:B,'Step 2'!A1285,'Support - Transition'!C:C,'Step 2'!B1285,'Support - Transition'!D:D,'Step 2'!C1285,'Support - Transition'!E:E,"CIVIL")</f>
        <v>0</v>
      </c>
      <c r="H1285" s="126">
        <f>SUMIFS('Support - Transition'!F:F,'Support - Transition'!B:B,'Step 2'!A1285,'Support - Transition'!C:C,'Step 2'!B1285,'Support - Transition'!D:D,'Step 2'!C1285,'Support - Transition'!E:E,"FIRE")</f>
        <v>0</v>
      </c>
      <c r="I1285" s="126">
        <f>IF(B1285="0",SUMIFS('Support - Transition'!F:F,'Support - Transition'!J:J,'Step 2'!D1285,'Support - Transition'!E:E,"STATE UNIT"),SUMIFS('Support - Transition'!F:F,'Support - Transition'!J:J,'Step 2'!D1285))</f>
        <v>0.21502399999999999</v>
      </c>
      <c r="J1285" s="126">
        <f>SUMIFS('Support - Unit Adjustments'!E:E,'Support - Unit Adjustments'!F:F,'Step 2'!D1285)</f>
        <v>0</v>
      </c>
      <c r="K1285" s="126">
        <f t="shared" si="384"/>
        <v>0.21502399999999999</v>
      </c>
      <c r="L1285" s="174">
        <f>VLOOKUP(A1285,'Step 1'!$A:$E,4,FALSE)</f>
        <v>231283</v>
      </c>
      <c r="M1285" s="47">
        <f t="shared" si="385"/>
        <v>49731</v>
      </c>
      <c r="N1285" s="177">
        <f>SUMIFS('Support - Transition'!G:G,'Support - Transition'!J:J,'Step 2'!D1285,'Support - Transition'!E:E,"2009 WELFARE ALLOCATION FACTOR")</f>
        <v>0.24280599999999999</v>
      </c>
      <c r="O1285" s="152">
        <f t="shared" si="390"/>
        <v>12075</v>
      </c>
      <c r="P1285" s="126">
        <f>IF(E1285="Y",0,SUMIFS('Support - Transition'!G:G,'Support - Transition'!J:J,'Step 2'!D1285,'Support - Transition'!E:E,"2009 SCHOOL ALLOCATION FACTOR"))</f>
        <v>0</v>
      </c>
      <c r="Q1285" s="126">
        <f>IF(E1285="Y",VLOOKUP(D1285,'Support - Unit Adjustments'!F:G,2,FALSE),0)</f>
        <v>0</v>
      </c>
      <c r="R1285" s="155">
        <f t="shared" si="383"/>
        <v>0</v>
      </c>
      <c r="S1285" s="47">
        <f t="shared" si="382"/>
        <v>0</v>
      </c>
      <c r="T1285" s="151">
        <f t="shared" si="386"/>
        <v>37656</v>
      </c>
      <c r="U1285" s="151">
        <f t="shared" si="387"/>
        <v>0</v>
      </c>
      <c r="V1285" s="139">
        <f t="shared" si="388"/>
        <v>0</v>
      </c>
      <c r="W1285" s="152">
        <f t="shared" si="391"/>
        <v>37656</v>
      </c>
      <c r="X1285" s="127" t="str">
        <f t="shared" si="389"/>
        <v/>
      </c>
      <c r="Y1285" s="207">
        <f t="shared" si="392"/>
        <v>37656</v>
      </c>
      <c r="Z1285" s="139">
        <f t="shared" si="393"/>
        <v>37656</v>
      </c>
      <c r="AA1285" s="139">
        <f t="shared" si="394"/>
        <v>0</v>
      </c>
      <c r="AC1285" s="47">
        <f t="shared" si="395"/>
        <v>18828</v>
      </c>
      <c r="AD1285" s="47">
        <f t="shared" si="396"/>
        <v>18828</v>
      </c>
      <c r="AE1285" s="47">
        <f t="shared" si="397"/>
        <v>0</v>
      </c>
      <c r="AG1285" s="47">
        <f t="shared" si="398"/>
        <v>18828</v>
      </c>
      <c r="AH1285" s="47">
        <f t="shared" si="399"/>
        <v>18828</v>
      </c>
      <c r="AI1285" s="208">
        <f t="shared" si="400"/>
        <v>0</v>
      </c>
    </row>
    <row r="1286" spans="1:35">
      <c r="A1286" t="s">
        <v>2128</v>
      </c>
      <c r="B1286" t="s">
        <v>3142</v>
      </c>
      <c r="C1286" t="s">
        <v>2188</v>
      </c>
      <c r="D1286" t="s">
        <v>4663</v>
      </c>
      <c r="F1286" t="s">
        <v>981</v>
      </c>
      <c r="G1286" s="126">
        <f>SUMIFS('Support - Transition'!F:F,'Support - Transition'!B:B,'Step 2'!A1286,'Support - Transition'!C:C,'Step 2'!B1286,'Support - Transition'!D:D,'Step 2'!C1286,'Support - Transition'!E:E,"CIVIL")</f>
        <v>3.7000000000000002E-3</v>
      </c>
      <c r="H1286" s="126">
        <f>SUMIFS('Support - Transition'!F:F,'Support - Transition'!B:B,'Step 2'!A1286,'Support - Transition'!C:C,'Step 2'!B1286,'Support - Transition'!D:D,'Step 2'!C1286,'Support - Transition'!E:E,"FIRE")</f>
        <v>3.1100000000000002E-4</v>
      </c>
      <c r="I1286" s="126">
        <f>IF(B1286="0",SUMIFS('Support - Transition'!F:F,'Support - Transition'!J:J,'Step 2'!D1286,'Support - Transition'!E:E,"STATE UNIT"),SUMIFS('Support - Transition'!F:F,'Support - Transition'!J:J,'Step 2'!D1286))</f>
        <v>4.0109999999999998E-3</v>
      </c>
      <c r="J1286" s="126">
        <f>SUMIFS('Support - Unit Adjustments'!E:E,'Support - Unit Adjustments'!F:F,'Step 2'!D1286)</f>
        <v>0</v>
      </c>
      <c r="K1286" s="126">
        <f t="shared" si="384"/>
        <v>4.0109999999999998E-3</v>
      </c>
      <c r="L1286" s="174">
        <f>VLOOKUP(A1286,'Step 1'!$A:$E,4,FALSE)</f>
        <v>231283</v>
      </c>
      <c r="M1286" s="47">
        <f t="shared" si="385"/>
        <v>928</v>
      </c>
      <c r="N1286" s="177">
        <f>SUMIFS('Support - Transition'!G:G,'Support - Transition'!J:J,'Step 2'!D1286,'Support - Transition'!E:E,"2009 WELFARE ALLOCATION FACTOR")</f>
        <v>0</v>
      </c>
      <c r="O1286" s="152">
        <f t="shared" si="390"/>
        <v>0</v>
      </c>
      <c r="P1286" s="126">
        <f>IF(E1286="Y",0,SUMIFS('Support - Transition'!G:G,'Support - Transition'!J:J,'Step 2'!D1286,'Support - Transition'!E:E,"2009 SCHOOL ALLOCATION FACTOR"))</f>
        <v>0</v>
      </c>
      <c r="Q1286" s="126">
        <f>IF(E1286="Y",VLOOKUP(D1286,'Support - Unit Adjustments'!F:G,2,FALSE),0)</f>
        <v>0</v>
      </c>
      <c r="R1286" s="155">
        <f t="shared" si="383"/>
        <v>0</v>
      </c>
      <c r="S1286" s="47">
        <f t="shared" si="382"/>
        <v>0</v>
      </c>
      <c r="T1286" s="151">
        <f t="shared" si="386"/>
        <v>928</v>
      </c>
      <c r="U1286" s="151">
        <f t="shared" si="387"/>
        <v>0</v>
      </c>
      <c r="V1286" s="139">
        <f t="shared" si="388"/>
        <v>0</v>
      </c>
      <c r="W1286" s="152">
        <f t="shared" si="391"/>
        <v>928</v>
      </c>
      <c r="X1286" s="127" t="str">
        <f t="shared" si="389"/>
        <v/>
      </c>
      <c r="Y1286" s="207">
        <f t="shared" si="392"/>
        <v>928</v>
      </c>
      <c r="Z1286" s="139">
        <f t="shared" si="393"/>
        <v>856</v>
      </c>
      <c r="AA1286" s="139">
        <f t="shared" si="394"/>
        <v>72</v>
      </c>
      <c r="AC1286" s="47">
        <f t="shared" si="395"/>
        <v>464</v>
      </c>
      <c r="AD1286" s="47">
        <f t="shared" si="396"/>
        <v>428</v>
      </c>
      <c r="AE1286" s="47">
        <f t="shared" si="397"/>
        <v>36</v>
      </c>
      <c r="AG1286" s="47">
        <f t="shared" si="398"/>
        <v>464</v>
      </c>
      <c r="AH1286" s="47">
        <f t="shared" si="399"/>
        <v>428</v>
      </c>
      <c r="AI1286" s="208">
        <f t="shared" si="400"/>
        <v>36</v>
      </c>
    </row>
    <row r="1287" spans="1:35">
      <c r="A1287" t="s">
        <v>2128</v>
      </c>
      <c r="B1287" t="s">
        <v>3142</v>
      </c>
      <c r="C1287" t="s">
        <v>2189</v>
      </c>
      <c r="D1287" t="s">
        <v>4664</v>
      </c>
      <c r="F1287" t="s">
        <v>81</v>
      </c>
      <c r="G1287" s="126">
        <f>SUMIFS('Support - Transition'!F:F,'Support - Transition'!B:B,'Step 2'!A1287,'Support - Transition'!C:C,'Step 2'!B1287,'Support - Transition'!D:D,'Step 2'!C1287,'Support - Transition'!E:E,"CIVIL")</f>
        <v>2.4120000000000001E-3</v>
      </c>
      <c r="H1287" s="126">
        <f>SUMIFS('Support - Transition'!F:F,'Support - Transition'!B:B,'Step 2'!A1287,'Support - Transition'!C:C,'Step 2'!B1287,'Support - Transition'!D:D,'Step 2'!C1287,'Support - Transition'!E:E,"FIRE")</f>
        <v>1.639E-3</v>
      </c>
      <c r="I1287" s="126">
        <f>IF(B1287="0",SUMIFS('Support - Transition'!F:F,'Support - Transition'!J:J,'Step 2'!D1287,'Support - Transition'!E:E,"STATE UNIT"),SUMIFS('Support - Transition'!F:F,'Support - Transition'!J:J,'Step 2'!D1287))</f>
        <v>4.0509999999999999E-3</v>
      </c>
      <c r="J1287" s="126">
        <f>SUMIFS('Support - Unit Adjustments'!E:E,'Support - Unit Adjustments'!F:F,'Step 2'!D1287)</f>
        <v>0</v>
      </c>
      <c r="K1287" s="126">
        <f t="shared" si="384"/>
        <v>4.0509999999999999E-3</v>
      </c>
      <c r="L1287" s="174">
        <f>VLOOKUP(A1287,'Step 1'!$A:$E,4,FALSE)</f>
        <v>231283</v>
      </c>
      <c r="M1287" s="47">
        <f t="shared" si="385"/>
        <v>937</v>
      </c>
      <c r="N1287" s="177">
        <f>SUMIFS('Support - Transition'!G:G,'Support - Transition'!J:J,'Step 2'!D1287,'Support - Transition'!E:E,"2009 WELFARE ALLOCATION FACTOR")</f>
        <v>0</v>
      </c>
      <c r="O1287" s="152">
        <f t="shared" si="390"/>
        <v>0</v>
      </c>
      <c r="P1287" s="126">
        <f>IF(E1287="Y",0,SUMIFS('Support - Transition'!G:G,'Support - Transition'!J:J,'Step 2'!D1287,'Support - Transition'!E:E,"2009 SCHOOL ALLOCATION FACTOR"))</f>
        <v>0</v>
      </c>
      <c r="Q1287" s="126">
        <f>IF(E1287="Y",VLOOKUP(D1287,'Support - Unit Adjustments'!F:G,2,FALSE),0)</f>
        <v>0</v>
      </c>
      <c r="R1287" s="155">
        <f t="shared" si="383"/>
        <v>0</v>
      </c>
      <c r="S1287" s="47">
        <f t="shared" si="382"/>
        <v>0</v>
      </c>
      <c r="T1287" s="151">
        <f t="shared" si="386"/>
        <v>937</v>
      </c>
      <c r="U1287" s="151">
        <f t="shared" si="387"/>
        <v>0</v>
      </c>
      <c r="V1287" s="139">
        <f t="shared" si="388"/>
        <v>0</v>
      </c>
      <c r="W1287" s="152">
        <f t="shared" si="391"/>
        <v>937</v>
      </c>
      <c r="X1287" s="127" t="str">
        <f t="shared" si="389"/>
        <v/>
      </c>
      <c r="Y1287" s="207">
        <f t="shared" si="392"/>
        <v>937</v>
      </c>
      <c r="Z1287" s="139">
        <f t="shared" si="393"/>
        <v>558</v>
      </c>
      <c r="AA1287" s="139">
        <f t="shared" si="394"/>
        <v>379</v>
      </c>
      <c r="AC1287" s="47">
        <f t="shared" si="395"/>
        <v>469</v>
      </c>
      <c r="AD1287" s="47">
        <f t="shared" si="396"/>
        <v>279</v>
      </c>
      <c r="AE1287" s="47">
        <f t="shared" si="397"/>
        <v>190</v>
      </c>
      <c r="AG1287" s="47">
        <f t="shared" si="398"/>
        <v>468</v>
      </c>
      <c r="AH1287" s="47">
        <f t="shared" si="399"/>
        <v>279</v>
      </c>
      <c r="AI1287" s="208">
        <f t="shared" si="400"/>
        <v>189</v>
      </c>
    </row>
    <row r="1288" spans="1:35">
      <c r="A1288" t="s">
        <v>2128</v>
      </c>
      <c r="B1288" t="s">
        <v>3142</v>
      </c>
      <c r="C1288" t="s">
        <v>2190</v>
      </c>
      <c r="D1288" t="s">
        <v>4665</v>
      </c>
      <c r="F1288" t="s">
        <v>982</v>
      </c>
      <c r="G1288" s="126">
        <f>SUMIFS('Support - Transition'!F:F,'Support - Transition'!B:B,'Step 2'!A1288,'Support - Transition'!C:C,'Step 2'!B1288,'Support - Transition'!D:D,'Step 2'!C1288,'Support - Transition'!E:E,"CIVIL")</f>
        <v>3.2699999999999998E-4</v>
      </c>
      <c r="H1288" s="126">
        <f>SUMIFS('Support - Transition'!F:F,'Support - Transition'!B:B,'Step 2'!A1288,'Support - Transition'!C:C,'Step 2'!B1288,'Support - Transition'!D:D,'Step 2'!C1288,'Support - Transition'!E:E,"FIRE")</f>
        <v>1.1E-4</v>
      </c>
      <c r="I1288" s="126">
        <f>IF(B1288="0",SUMIFS('Support - Transition'!F:F,'Support - Transition'!J:J,'Step 2'!D1288,'Support - Transition'!E:E,"STATE UNIT"),SUMIFS('Support - Transition'!F:F,'Support - Transition'!J:J,'Step 2'!D1288))</f>
        <v>4.37E-4</v>
      </c>
      <c r="J1288" s="126">
        <f>SUMIFS('Support - Unit Adjustments'!E:E,'Support - Unit Adjustments'!F:F,'Step 2'!D1288)</f>
        <v>0</v>
      </c>
      <c r="K1288" s="126">
        <f t="shared" si="384"/>
        <v>4.37E-4</v>
      </c>
      <c r="L1288" s="174">
        <f>VLOOKUP(A1288,'Step 1'!$A:$E,4,FALSE)</f>
        <v>231283</v>
      </c>
      <c r="M1288" s="47">
        <f t="shared" si="385"/>
        <v>101</v>
      </c>
      <c r="N1288" s="177">
        <f>SUMIFS('Support - Transition'!G:G,'Support - Transition'!J:J,'Step 2'!D1288,'Support - Transition'!E:E,"2009 WELFARE ALLOCATION FACTOR")</f>
        <v>0</v>
      </c>
      <c r="O1288" s="152">
        <f t="shared" si="390"/>
        <v>0</v>
      </c>
      <c r="P1288" s="126">
        <f>IF(E1288="Y",0,SUMIFS('Support - Transition'!G:G,'Support - Transition'!J:J,'Step 2'!D1288,'Support - Transition'!E:E,"2009 SCHOOL ALLOCATION FACTOR"))</f>
        <v>0</v>
      </c>
      <c r="Q1288" s="126">
        <f>IF(E1288="Y",VLOOKUP(D1288,'Support - Unit Adjustments'!F:G,2,FALSE),0)</f>
        <v>0</v>
      </c>
      <c r="R1288" s="155">
        <f t="shared" si="383"/>
        <v>0</v>
      </c>
      <c r="S1288" s="47">
        <f t="shared" ref="S1288:S1351" si="401">ROUND(+R1288*M1288,0)</f>
        <v>0</v>
      </c>
      <c r="T1288" s="151">
        <f t="shared" si="386"/>
        <v>101</v>
      </c>
      <c r="U1288" s="151">
        <f t="shared" si="387"/>
        <v>0</v>
      </c>
      <c r="V1288" s="139">
        <f t="shared" si="388"/>
        <v>0</v>
      </c>
      <c r="W1288" s="152">
        <f t="shared" si="391"/>
        <v>101</v>
      </c>
      <c r="X1288" s="127" t="str">
        <f t="shared" si="389"/>
        <v/>
      </c>
      <c r="Y1288" s="207">
        <f t="shared" si="392"/>
        <v>101</v>
      </c>
      <c r="Z1288" s="139">
        <f t="shared" si="393"/>
        <v>76</v>
      </c>
      <c r="AA1288" s="139">
        <f t="shared" si="394"/>
        <v>25</v>
      </c>
      <c r="AC1288" s="47">
        <f t="shared" si="395"/>
        <v>51</v>
      </c>
      <c r="AD1288" s="47">
        <f t="shared" si="396"/>
        <v>38</v>
      </c>
      <c r="AE1288" s="47">
        <f t="shared" si="397"/>
        <v>13</v>
      </c>
      <c r="AG1288" s="47">
        <f t="shared" si="398"/>
        <v>50</v>
      </c>
      <c r="AH1288" s="47">
        <f t="shared" si="399"/>
        <v>38</v>
      </c>
      <c r="AI1288" s="208">
        <f t="shared" si="400"/>
        <v>12</v>
      </c>
    </row>
    <row r="1289" spans="1:35">
      <c r="A1289" t="s">
        <v>2128</v>
      </c>
      <c r="B1289" t="s">
        <v>3142</v>
      </c>
      <c r="C1289" t="s">
        <v>2191</v>
      </c>
      <c r="D1289" t="s">
        <v>4666</v>
      </c>
      <c r="F1289" t="s">
        <v>983</v>
      </c>
      <c r="G1289" s="126">
        <f>SUMIFS('Support - Transition'!F:F,'Support - Transition'!B:B,'Step 2'!A1289,'Support - Transition'!C:C,'Step 2'!B1289,'Support - Transition'!D:D,'Step 2'!C1289,'Support - Transition'!E:E,"CIVIL")</f>
        <v>6.7000000000000002E-4</v>
      </c>
      <c r="H1289" s="126">
        <f>SUMIFS('Support - Transition'!F:F,'Support - Transition'!B:B,'Step 2'!A1289,'Support - Transition'!C:C,'Step 2'!B1289,'Support - Transition'!D:D,'Step 2'!C1289,'Support - Transition'!E:E,"FIRE")</f>
        <v>0</v>
      </c>
      <c r="I1289" s="126">
        <f>IF(B1289="0",SUMIFS('Support - Transition'!F:F,'Support - Transition'!J:J,'Step 2'!D1289,'Support - Transition'!E:E,"STATE UNIT"),SUMIFS('Support - Transition'!F:F,'Support - Transition'!J:J,'Step 2'!D1289))</f>
        <v>6.7000000000000002E-4</v>
      </c>
      <c r="J1289" s="126">
        <f>SUMIFS('Support - Unit Adjustments'!E:E,'Support - Unit Adjustments'!F:F,'Step 2'!D1289)</f>
        <v>0</v>
      </c>
      <c r="K1289" s="126">
        <f t="shared" si="384"/>
        <v>6.7000000000000002E-4</v>
      </c>
      <c r="L1289" s="174">
        <f>VLOOKUP(A1289,'Step 1'!$A:$E,4,FALSE)</f>
        <v>231283</v>
      </c>
      <c r="M1289" s="47">
        <f t="shared" si="385"/>
        <v>155</v>
      </c>
      <c r="N1289" s="177">
        <f>SUMIFS('Support - Transition'!G:G,'Support - Transition'!J:J,'Step 2'!D1289,'Support - Transition'!E:E,"2009 WELFARE ALLOCATION FACTOR")</f>
        <v>0</v>
      </c>
      <c r="O1289" s="152">
        <f t="shared" si="390"/>
        <v>0</v>
      </c>
      <c r="P1289" s="126">
        <f>IF(E1289="Y",0,SUMIFS('Support - Transition'!G:G,'Support - Transition'!J:J,'Step 2'!D1289,'Support - Transition'!E:E,"2009 SCHOOL ALLOCATION FACTOR"))</f>
        <v>0</v>
      </c>
      <c r="Q1289" s="126">
        <f>IF(E1289="Y",VLOOKUP(D1289,'Support - Unit Adjustments'!F:G,2,FALSE),0)</f>
        <v>0</v>
      </c>
      <c r="R1289" s="155">
        <f t="shared" ref="R1289:R1352" si="402">+P1289+Q1289</f>
        <v>0</v>
      </c>
      <c r="S1289" s="47">
        <f t="shared" si="401"/>
        <v>0</v>
      </c>
      <c r="T1289" s="151">
        <f t="shared" si="386"/>
        <v>155</v>
      </c>
      <c r="U1289" s="151">
        <f t="shared" si="387"/>
        <v>0</v>
      </c>
      <c r="V1289" s="139">
        <f t="shared" si="388"/>
        <v>0</v>
      </c>
      <c r="W1289" s="152">
        <f t="shared" si="391"/>
        <v>155</v>
      </c>
      <c r="X1289" s="127" t="str">
        <f t="shared" si="389"/>
        <v/>
      </c>
      <c r="Y1289" s="207">
        <f t="shared" si="392"/>
        <v>155</v>
      </c>
      <c r="Z1289" s="139">
        <f t="shared" si="393"/>
        <v>155</v>
      </c>
      <c r="AA1289" s="139">
        <f t="shared" si="394"/>
        <v>0</v>
      </c>
      <c r="AC1289" s="47">
        <f t="shared" si="395"/>
        <v>78</v>
      </c>
      <c r="AD1289" s="47">
        <f t="shared" si="396"/>
        <v>78</v>
      </c>
      <c r="AE1289" s="47">
        <f t="shared" si="397"/>
        <v>0</v>
      </c>
      <c r="AG1289" s="47">
        <f t="shared" si="398"/>
        <v>77</v>
      </c>
      <c r="AH1289" s="47">
        <f t="shared" si="399"/>
        <v>77</v>
      </c>
      <c r="AI1289" s="208">
        <f t="shared" si="400"/>
        <v>0</v>
      </c>
    </row>
    <row r="1290" spans="1:35">
      <c r="A1290" t="s">
        <v>2128</v>
      </c>
      <c r="B1290" t="s">
        <v>3142</v>
      </c>
      <c r="C1290" t="s">
        <v>2192</v>
      </c>
      <c r="D1290" t="s">
        <v>4667</v>
      </c>
      <c r="F1290" t="s">
        <v>984</v>
      </c>
      <c r="G1290" s="126">
        <f>SUMIFS('Support - Transition'!F:F,'Support - Transition'!B:B,'Step 2'!A1290,'Support - Transition'!C:C,'Step 2'!B1290,'Support - Transition'!D:D,'Step 2'!C1290,'Support - Transition'!E:E,"CIVIL")</f>
        <v>1.8900000000000001E-4</v>
      </c>
      <c r="H1290" s="126">
        <f>SUMIFS('Support - Transition'!F:F,'Support - Transition'!B:B,'Step 2'!A1290,'Support - Transition'!C:C,'Step 2'!B1290,'Support - Transition'!D:D,'Step 2'!C1290,'Support - Transition'!E:E,"FIRE")</f>
        <v>1.02E-4</v>
      </c>
      <c r="I1290" s="126">
        <f>IF(B1290="0",SUMIFS('Support - Transition'!F:F,'Support - Transition'!J:J,'Step 2'!D1290,'Support - Transition'!E:E,"STATE UNIT"),SUMIFS('Support - Transition'!F:F,'Support - Transition'!J:J,'Step 2'!D1290))</f>
        <v>2.9100000000000003E-4</v>
      </c>
      <c r="J1290" s="126">
        <f>SUMIFS('Support - Unit Adjustments'!E:E,'Support - Unit Adjustments'!F:F,'Step 2'!D1290)</f>
        <v>0</v>
      </c>
      <c r="K1290" s="126">
        <f t="shared" si="384"/>
        <v>2.9100000000000003E-4</v>
      </c>
      <c r="L1290" s="174">
        <f>VLOOKUP(A1290,'Step 1'!$A:$E,4,FALSE)</f>
        <v>231283</v>
      </c>
      <c r="M1290" s="47">
        <f t="shared" si="385"/>
        <v>67</v>
      </c>
      <c r="N1290" s="177">
        <f>SUMIFS('Support - Transition'!G:G,'Support - Transition'!J:J,'Step 2'!D1290,'Support - Transition'!E:E,"2009 WELFARE ALLOCATION FACTOR")</f>
        <v>0</v>
      </c>
      <c r="O1290" s="152">
        <f t="shared" si="390"/>
        <v>0</v>
      </c>
      <c r="P1290" s="126">
        <f>IF(E1290="Y",0,SUMIFS('Support - Transition'!G:G,'Support - Transition'!J:J,'Step 2'!D1290,'Support - Transition'!E:E,"2009 SCHOOL ALLOCATION FACTOR"))</f>
        <v>0</v>
      </c>
      <c r="Q1290" s="126">
        <f>IF(E1290="Y",VLOOKUP(D1290,'Support - Unit Adjustments'!F:G,2,FALSE),0)</f>
        <v>0</v>
      </c>
      <c r="R1290" s="155">
        <f t="shared" si="402"/>
        <v>0</v>
      </c>
      <c r="S1290" s="47">
        <f t="shared" si="401"/>
        <v>0</v>
      </c>
      <c r="T1290" s="151">
        <f t="shared" si="386"/>
        <v>67</v>
      </c>
      <c r="U1290" s="151">
        <f t="shared" si="387"/>
        <v>0</v>
      </c>
      <c r="V1290" s="139">
        <f t="shared" si="388"/>
        <v>0</v>
      </c>
      <c r="W1290" s="152">
        <f t="shared" si="391"/>
        <v>67</v>
      </c>
      <c r="X1290" s="127" t="str">
        <f t="shared" si="389"/>
        <v/>
      </c>
      <c r="Y1290" s="207">
        <f t="shared" si="392"/>
        <v>67</v>
      </c>
      <c r="Z1290" s="139">
        <f t="shared" si="393"/>
        <v>44</v>
      </c>
      <c r="AA1290" s="139">
        <f t="shared" si="394"/>
        <v>23</v>
      </c>
      <c r="AC1290" s="47">
        <f t="shared" si="395"/>
        <v>34</v>
      </c>
      <c r="AD1290" s="47">
        <f t="shared" si="396"/>
        <v>22</v>
      </c>
      <c r="AE1290" s="47">
        <f t="shared" si="397"/>
        <v>12</v>
      </c>
      <c r="AG1290" s="47">
        <f t="shared" si="398"/>
        <v>33</v>
      </c>
      <c r="AH1290" s="47">
        <f t="shared" si="399"/>
        <v>22</v>
      </c>
      <c r="AI1290" s="208">
        <f t="shared" si="400"/>
        <v>11</v>
      </c>
    </row>
    <row r="1291" spans="1:35">
      <c r="A1291" t="s">
        <v>2128</v>
      </c>
      <c r="B1291" t="s">
        <v>3142</v>
      </c>
      <c r="C1291" t="s">
        <v>2193</v>
      </c>
      <c r="D1291" t="s">
        <v>4668</v>
      </c>
      <c r="F1291" t="s">
        <v>268</v>
      </c>
      <c r="G1291" s="126">
        <f>SUMIFS('Support - Transition'!F:F,'Support - Transition'!B:B,'Step 2'!A1291,'Support - Transition'!C:C,'Step 2'!B1291,'Support - Transition'!D:D,'Step 2'!C1291,'Support - Transition'!E:E,"CIVIL")</f>
        <v>5.1599999999999997E-4</v>
      </c>
      <c r="H1291" s="126">
        <f>SUMIFS('Support - Transition'!F:F,'Support - Transition'!B:B,'Step 2'!A1291,'Support - Transition'!C:C,'Step 2'!B1291,'Support - Transition'!D:D,'Step 2'!C1291,'Support - Transition'!E:E,"FIRE")</f>
        <v>6.38E-4</v>
      </c>
      <c r="I1291" s="126">
        <f>IF(B1291="0",SUMIFS('Support - Transition'!F:F,'Support - Transition'!J:J,'Step 2'!D1291,'Support - Transition'!E:E,"STATE UNIT"),SUMIFS('Support - Transition'!F:F,'Support - Transition'!J:J,'Step 2'!D1291))</f>
        <v>1.1540000000000001E-3</v>
      </c>
      <c r="J1291" s="126">
        <f>SUMIFS('Support - Unit Adjustments'!E:E,'Support - Unit Adjustments'!F:F,'Step 2'!D1291)</f>
        <v>0</v>
      </c>
      <c r="K1291" s="126">
        <f t="shared" si="384"/>
        <v>1.1540000000000001E-3</v>
      </c>
      <c r="L1291" s="174">
        <f>VLOOKUP(A1291,'Step 1'!$A:$E,4,FALSE)</f>
        <v>231283</v>
      </c>
      <c r="M1291" s="47">
        <f t="shared" si="385"/>
        <v>267</v>
      </c>
      <c r="N1291" s="177">
        <f>SUMIFS('Support - Transition'!G:G,'Support - Transition'!J:J,'Step 2'!D1291,'Support - Transition'!E:E,"2009 WELFARE ALLOCATION FACTOR")</f>
        <v>0</v>
      </c>
      <c r="O1291" s="152">
        <f t="shared" si="390"/>
        <v>0</v>
      </c>
      <c r="P1291" s="126">
        <f>IF(E1291="Y",0,SUMIFS('Support - Transition'!G:G,'Support - Transition'!J:J,'Step 2'!D1291,'Support - Transition'!E:E,"2009 SCHOOL ALLOCATION FACTOR"))</f>
        <v>0</v>
      </c>
      <c r="Q1291" s="126">
        <f>IF(E1291="Y",VLOOKUP(D1291,'Support - Unit Adjustments'!F:G,2,FALSE),0)</f>
        <v>0</v>
      </c>
      <c r="R1291" s="155">
        <f t="shared" si="402"/>
        <v>0</v>
      </c>
      <c r="S1291" s="47">
        <f t="shared" si="401"/>
        <v>0</v>
      </c>
      <c r="T1291" s="151">
        <f t="shared" si="386"/>
        <v>267</v>
      </c>
      <c r="U1291" s="151">
        <f t="shared" si="387"/>
        <v>0</v>
      </c>
      <c r="V1291" s="139">
        <f t="shared" si="388"/>
        <v>0</v>
      </c>
      <c r="W1291" s="152">
        <f t="shared" si="391"/>
        <v>267</v>
      </c>
      <c r="X1291" s="127" t="str">
        <f t="shared" si="389"/>
        <v/>
      </c>
      <c r="Y1291" s="207">
        <f t="shared" si="392"/>
        <v>267</v>
      </c>
      <c r="Z1291" s="139">
        <f t="shared" si="393"/>
        <v>119</v>
      </c>
      <c r="AA1291" s="139">
        <f t="shared" si="394"/>
        <v>148</v>
      </c>
      <c r="AC1291" s="47">
        <f t="shared" si="395"/>
        <v>134</v>
      </c>
      <c r="AD1291" s="47">
        <f t="shared" si="396"/>
        <v>60</v>
      </c>
      <c r="AE1291" s="47">
        <f t="shared" si="397"/>
        <v>74</v>
      </c>
      <c r="AG1291" s="47">
        <f t="shared" si="398"/>
        <v>133</v>
      </c>
      <c r="AH1291" s="47">
        <f t="shared" si="399"/>
        <v>59</v>
      </c>
      <c r="AI1291" s="208">
        <f t="shared" si="400"/>
        <v>74</v>
      </c>
    </row>
    <row r="1292" spans="1:35">
      <c r="A1292" t="s">
        <v>2128</v>
      </c>
      <c r="B1292" t="s">
        <v>3142</v>
      </c>
      <c r="C1292" t="s">
        <v>2194</v>
      </c>
      <c r="D1292" t="s">
        <v>4669</v>
      </c>
      <c r="F1292" t="s">
        <v>985</v>
      </c>
      <c r="G1292" s="126">
        <f>SUMIFS('Support - Transition'!F:F,'Support - Transition'!B:B,'Step 2'!A1292,'Support - Transition'!C:C,'Step 2'!B1292,'Support - Transition'!D:D,'Step 2'!C1292,'Support - Transition'!E:E,"CIVIL")</f>
        <v>1.4419999999999999E-3</v>
      </c>
      <c r="H1292" s="126">
        <f>SUMIFS('Support - Transition'!F:F,'Support - Transition'!B:B,'Step 2'!A1292,'Support - Transition'!C:C,'Step 2'!B1292,'Support - Transition'!D:D,'Step 2'!C1292,'Support - Transition'!E:E,"FIRE")</f>
        <v>1.1230000000000001E-3</v>
      </c>
      <c r="I1292" s="126">
        <f>IF(B1292="0",SUMIFS('Support - Transition'!F:F,'Support - Transition'!J:J,'Step 2'!D1292,'Support - Transition'!E:E,"STATE UNIT"),SUMIFS('Support - Transition'!F:F,'Support - Transition'!J:J,'Step 2'!D1292))</f>
        <v>2.565E-3</v>
      </c>
      <c r="J1292" s="126">
        <f>SUMIFS('Support - Unit Adjustments'!E:E,'Support - Unit Adjustments'!F:F,'Step 2'!D1292)</f>
        <v>0</v>
      </c>
      <c r="K1292" s="126">
        <f t="shared" si="384"/>
        <v>2.565E-3</v>
      </c>
      <c r="L1292" s="174">
        <f>VLOOKUP(A1292,'Step 1'!$A:$E,4,FALSE)</f>
        <v>231283</v>
      </c>
      <c r="M1292" s="47">
        <f t="shared" si="385"/>
        <v>593</v>
      </c>
      <c r="N1292" s="177">
        <f>SUMIFS('Support - Transition'!G:G,'Support - Transition'!J:J,'Step 2'!D1292,'Support - Transition'!E:E,"2009 WELFARE ALLOCATION FACTOR")</f>
        <v>0</v>
      </c>
      <c r="O1292" s="152">
        <f t="shared" si="390"/>
        <v>0</v>
      </c>
      <c r="P1292" s="126">
        <f>IF(E1292="Y",0,SUMIFS('Support - Transition'!G:G,'Support - Transition'!J:J,'Step 2'!D1292,'Support - Transition'!E:E,"2009 SCHOOL ALLOCATION FACTOR"))</f>
        <v>0</v>
      </c>
      <c r="Q1292" s="126">
        <f>IF(E1292="Y",VLOOKUP(D1292,'Support - Unit Adjustments'!F:G,2,FALSE),0)</f>
        <v>0</v>
      </c>
      <c r="R1292" s="155">
        <f t="shared" si="402"/>
        <v>0</v>
      </c>
      <c r="S1292" s="47">
        <f t="shared" si="401"/>
        <v>0</v>
      </c>
      <c r="T1292" s="151">
        <f t="shared" si="386"/>
        <v>593</v>
      </c>
      <c r="U1292" s="151">
        <f t="shared" si="387"/>
        <v>0</v>
      </c>
      <c r="V1292" s="139">
        <f t="shared" si="388"/>
        <v>0</v>
      </c>
      <c r="W1292" s="152">
        <f t="shared" si="391"/>
        <v>593</v>
      </c>
      <c r="X1292" s="127" t="str">
        <f t="shared" si="389"/>
        <v/>
      </c>
      <c r="Y1292" s="207">
        <f t="shared" si="392"/>
        <v>593</v>
      </c>
      <c r="Z1292" s="139">
        <f t="shared" si="393"/>
        <v>333</v>
      </c>
      <c r="AA1292" s="139">
        <f t="shared" si="394"/>
        <v>260</v>
      </c>
      <c r="AC1292" s="47">
        <f t="shared" si="395"/>
        <v>297</v>
      </c>
      <c r="AD1292" s="47">
        <f t="shared" si="396"/>
        <v>167</v>
      </c>
      <c r="AE1292" s="47">
        <f t="shared" si="397"/>
        <v>130</v>
      </c>
      <c r="AG1292" s="47">
        <f t="shared" si="398"/>
        <v>296</v>
      </c>
      <c r="AH1292" s="47">
        <f t="shared" si="399"/>
        <v>166</v>
      </c>
      <c r="AI1292" s="208">
        <f t="shared" si="400"/>
        <v>130</v>
      </c>
    </row>
    <row r="1293" spans="1:35">
      <c r="A1293" t="s">
        <v>2128</v>
      </c>
      <c r="B1293" t="s">
        <v>3142</v>
      </c>
      <c r="C1293" t="s">
        <v>2195</v>
      </c>
      <c r="D1293" t="s">
        <v>4670</v>
      </c>
      <c r="F1293" t="s">
        <v>986</v>
      </c>
      <c r="G1293" s="126">
        <f>SUMIFS('Support - Transition'!F:F,'Support - Transition'!B:B,'Step 2'!A1293,'Support - Transition'!C:C,'Step 2'!B1293,'Support - Transition'!D:D,'Step 2'!C1293,'Support - Transition'!E:E,"CIVIL")</f>
        <v>1.9189999999999999E-3</v>
      </c>
      <c r="H1293" s="126">
        <f>SUMIFS('Support - Transition'!F:F,'Support - Transition'!B:B,'Step 2'!A1293,'Support - Transition'!C:C,'Step 2'!B1293,'Support - Transition'!D:D,'Step 2'!C1293,'Support - Transition'!E:E,"FIRE")</f>
        <v>1.596E-3</v>
      </c>
      <c r="I1293" s="126">
        <f>IF(B1293="0",SUMIFS('Support - Transition'!F:F,'Support - Transition'!J:J,'Step 2'!D1293,'Support - Transition'!E:E,"STATE UNIT"),SUMIFS('Support - Transition'!F:F,'Support - Transition'!J:J,'Step 2'!D1293))</f>
        <v>3.5149999999999999E-3</v>
      </c>
      <c r="J1293" s="126">
        <f>SUMIFS('Support - Unit Adjustments'!E:E,'Support - Unit Adjustments'!F:F,'Step 2'!D1293)</f>
        <v>0</v>
      </c>
      <c r="K1293" s="126">
        <f t="shared" si="384"/>
        <v>3.5149999999999999E-3</v>
      </c>
      <c r="L1293" s="174">
        <f>VLOOKUP(A1293,'Step 1'!$A:$E,4,FALSE)</f>
        <v>231283</v>
      </c>
      <c r="M1293" s="47">
        <f t="shared" si="385"/>
        <v>813</v>
      </c>
      <c r="N1293" s="177">
        <f>SUMIFS('Support - Transition'!G:G,'Support - Transition'!J:J,'Step 2'!D1293,'Support - Transition'!E:E,"2009 WELFARE ALLOCATION FACTOR")</f>
        <v>0</v>
      </c>
      <c r="O1293" s="152">
        <f t="shared" si="390"/>
        <v>0</v>
      </c>
      <c r="P1293" s="126">
        <f>IF(E1293="Y",0,SUMIFS('Support - Transition'!G:G,'Support - Transition'!J:J,'Step 2'!D1293,'Support - Transition'!E:E,"2009 SCHOOL ALLOCATION FACTOR"))</f>
        <v>0</v>
      </c>
      <c r="Q1293" s="126">
        <f>IF(E1293="Y",VLOOKUP(D1293,'Support - Unit Adjustments'!F:G,2,FALSE),0)</f>
        <v>0</v>
      </c>
      <c r="R1293" s="155">
        <f t="shared" si="402"/>
        <v>0</v>
      </c>
      <c r="S1293" s="47">
        <f t="shared" si="401"/>
        <v>0</v>
      </c>
      <c r="T1293" s="151">
        <f t="shared" si="386"/>
        <v>813</v>
      </c>
      <c r="U1293" s="151">
        <f t="shared" si="387"/>
        <v>0</v>
      </c>
      <c r="V1293" s="139">
        <f t="shared" si="388"/>
        <v>0</v>
      </c>
      <c r="W1293" s="152">
        <f t="shared" si="391"/>
        <v>813</v>
      </c>
      <c r="X1293" s="127" t="str">
        <f t="shared" si="389"/>
        <v/>
      </c>
      <c r="Y1293" s="207">
        <f t="shared" si="392"/>
        <v>813</v>
      </c>
      <c r="Z1293" s="139">
        <f t="shared" si="393"/>
        <v>444</v>
      </c>
      <c r="AA1293" s="139">
        <f t="shared" si="394"/>
        <v>369</v>
      </c>
      <c r="AC1293" s="47">
        <f t="shared" si="395"/>
        <v>407</v>
      </c>
      <c r="AD1293" s="47">
        <f t="shared" si="396"/>
        <v>222</v>
      </c>
      <c r="AE1293" s="47">
        <f t="shared" si="397"/>
        <v>185</v>
      </c>
      <c r="AG1293" s="47">
        <f t="shared" si="398"/>
        <v>406</v>
      </c>
      <c r="AH1293" s="47">
        <f t="shared" si="399"/>
        <v>222</v>
      </c>
      <c r="AI1293" s="208">
        <f t="shared" si="400"/>
        <v>184</v>
      </c>
    </row>
    <row r="1294" spans="1:35">
      <c r="A1294" t="s">
        <v>2128</v>
      </c>
      <c r="B1294" t="s">
        <v>3142</v>
      </c>
      <c r="C1294" t="s">
        <v>2196</v>
      </c>
      <c r="D1294" t="s">
        <v>4671</v>
      </c>
      <c r="F1294" t="s">
        <v>987</v>
      </c>
      <c r="G1294" s="126">
        <f>SUMIFS('Support - Transition'!F:F,'Support - Transition'!B:B,'Step 2'!A1294,'Support - Transition'!C:C,'Step 2'!B1294,'Support - Transition'!D:D,'Step 2'!C1294,'Support - Transition'!E:E,"CIVIL")</f>
        <v>9.0200000000000002E-4</v>
      </c>
      <c r="H1294" s="126">
        <f>SUMIFS('Support - Transition'!F:F,'Support - Transition'!B:B,'Step 2'!A1294,'Support - Transition'!C:C,'Step 2'!B1294,'Support - Transition'!D:D,'Step 2'!C1294,'Support - Transition'!E:E,"FIRE")</f>
        <v>8.43E-4</v>
      </c>
      <c r="I1294" s="126">
        <f>IF(B1294="0",SUMIFS('Support - Transition'!F:F,'Support - Transition'!J:J,'Step 2'!D1294,'Support - Transition'!E:E,"STATE UNIT"),SUMIFS('Support - Transition'!F:F,'Support - Transition'!J:J,'Step 2'!D1294))</f>
        <v>1.745E-3</v>
      </c>
      <c r="J1294" s="126">
        <f>SUMIFS('Support - Unit Adjustments'!E:E,'Support - Unit Adjustments'!F:F,'Step 2'!D1294)</f>
        <v>0</v>
      </c>
      <c r="K1294" s="126">
        <f t="shared" si="384"/>
        <v>1.745E-3</v>
      </c>
      <c r="L1294" s="174">
        <f>VLOOKUP(A1294,'Step 1'!$A:$E,4,FALSE)</f>
        <v>231283</v>
      </c>
      <c r="M1294" s="47">
        <f t="shared" si="385"/>
        <v>404</v>
      </c>
      <c r="N1294" s="177">
        <f>SUMIFS('Support - Transition'!G:G,'Support - Transition'!J:J,'Step 2'!D1294,'Support - Transition'!E:E,"2009 WELFARE ALLOCATION FACTOR")</f>
        <v>0</v>
      </c>
      <c r="O1294" s="152">
        <f t="shared" si="390"/>
        <v>0</v>
      </c>
      <c r="P1294" s="126">
        <f>IF(E1294="Y",0,SUMIFS('Support - Transition'!G:G,'Support - Transition'!J:J,'Step 2'!D1294,'Support - Transition'!E:E,"2009 SCHOOL ALLOCATION FACTOR"))</f>
        <v>0</v>
      </c>
      <c r="Q1294" s="126">
        <f>IF(E1294="Y",VLOOKUP(D1294,'Support - Unit Adjustments'!F:G,2,FALSE),0)</f>
        <v>0</v>
      </c>
      <c r="R1294" s="155">
        <f t="shared" si="402"/>
        <v>0</v>
      </c>
      <c r="S1294" s="47">
        <f t="shared" si="401"/>
        <v>0</v>
      </c>
      <c r="T1294" s="151">
        <f t="shared" si="386"/>
        <v>404</v>
      </c>
      <c r="U1294" s="151">
        <f t="shared" si="387"/>
        <v>0</v>
      </c>
      <c r="V1294" s="139">
        <f t="shared" si="388"/>
        <v>0</v>
      </c>
      <c r="W1294" s="152">
        <f t="shared" si="391"/>
        <v>404</v>
      </c>
      <c r="X1294" s="127" t="str">
        <f t="shared" si="389"/>
        <v/>
      </c>
      <c r="Y1294" s="207">
        <f t="shared" si="392"/>
        <v>404</v>
      </c>
      <c r="Z1294" s="139">
        <f t="shared" si="393"/>
        <v>209</v>
      </c>
      <c r="AA1294" s="139">
        <f t="shared" si="394"/>
        <v>195</v>
      </c>
      <c r="AC1294" s="47">
        <f t="shared" si="395"/>
        <v>202</v>
      </c>
      <c r="AD1294" s="47">
        <f t="shared" si="396"/>
        <v>105</v>
      </c>
      <c r="AE1294" s="47">
        <f t="shared" si="397"/>
        <v>98</v>
      </c>
      <c r="AG1294" s="47">
        <f t="shared" si="398"/>
        <v>202</v>
      </c>
      <c r="AH1294" s="47">
        <f t="shared" si="399"/>
        <v>104</v>
      </c>
      <c r="AI1294" s="208">
        <f t="shared" si="400"/>
        <v>97</v>
      </c>
    </row>
    <row r="1295" spans="1:35">
      <c r="A1295" t="s">
        <v>2128</v>
      </c>
      <c r="B1295" t="s">
        <v>3142</v>
      </c>
      <c r="C1295" t="s">
        <v>2197</v>
      </c>
      <c r="D1295" t="s">
        <v>4672</v>
      </c>
      <c r="F1295" t="s">
        <v>59</v>
      </c>
      <c r="G1295" s="126">
        <f>SUMIFS('Support - Transition'!F:F,'Support - Transition'!B:B,'Step 2'!A1295,'Support - Transition'!C:C,'Step 2'!B1295,'Support - Transition'!D:D,'Step 2'!C1295,'Support - Transition'!E:E,"CIVIL")</f>
        <v>1.1509999999999999E-3</v>
      </c>
      <c r="H1295" s="126">
        <f>SUMIFS('Support - Transition'!F:F,'Support - Transition'!B:B,'Step 2'!A1295,'Support - Transition'!C:C,'Step 2'!B1295,'Support - Transition'!D:D,'Step 2'!C1295,'Support - Transition'!E:E,"FIRE")</f>
        <v>2.99E-4</v>
      </c>
      <c r="I1295" s="126">
        <f>IF(B1295="0",SUMIFS('Support - Transition'!F:F,'Support - Transition'!J:J,'Step 2'!D1295,'Support - Transition'!E:E,"STATE UNIT"),SUMIFS('Support - Transition'!F:F,'Support - Transition'!J:J,'Step 2'!D1295))</f>
        <v>1.4499999999999999E-3</v>
      </c>
      <c r="J1295" s="126">
        <f>SUMIFS('Support - Unit Adjustments'!E:E,'Support - Unit Adjustments'!F:F,'Step 2'!D1295)</f>
        <v>0</v>
      </c>
      <c r="K1295" s="126">
        <f t="shared" si="384"/>
        <v>1.4499999999999999E-3</v>
      </c>
      <c r="L1295" s="174">
        <f>VLOOKUP(A1295,'Step 1'!$A:$E,4,FALSE)</f>
        <v>231283</v>
      </c>
      <c r="M1295" s="47">
        <f t="shared" si="385"/>
        <v>335</v>
      </c>
      <c r="N1295" s="177">
        <f>SUMIFS('Support - Transition'!G:G,'Support - Transition'!J:J,'Step 2'!D1295,'Support - Transition'!E:E,"2009 WELFARE ALLOCATION FACTOR")</f>
        <v>0</v>
      </c>
      <c r="O1295" s="152">
        <f t="shared" si="390"/>
        <v>0</v>
      </c>
      <c r="P1295" s="126">
        <f>IF(E1295="Y",0,SUMIFS('Support - Transition'!G:G,'Support - Transition'!J:J,'Step 2'!D1295,'Support - Transition'!E:E,"2009 SCHOOL ALLOCATION FACTOR"))</f>
        <v>0</v>
      </c>
      <c r="Q1295" s="126">
        <f>IF(E1295="Y",VLOOKUP(D1295,'Support - Unit Adjustments'!F:G,2,FALSE),0)</f>
        <v>0</v>
      </c>
      <c r="R1295" s="155">
        <f t="shared" si="402"/>
        <v>0</v>
      </c>
      <c r="S1295" s="47">
        <f t="shared" si="401"/>
        <v>0</v>
      </c>
      <c r="T1295" s="151">
        <f t="shared" si="386"/>
        <v>335</v>
      </c>
      <c r="U1295" s="151">
        <f t="shared" si="387"/>
        <v>0</v>
      </c>
      <c r="V1295" s="139">
        <f t="shared" si="388"/>
        <v>0</v>
      </c>
      <c r="W1295" s="152">
        <f t="shared" si="391"/>
        <v>335</v>
      </c>
      <c r="X1295" s="127" t="str">
        <f t="shared" si="389"/>
        <v/>
      </c>
      <c r="Y1295" s="207">
        <f t="shared" si="392"/>
        <v>335</v>
      </c>
      <c r="Z1295" s="139">
        <f t="shared" si="393"/>
        <v>266</v>
      </c>
      <c r="AA1295" s="139">
        <f t="shared" si="394"/>
        <v>69</v>
      </c>
      <c r="AC1295" s="47">
        <f t="shared" si="395"/>
        <v>168</v>
      </c>
      <c r="AD1295" s="47">
        <f t="shared" si="396"/>
        <v>133</v>
      </c>
      <c r="AE1295" s="47">
        <f t="shared" si="397"/>
        <v>35</v>
      </c>
      <c r="AG1295" s="47">
        <f t="shared" si="398"/>
        <v>167</v>
      </c>
      <c r="AH1295" s="47">
        <f t="shared" si="399"/>
        <v>133</v>
      </c>
      <c r="AI1295" s="208">
        <f t="shared" si="400"/>
        <v>34</v>
      </c>
    </row>
    <row r="1296" spans="1:35">
      <c r="A1296" t="s">
        <v>2128</v>
      </c>
      <c r="B1296" t="s">
        <v>3142</v>
      </c>
      <c r="C1296" t="s">
        <v>2198</v>
      </c>
      <c r="D1296" t="s">
        <v>4673</v>
      </c>
      <c r="F1296" t="s">
        <v>169</v>
      </c>
      <c r="G1296" s="126">
        <f>SUMIFS('Support - Transition'!F:F,'Support - Transition'!B:B,'Step 2'!A1296,'Support - Transition'!C:C,'Step 2'!B1296,'Support - Transition'!D:D,'Step 2'!C1296,'Support - Transition'!E:E,"CIVIL")</f>
        <v>2.5999999999999998E-4</v>
      </c>
      <c r="H1296" s="126">
        <f>SUMIFS('Support - Transition'!F:F,'Support - Transition'!B:B,'Step 2'!A1296,'Support - Transition'!C:C,'Step 2'!B1296,'Support - Transition'!D:D,'Step 2'!C1296,'Support - Transition'!E:E,"FIRE")</f>
        <v>1.1E-4</v>
      </c>
      <c r="I1296" s="126">
        <f>IF(B1296="0",SUMIFS('Support - Transition'!F:F,'Support - Transition'!J:J,'Step 2'!D1296,'Support - Transition'!E:E,"STATE UNIT"),SUMIFS('Support - Transition'!F:F,'Support - Transition'!J:J,'Step 2'!D1296))</f>
        <v>3.6999999999999999E-4</v>
      </c>
      <c r="J1296" s="126">
        <f>SUMIFS('Support - Unit Adjustments'!E:E,'Support - Unit Adjustments'!F:F,'Step 2'!D1296)</f>
        <v>0</v>
      </c>
      <c r="K1296" s="126">
        <f t="shared" si="384"/>
        <v>3.6999999999999999E-4</v>
      </c>
      <c r="L1296" s="174">
        <f>VLOOKUP(A1296,'Step 1'!$A:$E,4,FALSE)</f>
        <v>231283</v>
      </c>
      <c r="M1296" s="47">
        <f t="shared" si="385"/>
        <v>86</v>
      </c>
      <c r="N1296" s="177">
        <f>SUMIFS('Support - Transition'!G:G,'Support - Transition'!J:J,'Step 2'!D1296,'Support - Transition'!E:E,"2009 WELFARE ALLOCATION FACTOR")</f>
        <v>0</v>
      </c>
      <c r="O1296" s="152">
        <f t="shared" si="390"/>
        <v>0</v>
      </c>
      <c r="P1296" s="126">
        <f>IF(E1296="Y",0,SUMIFS('Support - Transition'!G:G,'Support - Transition'!J:J,'Step 2'!D1296,'Support - Transition'!E:E,"2009 SCHOOL ALLOCATION FACTOR"))</f>
        <v>0</v>
      </c>
      <c r="Q1296" s="126">
        <f>IF(E1296="Y",VLOOKUP(D1296,'Support - Unit Adjustments'!F:G,2,FALSE),0)</f>
        <v>0</v>
      </c>
      <c r="R1296" s="155">
        <f t="shared" si="402"/>
        <v>0</v>
      </c>
      <c r="S1296" s="47">
        <f t="shared" si="401"/>
        <v>0</v>
      </c>
      <c r="T1296" s="151">
        <f t="shared" si="386"/>
        <v>86</v>
      </c>
      <c r="U1296" s="151">
        <f t="shared" si="387"/>
        <v>0</v>
      </c>
      <c r="V1296" s="139">
        <f t="shared" si="388"/>
        <v>0</v>
      </c>
      <c r="W1296" s="152">
        <f t="shared" si="391"/>
        <v>86</v>
      </c>
      <c r="X1296" s="127" t="str">
        <f t="shared" si="389"/>
        <v/>
      </c>
      <c r="Y1296" s="207">
        <f t="shared" si="392"/>
        <v>86</v>
      </c>
      <c r="Z1296" s="139">
        <f t="shared" si="393"/>
        <v>60</v>
      </c>
      <c r="AA1296" s="139">
        <f t="shared" si="394"/>
        <v>26</v>
      </c>
      <c r="AC1296" s="47">
        <f t="shared" si="395"/>
        <v>43</v>
      </c>
      <c r="AD1296" s="47">
        <f t="shared" si="396"/>
        <v>30</v>
      </c>
      <c r="AE1296" s="47">
        <f t="shared" si="397"/>
        <v>13</v>
      </c>
      <c r="AG1296" s="47">
        <f t="shared" si="398"/>
        <v>43</v>
      </c>
      <c r="AH1296" s="47">
        <f t="shared" si="399"/>
        <v>30</v>
      </c>
      <c r="AI1296" s="208">
        <f t="shared" si="400"/>
        <v>13</v>
      </c>
    </row>
    <row r="1297" spans="1:35">
      <c r="A1297" t="s">
        <v>2128</v>
      </c>
      <c r="B1297" t="s">
        <v>3155</v>
      </c>
      <c r="C1297" t="s">
        <v>2689</v>
      </c>
      <c r="D1297" t="s">
        <v>4674</v>
      </c>
      <c r="F1297" t="s">
        <v>988</v>
      </c>
      <c r="G1297" s="126">
        <f>SUMIFS('Support - Transition'!F:F,'Support - Transition'!B:B,'Step 2'!A1297,'Support - Transition'!C:C,'Step 2'!B1297,'Support - Transition'!D:D,'Step 2'!C1297,'Support - Transition'!E:E,"CIVIL")</f>
        <v>0</v>
      </c>
      <c r="H1297" s="126">
        <f>SUMIFS('Support - Transition'!F:F,'Support - Transition'!B:B,'Step 2'!A1297,'Support - Transition'!C:C,'Step 2'!B1297,'Support - Transition'!D:D,'Step 2'!C1297,'Support - Transition'!E:E,"FIRE")</f>
        <v>0</v>
      </c>
      <c r="I1297" s="126">
        <f>IF(B1297="0",SUMIFS('Support - Transition'!F:F,'Support - Transition'!J:J,'Step 2'!D1297,'Support - Transition'!E:E,"STATE UNIT"),SUMIFS('Support - Transition'!F:F,'Support - Transition'!J:J,'Step 2'!D1297))</f>
        <v>3.7919000000000001E-2</v>
      </c>
      <c r="J1297" s="126">
        <f>SUMIFS('Support - Unit Adjustments'!E:E,'Support - Unit Adjustments'!F:F,'Step 2'!D1297)</f>
        <v>0</v>
      </c>
      <c r="K1297" s="126">
        <f t="shared" si="384"/>
        <v>3.7919000000000001E-2</v>
      </c>
      <c r="L1297" s="174">
        <f>VLOOKUP(A1297,'Step 1'!$A:$E,4,FALSE)</f>
        <v>231283</v>
      </c>
      <c r="M1297" s="47">
        <f t="shared" si="385"/>
        <v>8770</v>
      </c>
      <c r="N1297" s="177">
        <f>SUMIFS('Support - Transition'!G:G,'Support - Transition'!J:J,'Step 2'!D1297,'Support - Transition'!E:E,"2009 WELFARE ALLOCATION FACTOR")</f>
        <v>0</v>
      </c>
      <c r="O1297" s="152">
        <f t="shared" si="390"/>
        <v>0</v>
      </c>
      <c r="P1297" s="126">
        <f>IF(E1297="Y",0,SUMIFS('Support - Transition'!G:G,'Support - Transition'!J:J,'Step 2'!D1297,'Support - Transition'!E:E,"2009 SCHOOL ALLOCATION FACTOR"))</f>
        <v>0</v>
      </c>
      <c r="Q1297" s="126">
        <f>IF(E1297="Y",VLOOKUP(D1297,'Support - Unit Adjustments'!F:G,2,FALSE),0)</f>
        <v>0</v>
      </c>
      <c r="R1297" s="155">
        <f t="shared" si="402"/>
        <v>0</v>
      </c>
      <c r="S1297" s="47">
        <f t="shared" si="401"/>
        <v>0</v>
      </c>
      <c r="T1297" s="151">
        <f t="shared" si="386"/>
        <v>8770</v>
      </c>
      <c r="U1297" s="151">
        <f t="shared" si="387"/>
        <v>0</v>
      </c>
      <c r="V1297" s="139">
        <f t="shared" si="388"/>
        <v>0</v>
      </c>
      <c r="W1297" s="152">
        <f t="shared" si="391"/>
        <v>8770</v>
      </c>
      <c r="X1297" s="127" t="str">
        <f t="shared" si="389"/>
        <v/>
      </c>
      <c r="Y1297" s="207">
        <f t="shared" si="392"/>
        <v>8770</v>
      </c>
      <c r="Z1297" s="139">
        <f t="shared" si="393"/>
        <v>8770</v>
      </c>
      <c r="AA1297" s="139">
        <f t="shared" si="394"/>
        <v>0</v>
      </c>
      <c r="AC1297" s="47">
        <f t="shared" si="395"/>
        <v>4385</v>
      </c>
      <c r="AD1297" s="47">
        <f t="shared" si="396"/>
        <v>4385</v>
      </c>
      <c r="AE1297" s="47">
        <f t="shared" si="397"/>
        <v>0</v>
      </c>
      <c r="AG1297" s="47">
        <f t="shared" si="398"/>
        <v>4385</v>
      </c>
      <c r="AH1297" s="47">
        <f t="shared" si="399"/>
        <v>4385</v>
      </c>
      <c r="AI1297" s="208">
        <f t="shared" si="400"/>
        <v>0</v>
      </c>
    </row>
    <row r="1298" spans="1:35">
      <c r="A1298" t="s">
        <v>2128</v>
      </c>
      <c r="B1298" t="s">
        <v>3155</v>
      </c>
      <c r="C1298" t="s">
        <v>2690</v>
      </c>
      <c r="D1298" t="s">
        <v>4675</v>
      </c>
      <c r="F1298" t="s">
        <v>989</v>
      </c>
      <c r="G1298" s="126">
        <f>SUMIFS('Support - Transition'!F:F,'Support - Transition'!B:B,'Step 2'!A1298,'Support - Transition'!C:C,'Step 2'!B1298,'Support - Transition'!D:D,'Step 2'!C1298,'Support - Transition'!E:E,"CIVIL")</f>
        <v>0</v>
      </c>
      <c r="H1298" s="126">
        <f>SUMIFS('Support - Transition'!F:F,'Support - Transition'!B:B,'Step 2'!A1298,'Support - Transition'!C:C,'Step 2'!B1298,'Support - Transition'!D:D,'Step 2'!C1298,'Support - Transition'!E:E,"FIRE")</f>
        <v>0</v>
      </c>
      <c r="I1298" s="126">
        <f>IF(B1298="0",SUMIFS('Support - Transition'!F:F,'Support - Transition'!J:J,'Step 2'!D1298,'Support - Transition'!E:E,"STATE UNIT"),SUMIFS('Support - Transition'!F:F,'Support - Transition'!J:J,'Step 2'!D1298))</f>
        <v>1.259E-2</v>
      </c>
      <c r="J1298" s="126">
        <f>SUMIFS('Support - Unit Adjustments'!E:E,'Support - Unit Adjustments'!F:F,'Step 2'!D1298)</f>
        <v>0</v>
      </c>
      <c r="K1298" s="126">
        <f t="shared" si="384"/>
        <v>1.259E-2</v>
      </c>
      <c r="L1298" s="174">
        <f>VLOOKUP(A1298,'Step 1'!$A:$E,4,FALSE)</f>
        <v>231283</v>
      </c>
      <c r="M1298" s="47">
        <f t="shared" si="385"/>
        <v>2912</v>
      </c>
      <c r="N1298" s="177">
        <f>SUMIFS('Support - Transition'!G:G,'Support - Transition'!J:J,'Step 2'!D1298,'Support - Transition'!E:E,"2009 WELFARE ALLOCATION FACTOR")</f>
        <v>0</v>
      </c>
      <c r="O1298" s="152">
        <f t="shared" si="390"/>
        <v>0</v>
      </c>
      <c r="P1298" s="126">
        <f>IF(E1298="Y",0,SUMIFS('Support - Transition'!G:G,'Support - Transition'!J:J,'Step 2'!D1298,'Support - Transition'!E:E,"2009 SCHOOL ALLOCATION FACTOR"))</f>
        <v>0</v>
      </c>
      <c r="Q1298" s="126">
        <f>IF(E1298="Y",VLOOKUP(D1298,'Support - Unit Adjustments'!F:G,2,FALSE),0)</f>
        <v>0</v>
      </c>
      <c r="R1298" s="155">
        <f t="shared" si="402"/>
        <v>0</v>
      </c>
      <c r="S1298" s="47">
        <f t="shared" si="401"/>
        <v>0</v>
      </c>
      <c r="T1298" s="151">
        <f t="shared" si="386"/>
        <v>2912</v>
      </c>
      <c r="U1298" s="151">
        <f t="shared" si="387"/>
        <v>0</v>
      </c>
      <c r="V1298" s="139">
        <f t="shared" si="388"/>
        <v>0</v>
      </c>
      <c r="W1298" s="152">
        <f t="shared" si="391"/>
        <v>2912</v>
      </c>
      <c r="X1298" s="127" t="str">
        <f t="shared" si="389"/>
        <v/>
      </c>
      <c r="Y1298" s="207">
        <f t="shared" si="392"/>
        <v>2912</v>
      </c>
      <c r="Z1298" s="139">
        <f t="shared" si="393"/>
        <v>2912</v>
      </c>
      <c r="AA1298" s="139">
        <f t="shared" si="394"/>
        <v>0</v>
      </c>
      <c r="AC1298" s="47">
        <f t="shared" si="395"/>
        <v>1456</v>
      </c>
      <c r="AD1298" s="47">
        <f t="shared" si="396"/>
        <v>1456</v>
      </c>
      <c r="AE1298" s="47">
        <f t="shared" si="397"/>
        <v>0</v>
      </c>
      <c r="AG1298" s="47">
        <f t="shared" si="398"/>
        <v>1456</v>
      </c>
      <c r="AH1298" s="47">
        <f t="shared" si="399"/>
        <v>1456</v>
      </c>
      <c r="AI1298" s="208">
        <f t="shared" si="400"/>
        <v>0</v>
      </c>
    </row>
    <row r="1299" spans="1:35">
      <c r="A1299" t="s">
        <v>2128</v>
      </c>
      <c r="B1299" t="s">
        <v>3155</v>
      </c>
      <c r="C1299" t="s">
        <v>2691</v>
      </c>
      <c r="D1299" t="s">
        <v>4676</v>
      </c>
      <c r="F1299" t="s">
        <v>990</v>
      </c>
      <c r="G1299" s="126">
        <f>SUMIFS('Support - Transition'!F:F,'Support - Transition'!B:B,'Step 2'!A1299,'Support - Transition'!C:C,'Step 2'!B1299,'Support - Transition'!D:D,'Step 2'!C1299,'Support - Transition'!E:E,"CIVIL")</f>
        <v>0</v>
      </c>
      <c r="H1299" s="126">
        <f>SUMIFS('Support - Transition'!F:F,'Support - Transition'!B:B,'Step 2'!A1299,'Support - Transition'!C:C,'Step 2'!B1299,'Support - Transition'!D:D,'Step 2'!C1299,'Support - Transition'!E:E,"FIRE")</f>
        <v>0</v>
      </c>
      <c r="I1299" s="126">
        <f>IF(B1299="0",SUMIFS('Support - Transition'!F:F,'Support - Transition'!J:J,'Step 2'!D1299,'Support - Transition'!E:E,"STATE UNIT"),SUMIFS('Support - Transition'!F:F,'Support - Transition'!J:J,'Step 2'!D1299))</f>
        <v>2.1266E-2</v>
      </c>
      <c r="J1299" s="126">
        <f>SUMIFS('Support - Unit Adjustments'!E:E,'Support - Unit Adjustments'!F:F,'Step 2'!D1299)</f>
        <v>0</v>
      </c>
      <c r="K1299" s="126">
        <f t="shared" si="384"/>
        <v>2.1266E-2</v>
      </c>
      <c r="L1299" s="174">
        <f>VLOOKUP(A1299,'Step 1'!$A:$E,4,FALSE)</f>
        <v>231283</v>
      </c>
      <c r="M1299" s="47">
        <f t="shared" si="385"/>
        <v>4918</v>
      </c>
      <c r="N1299" s="177">
        <f>SUMIFS('Support - Transition'!G:G,'Support - Transition'!J:J,'Step 2'!D1299,'Support - Transition'!E:E,"2009 WELFARE ALLOCATION FACTOR")</f>
        <v>0</v>
      </c>
      <c r="O1299" s="152">
        <f t="shared" si="390"/>
        <v>0</v>
      </c>
      <c r="P1299" s="126">
        <f>IF(E1299="Y",0,SUMIFS('Support - Transition'!G:G,'Support - Transition'!J:J,'Step 2'!D1299,'Support - Transition'!E:E,"2009 SCHOOL ALLOCATION FACTOR"))</f>
        <v>0</v>
      </c>
      <c r="Q1299" s="126">
        <f>IF(E1299="Y",VLOOKUP(D1299,'Support - Unit Adjustments'!F:G,2,FALSE),0)</f>
        <v>0</v>
      </c>
      <c r="R1299" s="155">
        <f t="shared" si="402"/>
        <v>0</v>
      </c>
      <c r="S1299" s="47">
        <f t="shared" si="401"/>
        <v>0</v>
      </c>
      <c r="T1299" s="151">
        <f t="shared" si="386"/>
        <v>4918</v>
      </c>
      <c r="U1299" s="151">
        <f t="shared" si="387"/>
        <v>0</v>
      </c>
      <c r="V1299" s="139">
        <f t="shared" si="388"/>
        <v>0</v>
      </c>
      <c r="W1299" s="152">
        <f t="shared" si="391"/>
        <v>4918</v>
      </c>
      <c r="X1299" s="127" t="str">
        <f t="shared" si="389"/>
        <v/>
      </c>
      <c r="Y1299" s="207">
        <f t="shared" si="392"/>
        <v>4918</v>
      </c>
      <c r="Z1299" s="139">
        <f t="shared" si="393"/>
        <v>4918</v>
      </c>
      <c r="AA1299" s="139">
        <f t="shared" si="394"/>
        <v>0</v>
      </c>
      <c r="AC1299" s="47">
        <f t="shared" si="395"/>
        <v>2459</v>
      </c>
      <c r="AD1299" s="47">
        <f t="shared" si="396"/>
        <v>2459</v>
      </c>
      <c r="AE1299" s="47">
        <f t="shared" si="397"/>
        <v>0</v>
      </c>
      <c r="AG1299" s="47">
        <f t="shared" si="398"/>
        <v>2459</v>
      </c>
      <c r="AH1299" s="47">
        <f t="shared" si="399"/>
        <v>2459</v>
      </c>
      <c r="AI1299" s="208">
        <f t="shared" si="400"/>
        <v>0</v>
      </c>
    </row>
    <row r="1300" spans="1:35">
      <c r="A1300" t="s">
        <v>2128</v>
      </c>
      <c r="B1300" t="s">
        <v>3155</v>
      </c>
      <c r="C1300" t="s">
        <v>2692</v>
      </c>
      <c r="D1300" t="s">
        <v>4677</v>
      </c>
      <c r="F1300" t="s">
        <v>991</v>
      </c>
      <c r="G1300" s="126">
        <f>SUMIFS('Support - Transition'!F:F,'Support - Transition'!B:B,'Step 2'!A1300,'Support - Transition'!C:C,'Step 2'!B1300,'Support - Transition'!D:D,'Step 2'!C1300,'Support - Transition'!E:E,"CIVIL")</f>
        <v>0</v>
      </c>
      <c r="H1300" s="126">
        <f>SUMIFS('Support - Transition'!F:F,'Support - Transition'!B:B,'Step 2'!A1300,'Support - Transition'!C:C,'Step 2'!B1300,'Support - Transition'!D:D,'Step 2'!C1300,'Support - Transition'!E:E,"FIRE")</f>
        <v>0</v>
      </c>
      <c r="I1300" s="126">
        <f>IF(B1300="0",SUMIFS('Support - Transition'!F:F,'Support - Transition'!J:J,'Step 2'!D1300,'Support - Transition'!E:E,"STATE UNIT"),SUMIFS('Support - Transition'!F:F,'Support - Transition'!J:J,'Step 2'!D1300))</f>
        <v>1.036E-3</v>
      </c>
      <c r="J1300" s="126">
        <f>SUMIFS('Support - Unit Adjustments'!E:E,'Support - Unit Adjustments'!F:F,'Step 2'!D1300)</f>
        <v>0</v>
      </c>
      <c r="K1300" s="126">
        <f t="shared" si="384"/>
        <v>1.036E-3</v>
      </c>
      <c r="L1300" s="174">
        <f>VLOOKUP(A1300,'Step 1'!$A:$E,4,FALSE)</f>
        <v>231283</v>
      </c>
      <c r="M1300" s="47">
        <f t="shared" si="385"/>
        <v>240</v>
      </c>
      <c r="N1300" s="177">
        <f>SUMIFS('Support - Transition'!G:G,'Support - Transition'!J:J,'Step 2'!D1300,'Support - Transition'!E:E,"2009 WELFARE ALLOCATION FACTOR")</f>
        <v>0</v>
      </c>
      <c r="O1300" s="152">
        <f t="shared" si="390"/>
        <v>0</v>
      </c>
      <c r="P1300" s="126">
        <f>IF(E1300="Y",0,SUMIFS('Support - Transition'!G:G,'Support - Transition'!J:J,'Step 2'!D1300,'Support - Transition'!E:E,"2009 SCHOOL ALLOCATION FACTOR"))</f>
        <v>0</v>
      </c>
      <c r="Q1300" s="126">
        <f>IF(E1300="Y",VLOOKUP(D1300,'Support - Unit Adjustments'!F:G,2,FALSE),0)</f>
        <v>0</v>
      </c>
      <c r="R1300" s="155">
        <f t="shared" si="402"/>
        <v>0</v>
      </c>
      <c r="S1300" s="47">
        <f t="shared" si="401"/>
        <v>0</v>
      </c>
      <c r="T1300" s="151">
        <f t="shared" si="386"/>
        <v>240</v>
      </c>
      <c r="U1300" s="151">
        <f t="shared" si="387"/>
        <v>0</v>
      </c>
      <c r="V1300" s="139">
        <f t="shared" si="388"/>
        <v>0</v>
      </c>
      <c r="W1300" s="152">
        <f t="shared" si="391"/>
        <v>240</v>
      </c>
      <c r="X1300" s="127" t="str">
        <f t="shared" si="389"/>
        <v/>
      </c>
      <c r="Y1300" s="207">
        <f t="shared" si="392"/>
        <v>240</v>
      </c>
      <c r="Z1300" s="139">
        <f t="shared" si="393"/>
        <v>240</v>
      </c>
      <c r="AA1300" s="139">
        <f t="shared" si="394"/>
        <v>0</v>
      </c>
      <c r="AC1300" s="47">
        <f t="shared" si="395"/>
        <v>120</v>
      </c>
      <c r="AD1300" s="47">
        <f t="shared" si="396"/>
        <v>120</v>
      </c>
      <c r="AE1300" s="47">
        <f t="shared" si="397"/>
        <v>0</v>
      </c>
      <c r="AG1300" s="47">
        <f t="shared" si="398"/>
        <v>120</v>
      </c>
      <c r="AH1300" s="47">
        <f t="shared" si="399"/>
        <v>120</v>
      </c>
      <c r="AI1300" s="208">
        <f t="shared" si="400"/>
        <v>0</v>
      </c>
    </row>
    <row r="1301" spans="1:35">
      <c r="A1301" t="s">
        <v>2128</v>
      </c>
      <c r="B1301" t="s">
        <v>3160</v>
      </c>
      <c r="C1301" t="s">
        <v>2693</v>
      </c>
      <c r="D1301" t="s">
        <v>4678</v>
      </c>
      <c r="F1301" t="s">
        <v>4679</v>
      </c>
      <c r="G1301" s="126">
        <f>SUMIFS('Support - Transition'!F:F,'Support - Transition'!B:B,'Step 2'!A1301,'Support - Transition'!C:C,'Step 2'!B1301,'Support - Transition'!D:D,'Step 2'!C1301,'Support - Transition'!E:E,"CIVIL")</f>
        <v>0</v>
      </c>
      <c r="H1301" s="126">
        <f>SUMIFS('Support - Transition'!F:F,'Support - Transition'!B:B,'Step 2'!A1301,'Support - Transition'!C:C,'Step 2'!B1301,'Support - Transition'!D:D,'Step 2'!C1301,'Support - Transition'!E:E,"FIRE")</f>
        <v>0</v>
      </c>
      <c r="I1301" s="126">
        <f>IF(B1301="0",SUMIFS('Support - Transition'!F:F,'Support - Transition'!J:J,'Step 2'!D1301,'Support - Transition'!E:E,"STATE UNIT"),SUMIFS('Support - Transition'!F:F,'Support - Transition'!J:J,'Step 2'!D1301))</f>
        <v>0.152226</v>
      </c>
      <c r="J1301" s="126">
        <f>SUMIFS('Support - Unit Adjustments'!E:E,'Support - Unit Adjustments'!F:F,'Step 2'!D1301)</f>
        <v>0</v>
      </c>
      <c r="K1301" s="126">
        <f t="shared" si="384"/>
        <v>0.152226</v>
      </c>
      <c r="L1301" s="174">
        <f>VLOOKUP(A1301,'Step 1'!$A:$E,4,FALSE)</f>
        <v>231283</v>
      </c>
      <c r="M1301" s="47">
        <f t="shared" si="385"/>
        <v>35207</v>
      </c>
      <c r="N1301" s="177">
        <f>SUMIFS('Support - Transition'!G:G,'Support - Transition'!J:J,'Step 2'!D1301,'Support - Transition'!E:E,"2009 WELFARE ALLOCATION FACTOR")</f>
        <v>0</v>
      </c>
      <c r="O1301" s="152">
        <f t="shared" si="390"/>
        <v>0</v>
      </c>
      <c r="P1301" s="126">
        <f>IF(E1301="Y",0,SUMIFS('Support - Transition'!G:G,'Support - Transition'!J:J,'Step 2'!D1301,'Support - Transition'!E:E,"2009 SCHOOL ALLOCATION FACTOR"))</f>
        <v>0.44967800000000002</v>
      </c>
      <c r="Q1301" s="126">
        <f>IF(E1301="Y",VLOOKUP(D1301,'Support - Unit Adjustments'!F:G,2,FALSE),0)</f>
        <v>0</v>
      </c>
      <c r="R1301" s="155">
        <f t="shared" si="402"/>
        <v>0.44967800000000002</v>
      </c>
      <c r="S1301" s="47">
        <f t="shared" si="401"/>
        <v>15832</v>
      </c>
      <c r="T1301" s="151">
        <f t="shared" si="386"/>
        <v>19375</v>
      </c>
      <c r="U1301" s="151">
        <f t="shared" si="387"/>
        <v>0</v>
      </c>
      <c r="V1301" s="139">
        <f t="shared" si="388"/>
        <v>0</v>
      </c>
      <c r="W1301" s="152">
        <f t="shared" si="391"/>
        <v>19375</v>
      </c>
      <c r="X1301" s="127" t="str">
        <f t="shared" si="389"/>
        <v/>
      </c>
      <c r="Y1301" s="207">
        <f t="shared" si="392"/>
        <v>19375</v>
      </c>
      <c r="Z1301" s="139">
        <f t="shared" si="393"/>
        <v>19375</v>
      </c>
      <c r="AA1301" s="139">
        <f t="shared" si="394"/>
        <v>0</v>
      </c>
      <c r="AC1301" s="47">
        <f t="shared" si="395"/>
        <v>9688</v>
      </c>
      <c r="AD1301" s="47">
        <f t="shared" si="396"/>
        <v>9688</v>
      </c>
      <c r="AE1301" s="47">
        <f t="shared" si="397"/>
        <v>0</v>
      </c>
      <c r="AG1301" s="47">
        <f t="shared" si="398"/>
        <v>9687</v>
      </c>
      <c r="AH1301" s="47">
        <f t="shared" si="399"/>
        <v>9687</v>
      </c>
      <c r="AI1301" s="208">
        <f t="shared" si="400"/>
        <v>0</v>
      </c>
    </row>
    <row r="1302" spans="1:35">
      <c r="A1302" t="s">
        <v>2128</v>
      </c>
      <c r="B1302" t="s">
        <v>3160</v>
      </c>
      <c r="C1302" t="s">
        <v>2694</v>
      </c>
      <c r="D1302" t="s">
        <v>4680</v>
      </c>
      <c r="F1302" t="s">
        <v>994</v>
      </c>
      <c r="G1302" s="126">
        <f>SUMIFS('Support - Transition'!F:F,'Support - Transition'!B:B,'Step 2'!A1302,'Support - Transition'!C:C,'Step 2'!B1302,'Support - Transition'!D:D,'Step 2'!C1302,'Support - Transition'!E:E,"CIVIL")</f>
        <v>0</v>
      </c>
      <c r="H1302" s="126">
        <f>SUMIFS('Support - Transition'!F:F,'Support - Transition'!B:B,'Step 2'!A1302,'Support - Transition'!C:C,'Step 2'!B1302,'Support - Transition'!D:D,'Step 2'!C1302,'Support - Transition'!E:E,"FIRE")</f>
        <v>0</v>
      </c>
      <c r="I1302" s="126">
        <f>IF(B1302="0",SUMIFS('Support - Transition'!F:F,'Support - Transition'!J:J,'Step 2'!D1302,'Support - Transition'!E:E,"STATE UNIT"),SUMIFS('Support - Transition'!F:F,'Support - Transition'!J:J,'Step 2'!D1302))</f>
        <v>0.25154799999999999</v>
      </c>
      <c r="J1302" s="126">
        <f>SUMIFS('Support - Unit Adjustments'!E:E,'Support - Unit Adjustments'!F:F,'Step 2'!D1302)</f>
        <v>0</v>
      </c>
      <c r="K1302" s="126">
        <f t="shared" si="384"/>
        <v>0.25154799999999999</v>
      </c>
      <c r="L1302" s="174">
        <f>VLOOKUP(A1302,'Step 1'!$A:$E,4,FALSE)</f>
        <v>231283</v>
      </c>
      <c r="M1302" s="47">
        <f t="shared" si="385"/>
        <v>58179</v>
      </c>
      <c r="N1302" s="177">
        <f>SUMIFS('Support - Transition'!G:G,'Support - Transition'!J:J,'Step 2'!D1302,'Support - Transition'!E:E,"2009 WELFARE ALLOCATION FACTOR")</f>
        <v>0</v>
      </c>
      <c r="O1302" s="152">
        <f t="shared" si="390"/>
        <v>0</v>
      </c>
      <c r="P1302" s="126">
        <f>IF(E1302="Y",0,SUMIFS('Support - Transition'!G:G,'Support - Transition'!J:J,'Step 2'!D1302,'Support - Transition'!E:E,"2009 SCHOOL ALLOCATION FACTOR"))</f>
        <v>0.47811399999999998</v>
      </c>
      <c r="Q1302" s="126">
        <f>IF(E1302="Y",VLOOKUP(D1302,'Support - Unit Adjustments'!F:G,2,FALSE),0)</f>
        <v>0</v>
      </c>
      <c r="R1302" s="155">
        <f t="shared" si="402"/>
        <v>0.47811399999999998</v>
      </c>
      <c r="S1302" s="47">
        <f t="shared" si="401"/>
        <v>27816</v>
      </c>
      <c r="T1302" s="151">
        <f t="shared" si="386"/>
        <v>30363</v>
      </c>
      <c r="U1302" s="151">
        <f t="shared" si="387"/>
        <v>0</v>
      </c>
      <c r="V1302" s="139">
        <f t="shared" si="388"/>
        <v>0</v>
      </c>
      <c r="W1302" s="152">
        <f t="shared" si="391"/>
        <v>30363</v>
      </c>
      <c r="X1302" s="127" t="str">
        <f t="shared" si="389"/>
        <v/>
      </c>
      <c r="Y1302" s="207">
        <f t="shared" si="392"/>
        <v>30363</v>
      </c>
      <c r="Z1302" s="139">
        <f t="shared" si="393"/>
        <v>30363</v>
      </c>
      <c r="AA1302" s="139">
        <f t="shared" si="394"/>
        <v>0</v>
      </c>
      <c r="AC1302" s="47">
        <f t="shared" si="395"/>
        <v>15182</v>
      </c>
      <c r="AD1302" s="47">
        <f t="shared" si="396"/>
        <v>15182</v>
      </c>
      <c r="AE1302" s="47">
        <f t="shared" si="397"/>
        <v>0</v>
      </c>
      <c r="AG1302" s="47">
        <f t="shared" si="398"/>
        <v>15181</v>
      </c>
      <c r="AH1302" s="47">
        <f t="shared" si="399"/>
        <v>15181</v>
      </c>
      <c r="AI1302" s="208">
        <f t="shared" si="400"/>
        <v>0</v>
      </c>
    </row>
    <row r="1303" spans="1:35">
      <c r="A1303" t="s">
        <v>2128</v>
      </c>
      <c r="B1303" t="s">
        <v>3160</v>
      </c>
      <c r="C1303" t="s">
        <v>2695</v>
      </c>
      <c r="D1303" t="s">
        <v>4681</v>
      </c>
      <c r="F1303" t="s">
        <v>992</v>
      </c>
      <c r="G1303" s="126">
        <f>SUMIFS('Support - Transition'!F:F,'Support - Transition'!B:B,'Step 2'!A1303,'Support - Transition'!C:C,'Step 2'!B1303,'Support - Transition'!D:D,'Step 2'!C1303,'Support - Transition'!E:E,"CIVIL")</f>
        <v>0</v>
      </c>
      <c r="H1303" s="126">
        <f>SUMIFS('Support - Transition'!F:F,'Support - Transition'!B:B,'Step 2'!A1303,'Support - Transition'!C:C,'Step 2'!B1303,'Support - Transition'!D:D,'Step 2'!C1303,'Support - Transition'!E:E,"FIRE")</f>
        <v>0</v>
      </c>
      <c r="I1303" s="126">
        <f>IF(B1303="0",SUMIFS('Support - Transition'!F:F,'Support - Transition'!J:J,'Step 2'!D1303,'Support - Transition'!E:E,"STATE UNIT"),SUMIFS('Support - Transition'!F:F,'Support - Transition'!J:J,'Step 2'!D1303))</f>
        <v>0.26509500000000003</v>
      </c>
      <c r="J1303" s="126">
        <f>SUMIFS('Support - Unit Adjustments'!E:E,'Support - Unit Adjustments'!F:F,'Step 2'!D1303)</f>
        <v>0</v>
      </c>
      <c r="K1303" s="126">
        <f t="shared" si="384"/>
        <v>0.26509500000000003</v>
      </c>
      <c r="L1303" s="174">
        <f>VLOOKUP(A1303,'Step 1'!$A:$E,4,FALSE)</f>
        <v>231283</v>
      </c>
      <c r="M1303" s="47">
        <f t="shared" si="385"/>
        <v>61312</v>
      </c>
      <c r="N1303" s="177">
        <f>SUMIFS('Support - Transition'!G:G,'Support - Transition'!J:J,'Step 2'!D1303,'Support - Transition'!E:E,"2009 WELFARE ALLOCATION FACTOR")</f>
        <v>0</v>
      </c>
      <c r="O1303" s="152">
        <f t="shared" si="390"/>
        <v>0</v>
      </c>
      <c r="P1303" s="126">
        <f>IF(E1303="Y",0,SUMIFS('Support - Transition'!G:G,'Support - Transition'!J:J,'Step 2'!D1303,'Support - Transition'!E:E,"2009 SCHOOL ALLOCATION FACTOR"))</f>
        <v>0.50151199999999996</v>
      </c>
      <c r="Q1303" s="126">
        <f>IF(E1303="Y",VLOOKUP(D1303,'Support - Unit Adjustments'!F:G,2,FALSE),0)</f>
        <v>0</v>
      </c>
      <c r="R1303" s="155">
        <f t="shared" si="402"/>
        <v>0.50151199999999996</v>
      </c>
      <c r="S1303" s="47">
        <f t="shared" si="401"/>
        <v>30749</v>
      </c>
      <c r="T1303" s="151">
        <f t="shared" si="386"/>
        <v>30563</v>
      </c>
      <c r="U1303" s="151">
        <f t="shared" si="387"/>
        <v>0</v>
      </c>
      <c r="V1303" s="139">
        <f t="shared" si="388"/>
        <v>0</v>
      </c>
      <c r="W1303" s="152">
        <f t="shared" si="391"/>
        <v>30563</v>
      </c>
      <c r="X1303" s="127" t="str">
        <f t="shared" si="389"/>
        <v/>
      </c>
      <c r="Y1303" s="207">
        <f t="shared" si="392"/>
        <v>30563</v>
      </c>
      <c r="Z1303" s="139">
        <f t="shared" si="393"/>
        <v>30563</v>
      </c>
      <c r="AA1303" s="139">
        <f t="shared" si="394"/>
        <v>0</v>
      </c>
      <c r="AC1303" s="47">
        <f t="shared" si="395"/>
        <v>15282</v>
      </c>
      <c r="AD1303" s="47">
        <f t="shared" si="396"/>
        <v>15282</v>
      </c>
      <c r="AE1303" s="47">
        <f t="shared" si="397"/>
        <v>0</v>
      </c>
      <c r="AG1303" s="47">
        <f t="shared" si="398"/>
        <v>15281</v>
      </c>
      <c r="AH1303" s="47">
        <f t="shared" si="399"/>
        <v>15281</v>
      </c>
      <c r="AI1303" s="208">
        <f t="shared" si="400"/>
        <v>0</v>
      </c>
    </row>
    <row r="1304" spans="1:35">
      <c r="A1304" t="s">
        <v>2128</v>
      </c>
      <c r="B1304" t="s">
        <v>3166</v>
      </c>
      <c r="C1304" t="s">
        <v>4682</v>
      </c>
      <c r="D1304" t="s">
        <v>4683</v>
      </c>
      <c r="F1304" t="s">
        <v>995</v>
      </c>
      <c r="G1304" s="126">
        <f>SUMIFS('Support - Transition'!F:F,'Support - Transition'!B:B,'Step 2'!A1304,'Support - Transition'!C:C,'Step 2'!B1304,'Support - Transition'!D:D,'Step 2'!C1304,'Support - Transition'!E:E,"CIVIL")</f>
        <v>0</v>
      </c>
      <c r="H1304" s="126">
        <f>SUMIFS('Support - Transition'!F:F,'Support - Transition'!B:B,'Step 2'!A1304,'Support - Transition'!C:C,'Step 2'!B1304,'Support - Transition'!D:D,'Step 2'!C1304,'Support - Transition'!E:E,"FIRE")</f>
        <v>0</v>
      </c>
      <c r="I1304" s="126">
        <f>IF(B1304="0",SUMIFS('Support - Transition'!F:F,'Support - Transition'!J:J,'Step 2'!D1304,'Support - Transition'!E:E,"STATE UNIT"),SUMIFS('Support - Transition'!F:F,'Support - Transition'!J:J,'Step 2'!D1304))</f>
        <v>1.6285999999999998E-2</v>
      </c>
      <c r="J1304" s="126">
        <f>SUMIFS('Support - Unit Adjustments'!E:E,'Support - Unit Adjustments'!F:F,'Step 2'!D1304)</f>
        <v>0</v>
      </c>
      <c r="K1304" s="126">
        <f t="shared" si="384"/>
        <v>1.6285999999999998E-2</v>
      </c>
      <c r="L1304" s="174">
        <f>VLOOKUP(A1304,'Step 1'!$A:$E,4,FALSE)</f>
        <v>231283</v>
      </c>
      <c r="M1304" s="47">
        <f t="shared" si="385"/>
        <v>3767</v>
      </c>
      <c r="N1304" s="177">
        <f>SUMIFS('Support - Transition'!G:G,'Support - Transition'!J:J,'Step 2'!D1304,'Support - Transition'!E:E,"2009 WELFARE ALLOCATION FACTOR")</f>
        <v>0</v>
      </c>
      <c r="O1304" s="152">
        <f t="shared" si="390"/>
        <v>0</v>
      </c>
      <c r="P1304" s="126">
        <f>IF(E1304="Y",0,SUMIFS('Support - Transition'!G:G,'Support - Transition'!J:J,'Step 2'!D1304,'Support - Transition'!E:E,"2009 SCHOOL ALLOCATION FACTOR"))</f>
        <v>0</v>
      </c>
      <c r="Q1304" s="126">
        <f>IF(E1304="Y",VLOOKUP(D1304,'Support - Unit Adjustments'!F:G,2,FALSE),0)</f>
        <v>0</v>
      </c>
      <c r="R1304" s="155">
        <f t="shared" si="402"/>
        <v>0</v>
      </c>
      <c r="S1304" s="47">
        <f t="shared" si="401"/>
        <v>0</v>
      </c>
      <c r="T1304" s="151">
        <f t="shared" si="386"/>
        <v>3767</v>
      </c>
      <c r="U1304" s="151">
        <f t="shared" si="387"/>
        <v>0</v>
      </c>
      <c r="V1304" s="139">
        <f t="shared" si="388"/>
        <v>0</v>
      </c>
      <c r="W1304" s="152">
        <f t="shared" si="391"/>
        <v>3767</v>
      </c>
      <c r="X1304" s="127" t="str">
        <f t="shared" si="389"/>
        <v/>
      </c>
      <c r="Y1304" s="207">
        <f t="shared" si="392"/>
        <v>3767</v>
      </c>
      <c r="Z1304" s="139">
        <f t="shared" si="393"/>
        <v>3767</v>
      </c>
      <c r="AA1304" s="139">
        <f t="shared" si="394"/>
        <v>0</v>
      </c>
      <c r="AC1304" s="47">
        <f t="shared" si="395"/>
        <v>1884</v>
      </c>
      <c r="AD1304" s="47">
        <f t="shared" si="396"/>
        <v>1884</v>
      </c>
      <c r="AE1304" s="47">
        <f t="shared" si="397"/>
        <v>0</v>
      </c>
      <c r="AG1304" s="47">
        <f t="shared" si="398"/>
        <v>1883</v>
      </c>
      <c r="AH1304" s="47">
        <f t="shared" si="399"/>
        <v>1883</v>
      </c>
      <c r="AI1304" s="208">
        <f t="shared" si="400"/>
        <v>0</v>
      </c>
    </row>
    <row r="1305" spans="1:35">
      <c r="A1305" t="s">
        <v>2128</v>
      </c>
      <c r="B1305" t="s">
        <v>3170</v>
      </c>
      <c r="C1305" t="s">
        <v>3708</v>
      </c>
      <c r="D1305" t="s">
        <v>4684</v>
      </c>
      <c r="F1305" t="s">
        <v>397</v>
      </c>
      <c r="G1305" s="126">
        <f>SUMIFS('Support - Transition'!F:F,'Support - Transition'!B:B,'Step 2'!A1305,'Support - Transition'!C:C,'Step 2'!B1305,'Support - Transition'!D:D,'Step 2'!C1305,'Support - Transition'!E:E,"CIVIL")</f>
        <v>0</v>
      </c>
      <c r="H1305" s="126">
        <f>SUMIFS('Support - Transition'!F:F,'Support - Transition'!B:B,'Step 2'!A1305,'Support - Transition'!C:C,'Step 2'!B1305,'Support - Transition'!D:D,'Step 2'!C1305,'Support - Transition'!E:E,"FIRE")</f>
        <v>0</v>
      </c>
      <c r="I1305" s="126">
        <f>IF(B1305="0",SUMIFS('Support - Transition'!F:F,'Support - Transition'!J:J,'Step 2'!D1305,'Support - Transition'!E:E,"STATE UNIT"),SUMIFS('Support - Transition'!F:F,'Support - Transition'!J:J,'Step 2'!D1305))</f>
        <v>5.3600000000000314E-3</v>
      </c>
      <c r="J1305" s="126">
        <f>SUMIFS('Support - Unit Adjustments'!E:E,'Support - Unit Adjustments'!F:F,'Step 2'!D1305)</f>
        <v>0</v>
      </c>
      <c r="K1305" s="126">
        <f t="shared" si="384"/>
        <v>5.3600000000000314E-3</v>
      </c>
      <c r="L1305" s="174">
        <f>VLOOKUP(A1305,'Step 1'!$A:$E,4,FALSE)</f>
        <v>231283</v>
      </c>
      <c r="M1305" s="47">
        <f t="shared" si="385"/>
        <v>1240</v>
      </c>
      <c r="N1305" s="177">
        <f>SUMIFS('Support - Transition'!G:G,'Support - Transition'!J:J,'Step 2'!D1305,'Support - Transition'!E:E,"2009 WELFARE ALLOCATION FACTOR")</f>
        <v>0</v>
      </c>
      <c r="O1305" s="152">
        <f t="shared" si="390"/>
        <v>0</v>
      </c>
      <c r="P1305" s="126">
        <f>IF(E1305="Y",0,SUMIFS('Support - Transition'!G:G,'Support - Transition'!J:J,'Step 2'!D1305,'Support - Transition'!E:E,"2009 SCHOOL ALLOCATION FACTOR"))</f>
        <v>0</v>
      </c>
      <c r="Q1305" s="126">
        <f>IF(E1305="Y",VLOOKUP(D1305,'Support - Unit Adjustments'!F:G,2,FALSE),0)</f>
        <v>0</v>
      </c>
      <c r="R1305" s="155">
        <f t="shared" si="402"/>
        <v>0</v>
      </c>
      <c r="S1305" s="47">
        <f t="shared" si="401"/>
        <v>0</v>
      </c>
      <c r="T1305" s="151">
        <f t="shared" si="386"/>
        <v>1240</v>
      </c>
      <c r="U1305" s="151">
        <f t="shared" si="387"/>
        <v>0</v>
      </c>
      <c r="V1305" s="139">
        <f t="shared" si="388"/>
        <v>0</v>
      </c>
      <c r="W1305" s="152">
        <f t="shared" si="391"/>
        <v>1240</v>
      </c>
      <c r="X1305" s="127" t="str">
        <f t="shared" si="389"/>
        <v/>
      </c>
      <c r="Y1305" s="207">
        <f t="shared" si="392"/>
        <v>1240</v>
      </c>
      <c r="Z1305" s="139">
        <f t="shared" si="393"/>
        <v>1240</v>
      </c>
      <c r="AA1305" s="139">
        <f t="shared" si="394"/>
        <v>0</v>
      </c>
      <c r="AC1305" s="47">
        <f t="shared" si="395"/>
        <v>620</v>
      </c>
      <c r="AD1305" s="47">
        <f t="shared" si="396"/>
        <v>620</v>
      </c>
      <c r="AE1305" s="47">
        <f t="shared" si="397"/>
        <v>0</v>
      </c>
      <c r="AG1305" s="47">
        <f t="shared" si="398"/>
        <v>620</v>
      </c>
      <c r="AH1305" s="47">
        <f t="shared" si="399"/>
        <v>620</v>
      </c>
      <c r="AI1305" s="208">
        <f t="shared" si="400"/>
        <v>0</v>
      </c>
    </row>
    <row r="1306" spans="1:35">
      <c r="A1306" t="s">
        <v>2129</v>
      </c>
      <c r="B1306" s="48" t="s">
        <v>6274</v>
      </c>
      <c r="C1306" t="s">
        <v>2187</v>
      </c>
      <c r="D1306" t="str">
        <f>A1306&amp;B1306&amp;C1306</f>
        <v>4500000</v>
      </c>
      <c r="F1306" t="s">
        <v>6319</v>
      </c>
      <c r="G1306" s="126">
        <f>SUMIFS('Support - Transition'!F:F,'Support - Transition'!B:B,'Step 2'!A1306,'Support - Transition'!C:C,'Step 2'!B1306,'Support - Transition'!D:D,'Step 2'!C1306,'Support - Transition'!E:E,"CIVIL")</f>
        <v>0</v>
      </c>
      <c r="H1306" s="126">
        <f>SUMIFS('Support - Transition'!F:F,'Support - Transition'!B:B,'Step 2'!A1306,'Support - Transition'!C:C,'Step 2'!B1306,'Support - Transition'!D:D,'Step 2'!C1306,'Support - Transition'!E:E,"FIRE")</f>
        <v>0</v>
      </c>
      <c r="I1306" s="126">
        <f>IF(B1306="0",SUMIFS('Support - Transition'!F:F,'Support - Transition'!J:J,'Step 2'!D1306,'Support - Transition'!E:E,"STATE UNIT"),SUMIFS('Support - Transition'!F:F,'Support - Transition'!J:J,'Step 2'!D1306))</f>
        <v>4.6999999999999999E-4</v>
      </c>
      <c r="J1306" s="126">
        <f>SUMIFS('Support - Unit Adjustments'!E:E,'Support - Unit Adjustments'!F:F,'Step 2'!D1306)</f>
        <v>0</v>
      </c>
      <c r="K1306" s="126">
        <f t="shared" si="384"/>
        <v>4.6999999999999999E-4</v>
      </c>
      <c r="L1306" s="174">
        <f>VLOOKUP(A1306,'Step 1'!$A:$E,4,FALSE)</f>
        <v>5422774</v>
      </c>
      <c r="M1306" s="47">
        <f t="shared" si="385"/>
        <v>2549</v>
      </c>
      <c r="N1306" s="177">
        <f>SUMIFS('Support - Transition'!G:G,'Support - Transition'!J:J,'Step 2'!D1306,'Support - Transition'!E:E,"2009 WELFARE ALLOCATION FACTOR")</f>
        <v>0</v>
      </c>
      <c r="O1306" s="152">
        <f t="shared" si="390"/>
        <v>0</v>
      </c>
      <c r="P1306" s="126">
        <f>IF(E1306="Y",0,SUMIFS('Support - Transition'!G:G,'Support - Transition'!J:J,'Step 2'!D1306,'Support - Transition'!E:E,"2009 SCHOOL ALLOCATION FACTOR"))</f>
        <v>0</v>
      </c>
      <c r="Q1306" s="126">
        <f>IF(E1306="Y",VLOOKUP(D1306,'Support - Unit Adjustments'!F:G,2,FALSE),0)</f>
        <v>0</v>
      </c>
      <c r="R1306" s="155">
        <f t="shared" si="402"/>
        <v>0</v>
      </c>
      <c r="S1306" s="47">
        <f t="shared" si="401"/>
        <v>0</v>
      </c>
      <c r="T1306" s="151">
        <f t="shared" si="386"/>
        <v>2549</v>
      </c>
      <c r="U1306" s="151">
        <f t="shared" si="387"/>
        <v>5422778</v>
      </c>
      <c r="V1306" s="139">
        <f t="shared" si="388"/>
        <v>4</v>
      </c>
      <c r="W1306" s="152">
        <f t="shared" si="391"/>
        <v>2545</v>
      </c>
      <c r="X1306" s="127">
        <f t="shared" si="389"/>
        <v>0</v>
      </c>
      <c r="Y1306" s="207">
        <f t="shared" si="392"/>
        <v>2545</v>
      </c>
      <c r="Z1306" s="139">
        <f t="shared" si="393"/>
        <v>2545</v>
      </c>
      <c r="AA1306" s="139">
        <f t="shared" si="394"/>
        <v>0</v>
      </c>
      <c r="AC1306" s="47">
        <f t="shared" si="395"/>
        <v>1273</v>
      </c>
      <c r="AD1306" s="47">
        <f t="shared" si="396"/>
        <v>1273</v>
      </c>
      <c r="AE1306" s="47">
        <f t="shared" si="397"/>
        <v>0</v>
      </c>
      <c r="AG1306" s="47">
        <f t="shared" si="398"/>
        <v>1272</v>
      </c>
      <c r="AH1306" s="47">
        <f t="shared" si="399"/>
        <v>1272</v>
      </c>
      <c r="AI1306" s="208">
        <f t="shared" si="400"/>
        <v>0</v>
      </c>
    </row>
    <row r="1307" spans="1:35">
      <c r="A1307" t="s">
        <v>2129</v>
      </c>
      <c r="B1307" t="s">
        <v>3140</v>
      </c>
      <c r="C1307" t="s">
        <v>2187</v>
      </c>
      <c r="D1307" t="s">
        <v>4685</v>
      </c>
      <c r="F1307" t="s">
        <v>997</v>
      </c>
      <c r="G1307" s="126">
        <f>SUMIFS('Support - Transition'!F:F,'Support - Transition'!B:B,'Step 2'!A1307,'Support - Transition'!C:C,'Step 2'!B1307,'Support - Transition'!D:D,'Step 2'!C1307,'Support - Transition'!E:E,"CIVIL")</f>
        <v>0</v>
      </c>
      <c r="H1307" s="126">
        <f>SUMIFS('Support - Transition'!F:F,'Support - Transition'!B:B,'Step 2'!A1307,'Support - Transition'!C:C,'Step 2'!B1307,'Support - Transition'!D:D,'Step 2'!C1307,'Support - Transition'!E:E,"FIRE")</f>
        <v>0</v>
      </c>
      <c r="I1307" s="126">
        <f>IF(B1307="0",SUMIFS('Support - Transition'!F:F,'Support - Transition'!J:J,'Step 2'!D1307,'Support - Transition'!E:E,"STATE UNIT"),SUMIFS('Support - Transition'!F:F,'Support - Transition'!J:J,'Step 2'!D1307))</f>
        <v>0.228634</v>
      </c>
      <c r="J1307" s="126">
        <f>SUMIFS('Support - Unit Adjustments'!E:E,'Support - Unit Adjustments'!F:F,'Step 2'!D1307)</f>
        <v>0</v>
      </c>
      <c r="K1307" s="126">
        <f t="shared" si="384"/>
        <v>0.228634</v>
      </c>
      <c r="L1307" s="174">
        <f>VLOOKUP(A1307,'Step 1'!$A:$E,4,FALSE)</f>
        <v>5422774</v>
      </c>
      <c r="M1307" s="47">
        <f t="shared" si="385"/>
        <v>1239831</v>
      </c>
      <c r="N1307" s="177">
        <f>SUMIFS('Support - Transition'!G:G,'Support - Transition'!J:J,'Step 2'!D1307,'Support - Transition'!E:E,"2009 WELFARE ALLOCATION FACTOR")</f>
        <v>0.44061899999999998</v>
      </c>
      <c r="O1307" s="152">
        <f t="shared" si="390"/>
        <v>546293</v>
      </c>
      <c r="P1307" s="126">
        <f>IF(E1307="Y",0,SUMIFS('Support - Transition'!G:G,'Support - Transition'!J:J,'Step 2'!D1307,'Support - Transition'!E:E,"2009 SCHOOL ALLOCATION FACTOR"))</f>
        <v>0</v>
      </c>
      <c r="Q1307" s="126">
        <f>IF(E1307="Y",VLOOKUP(D1307,'Support - Unit Adjustments'!F:G,2,FALSE),0)</f>
        <v>0</v>
      </c>
      <c r="R1307" s="155">
        <f t="shared" si="402"/>
        <v>0</v>
      </c>
      <c r="S1307" s="47">
        <f t="shared" si="401"/>
        <v>0</v>
      </c>
      <c r="T1307" s="151">
        <f t="shared" si="386"/>
        <v>693538</v>
      </c>
      <c r="U1307" s="151">
        <f t="shared" si="387"/>
        <v>0</v>
      </c>
      <c r="V1307" s="139">
        <f t="shared" si="388"/>
        <v>0</v>
      </c>
      <c r="W1307" s="152">
        <f t="shared" si="391"/>
        <v>693538</v>
      </c>
      <c r="X1307" s="127" t="str">
        <f t="shared" si="389"/>
        <v/>
      </c>
      <c r="Y1307" s="207">
        <f t="shared" si="392"/>
        <v>693538</v>
      </c>
      <c r="Z1307" s="139">
        <f t="shared" si="393"/>
        <v>693538</v>
      </c>
      <c r="AA1307" s="139">
        <f t="shared" si="394"/>
        <v>0</v>
      </c>
      <c r="AC1307" s="47">
        <f t="shared" si="395"/>
        <v>346769</v>
      </c>
      <c r="AD1307" s="47">
        <f t="shared" si="396"/>
        <v>346769</v>
      </c>
      <c r="AE1307" s="47">
        <f t="shared" si="397"/>
        <v>0</v>
      </c>
      <c r="AG1307" s="47">
        <f t="shared" si="398"/>
        <v>346769</v>
      </c>
      <c r="AH1307" s="47">
        <f t="shared" si="399"/>
        <v>346769</v>
      </c>
      <c r="AI1307" s="208">
        <f t="shared" si="400"/>
        <v>0</v>
      </c>
    </row>
    <row r="1308" spans="1:35">
      <c r="A1308" t="s">
        <v>2129</v>
      </c>
      <c r="B1308" t="s">
        <v>3142</v>
      </c>
      <c r="C1308" t="s">
        <v>2188</v>
      </c>
      <c r="D1308" t="s">
        <v>4686</v>
      </c>
      <c r="F1308" t="s">
        <v>998</v>
      </c>
      <c r="G1308" s="126">
        <f>SUMIFS('Support - Transition'!F:F,'Support - Transition'!B:B,'Step 2'!A1308,'Support - Transition'!C:C,'Step 2'!B1308,'Support - Transition'!D:D,'Step 2'!C1308,'Support - Transition'!E:E,"CIVIL")</f>
        <v>2.5218999999999998E-2</v>
      </c>
      <c r="H1308" s="126">
        <f>SUMIFS('Support - Transition'!F:F,'Support - Transition'!B:B,'Step 2'!A1308,'Support - Transition'!C:C,'Step 2'!B1308,'Support - Transition'!D:D,'Step 2'!C1308,'Support - Transition'!E:E,"FIRE")</f>
        <v>0</v>
      </c>
      <c r="I1308" s="126">
        <f>IF(B1308="0",SUMIFS('Support - Transition'!F:F,'Support - Transition'!J:J,'Step 2'!D1308,'Support - Transition'!E:E,"STATE UNIT"),SUMIFS('Support - Transition'!F:F,'Support - Transition'!J:J,'Step 2'!D1308))</f>
        <v>2.5218999999999998E-2</v>
      </c>
      <c r="J1308" s="126">
        <f>SUMIFS('Support - Unit Adjustments'!E:E,'Support - Unit Adjustments'!F:F,'Step 2'!D1308)</f>
        <v>0</v>
      </c>
      <c r="K1308" s="126">
        <f t="shared" si="384"/>
        <v>2.5218999999999998E-2</v>
      </c>
      <c r="L1308" s="174">
        <f>VLOOKUP(A1308,'Step 1'!$A:$E,4,FALSE)</f>
        <v>5422774</v>
      </c>
      <c r="M1308" s="47">
        <f t="shared" si="385"/>
        <v>136757</v>
      </c>
      <c r="N1308" s="177">
        <f>SUMIFS('Support - Transition'!G:G,'Support - Transition'!J:J,'Step 2'!D1308,'Support - Transition'!E:E,"2009 WELFARE ALLOCATION FACTOR")</f>
        <v>0</v>
      </c>
      <c r="O1308" s="152">
        <f t="shared" si="390"/>
        <v>0</v>
      </c>
      <c r="P1308" s="126">
        <f>IF(E1308="Y",0,SUMIFS('Support - Transition'!G:G,'Support - Transition'!J:J,'Step 2'!D1308,'Support - Transition'!E:E,"2009 SCHOOL ALLOCATION FACTOR"))</f>
        <v>0</v>
      </c>
      <c r="Q1308" s="126">
        <f>IF(E1308="Y",VLOOKUP(D1308,'Support - Unit Adjustments'!F:G,2,FALSE),0)</f>
        <v>0</v>
      </c>
      <c r="R1308" s="155">
        <f t="shared" si="402"/>
        <v>0</v>
      </c>
      <c r="S1308" s="47">
        <f t="shared" si="401"/>
        <v>0</v>
      </c>
      <c r="T1308" s="151">
        <f t="shared" si="386"/>
        <v>136757</v>
      </c>
      <c r="U1308" s="151">
        <f t="shared" si="387"/>
        <v>0</v>
      </c>
      <c r="V1308" s="139">
        <f t="shared" si="388"/>
        <v>0</v>
      </c>
      <c r="W1308" s="152">
        <f t="shared" si="391"/>
        <v>136757</v>
      </c>
      <c r="X1308" s="127" t="str">
        <f t="shared" si="389"/>
        <v/>
      </c>
      <c r="Y1308" s="207">
        <f t="shared" si="392"/>
        <v>136757</v>
      </c>
      <c r="Z1308" s="139">
        <f t="shared" si="393"/>
        <v>136757</v>
      </c>
      <c r="AA1308" s="139">
        <f t="shared" si="394"/>
        <v>0</v>
      </c>
      <c r="AC1308" s="47">
        <f t="shared" si="395"/>
        <v>68379</v>
      </c>
      <c r="AD1308" s="47">
        <f t="shared" si="396"/>
        <v>68379</v>
      </c>
      <c r="AE1308" s="47">
        <f t="shared" si="397"/>
        <v>0</v>
      </c>
      <c r="AG1308" s="47">
        <f t="shared" si="398"/>
        <v>68378</v>
      </c>
      <c r="AH1308" s="47">
        <f t="shared" si="399"/>
        <v>68378</v>
      </c>
      <c r="AI1308" s="208">
        <f t="shared" si="400"/>
        <v>0</v>
      </c>
    </row>
    <row r="1309" spans="1:35">
      <c r="A1309" t="s">
        <v>2129</v>
      </c>
      <c r="B1309" t="s">
        <v>3142</v>
      </c>
      <c r="C1309" t="s">
        <v>2189</v>
      </c>
      <c r="D1309" t="s">
        <v>4687</v>
      </c>
      <c r="F1309" t="s">
        <v>47</v>
      </c>
      <c r="G1309" s="126">
        <f>SUMIFS('Support - Transition'!F:F,'Support - Transition'!B:B,'Step 2'!A1309,'Support - Transition'!C:C,'Step 2'!B1309,'Support - Transition'!D:D,'Step 2'!C1309,'Support - Transition'!E:E,"CIVIL")</f>
        <v>1.5300000000000001E-4</v>
      </c>
      <c r="H1309" s="126">
        <f>SUMIFS('Support - Transition'!F:F,'Support - Transition'!B:B,'Step 2'!A1309,'Support - Transition'!C:C,'Step 2'!B1309,'Support - Transition'!D:D,'Step 2'!C1309,'Support - Transition'!E:E,"FIRE")</f>
        <v>4.5000000000000003E-5</v>
      </c>
      <c r="I1309" s="126">
        <f>IF(B1309="0",SUMIFS('Support - Transition'!F:F,'Support - Transition'!J:J,'Step 2'!D1309,'Support - Transition'!E:E,"STATE UNIT"),SUMIFS('Support - Transition'!F:F,'Support - Transition'!J:J,'Step 2'!D1309))</f>
        <v>1.9800000000000002E-4</v>
      </c>
      <c r="J1309" s="126">
        <f>SUMIFS('Support - Unit Adjustments'!E:E,'Support - Unit Adjustments'!F:F,'Step 2'!D1309)</f>
        <v>0</v>
      </c>
      <c r="K1309" s="126">
        <f t="shared" si="384"/>
        <v>1.9800000000000002E-4</v>
      </c>
      <c r="L1309" s="174">
        <f>VLOOKUP(A1309,'Step 1'!$A:$E,4,FALSE)</f>
        <v>5422774</v>
      </c>
      <c r="M1309" s="47">
        <f t="shared" si="385"/>
        <v>1074</v>
      </c>
      <c r="N1309" s="177">
        <f>SUMIFS('Support - Transition'!G:G,'Support - Transition'!J:J,'Step 2'!D1309,'Support - Transition'!E:E,"2009 WELFARE ALLOCATION FACTOR")</f>
        <v>0</v>
      </c>
      <c r="O1309" s="152">
        <f t="shared" si="390"/>
        <v>0</v>
      </c>
      <c r="P1309" s="126">
        <f>IF(E1309="Y",0,SUMIFS('Support - Transition'!G:G,'Support - Transition'!J:J,'Step 2'!D1309,'Support - Transition'!E:E,"2009 SCHOOL ALLOCATION FACTOR"))</f>
        <v>0</v>
      </c>
      <c r="Q1309" s="126">
        <f>IF(E1309="Y",VLOOKUP(D1309,'Support - Unit Adjustments'!F:G,2,FALSE),0)</f>
        <v>0</v>
      </c>
      <c r="R1309" s="155">
        <f t="shared" si="402"/>
        <v>0</v>
      </c>
      <c r="S1309" s="47">
        <f t="shared" si="401"/>
        <v>0</v>
      </c>
      <c r="T1309" s="151">
        <f t="shared" si="386"/>
        <v>1074</v>
      </c>
      <c r="U1309" s="151">
        <f t="shared" si="387"/>
        <v>0</v>
      </c>
      <c r="V1309" s="139">
        <f t="shared" si="388"/>
        <v>0</v>
      </c>
      <c r="W1309" s="152">
        <f t="shared" si="391"/>
        <v>1074</v>
      </c>
      <c r="X1309" s="127" t="str">
        <f t="shared" si="389"/>
        <v/>
      </c>
      <c r="Y1309" s="207">
        <f t="shared" si="392"/>
        <v>1074</v>
      </c>
      <c r="Z1309" s="139">
        <f t="shared" si="393"/>
        <v>830</v>
      </c>
      <c r="AA1309" s="139">
        <f t="shared" si="394"/>
        <v>244</v>
      </c>
      <c r="AC1309" s="47">
        <f t="shared" si="395"/>
        <v>537</v>
      </c>
      <c r="AD1309" s="47">
        <f t="shared" si="396"/>
        <v>415</v>
      </c>
      <c r="AE1309" s="47">
        <f t="shared" si="397"/>
        <v>122</v>
      </c>
      <c r="AG1309" s="47">
        <f t="shared" si="398"/>
        <v>537</v>
      </c>
      <c r="AH1309" s="47">
        <f t="shared" si="399"/>
        <v>415</v>
      </c>
      <c r="AI1309" s="208">
        <f t="shared" si="400"/>
        <v>122</v>
      </c>
    </row>
    <row r="1310" spans="1:35">
      <c r="A1310" t="s">
        <v>2129</v>
      </c>
      <c r="B1310" t="s">
        <v>3142</v>
      </c>
      <c r="C1310" t="s">
        <v>2190</v>
      </c>
      <c r="D1310" t="s">
        <v>4688</v>
      </c>
      <c r="F1310" t="s">
        <v>107</v>
      </c>
      <c r="G1310" s="126">
        <f>SUMIFS('Support - Transition'!F:F,'Support - Transition'!B:B,'Step 2'!A1310,'Support - Transition'!C:C,'Step 2'!B1310,'Support - Transition'!D:D,'Step 2'!C1310,'Support - Transition'!E:E,"CIVIL")</f>
        <v>4.3100000000000001E-4</v>
      </c>
      <c r="H1310" s="126">
        <f>SUMIFS('Support - Transition'!F:F,'Support - Transition'!B:B,'Step 2'!A1310,'Support - Transition'!C:C,'Step 2'!B1310,'Support - Transition'!D:D,'Step 2'!C1310,'Support - Transition'!E:E,"FIRE")</f>
        <v>1.3799999999999999E-4</v>
      </c>
      <c r="I1310" s="126">
        <f>IF(B1310="0",SUMIFS('Support - Transition'!F:F,'Support - Transition'!J:J,'Step 2'!D1310,'Support - Transition'!E:E,"STATE UNIT"),SUMIFS('Support - Transition'!F:F,'Support - Transition'!J:J,'Step 2'!D1310))</f>
        <v>5.6900000000000006E-4</v>
      </c>
      <c r="J1310" s="126">
        <f>SUMIFS('Support - Unit Adjustments'!E:E,'Support - Unit Adjustments'!F:F,'Step 2'!D1310)</f>
        <v>0</v>
      </c>
      <c r="K1310" s="126">
        <f t="shared" si="384"/>
        <v>5.6900000000000006E-4</v>
      </c>
      <c r="L1310" s="174">
        <f>VLOOKUP(A1310,'Step 1'!$A:$E,4,FALSE)</f>
        <v>5422774</v>
      </c>
      <c r="M1310" s="47">
        <f t="shared" si="385"/>
        <v>3086</v>
      </c>
      <c r="N1310" s="177">
        <f>SUMIFS('Support - Transition'!G:G,'Support - Transition'!J:J,'Step 2'!D1310,'Support - Transition'!E:E,"2009 WELFARE ALLOCATION FACTOR")</f>
        <v>0</v>
      </c>
      <c r="O1310" s="152">
        <f t="shared" si="390"/>
        <v>0</v>
      </c>
      <c r="P1310" s="126">
        <f>IF(E1310="Y",0,SUMIFS('Support - Transition'!G:G,'Support - Transition'!J:J,'Step 2'!D1310,'Support - Transition'!E:E,"2009 SCHOOL ALLOCATION FACTOR"))</f>
        <v>0</v>
      </c>
      <c r="Q1310" s="126">
        <f>IF(E1310="Y",VLOOKUP(D1310,'Support - Unit Adjustments'!F:G,2,FALSE),0)</f>
        <v>0</v>
      </c>
      <c r="R1310" s="155">
        <f t="shared" si="402"/>
        <v>0</v>
      </c>
      <c r="S1310" s="47">
        <f t="shared" si="401"/>
        <v>0</v>
      </c>
      <c r="T1310" s="151">
        <f t="shared" si="386"/>
        <v>3086</v>
      </c>
      <c r="U1310" s="151">
        <f t="shared" si="387"/>
        <v>0</v>
      </c>
      <c r="V1310" s="139">
        <f t="shared" si="388"/>
        <v>0</v>
      </c>
      <c r="W1310" s="152">
        <f t="shared" si="391"/>
        <v>3086</v>
      </c>
      <c r="X1310" s="127" t="str">
        <f t="shared" si="389"/>
        <v/>
      </c>
      <c r="Y1310" s="207">
        <f t="shared" si="392"/>
        <v>3086</v>
      </c>
      <c r="Z1310" s="139">
        <f t="shared" si="393"/>
        <v>2338</v>
      </c>
      <c r="AA1310" s="139">
        <f t="shared" si="394"/>
        <v>748</v>
      </c>
      <c r="AC1310" s="47">
        <f t="shared" si="395"/>
        <v>1543</v>
      </c>
      <c r="AD1310" s="47">
        <f t="shared" si="396"/>
        <v>1169</v>
      </c>
      <c r="AE1310" s="47">
        <f t="shared" si="397"/>
        <v>374</v>
      </c>
      <c r="AG1310" s="47">
        <f t="shared" si="398"/>
        <v>1543</v>
      </c>
      <c r="AH1310" s="47">
        <f t="shared" si="399"/>
        <v>1169</v>
      </c>
      <c r="AI1310" s="208">
        <f t="shared" si="400"/>
        <v>374</v>
      </c>
    </row>
    <row r="1311" spans="1:35">
      <c r="A1311" t="s">
        <v>2129</v>
      </c>
      <c r="B1311" t="s">
        <v>3142</v>
      </c>
      <c r="C1311" t="s">
        <v>2191</v>
      </c>
      <c r="D1311" t="s">
        <v>4689</v>
      </c>
      <c r="F1311" t="s">
        <v>999</v>
      </c>
      <c r="G1311" s="126">
        <f>SUMIFS('Support - Transition'!F:F,'Support - Transition'!B:B,'Step 2'!A1311,'Support - Transition'!C:C,'Step 2'!B1311,'Support - Transition'!D:D,'Step 2'!C1311,'Support - Transition'!E:E,"CIVIL")</f>
        <v>0</v>
      </c>
      <c r="H1311" s="126">
        <f>SUMIFS('Support - Transition'!F:F,'Support - Transition'!B:B,'Step 2'!A1311,'Support - Transition'!C:C,'Step 2'!B1311,'Support - Transition'!D:D,'Step 2'!C1311,'Support - Transition'!E:E,"FIRE")</f>
        <v>0</v>
      </c>
      <c r="I1311" s="126">
        <f>IF(B1311="0",SUMIFS('Support - Transition'!F:F,'Support - Transition'!J:J,'Step 2'!D1311,'Support - Transition'!E:E,"STATE UNIT"),SUMIFS('Support - Transition'!F:F,'Support - Transition'!J:J,'Step 2'!D1311))</f>
        <v>0</v>
      </c>
      <c r="J1311" s="126">
        <f>SUMIFS('Support - Unit Adjustments'!E:E,'Support - Unit Adjustments'!F:F,'Step 2'!D1311)</f>
        <v>0</v>
      </c>
      <c r="K1311" s="126">
        <f t="shared" si="384"/>
        <v>0</v>
      </c>
      <c r="L1311" s="174">
        <f>VLOOKUP(A1311,'Step 1'!$A:$E,4,FALSE)</f>
        <v>5422774</v>
      </c>
      <c r="M1311" s="47">
        <f t="shared" si="385"/>
        <v>0</v>
      </c>
      <c r="N1311" s="177">
        <f>SUMIFS('Support - Transition'!G:G,'Support - Transition'!J:J,'Step 2'!D1311,'Support - Transition'!E:E,"2009 WELFARE ALLOCATION FACTOR")</f>
        <v>0</v>
      </c>
      <c r="O1311" s="152">
        <f t="shared" si="390"/>
        <v>0</v>
      </c>
      <c r="P1311" s="126">
        <f>IF(E1311="Y",0,SUMIFS('Support - Transition'!G:G,'Support - Transition'!J:J,'Step 2'!D1311,'Support - Transition'!E:E,"2009 SCHOOL ALLOCATION FACTOR"))</f>
        <v>0</v>
      </c>
      <c r="Q1311" s="126">
        <f>IF(E1311="Y",VLOOKUP(D1311,'Support - Unit Adjustments'!F:G,2,FALSE),0)</f>
        <v>0</v>
      </c>
      <c r="R1311" s="155">
        <f t="shared" si="402"/>
        <v>0</v>
      </c>
      <c r="S1311" s="47">
        <f t="shared" si="401"/>
        <v>0</v>
      </c>
      <c r="T1311" s="151">
        <f t="shared" si="386"/>
        <v>0</v>
      </c>
      <c r="U1311" s="151">
        <f t="shared" si="387"/>
        <v>0</v>
      </c>
      <c r="V1311" s="139">
        <f t="shared" si="388"/>
        <v>0</v>
      </c>
      <c r="W1311" s="152">
        <f t="shared" si="391"/>
        <v>0</v>
      </c>
      <c r="X1311" s="127" t="str">
        <f t="shared" si="389"/>
        <v/>
      </c>
      <c r="Y1311" s="207">
        <f t="shared" si="392"/>
        <v>0</v>
      </c>
      <c r="Z1311" s="139">
        <f t="shared" si="393"/>
        <v>0</v>
      </c>
      <c r="AA1311" s="139">
        <f t="shared" si="394"/>
        <v>0</v>
      </c>
      <c r="AC1311" s="47">
        <f t="shared" si="395"/>
        <v>0</v>
      </c>
      <c r="AD1311" s="47">
        <f t="shared" si="396"/>
        <v>0</v>
      </c>
      <c r="AE1311" s="47">
        <f t="shared" si="397"/>
        <v>0</v>
      </c>
      <c r="AG1311" s="47">
        <f t="shared" si="398"/>
        <v>0</v>
      </c>
      <c r="AH1311" s="47">
        <f t="shared" si="399"/>
        <v>0</v>
      </c>
      <c r="AI1311" s="208">
        <f t="shared" si="400"/>
        <v>0</v>
      </c>
    </row>
    <row r="1312" spans="1:35">
      <c r="A1312" t="s">
        <v>2129</v>
      </c>
      <c r="B1312" t="s">
        <v>3142</v>
      </c>
      <c r="C1312" t="s">
        <v>2192</v>
      </c>
      <c r="D1312" t="s">
        <v>4690</v>
      </c>
      <c r="F1312" t="s">
        <v>869</v>
      </c>
      <c r="G1312" s="126">
        <f>SUMIFS('Support - Transition'!F:F,'Support - Transition'!B:B,'Step 2'!A1312,'Support - Transition'!C:C,'Step 2'!B1312,'Support - Transition'!D:D,'Step 2'!C1312,'Support - Transition'!E:E,"CIVIL")</f>
        <v>3.5599999999999998E-4</v>
      </c>
      <c r="H1312" s="126">
        <f>SUMIFS('Support - Transition'!F:F,'Support - Transition'!B:B,'Step 2'!A1312,'Support - Transition'!C:C,'Step 2'!B1312,'Support - Transition'!D:D,'Step 2'!C1312,'Support - Transition'!E:E,"FIRE")</f>
        <v>7.7999999999999999E-5</v>
      </c>
      <c r="I1312" s="126">
        <f>IF(B1312="0",SUMIFS('Support - Transition'!F:F,'Support - Transition'!J:J,'Step 2'!D1312,'Support - Transition'!E:E,"STATE UNIT"),SUMIFS('Support - Transition'!F:F,'Support - Transition'!J:J,'Step 2'!D1312))</f>
        <v>4.3399999999999998E-4</v>
      </c>
      <c r="J1312" s="126">
        <f>SUMIFS('Support - Unit Adjustments'!E:E,'Support - Unit Adjustments'!F:F,'Step 2'!D1312)</f>
        <v>0</v>
      </c>
      <c r="K1312" s="126">
        <f t="shared" si="384"/>
        <v>4.3399999999999998E-4</v>
      </c>
      <c r="L1312" s="174">
        <f>VLOOKUP(A1312,'Step 1'!$A:$E,4,FALSE)</f>
        <v>5422774</v>
      </c>
      <c r="M1312" s="47">
        <f t="shared" si="385"/>
        <v>2353</v>
      </c>
      <c r="N1312" s="177">
        <f>SUMIFS('Support - Transition'!G:G,'Support - Transition'!J:J,'Step 2'!D1312,'Support - Transition'!E:E,"2009 WELFARE ALLOCATION FACTOR")</f>
        <v>0</v>
      </c>
      <c r="O1312" s="152">
        <f t="shared" si="390"/>
        <v>0</v>
      </c>
      <c r="P1312" s="126">
        <f>IF(E1312="Y",0,SUMIFS('Support - Transition'!G:G,'Support - Transition'!J:J,'Step 2'!D1312,'Support - Transition'!E:E,"2009 SCHOOL ALLOCATION FACTOR"))</f>
        <v>0</v>
      </c>
      <c r="Q1312" s="126">
        <f>IF(E1312="Y",VLOOKUP(D1312,'Support - Unit Adjustments'!F:G,2,FALSE),0)</f>
        <v>0</v>
      </c>
      <c r="R1312" s="155">
        <f t="shared" si="402"/>
        <v>0</v>
      </c>
      <c r="S1312" s="47">
        <f t="shared" si="401"/>
        <v>0</v>
      </c>
      <c r="T1312" s="151">
        <f t="shared" si="386"/>
        <v>2353</v>
      </c>
      <c r="U1312" s="151">
        <f t="shared" si="387"/>
        <v>0</v>
      </c>
      <c r="V1312" s="139">
        <f t="shared" si="388"/>
        <v>0</v>
      </c>
      <c r="W1312" s="152">
        <f t="shared" si="391"/>
        <v>2353</v>
      </c>
      <c r="X1312" s="127" t="str">
        <f t="shared" si="389"/>
        <v/>
      </c>
      <c r="Y1312" s="207">
        <f t="shared" si="392"/>
        <v>2353</v>
      </c>
      <c r="Z1312" s="139">
        <f t="shared" si="393"/>
        <v>1930</v>
      </c>
      <c r="AA1312" s="139">
        <f t="shared" si="394"/>
        <v>423</v>
      </c>
      <c r="AC1312" s="47">
        <f t="shared" si="395"/>
        <v>1177</v>
      </c>
      <c r="AD1312" s="47">
        <f t="shared" si="396"/>
        <v>965</v>
      </c>
      <c r="AE1312" s="47">
        <f t="shared" si="397"/>
        <v>212</v>
      </c>
      <c r="AG1312" s="47">
        <f t="shared" si="398"/>
        <v>1176</v>
      </c>
      <c r="AH1312" s="47">
        <f t="shared" si="399"/>
        <v>965</v>
      </c>
      <c r="AI1312" s="208">
        <f t="shared" si="400"/>
        <v>211</v>
      </c>
    </row>
    <row r="1313" spans="1:35">
      <c r="A1313" t="s">
        <v>2129</v>
      </c>
      <c r="B1313" t="s">
        <v>3142</v>
      </c>
      <c r="C1313" t="s">
        <v>2193</v>
      </c>
      <c r="D1313" t="s">
        <v>4691</v>
      </c>
      <c r="F1313" t="s">
        <v>1000</v>
      </c>
      <c r="G1313" s="126">
        <f>SUMIFS('Support - Transition'!F:F,'Support - Transition'!B:B,'Step 2'!A1313,'Support - Transition'!C:C,'Step 2'!B1313,'Support - Transition'!D:D,'Step 2'!C1313,'Support - Transition'!E:E,"CIVIL")</f>
        <v>4.6000000000000001E-4</v>
      </c>
      <c r="H1313" s="126">
        <f>SUMIFS('Support - Transition'!F:F,'Support - Transition'!B:B,'Step 2'!A1313,'Support - Transition'!C:C,'Step 2'!B1313,'Support - Transition'!D:D,'Step 2'!C1313,'Support - Transition'!E:E,"FIRE")</f>
        <v>3.9999999999999998E-6</v>
      </c>
      <c r="I1313" s="126">
        <f>IF(B1313="0",SUMIFS('Support - Transition'!F:F,'Support - Transition'!J:J,'Step 2'!D1313,'Support - Transition'!E:E,"STATE UNIT"),SUMIFS('Support - Transition'!F:F,'Support - Transition'!J:J,'Step 2'!D1313))</f>
        <v>4.64E-4</v>
      </c>
      <c r="J1313" s="126">
        <f>SUMIFS('Support - Unit Adjustments'!E:E,'Support - Unit Adjustments'!F:F,'Step 2'!D1313)</f>
        <v>0</v>
      </c>
      <c r="K1313" s="126">
        <f t="shared" si="384"/>
        <v>4.64E-4</v>
      </c>
      <c r="L1313" s="174">
        <f>VLOOKUP(A1313,'Step 1'!$A:$E,4,FALSE)</f>
        <v>5422774</v>
      </c>
      <c r="M1313" s="47">
        <f t="shared" si="385"/>
        <v>2516</v>
      </c>
      <c r="N1313" s="177">
        <f>SUMIFS('Support - Transition'!G:G,'Support - Transition'!J:J,'Step 2'!D1313,'Support - Transition'!E:E,"2009 WELFARE ALLOCATION FACTOR")</f>
        <v>0</v>
      </c>
      <c r="O1313" s="152">
        <f t="shared" si="390"/>
        <v>0</v>
      </c>
      <c r="P1313" s="126">
        <f>IF(E1313="Y",0,SUMIFS('Support - Transition'!G:G,'Support - Transition'!J:J,'Step 2'!D1313,'Support - Transition'!E:E,"2009 SCHOOL ALLOCATION FACTOR"))</f>
        <v>0</v>
      </c>
      <c r="Q1313" s="126">
        <f>IF(E1313="Y",VLOOKUP(D1313,'Support - Unit Adjustments'!F:G,2,FALSE),0)</f>
        <v>0</v>
      </c>
      <c r="R1313" s="155">
        <f t="shared" si="402"/>
        <v>0</v>
      </c>
      <c r="S1313" s="47">
        <f t="shared" si="401"/>
        <v>0</v>
      </c>
      <c r="T1313" s="151">
        <f t="shared" si="386"/>
        <v>2516</v>
      </c>
      <c r="U1313" s="151">
        <f t="shared" si="387"/>
        <v>0</v>
      </c>
      <c r="V1313" s="139">
        <f t="shared" si="388"/>
        <v>0</v>
      </c>
      <c r="W1313" s="152">
        <f t="shared" si="391"/>
        <v>2516</v>
      </c>
      <c r="X1313" s="127" t="str">
        <f t="shared" si="389"/>
        <v/>
      </c>
      <c r="Y1313" s="207">
        <f t="shared" si="392"/>
        <v>2516</v>
      </c>
      <c r="Z1313" s="139">
        <f t="shared" si="393"/>
        <v>2494</v>
      </c>
      <c r="AA1313" s="139">
        <f t="shared" si="394"/>
        <v>22</v>
      </c>
      <c r="AC1313" s="47">
        <f t="shared" si="395"/>
        <v>1258</v>
      </c>
      <c r="AD1313" s="47">
        <f t="shared" si="396"/>
        <v>1247</v>
      </c>
      <c r="AE1313" s="47">
        <f t="shared" si="397"/>
        <v>11</v>
      </c>
      <c r="AG1313" s="47">
        <f t="shared" si="398"/>
        <v>1258</v>
      </c>
      <c r="AH1313" s="47">
        <f t="shared" si="399"/>
        <v>1247</v>
      </c>
      <c r="AI1313" s="208">
        <f t="shared" si="400"/>
        <v>11</v>
      </c>
    </row>
    <row r="1314" spans="1:35">
      <c r="A1314" t="s">
        <v>2129</v>
      </c>
      <c r="B1314" t="s">
        <v>3142</v>
      </c>
      <c r="C1314" t="s">
        <v>2194</v>
      </c>
      <c r="D1314" t="s">
        <v>4692</v>
      </c>
      <c r="F1314" t="s">
        <v>1001</v>
      </c>
      <c r="G1314" s="126">
        <f>SUMIFS('Support - Transition'!F:F,'Support - Transition'!B:B,'Step 2'!A1314,'Support - Transition'!C:C,'Step 2'!B1314,'Support - Transition'!D:D,'Step 2'!C1314,'Support - Transition'!E:E,"CIVIL")</f>
        <v>5.7840000000000001E-3</v>
      </c>
      <c r="H1314" s="126">
        <f>SUMIFS('Support - Transition'!F:F,'Support - Transition'!B:B,'Step 2'!A1314,'Support - Transition'!C:C,'Step 2'!B1314,'Support - Transition'!D:D,'Step 2'!C1314,'Support - Transition'!E:E,"FIRE")</f>
        <v>0</v>
      </c>
      <c r="I1314" s="126">
        <f>IF(B1314="0",SUMIFS('Support - Transition'!F:F,'Support - Transition'!J:J,'Step 2'!D1314,'Support - Transition'!E:E,"STATE UNIT"),SUMIFS('Support - Transition'!F:F,'Support - Transition'!J:J,'Step 2'!D1314))</f>
        <v>5.7840000000000001E-3</v>
      </c>
      <c r="J1314" s="126">
        <f>SUMIFS('Support - Unit Adjustments'!E:E,'Support - Unit Adjustments'!F:F,'Step 2'!D1314)</f>
        <v>0</v>
      </c>
      <c r="K1314" s="126">
        <f t="shared" si="384"/>
        <v>5.7840000000000001E-3</v>
      </c>
      <c r="L1314" s="174">
        <f>VLOOKUP(A1314,'Step 1'!$A:$E,4,FALSE)</f>
        <v>5422774</v>
      </c>
      <c r="M1314" s="47">
        <f t="shared" si="385"/>
        <v>31365</v>
      </c>
      <c r="N1314" s="177">
        <f>SUMIFS('Support - Transition'!G:G,'Support - Transition'!J:J,'Step 2'!D1314,'Support - Transition'!E:E,"2009 WELFARE ALLOCATION FACTOR")</f>
        <v>0</v>
      </c>
      <c r="O1314" s="152">
        <f t="shared" si="390"/>
        <v>0</v>
      </c>
      <c r="P1314" s="126">
        <f>IF(E1314="Y",0,SUMIFS('Support - Transition'!G:G,'Support - Transition'!J:J,'Step 2'!D1314,'Support - Transition'!E:E,"2009 SCHOOL ALLOCATION FACTOR"))</f>
        <v>0</v>
      </c>
      <c r="Q1314" s="126">
        <f>IF(E1314="Y",VLOOKUP(D1314,'Support - Unit Adjustments'!F:G,2,FALSE),0)</f>
        <v>0</v>
      </c>
      <c r="R1314" s="155">
        <f t="shared" si="402"/>
        <v>0</v>
      </c>
      <c r="S1314" s="47">
        <f t="shared" si="401"/>
        <v>0</v>
      </c>
      <c r="T1314" s="151">
        <f t="shared" si="386"/>
        <v>31365</v>
      </c>
      <c r="U1314" s="151">
        <f t="shared" si="387"/>
        <v>0</v>
      </c>
      <c r="V1314" s="139">
        <f t="shared" si="388"/>
        <v>0</v>
      </c>
      <c r="W1314" s="152">
        <f t="shared" si="391"/>
        <v>31365</v>
      </c>
      <c r="X1314" s="127" t="str">
        <f t="shared" si="389"/>
        <v/>
      </c>
      <c r="Y1314" s="207">
        <f t="shared" si="392"/>
        <v>31365</v>
      </c>
      <c r="Z1314" s="139">
        <f t="shared" si="393"/>
        <v>31365</v>
      </c>
      <c r="AA1314" s="139">
        <f t="shared" si="394"/>
        <v>0</v>
      </c>
      <c r="AC1314" s="47">
        <f t="shared" si="395"/>
        <v>15683</v>
      </c>
      <c r="AD1314" s="47">
        <f t="shared" si="396"/>
        <v>15683</v>
      </c>
      <c r="AE1314" s="47">
        <f t="shared" si="397"/>
        <v>0</v>
      </c>
      <c r="AG1314" s="47">
        <f t="shared" si="398"/>
        <v>15682</v>
      </c>
      <c r="AH1314" s="47">
        <f t="shared" si="399"/>
        <v>15682</v>
      </c>
      <c r="AI1314" s="208">
        <f t="shared" si="400"/>
        <v>0</v>
      </c>
    </row>
    <row r="1315" spans="1:35">
      <c r="A1315" t="s">
        <v>2129</v>
      </c>
      <c r="B1315" t="s">
        <v>3142</v>
      </c>
      <c r="C1315" t="s">
        <v>2195</v>
      </c>
      <c r="D1315" t="s">
        <v>4693</v>
      </c>
      <c r="F1315" t="s">
        <v>271</v>
      </c>
      <c r="G1315" s="126">
        <f>SUMIFS('Support - Transition'!F:F,'Support - Transition'!B:B,'Step 2'!A1315,'Support - Transition'!C:C,'Step 2'!B1315,'Support - Transition'!D:D,'Step 2'!C1315,'Support - Transition'!E:E,"CIVIL")</f>
        <v>4.28E-4</v>
      </c>
      <c r="H1315" s="126">
        <f>SUMIFS('Support - Transition'!F:F,'Support - Transition'!B:B,'Step 2'!A1315,'Support - Transition'!C:C,'Step 2'!B1315,'Support - Transition'!D:D,'Step 2'!C1315,'Support - Transition'!E:E,"FIRE")</f>
        <v>9.9999999999999995E-7</v>
      </c>
      <c r="I1315" s="126">
        <f>IF(B1315="0",SUMIFS('Support - Transition'!F:F,'Support - Transition'!J:J,'Step 2'!D1315,'Support - Transition'!E:E,"STATE UNIT"),SUMIFS('Support - Transition'!F:F,'Support - Transition'!J:J,'Step 2'!D1315))</f>
        <v>4.2900000000000002E-4</v>
      </c>
      <c r="J1315" s="126">
        <f>SUMIFS('Support - Unit Adjustments'!E:E,'Support - Unit Adjustments'!F:F,'Step 2'!D1315)</f>
        <v>0</v>
      </c>
      <c r="K1315" s="126">
        <f t="shared" si="384"/>
        <v>4.2900000000000002E-4</v>
      </c>
      <c r="L1315" s="174">
        <f>VLOOKUP(A1315,'Step 1'!$A:$E,4,FALSE)</f>
        <v>5422774</v>
      </c>
      <c r="M1315" s="47">
        <f t="shared" si="385"/>
        <v>2326</v>
      </c>
      <c r="N1315" s="177">
        <f>SUMIFS('Support - Transition'!G:G,'Support - Transition'!J:J,'Step 2'!D1315,'Support - Transition'!E:E,"2009 WELFARE ALLOCATION FACTOR")</f>
        <v>0</v>
      </c>
      <c r="O1315" s="152">
        <f t="shared" si="390"/>
        <v>0</v>
      </c>
      <c r="P1315" s="126">
        <f>IF(E1315="Y",0,SUMIFS('Support - Transition'!G:G,'Support - Transition'!J:J,'Step 2'!D1315,'Support - Transition'!E:E,"2009 SCHOOL ALLOCATION FACTOR"))</f>
        <v>0</v>
      </c>
      <c r="Q1315" s="126">
        <f>IF(E1315="Y",VLOOKUP(D1315,'Support - Unit Adjustments'!F:G,2,FALSE),0)</f>
        <v>0</v>
      </c>
      <c r="R1315" s="155">
        <f t="shared" si="402"/>
        <v>0</v>
      </c>
      <c r="S1315" s="47">
        <f t="shared" si="401"/>
        <v>0</v>
      </c>
      <c r="T1315" s="151">
        <f t="shared" si="386"/>
        <v>2326</v>
      </c>
      <c r="U1315" s="151">
        <f t="shared" si="387"/>
        <v>0</v>
      </c>
      <c r="V1315" s="139">
        <f t="shared" si="388"/>
        <v>0</v>
      </c>
      <c r="W1315" s="152">
        <f t="shared" si="391"/>
        <v>2326</v>
      </c>
      <c r="X1315" s="127" t="str">
        <f t="shared" si="389"/>
        <v/>
      </c>
      <c r="Y1315" s="207">
        <f t="shared" si="392"/>
        <v>2326</v>
      </c>
      <c r="Z1315" s="139">
        <f t="shared" si="393"/>
        <v>2321</v>
      </c>
      <c r="AA1315" s="139">
        <f t="shared" si="394"/>
        <v>5</v>
      </c>
      <c r="AC1315" s="47">
        <f t="shared" si="395"/>
        <v>1163</v>
      </c>
      <c r="AD1315" s="47">
        <f t="shared" si="396"/>
        <v>1161</v>
      </c>
      <c r="AE1315" s="47">
        <f t="shared" si="397"/>
        <v>3</v>
      </c>
      <c r="AG1315" s="47">
        <f t="shared" si="398"/>
        <v>1163</v>
      </c>
      <c r="AH1315" s="47">
        <f t="shared" si="399"/>
        <v>1160</v>
      </c>
      <c r="AI1315" s="208">
        <f t="shared" si="400"/>
        <v>2</v>
      </c>
    </row>
    <row r="1316" spans="1:35">
      <c r="A1316" t="s">
        <v>2129</v>
      </c>
      <c r="B1316" t="s">
        <v>3142</v>
      </c>
      <c r="C1316" t="s">
        <v>2196</v>
      </c>
      <c r="D1316" t="s">
        <v>4694</v>
      </c>
      <c r="F1316" t="s">
        <v>1002</v>
      </c>
      <c r="G1316" s="126">
        <f>SUMIFS('Support - Transition'!F:F,'Support - Transition'!B:B,'Step 2'!A1316,'Support - Transition'!C:C,'Step 2'!B1316,'Support - Transition'!D:D,'Step 2'!C1316,'Support - Transition'!E:E,"CIVIL")</f>
        <v>2.4800000000000001E-4</v>
      </c>
      <c r="H1316" s="126">
        <f>SUMIFS('Support - Transition'!F:F,'Support - Transition'!B:B,'Step 2'!A1316,'Support - Transition'!C:C,'Step 2'!B1316,'Support - Transition'!D:D,'Step 2'!C1316,'Support - Transition'!E:E,"FIRE")</f>
        <v>2.5999999999999998E-5</v>
      </c>
      <c r="I1316" s="126">
        <f>IF(B1316="0",SUMIFS('Support - Transition'!F:F,'Support - Transition'!J:J,'Step 2'!D1316,'Support - Transition'!E:E,"STATE UNIT"),SUMIFS('Support - Transition'!F:F,'Support - Transition'!J:J,'Step 2'!D1316))</f>
        <v>2.7399999999999999E-4</v>
      </c>
      <c r="J1316" s="126">
        <f>SUMIFS('Support - Unit Adjustments'!E:E,'Support - Unit Adjustments'!F:F,'Step 2'!D1316)</f>
        <v>0</v>
      </c>
      <c r="K1316" s="126">
        <f t="shared" si="384"/>
        <v>2.7399999999999999E-4</v>
      </c>
      <c r="L1316" s="174">
        <f>VLOOKUP(A1316,'Step 1'!$A:$E,4,FALSE)</f>
        <v>5422774</v>
      </c>
      <c r="M1316" s="47">
        <f t="shared" si="385"/>
        <v>1486</v>
      </c>
      <c r="N1316" s="177">
        <f>SUMIFS('Support - Transition'!G:G,'Support - Transition'!J:J,'Step 2'!D1316,'Support - Transition'!E:E,"2009 WELFARE ALLOCATION FACTOR")</f>
        <v>0</v>
      </c>
      <c r="O1316" s="152">
        <f t="shared" si="390"/>
        <v>0</v>
      </c>
      <c r="P1316" s="126">
        <f>IF(E1316="Y",0,SUMIFS('Support - Transition'!G:G,'Support - Transition'!J:J,'Step 2'!D1316,'Support - Transition'!E:E,"2009 SCHOOL ALLOCATION FACTOR"))</f>
        <v>0</v>
      </c>
      <c r="Q1316" s="126">
        <f>IF(E1316="Y",VLOOKUP(D1316,'Support - Unit Adjustments'!F:G,2,FALSE),0)</f>
        <v>0</v>
      </c>
      <c r="R1316" s="155">
        <f t="shared" si="402"/>
        <v>0</v>
      </c>
      <c r="S1316" s="47">
        <f t="shared" si="401"/>
        <v>0</v>
      </c>
      <c r="T1316" s="151">
        <f t="shared" si="386"/>
        <v>1486</v>
      </c>
      <c r="U1316" s="151">
        <f t="shared" si="387"/>
        <v>0</v>
      </c>
      <c r="V1316" s="139">
        <f t="shared" si="388"/>
        <v>0</v>
      </c>
      <c r="W1316" s="152">
        <f t="shared" si="391"/>
        <v>1486</v>
      </c>
      <c r="X1316" s="127" t="str">
        <f t="shared" si="389"/>
        <v/>
      </c>
      <c r="Y1316" s="207">
        <f t="shared" si="392"/>
        <v>1486</v>
      </c>
      <c r="Z1316" s="139">
        <f t="shared" si="393"/>
        <v>1345</v>
      </c>
      <c r="AA1316" s="139">
        <f t="shared" si="394"/>
        <v>141</v>
      </c>
      <c r="AC1316" s="47">
        <f t="shared" si="395"/>
        <v>743</v>
      </c>
      <c r="AD1316" s="47">
        <f t="shared" si="396"/>
        <v>673</v>
      </c>
      <c r="AE1316" s="47">
        <f t="shared" si="397"/>
        <v>71</v>
      </c>
      <c r="AG1316" s="47">
        <f t="shared" si="398"/>
        <v>743</v>
      </c>
      <c r="AH1316" s="47">
        <f t="shared" si="399"/>
        <v>672</v>
      </c>
      <c r="AI1316" s="208">
        <f t="shared" si="400"/>
        <v>70</v>
      </c>
    </row>
    <row r="1317" spans="1:35">
      <c r="A1317" t="s">
        <v>2129</v>
      </c>
      <c r="B1317" t="s">
        <v>3142</v>
      </c>
      <c r="C1317" t="s">
        <v>2197</v>
      </c>
      <c r="D1317" t="s">
        <v>4695</v>
      </c>
      <c r="F1317" t="s">
        <v>1003</v>
      </c>
      <c r="G1317" s="126">
        <f>SUMIFS('Support - Transition'!F:F,'Support - Transition'!B:B,'Step 2'!A1317,'Support - Transition'!C:C,'Step 2'!B1317,'Support - Transition'!D:D,'Step 2'!C1317,'Support - Transition'!E:E,"CIVIL")</f>
        <v>6.2600000000000004E-4</v>
      </c>
      <c r="H1317" s="126">
        <f>SUMIFS('Support - Transition'!F:F,'Support - Transition'!B:B,'Step 2'!A1317,'Support - Transition'!C:C,'Step 2'!B1317,'Support - Transition'!D:D,'Step 2'!C1317,'Support - Transition'!E:E,"FIRE")</f>
        <v>1E-4</v>
      </c>
      <c r="I1317" s="126">
        <f>IF(B1317="0",SUMIFS('Support - Transition'!F:F,'Support - Transition'!J:J,'Step 2'!D1317,'Support - Transition'!E:E,"STATE UNIT"),SUMIFS('Support - Transition'!F:F,'Support - Transition'!J:J,'Step 2'!D1317))</f>
        <v>7.2600000000000008E-4</v>
      </c>
      <c r="J1317" s="126">
        <f>SUMIFS('Support - Unit Adjustments'!E:E,'Support - Unit Adjustments'!F:F,'Step 2'!D1317)</f>
        <v>0</v>
      </c>
      <c r="K1317" s="126">
        <f t="shared" si="384"/>
        <v>7.2600000000000008E-4</v>
      </c>
      <c r="L1317" s="174">
        <f>VLOOKUP(A1317,'Step 1'!$A:$E,4,FALSE)</f>
        <v>5422774</v>
      </c>
      <c r="M1317" s="47">
        <f t="shared" si="385"/>
        <v>3937</v>
      </c>
      <c r="N1317" s="177">
        <f>SUMIFS('Support - Transition'!G:G,'Support - Transition'!J:J,'Step 2'!D1317,'Support - Transition'!E:E,"2009 WELFARE ALLOCATION FACTOR")</f>
        <v>0</v>
      </c>
      <c r="O1317" s="152">
        <f t="shared" si="390"/>
        <v>0</v>
      </c>
      <c r="P1317" s="126">
        <f>IF(E1317="Y",0,SUMIFS('Support - Transition'!G:G,'Support - Transition'!J:J,'Step 2'!D1317,'Support - Transition'!E:E,"2009 SCHOOL ALLOCATION FACTOR"))</f>
        <v>0</v>
      </c>
      <c r="Q1317" s="126">
        <f>IF(E1317="Y",VLOOKUP(D1317,'Support - Unit Adjustments'!F:G,2,FALSE),0)</f>
        <v>0</v>
      </c>
      <c r="R1317" s="155">
        <f t="shared" si="402"/>
        <v>0</v>
      </c>
      <c r="S1317" s="47">
        <f t="shared" si="401"/>
        <v>0</v>
      </c>
      <c r="T1317" s="151">
        <f t="shared" si="386"/>
        <v>3937</v>
      </c>
      <c r="U1317" s="151">
        <f t="shared" si="387"/>
        <v>0</v>
      </c>
      <c r="V1317" s="139">
        <f t="shared" si="388"/>
        <v>0</v>
      </c>
      <c r="W1317" s="152">
        <f t="shared" si="391"/>
        <v>3937</v>
      </c>
      <c r="X1317" s="127" t="str">
        <f t="shared" si="389"/>
        <v/>
      </c>
      <c r="Y1317" s="207">
        <f t="shared" si="392"/>
        <v>3937</v>
      </c>
      <c r="Z1317" s="139">
        <f t="shared" si="393"/>
        <v>3395</v>
      </c>
      <c r="AA1317" s="139">
        <f t="shared" si="394"/>
        <v>542</v>
      </c>
      <c r="AC1317" s="47">
        <f t="shared" si="395"/>
        <v>1969</v>
      </c>
      <c r="AD1317" s="47">
        <f t="shared" si="396"/>
        <v>1698</v>
      </c>
      <c r="AE1317" s="47">
        <f t="shared" si="397"/>
        <v>271</v>
      </c>
      <c r="AG1317" s="47">
        <f t="shared" si="398"/>
        <v>1968</v>
      </c>
      <c r="AH1317" s="47">
        <f t="shared" si="399"/>
        <v>1697</v>
      </c>
      <c r="AI1317" s="208">
        <f t="shared" si="400"/>
        <v>271</v>
      </c>
    </row>
    <row r="1318" spans="1:35">
      <c r="A1318" t="s">
        <v>2129</v>
      </c>
      <c r="B1318" t="s">
        <v>3142</v>
      </c>
      <c r="C1318" t="s">
        <v>2198</v>
      </c>
      <c r="D1318" t="s">
        <v>4696</v>
      </c>
      <c r="F1318" t="s">
        <v>1004</v>
      </c>
      <c r="G1318" s="126">
        <f>SUMIFS('Support - Transition'!F:F,'Support - Transition'!B:B,'Step 2'!A1318,'Support - Transition'!C:C,'Step 2'!B1318,'Support - Transition'!D:D,'Step 2'!C1318,'Support - Transition'!E:E,"CIVIL")</f>
        <v>0</v>
      </c>
      <c r="H1318" s="126">
        <f>SUMIFS('Support - Transition'!F:F,'Support - Transition'!B:B,'Step 2'!A1318,'Support - Transition'!C:C,'Step 2'!B1318,'Support - Transition'!D:D,'Step 2'!C1318,'Support - Transition'!E:E,"FIRE")</f>
        <v>0</v>
      </c>
      <c r="I1318" s="126">
        <f>IF(B1318="0",SUMIFS('Support - Transition'!F:F,'Support - Transition'!J:J,'Step 2'!D1318,'Support - Transition'!E:E,"STATE UNIT"),SUMIFS('Support - Transition'!F:F,'Support - Transition'!J:J,'Step 2'!D1318))</f>
        <v>0</v>
      </c>
      <c r="J1318" s="126">
        <f>SUMIFS('Support - Unit Adjustments'!E:E,'Support - Unit Adjustments'!F:F,'Step 2'!D1318)</f>
        <v>0</v>
      </c>
      <c r="K1318" s="126">
        <f t="shared" si="384"/>
        <v>0</v>
      </c>
      <c r="L1318" s="174">
        <f>VLOOKUP(A1318,'Step 1'!$A:$E,4,FALSE)</f>
        <v>5422774</v>
      </c>
      <c r="M1318" s="47">
        <f t="shared" si="385"/>
        <v>0</v>
      </c>
      <c r="N1318" s="177">
        <f>SUMIFS('Support - Transition'!G:G,'Support - Transition'!J:J,'Step 2'!D1318,'Support - Transition'!E:E,"2009 WELFARE ALLOCATION FACTOR")</f>
        <v>0</v>
      </c>
      <c r="O1318" s="152">
        <f t="shared" si="390"/>
        <v>0</v>
      </c>
      <c r="P1318" s="126">
        <f>IF(E1318="Y",0,SUMIFS('Support - Transition'!G:G,'Support - Transition'!J:J,'Step 2'!D1318,'Support - Transition'!E:E,"2009 SCHOOL ALLOCATION FACTOR"))</f>
        <v>0</v>
      </c>
      <c r="Q1318" s="126">
        <f>IF(E1318="Y",VLOOKUP(D1318,'Support - Unit Adjustments'!F:G,2,FALSE),0)</f>
        <v>0</v>
      </c>
      <c r="R1318" s="155">
        <f t="shared" si="402"/>
        <v>0</v>
      </c>
      <c r="S1318" s="47">
        <f t="shared" si="401"/>
        <v>0</v>
      </c>
      <c r="T1318" s="151">
        <f t="shared" si="386"/>
        <v>0</v>
      </c>
      <c r="U1318" s="151">
        <f t="shared" si="387"/>
        <v>0</v>
      </c>
      <c r="V1318" s="139">
        <f t="shared" si="388"/>
        <v>0</v>
      </c>
      <c r="W1318" s="152">
        <f t="shared" si="391"/>
        <v>0</v>
      </c>
      <c r="X1318" s="127" t="str">
        <f t="shared" si="389"/>
        <v/>
      </c>
      <c r="Y1318" s="207">
        <f t="shared" si="392"/>
        <v>0</v>
      </c>
      <c r="Z1318" s="139">
        <f t="shared" si="393"/>
        <v>0</v>
      </c>
      <c r="AA1318" s="139">
        <f t="shared" si="394"/>
        <v>0</v>
      </c>
      <c r="AC1318" s="47">
        <f t="shared" si="395"/>
        <v>0</v>
      </c>
      <c r="AD1318" s="47">
        <f t="shared" si="396"/>
        <v>0</v>
      </c>
      <c r="AE1318" s="47">
        <f t="shared" si="397"/>
        <v>0</v>
      </c>
      <c r="AG1318" s="47">
        <f t="shared" si="398"/>
        <v>0</v>
      </c>
      <c r="AH1318" s="47">
        <f t="shared" si="399"/>
        <v>0</v>
      </c>
      <c r="AI1318" s="208">
        <f t="shared" si="400"/>
        <v>0</v>
      </c>
    </row>
    <row r="1319" spans="1:35">
      <c r="A1319" t="s">
        <v>2129</v>
      </c>
      <c r="B1319" t="s">
        <v>3155</v>
      </c>
      <c r="C1319" t="s">
        <v>2696</v>
      </c>
      <c r="D1319" t="s">
        <v>4697</v>
      </c>
      <c r="F1319" t="s">
        <v>1009</v>
      </c>
      <c r="G1319" s="126">
        <f>SUMIFS('Support - Transition'!F:F,'Support - Transition'!B:B,'Step 2'!A1319,'Support - Transition'!C:C,'Step 2'!B1319,'Support - Transition'!D:D,'Step 2'!C1319,'Support - Transition'!E:E,"CIVIL")</f>
        <v>0</v>
      </c>
      <c r="H1319" s="126">
        <f>SUMIFS('Support - Transition'!F:F,'Support - Transition'!B:B,'Step 2'!A1319,'Support - Transition'!C:C,'Step 2'!B1319,'Support - Transition'!D:D,'Step 2'!C1319,'Support - Transition'!E:E,"FIRE")</f>
        <v>0</v>
      </c>
      <c r="I1319" s="126">
        <f>IF(B1319="0",SUMIFS('Support - Transition'!F:F,'Support - Transition'!J:J,'Step 2'!D1319,'Support - Transition'!E:E,"STATE UNIT"),SUMIFS('Support - Transition'!F:F,'Support - Transition'!J:J,'Step 2'!D1319))</f>
        <v>8.3257999999999999E-2</v>
      </c>
      <c r="J1319" s="126">
        <f>SUMIFS('Support - Unit Adjustments'!E:E,'Support - Unit Adjustments'!F:F,'Step 2'!D1319)</f>
        <v>9.7179999999999992E-3</v>
      </c>
      <c r="K1319" s="126">
        <f t="shared" si="384"/>
        <v>9.2976000000000003E-2</v>
      </c>
      <c r="L1319" s="174">
        <f>VLOOKUP(A1319,'Step 1'!$A:$E,4,FALSE)</f>
        <v>5422774</v>
      </c>
      <c r="M1319" s="47">
        <f t="shared" si="385"/>
        <v>504188</v>
      </c>
      <c r="N1319" s="177">
        <f>SUMIFS('Support - Transition'!G:G,'Support - Transition'!J:J,'Step 2'!D1319,'Support - Transition'!E:E,"2009 WELFARE ALLOCATION FACTOR")</f>
        <v>0</v>
      </c>
      <c r="O1319" s="152">
        <f t="shared" si="390"/>
        <v>0</v>
      </c>
      <c r="P1319" s="126">
        <f>IF(E1319="Y",0,SUMIFS('Support - Transition'!G:G,'Support - Transition'!J:J,'Step 2'!D1319,'Support - Transition'!E:E,"2009 SCHOOL ALLOCATION FACTOR"))</f>
        <v>0</v>
      </c>
      <c r="Q1319" s="126">
        <f>IF(E1319="Y",VLOOKUP(D1319,'Support - Unit Adjustments'!F:G,2,FALSE),0)</f>
        <v>0</v>
      </c>
      <c r="R1319" s="155">
        <f t="shared" si="402"/>
        <v>0</v>
      </c>
      <c r="S1319" s="47">
        <f t="shared" si="401"/>
        <v>0</v>
      </c>
      <c r="T1319" s="151">
        <f t="shared" si="386"/>
        <v>504188</v>
      </c>
      <c r="U1319" s="151">
        <f t="shared" si="387"/>
        <v>0</v>
      </c>
      <c r="V1319" s="139">
        <f t="shared" si="388"/>
        <v>0</v>
      </c>
      <c r="W1319" s="152">
        <f t="shared" si="391"/>
        <v>504188</v>
      </c>
      <c r="X1319" s="127" t="str">
        <f t="shared" si="389"/>
        <v/>
      </c>
      <c r="Y1319" s="207">
        <f t="shared" si="392"/>
        <v>504188</v>
      </c>
      <c r="Z1319" s="139">
        <f t="shared" si="393"/>
        <v>504188</v>
      </c>
      <c r="AA1319" s="139">
        <f t="shared" si="394"/>
        <v>0</v>
      </c>
      <c r="AC1319" s="47">
        <f t="shared" si="395"/>
        <v>252094</v>
      </c>
      <c r="AD1319" s="47">
        <f t="shared" si="396"/>
        <v>252094</v>
      </c>
      <c r="AE1319" s="47">
        <f t="shared" si="397"/>
        <v>0</v>
      </c>
      <c r="AG1319" s="47">
        <f t="shared" si="398"/>
        <v>252094</v>
      </c>
      <c r="AH1319" s="47">
        <f t="shared" si="399"/>
        <v>252094</v>
      </c>
      <c r="AI1319" s="208">
        <f t="shared" si="400"/>
        <v>0</v>
      </c>
    </row>
    <row r="1320" spans="1:35">
      <c r="A1320" t="s">
        <v>2129</v>
      </c>
      <c r="B1320" t="s">
        <v>3155</v>
      </c>
      <c r="C1320" t="s">
        <v>2697</v>
      </c>
      <c r="D1320" t="s">
        <v>4698</v>
      </c>
      <c r="F1320" t="s">
        <v>1011</v>
      </c>
      <c r="G1320" s="126">
        <f>SUMIFS('Support - Transition'!F:F,'Support - Transition'!B:B,'Step 2'!A1320,'Support - Transition'!C:C,'Step 2'!B1320,'Support - Transition'!D:D,'Step 2'!C1320,'Support - Transition'!E:E,"CIVIL")</f>
        <v>0</v>
      </c>
      <c r="H1320" s="126">
        <f>SUMIFS('Support - Transition'!F:F,'Support - Transition'!B:B,'Step 2'!A1320,'Support - Transition'!C:C,'Step 2'!B1320,'Support - Transition'!D:D,'Step 2'!C1320,'Support - Transition'!E:E,"FIRE")</f>
        <v>0</v>
      </c>
      <c r="I1320" s="126">
        <f>IF(B1320="0",SUMIFS('Support - Transition'!F:F,'Support - Transition'!J:J,'Step 2'!D1320,'Support - Transition'!E:E,"STATE UNIT"),SUMIFS('Support - Transition'!F:F,'Support - Transition'!J:J,'Step 2'!D1320))</f>
        <v>0.101705</v>
      </c>
      <c r="J1320" s="126">
        <f>SUMIFS('Support - Unit Adjustments'!E:E,'Support - Unit Adjustments'!F:F,'Step 2'!D1320)</f>
        <v>0</v>
      </c>
      <c r="K1320" s="126">
        <f t="shared" si="384"/>
        <v>0.101705</v>
      </c>
      <c r="L1320" s="174">
        <f>VLOOKUP(A1320,'Step 1'!$A:$E,4,FALSE)</f>
        <v>5422774</v>
      </c>
      <c r="M1320" s="47">
        <f t="shared" si="385"/>
        <v>551523</v>
      </c>
      <c r="N1320" s="177">
        <f>SUMIFS('Support - Transition'!G:G,'Support - Transition'!J:J,'Step 2'!D1320,'Support - Transition'!E:E,"2009 WELFARE ALLOCATION FACTOR")</f>
        <v>0</v>
      </c>
      <c r="O1320" s="152">
        <f t="shared" si="390"/>
        <v>0</v>
      </c>
      <c r="P1320" s="126">
        <f>IF(E1320="Y",0,SUMIFS('Support - Transition'!G:G,'Support - Transition'!J:J,'Step 2'!D1320,'Support - Transition'!E:E,"2009 SCHOOL ALLOCATION FACTOR"))</f>
        <v>0</v>
      </c>
      <c r="Q1320" s="126">
        <f>IF(E1320="Y",VLOOKUP(D1320,'Support - Unit Adjustments'!F:G,2,FALSE),0)</f>
        <v>0</v>
      </c>
      <c r="R1320" s="155">
        <f t="shared" si="402"/>
        <v>0</v>
      </c>
      <c r="S1320" s="47">
        <f t="shared" si="401"/>
        <v>0</v>
      </c>
      <c r="T1320" s="151">
        <f t="shared" si="386"/>
        <v>551523</v>
      </c>
      <c r="U1320" s="151">
        <f t="shared" si="387"/>
        <v>0</v>
      </c>
      <c r="V1320" s="139">
        <f t="shared" si="388"/>
        <v>0</v>
      </c>
      <c r="W1320" s="152">
        <f t="shared" si="391"/>
        <v>551523</v>
      </c>
      <c r="X1320" s="127" t="str">
        <f t="shared" si="389"/>
        <v/>
      </c>
      <c r="Y1320" s="207">
        <f t="shared" si="392"/>
        <v>551523</v>
      </c>
      <c r="Z1320" s="139">
        <f t="shared" si="393"/>
        <v>551523</v>
      </c>
      <c r="AA1320" s="139">
        <f t="shared" si="394"/>
        <v>0</v>
      </c>
      <c r="AC1320" s="47">
        <f t="shared" si="395"/>
        <v>275762</v>
      </c>
      <c r="AD1320" s="47">
        <f t="shared" si="396"/>
        <v>275762</v>
      </c>
      <c r="AE1320" s="47">
        <f t="shared" si="397"/>
        <v>0</v>
      </c>
      <c r="AG1320" s="47">
        <f t="shared" si="398"/>
        <v>275761</v>
      </c>
      <c r="AH1320" s="47">
        <f t="shared" si="399"/>
        <v>275761</v>
      </c>
      <c r="AI1320" s="208">
        <f t="shared" si="400"/>
        <v>0</v>
      </c>
    </row>
    <row r="1321" spans="1:35">
      <c r="A1321" t="s">
        <v>2129</v>
      </c>
      <c r="B1321" t="s">
        <v>3155</v>
      </c>
      <c r="C1321" t="s">
        <v>2698</v>
      </c>
      <c r="D1321" t="s">
        <v>4699</v>
      </c>
      <c r="F1321" t="s">
        <v>1008</v>
      </c>
      <c r="G1321" s="126">
        <f>SUMIFS('Support - Transition'!F:F,'Support - Transition'!B:B,'Step 2'!A1321,'Support - Transition'!C:C,'Step 2'!B1321,'Support - Transition'!D:D,'Step 2'!C1321,'Support - Transition'!E:E,"CIVIL")</f>
        <v>0</v>
      </c>
      <c r="H1321" s="126">
        <f>SUMIFS('Support - Transition'!F:F,'Support - Transition'!B:B,'Step 2'!A1321,'Support - Transition'!C:C,'Step 2'!B1321,'Support - Transition'!D:D,'Step 2'!C1321,'Support - Transition'!E:E,"FIRE")</f>
        <v>0</v>
      </c>
      <c r="I1321" s="126">
        <f>IF(B1321="0",SUMIFS('Support - Transition'!F:F,'Support - Transition'!J:J,'Step 2'!D1321,'Support - Transition'!E:E,"STATE UNIT"),SUMIFS('Support - Transition'!F:F,'Support - Transition'!J:J,'Step 2'!D1321))</f>
        <v>2.6672000000000001E-2</v>
      </c>
      <c r="J1321" s="126">
        <f>SUMIFS('Support - Unit Adjustments'!E:E,'Support - Unit Adjustments'!F:F,'Step 2'!D1321)</f>
        <v>0</v>
      </c>
      <c r="K1321" s="126">
        <f t="shared" si="384"/>
        <v>2.6672000000000001E-2</v>
      </c>
      <c r="L1321" s="174">
        <f>VLOOKUP(A1321,'Step 1'!$A:$E,4,FALSE)</f>
        <v>5422774</v>
      </c>
      <c r="M1321" s="47">
        <f t="shared" si="385"/>
        <v>144636</v>
      </c>
      <c r="N1321" s="177">
        <f>SUMIFS('Support - Transition'!G:G,'Support - Transition'!J:J,'Step 2'!D1321,'Support - Transition'!E:E,"2009 WELFARE ALLOCATION FACTOR")</f>
        <v>0</v>
      </c>
      <c r="O1321" s="152">
        <f t="shared" si="390"/>
        <v>0</v>
      </c>
      <c r="P1321" s="126">
        <f>IF(E1321="Y",0,SUMIFS('Support - Transition'!G:G,'Support - Transition'!J:J,'Step 2'!D1321,'Support - Transition'!E:E,"2009 SCHOOL ALLOCATION FACTOR"))</f>
        <v>0</v>
      </c>
      <c r="Q1321" s="126">
        <f>IF(E1321="Y",VLOOKUP(D1321,'Support - Unit Adjustments'!F:G,2,FALSE),0)</f>
        <v>0</v>
      </c>
      <c r="R1321" s="155">
        <f t="shared" si="402"/>
        <v>0</v>
      </c>
      <c r="S1321" s="47">
        <f t="shared" si="401"/>
        <v>0</v>
      </c>
      <c r="T1321" s="151">
        <f t="shared" si="386"/>
        <v>144636</v>
      </c>
      <c r="U1321" s="151">
        <f t="shared" si="387"/>
        <v>0</v>
      </c>
      <c r="V1321" s="139">
        <f t="shared" si="388"/>
        <v>0</v>
      </c>
      <c r="W1321" s="152">
        <f t="shared" si="391"/>
        <v>144636</v>
      </c>
      <c r="X1321" s="127" t="str">
        <f t="shared" si="389"/>
        <v/>
      </c>
      <c r="Y1321" s="207">
        <f t="shared" si="392"/>
        <v>144636</v>
      </c>
      <c r="Z1321" s="139">
        <f t="shared" si="393"/>
        <v>144636</v>
      </c>
      <c r="AA1321" s="139">
        <f t="shared" si="394"/>
        <v>0</v>
      </c>
      <c r="AC1321" s="47">
        <f t="shared" si="395"/>
        <v>72318</v>
      </c>
      <c r="AD1321" s="47">
        <f t="shared" si="396"/>
        <v>72318</v>
      </c>
      <c r="AE1321" s="47">
        <f t="shared" si="397"/>
        <v>0</v>
      </c>
      <c r="AG1321" s="47">
        <f t="shared" si="398"/>
        <v>72318</v>
      </c>
      <c r="AH1321" s="47">
        <f t="shared" si="399"/>
        <v>72318</v>
      </c>
      <c r="AI1321" s="208">
        <f t="shared" si="400"/>
        <v>0</v>
      </c>
    </row>
    <row r="1322" spans="1:35">
      <c r="A1322" t="s">
        <v>2129</v>
      </c>
      <c r="B1322" t="s">
        <v>3155</v>
      </c>
      <c r="C1322" t="s">
        <v>2699</v>
      </c>
      <c r="D1322" t="s">
        <v>4700</v>
      </c>
      <c r="F1322" t="s">
        <v>1013</v>
      </c>
      <c r="G1322" s="126">
        <f>SUMIFS('Support - Transition'!F:F,'Support - Transition'!B:B,'Step 2'!A1322,'Support - Transition'!C:C,'Step 2'!B1322,'Support - Transition'!D:D,'Step 2'!C1322,'Support - Transition'!E:E,"CIVIL")</f>
        <v>0</v>
      </c>
      <c r="H1322" s="126">
        <f>SUMIFS('Support - Transition'!F:F,'Support - Transition'!B:B,'Step 2'!A1322,'Support - Transition'!C:C,'Step 2'!B1322,'Support - Transition'!D:D,'Step 2'!C1322,'Support - Transition'!E:E,"FIRE")</f>
        <v>0</v>
      </c>
      <c r="I1322" s="126">
        <f>IF(B1322="0",SUMIFS('Support - Transition'!F:F,'Support - Transition'!J:J,'Step 2'!D1322,'Support - Transition'!E:E,"STATE UNIT"),SUMIFS('Support - Transition'!F:F,'Support - Transition'!J:J,'Step 2'!D1322))</f>
        <v>7.3340000000000002E-3</v>
      </c>
      <c r="J1322" s="126">
        <f>SUMIFS('Support - Unit Adjustments'!E:E,'Support - Unit Adjustments'!F:F,'Step 2'!D1322)</f>
        <v>0</v>
      </c>
      <c r="K1322" s="126">
        <f t="shared" si="384"/>
        <v>7.3340000000000002E-3</v>
      </c>
      <c r="L1322" s="174">
        <f>VLOOKUP(A1322,'Step 1'!$A:$E,4,FALSE)</f>
        <v>5422774</v>
      </c>
      <c r="M1322" s="47">
        <f t="shared" si="385"/>
        <v>39771</v>
      </c>
      <c r="N1322" s="177">
        <f>SUMIFS('Support - Transition'!G:G,'Support - Transition'!J:J,'Step 2'!D1322,'Support - Transition'!E:E,"2009 WELFARE ALLOCATION FACTOR")</f>
        <v>0</v>
      </c>
      <c r="O1322" s="152">
        <f t="shared" si="390"/>
        <v>0</v>
      </c>
      <c r="P1322" s="126">
        <f>IF(E1322="Y",0,SUMIFS('Support - Transition'!G:G,'Support - Transition'!J:J,'Step 2'!D1322,'Support - Transition'!E:E,"2009 SCHOOL ALLOCATION FACTOR"))</f>
        <v>0</v>
      </c>
      <c r="Q1322" s="126">
        <f>IF(E1322="Y",VLOOKUP(D1322,'Support - Unit Adjustments'!F:G,2,FALSE),0)</f>
        <v>0</v>
      </c>
      <c r="R1322" s="155">
        <f t="shared" si="402"/>
        <v>0</v>
      </c>
      <c r="S1322" s="47">
        <f t="shared" si="401"/>
        <v>0</v>
      </c>
      <c r="T1322" s="151">
        <f t="shared" si="386"/>
        <v>39771</v>
      </c>
      <c r="U1322" s="151">
        <f t="shared" si="387"/>
        <v>0</v>
      </c>
      <c r="V1322" s="139">
        <f t="shared" si="388"/>
        <v>0</v>
      </c>
      <c r="W1322" s="152">
        <f t="shared" si="391"/>
        <v>39771</v>
      </c>
      <c r="X1322" s="127" t="str">
        <f t="shared" si="389"/>
        <v/>
      </c>
      <c r="Y1322" s="207">
        <f t="shared" si="392"/>
        <v>39771</v>
      </c>
      <c r="Z1322" s="139">
        <f t="shared" si="393"/>
        <v>39771</v>
      </c>
      <c r="AA1322" s="139">
        <f t="shared" si="394"/>
        <v>0</v>
      </c>
      <c r="AC1322" s="47">
        <f t="shared" si="395"/>
        <v>19886</v>
      </c>
      <c r="AD1322" s="47">
        <f t="shared" si="396"/>
        <v>19886</v>
      </c>
      <c r="AE1322" s="47">
        <f t="shared" si="397"/>
        <v>0</v>
      </c>
      <c r="AG1322" s="47">
        <f t="shared" si="398"/>
        <v>19885</v>
      </c>
      <c r="AH1322" s="47">
        <f t="shared" si="399"/>
        <v>19885</v>
      </c>
      <c r="AI1322" s="208">
        <f t="shared" si="400"/>
        <v>0</v>
      </c>
    </row>
    <row r="1323" spans="1:35">
      <c r="A1323" t="s">
        <v>2129</v>
      </c>
      <c r="B1323" t="s">
        <v>3155</v>
      </c>
      <c r="C1323" t="s">
        <v>2700</v>
      </c>
      <c r="D1323" t="s">
        <v>4701</v>
      </c>
      <c r="F1323" t="s">
        <v>1006</v>
      </c>
      <c r="G1323" s="126">
        <f>SUMIFS('Support - Transition'!F:F,'Support - Transition'!B:B,'Step 2'!A1323,'Support - Transition'!C:C,'Step 2'!B1323,'Support - Transition'!D:D,'Step 2'!C1323,'Support - Transition'!E:E,"CIVIL")</f>
        <v>0</v>
      </c>
      <c r="H1323" s="126">
        <f>SUMIFS('Support - Transition'!F:F,'Support - Transition'!B:B,'Step 2'!A1323,'Support - Transition'!C:C,'Step 2'!B1323,'Support - Transition'!D:D,'Step 2'!C1323,'Support - Transition'!E:E,"FIRE")</f>
        <v>0</v>
      </c>
      <c r="I1323" s="126">
        <f>IF(B1323="0",SUMIFS('Support - Transition'!F:F,'Support - Transition'!J:J,'Step 2'!D1323,'Support - Transition'!E:E,"STATE UNIT"),SUMIFS('Support - Transition'!F:F,'Support - Transition'!J:J,'Step 2'!D1323))</f>
        <v>1.3476E-2</v>
      </c>
      <c r="J1323" s="126">
        <f>SUMIFS('Support - Unit Adjustments'!E:E,'Support - Unit Adjustments'!F:F,'Step 2'!D1323)</f>
        <v>0</v>
      </c>
      <c r="K1323" s="126">
        <f t="shared" si="384"/>
        <v>1.3476E-2</v>
      </c>
      <c r="L1323" s="174">
        <f>VLOOKUP(A1323,'Step 1'!$A:$E,4,FALSE)</f>
        <v>5422774</v>
      </c>
      <c r="M1323" s="47">
        <f t="shared" si="385"/>
        <v>73077</v>
      </c>
      <c r="N1323" s="177">
        <f>SUMIFS('Support - Transition'!G:G,'Support - Transition'!J:J,'Step 2'!D1323,'Support - Transition'!E:E,"2009 WELFARE ALLOCATION FACTOR")</f>
        <v>0</v>
      </c>
      <c r="O1323" s="152">
        <f t="shared" si="390"/>
        <v>0</v>
      </c>
      <c r="P1323" s="126">
        <f>IF(E1323="Y",0,SUMIFS('Support - Transition'!G:G,'Support - Transition'!J:J,'Step 2'!D1323,'Support - Transition'!E:E,"2009 SCHOOL ALLOCATION FACTOR"))</f>
        <v>0</v>
      </c>
      <c r="Q1323" s="126">
        <f>IF(E1323="Y",VLOOKUP(D1323,'Support - Unit Adjustments'!F:G,2,FALSE),0)</f>
        <v>0</v>
      </c>
      <c r="R1323" s="155">
        <f t="shared" si="402"/>
        <v>0</v>
      </c>
      <c r="S1323" s="47">
        <f t="shared" si="401"/>
        <v>0</v>
      </c>
      <c r="T1323" s="151">
        <f t="shared" si="386"/>
        <v>73077</v>
      </c>
      <c r="U1323" s="151">
        <f t="shared" si="387"/>
        <v>0</v>
      </c>
      <c r="V1323" s="139">
        <f t="shared" si="388"/>
        <v>0</v>
      </c>
      <c r="W1323" s="152">
        <f t="shared" si="391"/>
        <v>73077</v>
      </c>
      <c r="X1323" s="127" t="str">
        <f t="shared" si="389"/>
        <v/>
      </c>
      <c r="Y1323" s="207">
        <f t="shared" si="392"/>
        <v>73077</v>
      </c>
      <c r="Z1323" s="139">
        <f t="shared" si="393"/>
        <v>73077</v>
      </c>
      <c r="AA1323" s="139">
        <f t="shared" si="394"/>
        <v>0</v>
      </c>
      <c r="AC1323" s="47">
        <f t="shared" si="395"/>
        <v>36539</v>
      </c>
      <c r="AD1323" s="47">
        <f t="shared" si="396"/>
        <v>36539</v>
      </c>
      <c r="AE1323" s="47">
        <f t="shared" si="397"/>
        <v>0</v>
      </c>
      <c r="AG1323" s="47">
        <f t="shared" si="398"/>
        <v>36538</v>
      </c>
      <c r="AH1323" s="47">
        <f t="shared" si="399"/>
        <v>36538</v>
      </c>
      <c r="AI1323" s="208">
        <f t="shared" si="400"/>
        <v>0</v>
      </c>
    </row>
    <row r="1324" spans="1:35">
      <c r="A1324" t="s">
        <v>2129</v>
      </c>
      <c r="B1324" t="s">
        <v>3155</v>
      </c>
      <c r="C1324" t="s">
        <v>2701</v>
      </c>
      <c r="D1324" t="s">
        <v>4702</v>
      </c>
      <c r="F1324" t="s">
        <v>1022</v>
      </c>
      <c r="G1324" s="126">
        <f>SUMIFS('Support - Transition'!F:F,'Support - Transition'!B:B,'Step 2'!A1324,'Support - Transition'!C:C,'Step 2'!B1324,'Support - Transition'!D:D,'Step 2'!C1324,'Support - Transition'!E:E,"CIVIL")</f>
        <v>0</v>
      </c>
      <c r="H1324" s="126">
        <f>SUMIFS('Support - Transition'!F:F,'Support - Transition'!B:B,'Step 2'!A1324,'Support - Transition'!C:C,'Step 2'!B1324,'Support - Transition'!D:D,'Step 2'!C1324,'Support - Transition'!E:E,"FIRE")</f>
        <v>0</v>
      </c>
      <c r="I1324" s="126">
        <f>IF(B1324="0",SUMIFS('Support - Transition'!F:F,'Support - Transition'!J:J,'Step 2'!D1324,'Support - Transition'!E:E,"STATE UNIT"),SUMIFS('Support - Transition'!F:F,'Support - Transition'!J:J,'Step 2'!D1324))</f>
        <v>6.0879999999999997E-3</v>
      </c>
      <c r="J1324" s="126">
        <f>SUMIFS('Support - Unit Adjustments'!E:E,'Support - Unit Adjustments'!F:F,'Step 2'!D1324)</f>
        <v>0</v>
      </c>
      <c r="K1324" s="126">
        <f t="shared" si="384"/>
        <v>6.0879999999999997E-3</v>
      </c>
      <c r="L1324" s="174">
        <f>VLOOKUP(A1324,'Step 1'!$A:$E,4,FALSE)</f>
        <v>5422774</v>
      </c>
      <c r="M1324" s="47">
        <f t="shared" si="385"/>
        <v>33014</v>
      </c>
      <c r="N1324" s="177">
        <f>SUMIFS('Support - Transition'!G:G,'Support - Transition'!J:J,'Step 2'!D1324,'Support - Transition'!E:E,"2009 WELFARE ALLOCATION FACTOR")</f>
        <v>0</v>
      </c>
      <c r="O1324" s="152">
        <f t="shared" si="390"/>
        <v>0</v>
      </c>
      <c r="P1324" s="126">
        <f>IF(E1324="Y",0,SUMIFS('Support - Transition'!G:G,'Support - Transition'!J:J,'Step 2'!D1324,'Support - Transition'!E:E,"2009 SCHOOL ALLOCATION FACTOR"))</f>
        <v>0</v>
      </c>
      <c r="Q1324" s="126">
        <f>IF(E1324="Y",VLOOKUP(D1324,'Support - Unit Adjustments'!F:G,2,FALSE),0)</f>
        <v>0</v>
      </c>
      <c r="R1324" s="155">
        <f t="shared" si="402"/>
        <v>0</v>
      </c>
      <c r="S1324" s="47">
        <f t="shared" si="401"/>
        <v>0</v>
      </c>
      <c r="T1324" s="151">
        <f t="shared" si="386"/>
        <v>33014</v>
      </c>
      <c r="U1324" s="151">
        <f t="shared" si="387"/>
        <v>0</v>
      </c>
      <c r="V1324" s="139">
        <f t="shared" si="388"/>
        <v>0</v>
      </c>
      <c r="W1324" s="152">
        <f t="shared" si="391"/>
        <v>33014</v>
      </c>
      <c r="X1324" s="127" t="str">
        <f t="shared" si="389"/>
        <v/>
      </c>
      <c r="Y1324" s="207">
        <f t="shared" si="392"/>
        <v>33014</v>
      </c>
      <c r="Z1324" s="139">
        <f t="shared" si="393"/>
        <v>33014</v>
      </c>
      <c r="AA1324" s="139">
        <f t="shared" si="394"/>
        <v>0</v>
      </c>
      <c r="AC1324" s="47">
        <f t="shared" si="395"/>
        <v>16507</v>
      </c>
      <c r="AD1324" s="47">
        <f t="shared" si="396"/>
        <v>16507</v>
      </c>
      <c r="AE1324" s="47">
        <f t="shared" si="397"/>
        <v>0</v>
      </c>
      <c r="AG1324" s="47">
        <f t="shared" si="398"/>
        <v>16507</v>
      </c>
      <c r="AH1324" s="47">
        <f t="shared" si="399"/>
        <v>16507</v>
      </c>
      <c r="AI1324" s="208">
        <f t="shared" si="400"/>
        <v>0</v>
      </c>
    </row>
    <row r="1325" spans="1:35">
      <c r="A1325" t="s">
        <v>2129</v>
      </c>
      <c r="B1325" t="s">
        <v>3155</v>
      </c>
      <c r="C1325" t="s">
        <v>2702</v>
      </c>
      <c r="D1325" t="s">
        <v>4703</v>
      </c>
      <c r="F1325" t="s">
        <v>1014</v>
      </c>
      <c r="G1325" s="126">
        <f>SUMIFS('Support - Transition'!F:F,'Support - Transition'!B:B,'Step 2'!A1325,'Support - Transition'!C:C,'Step 2'!B1325,'Support - Transition'!D:D,'Step 2'!C1325,'Support - Transition'!E:E,"CIVIL")</f>
        <v>0</v>
      </c>
      <c r="H1325" s="126">
        <f>SUMIFS('Support - Transition'!F:F,'Support - Transition'!B:B,'Step 2'!A1325,'Support - Transition'!C:C,'Step 2'!B1325,'Support - Transition'!D:D,'Step 2'!C1325,'Support - Transition'!E:E,"FIRE")</f>
        <v>0</v>
      </c>
      <c r="I1325" s="126">
        <f>IF(B1325="0",SUMIFS('Support - Transition'!F:F,'Support - Transition'!J:J,'Step 2'!D1325,'Support - Transition'!E:E,"STATE UNIT"),SUMIFS('Support - Transition'!F:F,'Support - Transition'!J:J,'Step 2'!D1325))</f>
        <v>3.7789999999999998E-3</v>
      </c>
      <c r="J1325" s="126">
        <f>SUMIFS('Support - Unit Adjustments'!E:E,'Support - Unit Adjustments'!F:F,'Step 2'!D1325)</f>
        <v>0</v>
      </c>
      <c r="K1325" s="126">
        <f t="shared" si="384"/>
        <v>3.7789999999999998E-3</v>
      </c>
      <c r="L1325" s="174">
        <f>VLOOKUP(A1325,'Step 1'!$A:$E,4,FALSE)</f>
        <v>5422774</v>
      </c>
      <c r="M1325" s="47">
        <f t="shared" si="385"/>
        <v>20493</v>
      </c>
      <c r="N1325" s="177">
        <f>SUMIFS('Support - Transition'!G:G,'Support - Transition'!J:J,'Step 2'!D1325,'Support - Transition'!E:E,"2009 WELFARE ALLOCATION FACTOR")</f>
        <v>0</v>
      </c>
      <c r="O1325" s="152">
        <f t="shared" si="390"/>
        <v>0</v>
      </c>
      <c r="P1325" s="126">
        <f>IF(E1325="Y",0,SUMIFS('Support - Transition'!G:G,'Support - Transition'!J:J,'Step 2'!D1325,'Support - Transition'!E:E,"2009 SCHOOL ALLOCATION FACTOR"))</f>
        <v>0</v>
      </c>
      <c r="Q1325" s="126">
        <f>IF(E1325="Y",VLOOKUP(D1325,'Support - Unit Adjustments'!F:G,2,FALSE),0)</f>
        <v>0</v>
      </c>
      <c r="R1325" s="155">
        <f t="shared" si="402"/>
        <v>0</v>
      </c>
      <c r="S1325" s="47">
        <f t="shared" si="401"/>
        <v>0</v>
      </c>
      <c r="T1325" s="151">
        <f t="shared" si="386"/>
        <v>20493</v>
      </c>
      <c r="U1325" s="151">
        <f t="shared" si="387"/>
        <v>0</v>
      </c>
      <c r="V1325" s="139">
        <f t="shared" si="388"/>
        <v>0</v>
      </c>
      <c r="W1325" s="152">
        <f t="shared" si="391"/>
        <v>20493</v>
      </c>
      <c r="X1325" s="127" t="str">
        <f t="shared" si="389"/>
        <v/>
      </c>
      <c r="Y1325" s="207">
        <f t="shared" si="392"/>
        <v>20493</v>
      </c>
      <c r="Z1325" s="139">
        <f t="shared" si="393"/>
        <v>20493</v>
      </c>
      <c r="AA1325" s="139">
        <f t="shared" si="394"/>
        <v>0</v>
      </c>
      <c r="AC1325" s="47">
        <f t="shared" si="395"/>
        <v>10247</v>
      </c>
      <c r="AD1325" s="47">
        <f t="shared" si="396"/>
        <v>10247</v>
      </c>
      <c r="AE1325" s="47">
        <f t="shared" si="397"/>
        <v>0</v>
      </c>
      <c r="AG1325" s="47">
        <f t="shared" si="398"/>
        <v>10246</v>
      </c>
      <c r="AH1325" s="47">
        <f t="shared" si="399"/>
        <v>10246</v>
      </c>
      <c r="AI1325" s="208">
        <f t="shared" si="400"/>
        <v>0</v>
      </c>
    </row>
    <row r="1326" spans="1:35">
      <c r="A1326" t="s">
        <v>2129</v>
      </c>
      <c r="B1326" t="s">
        <v>3155</v>
      </c>
      <c r="C1326" t="s">
        <v>2703</v>
      </c>
      <c r="D1326" t="s">
        <v>4704</v>
      </c>
      <c r="F1326" t="s">
        <v>1005</v>
      </c>
      <c r="G1326" s="126">
        <f>SUMIFS('Support - Transition'!F:F,'Support - Transition'!B:B,'Step 2'!A1326,'Support - Transition'!C:C,'Step 2'!B1326,'Support - Transition'!D:D,'Step 2'!C1326,'Support - Transition'!E:E,"CIVIL")</f>
        <v>0</v>
      </c>
      <c r="H1326" s="126">
        <f>SUMIFS('Support - Transition'!F:F,'Support - Transition'!B:B,'Step 2'!A1326,'Support - Transition'!C:C,'Step 2'!B1326,'Support - Transition'!D:D,'Step 2'!C1326,'Support - Transition'!E:E,"FIRE")</f>
        <v>0</v>
      </c>
      <c r="I1326" s="126">
        <f>IF(B1326="0",SUMIFS('Support - Transition'!F:F,'Support - Transition'!J:J,'Step 2'!D1326,'Support - Transition'!E:E,"STATE UNIT"),SUMIFS('Support - Transition'!F:F,'Support - Transition'!J:J,'Step 2'!D1326))</f>
        <v>3.3289999999999999E-3</v>
      </c>
      <c r="J1326" s="126">
        <f>SUMIFS('Support - Unit Adjustments'!E:E,'Support - Unit Adjustments'!F:F,'Step 2'!D1326)</f>
        <v>0</v>
      </c>
      <c r="K1326" s="126">
        <f t="shared" si="384"/>
        <v>3.3289999999999999E-3</v>
      </c>
      <c r="L1326" s="174">
        <f>VLOOKUP(A1326,'Step 1'!$A:$E,4,FALSE)</f>
        <v>5422774</v>
      </c>
      <c r="M1326" s="47">
        <f t="shared" si="385"/>
        <v>18052</v>
      </c>
      <c r="N1326" s="177">
        <f>SUMIFS('Support - Transition'!G:G,'Support - Transition'!J:J,'Step 2'!D1326,'Support - Transition'!E:E,"2009 WELFARE ALLOCATION FACTOR")</f>
        <v>0</v>
      </c>
      <c r="O1326" s="152">
        <f t="shared" si="390"/>
        <v>0</v>
      </c>
      <c r="P1326" s="126">
        <f>IF(E1326="Y",0,SUMIFS('Support - Transition'!G:G,'Support - Transition'!J:J,'Step 2'!D1326,'Support - Transition'!E:E,"2009 SCHOOL ALLOCATION FACTOR"))</f>
        <v>0</v>
      </c>
      <c r="Q1326" s="126">
        <f>IF(E1326="Y",VLOOKUP(D1326,'Support - Unit Adjustments'!F:G,2,FALSE),0)</f>
        <v>0</v>
      </c>
      <c r="R1326" s="155">
        <f t="shared" si="402"/>
        <v>0</v>
      </c>
      <c r="S1326" s="47">
        <f t="shared" si="401"/>
        <v>0</v>
      </c>
      <c r="T1326" s="151">
        <f t="shared" si="386"/>
        <v>18052</v>
      </c>
      <c r="U1326" s="151">
        <f t="shared" si="387"/>
        <v>0</v>
      </c>
      <c r="V1326" s="139">
        <f t="shared" si="388"/>
        <v>0</v>
      </c>
      <c r="W1326" s="152">
        <f t="shared" si="391"/>
        <v>18052</v>
      </c>
      <c r="X1326" s="127" t="str">
        <f t="shared" si="389"/>
        <v/>
      </c>
      <c r="Y1326" s="207">
        <f t="shared" si="392"/>
        <v>18052</v>
      </c>
      <c r="Z1326" s="139">
        <f t="shared" si="393"/>
        <v>18052</v>
      </c>
      <c r="AA1326" s="139">
        <f t="shared" si="394"/>
        <v>0</v>
      </c>
      <c r="AC1326" s="47">
        <f t="shared" si="395"/>
        <v>9026</v>
      </c>
      <c r="AD1326" s="47">
        <f t="shared" si="396"/>
        <v>9026</v>
      </c>
      <c r="AE1326" s="47">
        <f t="shared" si="397"/>
        <v>0</v>
      </c>
      <c r="AG1326" s="47">
        <f t="shared" si="398"/>
        <v>9026</v>
      </c>
      <c r="AH1326" s="47">
        <f t="shared" si="399"/>
        <v>9026</v>
      </c>
      <c r="AI1326" s="208">
        <f t="shared" si="400"/>
        <v>0</v>
      </c>
    </row>
    <row r="1327" spans="1:35">
      <c r="A1327" t="s">
        <v>2129</v>
      </c>
      <c r="B1327" t="s">
        <v>3155</v>
      </c>
      <c r="C1327" t="s">
        <v>2704</v>
      </c>
      <c r="D1327" t="s">
        <v>4705</v>
      </c>
      <c r="F1327" t="s">
        <v>1010</v>
      </c>
      <c r="G1327" s="126">
        <f>SUMIFS('Support - Transition'!F:F,'Support - Transition'!B:B,'Step 2'!A1327,'Support - Transition'!C:C,'Step 2'!B1327,'Support - Transition'!D:D,'Step 2'!C1327,'Support - Transition'!E:E,"CIVIL")</f>
        <v>0</v>
      </c>
      <c r="H1327" s="126">
        <f>SUMIFS('Support - Transition'!F:F,'Support - Transition'!B:B,'Step 2'!A1327,'Support - Transition'!C:C,'Step 2'!B1327,'Support - Transition'!D:D,'Step 2'!C1327,'Support - Transition'!E:E,"FIRE")</f>
        <v>0</v>
      </c>
      <c r="I1327" s="126">
        <f>IF(B1327="0",SUMIFS('Support - Transition'!F:F,'Support - Transition'!J:J,'Step 2'!D1327,'Support - Transition'!E:E,"STATE UNIT"),SUMIFS('Support - Transition'!F:F,'Support - Transition'!J:J,'Step 2'!D1327))</f>
        <v>1.4494999999999999E-2</v>
      </c>
      <c r="J1327" s="126">
        <f>SUMIFS('Support - Unit Adjustments'!E:E,'Support - Unit Adjustments'!F:F,'Step 2'!D1327)</f>
        <v>0</v>
      </c>
      <c r="K1327" s="126">
        <f t="shared" si="384"/>
        <v>1.4494999999999999E-2</v>
      </c>
      <c r="L1327" s="174">
        <f>VLOOKUP(A1327,'Step 1'!$A:$E,4,FALSE)</f>
        <v>5422774</v>
      </c>
      <c r="M1327" s="47">
        <f t="shared" si="385"/>
        <v>78603</v>
      </c>
      <c r="N1327" s="177">
        <f>SUMIFS('Support - Transition'!G:G,'Support - Transition'!J:J,'Step 2'!D1327,'Support - Transition'!E:E,"2009 WELFARE ALLOCATION FACTOR")</f>
        <v>0</v>
      </c>
      <c r="O1327" s="152">
        <f t="shared" si="390"/>
        <v>0</v>
      </c>
      <c r="P1327" s="126">
        <f>IF(E1327="Y",0,SUMIFS('Support - Transition'!G:G,'Support - Transition'!J:J,'Step 2'!D1327,'Support - Transition'!E:E,"2009 SCHOOL ALLOCATION FACTOR"))</f>
        <v>0</v>
      </c>
      <c r="Q1327" s="126">
        <f>IF(E1327="Y",VLOOKUP(D1327,'Support - Unit Adjustments'!F:G,2,FALSE),0)</f>
        <v>0</v>
      </c>
      <c r="R1327" s="155">
        <f t="shared" si="402"/>
        <v>0</v>
      </c>
      <c r="S1327" s="47">
        <f t="shared" si="401"/>
        <v>0</v>
      </c>
      <c r="T1327" s="151">
        <f t="shared" si="386"/>
        <v>78603</v>
      </c>
      <c r="U1327" s="151">
        <f t="shared" si="387"/>
        <v>0</v>
      </c>
      <c r="V1327" s="139">
        <f t="shared" si="388"/>
        <v>0</v>
      </c>
      <c r="W1327" s="152">
        <f t="shared" si="391"/>
        <v>78603</v>
      </c>
      <c r="X1327" s="127" t="str">
        <f t="shared" si="389"/>
        <v/>
      </c>
      <c r="Y1327" s="207">
        <f t="shared" si="392"/>
        <v>78603</v>
      </c>
      <c r="Z1327" s="139">
        <f t="shared" si="393"/>
        <v>78603</v>
      </c>
      <c r="AA1327" s="139">
        <f t="shared" si="394"/>
        <v>0</v>
      </c>
      <c r="AC1327" s="47">
        <f t="shared" si="395"/>
        <v>39302</v>
      </c>
      <c r="AD1327" s="47">
        <f t="shared" si="396"/>
        <v>39302</v>
      </c>
      <c r="AE1327" s="47">
        <f t="shared" si="397"/>
        <v>0</v>
      </c>
      <c r="AG1327" s="47">
        <f t="shared" si="398"/>
        <v>39301</v>
      </c>
      <c r="AH1327" s="47">
        <f t="shared" si="399"/>
        <v>39301</v>
      </c>
      <c r="AI1327" s="208">
        <f t="shared" si="400"/>
        <v>0</v>
      </c>
    </row>
    <row r="1328" spans="1:35">
      <c r="A1328" t="s">
        <v>2129</v>
      </c>
      <c r="B1328" t="s">
        <v>3155</v>
      </c>
      <c r="C1328" t="s">
        <v>2705</v>
      </c>
      <c r="D1328" t="s">
        <v>4706</v>
      </c>
      <c r="F1328" t="s">
        <v>1012</v>
      </c>
      <c r="G1328" s="126">
        <f>SUMIFS('Support - Transition'!F:F,'Support - Transition'!B:B,'Step 2'!A1328,'Support - Transition'!C:C,'Step 2'!B1328,'Support - Transition'!D:D,'Step 2'!C1328,'Support - Transition'!E:E,"CIVIL")</f>
        <v>0</v>
      </c>
      <c r="H1328" s="126">
        <f>SUMIFS('Support - Transition'!F:F,'Support - Transition'!B:B,'Step 2'!A1328,'Support - Transition'!C:C,'Step 2'!B1328,'Support - Transition'!D:D,'Step 2'!C1328,'Support - Transition'!E:E,"FIRE")</f>
        <v>0</v>
      </c>
      <c r="I1328" s="126">
        <f>IF(B1328="0",SUMIFS('Support - Transition'!F:F,'Support - Transition'!J:J,'Step 2'!D1328,'Support - Transition'!E:E,"STATE UNIT"),SUMIFS('Support - Transition'!F:F,'Support - Transition'!J:J,'Step 2'!D1328))</f>
        <v>6.8060000000000004E-3</v>
      </c>
      <c r="J1328" s="126">
        <f>SUMIFS('Support - Unit Adjustments'!E:E,'Support - Unit Adjustments'!F:F,'Step 2'!D1328)</f>
        <v>0</v>
      </c>
      <c r="K1328" s="126">
        <f t="shared" si="384"/>
        <v>6.8060000000000004E-3</v>
      </c>
      <c r="L1328" s="174">
        <f>VLOOKUP(A1328,'Step 1'!$A:$E,4,FALSE)</f>
        <v>5422774</v>
      </c>
      <c r="M1328" s="47">
        <f t="shared" si="385"/>
        <v>36907</v>
      </c>
      <c r="N1328" s="177">
        <f>SUMIFS('Support - Transition'!G:G,'Support - Transition'!J:J,'Step 2'!D1328,'Support - Transition'!E:E,"2009 WELFARE ALLOCATION FACTOR")</f>
        <v>0</v>
      </c>
      <c r="O1328" s="152">
        <f t="shared" si="390"/>
        <v>0</v>
      </c>
      <c r="P1328" s="126">
        <f>IF(E1328="Y",0,SUMIFS('Support - Transition'!G:G,'Support - Transition'!J:J,'Step 2'!D1328,'Support - Transition'!E:E,"2009 SCHOOL ALLOCATION FACTOR"))</f>
        <v>0</v>
      </c>
      <c r="Q1328" s="126">
        <f>IF(E1328="Y",VLOOKUP(D1328,'Support - Unit Adjustments'!F:G,2,FALSE),0)</f>
        <v>0</v>
      </c>
      <c r="R1328" s="155">
        <f t="shared" si="402"/>
        <v>0</v>
      </c>
      <c r="S1328" s="47">
        <f t="shared" si="401"/>
        <v>0</v>
      </c>
      <c r="T1328" s="151">
        <f t="shared" si="386"/>
        <v>36907</v>
      </c>
      <c r="U1328" s="151">
        <f t="shared" si="387"/>
        <v>0</v>
      </c>
      <c r="V1328" s="139">
        <f t="shared" si="388"/>
        <v>0</v>
      </c>
      <c r="W1328" s="152">
        <f t="shared" si="391"/>
        <v>36907</v>
      </c>
      <c r="X1328" s="127" t="str">
        <f t="shared" si="389"/>
        <v/>
      </c>
      <c r="Y1328" s="207">
        <f t="shared" si="392"/>
        <v>36907</v>
      </c>
      <c r="Z1328" s="139">
        <f t="shared" si="393"/>
        <v>36907</v>
      </c>
      <c r="AA1328" s="139">
        <f t="shared" si="394"/>
        <v>0</v>
      </c>
      <c r="AC1328" s="47">
        <f t="shared" si="395"/>
        <v>18454</v>
      </c>
      <c r="AD1328" s="47">
        <f t="shared" si="396"/>
        <v>18454</v>
      </c>
      <c r="AE1328" s="47">
        <f t="shared" si="397"/>
        <v>0</v>
      </c>
      <c r="AG1328" s="47">
        <f t="shared" si="398"/>
        <v>18453</v>
      </c>
      <c r="AH1328" s="47">
        <f t="shared" si="399"/>
        <v>18453</v>
      </c>
      <c r="AI1328" s="208">
        <f t="shared" si="400"/>
        <v>0</v>
      </c>
    </row>
    <row r="1329" spans="1:35">
      <c r="A1329" t="s">
        <v>2129</v>
      </c>
      <c r="B1329" t="s">
        <v>3155</v>
      </c>
      <c r="C1329" t="s">
        <v>2706</v>
      </c>
      <c r="D1329" t="s">
        <v>4707</v>
      </c>
      <c r="F1329" t="s">
        <v>1017</v>
      </c>
      <c r="G1329" s="126">
        <f>SUMIFS('Support - Transition'!F:F,'Support - Transition'!B:B,'Step 2'!A1329,'Support - Transition'!C:C,'Step 2'!B1329,'Support - Transition'!D:D,'Step 2'!C1329,'Support - Transition'!E:E,"CIVIL")</f>
        <v>0</v>
      </c>
      <c r="H1329" s="126">
        <f>SUMIFS('Support - Transition'!F:F,'Support - Transition'!B:B,'Step 2'!A1329,'Support - Transition'!C:C,'Step 2'!B1329,'Support - Transition'!D:D,'Step 2'!C1329,'Support - Transition'!E:E,"FIRE")</f>
        <v>0</v>
      </c>
      <c r="I1329" s="126">
        <f>IF(B1329="0",SUMIFS('Support - Transition'!F:F,'Support - Transition'!J:J,'Step 2'!D1329,'Support - Transition'!E:E,"STATE UNIT"),SUMIFS('Support - Transition'!F:F,'Support - Transition'!J:J,'Step 2'!D1329))</f>
        <v>5.8199999999999997E-3</v>
      </c>
      <c r="J1329" s="126">
        <f>SUMIFS('Support - Unit Adjustments'!E:E,'Support - Unit Adjustments'!F:F,'Step 2'!D1329)</f>
        <v>0</v>
      </c>
      <c r="K1329" s="126">
        <f t="shared" si="384"/>
        <v>5.8199999999999997E-3</v>
      </c>
      <c r="L1329" s="174">
        <f>VLOOKUP(A1329,'Step 1'!$A:$E,4,FALSE)</f>
        <v>5422774</v>
      </c>
      <c r="M1329" s="47">
        <f t="shared" si="385"/>
        <v>31561</v>
      </c>
      <c r="N1329" s="177">
        <f>SUMIFS('Support - Transition'!G:G,'Support - Transition'!J:J,'Step 2'!D1329,'Support - Transition'!E:E,"2009 WELFARE ALLOCATION FACTOR")</f>
        <v>0</v>
      </c>
      <c r="O1329" s="152">
        <f t="shared" si="390"/>
        <v>0</v>
      </c>
      <c r="P1329" s="126">
        <f>IF(E1329="Y",0,SUMIFS('Support - Transition'!G:G,'Support - Transition'!J:J,'Step 2'!D1329,'Support - Transition'!E:E,"2009 SCHOOL ALLOCATION FACTOR"))</f>
        <v>0</v>
      </c>
      <c r="Q1329" s="126">
        <f>IF(E1329="Y",VLOOKUP(D1329,'Support - Unit Adjustments'!F:G,2,FALSE),0)</f>
        <v>0</v>
      </c>
      <c r="R1329" s="155">
        <f t="shared" si="402"/>
        <v>0</v>
      </c>
      <c r="S1329" s="47">
        <f t="shared" si="401"/>
        <v>0</v>
      </c>
      <c r="T1329" s="151">
        <f t="shared" si="386"/>
        <v>31561</v>
      </c>
      <c r="U1329" s="151">
        <f t="shared" si="387"/>
        <v>0</v>
      </c>
      <c r="V1329" s="139">
        <f t="shared" si="388"/>
        <v>0</v>
      </c>
      <c r="W1329" s="152">
        <f t="shared" si="391"/>
        <v>31561</v>
      </c>
      <c r="X1329" s="127" t="str">
        <f t="shared" si="389"/>
        <v/>
      </c>
      <c r="Y1329" s="207">
        <f t="shared" si="392"/>
        <v>31561</v>
      </c>
      <c r="Z1329" s="139">
        <f t="shared" si="393"/>
        <v>31561</v>
      </c>
      <c r="AA1329" s="139">
        <f t="shared" si="394"/>
        <v>0</v>
      </c>
      <c r="AC1329" s="47">
        <f t="shared" si="395"/>
        <v>15781</v>
      </c>
      <c r="AD1329" s="47">
        <f t="shared" si="396"/>
        <v>15781</v>
      </c>
      <c r="AE1329" s="47">
        <f t="shared" si="397"/>
        <v>0</v>
      </c>
      <c r="AG1329" s="47">
        <f t="shared" si="398"/>
        <v>15780</v>
      </c>
      <c r="AH1329" s="47">
        <f t="shared" si="399"/>
        <v>15780</v>
      </c>
      <c r="AI1329" s="208">
        <f t="shared" si="400"/>
        <v>0</v>
      </c>
    </row>
    <row r="1330" spans="1:35">
      <c r="A1330" t="s">
        <v>2129</v>
      </c>
      <c r="B1330" t="s">
        <v>3155</v>
      </c>
      <c r="C1330" t="s">
        <v>2707</v>
      </c>
      <c r="D1330" t="s">
        <v>4708</v>
      </c>
      <c r="F1330" t="s">
        <v>1016</v>
      </c>
      <c r="G1330" s="126">
        <f>SUMIFS('Support - Transition'!F:F,'Support - Transition'!B:B,'Step 2'!A1330,'Support - Transition'!C:C,'Step 2'!B1330,'Support - Transition'!D:D,'Step 2'!C1330,'Support - Transition'!E:E,"CIVIL")</f>
        <v>0</v>
      </c>
      <c r="H1330" s="126">
        <f>SUMIFS('Support - Transition'!F:F,'Support - Transition'!B:B,'Step 2'!A1330,'Support - Transition'!C:C,'Step 2'!B1330,'Support - Transition'!D:D,'Step 2'!C1330,'Support - Transition'!E:E,"FIRE")</f>
        <v>0</v>
      </c>
      <c r="I1330" s="126">
        <f>IF(B1330="0",SUMIFS('Support - Transition'!F:F,'Support - Transition'!J:J,'Step 2'!D1330,'Support - Transition'!E:E,"STATE UNIT"),SUMIFS('Support - Transition'!F:F,'Support - Transition'!J:J,'Step 2'!D1330))</f>
        <v>2.5400000000000002E-3</v>
      </c>
      <c r="J1330" s="126">
        <f>SUMIFS('Support - Unit Adjustments'!E:E,'Support - Unit Adjustments'!F:F,'Step 2'!D1330)</f>
        <v>0</v>
      </c>
      <c r="K1330" s="126">
        <f t="shared" si="384"/>
        <v>2.5400000000000002E-3</v>
      </c>
      <c r="L1330" s="174">
        <f>VLOOKUP(A1330,'Step 1'!$A:$E,4,FALSE)</f>
        <v>5422774</v>
      </c>
      <c r="M1330" s="47">
        <f t="shared" si="385"/>
        <v>13774</v>
      </c>
      <c r="N1330" s="177">
        <f>SUMIFS('Support - Transition'!G:G,'Support - Transition'!J:J,'Step 2'!D1330,'Support - Transition'!E:E,"2009 WELFARE ALLOCATION FACTOR")</f>
        <v>0</v>
      </c>
      <c r="O1330" s="152">
        <f t="shared" si="390"/>
        <v>0</v>
      </c>
      <c r="P1330" s="126">
        <f>IF(E1330="Y",0,SUMIFS('Support - Transition'!G:G,'Support - Transition'!J:J,'Step 2'!D1330,'Support - Transition'!E:E,"2009 SCHOOL ALLOCATION FACTOR"))</f>
        <v>0</v>
      </c>
      <c r="Q1330" s="126">
        <f>IF(E1330="Y",VLOOKUP(D1330,'Support - Unit Adjustments'!F:G,2,FALSE),0)</f>
        <v>0</v>
      </c>
      <c r="R1330" s="155">
        <f t="shared" si="402"/>
        <v>0</v>
      </c>
      <c r="S1330" s="47">
        <f t="shared" si="401"/>
        <v>0</v>
      </c>
      <c r="T1330" s="151">
        <f t="shared" si="386"/>
        <v>13774</v>
      </c>
      <c r="U1330" s="151">
        <f t="shared" si="387"/>
        <v>0</v>
      </c>
      <c r="V1330" s="139">
        <f t="shared" si="388"/>
        <v>0</v>
      </c>
      <c r="W1330" s="152">
        <f t="shared" si="391"/>
        <v>13774</v>
      </c>
      <c r="X1330" s="127" t="str">
        <f t="shared" si="389"/>
        <v/>
      </c>
      <c r="Y1330" s="207">
        <f t="shared" si="392"/>
        <v>13774</v>
      </c>
      <c r="Z1330" s="139">
        <f t="shared" si="393"/>
        <v>13774</v>
      </c>
      <c r="AA1330" s="139">
        <f t="shared" si="394"/>
        <v>0</v>
      </c>
      <c r="AC1330" s="47">
        <f t="shared" si="395"/>
        <v>6887</v>
      </c>
      <c r="AD1330" s="47">
        <f t="shared" si="396"/>
        <v>6887</v>
      </c>
      <c r="AE1330" s="47">
        <f t="shared" si="397"/>
        <v>0</v>
      </c>
      <c r="AG1330" s="47">
        <f t="shared" si="398"/>
        <v>6887</v>
      </c>
      <c r="AH1330" s="47">
        <f t="shared" si="399"/>
        <v>6887</v>
      </c>
      <c r="AI1330" s="208">
        <f t="shared" si="400"/>
        <v>0</v>
      </c>
    </row>
    <row r="1331" spans="1:35">
      <c r="A1331" t="s">
        <v>2129</v>
      </c>
      <c r="B1331" t="s">
        <v>3155</v>
      </c>
      <c r="C1331" t="s">
        <v>2708</v>
      </c>
      <c r="D1331" t="s">
        <v>4709</v>
      </c>
      <c r="F1331" t="s">
        <v>1007</v>
      </c>
      <c r="G1331" s="126">
        <f>SUMIFS('Support - Transition'!F:F,'Support - Transition'!B:B,'Step 2'!A1331,'Support - Transition'!C:C,'Step 2'!B1331,'Support - Transition'!D:D,'Step 2'!C1331,'Support - Transition'!E:E,"CIVIL")</f>
        <v>0</v>
      </c>
      <c r="H1331" s="126">
        <f>SUMIFS('Support - Transition'!F:F,'Support - Transition'!B:B,'Step 2'!A1331,'Support - Transition'!C:C,'Step 2'!B1331,'Support - Transition'!D:D,'Step 2'!C1331,'Support - Transition'!E:E,"FIRE")</f>
        <v>0</v>
      </c>
      <c r="I1331" s="126">
        <f>IF(B1331="0",SUMIFS('Support - Transition'!F:F,'Support - Transition'!J:J,'Step 2'!D1331,'Support - Transition'!E:E,"STATE UNIT"),SUMIFS('Support - Transition'!F:F,'Support - Transition'!J:J,'Step 2'!D1331))</f>
        <v>1.854E-3</v>
      </c>
      <c r="J1331" s="126">
        <f>SUMIFS('Support - Unit Adjustments'!E:E,'Support - Unit Adjustments'!F:F,'Step 2'!D1331)</f>
        <v>3.6999999999999998E-5</v>
      </c>
      <c r="K1331" s="126">
        <f t="shared" si="384"/>
        <v>1.8909999999999999E-3</v>
      </c>
      <c r="L1331" s="174">
        <f>VLOOKUP(A1331,'Step 1'!$A:$E,4,FALSE)</f>
        <v>5422774</v>
      </c>
      <c r="M1331" s="47">
        <f t="shared" si="385"/>
        <v>10254</v>
      </c>
      <c r="N1331" s="177">
        <f>SUMIFS('Support - Transition'!G:G,'Support - Transition'!J:J,'Step 2'!D1331,'Support - Transition'!E:E,"2009 WELFARE ALLOCATION FACTOR")</f>
        <v>0</v>
      </c>
      <c r="O1331" s="152">
        <f t="shared" si="390"/>
        <v>0</v>
      </c>
      <c r="P1331" s="126">
        <f>IF(E1331="Y",0,SUMIFS('Support - Transition'!G:G,'Support - Transition'!J:J,'Step 2'!D1331,'Support - Transition'!E:E,"2009 SCHOOL ALLOCATION FACTOR"))</f>
        <v>0</v>
      </c>
      <c r="Q1331" s="126">
        <f>IF(E1331="Y",VLOOKUP(D1331,'Support - Unit Adjustments'!F:G,2,FALSE),0)</f>
        <v>0</v>
      </c>
      <c r="R1331" s="155">
        <f t="shared" si="402"/>
        <v>0</v>
      </c>
      <c r="S1331" s="47">
        <f t="shared" si="401"/>
        <v>0</v>
      </c>
      <c r="T1331" s="151">
        <f t="shared" si="386"/>
        <v>10254</v>
      </c>
      <c r="U1331" s="151">
        <f t="shared" si="387"/>
        <v>0</v>
      </c>
      <c r="V1331" s="139">
        <f t="shared" si="388"/>
        <v>0</v>
      </c>
      <c r="W1331" s="152">
        <f t="shared" si="391"/>
        <v>10254</v>
      </c>
      <c r="X1331" s="127" t="str">
        <f t="shared" si="389"/>
        <v/>
      </c>
      <c r="Y1331" s="207">
        <f t="shared" si="392"/>
        <v>10254</v>
      </c>
      <c r="Z1331" s="139">
        <f t="shared" si="393"/>
        <v>10254</v>
      </c>
      <c r="AA1331" s="139">
        <f t="shared" si="394"/>
        <v>0</v>
      </c>
      <c r="AC1331" s="47">
        <f t="shared" si="395"/>
        <v>5127</v>
      </c>
      <c r="AD1331" s="47">
        <f t="shared" si="396"/>
        <v>5127</v>
      </c>
      <c r="AE1331" s="47">
        <f t="shared" si="397"/>
        <v>0</v>
      </c>
      <c r="AG1331" s="47">
        <f t="shared" si="398"/>
        <v>5127</v>
      </c>
      <c r="AH1331" s="47">
        <f t="shared" si="399"/>
        <v>5127</v>
      </c>
      <c r="AI1331" s="208">
        <f t="shared" si="400"/>
        <v>0</v>
      </c>
    </row>
    <row r="1332" spans="1:35">
      <c r="A1332" t="s">
        <v>2129</v>
      </c>
      <c r="B1332" t="s">
        <v>3155</v>
      </c>
      <c r="C1332" t="s">
        <v>2709</v>
      </c>
      <c r="D1332" t="s">
        <v>4710</v>
      </c>
      <c r="F1332" t="s">
        <v>1015</v>
      </c>
      <c r="G1332" s="126">
        <f>SUMIFS('Support - Transition'!F:F,'Support - Transition'!B:B,'Step 2'!A1332,'Support - Transition'!C:C,'Step 2'!B1332,'Support - Transition'!D:D,'Step 2'!C1332,'Support - Transition'!E:E,"CIVIL")</f>
        <v>0</v>
      </c>
      <c r="H1332" s="126">
        <f>SUMIFS('Support - Transition'!F:F,'Support - Transition'!B:B,'Step 2'!A1332,'Support - Transition'!C:C,'Step 2'!B1332,'Support - Transition'!D:D,'Step 2'!C1332,'Support - Transition'!E:E,"FIRE")</f>
        <v>0</v>
      </c>
      <c r="I1332" s="126">
        <f>IF(B1332="0",SUMIFS('Support - Transition'!F:F,'Support - Transition'!J:J,'Step 2'!D1332,'Support - Transition'!E:E,"STATE UNIT"),SUMIFS('Support - Transition'!F:F,'Support - Transition'!J:J,'Step 2'!D1332))</f>
        <v>6.3400000000000001E-4</v>
      </c>
      <c r="J1332" s="126">
        <f>SUMIFS('Support - Unit Adjustments'!E:E,'Support - Unit Adjustments'!F:F,'Step 2'!D1332)</f>
        <v>0</v>
      </c>
      <c r="K1332" s="126">
        <f t="shared" si="384"/>
        <v>6.3400000000000001E-4</v>
      </c>
      <c r="L1332" s="174">
        <f>VLOOKUP(A1332,'Step 1'!$A:$E,4,FALSE)</f>
        <v>5422774</v>
      </c>
      <c r="M1332" s="47">
        <f t="shared" si="385"/>
        <v>3438</v>
      </c>
      <c r="N1332" s="177">
        <f>SUMIFS('Support - Transition'!G:G,'Support - Transition'!J:J,'Step 2'!D1332,'Support - Transition'!E:E,"2009 WELFARE ALLOCATION FACTOR")</f>
        <v>0</v>
      </c>
      <c r="O1332" s="152">
        <f t="shared" si="390"/>
        <v>0</v>
      </c>
      <c r="P1332" s="126">
        <f>IF(E1332="Y",0,SUMIFS('Support - Transition'!G:G,'Support - Transition'!J:J,'Step 2'!D1332,'Support - Transition'!E:E,"2009 SCHOOL ALLOCATION FACTOR"))</f>
        <v>0</v>
      </c>
      <c r="Q1332" s="126">
        <f>IF(E1332="Y",VLOOKUP(D1332,'Support - Unit Adjustments'!F:G,2,FALSE),0)</f>
        <v>0</v>
      </c>
      <c r="R1332" s="155">
        <f t="shared" si="402"/>
        <v>0</v>
      </c>
      <c r="S1332" s="47">
        <f t="shared" si="401"/>
        <v>0</v>
      </c>
      <c r="T1332" s="151">
        <f t="shared" si="386"/>
        <v>3438</v>
      </c>
      <c r="U1332" s="151">
        <f t="shared" si="387"/>
        <v>0</v>
      </c>
      <c r="V1332" s="139">
        <f t="shared" si="388"/>
        <v>0</v>
      </c>
      <c r="W1332" s="152">
        <f t="shared" si="391"/>
        <v>3438</v>
      </c>
      <c r="X1332" s="127" t="str">
        <f t="shared" si="389"/>
        <v/>
      </c>
      <c r="Y1332" s="207">
        <f t="shared" si="392"/>
        <v>3438</v>
      </c>
      <c r="Z1332" s="139">
        <f t="shared" si="393"/>
        <v>3438</v>
      </c>
      <c r="AA1332" s="139">
        <f t="shared" si="394"/>
        <v>0</v>
      </c>
      <c r="AC1332" s="47">
        <f t="shared" si="395"/>
        <v>1719</v>
      </c>
      <c r="AD1332" s="47">
        <f t="shared" si="396"/>
        <v>1719</v>
      </c>
      <c r="AE1332" s="47">
        <f t="shared" si="397"/>
        <v>0</v>
      </c>
      <c r="AG1332" s="47">
        <f t="shared" si="398"/>
        <v>1719</v>
      </c>
      <c r="AH1332" s="47">
        <f t="shared" si="399"/>
        <v>1719</v>
      </c>
      <c r="AI1332" s="208">
        <f t="shared" si="400"/>
        <v>0</v>
      </c>
    </row>
    <row r="1333" spans="1:35">
      <c r="A1333" t="s">
        <v>2129</v>
      </c>
      <c r="B1333" t="s">
        <v>3155</v>
      </c>
      <c r="C1333" t="s">
        <v>2710</v>
      </c>
      <c r="D1333" t="s">
        <v>4711</v>
      </c>
      <c r="F1333" t="s">
        <v>1018</v>
      </c>
      <c r="G1333" s="126">
        <f>SUMIFS('Support - Transition'!F:F,'Support - Transition'!B:B,'Step 2'!A1333,'Support - Transition'!C:C,'Step 2'!B1333,'Support - Transition'!D:D,'Step 2'!C1333,'Support - Transition'!E:E,"CIVIL")</f>
        <v>0</v>
      </c>
      <c r="H1333" s="126">
        <f>SUMIFS('Support - Transition'!F:F,'Support - Transition'!B:B,'Step 2'!A1333,'Support - Transition'!C:C,'Step 2'!B1333,'Support - Transition'!D:D,'Step 2'!C1333,'Support - Transition'!E:E,"FIRE")</f>
        <v>0</v>
      </c>
      <c r="I1333" s="126">
        <f>IF(B1333="0",SUMIFS('Support - Transition'!F:F,'Support - Transition'!J:J,'Step 2'!D1333,'Support - Transition'!E:E,"STATE UNIT"),SUMIFS('Support - Transition'!F:F,'Support - Transition'!J:J,'Step 2'!D1333))</f>
        <v>8.2000000000000001E-5</v>
      </c>
      <c r="J1333" s="126">
        <f>SUMIFS('Support - Unit Adjustments'!E:E,'Support - Unit Adjustments'!F:F,'Step 2'!D1333)</f>
        <v>0</v>
      </c>
      <c r="K1333" s="126">
        <f t="shared" si="384"/>
        <v>8.2000000000000001E-5</v>
      </c>
      <c r="L1333" s="174">
        <f>VLOOKUP(A1333,'Step 1'!$A:$E,4,FALSE)</f>
        <v>5422774</v>
      </c>
      <c r="M1333" s="47">
        <f t="shared" si="385"/>
        <v>445</v>
      </c>
      <c r="N1333" s="177">
        <f>SUMIFS('Support - Transition'!G:G,'Support - Transition'!J:J,'Step 2'!D1333,'Support - Transition'!E:E,"2009 WELFARE ALLOCATION FACTOR")</f>
        <v>0</v>
      </c>
      <c r="O1333" s="152">
        <f t="shared" si="390"/>
        <v>0</v>
      </c>
      <c r="P1333" s="126">
        <f>IF(E1333="Y",0,SUMIFS('Support - Transition'!G:G,'Support - Transition'!J:J,'Step 2'!D1333,'Support - Transition'!E:E,"2009 SCHOOL ALLOCATION FACTOR"))</f>
        <v>0</v>
      </c>
      <c r="Q1333" s="126">
        <f>IF(E1333="Y",VLOOKUP(D1333,'Support - Unit Adjustments'!F:G,2,FALSE),0)</f>
        <v>0</v>
      </c>
      <c r="R1333" s="155">
        <f t="shared" si="402"/>
        <v>0</v>
      </c>
      <c r="S1333" s="47">
        <f t="shared" si="401"/>
        <v>0</v>
      </c>
      <c r="T1333" s="151">
        <f t="shared" si="386"/>
        <v>445</v>
      </c>
      <c r="U1333" s="151">
        <f t="shared" si="387"/>
        <v>0</v>
      </c>
      <c r="V1333" s="139">
        <f t="shared" si="388"/>
        <v>0</v>
      </c>
      <c r="W1333" s="152">
        <f t="shared" si="391"/>
        <v>445</v>
      </c>
      <c r="X1333" s="127" t="str">
        <f t="shared" si="389"/>
        <v/>
      </c>
      <c r="Y1333" s="207">
        <f t="shared" si="392"/>
        <v>445</v>
      </c>
      <c r="Z1333" s="139">
        <f t="shared" si="393"/>
        <v>445</v>
      </c>
      <c r="AA1333" s="139">
        <f t="shared" si="394"/>
        <v>0</v>
      </c>
      <c r="AC1333" s="47">
        <f t="shared" si="395"/>
        <v>223</v>
      </c>
      <c r="AD1333" s="47">
        <f t="shared" si="396"/>
        <v>223</v>
      </c>
      <c r="AE1333" s="47">
        <f t="shared" si="397"/>
        <v>0</v>
      </c>
      <c r="AG1333" s="47">
        <f t="shared" si="398"/>
        <v>222</v>
      </c>
      <c r="AH1333" s="47">
        <f t="shared" si="399"/>
        <v>222</v>
      </c>
      <c r="AI1333" s="208">
        <f t="shared" si="400"/>
        <v>0</v>
      </c>
    </row>
    <row r="1334" spans="1:35">
      <c r="A1334" t="s">
        <v>2129</v>
      </c>
      <c r="B1334" t="s">
        <v>3155</v>
      </c>
      <c r="C1334" t="s">
        <v>2711</v>
      </c>
      <c r="D1334" t="s">
        <v>4712</v>
      </c>
      <c r="F1334" t="s">
        <v>1021</v>
      </c>
      <c r="G1334" s="126">
        <f>SUMIFS('Support - Transition'!F:F,'Support - Transition'!B:B,'Step 2'!A1334,'Support - Transition'!C:C,'Step 2'!B1334,'Support - Transition'!D:D,'Step 2'!C1334,'Support - Transition'!E:E,"CIVIL")</f>
        <v>0</v>
      </c>
      <c r="H1334" s="126">
        <f>SUMIFS('Support - Transition'!F:F,'Support - Transition'!B:B,'Step 2'!A1334,'Support - Transition'!C:C,'Step 2'!B1334,'Support - Transition'!D:D,'Step 2'!C1334,'Support - Transition'!E:E,"FIRE")</f>
        <v>0</v>
      </c>
      <c r="I1334" s="126">
        <f>IF(B1334="0",SUMIFS('Support - Transition'!F:F,'Support - Transition'!J:J,'Step 2'!D1334,'Support - Transition'!E:E,"STATE UNIT"),SUMIFS('Support - Transition'!F:F,'Support - Transition'!J:J,'Step 2'!D1334))</f>
        <v>2.1410000000000001E-3</v>
      </c>
      <c r="J1334" s="126">
        <f>SUMIFS('Support - Unit Adjustments'!E:E,'Support - Unit Adjustments'!F:F,'Step 2'!D1334)</f>
        <v>0</v>
      </c>
      <c r="K1334" s="126">
        <f t="shared" si="384"/>
        <v>2.1410000000000001E-3</v>
      </c>
      <c r="L1334" s="174">
        <f>VLOOKUP(A1334,'Step 1'!$A:$E,4,FALSE)</f>
        <v>5422774</v>
      </c>
      <c r="M1334" s="47">
        <f t="shared" si="385"/>
        <v>11610</v>
      </c>
      <c r="N1334" s="177">
        <f>SUMIFS('Support - Transition'!G:G,'Support - Transition'!J:J,'Step 2'!D1334,'Support - Transition'!E:E,"2009 WELFARE ALLOCATION FACTOR")</f>
        <v>0</v>
      </c>
      <c r="O1334" s="152">
        <f t="shared" si="390"/>
        <v>0</v>
      </c>
      <c r="P1334" s="126">
        <f>IF(E1334="Y",0,SUMIFS('Support - Transition'!G:G,'Support - Transition'!J:J,'Step 2'!D1334,'Support - Transition'!E:E,"2009 SCHOOL ALLOCATION FACTOR"))</f>
        <v>0</v>
      </c>
      <c r="Q1334" s="126">
        <f>IF(E1334="Y",VLOOKUP(D1334,'Support - Unit Adjustments'!F:G,2,FALSE),0)</f>
        <v>0</v>
      </c>
      <c r="R1334" s="155">
        <f t="shared" si="402"/>
        <v>0</v>
      </c>
      <c r="S1334" s="47">
        <f t="shared" si="401"/>
        <v>0</v>
      </c>
      <c r="T1334" s="151">
        <f t="shared" si="386"/>
        <v>11610</v>
      </c>
      <c r="U1334" s="151">
        <f t="shared" si="387"/>
        <v>0</v>
      </c>
      <c r="V1334" s="139">
        <f t="shared" si="388"/>
        <v>0</v>
      </c>
      <c r="W1334" s="152">
        <f t="shared" si="391"/>
        <v>11610</v>
      </c>
      <c r="X1334" s="127" t="str">
        <f t="shared" si="389"/>
        <v/>
      </c>
      <c r="Y1334" s="207">
        <f t="shared" si="392"/>
        <v>11610</v>
      </c>
      <c r="Z1334" s="139">
        <f t="shared" si="393"/>
        <v>11610</v>
      </c>
      <c r="AA1334" s="139">
        <f t="shared" si="394"/>
        <v>0</v>
      </c>
      <c r="AC1334" s="47">
        <f t="shared" si="395"/>
        <v>5805</v>
      </c>
      <c r="AD1334" s="47">
        <f t="shared" si="396"/>
        <v>5805</v>
      </c>
      <c r="AE1334" s="47">
        <f t="shared" si="397"/>
        <v>0</v>
      </c>
      <c r="AG1334" s="47">
        <f t="shared" si="398"/>
        <v>5805</v>
      </c>
      <c r="AH1334" s="47">
        <f t="shared" si="399"/>
        <v>5805</v>
      </c>
      <c r="AI1334" s="208">
        <f t="shared" si="400"/>
        <v>0</v>
      </c>
    </row>
    <row r="1335" spans="1:35">
      <c r="A1335" t="s">
        <v>2129</v>
      </c>
      <c r="B1335" t="s">
        <v>3155</v>
      </c>
      <c r="C1335" t="s">
        <v>2712</v>
      </c>
      <c r="D1335" t="s">
        <v>4713</v>
      </c>
      <c r="F1335" t="s">
        <v>1019</v>
      </c>
      <c r="G1335" s="126">
        <f>SUMIFS('Support - Transition'!F:F,'Support - Transition'!B:B,'Step 2'!A1335,'Support - Transition'!C:C,'Step 2'!B1335,'Support - Transition'!D:D,'Step 2'!C1335,'Support - Transition'!E:E,"CIVIL")</f>
        <v>0</v>
      </c>
      <c r="H1335" s="126">
        <f>SUMIFS('Support - Transition'!F:F,'Support - Transition'!B:B,'Step 2'!A1335,'Support - Transition'!C:C,'Step 2'!B1335,'Support - Transition'!D:D,'Step 2'!C1335,'Support - Transition'!E:E,"FIRE")</f>
        <v>0</v>
      </c>
      <c r="I1335" s="126">
        <f>IF(B1335="0",SUMIFS('Support - Transition'!F:F,'Support - Transition'!J:J,'Step 2'!D1335,'Support - Transition'!E:E,"STATE UNIT"),SUMIFS('Support - Transition'!F:F,'Support - Transition'!J:J,'Step 2'!D1335))</f>
        <v>8.8970000000000004E-3</v>
      </c>
      <c r="J1335" s="126">
        <f>SUMIFS('Support - Unit Adjustments'!E:E,'Support - Unit Adjustments'!F:F,'Step 2'!D1335)</f>
        <v>1.16E-4</v>
      </c>
      <c r="K1335" s="126">
        <f t="shared" si="384"/>
        <v>9.0130000000000002E-3</v>
      </c>
      <c r="L1335" s="174">
        <f>VLOOKUP(A1335,'Step 1'!$A:$E,4,FALSE)</f>
        <v>5422774</v>
      </c>
      <c r="M1335" s="47">
        <f t="shared" si="385"/>
        <v>48875</v>
      </c>
      <c r="N1335" s="177">
        <f>SUMIFS('Support - Transition'!G:G,'Support - Transition'!J:J,'Step 2'!D1335,'Support - Transition'!E:E,"2009 WELFARE ALLOCATION FACTOR")</f>
        <v>0</v>
      </c>
      <c r="O1335" s="152">
        <f t="shared" si="390"/>
        <v>0</v>
      </c>
      <c r="P1335" s="126">
        <f>IF(E1335="Y",0,SUMIFS('Support - Transition'!G:G,'Support - Transition'!J:J,'Step 2'!D1335,'Support - Transition'!E:E,"2009 SCHOOL ALLOCATION FACTOR"))</f>
        <v>0</v>
      </c>
      <c r="Q1335" s="126">
        <f>IF(E1335="Y",VLOOKUP(D1335,'Support - Unit Adjustments'!F:G,2,FALSE),0)</f>
        <v>0</v>
      </c>
      <c r="R1335" s="155">
        <f t="shared" si="402"/>
        <v>0</v>
      </c>
      <c r="S1335" s="47">
        <f t="shared" si="401"/>
        <v>0</v>
      </c>
      <c r="T1335" s="151">
        <f t="shared" si="386"/>
        <v>48875</v>
      </c>
      <c r="U1335" s="151">
        <f t="shared" si="387"/>
        <v>0</v>
      </c>
      <c r="V1335" s="139">
        <f t="shared" si="388"/>
        <v>0</v>
      </c>
      <c r="W1335" s="152">
        <f t="shared" si="391"/>
        <v>48875</v>
      </c>
      <c r="X1335" s="127" t="str">
        <f t="shared" si="389"/>
        <v/>
      </c>
      <c r="Y1335" s="207">
        <f t="shared" si="392"/>
        <v>48875</v>
      </c>
      <c r="Z1335" s="139">
        <f t="shared" si="393"/>
        <v>48875</v>
      </c>
      <c r="AA1335" s="139">
        <f t="shared" si="394"/>
        <v>0</v>
      </c>
      <c r="AC1335" s="47">
        <f t="shared" si="395"/>
        <v>24438</v>
      </c>
      <c r="AD1335" s="47">
        <f t="shared" si="396"/>
        <v>24438</v>
      </c>
      <c r="AE1335" s="47">
        <f t="shared" si="397"/>
        <v>0</v>
      </c>
      <c r="AG1335" s="47">
        <f t="shared" si="398"/>
        <v>24437</v>
      </c>
      <c r="AH1335" s="47">
        <f t="shared" si="399"/>
        <v>24437</v>
      </c>
      <c r="AI1335" s="208">
        <f t="shared" si="400"/>
        <v>0</v>
      </c>
    </row>
    <row r="1336" spans="1:35">
      <c r="A1336" t="s">
        <v>2129</v>
      </c>
      <c r="B1336" t="s">
        <v>3155</v>
      </c>
      <c r="C1336" t="s">
        <v>2713</v>
      </c>
      <c r="D1336" t="s">
        <v>4714</v>
      </c>
      <c r="F1336" t="s">
        <v>1020</v>
      </c>
      <c r="G1336" s="126">
        <f>SUMIFS('Support - Transition'!F:F,'Support - Transition'!B:B,'Step 2'!A1336,'Support - Transition'!C:C,'Step 2'!B1336,'Support - Transition'!D:D,'Step 2'!C1336,'Support - Transition'!E:E,"CIVIL")</f>
        <v>0</v>
      </c>
      <c r="H1336" s="126">
        <f>SUMIFS('Support - Transition'!F:F,'Support - Transition'!B:B,'Step 2'!A1336,'Support - Transition'!C:C,'Step 2'!B1336,'Support - Transition'!D:D,'Step 2'!C1336,'Support - Transition'!E:E,"FIRE")</f>
        <v>0</v>
      </c>
      <c r="I1336" s="126">
        <f>IF(B1336="0",SUMIFS('Support - Transition'!F:F,'Support - Transition'!J:J,'Step 2'!D1336,'Support - Transition'!E:E,"STATE UNIT"),SUMIFS('Support - Transition'!F:F,'Support - Transition'!J:J,'Step 2'!D1336))</f>
        <v>0</v>
      </c>
      <c r="J1336" s="126">
        <f>SUMIFS('Support - Unit Adjustments'!E:E,'Support - Unit Adjustments'!F:F,'Step 2'!D1336)</f>
        <v>0</v>
      </c>
      <c r="K1336" s="126">
        <f t="shared" si="384"/>
        <v>0</v>
      </c>
      <c r="L1336" s="174">
        <f>VLOOKUP(A1336,'Step 1'!$A:$E,4,FALSE)</f>
        <v>5422774</v>
      </c>
      <c r="M1336" s="47">
        <f t="shared" si="385"/>
        <v>0</v>
      </c>
      <c r="N1336" s="177">
        <f>SUMIFS('Support - Transition'!G:G,'Support - Transition'!J:J,'Step 2'!D1336,'Support - Transition'!E:E,"2009 WELFARE ALLOCATION FACTOR")</f>
        <v>0</v>
      </c>
      <c r="O1336" s="152">
        <f t="shared" si="390"/>
        <v>0</v>
      </c>
      <c r="P1336" s="126">
        <f>IF(E1336="Y",0,SUMIFS('Support - Transition'!G:G,'Support - Transition'!J:J,'Step 2'!D1336,'Support - Transition'!E:E,"2009 SCHOOL ALLOCATION FACTOR"))</f>
        <v>0</v>
      </c>
      <c r="Q1336" s="126">
        <f>IF(E1336="Y",VLOOKUP(D1336,'Support - Unit Adjustments'!F:G,2,FALSE),0)</f>
        <v>0</v>
      </c>
      <c r="R1336" s="155">
        <f t="shared" si="402"/>
        <v>0</v>
      </c>
      <c r="S1336" s="47">
        <f t="shared" si="401"/>
        <v>0</v>
      </c>
      <c r="T1336" s="151">
        <f t="shared" si="386"/>
        <v>0</v>
      </c>
      <c r="U1336" s="151">
        <f t="shared" si="387"/>
        <v>0</v>
      </c>
      <c r="V1336" s="139">
        <f t="shared" si="388"/>
        <v>0</v>
      </c>
      <c r="W1336" s="152">
        <f t="shared" si="391"/>
        <v>0</v>
      </c>
      <c r="X1336" s="127" t="str">
        <f t="shared" si="389"/>
        <v/>
      </c>
      <c r="Y1336" s="207">
        <f t="shared" si="392"/>
        <v>0</v>
      </c>
      <c r="Z1336" s="139">
        <f t="shared" si="393"/>
        <v>0</v>
      </c>
      <c r="AA1336" s="139">
        <f t="shared" si="394"/>
        <v>0</v>
      </c>
      <c r="AC1336" s="47">
        <f t="shared" si="395"/>
        <v>0</v>
      </c>
      <c r="AD1336" s="47">
        <f t="shared" si="396"/>
        <v>0</v>
      </c>
      <c r="AE1336" s="47">
        <f t="shared" si="397"/>
        <v>0</v>
      </c>
      <c r="AG1336" s="47">
        <f t="shared" si="398"/>
        <v>0</v>
      </c>
      <c r="AH1336" s="47">
        <f t="shared" si="399"/>
        <v>0</v>
      </c>
      <c r="AI1336" s="208">
        <f t="shared" si="400"/>
        <v>0</v>
      </c>
    </row>
    <row r="1337" spans="1:35">
      <c r="A1337" t="s">
        <v>2129</v>
      </c>
      <c r="B1337" t="s">
        <v>3155</v>
      </c>
      <c r="C1337" t="s">
        <v>2714</v>
      </c>
      <c r="D1337" t="s">
        <v>4715</v>
      </c>
      <c r="F1337" t="s">
        <v>1023</v>
      </c>
      <c r="G1337" s="126">
        <f>SUMIFS('Support - Transition'!F:F,'Support - Transition'!B:B,'Step 2'!A1337,'Support - Transition'!C:C,'Step 2'!B1337,'Support - Transition'!D:D,'Step 2'!C1337,'Support - Transition'!E:E,"CIVIL")</f>
        <v>0</v>
      </c>
      <c r="H1337" s="126">
        <f>SUMIFS('Support - Transition'!F:F,'Support - Transition'!B:B,'Step 2'!A1337,'Support - Transition'!C:C,'Step 2'!B1337,'Support - Transition'!D:D,'Step 2'!C1337,'Support - Transition'!E:E,"FIRE")</f>
        <v>0</v>
      </c>
      <c r="I1337" s="126">
        <f>IF(B1337="0",SUMIFS('Support - Transition'!F:F,'Support - Transition'!J:J,'Step 2'!D1337,'Support - Transition'!E:E,"STATE UNIT"),SUMIFS('Support - Transition'!F:F,'Support - Transition'!J:J,'Step 2'!D1337))</f>
        <v>0</v>
      </c>
      <c r="J1337" s="126">
        <f>SUMIFS('Support - Unit Adjustments'!E:E,'Support - Unit Adjustments'!F:F,'Step 2'!D1337)</f>
        <v>0</v>
      </c>
      <c r="K1337" s="126">
        <f t="shared" si="384"/>
        <v>0</v>
      </c>
      <c r="L1337" s="174">
        <f>VLOOKUP(A1337,'Step 1'!$A:$E,4,FALSE)</f>
        <v>5422774</v>
      </c>
      <c r="M1337" s="47">
        <f t="shared" si="385"/>
        <v>0</v>
      </c>
      <c r="N1337" s="177">
        <f>SUMIFS('Support - Transition'!G:G,'Support - Transition'!J:J,'Step 2'!D1337,'Support - Transition'!E:E,"2009 WELFARE ALLOCATION FACTOR")</f>
        <v>0</v>
      </c>
      <c r="O1337" s="152">
        <f t="shared" si="390"/>
        <v>0</v>
      </c>
      <c r="P1337" s="126">
        <f>IF(E1337="Y",0,SUMIFS('Support - Transition'!G:G,'Support - Transition'!J:J,'Step 2'!D1337,'Support - Transition'!E:E,"2009 SCHOOL ALLOCATION FACTOR"))</f>
        <v>0</v>
      </c>
      <c r="Q1337" s="126">
        <f>IF(E1337="Y",VLOOKUP(D1337,'Support - Unit Adjustments'!F:G,2,FALSE),0)</f>
        <v>0</v>
      </c>
      <c r="R1337" s="155">
        <f t="shared" si="402"/>
        <v>0</v>
      </c>
      <c r="S1337" s="47">
        <f t="shared" si="401"/>
        <v>0</v>
      </c>
      <c r="T1337" s="151">
        <f t="shared" si="386"/>
        <v>0</v>
      </c>
      <c r="U1337" s="151">
        <f t="shared" si="387"/>
        <v>0</v>
      </c>
      <c r="V1337" s="139">
        <f t="shared" si="388"/>
        <v>0</v>
      </c>
      <c r="W1337" s="152">
        <f t="shared" si="391"/>
        <v>0</v>
      </c>
      <c r="X1337" s="127" t="str">
        <f t="shared" si="389"/>
        <v/>
      </c>
      <c r="Y1337" s="207">
        <f t="shared" si="392"/>
        <v>0</v>
      </c>
      <c r="Z1337" s="139">
        <f t="shared" si="393"/>
        <v>0</v>
      </c>
      <c r="AA1337" s="139">
        <f t="shared" si="394"/>
        <v>0</v>
      </c>
      <c r="AC1337" s="47">
        <f t="shared" si="395"/>
        <v>0</v>
      </c>
      <c r="AD1337" s="47">
        <f t="shared" si="396"/>
        <v>0</v>
      </c>
      <c r="AE1337" s="47">
        <f t="shared" si="397"/>
        <v>0</v>
      </c>
      <c r="AG1337" s="47">
        <f t="shared" si="398"/>
        <v>0</v>
      </c>
      <c r="AH1337" s="47">
        <f t="shared" si="399"/>
        <v>0</v>
      </c>
      <c r="AI1337" s="208">
        <f t="shared" si="400"/>
        <v>0</v>
      </c>
    </row>
    <row r="1338" spans="1:35">
      <c r="A1338" t="s">
        <v>2129</v>
      </c>
      <c r="B1338" t="s">
        <v>3160</v>
      </c>
      <c r="C1338" t="s">
        <v>2715</v>
      </c>
      <c r="D1338" t="s">
        <v>4716</v>
      </c>
      <c r="F1338" t="s">
        <v>1029</v>
      </c>
      <c r="G1338" s="126">
        <f>SUMIFS('Support - Transition'!F:F,'Support - Transition'!B:B,'Step 2'!A1338,'Support - Transition'!C:C,'Step 2'!B1338,'Support - Transition'!D:D,'Step 2'!C1338,'Support - Transition'!E:E,"CIVIL")</f>
        <v>0</v>
      </c>
      <c r="H1338" s="126">
        <f>SUMIFS('Support - Transition'!F:F,'Support - Transition'!B:B,'Step 2'!A1338,'Support - Transition'!C:C,'Step 2'!B1338,'Support - Transition'!D:D,'Step 2'!C1338,'Support - Transition'!E:E,"FIRE")</f>
        <v>0</v>
      </c>
      <c r="I1338" s="126">
        <f>IF(B1338="0",SUMIFS('Support - Transition'!F:F,'Support - Transition'!J:J,'Step 2'!D1338,'Support - Transition'!E:E,"STATE UNIT"),SUMIFS('Support - Transition'!F:F,'Support - Transition'!J:J,'Step 2'!D1338))</f>
        <v>5.8469999999999998E-3</v>
      </c>
      <c r="J1338" s="126">
        <f>SUMIFS('Support - Unit Adjustments'!E:E,'Support - Unit Adjustments'!F:F,'Step 2'!D1338)</f>
        <v>0</v>
      </c>
      <c r="K1338" s="126">
        <f t="shared" si="384"/>
        <v>5.8469999999999998E-3</v>
      </c>
      <c r="L1338" s="174">
        <f>VLOOKUP(A1338,'Step 1'!$A:$E,4,FALSE)</f>
        <v>5422774</v>
      </c>
      <c r="M1338" s="47">
        <f t="shared" si="385"/>
        <v>31707</v>
      </c>
      <c r="N1338" s="177">
        <f>SUMIFS('Support - Transition'!G:G,'Support - Transition'!J:J,'Step 2'!D1338,'Support - Transition'!E:E,"2009 WELFARE ALLOCATION FACTOR")</f>
        <v>0</v>
      </c>
      <c r="O1338" s="152">
        <f t="shared" si="390"/>
        <v>0</v>
      </c>
      <c r="P1338" s="126">
        <f>IF(E1338="Y",0,SUMIFS('Support - Transition'!G:G,'Support - Transition'!J:J,'Step 2'!D1338,'Support - Transition'!E:E,"2009 SCHOOL ALLOCATION FACTOR"))</f>
        <v>0.35559600000000002</v>
      </c>
      <c r="Q1338" s="126">
        <f>IF(E1338="Y",VLOOKUP(D1338,'Support - Unit Adjustments'!F:G,2,FALSE),0)</f>
        <v>0</v>
      </c>
      <c r="R1338" s="155">
        <f t="shared" si="402"/>
        <v>0.35559600000000002</v>
      </c>
      <c r="S1338" s="47">
        <f t="shared" si="401"/>
        <v>11275</v>
      </c>
      <c r="T1338" s="151">
        <f t="shared" si="386"/>
        <v>20432</v>
      </c>
      <c r="U1338" s="151">
        <f t="shared" si="387"/>
        <v>0</v>
      </c>
      <c r="V1338" s="139">
        <f t="shared" si="388"/>
        <v>0</v>
      </c>
      <c r="W1338" s="152">
        <f t="shared" si="391"/>
        <v>20432</v>
      </c>
      <c r="X1338" s="127" t="str">
        <f t="shared" si="389"/>
        <v/>
      </c>
      <c r="Y1338" s="207">
        <f t="shared" si="392"/>
        <v>20432</v>
      </c>
      <c r="Z1338" s="139">
        <f t="shared" si="393"/>
        <v>20432</v>
      </c>
      <c r="AA1338" s="139">
        <f t="shared" si="394"/>
        <v>0</v>
      </c>
      <c r="AC1338" s="47">
        <f t="shared" si="395"/>
        <v>10216</v>
      </c>
      <c r="AD1338" s="47">
        <f t="shared" si="396"/>
        <v>10216</v>
      </c>
      <c r="AE1338" s="47">
        <f t="shared" si="397"/>
        <v>0</v>
      </c>
      <c r="AG1338" s="47">
        <f t="shared" si="398"/>
        <v>10216</v>
      </c>
      <c r="AH1338" s="47">
        <f t="shared" si="399"/>
        <v>10216</v>
      </c>
      <c r="AI1338" s="208">
        <f t="shared" si="400"/>
        <v>0</v>
      </c>
    </row>
    <row r="1339" spans="1:35">
      <c r="A1339" t="s">
        <v>2129</v>
      </c>
      <c r="B1339" t="s">
        <v>3160</v>
      </c>
      <c r="C1339" t="s">
        <v>2716</v>
      </c>
      <c r="D1339" t="s">
        <v>4717</v>
      </c>
      <c r="F1339" t="s">
        <v>4718</v>
      </c>
      <c r="G1339" s="126">
        <f>SUMIFS('Support - Transition'!F:F,'Support - Transition'!B:B,'Step 2'!A1339,'Support - Transition'!C:C,'Step 2'!B1339,'Support - Transition'!D:D,'Step 2'!C1339,'Support - Transition'!E:E,"CIVIL")</f>
        <v>0</v>
      </c>
      <c r="H1339" s="126">
        <f>SUMIFS('Support - Transition'!F:F,'Support - Transition'!B:B,'Step 2'!A1339,'Support - Transition'!C:C,'Step 2'!B1339,'Support - Transition'!D:D,'Step 2'!C1339,'Support - Transition'!E:E,"FIRE")</f>
        <v>0</v>
      </c>
      <c r="I1339" s="126">
        <f>IF(B1339="0",SUMIFS('Support - Transition'!F:F,'Support - Transition'!J:J,'Step 2'!D1339,'Support - Transition'!E:E,"STATE UNIT"),SUMIFS('Support - Transition'!F:F,'Support - Transition'!J:J,'Step 2'!D1339))</f>
        <v>1.4369999999999999E-3</v>
      </c>
      <c r="J1339" s="126">
        <f>SUMIFS('Support - Unit Adjustments'!E:E,'Support - Unit Adjustments'!F:F,'Step 2'!D1339)</f>
        <v>0</v>
      </c>
      <c r="K1339" s="126">
        <f t="shared" si="384"/>
        <v>1.4369999999999999E-3</v>
      </c>
      <c r="L1339" s="174">
        <f>VLOOKUP(A1339,'Step 1'!$A:$E,4,FALSE)</f>
        <v>5422774</v>
      </c>
      <c r="M1339" s="47">
        <f t="shared" si="385"/>
        <v>7793</v>
      </c>
      <c r="N1339" s="177">
        <f>SUMIFS('Support - Transition'!G:G,'Support - Transition'!J:J,'Step 2'!D1339,'Support - Transition'!E:E,"2009 WELFARE ALLOCATION FACTOR")</f>
        <v>0</v>
      </c>
      <c r="O1339" s="152">
        <f t="shared" si="390"/>
        <v>0</v>
      </c>
      <c r="P1339" s="126">
        <f>IF(E1339="Y",0,SUMIFS('Support - Transition'!G:G,'Support - Transition'!J:J,'Step 2'!D1339,'Support - Transition'!E:E,"2009 SCHOOL ALLOCATION FACTOR"))</f>
        <v>0.33841700000000002</v>
      </c>
      <c r="Q1339" s="126">
        <f>IF(E1339="Y",VLOOKUP(D1339,'Support - Unit Adjustments'!F:G,2,FALSE),0)</f>
        <v>0</v>
      </c>
      <c r="R1339" s="155">
        <f t="shared" si="402"/>
        <v>0.33841700000000002</v>
      </c>
      <c r="S1339" s="47">
        <f t="shared" si="401"/>
        <v>2637</v>
      </c>
      <c r="T1339" s="151">
        <f t="shared" si="386"/>
        <v>5156</v>
      </c>
      <c r="U1339" s="151">
        <f t="shared" si="387"/>
        <v>0</v>
      </c>
      <c r="V1339" s="139">
        <f t="shared" si="388"/>
        <v>0</v>
      </c>
      <c r="W1339" s="152">
        <f t="shared" si="391"/>
        <v>5156</v>
      </c>
      <c r="X1339" s="127" t="str">
        <f t="shared" si="389"/>
        <v/>
      </c>
      <c r="Y1339" s="207">
        <f t="shared" si="392"/>
        <v>5156</v>
      </c>
      <c r="Z1339" s="139">
        <f t="shared" si="393"/>
        <v>5156</v>
      </c>
      <c r="AA1339" s="139">
        <f t="shared" si="394"/>
        <v>0</v>
      </c>
      <c r="AC1339" s="47">
        <f t="shared" si="395"/>
        <v>2578</v>
      </c>
      <c r="AD1339" s="47">
        <f t="shared" si="396"/>
        <v>2578</v>
      </c>
      <c r="AE1339" s="47">
        <f t="shared" si="397"/>
        <v>0</v>
      </c>
      <c r="AG1339" s="47">
        <f t="shared" si="398"/>
        <v>2578</v>
      </c>
      <c r="AH1339" s="47">
        <f t="shared" si="399"/>
        <v>2578</v>
      </c>
      <c r="AI1339" s="208">
        <f t="shared" si="400"/>
        <v>0</v>
      </c>
    </row>
    <row r="1340" spans="1:35">
      <c r="A1340" t="s">
        <v>2129</v>
      </c>
      <c r="B1340" t="s">
        <v>3160</v>
      </c>
      <c r="C1340" t="s">
        <v>2717</v>
      </c>
      <c r="D1340" t="s">
        <v>4719</v>
      </c>
      <c r="F1340" t="s">
        <v>1034</v>
      </c>
      <c r="G1340" s="126">
        <f>SUMIFS('Support - Transition'!F:F,'Support - Transition'!B:B,'Step 2'!A1340,'Support - Transition'!C:C,'Step 2'!B1340,'Support - Transition'!D:D,'Step 2'!C1340,'Support - Transition'!E:E,"CIVIL")</f>
        <v>0</v>
      </c>
      <c r="H1340" s="126">
        <f>SUMIFS('Support - Transition'!F:F,'Support - Transition'!B:B,'Step 2'!A1340,'Support - Transition'!C:C,'Step 2'!B1340,'Support - Transition'!D:D,'Step 2'!C1340,'Support - Transition'!E:E,"FIRE")</f>
        <v>0</v>
      </c>
      <c r="I1340" s="126">
        <f>IF(B1340="0",SUMIFS('Support - Transition'!F:F,'Support - Transition'!J:J,'Step 2'!D1340,'Support - Transition'!E:E,"STATE UNIT"),SUMIFS('Support - Transition'!F:F,'Support - Transition'!J:J,'Step 2'!D1340))</f>
        <v>1.2921999999999999E-2</v>
      </c>
      <c r="J1340" s="126">
        <f>SUMIFS('Support - Unit Adjustments'!E:E,'Support - Unit Adjustments'!F:F,'Step 2'!D1340)</f>
        <v>0</v>
      </c>
      <c r="K1340" s="126">
        <f t="shared" si="384"/>
        <v>1.2921999999999999E-2</v>
      </c>
      <c r="L1340" s="174">
        <f>VLOOKUP(A1340,'Step 1'!$A:$E,4,FALSE)</f>
        <v>5422774</v>
      </c>
      <c r="M1340" s="47">
        <f t="shared" si="385"/>
        <v>70073</v>
      </c>
      <c r="N1340" s="177">
        <f>SUMIFS('Support - Transition'!G:G,'Support - Transition'!J:J,'Step 2'!D1340,'Support - Transition'!E:E,"2009 WELFARE ALLOCATION FACTOR")</f>
        <v>0</v>
      </c>
      <c r="O1340" s="152">
        <f t="shared" si="390"/>
        <v>0</v>
      </c>
      <c r="P1340" s="126">
        <f>IF(E1340="Y",0,SUMIFS('Support - Transition'!G:G,'Support - Transition'!J:J,'Step 2'!D1340,'Support - Transition'!E:E,"2009 SCHOOL ALLOCATION FACTOR"))</f>
        <v>0.37457099999999999</v>
      </c>
      <c r="Q1340" s="126">
        <f>IF(E1340="Y",VLOOKUP(D1340,'Support - Unit Adjustments'!F:G,2,FALSE),0)</f>
        <v>0</v>
      </c>
      <c r="R1340" s="155">
        <f t="shared" si="402"/>
        <v>0.37457099999999999</v>
      </c>
      <c r="S1340" s="47">
        <f t="shared" si="401"/>
        <v>26247</v>
      </c>
      <c r="T1340" s="151">
        <f t="shared" si="386"/>
        <v>43826</v>
      </c>
      <c r="U1340" s="151">
        <f t="shared" si="387"/>
        <v>0</v>
      </c>
      <c r="V1340" s="139">
        <f t="shared" si="388"/>
        <v>0</v>
      </c>
      <c r="W1340" s="152">
        <f t="shared" si="391"/>
        <v>43826</v>
      </c>
      <c r="X1340" s="127" t="str">
        <f t="shared" si="389"/>
        <v/>
      </c>
      <c r="Y1340" s="207">
        <f t="shared" si="392"/>
        <v>43826</v>
      </c>
      <c r="Z1340" s="139">
        <f t="shared" si="393"/>
        <v>43826</v>
      </c>
      <c r="AA1340" s="139">
        <f t="shared" si="394"/>
        <v>0</v>
      </c>
      <c r="AC1340" s="47">
        <f t="shared" si="395"/>
        <v>21913</v>
      </c>
      <c r="AD1340" s="47">
        <f t="shared" si="396"/>
        <v>21913</v>
      </c>
      <c r="AE1340" s="47">
        <f t="shared" si="397"/>
        <v>0</v>
      </c>
      <c r="AG1340" s="47">
        <f t="shared" si="398"/>
        <v>21913</v>
      </c>
      <c r="AH1340" s="47">
        <f t="shared" si="399"/>
        <v>21913</v>
      </c>
      <c r="AI1340" s="208">
        <f t="shared" si="400"/>
        <v>0</v>
      </c>
    </row>
    <row r="1341" spans="1:35">
      <c r="A1341" t="s">
        <v>2129</v>
      </c>
      <c r="B1341" t="s">
        <v>3160</v>
      </c>
      <c r="C1341" t="s">
        <v>2718</v>
      </c>
      <c r="D1341" t="s">
        <v>4720</v>
      </c>
      <c r="F1341" t="s">
        <v>1031</v>
      </c>
      <c r="G1341" s="126">
        <f>SUMIFS('Support - Transition'!F:F,'Support - Transition'!B:B,'Step 2'!A1341,'Support - Transition'!C:C,'Step 2'!B1341,'Support - Transition'!D:D,'Step 2'!C1341,'Support - Transition'!E:E,"CIVIL")</f>
        <v>0</v>
      </c>
      <c r="H1341" s="126">
        <f>SUMIFS('Support - Transition'!F:F,'Support - Transition'!B:B,'Step 2'!A1341,'Support - Transition'!C:C,'Step 2'!B1341,'Support - Transition'!D:D,'Step 2'!C1341,'Support - Transition'!E:E,"FIRE")</f>
        <v>0</v>
      </c>
      <c r="I1341" s="126">
        <f>IF(B1341="0",SUMIFS('Support - Transition'!F:F,'Support - Transition'!J:J,'Step 2'!D1341,'Support - Transition'!E:E,"STATE UNIT"),SUMIFS('Support - Transition'!F:F,'Support - Transition'!J:J,'Step 2'!D1341))</f>
        <v>2.8842E-2</v>
      </c>
      <c r="J1341" s="126">
        <f>SUMIFS('Support - Unit Adjustments'!E:E,'Support - Unit Adjustments'!F:F,'Step 2'!D1341)</f>
        <v>0</v>
      </c>
      <c r="K1341" s="126">
        <f t="shared" si="384"/>
        <v>2.8842E-2</v>
      </c>
      <c r="L1341" s="174">
        <f>VLOOKUP(A1341,'Step 1'!$A:$E,4,FALSE)</f>
        <v>5422774</v>
      </c>
      <c r="M1341" s="47">
        <f t="shared" si="385"/>
        <v>156404</v>
      </c>
      <c r="N1341" s="177">
        <f>SUMIFS('Support - Transition'!G:G,'Support - Transition'!J:J,'Step 2'!D1341,'Support - Transition'!E:E,"2009 WELFARE ALLOCATION FACTOR")</f>
        <v>0</v>
      </c>
      <c r="O1341" s="152">
        <f t="shared" si="390"/>
        <v>0</v>
      </c>
      <c r="P1341" s="126">
        <f>IF(E1341="Y",0,SUMIFS('Support - Transition'!G:G,'Support - Transition'!J:J,'Step 2'!D1341,'Support - Transition'!E:E,"2009 SCHOOL ALLOCATION FACTOR"))</f>
        <v>0.58030300000000001</v>
      </c>
      <c r="Q1341" s="126">
        <f>IF(E1341="Y",VLOOKUP(D1341,'Support - Unit Adjustments'!F:G,2,FALSE),0)</f>
        <v>0</v>
      </c>
      <c r="R1341" s="155">
        <f t="shared" si="402"/>
        <v>0.58030300000000001</v>
      </c>
      <c r="S1341" s="47">
        <f t="shared" si="401"/>
        <v>90762</v>
      </c>
      <c r="T1341" s="151">
        <f t="shared" si="386"/>
        <v>65642</v>
      </c>
      <c r="U1341" s="151">
        <f t="shared" si="387"/>
        <v>0</v>
      </c>
      <c r="V1341" s="139">
        <f t="shared" si="388"/>
        <v>0</v>
      </c>
      <c r="W1341" s="152">
        <f t="shared" si="391"/>
        <v>65642</v>
      </c>
      <c r="X1341" s="127" t="str">
        <f t="shared" si="389"/>
        <v/>
      </c>
      <c r="Y1341" s="207">
        <f t="shared" si="392"/>
        <v>65642</v>
      </c>
      <c r="Z1341" s="139">
        <f t="shared" si="393"/>
        <v>65642</v>
      </c>
      <c r="AA1341" s="139">
        <f t="shared" si="394"/>
        <v>0</v>
      </c>
      <c r="AC1341" s="47">
        <f t="shared" si="395"/>
        <v>32821</v>
      </c>
      <c r="AD1341" s="47">
        <f t="shared" si="396"/>
        <v>32821</v>
      </c>
      <c r="AE1341" s="47">
        <f t="shared" si="397"/>
        <v>0</v>
      </c>
      <c r="AG1341" s="47">
        <f t="shared" si="398"/>
        <v>32821</v>
      </c>
      <c r="AH1341" s="47">
        <f t="shared" si="399"/>
        <v>32821</v>
      </c>
      <c r="AI1341" s="208">
        <f t="shared" si="400"/>
        <v>0</v>
      </c>
    </row>
    <row r="1342" spans="1:35">
      <c r="A1342" t="s">
        <v>2129</v>
      </c>
      <c r="B1342" t="s">
        <v>3160</v>
      </c>
      <c r="C1342" t="s">
        <v>2719</v>
      </c>
      <c r="D1342" t="s">
        <v>4721</v>
      </c>
      <c r="F1342" t="s">
        <v>1038</v>
      </c>
      <c r="G1342" s="126">
        <f>SUMIFS('Support - Transition'!F:F,'Support - Transition'!B:B,'Step 2'!A1342,'Support - Transition'!C:C,'Step 2'!B1342,'Support - Transition'!D:D,'Step 2'!C1342,'Support - Transition'!E:E,"CIVIL")</f>
        <v>0</v>
      </c>
      <c r="H1342" s="126">
        <f>SUMIFS('Support - Transition'!F:F,'Support - Transition'!B:B,'Step 2'!A1342,'Support - Transition'!C:C,'Step 2'!B1342,'Support - Transition'!D:D,'Step 2'!C1342,'Support - Transition'!E:E,"FIRE")</f>
        <v>0</v>
      </c>
      <c r="I1342" s="126">
        <f>IF(B1342="0",SUMIFS('Support - Transition'!F:F,'Support - Transition'!J:J,'Step 2'!D1342,'Support - Transition'!E:E,"STATE UNIT"),SUMIFS('Support - Transition'!F:F,'Support - Transition'!J:J,'Step 2'!D1342))</f>
        <v>9.7300000000000008E-3</v>
      </c>
      <c r="J1342" s="126">
        <f>SUMIFS('Support - Unit Adjustments'!E:E,'Support - Unit Adjustments'!F:F,'Step 2'!D1342)</f>
        <v>0</v>
      </c>
      <c r="K1342" s="126">
        <f t="shared" si="384"/>
        <v>9.7300000000000008E-3</v>
      </c>
      <c r="L1342" s="174">
        <f>VLOOKUP(A1342,'Step 1'!$A:$E,4,FALSE)</f>
        <v>5422774</v>
      </c>
      <c r="M1342" s="47">
        <f t="shared" si="385"/>
        <v>52764</v>
      </c>
      <c r="N1342" s="177">
        <f>SUMIFS('Support - Transition'!G:G,'Support - Transition'!J:J,'Step 2'!D1342,'Support - Transition'!E:E,"2009 WELFARE ALLOCATION FACTOR")</f>
        <v>0</v>
      </c>
      <c r="O1342" s="152">
        <f t="shared" si="390"/>
        <v>0</v>
      </c>
      <c r="P1342" s="126">
        <f>IF(E1342="Y",0,SUMIFS('Support - Transition'!G:G,'Support - Transition'!J:J,'Step 2'!D1342,'Support - Transition'!E:E,"2009 SCHOOL ALLOCATION FACTOR"))</f>
        <v>0.39481100000000002</v>
      </c>
      <c r="Q1342" s="126">
        <f>IF(E1342="Y",VLOOKUP(D1342,'Support - Unit Adjustments'!F:G,2,FALSE),0)</f>
        <v>0</v>
      </c>
      <c r="R1342" s="155">
        <f t="shared" si="402"/>
        <v>0.39481100000000002</v>
      </c>
      <c r="S1342" s="47">
        <f t="shared" si="401"/>
        <v>20832</v>
      </c>
      <c r="T1342" s="151">
        <f t="shared" si="386"/>
        <v>31932</v>
      </c>
      <c r="U1342" s="151">
        <f t="shared" si="387"/>
        <v>0</v>
      </c>
      <c r="V1342" s="139">
        <f t="shared" si="388"/>
        <v>0</v>
      </c>
      <c r="W1342" s="152">
        <f t="shared" si="391"/>
        <v>31932</v>
      </c>
      <c r="X1342" s="127" t="str">
        <f t="shared" si="389"/>
        <v/>
      </c>
      <c r="Y1342" s="207">
        <f t="shared" si="392"/>
        <v>31932</v>
      </c>
      <c r="Z1342" s="139">
        <f t="shared" si="393"/>
        <v>31932</v>
      </c>
      <c r="AA1342" s="139">
        <f t="shared" si="394"/>
        <v>0</v>
      </c>
      <c r="AC1342" s="47">
        <f t="shared" si="395"/>
        <v>15966</v>
      </c>
      <c r="AD1342" s="47">
        <f t="shared" si="396"/>
        <v>15966</v>
      </c>
      <c r="AE1342" s="47">
        <f t="shared" si="397"/>
        <v>0</v>
      </c>
      <c r="AG1342" s="47">
        <f t="shared" si="398"/>
        <v>15966</v>
      </c>
      <c r="AH1342" s="47">
        <f t="shared" si="399"/>
        <v>15966</v>
      </c>
      <c r="AI1342" s="208">
        <f t="shared" si="400"/>
        <v>0</v>
      </c>
    </row>
    <row r="1343" spans="1:35">
      <c r="A1343" t="s">
        <v>2129</v>
      </c>
      <c r="B1343" t="s">
        <v>3160</v>
      </c>
      <c r="C1343" t="s">
        <v>2720</v>
      </c>
      <c r="D1343" t="s">
        <v>4722</v>
      </c>
      <c r="F1343" t="s">
        <v>1032</v>
      </c>
      <c r="G1343" s="126">
        <f>SUMIFS('Support - Transition'!F:F,'Support - Transition'!B:B,'Step 2'!A1343,'Support - Transition'!C:C,'Step 2'!B1343,'Support - Transition'!D:D,'Step 2'!C1343,'Support - Transition'!E:E,"CIVIL")</f>
        <v>0</v>
      </c>
      <c r="H1343" s="126">
        <f>SUMIFS('Support - Transition'!F:F,'Support - Transition'!B:B,'Step 2'!A1343,'Support - Transition'!C:C,'Step 2'!B1343,'Support - Transition'!D:D,'Step 2'!C1343,'Support - Transition'!E:E,"FIRE")</f>
        <v>0</v>
      </c>
      <c r="I1343" s="126">
        <f>IF(B1343="0",SUMIFS('Support - Transition'!F:F,'Support - Transition'!J:J,'Step 2'!D1343,'Support - Transition'!E:E,"STATE UNIT"),SUMIFS('Support - Transition'!F:F,'Support - Transition'!J:J,'Step 2'!D1343))</f>
        <v>1.6362999999999999E-2</v>
      </c>
      <c r="J1343" s="126">
        <f>SUMIFS('Support - Unit Adjustments'!E:E,'Support - Unit Adjustments'!F:F,'Step 2'!D1343)</f>
        <v>0</v>
      </c>
      <c r="K1343" s="126">
        <f t="shared" si="384"/>
        <v>1.6362999999999999E-2</v>
      </c>
      <c r="L1343" s="174">
        <f>VLOOKUP(A1343,'Step 1'!$A:$E,4,FALSE)</f>
        <v>5422774</v>
      </c>
      <c r="M1343" s="47">
        <f t="shared" si="385"/>
        <v>88733</v>
      </c>
      <c r="N1343" s="177">
        <f>SUMIFS('Support - Transition'!G:G,'Support - Transition'!J:J,'Step 2'!D1343,'Support - Transition'!E:E,"2009 WELFARE ALLOCATION FACTOR")</f>
        <v>0</v>
      </c>
      <c r="O1343" s="152">
        <f t="shared" si="390"/>
        <v>0</v>
      </c>
      <c r="P1343" s="126">
        <f>IF(E1343="Y",0,SUMIFS('Support - Transition'!G:G,'Support - Transition'!J:J,'Step 2'!D1343,'Support - Transition'!E:E,"2009 SCHOOL ALLOCATION FACTOR"))</f>
        <v>0.34986</v>
      </c>
      <c r="Q1343" s="126">
        <f>IF(E1343="Y",VLOOKUP(D1343,'Support - Unit Adjustments'!F:G,2,FALSE),0)</f>
        <v>0</v>
      </c>
      <c r="R1343" s="155">
        <f t="shared" si="402"/>
        <v>0.34986</v>
      </c>
      <c r="S1343" s="47">
        <f t="shared" si="401"/>
        <v>31044</v>
      </c>
      <c r="T1343" s="151">
        <f t="shared" si="386"/>
        <v>57689</v>
      </c>
      <c r="U1343" s="151">
        <f t="shared" si="387"/>
        <v>0</v>
      </c>
      <c r="V1343" s="139">
        <f t="shared" si="388"/>
        <v>0</v>
      </c>
      <c r="W1343" s="152">
        <f t="shared" si="391"/>
        <v>57689</v>
      </c>
      <c r="X1343" s="127" t="str">
        <f t="shared" si="389"/>
        <v/>
      </c>
      <c r="Y1343" s="207">
        <f t="shared" si="392"/>
        <v>57689</v>
      </c>
      <c r="Z1343" s="139">
        <f t="shared" si="393"/>
        <v>57689</v>
      </c>
      <c r="AA1343" s="139">
        <f t="shared" si="394"/>
        <v>0</v>
      </c>
      <c r="AC1343" s="47">
        <f t="shared" si="395"/>
        <v>28845</v>
      </c>
      <c r="AD1343" s="47">
        <f t="shared" si="396"/>
        <v>28845</v>
      </c>
      <c r="AE1343" s="47">
        <f t="shared" si="397"/>
        <v>0</v>
      </c>
      <c r="AG1343" s="47">
        <f t="shared" si="398"/>
        <v>28844</v>
      </c>
      <c r="AH1343" s="47">
        <f t="shared" si="399"/>
        <v>28844</v>
      </c>
      <c r="AI1343" s="208">
        <f t="shared" si="400"/>
        <v>0</v>
      </c>
    </row>
    <row r="1344" spans="1:35">
      <c r="A1344" t="s">
        <v>2129</v>
      </c>
      <c r="B1344" t="s">
        <v>3160</v>
      </c>
      <c r="C1344" t="s">
        <v>2721</v>
      </c>
      <c r="D1344" t="s">
        <v>4723</v>
      </c>
      <c r="F1344" t="s">
        <v>1024</v>
      </c>
      <c r="G1344" s="126">
        <f>SUMIFS('Support - Transition'!F:F,'Support - Transition'!B:B,'Step 2'!A1344,'Support - Transition'!C:C,'Step 2'!B1344,'Support - Transition'!D:D,'Step 2'!C1344,'Support - Transition'!E:E,"CIVIL")</f>
        <v>0</v>
      </c>
      <c r="H1344" s="126">
        <f>SUMIFS('Support - Transition'!F:F,'Support - Transition'!B:B,'Step 2'!A1344,'Support - Transition'!C:C,'Step 2'!B1344,'Support - Transition'!D:D,'Step 2'!C1344,'Support - Transition'!E:E,"FIRE")</f>
        <v>0</v>
      </c>
      <c r="I1344" s="126">
        <f>IF(B1344="0",SUMIFS('Support - Transition'!F:F,'Support - Transition'!J:J,'Step 2'!D1344,'Support - Transition'!E:E,"STATE UNIT"),SUMIFS('Support - Transition'!F:F,'Support - Transition'!J:J,'Step 2'!D1344))</f>
        <v>2.1409999999999998E-2</v>
      </c>
      <c r="J1344" s="126">
        <f>SUMIFS('Support - Unit Adjustments'!E:E,'Support - Unit Adjustments'!F:F,'Step 2'!D1344)</f>
        <v>0</v>
      </c>
      <c r="K1344" s="126">
        <f t="shared" si="384"/>
        <v>2.1409999999999998E-2</v>
      </c>
      <c r="L1344" s="174">
        <f>VLOOKUP(A1344,'Step 1'!$A:$E,4,FALSE)</f>
        <v>5422774</v>
      </c>
      <c r="M1344" s="47">
        <f t="shared" si="385"/>
        <v>116102</v>
      </c>
      <c r="N1344" s="177">
        <f>SUMIFS('Support - Transition'!G:G,'Support - Transition'!J:J,'Step 2'!D1344,'Support - Transition'!E:E,"2009 WELFARE ALLOCATION FACTOR")</f>
        <v>0</v>
      </c>
      <c r="O1344" s="152">
        <f t="shared" si="390"/>
        <v>0</v>
      </c>
      <c r="P1344" s="126">
        <f>IF(E1344="Y",0,SUMIFS('Support - Transition'!G:G,'Support - Transition'!J:J,'Step 2'!D1344,'Support - Transition'!E:E,"2009 SCHOOL ALLOCATION FACTOR"))</f>
        <v>0.40711700000000001</v>
      </c>
      <c r="Q1344" s="126">
        <f>IF(E1344="Y",VLOOKUP(D1344,'Support - Unit Adjustments'!F:G,2,FALSE),0)</f>
        <v>0</v>
      </c>
      <c r="R1344" s="155">
        <f t="shared" si="402"/>
        <v>0.40711700000000001</v>
      </c>
      <c r="S1344" s="47">
        <f t="shared" si="401"/>
        <v>47267</v>
      </c>
      <c r="T1344" s="151">
        <f t="shared" si="386"/>
        <v>68835</v>
      </c>
      <c r="U1344" s="151">
        <f t="shared" si="387"/>
        <v>0</v>
      </c>
      <c r="V1344" s="139">
        <f t="shared" si="388"/>
        <v>0</v>
      </c>
      <c r="W1344" s="152">
        <f t="shared" si="391"/>
        <v>68835</v>
      </c>
      <c r="X1344" s="127" t="str">
        <f t="shared" si="389"/>
        <v/>
      </c>
      <c r="Y1344" s="207">
        <f t="shared" si="392"/>
        <v>68835</v>
      </c>
      <c r="Z1344" s="139">
        <f t="shared" si="393"/>
        <v>68835</v>
      </c>
      <c r="AA1344" s="139">
        <f t="shared" si="394"/>
        <v>0</v>
      </c>
      <c r="AC1344" s="47">
        <f t="shared" si="395"/>
        <v>34418</v>
      </c>
      <c r="AD1344" s="47">
        <f t="shared" si="396"/>
        <v>34418</v>
      </c>
      <c r="AE1344" s="47">
        <f t="shared" si="397"/>
        <v>0</v>
      </c>
      <c r="AG1344" s="47">
        <f t="shared" si="398"/>
        <v>34417</v>
      </c>
      <c r="AH1344" s="47">
        <f t="shared" si="399"/>
        <v>34417</v>
      </c>
      <c r="AI1344" s="208">
        <f t="shared" si="400"/>
        <v>0</v>
      </c>
    </row>
    <row r="1345" spans="1:35">
      <c r="A1345" t="s">
        <v>2129</v>
      </c>
      <c r="B1345" t="s">
        <v>3160</v>
      </c>
      <c r="C1345" t="s">
        <v>2722</v>
      </c>
      <c r="D1345" t="s">
        <v>4724</v>
      </c>
      <c r="F1345" t="s">
        <v>4725</v>
      </c>
      <c r="G1345" s="126">
        <f>SUMIFS('Support - Transition'!F:F,'Support - Transition'!B:B,'Step 2'!A1345,'Support - Transition'!C:C,'Step 2'!B1345,'Support - Transition'!D:D,'Step 2'!C1345,'Support - Transition'!E:E,"CIVIL")</f>
        <v>0</v>
      </c>
      <c r="H1345" s="126">
        <f>SUMIFS('Support - Transition'!F:F,'Support - Transition'!B:B,'Step 2'!A1345,'Support - Transition'!C:C,'Step 2'!B1345,'Support - Transition'!D:D,'Step 2'!C1345,'Support - Transition'!E:E,"FIRE")</f>
        <v>0</v>
      </c>
      <c r="I1345" s="126">
        <f>IF(B1345="0",SUMIFS('Support - Transition'!F:F,'Support - Transition'!J:J,'Step 2'!D1345,'Support - Transition'!E:E,"STATE UNIT"),SUMIFS('Support - Transition'!F:F,'Support - Transition'!J:J,'Step 2'!D1345))</f>
        <v>3.3808999999999999E-2</v>
      </c>
      <c r="J1345" s="126">
        <f>SUMIFS('Support - Unit Adjustments'!E:E,'Support - Unit Adjustments'!F:F,'Step 2'!D1345)</f>
        <v>0</v>
      </c>
      <c r="K1345" s="126">
        <f t="shared" si="384"/>
        <v>3.3808999999999999E-2</v>
      </c>
      <c r="L1345" s="174">
        <f>VLOOKUP(A1345,'Step 1'!$A:$E,4,FALSE)</f>
        <v>5422774</v>
      </c>
      <c r="M1345" s="47">
        <f t="shared" si="385"/>
        <v>183339</v>
      </c>
      <c r="N1345" s="177">
        <f>SUMIFS('Support - Transition'!G:G,'Support - Transition'!J:J,'Step 2'!D1345,'Support - Transition'!E:E,"2009 WELFARE ALLOCATION FACTOR")</f>
        <v>0</v>
      </c>
      <c r="O1345" s="152">
        <f t="shared" si="390"/>
        <v>0</v>
      </c>
      <c r="P1345" s="126">
        <f>IF(E1345="Y",0,SUMIFS('Support - Transition'!G:G,'Support - Transition'!J:J,'Step 2'!D1345,'Support - Transition'!E:E,"2009 SCHOOL ALLOCATION FACTOR"))</f>
        <v>0.33182699999999998</v>
      </c>
      <c r="Q1345" s="126">
        <f>IF(E1345="Y",VLOOKUP(D1345,'Support - Unit Adjustments'!F:G,2,FALSE),0)</f>
        <v>0</v>
      </c>
      <c r="R1345" s="155">
        <f t="shared" si="402"/>
        <v>0.33182699999999998</v>
      </c>
      <c r="S1345" s="47">
        <f t="shared" si="401"/>
        <v>60837</v>
      </c>
      <c r="T1345" s="151">
        <f t="shared" si="386"/>
        <v>122502</v>
      </c>
      <c r="U1345" s="151">
        <f t="shared" si="387"/>
        <v>0</v>
      </c>
      <c r="V1345" s="139">
        <f t="shared" si="388"/>
        <v>0</v>
      </c>
      <c r="W1345" s="152">
        <f t="shared" si="391"/>
        <v>122502</v>
      </c>
      <c r="X1345" s="127" t="str">
        <f t="shared" si="389"/>
        <v/>
      </c>
      <c r="Y1345" s="207">
        <f t="shared" si="392"/>
        <v>122502</v>
      </c>
      <c r="Z1345" s="139">
        <f t="shared" si="393"/>
        <v>122502</v>
      </c>
      <c r="AA1345" s="139">
        <f t="shared" si="394"/>
        <v>0</v>
      </c>
      <c r="AC1345" s="47">
        <f t="shared" si="395"/>
        <v>61251</v>
      </c>
      <c r="AD1345" s="47">
        <f t="shared" si="396"/>
        <v>61251</v>
      </c>
      <c r="AE1345" s="47">
        <f t="shared" si="397"/>
        <v>0</v>
      </c>
      <c r="AG1345" s="47">
        <f t="shared" si="398"/>
        <v>61251</v>
      </c>
      <c r="AH1345" s="47">
        <f t="shared" si="399"/>
        <v>61251</v>
      </c>
      <c r="AI1345" s="208">
        <f t="shared" si="400"/>
        <v>0</v>
      </c>
    </row>
    <row r="1346" spans="1:35">
      <c r="A1346" t="s">
        <v>2129</v>
      </c>
      <c r="B1346" t="s">
        <v>3160</v>
      </c>
      <c r="C1346" t="s">
        <v>2723</v>
      </c>
      <c r="D1346" t="s">
        <v>4726</v>
      </c>
      <c r="F1346" t="s">
        <v>4727</v>
      </c>
      <c r="G1346" s="126">
        <f>SUMIFS('Support - Transition'!F:F,'Support - Transition'!B:B,'Step 2'!A1346,'Support - Transition'!C:C,'Step 2'!B1346,'Support - Transition'!D:D,'Step 2'!C1346,'Support - Transition'!E:E,"CIVIL")</f>
        <v>0</v>
      </c>
      <c r="H1346" s="126">
        <f>SUMIFS('Support - Transition'!F:F,'Support - Transition'!B:B,'Step 2'!A1346,'Support - Transition'!C:C,'Step 2'!B1346,'Support - Transition'!D:D,'Step 2'!C1346,'Support - Transition'!E:E,"FIRE")</f>
        <v>0</v>
      </c>
      <c r="I1346" s="126">
        <f>IF(B1346="0",SUMIFS('Support - Transition'!F:F,'Support - Transition'!J:J,'Step 2'!D1346,'Support - Transition'!E:E,"STATE UNIT"),SUMIFS('Support - Transition'!F:F,'Support - Transition'!J:J,'Step 2'!D1346))</f>
        <v>2.6459999999999999E-3</v>
      </c>
      <c r="J1346" s="126">
        <f>SUMIFS('Support - Unit Adjustments'!E:E,'Support - Unit Adjustments'!F:F,'Step 2'!D1346)</f>
        <v>0</v>
      </c>
      <c r="K1346" s="126">
        <f t="shared" ref="K1346:K1409" si="403">+I1346+J1346</f>
        <v>2.6459999999999999E-3</v>
      </c>
      <c r="L1346" s="174">
        <f>VLOOKUP(A1346,'Step 1'!$A:$E,4,FALSE)</f>
        <v>5422774</v>
      </c>
      <c r="M1346" s="47">
        <f t="shared" ref="M1346:M1409" si="404">ROUND(+K1346*L1346,0)</f>
        <v>14349</v>
      </c>
      <c r="N1346" s="177">
        <f>SUMIFS('Support - Transition'!G:G,'Support - Transition'!J:J,'Step 2'!D1346,'Support - Transition'!E:E,"2009 WELFARE ALLOCATION FACTOR")</f>
        <v>0</v>
      </c>
      <c r="O1346" s="152">
        <f t="shared" si="390"/>
        <v>0</v>
      </c>
      <c r="P1346" s="126">
        <f>IF(E1346="Y",0,SUMIFS('Support - Transition'!G:G,'Support - Transition'!J:J,'Step 2'!D1346,'Support - Transition'!E:E,"2009 SCHOOL ALLOCATION FACTOR"))</f>
        <v>0.33048899999999998</v>
      </c>
      <c r="Q1346" s="126">
        <f>IF(E1346="Y",VLOOKUP(D1346,'Support - Unit Adjustments'!F:G,2,FALSE),0)</f>
        <v>0</v>
      </c>
      <c r="R1346" s="155">
        <f t="shared" si="402"/>
        <v>0.33048899999999998</v>
      </c>
      <c r="S1346" s="47">
        <f t="shared" si="401"/>
        <v>4742</v>
      </c>
      <c r="T1346" s="151">
        <f t="shared" ref="T1346:T1409" si="405">ROUND(+M1346-O1346-S1346,2)</f>
        <v>9607</v>
      </c>
      <c r="U1346" s="151">
        <f t="shared" ref="U1346:U1409" si="406">IF(B1346="0",SUMIFS(O:O,A:A,A1346)+SUMIFS(S:S,A:A,A1346)+SUMIFS(T:T,A:A,A1346),0)</f>
        <v>0</v>
      </c>
      <c r="V1346" s="139">
        <f t="shared" ref="V1346:V1409" si="407">IF(B1346="0",U1346-L1346,0)</f>
        <v>0</v>
      </c>
      <c r="W1346" s="152">
        <f t="shared" si="391"/>
        <v>9607</v>
      </c>
      <c r="X1346" s="127" t="str">
        <f t="shared" ref="X1346:X1409" si="408">IF(B1346="0",SUMIFS(O:O,A:A,A1346)+SUMIFS(S:S,A:A,A1346)+SUMIFS(W:W,A:A,A1346)-L1346,"")</f>
        <v/>
      </c>
      <c r="Y1346" s="207">
        <f t="shared" si="392"/>
        <v>9607</v>
      </c>
      <c r="Z1346" s="139">
        <f t="shared" si="393"/>
        <v>9607</v>
      </c>
      <c r="AA1346" s="139">
        <f t="shared" si="394"/>
        <v>0</v>
      </c>
      <c r="AC1346" s="47">
        <f t="shared" si="395"/>
        <v>4804</v>
      </c>
      <c r="AD1346" s="47">
        <f t="shared" si="396"/>
        <v>4804</v>
      </c>
      <c r="AE1346" s="47">
        <f t="shared" si="397"/>
        <v>0</v>
      </c>
      <c r="AG1346" s="47">
        <f t="shared" si="398"/>
        <v>4803</v>
      </c>
      <c r="AH1346" s="47">
        <f t="shared" si="399"/>
        <v>4803</v>
      </c>
      <c r="AI1346" s="208">
        <f t="shared" si="400"/>
        <v>0</v>
      </c>
    </row>
    <row r="1347" spans="1:35">
      <c r="A1347" t="s">
        <v>2129</v>
      </c>
      <c r="B1347" t="s">
        <v>3160</v>
      </c>
      <c r="C1347" t="s">
        <v>2724</v>
      </c>
      <c r="D1347" t="s">
        <v>4728</v>
      </c>
      <c r="F1347" t="s">
        <v>1026</v>
      </c>
      <c r="G1347" s="126">
        <f>SUMIFS('Support - Transition'!F:F,'Support - Transition'!B:B,'Step 2'!A1347,'Support - Transition'!C:C,'Step 2'!B1347,'Support - Transition'!D:D,'Step 2'!C1347,'Support - Transition'!E:E,"CIVIL")</f>
        <v>0</v>
      </c>
      <c r="H1347" s="126">
        <f>SUMIFS('Support - Transition'!F:F,'Support - Transition'!B:B,'Step 2'!A1347,'Support - Transition'!C:C,'Step 2'!B1347,'Support - Transition'!D:D,'Step 2'!C1347,'Support - Transition'!E:E,"FIRE")</f>
        <v>0</v>
      </c>
      <c r="I1347" s="126">
        <f>IF(B1347="0",SUMIFS('Support - Transition'!F:F,'Support - Transition'!J:J,'Step 2'!D1347,'Support - Transition'!E:E,"STATE UNIT"),SUMIFS('Support - Transition'!F:F,'Support - Transition'!J:J,'Step 2'!D1347))</f>
        <v>6.8191000000000002E-2</v>
      </c>
      <c r="J1347" s="126">
        <f>SUMIFS('Support - Unit Adjustments'!E:E,'Support - Unit Adjustments'!F:F,'Step 2'!D1347)</f>
        <v>0</v>
      </c>
      <c r="K1347" s="126">
        <f t="shared" si="403"/>
        <v>6.8191000000000002E-2</v>
      </c>
      <c r="L1347" s="174">
        <f>VLOOKUP(A1347,'Step 1'!$A:$E,4,FALSE)</f>
        <v>5422774</v>
      </c>
      <c r="M1347" s="47">
        <f t="shared" si="404"/>
        <v>369784</v>
      </c>
      <c r="N1347" s="177">
        <f>SUMIFS('Support - Transition'!G:G,'Support - Transition'!J:J,'Step 2'!D1347,'Support - Transition'!E:E,"2009 WELFARE ALLOCATION FACTOR")</f>
        <v>0</v>
      </c>
      <c r="O1347" s="152">
        <f t="shared" ref="O1347:O1410" si="409">ROUND(+N1347*M1347,0)</f>
        <v>0</v>
      </c>
      <c r="P1347" s="126">
        <f>IF(E1347="Y",0,SUMIFS('Support - Transition'!G:G,'Support - Transition'!J:J,'Step 2'!D1347,'Support - Transition'!E:E,"2009 SCHOOL ALLOCATION FACTOR"))</f>
        <v>0.52289200000000002</v>
      </c>
      <c r="Q1347" s="126">
        <f>IF(E1347="Y",VLOOKUP(D1347,'Support - Unit Adjustments'!F:G,2,FALSE),0)</f>
        <v>0</v>
      </c>
      <c r="R1347" s="155">
        <f t="shared" si="402"/>
        <v>0.52289200000000002</v>
      </c>
      <c r="S1347" s="47">
        <f t="shared" si="401"/>
        <v>193357</v>
      </c>
      <c r="T1347" s="151">
        <f t="shared" si="405"/>
        <v>176427</v>
      </c>
      <c r="U1347" s="151">
        <f t="shared" si="406"/>
        <v>0</v>
      </c>
      <c r="V1347" s="139">
        <f t="shared" si="407"/>
        <v>0</v>
      </c>
      <c r="W1347" s="152">
        <f t="shared" ref="W1347:W1410" si="410">+T1347-V1347</f>
        <v>176427</v>
      </c>
      <c r="X1347" s="127" t="str">
        <f t="shared" si="408"/>
        <v/>
      </c>
      <c r="Y1347" s="207">
        <f t="shared" ref="Y1347:Y1410" si="411">W1347</f>
        <v>176427</v>
      </c>
      <c r="Z1347" s="139">
        <f t="shared" ref="Z1347:Z1410" si="412">IFERROR(IF(B1347="2",ROUND(Y1347*G1347/I1347,0),Y1347),0)</f>
        <v>176427</v>
      </c>
      <c r="AA1347" s="139">
        <f t="shared" ref="AA1347:AA1410" si="413">+Y1347-Z1347</f>
        <v>0</v>
      </c>
      <c r="AC1347" s="47">
        <f t="shared" ref="AC1347:AC1410" si="414">ROUND(Y1347/2,0)</f>
        <v>88214</v>
      </c>
      <c r="AD1347" s="47">
        <f t="shared" ref="AD1347:AD1410" si="415">ROUND(Z1347/2,0)</f>
        <v>88214</v>
      </c>
      <c r="AE1347" s="47">
        <f t="shared" ref="AE1347:AE1410" si="416">ROUND(AA1347/2,0)</f>
        <v>0</v>
      </c>
      <c r="AG1347" s="47">
        <f t="shared" ref="AG1347:AG1410" si="417">+Y1347-AC1347</f>
        <v>88213</v>
      </c>
      <c r="AH1347" s="47">
        <f t="shared" ref="AH1347:AH1410" si="418">+Z1347-AD1347</f>
        <v>88213</v>
      </c>
      <c r="AI1347" s="208">
        <f t="shared" ref="AI1347:AI1410" si="419">+AA1347-AE1347</f>
        <v>0</v>
      </c>
    </row>
    <row r="1348" spans="1:35">
      <c r="A1348" t="s">
        <v>2129</v>
      </c>
      <c r="B1348" t="s">
        <v>3160</v>
      </c>
      <c r="C1348" t="s">
        <v>2725</v>
      </c>
      <c r="D1348" t="s">
        <v>4729</v>
      </c>
      <c r="F1348" t="s">
        <v>1027</v>
      </c>
      <c r="G1348" s="126">
        <f>SUMIFS('Support - Transition'!F:F,'Support - Transition'!B:B,'Step 2'!A1348,'Support - Transition'!C:C,'Step 2'!B1348,'Support - Transition'!D:D,'Step 2'!C1348,'Support - Transition'!E:E,"CIVIL")</f>
        <v>0</v>
      </c>
      <c r="H1348" s="126">
        <f>SUMIFS('Support - Transition'!F:F,'Support - Transition'!B:B,'Step 2'!A1348,'Support - Transition'!C:C,'Step 2'!B1348,'Support - Transition'!D:D,'Step 2'!C1348,'Support - Transition'!E:E,"FIRE")</f>
        <v>0</v>
      </c>
      <c r="I1348" s="126">
        <f>IF(B1348="0",SUMIFS('Support - Transition'!F:F,'Support - Transition'!J:J,'Step 2'!D1348,'Support - Transition'!E:E,"STATE UNIT"),SUMIFS('Support - Transition'!F:F,'Support - Transition'!J:J,'Step 2'!D1348))</f>
        <v>2.0174000000000001E-2</v>
      </c>
      <c r="J1348" s="126">
        <f>SUMIFS('Support - Unit Adjustments'!E:E,'Support - Unit Adjustments'!F:F,'Step 2'!D1348)</f>
        <v>0</v>
      </c>
      <c r="K1348" s="126">
        <f t="shared" si="403"/>
        <v>2.0174000000000001E-2</v>
      </c>
      <c r="L1348" s="174">
        <f>VLOOKUP(A1348,'Step 1'!$A:$E,4,FALSE)</f>
        <v>5422774</v>
      </c>
      <c r="M1348" s="47">
        <f t="shared" si="404"/>
        <v>109399</v>
      </c>
      <c r="N1348" s="177">
        <f>SUMIFS('Support - Transition'!G:G,'Support - Transition'!J:J,'Step 2'!D1348,'Support - Transition'!E:E,"2009 WELFARE ALLOCATION FACTOR")</f>
        <v>0</v>
      </c>
      <c r="O1348" s="152">
        <f t="shared" si="409"/>
        <v>0</v>
      </c>
      <c r="P1348" s="126">
        <f>IF(E1348="Y",0,SUMIFS('Support - Transition'!G:G,'Support - Transition'!J:J,'Step 2'!D1348,'Support - Transition'!E:E,"2009 SCHOOL ALLOCATION FACTOR"))</f>
        <v>0.41710000000000003</v>
      </c>
      <c r="Q1348" s="126">
        <f>IF(E1348="Y",VLOOKUP(D1348,'Support - Unit Adjustments'!F:G,2,FALSE),0)</f>
        <v>0</v>
      </c>
      <c r="R1348" s="155">
        <f t="shared" si="402"/>
        <v>0.41710000000000003</v>
      </c>
      <c r="S1348" s="47">
        <f t="shared" si="401"/>
        <v>45630</v>
      </c>
      <c r="T1348" s="151">
        <f t="shared" si="405"/>
        <v>63769</v>
      </c>
      <c r="U1348" s="151">
        <f t="shared" si="406"/>
        <v>0</v>
      </c>
      <c r="V1348" s="139">
        <f t="shared" si="407"/>
        <v>0</v>
      </c>
      <c r="W1348" s="152">
        <f t="shared" si="410"/>
        <v>63769</v>
      </c>
      <c r="X1348" s="127" t="str">
        <f t="shared" si="408"/>
        <v/>
      </c>
      <c r="Y1348" s="207">
        <f t="shared" si="411"/>
        <v>63769</v>
      </c>
      <c r="Z1348" s="139">
        <f t="shared" si="412"/>
        <v>63769</v>
      </c>
      <c r="AA1348" s="139">
        <f t="shared" si="413"/>
        <v>0</v>
      </c>
      <c r="AC1348" s="47">
        <f t="shared" si="414"/>
        <v>31885</v>
      </c>
      <c r="AD1348" s="47">
        <f t="shared" si="415"/>
        <v>31885</v>
      </c>
      <c r="AE1348" s="47">
        <f t="shared" si="416"/>
        <v>0</v>
      </c>
      <c r="AG1348" s="47">
        <f t="shared" si="417"/>
        <v>31884</v>
      </c>
      <c r="AH1348" s="47">
        <f t="shared" si="418"/>
        <v>31884</v>
      </c>
      <c r="AI1348" s="208">
        <f t="shared" si="419"/>
        <v>0</v>
      </c>
    </row>
    <row r="1349" spans="1:35">
      <c r="A1349" t="s">
        <v>2129</v>
      </c>
      <c r="B1349" t="s">
        <v>3160</v>
      </c>
      <c r="C1349" t="s">
        <v>2726</v>
      </c>
      <c r="D1349" t="s">
        <v>4730</v>
      </c>
      <c r="F1349" t="s">
        <v>1028</v>
      </c>
      <c r="G1349" s="126">
        <f>SUMIFS('Support - Transition'!F:F,'Support - Transition'!B:B,'Step 2'!A1349,'Support - Transition'!C:C,'Step 2'!B1349,'Support - Transition'!D:D,'Step 2'!C1349,'Support - Transition'!E:E,"CIVIL")</f>
        <v>0</v>
      </c>
      <c r="H1349" s="126">
        <f>SUMIFS('Support - Transition'!F:F,'Support - Transition'!B:B,'Step 2'!A1349,'Support - Transition'!C:C,'Step 2'!B1349,'Support - Transition'!D:D,'Step 2'!C1349,'Support - Transition'!E:E,"FIRE")</f>
        <v>0</v>
      </c>
      <c r="I1349" s="126">
        <f>IF(B1349="0",SUMIFS('Support - Transition'!F:F,'Support - Transition'!J:J,'Step 2'!D1349,'Support - Transition'!E:E,"STATE UNIT"),SUMIFS('Support - Transition'!F:F,'Support - Transition'!J:J,'Step 2'!D1349))</f>
        <v>0.105992</v>
      </c>
      <c r="J1349" s="126">
        <f>SUMIFS('Support - Unit Adjustments'!E:E,'Support - Unit Adjustments'!F:F,'Step 2'!D1349)</f>
        <v>0</v>
      </c>
      <c r="K1349" s="126">
        <f t="shared" si="403"/>
        <v>0.105992</v>
      </c>
      <c r="L1349" s="174">
        <f>VLOOKUP(A1349,'Step 1'!$A:$E,4,FALSE)</f>
        <v>5422774</v>
      </c>
      <c r="M1349" s="47">
        <f t="shared" si="404"/>
        <v>574771</v>
      </c>
      <c r="N1349" s="177">
        <f>SUMIFS('Support - Transition'!G:G,'Support - Transition'!J:J,'Step 2'!D1349,'Support - Transition'!E:E,"2009 WELFARE ALLOCATION FACTOR")</f>
        <v>0</v>
      </c>
      <c r="O1349" s="152">
        <f t="shared" si="409"/>
        <v>0</v>
      </c>
      <c r="P1349" s="126">
        <f>IF(E1349="Y",0,SUMIFS('Support - Transition'!G:G,'Support - Transition'!J:J,'Step 2'!D1349,'Support - Transition'!E:E,"2009 SCHOOL ALLOCATION FACTOR"))</f>
        <v>0.30629600000000001</v>
      </c>
      <c r="Q1349" s="126">
        <f>IF(E1349="Y",VLOOKUP(D1349,'Support - Unit Adjustments'!F:G,2,FALSE),0)</f>
        <v>0</v>
      </c>
      <c r="R1349" s="155">
        <f t="shared" si="402"/>
        <v>0.30629600000000001</v>
      </c>
      <c r="S1349" s="47">
        <f t="shared" si="401"/>
        <v>176050</v>
      </c>
      <c r="T1349" s="151">
        <f t="shared" si="405"/>
        <v>398721</v>
      </c>
      <c r="U1349" s="151">
        <f t="shared" si="406"/>
        <v>0</v>
      </c>
      <c r="V1349" s="139">
        <f t="shared" si="407"/>
        <v>0</v>
      </c>
      <c r="W1349" s="152">
        <f t="shared" si="410"/>
        <v>398721</v>
      </c>
      <c r="X1349" s="127" t="str">
        <f t="shared" si="408"/>
        <v/>
      </c>
      <c r="Y1349" s="207">
        <f t="shared" si="411"/>
        <v>398721</v>
      </c>
      <c r="Z1349" s="139">
        <f t="shared" si="412"/>
        <v>398721</v>
      </c>
      <c r="AA1349" s="139">
        <f t="shared" si="413"/>
        <v>0</v>
      </c>
      <c r="AC1349" s="47">
        <f t="shared" si="414"/>
        <v>199361</v>
      </c>
      <c r="AD1349" s="47">
        <f t="shared" si="415"/>
        <v>199361</v>
      </c>
      <c r="AE1349" s="47">
        <f t="shared" si="416"/>
        <v>0</v>
      </c>
      <c r="AG1349" s="47">
        <f t="shared" si="417"/>
        <v>199360</v>
      </c>
      <c r="AH1349" s="47">
        <f t="shared" si="418"/>
        <v>199360</v>
      </c>
      <c r="AI1349" s="208">
        <f t="shared" si="419"/>
        <v>0</v>
      </c>
    </row>
    <row r="1350" spans="1:35">
      <c r="A1350" t="s">
        <v>2129</v>
      </c>
      <c r="B1350" t="s">
        <v>3160</v>
      </c>
      <c r="C1350" t="s">
        <v>2727</v>
      </c>
      <c r="D1350" t="s">
        <v>4731</v>
      </c>
      <c r="F1350" t="s">
        <v>1030</v>
      </c>
      <c r="G1350" s="126">
        <f>SUMIFS('Support - Transition'!F:F,'Support - Transition'!B:B,'Step 2'!A1350,'Support - Transition'!C:C,'Step 2'!B1350,'Support - Transition'!D:D,'Step 2'!C1350,'Support - Transition'!E:E,"CIVIL")</f>
        <v>0</v>
      </c>
      <c r="H1350" s="126">
        <f>SUMIFS('Support - Transition'!F:F,'Support - Transition'!B:B,'Step 2'!A1350,'Support - Transition'!C:C,'Step 2'!B1350,'Support - Transition'!D:D,'Step 2'!C1350,'Support - Transition'!E:E,"FIRE")</f>
        <v>0</v>
      </c>
      <c r="I1350" s="126">
        <f>IF(B1350="0",SUMIFS('Support - Transition'!F:F,'Support - Transition'!J:J,'Step 2'!D1350,'Support - Transition'!E:E,"STATE UNIT"),SUMIFS('Support - Transition'!F:F,'Support - Transition'!J:J,'Step 2'!D1350))</f>
        <v>1.2602E-2</v>
      </c>
      <c r="J1350" s="126">
        <f>SUMIFS('Support - Unit Adjustments'!E:E,'Support - Unit Adjustments'!F:F,'Step 2'!D1350)</f>
        <v>0</v>
      </c>
      <c r="K1350" s="126">
        <f t="shared" si="403"/>
        <v>1.2602E-2</v>
      </c>
      <c r="L1350" s="174">
        <f>VLOOKUP(A1350,'Step 1'!$A:$E,4,FALSE)</f>
        <v>5422774</v>
      </c>
      <c r="M1350" s="47">
        <f t="shared" si="404"/>
        <v>68338</v>
      </c>
      <c r="N1350" s="177">
        <f>SUMIFS('Support - Transition'!G:G,'Support - Transition'!J:J,'Step 2'!D1350,'Support - Transition'!E:E,"2009 WELFARE ALLOCATION FACTOR")</f>
        <v>0</v>
      </c>
      <c r="O1350" s="152">
        <f t="shared" si="409"/>
        <v>0</v>
      </c>
      <c r="P1350" s="126">
        <f>IF(E1350="Y",0,SUMIFS('Support - Transition'!G:G,'Support - Transition'!J:J,'Step 2'!D1350,'Support - Transition'!E:E,"2009 SCHOOL ALLOCATION FACTOR"))</f>
        <v>0.58227399999999996</v>
      </c>
      <c r="Q1350" s="126">
        <f>IF(E1350="Y",VLOOKUP(D1350,'Support - Unit Adjustments'!F:G,2,FALSE),0)</f>
        <v>0</v>
      </c>
      <c r="R1350" s="155">
        <f t="shared" si="402"/>
        <v>0.58227399999999996</v>
      </c>
      <c r="S1350" s="47">
        <f t="shared" si="401"/>
        <v>39791</v>
      </c>
      <c r="T1350" s="151">
        <f t="shared" si="405"/>
        <v>28547</v>
      </c>
      <c r="U1350" s="151">
        <f t="shared" si="406"/>
        <v>0</v>
      </c>
      <c r="V1350" s="139">
        <f t="shared" si="407"/>
        <v>0</v>
      </c>
      <c r="W1350" s="152">
        <f t="shared" si="410"/>
        <v>28547</v>
      </c>
      <c r="X1350" s="127" t="str">
        <f t="shared" si="408"/>
        <v/>
      </c>
      <c r="Y1350" s="207">
        <f t="shared" si="411"/>
        <v>28547</v>
      </c>
      <c r="Z1350" s="139">
        <f t="shared" si="412"/>
        <v>28547</v>
      </c>
      <c r="AA1350" s="139">
        <f t="shared" si="413"/>
        <v>0</v>
      </c>
      <c r="AC1350" s="47">
        <f t="shared" si="414"/>
        <v>14274</v>
      </c>
      <c r="AD1350" s="47">
        <f t="shared" si="415"/>
        <v>14274</v>
      </c>
      <c r="AE1350" s="47">
        <f t="shared" si="416"/>
        <v>0</v>
      </c>
      <c r="AG1350" s="47">
        <f t="shared" si="417"/>
        <v>14273</v>
      </c>
      <c r="AH1350" s="47">
        <f t="shared" si="418"/>
        <v>14273</v>
      </c>
      <c r="AI1350" s="208">
        <f t="shared" si="419"/>
        <v>0</v>
      </c>
    </row>
    <row r="1351" spans="1:35">
      <c r="A1351" t="s">
        <v>2129</v>
      </c>
      <c r="B1351" t="s">
        <v>3160</v>
      </c>
      <c r="C1351" t="s">
        <v>2728</v>
      </c>
      <c r="D1351" t="s">
        <v>4732</v>
      </c>
      <c r="F1351" t="s">
        <v>1037</v>
      </c>
      <c r="G1351" s="126">
        <f>SUMIFS('Support - Transition'!F:F,'Support - Transition'!B:B,'Step 2'!A1351,'Support - Transition'!C:C,'Step 2'!B1351,'Support - Transition'!D:D,'Step 2'!C1351,'Support - Transition'!E:E,"CIVIL")</f>
        <v>0</v>
      </c>
      <c r="H1351" s="126">
        <f>SUMIFS('Support - Transition'!F:F,'Support - Transition'!B:B,'Step 2'!A1351,'Support - Transition'!C:C,'Step 2'!B1351,'Support - Transition'!D:D,'Step 2'!C1351,'Support - Transition'!E:E,"FIRE")</f>
        <v>0</v>
      </c>
      <c r="I1351" s="126">
        <f>IF(B1351="0",SUMIFS('Support - Transition'!F:F,'Support - Transition'!J:J,'Step 2'!D1351,'Support - Transition'!E:E,"STATE UNIT"),SUMIFS('Support - Transition'!F:F,'Support - Transition'!J:J,'Step 2'!D1351))</f>
        <v>7.757E-3</v>
      </c>
      <c r="J1351" s="126">
        <f>SUMIFS('Support - Unit Adjustments'!E:E,'Support - Unit Adjustments'!F:F,'Step 2'!D1351)</f>
        <v>0</v>
      </c>
      <c r="K1351" s="126">
        <f t="shared" si="403"/>
        <v>7.757E-3</v>
      </c>
      <c r="L1351" s="174">
        <f>VLOOKUP(A1351,'Step 1'!$A:$E,4,FALSE)</f>
        <v>5422774</v>
      </c>
      <c r="M1351" s="47">
        <f t="shared" si="404"/>
        <v>42064</v>
      </c>
      <c r="N1351" s="177">
        <f>SUMIFS('Support - Transition'!G:G,'Support - Transition'!J:J,'Step 2'!D1351,'Support - Transition'!E:E,"2009 WELFARE ALLOCATION FACTOR")</f>
        <v>0</v>
      </c>
      <c r="O1351" s="152">
        <f t="shared" si="409"/>
        <v>0</v>
      </c>
      <c r="P1351" s="126">
        <f>IF(E1351="Y",0,SUMIFS('Support - Transition'!G:G,'Support - Transition'!J:J,'Step 2'!D1351,'Support - Transition'!E:E,"2009 SCHOOL ALLOCATION FACTOR"))</f>
        <v>0.36629400000000001</v>
      </c>
      <c r="Q1351" s="126">
        <f>IF(E1351="Y",VLOOKUP(D1351,'Support - Unit Adjustments'!F:G,2,FALSE),0)</f>
        <v>0</v>
      </c>
      <c r="R1351" s="155">
        <f t="shared" si="402"/>
        <v>0.36629400000000001</v>
      </c>
      <c r="S1351" s="47">
        <f t="shared" si="401"/>
        <v>15408</v>
      </c>
      <c r="T1351" s="151">
        <f t="shared" si="405"/>
        <v>26656</v>
      </c>
      <c r="U1351" s="151">
        <f t="shared" si="406"/>
        <v>0</v>
      </c>
      <c r="V1351" s="139">
        <f t="shared" si="407"/>
        <v>0</v>
      </c>
      <c r="W1351" s="152">
        <f t="shared" si="410"/>
        <v>26656</v>
      </c>
      <c r="X1351" s="127" t="str">
        <f t="shared" si="408"/>
        <v/>
      </c>
      <c r="Y1351" s="207">
        <f t="shared" si="411"/>
        <v>26656</v>
      </c>
      <c r="Z1351" s="139">
        <f t="shared" si="412"/>
        <v>26656</v>
      </c>
      <c r="AA1351" s="139">
        <f t="shared" si="413"/>
        <v>0</v>
      </c>
      <c r="AC1351" s="47">
        <f t="shared" si="414"/>
        <v>13328</v>
      </c>
      <c r="AD1351" s="47">
        <f t="shared" si="415"/>
        <v>13328</v>
      </c>
      <c r="AE1351" s="47">
        <f t="shared" si="416"/>
        <v>0</v>
      </c>
      <c r="AG1351" s="47">
        <f t="shared" si="417"/>
        <v>13328</v>
      </c>
      <c r="AH1351" s="47">
        <f t="shared" si="418"/>
        <v>13328</v>
      </c>
      <c r="AI1351" s="208">
        <f t="shared" si="419"/>
        <v>0</v>
      </c>
    </row>
    <row r="1352" spans="1:35">
      <c r="A1352" t="s">
        <v>2129</v>
      </c>
      <c r="B1352" t="s">
        <v>3160</v>
      </c>
      <c r="C1352" t="s">
        <v>2729</v>
      </c>
      <c r="D1352" t="s">
        <v>4733</v>
      </c>
      <c r="F1352" t="s">
        <v>1035</v>
      </c>
      <c r="G1352" s="126">
        <f>SUMIFS('Support - Transition'!F:F,'Support - Transition'!B:B,'Step 2'!A1352,'Support - Transition'!C:C,'Step 2'!B1352,'Support - Transition'!D:D,'Step 2'!C1352,'Support - Transition'!E:E,"CIVIL")</f>
        <v>0</v>
      </c>
      <c r="H1352" s="126">
        <f>SUMIFS('Support - Transition'!F:F,'Support - Transition'!B:B,'Step 2'!A1352,'Support - Transition'!C:C,'Step 2'!B1352,'Support - Transition'!D:D,'Step 2'!C1352,'Support - Transition'!E:E,"FIRE")</f>
        <v>0</v>
      </c>
      <c r="I1352" s="126">
        <f>IF(B1352="0",SUMIFS('Support - Transition'!F:F,'Support - Transition'!J:J,'Step 2'!D1352,'Support - Transition'!E:E,"STATE UNIT"),SUMIFS('Support - Transition'!F:F,'Support - Transition'!J:J,'Step 2'!D1352))</f>
        <v>1.1776E-2</v>
      </c>
      <c r="J1352" s="126">
        <f>SUMIFS('Support - Unit Adjustments'!E:E,'Support - Unit Adjustments'!F:F,'Step 2'!D1352)</f>
        <v>0</v>
      </c>
      <c r="K1352" s="126">
        <f t="shared" si="403"/>
        <v>1.1776E-2</v>
      </c>
      <c r="L1352" s="174">
        <f>VLOOKUP(A1352,'Step 1'!$A:$E,4,FALSE)</f>
        <v>5422774</v>
      </c>
      <c r="M1352" s="47">
        <f t="shared" si="404"/>
        <v>63859</v>
      </c>
      <c r="N1352" s="177">
        <f>SUMIFS('Support - Transition'!G:G,'Support - Transition'!J:J,'Step 2'!D1352,'Support - Transition'!E:E,"2009 WELFARE ALLOCATION FACTOR")</f>
        <v>0</v>
      </c>
      <c r="O1352" s="152">
        <f t="shared" si="409"/>
        <v>0</v>
      </c>
      <c r="P1352" s="126">
        <f>IF(E1352="Y",0,SUMIFS('Support - Transition'!G:G,'Support - Transition'!J:J,'Step 2'!D1352,'Support - Transition'!E:E,"2009 SCHOOL ALLOCATION FACTOR"))</f>
        <v>0.45821699999999999</v>
      </c>
      <c r="Q1352" s="126">
        <f>IF(E1352="Y",VLOOKUP(D1352,'Support - Unit Adjustments'!F:G,2,FALSE),0)</f>
        <v>0</v>
      </c>
      <c r="R1352" s="155">
        <f t="shared" si="402"/>
        <v>0.45821699999999999</v>
      </c>
      <c r="S1352" s="47">
        <f t="shared" ref="S1352:S1415" si="420">ROUND(+R1352*M1352,0)</f>
        <v>29261</v>
      </c>
      <c r="T1352" s="151">
        <f t="shared" si="405"/>
        <v>34598</v>
      </c>
      <c r="U1352" s="151">
        <f t="shared" si="406"/>
        <v>0</v>
      </c>
      <c r="V1352" s="139">
        <f t="shared" si="407"/>
        <v>0</v>
      </c>
      <c r="W1352" s="152">
        <f t="shared" si="410"/>
        <v>34598</v>
      </c>
      <c r="X1352" s="127" t="str">
        <f t="shared" si="408"/>
        <v/>
      </c>
      <c r="Y1352" s="207">
        <f t="shared" si="411"/>
        <v>34598</v>
      </c>
      <c r="Z1352" s="139">
        <f t="shared" si="412"/>
        <v>34598</v>
      </c>
      <c r="AA1352" s="139">
        <f t="shared" si="413"/>
        <v>0</v>
      </c>
      <c r="AC1352" s="47">
        <f t="shared" si="414"/>
        <v>17299</v>
      </c>
      <c r="AD1352" s="47">
        <f t="shared" si="415"/>
        <v>17299</v>
      </c>
      <c r="AE1352" s="47">
        <f t="shared" si="416"/>
        <v>0</v>
      </c>
      <c r="AG1352" s="47">
        <f t="shared" si="417"/>
        <v>17299</v>
      </c>
      <c r="AH1352" s="47">
        <f t="shared" si="418"/>
        <v>17299</v>
      </c>
      <c r="AI1352" s="208">
        <f t="shared" si="419"/>
        <v>0</v>
      </c>
    </row>
    <row r="1353" spans="1:35">
      <c r="A1353" t="s">
        <v>2129</v>
      </c>
      <c r="B1353" t="s">
        <v>3160</v>
      </c>
      <c r="C1353" t="s">
        <v>2730</v>
      </c>
      <c r="D1353" t="s">
        <v>4734</v>
      </c>
      <c r="F1353" t="s">
        <v>1039</v>
      </c>
      <c r="G1353" s="126">
        <f>SUMIFS('Support - Transition'!F:F,'Support - Transition'!B:B,'Step 2'!A1353,'Support - Transition'!C:C,'Step 2'!B1353,'Support - Transition'!D:D,'Step 2'!C1353,'Support - Transition'!E:E,"CIVIL")</f>
        <v>0</v>
      </c>
      <c r="H1353" s="126">
        <f>SUMIFS('Support - Transition'!F:F,'Support - Transition'!B:B,'Step 2'!A1353,'Support - Transition'!C:C,'Step 2'!B1353,'Support - Transition'!D:D,'Step 2'!C1353,'Support - Transition'!E:E,"FIRE")</f>
        <v>0</v>
      </c>
      <c r="I1353" s="126">
        <f>IF(B1353="0",SUMIFS('Support - Transition'!F:F,'Support - Transition'!J:J,'Step 2'!D1353,'Support - Transition'!E:E,"STATE UNIT"),SUMIFS('Support - Transition'!F:F,'Support - Transition'!J:J,'Step 2'!D1353))</f>
        <v>6.208E-3</v>
      </c>
      <c r="J1353" s="126">
        <f>SUMIFS('Support - Unit Adjustments'!E:E,'Support - Unit Adjustments'!F:F,'Step 2'!D1353)</f>
        <v>0</v>
      </c>
      <c r="K1353" s="126">
        <f t="shared" si="403"/>
        <v>6.208E-3</v>
      </c>
      <c r="L1353" s="174">
        <f>VLOOKUP(A1353,'Step 1'!$A:$E,4,FALSE)</f>
        <v>5422774</v>
      </c>
      <c r="M1353" s="47">
        <f t="shared" si="404"/>
        <v>33665</v>
      </c>
      <c r="N1353" s="177">
        <f>SUMIFS('Support - Transition'!G:G,'Support - Transition'!J:J,'Step 2'!D1353,'Support - Transition'!E:E,"2009 WELFARE ALLOCATION FACTOR")</f>
        <v>0</v>
      </c>
      <c r="O1353" s="152">
        <f t="shared" si="409"/>
        <v>0</v>
      </c>
      <c r="P1353" s="126">
        <f>IF(E1353="Y",0,SUMIFS('Support - Transition'!G:G,'Support - Transition'!J:J,'Step 2'!D1353,'Support - Transition'!E:E,"2009 SCHOOL ALLOCATION FACTOR"))</f>
        <v>0.56514299999999995</v>
      </c>
      <c r="Q1353" s="126">
        <f>IF(E1353="Y",VLOOKUP(D1353,'Support - Unit Adjustments'!F:G,2,FALSE),0)</f>
        <v>0</v>
      </c>
      <c r="R1353" s="155">
        <f t="shared" ref="R1353:R1416" si="421">+P1353+Q1353</f>
        <v>0.56514299999999995</v>
      </c>
      <c r="S1353" s="47">
        <f t="shared" si="420"/>
        <v>19026</v>
      </c>
      <c r="T1353" s="151">
        <f t="shared" si="405"/>
        <v>14639</v>
      </c>
      <c r="U1353" s="151">
        <f t="shared" si="406"/>
        <v>0</v>
      </c>
      <c r="V1353" s="139">
        <f t="shared" si="407"/>
        <v>0</v>
      </c>
      <c r="W1353" s="152">
        <f t="shared" si="410"/>
        <v>14639</v>
      </c>
      <c r="X1353" s="127" t="str">
        <f t="shared" si="408"/>
        <v/>
      </c>
      <c r="Y1353" s="207">
        <f t="shared" si="411"/>
        <v>14639</v>
      </c>
      <c r="Z1353" s="139">
        <f t="shared" si="412"/>
        <v>14639</v>
      </c>
      <c r="AA1353" s="139">
        <f t="shared" si="413"/>
        <v>0</v>
      </c>
      <c r="AC1353" s="47">
        <f t="shared" si="414"/>
        <v>7320</v>
      </c>
      <c r="AD1353" s="47">
        <f t="shared" si="415"/>
        <v>7320</v>
      </c>
      <c r="AE1353" s="47">
        <f t="shared" si="416"/>
        <v>0</v>
      </c>
      <c r="AG1353" s="47">
        <f t="shared" si="417"/>
        <v>7319</v>
      </c>
      <c r="AH1353" s="47">
        <f t="shared" si="418"/>
        <v>7319</v>
      </c>
      <c r="AI1353" s="208">
        <f t="shared" si="419"/>
        <v>0</v>
      </c>
    </row>
    <row r="1354" spans="1:35">
      <c r="A1354" t="s">
        <v>2129</v>
      </c>
      <c r="B1354" t="s">
        <v>3166</v>
      </c>
      <c r="C1354" t="s">
        <v>4735</v>
      </c>
      <c r="D1354" t="s">
        <v>4736</v>
      </c>
      <c r="F1354" t="s">
        <v>1041</v>
      </c>
      <c r="G1354" s="126">
        <f>SUMIFS('Support - Transition'!F:F,'Support - Transition'!B:B,'Step 2'!A1354,'Support - Transition'!C:C,'Step 2'!B1354,'Support - Transition'!D:D,'Step 2'!C1354,'Support - Transition'!E:E,"CIVIL")</f>
        <v>0</v>
      </c>
      <c r="H1354" s="126">
        <f>SUMIFS('Support - Transition'!F:F,'Support - Transition'!B:B,'Step 2'!A1354,'Support - Transition'!C:C,'Step 2'!B1354,'Support - Transition'!D:D,'Step 2'!C1354,'Support - Transition'!E:E,"FIRE")</f>
        <v>0</v>
      </c>
      <c r="I1354" s="126">
        <f>IF(B1354="0",SUMIFS('Support - Transition'!F:F,'Support - Transition'!J:J,'Step 2'!D1354,'Support - Transition'!E:E,"STATE UNIT"),SUMIFS('Support - Transition'!F:F,'Support - Transition'!J:J,'Step 2'!D1354))</f>
        <v>3.1389999999999999E-3</v>
      </c>
      <c r="J1354" s="126">
        <f>SUMIFS('Support - Unit Adjustments'!E:E,'Support - Unit Adjustments'!F:F,'Step 2'!D1354)</f>
        <v>0</v>
      </c>
      <c r="K1354" s="126">
        <f t="shared" si="403"/>
        <v>3.1389999999999999E-3</v>
      </c>
      <c r="L1354" s="174">
        <f>VLOOKUP(A1354,'Step 1'!$A:$E,4,FALSE)</f>
        <v>5422774</v>
      </c>
      <c r="M1354" s="47">
        <f t="shared" si="404"/>
        <v>17022</v>
      </c>
      <c r="N1354" s="177">
        <f>SUMIFS('Support - Transition'!G:G,'Support - Transition'!J:J,'Step 2'!D1354,'Support - Transition'!E:E,"2009 WELFARE ALLOCATION FACTOR")</f>
        <v>0</v>
      </c>
      <c r="O1354" s="152">
        <f t="shared" si="409"/>
        <v>0</v>
      </c>
      <c r="P1354" s="126">
        <f>IF(E1354="Y",0,SUMIFS('Support - Transition'!G:G,'Support - Transition'!J:J,'Step 2'!D1354,'Support - Transition'!E:E,"2009 SCHOOL ALLOCATION FACTOR"))</f>
        <v>0</v>
      </c>
      <c r="Q1354" s="126">
        <f>IF(E1354="Y",VLOOKUP(D1354,'Support - Unit Adjustments'!F:G,2,FALSE),0)</f>
        <v>0</v>
      </c>
      <c r="R1354" s="155">
        <f t="shared" si="421"/>
        <v>0</v>
      </c>
      <c r="S1354" s="47">
        <f t="shared" si="420"/>
        <v>0</v>
      </c>
      <c r="T1354" s="151">
        <f t="shared" si="405"/>
        <v>17022</v>
      </c>
      <c r="U1354" s="151">
        <f t="shared" si="406"/>
        <v>0</v>
      </c>
      <c r="V1354" s="139">
        <f t="shared" si="407"/>
        <v>0</v>
      </c>
      <c r="W1354" s="152">
        <f t="shared" si="410"/>
        <v>17022</v>
      </c>
      <c r="X1354" s="127" t="str">
        <f t="shared" si="408"/>
        <v/>
      </c>
      <c r="Y1354" s="207">
        <f t="shared" si="411"/>
        <v>17022</v>
      </c>
      <c r="Z1354" s="139">
        <f t="shared" si="412"/>
        <v>17022</v>
      </c>
      <c r="AA1354" s="139">
        <f t="shared" si="413"/>
        <v>0</v>
      </c>
      <c r="AC1354" s="47">
        <f t="shared" si="414"/>
        <v>8511</v>
      </c>
      <c r="AD1354" s="47">
        <f t="shared" si="415"/>
        <v>8511</v>
      </c>
      <c r="AE1354" s="47">
        <f t="shared" si="416"/>
        <v>0</v>
      </c>
      <c r="AG1354" s="47">
        <f t="shared" si="417"/>
        <v>8511</v>
      </c>
      <c r="AH1354" s="47">
        <f t="shared" si="418"/>
        <v>8511</v>
      </c>
      <c r="AI1354" s="208">
        <f t="shared" si="419"/>
        <v>0</v>
      </c>
    </row>
    <row r="1355" spans="1:35">
      <c r="A1355" t="s">
        <v>2129</v>
      </c>
      <c r="B1355" t="s">
        <v>3166</v>
      </c>
      <c r="C1355" t="s">
        <v>2222</v>
      </c>
      <c r="D1355" t="s">
        <v>4737</v>
      </c>
      <c r="F1355" t="s">
        <v>1042</v>
      </c>
      <c r="G1355" s="126">
        <f>SUMIFS('Support - Transition'!F:F,'Support - Transition'!B:B,'Step 2'!A1355,'Support - Transition'!C:C,'Step 2'!B1355,'Support - Transition'!D:D,'Step 2'!C1355,'Support - Transition'!E:E,"CIVIL")</f>
        <v>0</v>
      </c>
      <c r="H1355" s="126">
        <f>SUMIFS('Support - Transition'!F:F,'Support - Transition'!B:B,'Step 2'!A1355,'Support - Transition'!C:C,'Step 2'!B1355,'Support - Transition'!D:D,'Step 2'!C1355,'Support - Transition'!E:E,"FIRE")</f>
        <v>0</v>
      </c>
      <c r="I1355" s="126">
        <f>IF(B1355="0",SUMIFS('Support - Transition'!F:F,'Support - Transition'!J:J,'Step 2'!D1355,'Support - Transition'!E:E,"STATE UNIT"),SUMIFS('Support - Transition'!F:F,'Support - Transition'!J:J,'Step 2'!D1355))</f>
        <v>7.221E-3</v>
      </c>
      <c r="J1355" s="126">
        <f>SUMIFS('Support - Unit Adjustments'!E:E,'Support - Unit Adjustments'!F:F,'Step 2'!D1355)</f>
        <v>0</v>
      </c>
      <c r="K1355" s="126">
        <f t="shared" si="403"/>
        <v>7.221E-3</v>
      </c>
      <c r="L1355" s="174">
        <f>VLOOKUP(A1355,'Step 1'!$A:$E,4,FALSE)</f>
        <v>5422774</v>
      </c>
      <c r="M1355" s="47">
        <f t="shared" si="404"/>
        <v>39158</v>
      </c>
      <c r="N1355" s="177">
        <f>SUMIFS('Support - Transition'!G:G,'Support - Transition'!J:J,'Step 2'!D1355,'Support - Transition'!E:E,"2009 WELFARE ALLOCATION FACTOR")</f>
        <v>0</v>
      </c>
      <c r="O1355" s="152">
        <f t="shared" si="409"/>
        <v>0</v>
      </c>
      <c r="P1355" s="126">
        <f>IF(E1355="Y",0,SUMIFS('Support - Transition'!G:G,'Support - Transition'!J:J,'Step 2'!D1355,'Support - Transition'!E:E,"2009 SCHOOL ALLOCATION FACTOR"))</f>
        <v>0</v>
      </c>
      <c r="Q1355" s="126">
        <f>IF(E1355="Y",VLOOKUP(D1355,'Support - Unit Adjustments'!F:G,2,FALSE),0)</f>
        <v>0</v>
      </c>
      <c r="R1355" s="155">
        <f t="shared" si="421"/>
        <v>0</v>
      </c>
      <c r="S1355" s="47">
        <f t="shared" si="420"/>
        <v>0</v>
      </c>
      <c r="T1355" s="151">
        <f t="shared" si="405"/>
        <v>39158</v>
      </c>
      <c r="U1355" s="151">
        <f t="shared" si="406"/>
        <v>0</v>
      </c>
      <c r="V1355" s="139">
        <f t="shared" si="407"/>
        <v>0</v>
      </c>
      <c r="W1355" s="152">
        <f t="shared" si="410"/>
        <v>39158</v>
      </c>
      <c r="X1355" s="127" t="str">
        <f t="shared" si="408"/>
        <v/>
      </c>
      <c r="Y1355" s="207">
        <f t="shared" si="411"/>
        <v>39158</v>
      </c>
      <c r="Z1355" s="139">
        <f t="shared" si="412"/>
        <v>39158</v>
      </c>
      <c r="AA1355" s="139">
        <f t="shared" si="413"/>
        <v>0</v>
      </c>
      <c r="AC1355" s="47">
        <f t="shared" si="414"/>
        <v>19579</v>
      </c>
      <c r="AD1355" s="47">
        <f t="shared" si="415"/>
        <v>19579</v>
      </c>
      <c r="AE1355" s="47">
        <f t="shared" si="416"/>
        <v>0</v>
      </c>
      <c r="AG1355" s="47">
        <f t="shared" si="417"/>
        <v>19579</v>
      </c>
      <c r="AH1355" s="47">
        <f t="shared" si="418"/>
        <v>19579</v>
      </c>
      <c r="AI1355" s="208">
        <f t="shared" si="419"/>
        <v>0</v>
      </c>
    </row>
    <row r="1356" spans="1:35">
      <c r="A1356" t="s">
        <v>2129</v>
      </c>
      <c r="B1356" t="s">
        <v>3166</v>
      </c>
      <c r="C1356" t="s">
        <v>2731</v>
      </c>
      <c r="D1356" t="s">
        <v>4738</v>
      </c>
      <c r="F1356" t="s">
        <v>1043</v>
      </c>
      <c r="G1356" s="126">
        <f>SUMIFS('Support - Transition'!F:F,'Support - Transition'!B:B,'Step 2'!A1356,'Support - Transition'!C:C,'Step 2'!B1356,'Support - Transition'!D:D,'Step 2'!C1356,'Support - Transition'!E:E,"CIVIL")</f>
        <v>0</v>
      </c>
      <c r="H1356" s="126">
        <f>SUMIFS('Support - Transition'!F:F,'Support - Transition'!B:B,'Step 2'!A1356,'Support - Transition'!C:C,'Step 2'!B1356,'Support - Transition'!D:D,'Step 2'!C1356,'Support - Transition'!E:E,"FIRE")</f>
        <v>0</v>
      </c>
      <c r="I1356" s="126">
        <f>IF(B1356="0",SUMIFS('Support - Transition'!F:F,'Support - Transition'!J:J,'Step 2'!D1356,'Support - Transition'!E:E,"STATE UNIT"),SUMIFS('Support - Transition'!F:F,'Support - Transition'!J:J,'Step 2'!D1356))</f>
        <v>8.0370000000000007E-3</v>
      </c>
      <c r="J1356" s="126">
        <f>SUMIFS('Support - Unit Adjustments'!E:E,'Support - Unit Adjustments'!F:F,'Step 2'!D1356)</f>
        <v>0</v>
      </c>
      <c r="K1356" s="126">
        <f t="shared" si="403"/>
        <v>8.0370000000000007E-3</v>
      </c>
      <c r="L1356" s="174">
        <f>VLOOKUP(A1356,'Step 1'!$A:$E,4,FALSE)</f>
        <v>5422774</v>
      </c>
      <c r="M1356" s="47">
        <f t="shared" si="404"/>
        <v>43583</v>
      </c>
      <c r="N1356" s="177">
        <f>SUMIFS('Support - Transition'!G:G,'Support - Transition'!J:J,'Step 2'!D1356,'Support - Transition'!E:E,"2009 WELFARE ALLOCATION FACTOR")</f>
        <v>0</v>
      </c>
      <c r="O1356" s="152">
        <f t="shared" si="409"/>
        <v>0</v>
      </c>
      <c r="P1356" s="126">
        <f>IF(E1356="Y",0,SUMIFS('Support - Transition'!G:G,'Support - Transition'!J:J,'Step 2'!D1356,'Support - Transition'!E:E,"2009 SCHOOL ALLOCATION FACTOR"))</f>
        <v>0</v>
      </c>
      <c r="Q1356" s="126">
        <f>IF(E1356="Y",VLOOKUP(D1356,'Support - Unit Adjustments'!F:G,2,FALSE),0)</f>
        <v>0</v>
      </c>
      <c r="R1356" s="155">
        <f t="shared" si="421"/>
        <v>0</v>
      </c>
      <c r="S1356" s="47">
        <f t="shared" si="420"/>
        <v>0</v>
      </c>
      <c r="T1356" s="151">
        <f t="shared" si="405"/>
        <v>43583</v>
      </c>
      <c r="U1356" s="151">
        <f t="shared" si="406"/>
        <v>0</v>
      </c>
      <c r="V1356" s="139">
        <f t="shared" si="407"/>
        <v>0</v>
      </c>
      <c r="W1356" s="152">
        <f t="shared" si="410"/>
        <v>43583</v>
      </c>
      <c r="X1356" s="127" t="str">
        <f t="shared" si="408"/>
        <v/>
      </c>
      <c r="Y1356" s="207">
        <f t="shared" si="411"/>
        <v>43583</v>
      </c>
      <c r="Z1356" s="139">
        <f t="shared" si="412"/>
        <v>43583</v>
      </c>
      <c r="AA1356" s="139">
        <f t="shared" si="413"/>
        <v>0</v>
      </c>
      <c r="AC1356" s="47">
        <f t="shared" si="414"/>
        <v>21792</v>
      </c>
      <c r="AD1356" s="47">
        <f t="shared" si="415"/>
        <v>21792</v>
      </c>
      <c r="AE1356" s="47">
        <f t="shared" si="416"/>
        <v>0</v>
      </c>
      <c r="AG1356" s="47">
        <f t="shared" si="417"/>
        <v>21791</v>
      </c>
      <c r="AH1356" s="47">
        <f t="shared" si="418"/>
        <v>21791</v>
      </c>
      <c r="AI1356" s="208">
        <f t="shared" si="419"/>
        <v>0</v>
      </c>
    </row>
    <row r="1357" spans="1:35">
      <c r="A1357" t="s">
        <v>2129</v>
      </c>
      <c r="B1357" t="s">
        <v>3166</v>
      </c>
      <c r="C1357" t="s">
        <v>2732</v>
      </c>
      <c r="D1357" t="s">
        <v>4739</v>
      </c>
      <c r="F1357" t="s">
        <v>1045</v>
      </c>
      <c r="G1357" s="126">
        <f>SUMIFS('Support - Transition'!F:F,'Support - Transition'!B:B,'Step 2'!A1357,'Support - Transition'!C:C,'Step 2'!B1357,'Support - Transition'!D:D,'Step 2'!C1357,'Support - Transition'!E:E,"CIVIL")</f>
        <v>0</v>
      </c>
      <c r="H1357" s="126">
        <f>SUMIFS('Support - Transition'!F:F,'Support - Transition'!B:B,'Step 2'!A1357,'Support - Transition'!C:C,'Step 2'!B1357,'Support - Transition'!D:D,'Step 2'!C1357,'Support - Transition'!E:E,"FIRE")</f>
        <v>0</v>
      </c>
      <c r="I1357" s="126">
        <f>IF(B1357="0",SUMIFS('Support - Transition'!F:F,'Support - Transition'!J:J,'Step 2'!D1357,'Support - Transition'!E:E,"STATE UNIT"),SUMIFS('Support - Transition'!F:F,'Support - Transition'!J:J,'Step 2'!D1357))</f>
        <v>1.0399999999999999E-3</v>
      </c>
      <c r="J1357" s="126">
        <f>SUMIFS('Support - Unit Adjustments'!E:E,'Support - Unit Adjustments'!F:F,'Step 2'!D1357)</f>
        <v>0</v>
      </c>
      <c r="K1357" s="126">
        <f t="shared" si="403"/>
        <v>1.0399999999999999E-3</v>
      </c>
      <c r="L1357" s="174">
        <f>VLOOKUP(A1357,'Step 1'!$A:$E,4,FALSE)</f>
        <v>5422774</v>
      </c>
      <c r="M1357" s="47">
        <f t="shared" si="404"/>
        <v>5640</v>
      </c>
      <c r="N1357" s="177">
        <f>SUMIFS('Support - Transition'!G:G,'Support - Transition'!J:J,'Step 2'!D1357,'Support - Transition'!E:E,"2009 WELFARE ALLOCATION FACTOR")</f>
        <v>0</v>
      </c>
      <c r="O1357" s="152">
        <f t="shared" si="409"/>
        <v>0</v>
      </c>
      <c r="P1357" s="126">
        <f>IF(E1357="Y",0,SUMIFS('Support - Transition'!G:G,'Support - Transition'!J:J,'Step 2'!D1357,'Support - Transition'!E:E,"2009 SCHOOL ALLOCATION FACTOR"))</f>
        <v>0</v>
      </c>
      <c r="Q1357" s="126">
        <f>IF(E1357="Y",VLOOKUP(D1357,'Support - Unit Adjustments'!F:G,2,FALSE),0)</f>
        <v>0</v>
      </c>
      <c r="R1357" s="155">
        <f t="shared" si="421"/>
        <v>0</v>
      </c>
      <c r="S1357" s="47">
        <f t="shared" si="420"/>
        <v>0</v>
      </c>
      <c r="T1357" s="151">
        <f t="shared" si="405"/>
        <v>5640</v>
      </c>
      <c r="U1357" s="151">
        <f t="shared" si="406"/>
        <v>0</v>
      </c>
      <c r="V1357" s="139">
        <f t="shared" si="407"/>
        <v>0</v>
      </c>
      <c r="W1357" s="152">
        <f t="shared" si="410"/>
        <v>5640</v>
      </c>
      <c r="X1357" s="127" t="str">
        <f t="shared" si="408"/>
        <v/>
      </c>
      <c r="Y1357" s="207">
        <f t="shared" si="411"/>
        <v>5640</v>
      </c>
      <c r="Z1357" s="139">
        <f t="shared" si="412"/>
        <v>5640</v>
      </c>
      <c r="AA1357" s="139">
        <f t="shared" si="413"/>
        <v>0</v>
      </c>
      <c r="AC1357" s="47">
        <f t="shared" si="414"/>
        <v>2820</v>
      </c>
      <c r="AD1357" s="47">
        <f t="shared" si="415"/>
        <v>2820</v>
      </c>
      <c r="AE1357" s="47">
        <f t="shared" si="416"/>
        <v>0</v>
      </c>
      <c r="AG1357" s="47">
        <f t="shared" si="417"/>
        <v>2820</v>
      </c>
      <c r="AH1357" s="47">
        <f t="shared" si="418"/>
        <v>2820</v>
      </c>
      <c r="AI1357" s="208">
        <f t="shared" si="419"/>
        <v>0</v>
      </c>
    </row>
    <row r="1358" spans="1:35">
      <c r="A1358" t="s">
        <v>2129</v>
      </c>
      <c r="B1358" t="s">
        <v>3166</v>
      </c>
      <c r="C1358" t="s">
        <v>2733</v>
      </c>
      <c r="D1358" t="s">
        <v>4740</v>
      </c>
      <c r="F1358" t="s">
        <v>1046</v>
      </c>
      <c r="G1358" s="126">
        <f>SUMIFS('Support - Transition'!F:F,'Support - Transition'!B:B,'Step 2'!A1358,'Support - Transition'!C:C,'Step 2'!B1358,'Support - Transition'!D:D,'Step 2'!C1358,'Support - Transition'!E:E,"CIVIL")</f>
        <v>0</v>
      </c>
      <c r="H1358" s="126">
        <f>SUMIFS('Support - Transition'!F:F,'Support - Transition'!B:B,'Step 2'!A1358,'Support - Transition'!C:C,'Step 2'!B1358,'Support - Transition'!D:D,'Step 2'!C1358,'Support - Transition'!E:E,"FIRE")</f>
        <v>0</v>
      </c>
      <c r="I1358" s="126">
        <f>IF(B1358="0",SUMIFS('Support - Transition'!F:F,'Support - Transition'!J:J,'Step 2'!D1358,'Support - Transition'!E:E,"STATE UNIT"),SUMIFS('Support - Transition'!F:F,'Support - Transition'!J:J,'Step 2'!D1358))</f>
        <v>7.4200000000000004E-4</v>
      </c>
      <c r="J1358" s="126">
        <f>SUMIFS('Support - Unit Adjustments'!E:E,'Support - Unit Adjustments'!F:F,'Step 2'!D1358)</f>
        <v>0</v>
      </c>
      <c r="K1358" s="126">
        <f t="shared" si="403"/>
        <v>7.4200000000000004E-4</v>
      </c>
      <c r="L1358" s="174">
        <f>VLOOKUP(A1358,'Step 1'!$A:$E,4,FALSE)</f>
        <v>5422774</v>
      </c>
      <c r="M1358" s="47">
        <f t="shared" si="404"/>
        <v>4024</v>
      </c>
      <c r="N1358" s="177">
        <f>SUMIFS('Support - Transition'!G:G,'Support - Transition'!J:J,'Step 2'!D1358,'Support - Transition'!E:E,"2009 WELFARE ALLOCATION FACTOR")</f>
        <v>0</v>
      </c>
      <c r="O1358" s="152">
        <f t="shared" si="409"/>
        <v>0</v>
      </c>
      <c r="P1358" s="126">
        <f>IF(E1358="Y",0,SUMIFS('Support - Transition'!G:G,'Support - Transition'!J:J,'Step 2'!D1358,'Support - Transition'!E:E,"2009 SCHOOL ALLOCATION FACTOR"))</f>
        <v>0</v>
      </c>
      <c r="Q1358" s="126">
        <f>IF(E1358="Y",VLOOKUP(D1358,'Support - Unit Adjustments'!F:G,2,FALSE),0)</f>
        <v>0</v>
      </c>
      <c r="R1358" s="155">
        <f t="shared" si="421"/>
        <v>0</v>
      </c>
      <c r="S1358" s="47">
        <f t="shared" si="420"/>
        <v>0</v>
      </c>
      <c r="T1358" s="151">
        <f t="shared" si="405"/>
        <v>4024</v>
      </c>
      <c r="U1358" s="151">
        <f t="shared" si="406"/>
        <v>0</v>
      </c>
      <c r="V1358" s="139">
        <f t="shared" si="407"/>
        <v>0</v>
      </c>
      <c r="W1358" s="152">
        <f t="shared" si="410"/>
        <v>4024</v>
      </c>
      <c r="X1358" s="127" t="str">
        <f t="shared" si="408"/>
        <v/>
      </c>
      <c r="Y1358" s="207">
        <f t="shared" si="411"/>
        <v>4024</v>
      </c>
      <c r="Z1358" s="139">
        <f t="shared" si="412"/>
        <v>4024</v>
      </c>
      <c r="AA1358" s="139">
        <f t="shared" si="413"/>
        <v>0</v>
      </c>
      <c r="AC1358" s="47">
        <f t="shared" si="414"/>
        <v>2012</v>
      </c>
      <c r="AD1358" s="47">
        <f t="shared" si="415"/>
        <v>2012</v>
      </c>
      <c r="AE1358" s="47">
        <f t="shared" si="416"/>
        <v>0</v>
      </c>
      <c r="AG1358" s="47">
        <f t="shared" si="417"/>
        <v>2012</v>
      </c>
      <c r="AH1358" s="47">
        <f t="shared" si="418"/>
        <v>2012</v>
      </c>
      <c r="AI1358" s="208">
        <f t="shared" si="419"/>
        <v>0</v>
      </c>
    </row>
    <row r="1359" spans="1:35">
      <c r="A1359" t="s">
        <v>2129</v>
      </c>
      <c r="B1359" t="s">
        <v>3166</v>
      </c>
      <c r="C1359" t="s">
        <v>4741</v>
      </c>
      <c r="D1359" t="s">
        <v>4742</v>
      </c>
      <c r="F1359" t="s">
        <v>1044</v>
      </c>
      <c r="G1359" s="126">
        <f>SUMIFS('Support - Transition'!F:F,'Support - Transition'!B:B,'Step 2'!A1359,'Support - Transition'!C:C,'Step 2'!B1359,'Support - Transition'!D:D,'Step 2'!C1359,'Support - Transition'!E:E,"CIVIL")</f>
        <v>0</v>
      </c>
      <c r="H1359" s="126">
        <f>SUMIFS('Support - Transition'!F:F,'Support - Transition'!B:B,'Step 2'!A1359,'Support - Transition'!C:C,'Step 2'!B1359,'Support - Transition'!D:D,'Step 2'!C1359,'Support - Transition'!E:E,"FIRE")</f>
        <v>0</v>
      </c>
      <c r="I1359" s="126">
        <f>IF(B1359="0",SUMIFS('Support - Transition'!F:F,'Support - Transition'!J:J,'Step 2'!D1359,'Support - Transition'!E:E,"STATE UNIT"),SUMIFS('Support - Transition'!F:F,'Support - Transition'!J:J,'Step 2'!D1359))</f>
        <v>9.4219999999999998E-3</v>
      </c>
      <c r="J1359" s="126">
        <f>SUMIFS('Support - Unit Adjustments'!E:E,'Support - Unit Adjustments'!F:F,'Step 2'!D1359)</f>
        <v>0</v>
      </c>
      <c r="K1359" s="126">
        <f t="shared" si="403"/>
        <v>9.4219999999999998E-3</v>
      </c>
      <c r="L1359" s="174">
        <f>VLOOKUP(A1359,'Step 1'!$A:$E,4,FALSE)</f>
        <v>5422774</v>
      </c>
      <c r="M1359" s="47">
        <f t="shared" si="404"/>
        <v>51093</v>
      </c>
      <c r="N1359" s="177">
        <f>SUMIFS('Support - Transition'!G:G,'Support - Transition'!J:J,'Step 2'!D1359,'Support - Transition'!E:E,"2009 WELFARE ALLOCATION FACTOR")</f>
        <v>0</v>
      </c>
      <c r="O1359" s="152">
        <f t="shared" si="409"/>
        <v>0</v>
      </c>
      <c r="P1359" s="126">
        <f>IF(E1359="Y",0,SUMIFS('Support - Transition'!G:G,'Support - Transition'!J:J,'Step 2'!D1359,'Support - Transition'!E:E,"2009 SCHOOL ALLOCATION FACTOR"))</f>
        <v>0</v>
      </c>
      <c r="Q1359" s="126">
        <f>IF(E1359="Y",VLOOKUP(D1359,'Support - Unit Adjustments'!F:G,2,FALSE),0)</f>
        <v>0</v>
      </c>
      <c r="R1359" s="155">
        <f t="shared" si="421"/>
        <v>0</v>
      </c>
      <c r="S1359" s="47">
        <f t="shared" si="420"/>
        <v>0</v>
      </c>
      <c r="T1359" s="151">
        <f t="shared" si="405"/>
        <v>51093</v>
      </c>
      <c r="U1359" s="151">
        <f t="shared" si="406"/>
        <v>0</v>
      </c>
      <c r="V1359" s="139">
        <f t="shared" si="407"/>
        <v>0</v>
      </c>
      <c r="W1359" s="152">
        <f t="shared" si="410"/>
        <v>51093</v>
      </c>
      <c r="X1359" s="127" t="str">
        <f t="shared" si="408"/>
        <v/>
      </c>
      <c r="Y1359" s="207">
        <f t="shared" si="411"/>
        <v>51093</v>
      </c>
      <c r="Z1359" s="139">
        <f t="shared" si="412"/>
        <v>51093</v>
      </c>
      <c r="AA1359" s="139">
        <f t="shared" si="413"/>
        <v>0</v>
      </c>
      <c r="AC1359" s="47">
        <f t="shared" si="414"/>
        <v>25547</v>
      </c>
      <c r="AD1359" s="47">
        <f t="shared" si="415"/>
        <v>25547</v>
      </c>
      <c r="AE1359" s="47">
        <f t="shared" si="416"/>
        <v>0</v>
      </c>
      <c r="AG1359" s="47">
        <f t="shared" si="417"/>
        <v>25546</v>
      </c>
      <c r="AH1359" s="47">
        <f t="shared" si="418"/>
        <v>25546</v>
      </c>
      <c r="AI1359" s="208">
        <f t="shared" si="419"/>
        <v>0</v>
      </c>
    </row>
    <row r="1360" spans="1:35">
      <c r="A1360" t="s">
        <v>2129</v>
      </c>
      <c r="B1360" t="s">
        <v>3166</v>
      </c>
      <c r="C1360" t="s">
        <v>4743</v>
      </c>
      <c r="D1360" t="s">
        <v>4744</v>
      </c>
      <c r="F1360" t="s">
        <v>1040</v>
      </c>
      <c r="G1360" s="126">
        <f>SUMIFS('Support - Transition'!F:F,'Support - Transition'!B:B,'Step 2'!A1360,'Support - Transition'!C:C,'Step 2'!B1360,'Support - Transition'!D:D,'Step 2'!C1360,'Support - Transition'!E:E,"CIVIL")</f>
        <v>0</v>
      </c>
      <c r="H1360" s="126">
        <f>SUMIFS('Support - Transition'!F:F,'Support - Transition'!B:B,'Step 2'!A1360,'Support - Transition'!C:C,'Step 2'!B1360,'Support - Transition'!D:D,'Step 2'!C1360,'Support - Transition'!E:E,"FIRE")</f>
        <v>0</v>
      </c>
      <c r="I1360" s="126">
        <f>IF(B1360="0",SUMIFS('Support - Transition'!F:F,'Support - Transition'!J:J,'Step 2'!D1360,'Support - Transition'!E:E,"STATE UNIT"),SUMIFS('Support - Transition'!F:F,'Support - Transition'!J:J,'Step 2'!D1360))</f>
        <v>1.2960000000000001E-3</v>
      </c>
      <c r="J1360" s="126">
        <f>SUMIFS('Support - Unit Adjustments'!E:E,'Support - Unit Adjustments'!F:F,'Step 2'!D1360)</f>
        <v>0</v>
      </c>
      <c r="K1360" s="126">
        <f t="shared" si="403"/>
        <v>1.2960000000000001E-3</v>
      </c>
      <c r="L1360" s="174">
        <f>VLOOKUP(A1360,'Step 1'!$A:$E,4,FALSE)</f>
        <v>5422774</v>
      </c>
      <c r="M1360" s="47">
        <f t="shared" si="404"/>
        <v>7028</v>
      </c>
      <c r="N1360" s="177">
        <f>SUMIFS('Support - Transition'!G:G,'Support - Transition'!J:J,'Step 2'!D1360,'Support - Transition'!E:E,"2009 WELFARE ALLOCATION FACTOR")</f>
        <v>0</v>
      </c>
      <c r="O1360" s="152">
        <f t="shared" si="409"/>
        <v>0</v>
      </c>
      <c r="P1360" s="126">
        <f>IF(E1360="Y",0,SUMIFS('Support - Transition'!G:G,'Support - Transition'!J:J,'Step 2'!D1360,'Support - Transition'!E:E,"2009 SCHOOL ALLOCATION FACTOR"))</f>
        <v>0</v>
      </c>
      <c r="Q1360" s="126">
        <f>IF(E1360="Y",VLOOKUP(D1360,'Support - Unit Adjustments'!F:G,2,FALSE),0)</f>
        <v>0</v>
      </c>
      <c r="R1360" s="155">
        <f t="shared" si="421"/>
        <v>0</v>
      </c>
      <c r="S1360" s="47">
        <f t="shared" si="420"/>
        <v>0</v>
      </c>
      <c r="T1360" s="151">
        <f t="shared" si="405"/>
        <v>7028</v>
      </c>
      <c r="U1360" s="151">
        <f t="shared" si="406"/>
        <v>0</v>
      </c>
      <c r="V1360" s="139">
        <f t="shared" si="407"/>
        <v>0</v>
      </c>
      <c r="W1360" s="152">
        <f t="shared" si="410"/>
        <v>7028</v>
      </c>
      <c r="X1360" s="127" t="str">
        <f t="shared" si="408"/>
        <v/>
      </c>
      <c r="Y1360" s="207">
        <f t="shared" si="411"/>
        <v>7028</v>
      </c>
      <c r="Z1360" s="139">
        <f t="shared" si="412"/>
        <v>7028</v>
      </c>
      <c r="AA1360" s="139">
        <f t="shared" si="413"/>
        <v>0</v>
      </c>
      <c r="AC1360" s="47">
        <f t="shared" si="414"/>
        <v>3514</v>
      </c>
      <c r="AD1360" s="47">
        <f t="shared" si="415"/>
        <v>3514</v>
      </c>
      <c r="AE1360" s="47">
        <f t="shared" si="416"/>
        <v>0</v>
      </c>
      <c r="AG1360" s="47">
        <f t="shared" si="417"/>
        <v>3514</v>
      </c>
      <c r="AH1360" s="47">
        <f t="shared" si="418"/>
        <v>3514</v>
      </c>
      <c r="AI1360" s="208">
        <f t="shared" si="419"/>
        <v>0</v>
      </c>
    </row>
    <row r="1361" spans="1:35">
      <c r="A1361" t="s">
        <v>2129</v>
      </c>
      <c r="B1361" t="s">
        <v>3170</v>
      </c>
      <c r="C1361" t="s">
        <v>2734</v>
      </c>
      <c r="D1361" t="s">
        <v>4745</v>
      </c>
      <c r="F1361" t="s">
        <v>1049</v>
      </c>
      <c r="G1361" s="126">
        <f>SUMIFS('Support - Transition'!F:F,'Support - Transition'!B:B,'Step 2'!A1361,'Support - Transition'!C:C,'Step 2'!B1361,'Support - Transition'!D:D,'Step 2'!C1361,'Support - Transition'!E:E,"CIVIL")</f>
        <v>0</v>
      </c>
      <c r="H1361" s="126">
        <f>SUMIFS('Support - Transition'!F:F,'Support - Transition'!B:B,'Step 2'!A1361,'Support - Transition'!C:C,'Step 2'!B1361,'Support - Transition'!D:D,'Step 2'!C1361,'Support - Transition'!E:E,"FIRE")</f>
        <v>0</v>
      </c>
      <c r="I1361" s="126">
        <f>IF(B1361="0",SUMIFS('Support - Transition'!F:F,'Support - Transition'!J:J,'Step 2'!D1361,'Support - Transition'!E:E,"STATE UNIT"),SUMIFS('Support - Transition'!F:F,'Support - Transition'!J:J,'Step 2'!D1361))</f>
        <v>1.0565E-2</v>
      </c>
      <c r="J1361" s="126">
        <f>SUMIFS('Support - Unit Adjustments'!E:E,'Support - Unit Adjustments'!F:F,'Step 2'!D1361)</f>
        <v>0</v>
      </c>
      <c r="K1361" s="126">
        <f t="shared" si="403"/>
        <v>1.0565E-2</v>
      </c>
      <c r="L1361" s="174">
        <f>VLOOKUP(A1361,'Step 1'!$A:$E,4,FALSE)</f>
        <v>5422774</v>
      </c>
      <c r="M1361" s="47">
        <f t="shared" si="404"/>
        <v>57292</v>
      </c>
      <c r="N1361" s="177">
        <f>SUMIFS('Support - Transition'!G:G,'Support - Transition'!J:J,'Step 2'!D1361,'Support - Transition'!E:E,"2009 WELFARE ALLOCATION FACTOR")</f>
        <v>0</v>
      </c>
      <c r="O1361" s="152">
        <f t="shared" si="409"/>
        <v>0</v>
      </c>
      <c r="P1361" s="126">
        <f>IF(E1361="Y",0,SUMIFS('Support - Transition'!G:G,'Support - Transition'!J:J,'Step 2'!D1361,'Support - Transition'!E:E,"2009 SCHOOL ALLOCATION FACTOR"))</f>
        <v>0</v>
      </c>
      <c r="Q1361" s="126">
        <f>IF(E1361="Y",VLOOKUP(D1361,'Support - Unit Adjustments'!F:G,2,FALSE),0)</f>
        <v>0</v>
      </c>
      <c r="R1361" s="155">
        <f t="shared" si="421"/>
        <v>0</v>
      </c>
      <c r="S1361" s="47">
        <f t="shared" si="420"/>
        <v>0</v>
      </c>
      <c r="T1361" s="151">
        <f t="shared" si="405"/>
        <v>57292</v>
      </c>
      <c r="U1361" s="151">
        <f t="shared" si="406"/>
        <v>0</v>
      </c>
      <c r="V1361" s="139">
        <f t="shared" si="407"/>
        <v>0</v>
      </c>
      <c r="W1361" s="152">
        <f t="shared" si="410"/>
        <v>57292</v>
      </c>
      <c r="X1361" s="127" t="str">
        <f t="shared" si="408"/>
        <v/>
      </c>
      <c r="Y1361" s="207">
        <f t="shared" si="411"/>
        <v>57292</v>
      </c>
      <c r="Z1361" s="139">
        <f t="shared" si="412"/>
        <v>57292</v>
      </c>
      <c r="AA1361" s="139">
        <f t="shared" si="413"/>
        <v>0</v>
      </c>
      <c r="AC1361" s="47">
        <f t="shared" si="414"/>
        <v>28646</v>
      </c>
      <c r="AD1361" s="47">
        <f t="shared" si="415"/>
        <v>28646</v>
      </c>
      <c r="AE1361" s="47">
        <f t="shared" si="416"/>
        <v>0</v>
      </c>
      <c r="AG1361" s="47">
        <f t="shared" si="417"/>
        <v>28646</v>
      </c>
      <c r="AH1361" s="47">
        <f t="shared" si="418"/>
        <v>28646</v>
      </c>
      <c r="AI1361" s="208">
        <f t="shared" si="419"/>
        <v>0</v>
      </c>
    </row>
    <row r="1362" spans="1:35">
      <c r="A1362" t="s">
        <v>2129</v>
      </c>
      <c r="B1362" t="s">
        <v>3170</v>
      </c>
      <c r="C1362" t="s">
        <v>2735</v>
      </c>
      <c r="D1362" t="s">
        <v>4746</v>
      </c>
      <c r="F1362" t="s">
        <v>1055</v>
      </c>
      <c r="G1362" s="126">
        <f>SUMIFS('Support - Transition'!F:F,'Support - Transition'!B:B,'Step 2'!A1362,'Support - Transition'!C:C,'Step 2'!B1362,'Support - Transition'!D:D,'Step 2'!C1362,'Support - Transition'!E:E,"CIVIL")</f>
        <v>0</v>
      </c>
      <c r="H1362" s="126">
        <f>SUMIFS('Support - Transition'!F:F,'Support - Transition'!B:B,'Step 2'!A1362,'Support - Transition'!C:C,'Step 2'!B1362,'Support - Transition'!D:D,'Step 2'!C1362,'Support - Transition'!E:E,"FIRE")</f>
        <v>0</v>
      </c>
      <c r="I1362" s="126">
        <f>IF(B1362="0",SUMIFS('Support - Transition'!F:F,'Support - Transition'!J:J,'Step 2'!D1362,'Support - Transition'!E:E,"STATE UNIT"),SUMIFS('Support - Transition'!F:F,'Support - Transition'!J:J,'Step 2'!D1362))</f>
        <v>1.3146E-2</v>
      </c>
      <c r="J1362" s="126">
        <f>SUMIFS('Support - Unit Adjustments'!E:E,'Support - Unit Adjustments'!F:F,'Step 2'!D1362)</f>
        <v>0</v>
      </c>
      <c r="K1362" s="126">
        <f t="shared" si="403"/>
        <v>1.3146E-2</v>
      </c>
      <c r="L1362" s="174">
        <f>VLOOKUP(A1362,'Step 1'!$A:$E,4,FALSE)</f>
        <v>5422774</v>
      </c>
      <c r="M1362" s="47">
        <f t="shared" si="404"/>
        <v>71288</v>
      </c>
      <c r="N1362" s="177">
        <f>SUMIFS('Support - Transition'!G:G,'Support - Transition'!J:J,'Step 2'!D1362,'Support - Transition'!E:E,"2009 WELFARE ALLOCATION FACTOR")</f>
        <v>0</v>
      </c>
      <c r="O1362" s="152">
        <f t="shared" si="409"/>
        <v>0</v>
      </c>
      <c r="P1362" s="126">
        <f>IF(E1362="Y",0,SUMIFS('Support - Transition'!G:G,'Support - Transition'!J:J,'Step 2'!D1362,'Support - Transition'!E:E,"2009 SCHOOL ALLOCATION FACTOR"))</f>
        <v>0</v>
      </c>
      <c r="Q1362" s="126">
        <f>IF(E1362="Y",VLOOKUP(D1362,'Support - Unit Adjustments'!F:G,2,FALSE),0)</f>
        <v>0</v>
      </c>
      <c r="R1362" s="155">
        <f t="shared" si="421"/>
        <v>0</v>
      </c>
      <c r="S1362" s="47">
        <f t="shared" si="420"/>
        <v>0</v>
      </c>
      <c r="T1362" s="151">
        <f t="shared" si="405"/>
        <v>71288</v>
      </c>
      <c r="U1362" s="151">
        <f t="shared" si="406"/>
        <v>0</v>
      </c>
      <c r="V1362" s="139">
        <f t="shared" si="407"/>
        <v>0</v>
      </c>
      <c r="W1362" s="152">
        <f t="shared" si="410"/>
        <v>71288</v>
      </c>
      <c r="X1362" s="127" t="str">
        <f t="shared" si="408"/>
        <v/>
      </c>
      <c r="Y1362" s="207">
        <f t="shared" si="411"/>
        <v>71288</v>
      </c>
      <c r="Z1362" s="139">
        <f t="shared" si="412"/>
        <v>71288</v>
      </c>
      <c r="AA1362" s="139">
        <f t="shared" si="413"/>
        <v>0</v>
      </c>
      <c r="AC1362" s="47">
        <f t="shared" si="414"/>
        <v>35644</v>
      </c>
      <c r="AD1362" s="47">
        <f t="shared" si="415"/>
        <v>35644</v>
      </c>
      <c r="AE1362" s="47">
        <f t="shared" si="416"/>
        <v>0</v>
      </c>
      <c r="AG1362" s="47">
        <f t="shared" si="417"/>
        <v>35644</v>
      </c>
      <c r="AH1362" s="47">
        <f t="shared" si="418"/>
        <v>35644</v>
      </c>
      <c r="AI1362" s="208">
        <f t="shared" si="419"/>
        <v>0</v>
      </c>
    </row>
    <row r="1363" spans="1:35">
      <c r="A1363" t="s">
        <v>2129</v>
      </c>
      <c r="B1363" t="s">
        <v>3170</v>
      </c>
      <c r="C1363" t="s">
        <v>2692</v>
      </c>
      <c r="D1363" t="s">
        <v>4747</v>
      </c>
      <c r="F1363" t="s">
        <v>1056</v>
      </c>
      <c r="G1363" s="126">
        <f>SUMIFS('Support - Transition'!F:F,'Support - Transition'!B:B,'Step 2'!A1363,'Support - Transition'!C:C,'Step 2'!B1363,'Support - Transition'!D:D,'Step 2'!C1363,'Support - Transition'!E:E,"CIVIL")</f>
        <v>0</v>
      </c>
      <c r="H1363" s="126">
        <f>SUMIFS('Support - Transition'!F:F,'Support - Transition'!B:B,'Step 2'!A1363,'Support - Transition'!C:C,'Step 2'!B1363,'Support - Transition'!D:D,'Step 2'!C1363,'Support - Transition'!E:E,"FIRE")</f>
        <v>0</v>
      </c>
      <c r="I1363" s="126">
        <f>IF(B1363="0",SUMIFS('Support - Transition'!F:F,'Support - Transition'!J:J,'Step 2'!D1363,'Support - Transition'!E:E,"STATE UNIT"),SUMIFS('Support - Transition'!F:F,'Support - Transition'!J:J,'Step 2'!D1363))</f>
        <v>1.0809999999999999E-3</v>
      </c>
      <c r="J1363" s="126">
        <f>SUMIFS('Support - Unit Adjustments'!E:E,'Support - Unit Adjustments'!F:F,'Step 2'!D1363)</f>
        <v>0</v>
      </c>
      <c r="K1363" s="126">
        <f t="shared" si="403"/>
        <v>1.0809999999999999E-3</v>
      </c>
      <c r="L1363" s="174">
        <f>VLOOKUP(A1363,'Step 1'!$A:$E,4,FALSE)</f>
        <v>5422774</v>
      </c>
      <c r="M1363" s="47">
        <f t="shared" si="404"/>
        <v>5862</v>
      </c>
      <c r="N1363" s="177">
        <f>SUMIFS('Support - Transition'!G:G,'Support - Transition'!J:J,'Step 2'!D1363,'Support - Transition'!E:E,"2009 WELFARE ALLOCATION FACTOR")</f>
        <v>0</v>
      </c>
      <c r="O1363" s="152">
        <f t="shared" si="409"/>
        <v>0</v>
      </c>
      <c r="P1363" s="126">
        <f>IF(E1363="Y",0,SUMIFS('Support - Transition'!G:G,'Support - Transition'!J:J,'Step 2'!D1363,'Support - Transition'!E:E,"2009 SCHOOL ALLOCATION FACTOR"))</f>
        <v>0</v>
      </c>
      <c r="Q1363" s="126">
        <f>IF(E1363="Y",VLOOKUP(D1363,'Support - Unit Adjustments'!F:G,2,FALSE),0)</f>
        <v>0</v>
      </c>
      <c r="R1363" s="155">
        <f t="shared" si="421"/>
        <v>0</v>
      </c>
      <c r="S1363" s="47">
        <f t="shared" si="420"/>
        <v>0</v>
      </c>
      <c r="T1363" s="151">
        <f t="shared" si="405"/>
        <v>5862</v>
      </c>
      <c r="U1363" s="151">
        <f t="shared" si="406"/>
        <v>0</v>
      </c>
      <c r="V1363" s="139">
        <f t="shared" si="407"/>
        <v>0</v>
      </c>
      <c r="W1363" s="152">
        <f t="shared" si="410"/>
        <v>5862</v>
      </c>
      <c r="X1363" s="127" t="str">
        <f t="shared" si="408"/>
        <v/>
      </c>
      <c r="Y1363" s="207">
        <f t="shared" si="411"/>
        <v>5862</v>
      </c>
      <c r="Z1363" s="139">
        <f t="shared" si="412"/>
        <v>5862</v>
      </c>
      <c r="AA1363" s="139">
        <f t="shared" si="413"/>
        <v>0</v>
      </c>
      <c r="AC1363" s="47">
        <f t="shared" si="414"/>
        <v>2931</v>
      </c>
      <c r="AD1363" s="47">
        <f t="shared" si="415"/>
        <v>2931</v>
      </c>
      <c r="AE1363" s="47">
        <f t="shared" si="416"/>
        <v>0</v>
      </c>
      <c r="AG1363" s="47">
        <f t="shared" si="417"/>
        <v>2931</v>
      </c>
      <c r="AH1363" s="47">
        <f t="shared" si="418"/>
        <v>2931</v>
      </c>
      <c r="AI1363" s="208">
        <f t="shared" si="419"/>
        <v>0</v>
      </c>
    </row>
    <row r="1364" spans="1:35">
      <c r="A1364" t="s">
        <v>2129</v>
      </c>
      <c r="B1364" t="s">
        <v>3170</v>
      </c>
      <c r="C1364" t="s">
        <v>2736</v>
      </c>
      <c r="D1364" t="s">
        <v>4748</v>
      </c>
      <c r="F1364" t="s">
        <v>1064</v>
      </c>
      <c r="G1364" s="126">
        <f>SUMIFS('Support - Transition'!F:F,'Support - Transition'!B:B,'Step 2'!A1364,'Support - Transition'!C:C,'Step 2'!B1364,'Support - Transition'!D:D,'Step 2'!C1364,'Support - Transition'!E:E,"CIVIL")</f>
        <v>0</v>
      </c>
      <c r="H1364" s="126">
        <f>SUMIFS('Support - Transition'!F:F,'Support - Transition'!B:B,'Step 2'!A1364,'Support - Transition'!C:C,'Step 2'!B1364,'Support - Transition'!D:D,'Step 2'!C1364,'Support - Transition'!E:E,"FIRE")</f>
        <v>0</v>
      </c>
      <c r="I1364" s="126">
        <f>IF(B1364="0",SUMIFS('Support - Transition'!F:F,'Support - Transition'!J:J,'Step 2'!D1364,'Support - Transition'!E:E,"STATE UNIT"),SUMIFS('Support - Transition'!F:F,'Support - Transition'!J:J,'Step 2'!D1364))</f>
        <v>2.6459999999994821E-3</v>
      </c>
      <c r="J1364" s="126">
        <f>SUMIFS('Support - Unit Adjustments'!E:E,'Support - Unit Adjustments'!F:F,'Step 2'!D1364)</f>
        <v>0</v>
      </c>
      <c r="K1364" s="126">
        <f t="shared" si="403"/>
        <v>2.6459999999994821E-3</v>
      </c>
      <c r="L1364" s="174">
        <f>VLOOKUP(A1364,'Step 1'!$A:$E,4,FALSE)</f>
        <v>5422774</v>
      </c>
      <c r="M1364" s="47">
        <f t="shared" si="404"/>
        <v>14349</v>
      </c>
      <c r="N1364" s="177">
        <f>SUMIFS('Support - Transition'!G:G,'Support - Transition'!J:J,'Step 2'!D1364,'Support - Transition'!E:E,"2009 WELFARE ALLOCATION FACTOR")</f>
        <v>0</v>
      </c>
      <c r="O1364" s="152">
        <f t="shared" si="409"/>
        <v>0</v>
      </c>
      <c r="P1364" s="126">
        <f>IF(E1364="Y",0,SUMIFS('Support - Transition'!G:G,'Support - Transition'!J:J,'Step 2'!D1364,'Support - Transition'!E:E,"2009 SCHOOL ALLOCATION FACTOR"))</f>
        <v>0</v>
      </c>
      <c r="Q1364" s="126">
        <f>IF(E1364="Y",VLOOKUP(D1364,'Support - Unit Adjustments'!F:G,2,FALSE),0)</f>
        <v>0</v>
      </c>
      <c r="R1364" s="155">
        <f t="shared" si="421"/>
        <v>0</v>
      </c>
      <c r="S1364" s="47">
        <f t="shared" si="420"/>
        <v>0</v>
      </c>
      <c r="T1364" s="151">
        <f t="shared" si="405"/>
        <v>14349</v>
      </c>
      <c r="U1364" s="151">
        <f t="shared" si="406"/>
        <v>0</v>
      </c>
      <c r="V1364" s="139">
        <f t="shared" si="407"/>
        <v>0</v>
      </c>
      <c r="W1364" s="152">
        <f t="shared" si="410"/>
        <v>14349</v>
      </c>
      <c r="X1364" s="127" t="str">
        <f t="shared" si="408"/>
        <v/>
      </c>
      <c r="Y1364" s="207">
        <f t="shared" si="411"/>
        <v>14349</v>
      </c>
      <c r="Z1364" s="139">
        <f t="shared" si="412"/>
        <v>14349</v>
      </c>
      <c r="AA1364" s="139">
        <f t="shared" si="413"/>
        <v>0</v>
      </c>
      <c r="AC1364" s="47">
        <f t="shared" si="414"/>
        <v>7175</v>
      </c>
      <c r="AD1364" s="47">
        <f t="shared" si="415"/>
        <v>7175</v>
      </c>
      <c r="AE1364" s="47">
        <f t="shared" si="416"/>
        <v>0</v>
      </c>
      <c r="AG1364" s="47">
        <f t="shared" si="417"/>
        <v>7174</v>
      </c>
      <c r="AH1364" s="47">
        <f t="shared" si="418"/>
        <v>7174</v>
      </c>
      <c r="AI1364" s="208">
        <f t="shared" si="419"/>
        <v>0</v>
      </c>
    </row>
    <row r="1365" spans="1:35">
      <c r="A1365" t="s">
        <v>2129</v>
      </c>
      <c r="B1365" t="s">
        <v>3170</v>
      </c>
      <c r="C1365" t="s">
        <v>2737</v>
      </c>
      <c r="D1365" t="s">
        <v>4749</v>
      </c>
      <c r="F1365" t="s">
        <v>1050</v>
      </c>
      <c r="G1365" s="126">
        <f>SUMIFS('Support - Transition'!F:F,'Support - Transition'!B:B,'Step 2'!A1365,'Support - Transition'!C:C,'Step 2'!B1365,'Support - Transition'!D:D,'Step 2'!C1365,'Support - Transition'!E:E,"CIVIL")</f>
        <v>0</v>
      </c>
      <c r="H1365" s="126">
        <f>SUMIFS('Support - Transition'!F:F,'Support - Transition'!B:B,'Step 2'!A1365,'Support - Transition'!C:C,'Step 2'!B1365,'Support - Transition'!D:D,'Step 2'!C1365,'Support - Transition'!E:E,"FIRE")</f>
        <v>0</v>
      </c>
      <c r="I1365" s="126">
        <f>IF(B1365="0",SUMIFS('Support - Transition'!F:F,'Support - Transition'!J:J,'Step 2'!D1365,'Support - Transition'!E:E,"STATE UNIT"),SUMIFS('Support - Transition'!F:F,'Support - Transition'!J:J,'Step 2'!D1365))</f>
        <v>1.825E-3</v>
      </c>
      <c r="J1365" s="126">
        <f>SUMIFS('Support - Unit Adjustments'!E:E,'Support - Unit Adjustments'!F:F,'Step 2'!D1365)</f>
        <v>0</v>
      </c>
      <c r="K1365" s="126">
        <f t="shared" si="403"/>
        <v>1.825E-3</v>
      </c>
      <c r="L1365" s="174">
        <f>VLOOKUP(A1365,'Step 1'!$A:$E,4,FALSE)</f>
        <v>5422774</v>
      </c>
      <c r="M1365" s="47">
        <f t="shared" si="404"/>
        <v>9897</v>
      </c>
      <c r="N1365" s="177">
        <f>SUMIFS('Support - Transition'!G:G,'Support - Transition'!J:J,'Step 2'!D1365,'Support - Transition'!E:E,"2009 WELFARE ALLOCATION FACTOR")</f>
        <v>0</v>
      </c>
      <c r="O1365" s="152">
        <f t="shared" si="409"/>
        <v>0</v>
      </c>
      <c r="P1365" s="126">
        <f>IF(E1365="Y",0,SUMIFS('Support - Transition'!G:G,'Support - Transition'!J:J,'Step 2'!D1365,'Support - Transition'!E:E,"2009 SCHOOL ALLOCATION FACTOR"))</f>
        <v>0</v>
      </c>
      <c r="Q1365" s="126">
        <f>IF(E1365="Y",VLOOKUP(D1365,'Support - Unit Adjustments'!F:G,2,FALSE),0)</f>
        <v>0</v>
      </c>
      <c r="R1365" s="155">
        <f t="shared" si="421"/>
        <v>0</v>
      </c>
      <c r="S1365" s="47">
        <f t="shared" si="420"/>
        <v>0</v>
      </c>
      <c r="T1365" s="151">
        <f t="shared" si="405"/>
        <v>9897</v>
      </c>
      <c r="U1365" s="151">
        <f t="shared" si="406"/>
        <v>0</v>
      </c>
      <c r="V1365" s="139">
        <f t="shared" si="407"/>
        <v>0</v>
      </c>
      <c r="W1365" s="152">
        <f t="shared" si="410"/>
        <v>9897</v>
      </c>
      <c r="X1365" s="127" t="str">
        <f t="shared" si="408"/>
        <v/>
      </c>
      <c r="Y1365" s="207">
        <f t="shared" si="411"/>
        <v>9897</v>
      </c>
      <c r="Z1365" s="139">
        <f t="shared" si="412"/>
        <v>9897</v>
      </c>
      <c r="AA1365" s="139">
        <f t="shared" si="413"/>
        <v>0</v>
      </c>
      <c r="AC1365" s="47">
        <f t="shared" si="414"/>
        <v>4949</v>
      </c>
      <c r="AD1365" s="47">
        <f t="shared" si="415"/>
        <v>4949</v>
      </c>
      <c r="AE1365" s="47">
        <f t="shared" si="416"/>
        <v>0</v>
      </c>
      <c r="AG1365" s="47">
        <f t="shared" si="417"/>
        <v>4948</v>
      </c>
      <c r="AH1365" s="47">
        <f t="shared" si="418"/>
        <v>4948</v>
      </c>
      <c r="AI1365" s="208">
        <f t="shared" si="419"/>
        <v>0</v>
      </c>
    </row>
    <row r="1366" spans="1:35">
      <c r="A1366" t="s">
        <v>2129</v>
      </c>
      <c r="B1366" t="s">
        <v>3170</v>
      </c>
      <c r="C1366" t="s">
        <v>2738</v>
      </c>
      <c r="D1366" t="s">
        <v>4750</v>
      </c>
      <c r="F1366" t="s">
        <v>1052</v>
      </c>
      <c r="G1366" s="126">
        <f>SUMIFS('Support - Transition'!F:F,'Support - Transition'!B:B,'Step 2'!A1366,'Support - Transition'!C:C,'Step 2'!B1366,'Support - Transition'!D:D,'Step 2'!C1366,'Support - Transition'!E:E,"CIVIL")</f>
        <v>0</v>
      </c>
      <c r="H1366" s="126">
        <f>SUMIFS('Support - Transition'!F:F,'Support - Transition'!B:B,'Step 2'!A1366,'Support - Transition'!C:C,'Step 2'!B1366,'Support - Transition'!D:D,'Step 2'!C1366,'Support - Transition'!E:E,"FIRE")</f>
        <v>0</v>
      </c>
      <c r="I1366" s="126">
        <f>IF(B1366="0",SUMIFS('Support - Transition'!F:F,'Support - Transition'!J:J,'Step 2'!D1366,'Support - Transition'!E:E,"STATE UNIT"),SUMIFS('Support - Transition'!F:F,'Support - Transition'!J:J,'Step 2'!D1366))</f>
        <v>2.8699999999999998E-4</v>
      </c>
      <c r="J1366" s="126">
        <f>SUMIFS('Support - Unit Adjustments'!E:E,'Support - Unit Adjustments'!F:F,'Step 2'!D1366)</f>
        <v>0</v>
      </c>
      <c r="K1366" s="126">
        <f t="shared" si="403"/>
        <v>2.8699999999999998E-4</v>
      </c>
      <c r="L1366" s="174">
        <f>VLOOKUP(A1366,'Step 1'!$A:$E,4,FALSE)</f>
        <v>5422774</v>
      </c>
      <c r="M1366" s="47">
        <f t="shared" si="404"/>
        <v>1556</v>
      </c>
      <c r="N1366" s="177">
        <f>SUMIFS('Support - Transition'!G:G,'Support - Transition'!J:J,'Step 2'!D1366,'Support - Transition'!E:E,"2009 WELFARE ALLOCATION FACTOR")</f>
        <v>0</v>
      </c>
      <c r="O1366" s="152">
        <f t="shared" si="409"/>
        <v>0</v>
      </c>
      <c r="P1366" s="126">
        <f>IF(E1366="Y",0,SUMIFS('Support - Transition'!G:G,'Support - Transition'!J:J,'Step 2'!D1366,'Support - Transition'!E:E,"2009 SCHOOL ALLOCATION FACTOR"))</f>
        <v>0</v>
      </c>
      <c r="Q1366" s="126">
        <f>IF(E1366="Y",VLOOKUP(D1366,'Support - Unit Adjustments'!F:G,2,FALSE),0)</f>
        <v>0</v>
      </c>
      <c r="R1366" s="155">
        <f t="shared" si="421"/>
        <v>0</v>
      </c>
      <c r="S1366" s="47">
        <f t="shared" si="420"/>
        <v>0</v>
      </c>
      <c r="T1366" s="151">
        <f t="shared" si="405"/>
        <v>1556</v>
      </c>
      <c r="U1366" s="151">
        <f t="shared" si="406"/>
        <v>0</v>
      </c>
      <c r="V1366" s="139">
        <f t="shared" si="407"/>
        <v>0</v>
      </c>
      <c r="W1366" s="152">
        <f t="shared" si="410"/>
        <v>1556</v>
      </c>
      <c r="X1366" s="127" t="str">
        <f t="shared" si="408"/>
        <v/>
      </c>
      <c r="Y1366" s="207">
        <f t="shared" si="411"/>
        <v>1556</v>
      </c>
      <c r="Z1366" s="139">
        <f t="shared" si="412"/>
        <v>1556</v>
      </c>
      <c r="AA1366" s="139">
        <f t="shared" si="413"/>
        <v>0</v>
      </c>
      <c r="AC1366" s="47">
        <f t="shared" si="414"/>
        <v>778</v>
      </c>
      <c r="AD1366" s="47">
        <f t="shared" si="415"/>
        <v>778</v>
      </c>
      <c r="AE1366" s="47">
        <f t="shared" si="416"/>
        <v>0</v>
      </c>
      <c r="AG1366" s="47">
        <f t="shared" si="417"/>
        <v>778</v>
      </c>
      <c r="AH1366" s="47">
        <f t="shared" si="418"/>
        <v>778</v>
      </c>
      <c r="AI1366" s="208">
        <f t="shared" si="419"/>
        <v>0</v>
      </c>
    </row>
    <row r="1367" spans="1:35">
      <c r="A1367" t="s">
        <v>2129</v>
      </c>
      <c r="B1367" t="s">
        <v>3170</v>
      </c>
      <c r="C1367" t="s">
        <v>2285</v>
      </c>
      <c r="D1367" t="s">
        <v>4751</v>
      </c>
      <c r="F1367" t="s">
        <v>1054</v>
      </c>
      <c r="G1367" s="126">
        <f>SUMIFS('Support - Transition'!F:F,'Support - Transition'!B:B,'Step 2'!A1367,'Support - Transition'!C:C,'Step 2'!B1367,'Support - Transition'!D:D,'Step 2'!C1367,'Support - Transition'!E:E,"CIVIL")</f>
        <v>0</v>
      </c>
      <c r="H1367" s="126">
        <f>SUMIFS('Support - Transition'!F:F,'Support - Transition'!B:B,'Step 2'!A1367,'Support - Transition'!C:C,'Step 2'!B1367,'Support - Transition'!D:D,'Step 2'!C1367,'Support - Transition'!E:E,"FIRE")</f>
        <v>0</v>
      </c>
      <c r="I1367" s="126">
        <f>IF(B1367="0",SUMIFS('Support - Transition'!F:F,'Support - Transition'!J:J,'Step 2'!D1367,'Support - Transition'!E:E,"STATE UNIT"),SUMIFS('Support - Transition'!F:F,'Support - Transition'!J:J,'Step 2'!D1367))</f>
        <v>9.5200000000000005E-4</v>
      </c>
      <c r="J1367" s="126">
        <f>SUMIFS('Support - Unit Adjustments'!E:E,'Support - Unit Adjustments'!F:F,'Step 2'!D1367)</f>
        <v>0</v>
      </c>
      <c r="K1367" s="126">
        <f t="shared" si="403"/>
        <v>9.5200000000000005E-4</v>
      </c>
      <c r="L1367" s="174">
        <f>VLOOKUP(A1367,'Step 1'!$A:$E,4,FALSE)</f>
        <v>5422774</v>
      </c>
      <c r="M1367" s="47">
        <f t="shared" si="404"/>
        <v>5162</v>
      </c>
      <c r="N1367" s="177">
        <f>SUMIFS('Support - Transition'!G:G,'Support - Transition'!J:J,'Step 2'!D1367,'Support - Transition'!E:E,"2009 WELFARE ALLOCATION FACTOR")</f>
        <v>0</v>
      </c>
      <c r="O1367" s="152">
        <f t="shared" si="409"/>
        <v>0</v>
      </c>
      <c r="P1367" s="126">
        <f>IF(E1367="Y",0,SUMIFS('Support - Transition'!G:G,'Support - Transition'!J:J,'Step 2'!D1367,'Support - Transition'!E:E,"2009 SCHOOL ALLOCATION FACTOR"))</f>
        <v>0</v>
      </c>
      <c r="Q1367" s="126">
        <f>IF(E1367="Y",VLOOKUP(D1367,'Support - Unit Adjustments'!F:G,2,FALSE),0)</f>
        <v>0</v>
      </c>
      <c r="R1367" s="155">
        <f t="shared" si="421"/>
        <v>0</v>
      </c>
      <c r="S1367" s="47">
        <f t="shared" si="420"/>
        <v>0</v>
      </c>
      <c r="T1367" s="151">
        <f t="shared" si="405"/>
        <v>5162</v>
      </c>
      <c r="U1367" s="151">
        <f t="shared" si="406"/>
        <v>0</v>
      </c>
      <c r="V1367" s="139">
        <f t="shared" si="407"/>
        <v>0</v>
      </c>
      <c r="W1367" s="152">
        <f t="shared" si="410"/>
        <v>5162</v>
      </c>
      <c r="X1367" s="127" t="str">
        <f t="shared" si="408"/>
        <v/>
      </c>
      <c r="Y1367" s="207">
        <f t="shared" si="411"/>
        <v>5162</v>
      </c>
      <c r="Z1367" s="139">
        <f t="shared" si="412"/>
        <v>5162</v>
      </c>
      <c r="AA1367" s="139">
        <f t="shared" si="413"/>
        <v>0</v>
      </c>
      <c r="AC1367" s="47">
        <f t="shared" si="414"/>
        <v>2581</v>
      </c>
      <c r="AD1367" s="47">
        <f t="shared" si="415"/>
        <v>2581</v>
      </c>
      <c r="AE1367" s="47">
        <f t="shared" si="416"/>
        <v>0</v>
      </c>
      <c r="AG1367" s="47">
        <f t="shared" si="417"/>
        <v>2581</v>
      </c>
      <c r="AH1367" s="47">
        <f t="shared" si="418"/>
        <v>2581</v>
      </c>
      <c r="AI1367" s="208">
        <f t="shared" si="419"/>
        <v>0</v>
      </c>
    </row>
    <row r="1368" spans="1:35">
      <c r="A1368" t="s">
        <v>2129</v>
      </c>
      <c r="B1368" t="s">
        <v>3170</v>
      </c>
      <c r="C1368" t="s">
        <v>2739</v>
      </c>
      <c r="D1368" t="s">
        <v>4752</v>
      </c>
      <c r="F1368" t="s">
        <v>1051</v>
      </c>
      <c r="G1368" s="126">
        <f>SUMIFS('Support - Transition'!F:F,'Support - Transition'!B:B,'Step 2'!A1368,'Support - Transition'!C:C,'Step 2'!B1368,'Support - Transition'!D:D,'Step 2'!C1368,'Support - Transition'!E:E,"CIVIL")</f>
        <v>0</v>
      </c>
      <c r="H1368" s="126">
        <f>SUMIFS('Support - Transition'!F:F,'Support - Transition'!B:B,'Step 2'!A1368,'Support - Transition'!C:C,'Step 2'!B1368,'Support - Transition'!D:D,'Step 2'!C1368,'Support - Transition'!E:E,"FIRE")</f>
        <v>0</v>
      </c>
      <c r="I1368" s="126">
        <f>IF(B1368="0",SUMIFS('Support - Transition'!F:F,'Support - Transition'!J:J,'Step 2'!D1368,'Support - Transition'!E:E,"STATE UNIT"),SUMIFS('Support - Transition'!F:F,'Support - Transition'!J:J,'Step 2'!D1368))</f>
        <v>2.5490000000000001E-3</v>
      </c>
      <c r="J1368" s="126">
        <f>SUMIFS('Support - Unit Adjustments'!E:E,'Support - Unit Adjustments'!F:F,'Step 2'!D1368)</f>
        <v>0</v>
      </c>
      <c r="K1368" s="126">
        <f t="shared" si="403"/>
        <v>2.5490000000000001E-3</v>
      </c>
      <c r="L1368" s="174">
        <f>VLOOKUP(A1368,'Step 1'!$A:$E,4,FALSE)</f>
        <v>5422774</v>
      </c>
      <c r="M1368" s="47">
        <f t="shared" si="404"/>
        <v>13823</v>
      </c>
      <c r="N1368" s="177">
        <f>SUMIFS('Support - Transition'!G:G,'Support - Transition'!J:J,'Step 2'!D1368,'Support - Transition'!E:E,"2009 WELFARE ALLOCATION FACTOR")</f>
        <v>0</v>
      </c>
      <c r="O1368" s="152">
        <f t="shared" si="409"/>
        <v>0</v>
      </c>
      <c r="P1368" s="126">
        <f>IF(E1368="Y",0,SUMIFS('Support - Transition'!G:G,'Support - Transition'!J:J,'Step 2'!D1368,'Support - Transition'!E:E,"2009 SCHOOL ALLOCATION FACTOR"))</f>
        <v>0</v>
      </c>
      <c r="Q1368" s="126">
        <f>IF(E1368="Y",VLOOKUP(D1368,'Support - Unit Adjustments'!F:G,2,FALSE),0)</f>
        <v>0</v>
      </c>
      <c r="R1368" s="155">
        <f t="shared" si="421"/>
        <v>0</v>
      </c>
      <c r="S1368" s="47">
        <f t="shared" si="420"/>
        <v>0</v>
      </c>
      <c r="T1368" s="151">
        <f t="shared" si="405"/>
        <v>13823</v>
      </c>
      <c r="U1368" s="151">
        <f t="shared" si="406"/>
        <v>0</v>
      </c>
      <c r="V1368" s="139">
        <f t="shared" si="407"/>
        <v>0</v>
      </c>
      <c r="W1368" s="152">
        <f t="shared" si="410"/>
        <v>13823</v>
      </c>
      <c r="X1368" s="127" t="str">
        <f t="shared" si="408"/>
        <v/>
      </c>
      <c r="Y1368" s="207">
        <f t="shared" si="411"/>
        <v>13823</v>
      </c>
      <c r="Z1368" s="139">
        <f t="shared" si="412"/>
        <v>13823</v>
      </c>
      <c r="AA1368" s="139">
        <f t="shared" si="413"/>
        <v>0</v>
      </c>
      <c r="AC1368" s="47">
        <f t="shared" si="414"/>
        <v>6912</v>
      </c>
      <c r="AD1368" s="47">
        <f t="shared" si="415"/>
        <v>6912</v>
      </c>
      <c r="AE1368" s="47">
        <f t="shared" si="416"/>
        <v>0</v>
      </c>
      <c r="AG1368" s="47">
        <f t="shared" si="417"/>
        <v>6911</v>
      </c>
      <c r="AH1368" s="47">
        <f t="shared" si="418"/>
        <v>6911</v>
      </c>
      <c r="AI1368" s="208">
        <f t="shared" si="419"/>
        <v>0</v>
      </c>
    </row>
    <row r="1369" spans="1:35">
      <c r="A1369" t="s">
        <v>2129</v>
      </c>
      <c r="B1369" t="s">
        <v>3170</v>
      </c>
      <c r="C1369" t="s">
        <v>2740</v>
      </c>
      <c r="D1369" t="s">
        <v>4753</v>
      </c>
      <c r="F1369" t="s">
        <v>1057</v>
      </c>
      <c r="G1369" s="126">
        <f>SUMIFS('Support - Transition'!F:F,'Support - Transition'!B:B,'Step 2'!A1369,'Support - Transition'!C:C,'Step 2'!B1369,'Support - Transition'!D:D,'Step 2'!C1369,'Support - Transition'!E:E,"CIVIL")</f>
        <v>0</v>
      </c>
      <c r="H1369" s="126">
        <f>SUMIFS('Support - Transition'!F:F,'Support - Transition'!B:B,'Step 2'!A1369,'Support - Transition'!C:C,'Step 2'!B1369,'Support - Transition'!D:D,'Step 2'!C1369,'Support - Transition'!E:E,"FIRE")</f>
        <v>0</v>
      </c>
      <c r="I1369" s="126">
        <f>IF(B1369="0",SUMIFS('Support - Transition'!F:F,'Support - Transition'!J:J,'Step 2'!D1369,'Support - Transition'!E:E,"STATE UNIT"),SUMIFS('Support - Transition'!F:F,'Support - Transition'!J:J,'Step 2'!D1369))</f>
        <v>3.1700000000000001E-4</v>
      </c>
      <c r="J1369" s="126">
        <f>SUMIFS('Support - Unit Adjustments'!E:E,'Support - Unit Adjustments'!F:F,'Step 2'!D1369)</f>
        <v>0</v>
      </c>
      <c r="K1369" s="126">
        <f t="shared" si="403"/>
        <v>3.1700000000000001E-4</v>
      </c>
      <c r="L1369" s="174">
        <f>VLOOKUP(A1369,'Step 1'!$A:$E,4,FALSE)</f>
        <v>5422774</v>
      </c>
      <c r="M1369" s="47">
        <f t="shared" si="404"/>
        <v>1719</v>
      </c>
      <c r="N1369" s="177">
        <f>SUMIFS('Support - Transition'!G:G,'Support - Transition'!J:J,'Step 2'!D1369,'Support - Transition'!E:E,"2009 WELFARE ALLOCATION FACTOR")</f>
        <v>0</v>
      </c>
      <c r="O1369" s="152">
        <f t="shared" si="409"/>
        <v>0</v>
      </c>
      <c r="P1369" s="126">
        <f>IF(E1369="Y",0,SUMIFS('Support - Transition'!G:G,'Support - Transition'!J:J,'Step 2'!D1369,'Support - Transition'!E:E,"2009 SCHOOL ALLOCATION FACTOR"))</f>
        <v>0</v>
      </c>
      <c r="Q1369" s="126">
        <f>IF(E1369="Y",VLOOKUP(D1369,'Support - Unit Adjustments'!F:G,2,FALSE),0)</f>
        <v>0</v>
      </c>
      <c r="R1369" s="155">
        <f t="shared" si="421"/>
        <v>0</v>
      </c>
      <c r="S1369" s="47">
        <f t="shared" si="420"/>
        <v>0</v>
      </c>
      <c r="T1369" s="151">
        <f t="shared" si="405"/>
        <v>1719</v>
      </c>
      <c r="U1369" s="151">
        <f t="shared" si="406"/>
        <v>0</v>
      </c>
      <c r="V1369" s="139">
        <f t="shared" si="407"/>
        <v>0</v>
      </c>
      <c r="W1369" s="152">
        <f t="shared" si="410"/>
        <v>1719</v>
      </c>
      <c r="X1369" s="127" t="str">
        <f t="shared" si="408"/>
        <v/>
      </c>
      <c r="Y1369" s="207">
        <f t="shared" si="411"/>
        <v>1719</v>
      </c>
      <c r="Z1369" s="139">
        <f t="shared" si="412"/>
        <v>1719</v>
      </c>
      <c r="AA1369" s="139">
        <f t="shared" si="413"/>
        <v>0</v>
      </c>
      <c r="AC1369" s="47">
        <f t="shared" si="414"/>
        <v>860</v>
      </c>
      <c r="AD1369" s="47">
        <f t="shared" si="415"/>
        <v>860</v>
      </c>
      <c r="AE1369" s="47">
        <f t="shared" si="416"/>
        <v>0</v>
      </c>
      <c r="AG1369" s="47">
        <f t="shared" si="417"/>
        <v>859</v>
      </c>
      <c r="AH1369" s="47">
        <f t="shared" si="418"/>
        <v>859</v>
      </c>
      <c r="AI1369" s="208">
        <f t="shared" si="419"/>
        <v>0</v>
      </c>
    </row>
    <row r="1370" spans="1:35">
      <c r="A1370" t="s">
        <v>2129</v>
      </c>
      <c r="B1370" t="s">
        <v>3170</v>
      </c>
      <c r="C1370" t="s">
        <v>2741</v>
      </c>
      <c r="D1370" t="s">
        <v>4754</v>
      </c>
      <c r="F1370" t="s">
        <v>1061</v>
      </c>
      <c r="G1370" s="126">
        <f>SUMIFS('Support - Transition'!F:F,'Support - Transition'!B:B,'Step 2'!A1370,'Support - Transition'!C:C,'Step 2'!B1370,'Support - Transition'!D:D,'Step 2'!C1370,'Support - Transition'!E:E,"CIVIL")</f>
        <v>0</v>
      </c>
      <c r="H1370" s="126">
        <f>SUMIFS('Support - Transition'!F:F,'Support - Transition'!B:B,'Step 2'!A1370,'Support - Transition'!C:C,'Step 2'!B1370,'Support - Transition'!D:D,'Step 2'!C1370,'Support - Transition'!E:E,"FIRE")</f>
        <v>0</v>
      </c>
      <c r="I1370" s="126">
        <f>IF(B1370="0",SUMIFS('Support - Transition'!F:F,'Support - Transition'!J:J,'Step 2'!D1370,'Support - Transition'!E:E,"STATE UNIT"),SUMIFS('Support - Transition'!F:F,'Support - Transition'!J:J,'Step 2'!D1370))</f>
        <v>2.4399999999999999E-4</v>
      </c>
      <c r="J1370" s="126">
        <f>SUMIFS('Support - Unit Adjustments'!E:E,'Support - Unit Adjustments'!F:F,'Step 2'!D1370)</f>
        <v>0</v>
      </c>
      <c r="K1370" s="126">
        <f t="shared" si="403"/>
        <v>2.4399999999999999E-4</v>
      </c>
      <c r="L1370" s="174">
        <f>VLOOKUP(A1370,'Step 1'!$A:$E,4,FALSE)</f>
        <v>5422774</v>
      </c>
      <c r="M1370" s="47">
        <f t="shared" si="404"/>
        <v>1323</v>
      </c>
      <c r="N1370" s="177">
        <f>SUMIFS('Support - Transition'!G:G,'Support - Transition'!J:J,'Step 2'!D1370,'Support - Transition'!E:E,"2009 WELFARE ALLOCATION FACTOR")</f>
        <v>0</v>
      </c>
      <c r="O1370" s="152">
        <f t="shared" si="409"/>
        <v>0</v>
      </c>
      <c r="P1370" s="126">
        <f>IF(E1370="Y",0,SUMIFS('Support - Transition'!G:G,'Support - Transition'!J:J,'Step 2'!D1370,'Support - Transition'!E:E,"2009 SCHOOL ALLOCATION FACTOR"))</f>
        <v>0</v>
      </c>
      <c r="Q1370" s="126">
        <f>IF(E1370="Y",VLOOKUP(D1370,'Support - Unit Adjustments'!F:G,2,FALSE),0)</f>
        <v>0</v>
      </c>
      <c r="R1370" s="155">
        <f t="shared" si="421"/>
        <v>0</v>
      </c>
      <c r="S1370" s="47">
        <f t="shared" si="420"/>
        <v>0</v>
      </c>
      <c r="T1370" s="151">
        <f t="shared" si="405"/>
        <v>1323</v>
      </c>
      <c r="U1370" s="151">
        <f t="shared" si="406"/>
        <v>0</v>
      </c>
      <c r="V1370" s="139">
        <f t="shared" si="407"/>
        <v>0</v>
      </c>
      <c r="W1370" s="152">
        <f t="shared" si="410"/>
        <v>1323</v>
      </c>
      <c r="X1370" s="127" t="str">
        <f t="shared" si="408"/>
        <v/>
      </c>
      <c r="Y1370" s="207">
        <f t="shared" si="411"/>
        <v>1323</v>
      </c>
      <c r="Z1370" s="139">
        <f t="shared" si="412"/>
        <v>1323</v>
      </c>
      <c r="AA1370" s="139">
        <f t="shared" si="413"/>
        <v>0</v>
      </c>
      <c r="AC1370" s="47">
        <f t="shared" si="414"/>
        <v>662</v>
      </c>
      <c r="AD1370" s="47">
        <f t="shared" si="415"/>
        <v>662</v>
      </c>
      <c r="AE1370" s="47">
        <f t="shared" si="416"/>
        <v>0</v>
      </c>
      <c r="AG1370" s="47">
        <f t="shared" si="417"/>
        <v>661</v>
      </c>
      <c r="AH1370" s="47">
        <f t="shared" si="418"/>
        <v>661</v>
      </c>
      <c r="AI1370" s="208">
        <f t="shared" si="419"/>
        <v>0</v>
      </c>
    </row>
    <row r="1371" spans="1:35">
      <c r="A1371" t="s">
        <v>2129</v>
      </c>
      <c r="B1371" t="s">
        <v>3170</v>
      </c>
      <c r="C1371" t="s">
        <v>4755</v>
      </c>
      <c r="D1371" t="s">
        <v>4756</v>
      </c>
      <c r="F1371" t="s">
        <v>1059</v>
      </c>
      <c r="G1371" s="126">
        <f>SUMIFS('Support - Transition'!F:F,'Support - Transition'!B:B,'Step 2'!A1371,'Support - Transition'!C:C,'Step 2'!B1371,'Support - Transition'!D:D,'Step 2'!C1371,'Support - Transition'!E:E,"CIVIL")</f>
        <v>0</v>
      </c>
      <c r="H1371" s="126">
        <f>SUMIFS('Support - Transition'!F:F,'Support - Transition'!B:B,'Step 2'!A1371,'Support - Transition'!C:C,'Step 2'!B1371,'Support - Transition'!D:D,'Step 2'!C1371,'Support - Transition'!E:E,"FIRE")</f>
        <v>0</v>
      </c>
      <c r="I1371" s="126">
        <f>IF(B1371="0",SUMIFS('Support - Transition'!F:F,'Support - Transition'!J:J,'Step 2'!D1371,'Support - Transition'!E:E,"STATE UNIT"),SUMIFS('Support - Transition'!F:F,'Support - Transition'!J:J,'Step 2'!D1371))</f>
        <v>1.622E-3</v>
      </c>
      <c r="J1371" s="126">
        <f>SUMIFS('Support - Unit Adjustments'!E:E,'Support - Unit Adjustments'!F:F,'Step 2'!D1371)</f>
        <v>0</v>
      </c>
      <c r="K1371" s="126">
        <f t="shared" si="403"/>
        <v>1.622E-3</v>
      </c>
      <c r="L1371" s="174">
        <f>VLOOKUP(A1371,'Step 1'!$A:$E,4,FALSE)</f>
        <v>5422774</v>
      </c>
      <c r="M1371" s="47">
        <f t="shared" si="404"/>
        <v>8796</v>
      </c>
      <c r="N1371" s="177">
        <f>SUMIFS('Support - Transition'!G:G,'Support - Transition'!J:J,'Step 2'!D1371,'Support - Transition'!E:E,"2009 WELFARE ALLOCATION FACTOR")</f>
        <v>0</v>
      </c>
      <c r="O1371" s="152">
        <f t="shared" si="409"/>
        <v>0</v>
      </c>
      <c r="P1371" s="126">
        <f>IF(E1371="Y",0,SUMIFS('Support - Transition'!G:G,'Support - Transition'!J:J,'Step 2'!D1371,'Support - Transition'!E:E,"2009 SCHOOL ALLOCATION FACTOR"))</f>
        <v>0</v>
      </c>
      <c r="Q1371" s="126">
        <f>IF(E1371="Y",VLOOKUP(D1371,'Support - Unit Adjustments'!F:G,2,FALSE),0)</f>
        <v>0</v>
      </c>
      <c r="R1371" s="155">
        <f t="shared" si="421"/>
        <v>0</v>
      </c>
      <c r="S1371" s="47">
        <f t="shared" si="420"/>
        <v>0</v>
      </c>
      <c r="T1371" s="151">
        <f t="shared" si="405"/>
        <v>8796</v>
      </c>
      <c r="U1371" s="151">
        <f t="shared" si="406"/>
        <v>0</v>
      </c>
      <c r="V1371" s="139">
        <f t="shared" si="407"/>
        <v>0</v>
      </c>
      <c r="W1371" s="152">
        <f t="shared" si="410"/>
        <v>8796</v>
      </c>
      <c r="X1371" s="127" t="str">
        <f t="shared" si="408"/>
        <v/>
      </c>
      <c r="Y1371" s="207">
        <f t="shared" si="411"/>
        <v>8796</v>
      </c>
      <c r="Z1371" s="139">
        <f t="shared" si="412"/>
        <v>8796</v>
      </c>
      <c r="AA1371" s="139">
        <f t="shared" si="413"/>
        <v>0</v>
      </c>
      <c r="AC1371" s="47">
        <f t="shared" si="414"/>
        <v>4398</v>
      </c>
      <c r="AD1371" s="47">
        <f t="shared" si="415"/>
        <v>4398</v>
      </c>
      <c r="AE1371" s="47">
        <f t="shared" si="416"/>
        <v>0</v>
      </c>
      <c r="AG1371" s="47">
        <f t="shared" si="417"/>
        <v>4398</v>
      </c>
      <c r="AH1371" s="47">
        <f t="shared" si="418"/>
        <v>4398</v>
      </c>
      <c r="AI1371" s="208">
        <f t="shared" si="419"/>
        <v>0</v>
      </c>
    </row>
    <row r="1372" spans="1:35">
      <c r="A1372" t="s">
        <v>2129</v>
      </c>
      <c r="B1372" t="s">
        <v>3170</v>
      </c>
      <c r="C1372" t="s">
        <v>2742</v>
      </c>
      <c r="D1372" t="s">
        <v>4757</v>
      </c>
      <c r="F1372" t="s">
        <v>1062</v>
      </c>
      <c r="G1372" s="126">
        <f>SUMIFS('Support - Transition'!F:F,'Support - Transition'!B:B,'Step 2'!A1372,'Support - Transition'!C:C,'Step 2'!B1372,'Support - Transition'!D:D,'Step 2'!C1372,'Support - Transition'!E:E,"CIVIL")</f>
        <v>0</v>
      </c>
      <c r="H1372" s="126">
        <f>SUMIFS('Support - Transition'!F:F,'Support - Transition'!B:B,'Step 2'!A1372,'Support - Transition'!C:C,'Step 2'!B1372,'Support - Transition'!D:D,'Step 2'!C1372,'Support - Transition'!E:E,"FIRE")</f>
        <v>0</v>
      </c>
      <c r="I1372" s="126">
        <f>IF(B1372="0",SUMIFS('Support - Transition'!F:F,'Support - Transition'!J:J,'Step 2'!D1372,'Support - Transition'!E:E,"STATE UNIT"),SUMIFS('Support - Transition'!F:F,'Support - Transition'!J:J,'Step 2'!D1372))</f>
        <v>1.16E-4</v>
      </c>
      <c r="J1372" s="126">
        <f>SUMIFS('Support - Unit Adjustments'!E:E,'Support - Unit Adjustments'!F:F,'Step 2'!D1372)</f>
        <v>0</v>
      </c>
      <c r="K1372" s="126">
        <f t="shared" si="403"/>
        <v>1.16E-4</v>
      </c>
      <c r="L1372" s="174">
        <f>VLOOKUP(A1372,'Step 1'!$A:$E,4,FALSE)</f>
        <v>5422774</v>
      </c>
      <c r="M1372" s="47">
        <f t="shared" si="404"/>
        <v>629</v>
      </c>
      <c r="N1372" s="177">
        <f>SUMIFS('Support - Transition'!G:G,'Support - Transition'!J:J,'Step 2'!D1372,'Support - Transition'!E:E,"2009 WELFARE ALLOCATION FACTOR")</f>
        <v>0</v>
      </c>
      <c r="O1372" s="152">
        <f t="shared" si="409"/>
        <v>0</v>
      </c>
      <c r="P1372" s="126">
        <f>IF(E1372="Y",0,SUMIFS('Support - Transition'!G:G,'Support - Transition'!J:J,'Step 2'!D1372,'Support - Transition'!E:E,"2009 SCHOOL ALLOCATION FACTOR"))</f>
        <v>0</v>
      </c>
      <c r="Q1372" s="126">
        <f>IF(E1372="Y",VLOOKUP(D1372,'Support - Unit Adjustments'!F:G,2,FALSE),0)</f>
        <v>0</v>
      </c>
      <c r="R1372" s="155">
        <f t="shared" si="421"/>
        <v>0</v>
      </c>
      <c r="S1372" s="47">
        <f t="shared" si="420"/>
        <v>0</v>
      </c>
      <c r="T1372" s="151">
        <f t="shared" si="405"/>
        <v>629</v>
      </c>
      <c r="U1372" s="151">
        <f t="shared" si="406"/>
        <v>0</v>
      </c>
      <c r="V1372" s="139">
        <f t="shared" si="407"/>
        <v>0</v>
      </c>
      <c r="W1372" s="152">
        <f t="shared" si="410"/>
        <v>629</v>
      </c>
      <c r="X1372" s="127" t="str">
        <f t="shared" si="408"/>
        <v/>
      </c>
      <c r="Y1372" s="207">
        <f t="shared" si="411"/>
        <v>629</v>
      </c>
      <c r="Z1372" s="139">
        <f t="shared" si="412"/>
        <v>629</v>
      </c>
      <c r="AA1372" s="139">
        <f t="shared" si="413"/>
        <v>0</v>
      </c>
      <c r="AC1372" s="47">
        <f t="shared" si="414"/>
        <v>315</v>
      </c>
      <c r="AD1372" s="47">
        <f t="shared" si="415"/>
        <v>315</v>
      </c>
      <c r="AE1372" s="47">
        <f t="shared" si="416"/>
        <v>0</v>
      </c>
      <c r="AG1372" s="47">
        <f t="shared" si="417"/>
        <v>314</v>
      </c>
      <c r="AH1372" s="47">
        <f t="shared" si="418"/>
        <v>314</v>
      </c>
      <c r="AI1372" s="208">
        <f t="shared" si="419"/>
        <v>0</v>
      </c>
    </row>
    <row r="1373" spans="1:35">
      <c r="A1373" t="s">
        <v>2129</v>
      </c>
      <c r="B1373" t="s">
        <v>3170</v>
      </c>
      <c r="C1373" t="s">
        <v>4758</v>
      </c>
      <c r="D1373" t="s">
        <v>4759</v>
      </c>
      <c r="F1373" t="s">
        <v>1063</v>
      </c>
      <c r="G1373" s="126">
        <f>SUMIFS('Support - Transition'!F:F,'Support - Transition'!B:B,'Step 2'!A1373,'Support - Transition'!C:C,'Step 2'!B1373,'Support - Transition'!D:D,'Step 2'!C1373,'Support - Transition'!E:E,"CIVIL")</f>
        <v>0</v>
      </c>
      <c r="H1373" s="126">
        <f>SUMIFS('Support - Transition'!F:F,'Support - Transition'!B:B,'Step 2'!A1373,'Support - Transition'!C:C,'Step 2'!B1373,'Support - Transition'!D:D,'Step 2'!C1373,'Support - Transition'!E:E,"FIRE")</f>
        <v>0</v>
      </c>
      <c r="I1373" s="126">
        <f>IF(B1373="0",SUMIFS('Support - Transition'!F:F,'Support - Transition'!J:J,'Step 2'!D1373,'Support - Transition'!E:E,"STATE UNIT"),SUMIFS('Support - Transition'!F:F,'Support - Transition'!J:J,'Step 2'!D1373))</f>
        <v>5.0500000000000002E-4</v>
      </c>
      <c r="J1373" s="126">
        <f>SUMIFS('Support - Unit Adjustments'!E:E,'Support - Unit Adjustments'!F:F,'Step 2'!D1373)</f>
        <v>0</v>
      </c>
      <c r="K1373" s="126">
        <f t="shared" si="403"/>
        <v>5.0500000000000002E-4</v>
      </c>
      <c r="L1373" s="174">
        <f>VLOOKUP(A1373,'Step 1'!$A:$E,4,FALSE)</f>
        <v>5422774</v>
      </c>
      <c r="M1373" s="47">
        <f t="shared" si="404"/>
        <v>2739</v>
      </c>
      <c r="N1373" s="177">
        <f>SUMIFS('Support - Transition'!G:G,'Support - Transition'!J:J,'Step 2'!D1373,'Support - Transition'!E:E,"2009 WELFARE ALLOCATION FACTOR")</f>
        <v>0</v>
      </c>
      <c r="O1373" s="152">
        <f t="shared" si="409"/>
        <v>0</v>
      </c>
      <c r="P1373" s="126">
        <f>IF(E1373="Y",0,SUMIFS('Support - Transition'!G:G,'Support - Transition'!J:J,'Step 2'!D1373,'Support - Transition'!E:E,"2009 SCHOOL ALLOCATION FACTOR"))</f>
        <v>0</v>
      </c>
      <c r="Q1373" s="126">
        <f>IF(E1373="Y",VLOOKUP(D1373,'Support - Unit Adjustments'!F:G,2,FALSE),0)</f>
        <v>0</v>
      </c>
      <c r="R1373" s="155">
        <f t="shared" si="421"/>
        <v>0</v>
      </c>
      <c r="S1373" s="47">
        <f t="shared" si="420"/>
        <v>0</v>
      </c>
      <c r="T1373" s="151">
        <f t="shared" si="405"/>
        <v>2739</v>
      </c>
      <c r="U1373" s="151">
        <f t="shared" si="406"/>
        <v>0</v>
      </c>
      <c r="V1373" s="139">
        <f t="shared" si="407"/>
        <v>0</v>
      </c>
      <c r="W1373" s="152">
        <f t="shared" si="410"/>
        <v>2739</v>
      </c>
      <c r="X1373" s="127" t="str">
        <f t="shared" si="408"/>
        <v/>
      </c>
      <c r="Y1373" s="207">
        <f t="shared" si="411"/>
        <v>2739</v>
      </c>
      <c r="Z1373" s="139">
        <f t="shared" si="412"/>
        <v>2739</v>
      </c>
      <c r="AA1373" s="139">
        <f t="shared" si="413"/>
        <v>0</v>
      </c>
      <c r="AC1373" s="47">
        <f t="shared" si="414"/>
        <v>1370</v>
      </c>
      <c r="AD1373" s="47">
        <f t="shared" si="415"/>
        <v>1370</v>
      </c>
      <c r="AE1373" s="47">
        <f t="shared" si="416"/>
        <v>0</v>
      </c>
      <c r="AG1373" s="47">
        <f t="shared" si="417"/>
        <v>1369</v>
      </c>
      <c r="AH1373" s="47">
        <f t="shared" si="418"/>
        <v>1369</v>
      </c>
      <c r="AI1373" s="208">
        <f t="shared" si="419"/>
        <v>0</v>
      </c>
    </row>
    <row r="1374" spans="1:35">
      <c r="A1374" t="s">
        <v>2129</v>
      </c>
      <c r="B1374" t="s">
        <v>3170</v>
      </c>
      <c r="C1374" t="s">
        <v>4760</v>
      </c>
      <c r="D1374" t="s">
        <v>4761</v>
      </c>
      <c r="F1374" t="s">
        <v>4762</v>
      </c>
      <c r="G1374" s="126">
        <f>SUMIFS('Support - Transition'!F:F,'Support - Transition'!B:B,'Step 2'!A1374,'Support - Transition'!C:C,'Step 2'!B1374,'Support - Transition'!D:D,'Step 2'!C1374,'Support - Transition'!E:E,"CIVIL")</f>
        <v>0</v>
      </c>
      <c r="H1374" s="126">
        <f>SUMIFS('Support - Transition'!F:F,'Support - Transition'!B:B,'Step 2'!A1374,'Support - Transition'!C:C,'Step 2'!B1374,'Support - Transition'!D:D,'Step 2'!C1374,'Support - Transition'!E:E,"FIRE")</f>
        <v>0</v>
      </c>
      <c r="I1374" s="126">
        <f>IF(B1374="0",SUMIFS('Support - Transition'!F:F,'Support - Transition'!J:J,'Step 2'!D1374,'Support - Transition'!E:E,"STATE UNIT"),SUMIFS('Support - Transition'!F:F,'Support - Transition'!J:J,'Step 2'!D1374))</f>
        <v>5.2729999999999999E-3</v>
      </c>
      <c r="J1374" s="126">
        <f>SUMIFS('Support - Unit Adjustments'!E:E,'Support - Unit Adjustments'!F:F,'Step 2'!D1374)</f>
        <v>0</v>
      </c>
      <c r="K1374" s="126">
        <f t="shared" si="403"/>
        <v>5.2729999999999999E-3</v>
      </c>
      <c r="L1374" s="174">
        <f>VLOOKUP(A1374,'Step 1'!$A:$E,4,FALSE)</f>
        <v>5422774</v>
      </c>
      <c r="M1374" s="47">
        <f t="shared" si="404"/>
        <v>28594</v>
      </c>
      <c r="N1374" s="177">
        <f>SUMIFS('Support - Transition'!G:G,'Support - Transition'!J:J,'Step 2'!D1374,'Support - Transition'!E:E,"2009 WELFARE ALLOCATION FACTOR")</f>
        <v>0</v>
      </c>
      <c r="O1374" s="152">
        <f t="shared" si="409"/>
        <v>0</v>
      </c>
      <c r="P1374" s="126">
        <f>IF(E1374="Y",0,SUMIFS('Support - Transition'!G:G,'Support - Transition'!J:J,'Step 2'!D1374,'Support - Transition'!E:E,"2009 SCHOOL ALLOCATION FACTOR"))</f>
        <v>0</v>
      </c>
      <c r="Q1374" s="126">
        <f>IF(E1374="Y",VLOOKUP(D1374,'Support - Unit Adjustments'!F:G,2,FALSE),0)</f>
        <v>0</v>
      </c>
      <c r="R1374" s="155">
        <f t="shared" si="421"/>
        <v>0</v>
      </c>
      <c r="S1374" s="47">
        <f t="shared" si="420"/>
        <v>0</v>
      </c>
      <c r="T1374" s="151">
        <f t="shared" si="405"/>
        <v>28594</v>
      </c>
      <c r="U1374" s="151">
        <f t="shared" si="406"/>
        <v>0</v>
      </c>
      <c r="V1374" s="139">
        <f t="shared" si="407"/>
        <v>0</v>
      </c>
      <c r="W1374" s="152">
        <f t="shared" si="410"/>
        <v>28594</v>
      </c>
      <c r="X1374" s="127" t="str">
        <f t="shared" si="408"/>
        <v/>
      </c>
      <c r="Y1374" s="207">
        <f t="shared" si="411"/>
        <v>28594</v>
      </c>
      <c r="Z1374" s="139">
        <f t="shared" si="412"/>
        <v>28594</v>
      </c>
      <c r="AA1374" s="139">
        <f t="shared" si="413"/>
        <v>0</v>
      </c>
      <c r="AC1374" s="47">
        <f t="shared" si="414"/>
        <v>14297</v>
      </c>
      <c r="AD1374" s="47">
        <f t="shared" si="415"/>
        <v>14297</v>
      </c>
      <c r="AE1374" s="47">
        <f t="shared" si="416"/>
        <v>0</v>
      </c>
      <c r="AG1374" s="47">
        <f t="shared" si="417"/>
        <v>14297</v>
      </c>
      <c r="AH1374" s="47">
        <f t="shared" si="418"/>
        <v>14297</v>
      </c>
      <c r="AI1374" s="208">
        <f t="shared" si="419"/>
        <v>0</v>
      </c>
    </row>
    <row r="1375" spans="1:35">
      <c r="A1375" t="s">
        <v>2129</v>
      </c>
      <c r="B1375" t="s">
        <v>3170</v>
      </c>
      <c r="C1375" t="s">
        <v>2743</v>
      </c>
      <c r="D1375" t="s">
        <v>4763</v>
      </c>
      <c r="F1375" t="s">
        <v>1048</v>
      </c>
      <c r="G1375" s="126">
        <f>SUMIFS('Support - Transition'!F:F,'Support - Transition'!B:B,'Step 2'!A1375,'Support - Transition'!C:C,'Step 2'!B1375,'Support - Transition'!D:D,'Step 2'!C1375,'Support - Transition'!E:E,"CIVIL")</f>
        <v>0</v>
      </c>
      <c r="H1375" s="126">
        <f>SUMIFS('Support - Transition'!F:F,'Support - Transition'!B:B,'Step 2'!A1375,'Support - Transition'!C:C,'Step 2'!B1375,'Support - Transition'!D:D,'Step 2'!C1375,'Support - Transition'!E:E,"FIRE")</f>
        <v>0</v>
      </c>
      <c r="I1375" s="126">
        <f>IF(B1375="0",SUMIFS('Support - Transition'!F:F,'Support - Transition'!J:J,'Step 2'!D1375,'Support - Transition'!E:E,"STATE UNIT"),SUMIFS('Support - Transition'!F:F,'Support - Transition'!J:J,'Step 2'!D1375))</f>
        <v>2.8699999999999998E-4</v>
      </c>
      <c r="J1375" s="126">
        <f>SUMIFS('Support - Unit Adjustments'!E:E,'Support - Unit Adjustments'!F:F,'Step 2'!D1375)</f>
        <v>0</v>
      </c>
      <c r="K1375" s="126">
        <f t="shared" si="403"/>
        <v>2.8699999999999998E-4</v>
      </c>
      <c r="L1375" s="174">
        <f>VLOOKUP(A1375,'Step 1'!$A:$E,4,FALSE)</f>
        <v>5422774</v>
      </c>
      <c r="M1375" s="47">
        <f t="shared" si="404"/>
        <v>1556</v>
      </c>
      <c r="N1375" s="177">
        <f>SUMIFS('Support - Transition'!G:G,'Support - Transition'!J:J,'Step 2'!D1375,'Support - Transition'!E:E,"2009 WELFARE ALLOCATION FACTOR")</f>
        <v>0</v>
      </c>
      <c r="O1375" s="152">
        <f t="shared" si="409"/>
        <v>0</v>
      </c>
      <c r="P1375" s="126">
        <f>IF(E1375="Y",0,SUMIFS('Support - Transition'!G:G,'Support - Transition'!J:J,'Step 2'!D1375,'Support - Transition'!E:E,"2009 SCHOOL ALLOCATION FACTOR"))</f>
        <v>0</v>
      </c>
      <c r="Q1375" s="126">
        <f>IF(E1375="Y",VLOOKUP(D1375,'Support - Unit Adjustments'!F:G,2,FALSE),0)</f>
        <v>0</v>
      </c>
      <c r="R1375" s="155">
        <f t="shared" si="421"/>
        <v>0</v>
      </c>
      <c r="S1375" s="47">
        <f t="shared" si="420"/>
        <v>0</v>
      </c>
      <c r="T1375" s="151">
        <f t="shared" si="405"/>
        <v>1556</v>
      </c>
      <c r="U1375" s="151">
        <f t="shared" si="406"/>
        <v>0</v>
      </c>
      <c r="V1375" s="139">
        <f t="shared" si="407"/>
        <v>0</v>
      </c>
      <c r="W1375" s="152">
        <f t="shared" si="410"/>
        <v>1556</v>
      </c>
      <c r="X1375" s="127" t="str">
        <f t="shared" si="408"/>
        <v/>
      </c>
      <c r="Y1375" s="207">
        <f t="shared" si="411"/>
        <v>1556</v>
      </c>
      <c r="Z1375" s="139">
        <f t="shared" si="412"/>
        <v>1556</v>
      </c>
      <c r="AA1375" s="139">
        <f t="shared" si="413"/>
        <v>0</v>
      </c>
      <c r="AC1375" s="47">
        <f t="shared" si="414"/>
        <v>778</v>
      </c>
      <c r="AD1375" s="47">
        <f t="shared" si="415"/>
        <v>778</v>
      </c>
      <c r="AE1375" s="47">
        <f t="shared" si="416"/>
        <v>0</v>
      </c>
      <c r="AG1375" s="47">
        <f t="shared" si="417"/>
        <v>778</v>
      </c>
      <c r="AH1375" s="47">
        <f t="shared" si="418"/>
        <v>778</v>
      </c>
      <c r="AI1375" s="208">
        <f t="shared" si="419"/>
        <v>0</v>
      </c>
    </row>
    <row r="1376" spans="1:35">
      <c r="A1376" t="s">
        <v>2129</v>
      </c>
      <c r="B1376" t="s">
        <v>3286</v>
      </c>
      <c r="C1376" t="s">
        <v>2209</v>
      </c>
      <c r="D1376" t="s">
        <v>4764</v>
      </c>
      <c r="F1376" t="s">
        <v>4765</v>
      </c>
      <c r="G1376" s="126">
        <f>SUMIFS('Support - Transition'!F:F,'Support - Transition'!B:B,'Step 2'!A1376,'Support - Transition'!C:C,'Step 2'!B1376,'Support - Transition'!D:D,'Step 2'!C1376,'Support - Transition'!E:E,"CIVIL")</f>
        <v>0</v>
      </c>
      <c r="H1376" s="126">
        <f>SUMIFS('Support - Transition'!F:F,'Support - Transition'!B:B,'Step 2'!A1376,'Support - Transition'!C:C,'Step 2'!B1376,'Support - Transition'!D:D,'Step 2'!C1376,'Support - Transition'!E:E,"FIRE")</f>
        <v>0</v>
      </c>
      <c r="I1376" s="126">
        <f>IF(B1376="0",SUMIFS('Support - Transition'!F:F,'Support - Transition'!J:J,'Step 2'!D1376,'Support - Transition'!E:E,"STATE UNIT"),SUMIFS('Support - Transition'!F:F,'Support - Transition'!J:J,'Step 2'!D1376))</f>
        <v>0</v>
      </c>
      <c r="J1376" s="126">
        <f>SUMIFS('Support - Unit Adjustments'!E:E,'Support - Unit Adjustments'!F:F,'Step 2'!D1376)</f>
        <v>0</v>
      </c>
      <c r="K1376" s="126">
        <f t="shared" si="403"/>
        <v>0</v>
      </c>
      <c r="L1376" s="174">
        <f>VLOOKUP(A1376,'Step 1'!$A:$E,4,FALSE)</f>
        <v>5422774</v>
      </c>
      <c r="M1376" s="47">
        <f t="shared" si="404"/>
        <v>0</v>
      </c>
      <c r="N1376" s="177">
        <f>SUMIFS('Support - Transition'!G:G,'Support - Transition'!J:J,'Step 2'!D1376,'Support - Transition'!E:E,"2009 WELFARE ALLOCATION FACTOR")</f>
        <v>0</v>
      </c>
      <c r="O1376" s="152">
        <f t="shared" si="409"/>
        <v>0</v>
      </c>
      <c r="P1376" s="126">
        <f>IF(E1376="Y",0,SUMIFS('Support - Transition'!G:G,'Support - Transition'!J:J,'Step 2'!D1376,'Support - Transition'!E:E,"2009 SCHOOL ALLOCATION FACTOR"))</f>
        <v>0</v>
      </c>
      <c r="Q1376" s="126">
        <f>IF(E1376="Y",VLOOKUP(D1376,'Support - Unit Adjustments'!F:G,2,FALSE),0)</f>
        <v>0</v>
      </c>
      <c r="R1376" s="155">
        <f t="shared" si="421"/>
        <v>0</v>
      </c>
      <c r="S1376" s="47">
        <f t="shared" si="420"/>
        <v>0</v>
      </c>
      <c r="T1376" s="151">
        <f t="shared" si="405"/>
        <v>0</v>
      </c>
      <c r="U1376" s="151">
        <f t="shared" si="406"/>
        <v>0</v>
      </c>
      <c r="V1376" s="139">
        <f t="shared" si="407"/>
        <v>0</v>
      </c>
      <c r="W1376" s="152">
        <f t="shared" si="410"/>
        <v>0</v>
      </c>
      <c r="X1376" s="127" t="str">
        <f t="shared" si="408"/>
        <v/>
      </c>
      <c r="Y1376" s="207">
        <f t="shared" si="411"/>
        <v>0</v>
      </c>
      <c r="Z1376" s="139">
        <f t="shared" si="412"/>
        <v>0</v>
      </c>
      <c r="AA1376" s="139">
        <f t="shared" si="413"/>
        <v>0</v>
      </c>
      <c r="AC1376" s="47">
        <f t="shared" si="414"/>
        <v>0</v>
      </c>
      <c r="AD1376" s="47">
        <f t="shared" si="415"/>
        <v>0</v>
      </c>
      <c r="AE1376" s="47">
        <f t="shared" si="416"/>
        <v>0</v>
      </c>
      <c r="AG1376" s="47">
        <f t="shared" si="417"/>
        <v>0</v>
      </c>
      <c r="AH1376" s="47">
        <f t="shared" si="418"/>
        <v>0</v>
      </c>
      <c r="AI1376" s="208">
        <f t="shared" si="419"/>
        <v>0</v>
      </c>
    </row>
    <row r="1377" spans="1:35">
      <c r="A1377" t="s">
        <v>2129</v>
      </c>
      <c r="B1377" t="s">
        <v>3286</v>
      </c>
      <c r="C1377" t="s">
        <v>2204</v>
      </c>
      <c r="D1377" t="s">
        <v>4766</v>
      </c>
      <c r="F1377" t="s">
        <v>4767</v>
      </c>
      <c r="G1377" s="126">
        <f>SUMIFS('Support - Transition'!F:F,'Support - Transition'!B:B,'Step 2'!A1377,'Support - Transition'!C:C,'Step 2'!B1377,'Support - Transition'!D:D,'Step 2'!C1377,'Support - Transition'!E:E,"CIVIL")</f>
        <v>0</v>
      </c>
      <c r="H1377" s="126">
        <f>SUMIFS('Support - Transition'!F:F,'Support - Transition'!B:B,'Step 2'!A1377,'Support - Transition'!C:C,'Step 2'!B1377,'Support - Transition'!D:D,'Step 2'!C1377,'Support - Transition'!E:E,"FIRE")</f>
        <v>0</v>
      </c>
      <c r="I1377" s="126">
        <f>IF(B1377="0",SUMIFS('Support - Transition'!F:F,'Support - Transition'!J:J,'Step 2'!D1377,'Support - Transition'!E:E,"STATE UNIT"),SUMIFS('Support - Transition'!F:F,'Support - Transition'!J:J,'Step 2'!D1377))</f>
        <v>0</v>
      </c>
      <c r="J1377" s="126">
        <f>SUMIFS('Support - Unit Adjustments'!E:E,'Support - Unit Adjustments'!F:F,'Step 2'!D1377)</f>
        <v>0</v>
      </c>
      <c r="K1377" s="126">
        <f t="shared" si="403"/>
        <v>0</v>
      </c>
      <c r="L1377" s="174">
        <f>VLOOKUP(A1377,'Step 1'!$A:$E,4,FALSE)</f>
        <v>5422774</v>
      </c>
      <c r="M1377" s="47">
        <f t="shared" si="404"/>
        <v>0</v>
      </c>
      <c r="N1377" s="177">
        <f>SUMIFS('Support - Transition'!G:G,'Support - Transition'!J:J,'Step 2'!D1377,'Support - Transition'!E:E,"2009 WELFARE ALLOCATION FACTOR")</f>
        <v>0</v>
      </c>
      <c r="O1377" s="152">
        <f t="shared" si="409"/>
        <v>0</v>
      </c>
      <c r="P1377" s="126">
        <f>IF(E1377="Y",0,SUMIFS('Support - Transition'!G:G,'Support - Transition'!J:J,'Step 2'!D1377,'Support - Transition'!E:E,"2009 SCHOOL ALLOCATION FACTOR"))</f>
        <v>0</v>
      </c>
      <c r="Q1377" s="126">
        <f>IF(E1377="Y",VLOOKUP(D1377,'Support - Unit Adjustments'!F:G,2,FALSE),0)</f>
        <v>0</v>
      </c>
      <c r="R1377" s="155">
        <f t="shared" si="421"/>
        <v>0</v>
      </c>
      <c r="S1377" s="47">
        <f t="shared" si="420"/>
        <v>0</v>
      </c>
      <c r="T1377" s="151">
        <f t="shared" si="405"/>
        <v>0</v>
      </c>
      <c r="U1377" s="151">
        <f t="shared" si="406"/>
        <v>0</v>
      </c>
      <c r="V1377" s="139">
        <f t="shared" si="407"/>
        <v>0</v>
      </c>
      <c r="W1377" s="152">
        <f t="shared" si="410"/>
        <v>0</v>
      </c>
      <c r="X1377" s="127" t="str">
        <f t="shared" si="408"/>
        <v/>
      </c>
      <c r="Y1377" s="207">
        <f t="shared" si="411"/>
        <v>0</v>
      </c>
      <c r="Z1377" s="139">
        <f t="shared" si="412"/>
        <v>0</v>
      </c>
      <c r="AA1377" s="139">
        <f t="shared" si="413"/>
        <v>0</v>
      </c>
      <c r="AC1377" s="47">
        <f t="shared" si="414"/>
        <v>0</v>
      </c>
      <c r="AD1377" s="47">
        <f t="shared" si="415"/>
        <v>0</v>
      </c>
      <c r="AE1377" s="47">
        <f t="shared" si="416"/>
        <v>0</v>
      </c>
      <c r="AG1377" s="47">
        <f t="shared" si="417"/>
        <v>0</v>
      </c>
      <c r="AH1377" s="47">
        <f t="shared" si="418"/>
        <v>0</v>
      </c>
      <c r="AI1377" s="208">
        <f t="shared" si="419"/>
        <v>0</v>
      </c>
    </row>
    <row r="1378" spans="1:35">
      <c r="A1378" t="s">
        <v>2130</v>
      </c>
      <c r="B1378" s="48" t="s">
        <v>6274</v>
      </c>
      <c r="C1378" t="s">
        <v>2187</v>
      </c>
      <c r="D1378" t="str">
        <f>A1378&amp;B1378&amp;C1378</f>
        <v>4600000</v>
      </c>
      <c r="F1378" t="s">
        <v>6320</v>
      </c>
      <c r="G1378" s="126">
        <f>SUMIFS('Support - Transition'!F:F,'Support - Transition'!B:B,'Step 2'!A1378,'Support - Transition'!C:C,'Step 2'!B1378,'Support - Transition'!D:D,'Step 2'!C1378,'Support - Transition'!E:E,"CIVIL")</f>
        <v>0</v>
      </c>
      <c r="H1378" s="126">
        <f>SUMIFS('Support - Transition'!F:F,'Support - Transition'!B:B,'Step 2'!A1378,'Support - Transition'!C:C,'Step 2'!B1378,'Support - Transition'!D:D,'Step 2'!C1378,'Support - Transition'!E:E,"FIRE")</f>
        <v>0</v>
      </c>
      <c r="I1378" s="126">
        <f>IF(B1378="0",SUMIFS('Support - Transition'!F:F,'Support - Transition'!J:J,'Step 2'!D1378,'Support - Transition'!E:E,"STATE UNIT"),SUMIFS('Support - Transition'!F:F,'Support - Transition'!J:J,'Step 2'!D1378))</f>
        <v>9.4200000000000002E-4</v>
      </c>
      <c r="J1378" s="126">
        <f>SUMIFS('Support - Unit Adjustments'!E:E,'Support - Unit Adjustments'!F:F,'Step 2'!D1378)</f>
        <v>0</v>
      </c>
      <c r="K1378" s="126">
        <f t="shared" si="403"/>
        <v>9.4200000000000002E-4</v>
      </c>
      <c r="L1378" s="174">
        <f>VLOOKUP(A1378,'Step 1'!$A:$E,4,FALSE)</f>
        <v>1347834</v>
      </c>
      <c r="M1378" s="47">
        <f t="shared" si="404"/>
        <v>1270</v>
      </c>
      <c r="N1378" s="177">
        <f>SUMIFS('Support - Transition'!G:G,'Support - Transition'!J:J,'Step 2'!D1378,'Support - Transition'!E:E,"2009 WELFARE ALLOCATION FACTOR")</f>
        <v>0</v>
      </c>
      <c r="O1378" s="152">
        <f t="shared" si="409"/>
        <v>0</v>
      </c>
      <c r="P1378" s="126">
        <f>IF(E1378="Y",0,SUMIFS('Support - Transition'!G:G,'Support - Transition'!J:J,'Step 2'!D1378,'Support - Transition'!E:E,"2009 SCHOOL ALLOCATION FACTOR"))</f>
        <v>0</v>
      </c>
      <c r="Q1378" s="126">
        <f>IF(E1378="Y",VLOOKUP(D1378,'Support - Unit Adjustments'!F:G,2,FALSE),0)</f>
        <v>0</v>
      </c>
      <c r="R1378" s="155">
        <f t="shared" si="421"/>
        <v>0</v>
      </c>
      <c r="S1378" s="47">
        <f t="shared" si="420"/>
        <v>0</v>
      </c>
      <c r="T1378" s="151">
        <f t="shared" si="405"/>
        <v>1270</v>
      </c>
      <c r="U1378" s="151">
        <f t="shared" si="406"/>
        <v>1347832</v>
      </c>
      <c r="V1378" s="139">
        <f t="shared" si="407"/>
        <v>-2</v>
      </c>
      <c r="W1378" s="152">
        <f t="shared" si="410"/>
        <v>1272</v>
      </c>
      <c r="X1378" s="127">
        <f t="shared" si="408"/>
        <v>0</v>
      </c>
      <c r="Y1378" s="207">
        <f t="shared" si="411"/>
        <v>1272</v>
      </c>
      <c r="Z1378" s="139">
        <f t="shared" si="412"/>
        <v>1272</v>
      </c>
      <c r="AA1378" s="139">
        <f t="shared" si="413"/>
        <v>0</v>
      </c>
      <c r="AC1378" s="47">
        <f t="shared" si="414"/>
        <v>636</v>
      </c>
      <c r="AD1378" s="47">
        <f t="shared" si="415"/>
        <v>636</v>
      </c>
      <c r="AE1378" s="47">
        <f t="shared" si="416"/>
        <v>0</v>
      </c>
      <c r="AG1378" s="47">
        <f t="shared" si="417"/>
        <v>636</v>
      </c>
      <c r="AH1378" s="47">
        <f t="shared" si="418"/>
        <v>636</v>
      </c>
      <c r="AI1378" s="208">
        <f t="shared" si="419"/>
        <v>0</v>
      </c>
    </row>
    <row r="1379" spans="1:35">
      <c r="A1379" t="s">
        <v>2130</v>
      </c>
      <c r="B1379" t="s">
        <v>3140</v>
      </c>
      <c r="C1379" t="s">
        <v>2187</v>
      </c>
      <c r="D1379" t="s">
        <v>4768</v>
      </c>
      <c r="F1379" t="s">
        <v>1066</v>
      </c>
      <c r="G1379" s="126">
        <f>SUMIFS('Support - Transition'!F:F,'Support - Transition'!B:B,'Step 2'!A1379,'Support - Transition'!C:C,'Step 2'!B1379,'Support - Transition'!D:D,'Step 2'!C1379,'Support - Transition'!E:E,"CIVIL")</f>
        <v>0</v>
      </c>
      <c r="H1379" s="126">
        <f>SUMIFS('Support - Transition'!F:F,'Support - Transition'!B:B,'Step 2'!A1379,'Support - Transition'!C:C,'Step 2'!B1379,'Support - Transition'!D:D,'Step 2'!C1379,'Support - Transition'!E:E,"FIRE")</f>
        <v>0</v>
      </c>
      <c r="I1379" s="126">
        <f>IF(B1379="0",SUMIFS('Support - Transition'!F:F,'Support - Transition'!J:J,'Step 2'!D1379,'Support - Transition'!E:E,"STATE UNIT"),SUMIFS('Support - Transition'!F:F,'Support - Transition'!J:J,'Step 2'!D1379))</f>
        <v>0.23323199999999999</v>
      </c>
      <c r="J1379" s="126">
        <f>SUMIFS('Support - Unit Adjustments'!E:E,'Support - Unit Adjustments'!F:F,'Step 2'!D1379)</f>
        <v>0</v>
      </c>
      <c r="K1379" s="126">
        <f t="shared" si="403"/>
        <v>0.23323199999999999</v>
      </c>
      <c r="L1379" s="174">
        <f>VLOOKUP(A1379,'Step 1'!$A:$E,4,FALSE)</f>
        <v>1347834</v>
      </c>
      <c r="M1379" s="47">
        <f t="shared" si="404"/>
        <v>314358</v>
      </c>
      <c r="N1379" s="177">
        <f>SUMIFS('Support - Transition'!G:G,'Support - Transition'!J:J,'Step 2'!D1379,'Support - Transition'!E:E,"2009 WELFARE ALLOCATION FACTOR")</f>
        <v>0.24724699999999999</v>
      </c>
      <c r="O1379" s="152">
        <f t="shared" si="409"/>
        <v>77724</v>
      </c>
      <c r="P1379" s="126">
        <f>IF(E1379="Y",0,SUMIFS('Support - Transition'!G:G,'Support - Transition'!J:J,'Step 2'!D1379,'Support - Transition'!E:E,"2009 SCHOOL ALLOCATION FACTOR"))</f>
        <v>0</v>
      </c>
      <c r="Q1379" s="126">
        <f>IF(E1379="Y",VLOOKUP(D1379,'Support - Unit Adjustments'!F:G,2,FALSE),0)</f>
        <v>0</v>
      </c>
      <c r="R1379" s="155">
        <f t="shared" si="421"/>
        <v>0</v>
      </c>
      <c r="S1379" s="47">
        <f t="shared" si="420"/>
        <v>0</v>
      </c>
      <c r="T1379" s="151">
        <f t="shared" si="405"/>
        <v>236634</v>
      </c>
      <c r="U1379" s="151">
        <f t="shared" si="406"/>
        <v>0</v>
      </c>
      <c r="V1379" s="139">
        <f t="shared" si="407"/>
        <v>0</v>
      </c>
      <c r="W1379" s="152">
        <f t="shared" si="410"/>
        <v>236634</v>
      </c>
      <c r="X1379" s="127" t="str">
        <f t="shared" si="408"/>
        <v/>
      </c>
      <c r="Y1379" s="207">
        <f t="shared" si="411"/>
        <v>236634</v>
      </c>
      <c r="Z1379" s="139">
        <f t="shared" si="412"/>
        <v>236634</v>
      </c>
      <c r="AA1379" s="139">
        <f t="shared" si="413"/>
        <v>0</v>
      </c>
      <c r="AC1379" s="47">
        <f t="shared" si="414"/>
        <v>118317</v>
      </c>
      <c r="AD1379" s="47">
        <f t="shared" si="415"/>
        <v>118317</v>
      </c>
      <c r="AE1379" s="47">
        <f t="shared" si="416"/>
        <v>0</v>
      </c>
      <c r="AG1379" s="47">
        <f t="shared" si="417"/>
        <v>118317</v>
      </c>
      <c r="AH1379" s="47">
        <f t="shared" si="418"/>
        <v>118317</v>
      </c>
      <c r="AI1379" s="208">
        <f t="shared" si="419"/>
        <v>0</v>
      </c>
    </row>
    <row r="1380" spans="1:35">
      <c r="A1380" t="s">
        <v>2130</v>
      </c>
      <c r="B1380" t="s">
        <v>3142</v>
      </c>
      <c r="C1380" t="s">
        <v>2188</v>
      </c>
      <c r="D1380" t="s">
        <v>4769</v>
      </c>
      <c r="F1380" t="s">
        <v>249</v>
      </c>
      <c r="G1380" s="126">
        <f>SUMIFS('Support - Transition'!F:F,'Support - Transition'!B:B,'Step 2'!A1380,'Support - Transition'!C:C,'Step 2'!B1380,'Support - Transition'!D:D,'Step 2'!C1380,'Support - Transition'!E:E,"CIVIL")</f>
        <v>9.8400000000000007E-4</v>
      </c>
      <c r="H1380" s="126">
        <f>SUMIFS('Support - Transition'!F:F,'Support - Transition'!B:B,'Step 2'!A1380,'Support - Transition'!C:C,'Step 2'!B1380,'Support - Transition'!D:D,'Step 2'!C1380,'Support - Transition'!E:E,"FIRE")</f>
        <v>4.4900000000000002E-4</v>
      </c>
      <c r="I1380" s="126">
        <f>IF(B1380="0",SUMIFS('Support - Transition'!F:F,'Support - Transition'!J:J,'Step 2'!D1380,'Support - Transition'!E:E,"STATE UNIT"),SUMIFS('Support - Transition'!F:F,'Support - Transition'!J:J,'Step 2'!D1380))</f>
        <v>1.433E-3</v>
      </c>
      <c r="J1380" s="126">
        <f>SUMIFS('Support - Unit Adjustments'!E:E,'Support - Unit Adjustments'!F:F,'Step 2'!D1380)</f>
        <v>0</v>
      </c>
      <c r="K1380" s="126">
        <f t="shared" si="403"/>
        <v>1.433E-3</v>
      </c>
      <c r="L1380" s="174">
        <f>VLOOKUP(A1380,'Step 1'!$A:$E,4,FALSE)</f>
        <v>1347834</v>
      </c>
      <c r="M1380" s="47">
        <f t="shared" si="404"/>
        <v>1931</v>
      </c>
      <c r="N1380" s="177">
        <f>SUMIFS('Support - Transition'!G:G,'Support - Transition'!J:J,'Step 2'!D1380,'Support - Transition'!E:E,"2009 WELFARE ALLOCATION FACTOR")</f>
        <v>0</v>
      </c>
      <c r="O1380" s="152">
        <f t="shared" si="409"/>
        <v>0</v>
      </c>
      <c r="P1380" s="126">
        <f>IF(E1380="Y",0,SUMIFS('Support - Transition'!G:G,'Support - Transition'!J:J,'Step 2'!D1380,'Support - Transition'!E:E,"2009 SCHOOL ALLOCATION FACTOR"))</f>
        <v>0</v>
      </c>
      <c r="Q1380" s="126">
        <f>IF(E1380="Y",VLOOKUP(D1380,'Support - Unit Adjustments'!F:G,2,FALSE),0)</f>
        <v>0</v>
      </c>
      <c r="R1380" s="155">
        <f t="shared" si="421"/>
        <v>0</v>
      </c>
      <c r="S1380" s="47">
        <f t="shared" si="420"/>
        <v>0</v>
      </c>
      <c r="T1380" s="151">
        <f t="shared" si="405"/>
        <v>1931</v>
      </c>
      <c r="U1380" s="151">
        <f t="shared" si="406"/>
        <v>0</v>
      </c>
      <c r="V1380" s="139">
        <f t="shared" si="407"/>
        <v>0</v>
      </c>
      <c r="W1380" s="152">
        <f t="shared" si="410"/>
        <v>1931</v>
      </c>
      <c r="X1380" s="127" t="str">
        <f t="shared" si="408"/>
        <v/>
      </c>
      <c r="Y1380" s="207">
        <f t="shared" si="411"/>
        <v>1931</v>
      </c>
      <c r="Z1380" s="139">
        <f t="shared" si="412"/>
        <v>1326</v>
      </c>
      <c r="AA1380" s="139">
        <f t="shared" si="413"/>
        <v>605</v>
      </c>
      <c r="AC1380" s="47">
        <f t="shared" si="414"/>
        <v>966</v>
      </c>
      <c r="AD1380" s="47">
        <f t="shared" si="415"/>
        <v>663</v>
      </c>
      <c r="AE1380" s="47">
        <f t="shared" si="416"/>
        <v>303</v>
      </c>
      <c r="AG1380" s="47">
        <f t="shared" si="417"/>
        <v>965</v>
      </c>
      <c r="AH1380" s="47">
        <f t="shared" si="418"/>
        <v>663</v>
      </c>
      <c r="AI1380" s="208">
        <f t="shared" si="419"/>
        <v>302</v>
      </c>
    </row>
    <row r="1381" spans="1:35">
      <c r="A1381" t="s">
        <v>2130</v>
      </c>
      <c r="B1381" t="s">
        <v>3142</v>
      </c>
      <c r="C1381" t="s">
        <v>2189</v>
      </c>
      <c r="D1381" t="s">
        <v>4770</v>
      </c>
      <c r="F1381" t="s">
        <v>107</v>
      </c>
      <c r="G1381" s="126">
        <f>SUMIFS('Support - Transition'!F:F,'Support - Transition'!B:B,'Step 2'!A1381,'Support - Transition'!C:C,'Step 2'!B1381,'Support - Transition'!D:D,'Step 2'!C1381,'Support - Transition'!E:E,"CIVIL")</f>
        <v>1.2930000000000001E-3</v>
      </c>
      <c r="H1381" s="126">
        <f>SUMIFS('Support - Transition'!F:F,'Support - Transition'!B:B,'Step 2'!A1381,'Support - Transition'!C:C,'Step 2'!B1381,'Support - Transition'!D:D,'Step 2'!C1381,'Support - Transition'!E:E,"FIRE")</f>
        <v>4.9200000000000003E-4</v>
      </c>
      <c r="I1381" s="126">
        <f>IF(B1381="0",SUMIFS('Support - Transition'!F:F,'Support - Transition'!J:J,'Step 2'!D1381,'Support - Transition'!E:E,"STATE UNIT"),SUMIFS('Support - Transition'!F:F,'Support - Transition'!J:J,'Step 2'!D1381))</f>
        <v>1.7850000000000001E-3</v>
      </c>
      <c r="J1381" s="126">
        <f>SUMIFS('Support - Unit Adjustments'!E:E,'Support - Unit Adjustments'!F:F,'Step 2'!D1381)</f>
        <v>0</v>
      </c>
      <c r="K1381" s="126">
        <f t="shared" si="403"/>
        <v>1.7850000000000001E-3</v>
      </c>
      <c r="L1381" s="174">
        <f>VLOOKUP(A1381,'Step 1'!$A:$E,4,FALSE)</f>
        <v>1347834</v>
      </c>
      <c r="M1381" s="47">
        <f t="shared" si="404"/>
        <v>2406</v>
      </c>
      <c r="N1381" s="177">
        <f>SUMIFS('Support - Transition'!G:G,'Support - Transition'!J:J,'Step 2'!D1381,'Support - Transition'!E:E,"2009 WELFARE ALLOCATION FACTOR")</f>
        <v>0</v>
      </c>
      <c r="O1381" s="152">
        <f t="shared" si="409"/>
        <v>0</v>
      </c>
      <c r="P1381" s="126">
        <f>IF(E1381="Y",0,SUMIFS('Support - Transition'!G:G,'Support - Transition'!J:J,'Step 2'!D1381,'Support - Transition'!E:E,"2009 SCHOOL ALLOCATION FACTOR"))</f>
        <v>0</v>
      </c>
      <c r="Q1381" s="126">
        <f>IF(E1381="Y",VLOOKUP(D1381,'Support - Unit Adjustments'!F:G,2,FALSE),0)</f>
        <v>0</v>
      </c>
      <c r="R1381" s="155">
        <f t="shared" si="421"/>
        <v>0</v>
      </c>
      <c r="S1381" s="47">
        <f t="shared" si="420"/>
        <v>0</v>
      </c>
      <c r="T1381" s="151">
        <f t="shared" si="405"/>
        <v>2406</v>
      </c>
      <c r="U1381" s="151">
        <f t="shared" si="406"/>
        <v>0</v>
      </c>
      <c r="V1381" s="139">
        <f t="shared" si="407"/>
        <v>0</v>
      </c>
      <c r="W1381" s="152">
        <f t="shared" si="410"/>
        <v>2406</v>
      </c>
      <c r="X1381" s="127" t="str">
        <f t="shared" si="408"/>
        <v/>
      </c>
      <c r="Y1381" s="207">
        <f t="shared" si="411"/>
        <v>2406</v>
      </c>
      <c r="Z1381" s="139">
        <f t="shared" si="412"/>
        <v>1743</v>
      </c>
      <c r="AA1381" s="139">
        <f t="shared" si="413"/>
        <v>663</v>
      </c>
      <c r="AC1381" s="47">
        <f t="shared" si="414"/>
        <v>1203</v>
      </c>
      <c r="AD1381" s="47">
        <f t="shared" si="415"/>
        <v>872</v>
      </c>
      <c r="AE1381" s="47">
        <f t="shared" si="416"/>
        <v>332</v>
      </c>
      <c r="AG1381" s="47">
        <f t="shared" si="417"/>
        <v>1203</v>
      </c>
      <c r="AH1381" s="47">
        <f t="shared" si="418"/>
        <v>871</v>
      </c>
      <c r="AI1381" s="208">
        <f t="shared" si="419"/>
        <v>331</v>
      </c>
    </row>
    <row r="1382" spans="1:35">
      <c r="A1382" t="s">
        <v>2130</v>
      </c>
      <c r="B1382" t="s">
        <v>3142</v>
      </c>
      <c r="C1382" t="s">
        <v>2190</v>
      </c>
      <c r="D1382" t="s">
        <v>4771</v>
      </c>
      <c r="F1382" t="s">
        <v>147</v>
      </c>
      <c r="G1382" s="126">
        <f>SUMIFS('Support - Transition'!F:F,'Support - Transition'!B:B,'Step 2'!A1382,'Support - Transition'!C:C,'Step 2'!B1382,'Support - Transition'!D:D,'Step 2'!C1382,'Support - Transition'!E:E,"CIVIL")</f>
        <v>1.5999999999999999E-5</v>
      </c>
      <c r="H1382" s="126">
        <f>SUMIFS('Support - Transition'!F:F,'Support - Transition'!B:B,'Step 2'!A1382,'Support - Transition'!C:C,'Step 2'!B1382,'Support - Transition'!D:D,'Step 2'!C1382,'Support - Transition'!E:E,"FIRE")</f>
        <v>6.0999999999999999E-5</v>
      </c>
      <c r="I1382" s="126">
        <f>IF(B1382="0",SUMIFS('Support - Transition'!F:F,'Support - Transition'!J:J,'Step 2'!D1382,'Support - Transition'!E:E,"STATE UNIT"),SUMIFS('Support - Transition'!F:F,'Support - Transition'!J:J,'Step 2'!D1382))</f>
        <v>7.7000000000000001E-5</v>
      </c>
      <c r="J1382" s="126">
        <f>SUMIFS('Support - Unit Adjustments'!E:E,'Support - Unit Adjustments'!F:F,'Step 2'!D1382)</f>
        <v>0</v>
      </c>
      <c r="K1382" s="126">
        <f t="shared" si="403"/>
        <v>7.7000000000000001E-5</v>
      </c>
      <c r="L1382" s="174">
        <f>VLOOKUP(A1382,'Step 1'!$A:$E,4,FALSE)</f>
        <v>1347834</v>
      </c>
      <c r="M1382" s="47">
        <f t="shared" si="404"/>
        <v>104</v>
      </c>
      <c r="N1382" s="177">
        <f>SUMIFS('Support - Transition'!G:G,'Support - Transition'!J:J,'Step 2'!D1382,'Support - Transition'!E:E,"2009 WELFARE ALLOCATION FACTOR")</f>
        <v>0</v>
      </c>
      <c r="O1382" s="152">
        <f t="shared" si="409"/>
        <v>0</v>
      </c>
      <c r="P1382" s="126">
        <f>IF(E1382="Y",0,SUMIFS('Support - Transition'!G:G,'Support - Transition'!J:J,'Step 2'!D1382,'Support - Transition'!E:E,"2009 SCHOOL ALLOCATION FACTOR"))</f>
        <v>0</v>
      </c>
      <c r="Q1382" s="126">
        <f>IF(E1382="Y",VLOOKUP(D1382,'Support - Unit Adjustments'!F:G,2,FALSE),0)</f>
        <v>0</v>
      </c>
      <c r="R1382" s="155">
        <f t="shared" si="421"/>
        <v>0</v>
      </c>
      <c r="S1382" s="47">
        <f t="shared" si="420"/>
        <v>0</v>
      </c>
      <c r="T1382" s="151">
        <f t="shared" si="405"/>
        <v>104</v>
      </c>
      <c r="U1382" s="151">
        <f t="shared" si="406"/>
        <v>0</v>
      </c>
      <c r="V1382" s="139">
        <f t="shared" si="407"/>
        <v>0</v>
      </c>
      <c r="W1382" s="152">
        <f t="shared" si="410"/>
        <v>104</v>
      </c>
      <c r="X1382" s="127" t="str">
        <f t="shared" si="408"/>
        <v/>
      </c>
      <c r="Y1382" s="207">
        <f t="shared" si="411"/>
        <v>104</v>
      </c>
      <c r="Z1382" s="139">
        <f t="shared" si="412"/>
        <v>22</v>
      </c>
      <c r="AA1382" s="139">
        <f t="shared" si="413"/>
        <v>82</v>
      </c>
      <c r="AC1382" s="47">
        <f t="shared" si="414"/>
        <v>52</v>
      </c>
      <c r="AD1382" s="47">
        <f t="shared" si="415"/>
        <v>11</v>
      </c>
      <c r="AE1382" s="47">
        <f t="shared" si="416"/>
        <v>41</v>
      </c>
      <c r="AG1382" s="47">
        <f t="shared" si="417"/>
        <v>52</v>
      </c>
      <c r="AH1382" s="47">
        <f t="shared" si="418"/>
        <v>11</v>
      </c>
      <c r="AI1382" s="208">
        <f t="shared" si="419"/>
        <v>41</v>
      </c>
    </row>
    <row r="1383" spans="1:35">
      <c r="A1383" t="s">
        <v>2130</v>
      </c>
      <c r="B1383" t="s">
        <v>3142</v>
      </c>
      <c r="C1383" t="s">
        <v>2191</v>
      </c>
      <c r="D1383" t="s">
        <v>4772</v>
      </c>
      <c r="F1383" t="s">
        <v>1067</v>
      </c>
      <c r="G1383" s="126">
        <f>SUMIFS('Support - Transition'!F:F,'Support - Transition'!B:B,'Step 2'!A1383,'Support - Transition'!C:C,'Step 2'!B1383,'Support - Transition'!D:D,'Step 2'!C1383,'Support - Transition'!E:E,"CIVIL")</f>
        <v>8.52E-4</v>
      </c>
      <c r="H1383" s="126">
        <f>SUMIFS('Support - Transition'!F:F,'Support - Transition'!B:B,'Step 2'!A1383,'Support - Transition'!C:C,'Step 2'!B1383,'Support - Transition'!D:D,'Step 2'!C1383,'Support - Transition'!E:E,"FIRE")</f>
        <v>3.4900000000000003E-4</v>
      </c>
      <c r="I1383" s="126">
        <f>IF(B1383="0",SUMIFS('Support - Transition'!F:F,'Support - Transition'!J:J,'Step 2'!D1383,'Support - Transition'!E:E,"STATE UNIT"),SUMIFS('Support - Transition'!F:F,'Support - Transition'!J:J,'Step 2'!D1383))</f>
        <v>1.201E-3</v>
      </c>
      <c r="J1383" s="126">
        <f>SUMIFS('Support - Unit Adjustments'!E:E,'Support - Unit Adjustments'!F:F,'Step 2'!D1383)</f>
        <v>0</v>
      </c>
      <c r="K1383" s="126">
        <f t="shared" si="403"/>
        <v>1.201E-3</v>
      </c>
      <c r="L1383" s="174">
        <f>VLOOKUP(A1383,'Step 1'!$A:$E,4,FALSE)</f>
        <v>1347834</v>
      </c>
      <c r="M1383" s="47">
        <f t="shared" si="404"/>
        <v>1619</v>
      </c>
      <c r="N1383" s="177">
        <f>SUMIFS('Support - Transition'!G:G,'Support - Transition'!J:J,'Step 2'!D1383,'Support - Transition'!E:E,"2009 WELFARE ALLOCATION FACTOR")</f>
        <v>0</v>
      </c>
      <c r="O1383" s="152">
        <f t="shared" si="409"/>
        <v>0</v>
      </c>
      <c r="P1383" s="126">
        <f>IF(E1383="Y",0,SUMIFS('Support - Transition'!G:G,'Support - Transition'!J:J,'Step 2'!D1383,'Support - Transition'!E:E,"2009 SCHOOL ALLOCATION FACTOR"))</f>
        <v>0</v>
      </c>
      <c r="Q1383" s="126">
        <f>IF(E1383="Y",VLOOKUP(D1383,'Support - Unit Adjustments'!F:G,2,FALSE),0)</f>
        <v>0</v>
      </c>
      <c r="R1383" s="155">
        <f t="shared" si="421"/>
        <v>0</v>
      </c>
      <c r="S1383" s="47">
        <f t="shared" si="420"/>
        <v>0</v>
      </c>
      <c r="T1383" s="151">
        <f t="shared" si="405"/>
        <v>1619</v>
      </c>
      <c r="U1383" s="151">
        <f t="shared" si="406"/>
        <v>0</v>
      </c>
      <c r="V1383" s="139">
        <f t="shared" si="407"/>
        <v>0</v>
      </c>
      <c r="W1383" s="152">
        <f t="shared" si="410"/>
        <v>1619</v>
      </c>
      <c r="X1383" s="127" t="str">
        <f t="shared" si="408"/>
        <v/>
      </c>
      <c r="Y1383" s="207">
        <f t="shared" si="411"/>
        <v>1619</v>
      </c>
      <c r="Z1383" s="139">
        <f t="shared" si="412"/>
        <v>1149</v>
      </c>
      <c r="AA1383" s="139">
        <f t="shared" si="413"/>
        <v>470</v>
      </c>
      <c r="AC1383" s="47">
        <f t="shared" si="414"/>
        <v>810</v>
      </c>
      <c r="AD1383" s="47">
        <f t="shared" si="415"/>
        <v>575</v>
      </c>
      <c r="AE1383" s="47">
        <f t="shared" si="416"/>
        <v>235</v>
      </c>
      <c r="AG1383" s="47">
        <f t="shared" si="417"/>
        <v>809</v>
      </c>
      <c r="AH1383" s="47">
        <f t="shared" si="418"/>
        <v>574</v>
      </c>
      <c r="AI1383" s="208">
        <f t="shared" si="419"/>
        <v>235</v>
      </c>
    </row>
    <row r="1384" spans="1:35">
      <c r="A1384" t="s">
        <v>2130</v>
      </c>
      <c r="B1384" t="s">
        <v>3142</v>
      </c>
      <c r="C1384" t="s">
        <v>2192</v>
      </c>
      <c r="D1384" t="s">
        <v>4773</v>
      </c>
      <c r="F1384" t="s">
        <v>1068</v>
      </c>
      <c r="G1384" s="126">
        <f>SUMIFS('Support - Transition'!F:F,'Support - Transition'!B:B,'Step 2'!A1384,'Support - Transition'!C:C,'Step 2'!B1384,'Support - Transition'!D:D,'Step 2'!C1384,'Support - Transition'!E:E,"CIVIL")</f>
        <v>8.8199999999999997E-4</v>
      </c>
      <c r="H1384" s="126">
        <f>SUMIFS('Support - Transition'!F:F,'Support - Transition'!B:B,'Step 2'!A1384,'Support - Transition'!C:C,'Step 2'!B1384,'Support - Transition'!D:D,'Step 2'!C1384,'Support - Transition'!E:E,"FIRE")</f>
        <v>2.2499999999999999E-4</v>
      </c>
      <c r="I1384" s="126">
        <f>IF(B1384="0",SUMIFS('Support - Transition'!F:F,'Support - Transition'!J:J,'Step 2'!D1384,'Support - Transition'!E:E,"STATE UNIT"),SUMIFS('Support - Transition'!F:F,'Support - Transition'!J:J,'Step 2'!D1384))</f>
        <v>1.1069999999999999E-3</v>
      </c>
      <c r="J1384" s="126">
        <f>SUMIFS('Support - Unit Adjustments'!E:E,'Support - Unit Adjustments'!F:F,'Step 2'!D1384)</f>
        <v>0</v>
      </c>
      <c r="K1384" s="126">
        <f t="shared" si="403"/>
        <v>1.1069999999999999E-3</v>
      </c>
      <c r="L1384" s="174">
        <f>VLOOKUP(A1384,'Step 1'!$A:$E,4,FALSE)</f>
        <v>1347834</v>
      </c>
      <c r="M1384" s="47">
        <f t="shared" si="404"/>
        <v>1492</v>
      </c>
      <c r="N1384" s="177">
        <f>SUMIFS('Support - Transition'!G:G,'Support - Transition'!J:J,'Step 2'!D1384,'Support - Transition'!E:E,"2009 WELFARE ALLOCATION FACTOR")</f>
        <v>0</v>
      </c>
      <c r="O1384" s="152">
        <f t="shared" si="409"/>
        <v>0</v>
      </c>
      <c r="P1384" s="126">
        <f>IF(E1384="Y",0,SUMIFS('Support - Transition'!G:G,'Support - Transition'!J:J,'Step 2'!D1384,'Support - Transition'!E:E,"2009 SCHOOL ALLOCATION FACTOR"))</f>
        <v>0</v>
      </c>
      <c r="Q1384" s="126">
        <f>IF(E1384="Y",VLOOKUP(D1384,'Support - Unit Adjustments'!F:G,2,FALSE),0)</f>
        <v>0</v>
      </c>
      <c r="R1384" s="155">
        <f t="shared" si="421"/>
        <v>0</v>
      </c>
      <c r="S1384" s="47">
        <f t="shared" si="420"/>
        <v>0</v>
      </c>
      <c r="T1384" s="151">
        <f t="shared" si="405"/>
        <v>1492</v>
      </c>
      <c r="U1384" s="151">
        <f t="shared" si="406"/>
        <v>0</v>
      </c>
      <c r="V1384" s="139">
        <f t="shared" si="407"/>
        <v>0</v>
      </c>
      <c r="W1384" s="152">
        <f t="shared" si="410"/>
        <v>1492</v>
      </c>
      <c r="X1384" s="127" t="str">
        <f t="shared" si="408"/>
        <v/>
      </c>
      <c r="Y1384" s="207">
        <f t="shared" si="411"/>
        <v>1492</v>
      </c>
      <c r="Z1384" s="139">
        <f t="shared" si="412"/>
        <v>1189</v>
      </c>
      <c r="AA1384" s="139">
        <f t="shared" si="413"/>
        <v>303</v>
      </c>
      <c r="AC1384" s="47">
        <f t="shared" si="414"/>
        <v>746</v>
      </c>
      <c r="AD1384" s="47">
        <f t="shared" si="415"/>
        <v>595</v>
      </c>
      <c r="AE1384" s="47">
        <f t="shared" si="416"/>
        <v>152</v>
      </c>
      <c r="AG1384" s="47">
        <f t="shared" si="417"/>
        <v>746</v>
      </c>
      <c r="AH1384" s="47">
        <f t="shared" si="418"/>
        <v>594</v>
      </c>
      <c r="AI1384" s="208">
        <f t="shared" si="419"/>
        <v>151</v>
      </c>
    </row>
    <row r="1385" spans="1:35">
      <c r="A1385" t="s">
        <v>2130</v>
      </c>
      <c r="B1385" t="s">
        <v>3142</v>
      </c>
      <c r="C1385" t="s">
        <v>2193</v>
      </c>
      <c r="D1385" t="s">
        <v>4774</v>
      </c>
      <c r="F1385" t="s">
        <v>1069</v>
      </c>
      <c r="G1385" s="126">
        <f>SUMIFS('Support - Transition'!F:F,'Support - Transition'!B:B,'Step 2'!A1385,'Support - Transition'!C:C,'Step 2'!B1385,'Support - Transition'!D:D,'Step 2'!C1385,'Support - Transition'!E:E,"CIVIL")</f>
        <v>8.7000000000000001E-5</v>
      </c>
      <c r="H1385" s="126">
        <f>SUMIFS('Support - Transition'!F:F,'Support - Transition'!B:B,'Step 2'!A1385,'Support - Transition'!C:C,'Step 2'!B1385,'Support - Transition'!D:D,'Step 2'!C1385,'Support - Transition'!E:E,"FIRE")</f>
        <v>5.8999999999999998E-5</v>
      </c>
      <c r="I1385" s="126">
        <f>IF(B1385="0",SUMIFS('Support - Transition'!F:F,'Support - Transition'!J:J,'Step 2'!D1385,'Support - Transition'!E:E,"STATE UNIT"),SUMIFS('Support - Transition'!F:F,'Support - Transition'!J:J,'Step 2'!D1385))</f>
        <v>1.46E-4</v>
      </c>
      <c r="J1385" s="126">
        <f>SUMIFS('Support - Unit Adjustments'!E:E,'Support - Unit Adjustments'!F:F,'Step 2'!D1385)</f>
        <v>0</v>
      </c>
      <c r="K1385" s="126">
        <f t="shared" si="403"/>
        <v>1.46E-4</v>
      </c>
      <c r="L1385" s="174">
        <f>VLOOKUP(A1385,'Step 1'!$A:$E,4,FALSE)</f>
        <v>1347834</v>
      </c>
      <c r="M1385" s="47">
        <f t="shared" si="404"/>
        <v>197</v>
      </c>
      <c r="N1385" s="177">
        <f>SUMIFS('Support - Transition'!G:G,'Support - Transition'!J:J,'Step 2'!D1385,'Support - Transition'!E:E,"2009 WELFARE ALLOCATION FACTOR")</f>
        <v>0</v>
      </c>
      <c r="O1385" s="152">
        <f t="shared" si="409"/>
        <v>0</v>
      </c>
      <c r="P1385" s="126">
        <f>IF(E1385="Y",0,SUMIFS('Support - Transition'!G:G,'Support - Transition'!J:J,'Step 2'!D1385,'Support - Transition'!E:E,"2009 SCHOOL ALLOCATION FACTOR"))</f>
        <v>0</v>
      </c>
      <c r="Q1385" s="126">
        <f>IF(E1385="Y",VLOOKUP(D1385,'Support - Unit Adjustments'!F:G,2,FALSE),0)</f>
        <v>0</v>
      </c>
      <c r="R1385" s="155">
        <f t="shared" si="421"/>
        <v>0</v>
      </c>
      <c r="S1385" s="47">
        <f t="shared" si="420"/>
        <v>0</v>
      </c>
      <c r="T1385" s="151">
        <f t="shared" si="405"/>
        <v>197</v>
      </c>
      <c r="U1385" s="151">
        <f t="shared" si="406"/>
        <v>0</v>
      </c>
      <c r="V1385" s="139">
        <f t="shared" si="407"/>
        <v>0</v>
      </c>
      <c r="W1385" s="152">
        <f t="shared" si="410"/>
        <v>197</v>
      </c>
      <c r="X1385" s="127" t="str">
        <f t="shared" si="408"/>
        <v/>
      </c>
      <c r="Y1385" s="207">
        <f t="shared" si="411"/>
        <v>197</v>
      </c>
      <c r="Z1385" s="139">
        <f t="shared" si="412"/>
        <v>117</v>
      </c>
      <c r="AA1385" s="139">
        <f t="shared" si="413"/>
        <v>80</v>
      </c>
      <c r="AC1385" s="47">
        <f t="shared" si="414"/>
        <v>99</v>
      </c>
      <c r="AD1385" s="47">
        <f t="shared" si="415"/>
        <v>59</v>
      </c>
      <c r="AE1385" s="47">
        <f t="shared" si="416"/>
        <v>40</v>
      </c>
      <c r="AG1385" s="47">
        <f t="shared" si="417"/>
        <v>98</v>
      </c>
      <c r="AH1385" s="47">
        <f t="shared" si="418"/>
        <v>58</v>
      </c>
      <c r="AI1385" s="208">
        <f t="shared" si="419"/>
        <v>40</v>
      </c>
    </row>
    <row r="1386" spans="1:35">
      <c r="A1386" t="s">
        <v>2130</v>
      </c>
      <c r="B1386" t="s">
        <v>3142</v>
      </c>
      <c r="C1386" t="s">
        <v>2194</v>
      </c>
      <c r="D1386" t="s">
        <v>4775</v>
      </c>
      <c r="F1386" t="s">
        <v>1070</v>
      </c>
      <c r="G1386" s="126">
        <f>SUMIFS('Support - Transition'!F:F,'Support - Transition'!B:B,'Step 2'!A1386,'Support - Transition'!C:C,'Step 2'!B1386,'Support - Transition'!D:D,'Step 2'!C1386,'Support - Transition'!E:E,"CIVIL")</f>
        <v>1.253E-3</v>
      </c>
      <c r="H1386" s="126">
        <f>SUMIFS('Support - Transition'!F:F,'Support - Transition'!B:B,'Step 2'!A1386,'Support - Transition'!C:C,'Step 2'!B1386,'Support - Transition'!D:D,'Step 2'!C1386,'Support - Transition'!E:E,"FIRE")</f>
        <v>1.005E-3</v>
      </c>
      <c r="I1386" s="126">
        <f>IF(B1386="0",SUMIFS('Support - Transition'!F:F,'Support - Transition'!J:J,'Step 2'!D1386,'Support - Transition'!E:E,"STATE UNIT"),SUMIFS('Support - Transition'!F:F,'Support - Transition'!J:J,'Step 2'!D1386))</f>
        <v>2.258E-3</v>
      </c>
      <c r="J1386" s="126">
        <f>SUMIFS('Support - Unit Adjustments'!E:E,'Support - Unit Adjustments'!F:F,'Step 2'!D1386)</f>
        <v>0</v>
      </c>
      <c r="K1386" s="126">
        <f t="shared" si="403"/>
        <v>2.258E-3</v>
      </c>
      <c r="L1386" s="174">
        <f>VLOOKUP(A1386,'Step 1'!$A:$E,4,FALSE)</f>
        <v>1347834</v>
      </c>
      <c r="M1386" s="47">
        <f t="shared" si="404"/>
        <v>3043</v>
      </c>
      <c r="N1386" s="177">
        <f>SUMIFS('Support - Transition'!G:G,'Support - Transition'!J:J,'Step 2'!D1386,'Support - Transition'!E:E,"2009 WELFARE ALLOCATION FACTOR")</f>
        <v>0</v>
      </c>
      <c r="O1386" s="152">
        <f t="shared" si="409"/>
        <v>0</v>
      </c>
      <c r="P1386" s="126">
        <f>IF(E1386="Y",0,SUMIFS('Support - Transition'!G:G,'Support - Transition'!J:J,'Step 2'!D1386,'Support - Transition'!E:E,"2009 SCHOOL ALLOCATION FACTOR"))</f>
        <v>0</v>
      </c>
      <c r="Q1386" s="126">
        <f>IF(E1386="Y",VLOOKUP(D1386,'Support - Unit Adjustments'!F:G,2,FALSE),0)</f>
        <v>0</v>
      </c>
      <c r="R1386" s="155">
        <f t="shared" si="421"/>
        <v>0</v>
      </c>
      <c r="S1386" s="47">
        <f t="shared" si="420"/>
        <v>0</v>
      </c>
      <c r="T1386" s="151">
        <f t="shared" si="405"/>
        <v>3043</v>
      </c>
      <c r="U1386" s="151">
        <f t="shared" si="406"/>
        <v>0</v>
      </c>
      <c r="V1386" s="139">
        <f t="shared" si="407"/>
        <v>0</v>
      </c>
      <c r="W1386" s="152">
        <f t="shared" si="410"/>
        <v>3043</v>
      </c>
      <c r="X1386" s="127" t="str">
        <f t="shared" si="408"/>
        <v/>
      </c>
      <c r="Y1386" s="207">
        <f t="shared" si="411"/>
        <v>3043</v>
      </c>
      <c r="Z1386" s="139">
        <f t="shared" si="412"/>
        <v>1689</v>
      </c>
      <c r="AA1386" s="139">
        <f t="shared" si="413"/>
        <v>1354</v>
      </c>
      <c r="AC1386" s="47">
        <f t="shared" si="414"/>
        <v>1522</v>
      </c>
      <c r="AD1386" s="47">
        <f t="shared" si="415"/>
        <v>845</v>
      </c>
      <c r="AE1386" s="47">
        <f t="shared" si="416"/>
        <v>677</v>
      </c>
      <c r="AG1386" s="47">
        <f t="shared" si="417"/>
        <v>1521</v>
      </c>
      <c r="AH1386" s="47">
        <f t="shared" si="418"/>
        <v>844</v>
      </c>
      <c r="AI1386" s="208">
        <f t="shared" si="419"/>
        <v>677</v>
      </c>
    </row>
    <row r="1387" spans="1:35">
      <c r="A1387" t="s">
        <v>2130</v>
      </c>
      <c r="B1387" t="s">
        <v>3142</v>
      </c>
      <c r="C1387" t="s">
        <v>2195</v>
      </c>
      <c r="D1387" t="s">
        <v>4776</v>
      </c>
      <c r="F1387" t="s">
        <v>1071</v>
      </c>
      <c r="G1387" s="126">
        <f>SUMIFS('Support - Transition'!F:F,'Support - Transition'!B:B,'Step 2'!A1387,'Support - Transition'!C:C,'Step 2'!B1387,'Support - Transition'!D:D,'Step 2'!C1387,'Support - Transition'!E:E,"CIVIL")</f>
        <v>1.7E-5</v>
      </c>
      <c r="H1387" s="126">
        <f>SUMIFS('Support - Transition'!F:F,'Support - Transition'!B:B,'Step 2'!A1387,'Support - Transition'!C:C,'Step 2'!B1387,'Support - Transition'!D:D,'Step 2'!C1387,'Support - Transition'!E:E,"FIRE")</f>
        <v>1.5999999999999999E-5</v>
      </c>
      <c r="I1387" s="126">
        <f>IF(B1387="0",SUMIFS('Support - Transition'!F:F,'Support - Transition'!J:J,'Step 2'!D1387,'Support - Transition'!E:E,"STATE UNIT"),SUMIFS('Support - Transition'!F:F,'Support - Transition'!J:J,'Step 2'!D1387))</f>
        <v>3.3000000000000003E-5</v>
      </c>
      <c r="J1387" s="126">
        <f>SUMIFS('Support - Unit Adjustments'!E:E,'Support - Unit Adjustments'!F:F,'Step 2'!D1387)</f>
        <v>0</v>
      </c>
      <c r="K1387" s="126">
        <f t="shared" si="403"/>
        <v>3.3000000000000003E-5</v>
      </c>
      <c r="L1387" s="174">
        <f>VLOOKUP(A1387,'Step 1'!$A:$E,4,FALSE)</f>
        <v>1347834</v>
      </c>
      <c r="M1387" s="47">
        <f t="shared" si="404"/>
        <v>44</v>
      </c>
      <c r="N1387" s="177">
        <f>SUMIFS('Support - Transition'!G:G,'Support - Transition'!J:J,'Step 2'!D1387,'Support - Transition'!E:E,"2009 WELFARE ALLOCATION FACTOR")</f>
        <v>0</v>
      </c>
      <c r="O1387" s="152">
        <f t="shared" si="409"/>
        <v>0</v>
      </c>
      <c r="P1387" s="126">
        <f>IF(E1387="Y",0,SUMIFS('Support - Transition'!G:G,'Support - Transition'!J:J,'Step 2'!D1387,'Support - Transition'!E:E,"2009 SCHOOL ALLOCATION FACTOR"))</f>
        <v>0</v>
      </c>
      <c r="Q1387" s="126">
        <f>IF(E1387="Y",VLOOKUP(D1387,'Support - Unit Adjustments'!F:G,2,FALSE),0)</f>
        <v>0</v>
      </c>
      <c r="R1387" s="155">
        <f t="shared" si="421"/>
        <v>0</v>
      </c>
      <c r="S1387" s="47">
        <f t="shared" si="420"/>
        <v>0</v>
      </c>
      <c r="T1387" s="151">
        <f t="shared" si="405"/>
        <v>44</v>
      </c>
      <c r="U1387" s="151">
        <f t="shared" si="406"/>
        <v>0</v>
      </c>
      <c r="V1387" s="139">
        <f t="shared" si="407"/>
        <v>0</v>
      </c>
      <c r="W1387" s="152">
        <f t="shared" si="410"/>
        <v>44</v>
      </c>
      <c r="X1387" s="127" t="str">
        <f t="shared" si="408"/>
        <v/>
      </c>
      <c r="Y1387" s="207">
        <f t="shared" si="411"/>
        <v>44</v>
      </c>
      <c r="Z1387" s="139">
        <f t="shared" si="412"/>
        <v>23</v>
      </c>
      <c r="AA1387" s="139">
        <f t="shared" si="413"/>
        <v>21</v>
      </c>
      <c r="AC1387" s="47">
        <f t="shared" si="414"/>
        <v>22</v>
      </c>
      <c r="AD1387" s="47">
        <f t="shared" si="415"/>
        <v>12</v>
      </c>
      <c r="AE1387" s="47">
        <f t="shared" si="416"/>
        <v>11</v>
      </c>
      <c r="AG1387" s="47">
        <f t="shared" si="417"/>
        <v>22</v>
      </c>
      <c r="AH1387" s="47">
        <f t="shared" si="418"/>
        <v>11</v>
      </c>
      <c r="AI1387" s="208">
        <f t="shared" si="419"/>
        <v>10</v>
      </c>
    </row>
    <row r="1388" spans="1:35">
      <c r="A1388" t="s">
        <v>2130</v>
      </c>
      <c r="B1388" t="s">
        <v>3142</v>
      </c>
      <c r="C1388" t="s">
        <v>2196</v>
      </c>
      <c r="D1388" t="s">
        <v>4777</v>
      </c>
      <c r="F1388" t="s">
        <v>268</v>
      </c>
      <c r="G1388" s="126">
        <f>SUMIFS('Support - Transition'!F:F,'Support - Transition'!B:B,'Step 2'!A1388,'Support - Transition'!C:C,'Step 2'!B1388,'Support - Transition'!D:D,'Step 2'!C1388,'Support - Transition'!E:E,"CIVIL")</f>
        <v>2.3E-5</v>
      </c>
      <c r="H1388" s="126">
        <f>SUMIFS('Support - Transition'!F:F,'Support - Transition'!B:B,'Step 2'!A1388,'Support - Transition'!C:C,'Step 2'!B1388,'Support - Transition'!D:D,'Step 2'!C1388,'Support - Transition'!E:E,"FIRE")</f>
        <v>2.3E-5</v>
      </c>
      <c r="I1388" s="126">
        <f>IF(B1388="0",SUMIFS('Support - Transition'!F:F,'Support - Transition'!J:J,'Step 2'!D1388,'Support - Transition'!E:E,"STATE UNIT"),SUMIFS('Support - Transition'!F:F,'Support - Transition'!J:J,'Step 2'!D1388))</f>
        <v>4.6E-5</v>
      </c>
      <c r="J1388" s="126">
        <f>SUMIFS('Support - Unit Adjustments'!E:E,'Support - Unit Adjustments'!F:F,'Step 2'!D1388)</f>
        <v>0</v>
      </c>
      <c r="K1388" s="126">
        <f t="shared" si="403"/>
        <v>4.6E-5</v>
      </c>
      <c r="L1388" s="174">
        <f>VLOOKUP(A1388,'Step 1'!$A:$E,4,FALSE)</f>
        <v>1347834</v>
      </c>
      <c r="M1388" s="47">
        <f t="shared" si="404"/>
        <v>62</v>
      </c>
      <c r="N1388" s="177">
        <f>SUMIFS('Support - Transition'!G:G,'Support - Transition'!J:J,'Step 2'!D1388,'Support - Transition'!E:E,"2009 WELFARE ALLOCATION FACTOR")</f>
        <v>0</v>
      </c>
      <c r="O1388" s="152">
        <f t="shared" si="409"/>
        <v>0</v>
      </c>
      <c r="P1388" s="126">
        <f>IF(E1388="Y",0,SUMIFS('Support - Transition'!G:G,'Support - Transition'!J:J,'Step 2'!D1388,'Support - Transition'!E:E,"2009 SCHOOL ALLOCATION FACTOR"))</f>
        <v>0</v>
      </c>
      <c r="Q1388" s="126">
        <f>IF(E1388="Y",VLOOKUP(D1388,'Support - Unit Adjustments'!F:G,2,FALSE),0)</f>
        <v>0</v>
      </c>
      <c r="R1388" s="155">
        <f t="shared" si="421"/>
        <v>0</v>
      </c>
      <c r="S1388" s="47">
        <f t="shared" si="420"/>
        <v>0</v>
      </c>
      <c r="T1388" s="151">
        <f t="shared" si="405"/>
        <v>62</v>
      </c>
      <c r="U1388" s="151">
        <f t="shared" si="406"/>
        <v>0</v>
      </c>
      <c r="V1388" s="139">
        <f t="shared" si="407"/>
        <v>0</v>
      </c>
      <c r="W1388" s="152">
        <f t="shared" si="410"/>
        <v>62</v>
      </c>
      <c r="X1388" s="127" t="str">
        <f t="shared" si="408"/>
        <v/>
      </c>
      <c r="Y1388" s="207">
        <f t="shared" si="411"/>
        <v>62</v>
      </c>
      <c r="Z1388" s="139">
        <f t="shared" si="412"/>
        <v>31</v>
      </c>
      <c r="AA1388" s="139">
        <f t="shared" si="413"/>
        <v>31</v>
      </c>
      <c r="AC1388" s="47">
        <f t="shared" si="414"/>
        <v>31</v>
      </c>
      <c r="AD1388" s="47">
        <f t="shared" si="415"/>
        <v>16</v>
      </c>
      <c r="AE1388" s="47">
        <f t="shared" si="416"/>
        <v>16</v>
      </c>
      <c r="AG1388" s="47">
        <f t="shared" si="417"/>
        <v>31</v>
      </c>
      <c r="AH1388" s="47">
        <f t="shared" si="418"/>
        <v>15</v>
      </c>
      <c r="AI1388" s="208">
        <f t="shared" si="419"/>
        <v>15</v>
      </c>
    </row>
    <row r="1389" spans="1:35">
      <c r="A1389" t="s">
        <v>2130</v>
      </c>
      <c r="B1389" t="s">
        <v>3142</v>
      </c>
      <c r="C1389" t="s">
        <v>2197</v>
      </c>
      <c r="D1389" t="s">
        <v>4778</v>
      </c>
      <c r="F1389" t="s">
        <v>836</v>
      </c>
      <c r="G1389" s="126">
        <f>SUMIFS('Support - Transition'!F:F,'Support - Transition'!B:B,'Step 2'!A1389,'Support - Transition'!C:C,'Step 2'!B1389,'Support - Transition'!D:D,'Step 2'!C1389,'Support - Transition'!E:E,"CIVIL")</f>
        <v>1.1119999999999999E-3</v>
      </c>
      <c r="H1389" s="126">
        <f>SUMIFS('Support - Transition'!F:F,'Support - Transition'!B:B,'Step 2'!A1389,'Support - Transition'!C:C,'Step 2'!B1389,'Support - Transition'!D:D,'Step 2'!C1389,'Support - Transition'!E:E,"FIRE")</f>
        <v>8.8999999999999995E-4</v>
      </c>
      <c r="I1389" s="126">
        <f>IF(B1389="0",SUMIFS('Support - Transition'!F:F,'Support - Transition'!J:J,'Step 2'!D1389,'Support - Transition'!E:E,"STATE UNIT"),SUMIFS('Support - Transition'!F:F,'Support - Transition'!J:J,'Step 2'!D1389))</f>
        <v>2.0019999999999999E-3</v>
      </c>
      <c r="J1389" s="126">
        <f>SUMIFS('Support - Unit Adjustments'!E:E,'Support - Unit Adjustments'!F:F,'Step 2'!D1389)</f>
        <v>0</v>
      </c>
      <c r="K1389" s="126">
        <f t="shared" si="403"/>
        <v>2.0019999999999999E-3</v>
      </c>
      <c r="L1389" s="174">
        <f>VLOOKUP(A1389,'Step 1'!$A:$E,4,FALSE)</f>
        <v>1347834</v>
      </c>
      <c r="M1389" s="47">
        <f t="shared" si="404"/>
        <v>2698</v>
      </c>
      <c r="N1389" s="177">
        <f>SUMIFS('Support - Transition'!G:G,'Support - Transition'!J:J,'Step 2'!D1389,'Support - Transition'!E:E,"2009 WELFARE ALLOCATION FACTOR")</f>
        <v>0</v>
      </c>
      <c r="O1389" s="152">
        <f t="shared" si="409"/>
        <v>0</v>
      </c>
      <c r="P1389" s="126">
        <f>IF(E1389="Y",0,SUMIFS('Support - Transition'!G:G,'Support - Transition'!J:J,'Step 2'!D1389,'Support - Transition'!E:E,"2009 SCHOOL ALLOCATION FACTOR"))</f>
        <v>0</v>
      </c>
      <c r="Q1389" s="126">
        <f>IF(E1389="Y",VLOOKUP(D1389,'Support - Unit Adjustments'!F:G,2,FALSE),0)</f>
        <v>0</v>
      </c>
      <c r="R1389" s="155">
        <f t="shared" si="421"/>
        <v>0</v>
      </c>
      <c r="S1389" s="47">
        <f t="shared" si="420"/>
        <v>0</v>
      </c>
      <c r="T1389" s="151">
        <f t="shared" si="405"/>
        <v>2698</v>
      </c>
      <c r="U1389" s="151">
        <f t="shared" si="406"/>
        <v>0</v>
      </c>
      <c r="V1389" s="139">
        <f t="shared" si="407"/>
        <v>0</v>
      </c>
      <c r="W1389" s="152">
        <f t="shared" si="410"/>
        <v>2698</v>
      </c>
      <c r="X1389" s="127" t="str">
        <f t="shared" si="408"/>
        <v/>
      </c>
      <c r="Y1389" s="207">
        <f t="shared" si="411"/>
        <v>2698</v>
      </c>
      <c r="Z1389" s="139">
        <f t="shared" si="412"/>
        <v>1499</v>
      </c>
      <c r="AA1389" s="139">
        <f t="shared" si="413"/>
        <v>1199</v>
      </c>
      <c r="AC1389" s="47">
        <f t="shared" si="414"/>
        <v>1349</v>
      </c>
      <c r="AD1389" s="47">
        <f t="shared" si="415"/>
        <v>750</v>
      </c>
      <c r="AE1389" s="47">
        <f t="shared" si="416"/>
        <v>600</v>
      </c>
      <c r="AG1389" s="47">
        <f t="shared" si="417"/>
        <v>1349</v>
      </c>
      <c r="AH1389" s="47">
        <f t="shared" si="418"/>
        <v>749</v>
      </c>
      <c r="AI1389" s="208">
        <f t="shared" si="419"/>
        <v>599</v>
      </c>
    </row>
    <row r="1390" spans="1:35">
      <c r="A1390" t="s">
        <v>2130</v>
      </c>
      <c r="B1390" t="s">
        <v>3142</v>
      </c>
      <c r="C1390" t="s">
        <v>2198</v>
      </c>
      <c r="D1390" t="s">
        <v>4779</v>
      </c>
      <c r="F1390" t="s">
        <v>714</v>
      </c>
      <c r="G1390" s="126">
        <f>SUMIFS('Support - Transition'!F:F,'Support - Transition'!B:B,'Step 2'!A1390,'Support - Transition'!C:C,'Step 2'!B1390,'Support - Transition'!D:D,'Step 2'!C1390,'Support - Transition'!E:E,"CIVIL")</f>
        <v>3.1100000000000002E-4</v>
      </c>
      <c r="H1390" s="126">
        <f>SUMIFS('Support - Transition'!F:F,'Support - Transition'!B:B,'Step 2'!A1390,'Support - Transition'!C:C,'Step 2'!B1390,'Support - Transition'!D:D,'Step 2'!C1390,'Support - Transition'!E:E,"FIRE")</f>
        <v>3.1100000000000002E-4</v>
      </c>
      <c r="I1390" s="126">
        <f>IF(B1390="0",SUMIFS('Support - Transition'!F:F,'Support - Transition'!J:J,'Step 2'!D1390,'Support - Transition'!E:E,"STATE UNIT"),SUMIFS('Support - Transition'!F:F,'Support - Transition'!J:J,'Step 2'!D1390))</f>
        <v>6.2200000000000005E-4</v>
      </c>
      <c r="J1390" s="126">
        <f>SUMIFS('Support - Unit Adjustments'!E:E,'Support - Unit Adjustments'!F:F,'Step 2'!D1390)</f>
        <v>0</v>
      </c>
      <c r="K1390" s="126">
        <f t="shared" si="403"/>
        <v>6.2200000000000005E-4</v>
      </c>
      <c r="L1390" s="174">
        <f>VLOOKUP(A1390,'Step 1'!$A:$E,4,FALSE)</f>
        <v>1347834</v>
      </c>
      <c r="M1390" s="47">
        <f t="shared" si="404"/>
        <v>838</v>
      </c>
      <c r="N1390" s="177">
        <f>SUMIFS('Support - Transition'!G:G,'Support - Transition'!J:J,'Step 2'!D1390,'Support - Transition'!E:E,"2009 WELFARE ALLOCATION FACTOR")</f>
        <v>0</v>
      </c>
      <c r="O1390" s="152">
        <f t="shared" si="409"/>
        <v>0</v>
      </c>
      <c r="P1390" s="126">
        <f>IF(E1390="Y",0,SUMIFS('Support - Transition'!G:G,'Support - Transition'!J:J,'Step 2'!D1390,'Support - Transition'!E:E,"2009 SCHOOL ALLOCATION FACTOR"))</f>
        <v>0</v>
      </c>
      <c r="Q1390" s="126">
        <f>IF(E1390="Y",VLOOKUP(D1390,'Support - Unit Adjustments'!F:G,2,FALSE),0)</f>
        <v>0</v>
      </c>
      <c r="R1390" s="155">
        <f t="shared" si="421"/>
        <v>0</v>
      </c>
      <c r="S1390" s="47">
        <f t="shared" si="420"/>
        <v>0</v>
      </c>
      <c r="T1390" s="151">
        <f t="shared" si="405"/>
        <v>838</v>
      </c>
      <c r="U1390" s="151">
        <f t="shared" si="406"/>
        <v>0</v>
      </c>
      <c r="V1390" s="139">
        <f t="shared" si="407"/>
        <v>0</v>
      </c>
      <c r="W1390" s="152">
        <f t="shared" si="410"/>
        <v>838</v>
      </c>
      <c r="X1390" s="127" t="str">
        <f t="shared" si="408"/>
        <v/>
      </c>
      <c r="Y1390" s="207">
        <f t="shared" si="411"/>
        <v>838</v>
      </c>
      <c r="Z1390" s="139">
        <f t="shared" si="412"/>
        <v>419</v>
      </c>
      <c r="AA1390" s="139">
        <f t="shared" si="413"/>
        <v>419</v>
      </c>
      <c r="AC1390" s="47">
        <f t="shared" si="414"/>
        <v>419</v>
      </c>
      <c r="AD1390" s="47">
        <f t="shared" si="415"/>
        <v>210</v>
      </c>
      <c r="AE1390" s="47">
        <f t="shared" si="416"/>
        <v>210</v>
      </c>
      <c r="AG1390" s="47">
        <f t="shared" si="417"/>
        <v>419</v>
      </c>
      <c r="AH1390" s="47">
        <f t="shared" si="418"/>
        <v>209</v>
      </c>
      <c r="AI1390" s="208">
        <f t="shared" si="419"/>
        <v>209</v>
      </c>
    </row>
    <row r="1391" spans="1:35">
      <c r="A1391" t="s">
        <v>2130</v>
      </c>
      <c r="B1391" t="s">
        <v>3142</v>
      </c>
      <c r="C1391" t="s">
        <v>2199</v>
      </c>
      <c r="D1391" t="s">
        <v>4780</v>
      </c>
      <c r="F1391" t="s">
        <v>270</v>
      </c>
      <c r="G1391" s="126">
        <f>SUMIFS('Support - Transition'!F:F,'Support - Transition'!B:B,'Step 2'!A1391,'Support - Transition'!C:C,'Step 2'!B1391,'Support - Transition'!D:D,'Step 2'!C1391,'Support - Transition'!E:E,"CIVIL")</f>
        <v>7.2499999999999995E-4</v>
      </c>
      <c r="H1391" s="126">
        <f>SUMIFS('Support - Transition'!F:F,'Support - Transition'!B:B,'Step 2'!A1391,'Support - Transition'!C:C,'Step 2'!B1391,'Support - Transition'!D:D,'Step 2'!C1391,'Support - Transition'!E:E,"FIRE")</f>
        <v>0</v>
      </c>
      <c r="I1391" s="126">
        <f>IF(B1391="0",SUMIFS('Support - Transition'!F:F,'Support - Transition'!J:J,'Step 2'!D1391,'Support - Transition'!E:E,"STATE UNIT"),SUMIFS('Support - Transition'!F:F,'Support - Transition'!J:J,'Step 2'!D1391))</f>
        <v>7.2499999999999995E-4</v>
      </c>
      <c r="J1391" s="126">
        <f>SUMIFS('Support - Unit Adjustments'!E:E,'Support - Unit Adjustments'!F:F,'Step 2'!D1391)</f>
        <v>0</v>
      </c>
      <c r="K1391" s="126">
        <f t="shared" si="403"/>
        <v>7.2499999999999995E-4</v>
      </c>
      <c r="L1391" s="174">
        <f>VLOOKUP(A1391,'Step 1'!$A:$E,4,FALSE)</f>
        <v>1347834</v>
      </c>
      <c r="M1391" s="47">
        <f t="shared" si="404"/>
        <v>977</v>
      </c>
      <c r="N1391" s="177">
        <f>SUMIFS('Support - Transition'!G:G,'Support - Transition'!J:J,'Step 2'!D1391,'Support - Transition'!E:E,"2009 WELFARE ALLOCATION FACTOR")</f>
        <v>0</v>
      </c>
      <c r="O1391" s="152">
        <f t="shared" si="409"/>
        <v>0</v>
      </c>
      <c r="P1391" s="126">
        <f>IF(E1391="Y",0,SUMIFS('Support - Transition'!G:G,'Support - Transition'!J:J,'Step 2'!D1391,'Support - Transition'!E:E,"2009 SCHOOL ALLOCATION FACTOR"))</f>
        <v>0</v>
      </c>
      <c r="Q1391" s="126">
        <f>IF(E1391="Y",VLOOKUP(D1391,'Support - Unit Adjustments'!F:G,2,FALSE),0)</f>
        <v>0</v>
      </c>
      <c r="R1391" s="155">
        <f t="shared" si="421"/>
        <v>0</v>
      </c>
      <c r="S1391" s="47">
        <f t="shared" si="420"/>
        <v>0</v>
      </c>
      <c r="T1391" s="151">
        <f t="shared" si="405"/>
        <v>977</v>
      </c>
      <c r="U1391" s="151">
        <f t="shared" si="406"/>
        <v>0</v>
      </c>
      <c r="V1391" s="139">
        <f t="shared" si="407"/>
        <v>0</v>
      </c>
      <c r="W1391" s="152">
        <f t="shared" si="410"/>
        <v>977</v>
      </c>
      <c r="X1391" s="127" t="str">
        <f t="shared" si="408"/>
        <v/>
      </c>
      <c r="Y1391" s="207">
        <f t="shared" si="411"/>
        <v>977</v>
      </c>
      <c r="Z1391" s="139">
        <f t="shared" si="412"/>
        <v>977</v>
      </c>
      <c r="AA1391" s="139">
        <f t="shared" si="413"/>
        <v>0</v>
      </c>
      <c r="AC1391" s="47">
        <f t="shared" si="414"/>
        <v>489</v>
      </c>
      <c r="AD1391" s="47">
        <f t="shared" si="415"/>
        <v>489</v>
      </c>
      <c r="AE1391" s="47">
        <f t="shared" si="416"/>
        <v>0</v>
      </c>
      <c r="AG1391" s="47">
        <f t="shared" si="417"/>
        <v>488</v>
      </c>
      <c r="AH1391" s="47">
        <f t="shared" si="418"/>
        <v>488</v>
      </c>
      <c r="AI1391" s="208">
        <f t="shared" si="419"/>
        <v>0</v>
      </c>
    </row>
    <row r="1392" spans="1:35">
      <c r="A1392" t="s">
        <v>2130</v>
      </c>
      <c r="B1392" t="s">
        <v>3142</v>
      </c>
      <c r="C1392" t="s">
        <v>2208</v>
      </c>
      <c r="D1392" t="s">
        <v>4781</v>
      </c>
      <c r="F1392" t="s">
        <v>1072</v>
      </c>
      <c r="G1392" s="126">
        <f>SUMIFS('Support - Transition'!F:F,'Support - Transition'!B:B,'Step 2'!A1392,'Support - Transition'!C:C,'Step 2'!B1392,'Support - Transition'!D:D,'Step 2'!C1392,'Support - Transition'!E:E,"CIVIL")</f>
        <v>8.9700000000000001E-4</v>
      </c>
      <c r="H1392" s="126">
        <f>SUMIFS('Support - Transition'!F:F,'Support - Transition'!B:B,'Step 2'!A1392,'Support - Transition'!C:C,'Step 2'!B1392,'Support - Transition'!D:D,'Step 2'!C1392,'Support - Transition'!E:E,"FIRE")</f>
        <v>6.1300000000000005E-4</v>
      </c>
      <c r="I1392" s="126">
        <f>IF(B1392="0",SUMIFS('Support - Transition'!F:F,'Support - Transition'!J:J,'Step 2'!D1392,'Support - Transition'!E:E,"STATE UNIT"),SUMIFS('Support - Transition'!F:F,'Support - Transition'!J:J,'Step 2'!D1392))</f>
        <v>1.5100000000000001E-3</v>
      </c>
      <c r="J1392" s="126">
        <f>SUMIFS('Support - Unit Adjustments'!E:E,'Support - Unit Adjustments'!F:F,'Step 2'!D1392)</f>
        <v>0</v>
      </c>
      <c r="K1392" s="126">
        <f t="shared" si="403"/>
        <v>1.5100000000000001E-3</v>
      </c>
      <c r="L1392" s="174">
        <f>VLOOKUP(A1392,'Step 1'!$A:$E,4,FALSE)</f>
        <v>1347834</v>
      </c>
      <c r="M1392" s="47">
        <f t="shared" si="404"/>
        <v>2035</v>
      </c>
      <c r="N1392" s="177">
        <f>SUMIFS('Support - Transition'!G:G,'Support - Transition'!J:J,'Step 2'!D1392,'Support - Transition'!E:E,"2009 WELFARE ALLOCATION FACTOR")</f>
        <v>0</v>
      </c>
      <c r="O1392" s="152">
        <f t="shared" si="409"/>
        <v>0</v>
      </c>
      <c r="P1392" s="126">
        <f>IF(E1392="Y",0,SUMIFS('Support - Transition'!G:G,'Support - Transition'!J:J,'Step 2'!D1392,'Support - Transition'!E:E,"2009 SCHOOL ALLOCATION FACTOR"))</f>
        <v>0</v>
      </c>
      <c r="Q1392" s="126">
        <f>IF(E1392="Y",VLOOKUP(D1392,'Support - Unit Adjustments'!F:G,2,FALSE),0)</f>
        <v>0</v>
      </c>
      <c r="R1392" s="155">
        <f t="shared" si="421"/>
        <v>0</v>
      </c>
      <c r="S1392" s="47">
        <f t="shared" si="420"/>
        <v>0</v>
      </c>
      <c r="T1392" s="151">
        <f t="shared" si="405"/>
        <v>2035</v>
      </c>
      <c r="U1392" s="151">
        <f t="shared" si="406"/>
        <v>0</v>
      </c>
      <c r="V1392" s="139">
        <f t="shared" si="407"/>
        <v>0</v>
      </c>
      <c r="W1392" s="152">
        <f t="shared" si="410"/>
        <v>2035</v>
      </c>
      <c r="X1392" s="127" t="str">
        <f t="shared" si="408"/>
        <v/>
      </c>
      <c r="Y1392" s="207">
        <f t="shared" si="411"/>
        <v>2035</v>
      </c>
      <c r="Z1392" s="139">
        <f t="shared" si="412"/>
        <v>1209</v>
      </c>
      <c r="AA1392" s="139">
        <f t="shared" si="413"/>
        <v>826</v>
      </c>
      <c r="AC1392" s="47">
        <f t="shared" si="414"/>
        <v>1018</v>
      </c>
      <c r="AD1392" s="47">
        <f t="shared" si="415"/>
        <v>605</v>
      </c>
      <c r="AE1392" s="47">
        <f t="shared" si="416"/>
        <v>413</v>
      </c>
      <c r="AG1392" s="47">
        <f t="shared" si="417"/>
        <v>1017</v>
      </c>
      <c r="AH1392" s="47">
        <f t="shared" si="418"/>
        <v>604</v>
      </c>
      <c r="AI1392" s="208">
        <f t="shared" si="419"/>
        <v>413</v>
      </c>
    </row>
    <row r="1393" spans="1:35">
      <c r="A1393" t="s">
        <v>2130</v>
      </c>
      <c r="B1393" t="s">
        <v>3142</v>
      </c>
      <c r="C1393" t="s">
        <v>2209</v>
      </c>
      <c r="D1393" t="s">
        <v>4782</v>
      </c>
      <c r="F1393" t="s">
        <v>203</v>
      </c>
      <c r="G1393" s="126">
        <f>SUMIFS('Support - Transition'!F:F,'Support - Transition'!B:B,'Step 2'!A1393,'Support - Transition'!C:C,'Step 2'!B1393,'Support - Transition'!D:D,'Step 2'!C1393,'Support - Transition'!E:E,"CIVIL")</f>
        <v>9.9500000000000001E-4</v>
      </c>
      <c r="H1393" s="126">
        <f>SUMIFS('Support - Transition'!F:F,'Support - Transition'!B:B,'Step 2'!A1393,'Support - Transition'!C:C,'Step 2'!B1393,'Support - Transition'!D:D,'Step 2'!C1393,'Support - Transition'!E:E,"FIRE")</f>
        <v>6.4800000000000003E-4</v>
      </c>
      <c r="I1393" s="126">
        <f>IF(B1393="0",SUMIFS('Support - Transition'!F:F,'Support - Transition'!J:J,'Step 2'!D1393,'Support - Transition'!E:E,"STATE UNIT"),SUMIFS('Support - Transition'!F:F,'Support - Transition'!J:J,'Step 2'!D1393))</f>
        <v>1.6429999999999999E-3</v>
      </c>
      <c r="J1393" s="126">
        <f>SUMIFS('Support - Unit Adjustments'!E:E,'Support - Unit Adjustments'!F:F,'Step 2'!D1393)</f>
        <v>0</v>
      </c>
      <c r="K1393" s="126">
        <f t="shared" si="403"/>
        <v>1.6429999999999999E-3</v>
      </c>
      <c r="L1393" s="174">
        <f>VLOOKUP(A1393,'Step 1'!$A:$E,4,FALSE)</f>
        <v>1347834</v>
      </c>
      <c r="M1393" s="47">
        <f t="shared" si="404"/>
        <v>2214</v>
      </c>
      <c r="N1393" s="177">
        <f>SUMIFS('Support - Transition'!G:G,'Support - Transition'!J:J,'Step 2'!D1393,'Support - Transition'!E:E,"2009 WELFARE ALLOCATION FACTOR")</f>
        <v>0</v>
      </c>
      <c r="O1393" s="152">
        <f t="shared" si="409"/>
        <v>0</v>
      </c>
      <c r="P1393" s="126">
        <f>IF(E1393="Y",0,SUMIFS('Support - Transition'!G:G,'Support - Transition'!J:J,'Step 2'!D1393,'Support - Transition'!E:E,"2009 SCHOOL ALLOCATION FACTOR"))</f>
        <v>0</v>
      </c>
      <c r="Q1393" s="126">
        <f>IF(E1393="Y",VLOOKUP(D1393,'Support - Unit Adjustments'!F:G,2,FALSE),0)</f>
        <v>0</v>
      </c>
      <c r="R1393" s="155">
        <f t="shared" si="421"/>
        <v>0</v>
      </c>
      <c r="S1393" s="47">
        <f t="shared" si="420"/>
        <v>0</v>
      </c>
      <c r="T1393" s="151">
        <f t="shared" si="405"/>
        <v>2214</v>
      </c>
      <c r="U1393" s="151">
        <f t="shared" si="406"/>
        <v>0</v>
      </c>
      <c r="V1393" s="139">
        <f t="shared" si="407"/>
        <v>0</v>
      </c>
      <c r="W1393" s="152">
        <f t="shared" si="410"/>
        <v>2214</v>
      </c>
      <c r="X1393" s="127" t="str">
        <f t="shared" si="408"/>
        <v/>
      </c>
      <c r="Y1393" s="207">
        <f t="shared" si="411"/>
        <v>2214</v>
      </c>
      <c r="Z1393" s="139">
        <f t="shared" si="412"/>
        <v>1341</v>
      </c>
      <c r="AA1393" s="139">
        <f t="shared" si="413"/>
        <v>873</v>
      </c>
      <c r="AC1393" s="47">
        <f t="shared" si="414"/>
        <v>1107</v>
      </c>
      <c r="AD1393" s="47">
        <f t="shared" si="415"/>
        <v>671</v>
      </c>
      <c r="AE1393" s="47">
        <f t="shared" si="416"/>
        <v>437</v>
      </c>
      <c r="AG1393" s="47">
        <f t="shared" si="417"/>
        <v>1107</v>
      </c>
      <c r="AH1393" s="47">
        <f t="shared" si="418"/>
        <v>670</v>
      </c>
      <c r="AI1393" s="208">
        <f t="shared" si="419"/>
        <v>436</v>
      </c>
    </row>
    <row r="1394" spans="1:35">
      <c r="A1394" t="s">
        <v>2130</v>
      </c>
      <c r="B1394" t="s">
        <v>3142</v>
      </c>
      <c r="C1394" t="s">
        <v>2204</v>
      </c>
      <c r="D1394" t="s">
        <v>4783</v>
      </c>
      <c r="F1394" t="s">
        <v>57</v>
      </c>
      <c r="G1394" s="126">
        <f>SUMIFS('Support - Transition'!F:F,'Support - Transition'!B:B,'Step 2'!A1394,'Support - Transition'!C:C,'Step 2'!B1394,'Support - Transition'!D:D,'Step 2'!C1394,'Support - Transition'!E:E,"CIVIL")</f>
        <v>9.1100000000000003E-4</v>
      </c>
      <c r="H1394" s="126">
        <f>SUMIFS('Support - Transition'!F:F,'Support - Transition'!B:B,'Step 2'!A1394,'Support - Transition'!C:C,'Step 2'!B1394,'Support - Transition'!D:D,'Step 2'!C1394,'Support - Transition'!E:E,"FIRE")</f>
        <v>1.4760000000000001E-3</v>
      </c>
      <c r="I1394" s="126">
        <f>IF(B1394="0",SUMIFS('Support - Transition'!F:F,'Support - Transition'!J:J,'Step 2'!D1394,'Support - Transition'!E:E,"STATE UNIT"),SUMIFS('Support - Transition'!F:F,'Support - Transition'!J:J,'Step 2'!D1394))</f>
        <v>2.3870000000000002E-3</v>
      </c>
      <c r="J1394" s="126">
        <f>SUMIFS('Support - Unit Adjustments'!E:E,'Support - Unit Adjustments'!F:F,'Step 2'!D1394)</f>
        <v>0</v>
      </c>
      <c r="K1394" s="126">
        <f t="shared" si="403"/>
        <v>2.3870000000000002E-3</v>
      </c>
      <c r="L1394" s="174">
        <f>VLOOKUP(A1394,'Step 1'!$A:$E,4,FALSE)</f>
        <v>1347834</v>
      </c>
      <c r="M1394" s="47">
        <f t="shared" si="404"/>
        <v>3217</v>
      </c>
      <c r="N1394" s="177">
        <f>SUMIFS('Support - Transition'!G:G,'Support - Transition'!J:J,'Step 2'!D1394,'Support - Transition'!E:E,"2009 WELFARE ALLOCATION FACTOR")</f>
        <v>0</v>
      </c>
      <c r="O1394" s="152">
        <f t="shared" si="409"/>
        <v>0</v>
      </c>
      <c r="P1394" s="126">
        <f>IF(E1394="Y",0,SUMIFS('Support - Transition'!G:G,'Support - Transition'!J:J,'Step 2'!D1394,'Support - Transition'!E:E,"2009 SCHOOL ALLOCATION FACTOR"))</f>
        <v>0</v>
      </c>
      <c r="Q1394" s="126">
        <f>IF(E1394="Y",VLOOKUP(D1394,'Support - Unit Adjustments'!F:G,2,FALSE),0)</f>
        <v>0</v>
      </c>
      <c r="R1394" s="155">
        <f t="shared" si="421"/>
        <v>0</v>
      </c>
      <c r="S1394" s="47">
        <f t="shared" si="420"/>
        <v>0</v>
      </c>
      <c r="T1394" s="151">
        <f t="shared" si="405"/>
        <v>3217</v>
      </c>
      <c r="U1394" s="151">
        <f t="shared" si="406"/>
        <v>0</v>
      </c>
      <c r="V1394" s="139">
        <f t="shared" si="407"/>
        <v>0</v>
      </c>
      <c r="W1394" s="152">
        <f t="shared" si="410"/>
        <v>3217</v>
      </c>
      <c r="X1394" s="127" t="str">
        <f t="shared" si="408"/>
        <v/>
      </c>
      <c r="Y1394" s="207">
        <f t="shared" si="411"/>
        <v>3217</v>
      </c>
      <c r="Z1394" s="139">
        <f t="shared" si="412"/>
        <v>1228</v>
      </c>
      <c r="AA1394" s="139">
        <f t="shared" si="413"/>
        <v>1989</v>
      </c>
      <c r="AC1394" s="47">
        <f t="shared" si="414"/>
        <v>1609</v>
      </c>
      <c r="AD1394" s="47">
        <f t="shared" si="415"/>
        <v>614</v>
      </c>
      <c r="AE1394" s="47">
        <f t="shared" si="416"/>
        <v>995</v>
      </c>
      <c r="AG1394" s="47">
        <f t="shared" si="417"/>
        <v>1608</v>
      </c>
      <c r="AH1394" s="47">
        <f t="shared" si="418"/>
        <v>614</v>
      </c>
      <c r="AI1394" s="208">
        <f t="shared" si="419"/>
        <v>994</v>
      </c>
    </row>
    <row r="1395" spans="1:35">
      <c r="A1395" t="s">
        <v>2130</v>
      </c>
      <c r="B1395" t="s">
        <v>3142</v>
      </c>
      <c r="C1395" t="s">
        <v>2210</v>
      </c>
      <c r="D1395" t="s">
        <v>4784</v>
      </c>
      <c r="F1395" t="s">
        <v>744</v>
      </c>
      <c r="G1395" s="126">
        <f>SUMIFS('Support - Transition'!F:F,'Support - Transition'!B:B,'Step 2'!A1395,'Support - Transition'!C:C,'Step 2'!B1395,'Support - Transition'!D:D,'Step 2'!C1395,'Support - Transition'!E:E,"CIVIL")</f>
        <v>1.9100000000000001E-4</v>
      </c>
      <c r="H1395" s="126">
        <f>SUMIFS('Support - Transition'!F:F,'Support - Transition'!B:B,'Step 2'!A1395,'Support - Transition'!C:C,'Step 2'!B1395,'Support - Transition'!D:D,'Step 2'!C1395,'Support - Transition'!E:E,"FIRE")</f>
        <v>1.6899999999999999E-4</v>
      </c>
      <c r="I1395" s="126">
        <f>IF(B1395="0",SUMIFS('Support - Transition'!F:F,'Support - Transition'!J:J,'Step 2'!D1395,'Support - Transition'!E:E,"STATE UNIT"),SUMIFS('Support - Transition'!F:F,'Support - Transition'!J:J,'Step 2'!D1395))</f>
        <v>3.5999999999999997E-4</v>
      </c>
      <c r="J1395" s="126">
        <f>SUMIFS('Support - Unit Adjustments'!E:E,'Support - Unit Adjustments'!F:F,'Step 2'!D1395)</f>
        <v>0</v>
      </c>
      <c r="K1395" s="126">
        <f t="shared" si="403"/>
        <v>3.5999999999999997E-4</v>
      </c>
      <c r="L1395" s="174">
        <f>VLOOKUP(A1395,'Step 1'!$A:$E,4,FALSE)</f>
        <v>1347834</v>
      </c>
      <c r="M1395" s="47">
        <f t="shared" si="404"/>
        <v>485</v>
      </c>
      <c r="N1395" s="177">
        <f>SUMIFS('Support - Transition'!G:G,'Support - Transition'!J:J,'Step 2'!D1395,'Support - Transition'!E:E,"2009 WELFARE ALLOCATION FACTOR")</f>
        <v>0</v>
      </c>
      <c r="O1395" s="152">
        <f t="shared" si="409"/>
        <v>0</v>
      </c>
      <c r="P1395" s="126">
        <f>IF(E1395="Y",0,SUMIFS('Support - Transition'!G:G,'Support - Transition'!J:J,'Step 2'!D1395,'Support - Transition'!E:E,"2009 SCHOOL ALLOCATION FACTOR"))</f>
        <v>0</v>
      </c>
      <c r="Q1395" s="126">
        <f>IF(E1395="Y",VLOOKUP(D1395,'Support - Unit Adjustments'!F:G,2,FALSE),0)</f>
        <v>0</v>
      </c>
      <c r="R1395" s="155">
        <f t="shared" si="421"/>
        <v>0</v>
      </c>
      <c r="S1395" s="47">
        <f t="shared" si="420"/>
        <v>0</v>
      </c>
      <c r="T1395" s="151">
        <f t="shared" si="405"/>
        <v>485</v>
      </c>
      <c r="U1395" s="151">
        <f t="shared" si="406"/>
        <v>0</v>
      </c>
      <c r="V1395" s="139">
        <f t="shared" si="407"/>
        <v>0</v>
      </c>
      <c r="W1395" s="152">
        <f t="shared" si="410"/>
        <v>485</v>
      </c>
      <c r="X1395" s="127" t="str">
        <f t="shared" si="408"/>
        <v/>
      </c>
      <c r="Y1395" s="207">
        <f t="shared" si="411"/>
        <v>485</v>
      </c>
      <c r="Z1395" s="139">
        <f t="shared" si="412"/>
        <v>257</v>
      </c>
      <c r="AA1395" s="139">
        <f t="shared" si="413"/>
        <v>228</v>
      </c>
      <c r="AC1395" s="47">
        <f t="shared" si="414"/>
        <v>243</v>
      </c>
      <c r="AD1395" s="47">
        <f t="shared" si="415"/>
        <v>129</v>
      </c>
      <c r="AE1395" s="47">
        <f t="shared" si="416"/>
        <v>114</v>
      </c>
      <c r="AG1395" s="47">
        <f t="shared" si="417"/>
        <v>242</v>
      </c>
      <c r="AH1395" s="47">
        <f t="shared" si="418"/>
        <v>128</v>
      </c>
      <c r="AI1395" s="208">
        <f t="shared" si="419"/>
        <v>114</v>
      </c>
    </row>
    <row r="1396" spans="1:35">
      <c r="A1396" t="s">
        <v>2130</v>
      </c>
      <c r="B1396" t="s">
        <v>3142</v>
      </c>
      <c r="C1396" t="s">
        <v>2211</v>
      </c>
      <c r="D1396" t="s">
        <v>4785</v>
      </c>
      <c r="F1396" t="s">
        <v>58</v>
      </c>
      <c r="G1396" s="126">
        <f>SUMIFS('Support - Transition'!F:F,'Support - Transition'!B:B,'Step 2'!A1396,'Support - Transition'!C:C,'Step 2'!B1396,'Support - Transition'!D:D,'Step 2'!C1396,'Support - Transition'!E:E,"CIVIL")</f>
        <v>8.7000000000000001E-5</v>
      </c>
      <c r="H1396" s="126">
        <f>SUMIFS('Support - Transition'!F:F,'Support - Transition'!B:B,'Step 2'!A1396,'Support - Transition'!C:C,'Step 2'!B1396,'Support - Transition'!D:D,'Step 2'!C1396,'Support - Transition'!E:E,"FIRE")</f>
        <v>1E-4</v>
      </c>
      <c r="I1396" s="126">
        <f>IF(B1396="0",SUMIFS('Support - Transition'!F:F,'Support - Transition'!J:J,'Step 2'!D1396,'Support - Transition'!E:E,"STATE UNIT"),SUMIFS('Support - Transition'!F:F,'Support - Transition'!J:J,'Step 2'!D1396))</f>
        <v>1.8699999999999999E-4</v>
      </c>
      <c r="J1396" s="126">
        <f>SUMIFS('Support - Unit Adjustments'!E:E,'Support - Unit Adjustments'!F:F,'Step 2'!D1396)</f>
        <v>0</v>
      </c>
      <c r="K1396" s="126">
        <f t="shared" si="403"/>
        <v>1.8699999999999999E-4</v>
      </c>
      <c r="L1396" s="174">
        <f>VLOOKUP(A1396,'Step 1'!$A:$E,4,FALSE)</f>
        <v>1347834</v>
      </c>
      <c r="M1396" s="47">
        <f t="shared" si="404"/>
        <v>252</v>
      </c>
      <c r="N1396" s="177">
        <f>SUMIFS('Support - Transition'!G:G,'Support - Transition'!J:J,'Step 2'!D1396,'Support - Transition'!E:E,"2009 WELFARE ALLOCATION FACTOR")</f>
        <v>0</v>
      </c>
      <c r="O1396" s="152">
        <f t="shared" si="409"/>
        <v>0</v>
      </c>
      <c r="P1396" s="126">
        <f>IF(E1396="Y",0,SUMIFS('Support - Transition'!G:G,'Support - Transition'!J:J,'Step 2'!D1396,'Support - Transition'!E:E,"2009 SCHOOL ALLOCATION FACTOR"))</f>
        <v>0</v>
      </c>
      <c r="Q1396" s="126">
        <f>IF(E1396="Y",VLOOKUP(D1396,'Support - Unit Adjustments'!F:G,2,FALSE),0)</f>
        <v>0</v>
      </c>
      <c r="R1396" s="155">
        <f t="shared" si="421"/>
        <v>0</v>
      </c>
      <c r="S1396" s="47">
        <f t="shared" si="420"/>
        <v>0</v>
      </c>
      <c r="T1396" s="151">
        <f t="shared" si="405"/>
        <v>252</v>
      </c>
      <c r="U1396" s="151">
        <f t="shared" si="406"/>
        <v>0</v>
      </c>
      <c r="V1396" s="139">
        <f t="shared" si="407"/>
        <v>0</v>
      </c>
      <c r="W1396" s="152">
        <f t="shared" si="410"/>
        <v>252</v>
      </c>
      <c r="X1396" s="127" t="str">
        <f t="shared" si="408"/>
        <v/>
      </c>
      <c r="Y1396" s="207">
        <f t="shared" si="411"/>
        <v>252</v>
      </c>
      <c r="Z1396" s="139">
        <f t="shared" si="412"/>
        <v>117</v>
      </c>
      <c r="AA1396" s="139">
        <f t="shared" si="413"/>
        <v>135</v>
      </c>
      <c r="AC1396" s="47">
        <f t="shared" si="414"/>
        <v>126</v>
      </c>
      <c r="AD1396" s="47">
        <f t="shared" si="415"/>
        <v>59</v>
      </c>
      <c r="AE1396" s="47">
        <f t="shared" si="416"/>
        <v>68</v>
      </c>
      <c r="AG1396" s="47">
        <f t="shared" si="417"/>
        <v>126</v>
      </c>
      <c r="AH1396" s="47">
        <f t="shared" si="418"/>
        <v>58</v>
      </c>
      <c r="AI1396" s="208">
        <f t="shared" si="419"/>
        <v>67</v>
      </c>
    </row>
    <row r="1397" spans="1:35">
      <c r="A1397" t="s">
        <v>2130</v>
      </c>
      <c r="B1397" t="s">
        <v>3142</v>
      </c>
      <c r="C1397" t="s">
        <v>2212</v>
      </c>
      <c r="D1397" t="s">
        <v>4786</v>
      </c>
      <c r="F1397" t="s">
        <v>59</v>
      </c>
      <c r="G1397" s="126">
        <f>SUMIFS('Support - Transition'!F:F,'Support - Transition'!B:B,'Step 2'!A1397,'Support - Transition'!C:C,'Step 2'!B1397,'Support - Transition'!D:D,'Step 2'!C1397,'Support - Transition'!E:E,"CIVIL")</f>
        <v>1.0449999999999999E-3</v>
      </c>
      <c r="H1397" s="126">
        <f>SUMIFS('Support - Transition'!F:F,'Support - Transition'!B:B,'Step 2'!A1397,'Support - Transition'!C:C,'Step 2'!B1397,'Support - Transition'!D:D,'Step 2'!C1397,'Support - Transition'!E:E,"FIRE")</f>
        <v>1.248E-3</v>
      </c>
      <c r="I1397" s="126">
        <f>IF(B1397="0",SUMIFS('Support - Transition'!F:F,'Support - Transition'!J:J,'Step 2'!D1397,'Support - Transition'!E:E,"STATE UNIT"),SUMIFS('Support - Transition'!F:F,'Support - Transition'!J:J,'Step 2'!D1397))</f>
        <v>2.2929999999999999E-3</v>
      </c>
      <c r="J1397" s="126">
        <f>SUMIFS('Support - Unit Adjustments'!E:E,'Support - Unit Adjustments'!F:F,'Step 2'!D1397)</f>
        <v>0</v>
      </c>
      <c r="K1397" s="126">
        <f t="shared" si="403"/>
        <v>2.2929999999999999E-3</v>
      </c>
      <c r="L1397" s="174">
        <f>VLOOKUP(A1397,'Step 1'!$A:$E,4,FALSE)</f>
        <v>1347834</v>
      </c>
      <c r="M1397" s="47">
        <f t="shared" si="404"/>
        <v>3091</v>
      </c>
      <c r="N1397" s="177">
        <f>SUMIFS('Support - Transition'!G:G,'Support - Transition'!J:J,'Step 2'!D1397,'Support - Transition'!E:E,"2009 WELFARE ALLOCATION FACTOR")</f>
        <v>0</v>
      </c>
      <c r="O1397" s="152">
        <f t="shared" si="409"/>
        <v>0</v>
      </c>
      <c r="P1397" s="126">
        <f>IF(E1397="Y",0,SUMIFS('Support - Transition'!G:G,'Support - Transition'!J:J,'Step 2'!D1397,'Support - Transition'!E:E,"2009 SCHOOL ALLOCATION FACTOR"))</f>
        <v>0</v>
      </c>
      <c r="Q1397" s="126">
        <f>IF(E1397="Y",VLOOKUP(D1397,'Support - Unit Adjustments'!F:G,2,FALSE),0)</f>
        <v>0</v>
      </c>
      <c r="R1397" s="155">
        <f t="shared" si="421"/>
        <v>0</v>
      </c>
      <c r="S1397" s="47">
        <f t="shared" si="420"/>
        <v>0</v>
      </c>
      <c r="T1397" s="151">
        <f t="shared" si="405"/>
        <v>3091</v>
      </c>
      <c r="U1397" s="151">
        <f t="shared" si="406"/>
        <v>0</v>
      </c>
      <c r="V1397" s="139">
        <f t="shared" si="407"/>
        <v>0</v>
      </c>
      <c r="W1397" s="152">
        <f t="shared" si="410"/>
        <v>3091</v>
      </c>
      <c r="X1397" s="127" t="str">
        <f t="shared" si="408"/>
        <v/>
      </c>
      <c r="Y1397" s="207">
        <f t="shared" si="411"/>
        <v>3091</v>
      </c>
      <c r="Z1397" s="139">
        <f t="shared" si="412"/>
        <v>1409</v>
      </c>
      <c r="AA1397" s="139">
        <f t="shared" si="413"/>
        <v>1682</v>
      </c>
      <c r="AC1397" s="47">
        <f t="shared" si="414"/>
        <v>1546</v>
      </c>
      <c r="AD1397" s="47">
        <f t="shared" si="415"/>
        <v>705</v>
      </c>
      <c r="AE1397" s="47">
        <f t="shared" si="416"/>
        <v>841</v>
      </c>
      <c r="AG1397" s="47">
        <f t="shared" si="417"/>
        <v>1545</v>
      </c>
      <c r="AH1397" s="47">
        <f t="shared" si="418"/>
        <v>704</v>
      </c>
      <c r="AI1397" s="208">
        <f t="shared" si="419"/>
        <v>841</v>
      </c>
    </row>
    <row r="1398" spans="1:35">
      <c r="A1398" t="s">
        <v>2130</v>
      </c>
      <c r="B1398" t="s">
        <v>3142</v>
      </c>
      <c r="C1398" t="s">
        <v>2213</v>
      </c>
      <c r="D1398" t="s">
        <v>4787</v>
      </c>
      <c r="F1398" t="s">
        <v>20</v>
      </c>
      <c r="G1398" s="126">
        <f>SUMIFS('Support - Transition'!F:F,'Support - Transition'!B:B,'Step 2'!A1398,'Support - Transition'!C:C,'Step 2'!B1398,'Support - Transition'!D:D,'Step 2'!C1398,'Support - Transition'!E:E,"CIVIL")</f>
        <v>1.2799999999999999E-4</v>
      </c>
      <c r="H1398" s="126">
        <f>SUMIFS('Support - Transition'!F:F,'Support - Transition'!B:B,'Step 2'!A1398,'Support - Transition'!C:C,'Step 2'!B1398,'Support - Transition'!D:D,'Step 2'!C1398,'Support - Transition'!E:E,"FIRE")</f>
        <v>8.5000000000000006E-5</v>
      </c>
      <c r="I1398" s="126">
        <f>IF(B1398="0",SUMIFS('Support - Transition'!F:F,'Support - Transition'!J:J,'Step 2'!D1398,'Support - Transition'!E:E,"STATE UNIT"),SUMIFS('Support - Transition'!F:F,'Support - Transition'!J:J,'Step 2'!D1398))</f>
        <v>2.13E-4</v>
      </c>
      <c r="J1398" s="126">
        <f>SUMIFS('Support - Unit Adjustments'!E:E,'Support - Unit Adjustments'!F:F,'Step 2'!D1398)</f>
        <v>0</v>
      </c>
      <c r="K1398" s="126">
        <f t="shared" si="403"/>
        <v>2.13E-4</v>
      </c>
      <c r="L1398" s="174">
        <f>VLOOKUP(A1398,'Step 1'!$A:$E,4,FALSE)</f>
        <v>1347834</v>
      </c>
      <c r="M1398" s="47">
        <f t="shared" si="404"/>
        <v>287</v>
      </c>
      <c r="N1398" s="177">
        <f>SUMIFS('Support - Transition'!G:G,'Support - Transition'!J:J,'Step 2'!D1398,'Support - Transition'!E:E,"2009 WELFARE ALLOCATION FACTOR")</f>
        <v>0</v>
      </c>
      <c r="O1398" s="152">
        <f t="shared" si="409"/>
        <v>0</v>
      </c>
      <c r="P1398" s="126">
        <f>IF(E1398="Y",0,SUMIFS('Support - Transition'!G:G,'Support - Transition'!J:J,'Step 2'!D1398,'Support - Transition'!E:E,"2009 SCHOOL ALLOCATION FACTOR"))</f>
        <v>0</v>
      </c>
      <c r="Q1398" s="126">
        <f>IF(E1398="Y",VLOOKUP(D1398,'Support - Unit Adjustments'!F:G,2,FALSE),0)</f>
        <v>0</v>
      </c>
      <c r="R1398" s="155">
        <f t="shared" si="421"/>
        <v>0</v>
      </c>
      <c r="S1398" s="47">
        <f t="shared" si="420"/>
        <v>0</v>
      </c>
      <c r="T1398" s="151">
        <f t="shared" si="405"/>
        <v>287</v>
      </c>
      <c r="U1398" s="151">
        <f t="shared" si="406"/>
        <v>0</v>
      </c>
      <c r="V1398" s="139">
        <f t="shared" si="407"/>
        <v>0</v>
      </c>
      <c r="W1398" s="152">
        <f t="shared" si="410"/>
        <v>287</v>
      </c>
      <c r="X1398" s="127" t="str">
        <f t="shared" si="408"/>
        <v/>
      </c>
      <c r="Y1398" s="207">
        <f t="shared" si="411"/>
        <v>287</v>
      </c>
      <c r="Z1398" s="139">
        <f t="shared" si="412"/>
        <v>172</v>
      </c>
      <c r="AA1398" s="139">
        <f t="shared" si="413"/>
        <v>115</v>
      </c>
      <c r="AC1398" s="47">
        <f t="shared" si="414"/>
        <v>144</v>
      </c>
      <c r="AD1398" s="47">
        <f t="shared" si="415"/>
        <v>86</v>
      </c>
      <c r="AE1398" s="47">
        <f t="shared" si="416"/>
        <v>58</v>
      </c>
      <c r="AG1398" s="47">
        <f t="shared" si="417"/>
        <v>143</v>
      </c>
      <c r="AH1398" s="47">
        <f t="shared" si="418"/>
        <v>86</v>
      </c>
      <c r="AI1398" s="208">
        <f t="shared" si="419"/>
        <v>57</v>
      </c>
    </row>
    <row r="1399" spans="1:35">
      <c r="A1399" t="s">
        <v>2130</v>
      </c>
      <c r="B1399" t="s">
        <v>3142</v>
      </c>
      <c r="C1399" t="s">
        <v>2214</v>
      </c>
      <c r="D1399" t="s">
        <v>4788</v>
      </c>
      <c r="F1399" t="s">
        <v>22</v>
      </c>
      <c r="G1399" s="126">
        <f>SUMIFS('Support - Transition'!F:F,'Support - Transition'!B:B,'Step 2'!A1399,'Support - Transition'!C:C,'Step 2'!B1399,'Support - Transition'!D:D,'Step 2'!C1399,'Support - Transition'!E:E,"CIVIL")</f>
        <v>5.8999999999999998E-5</v>
      </c>
      <c r="H1399" s="126">
        <f>SUMIFS('Support - Transition'!F:F,'Support - Transition'!B:B,'Step 2'!A1399,'Support - Transition'!C:C,'Step 2'!B1399,'Support - Transition'!D:D,'Step 2'!C1399,'Support - Transition'!E:E,"FIRE")</f>
        <v>1.194E-3</v>
      </c>
      <c r="I1399" s="126">
        <f>IF(B1399="0",SUMIFS('Support - Transition'!F:F,'Support - Transition'!J:J,'Step 2'!D1399,'Support - Transition'!E:E,"STATE UNIT"),SUMIFS('Support - Transition'!F:F,'Support - Transition'!J:J,'Step 2'!D1399))</f>
        <v>1.253E-3</v>
      </c>
      <c r="J1399" s="126">
        <f>SUMIFS('Support - Unit Adjustments'!E:E,'Support - Unit Adjustments'!F:F,'Step 2'!D1399)</f>
        <v>0</v>
      </c>
      <c r="K1399" s="126">
        <f t="shared" si="403"/>
        <v>1.253E-3</v>
      </c>
      <c r="L1399" s="174">
        <f>VLOOKUP(A1399,'Step 1'!$A:$E,4,FALSE)</f>
        <v>1347834</v>
      </c>
      <c r="M1399" s="47">
        <f t="shared" si="404"/>
        <v>1689</v>
      </c>
      <c r="N1399" s="177">
        <f>SUMIFS('Support - Transition'!G:G,'Support - Transition'!J:J,'Step 2'!D1399,'Support - Transition'!E:E,"2009 WELFARE ALLOCATION FACTOR")</f>
        <v>0</v>
      </c>
      <c r="O1399" s="152">
        <f t="shared" si="409"/>
        <v>0</v>
      </c>
      <c r="P1399" s="126">
        <f>IF(E1399="Y",0,SUMIFS('Support - Transition'!G:G,'Support - Transition'!J:J,'Step 2'!D1399,'Support - Transition'!E:E,"2009 SCHOOL ALLOCATION FACTOR"))</f>
        <v>0</v>
      </c>
      <c r="Q1399" s="126">
        <f>IF(E1399="Y",VLOOKUP(D1399,'Support - Unit Adjustments'!F:G,2,FALSE),0)</f>
        <v>0</v>
      </c>
      <c r="R1399" s="155">
        <f t="shared" si="421"/>
        <v>0</v>
      </c>
      <c r="S1399" s="47">
        <f t="shared" si="420"/>
        <v>0</v>
      </c>
      <c r="T1399" s="151">
        <f t="shared" si="405"/>
        <v>1689</v>
      </c>
      <c r="U1399" s="151">
        <f t="shared" si="406"/>
        <v>0</v>
      </c>
      <c r="V1399" s="139">
        <f t="shared" si="407"/>
        <v>0</v>
      </c>
      <c r="W1399" s="152">
        <f t="shared" si="410"/>
        <v>1689</v>
      </c>
      <c r="X1399" s="127" t="str">
        <f t="shared" si="408"/>
        <v/>
      </c>
      <c r="Y1399" s="207">
        <f t="shared" si="411"/>
        <v>1689</v>
      </c>
      <c r="Z1399" s="139">
        <f t="shared" si="412"/>
        <v>80</v>
      </c>
      <c r="AA1399" s="139">
        <f t="shared" si="413"/>
        <v>1609</v>
      </c>
      <c r="AC1399" s="47">
        <f t="shared" si="414"/>
        <v>845</v>
      </c>
      <c r="AD1399" s="47">
        <f t="shared" si="415"/>
        <v>40</v>
      </c>
      <c r="AE1399" s="47">
        <f t="shared" si="416"/>
        <v>805</v>
      </c>
      <c r="AG1399" s="47">
        <f t="shared" si="417"/>
        <v>844</v>
      </c>
      <c r="AH1399" s="47">
        <f t="shared" si="418"/>
        <v>40</v>
      </c>
      <c r="AI1399" s="208">
        <f t="shared" si="419"/>
        <v>804</v>
      </c>
    </row>
    <row r="1400" spans="1:35">
      <c r="A1400" t="s">
        <v>2130</v>
      </c>
      <c r="B1400" t="s">
        <v>3142</v>
      </c>
      <c r="C1400" t="s">
        <v>2288</v>
      </c>
      <c r="D1400" t="s">
        <v>4789</v>
      </c>
      <c r="F1400" t="s">
        <v>1073</v>
      </c>
      <c r="G1400" s="126">
        <f>SUMIFS('Support - Transition'!F:F,'Support - Transition'!B:B,'Step 2'!A1400,'Support - Transition'!C:C,'Step 2'!B1400,'Support - Transition'!D:D,'Step 2'!C1400,'Support - Transition'!E:E,"CIVIL")</f>
        <v>1.5699999999999999E-4</v>
      </c>
      <c r="H1400" s="126">
        <f>SUMIFS('Support - Transition'!F:F,'Support - Transition'!B:B,'Step 2'!A1400,'Support - Transition'!C:C,'Step 2'!B1400,'Support - Transition'!D:D,'Step 2'!C1400,'Support - Transition'!E:E,"FIRE")</f>
        <v>1.0900000000000001E-4</v>
      </c>
      <c r="I1400" s="126">
        <f>IF(B1400="0",SUMIFS('Support - Transition'!F:F,'Support - Transition'!J:J,'Step 2'!D1400,'Support - Transition'!E:E,"STATE UNIT"),SUMIFS('Support - Transition'!F:F,'Support - Transition'!J:J,'Step 2'!D1400))</f>
        <v>2.6600000000000001E-4</v>
      </c>
      <c r="J1400" s="126">
        <f>SUMIFS('Support - Unit Adjustments'!E:E,'Support - Unit Adjustments'!F:F,'Step 2'!D1400)</f>
        <v>0</v>
      </c>
      <c r="K1400" s="126">
        <f t="shared" si="403"/>
        <v>2.6600000000000001E-4</v>
      </c>
      <c r="L1400" s="174">
        <f>VLOOKUP(A1400,'Step 1'!$A:$E,4,FALSE)</f>
        <v>1347834</v>
      </c>
      <c r="M1400" s="47">
        <f t="shared" si="404"/>
        <v>359</v>
      </c>
      <c r="N1400" s="177">
        <f>SUMIFS('Support - Transition'!G:G,'Support - Transition'!J:J,'Step 2'!D1400,'Support - Transition'!E:E,"2009 WELFARE ALLOCATION FACTOR")</f>
        <v>0</v>
      </c>
      <c r="O1400" s="152">
        <f t="shared" si="409"/>
        <v>0</v>
      </c>
      <c r="P1400" s="126">
        <f>IF(E1400="Y",0,SUMIFS('Support - Transition'!G:G,'Support - Transition'!J:J,'Step 2'!D1400,'Support - Transition'!E:E,"2009 SCHOOL ALLOCATION FACTOR"))</f>
        <v>0</v>
      </c>
      <c r="Q1400" s="126">
        <f>IF(E1400="Y",VLOOKUP(D1400,'Support - Unit Adjustments'!F:G,2,FALSE),0)</f>
        <v>0</v>
      </c>
      <c r="R1400" s="155">
        <f t="shared" si="421"/>
        <v>0</v>
      </c>
      <c r="S1400" s="47">
        <f t="shared" si="420"/>
        <v>0</v>
      </c>
      <c r="T1400" s="151">
        <f t="shared" si="405"/>
        <v>359</v>
      </c>
      <c r="U1400" s="151">
        <f t="shared" si="406"/>
        <v>0</v>
      </c>
      <c r="V1400" s="139">
        <f t="shared" si="407"/>
        <v>0</v>
      </c>
      <c r="W1400" s="152">
        <f t="shared" si="410"/>
        <v>359</v>
      </c>
      <c r="X1400" s="127" t="str">
        <f t="shared" si="408"/>
        <v/>
      </c>
      <c r="Y1400" s="207">
        <f t="shared" si="411"/>
        <v>359</v>
      </c>
      <c r="Z1400" s="139">
        <f t="shared" si="412"/>
        <v>212</v>
      </c>
      <c r="AA1400" s="139">
        <f t="shared" si="413"/>
        <v>147</v>
      </c>
      <c r="AC1400" s="47">
        <f t="shared" si="414"/>
        <v>180</v>
      </c>
      <c r="AD1400" s="47">
        <f t="shared" si="415"/>
        <v>106</v>
      </c>
      <c r="AE1400" s="47">
        <f t="shared" si="416"/>
        <v>74</v>
      </c>
      <c r="AG1400" s="47">
        <f t="shared" si="417"/>
        <v>179</v>
      </c>
      <c r="AH1400" s="47">
        <f t="shared" si="418"/>
        <v>106</v>
      </c>
      <c r="AI1400" s="208">
        <f t="shared" si="419"/>
        <v>73</v>
      </c>
    </row>
    <row r="1401" spans="1:35">
      <c r="A1401" t="s">
        <v>2130</v>
      </c>
      <c r="B1401" t="s">
        <v>3155</v>
      </c>
      <c r="C1401" t="s">
        <v>2744</v>
      </c>
      <c r="D1401" t="s">
        <v>4790</v>
      </c>
      <c r="F1401" t="s">
        <v>1080</v>
      </c>
      <c r="G1401" s="126">
        <f>SUMIFS('Support - Transition'!F:F,'Support - Transition'!B:B,'Step 2'!A1401,'Support - Transition'!C:C,'Step 2'!B1401,'Support - Transition'!D:D,'Step 2'!C1401,'Support - Transition'!E:E,"CIVIL")</f>
        <v>0</v>
      </c>
      <c r="H1401" s="126">
        <f>SUMIFS('Support - Transition'!F:F,'Support - Transition'!B:B,'Step 2'!A1401,'Support - Transition'!C:C,'Step 2'!B1401,'Support - Transition'!D:D,'Step 2'!C1401,'Support - Transition'!E:E,"FIRE")</f>
        <v>0</v>
      </c>
      <c r="I1401" s="126">
        <f>IF(B1401="0",SUMIFS('Support - Transition'!F:F,'Support - Transition'!J:J,'Step 2'!D1401,'Support - Transition'!E:E,"STATE UNIT"),SUMIFS('Support - Transition'!F:F,'Support - Transition'!J:J,'Step 2'!D1401))</f>
        <v>9.9430000000000004E-2</v>
      </c>
      <c r="J1401" s="126">
        <f>SUMIFS('Support - Unit Adjustments'!E:E,'Support - Unit Adjustments'!F:F,'Step 2'!D1401)</f>
        <v>0</v>
      </c>
      <c r="K1401" s="126">
        <f t="shared" si="403"/>
        <v>9.9430000000000004E-2</v>
      </c>
      <c r="L1401" s="174">
        <f>VLOOKUP(A1401,'Step 1'!$A:$E,4,FALSE)</f>
        <v>1347834</v>
      </c>
      <c r="M1401" s="47">
        <f t="shared" si="404"/>
        <v>134015</v>
      </c>
      <c r="N1401" s="177">
        <f>SUMIFS('Support - Transition'!G:G,'Support - Transition'!J:J,'Step 2'!D1401,'Support - Transition'!E:E,"2009 WELFARE ALLOCATION FACTOR")</f>
        <v>0</v>
      </c>
      <c r="O1401" s="152">
        <f t="shared" si="409"/>
        <v>0</v>
      </c>
      <c r="P1401" s="126">
        <f>IF(E1401="Y",0,SUMIFS('Support - Transition'!G:G,'Support - Transition'!J:J,'Step 2'!D1401,'Support - Transition'!E:E,"2009 SCHOOL ALLOCATION FACTOR"))</f>
        <v>0</v>
      </c>
      <c r="Q1401" s="126">
        <f>IF(E1401="Y",VLOOKUP(D1401,'Support - Unit Adjustments'!F:G,2,FALSE),0)</f>
        <v>0</v>
      </c>
      <c r="R1401" s="155">
        <f t="shared" si="421"/>
        <v>0</v>
      </c>
      <c r="S1401" s="47">
        <f t="shared" si="420"/>
        <v>0</v>
      </c>
      <c r="T1401" s="151">
        <f t="shared" si="405"/>
        <v>134015</v>
      </c>
      <c r="U1401" s="151">
        <f t="shared" si="406"/>
        <v>0</v>
      </c>
      <c r="V1401" s="139">
        <f t="shared" si="407"/>
        <v>0</v>
      </c>
      <c r="W1401" s="152">
        <f t="shared" si="410"/>
        <v>134015</v>
      </c>
      <c r="X1401" s="127" t="str">
        <f t="shared" si="408"/>
        <v/>
      </c>
      <c r="Y1401" s="207">
        <f t="shared" si="411"/>
        <v>134015</v>
      </c>
      <c r="Z1401" s="139">
        <f t="shared" si="412"/>
        <v>134015</v>
      </c>
      <c r="AA1401" s="139">
        <f t="shared" si="413"/>
        <v>0</v>
      </c>
      <c r="AC1401" s="47">
        <f t="shared" si="414"/>
        <v>67008</v>
      </c>
      <c r="AD1401" s="47">
        <f t="shared" si="415"/>
        <v>67008</v>
      </c>
      <c r="AE1401" s="47">
        <f t="shared" si="416"/>
        <v>0</v>
      </c>
      <c r="AG1401" s="47">
        <f t="shared" si="417"/>
        <v>67007</v>
      </c>
      <c r="AH1401" s="47">
        <f t="shared" si="418"/>
        <v>67007</v>
      </c>
      <c r="AI1401" s="208">
        <f t="shared" si="419"/>
        <v>0</v>
      </c>
    </row>
    <row r="1402" spans="1:35">
      <c r="A1402" t="s">
        <v>2130</v>
      </c>
      <c r="B1402" t="s">
        <v>3155</v>
      </c>
      <c r="C1402" t="s">
        <v>2745</v>
      </c>
      <c r="D1402" t="s">
        <v>4791</v>
      </c>
      <c r="F1402" t="s">
        <v>1077</v>
      </c>
      <c r="G1402" s="126">
        <f>SUMIFS('Support - Transition'!F:F,'Support - Transition'!B:B,'Step 2'!A1402,'Support - Transition'!C:C,'Step 2'!B1402,'Support - Transition'!D:D,'Step 2'!C1402,'Support - Transition'!E:E,"CIVIL")</f>
        <v>0</v>
      </c>
      <c r="H1402" s="126">
        <f>SUMIFS('Support - Transition'!F:F,'Support - Transition'!B:B,'Step 2'!A1402,'Support - Transition'!C:C,'Step 2'!B1402,'Support - Transition'!D:D,'Step 2'!C1402,'Support - Transition'!E:E,"FIRE")</f>
        <v>0</v>
      </c>
      <c r="I1402" s="126">
        <f>IF(B1402="0",SUMIFS('Support - Transition'!F:F,'Support - Transition'!J:J,'Step 2'!D1402,'Support - Transition'!E:E,"STATE UNIT"),SUMIFS('Support - Transition'!F:F,'Support - Transition'!J:J,'Step 2'!D1402))</f>
        <v>4.4259E-2</v>
      </c>
      <c r="J1402" s="126">
        <f>SUMIFS('Support - Unit Adjustments'!E:E,'Support - Unit Adjustments'!F:F,'Step 2'!D1402)</f>
        <v>0</v>
      </c>
      <c r="K1402" s="126">
        <f t="shared" si="403"/>
        <v>4.4259E-2</v>
      </c>
      <c r="L1402" s="174">
        <f>VLOOKUP(A1402,'Step 1'!$A:$E,4,FALSE)</f>
        <v>1347834</v>
      </c>
      <c r="M1402" s="47">
        <f t="shared" si="404"/>
        <v>59654</v>
      </c>
      <c r="N1402" s="177">
        <f>SUMIFS('Support - Transition'!G:G,'Support - Transition'!J:J,'Step 2'!D1402,'Support - Transition'!E:E,"2009 WELFARE ALLOCATION FACTOR")</f>
        <v>0</v>
      </c>
      <c r="O1402" s="152">
        <f t="shared" si="409"/>
        <v>0</v>
      </c>
      <c r="P1402" s="126">
        <f>IF(E1402="Y",0,SUMIFS('Support - Transition'!G:G,'Support - Transition'!J:J,'Step 2'!D1402,'Support - Transition'!E:E,"2009 SCHOOL ALLOCATION FACTOR"))</f>
        <v>0</v>
      </c>
      <c r="Q1402" s="126">
        <f>IF(E1402="Y",VLOOKUP(D1402,'Support - Unit Adjustments'!F:G,2,FALSE),0)</f>
        <v>0</v>
      </c>
      <c r="R1402" s="155">
        <f t="shared" si="421"/>
        <v>0</v>
      </c>
      <c r="S1402" s="47">
        <f t="shared" si="420"/>
        <v>0</v>
      </c>
      <c r="T1402" s="151">
        <f t="shared" si="405"/>
        <v>59654</v>
      </c>
      <c r="U1402" s="151">
        <f t="shared" si="406"/>
        <v>0</v>
      </c>
      <c r="V1402" s="139">
        <f t="shared" si="407"/>
        <v>0</v>
      </c>
      <c r="W1402" s="152">
        <f t="shared" si="410"/>
        <v>59654</v>
      </c>
      <c r="X1402" s="127" t="str">
        <f t="shared" si="408"/>
        <v/>
      </c>
      <c r="Y1402" s="207">
        <f t="shared" si="411"/>
        <v>59654</v>
      </c>
      <c r="Z1402" s="139">
        <f t="shared" si="412"/>
        <v>59654</v>
      </c>
      <c r="AA1402" s="139">
        <f t="shared" si="413"/>
        <v>0</v>
      </c>
      <c r="AC1402" s="47">
        <f t="shared" si="414"/>
        <v>29827</v>
      </c>
      <c r="AD1402" s="47">
        <f t="shared" si="415"/>
        <v>29827</v>
      </c>
      <c r="AE1402" s="47">
        <f t="shared" si="416"/>
        <v>0</v>
      </c>
      <c r="AG1402" s="47">
        <f t="shared" si="417"/>
        <v>29827</v>
      </c>
      <c r="AH1402" s="47">
        <f t="shared" si="418"/>
        <v>29827</v>
      </c>
      <c r="AI1402" s="208">
        <f t="shared" si="419"/>
        <v>0</v>
      </c>
    </row>
    <row r="1403" spans="1:35">
      <c r="A1403" t="s">
        <v>2130</v>
      </c>
      <c r="B1403" t="s">
        <v>3155</v>
      </c>
      <c r="C1403" t="s">
        <v>2714</v>
      </c>
      <c r="D1403" t="s">
        <v>4792</v>
      </c>
      <c r="F1403" t="s">
        <v>1074</v>
      </c>
      <c r="G1403" s="126">
        <f>SUMIFS('Support - Transition'!F:F,'Support - Transition'!B:B,'Step 2'!A1403,'Support - Transition'!C:C,'Step 2'!B1403,'Support - Transition'!D:D,'Step 2'!C1403,'Support - Transition'!E:E,"CIVIL")</f>
        <v>0</v>
      </c>
      <c r="H1403" s="126">
        <f>SUMIFS('Support - Transition'!F:F,'Support - Transition'!B:B,'Step 2'!A1403,'Support - Transition'!C:C,'Step 2'!B1403,'Support - Transition'!D:D,'Step 2'!C1403,'Support - Transition'!E:E,"FIRE")</f>
        <v>0</v>
      </c>
      <c r="I1403" s="126">
        <f>IF(B1403="0",SUMIFS('Support - Transition'!F:F,'Support - Transition'!J:J,'Step 2'!D1403,'Support - Transition'!E:E,"STATE UNIT"),SUMIFS('Support - Transition'!F:F,'Support - Transition'!J:J,'Step 2'!D1403))</f>
        <v>0</v>
      </c>
      <c r="J1403" s="126">
        <f>SUMIFS('Support - Unit Adjustments'!E:E,'Support - Unit Adjustments'!F:F,'Step 2'!D1403)</f>
        <v>0</v>
      </c>
      <c r="K1403" s="126">
        <f t="shared" si="403"/>
        <v>0</v>
      </c>
      <c r="L1403" s="174">
        <f>VLOOKUP(A1403,'Step 1'!$A:$E,4,FALSE)</f>
        <v>1347834</v>
      </c>
      <c r="M1403" s="47">
        <f t="shared" si="404"/>
        <v>0</v>
      </c>
      <c r="N1403" s="177">
        <f>SUMIFS('Support - Transition'!G:G,'Support - Transition'!J:J,'Step 2'!D1403,'Support - Transition'!E:E,"2009 WELFARE ALLOCATION FACTOR")</f>
        <v>0</v>
      </c>
      <c r="O1403" s="152">
        <f t="shared" si="409"/>
        <v>0</v>
      </c>
      <c r="P1403" s="126">
        <f>IF(E1403="Y",0,SUMIFS('Support - Transition'!G:G,'Support - Transition'!J:J,'Step 2'!D1403,'Support - Transition'!E:E,"2009 SCHOOL ALLOCATION FACTOR"))</f>
        <v>0</v>
      </c>
      <c r="Q1403" s="126">
        <f>IF(E1403="Y",VLOOKUP(D1403,'Support - Unit Adjustments'!F:G,2,FALSE),0)</f>
        <v>0</v>
      </c>
      <c r="R1403" s="155">
        <f t="shared" si="421"/>
        <v>0</v>
      </c>
      <c r="S1403" s="47">
        <f t="shared" si="420"/>
        <v>0</v>
      </c>
      <c r="T1403" s="151">
        <f t="shared" si="405"/>
        <v>0</v>
      </c>
      <c r="U1403" s="151">
        <f t="shared" si="406"/>
        <v>0</v>
      </c>
      <c r="V1403" s="139">
        <f t="shared" si="407"/>
        <v>0</v>
      </c>
      <c r="W1403" s="152">
        <f t="shared" si="410"/>
        <v>0</v>
      </c>
      <c r="X1403" s="127" t="str">
        <f t="shared" si="408"/>
        <v/>
      </c>
      <c r="Y1403" s="207">
        <f t="shared" si="411"/>
        <v>0</v>
      </c>
      <c r="Z1403" s="139">
        <f t="shared" si="412"/>
        <v>0</v>
      </c>
      <c r="AA1403" s="139">
        <f t="shared" si="413"/>
        <v>0</v>
      </c>
      <c r="AC1403" s="47">
        <f t="shared" si="414"/>
        <v>0</v>
      </c>
      <c r="AD1403" s="47">
        <f t="shared" si="415"/>
        <v>0</v>
      </c>
      <c r="AE1403" s="47">
        <f t="shared" si="416"/>
        <v>0</v>
      </c>
      <c r="AG1403" s="47">
        <f t="shared" si="417"/>
        <v>0</v>
      </c>
      <c r="AH1403" s="47">
        <f t="shared" si="418"/>
        <v>0</v>
      </c>
      <c r="AI1403" s="208">
        <f t="shared" si="419"/>
        <v>0</v>
      </c>
    </row>
    <row r="1404" spans="1:35">
      <c r="A1404" t="s">
        <v>2130</v>
      </c>
      <c r="B1404" t="s">
        <v>3155</v>
      </c>
      <c r="C1404" t="s">
        <v>2746</v>
      </c>
      <c r="D1404" t="s">
        <v>4793</v>
      </c>
      <c r="F1404" t="s">
        <v>1075</v>
      </c>
      <c r="G1404" s="126">
        <f>SUMIFS('Support - Transition'!F:F,'Support - Transition'!B:B,'Step 2'!A1404,'Support - Transition'!C:C,'Step 2'!B1404,'Support - Transition'!D:D,'Step 2'!C1404,'Support - Transition'!E:E,"CIVIL")</f>
        <v>0</v>
      </c>
      <c r="H1404" s="126">
        <f>SUMIFS('Support - Transition'!F:F,'Support - Transition'!B:B,'Step 2'!A1404,'Support - Transition'!C:C,'Step 2'!B1404,'Support - Transition'!D:D,'Step 2'!C1404,'Support - Transition'!E:E,"FIRE")</f>
        <v>0</v>
      </c>
      <c r="I1404" s="126">
        <f>IF(B1404="0",SUMIFS('Support - Transition'!F:F,'Support - Transition'!J:J,'Step 2'!D1404,'Support - Transition'!E:E,"STATE UNIT"),SUMIFS('Support - Transition'!F:F,'Support - Transition'!J:J,'Step 2'!D1404))</f>
        <v>8.5599999999999999E-4</v>
      </c>
      <c r="J1404" s="126">
        <f>SUMIFS('Support - Unit Adjustments'!E:E,'Support - Unit Adjustments'!F:F,'Step 2'!D1404)</f>
        <v>0</v>
      </c>
      <c r="K1404" s="126">
        <f t="shared" si="403"/>
        <v>8.5599999999999999E-4</v>
      </c>
      <c r="L1404" s="174">
        <f>VLOOKUP(A1404,'Step 1'!$A:$E,4,FALSE)</f>
        <v>1347834</v>
      </c>
      <c r="M1404" s="47">
        <f t="shared" si="404"/>
        <v>1154</v>
      </c>
      <c r="N1404" s="177">
        <f>SUMIFS('Support - Transition'!G:G,'Support - Transition'!J:J,'Step 2'!D1404,'Support - Transition'!E:E,"2009 WELFARE ALLOCATION FACTOR")</f>
        <v>0</v>
      </c>
      <c r="O1404" s="152">
        <f t="shared" si="409"/>
        <v>0</v>
      </c>
      <c r="P1404" s="126">
        <f>IF(E1404="Y",0,SUMIFS('Support - Transition'!G:G,'Support - Transition'!J:J,'Step 2'!D1404,'Support - Transition'!E:E,"2009 SCHOOL ALLOCATION FACTOR"))</f>
        <v>0</v>
      </c>
      <c r="Q1404" s="126">
        <f>IF(E1404="Y",VLOOKUP(D1404,'Support - Unit Adjustments'!F:G,2,FALSE),0)</f>
        <v>0</v>
      </c>
      <c r="R1404" s="155">
        <f t="shared" si="421"/>
        <v>0</v>
      </c>
      <c r="S1404" s="47">
        <f t="shared" si="420"/>
        <v>0</v>
      </c>
      <c r="T1404" s="151">
        <f t="shared" si="405"/>
        <v>1154</v>
      </c>
      <c r="U1404" s="151">
        <f t="shared" si="406"/>
        <v>0</v>
      </c>
      <c r="V1404" s="139">
        <f t="shared" si="407"/>
        <v>0</v>
      </c>
      <c r="W1404" s="152">
        <f t="shared" si="410"/>
        <v>1154</v>
      </c>
      <c r="X1404" s="127" t="str">
        <f t="shared" si="408"/>
        <v/>
      </c>
      <c r="Y1404" s="207">
        <f t="shared" si="411"/>
        <v>1154</v>
      </c>
      <c r="Z1404" s="139">
        <f t="shared" si="412"/>
        <v>1154</v>
      </c>
      <c r="AA1404" s="139">
        <f t="shared" si="413"/>
        <v>0</v>
      </c>
      <c r="AC1404" s="47">
        <f t="shared" si="414"/>
        <v>577</v>
      </c>
      <c r="AD1404" s="47">
        <f t="shared" si="415"/>
        <v>577</v>
      </c>
      <c r="AE1404" s="47">
        <f t="shared" si="416"/>
        <v>0</v>
      </c>
      <c r="AG1404" s="47">
        <f t="shared" si="417"/>
        <v>577</v>
      </c>
      <c r="AH1404" s="47">
        <f t="shared" si="418"/>
        <v>577</v>
      </c>
      <c r="AI1404" s="208">
        <f t="shared" si="419"/>
        <v>0</v>
      </c>
    </row>
    <row r="1405" spans="1:35">
      <c r="A1405" t="s">
        <v>2130</v>
      </c>
      <c r="B1405" t="s">
        <v>3155</v>
      </c>
      <c r="C1405" t="s">
        <v>2747</v>
      </c>
      <c r="D1405" t="s">
        <v>4794</v>
      </c>
      <c r="F1405" t="s">
        <v>1076</v>
      </c>
      <c r="G1405" s="126">
        <f>SUMIFS('Support - Transition'!F:F,'Support - Transition'!B:B,'Step 2'!A1405,'Support - Transition'!C:C,'Step 2'!B1405,'Support - Transition'!D:D,'Step 2'!C1405,'Support - Transition'!E:E,"CIVIL")</f>
        <v>0</v>
      </c>
      <c r="H1405" s="126">
        <f>SUMIFS('Support - Transition'!F:F,'Support - Transition'!B:B,'Step 2'!A1405,'Support - Transition'!C:C,'Step 2'!B1405,'Support - Transition'!D:D,'Step 2'!C1405,'Support - Transition'!E:E,"FIRE")</f>
        <v>0</v>
      </c>
      <c r="I1405" s="126">
        <f>IF(B1405="0",SUMIFS('Support - Transition'!F:F,'Support - Transition'!J:J,'Step 2'!D1405,'Support - Transition'!E:E,"STATE UNIT"),SUMIFS('Support - Transition'!F:F,'Support - Transition'!J:J,'Step 2'!D1405))</f>
        <v>2.2279999999999999E-3</v>
      </c>
      <c r="J1405" s="126">
        <f>SUMIFS('Support - Unit Adjustments'!E:E,'Support - Unit Adjustments'!F:F,'Step 2'!D1405)</f>
        <v>0</v>
      </c>
      <c r="K1405" s="126">
        <f t="shared" si="403"/>
        <v>2.2279999999999999E-3</v>
      </c>
      <c r="L1405" s="174">
        <f>VLOOKUP(A1405,'Step 1'!$A:$E,4,FALSE)</f>
        <v>1347834</v>
      </c>
      <c r="M1405" s="47">
        <f t="shared" si="404"/>
        <v>3003</v>
      </c>
      <c r="N1405" s="177">
        <f>SUMIFS('Support - Transition'!G:G,'Support - Transition'!J:J,'Step 2'!D1405,'Support - Transition'!E:E,"2009 WELFARE ALLOCATION FACTOR")</f>
        <v>0</v>
      </c>
      <c r="O1405" s="152">
        <f t="shared" si="409"/>
        <v>0</v>
      </c>
      <c r="P1405" s="126">
        <f>IF(E1405="Y",0,SUMIFS('Support - Transition'!G:G,'Support - Transition'!J:J,'Step 2'!D1405,'Support - Transition'!E:E,"2009 SCHOOL ALLOCATION FACTOR"))</f>
        <v>0</v>
      </c>
      <c r="Q1405" s="126">
        <f>IF(E1405="Y",VLOOKUP(D1405,'Support - Unit Adjustments'!F:G,2,FALSE),0)</f>
        <v>0</v>
      </c>
      <c r="R1405" s="155">
        <f t="shared" si="421"/>
        <v>0</v>
      </c>
      <c r="S1405" s="47">
        <f t="shared" si="420"/>
        <v>0</v>
      </c>
      <c r="T1405" s="151">
        <f t="shared" si="405"/>
        <v>3003</v>
      </c>
      <c r="U1405" s="151">
        <f t="shared" si="406"/>
        <v>0</v>
      </c>
      <c r="V1405" s="139">
        <f t="shared" si="407"/>
        <v>0</v>
      </c>
      <c r="W1405" s="152">
        <f t="shared" si="410"/>
        <v>3003</v>
      </c>
      <c r="X1405" s="127" t="str">
        <f t="shared" si="408"/>
        <v/>
      </c>
      <c r="Y1405" s="207">
        <f t="shared" si="411"/>
        <v>3003</v>
      </c>
      <c r="Z1405" s="139">
        <f t="shared" si="412"/>
        <v>3003</v>
      </c>
      <c r="AA1405" s="139">
        <f t="shared" si="413"/>
        <v>0</v>
      </c>
      <c r="AC1405" s="47">
        <f t="shared" si="414"/>
        <v>1502</v>
      </c>
      <c r="AD1405" s="47">
        <f t="shared" si="415"/>
        <v>1502</v>
      </c>
      <c r="AE1405" s="47">
        <f t="shared" si="416"/>
        <v>0</v>
      </c>
      <c r="AG1405" s="47">
        <f t="shared" si="417"/>
        <v>1501</v>
      </c>
      <c r="AH1405" s="47">
        <f t="shared" si="418"/>
        <v>1501</v>
      </c>
      <c r="AI1405" s="208">
        <f t="shared" si="419"/>
        <v>0</v>
      </c>
    </row>
    <row r="1406" spans="1:35">
      <c r="A1406" t="s">
        <v>2130</v>
      </c>
      <c r="B1406" t="s">
        <v>3155</v>
      </c>
      <c r="C1406" t="s">
        <v>2748</v>
      </c>
      <c r="D1406" t="s">
        <v>4795</v>
      </c>
      <c r="F1406" t="s">
        <v>1078</v>
      </c>
      <c r="G1406" s="126">
        <f>SUMIFS('Support - Transition'!F:F,'Support - Transition'!B:B,'Step 2'!A1406,'Support - Transition'!C:C,'Step 2'!B1406,'Support - Transition'!D:D,'Step 2'!C1406,'Support - Transition'!E:E,"CIVIL")</f>
        <v>0</v>
      </c>
      <c r="H1406" s="126">
        <f>SUMIFS('Support - Transition'!F:F,'Support - Transition'!B:B,'Step 2'!A1406,'Support - Transition'!C:C,'Step 2'!B1406,'Support - Transition'!D:D,'Step 2'!C1406,'Support - Transition'!E:E,"FIRE")</f>
        <v>0</v>
      </c>
      <c r="I1406" s="126">
        <f>IF(B1406="0",SUMIFS('Support - Transition'!F:F,'Support - Transition'!J:J,'Step 2'!D1406,'Support - Transition'!E:E,"STATE UNIT"),SUMIFS('Support - Transition'!F:F,'Support - Transition'!J:J,'Step 2'!D1406))</f>
        <v>4.4099999999999999E-4</v>
      </c>
      <c r="J1406" s="126">
        <f>SUMIFS('Support - Unit Adjustments'!E:E,'Support - Unit Adjustments'!F:F,'Step 2'!D1406)</f>
        <v>0</v>
      </c>
      <c r="K1406" s="126">
        <f t="shared" si="403"/>
        <v>4.4099999999999999E-4</v>
      </c>
      <c r="L1406" s="174">
        <f>VLOOKUP(A1406,'Step 1'!$A:$E,4,FALSE)</f>
        <v>1347834</v>
      </c>
      <c r="M1406" s="47">
        <f t="shared" si="404"/>
        <v>594</v>
      </c>
      <c r="N1406" s="177">
        <f>SUMIFS('Support - Transition'!G:G,'Support - Transition'!J:J,'Step 2'!D1406,'Support - Transition'!E:E,"2009 WELFARE ALLOCATION FACTOR")</f>
        <v>0</v>
      </c>
      <c r="O1406" s="152">
        <f t="shared" si="409"/>
        <v>0</v>
      </c>
      <c r="P1406" s="126">
        <f>IF(E1406="Y",0,SUMIFS('Support - Transition'!G:G,'Support - Transition'!J:J,'Step 2'!D1406,'Support - Transition'!E:E,"2009 SCHOOL ALLOCATION FACTOR"))</f>
        <v>0</v>
      </c>
      <c r="Q1406" s="126">
        <f>IF(E1406="Y",VLOOKUP(D1406,'Support - Unit Adjustments'!F:G,2,FALSE),0)</f>
        <v>0</v>
      </c>
      <c r="R1406" s="155">
        <f t="shared" si="421"/>
        <v>0</v>
      </c>
      <c r="S1406" s="47">
        <f t="shared" si="420"/>
        <v>0</v>
      </c>
      <c r="T1406" s="151">
        <f t="shared" si="405"/>
        <v>594</v>
      </c>
      <c r="U1406" s="151">
        <f t="shared" si="406"/>
        <v>0</v>
      </c>
      <c r="V1406" s="139">
        <f t="shared" si="407"/>
        <v>0</v>
      </c>
      <c r="W1406" s="152">
        <f t="shared" si="410"/>
        <v>594</v>
      </c>
      <c r="X1406" s="127" t="str">
        <f t="shared" si="408"/>
        <v/>
      </c>
      <c r="Y1406" s="207">
        <f t="shared" si="411"/>
        <v>594</v>
      </c>
      <c r="Z1406" s="139">
        <f t="shared" si="412"/>
        <v>594</v>
      </c>
      <c r="AA1406" s="139">
        <f t="shared" si="413"/>
        <v>0</v>
      </c>
      <c r="AC1406" s="47">
        <f t="shared" si="414"/>
        <v>297</v>
      </c>
      <c r="AD1406" s="47">
        <f t="shared" si="415"/>
        <v>297</v>
      </c>
      <c r="AE1406" s="47">
        <f t="shared" si="416"/>
        <v>0</v>
      </c>
      <c r="AG1406" s="47">
        <f t="shared" si="417"/>
        <v>297</v>
      </c>
      <c r="AH1406" s="47">
        <f t="shared" si="418"/>
        <v>297</v>
      </c>
      <c r="AI1406" s="208">
        <f t="shared" si="419"/>
        <v>0</v>
      </c>
    </row>
    <row r="1407" spans="1:35">
      <c r="A1407" t="s">
        <v>2130</v>
      </c>
      <c r="B1407" t="s">
        <v>3155</v>
      </c>
      <c r="C1407" t="s">
        <v>2749</v>
      </c>
      <c r="D1407" t="s">
        <v>4796</v>
      </c>
      <c r="F1407" t="s">
        <v>1079</v>
      </c>
      <c r="G1407" s="126">
        <f>SUMIFS('Support - Transition'!F:F,'Support - Transition'!B:B,'Step 2'!A1407,'Support - Transition'!C:C,'Step 2'!B1407,'Support - Transition'!D:D,'Step 2'!C1407,'Support - Transition'!E:E,"CIVIL")</f>
        <v>0</v>
      </c>
      <c r="H1407" s="126">
        <f>SUMIFS('Support - Transition'!F:F,'Support - Transition'!B:B,'Step 2'!A1407,'Support - Transition'!C:C,'Step 2'!B1407,'Support - Transition'!D:D,'Step 2'!C1407,'Support - Transition'!E:E,"FIRE")</f>
        <v>0</v>
      </c>
      <c r="I1407" s="126">
        <f>IF(B1407="0",SUMIFS('Support - Transition'!F:F,'Support - Transition'!J:J,'Step 2'!D1407,'Support - Transition'!E:E,"STATE UNIT"),SUMIFS('Support - Transition'!F:F,'Support - Transition'!J:J,'Step 2'!D1407))</f>
        <v>3.8999999999999999E-5</v>
      </c>
      <c r="J1407" s="126">
        <f>SUMIFS('Support - Unit Adjustments'!E:E,'Support - Unit Adjustments'!F:F,'Step 2'!D1407)</f>
        <v>0</v>
      </c>
      <c r="K1407" s="126">
        <f t="shared" si="403"/>
        <v>3.8999999999999999E-5</v>
      </c>
      <c r="L1407" s="174">
        <f>VLOOKUP(A1407,'Step 1'!$A:$E,4,FALSE)</f>
        <v>1347834</v>
      </c>
      <c r="M1407" s="47">
        <f t="shared" si="404"/>
        <v>53</v>
      </c>
      <c r="N1407" s="177">
        <f>SUMIFS('Support - Transition'!G:G,'Support - Transition'!J:J,'Step 2'!D1407,'Support - Transition'!E:E,"2009 WELFARE ALLOCATION FACTOR")</f>
        <v>0</v>
      </c>
      <c r="O1407" s="152">
        <f t="shared" si="409"/>
        <v>0</v>
      </c>
      <c r="P1407" s="126">
        <f>IF(E1407="Y",0,SUMIFS('Support - Transition'!G:G,'Support - Transition'!J:J,'Step 2'!D1407,'Support - Transition'!E:E,"2009 SCHOOL ALLOCATION FACTOR"))</f>
        <v>0</v>
      </c>
      <c r="Q1407" s="126">
        <f>IF(E1407="Y",VLOOKUP(D1407,'Support - Unit Adjustments'!F:G,2,FALSE),0)</f>
        <v>0</v>
      </c>
      <c r="R1407" s="155">
        <f t="shared" si="421"/>
        <v>0</v>
      </c>
      <c r="S1407" s="47">
        <f t="shared" si="420"/>
        <v>0</v>
      </c>
      <c r="T1407" s="151">
        <f t="shared" si="405"/>
        <v>53</v>
      </c>
      <c r="U1407" s="151">
        <f t="shared" si="406"/>
        <v>0</v>
      </c>
      <c r="V1407" s="139">
        <f t="shared" si="407"/>
        <v>0</v>
      </c>
      <c r="W1407" s="152">
        <f t="shared" si="410"/>
        <v>53</v>
      </c>
      <c r="X1407" s="127" t="str">
        <f t="shared" si="408"/>
        <v/>
      </c>
      <c r="Y1407" s="207">
        <f t="shared" si="411"/>
        <v>53</v>
      </c>
      <c r="Z1407" s="139">
        <f t="shared" si="412"/>
        <v>53</v>
      </c>
      <c r="AA1407" s="139">
        <f t="shared" si="413"/>
        <v>0</v>
      </c>
      <c r="AC1407" s="47">
        <f t="shared" si="414"/>
        <v>27</v>
      </c>
      <c r="AD1407" s="47">
        <f t="shared" si="415"/>
        <v>27</v>
      </c>
      <c r="AE1407" s="47">
        <f t="shared" si="416"/>
        <v>0</v>
      </c>
      <c r="AG1407" s="47">
        <f t="shared" si="417"/>
        <v>26</v>
      </c>
      <c r="AH1407" s="47">
        <f t="shared" si="418"/>
        <v>26</v>
      </c>
      <c r="AI1407" s="208">
        <f t="shared" si="419"/>
        <v>0</v>
      </c>
    </row>
    <row r="1408" spans="1:35">
      <c r="A1408" t="s">
        <v>2130</v>
      </c>
      <c r="B1408" t="s">
        <v>3155</v>
      </c>
      <c r="C1408" t="s">
        <v>2750</v>
      </c>
      <c r="D1408" t="s">
        <v>4797</v>
      </c>
      <c r="F1408" t="s">
        <v>1081</v>
      </c>
      <c r="G1408" s="126">
        <f>SUMIFS('Support - Transition'!F:F,'Support - Transition'!B:B,'Step 2'!A1408,'Support - Transition'!C:C,'Step 2'!B1408,'Support - Transition'!D:D,'Step 2'!C1408,'Support - Transition'!E:E,"CIVIL")</f>
        <v>0</v>
      </c>
      <c r="H1408" s="126">
        <f>SUMIFS('Support - Transition'!F:F,'Support - Transition'!B:B,'Step 2'!A1408,'Support - Transition'!C:C,'Step 2'!B1408,'Support - Transition'!D:D,'Step 2'!C1408,'Support - Transition'!E:E,"FIRE")</f>
        <v>0</v>
      </c>
      <c r="I1408" s="126">
        <f>IF(B1408="0",SUMIFS('Support - Transition'!F:F,'Support - Transition'!J:J,'Step 2'!D1408,'Support - Transition'!E:E,"STATE UNIT"),SUMIFS('Support - Transition'!F:F,'Support - Transition'!J:J,'Step 2'!D1408))</f>
        <v>0</v>
      </c>
      <c r="J1408" s="126">
        <f>SUMIFS('Support - Unit Adjustments'!E:E,'Support - Unit Adjustments'!F:F,'Step 2'!D1408)</f>
        <v>0</v>
      </c>
      <c r="K1408" s="126">
        <f t="shared" si="403"/>
        <v>0</v>
      </c>
      <c r="L1408" s="174">
        <f>VLOOKUP(A1408,'Step 1'!$A:$E,4,FALSE)</f>
        <v>1347834</v>
      </c>
      <c r="M1408" s="47">
        <f t="shared" si="404"/>
        <v>0</v>
      </c>
      <c r="N1408" s="177">
        <f>SUMIFS('Support - Transition'!G:G,'Support - Transition'!J:J,'Step 2'!D1408,'Support - Transition'!E:E,"2009 WELFARE ALLOCATION FACTOR")</f>
        <v>0</v>
      </c>
      <c r="O1408" s="152">
        <f t="shared" si="409"/>
        <v>0</v>
      </c>
      <c r="P1408" s="126">
        <f>IF(E1408="Y",0,SUMIFS('Support - Transition'!G:G,'Support - Transition'!J:J,'Step 2'!D1408,'Support - Transition'!E:E,"2009 SCHOOL ALLOCATION FACTOR"))</f>
        <v>0</v>
      </c>
      <c r="Q1408" s="126">
        <f>IF(E1408="Y",VLOOKUP(D1408,'Support - Unit Adjustments'!F:G,2,FALSE),0)</f>
        <v>0</v>
      </c>
      <c r="R1408" s="155">
        <f t="shared" si="421"/>
        <v>0</v>
      </c>
      <c r="S1408" s="47">
        <f t="shared" si="420"/>
        <v>0</v>
      </c>
      <c r="T1408" s="151">
        <f t="shared" si="405"/>
        <v>0</v>
      </c>
      <c r="U1408" s="151">
        <f t="shared" si="406"/>
        <v>0</v>
      </c>
      <c r="V1408" s="139">
        <f t="shared" si="407"/>
        <v>0</v>
      </c>
      <c r="W1408" s="152">
        <f t="shared" si="410"/>
        <v>0</v>
      </c>
      <c r="X1408" s="127" t="str">
        <f t="shared" si="408"/>
        <v/>
      </c>
      <c r="Y1408" s="207">
        <f t="shared" si="411"/>
        <v>0</v>
      </c>
      <c r="Z1408" s="139">
        <f t="shared" si="412"/>
        <v>0</v>
      </c>
      <c r="AA1408" s="139">
        <f t="shared" si="413"/>
        <v>0</v>
      </c>
      <c r="AC1408" s="47">
        <f t="shared" si="414"/>
        <v>0</v>
      </c>
      <c r="AD1408" s="47">
        <f t="shared" si="415"/>
        <v>0</v>
      </c>
      <c r="AE1408" s="47">
        <f t="shared" si="416"/>
        <v>0</v>
      </c>
      <c r="AG1408" s="47">
        <f t="shared" si="417"/>
        <v>0</v>
      </c>
      <c r="AH1408" s="47">
        <f t="shared" si="418"/>
        <v>0</v>
      </c>
      <c r="AI1408" s="208">
        <f t="shared" si="419"/>
        <v>0</v>
      </c>
    </row>
    <row r="1409" spans="1:35">
      <c r="A1409" t="s">
        <v>2130</v>
      </c>
      <c r="B1409" t="s">
        <v>3155</v>
      </c>
      <c r="C1409" t="s">
        <v>2751</v>
      </c>
      <c r="D1409" t="s">
        <v>4798</v>
      </c>
      <c r="F1409" t="s">
        <v>1082</v>
      </c>
      <c r="G1409" s="126">
        <f>SUMIFS('Support - Transition'!F:F,'Support - Transition'!B:B,'Step 2'!A1409,'Support - Transition'!C:C,'Step 2'!B1409,'Support - Transition'!D:D,'Step 2'!C1409,'Support - Transition'!E:E,"CIVIL")</f>
        <v>0</v>
      </c>
      <c r="H1409" s="126">
        <f>SUMIFS('Support - Transition'!F:F,'Support - Transition'!B:B,'Step 2'!A1409,'Support - Transition'!C:C,'Step 2'!B1409,'Support - Transition'!D:D,'Step 2'!C1409,'Support - Transition'!E:E,"FIRE")</f>
        <v>0</v>
      </c>
      <c r="I1409" s="126">
        <f>IF(B1409="0",SUMIFS('Support - Transition'!F:F,'Support - Transition'!J:J,'Step 2'!D1409,'Support - Transition'!E:E,"STATE UNIT"),SUMIFS('Support - Transition'!F:F,'Support - Transition'!J:J,'Step 2'!D1409))</f>
        <v>1.2329999999999999E-3</v>
      </c>
      <c r="J1409" s="126">
        <f>SUMIFS('Support - Unit Adjustments'!E:E,'Support - Unit Adjustments'!F:F,'Step 2'!D1409)</f>
        <v>0</v>
      </c>
      <c r="K1409" s="126">
        <f t="shared" si="403"/>
        <v>1.2329999999999999E-3</v>
      </c>
      <c r="L1409" s="174">
        <f>VLOOKUP(A1409,'Step 1'!$A:$E,4,FALSE)</f>
        <v>1347834</v>
      </c>
      <c r="M1409" s="47">
        <f t="shared" si="404"/>
        <v>1662</v>
      </c>
      <c r="N1409" s="177">
        <f>SUMIFS('Support - Transition'!G:G,'Support - Transition'!J:J,'Step 2'!D1409,'Support - Transition'!E:E,"2009 WELFARE ALLOCATION FACTOR")</f>
        <v>0</v>
      </c>
      <c r="O1409" s="152">
        <f t="shared" si="409"/>
        <v>0</v>
      </c>
      <c r="P1409" s="126">
        <f>IF(E1409="Y",0,SUMIFS('Support - Transition'!G:G,'Support - Transition'!J:J,'Step 2'!D1409,'Support - Transition'!E:E,"2009 SCHOOL ALLOCATION FACTOR"))</f>
        <v>0</v>
      </c>
      <c r="Q1409" s="126">
        <f>IF(E1409="Y",VLOOKUP(D1409,'Support - Unit Adjustments'!F:G,2,FALSE),0)</f>
        <v>0</v>
      </c>
      <c r="R1409" s="155">
        <f t="shared" si="421"/>
        <v>0</v>
      </c>
      <c r="S1409" s="47">
        <f t="shared" si="420"/>
        <v>0</v>
      </c>
      <c r="T1409" s="151">
        <f t="shared" si="405"/>
        <v>1662</v>
      </c>
      <c r="U1409" s="151">
        <f t="shared" si="406"/>
        <v>0</v>
      </c>
      <c r="V1409" s="139">
        <f t="shared" si="407"/>
        <v>0</v>
      </c>
      <c r="W1409" s="152">
        <f t="shared" si="410"/>
        <v>1662</v>
      </c>
      <c r="X1409" s="127" t="str">
        <f t="shared" si="408"/>
        <v/>
      </c>
      <c r="Y1409" s="207">
        <f t="shared" si="411"/>
        <v>1662</v>
      </c>
      <c r="Z1409" s="139">
        <f t="shared" si="412"/>
        <v>1662</v>
      </c>
      <c r="AA1409" s="139">
        <f t="shared" si="413"/>
        <v>0</v>
      </c>
      <c r="AC1409" s="47">
        <f t="shared" si="414"/>
        <v>831</v>
      </c>
      <c r="AD1409" s="47">
        <f t="shared" si="415"/>
        <v>831</v>
      </c>
      <c r="AE1409" s="47">
        <f t="shared" si="416"/>
        <v>0</v>
      </c>
      <c r="AG1409" s="47">
        <f t="shared" si="417"/>
        <v>831</v>
      </c>
      <c r="AH1409" s="47">
        <f t="shared" si="418"/>
        <v>831</v>
      </c>
      <c r="AI1409" s="208">
        <f t="shared" si="419"/>
        <v>0</v>
      </c>
    </row>
    <row r="1410" spans="1:35">
      <c r="A1410" t="s">
        <v>2130</v>
      </c>
      <c r="B1410" t="s">
        <v>3155</v>
      </c>
      <c r="C1410" t="s">
        <v>2752</v>
      </c>
      <c r="D1410" t="s">
        <v>4799</v>
      </c>
      <c r="F1410" t="s">
        <v>1083</v>
      </c>
      <c r="G1410" s="126">
        <f>SUMIFS('Support - Transition'!F:F,'Support - Transition'!B:B,'Step 2'!A1410,'Support - Transition'!C:C,'Step 2'!B1410,'Support - Transition'!D:D,'Step 2'!C1410,'Support - Transition'!E:E,"CIVIL")</f>
        <v>0</v>
      </c>
      <c r="H1410" s="126">
        <f>SUMIFS('Support - Transition'!F:F,'Support - Transition'!B:B,'Step 2'!A1410,'Support - Transition'!C:C,'Step 2'!B1410,'Support - Transition'!D:D,'Step 2'!C1410,'Support - Transition'!E:E,"FIRE")</f>
        <v>0</v>
      </c>
      <c r="I1410" s="126">
        <f>IF(B1410="0",SUMIFS('Support - Transition'!F:F,'Support - Transition'!J:J,'Step 2'!D1410,'Support - Transition'!E:E,"STATE UNIT"),SUMIFS('Support - Transition'!F:F,'Support - Transition'!J:J,'Step 2'!D1410))</f>
        <v>4.4019999999999997E-3</v>
      </c>
      <c r="J1410" s="126">
        <f>SUMIFS('Support - Unit Adjustments'!E:E,'Support - Unit Adjustments'!F:F,'Step 2'!D1410)</f>
        <v>0</v>
      </c>
      <c r="K1410" s="126">
        <f t="shared" ref="K1410:K1473" si="422">+I1410+J1410</f>
        <v>4.4019999999999997E-3</v>
      </c>
      <c r="L1410" s="174">
        <f>VLOOKUP(A1410,'Step 1'!$A:$E,4,FALSE)</f>
        <v>1347834</v>
      </c>
      <c r="M1410" s="47">
        <f t="shared" ref="M1410:M1473" si="423">ROUND(+K1410*L1410,0)</f>
        <v>5933</v>
      </c>
      <c r="N1410" s="177">
        <f>SUMIFS('Support - Transition'!G:G,'Support - Transition'!J:J,'Step 2'!D1410,'Support - Transition'!E:E,"2009 WELFARE ALLOCATION FACTOR")</f>
        <v>0</v>
      </c>
      <c r="O1410" s="152">
        <f t="shared" si="409"/>
        <v>0</v>
      </c>
      <c r="P1410" s="126">
        <f>IF(E1410="Y",0,SUMIFS('Support - Transition'!G:G,'Support - Transition'!J:J,'Step 2'!D1410,'Support - Transition'!E:E,"2009 SCHOOL ALLOCATION FACTOR"))</f>
        <v>0</v>
      </c>
      <c r="Q1410" s="126">
        <f>IF(E1410="Y",VLOOKUP(D1410,'Support - Unit Adjustments'!F:G,2,FALSE),0)</f>
        <v>0</v>
      </c>
      <c r="R1410" s="155">
        <f t="shared" si="421"/>
        <v>0</v>
      </c>
      <c r="S1410" s="47">
        <f t="shared" si="420"/>
        <v>0</v>
      </c>
      <c r="T1410" s="151">
        <f t="shared" ref="T1410:T1473" si="424">ROUND(+M1410-O1410-S1410,2)</f>
        <v>5933</v>
      </c>
      <c r="U1410" s="151">
        <f t="shared" ref="U1410:U1473" si="425">IF(B1410="0",SUMIFS(O:O,A:A,A1410)+SUMIFS(S:S,A:A,A1410)+SUMIFS(T:T,A:A,A1410),0)</f>
        <v>0</v>
      </c>
      <c r="V1410" s="139">
        <f t="shared" ref="V1410:V1473" si="426">IF(B1410="0",U1410-L1410,0)</f>
        <v>0</v>
      </c>
      <c r="W1410" s="152">
        <f t="shared" si="410"/>
        <v>5933</v>
      </c>
      <c r="X1410" s="127" t="str">
        <f t="shared" ref="X1410:X1473" si="427">IF(B1410="0",SUMIFS(O:O,A:A,A1410)+SUMIFS(S:S,A:A,A1410)+SUMIFS(W:W,A:A,A1410)-L1410,"")</f>
        <v/>
      </c>
      <c r="Y1410" s="207">
        <f t="shared" si="411"/>
        <v>5933</v>
      </c>
      <c r="Z1410" s="139">
        <f t="shared" si="412"/>
        <v>5933</v>
      </c>
      <c r="AA1410" s="139">
        <f t="shared" si="413"/>
        <v>0</v>
      </c>
      <c r="AC1410" s="47">
        <f t="shared" si="414"/>
        <v>2967</v>
      </c>
      <c r="AD1410" s="47">
        <f t="shared" si="415"/>
        <v>2967</v>
      </c>
      <c r="AE1410" s="47">
        <f t="shared" si="416"/>
        <v>0</v>
      </c>
      <c r="AG1410" s="47">
        <f t="shared" si="417"/>
        <v>2966</v>
      </c>
      <c r="AH1410" s="47">
        <f t="shared" si="418"/>
        <v>2966</v>
      </c>
      <c r="AI1410" s="208">
        <f t="shared" si="419"/>
        <v>0</v>
      </c>
    </row>
    <row r="1411" spans="1:35">
      <c r="A1411" t="s">
        <v>2130</v>
      </c>
      <c r="B1411" t="s">
        <v>3155</v>
      </c>
      <c r="C1411" t="s">
        <v>2753</v>
      </c>
      <c r="D1411" t="s">
        <v>4800</v>
      </c>
      <c r="F1411" t="s">
        <v>1084</v>
      </c>
      <c r="G1411" s="126">
        <f>SUMIFS('Support - Transition'!F:F,'Support - Transition'!B:B,'Step 2'!A1411,'Support - Transition'!C:C,'Step 2'!B1411,'Support - Transition'!D:D,'Step 2'!C1411,'Support - Transition'!E:E,"CIVIL")</f>
        <v>0</v>
      </c>
      <c r="H1411" s="126">
        <f>SUMIFS('Support - Transition'!F:F,'Support - Transition'!B:B,'Step 2'!A1411,'Support - Transition'!C:C,'Step 2'!B1411,'Support - Transition'!D:D,'Step 2'!C1411,'Support - Transition'!E:E,"FIRE")</f>
        <v>0</v>
      </c>
      <c r="I1411" s="126">
        <f>IF(B1411="0",SUMIFS('Support - Transition'!F:F,'Support - Transition'!J:J,'Step 2'!D1411,'Support - Transition'!E:E,"STATE UNIT"),SUMIFS('Support - Transition'!F:F,'Support - Transition'!J:J,'Step 2'!D1411))</f>
        <v>1.1428000000000001E-2</v>
      </c>
      <c r="J1411" s="126">
        <f>SUMIFS('Support - Unit Adjustments'!E:E,'Support - Unit Adjustments'!F:F,'Step 2'!D1411)</f>
        <v>0</v>
      </c>
      <c r="K1411" s="126">
        <f t="shared" si="422"/>
        <v>1.1428000000000001E-2</v>
      </c>
      <c r="L1411" s="174">
        <f>VLOOKUP(A1411,'Step 1'!$A:$E,4,FALSE)</f>
        <v>1347834</v>
      </c>
      <c r="M1411" s="47">
        <f t="shared" si="423"/>
        <v>15403</v>
      </c>
      <c r="N1411" s="177">
        <f>SUMIFS('Support - Transition'!G:G,'Support - Transition'!J:J,'Step 2'!D1411,'Support - Transition'!E:E,"2009 WELFARE ALLOCATION FACTOR")</f>
        <v>0</v>
      </c>
      <c r="O1411" s="152">
        <f t="shared" ref="O1411:O1474" si="428">ROUND(+N1411*M1411,0)</f>
        <v>0</v>
      </c>
      <c r="P1411" s="126">
        <f>IF(E1411="Y",0,SUMIFS('Support - Transition'!G:G,'Support - Transition'!J:J,'Step 2'!D1411,'Support - Transition'!E:E,"2009 SCHOOL ALLOCATION FACTOR"))</f>
        <v>0</v>
      </c>
      <c r="Q1411" s="126">
        <f>IF(E1411="Y",VLOOKUP(D1411,'Support - Unit Adjustments'!F:G,2,FALSE),0)</f>
        <v>0</v>
      </c>
      <c r="R1411" s="155">
        <f t="shared" si="421"/>
        <v>0</v>
      </c>
      <c r="S1411" s="47">
        <f t="shared" si="420"/>
        <v>0</v>
      </c>
      <c r="T1411" s="151">
        <f t="shared" si="424"/>
        <v>15403</v>
      </c>
      <c r="U1411" s="151">
        <f t="shared" si="425"/>
        <v>0</v>
      </c>
      <c r="V1411" s="139">
        <f t="shared" si="426"/>
        <v>0</v>
      </c>
      <c r="W1411" s="152">
        <f t="shared" ref="W1411:W1474" si="429">+T1411-V1411</f>
        <v>15403</v>
      </c>
      <c r="X1411" s="127" t="str">
        <f t="shared" si="427"/>
        <v/>
      </c>
      <c r="Y1411" s="207">
        <f t="shared" ref="Y1411:Y1474" si="430">W1411</f>
        <v>15403</v>
      </c>
      <c r="Z1411" s="139">
        <f t="shared" ref="Z1411:Z1474" si="431">IFERROR(IF(B1411="2",ROUND(Y1411*G1411/I1411,0),Y1411),0)</f>
        <v>15403</v>
      </c>
      <c r="AA1411" s="139">
        <f t="shared" ref="AA1411:AA1474" si="432">+Y1411-Z1411</f>
        <v>0</v>
      </c>
      <c r="AC1411" s="47">
        <f t="shared" ref="AC1411:AC1474" si="433">ROUND(Y1411/2,0)</f>
        <v>7702</v>
      </c>
      <c r="AD1411" s="47">
        <f t="shared" ref="AD1411:AD1474" si="434">ROUND(Z1411/2,0)</f>
        <v>7702</v>
      </c>
      <c r="AE1411" s="47">
        <f t="shared" ref="AE1411:AE1474" si="435">ROUND(AA1411/2,0)</f>
        <v>0</v>
      </c>
      <c r="AG1411" s="47">
        <f t="shared" ref="AG1411:AG1474" si="436">+Y1411-AC1411</f>
        <v>7701</v>
      </c>
      <c r="AH1411" s="47">
        <f t="shared" ref="AH1411:AH1474" si="437">+Z1411-AD1411</f>
        <v>7701</v>
      </c>
      <c r="AI1411" s="208">
        <f t="shared" ref="AI1411:AI1474" si="438">+AA1411-AE1411</f>
        <v>0</v>
      </c>
    </row>
    <row r="1412" spans="1:35">
      <c r="A1412" t="s">
        <v>2130</v>
      </c>
      <c r="B1412" t="s">
        <v>3160</v>
      </c>
      <c r="C1412" t="s">
        <v>2754</v>
      </c>
      <c r="D1412" t="s">
        <v>4801</v>
      </c>
      <c r="F1412" t="s">
        <v>1091</v>
      </c>
      <c r="G1412" s="126">
        <f>SUMIFS('Support - Transition'!F:F,'Support - Transition'!B:B,'Step 2'!A1412,'Support - Transition'!C:C,'Step 2'!B1412,'Support - Transition'!D:D,'Step 2'!C1412,'Support - Transition'!E:E,"CIVIL")</f>
        <v>0</v>
      </c>
      <c r="H1412" s="126">
        <f>SUMIFS('Support - Transition'!F:F,'Support - Transition'!B:B,'Step 2'!A1412,'Support - Transition'!C:C,'Step 2'!B1412,'Support - Transition'!D:D,'Step 2'!C1412,'Support - Transition'!E:E,"FIRE")</f>
        <v>0</v>
      </c>
      <c r="I1412" s="126">
        <f>IF(B1412="0",SUMIFS('Support - Transition'!F:F,'Support - Transition'!J:J,'Step 2'!D1412,'Support - Transition'!E:E,"STATE UNIT"),SUMIFS('Support - Transition'!F:F,'Support - Transition'!J:J,'Step 2'!D1412))</f>
        <v>5.6883999999999997E-2</v>
      </c>
      <c r="J1412" s="126">
        <f>SUMIFS('Support - Unit Adjustments'!E:E,'Support - Unit Adjustments'!F:F,'Step 2'!D1412)</f>
        <v>0</v>
      </c>
      <c r="K1412" s="126">
        <f t="shared" si="422"/>
        <v>5.6883999999999997E-2</v>
      </c>
      <c r="L1412" s="174">
        <f>VLOOKUP(A1412,'Step 1'!$A:$E,4,FALSE)</f>
        <v>1347834</v>
      </c>
      <c r="M1412" s="47">
        <f t="shared" si="423"/>
        <v>76670</v>
      </c>
      <c r="N1412" s="177">
        <f>SUMIFS('Support - Transition'!G:G,'Support - Transition'!J:J,'Step 2'!D1412,'Support - Transition'!E:E,"2009 WELFARE ALLOCATION FACTOR")</f>
        <v>0</v>
      </c>
      <c r="O1412" s="152">
        <f t="shared" si="428"/>
        <v>0</v>
      </c>
      <c r="P1412" s="126">
        <f>IF(E1412="Y",0,SUMIFS('Support - Transition'!G:G,'Support - Transition'!J:J,'Step 2'!D1412,'Support - Transition'!E:E,"2009 SCHOOL ALLOCATION FACTOR"))</f>
        <v>0.44144499999999998</v>
      </c>
      <c r="Q1412" s="126">
        <f>IF(E1412="Y",VLOOKUP(D1412,'Support - Unit Adjustments'!F:G,2,FALSE),0)</f>
        <v>0</v>
      </c>
      <c r="R1412" s="155">
        <f t="shared" si="421"/>
        <v>0.44144499999999998</v>
      </c>
      <c r="S1412" s="47">
        <f t="shared" si="420"/>
        <v>33846</v>
      </c>
      <c r="T1412" s="151">
        <f t="shared" si="424"/>
        <v>42824</v>
      </c>
      <c r="U1412" s="151">
        <f t="shared" si="425"/>
        <v>0</v>
      </c>
      <c r="V1412" s="139">
        <f t="shared" si="426"/>
        <v>0</v>
      </c>
      <c r="W1412" s="152">
        <f t="shared" si="429"/>
        <v>42824</v>
      </c>
      <c r="X1412" s="127" t="str">
        <f t="shared" si="427"/>
        <v/>
      </c>
      <c r="Y1412" s="207">
        <f t="shared" si="430"/>
        <v>42824</v>
      </c>
      <c r="Z1412" s="139">
        <f t="shared" si="431"/>
        <v>42824</v>
      </c>
      <c r="AA1412" s="139">
        <f t="shared" si="432"/>
        <v>0</v>
      </c>
      <c r="AC1412" s="47">
        <f t="shared" si="433"/>
        <v>21412</v>
      </c>
      <c r="AD1412" s="47">
        <f t="shared" si="434"/>
        <v>21412</v>
      </c>
      <c r="AE1412" s="47">
        <f t="shared" si="435"/>
        <v>0</v>
      </c>
      <c r="AG1412" s="47">
        <f t="shared" si="436"/>
        <v>21412</v>
      </c>
      <c r="AH1412" s="47">
        <f t="shared" si="437"/>
        <v>21412</v>
      </c>
      <c r="AI1412" s="208">
        <f t="shared" si="438"/>
        <v>0</v>
      </c>
    </row>
    <row r="1413" spans="1:35">
      <c r="A1413" t="s">
        <v>2130</v>
      </c>
      <c r="B1413" t="s">
        <v>3160</v>
      </c>
      <c r="C1413" t="s">
        <v>2755</v>
      </c>
      <c r="D1413" t="s">
        <v>4802</v>
      </c>
      <c r="F1413" t="s">
        <v>1090</v>
      </c>
      <c r="G1413" s="126">
        <f>SUMIFS('Support - Transition'!F:F,'Support - Transition'!B:B,'Step 2'!A1413,'Support - Transition'!C:C,'Step 2'!B1413,'Support - Transition'!D:D,'Step 2'!C1413,'Support - Transition'!E:E,"CIVIL")</f>
        <v>0</v>
      </c>
      <c r="H1413" s="126">
        <f>SUMIFS('Support - Transition'!F:F,'Support - Transition'!B:B,'Step 2'!A1413,'Support - Transition'!C:C,'Step 2'!B1413,'Support - Transition'!D:D,'Step 2'!C1413,'Support - Transition'!E:E,"FIRE")</f>
        <v>0</v>
      </c>
      <c r="I1413" s="126">
        <f>IF(B1413="0",SUMIFS('Support - Transition'!F:F,'Support - Transition'!J:J,'Step 2'!D1413,'Support - Transition'!E:E,"STATE UNIT"),SUMIFS('Support - Transition'!F:F,'Support - Transition'!J:J,'Step 2'!D1413))</f>
        <v>4.3130000000000002E-2</v>
      </c>
      <c r="J1413" s="126">
        <f>SUMIFS('Support - Unit Adjustments'!E:E,'Support - Unit Adjustments'!F:F,'Step 2'!D1413)</f>
        <v>0</v>
      </c>
      <c r="K1413" s="126">
        <f t="shared" si="422"/>
        <v>4.3130000000000002E-2</v>
      </c>
      <c r="L1413" s="174">
        <f>VLOOKUP(A1413,'Step 1'!$A:$E,4,FALSE)</f>
        <v>1347834</v>
      </c>
      <c r="M1413" s="47">
        <f t="shared" si="423"/>
        <v>58132</v>
      </c>
      <c r="N1413" s="177">
        <f>SUMIFS('Support - Transition'!G:G,'Support - Transition'!J:J,'Step 2'!D1413,'Support - Transition'!E:E,"2009 WELFARE ALLOCATION FACTOR")</f>
        <v>0</v>
      </c>
      <c r="O1413" s="152">
        <f t="shared" si="428"/>
        <v>0</v>
      </c>
      <c r="P1413" s="126">
        <f>IF(E1413="Y",0,SUMIFS('Support - Transition'!G:G,'Support - Transition'!J:J,'Step 2'!D1413,'Support - Transition'!E:E,"2009 SCHOOL ALLOCATION FACTOR"))</f>
        <v>0.41458600000000001</v>
      </c>
      <c r="Q1413" s="126">
        <f>IF(E1413="Y",VLOOKUP(D1413,'Support - Unit Adjustments'!F:G,2,FALSE),0)</f>
        <v>0</v>
      </c>
      <c r="R1413" s="155">
        <f t="shared" si="421"/>
        <v>0.41458600000000001</v>
      </c>
      <c r="S1413" s="47">
        <f t="shared" si="420"/>
        <v>24101</v>
      </c>
      <c r="T1413" s="151">
        <f t="shared" si="424"/>
        <v>34031</v>
      </c>
      <c r="U1413" s="151">
        <f t="shared" si="425"/>
        <v>0</v>
      </c>
      <c r="V1413" s="139">
        <f t="shared" si="426"/>
        <v>0</v>
      </c>
      <c r="W1413" s="152">
        <f t="shared" si="429"/>
        <v>34031</v>
      </c>
      <c r="X1413" s="127" t="str">
        <f t="shared" si="427"/>
        <v/>
      </c>
      <c r="Y1413" s="207">
        <f t="shared" si="430"/>
        <v>34031</v>
      </c>
      <c r="Z1413" s="139">
        <f t="shared" si="431"/>
        <v>34031</v>
      </c>
      <c r="AA1413" s="139">
        <f t="shared" si="432"/>
        <v>0</v>
      </c>
      <c r="AC1413" s="47">
        <f t="shared" si="433"/>
        <v>17016</v>
      </c>
      <c r="AD1413" s="47">
        <f t="shared" si="434"/>
        <v>17016</v>
      </c>
      <c r="AE1413" s="47">
        <f t="shared" si="435"/>
        <v>0</v>
      </c>
      <c r="AG1413" s="47">
        <f t="shared" si="436"/>
        <v>17015</v>
      </c>
      <c r="AH1413" s="47">
        <f t="shared" si="437"/>
        <v>17015</v>
      </c>
      <c r="AI1413" s="208">
        <f t="shared" si="438"/>
        <v>0</v>
      </c>
    </row>
    <row r="1414" spans="1:35" s="154" customFormat="1">
      <c r="A1414" t="s">
        <v>2130</v>
      </c>
      <c r="B1414" t="s">
        <v>3160</v>
      </c>
      <c r="C1414" t="s">
        <v>4803</v>
      </c>
      <c r="D1414" t="s">
        <v>4804</v>
      </c>
      <c r="E1414" t="s">
        <v>6384</v>
      </c>
      <c r="F1414" t="s">
        <v>4805</v>
      </c>
      <c r="G1414" s="126">
        <f>SUMIFS('Support - Transition'!F:F,'Support - Transition'!B:B,'Step 2'!A1414,'Support - Transition'!C:C,'Step 2'!B1414,'Support - Transition'!D:D,'Step 2'!C1414,'Support - Transition'!E:E,"CIVIL")</f>
        <v>0</v>
      </c>
      <c r="H1414" s="126">
        <f>SUMIFS('Support - Transition'!F:F,'Support - Transition'!B:B,'Step 2'!A1414,'Support - Transition'!C:C,'Step 2'!B1414,'Support - Transition'!D:D,'Step 2'!C1414,'Support - Transition'!E:E,"FIRE")</f>
        <v>0</v>
      </c>
      <c r="I1414" s="155">
        <f>IF(B1414="0",SUMIFS('Support - Transition'!F:F,'Support - Transition'!J:J,'Step 2'!D1414,'Support - Transition'!E:E,"STATE UNIT"),SUMIFS('Support - Transition'!F:F,'Support - Transition'!J:J,'Step 2'!D1414))</f>
        <v>4.0916000000000001E-2</v>
      </c>
      <c r="J1414" s="155">
        <f>SUMIFS('Support - Unit Adjustments'!E:E,'Support - Unit Adjustments'!F:F,'Step 2'!D1414)</f>
        <v>0</v>
      </c>
      <c r="K1414" s="155">
        <f t="shared" si="422"/>
        <v>4.0916000000000001E-2</v>
      </c>
      <c r="L1414" s="175">
        <f>VLOOKUP(A1414,'Step 1'!$A:$E,4,FALSE)</f>
        <v>1347834</v>
      </c>
      <c r="M1414" s="47">
        <f t="shared" si="423"/>
        <v>55148</v>
      </c>
      <c r="N1414" s="178">
        <f>SUMIFS('Support - Transition'!G:G,'Support - Transition'!J:J,'Step 2'!D1414,'Support - Transition'!E:E,"2009 WELFARE ALLOCATION FACTOR")</f>
        <v>0</v>
      </c>
      <c r="O1414" s="158">
        <f t="shared" si="428"/>
        <v>0</v>
      </c>
      <c r="P1414" s="155">
        <f>IF(E1414="Y",0,SUMIFS('Support - Transition'!G:G,'Support - Transition'!J:J,'Step 2'!D1414,'Support - Transition'!E:E,"2009 SCHOOL ALLOCATION FACTOR"))</f>
        <v>0</v>
      </c>
      <c r="Q1414" s="155">
        <f>IF(E1414="Y",VLOOKUP(D1414,'Support - Unit Adjustments'!F:G,2,FALSE),0)</f>
        <v>0.741537</v>
      </c>
      <c r="R1414" s="155">
        <f t="shared" si="421"/>
        <v>0.741537</v>
      </c>
      <c r="S1414" s="47">
        <f t="shared" si="420"/>
        <v>40894</v>
      </c>
      <c r="T1414" s="156">
        <f t="shared" si="424"/>
        <v>14254</v>
      </c>
      <c r="U1414" s="156">
        <f t="shared" si="425"/>
        <v>0</v>
      </c>
      <c r="V1414" s="157">
        <f t="shared" si="426"/>
        <v>0</v>
      </c>
      <c r="W1414" s="158">
        <f t="shared" si="429"/>
        <v>14254</v>
      </c>
      <c r="X1414" s="127" t="str">
        <f t="shared" si="427"/>
        <v/>
      </c>
      <c r="Y1414" s="207">
        <f t="shared" si="430"/>
        <v>14254</v>
      </c>
      <c r="Z1414" s="139">
        <f t="shared" si="431"/>
        <v>14254</v>
      </c>
      <c r="AA1414" s="139">
        <f t="shared" si="432"/>
        <v>0</v>
      </c>
      <c r="AC1414" s="47">
        <f t="shared" si="433"/>
        <v>7127</v>
      </c>
      <c r="AD1414" s="47">
        <f t="shared" si="434"/>
        <v>7127</v>
      </c>
      <c r="AE1414" s="47">
        <f t="shared" si="435"/>
        <v>0</v>
      </c>
      <c r="AF1414"/>
      <c r="AG1414" s="47">
        <f t="shared" si="436"/>
        <v>7127</v>
      </c>
      <c r="AH1414" s="47">
        <f t="shared" si="437"/>
        <v>7127</v>
      </c>
      <c r="AI1414" s="208">
        <f t="shared" si="438"/>
        <v>0</v>
      </c>
    </row>
    <row r="1415" spans="1:35">
      <c r="A1415" t="s">
        <v>2130</v>
      </c>
      <c r="B1415" t="s">
        <v>3160</v>
      </c>
      <c r="C1415" t="s">
        <v>2756</v>
      </c>
      <c r="D1415" t="s">
        <v>4806</v>
      </c>
      <c r="F1415" t="s">
        <v>1089</v>
      </c>
      <c r="G1415" s="126">
        <f>SUMIFS('Support - Transition'!F:F,'Support - Transition'!B:B,'Step 2'!A1415,'Support - Transition'!C:C,'Step 2'!B1415,'Support - Transition'!D:D,'Step 2'!C1415,'Support - Transition'!E:E,"CIVIL")</f>
        <v>0</v>
      </c>
      <c r="H1415" s="126">
        <f>SUMIFS('Support - Transition'!F:F,'Support - Transition'!B:B,'Step 2'!A1415,'Support - Transition'!C:C,'Step 2'!B1415,'Support - Transition'!D:D,'Step 2'!C1415,'Support - Transition'!E:E,"FIRE")</f>
        <v>0</v>
      </c>
      <c r="I1415" s="126">
        <f>IF(B1415="0",SUMIFS('Support - Transition'!F:F,'Support - Transition'!J:J,'Step 2'!D1415,'Support - Transition'!E:E,"STATE UNIT"),SUMIFS('Support - Transition'!F:F,'Support - Transition'!J:J,'Step 2'!D1415))</f>
        <v>0.16100700000000001</v>
      </c>
      <c r="J1415" s="126">
        <f>SUMIFS('Support - Unit Adjustments'!E:E,'Support - Unit Adjustments'!F:F,'Step 2'!D1415)</f>
        <v>0</v>
      </c>
      <c r="K1415" s="126">
        <f t="shared" si="422"/>
        <v>0.16100700000000001</v>
      </c>
      <c r="L1415" s="174">
        <f>VLOOKUP(A1415,'Step 1'!$A:$E,4,FALSE)</f>
        <v>1347834</v>
      </c>
      <c r="M1415" s="47">
        <f t="shared" si="423"/>
        <v>217011</v>
      </c>
      <c r="N1415" s="177">
        <f>SUMIFS('Support - Transition'!G:G,'Support - Transition'!J:J,'Step 2'!D1415,'Support - Transition'!E:E,"2009 WELFARE ALLOCATION FACTOR")</f>
        <v>0</v>
      </c>
      <c r="O1415" s="152">
        <f t="shared" si="428"/>
        <v>0</v>
      </c>
      <c r="P1415" s="126">
        <f>IF(E1415="Y",0,SUMIFS('Support - Transition'!G:G,'Support - Transition'!J:J,'Step 2'!D1415,'Support - Transition'!E:E,"2009 SCHOOL ALLOCATION FACTOR"))</f>
        <v>0.53610800000000003</v>
      </c>
      <c r="Q1415" s="126">
        <f>IF(E1415="Y",VLOOKUP(D1415,'Support - Unit Adjustments'!F:G,2,FALSE),0)</f>
        <v>0</v>
      </c>
      <c r="R1415" s="155">
        <f t="shared" si="421"/>
        <v>0.53610800000000003</v>
      </c>
      <c r="S1415" s="47">
        <f t="shared" si="420"/>
        <v>116341</v>
      </c>
      <c r="T1415" s="151">
        <f t="shared" si="424"/>
        <v>100670</v>
      </c>
      <c r="U1415" s="151">
        <f t="shared" si="425"/>
        <v>0</v>
      </c>
      <c r="V1415" s="139">
        <f t="shared" si="426"/>
        <v>0</v>
      </c>
      <c r="W1415" s="152">
        <f t="shared" si="429"/>
        <v>100670</v>
      </c>
      <c r="X1415" s="127" t="str">
        <f t="shared" si="427"/>
        <v/>
      </c>
      <c r="Y1415" s="207">
        <f t="shared" si="430"/>
        <v>100670</v>
      </c>
      <c r="Z1415" s="139">
        <f t="shared" si="431"/>
        <v>100670</v>
      </c>
      <c r="AA1415" s="139">
        <f t="shared" si="432"/>
        <v>0</v>
      </c>
      <c r="AC1415" s="47">
        <f t="shared" si="433"/>
        <v>50335</v>
      </c>
      <c r="AD1415" s="47">
        <f t="shared" si="434"/>
        <v>50335</v>
      </c>
      <c r="AE1415" s="47">
        <f t="shared" si="435"/>
        <v>0</v>
      </c>
      <c r="AG1415" s="47">
        <f t="shared" si="436"/>
        <v>50335</v>
      </c>
      <c r="AH1415" s="47">
        <f t="shared" si="437"/>
        <v>50335</v>
      </c>
      <c r="AI1415" s="208">
        <f t="shared" si="438"/>
        <v>0</v>
      </c>
    </row>
    <row r="1416" spans="1:35">
      <c r="A1416" t="s">
        <v>2130</v>
      </c>
      <c r="B1416" t="s">
        <v>3160</v>
      </c>
      <c r="C1416" t="s">
        <v>2757</v>
      </c>
      <c r="D1416" t="s">
        <v>4807</v>
      </c>
      <c r="F1416" t="s">
        <v>4808</v>
      </c>
      <c r="G1416" s="126">
        <f>SUMIFS('Support - Transition'!F:F,'Support - Transition'!B:B,'Step 2'!A1416,'Support - Transition'!C:C,'Step 2'!B1416,'Support - Transition'!D:D,'Step 2'!C1416,'Support - Transition'!E:E,"CIVIL")</f>
        <v>0</v>
      </c>
      <c r="H1416" s="126">
        <f>SUMIFS('Support - Transition'!F:F,'Support - Transition'!B:B,'Step 2'!A1416,'Support - Transition'!C:C,'Step 2'!B1416,'Support - Transition'!D:D,'Step 2'!C1416,'Support - Transition'!E:E,"FIRE")</f>
        <v>0</v>
      </c>
      <c r="I1416" s="126">
        <f>IF(B1416="0",SUMIFS('Support - Transition'!F:F,'Support - Transition'!J:J,'Step 2'!D1416,'Support - Transition'!E:E,"STATE UNIT"),SUMIFS('Support - Transition'!F:F,'Support - Transition'!J:J,'Step 2'!D1416))</f>
        <v>4.3608000000000001E-2</v>
      </c>
      <c r="J1416" s="126">
        <f>SUMIFS('Support - Unit Adjustments'!E:E,'Support - Unit Adjustments'!F:F,'Step 2'!D1416)</f>
        <v>0</v>
      </c>
      <c r="K1416" s="126">
        <f t="shared" si="422"/>
        <v>4.3608000000000001E-2</v>
      </c>
      <c r="L1416" s="174">
        <f>VLOOKUP(A1416,'Step 1'!$A:$E,4,FALSE)</f>
        <v>1347834</v>
      </c>
      <c r="M1416" s="47">
        <f t="shared" si="423"/>
        <v>58776</v>
      </c>
      <c r="N1416" s="177">
        <f>SUMIFS('Support - Transition'!G:G,'Support - Transition'!J:J,'Step 2'!D1416,'Support - Transition'!E:E,"2009 WELFARE ALLOCATION FACTOR")</f>
        <v>0</v>
      </c>
      <c r="O1416" s="152">
        <f t="shared" si="428"/>
        <v>0</v>
      </c>
      <c r="P1416" s="126">
        <f>IF(E1416="Y",0,SUMIFS('Support - Transition'!G:G,'Support - Transition'!J:J,'Step 2'!D1416,'Support - Transition'!E:E,"2009 SCHOOL ALLOCATION FACTOR"))</f>
        <v>0.45180999999999999</v>
      </c>
      <c r="Q1416" s="126">
        <f>IF(E1416="Y",VLOOKUP(D1416,'Support - Unit Adjustments'!F:G,2,FALSE),0)</f>
        <v>0</v>
      </c>
      <c r="R1416" s="155">
        <f t="shared" si="421"/>
        <v>0.45180999999999999</v>
      </c>
      <c r="S1416" s="47">
        <f t="shared" ref="S1416:S1479" si="439">ROUND(+R1416*M1416,0)</f>
        <v>26556</v>
      </c>
      <c r="T1416" s="151">
        <f t="shared" si="424"/>
        <v>32220</v>
      </c>
      <c r="U1416" s="151">
        <f t="shared" si="425"/>
        <v>0</v>
      </c>
      <c r="V1416" s="139">
        <f t="shared" si="426"/>
        <v>0</v>
      </c>
      <c r="W1416" s="152">
        <f t="shared" si="429"/>
        <v>32220</v>
      </c>
      <c r="X1416" s="127" t="str">
        <f t="shared" si="427"/>
        <v/>
      </c>
      <c r="Y1416" s="207">
        <f t="shared" si="430"/>
        <v>32220</v>
      </c>
      <c r="Z1416" s="139">
        <f t="shared" si="431"/>
        <v>32220</v>
      </c>
      <c r="AA1416" s="139">
        <f t="shared" si="432"/>
        <v>0</v>
      </c>
      <c r="AC1416" s="47">
        <f t="shared" si="433"/>
        <v>16110</v>
      </c>
      <c r="AD1416" s="47">
        <f t="shared" si="434"/>
        <v>16110</v>
      </c>
      <c r="AE1416" s="47">
        <f t="shared" si="435"/>
        <v>0</v>
      </c>
      <c r="AG1416" s="47">
        <f t="shared" si="436"/>
        <v>16110</v>
      </c>
      <c r="AH1416" s="47">
        <f t="shared" si="437"/>
        <v>16110</v>
      </c>
      <c r="AI1416" s="208">
        <f t="shared" si="438"/>
        <v>0</v>
      </c>
    </row>
    <row r="1417" spans="1:35">
      <c r="A1417" t="s">
        <v>2130</v>
      </c>
      <c r="B1417" t="s">
        <v>3160</v>
      </c>
      <c r="C1417" t="s">
        <v>2758</v>
      </c>
      <c r="D1417" t="s">
        <v>4809</v>
      </c>
      <c r="F1417" t="s">
        <v>1088</v>
      </c>
      <c r="G1417" s="126">
        <f>SUMIFS('Support - Transition'!F:F,'Support - Transition'!B:B,'Step 2'!A1417,'Support - Transition'!C:C,'Step 2'!B1417,'Support - Transition'!D:D,'Step 2'!C1417,'Support - Transition'!E:E,"CIVIL")</f>
        <v>0</v>
      </c>
      <c r="H1417" s="126">
        <f>SUMIFS('Support - Transition'!F:F,'Support - Transition'!B:B,'Step 2'!A1417,'Support - Transition'!C:C,'Step 2'!B1417,'Support - Transition'!D:D,'Step 2'!C1417,'Support - Transition'!E:E,"FIRE")</f>
        <v>0</v>
      </c>
      <c r="I1417" s="126">
        <f>IF(B1417="0",SUMIFS('Support - Transition'!F:F,'Support - Transition'!J:J,'Step 2'!D1417,'Support - Transition'!E:E,"STATE UNIT"),SUMIFS('Support - Transition'!F:F,'Support - Transition'!J:J,'Step 2'!D1417))</f>
        <v>0.160162</v>
      </c>
      <c r="J1417" s="126">
        <f>SUMIFS('Support - Unit Adjustments'!E:E,'Support - Unit Adjustments'!F:F,'Step 2'!D1417)</f>
        <v>0</v>
      </c>
      <c r="K1417" s="126">
        <f t="shared" si="422"/>
        <v>0.160162</v>
      </c>
      <c r="L1417" s="174">
        <f>VLOOKUP(A1417,'Step 1'!$A:$E,4,FALSE)</f>
        <v>1347834</v>
      </c>
      <c r="M1417" s="47">
        <f t="shared" si="423"/>
        <v>215872</v>
      </c>
      <c r="N1417" s="177">
        <f>SUMIFS('Support - Transition'!G:G,'Support - Transition'!J:J,'Step 2'!D1417,'Support - Transition'!E:E,"2009 WELFARE ALLOCATION FACTOR")</f>
        <v>0</v>
      </c>
      <c r="O1417" s="152">
        <f t="shared" si="428"/>
        <v>0</v>
      </c>
      <c r="P1417" s="126">
        <f>IF(E1417="Y",0,SUMIFS('Support - Transition'!G:G,'Support - Transition'!J:J,'Step 2'!D1417,'Support - Transition'!E:E,"2009 SCHOOL ALLOCATION FACTOR"))</f>
        <v>0.45946300000000001</v>
      </c>
      <c r="Q1417" s="126">
        <f>IF(E1417="Y",VLOOKUP(D1417,'Support - Unit Adjustments'!F:G,2,FALSE),0)</f>
        <v>0</v>
      </c>
      <c r="R1417" s="155">
        <f t="shared" ref="R1417:R1480" si="440">+P1417+Q1417</f>
        <v>0.45946300000000001</v>
      </c>
      <c r="S1417" s="47">
        <f t="shared" si="439"/>
        <v>99185</v>
      </c>
      <c r="T1417" s="151">
        <f t="shared" si="424"/>
        <v>116687</v>
      </c>
      <c r="U1417" s="151">
        <f t="shared" si="425"/>
        <v>0</v>
      </c>
      <c r="V1417" s="139">
        <f t="shared" si="426"/>
        <v>0</v>
      </c>
      <c r="W1417" s="152">
        <f t="shared" si="429"/>
        <v>116687</v>
      </c>
      <c r="X1417" s="127" t="str">
        <f t="shared" si="427"/>
        <v/>
      </c>
      <c r="Y1417" s="207">
        <f t="shared" si="430"/>
        <v>116687</v>
      </c>
      <c r="Z1417" s="139">
        <f t="shared" si="431"/>
        <v>116687</v>
      </c>
      <c r="AA1417" s="139">
        <f t="shared" si="432"/>
        <v>0</v>
      </c>
      <c r="AC1417" s="47">
        <f t="shared" si="433"/>
        <v>58344</v>
      </c>
      <c r="AD1417" s="47">
        <f t="shared" si="434"/>
        <v>58344</v>
      </c>
      <c r="AE1417" s="47">
        <f t="shared" si="435"/>
        <v>0</v>
      </c>
      <c r="AG1417" s="47">
        <f t="shared" si="436"/>
        <v>58343</v>
      </c>
      <c r="AH1417" s="47">
        <f t="shared" si="437"/>
        <v>58343</v>
      </c>
      <c r="AI1417" s="208">
        <f t="shared" si="438"/>
        <v>0</v>
      </c>
    </row>
    <row r="1418" spans="1:35">
      <c r="A1418" t="s">
        <v>2130</v>
      </c>
      <c r="B1418" t="s">
        <v>3160</v>
      </c>
      <c r="C1418" t="s">
        <v>2759</v>
      </c>
      <c r="D1418" t="s">
        <v>4810</v>
      </c>
      <c r="F1418" t="s">
        <v>1087</v>
      </c>
      <c r="G1418" s="126">
        <f>SUMIFS('Support - Transition'!F:F,'Support - Transition'!B:B,'Step 2'!A1418,'Support - Transition'!C:C,'Step 2'!B1418,'Support - Transition'!D:D,'Step 2'!C1418,'Support - Transition'!E:E,"CIVIL")</f>
        <v>0</v>
      </c>
      <c r="H1418" s="126">
        <f>SUMIFS('Support - Transition'!F:F,'Support - Transition'!B:B,'Step 2'!A1418,'Support - Transition'!C:C,'Step 2'!B1418,'Support - Transition'!D:D,'Step 2'!C1418,'Support - Transition'!E:E,"FIRE")</f>
        <v>0</v>
      </c>
      <c r="I1418" s="126">
        <f>IF(B1418="0",SUMIFS('Support - Transition'!F:F,'Support - Transition'!J:J,'Step 2'!D1418,'Support - Transition'!E:E,"STATE UNIT"),SUMIFS('Support - Transition'!F:F,'Support - Transition'!J:J,'Step 2'!D1418))</f>
        <v>1.66E-3</v>
      </c>
      <c r="J1418" s="126">
        <f>SUMIFS('Support - Unit Adjustments'!E:E,'Support - Unit Adjustments'!F:F,'Step 2'!D1418)</f>
        <v>0</v>
      </c>
      <c r="K1418" s="126">
        <f t="shared" si="422"/>
        <v>1.66E-3</v>
      </c>
      <c r="L1418" s="174">
        <f>VLOOKUP(A1418,'Step 1'!$A:$E,4,FALSE)</f>
        <v>1347834</v>
      </c>
      <c r="M1418" s="47">
        <f t="shared" si="423"/>
        <v>2237</v>
      </c>
      <c r="N1418" s="177">
        <f>SUMIFS('Support - Transition'!G:G,'Support - Transition'!J:J,'Step 2'!D1418,'Support - Transition'!E:E,"2009 WELFARE ALLOCATION FACTOR")</f>
        <v>0</v>
      </c>
      <c r="O1418" s="152">
        <f t="shared" si="428"/>
        <v>0</v>
      </c>
      <c r="P1418" s="126">
        <f>IF(E1418="Y",0,SUMIFS('Support - Transition'!G:G,'Support - Transition'!J:J,'Step 2'!D1418,'Support - Transition'!E:E,"2009 SCHOOL ALLOCATION FACTOR"))</f>
        <v>0.410688</v>
      </c>
      <c r="Q1418" s="126">
        <f>IF(E1418="Y",VLOOKUP(D1418,'Support - Unit Adjustments'!F:G,2,FALSE),0)</f>
        <v>0</v>
      </c>
      <c r="R1418" s="155">
        <f t="shared" si="440"/>
        <v>0.410688</v>
      </c>
      <c r="S1418" s="47">
        <f t="shared" si="439"/>
        <v>919</v>
      </c>
      <c r="T1418" s="151">
        <f t="shared" si="424"/>
        <v>1318</v>
      </c>
      <c r="U1418" s="151">
        <f t="shared" si="425"/>
        <v>0</v>
      </c>
      <c r="V1418" s="139">
        <f t="shared" si="426"/>
        <v>0</v>
      </c>
      <c r="W1418" s="152">
        <f t="shared" si="429"/>
        <v>1318</v>
      </c>
      <c r="X1418" s="127" t="str">
        <f t="shared" si="427"/>
        <v/>
      </c>
      <c r="Y1418" s="207">
        <f t="shared" si="430"/>
        <v>1318</v>
      </c>
      <c r="Z1418" s="139">
        <f t="shared" si="431"/>
        <v>1318</v>
      </c>
      <c r="AA1418" s="139">
        <f t="shared" si="432"/>
        <v>0</v>
      </c>
      <c r="AC1418" s="47">
        <f t="shared" si="433"/>
        <v>659</v>
      </c>
      <c r="AD1418" s="47">
        <f t="shared" si="434"/>
        <v>659</v>
      </c>
      <c r="AE1418" s="47">
        <f t="shared" si="435"/>
        <v>0</v>
      </c>
      <c r="AG1418" s="47">
        <f t="shared" si="436"/>
        <v>659</v>
      </c>
      <c r="AH1418" s="47">
        <f t="shared" si="437"/>
        <v>659</v>
      </c>
      <c r="AI1418" s="208">
        <f t="shared" si="438"/>
        <v>0</v>
      </c>
    </row>
    <row r="1419" spans="1:35">
      <c r="A1419" t="s">
        <v>2130</v>
      </c>
      <c r="B1419" t="s">
        <v>3166</v>
      </c>
      <c r="C1419" t="s">
        <v>4811</v>
      </c>
      <c r="D1419" t="s">
        <v>4812</v>
      </c>
      <c r="F1419" t="s">
        <v>1096</v>
      </c>
      <c r="G1419" s="126">
        <f>SUMIFS('Support - Transition'!F:F,'Support - Transition'!B:B,'Step 2'!A1419,'Support - Transition'!C:C,'Step 2'!B1419,'Support - Transition'!D:D,'Step 2'!C1419,'Support - Transition'!E:E,"CIVIL")</f>
        <v>0</v>
      </c>
      <c r="H1419" s="126">
        <f>SUMIFS('Support - Transition'!F:F,'Support - Transition'!B:B,'Step 2'!A1419,'Support - Transition'!C:C,'Step 2'!B1419,'Support - Transition'!D:D,'Step 2'!C1419,'Support - Transition'!E:E,"FIRE")</f>
        <v>0</v>
      </c>
      <c r="I1419" s="126">
        <f>IF(B1419="0",SUMIFS('Support - Transition'!F:F,'Support - Transition'!J:J,'Step 2'!D1419,'Support - Transition'!E:E,"STATE UNIT"),SUMIFS('Support - Transition'!F:F,'Support - Transition'!J:J,'Step 2'!D1419))</f>
        <v>1.1894999999999999E-2</v>
      </c>
      <c r="J1419" s="126">
        <f>SUMIFS('Support - Unit Adjustments'!E:E,'Support - Unit Adjustments'!F:F,'Step 2'!D1419)</f>
        <v>0</v>
      </c>
      <c r="K1419" s="126">
        <f t="shared" si="422"/>
        <v>1.1894999999999999E-2</v>
      </c>
      <c r="L1419" s="174">
        <f>VLOOKUP(A1419,'Step 1'!$A:$E,4,FALSE)</f>
        <v>1347834</v>
      </c>
      <c r="M1419" s="47">
        <f t="shared" si="423"/>
        <v>16032</v>
      </c>
      <c r="N1419" s="177">
        <f>SUMIFS('Support - Transition'!G:G,'Support - Transition'!J:J,'Step 2'!D1419,'Support - Transition'!E:E,"2009 WELFARE ALLOCATION FACTOR")</f>
        <v>0</v>
      </c>
      <c r="O1419" s="152">
        <f t="shared" si="428"/>
        <v>0</v>
      </c>
      <c r="P1419" s="126">
        <f>IF(E1419="Y",0,SUMIFS('Support - Transition'!G:G,'Support - Transition'!J:J,'Step 2'!D1419,'Support - Transition'!E:E,"2009 SCHOOL ALLOCATION FACTOR"))</f>
        <v>0</v>
      </c>
      <c r="Q1419" s="126">
        <f>IF(E1419="Y",VLOOKUP(D1419,'Support - Unit Adjustments'!F:G,2,FALSE),0)</f>
        <v>0</v>
      </c>
      <c r="R1419" s="155">
        <f t="shared" si="440"/>
        <v>0</v>
      </c>
      <c r="S1419" s="47">
        <f t="shared" si="439"/>
        <v>0</v>
      </c>
      <c r="T1419" s="151">
        <f t="shared" si="424"/>
        <v>16032</v>
      </c>
      <c r="U1419" s="151">
        <f t="shared" si="425"/>
        <v>0</v>
      </c>
      <c r="V1419" s="139">
        <f t="shared" si="426"/>
        <v>0</v>
      </c>
      <c r="W1419" s="152">
        <f t="shared" si="429"/>
        <v>16032</v>
      </c>
      <c r="X1419" s="127" t="str">
        <f t="shared" si="427"/>
        <v/>
      </c>
      <c r="Y1419" s="207">
        <f t="shared" si="430"/>
        <v>16032</v>
      </c>
      <c r="Z1419" s="139">
        <f t="shared" si="431"/>
        <v>16032</v>
      </c>
      <c r="AA1419" s="139">
        <f t="shared" si="432"/>
        <v>0</v>
      </c>
      <c r="AC1419" s="47">
        <f t="shared" si="433"/>
        <v>8016</v>
      </c>
      <c r="AD1419" s="47">
        <f t="shared" si="434"/>
        <v>8016</v>
      </c>
      <c r="AE1419" s="47">
        <f t="shared" si="435"/>
        <v>0</v>
      </c>
      <c r="AG1419" s="47">
        <f t="shared" si="436"/>
        <v>8016</v>
      </c>
      <c r="AH1419" s="47">
        <f t="shared" si="437"/>
        <v>8016</v>
      </c>
      <c r="AI1419" s="208">
        <f t="shared" si="438"/>
        <v>0</v>
      </c>
    </row>
    <row r="1420" spans="1:35">
      <c r="A1420" t="s">
        <v>2130</v>
      </c>
      <c r="B1420" t="s">
        <v>3166</v>
      </c>
      <c r="C1420" t="s">
        <v>2760</v>
      </c>
      <c r="D1420" t="s">
        <v>4813</v>
      </c>
      <c r="F1420" t="s">
        <v>1097</v>
      </c>
      <c r="G1420" s="126">
        <f>SUMIFS('Support - Transition'!F:F,'Support - Transition'!B:B,'Step 2'!A1420,'Support - Transition'!C:C,'Step 2'!B1420,'Support - Transition'!D:D,'Step 2'!C1420,'Support - Transition'!E:E,"CIVIL")</f>
        <v>0</v>
      </c>
      <c r="H1420" s="126">
        <f>SUMIFS('Support - Transition'!F:F,'Support - Transition'!B:B,'Step 2'!A1420,'Support - Transition'!C:C,'Step 2'!B1420,'Support - Transition'!D:D,'Step 2'!C1420,'Support - Transition'!E:E,"FIRE")</f>
        <v>0</v>
      </c>
      <c r="I1420" s="126">
        <f>IF(B1420="0",SUMIFS('Support - Transition'!F:F,'Support - Transition'!J:J,'Step 2'!D1420,'Support - Transition'!E:E,"STATE UNIT"),SUMIFS('Support - Transition'!F:F,'Support - Transition'!J:J,'Step 2'!D1420))</f>
        <v>8.52E-4</v>
      </c>
      <c r="J1420" s="126">
        <f>SUMIFS('Support - Unit Adjustments'!E:E,'Support - Unit Adjustments'!F:F,'Step 2'!D1420)</f>
        <v>0</v>
      </c>
      <c r="K1420" s="126">
        <f t="shared" si="422"/>
        <v>8.52E-4</v>
      </c>
      <c r="L1420" s="174">
        <f>VLOOKUP(A1420,'Step 1'!$A:$E,4,FALSE)</f>
        <v>1347834</v>
      </c>
      <c r="M1420" s="47">
        <f t="shared" si="423"/>
        <v>1148</v>
      </c>
      <c r="N1420" s="177">
        <f>SUMIFS('Support - Transition'!G:G,'Support - Transition'!J:J,'Step 2'!D1420,'Support - Transition'!E:E,"2009 WELFARE ALLOCATION FACTOR")</f>
        <v>0</v>
      </c>
      <c r="O1420" s="152">
        <f t="shared" si="428"/>
        <v>0</v>
      </c>
      <c r="P1420" s="126">
        <f>IF(E1420="Y",0,SUMIFS('Support - Transition'!G:G,'Support - Transition'!J:J,'Step 2'!D1420,'Support - Transition'!E:E,"2009 SCHOOL ALLOCATION FACTOR"))</f>
        <v>0</v>
      </c>
      <c r="Q1420" s="126">
        <f>IF(E1420="Y",VLOOKUP(D1420,'Support - Unit Adjustments'!F:G,2,FALSE),0)</f>
        <v>0</v>
      </c>
      <c r="R1420" s="155">
        <f t="shared" si="440"/>
        <v>0</v>
      </c>
      <c r="S1420" s="47">
        <f t="shared" si="439"/>
        <v>0</v>
      </c>
      <c r="T1420" s="151">
        <f t="shared" si="424"/>
        <v>1148</v>
      </c>
      <c r="U1420" s="151">
        <f t="shared" si="425"/>
        <v>0</v>
      </c>
      <c r="V1420" s="139">
        <f t="shared" si="426"/>
        <v>0</v>
      </c>
      <c r="W1420" s="152">
        <f t="shared" si="429"/>
        <v>1148</v>
      </c>
      <c r="X1420" s="127" t="str">
        <f t="shared" si="427"/>
        <v/>
      </c>
      <c r="Y1420" s="207">
        <f t="shared" si="430"/>
        <v>1148</v>
      </c>
      <c r="Z1420" s="139">
        <f t="shared" si="431"/>
        <v>1148</v>
      </c>
      <c r="AA1420" s="139">
        <f t="shared" si="432"/>
        <v>0</v>
      </c>
      <c r="AC1420" s="47">
        <f t="shared" si="433"/>
        <v>574</v>
      </c>
      <c r="AD1420" s="47">
        <f t="shared" si="434"/>
        <v>574</v>
      </c>
      <c r="AE1420" s="47">
        <f t="shared" si="435"/>
        <v>0</v>
      </c>
      <c r="AG1420" s="47">
        <f t="shared" si="436"/>
        <v>574</v>
      </c>
      <c r="AH1420" s="47">
        <f t="shared" si="437"/>
        <v>574</v>
      </c>
      <c r="AI1420" s="208">
        <f t="shared" si="438"/>
        <v>0</v>
      </c>
    </row>
    <row r="1421" spans="1:35">
      <c r="A1421" t="s">
        <v>2130</v>
      </c>
      <c r="B1421" t="s">
        <v>3166</v>
      </c>
      <c r="C1421" t="s">
        <v>2761</v>
      </c>
      <c r="D1421" t="s">
        <v>4814</v>
      </c>
      <c r="F1421" t="s">
        <v>1098</v>
      </c>
      <c r="G1421" s="126">
        <f>SUMIFS('Support - Transition'!F:F,'Support - Transition'!B:B,'Step 2'!A1421,'Support - Transition'!C:C,'Step 2'!B1421,'Support - Transition'!D:D,'Step 2'!C1421,'Support - Transition'!E:E,"CIVIL")</f>
        <v>0</v>
      </c>
      <c r="H1421" s="126">
        <f>SUMIFS('Support - Transition'!F:F,'Support - Transition'!B:B,'Step 2'!A1421,'Support - Transition'!C:C,'Step 2'!B1421,'Support - Transition'!D:D,'Step 2'!C1421,'Support - Transition'!E:E,"FIRE")</f>
        <v>0</v>
      </c>
      <c r="I1421" s="126">
        <f>IF(B1421="0",SUMIFS('Support - Transition'!F:F,'Support - Transition'!J:J,'Step 2'!D1421,'Support - Transition'!E:E,"STATE UNIT"),SUMIFS('Support - Transition'!F:F,'Support - Transition'!J:J,'Step 2'!D1421))</f>
        <v>2.2369999999999998E-3</v>
      </c>
      <c r="J1421" s="126">
        <f>SUMIFS('Support - Unit Adjustments'!E:E,'Support - Unit Adjustments'!F:F,'Step 2'!D1421)</f>
        <v>0</v>
      </c>
      <c r="K1421" s="126">
        <f t="shared" si="422"/>
        <v>2.2369999999999998E-3</v>
      </c>
      <c r="L1421" s="174">
        <f>VLOOKUP(A1421,'Step 1'!$A:$E,4,FALSE)</f>
        <v>1347834</v>
      </c>
      <c r="M1421" s="47">
        <f t="shared" si="423"/>
        <v>3015</v>
      </c>
      <c r="N1421" s="177">
        <f>SUMIFS('Support - Transition'!G:G,'Support - Transition'!J:J,'Step 2'!D1421,'Support - Transition'!E:E,"2009 WELFARE ALLOCATION FACTOR")</f>
        <v>0</v>
      </c>
      <c r="O1421" s="152">
        <f t="shared" si="428"/>
        <v>0</v>
      </c>
      <c r="P1421" s="126">
        <f>IF(E1421="Y",0,SUMIFS('Support - Transition'!G:G,'Support - Transition'!J:J,'Step 2'!D1421,'Support - Transition'!E:E,"2009 SCHOOL ALLOCATION FACTOR"))</f>
        <v>0</v>
      </c>
      <c r="Q1421" s="126">
        <f>IF(E1421="Y",VLOOKUP(D1421,'Support - Unit Adjustments'!F:G,2,FALSE),0)</f>
        <v>0</v>
      </c>
      <c r="R1421" s="155">
        <f t="shared" si="440"/>
        <v>0</v>
      </c>
      <c r="S1421" s="47">
        <f t="shared" si="439"/>
        <v>0</v>
      </c>
      <c r="T1421" s="151">
        <f t="shared" si="424"/>
        <v>3015</v>
      </c>
      <c r="U1421" s="151">
        <f t="shared" si="425"/>
        <v>0</v>
      </c>
      <c r="V1421" s="139">
        <f t="shared" si="426"/>
        <v>0</v>
      </c>
      <c r="W1421" s="152">
        <f t="shared" si="429"/>
        <v>3015</v>
      </c>
      <c r="X1421" s="127" t="str">
        <f t="shared" si="427"/>
        <v/>
      </c>
      <c r="Y1421" s="207">
        <f t="shared" si="430"/>
        <v>3015</v>
      </c>
      <c r="Z1421" s="139">
        <f t="shared" si="431"/>
        <v>3015</v>
      </c>
      <c r="AA1421" s="139">
        <f t="shared" si="432"/>
        <v>0</v>
      </c>
      <c r="AC1421" s="47">
        <f t="shared" si="433"/>
        <v>1508</v>
      </c>
      <c r="AD1421" s="47">
        <f t="shared" si="434"/>
        <v>1508</v>
      </c>
      <c r="AE1421" s="47">
        <f t="shared" si="435"/>
        <v>0</v>
      </c>
      <c r="AG1421" s="47">
        <f t="shared" si="436"/>
        <v>1507</v>
      </c>
      <c r="AH1421" s="47">
        <f t="shared" si="437"/>
        <v>1507</v>
      </c>
      <c r="AI1421" s="208">
        <f t="shared" si="438"/>
        <v>0</v>
      </c>
    </row>
    <row r="1422" spans="1:35">
      <c r="A1422" t="s">
        <v>2130</v>
      </c>
      <c r="B1422" t="s">
        <v>3166</v>
      </c>
      <c r="C1422" t="s">
        <v>4815</v>
      </c>
      <c r="D1422" t="s">
        <v>4816</v>
      </c>
      <c r="F1422" t="s">
        <v>1095</v>
      </c>
      <c r="G1422" s="126">
        <f>SUMIFS('Support - Transition'!F:F,'Support - Transition'!B:B,'Step 2'!A1422,'Support - Transition'!C:C,'Step 2'!B1422,'Support - Transition'!D:D,'Step 2'!C1422,'Support - Transition'!E:E,"CIVIL")</f>
        <v>0</v>
      </c>
      <c r="H1422" s="126">
        <f>SUMIFS('Support - Transition'!F:F,'Support - Transition'!B:B,'Step 2'!A1422,'Support - Transition'!C:C,'Step 2'!B1422,'Support - Transition'!D:D,'Step 2'!C1422,'Support - Transition'!E:E,"FIRE")</f>
        <v>0</v>
      </c>
      <c r="I1422" s="126">
        <f>IF(B1422="0",SUMIFS('Support - Transition'!F:F,'Support - Transition'!J:J,'Step 2'!D1422,'Support - Transition'!E:E,"STATE UNIT"),SUMIFS('Support - Transition'!F:F,'Support - Transition'!J:J,'Step 2'!D1422))</f>
        <v>2.5807E-2</v>
      </c>
      <c r="J1422" s="126">
        <f>SUMIFS('Support - Unit Adjustments'!E:E,'Support - Unit Adjustments'!F:F,'Step 2'!D1422)</f>
        <v>0</v>
      </c>
      <c r="K1422" s="126">
        <f t="shared" si="422"/>
        <v>2.5807E-2</v>
      </c>
      <c r="L1422" s="174">
        <f>VLOOKUP(A1422,'Step 1'!$A:$E,4,FALSE)</f>
        <v>1347834</v>
      </c>
      <c r="M1422" s="47">
        <f t="shared" si="423"/>
        <v>34784</v>
      </c>
      <c r="N1422" s="177">
        <f>SUMIFS('Support - Transition'!G:G,'Support - Transition'!J:J,'Step 2'!D1422,'Support - Transition'!E:E,"2009 WELFARE ALLOCATION FACTOR")</f>
        <v>0</v>
      </c>
      <c r="O1422" s="152">
        <f t="shared" si="428"/>
        <v>0</v>
      </c>
      <c r="P1422" s="126">
        <f>IF(E1422="Y",0,SUMIFS('Support - Transition'!G:G,'Support - Transition'!J:J,'Step 2'!D1422,'Support - Transition'!E:E,"2009 SCHOOL ALLOCATION FACTOR"))</f>
        <v>0</v>
      </c>
      <c r="Q1422" s="126">
        <f>IF(E1422="Y",VLOOKUP(D1422,'Support - Unit Adjustments'!F:G,2,FALSE),0)</f>
        <v>0</v>
      </c>
      <c r="R1422" s="155">
        <f t="shared" si="440"/>
        <v>0</v>
      </c>
      <c r="S1422" s="47">
        <f t="shared" si="439"/>
        <v>0</v>
      </c>
      <c r="T1422" s="151">
        <f t="shared" si="424"/>
        <v>34784</v>
      </c>
      <c r="U1422" s="151">
        <f t="shared" si="425"/>
        <v>0</v>
      </c>
      <c r="V1422" s="139">
        <f t="shared" si="426"/>
        <v>0</v>
      </c>
      <c r="W1422" s="152">
        <f t="shared" si="429"/>
        <v>34784</v>
      </c>
      <c r="X1422" s="127" t="str">
        <f t="shared" si="427"/>
        <v/>
      </c>
      <c r="Y1422" s="207">
        <f t="shared" si="430"/>
        <v>34784</v>
      </c>
      <c r="Z1422" s="139">
        <f t="shared" si="431"/>
        <v>34784</v>
      </c>
      <c r="AA1422" s="139">
        <f t="shared" si="432"/>
        <v>0</v>
      </c>
      <c r="AC1422" s="47">
        <f t="shared" si="433"/>
        <v>17392</v>
      </c>
      <c r="AD1422" s="47">
        <f t="shared" si="434"/>
        <v>17392</v>
      </c>
      <c r="AE1422" s="47">
        <f t="shared" si="435"/>
        <v>0</v>
      </c>
      <c r="AG1422" s="47">
        <f t="shared" si="436"/>
        <v>17392</v>
      </c>
      <c r="AH1422" s="47">
        <f t="shared" si="437"/>
        <v>17392</v>
      </c>
      <c r="AI1422" s="208">
        <f t="shared" si="438"/>
        <v>0</v>
      </c>
    </row>
    <row r="1423" spans="1:35">
      <c r="A1423" t="s">
        <v>2130</v>
      </c>
      <c r="B1423" t="s">
        <v>3166</v>
      </c>
      <c r="C1423" t="s">
        <v>2762</v>
      </c>
      <c r="D1423" t="s">
        <v>4817</v>
      </c>
      <c r="F1423" t="s">
        <v>1094</v>
      </c>
      <c r="G1423" s="126">
        <f>SUMIFS('Support - Transition'!F:F,'Support - Transition'!B:B,'Step 2'!A1423,'Support - Transition'!C:C,'Step 2'!B1423,'Support - Transition'!D:D,'Step 2'!C1423,'Support - Transition'!E:E,"CIVIL")</f>
        <v>0</v>
      </c>
      <c r="H1423" s="126">
        <f>SUMIFS('Support - Transition'!F:F,'Support - Transition'!B:B,'Step 2'!A1423,'Support - Transition'!C:C,'Step 2'!B1423,'Support - Transition'!D:D,'Step 2'!C1423,'Support - Transition'!E:E,"FIRE")</f>
        <v>0</v>
      </c>
      <c r="I1423" s="126">
        <f>IF(B1423="0",SUMIFS('Support - Transition'!F:F,'Support - Transition'!J:J,'Step 2'!D1423,'Support - Transition'!E:E,"STATE UNIT"),SUMIFS('Support - Transition'!F:F,'Support - Transition'!J:J,'Step 2'!D1423))</f>
        <v>7.54E-4</v>
      </c>
      <c r="J1423" s="126">
        <f>SUMIFS('Support - Unit Adjustments'!E:E,'Support - Unit Adjustments'!F:F,'Step 2'!D1423)</f>
        <v>0</v>
      </c>
      <c r="K1423" s="126">
        <f t="shared" si="422"/>
        <v>7.54E-4</v>
      </c>
      <c r="L1423" s="174">
        <f>VLOOKUP(A1423,'Step 1'!$A:$E,4,FALSE)</f>
        <v>1347834</v>
      </c>
      <c r="M1423" s="47">
        <f t="shared" si="423"/>
        <v>1016</v>
      </c>
      <c r="N1423" s="177">
        <f>SUMIFS('Support - Transition'!G:G,'Support - Transition'!J:J,'Step 2'!D1423,'Support - Transition'!E:E,"2009 WELFARE ALLOCATION FACTOR")</f>
        <v>0</v>
      </c>
      <c r="O1423" s="152">
        <f t="shared" si="428"/>
        <v>0</v>
      </c>
      <c r="P1423" s="126">
        <f>IF(E1423="Y",0,SUMIFS('Support - Transition'!G:G,'Support - Transition'!J:J,'Step 2'!D1423,'Support - Transition'!E:E,"2009 SCHOOL ALLOCATION FACTOR"))</f>
        <v>0</v>
      </c>
      <c r="Q1423" s="126">
        <f>IF(E1423="Y",VLOOKUP(D1423,'Support - Unit Adjustments'!F:G,2,FALSE),0)</f>
        <v>0</v>
      </c>
      <c r="R1423" s="155">
        <f t="shared" si="440"/>
        <v>0</v>
      </c>
      <c r="S1423" s="47">
        <f t="shared" si="439"/>
        <v>0</v>
      </c>
      <c r="T1423" s="151">
        <f t="shared" si="424"/>
        <v>1016</v>
      </c>
      <c r="U1423" s="151">
        <f t="shared" si="425"/>
        <v>0</v>
      </c>
      <c r="V1423" s="139">
        <f t="shared" si="426"/>
        <v>0</v>
      </c>
      <c r="W1423" s="152">
        <f t="shared" si="429"/>
        <v>1016</v>
      </c>
      <c r="X1423" s="127" t="str">
        <f t="shared" si="427"/>
        <v/>
      </c>
      <c r="Y1423" s="207">
        <f t="shared" si="430"/>
        <v>1016</v>
      </c>
      <c r="Z1423" s="139">
        <f t="shared" si="431"/>
        <v>1016</v>
      </c>
      <c r="AA1423" s="139">
        <f t="shared" si="432"/>
        <v>0</v>
      </c>
      <c r="AC1423" s="47">
        <f t="shared" si="433"/>
        <v>508</v>
      </c>
      <c r="AD1423" s="47">
        <f t="shared" si="434"/>
        <v>508</v>
      </c>
      <c r="AE1423" s="47">
        <f t="shared" si="435"/>
        <v>0</v>
      </c>
      <c r="AG1423" s="47">
        <f t="shared" si="436"/>
        <v>508</v>
      </c>
      <c r="AH1423" s="47">
        <f t="shared" si="437"/>
        <v>508</v>
      </c>
      <c r="AI1423" s="208">
        <f t="shared" si="438"/>
        <v>0</v>
      </c>
    </row>
    <row r="1424" spans="1:35">
      <c r="A1424" t="s">
        <v>2130</v>
      </c>
      <c r="B1424" t="s">
        <v>3170</v>
      </c>
      <c r="C1424" t="s">
        <v>2266</v>
      </c>
      <c r="D1424" t="s">
        <v>4818</v>
      </c>
      <c r="F1424" t="s">
        <v>4819</v>
      </c>
      <c r="G1424" s="126">
        <f>SUMIFS('Support - Transition'!F:F,'Support - Transition'!B:B,'Step 2'!A1424,'Support - Transition'!C:C,'Step 2'!B1424,'Support - Transition'!D:D,'Step 2'!C1424,'Support - Transition'!E:E,"CIVIL")</f>
        <v>0</v>
      </c>
      <c r="H1424" s="126">
        <f>SUMIFS('Support - Transition'!F:F,'Support - Transition'!B:B,'Step 2'!A1424,'Support - Transition'!C:C,'Step 2'!B1424,'Support - Transition'!D:D,'Step 2'!C1424,'Support - Transition'!E:E,"FIRE")</f>
        <v>0</v>
      </c>
      <c r="I1424" s="126">
        <f>IF(B1424="0",SUMIFS('Support - Transition'!F:F,'Support - Transition'!J:J,'Step 2'!D1424,'Support - Transition'!E:E,"STATE UNIT"),SUMIFS('Support - Transition'!F:F,'Support - Transition'!J:J,'Step 2'!D1424))</f>
        <v>0</v>
      </c>
      <c r="J1424" s="126">
        <f>SUMIFS('Support - Unit Adjustments'!E:E,'Support - Unit Adjustments'!F:F,'Step 2'!D1424)</f>
        <v>0</v>
      </c>
      <c r="K1424" s="126">
        <f t="shared" si="422"/>
        <v>0</v>
      </c>
      <c r="L1424" s="174">
        <f>VLOOKUP(A1424,'Step 1'!$A:$E,4,FALSE)</f>
        <v>1347834</v>
      </c>
      <c r="M1424" s="47">
        <f t="shared" si="423"/>
        <v>0</v>
      </c>
      <c r="N1424" s="177">
        <f>SUMIFS('Support - Transition'!G:G,'Support - Transition'!J:J,'Step 2'!D1424,'Support - Transition'!E:E,"2009 WELFARE ALLOCATION FACTOR")</f>
        <v>0</v>
      </c>
      <c r="O1424" s="152">
        <f t="shared" si="428"/>
        <v>0</v>
      </c>
      <c r="P1424" s="126">
        <f>IF(E1424="Y",0,SUMIFS('Support - Transition'!G:G,'Support - Transition'!J:J,'Step 2'!D1424,'Support - Transition'!E:E,"2009 SCHOOL ALLOCATION FACTOR"))</f>
        <v>0</v>
      </c>
      <c r="Q1424" s="126">
        <f>IF(E1424="Y",VLOOKUP(D1424,'Support - Unit Adjustments'!F:G,2,FALSE),0)</f>
        <v>0</v>
      </c>
      <c r="R1424" s="155">
        <f t="shared" si="440"/>
        <v>0</v>
      </c>
      <c r="S1424" s="47">
        <f t="shared" si="439"/>
        <v>0</v>
      </c>
      <c r="T1424" s="151">
        <f t="shared" si="424"/>
        <v>0</v>
      </c>
      <c r="U1424" s="151">
        <f t="shared" si="425"/>
        <v>0</v>
      </c>
      <c r="V1424" s="139">
        <f t="shared" si="426"/>
        <v>0</v>
      </c>
      <c r="W1424" s="152">
        <f t="shared" si="429"/>
        <v>0</v>
      </c>
      <c r="X1424" s="127" t="str">
        <f t="shared" si="427"/>
        <v/>
      </c>
      <c r="Y1424" s="207">
        <f t="shared" si="430"/>
        <v>0</v>
      </c>
      <c r="Z1424" s="139">
        <f t="shared" si="431"/>
        <v>0</v>
      </c>
      <c r="AA1424" s="139">
        <f t="shared" si="432"/>
        <v>0</v>
      </c>
      <c r="AC1424" s="47">
        <f t="shared" si="433"/>
        <v>0</v>
      </c>
      <c r="AD1424" s="47">
        <f t="shared" si="434"/>
        <v>0</v>
      </c>
      <c r="AE1424" s="47">
        <f t="shared" si="435"/>
        <v>0</v>
      </c>
      <c r="AG1424" s="47">
        <f t="shared" si="436"/>
        <v>0</v>
      </c>
      <c r="AH1424" s="47">
        <f t="shared" si="437"/>
        <v>0</v>
      </c>
      <c r="AI1424" s="208">
        <f t="shared" si="438"/>
        <v>0</v>
      </c>
    </row>
    <row r="1425" spans="1:35">
      <c r="A1425" t="s">
        <v>2130</v>
      </c>
      <c r="B1425" t="s">
        <v>3170</v>
      </c>
      <c r="C1425" t="s">
        <v>2763</v>
      </c>
      <c r="D1425" t="s">
        <v>4820</v>
      </c>
      <c r="F1425" t="s">
        <v>1102</v>
      </c>
      <c r="G1425" s="126">
        <f>SUMIFS('Support - Transition'!F:F,'Support - Transition'!B:B,'Step 2'!A1425,'Support - Transition'!C:C,'Step 2'!B1425,'Support - Transition'!D:D,'Step 2'!C1425,'Support - Transition'!E:E,"CIVIL")</f>
        <v>0</v>
      </c>
      <c r="H1425" s="126">
        <f>SUMIFS('Support - Transition'!F:F,'Support - Transition'!B:B,'Step 2'!A1425,'Support - Transition'!C:C,'Step 2'!B1425,'Support - Transition'!D:D,'Step 2'!C1425,'Support - Transition'!E:E,"FIRE")</f>
        <v>0</v>
      </c>
      <c r="I1425" s="126">
        <f>IF(B1425="0",SUMIFS('Support - Transition'!F:F,'Support - Transition'!J:J,'Step 2'!D1425,'Support - Transition'!E:E,"STATE UNIT"),SUMIFS('Support - Transition'!F:F,'Support - Transition'!J:J,'Step 2'!D1425))</f>
        <v>2.8268999999999989E-2</v>
      </c>
      <c r="J1425" s="126">
        <f>SUMIFS('Support - Unit Adjustments'!E:E,'Support - Unit Adjustments'!F:F,'Step 2'!D1425)</f>
        <v>0</v>
      </c>
      <c r="K1425" s="126">
        <f t="shared" si="422"/>
        <v>2.8268999999999989E-2</v>
      </c>
      <c r="L1425" s="174">
        <f>VLOOKUP(A1425,'Step 1'!$A:$E,4,FALSE)</f>
        <v>1347834</v>
      </c>
      <c r="M1425" s="47">
        <f t="shared" si="423"/>
        <v>38102</v>
      </c>
      <c r="N1425" s="177">
        <f>SUMIFS('Support - Transition'!G:G,'Support - Transition'!J:J,'Step 2'!D1425,'Support - Transition'!E:E,"2009 WELFARE ALLOCATION FACTOR")</f>
        <v>0</v>
      </c>
      <c r="O1425" s="152">
        <f t="shared" si="428"/>
        <v>0</v>
      </c>
      <c r="P1425" s="126">
        <f>IF(E1425="Y",0,SUMIFS('Support - Transition'!G:G,'Support - Transition'!J:J,'Step 2'!D1425,'Support - Transition'!E:E,"2009 SCHOOL ALLOCATION FACTOR"))</f>
        <v>0</v>
      </c>
      <c r="Q1425" s="126">
        <f>IF(E1425="Y",VLOOKUP(D1425,'Support - Unit Adjustments'!F:G,2,FALSE),0)</f>
        <v>0</v>
      </c>
      <c r="R1425" s="155">
        <f t="shared" si="440"/>
        <v>0</v>
      </c>
      <c r="S1425" s="47">
        <f t="shared" si="439"/>
        <v>0</v>
      </c>
      <c r="T1425" s="151">
        <f t="shared" si="424"/>
        <v>38102</v>
      </c>
      <c r="U1425" s="151">
        <f t="shared" si="425"/>
        <v>0</v>
      </c>
      <c r="V1425" s="139">
        <f t="shared" si="426"/>
        <v>0</v>
      </c>
      <c r="W1425" s="152">
        <f t="shared" si="429"/>
        <v>38102</v>
      </c>
      <c r="X1425" s="127" t="str">
        <f t="shared" si="427"/>
        <v/>
      </c>
      <c r="Y1425" s="207">
        <f t="shared" si="430"/>
        <v>38102</v>
      </c>
      <c r="Z1425" s="139">
        <f t="shared" si="431"/>
        <v>38102</v>
      </c>
      <c r="AA1425" s="139">
        <f t="shared" si="432"/>
        <v>0</v>
      </c>
      <c r="AC1425" s="47">
        <f t="shared" si="433"/>
        <v>19051</v>
      </c>
      <c r="AD1425" s="47">
        <f t="shared" si="434"/>
        <v>19051</v>
      </c>
      <c r="AE1425" s="47">
        <f t="shared" si="435"/>
        <v>0</v>
      </c>
      <c r="AG1425" s="47">
        <f t="shared" si="436"/>
        <v>19051</v>
      </c>
      <c r="AH1425" s="47">
        <f t="shared" si="437"/>
        <v>19051</v>
      </c>
      <c r="AI1425" s="208">
        <f t="shared" si="438"/>
        <v>0</v>
      </c>
    </row>
    <row r="1426" spans="1:35">
      <c r="A1426" t="s">
        <v>2130</v>
      </c>
      <c r="B1426" t="s">
        <v>3170</v>
      </c>
      <c r="C1426" t="s">
        <v>2764</v>
      </c>
      <c r="D1426" t="s">
        <v>4821</v>
      </c>
      <c r="F1426" t="s">
        <v>1100</v>
      </c>
      <c r="G1426" s="126">
        <f>SUMIFS('Support - Transition'!F:F,'Support - Transition'!B:B,'Step 2'!A1426,'Support - Transition'!C:C,'Step 2'!B1426,'Support - Transition'!D:D,'Step 2'!C1426,'Support - Transition'!E:E,"CIVIL")</f>
        <v>0</v>
      </c>
      <c r="H1426" s="126">
        <f>SUMIFS('Support - Transition'!F:F,'Support - Transition'!B:B,'Step 2'!A1426,'Support - Transition'!C:C,'Step 2'!B1426,'Support - Transition'!D:D,'Step 2'!C1426,'Support - Transition'!E:E,"FIRE")</f>
        <v>0</v>
      </c>
      <c r="I1426" s="126">
        <f>IF(B1426="0",SUMIFS('Support - Transition'!F:F,'Support - Transition'!J:J,'Step 2'!D1426,'Support - Transition'!E:E,"STATE UNIT"),SUMIFS('Support - Transition'!F:F,'Support - Transition'!J:J,'Step 2'!D1426))</f>
        <v>1.652E-3</v>
      </c>
      <c r="J1426" s="126">
        <f>SUMIFS('Support - Unit Adjustments'!E:E,'Support - Unit Adjustments'!F:F,'Step 2'!D1426)</f>
        <v>0</v>
      </c>
      <c r="K1426" s="126">
        <f t="shared" si="422"/>
        <v>1.652E-3</v>
      </c>
      <c r="L1426" s="174">
        <f>VLOOKUP(A1426,'Step 1'!$A:$E,4,FALSE)</f>
        <v>1347834</v>
      </c>
      <c r="M1426" s="47">
        <f t="shared" si="423"/>
        <v>2227</v>
      </c>
      <c r="N1426" s="177">
        <f>SUMIFS('Support - Transition'!G:G,'Support - Transition'!J:J,'Step 2'!D1426,'Support - Transition'!E:E,"2009 WELFARE ALLOCATION FACTOR")</f>
        <v>0</v>
      </c>
      <c r="O1426" s="152">
        <f t="shared" si="428"/>
        <v>0</v>
      </c>
      <c r="P1426" s="126">
        <f>IF(E1426="Y",0,SUMIFS('Support - Transition'!G:G,'Support - Transition'!J:J,'Step 2'!D1426,'Support - Transition'!E:E,"2009 SCHOOL ALLOCATION FACTOR"))</f>
        <v>0</v>
      </c>
      <c r="Q1426" s="126">
        <f>IF(E1426="Y",VLOOKUP(D1426,'Support - Unit Adjustments'!F:G,2,FALSE),0)</f>
        <v>0</v>
      </c>
      <c r="R1426" s="155">
        <f t="shared" si="440"/>
        <v>0</v>
      </c>
      <c r="S1426" s="47">
        <f t="shared" si="439"/>
        <v>0</v>
      </c>
      <c r="T1426" s="151">
        <f t="shared" si="424"/>
        <v>2227</v>
      </c>
      <c r="U1426" s="151">
        <f t="shared" si="425"/>
        <v>0</v>
      </c>
      <c r="V1426" s="139">
        <f t="shared" si="426"/>
        <v>0</v>
      </c>
      <c r="W1426" s="152">
        <f t="shared" si="429"/>
        <v>2227</v>
      </c>
      <c r="X1426" s="127" t="str">
        <f t="shared" si="427"/>
        <v/>
      </c>
      <c r="Y1426" s="207">
        <f t="shared" si="430"/>
        <v>2227</v>
      </c>
      <c r="Z1426" s="139">
        <f t="shared" si="431"/>
        <v>2227</v>
      </c>
      <c r="AA1426" s="139">
        <f t="shared" si="432"/>
        <v>0</v>
      </c>
      <c r="AC1426" s="47">
        <f t="shared" si="433"/>
        <v>1114</v>
      </c>
      <c r="AD1426" s="47">
        <f t="shared" si="434"/>
        <v>1114</v>
      </c>
      <c r="AE1426" s="47">
        <f t="shared" si="435"/>
        <v>0</v>
      </c>
      <c r="AG1426" s="47">
        <f t="shared" si="436"/>
        <v>1113</v>
      </c>
      <c r="AH1426" s="47">
        <f t="shared" si="437"/>
        <v>1113</v>
      </c>
      <c r="AI1426" s="208">
        <f t="shared" si="438"/>
        <v>0</v>
      </c>
    </row>
    <row r="1427" spans="1:35">
      <c r="A1427" t="s">
        <v>2130</v>
      </c>
      <c r="B1427" t="s">
        <v>3170</v>
      </c>
      <c r="C1427" t="s">
        <v>2765</v>
      </c>
      <c r="D1427" t="s">
        <v>4822</v>
      </c>
      <c r="F1427" t="s">
        <v>1101</v>
      </c>
      <c r="G1427" s="126">
        <f>SUMIFS('Support - Transition'!F:F,'Support - Transition'!B:B,'Step 2'!A1427,'Support - Transition'!C:C,'Step 2'!B1427,'Support - Transition'!D:D,'Step 2'!C1427,'Support - Transition'!E:E,"CIVIL")</f>
        <v>0</v>
      </c>
      <c r="H1427" s="126">
        <f>SUMIFS('Support - Transition'!F:F,'Support - Transition'!B:B,'Step 2'!A1427,'Support - Transition'!C:C,'Step 2'!B1427,'Support - Transition'!D:D,'Step 2'!C1427,'Support - Transition'!E:E,"FIRE")</f>
        <v>0</v>
      </c>
      <c r="I1427" s="126">
        <f>IF(B1427="0",SUMIFS('Support - Transition'!F:F,'Support - Transition'!J:J,'Step 2'!D1427,'Support - Transition'!E:E,"STATE UNIT"),SUMIFS('Support - Transition'!F:F,'Support - Transition'!J:J,'Step 2'!D1427))</f>
        <v>1.1299999999999999E-3</v>
      </c>
      <c r="J1427" s="126">
        <f>SUMIFS('Support - Unit Adjustments'!E:E,'Support - Unit Adjustments'!F:F,'Step 2'!D1427)</f>
        <v>0</v>
      </c>
      <c r="K1427" s="126">
        <f t="shared" si="422"/>
        <v>1.1299999999999999E-3</v>
      </c>
      <c r="L1427" s="174">
        <f>VLOOKUP(A1427,'Step 1'!$A:$E,4,FALSE)</f>
        <v>1347834</v>
      </c>
      <c r="M1427" s="47">
        <f t="shared" si="423"/>
        <v>1523</v>
      </c>
      <c r="N1427" s="177">
        <f>SUMIFS('Support - Transition'!G:G,'Support - Transition'!J:J,'Step 2'!D1427,'Support - Transition'!E:E,"2009 WELFARE ALLOCATION FACTOR")</f>
        <v>0</v>
      </c>
      <c r="O1427" s="152">
        <f t="shared" si="428"/>
        <v>0</v>
      </c>
      <c r="P1427" s="126">
        <f>IF(E1427="Y",0,SUMIFS('Support - Transition'!G:G,'Support - Transition'!J:J,'Step 2'!D1427,'Support - Transition'!E:E,"2009 SCHOOL ALLOCATION FACTOR"))</f>
        <v>0</v>
      </c>
      <c r="Q1427" s="126">
        <f>IF(E1427="Y",VLOOKUP(D1427,'Support - Unit Adjustments'!F:G,2,FALSE),0)</f>
        <v>0</v>
      </c>
      <c r="R1427" s="155">
        <f t="shared" si="440"/>
        <v>0</v>
      </c>
      <c r="S1427" s="47">
        <f t="shared" si="439"/>
        <v>0</v>
      </c>
      <c r="T1427" s="151">
        <f t="shared" si="424"/>
        <v>1523</v>
      </c>
      <c r="U1427" s="151">
        <f t="shared" si="425"/>
        <v>0</v>
      </c>
      <c r="V1427" s="139">
        <f t="shared" si="426"/>
        <v>0</v>
      </c>
      <c r="W1427" s="152">
        <f t="shared" si="429"/>
        <v>1523</v>
      </c>
      <c r="X1427" s="127" t="str">
        <f t="shared" si="427"/>
        <v/>
      </c>
      <c r="Y1427" s="207">
        <f t="shared" si="430"/>
        <v>1523</v>
      </c>
      <c r="Z1427" s="139">
        <f t="shared" si="431"/>
        <v>1523</v>
      </c>
      <c r="AA1427" s="139">
        <f t="shared" si="432"/>
        <v>0</v>
      </c>
      <c r="AC1427" s="47">
        <f t="shared" si="433"/>
        <v>762</v>
      </c>
      <c r="AD1427" s="47">
        <f t="shared" si="434"/>
        <v>762</v>
      </c>
      <c r="AE1427" s="47">
        <f t="shared" si="435"/>
        <v>0</v>
      </c>
      <c r="AG1427" s="47">
        <f t="shared" si="436"/>
        <v>761</v>
      </c>
      <c r="AH1427" s="47">
        <f t="shared" si="437"/>
        <v>761</v>
      </c>
      <c r="AI1427" s="208">
        <f t="shared" si="438"/>
        <v>0</v>
      </c>
    </row>
    <row r="1428" spans="1:35">
      <c r="A1428" t="s">
        <v>2130</v>
      </c>
      <c r="B1428" t="s">
        <v>3170</v>
      </c>
      <c r="C1428" t="s">
        <v>4823</v>
      </c>
      <c r="D1428" t="s">
        <v>4824</v>
      </c>
      <c r="F1428" t="s">
        <v>1099</v>
      </c>
      <c r="G1428" s="126">
        <f>SUMIFS('Support - Transition'!F:F,'Support - Transition'!B:B,'Step 2'!A1428,'Support - Transition'!C:C,'Step 2'!B1428,'Support - Transition'!D:D,'Step 2'!C1428,'Support - Transition'!E:E,"CIVIL")</f>
        <v>0</v>
      </c>
      <c r="H1428" s="126">
        <f>SUMIFS('Support - Transition'!F:F,'Support - Transition'!B:B,'Step 2'!A1428,'Support - Transition'!C:C,'Step 2'!B1428,'Support - Transition'!D:D,'Step 2'!C1428,'Support - Transition'!E:E,"FIRE")</f>
        <v>0</v>
      </c>
      <c r="I1428" s="126">
        <f>IF(B1428="0",SUMIFS('Support - Transition'!F:F,'Support - Transition'!J:J,'Step 2'!D1428,'Support - Transition'!E:E,"STATE UNIT"),SUMIFS('Support - Transition'!F:F,'Support - Transition'!J:J,'Step 2'!D1428))</f>
        <v>0</v>
      </c>
      <c r="J1428" s="126">
        <f>SUMIFS('Support - Unit Adjustments'!E:E,'Support - Unit Adjustments'!F:F,'Step 2'!D1428)</f>
        <v>0</v>
      </c>
      <c r="K1428" s="126">
        <f t="shared" si="422"/>
        <v>0</v>
      </c>
      <c r="L1428" s="174">
        <f>VLOOKUP(A1428,'Step 1'!$A:$E,4,FALSE)</f>
        <v>1347834</v>
      </c>
      <c r="M1428" s="47">
        <f t="shared" si="423"/>
        <v>0</v>
      </c>
      <c r="N1428" s="177">
        <f>SUMIFS('Support - Transition'!G:G,'Support - Transition'!J:J,'Step 2'!D1428,'Support - Transition'!E:E,"2009 WELFARE ALLOCATION FACTOR")</f>
        <v>0</v>
      </c>
      <c r="O1428" s="152">
        <f t="shared" si="428"/>
        <v>0</v>
      </c>
      <c r="P1428" s="126">
        <f>IF(E1428="Y",0,SUMIFS('Support - Transition'!G:G,'Support - Transition'!J:J,'Step 2'!D1428,'Support - Transition'!E:E,"2009 SCHOOL ALLOCATION FACTOR"))</f>
        <v>0</v>
      </c>
      <c r="Q1428" s="126">
        <f>IF(E1428="Y",VLOOKUP(D1428,'Support - Unit Adjustments'!F:G,2,FALSE),0)</f>
        <v>0</v>
      </c>
      <c r="R1428" s="155">
        <f t="shared" si="440"/>
        <v>0</v>
      </c>
      <c r="S1428" s="47">
        <f t="shared" si="439"/>
        <v>0</v>
      </c>
      <c r="T1428" s="151">
        <f t="shared" si="424"/>
        <v>0</v>
      </c>
      <c r="U1428" s="151">
        <f t="shared" si="425"/>
        <v>0</v>
      </c>
      <c r="V1428" s="139">
        <f t="shared" si="426"/>
        <v>0</v>
      </c>
      <c r="W1428" s="152">
        <f t="shared" si="429"/>
        <v>0</v>
      </c>
      <c r="X1428" s="127" t="str">
        <f t="shared" si="427"/>
        <v/>
      </c>
      <c r="Y1428" s="207">
        <f t="shared" si="430"/>
        <v>0</v>
      </c>
      <c r="Z1428" s="139">
        <f t="shared" si="431"/>
        <v>0</v>
      </c>
      <c r="AA1428" s="139">
        <f t="shared" si="432"/>
        <v>0</v>
      </c>
      <c r="AC1428" s="47">
        <f t="shared" si="433"/>
        <v>0</v>
      </c>
      <c r="AD1428" s="47">
        <f t="shared" si="434"/>
        <v>0</v>
      </c>
      <c r="AE1428" s="47">
        <f t="shared" si="435"/>
        <v>0</v>
      </c>
      <c r="AG1428" s="47">
        <f t="shared" si="436"/>
        <v>0</v>
      </c>
      <c r="AH1428" s="47">
        <f t="shared" si="437"/>
        <v>0</v>
      </c>
      <c r="AI1428" s="208">
        <f t="shared" si="438"/>
        <v>0</v>
      </c>
    </row>
    <row r="1429" spans="1:35">
      <c r="A1429" t="s">
        <v>2130</v>
      </c>
      <c r="B1429" t="s">
        <v>3286</v>
      </c>
      <c r="C1429" t="s">
        <v>2494</v>
      </c>
      <c r="D1429" t="s">
        <v>4825</v>
      </c>
      <c r="F1429" t="s">
        <v>4826</v>
      </c>
      <c r="G1429" s="126">
        <f>SUMIFS('Support - Transition'!F:F,'Support - Transition'!B:B,'Step 2'!A1429,'Support - Transition'!C:C,'Step 2'!B1429,'Support - Transition'!D:D,'Step 2'!C1429,'Support - Transition'!E:E,"CIVIL")</f>
        <v>0</v>
      </c>
      <c r="H1429" s="126">
        <f>SUMIFS('Support - Transition'!F:F,'Support - Transition'!B:B,'Step 2'!A1429,'Support - Transition'!C:C,'Step 2'!B1429,'Support - Transition'!D:D,'Step 2'!C1429,'Support - Transition'!E:E,"FIRE")</f>
        <v>0</v>
      </c>
      <c r="I1429" s="126">
        <f>IF(B1429="0",SUMIFS('Support - Transition'!F:F,'Support - Transition'!J:J,'Step 2'!D1429,'Support - Transition'!E:E,"STATE UNIT"),SUMIFS('Support - Transition'!F:F,'Support - Transition'!J:J,'Step 2'!D1429))</f>
        <v>0</v>
      </c>
      <c r="J1429" s="126">
        <f>SUMIFS('Support - Unit Adjustments'!E:E,'Support - Unit Adjustments'!F:F,'Step 2'!D1429)</f>
        <v>0</v>
      </c>
      <c r="K1429" s="126">
        <f t="shared" si="422"/>
        <v>0</v>
      </c>
      <c r="L1429" s="174">
        <f>VLOOKUP(A1429,'Step 1'!$A:$E,4,FALSE)</f>
        <v>1347834</v>
      </c>
      <c r="M1429" s="47">
        <f t="shared" si="423"/>
        <v>0</v>
      </c>
      <c r="N1429" s="177">
        <f>SUMIFS('Support - Transition'!G:G,'Support - Transition'!J:J,'Step 2'!D1429,'Support - Transition'!E:E,"2009 WELFARE ALLOCATION FACTOR")</f>
        <v>0</v>
      </c>
      <c r="O1429" s="152">
        <f t="shared" si="428"/>
        <v>0</v>
      </c>
      <c r="P1429" s="126">
        <f>IF(E1429="Y",0,SUMIFS('Support - Transition'!G:G,'Support - Transition'!J:J,'Step 2'!D1429,'Support - Transition'!E:E,"2009 SCHOOL ALLOCATION FACTOR"))</f>
        <v>0</v>
      </c>
      <c r="Q1429" s="126">
        <f>IF(E1429="Y",VLOOKUP(D1429,'Support - Unit Adjustments'!F:G,2,FALSE),0)</f>
        <v>0</v>
      </c>
      <c r="R1429" s="155">
        <f t="shared" si="440"/>
        <v>0</v>
      </c>
      <c r="S1429" s="47">
        <f t="shared" si="439"/>
        <v>0</v>
      </c>
      <c r="T1429" s="151">
        <f t="shared" si="424"/>
        <v>0</v>
      </c>
      <c r="U1429" s="151">
        <f t="shared" si="425"/>
        <v>0</v>
      </c>
      <c r="V1429" s="139">
        <f t="shared" si="426"/>
        <v>0</v>
      </c>
      <c r="W1429" s="152">
        <f t="shared" si="429"/>
        <v>0</v>
      </c>
      <c r="X1429" s="127" t="str">
        <f t="shared" si="427"/>
        <v/>
      </c>
      <c r="Y1429" s="207">
        <f t="shared" si="430"/>
        <v>0</v>
      </c>
      <c r="Z1429" s="139">
        <f t="shared" si="431"/>
        <v>0</v>
      </c>
      <c r="AA1429" s="139">
        <f t="shared" si="432"/>
        <v>0</v>
      </c>
      <c r="AC1429" s="47">
        <f t="shared" si="433"/>
        <v>0</v>
      </c>
      <c r="AD1429" s="47">
        <f t="shared" si="434"/>
        <v>0</v>
      </c>
      <c r="AE1429" s="47">
        <f t="shared" si="435"/>
        <v>0</v>
      </c>
      <c r="AG1429" s="47">
        <f t="shared" si="436"/>
        <v>0</v>
      </c>
      <c r="AH1429" s="47">
        <f t="shared" si="437"/>
        <v>0</v>
      </c>
      <c r="AI1429" s="208">
        <f t="shared" si="438"/>
        <v>0</v>
      </c>
    </row>
    <row r="1430" spans="1:35">
      <c r="A1430" t="s">
        <v>2130</v>
      </c>
      <c r="B1430" t="s">
        <v>3286</v>
      </c>
      <c r="C1430" t="s">
        <v>4122</v>
      </c>
      <c r="D1430" t="s">
        <v>4827</v>
      </c>
      <c r="F1430" t="s">
        <v>4828</v>
      </c>
      <c r="G1430" s="126">
        <f>SUMIFS('Support - Transition'!F:F,'Support - Transition'!B:B,'Step 2'!A1430,'Support - Transition'!C:C,'Step 2'!B1430,'Support - Transition'!D:D,'Step 2'!C1430,'Support - Transition'!E:E,"CIVIL")</f>
        <v>0</v>
      </c>
      <c r="H1430" s="126">
        <f>SUMIFS('Support - Transition'!F:F,'Support - Transition'!B:B,'Step 2'!A1430,'Support - Transition'!C:C,'Step 2'!B1430,'Support - Transition'!D:D,'Step 2'!C1430,'Support - Transition'!E:E,"FIRE")</f>
        <v>0</v>
      </c>
      <c r="I1430" s="126">
        <f>IF(B1430="0",SUMIFS('Support - Transition'!F:F,'Support - Transition'!J:J,'Step 2'!D1430,'Support - Transition'!E:E,"STATE UNIT"),SUMIFS('Support - Transition'!F:F,'Support - Transition'!J:J,'Step 2'!D1430))</f>
        <v>0</v>
      </c>
      <c r="J1430" s="126">
        <f>SUMIFS('Support - Unit Adjustments'!E:E,'Support - Unit Adjustments'!F:F,'Step 2'!D1430)</f>
        <v>0</v>
      </c>
      <c r="K1430" s="126">
        <f t="shared" si="422"/>
        <v>0</v>
      </c>
      <c r="L1430" s="174">
        <f>VLOOKUP(A1430,'Step 1'!$A:$E,4,FALSE)</f>
        <v>1347834</v>
      </c>
      <c r="M1430" s="47">
        <f t="shared" si="423"/>
        <v>0</v>
      </c>
      <c r="N1430" s="177">
        <f>SUMIFS('Support - Transition'!G:G,'Support - Transition'!J:J,'Step 2'!D1430,'Support - Transition'!E:E,"2009 WELFARE ALLOCATION FACTOR")</f>
        <v>0</v>
      </c>
      <c r="O1430" s="152">
        <f t="shared" si="428"/>
        <v>0</v>
      </c>
      <c r="P1430" s="126">
        <f>IF(E1430="Y",0,SUMIFS('Support - Transition'!G:G,'Support - Transition'!J:J,'Step 2'!D1430,'Support - Transition'!E:E,"2009 SCHOOL ALLOCATION FACTOR"))</f>
        <v>0</v>
      </c>
      <c r="Q1430" s="126">
        <f>IF(E1430="Y",VLOOKUP(D1430,'Support - Unit Adjustments'!F:G,2,FALSE),0)</f>
        <v>0</v>
      </c>
      <c r="R1430" s="155">
        <f t="shared" si="440"/>
        <v>0</v>
      </c>
      <c r="S1430" s="47">
        <f t="shared" si="439"/>
        <v>0</v>
      </c>
      <c r="T1430" s="151">
        <f t="shared" si="424"/>
        <v>0</v>
      </c>
      <c r="U1430" s="151">
        <f t="shared" si="425"/>
        <v>0</v>
      </c>
      <c r="V1430" s="139">
        <f t="shared" si="426"/>
        <v>0</v>
      </c>
      <c r="W1430" s="152">
        <f t="shared" si="429"/>
        <v>0</v>
      </c>
      <c r="X1430" s="127" t="str">
        <f t="shared" si="427"/>
        <v/>
      </c>
      <c r="Y1430" s="207">
        <f t="shared" si="430"/>
        <v>0</v>
      </c>
      <c r="Z1430" s="139">
        <f t="shared" si="431"/>
        <v>0</v>
      </c>
      <c r="AA1430" s="139">
        <f t="shared" si="432"/>
        <v>0</v>
      </c>
      <c r="AC1430" s="47">
        <f t="shared" si="433"/>
        <v>0</v>
      </c>
      <c r="AD1430" s="47">
        <f t="shared" si="434"/>
        <v>0</v>
      </c>
      <c r="AE1430" s="47">
        <f t="shared" si="435"/>
        <v>0</v>
      </c>
      <c r="AG1430" s="47">
        <f t="shared" si="436"/>
        <v>0</v>
      </c>
      <c r="AH1430" s="47">
        <f t="shared" si="437"/>
        <v>0</v>
      </c>
      <c r="AI1430" s="208">
        <f t="shared" si="438"/>
        <v>0</v>
      </c>
    </row>
    <row r="1431" spans="1:35">
      <c r="A1431" t="s">
        <v>2130</v>
      </c>
      <c r="B1431" t="s">
        <v>3286</v>
      </c>
      <c r="C1431" t="s">
        <v>4196</v>
      </c>
      <c r="D1431" t="s">
        <v>4829</v>
      </c>
      <c r="F1431" t="s">
        <v>4830</v>
      </c>
      <c r="G1431" s="126">
        <f>SUMIFS('Support - Transition'!F:F,'Support - Transition'!B:B,'Step 2'!A1431,'Support - Transition'!C:C,'Step 2'!B1431,'Support - Transition'!D:D,'Step 2'!C1431,'Support - Transition'!E:E,"CIVIL")</f>
        <v>0</v>
      </c>
      <c r="H1431" s="126">
        <f>SUMIFS('Support - Transition'!F:F,'Support - Transition'!B:B,'Step 2'!A1431,'Support - Transition'!C:C,'Step 2'!B1431,'Support - Transition'!D:D,'Step 2'!C1431,'Support - Transition'!E:E,"FIRE")</f>
        <v>0</v>
      </c>
      <c r="I1431" s="126">
        <f>IF(B1431="0",SUMIFS('Support - Transition'!F:F,'Support - Transition'!J:J,'Step 2'!D1431,'Support - Transition'!E:E,"STATE UNIT"),SUMIFS('Support - Transition'!F:F,'Support - Transition'!J:J,'Step 2'!D1431))</f>
        <v>0</v>
      </c>
      <c r="J1431" s="126">
        <f>SUMIFS('Support - Unit Adjustments'!E:E,'Support - Unit Adjustments'!F:F,'Step 2'!D1431)</f>
        <v>0</v>
      </c>
      <c r="K1431" s="126">
        <f t="shared" si="422"/>
        <v>0</v>
      </c>
      <c r="L1431" s="174">
        <f>VLOOKUP(A1431,'Step 1'!$A:$E,4,FALSE)</f>
        <v>1347834</v>
      </c>
      <c r="M1431" s="47">
        <f t="shared" si="423"/>
        <v>0</v>
      </c>
      <c r="N1431" s="177">
        <f>SUMIFS('Support - Transition'!G:G,'Support - Transition'!J:J,'Step 2'!D1431,'Support - Transition'!E:E,"2009 WELFARE ALLOCATION FACTOR")</f>
        <v>0</v>
      </c>
      <c r="O1431" s="152">
        <f t="shared" si="428"/>
        <v>0</v>
      </c>
      <c r="P1431" s="126">
        <f>IF(E1431="Y",0,SUMIFS('Support - Transition'!G:G,'Support - Transition'!J:J,'Step 2'!D1431,'Support - Transition'!E:E,"2009 SCHOOL ALLOCATION FACTOR"))</f>
        <v>0</v>
      </c>
      <c r="Q1431" s="126">
        <f>IF(E1431="Y",VLOOKUP(D1431,'Support - Unit Adjustments'!F:G,2,FALSE),0)</f>
        <v>0</v>
      </c>
      <c r="R1431" s="155">
        <f t="shared" si="440"/>
        <v>0</v>
      </c>
      <c r="S1431" s="47">
        <f t="shared" si="439"/>
        <v>0</v>
      </c>
      <c r="T1431" s="151">
        <f t="shared" si="424"/>
        <v>0</v>
      </c>
      <c r="U1431" s="151">
        <f t="shared" si="425"/>
        <v>0</v>
      </c>
      <c r="V1431" s="139">
        <f t="shared" si="426"/>
        <v>0</v>
      </c>
      <c r="W1431" s="152">
        <f t="shared" si="429"/>
        <v>0</v>
      </c>
      <c r="X1431" s="127" t="str">
        <f t="shared" si="427"/>
        <v/>
      </c>
      <c r="Y1431" s="207">
        <f t="shared" si="430"/>
        <v>0</v>
      </c>
      <c r="Z1431" s="139">
        <f t="shared" si="431"/>
        <v>0</v>
      </c>
      <c r="AA1431" s="139">
        <f t="shared" si="432"/>
        <v>0</v>
      </c>
      <c r="AC1431" s="47">
        <f t="shared" si="433"/>
        <v>0</v>
      </c>
      <c r="AD1431" s="47">
        <f t="shared" si="434"/>
        <v>0</v>
      </c>
      <c r="AE1431" s="47">
        <f t="shared" si="435"/>
        <v>0</v>
      </c>
      <c r="AG1431" s="47">
        <f t="shared" si="436"/>
        <v>0</v>
      </c>
      <c r="AH1431" s="47">
        <f t="shared" si="437"/>
        <v>0</v>
      </c>
      <c r="AI1431" s="208">
        <f t="shared" si="438"/>
        <v>0</v>
      </c>
    </row>
    <row r="1432" spans="1:35">
      <c r="A1432" t="s">
        <v>2131</v>
      </c>
      <c r="B1432" s="48" t="s">
        <v>6274</v>
      </c>
      <c r="C1432" t="s">
        <v>2187</v>
      </c>
      <c r="D1432" t="str">
        <f>A1432&amp;B1432&amp;C1432</f>
        <v>4700000</v>
      </c>
      <c r="F1432" t="s">
        <v>6321</v>
      </c>
      <c r="G1432" s="126">
        <f>SUMIFS('Support - Transition'!F:F,'Support - Transition'!B:B,'Step 2'!A1432,'Support - Transition'!C:C,'Step 2'!B1432,'Support - Transition'!D:D,'Step 2'!C1432,'Support - Transition'!E:E,"CIVIL")</f>
        <v>0</v>
      </c>
      <c r="H1432" s="126">
        <f>SUMIFS('Support - Transition'!F:F,'Support - Transition'!B:B,'Step 2'!A1432,'Support - Transition'!C:C,'Step 2'!B1432,'Support - Transition'!D:D,'Step 2'!C1432,'Support - Transition'!E:E,"FIRE")</f>
        <v>0</v>
      </c>
      <c r="I1432" s="126">
        <f>IF(B1432="0",SUMIFS('Support - Transition'!F:F,'Support - Transition'!J:J,'Step 2'!D1432,'Support - Transition'!E:E,"STATE UNIT"),SUMIFS('Support - Transition'!F:F,'Support - Transition'!J:J,'Step 2'!D1432))</f>
        <v>9.7400000000000004E-4</v>
      </c>
      <c r="J1432" s="126">
        <f>SUMIFS('Support - Unit Adjustments'!E:E,'Support - Unit Adjustments'!F:F,'Step 2'!D1432)</f>
        <v>0</v>
      </c>
      <c r="K1432" s="126">
        <f t="shared" si="422"/>
        <v>9.7400000000000004E-4</v>
      </c>
      <c r="L1432" s="174">
        <f>VLOOKUP(A1432,'Step 1'!$A:$E,4,FALSE)</f>
        <v>406178</v>
      </c>
      <c r="M1432" s="47">
        <f t="shared" si="423"/>
        <v>396</v>
      </c>
      <c r="N1432" s="177">
        <f>SUMIFS('Support - Transition'!G:G,'Support - Transition'!J:J,'Step 2'!D1432,'Support - Transition'!E:E,"2009 WELFARE ALLOCATION FACTOR")</f>
        <v>0</v>
      </c>
      <c r="O1432" s="152">
        <f t="shared" si="428"/>
        <v>0</v>
      </c>
      <c r="P1432" s="126">
        <f>IF(E1432="Y",0,SUMIFS('Support - Transition'!G:G,'Support - Transition'!J:J,'Step 2'!D1432,'Support - Transition'!E:E,"2009 SCHOOL ALLOCATION FACTOR"))</f>
        <v>0</v>
      </c>
      <c r="Q1432" s="126">
        <f>IF(E1432="Y",VLOOKUP(D1432,'Support - Unit Adjustments'!F:G,2,FALSE),0)</f>
        <v>0</v>
      </c>
      <c r="R1432" s="155">
        <f t="shared" si="440"/>
        <v>0</v>
      </c>
      <c r="S1432" s="47">
        <f t="shared" si="439"/>
        <v>0</v>
      </c>
      <c r="T1432" s="151">
        <f t="shared" si="424"/>
        <v>396</v>
      </c>
      <c r="U1432" s="151">
        <f t="shared" si="425"/>
        <v>406179</v>
      </c>
      <c r="V1432" s="139">
        <f t="shared" si="426"/>
        <v>1</v>
      </c>
      <c r="W1432" s="152">
        <f t="shared" si="429"/>
        <v>395</v>
      </c>
      <c r="X1432" s="127">
        <f t="shared" si="427"/>
        <v>0</v>
      </c>
      <c r="Y1432" s="207">
        <f t="shared" si="430"/>
        <v>395</v>
      </c>
      <c r="Z1432" s="139">
        <f t="shared" si="431"/>
        <v>395</v>
      </c>
      <c r="AA1432" s="139">
        <f t="shared" si="432"/>
        <v>0</v>
      </c>
      <c r="AC1432" s="47">
        <f t="shared" si="433"/>
        <v>198</v>
      </c>
      <c r="AD1432" s="47">
        <f t="shared" si="434"/>
        <v>198</v>
      </c>
      <c r="AE1432" s="47">
        <f t="shared" si="435"/>
        <v>0</v>
      </c>
      <c r="AG1432" s="47">
        <f t="shared" si="436"/>
        <v>197</v>
      </c>
      <c r="AH1432" s="47">
        <f t="shared" si="437"/>
        <v>197</v>
      </c>
      <c r="AI1432" s="208">
        <f t="shared" si="438"/>
        <v>0</v>
      </c>
    </row>
    <row r="1433" spans="1:35">
      <c r="A1433" t="s">
        <v>2131</v>
      </c>
      <c r="B1433" t="s">
        <v>3140</v>
      </c>
      <c r="C1433" t="s">
        <v>2187</v>
      </c>
      <c r="D1433" t="s">
        <v>4831</v>
      </c>
      <c r="F1433" t="s">
        <v>1104</v>
      </c>
      <c r="G1433" s="126">
        <f>SUMIFS('Support - Transition'!F:F,'Support - Transition'!B:B,'Step 2'!A1433,'Support - Transition'!C:C,'Step 2'!B1433,'Support - Transition'!D:D,'Step 2'!C1433,'Support - Transition'!E:E,"CIVIL")</f>
        <v>0</v>
      </c>
      <c r="H1433" s="126">
        <f>SUMIFS('Support - Transition'!F:F,'Support - Transition'!B:B,'Step 2'!A1433,'Support - Transition'!C:C,'Step 2'!B1433,'Support - Transition'!D:D,'Step 2'!C1433,'Support - Transition'!E:E,"FIRE")</f>
        <v>0</v>
      </c>
      <c r="I1433" s="126">
        <f>IF(B1433="0",SUMIFS('Support - Transition'!F:F,'Support - Transition'!J:J,'Step 2'!D1433,'Support - Transition'!E:E,"STATE UNIT"),SUMIFS('Support - Transition'!F:F,'Support - Transition'!J:J,'Step 2'!D1433))</f>
        <v>0.208399</v>
      </c>
      <c r="J1433" s="126">
        <f>SUMIFS('Support - Unit Adjustments'!E:E,'Support - Unit Adjustments'!F:F,'Step 2'!D1433)</f>
        <v>0</v>
      </c>
      <c r="K1433" s="126">
        <f t="shared" si="422"/>
        <v>0.208399</v>
      </c>
      <c r="L1433" s="174">
        <f>VLOOKUP(A1433,'Step 1'!$A:$E,4,FALSE)</f>
        <v>406178</v>
      </c>
      <c r="M1433" s="47">
        <f t="shared" si="423"/>
        <v>84647</v>
      </c>
      <c r="N1433" s="177">
        <f>SUMIFS('Support - Transition'!G:G,'Support - Transition'!J:J,'Step 2'!D1433,'Support - Transition'!E:E,"2009 WELFARE ALLOCATION FACTOR")</f>
        <v>0.23760999999999999</v>
      </c>
      <c r="O1433" s="152">
        <f t="shared" si="428"/>
        <v>20113</v>
      </c>
      <c r="P1433" s="126">
        <f>IF(E1433="Y",0,SUMIFS('Support - Transition'!G:G,'Support - Transition'!J:J,'Step 2'!D1433,'Support - Transition'!E:E,"2009 SCHOOL ALLOCATION FACTOR"))</f>
        <v>0</v>
      </c>
      <c r="Q1433" s="126">
        <f>IF(E1433="Y",VLOOKUP(D1433,'Support - Unit Adjustments'!F:G,2,FALSE),0)</f>
        <v>0</v>
      </c>
      <c r="R1433" s="155">
        <f t="shared" si="440"/>
        <v>0</v>
      </c>
      <c r="S1433" s="47">
        <f t="shared" si="439"/>
        <v>0</v>
      </c>
      <c r="T1433" s="151">
        <f t="shared" si="424"/>
        <v>64534</v>
      </c>
      <c r="U1433" s="151">
        <f t="shared" si="425"/>
        <v>0</v>
      </c>
      <c r="V1433" s="139">
        <f t="shared" si="426"/>
        <v>0</v>
      </c>
      <c r="W1433" s="152">
        <f t="shared" si="429"/>
        <v>64534</v>
      </c>
      <c r="X1433" s="127" t="str">
        <f t="shared" si="427"/>
        <v/>
      </c>
      <c r="Y1433" s="207">
        <f t="shared" si="430"/>
        <v>64534</v>
      </c>
      <c r="Z1433" s="139">
        <f t="shared" si="431"/>
        <v>64534</v>
      </c>
      <c r="AA1433" s="139">
        <f t="shared" si="432"/>
        <v>0</v>
      </c>
      <c r="AC1433" s="47">
        <f t="shared" si="433"/>
        <v>32267</v>
      </c>
      <c r="AD1433" s="47">
        <f t="shared" si="434"/>
        <v>32267</v>
      </c>
      <c r="AE1433" s="47">
        <f t="shared" si="435"/>
        <v>0</v>
      </c>
      <c r="AG1433" s="47">
        <f t="shared" si="436"/>
        <v>32267</v>
      </c>
      <c r="AH1433" s="47">
        <f t="shared" si="437"/>
        <v>32267</v>
      </c>
      <c r="AI1433" s="208">
        <f t="shared" si="438"/>
        <v>0</v>
      </c>
    </row>
    <row r="1434" spans="1:35">
      <c r="A1434" t="s">
        <v>2131</v>
      </c>
      <c r="B1434" t="s">
        <v>3142</v>
      </c>
      <c r="C1434" t="s">
        <v>2188</v>
      </c>
      <c r="D1434" t="s">
        <v>4832</v>
      </c>
      <c r="F1434" t="s">
        <v>1105</v>
      </c>
      <c r="G1434" s="126">
        <f>SUMIFS('Support - Transition'!F:F,'Support - Transition'!B:B,'Step 2'!A1434,'Support - Transition'!C:C,'Step 2'!B1434,'Support - Transition'!D:D,'Step 2'!C1434,'Support - Transition'!E:E,"CIVIL")</f>
        <v>1.03E-4</v>
      </c>
      <c r="H1434" s="126">
        <f>SUMIFS('Support - Transition'!F:F,'Support - Transition'!B:B,'Step 2'!A1434,'Support - Transition'!C:C,'Step 2'!B1434,'Support - Transition'!D:D,'Step 2'!C1434,'Support - Transition'!E:E,"FIRE")</f>
        <v>4.8999999999999998E-5</v>
      </c>
      <c r="I1434" s="126">
        <f>IF(B1434="0",SUMIFS('Support - Transition'!F:F,'Support - Transition'!J:J,'Step 2'!D1434,'Support - Transition'!E:E,"STATE UNIT"),SUMIFS('Support - Transition'!F:F,'Support - Transition'!J:J,'Step 2'!D1434))</f>
        <v>1.5200000000000001E-4</v>
      </c>
      <c r="J1434" s="126">
        <f>SUMIFS('Support - Unit Adjustments'!E:E,'Support - Unit Adjustments'!F:F,'Step 2'!D1434)</f>
        <v>0</v>
      </c>
      <c r="K1434" s="126">
        <f t="shared" si="422"/>
        <v>1.5200000000000001E-4</v>
      </c>
      <c r="L1434" s="174">
        <f>VLOOKUP(A1434,'Step 1'!$A:$E,4,FALSE)</f>
        <v>406178</v>
      </c>
      <c r="M1434" s="47">
        <f t="shared" si="423"/>
        <v>62</v>
      </c>
      <c r="N1434" s="177">
        <f>SUMIFS('Support - Transition'!G:G,'Support - Transition'!J:J,'Step 2'!D1434,'Support - Transition'!E:E,"2009 WELFARE ALLOCATION FACTOR")</f>
        <v>0</v>
      </c>
      <c r="O1434" s="152">
        <f t="shared" si="428"/>
        <v>0</v>
      </c>
      <c r="P1434" s="126">
        <f>IF(E1434="Y",0,SUMIFS('Support - Transition'!G:G,'Support - Transition'!J:J,'Step 2'!D1434,'Support - Transition'!E:E,"2009 SCHOOL ALLOCATION FACTOR"))</f>
        <v>0</v>
      </c>
      <c r="Q1434" s="126">
        <f>IF(E1434="Y",VLOOKUP(D1434,'Support - Unit Adjustments'!F:G,2,FALSE),0)</f>
        <v>0</v>
      </c>
      <c r="R1434" s="155">
        <f t="shared" si="440"/>
        <v>0</v>
      </c>
      <c r="S1434" s="47">
        <f t="shared" si="439"/>
        <v>0</v>
      </c>
      <c r="T1434" s="151">
        <f t="shared" si="424"/>
        <v>62</v>
      </c>
      <c r="U1434" s="151">
        <f t="shared" si="425"/>
        <v>0</v>
      </c>
      <c r="V1434" s="139">
        <f t="shared" si="426"/>
        <v>0</v>
      </c>
      <c r="W1434" s="152">
        <f t="shared" si="429"/>
        <v>62</v>
      </c>
      <c r="X1434" s="127" t="str">
        <f t="shared" si="427"/>
        <v/>
      </c>
      <c r="Y1434" s="207">
        <f t="shared" si="430"/>
        <v>62</v>
      </c>
      <c r="Z1434" s="139">
        <f t="shared" si="431"/>
        <v>42</v>
      </c>
      <c r="AA1434" s="139">
        <f t="shared" si="432"/>
        <v>20</v>
      </c>
      <c r="AC1434" s="47">
        <f t="shared" si="433"/>
        <v>31</v>
      </c>
      <c r="AD1434" s="47">
        <f t="shared" si="434"/>
        <v>21</v>
      </c>
      <c r="AE1434" s="47">
        <f t="shared" si="435"/>
        <v>10</v>
      </c>
      <c r="AG1434" s="47">
        <f t="shared" si="436"/>
        <v>31</v>
      </c>
      <c r="AH1434" s="47">
        <f t="shared" si="437"/>
        <v>21</v>
      </c>
      <c r="AI1434" s="208">
        <f t="shared" si="438"/>
        <v>10</v>
      </c>
    </row>
    <row r="1435" spans="1:35">
      <c r="A1435" t="s">
        <v>2131</v>
      </c>
      <c r="B1435" t="s">
        <v>3142</v>
      </c>
      <c r="C1435" t="s">
        <v>2189</v>
      </c>
      <c r="D1435" t="s">
        <v>4833</v>
      </c>
      <c r="F1435" t="s">
        <v>1106</v>
      </c>
      <c r="G1435" s="126">
        <f>SUMIFS('Support - Transition'!F:F,'Support - Transition'!B:B,'Step 2'!A1435,'Support - Transition'!C:C,'Step 2'!B1435,'Support - Transition'!D:D,'Step 2'!C1435,'Support - Transition'!E:E,"CIVIL")</f>
        <v>7.3399999999999995E-4</v>
      </c>
      <c r="H1435" s="126">
        <f>SUMIFS('Support - Transition'!F:F,'Support - Transition'!B:B,'Step 2'!A1435,'Support - Transition'!C:C,'Step 2'!B1435,'Support - Transition'!D:D,'Step 2'!C1435,'Support - Transition'!E:E,"FIRE")</f>
        <v>3.6299999999999999E-4</v>
      </c>
      <c r="I1435" s="126">
        <f>IF(B1435="0",SUMIFS('Support - Transition'!F:F,'Support - Transition'!J:J,'Step 2'!D1435,'Support - Transition'!E:E,"STATE UNIT"),SUMIFS('Support - Transition'!F:F,'Support - Transition'!J:J,'Step 2'!D1435))</f>
        <v>1.0969999999999999E-3</v>
      </c>
      <c r="J1435" s="126">
        <f>SUMIFS('Support - Unit Adjustments'!E:E,'Support - Unit Adjustments'!F:F,'Step 2'!D1435)</f>
        <v>0</v>
      </c>
      <c r="K1435" s="126">
        <f t="shared" si="422"/>
        <v>1.0969999999999999E-3</v>
      </c>
      <c r="L1435" s="174">
        <f>VLOOKUP(A1435,'Step 1'!$A:$E,4,FALSE)</f>
        <v>406178</v>
      </c>
      <c r="M1435" s="47">
        <f t="shared" si="423"/>
        <v>446</v>
      </c>
      <c r="N1435" s="177">
        <f>SUMIFS('Support - Transition'!G:G,'Support - Transition'!J:J,'Step 2'!D1435,'Support - Transition'!E:E,"2009 WELFARE ALLOCATION FACTOR")</f>
        <v>0</v>
      </c>
      <c r="O1435" s="152">
        <f t="shared" si="428"/>
        <v>0</v>
      </c>
      <c r="P1435" s="126">
        <f>IF(E1435="Y",0,SUMIFS('Support - Transition'!G:G,'Support - Transition'!J:J,'Step 2'!D1435,'Support - Transition'!E:E,"2009 SCHOOL ALLOCATION FACTOR"))</f>
        <v>0</v>
      </c>
      <c r="Q1435" s="126">
        <f>IF(E1435="Y",VLOOKUP(D1435,'Support - Unit Adjustments'!F:G,2,FALSE),0)</f>
        <v>0</v>
      </c>
      <c r="R1435" s="155">
        <f t="shared" si="440"/>
        <v>0</v>
      </c>
      <c r="S1435" s="47">
        <f t="shared" si="439"/>
        <v>0</v>
      </c>
      <c r="T1435" s="151">
        <f t="shared" si="424"/>
        <v>446</v>
      </c>
      <c r="U1435" s="151">
        <f t="shared" si="425"/>
        <v>0</v>
      </c>
      <c r="V1435" s="139">
        <f t="shared" si="426"/>
        <v>0</v>
      </c>
      <c r="W1435" s="152">
        <f t="shared" si="429"/>
        <v>446</v>
      </c>
      <c r="X1435" s="127" t="str">
        <f t="shared" si="427"/>
        <v/>
      </c>
      <c r="Y1435" s="207">
        <f t="shared" si="430"/>
        <v>446</v>
      </c>
      <c r="Z1435" s="139">
        <f t="shared" si="431"/>
        <v>298</v>
      </c>
      <c r="AA1435" s="139">
        <f t="shared" si="432"/>
        <v>148</v>
      </c>
      <c r="AC1435" s="47">
        <f t="shared" si="433"/>
        <v>223</v>
      </c>
      <c r="AD1435" s="47">
        <f t="shared" si="434"/>
        <v>149</v>
      </c>
      <c r="AE1435" s="47">
        <f t="shared" si="435"/>
        <v>74</v>
      </c>
      <c r="AG1435" s="47">
        <f t="shared" si="436"/>
        <v>223</v>
      </c>
      <c r="AH1435" s="47">
        <f t="shared" si="437"/>
        <v>149</v>
      </c>
      <c r="AI1435" s="208">
        <f t="shared" si="438"/>
        <v>74</v>
      </c>
    </row>
    <row r="1436" spans="1:35">
      <c r="A1436" t="s">
        <v>2131</v>
      </c>
      <c r="B1436" t="s">
        <v>3142</v>
      </c>
      <c r="C1436" t="s">
        <v>2190</v>
      </c>
      <c r="D1436" t="s">
        <v>4834</v>
      </c>
      <c r="F1436" t="s">
        <v>1107</v>
      </c>
      <c r="G1436" s="126">
        <f>SUMIFS('Support - Transition'!F:F,'Support - Transition'!B:B,'Step 2'!A1436,'Support - Transition'!C:C,'Step 2'!B1436,'Support - Transition'!D:D,'Step 2'!C1436,'Support - Transition'!E:E,"CIVIL")</f>
        <v>5.2099999999999998E-4</v>
      </c>
      <c r="H1436" s="126">
        <f>SUMIFS('Support - Transition'!F:F,'Support - Transition'!B:B,'Step 2'!A1436,'Support - Transition'!C:C,'Step 2'!B1436,'Support - Transition'!D:D,'Step 2'!C1436,'Support - Transition'!E:E,"FIRE")</f>
        <v>3.4299999999999999E-4</v>
      </c>
      <c r="I1436" s="126">
        <f>IF(B1436="0",SUMIFS('Support - Transition'!F:F,'Support - Transition'!J:J,'Step 2'!D1436,'Support - Transition'!E:E,"STATE UNIT"),SUMIFS('Support - Transition'!F:F,'Support - Transition'!J:J,'Step 2'!D1436))</f>
        <v>8.6399999999999997E-4</v>
      </c>
      <c r="J1436" s="126">
        <f>SUMIFS('Support - Unit Adjustments'!E:E,'Support - Unit Adjustments'!F:F,'Step 2'!D1436)</f>
        <v>0</v>
      </c>
      <c r="K1436" s="126">
        <f t="shared" si="422"/>
        <v>8.6399999999999997E-4</v>
      </c>
      <c r="L1436" s="174">
        <f>VLOOKUP(A1436,'Step 1'!$A:$E,4,FALSE)</f>
        <v>406178</v>
      </c>
      <c r="M1436" s="47">
        <f t="shared" si="423"/>
        <v>351</v>
      </c>
      <c r="N1436" s="177">
        <f>SUMIFS('Support - Transition'!G:G,'Support - Transition'!J:J,'Step 2'!D1436,'Support - Transition'!E:E,"2009 WELFARE ALLOCATION FACTOR")</f>
        <v>0</v>
      </c>
      <c r="O1436" s="152">
        <f t="shared" si="428"/>
        <v>0</v>
      </c>
      <c r="P1436" s="126">
        <f>IF(E1436="Y",0,SUMIFS('Support - Transition'!G:G,'Support - Transition'!J:J,'Step 2'!D1436,'Support - Transition'!E:E,"2009 SCHOOL ALLOCATION FACTOR"))</f>
        <v>0</v>
      </c>
      <c r="Q1436" s="126">
        <f>IF(E1436="Y",VLOOKUP(D1436,'Support - Unit Adjustments'!F:G,2,FALSE),0)</f>
        <v>0</v>
      </c>
      <c r="R1436" s="155">
        <f t="shared" si="440"/>
        <v>0</v>
      </c>
      <c r="S1436" s="47">
        <f t="shared" si="439"/>
        <v>0</v>
      </c>
      <c r="T1436" s="151">
        <f t="shared" si="424"/>
        <v>351</v>
      </c>
      <c r="U1436" s="151">
        <f t="shared" si="425"/>
        <v>0</v>
      </c>
      <c r="V1436" s="139">
        <f t="shared" si="426"/>
        <v>0</v>
      </c>
      <c r="W1436" s="152">
        <f t="shared" si="429"/>
        <v>351</v>
      </c>
      <c r="X1436" s="127" t="str">
        <f t="shared" si="427"/>
        <v/>
      </c>
      <c r="Y1436" s="207">
        <f t="shared" si="430"/>
        <v>351</v>
      </c>
      <c r="Z1436" s="139">
        <f t="shared" si="431"/>
        <v>212</v>
      </c>
      <c r="AA1436" s="139">
        <f t="shared" si="432"/>
        <v>139</v>
      </c>
      <c r="AC1436" s="47">
        <f t="shared" si="433"/>
        <v>176</v>
      </c>
      <c r="AD1436" s="47">
        <f t="shared" si="434"/>
        <v>106</v>
      </c>
      <c r="AE1436" s="47">
        <f t="shared" si="435"/>
        <v>70</v>
      </c>
      <c r="AG1436" s="47">
        <f t="shared" si="436"/>
        <v>175</v>
      </c>
      <c r="AH1436" s="47">
        <f t="shared" si="437"/>
        <v>106</v>
      </c>
      <c r="AI1436" s="208">
        <f t="shared" si="438"/>
        <v>69</v>
      </c>
    </row>
    <row r="1437" spans="1:35">
      <c r="A1437" t="s">
        <v>2131</v>
      </c>
      <c r="B1437" t="s">
        <v>3142</v>
      </c>
      <c r="C1437" t="s">
        <v>2191</v>
      </c>
      <c r="D1437" t="s">
        <v>4835</v>
      </c>
      <c r="F1437" t="s">
        <v>53</v>
      </c>
      <c r="G1437" s="126">
        <f>SUMIFS('Support - Transition'!F:F,'Support - Transition'!B:B,'Step 2'!A1437,'Support - Transition'!C:C,'Step 2'!B1437,'Support - Transition'!D:D,'Step 2'!C1437,'Support - Transition'!E:E,"CIVIL")</f>
        <v>1.243E-3</v>
      </c>
      <c r="H1437" s="126">
        <f>SUMIFS('Support - Transition'!F:F,'Support - Transition'!B:B,'Step 2'!A1437,'Support - Transition'!C:C,'Step 2'!B1437,'Support - Transition'!D:D,'Step 2'!C1437,'Support - Transition'!E:E,"FIRE")</f>
        <v>9.3300000000000002E-4</v>
      </c>
      <c r="I1437" s="126">
        <f>IF(B1437="0",SUMIFS('Support - Transition'!F:F,'Support - Transition'!J:J,'Step 2'!D1437,'Support - Transition'!E:E,"STATE UNIT"),SUMIFS('Support - Transition'!F:F,'Support - Transition'!J:J,'Step 2'!D1437))</f>
        <v>2.176E-3</v>
      </c>
      <c r="J1437" s="126">
        <f>SUMIFS('Support - Unit Adjustments'!E:E,'Support - Unit Adjustments'!F:F,'Step 2'!D1437)</f>
        <v>0</v>
      </c>
      <c r="K1437" s="126">
        <f t="shared" si="422"/>
        <v>2.176E-3</v>
      </c>
      <c r="L1437" s="174">
        <f>VLOOKUP(A1437,'Step 1'!$A:$E,4,FALSE)</f>
        <v>406178</v>
      </c>
      <c r="M1437" s="47">
        <f t="shared" si="423"/>
        <v>884</v>
      </c>
      <c r="N1437" s="177">
        <f>SUMIFS('Support - Transition'!G:G,'Support - Transition'!J:J,'Step 2'!D1437,'Support - Transition'!E:E,"2009 WELFARE ALLOCATION FACTOR")</f>
        <v>0</v>
      </c>
      <c r="O1437" s="152">
        <f t="shared" si="428"/>
        <v>0</v>
      </c>
      <c r="P1437" s="126">
        <f>IF(E1437="Y",0,SUMIFS('Support - Transition'!G:G,'Support - Transition'!J:J,'Step 2'!D1437,'Support - Transition'!E:E,"2009 SCHOOL ALLOCATION FACTOR"))</f>
        <v>0</v>
      </c>
      <c r="Q1437" s="126">
        <f>IF(E1437="Y",VLOOKUP(D1437,'Support - Unit Adjustments'!F:G,2,FALSE),0)</f>
        <v>0</v>
      </c>
      <c r="R1437" s="155">
        <f t="shared" si="440"/>
        <v>0</v>
      </c>
      <c r="S1437" s="47">
        <f t="shared" si="439"/>
        <v>0</v>
      </c>
      <c r="T1437" s="151">
        <f t="shared" si="424"/>
        <v>884</v>
      </c>
      <c r="U1437" s="151">
        <f t="shared" si="425"/>
        <v>0</v>
      </c>
      <c r="V1437" s="139">
        <f t="shared" si="426"/>
        <v>0</v>
      </c>
      <c r="W1437" s="152">
        <f t="shared" si="429"/>
        <v>884</v>
      </c>
      <c r="X1437" s="127" t="str">
        <f t="shared" si="427"/>
        <v/>
      </c>
      <c r="Y1437" s="207">
        <f t="shared" si="430"/>
        <v>884</v>
      </c>
      <c r="Z1437" s="139">
        <f t="shared" si="431"/>
        <v>505</v>
      </c>
      <c r="AA1437" s="139">
        <f t="shared" si="432"/>
        <v>379</v>
      </c>
      <c r="AC1437" s="47">
        <f t="shared" si="433"/>
        <v>442</v>
      </c>
      <c r="AD1437" s="47">
        <f t="shared" si="434"/>
        <v>253</v>
      </c>
      <c r="AE1437" s="47">
        <f t="shared" si="435"/>
        <v>190</v>
      </c>
      <c r="AG1437" s="47">
        <f t="shared" si="436"/>
        <v>442</v>
      </c>
      <c r="AH1437" s="47">
        <f t="shared" si="437"/>
        <v>252</v>
      </c>
      <c r="AI1437" s="208">
        <f t="shared" si="438"/>
        <v>189</v>
      </c>
    </row>
    <row r="1438" spans="1:35">
      <c r="A1438" t="s">
        <v>2131</v>
      </c>
      <c r="B1438" t="s">
        <v>3142</v>
      </c>
      <c r="C1438" t="s">
        <v>2192</v>
      </c>
      <c r="D1438" t="s">
        <v>4836</v>
      </c>
      <c r="F1438" t="s">
        <v>1108</v>
      </c>
      <c r="G1438" s="126">
        <f>SUMIFS('Support - Transition'!F:F,'Support - Transition'!B:B,'Step 2'!A1438,'Support - Transition'!C:C,'Step 2'!B1438,'Support - Transition'!D:D,'Step 2'!C1438,'Support - Transition'!E:E,"CIVIL")</f>
        <v>1.052E-3</v>
      </c>
      <c r="H1438" s="126">
        <f>SUMIFS('Support - Transition'!F:F,'Support - Transition'!B:B,'Step 2'!A1438,'Support - Transition'!C:C,'Step 2'!B1438,'Support - Transition'!D:D,'Step 2'!C1438,'Support - Transition'!E:E,"FIRE")</f>
        <v>6.1300000000000005E-4</v>
      </c>
      <c r="I1438" s="126">
        <f>IF(B1438="0",SUMIFS('Support - Transition'!F:F,'Support - Transition'!J:J,'Step 2'!D1438,'Support - Transition'!E:E,"STATE UNIT"),SUMIFS('Support - Transition'!F:F,'Support - Transition'!J:J,'Step 2'!D1438))</f>
        <v>1.665E-3</v>
      </c>
      <c r="J1438" s="126">
        <f>SUMIFS('Support - Unit Adjustments'!E:E,'Support - Unit Adjustments'!F:F,'Step 2'!D1438)</f>
        <v>0</v>
      </c>
      <c r="K1438" s="126">
        <f t="shared" si="422"/>
        <v>1.665E-3</v>
      </c>
      <c r="L1438" s="174">
        <f>VLOOKUP(A1438,'Step 1'!$A:$E,4,FALSE)</f>
        <v>406178</v>
      </c>
      <c r="M1438" s="47">
        <f t="shared" si="423"/>
        <v>676</v>
      </c>
      <c r="N1438" s="177">
        <f>SUMIFS('Support - Transition'!G:G,'Support - Transition'!J:J,'Step 2'!D1438,'Support - Transition'!E:E,"2009 WELFARE ALLOCATION FACTOR")</f>
        <v>0</v>
      </c>
      <c r="O1438" s="152">
        <f t="shared" si="428"/>
        <v>0</v>
      </c>
      <c r="P1438" s="126">
        <f>IF(E1438="Y",0,SUMIFS('Support - Transition'!G:G,'Support - Transition'!J:J,'Step 2'!D1438,'Support - Transition'!E:E,"2009 SCHOOL ALLOCATION FACTOR"))</f>
        <v>0</v>
      </c>
      <c r="Q1438" s="126">
        <f>IF(E1438="Y",VLOOKUP(D1438,'Support - Unit Adjustments'!F:G,2,FALSE),0)</f>
        <v>0</v>
      </c>
      <c r="R1438" s="155">
        <f t="shared" si="440"/>
        <v>0</v>
      </c>
      <c r="S1438" s="47">
        <f t="shared" si="439"/>
        <v>0</v>
      </c>
      <c r="T1438" s="151">
        <f t="shared" si="424"/>
        <v>676</v>
      </c>
      <c r="U1438" s="151">
        <f t="shared" si="425"/>
        <v>0</v>
      </c>
      <c r="V1438" s="139">
        <f t="shared" si="426"/>
        <v>0</v>
      </c>
      <c r="W1438" s="152">
        <f t="shared" si="429"/>
        <v>676</v>
      </c>
      <c r="X1438" s="127" t="str">
        <f t="shared" si="427"/>
        <v/>
      </c>
      <c r="Y1438" s="207">
        <f t="shared" si="430"/>
        <v>676</v>
      </c>
      <c r="Z1438" s="139">
        <f t="shared" si="431"/>
        <v>427</v>
      </c>
      <c r="AA1438" s="139">
        <f t="shared" si="432"/>
        <v>249</v>
      </c>
      <c r="AC1438" s="47">
        <f t="shared" si="433"/>
        <v>338</v>
      </c>
      <c r="AD1438" s="47">
        <f t="shared" si="434"/>
        <v>214</v>
      </c>
      <c r="AE1438" s="47">
        <f t="shared" si="435"/>
        <v>125</v>
      </c>
      <c r="AG1438" s="47">
        <f t="shared" si="436"/>
        <v>338</v>
      </c>
      <c r="AH1438" s="47">
        <f t="shared" si="437"/>
        <v>213</v>
      </c>
      <c r="AI1438" s="208">
        <f t="shared" si="438"/>
        <v>124</v>
      </c>
    </row>
    <row r="1439" spans="1:35">
      <c r="A1439" t="s">
        <v>2131</v>
      </c>
      <c r="B1439" t="s">
        <v>3142</v>
      </c>
      <c r="C1439" t="s">
        <v>2193</v>
      </c>
      <c r="D1439" t="s">
        <v>4837</v>
      </c>
      <c r="F1439" t="s">
        <v>56</v>
      </c>
      <c r="G1439" s="126">
        <f>SUMIFS('Support - Transition'!F:F,'Support - Transition'!B:B,'Step 2'!A1439,'Support - Transition'!C:C,'Step 2'!B1439,'Support - Transition'!D:D,'Step 2'!C1439,'Support - Transition'!E:E,"CIVIL")</f>
        <v>7.9900000000000001E-4</v>
      </c>
      <c r="H1439" s="126">
        <f>SUMIFS('Support - Transition'!F:F,'Support - Transition'!B:B,'Step 2'!A1439,'Support - Transition'!C:C,'Step 2'!B1439,'Support - Transition'!D:D,'Step 2'!C1439,'Support - Transition'!E:E,"FIRE")</f>
        <v>5.5400000000000002E-4</v>
      </c>
      <c r="I1439" s="126">
        <f>IF(B1439="0",SUMIFS('Support - Transition'!F:F,'Support - Transition'!J:J,'Step 2'!D1439,'Support - Transition'!E:E,"STATE UNIT"),SUMIFS('Support - Transition'!F:F,'Support - Transition'!J:J,'Step 2'!D1439))</f>
        <v>1.353E-3</v>
      </c>
      <c r="J1439" s="126">
        <f>SUMIFS('Support - Unit Adjustments'!E:E,'Support - Unit Adjustments'!F:F,'Step 2'!D1439)</f>
        <v>0</v>
      </c>
      <c r="K1439" s="126">
        <f t="shared" si="422"/>
        <v>1.353E-3</v>
      </c>
      <c r="L1439" s="174">
        <f>VLOOKUP(A1439,'Step 1'!$A:$E,4,FALSE)</f>
        <v>406178</v>
      </c>
      <c r="M1439" s="47">
        <f t="shared" si="423"/>
        <v>550</v>
      </c>
      <c r="N1439" s="177">
        <f>SUMIFS('Support - Transition'!G:G,'Support - Transition'!J:J,'Step 2'!D1439,'Support - Transition'!E:E,"2009 WELFARE ALLOCATION FACTOR")</f>
        <v>0</v>
      </c>
      <c r="O1439" s="152">
        <f t="shared" si="428"/>
        <v>0</v>
      </c>
      <c r="P1439" s="126">
        <f>IF(E1439="Y",0,SUMIFS('Support - Transition'!G:G,'Support - Transition'!J:J,'Step 2'!D1439,'Support - Transition'!E:E,"2009 SCHOOL ALLOCATION FACTOR"))</f>
        <v>0</v>
      </c>
      <c r="Q1439" s="126">
        <f>IF(E1439="Y",VLOOKUP(D1439,'Support - Unit Adjustments'!F:G,2,FALSE),0)</f>
        <v>0</v>
      </c>
      <c r="R1439" s="155">
        <f t="shared" si="440"/>
        <v>0</v>
      </c>
      <c r="S1439" s="47">
        <f t="shared" si="439"/>
        <v>0</v>
      </c>
      <c r="T1439" s="151">
        <f t="shared" si="424"/>
        <v>550</v>
      </c>
      <c r="U1439" s="151">
        <f t="shared" si="425"/>
        <v>0</v>
      </c>
      <c r="V1439" s="139">
        <f t="shared" si="426"/>
        <v>0</v>
      </c>
      <c r="W1439" s="152">
        <f t="shared" si="429"/>
        <v>550</v>
      </c>
      <c r="X1439" s="127" t="str">
        <f t="shared" si="427"/>
        <v/>
      </c>
      <c r="Y1439" s="207">
        <f t="shared" si="430"/>
        <v>550</v>
      </c>
      <c r="Z1439" s="139">
        <f t="shared" si="431"/>
        <v>325</v>
      </c>
      <c r="AA1439" s="139">
        <f t="shared" si="432"/>
        <v>225</v>
      </c>
      <c r="AC1439" s="47">
        <f t="shared" si="433"/>
        <v>275</v>
      </c>
      <c r="AD1439" s="47">
        <f t="shared" si="434"/>
        <v>163</v>
      </c>
      <c r="AE1439" s="47">
        <f t="shared" si="435"/>
        <v>113</v>
      </c>
      <c r="AG1439" s="47">
        <f t="shared" si="436"/>
        <v>275</v>
      </c>
      <c r="AH1439" s="47">
        <f t="shared" si="437"/>
        <v>162</v>
      </c>
      <c r="AI1439" s="208">
        <f t="shared" si="438"/>
        <v>112</v>
      </c>
    </row>
    <row r="1440" spans="1:35">
      <c r="A1440" t="s">
        <v>2131</v>
      </c>
      <c r="B1440" t="s">
        <v>3142</v>
      </c>
      <c r="C1440" t="s">
        <v>2194</v>
      </c>
      <c r="D1440" t="s">
        <v>4838</v>
      </c>
      <c r="F1440" t="s">
        <v>1109</v>
      </c>
      <c r="G1440" s="126">
        <f>SUMIFS('Support - Transition'!F:F,'Support - Transition'!B:B,'Step 2'!A1440,'Support - Transition'!C:C,'Step 2'!B1440,'Support - Transition'!D:D,'Step 2'!C1440,'Support - Transition'!E:E,"CIVIL")</f>
        <v>1.0250000000000001E-3</v>
      </c>
      <c r="H1440" s="126">
        <f>SUMIFS('Support - Transition'!F:F,'Support - Transition'!B:B,'Step 2'!A1440,'Support - Transition'!C:C,'Step 2'!B1440,'Support - Transition'!D:D,'Step 2'!C1440,'Support - Transition'!E:E,"FIRE")</f>
        <v>6.8400000000000004E-4</v>
      </c>
      <c r="I1440" s="126">
        <f>IF(B1440="0",SUMIFS('Support - Transition'!F:F,'Support - Transition'!J:J,'Step 2'!D1440,'Support - Transition'!E:E,"STATE UNIT"),SUMIFS('Support - Transition'!F:F,'Support - Transition'!J:J,'Step 2'!D1440))</f>
        <v>1.709E-3</v>
      </c>
      <c r="J1440" s="126">
        <f>SUMIFS('Support - Unit Adjustments'!E:E,'Support - Unit Adjustments'!F:F,'Step 2'!D1440)</f>
        <v>0</v>
      </c>
      <c r="K1440" s="126">
        <f t="shared" si="422"/>
        <v>1.709E-3</v>
      </c>
      <c r="L1440" s="174">
        <f>VLOOKUP(A1440,'Step 1'!$A:$E,4,FALSE)</f>
        <v>406178</v>
      </c>
      <c r="M1440" s="47">
        <f t="shared" si="423"/>
        <v>694</v>
      </c>
      <c r="N1440" s="177">
        <f>SUMIFS('Support - Transition'!G:G,'Support - Transition'!J:J,'Step 2'!D1440,'Support - Transition'!E:E,"2009 WELFARE ALLOCATION FACTOR")</f>
        <v>0</v>
      </c>
      <c r="O1440" s="152">
        <f t="shared" si="428"/>
        <v>0</v>
      </c>
      <c r="P1440" s="126">
        <f>IF(E1440="Y",0,SUMIFS('Support - Transition'!G:G,'Support - Transition'!J:J,'Step 2'!D1440,'Support - Transition'!E:E,"2009 SCHOOL ALLOCATION FACTOR"))</f>
        <v>0</v>
      </c>
      <c r="Q1440" s="126">
        <f>IF(E1440="Y",VLOOKUP(D1440,'Support - Unit Adjustments'!F:G,2,FALSE),0)</f>
        <v>0</v>
      </c>
      <c r="R1440" s="155">
        <f t="shared" si="440"/>
        <v>0</v>
      </c>
      <c r="S1440" s="47">
        <f t="shared" si="439"/>
        <v>0</v>
      </c>
      <c r="T1440" s="151">
        <f t="shared" si="424"/>
        <v>694</v>
      </c>
      <c r="U1440" s="151">
        <f t="shared" si="425"/>
        <v>0</v>
      </c>
      <c r="V1440" s="139">
        <f t="shared" si="426"/>
        <v>0</v>
      </c>
      <c r="W1440" s="152">
        <f t="shared" si="429"/>
        <v>694</v>
      </c>
      <c r="X1440" s="127" t="str">
        <f t="shared" si="427"/>
        <v/>
      </c>
      <c r="Y1440" s="207">
        <f t="shared" si="430"/>
        <v>694</v>
      </c>
      <c r="Z1440" s="139">
        <f t="shared" si="431"/>
        <v>416</v>
      </c>
      <c r="AA1440" s="139">
        <f t="shared" si="432"/>
        <v>278</v>
      </c>
      <c r="AC1440" s="47">
        <f t="shared" si="433"/>
        <v>347</v>
      </c>
      <c r="AD1440" s="47">
        <f t="shared" si="434"/>
        <v>208</v>
      </c>
      <c r="AE1440" s="47">
        <f t="shared" si="435"/>
        <v>139</v>
      </c>
      <c r="AG1440" s="47">
        <f t="shared" si="436"/>
        <v>347</v>
      </c>
      <c r="AH1440" s="47">
        <f t="shared" si="437"/>
        <v>208</v>
      </c>
      <c r="AI1440" s="208">
        <f t="shared" si="438"/>
        <v>139</v>
      </c>
    </row>
    <row r="1441" spans="1:35">
      <c r="A1441" t="s">
        <v>2131</v>
      </c>
      <c r="B1441" t="s">
        <v>3142</v>
      </c>
      <c r="C1441" t="s">
        <v>2195</v>
      </c>
      <c r="D1441" t="s">
        <v>4839</v>
      </c>
      <c r="F1441" t="s">
        <v>1110</v>
      </c>
      <c r="G1441" s="126">
        <f>SUMIFS('Support - Transition'!F:F,'Support - Transition'!B:B,'Step 2'!A1441,'Support - Transition'!C:C,'Step 2'!B1441,'Support - Transition'!D:D,'Step 2'!C1441,'Support - Transition'!E:E,"CIVIL")</f>
        <v>2.679E-3</v>
      </c>
      <c r="H1441" s="126">
        <f>SUMIFS('Support - Transition'!F:F,'Support - Transition'!B:B,'Step 2'!A1441,'Support - Transition'!C:C,'Step 2'!B1441,'Support - Transition'!D:D,'Step 2'!C1441,'Support - Transition'!E:E,"FIRE")</f>
        <v>4.7800000000000002E-4</v>
      </c>
      <c r="I1441" s="126">
        <f>IF(B1441="0",SUMIFS('Support - Transition'!F:F,'Support - Transition'!J:J,'Step 2'!D1441,'Support - Transition'!E:E,"STATE UNIT"),SUMIFS('Support - Transition'!F:F,'Support - Transition'!J:J,'Step 2'!D1441))</f>
        <v>3.1570000000000001E-3</v>
      </c>
      <c r="J1441" s="126">
        <f>SUMIFS('Support - Unit Adjustments'!E:E,'Support - Unit Adjustments'!F:F,'Step 2'!D1441)</f>
        <v>0</v>
      </c>
      <c r="K1441" s="126">
        <f t="shared" si="422"/>
        <v>3.1570000000000001E-3</v>
      </c>
      <c r="L1441" s="174">
        <f>VLOOKUP(A1441,'Step 1'!$A:$E,4,FALSE)</f>
        <v>406178</v>
      </c>
      <c r="M1441" s="47">
        <f t="shared" si="423"/>
        <v>1282</v>
      </c>
      <c r="N1441" s="177">
        <f>SUMIFS('Support - Transition'!G:G,'Support - Transition'!J:J,'Step 2'!D1441,'Support - Transition'!E:E,"2009 WELFARE ALLOCATION FACTOR")</f>
        <v>0</v>
      </c>
      <c r="O1441" s="152">
        <f t="shared" si="428"/>
        <v>0</v>
      </c>
      <c r="P1441" s="126">
        <f>IF(E1441="Y",0,SUMIFS('Support - Transition'!G:G,'Support - Transition'!J:J,'Step 2'!D1441,'Support - Transition'!E:E,"2009 SCHOOL ALLOCATION FACTOR"))</f>
        <v>0</v>
      </c>
      <c r="Q1441" s="126">
        <f>IF(E1441="Y",VLOOKUP(D1441,'Support - Unit Adjustments'!F:G,2,FALSE),0)</f>
        <v>0</v>
      </c>
      <c r="R1441" s="155">
        <f t="shared" si="440"/>
        <v>0</v>
      </c>
      <c r="S1441" s="47">
        <f t="shared" si="439"/>
        <v>0</v>
      </c>
      <c r="T1441" s="151">
        <f t="shared" si="424"/>
        <v>1282</v>
      </c>
      <c r="U1441" s="151">
        <f t="shared" si="425"/>
        <v>0</v>
      </c>
      <c r="V1441" s="139">
        <f t="shared" si="426"/>
        <v>0</v>
      </c>
      <c r="W1441" s="152">
        <f t="shared" si="429"/>
        <v>1282</v>
      </c>
      <c r="X1441" s="127" t="str">
        <f t="shared" si="427"/>
        <v/>
      </c>
      <c r="Y1441" s="207">
        <f t="shared" si="430"/>
        <v>1282</v>
      </c>
      <c r="Z1441" s="139">
        <f t="shared" si="431"/>
        <v>1088</v>
      </c>
      <c r="AA1441" s="139">
        <f t="shared" si="432"/>
        <v>194</v>
      </c>
      <c r="AC1441" s="47">
        <f t="shared" si="433"/>
        <v>641</v>
      </c>
      <c r="AD1441" s="47">
        <f t="shared" si="434"/>
        <v>544</v>
      </c>
      <c r="AE1441" s="47">
        <f t="shared" si="435"/>
        <v>97</v>
      </c>
      <c r="AG1441" s="47">
        <f t="shared" si="436"/>
        <v>641</v>
      </c>
      <c r="AH1441" s="47">
        <f t="shared" si="437"/>
        <v>544</v>
      </c>
      <c r="AI1441" s="208">
        <f t="shared" si="438"/>
        <v>97</v>
      </c>
    </row>
    <row r="1442" spans="1:35">
      <c r="A1442" t="s">
        <v>2131</v>
      </c>
      <c r="B1442" t="s">
        <v>3142</v>
      </c>
      <c r="C1442" t="s">
        <v>2196</v>
      </c>
      <c r="D1442" t="s">
        <v>4840</v>
      </c>
      <c r="F1442" t="s">
        <v>1111</v>
      </c>
      <c r="G1442" s="126">
        <f>SUMIFS('Support - Transition'!F:F,'Support - Transition'!B:B,'Step 2'!A1442,'Support - Transition'!C:C,'Step 2'!B1442,'Support - Transition'!D:D,'Step 2'!C1442,'Support - Transition'!E:E,"CIVIL")</f>
        <v>2.199E-3</v>
      </c>
      <c r="H1442" s="126">
        <f>SUMIFS('Support - Transition'!F:F,'Support - Transition'!B:B,'Step 2'!A1442,'Support - Transition'!C:C,'Step 2'!B1442,'Support - Transition'!D:D,'Step 2'!C1442,'Support - Transition'!E:E,"FIRE")</f>
        <v>9.7999999999999997E-4</v>
      </c>
      <c r="I1442" s="126">
        <f>IF(B1442="0",SUMIFS('Support - Transition'!F:F,'Support - Transition'!J:J,'Step 2'!D1442,'Support - Transition'!E:E,"STATE UNIT"),SUMIFS('Support - Transition'!F:F,'Support - Transition'!J:J,'Step 2'!D1442))</f>
        <v>3.179E-3</v>
      </c>
      <c r="J1442" s="126">
        <f>SUMIFS('Support - Unit Adjustments'!E:E,'Support - Unit Adjustments'!F:F,'Step 2'!D1442)</f>
        <v>0</v>
      </c>
      <c r="K1442" s="126">
        <f t="shared" si="422"/>
        <v>3.179E-3</v>
      </c>
      <c r="L1442" s="174">
        <f>VLOOKUP(A1442,'Step 1'!$A:$E,4,FALSE)</f>
        <v>406178</v>
      </c>
      <c r="M1442" s="47">
        <f t="shared" si="423"/>
        <v>1291</v>
      </c>
      <c r="N1442" s="177">
        <f>SUMIFS('Support - Transition'!G:G,'Support - Transition'!J:J,'Step 2'!D1442,'Support - Transition'!E:E,"2009 WELFARE ALLOCATION FACTOR")</f>
        <v>0</v>
      </c>
      <c r="O1442" s="152">
        <f t="shared" si="428"/>
        <v>0</v>
      </c>
      <c r="P1442" s="126">
        <f>IF(E1442="Y",0,SUMIFS('Support - Transition'!G:G,'Support - Transition'!J:J,'Step 2'!D1442,'Support - Transition'!E:E,"2009 SCHOOL ALLOCATION FACTOR"))</f>
        <v>0</v>
      </c>
      <c r="Q1442" s="126">
        <f>IF(E1442="Y",VLOOKUP(D1442,'Support - Unit Adjustments'!F:G,2,FALSE),0)</f>
        <v>0</v>
      </c>
      <c r="R1442" s="155">
        <f t="shared" si="440"/>
        <v>0</v>
      </c>
      <c r="S1442" s="47">
        <f t="shared" si="439"/>
        <v>0</v>
      </c>
      <c r="T1442" s="151">
        <f t="shared" si="424"/>
        <v>1291</v>
      </c>
      <c r="U1442" s="151">
        <f t="shared" si="425"/>
        <v>0</v>
      </c>
      <c r="V1442" s="139">
        <f t="shared" si="426"/>
        <v>0</v>
      </c>
      <c r="W1442" s="152">
        <f t="shared" si="429"/>
        <v>1291</v>
      </c>
      <c r="X1442" s="127" t="str">
        <f t="shared" si="427"/>
        <v/>
      </c>
      <c r="Y1442" s="207">
        <f t="shared" si="430"/>
        <v>1291</v>
      </c>
      <c r="Z1442" s="139">
        <f t="shared" si="431"/>
        <v>893</v>
      </c>
      <c r="AA1442" s="139">
        <f t="shared" si="432"/>
        <v>398</v>
      </c>
      <c r="AC1442" s="47">
        <f t="shared" si="433"/>
        <v>646</v>
      </c>
      <c r="AD1442" s="47">
        <f t="shared" si="434"/>
        <v>447</v>
      </c>
      <c r="AE1442" s="47">
        <f t="shared" si="435"/>
        <v>199</v>
      </c>
      <c r="AG1442" s="47">
        <f t="shared" si="436"/>
        <v>645</v>
      </c>
      <c r="AH1442" s="47">
        <f t="shared" si="437"/>
        <v>446</v>
      </c>
      <c r="AI1442" s="208">
        <f t="shared" si="438"/>
        <v>199</v>
      </c>
    </row>
    <row r="1443" spans="1:35">
      <c r="A1443" t="s">
        <v>2131</v>
      </c>
      <c r="B1443" t="s">
        <v>3155</v>
      </c>
      <c r="C1443" t="s">
        <v>2766</v>
      </c>
      <c r="D1443" t="s">
        <v>4841</v>
      </c>
      <c r="F1443" t="s">
        <v>1112</v>
      </c>
      <c r="G1443" s="126">
        <f>SUMIFS('Support - Transition'!F:F,'Support - Transition'!B:B,'Step 2'!A1443,'Support - Transition'!C:C,'Step 2'!B1443,'Support - Transition'!D:D,'Step 2'!C1443,'Support - Transition'!E:E,"CIVIL")</f>
        <v>0</v>
      </c>
      <c r="H1443" s="126">
        <f>SUMIFS('Support - Transition'!F:F,'Support - Transition'!B:B,'Step 2'!A1443,'Support - Transition'!C:C,'Step 2'!B1443,'Support - Transition'!D:D,'Step 2'!C1443,'Support - Transition'!E:E,"FIRE")</f>
        <v>0</v>
      </c>
      <c r="I1443" s="126">
        <f>IF(B1443="0",SUMIFS('Support - Transition'!F:F,'Support - Transition'!J:J,'Step 2'!D1443,'Support - Transition'!E:E,"STATE UNIT"),SUMIFS('Support - Transition'!F:F,'Support - Transition'!J:J,'Step 2'!D1443))</f>
        <v>7.3298000000000002E-2</v>
      </c>
      <c r="J1443" s="126">
        <f>SUMIFS('Support - Unit Adjustments'!E:E,'Support - Unit Adjustments'!F:F,'Step 2'!D1443)</f>
        <v>0</v>
      </c>
      <c r="K1443" s="126">
        <f t="shared" si="422"/>
        <v>7.3298000000000002E-2</v>
      </c>
      <c r="L1443" s="174">
        <f>VLOOKUP(A1443,'Step 1'!$A:$E,4,FALSE)</f>
        <v>406178</v>
      </c>
      <c r="M1443" s="47">
        <f t="shared" si="423"/>
        <v>29772</v>
      </c>
      <c r="N1443" s="177">
        <f>SUMIFS('Support - Transition'!G:G,'Support - Transition'!J:J,'Step 2'!D1443,'Support - Transition'!E:E,"2009 WELFARE ALLOCATION FACTOR")</f>
        <v>0</v>
      </c>
      <c r="O1443" s="152">
        <f t="shared" si="428"/>
        <v>0</v>
      </c>
      <c r="P1443" s="126">
        <f>IF(E1443="Y",0,SUMIFS('Support - Transition'!G:G,'Support - Transition'!J:J,'Step 2'!D1443,'Support - Transition'!E:E,"2009 SCHOOL ALLOCATION FACTOR"))</f>
        <v>0</v>
      </c>
      <c r="Q1443" s="126">
        <f>IF(E1443="Y",VLOOKUP(D1443,'Support - Unit Adjustments'!F:G,2,FALSE),0)</f>
        <v>0</v>
      </c>
      <c r="R1443" s="155">
        <f t="shared" si="440"/>
        <v>0</v>
      </c>
      <c r="S1443" s="47">
        <f t="shared" si="439"/>
        <v>0</v>
      </c>
      <c r="T1443" s="151">
        <f t="shared" si="424"/>
        <v>29772</v>
      </c>
      <c r="U1443" s="151">
        <f t="shared" si="425"/>
        <v>0</v>
      </c>
      <c r="V1443" s="139">
        <f t="shared" si="426"/>
        <v>0</v>
      </c>
      <c r="W1443" s="152">
        <f t="shared" si="429"/>
        <v>29772</v>
      </c>
      <c r="X1443" s="127" t="str">
        <f t="shared" si="427"/>
        <v/>
      </c>
      <c r="Y1443" s="207">
        <f t="shared" si="430"/>
        <v>29772</v>
      </c>
      <c r="Z1443" s="139">
        <f t="shared" si="431"/>
        <v>29772</v>
      </c>
      <c r="AA1443" s="139">
        <f t="shared" si="432"/>
        <v>0</v>
      </c>
      <c r="AC1443" s="47">
        <f t="shared" si="433"/>
        <v>14886</v>
      </c>
      <c r="AD1443" s="47">
        <f t="shared" si="434"/>
        <v>14886</v>
      </c>
      <c r="AE1443" s="47">
        <f t="shared" si="435"/>
        <v>0</v>
      </c>
      <c r="AG1443" s="47">
        <f t="shared" si="436"/>
        <v>14886</v>
      </c>
      <c r="AH1443" s="47">
        <f t="shared" si="437"/>
        <v>14886</v>
      </c>
      <c r="AI1443" s="208">
        <f t="shared" si="438"/>
        <v>0</v>
      </c>
    </row>
    <row r="1444" spans="1:35">
      <c r="A1444" t="s">
        <v>2131</v>
      </c>
      <c r="B1444" t="s">
        <v>3155</v>
      </c>
      <c r="C1444" t="s">
        <v>2767</v>
      </c>
      <c r="D1444" t="s">
        <v>4842</v>
      </c>
      <c r="F1444" t="s">
        <v>1113</v>
      </c>
      <c r="G1444" s="126">
        <f>SUMIFS('Support - Transition'!F:F,'Support - Transition'!B:B,'Step 2'!A1444,'Support - Transition'!C:C,'Step 2'!B1444,'Support - Transition'!D:D,'Step 2'!C1444,'Support - Transition'!E:E,"CIVIL")</f>
        <v>0</v>
      </c>
      <c r="H1444" s="126">
        <f>SUMIFS('Support - Transition'!F:F,'Support - Transition'!B:B,'Step 2'!A1444,'Support - Transition'!C:C,'Step 2'!B1444,'Support - Transition'!D:D,'Step 2'!C1444,'Support - Transition'!E:E,"FIRE")</f>
        <v>0</v>
      </c>
      <c r="I1444" s="126">
        <f>IF(B1444="0",SUMIFS('Support - Transition'!F:F,'Support - Transition'!J:J,'Step 2'!D1444,'Support - Transition'!E:E,"STATE UNIT"),SUMIFS('Support - Transition'!F:F,'Support - Transition'!J:J,'Step 2'!D1444))</f>
        <v>1.7298999999999998E-2</v>
      </c>
      <c r="J1444" s="126">
        <f>SUMIFS('Support - Unit Adjustments'!E:E,'Support - Unit Adjustments'!F:F,'Step 2'!D1444)</f>
        <v>0</v>
      </c>
      <c r="K1444" s="126">
        <f t="shared" si="422"/>
        <v>1.7298999999999998E-2</v>
      </c>
      <c r="L1444" s="174">
        <f>VLOOKUP(A1444,'Step 1'!$A:$E,4,FALSE)</f>
        <v>406178</v>
      </c>
      <c r="M1444" s="47">
        <f t="shared" si="423"/>
        <v>7026</v>
      </c>
      <c r="N1444" s="177">
        <f>SUMIFS('Support - Transition'!G:G,'Support - Transition'!J:J,'Step 2'!D1444,'Support - Transition'!E:E,"2009 WELFARE ALLOCATION FACTOR")</f>
        <v>0</v>
      </c>
      <c r="O1444" s="152">
        <f t="shared" si="428"/>
        <v>0</v>
      </c>
      <c r="P1444" s="126">
        <f>IF(E1444="Y",0,SUMIFS('Support - Transition'!G:G,'Support - Transition'!J:J,'Step 2'!D1444,'Support - Transition'!E:E,"2009 SCHOOL ALLOCATION FACTOR"))</f>
        <v>0</v>
      </c>
      <c r="Q1444" s="126">
        <f>IF(E1444="Y",VLOOKUP(D1444,'Support - Unit Adjustments'!F:G,2,FALSE),0)</f>
        <v>0</v>
      </c>
      <c r="R1444" s="155">
        <f t="shared" si="440"/>
        <v>0</v>
      </c>
      <c r="S1444" s="47">
        <f t="shared" si="439"/>
        <v>0</v>
      </c>
      <c r="T1444" s="151">
        <f t="shared" si="424"/>
        <v>7026</v>
      </c>
      <c r="U1444" s="151">
        <f t="shared" si="425"/>
        <v>0</v>
      </c>
      <c r="V1444" s="139">
        <f t="shared" si="426"/>
        <v>0</v>
      </c>
      <c r="W1444" s="152">
        <f t="shared" si="429"/>
        <v>7026</v>
      </c>
      <c r="X1444" s="127" t="str">
        <f t="shared" si="427"/>
        <v/>
      </c>
      <c r="Y1444" s="207">
        <f t="shared" si="430"/>
        <v>7026</v>
      </c>
      <c r="Z1444" s="139">
        <f t="shared" si="431"/>
        <v>7026</v>
      </c>
      <c r="AA1444" s="139">
        <f t="shared" si="432"/>
        <v>0</v>
      </c>
      <c r="AC1444" s="47">
        <f t="shared" si="433"/>
        <v>3513</v>
      </c>
      <c r="AD1444" s="47">
        <f t="shared" si="434"/>
        <v>3513</v>
      </c>
      <c r="AE1444" s="47">
        <f t="shared" si="435"/>
        <v>0</v>
      </c>
      <c r="AG1444" s="47">
        <f t="shared" si="436"/>
        <v>3513</v>
      </c>
      <c r="AH1444" s="47">
        <f t="shared" si="437"/>
        <v>3513</v>
      </c>
      <c r="AI1444" s="208">
        <f t="shared" si="438"/>
        <v>0</v>
      </c>
    </row>
    <row r="1445" spans="1:35">
      <c r="A1445" t="s">
        <v>2131</v>
      </c>
      <c r="B1445" t="s">
        <v>3155</v>
      </c>
      <c r="C1445" t="s">
        <v>2768</v>
      </c>
      <c r="D1445" t="s">
        <v>4843</v>
      </c>
      <c r="F1445" t="s">
        <v>1114</v>
      </c>
      <c r="G1445" s="126">
        <f>SUMIFS('Support - Transition'!F:F,'Support - Transition'!B:B,'Step 2'!A1445,'Support - Transition'!C:C,'Step 2'!B1445,'Support - Transition'!D:D,'Step 2'!C1445,'Support - Transition'!E:E,"CIVIL")</f>
        <v>0</v>
      </c>
      <c r="H1445" s="126">
        <f>SUMIFS('Support - Transition'!F:F,'Support - Transition'!B:B,'Step 2'!A1445,'Support - Transition'!C:C,'Step 2'!B1445,'Support - Transition'!D:D,'Step 2'!C1445,'Support - Transition'!E:E,"FIRE")</f>
        <v>0</v>
      </c>
      <c r="I1445" s="126">
        <f>IF(B1445="0",SUMIFS('Support - Transition'!F:F,'Support - Transition'!J:J,'Step 2'!D1445,'Support - Transition'!E:E,"STATE UNIT"),SUMIFS('Support - Transition'!F:F,'Support - Transition'!J:J,'Step 2'!D1445))</f>
        <v>9.6699999999999998E-4</v>
      </c>
      <c r="J1445" s="126">
        <f>SUMIFS('Support - Unit Adjustments'!E:E,'Support - Unit Adjustments'!F:F,'Step 2'!D1445)</f>
        <v>0</v>
      </c>
      <c r="K1445" s="126">
        <f t="shared" si="422"/>
        <v>9.6699999999999998E-4</v>
      </c>
      <c r="L1445" s="174">
        <f>VLOOKUP(A1445,'Step 1'!$A:$E,4,FALSE)</f>
        <v>406178</v>
      </c>
      <c r="M1445" s="47">
        <f t="shared" si="423"/>
        <v>393</v>
      </c>
      <c r="N1445" s="177">
        <f>SUMIFS('Support - Transition'!G:G,'Support - Transition'!J:J,'Step 2'!D1445,'Support - Transition'!E:E,"2009 WELFARE ALLOCATION FACTOR")</f>
        <v>0</v>
      </c>
      <c r="O1445" s="152">
        <f t="shared" si="428"/>
        <v>0</v>
      </c>
      <c r="P1445" s="126">
        <f>IF(E1445="Y",0,SUMIFS('Support - Transition'!G:G,'Support - Transition'!J:J,'Step 2'!D1445,'Support - Transition'!E:E,"2009 SCHOOL ALLOCATION FACTOR"))</f>
        <v>0</v>
      </c>
      <c r="Q1445" s="126">
        <f>IF(E1445="Y",VLOOKUP(D1445,'Support - Unit Adjustments'!F:G,2,FALSE),0)</f>
        <v>0</v>
      </c>
      <c r="R1445" s="155">
        <f t="shared" si="440"/>
        <v>0</v>
      </c>
      <c r="S1445" s="47">
        <f t="shared" si="439"/>
        <v>0</v>
      </c>
      <c r="T1445" s="151">
        <f t="shared" si="424"/>
        <v>393</v>
      </c>
      <c r="U1445" s="151">
        <f t="shared" si="425"/>
        <v>0</v>
      </c>
      <c r="V1445" s="139">
        <f t="shared" si="426"/>
        <v>0</v>
      </c>
      <c r="W1445" s="152">
        <f t="shared" si="429"/>
        <v>393</v>
      </c>
      <c r="X1445" s="127" t="str">
        <f t="shared" si="427"/>
        <v/>
      </c>
      <c r="Y1445" s="207">
        <f t="shared" si="430"/>
        <v>393</v>
      </c>
      <c r="Z1445" s="139">
        <f t="shared" si="431"/>
        <v>393</v>
      </c>
      <c r="AA1445" s="139">
        <f t="shared" si="432"/>
        <v>0</v>
      </c>
      <c r="AC1445" s="47">
        <f t="shared" si="433"/>
        <v>197</v>
      </c>
      <c r="AD1445" s="47">
        <f t="shared" si="434"/>
        <v>197</v>
      </c>
      <c r="AE1445" s="47">
        <f t="shared" si="435"/>
        <v>0</v>
      </c>
      <c r="AG1445" s="47">
        <f t="shared" si="436"/>
        <v>196</v>
      </c>
      <c r="AH1445" s="47">
        <f t="shared" si="437"/>
        <v>196</v>
      </c>
      <c r="AI1445" s="208">
        <f t="shared" si="438"/>
        <v>0</v>
      </c>
    </row>
    <row r="1446" spans="1:35">
      <c r="A1446" t="s">
        <v>2131</v>
      </c>
      <c r="B1446" t="s">
        <v>3160</v>
      </c>
      <c r="C1446" t="s">
        <v>2769</v>
      </c>
      <c r="D1446" t="s">
        <v>4844</v>
      </c>
      <c r="F1446" t="s">
        <v>4845</v>
      </c>
      <c r="G1446" s="126">
        <f>SUMIFS('Support - Transition'!F:F,'Support - Transition'!B:B,'Step 2'!A1446,'Support - Transition'!C:C,'Step 2'!B1446,'Support - Transition'!D:D,'Step 2'!C1446,'Support - Transition'!E:E,"CIVIL")</f>
        <v>0</v>
      </c>
      <c r="H1446" s="126">
        <f>SUMIFS('Support - Transition'!F:F,'Support - Transition'!B:B,'Step 2'!A1446,'Support - Transition'!C:C,'Step 2'!B1446,'Support - Transition'!D:D,'Step 2'!C1446,'Support - Transition'!E:E,"FIRE")</f>
        <v>0</v>
      </c>
      <c r="I1446" s="126">
        <f>IF(B1446="0",SUMIFS('Support - Transition'!F:F,'Support - Transition'!J:J,'Step 2'!D1446,'Support - Transition'!E:E,"STATE UNIT"),SUMIFS('Support - Transition'!F:F,'Support - Transition'!J:J,'Step 2'!D1446))</f>
        <v>0.37528099999999998</v>
      </c>
      <c r="J1446" s="126">
        <f>SUMIFS('Support - Unit Adjustments'!E:E,'Support - Unit Adjustments'!F:F,'Step 2'!D1446)</f>
        <v>0</v>
      </c>
      <c r="K1446" s="126">
        <f t="shared" si="422"/>
        <v>0.37528099999999998</v>
      </c>
      <c r="L1446" s="174">
        <f>VLOOKUP(A1446,'Step 1'!$A:$E,4,FALSE)</f>
        <v>406178</v>
      </c>
      <c r="M1446" s="47">
        <f t="shared" si="423"/>
        <v>152431</v>
      </c>
      <c r="N1446" s="177">
        <f>SUMIFS('Support - Transition'!G:G,'Support - Transition'!J:J,'Step 2'!D1446,'Support - Transition'!E:E,"2009 WELFARE ALLOCATION FACTOR")</f>
        <v>0</v>
      </c>
      <c r="O1446" s="152">
        <f t="shared" si="428"/>
        <v>0</v>
      </c>
      <c r="P1446" s="126">
        <f>IF(E1446="Y",0,SUMIFS('Support - Transition'!G:G,'Support - Transition'!J:J,'Step 2'!D1446,'Support - Transition'!E:E,"2009 SCHOOL ALLOCATION FACTOR"))</f>
        <v>0.36336299999999999</v>
      </c>
      <c r="Q1446" s="126">
        <f>IF(E1446="Y",VLOOKUP(D1446,'Support - Unit Adjustments'!F:G,2,FALSE),0)</f>
        <v>0</v>
      </c>
      <c r="R1446" s="155">
        <f t="shared" si="440"/>
        <v>0.36336299999999999</v>
      </c>
      <c r="S1446" s="47">
        <f t="shared" si="439"/>
        <v>55388</v>
      </c>
      <c r="T1446" s="151">
        <f t="shared" si="424"/>
        <v>97043</v>
      </c>
      <c r="U1446" s="151">
        <f t="shared" si="425"/>
        <v>0</v>
      </c>
      <c r="V1446" s="139">
        <f t="shared" si="426"/>
        <v>0</v>
      </c>
      <c r="W1446" s="152">
        <f t="shared" si="429"/>
        <v>97043</v>
      </c>
      <c r="X1446" s="127" t="str">
        <f t="shared" si="427"/>
        <v/>
      </c>
      <c r="Y1446" s="207">
        <f t="shared" si="430"/>
        <v>97043</v>
      </c>
      <c r="Z1446" s="139">
        <f t="shared" si="431"/>
        <v>97043</v>
      </c>
      <c r="AA1446" s="139">
        <f t="shared" si="432"/>
        <v>0</v>
      </c>
      <c r="AC1446" s="47">
        <f t="shared" si="433"/>
        <v>48522</v>
      </c>
      <c r="AD1446" s="47">
        <f t="shared" si="434"/>
        <v>48522</v>
      </c>
      <c r="AE1446" s="47">
        <f t="shared" si="435"/>
        <v>0</v>
      </c>
      <c r="AG1446" s="47">
        <f t="shared" si="436"/>
        <v>48521</v>
      </c>
      <c r="AH1446" s="47">
        <f t="shared" si="437"/>
        <v>48521</v>
      </c>
      <c r="AI1446" s="208">
        <f t="shared" si="438"/>
        <v>0</v>
      </c>
    </row>
    <row r="1447" spans="1:35">
      <c r="A1447" t="s">
        <v>2131</v>
      </c>
      <c r="B1447" t="s">
        <v>3160</v>
      </c>
      <c r="C1447" t="s">
        <v>2770</v>
      </c>
      <c r="D1447" t="s">
        <v>4846</v>
      </c>
      <c r="F1447" t="s">
        <v>1115</v>
      </c>
      <c r="G1447" s="126">
        <f>SUMIFS('Support - Transition'!F:F,'Support - Transition'!B:B,'Step 2'!A1447,'Support - Transition'!C:C,'Step 2'!B1447,'Support - Transition'!D:D,'Step 2'!C1447,'Support - Transition'!E:E,"CIVIL")</f>
        <v>0</v>
      </c>
      <c r="H1447" s="126">
        <f>SUMIFS('Support - Transition'!F:F,'Support - Transition'!B:B,'Step 2'!A1447,'Support - Transition'!C:C,'Step 2'!B1447,'Support - Transition'!D:D,'Step 2'!C1447,'Support - Transition'!E:E,"FIRE")</f>
        <v>0</v>
      </c>
      <c r="I1447" s="126">
        <f>IF(B1447="0",SUMIFS('Support - Transition'!F:F,'Support - Transition'!J:J,'Step 2'!D1447,'Support - Transition'!E:E,"STATE UNIT"),SUMIFS('Support - Transition'!F:F,'Support - Transition'!J:J,'Step 2'!D1447))</f>
        <v>0.24216399999999999</v>
      </c>
      <c r="J1447" s="126">
        <f>SUMIFS('Support - Unit Adjustments'!E:E,'Support - Unit Adjustments'!F:F,'Step 2'!D1447)</f>
        <v>0</v>
      </c>
      <c r="K1447" s="126">
        <f t="shared" si="422"/>
        <v>0.24216399999999999</v>
      </c>
      <c r="L1447" s="174">
        <f>VLOOKUP(A1447,'Step 1'!$A:$E,4,FALSE)</f>
        <v>406178</v>
      </c>
      <c r="M1447" s="47">
        <f t="shared" si="423"/>
        <v>98362</v>
      </c>
      <c r="N1447" s="177">
        <f>SUMIFS('Support - Transition'!G:G,'Support - Transition'!J:J,'Step 2'!D1447,'Support - Transition'!E:E,"2009 WELFARE ALLOCATION FACTOR")</f>
        <v>0</v>
      </c>
      <c r="O1447" s="152">
        <f t="shared" si="428"/>
        <v>0</v>
      </c>
      <c r="P1447" s="126">
        <f>IF(E1447="Y",0,SUMIFS('Support - Transition'!G:G,'Support - Transition'!J:J,'Step 2'!D1447,'Support - Transition'!E:E,"2009 SCHOOL ALLOCATION FACTOR"))</f>
        <v>0.34018300000000001</v>
      </c>
      <c r="Q1447" s="126">
        <f>IF(E1447="Y",VLOOKUP(D1447,'Support - Unit Adjustments'!F:G,2,FALSE),0)</f>
        <v>0</v>
      </c>
      <c r="R1447" s="155">
        <f t="shared" si="440"/>
        <v>0.34018300000000001</v>
      </c>
      <c r="S1447" s="47">
        <f t="shared" si="439"/>
        <v>33461</v>
      </c>
      <c r="T1447" s="151">
        <f t="shared" si="424"/>
        <v>64901</v>
      </c>
      <c r="U1447" s="151">
        <f t="shared" si="425"/>
        <v>0</v>
      </c>
      <c r="V1447" s="139">
        <f t="shared" si="426"/>
        <v>0</v>
      </c>
      <c r="W1447" s="152">
        <f t="shared" si="429"/>
        <v>64901</v>
      </c>
      <c r="X1447" s="127" t="str">
        <f t="shared" si="427"/>
        <v/>
      </c>
      <c r="Y1447" s="207">
        <f t="shared" si="430"/>
        <v>64901</v>
      </c>
      <c r="Z1447" s="139">
        <f t="shared" si="431"/>
        <v>64901</v>
      </c>
      <c r="AA1447" s="139">
        <f t="shared" si="432"/>
        <v>0</v>
      </c>
      <c r="AC1447" s="47">
        <f t="shared" si="433"/>
        <v>32451</v>
      </c>
      <c r="AD1447" s="47">
        <f t="shared" si="434"/>
        <v>32451</v>
      </c>
      <c r="AE1447" s="47">
        <f t="shared" si="435"/>
        <v>0</v>
      </c>
      <c r="AG1447" s="47">
        <f t="shared" si="436"/>
        <v>32450</v>
      </c>
      <c r="AH1447" s="47">
        <f t="shared" si="437"/>
        <v>32450</v>
      </c>
      <c r="AI1447" s="208">
        <f t="shared" si="438"/>
        <v>0</v>
      </c>
    </row>
    <row r="1448" spans="1:35">
      <c r="A1448" t="s">
        <v>2131</v>
      </c>
      <c r="B1448" t="s">
        <v>3166</v>
      </c>
      <c r="C1448" t="s">
        <v>2771</v>
      </c>
      <c r="D1448" t="s">
        <v>4847</v>
      </c>
      <c r="F1448" t="s">
        <v>1117</v>
      </c>
      <c r="G1448" s="126">
        <f>SUMIFS('Support - Transition'!F:F,'Support - Transition'!B:B,'Step 2'!A1448,'Support - Transition'!C:C,'Step 2'!B1448,'Support - Transition'!D:D,'Step 2'!C1448,'Support - Transition'!E:E,"CIVIL")</f>
        <v>0</v>
      </c>
      <c r="H1448" s="126">
        <f>SUMIFS('Support - Transition'!F:F,'Support - Transition'!B:B,'Step 2'!A1448,'Support - Transition'!C:C,'Step 2'!B1448,'Support - Transition'!D:D,'Step 2'!C1448,'Support - Transition'!E:E,"FIRE")</f>
        <v>0</v>
      </c>
      <c r="I1448" s="126">
        <f>IF(B1448="0",SUMIFS('Support - Transition'!F:F,'Support - Transition'!J:J,'Step 2'!D1448,'Support - Transition'!E:E,"STATE UNIT"),SUMIFS('Support - Transition'!F:F,'Support - Transition'!J:J,'Step 2'!D1448))</f>
        <v>2.4091999999999999E-2</v>
      </c>
      <c r="J1448" s="126">
        <f>SUMIFS('Support - Unit Adjustments'!E:E,'Support - Unit Adjustments'!F:F,'Step 2'!D1448)</f>
        <v>0</v>
      </c>
      <c r="K1448" s="126">
        <f t="shared" si="422"/>
        <v>2.4091999999999999E-2</v>
      </c>
      <c r="L1448" s="174">
        <f>VLOOKUP(A1448,'Step 1'!$A:$E,4,FALSE)</f>
        <v>406178</v>
      </c>
      <c r="M1448" s="47">
        <f t="shared" si="423"/>
        <v>9786</v>
      </c>
      <c r="N1448" s="177">
        <f>SUMIFS('Support - Transition'!G:G,'Support - Transition'!J:J,'Step 2'!D1448,'Support - Transition'!E:E,"2009 WELFARE ALLOCATION FACTOR")</f>
        <v>0</v>
      </c>
      <c r="O1448" s="152">
        <f t="shared" si="428"/>
        <v>0</v>
      </c>
      <c r="P1448" s="126">
        <f>IF(E1448="Y",0,SUMIFS('Support - Transition'!G:G,'Support - Transition'!J:J,'Step 2'!D1448,'Support - Transition'!E:E,"2009 SCHOOL ALLOCATION FACTOR"))</f>
        <v>0</v>
      </c>
      <c r="Q1448" s="126">
        <f>IF(E1448="Y",VLOOKUP(D1448,'Support - Unit Adjustments'!F:G,2,FALSE),0)</f>
        <v>0</v>
      </c>
      <c r="R1448" s="155">
        <f t="shared" si="440"/>
        <v>0</v>
      </c>
      <c r="S1448" s="47">
        <f t="shared" si="439"/>
        <v>0</v>
      </c>
      <c r="T1448" s="151">
        <f t="shared" si="424"/>
        <v>9786</v>
      </c>
      <c r="U1448" s="151">
        <f t="shared" si="425"/>
        <v>0</v>
      </c>
      <c r="V1448" s="139">
        <f t="shared" si="426"/>
        <v>0</v>
      </c>
      <c r="W1448" s="152">
        <f t="shared" si="429"/>
        <v>9786</v>
      </c>
      <c r="X1448" s="127" t="str">
        <f t="shared" si="427"/>
        <v/>
      </c>
      <c r="Y1448" s="207">
        <f t="shared" si="430"/>
        <v>9786</v>
      </c>
      <c r="Z1448" s="139">
        <f t="shared" si="431"/>
        <v>9786</v>
      </c>
      <c r="AA1448" s="139">
        <f t="shared" si="432"/>
        <v>0</v>
      </c>
      <c r="AC1448" s="47">
        <f t="shared" si="433"/>
        <v>4893</v>
      </c>
      <c r="AD1448" s="47">
        <f t="shared" si="434"/>
        <v>4893</v>
      </c>
      <c r="AE1448" s="47">
        <f t="shared" si="435"/>
        <v>0</v>
      </c>
      <c r="AG1448" s="47">
        <f t="shared" si="436"/>
        <v>4893</v>
      </c>
      <c r="AH1448" s="47">
        <f t="shared" si="437"/>
        <v>4893</v>
      </c>
      <c r="AI1448" s="208">
        <f t="shared" si="438"/>
        <v>0</v>
      </c>
    </row>
    <row r="1449" spans="1:35">
      <c r="A1449" t="s">
        <v>2131</v>
      </c>
      <c r="B1449" t="s">
        <v>3166</v>
      </c>
      <c r="C1449" t="s">
        <v>4848</v>
      </c>
      <c r="D1449" t="s">
        <v>4849</v>
      </c>
      <c r="F1449" t="s">
        <v>1118</v>
      </c>
      <c r="G1449" s="126">
        <f>SUMIFS('Support - Transition'!F:F,'Support - Transition'!B:B,'Step 2'!A1449,'Support - Transition'!C:C,'Step 2'!B1449,'Support - Transition'!D:D,'Step 2'!C1449,'Support - Transition'!E:E,"CIVIL")</f>
        <v>0</v>
      </c>
      <c r="H1449" s="126">
        <f>SUMIFS('Support - Transition'!F:F,'Support - Transition'!B:B,'Step 2'!A1449,'Support - Transition'!C:C,'Step 2'!B1449,'Support - Transition'!D:D,'Step 2'!C1449,'Support - Transition'!E:E,"FIRE")</f>
        <v>0</v>
      </c>
      <c r="I1449" s="126">
        <f>IF(B1449="0",SUMIFS('Support - Transition'!F:F,'Support - Transition'!J:J,'Step 2'!D1449,'Support - Transition'!E:E,"STATE UNIT"),SUMIFS('Support - Transition'!F:F,'Support - Transition'!J:J,'Step 2'!D1449))</f>
        <v>1.7847999999999999E-2</v>
      </c>
      <c r="J1449" s="126">
        <f>SUMIFS('Support - Unit Adjustments'!E:E,'Support - Unit Adjustments'!F:F,'Step 2'!D1449)</f>
        <v>0</v>
      </c>
      <c r="K1449" s="126">
        <f t="shared" si="422"/>
        <v>1.7847999999999999E-2</v>
      </c>
      <c r="L1449" s="174">
        <f>VLOOKUP(A1449,'Step 1'!$A:$E,4,FALSE)</f>
        <v>406178</v>
      </c>
      <c r="M1449" s="47">
        <f t="shared" si="423"/>
        <v>7249</v>
      </c>
      <c r="N1449" s="177">
        <f>SUMIFS('Support - Transition'!G:G,'Support - Transition'!J:J,'Step 2'!D1449,'Support - Transition'!E:E,"2009 WELFARE ALLOCATION FACTOR")</f>
        <v>0</v>
      </c>
      <c r="O1449" s="152">
        <f t="shared" si="428"/>
        <v>0</v>
      </c>
      <c r="P1449" s="126">
        <f>IF(E1449="Y",0,SUMIFS('Support - Transition'!G:G,'Support - Transition'!J:J,'Step 2'!D1449,'Support - Transition'!E:E,"2009 SCHOOL ALLOCATION FACTOR"))</f>
        <v>0</v>
      </c>
      <c r="Q1449" s="126">
        <f>IF(E1449="Y",VLOOKUP(D1449,'Support - Unit Adjustments'!F:G,2,FALSE),0)</f>
        <v>0</v>
      </c>
      <c r="R1449" s="155">
        <f t="shared" si="440"/>
        <v>0</v>
      </c>
      <c r="S1449" s="47">
        <f t="shared" si="439"/>
        <v>0</v>
      </c>
      <c r="T1449" s="151">
        <f t="shared" si="424"/>
        <v>7249</v>
      </c>
      <c r="U1449" s="151">
        <f t="shared" si="425"/>
        <v>0</v>
      </c>
      <c r="V1449" s="139">
        <f t="shared" si="426"/>
        <v>0</v>
      </c>
      <c r="W1449" s="152">
        <f t="shared" si="429"/>
        <v>7249</v>
      </c>
      <c r="X1449" s="127" t="str">
        <f t="shared" si="427"/>
        <v/>
      </c>
      <c r="Y1449" s="207">
        <f t="shared" si="430"/>
        <v>7249</v>
      </c>
      <c r="Z1449" s="139">
        <f t="shared" si="431"/>
        <v>7249</v>
      </c>
      <c r="AA1449" s="139">
        <f t="shared" si="432"/>
        <v>0</v>
      </c>
      <c r="AC1449" s="47">
        <f t="shared" si="433"/>
        <v>3625</v>
      </c>
      <c r="AD1449" s="47">
        <f t="shared" si="434"/>
        <v>3625</v>
      </c>
      <c r="AE1449" s="47">
        <f t="shared" si="435"/>
        <v>0</v>
      </c>
      <c r="AG1449" s="47">
        <f t="shared" si="436"/>
        <v>3624</v>
      </c>
      <c r="AH1449" s="47">
        <f t="shared" si="437"/>
        <v>3624</v>
      </c>
      <c r="AI1449" s="208">
        <f t="shared" si="438"/>
        <v>0</v>
      </c>
    </row>
    <row r="1450" spans="1:35">
      <c r="A1450" t="s">
        <v>2131</v>
      </c>
      <c r="B1450" t="s">
        <v>3170</v>
      </c>
      <c r="C1450" t="s">
        <v>4850</v>
      </c>
      <c r="D1450" t="s">
        <v>4851</v>
      </c>
      <c r="F1450" t="s">
        <v>4852</v>
      </c>
      <c r="G1450" s="126">
        <f>SUMIFS('Support - Transition'!F:F,'Support - Transition'!B:B,'Step 2'!A1450,'Support - Transition'!C:C,'Step 2'!B1450,'Support - Transition'!D:D,'Step 2'!C1450,'Support - Transition'!E:E,"CIVIL")</f>
        <v>0</v>
      </c>
      <c r="H1450" s="126">
        <f>SUMIFS('Support - Transition'!F:F,'Support - Transition'!B:B,'Step 2'!A1450,'Support - Transition'!C:C,'Step 2'!B1450,'Support - Transition'!D:D,'Step 2'!C1450,'Support - Transition'!E:E,"FIRE")</f>
        <v>0</v>
      </c>
      <c r="I1450" s="126">
        <f>IF(B1450="0",SUMIFS('Support - Transition'!F:F,'Support - Transition'!J:J,'Step 2'!D1450,'Support - Transition'!E:E,"STATE UNIT"),SUMIFS('Support - Transition'!F:F,'Support - Transition'!J:J,'Step 2'!D1450))</f>
        <v>2.4326E-2</v>
      </c>
      <c r="J1450" s="126">
        <f>SUMIFS('Support - Unit Adjustments'!E:E,'Support - Unit Adjustments'!F:F,'Step 2'!D1450)</f>
        <v>0</v>
      </c>
      <c r="K1450" s="126">
        <f t="shared" si="422"/>
        <v>2.4326E-2</v>
      </c>
      <c r="L1450" s="174">
        <f>VLOOKUP(A1450,'Step 1'!$A:$E,4,FALSE)</f>
        <v>406178</v>
      </c>
      <c r="M1450" s="47">
        <f t="shared" si="423"/>
        <v>9881</v>
      </c>
      <c r="N1450" s="177">
        <f>SUMIFS('Support - Transition'!G:G,'Support - Transition'!J:J,'Step 2'!D1450,'Support - Transition'!E:E,"2009 WELFARE ALLOCATION FACTOR")</f>
        <v>0</v>
      </c>
      <c r="O1450" s="152">
        <f t="shared" si="428"/>
        <v>0</v>
      </c>
      <c r="P1450" s="126">
        <f>IF(E1450="Y",0,SUMIFS('Support - Transition'!G:G,'Support - Transition'!J:J,'Step 2'!D1450,'Support - Transition'!E:E,"2009 SCHOOL ALLOCATION FACTOR"))</f>
        <v>0</v>
      </c>
      <c r="Q1450" s="126">
        <f>IF(E1450="Y",VLOOKUP(D1450,'Support - Unit Adjustments'!F:G,2,FALSE),0)</f>
        <v>0</v>
      </c>
      <c r="R1450" s="155">
        <f t="shared" si="440"/>
        <v>0</v>
      </c>
      <c r="S1450" s="47">
        <f t="shared" si="439"/>
        <v>0</v>
      </c>
      <c r="T1450" s="151">
        <f t="shared" si="424"/>
        <v>9881</v>
      </c>
      <c r="U1450" s="151">
        <f t="shared" si="425"/>
        <v>0</v>
      </c>
      <c r="V1450" s="139">
        <f t="shared" si="426"/>
        <v>0</v>
      </c>
      <c r="W1450" s="152">
        <f t="shared" si="429"/>
        <v>9881</v>
      </c>
      <c r="X1450" s="127" t="str">
        <f t="shared" si="427"/>
        <v/>
      </c>
      <c r="Y1450" s="207">
        <f t="shared" si="430"/>
        <v>9881</v>
      </c>
      <c r="Z1450" s="139">
        <f t="shared" si="431"/>
        <v>9881</v>
      </c>
      <c r="AA1450" s="139">
        <f t="shared" si="432"/>
        <v>0</v>
      </c>
      <c r="AC1450" s="47">
        <f t="shared" si="433"/>
        <v>4941</v>
      </c>
      <c r="AD1450" s="47">
        <f t="shared" si="434"/>
        <v>4941</v>
      </c>
      <c r="AE1450" s="47">
        <f t="shared" si="435"/>
        <v>0</v>
      </c>
      <c r="AG1450" s="47">
        <f t="shared" si="436"/>
        <v>4940</v>
      </c>
      <c r="AH1450" s="47">
        <f t="shared" si="437"/>
        <v>4940</v>
      </c>
      <c r="AI1450" s="208">
        <f t="shared" si="438"/>
        <v>0</v>
      </c>
    </row>
    <row r="1451" spans="1:35">
      <c r="A1451" t="s">
        <v>2132</v>
      </c>
      <c r="B1451" s="48" t="s">
        <v>6274</v>
      </c>
      <c r="C1451" t="s">
        <v>2187</v>
      </c>
      <c r="D1451" t="str">
        <f>A1451&amp;B1451&amp;C1451</f>
        <v>4800000</v>
      </c>
      <c r="F1451" t="s">
        <v>6322</v>
      </c>
      <c r="G1451" s="126">
        <f>SUMIFS('Support - Transition'!F:F,'Support - Transition'!B:B,'Step 2'!A1451,'Support - Transition'!C:C,'Step 2'!B1451,'Support - Transition'!D:D,'Step 2'!C1451,'Support - Transition'!E:E,"CIVIL")</f>
        <v>0</v>
      </c>
      <c r="H1451" s="126">
        <f>SUMIFS('Support - Transition'!F:F,'Support - Transition'!B:B,'Step 2'!A1451,'Support - Transition'!C:C,'Step 2'!B1451,'Support - Transition'!D:D,'Step 2'!C1451,'Support - Transition'!E:E,"FIRE")</f>
        <v>0</v>
      </c>
      <c r="I1451" s="126">
        <f>IF(B1451="0",SUMIFS('Support - Transition'!F:F,'Support - Transition'!J:J,'Step 2'!D1451,'Support - Transition'!E:E,"STATE UNIT"),SUMIFS('Support - Transition'!F:F,'Support - Transition'!J:J,'Step 2'!D1451))</f>
        <v>9.2100000000000005E-4</v>
      </c>
      <c r="J1451" s="126">
        <f>SUMIFS('Support - Unit Adjustments'!E:E,'Support - Unit Adjustments'!F:F,'Step 2'!D1451)</f>
        <v>0</v>
      </c>
      <c r="K1451" s="126">
        <f t="shared" si="422"/>
        <v>9.2100000000000005E-4</v>
      </c>
      <c r="L1451" s="174">
        <f>VLOOKUP(A1451,'Step 1'!$A:$E,4,FALSE)</f>
        <v>1222632</v>
      </c>
      <c r="M1451" s="47">
        <f t="shared" si="423"/>
        <v>1126</v>
      </c>
      <c r="N1451" s="177">
        <f>SUMIFS('Support - Transition'!G:G,'Support - Transition'!J:J,'Step 2'!D1451,'Support - Transition'!E:E,"2009 WELFARE ALLOCATION FACTOR")</f>
        <v>0</v>
      </c>
      <c r="O1451" s="152">
        <f t="shared" si="428"/>
        <v>0</v>
      </c>
      <c r="P1451" s="126">
        <f>IF(E1451="Y",0,SUMIFS('Support - Transition'!G:G,'Support - Transition'!J:J,'Step 2'!D1451,'Support - Transition'!E:E,"2009 SCHOOL ALLOCATION FACTOR"))</f>
        <v>0</v>
      </c>
      <c r="Q1451" s="126">
        <f>IF(E1451="Y",VLOOKUP(D1451,'Support - Unit Adjustments'!F:G,2,FALSE),0)</f>
        <v>0</v>
      </c>
      <c r="R1451" s="155">
        <f t="shared" si="440"/>
        <v>0</v>
      </c>
      <c r="S1451" s="47">
        <f t="shared" si="439"/>
        <v>0</v>
      </c>
      <c r="T1451" s="151">
        <f t="shared" si="424"/>
        <v>1126</v>
      </c>
      <c r="U1451" s="151">
        <f t="shared" si="425"/>
        <v>1222631</v>
      </c>
      <c r="V1451" s="139">
        <f t="shared" si="426"/>
        <v>-1</v>
      </c>
      <c r="W1451" s="152">
        <f t="shared" si="429"/>
        <v>1127</v>
      </c>
      <c r="X1451" s="127">
        <f t="shared" si="427"/>
        <v>0</v>
      </c>
      <c r="Y1451" s="207">
        <f t="shared" si="430"/>
        <v>1127</v>
      </c>
      <c r="Z1451" s="139">
        <f t="shared" si="431"/>
        <v>1127</v>
      </c>
      <c r="AA1451" s="139">
        <f t="shared" si="432"/>
        <v>0</v>
      </c>
      <c r="AC1451" s="47">
        <f t="shared" si="433"/>
        <v>564</v>
      </c>
      <c r="AD1451" s="47">
        <f t="shared" si="434"/>
        <v>564</v>
      </c>
      <c r="AE1451" s="47">
        <f t="shared" si="435"/>
        <v>0</v>
      </c>
      <c r="AG1451" s="47">
        <f t="shared" si="436"/>
        <v>563</v>
      </c>
      <c r="AH1451" s="47">
        <f t="shared" si="437"/>
        <v>563</v>
      </c>
      <c r="AI1451" s="208">
        <f t="shared" si="438"/>
        <v>0</v>
      </c>
    </row>
    <row r="1452" spans="1:35">
      <c r="A1452" t="s">
        <v>2132</v>
      </c>
      <c r="B1452" t="s">
        <v>3140</v>
      </c>
      <c r="C1452" t="s">
        <v>2187</v>
      </c>
      <c r="D1452" t="s">
        <v>4853</v>
      </c>
      <c r="F1452" t="s">
        <v>1121</v>
      </c>
      <c r="G1452" s="126">
        <f>SUMIFS('Support - Transition'!F:F,'Support - Transition'!B:B,'Step 2'!A1452,'Support - Transition'!C:C,'Step 2'!B1452,'Support - Transition'!D:D,'Step 2'!C1452,'Support - Transition'!E:E,"CIVIL")</f>
        <v>0</v>
      </c>
      <c r="H1452" s="126">
        <f>SUMIFS('Support - Transition'!F:F,'Support - Transition'!B:B,'Step 2'!A1452,'Support - Transition'!C:C,'Step 2'!B1452,'Support - Transition'!D:D,'Step 2'!C1452,'Support - Transition'!E:E,"FIRE")</f>
        <v>0</v>
      </c>
      <c r="I1452" s="126">
        <f>IF(B1452="0",SUMIFS('Support - Transition'!F:F,'Support - Transition'!J:J,'Step 2'!D1452,'Support - Transition'!E:E,"STATE UNIT"),SUMIFS('Support - Transition'!F:F,'Support - Transition'!J:J,'Step 2'!D1452))</f>
        <v>0.19403400000000001</v>
      </c>
      <c r="J1452" s="126">
        <f>SUMIFS('Support - Unit Adjustments'!E:E,'Support - Unit Adjustments'!F:F,'Step 2'!D1452)</f>
        <v>0</v>
      </c>
      <c r="K1452" s="126">
        <f t="shared" si="422"/>
        <v>0.19403400000000001</v>
      </c>
      <c r="L1452" s="174">
        <f>VLOOKUP(A1452,'Step 1'!$A:$E,4,FALSE)</f>
        <v>1222632</v>
      </c>
      <c r="M1452" s="47">
        <f t="shared" si="423"/>
        <v>237232</v>
      </c>
      <c r="N1452" s="177">
        <f>SUMIFS('Support - Transition'!G:G,'Support - Transition'!J:J,'Step 2'!D1452,'Support - Transition'!E:E,"2009 WELFARE ALLOCATION FACTOR")</f>
        <v>0.32717600000000002</v>
      </c>
      <c r="O1452" s="152">
        <f t="shared" si="428"/>
        <v>77617</v>
      </c>
      <c r="P1452" s="126">
        <f>IF(E1452="Y",0,SUMIFS('Support - Transition'!G:G,'Support - Transition'!J:J,'Step 2'!D1452,'Support - Transition'!E:E,"2009 SCHOOL ALLOCATION FACTOR"))</f>
        <v>0</v>
      </c>
      <c r="Q1452" s="126">
        <f>IF(E1452="Y",VLOOKUP(D1452,'Support - Unit Adjustments'!F:G,2,FALSE),0)</f>
        <v>0</v>
      </c>
      <c r="R1452" s="155">
        <f t="shared" si="440"/>
        <v>0</v>
      </c>
      <c r="S1452" s="47">
        <f t="shared" si="439"/>
        <v>0</v>
      </c>
      <c r="T1452" s="151">
        <f t="shared" si="424"/>
        <v>159615</v>
      </c>
      <c r="U1452" s="151">
        <f t="shared" si="425"/>
        <v>0</v>
      </c>
      <c r="V1452" s="139">
        <f t="shared" si="426"/>
        <v>0</v>
      </c>
      <c r="W1452" s="152">
        <f t="shared" si="429"/>
        <v>159615</v>
      </c>
      <c r="X1452" s="127" t="str">
        <f t="shared" si="427"/>
        <v/>
      </c>
      <c r="Y1452" s="207">
        <f t="shared" si="430"/>
        <v>159615</v>
      </c>
      <c r="Z1452" s="139">
        <f t="shared" si="431"/>
        <v>159615</v>
      </c>
      <c r="AA1452" s="139">
        <f t="shared" si="432"/>
        <v>0</v>
      </c>
      <c r="AC1452" s="47">
        <f t="shared" si="433"/>
        <v>79808</v>
      </c>
      <c r="AD1452" s="47">
        <f t="shared" si="434"/>
        <v>79808</v>
      </c>
      <c r="AE1452" s="47">
        <f t="shared" si="435"/>
        <v>0</v>
      </c>
      <c r="AG1452" s="47">
        <f t="shared" si="436"/>
        <v>79807</v>
      </c>
      <c r="AH1452" s="47">
        <f t="shared" si="437"/>
        <v>79807</v>
      </c>
      <c r="AI1452" s="208">
        <f t="shared" si="438"/>
        <v>0</v>
      </c>
    </row>
    <row r="1453" spans="1:35">
      <c r="A1453" t="s">
        <v>2132</v>
      </c>
      <c r="B1453" t="s">
        <v>3142</v>
      </c>
      <c r="C1453" t="s">
        <v>2188</v>
      </c>
      <c r="D1453" t="s">
        <v>4854</v>
      </c>
      <c r="F1453" t="s">
        <v>46</v>
      </c>
      <c r="G1453" s="126">
        <f>SUMIFS('Support - Transition'!F:F,'Support - Transition'!B:B,'Step 2'!A1453,'Support - Transition'!C:C,'Step 2'!B1453,'Support - Transition'!D:D,'Step 2'!C1453,'Support - Transition'!E:E,"CIVIL")</f>
        <v>8.7200000000000005E-4</v>
      </c>
      <c r="H1453" s="126">
        <f>SUMIFS('Support - Transition'!F:F,'Support - Transition'!B:B,'Step 2'!A1453,'Support - Transition'!C:C,'Step 2'!B1453,'Support - Transition'!D:D,'Step 2'!C1453,'Support - Transition'!E:E,"FIRE")</f>
        <v>9.7E-5</v>
      </c>
      <c r="I1453" s="126">
        <f>IF(B1453="0",SUMIFS('Support - Transition'!F:F,'Support - Transition'!J:J,'Step 2'!D1453,'Support - Transition'!E:E,"STATE UNIT"),SUMIFS('Support - Transition'!F:F,'Support - Transition'!J:J,'Step 2'!D1453))</f>
        <v>9.6900000000000003E-4</v>
      </c>
      <c r="J1453" s="126">
        <f>SUMIFS('Support - Unit Adjustments'!E:E,'Support - Unit Adjustments'!F:F,'Step 2'!D1453)</f>
        <v>0</v>
      </c>
      <c r="K1453" s="126">
        <f t="shared" si="422"/>
        <v>9.6900000000000003E-4</v>
      </c>
      <c r="L1453" s="174">
        <f>VLOOKUP(A1453,'Step 1'!$A:$E,4,FALSE)</f>
        <v>1222632</v>
      </c>
      <c r="M1453" s="47">
        <f t="shared" si="423"/>
        <v>1185</v>
      </c>
      <c r="N1453" s="177">
        <f>SUMIFS('Support - Transition'!G:G,'Support - Transition'!J:J,'Step 2'!D1453,'Support - Transition'!E:E,"2009 WELFARE ALLOCATION FACTOR")</f>
        <v>0</v>
      </c>
      <c r="O1453" s="152">
        <f t="shared" si="428"/>
        <v>0</v>
      </c>
      <c r="P1453" s="126">
        <f>IF(E1453="Y",0,SUMIFS('Support - Transition'!G:G,'Support - Transition'!J:J,'Step 2'!D1453,'Support - Transition'!E:E,"2009 SCHOOL ALLOCATION FACTOR"))</f>
        <v>0</v>
      </c>
      <c r="Q1453" s="126">
        <f>IF(E1453="Y",VLOOKUP(D1453,'Support - Unit Adjustments'!F:G,2,FALSE),0)</f>
        <v>0</v>
      </c>
      <c r="R1453" s="155">
        <f t="shared" si="440"/>
        <v>0</v>
      </c>
      <c r="S1453" s="47">
        <f t="shared" si="439"/>
        <v>0</v>
      </c>
      <c r="T1453" s="151">
        <f t="shared" si="424"/>
        <v>1185</v>
      </c>
      <c r="U1453" s="151">
        <f t="shared" si="425"/>
        <v>0</v>
      </c>
      <c r="V1453" s="139">
        <f t="shared" si="426"/>
        <v>0</v>
      </c>
      <c r="W1453" s="152">
        <f t="shared" si="429"/>
        <v>1185</v>
      </c>
      <c r="X1453" s="127" t="str">
        <f t="shared" si="427"/>
        <v/>
      </c>
      <c r="Y1453" s="207">
        <f t="shared" si="430"/>
        <v>1185</v>
      </c>
      <c r="Z1453" s="139">
        <f t="shared" si="431"/>
        <v>1066</v>
      </c>
      <c r="AA1453" s="139">
        <f t="shared" si="432"/>
        <v>119</v>
      </c>
      <c r="AC1453" s="47">
        <f t="shared" si="433"/>
        <v>593</v>
      </c>
      <c r="AD1453" s="47">
        <f t="shared" si="434"/>
        <v>533</v>
      </c>
      <c r="AE1453" s="47">
        <f t="shared" si="435"/>
        <v>60</v>
      </c>
      <c r="AG1453" s="47">
        <f t="shared" si="436"/>
        <v>592</v>
      </c>
      <c r="AH1453" s="47">
        <f t="shared" si="437"/>
        <v>533</v>
      </c>
      <c r="AI1453" s="208">
        <f t="shared" si="438"/>
        <v>59</v>
      </c>
    </row>
    <row r="1454" spans="1:35">
      <c r="A1454" t="s">
        <v>2132</v>
      </c>
      <c r="B1454" t="s">
        <v>3142</v>
      </c>
      <c r="C1454" t="s">
        <v>2189</v>
      </c>
      <c r="D1454" t="s">
        <v>4855</v>
      </c>
      <c r="F1454" t="s">
        <v>1122</v>
      </c>
      <c r="G1454" s="126">
        <f>SUMIFS('Support - Transition'!F:F,'Support - Transition'!B:B,'Step 2'!A1454,'Support - Transition'!C:C,'Step 2'!B1454,'Support - Transition'!D:D,'Step 2'!C1454,'Support - Transition'!E:E,"CIVIL")</f>
        <v>3.0379999999999999E-3</v>
      </c>
      <c r="H1454" s="126">
        <f>SUMIFS('Support - Transition'!F:F,'Support - Transition'!B:B,'Step 2'!A1454,'Support - Transition'!C:C,'Step 2'!B1454,'Support - Transition'!D:D,'Step 2'!C1454,'Support - Transition'!E:E,"FIRE")</f>
        <v>0</v>
      </c>
      <c r="I1454" s="126">
        <f>IF(B1454="0",SUMIFS('Support - Transition'!F:F,'Support - Transition'!J:J,'Step 2'!D1454,'Support - Transition'!E:E,"STATE UNIT"),SUMIFS('Support - Transition'!F:F,'Support - Transition'!J:J,'Step 2'!D1454))</f>
        <v>3.0379999999999999E-3</v>
      </c>
      <c r="J1454" s="126">
        <f>SUMIFS('Support - Unit Adjustments'!E:E,'Support - Unit Adjustments'!F:F,'Step 2'!D1454)</f>
        <v>0</v>
      </c>
      <c r="K1454" s="126">
        <f t="shared" si="422"/>
        <v>3.0379999999999999E-3</v>
      </c>
      <c r="L1454" s="174">
        <f>VLOOKUP(A1454,'Step 1'!$A:$E,4,FALSE)</f>
        <v>1222632</v>
      </c>
      <c r="M1454" s="47">
        <f t="shared" si="423"/>
        <v>3714</v>
      </c>
      <c r="N1454" s="177">
        <f>SUMIFS('Support - Transition'!G:G,'Support - Transition'!J:J,'Step 2'!D1454,'Support - Transition'!E:E,"2009 WELFARE ALLOCATION FACTOR")</f>
        <v>0</v>
      </c>
      <c r="O1454" s="152">
        <f t="shared" si="428"/>
        <v>0</v>
      </c>
      <c r="P1454" s="126">
        <f>IF(E1454="Y",0,SUMIFS('Support - Transition'!G:G,'Support - Transition'!J:J,'Step 2'!D1454,'Support - Transition'!E:E,"2009 SCHOOL ALLOCATION FACTOR"))</f>
        <v>0</v>
      </c>
      <c r="Q1454" s="126">
        <f>IF(E1454="Y",VLOOKUP(D1454,'Support - Unit Adjustments'!F:G,2,FALSE),0)</f>
        <v>0</v>
      </c>
      <c r="R1454" s="155">
        <f t="shared" si="440"/>
        <v>0</v>
      </c>
      <c r="S1454" s="47">
        <f t="shared" si="439"/>
        <v>0</v>
      </c>
      <c r="T1454" s="151">
        <f t="shared" si="424"/>
        <v>3714</v>
      </c>
      <c r="U1454" s="151">
        <f t="shared" si="425"/>
        <v>0</v>
      </c>
      <c r="V1454" s="139">
        <f t="shared" si="426"/>
        <v>0</v>
      </c>
      <c r="W1454" s="152">
        <f t="shared" si="429"/>
        <v>3714</v>
      </c>
      <c r="X1454" s="127" t="str">
        <f t="shared" si="427"/>
        <v/>
      </c>
      <c r="Y1454" s="207">
        <f t="shared" si="430"/>
        <v>3714</v>
      </c>
      <c r="Z1454" s="139">
        <f t="shared" si="431"/>
        <v>3714</v>
      </c>
      <c r="AA1454" s="139">
        <f t="shared" si="432"/>
        <v>0</v>
      </c>
      <c r="AC1454" s="47">
        <f t="shared" si="433"/>
        <v>1857</v>
      </c>
      <c r="AD1454" s="47">
        <f t="shared" si="434"/>
        <v>1857</v>
      </c>
      <c r="AE1454" s="47">
        <f t="shared" si="435"/>
        <v>0</v>
      </c>
      <c r="AG1454" s="47">
        <f t="shared" si="436"/>
        <v>1857</v>
      </c>
      <c r="AH1454" s="47">
        <f t="shared" si="437"/>
        <v>1857</v>
      </c>
      <c r="AI1454" s="208">
        <f t="shared" si="438"/>
        <v>0</v>
      </c>
    </row>
    <row r="1455" spans="1:35">
      <c r="A1455" t="s">
        <v>2132</v>
      </c>
      <c r="B1455" t="s">
        <v>3142</v>
      </c>
      <c r="C1455" t="s">
        <v>2190</v>
      </c>
      <c r="D1455" t="s">
        <v>4856</v>
      </c>
      <c r="F1455" t="s">
        <v>200</v>
      </c>
      <c r="G1455" s="126">
        <f>SUMIFS('Support - Transition'!F:F,'Support - Transition'!B:B,'Step 2'!A1455,'Support - Transition'!C:C,'Step 2'!B1455,'Support - Transition'!D:D,'Step 2'!C1455,'Support - Transition'!E:E,"CIVIL")</f>
        <v>2.03E-4</v>
      </c>
      <c r="H1455" s="126">
        <f>SUMIFS('Support - Transition'!F:F,'Support - Transition'!B:B,'Step 2'!A1455,'Support - Transition'!C:C,'Step 2'!B1455,'Support - Transition'!D:D,'Step 2'!C1455,'Support - Transition'!E:E,"FIRE")</f>
        <v>1.2999999999999999E-4</v>
      </c>
      <c r="I1455" s="126">
        <f>IF(B1455="0",SUMIFS('Support - Transition'!F:F,'Support - Transition'!J:J,'Step 2'!D1455,'Support - Transition'!E:E,"STATE UNIT"),SUMIFS('Support - Transition'!F:F,'Support - Transition'!J:J,'Step 2'!D1455))</f>
        <v>3.3299999999999996E-4</v>
      </c>
      <c r="J1455" s="126">
        <f>SUMIFS('Support - Unit Adjustments'!E:E,'Support - Unit Adjustments'!F:F,'Step 2'!D1455)</f>
        <v>0</v>
      </c>
      <c r="K1455" s="126">
        <f t="shared" si="422"/>
        <v>3.3299999999999996E-4</v>
      </c>
      <c r="L1455" s="174">
        <f>VLOOKUP(A1455,'Step 1'!$A:$E,4,FALSE)</f>
        <v>1222632</v>
      </c>
      <c r="M1455" s="47">
        <f t="shared" si="423"/>
        <v>407</v>
      </c>
      <c r="N1455" s="177">
        <f>SUMIFS('Support - Transition'!G:G,'Support - Transition'!J:J,'Step 2'!D1455,'Support - Transition'!E:E,"2009 WELFARE ALLOCATION FACTOR")</f>
        <v>0</v>
      </c>
      <c r="O1455" s="152">
        <f t="shared" si="428"/>
        <v>0</v>
      </c>
      <c r="P1455" s="126">
        <f>IF(E1455="Y",0,SUMIFS('Support - Transition'!G:G,'Support - Transition'!J:J,'Step 2'!D1455,'Support - Transition'!E:E,"2009 SCHOOL ALLOCATION FACTOR"))</f>
        <v>0</v>
      </c>
      <c r="Q1455" s="126">
        <f>IF(E1455="Y",VLOOKUP(D1455,'Support - Unit Adjustments'!F:G,2,FALSE),0)</f>
        <v>0</v>
      </c>
      <c r="R1455" s="155">
        <f t="shared" si="440"/>
        <v>0</v>
      </c>
      <c r="S1455" s="47">
        <f t="shared" si="439"/>
        <v>0</v>
      </c>
      <c r="T1455" s="151">
        <f t="shared" si="424"/>
        <v>407</v>
      </c>
      <c r="U1455" s="151">
        <f t="shared" si="425"/>
        <v>0</v>
      </c>
      <c r="V1455" s="139">
        <f t="shared" si="426"/>
        <v>0</v>
      </c>
      <c r="W1455" s="152">
        <f t="shared" si="429"/>
        <v>407</v>
      </c>
      <c r="X1455" s="127" t="str">
        <f t="shared" si="427"/>
        <v/>
      </c>
      <c r="Y1455" s="207">
        <f t="shared" si="430"/>
        <v>407</v>
      </c>
      <c r="Z1455" s="139">
        <f t="shared" si="431"/>
        <v>248</v>
      </c>
      <c r="AA1455" s="139">
        <f t="shared" si="432"/>
        <v>159</v>
      </c>
      <c r="AC1455" s="47">
        <f t="shared" si="433"/>
        <v>204</v>
      </c>
      <c r="AD1455" s="47">
        <f t="shared" si="434"/>
        <v>124</v>
      </c>
      <c r="AE1455" s="47">
        <f t="shared" si="435"/>
        <v>80</v>
      </c>
      <c r="AG1455" s="47">
        <f t="shared" si="436"/>
        <v>203</v>
      </c>
      <c r="AH1455" s="47">
        <f t="shared" si="437"/>
        <v>124</v>
      </c>
      <c r="AI1455" s="208">
        <f t="shared" si="438"/>
        <v>79</v>
      </c>
    </row>
    <row r="1456" spans="1:35">
      <c r="A1456" t="s">
        <v>2132</v>
      </c>
      <c r="B1456" t="s">
        <v>3142</v>
      </c>
      <c r="C1456" t="s">
        <v>2191</v>
      </c>
      <c r="D1456" t="s">
        <v>4857</v>
      </c>
      <c r="F1456" t="s">
        <v>1123</v>
      </c>
      <c r="G1456" s="126">
        <f>SUMIFS('Support - Transition'!F:F,'Support - Transition'!B:B,'Step 2'!A1456,'Support - Transition'!C:C,'Step 2'!B1456,'Support - Transition'!D:D,'Step 2'!C1456,'Support - Transition'!E:E,"CIVIL")</f>
        <v>3.4699999999999998E-4</v>
      </c>
      <c r="H1456" s="126">
        <f>SUMIFS('Support - Transition'!F:F,'Support - Transition'!B:B,'Step 2'!A1456,'Support - Transition'!C:C,'Step 2'!B1456,'Support - Transition'!D:D,'Step 2'!C1456,'Support - Transition'!E:E,"FIRE")</f>
        <v>4.6700000000000002E-4</v>
      </c>
      <c r="I1456" s="126">
        <f>IF(B1456="0",SUMIFS('Support - Transition'!F:F,'Support - Transition'!J:J,'Step 2'!D1456,'Support - Transition'!E:E,"STATE UNIT"),SUMIFS('Support - Transition'!F:F,'Support - Transition'!J:J,'Step 2'!D1456))</f>
        <v>8.1400000000000005E-4</v>
      </c>
      <c r="J1456" s="126">
        <f>SUMIFS('Support - Unit Adjustments'!E:E,'Support - Unit Adjustments'!F:F,'Step 2'!D1456)</f>
        <v>0</v>
      </c>
      <c r="K1456" s="126">
        <f t="shared" si="422"/>
        <v>8.1400000000000005E-4</v>
      </c>
      <c r="L1456" s="174">
        <f>VLOOKUP(A1456,'Step 1'!$A:$E,4,FALSE)</f>
        <v>1222632</v>
      </c>
      <c r="M1456" s="47">
        <f t="shared" si="423"/>
        <v>995</v>
      </c>
      <c r="N1456" s="177">
        <f>SUMIFS('Support - Transition'!G:G,'Support - Transition'!J:J,'Step 2'!D1456,'Support - Transition'!E:E,"2009 WELFARE ALLOCATION FACTOR")</f>
        <v>0</v>
      </c>
      <c r="O1456" s="152">
        <f t="shared" si="428"/>
        <v>0</v>
      </c>
      <c r="P1456" s="126">
        <f>IF(E1456="Y",0,SUMIFS('Support - Transition'!G:G,'Support - Transition'!J:J,'Step 2'!D1456,'Support - Transition'!E:E,"2009 SCHOOL ALLOCATION FACTOR"))</f>
        <v>0</v>
      </c>
      <c r="Q1456" s="126">
        <f>IF(E1456="Y",VLOOKUP(D1456,'Support - Unit Adjustments'!F:G,2,FALSE),0)</f>
        <v>0</v>
      </c>
      <c r="R1456" s="155">
        <f t="shared" si="440"/>
        <v>0</v>
      </c>
      <c r="S1456" s="47">
        <f t="shared" si="439"/>
        <v>0</v>
      </c>
      <c r="T1456" s="151">
        <f t="shared" si="424"/>
        <v>995</v>
      </c>
      <c r="U1456" s="151">
        <f t="shared" si="425"/>
        <v>0</v>
      </c>
      <c r="V1456" s="139">
        <f t="shared" si="426"/>
        <v>0</v>
      </c>
      <c r="W1456" s="152">
        <f t="shared" si="429"/>
        <v>995</v>
      </c>
      <c r="X1456" s="127" t="str">
        <f t="shared" si="427"/>
        <v/>
      </c>
      <c r="Y1456" s="207">
        <f t="shared" si="430"/>
        <v>995</v>
      </c>
      <c r="Z1456" s="139">
        <f t="shared" si="431"/>
        <v>424</v>
      </c>
      <c r="AA1456" s="139">
        <f t="shared" si="432"/>
        <v>571</v>
      </c>
      <c r="AC1456" s="47">
        <f t="shared" si="433"/>
        <v>498</v>
      </c>
      <c r="AD1456" s="47">
        <f t="shared" si="434"/>
        <v>212</v>
      </c>
      <c r="AE1456" s="47">
        <f t="shared" si="435"/>
        <v>286</v>
      </c>
      <c r="AG1456" s="47">
        <f t="shared" si="436"/>
        <v>497</v>
      </c>
      <c r="AH1456" s="47">
        <f t="shared" si="437"/>
        <v>212</v>
      </c>
      <c r="AI1456" s="208">
        <f t="shared" si="438"/>
        <v>285</v>
      </c>
    </row>
    <row r="1457" spans="1:35">
      <c r="A1457" t="s">
        <v>2132</v>
      </c>
      <c r="B1457" t="s">
        <v>3142</v>
      </c>
      <c r="C1457" t="s">
        <v>2192</v>
      </c>
      <c r="D1457" t="s">
        <v>4858</v>
      </c>
      <c r="F1457" t="s">
        <v>647</v>
      </c>
      <c r="G1457" s="126">
        <f>SUMIFS('Support - Transition'!F:F,'Support - Transition'!B:B,'Step 2'!A1457,'Support - Transition'!C:C,'Step 2'!B1457,'Support - Transition'!D:D,'Step 2'!C1457,'Support - Transition'!E:E,"CIVIL")</f>
        <v>1.6200000000000001E-4</v>
      </c>
      <c r="H1457" s="126">
        <f>SUMIFS('Support - Transition'!F:F,'Support - Transition'!B:B,'Step 2'!A1457,'Support - Transition'!C:C,'Step 2'!B1457,'Support - Transition'!D:D,'Step 2'!C1457,'Support - Transition'!E:E,"FIRE")</f>
        <v>2.0100000000000001E-4</v>
      </c>
      <c r="I1457" s="126">
        <f>IF(B1457="0",SUMIFS('Support - Transition'!F:F,'Support - Transition'!J:J,'Step 2'!D1457,'Support - Transition'!E:E,"STATE UNIT"),SUMIFS('Support - Transition'!F:F,'Support - Transition'!J:J,'Step 2'!D1457))</f>
        <v>3.6300000000000004E-4</v>
      </c>
      <c r="J1457" s="126">
        <f>SUMIFS('Support - Unit Adjustments'!E:E,'Support - Unit Adjustments'!F:F,'Step 2'!D1457)</f>
        <v>0</v>
      </c>
      <c r="K1457" s="126">
        <f t="shared" si="422"/>
        <v>3.6300000000000004E-4</v>
      </c>
      <c r="L1457" s="174">
        <f>VLOOKUP(A1457,'Step 1'!$A:$E,4,FALSE)</f>
        <v>1222632</v>
      </c>
      <c r="M1457" s="47">
        <f t="shared" si="423"/>
        <v>444</v>
      </c>
      <c r="N1457" s="177">
        <f>SUMIFS('Support - Transition'!G:G,'Support - Transition'!J:J,'Step 2'!D1457,'Support - Transition'!E:E,"2009 WELFARE ALLOCATION FACTOR")</f>
        <v>0</v>
      </c>
      <c r="O1457" s="152">
        <f t="shared" si="428"/>
        <v>0</v>
      </c>
      <c r="P1457" s="126">
        <f>IF(E1457="Y",0,SUMIFS('Support - Transition'!G:G,'Support - Transition'!J:J,'Step 2'!D1457,'Support - Transition'!E:E,"2009 SCHOOL ALLOCATION FACTOR"))</f>
        <v>0</v>
      </c>
      <c r="Q1457" s="126">
        <f>IF(E1457="Y",VLOOKUP(D1457,'Support - Unit Adjustments'!F:G,2,FALSE),0)</f>
        <v>0</v>
      </c>
      <c r="R1457" s="155">
        <f t="shared" si="440"/>
        <v>0</v>
      </c>
      <c r="S1457" s="47">
        <f t="shared" si="439"/>
        <v>0</v>
      </c>
      <c r="T1457" s="151">
        <f t="shared" si="424"/>
        <v>444</v>
      </c>
      <c r="U1457" s="151">
        <f t="shared" si="425"/>
        <v>0</v>
      </c>
      <c r="V1457" s="139">
        <f t="shared" si="426"/>
        <v>0</v>
      </c>
      <c r="W1457" s="152">
        <f t="shared" si="429"/>
        <v>444</v>
      </c>
      <c r="X1457" s="127" t="str">
        <f t="shared" si="427"/>
        <v/>
      </c>
      <c r="Y1457" s="207">
        <f t="shared" si="430"/>
        <v>444</v>
      </c>
      <c r="Z1457" s="139">
        <f t="shared" si="431"/>
        <v>198</v>
      </c>
      <c r="AA1457" s="139">
        <f t="shared" si="432"/>
        <v>246</v>
      </c>
      <c r="AC1457" s="47">
        <f t="shared" si="433"/>
        <v>222</v>
      </c>
      <c r="AD1457" s="47">
        <f t="shared" si="434"/>
        <v>99</v>
      </c>
      <c r="AE1457" s="47">
        <f t="shared" si="435"/>
        <v>123</v>
      </c>
      <c r="AG1457" s="47">
        <f t="shared" si="436"/>
        <v>222</v>
      </c>
      <c r="AH1457" s="47">
        <f t="shared" si="437"/>
        <v>99</v>
      </c>
      <c r="AI1457" s="208">
        <f t="shared" si="438"/>
        <v>123</v>
      </c>
    </row>
    <row r="1458" spans="1:35">
      <c r="A1458" t="s">
        <v>2132</v>
      </c>
      <c r="B1458" t="s">
        <v>3142</v>
      </c>
      <c r="C1458" t="s">
        <v>2193</v>
      </c>
      <c r="D1458" t="s">
        <v>4859</v>
      </c>
      <c r="F1458" t="s">
        <v>593</v>
      </c>
      <c r="G1458" s="126">
        <f>SUMIFS('Support - Transition'!F:F,'Support - Transition'!B:B,'Step 2'!A1458,'Support - Transition'!C:C,'Step 2'!B1458,'Support - Transition'!D:D,'Step 2'!C1458,'Support - Transition'!E:E,"CIVIL")</f>
        <v>1.9100000000000001E-4</v>
      </c>
      <c r="H1458" s="126">
        <f>SUMIFS('Support - Transition'!F:F,'Support - Transition'!B:B,'Step 2'!A1458,'Support - Transition'!C:C,'Step 2'!B1458,'Support - Transition'!D:D,'Step 2'!C1458,'Support - Transition'!E:E,"FIRE")</f>
        <v>2.7900000000000001E-4</v>
      </c>
      <c r="I1458" s="126">
        <f>IF(B1458="0",SUMIFS('Support - Transition'!F:F,'Support - Transition'!J:J,'Step 2'!D1458,'Support - Transition'!E:E,"STATE UNIT"),SUMIFS('Support - Transition'!F:F,'Support - Transition'!J:J,'Step 2'!D1458))</f>
        <v>4.7000000000000004E-4</v>
      </c>
      <c r="J1458" s="126">
        <f>SUMIFS('Support - Unit Adjustments'!E:E,'Support - Unit Adjustments'!F:F,'Step 2'!D1458)</f>
        <v>0</v>
      </c>
      <c r="K1458" s="126">
        <f t="shared" si="422"/>
        <v>4.7000000000000004E-4</v>
      </c>
      <c r="L1458" s="174">
        <f>VLOOKUP(A1458,'Step 1'!$A:$E,4,FALSE)</f>
        <v>1222632</v>
      </c>
      <c r="M1458" s="47">
        <f t="shared" si="423"/>
        <v>575</v>
      </c>
      <c r="N1458" s="177">
        <f>SUMIFS('Support - Transition'!G:G,'Support - Transition'!J:J,'Step 2'!D1458,'Support - Transition'!E:E,"2009 WELFARE ALLOCATION FACTOR")</f>
        <v>0</v>
      </c>
      <c r="O1458" s="152">
        <f t="shared" si="428"/>
        <v>0</v>
      </c>
      <c r="P1458" s="126">
        <f>IF(E1458="Y",0,SUMIFS('Support - Transition'!G:G,'Support - Transition'!J:J,'Step 2'!D1458,'Support - Transition'!E:E,"2009 SCHOOL ALLOCATION FACTOR"))</f>
        <v>0</v>
      </c>
      <c r="Q1458" s="126">
        <f>IF(E1458="Y",VLOOKUP(D1458,'Support - Unit Adjustments'!F:G,2,FALSE),0)</f>
        <v>0</v>
      </c>
      <c r="R1458" s="155">
        <f t="shared" si="440"/>
        <v>0</v>
      </c>
      <c r="S1458" s="47">
        <f t="shared" si="439"/>
        <v>0</v>
      </c>
      <c r="T1458" s="151">
        <f t="shared" si="424"/>
        <v>575</v>
      </c>
      <c r="U1458" s="151">
        <f t="shared" si="425"/>
        <v>0</v>
      </c>
      <c r="V1458" s="139">
        <f t="shared" si="426"/>
        <v>0</v>
      </c>
      <c r="W1458" s="152">
        <f t="shared" si="429"/>
        <v>575</v>
      </c>
      <c r="X1458" s="127" t="str">
        <f t="shared" si="427"/>
        <v/>
      </c>
      <c r="Y1458" s="207">
        <f t="shared" si="430"/>
        <v>575</v>
      </c>
      <c r="Z1458" s="139">
        <f t="shared" si="431"/>
        <v>234</v>
      </c>
      <c r="AA1458" s="139">
        <f t="shared" si="432"/>
        <v>341</v>
      </c>
      <c r="AC1458" s="47">
        <f t="shared" si="433"/>
        <v>288</v>
      </c>
      <c r="AD1458" s="47">
        <f t="shared" si="434"/>
        <v>117</v>
      </c>
      <c r="AE1458" s="47">
        <f t="shared" si="435"/>
        <v>171</v>
      </c>
      <c r="AG1458" s="47">
        <f t="shared" si="436"/>
        <v>287</v>
      </c>
      <c r="AH1458" s="47">
        <f t="shared" si="437"/>
        <v>117</v>
      </c>
      <c r="AI1458" s="208">
        <f t="shared" si="438"/>
        <v>170</v>
      </c>
    </row>
    <row r="1459" spans="1:35">
      <c r="A1459" t="s">
        <v>2132</v>
      </c>
      <c r="B1459" t="s">
        <v>3142</v>
      </c>
      <c r="C1459" t="s">
        <v>2194</v>
      </c>
      <c r="D1459" t="s">
        <v>4860</v>
      </c>
      <c r="F1459" t="s">
        <v>49</v>
      </c>
      <c r="G1459" s="126">
        <f>SUMIFS('Support - Transition'!F:F,'Support - Transition'!B:B,'Step 2'!A1459,'Support - Transition'!C:C,'Step 2'!B1459,'Support - Transition'!D:D,'Step 2'!C1459,'Support - Transition'!E:E,"CIVIL")</f>
        <v>1.27E-4</v>
      </c>
      <c r="H1459" s="126">
        <f>SUMIFS('Support - Transition'!F:F,'Support - Transition'!B:B,'Step 2'!A1459,'Support - Transition'!C:C,'Step 2'!B1459,'Support - Transition'!D:D,'Step 2'!C1459,'Support - Transition'!E:E,"FIRE")</f>
        <v>1.0399999999999999E-4</v>
      </c>
      <c r="I1459" s="126">
        <f>IF(B1459="0",SUMIFS('Support - Transition'!F:F,'Support - Transition'!J:J,'Step 2'!D1459,'Support - Transition'!E:E,"STATE UNIT"),SUMIFS('Support - Transition'!F:F,'Support - Transition'!J:J,'Step 2'!D1459))</f>
        <v>2.3099999999999998E-4</v>
      </c>
      <c r="J1459" s="126">
        <f>SUMIFS('Support - Unit Adjustments'!E:E,'Support - Unit Adjustments'!F:F,'Step 2'!D1459)</f>
        <v>0</v>
      </c>
      <c r="K1459" s="126">
        <f t="shared" si="422"/>
        <v>2.3099999999999998E-4</v>
      </c>
      <c r="L1459" s="174">
        <f>VLOOKUP(A1459,'Step 1'!$A:$E,4,FALSE)</f>
        <v>1222632</v>
      </c>
      <c r="M1459" s="47">
        <f t="shared" si="423"/>
        <v>282</v>
      </c>
      <c r="N1459" s="177">
        <f>SUMIFS('Support - Transition'!G:G,'Support - Transition'!J:J,'Step 2'!D1459,'Support - Transition'!E:E,"2009 WELFARE ALLOCATION FACTOR")</f>
        <v>0</v>
      </c>
      <c r="O1459" s="152">
        <f t="shared" si="428"/>
        <v>0</v>
      </c>
      <c r="P1459" s="126">
        <f>IF(E1459="Y",0,SUMIFS('Support - Transition'!G:G,'Support - Transition'!J:J,'Step 2'!D1459,'Support - Transition'!E:E,"2009 SCHOOL ALLOCATION FACTOR"))</f>
        <v>0</v>
      </c>
      <c r="Q1459" s="126">
        <f>IF(E1459="Y",VLOOKUP(D1459,'Support - Unit Adjustments'!F:G,2,FALSE),0)</f>
        <v>0</v>
      </c>
      <c r="R1459" s="155">
        <f t="shared" si="440"/>
        <v>0</v>
      </c>
      <c r="S1459" s="47">
        <f t="shared" si="439"/>
        <v>0</v>
      </c>
      <c r="T1459" s="151">
        <f t="shared" si="424"/>
        <v>282</v>
      </c>
      <c r="U1459" s="151">
        <f t="shared" si="425"/>
        <v>0</v>
      </c>
      <c r="V1459" s="139">
        <f t="shared" si="426"/>
        <v>0</v>
      </c>
      <c r="W1459" s="152">
        <f t="shared" si="429"/>
        <v>282</v>
      </c>
      <c r="X1459" s="127" t="str">
        <f t="shared" si="427"/>
        <v/>
      </c>
      <c r="Y1459" s="207">
        <f t="shared" si="430"/>
        <v>282</v>
      </c>
      <c r="Z1459" s="139">
        <f t="shared" si="431"/>
        <v>155</v>
      </c>
      <c r="AA1459" s="139">
        <f t="shared" si="432"/>
        <v>127</v>
      </c>
      <c r="AC1459" s="47">
        <f t="shared" si="433"/>
        <v>141</v>
      </c>
      <c r="AD1459" s="47">
        <f t="shared" si="434"/>
        <v>78</v>
      </c>
      <c r="AE1459" s="47">
        <f t="shared" si="435"/>
        <v>64</v>
      </c>
      <c r="AG1459" s="47">
        <f t="shared" si="436"/>
        <v>141</v>
      </c>
      <c r="AH1459" s="47">
        <f t="shared" si="437"/>
        <v>77</v>
      </c>
      <c r="AI1459" s="208">
        <f t="shared" si="438"/>
        <v>63</v>
      </c>
    </row>
    <row r="1460" spans="1:35">
      <c r="A1460" t="s">
        <v>2132</v>
      </c>
      <c r="B1460" t="s">
        <v>3142</v>
      </c>
      <c r="C1460" t="s">
        <v>2195</v>
      </c>
      <c r="D1460" t="s">
        <v>4861</v>
      </c>
      <c r="F1460" t="s">
        <v>50</v>
      </c>
      <c r="G1460" s="126">
        <f>SUMIFS('Support - Transition'!F:F,'Support - Transition'!B:B,'Step 2'!A1460,'Support - Transition'!C:C,'Step 2'!B1460,'Support - Transition'!D:D,'Step 2'!C1460,'Support - Transition'!E:E,"CIVIL")</f>
        <v>5.0500000000000002E-4</v>
      </c>
      <c r="H1460" s="126">
        <f>SUMIFS('Support - Transition'!F:F,'Support - Transition'!B:B,'Step 2'!A1460,'Support - Transition'!C:C,'Step 2'!B1460,'Support - Transition'!D:D,'Step 2'!C1460,'Support - Transition'!E:E,"FIRE")</f>
        <v>2.81E-4</v>
      </c>
      <c r="I1460" s="126">
        <f>IF(B1460="0",SUMIFS('Support - Transition'!F:F,'Support - Transition'!J:J,'Step 2'!D1460,'Support - Transition'!E:E,"STATE UNIT"),SUMIFS('Support - Transition'!F:F,'Support - Transition'!J:J,'Step 2'!D1460))</f>
        <v>7.8600000000000002E-4</v>
      </c>
      <c r="J1460" s="126">
        <f>SUMIFS('Support - Unit Adjustments'!E:E,'Support - Unit Adjustments'!F:F,'Step 2'!D1460)</f>
        <v>0</v>
      </c>
      <c r="K1460" s="126">
        <f t="shared" si="422"/>
        <v>7.8600000000000002E-4</v>
      </c>
      <c r="L1460" s="174">
        <f>VLOOKUP(A1460,'Step 1'!$A:$E,4,FALSE)</f>
        <v>1222632</v>
      </c>
      <c r="M1460" s="47">
        <f t="shared" si="423"/>
        <v>961</v>
      </c>
      <c r="N1460" s="177">
        <f>SUMIFS('Support - Transition'!G:G,'Support - Transition'!J:J,'Step 2'!D1460,'Support - Transition'!E:E,"2009 WELFARE ALLOCATION FACTOR")</f>
        <v>0</v>
      </c>
      <c r="O1460" s="152">
        <f t="shared" si="428"/>
        <v>0</v>
      </c>
      <c r="P1460" s="126">
        <f>IF(E1460="Y",0,SUMIFS('Support - Transition'!G:G,'Support - Transition'!J:J,'Step 2'!D1460,'Support - Transition'!E:E,"2009 SCHOOL ALLOCATION FACTOR"))</f>
        <v>0</v>
      </c>
      <c r="Q1460" s="126">
        <f>IF(E1460="Y",VLOOKUP(D1460,'Support - Unit Adjustments'!F:G,2,FALSE),0)</f>
        <v>0</v>
      </c>
      <c r="R1460" s="155">
        <f t="shared" si="440"/>
        <v>0</v>
      </c>
      <c r="S1460" s="47">
        <f t="shared" si="439"/>
        <v>0</v>
      </c>
      <c r="T1460" s="151">
        <f t="shared" si="424"/>
        <v>961</v>
      </c>
      <c r="U1460" s="151">
        <f t="shared" si="425"/>
        <v>0</v>
      </c>
      <c r="V1460" s="139">
        <f t="shared" si="426"/>
        <v>0</v>
      </c>
      <c r="W1460" s="152">
        <f t="shared" si="429"/>
        <v>961</v>
      </c>
      <c r="X1460" s="127" t="str">
        <f t="shared" si="427"/>
        <v/>
      </c>
      <c r="Y1460" s="207">
        <f t="shared" si="430"/>
        <v>961</v>
      </c>
      <c r="Z1460" s="139">
        <f t="shared" si="431"/>
        <v>617</v>
      </c>
      <c r="AA1460" s="139">
        <f t="shared" si="432"/>
        <v>344</v>
      </c>
      <c r="AC1460" s="47">
        <f t="shared" si="433"/>
        <v>481</v>
      </c>
      <c r="AD1460" s="47">
        <f t="shared" si="434"/>
        <v>309</v>
      </c>
      <c r="AE1460" s="47">
        <f t="shared" si="435"/>
        <v>172</v>
      </c>
      <c r="AG1460" s="47">
        <f t="shared" si="436"/>
        <v>480</v>
      </c>
      <c r="AH1460" s="47">
        <f t="shared" si="437"/>
        <v>308</v>
      </c>
      <c r="AI1460" s="208">
        <f t="shared" si="438"/>
        <v>172</v>
      </c>
    </row>
    <row r="1461" spans="1:35">
      <c r="A1461" t="s">
        <v>2132</v>
      </c>
      <c r="B1461" t="s">
        <v>3142</v>
      </c>
      <c r="C1461" t="s">
        <v>2196</v>
      </c>
      <c r="D1461" t="s">
        <v>4862</v>
      </c>
      <c r="F1461" t="s">
        <v>16</v>
      </c>
      <c r="G1461" s="126">
        <f>SUMIFS('Support - Transition'!F:F,'Support - Transition'!B:B,'Step 2'!A1461,'Support - Transition'!C:C,'Step 2'!B1461,'Support - Transition'!D:D,'Step 2'!C1461,'Support - Transition'!E:E,"CIVIL")</f>
        <v>1.0529999999999999E-3</v>
      </c>
      <c r="H1461" s="126">
        <f>SUMIFS('Support - Transition'!F:F,'Support - Transition'!B:B,'Step 2'!A1461,'Support - Transition'!C:C,'Step 2'!B1461,'Support - Transition'!D:D,'Step 2'!C1461,'Support - Transition'!E:E,"FIRE")</f>
        <v>6.1700000000000004E-4</v>
      </c>
      <c r="I1461" s="126">
        <f>IF(B1461="0",SUMIFS('Support - Transition'!F:F,'Support - Transition'!J:J,'Step 2'!D1461,'Support - Transition'!E:E,"STATE UNIT"),SUMIFS('Support - Transition'!F:F,'Support - Transition'!J:J,'Step 2'!D1461))</f>
        <v>1.67E-3</v>
      </c>
      <c r="J1461" s="126">
        <f>SUMIFS('Support - Unit Adjustments'!E:E,'Support - Unit Adjustments'!F:F,'Step 2'!D1461)</f>
        <v>0</v>
      </c>
      <c r="K1461" s="126">
        <f t="shared" si="422"/>
        <v>1.67E-3</v>
      </c>
      <c r="L1461" s="174">
        <f>VLOOKUP(A1461,'Step 1'!$A:$E,4,FALSE)</f>
        <v>1222632</v>
      </c>
      <c r="M1461" s="47">
        <f t="shared" si="423"/>
        <v>2042</v>
      </c>
      <c r="N1461" s="177">
        <f>SUMIFS('Support - Transition'!G:G,'Support - Transition'!J:J,'Step 2'!D1461,'Support - Transition'!E:E,"2009 WELFARE ALLOCATION FACTOR")</f>
        <v>0</v>
      </c>
      <c r="O1461" s="152">
        <f t="shared" si="428"/>
        <v>0</v>
      </c>
      <c r="P1461" s="126">
        <f>IF(E1461="Y",0,SUMIFS('Support - Transition'!G:G,'Support - Transition'!J:J,'Step 2'!D1461,'Support - Transition'!E:E,"2009 SCHOOL ALLOCATION FACTOR"))</f>
        <v>0</v>
      </c>
      <c r="Q1461" s="126">
        <f>IF(E1461="Y",VLOOKUP(D1461,'Support - Unit Adjustments'!F:G,2,FALSE),0)</f>
        <v>0</v>
      </c>
      <c r="R1461" s="155">
        <f t="shared" si="440"/>
        <v>0</v>
      </c>
      <c r="S1461" s="47">
        <f t="shared" si="439"/>
        <v>0</v>
      </c>
      <c r="T1461" s="151">
        <f t="shared" si="424"/>
        <v>2042</v>
      </c>
      <c r="U1461" s="151">
        <f t="shared" si="425"/>
        <v>0</v>
      </c>
      <c r="V1461" s="139">
        <f t="shared" si="426"/>
        <v>0</v>
      </c>
      <c r="W1461" s="152">
        <f t="shared" si="429"/>
        <v>2042</v>
      </c>
      <c r="X1461" s="127" t="str">
        <f t="shared" si="427"/>
        <v/>
      </c>
      <c r="Y1461" s="207">
        <f t="shared" si="430"/>
        <v>2042</v>
      </c>
      <c r="Z1461" s="139">
        <f t="shared" si="431"/>
        <v>1288</v>
      </c>
      <c r="AA1461" s="139">
        <f t="shared" si="432"/>
        <v>754</v>
      </c>
      <c r="AC1461" s="47">
        <f t="shared" si="433"/>
        <v>1021</v>
      </c>
      <c r="AD1461" s="47">
        <f t="shared" si="434"/>
        <v>644</v>
      </c>
      <c r="AE1461" s="47">
        <f t="shared" si="435"/>
        <v>377</v>
      </c>
      <c r="AG1461" s="47">
        <f t="shared" si="436"/>
        <v>1021</v>
      </c>
      <c r="AH1461" s="47">
        <f t="shared" si="437"/>
        <v>644</v>
      </c>
      <c r="AI1461" s="208">
        <f t="shared" si="438"/>
        <v>377</v>
      </c>
    </row>
    <row r="1462" spans="1:35">
      <c r="A1462" t="s">
        <v>2132</v>
      </c>
      <c r="B1462" t="s">
        <v>3142</v>
      </c>
      <c r="C1462" t="s">
        <v>2197</v>
      </c>
      <c r="D1462" t="s">
        <v>4863</v>
      </c>
      <c r="F1462" t="s">
        <v>1124</v>
      </c>
      <c r="G1462" s="126">
        <f>SUMIFS('Support - Transition'!F:F,'Support - Transition'!B:B,'Step 2'!A1462,'Support - Transition'!C:C,'Step 2'!B1462,'Support - Transition'!D:D,'Step 2'!C1462,'Support - Transition'!E:E,"CIVIL")</f>
        <v>5.4600000000000004E-4</v>
      </c>
      <c r="H1462" s="126">
        <f>SUMIFS('Support - Transition'!F:F,'Support - Transition'!B:B,'Step 2'!A1462,'Support - Transition'!C:C,'Step 2'!B1462,'Support - Transition'!D:D,'Step 2'!C1462,'Support - Transition'!E:E,"FIRE")</f>
        <v>1.3100000000000001E-4</v>
      </c>
      <c r="I1462" s="126">
        <f>IF(B1462="0",SUMIFS('Support - Transition'!F:F,'Support - Transition'!J:J,'Step 2'!D1462,'Support - Transition'!E:E,"STATE UNIT"),SUMIFS('Support - Transition'!F:F,'Support - Transition'!J:J,'Step 2'!D1462))</f>
        <v>6.7700000000000008E-4</v>
      </c>
      <c r="J1462" s="126">
        <f>SUMIFS('Support - Unit Adjustments'!E:E,'Support - Unit Adjustments'!F:F,'Step 2'!D1462)</f>
        <v>0</v>
      </c>
      <c r="K1462" s="126">
        <f t="shared" si="422"/>
        <v>6.7700000000000008E-4</v>
      </c>
      <c r="L1462" s="174">
        <f>VLOOKUP(A1462,'Step 1'!$A:$E,4,FALSE)</f>
        <v>1222632</v>
      </c>
      <c r="M1462" s="47">
        <f t="shared" si="423"/>
        <v>828</v>
      </c>
      <c r="N1462" s="177">
        <f>SUMIFS('Support - Transition'!G:G,'Support - Transition'!J:J,'Step 2'!D1462,'Support - Transition'!E:E,"2009 WELFARE ALLOCATION FACTOR")</f>
        <v>0</v>
      </c>
      <c r="O1462" s="152">
        <f t="shared" si="428"/>
        <v>0</v>
      </c>
      <c r="P1462" s="126">
        <f>IF(E1462="Y",0,SUMIFS('Support - Transition'!G:G,'Support - Transition'!J:J,'Step 2'!D1462,'Support - Transition'!E:E,"2009 SCHOOL ALLOCATION FACTOR"))</f>
        <v>0</v>
      </c>
      <c r="Q1462" s="126">
        <f>IF(E1462="Y",VLOOKUP(D1462,'Support - Unit Adjustments'!F:G,2,FALSE),0)</f>
        <v>0</v>
      </c>
      <c r="R1462" s="155">
        <f t="shared" si="440"/>
        <v>0</v>
      </c>
      <c r="S1462" s="47">
        <f t="shared" si="439"/>
        <v>0</v>
      </c>
      <c r="T1462" s="151">
        <f t="shared" si="424"/>
        <v>828</v>
      </c>
      <c r="U1462" s="151">
        <f t="shared" si="425"/>
        <v>0</v>
      </c>
      <c r="V1462" s="139">
        <f t="shared" si="426"/>
        <v>0</v>
      </c>
      <c r="W1462" s="152">
        <f t="shared" si="429"/>
        <v>828</v>
      </c>
      <c r="X1462" s="127" t="str">
        <f t="shared" si="427"/>
        <v/>
      </c>
      <c r="Y1462" s="207">
        <f t="shared" si="430"/>
        <v>828</v>
      </c>
      <c r="Z1462" s="139">
        <f t="shared" si="431"/>
        <v>668</v>
      </c>
      <c r="AA1462" s="139">
        <f t="shared" si="432"/>
        <v>160</v>
      </c>
      <c r="AC1462" s="47">
        <f t="shared" si="433"/>
        <v>414</v>
      </c>
      <c r="AD1462" s="47">
        <f t="shared" si="434"/>
        <v>334</v>
      </c>
      <c r="AE1462" s="47">
        <f t="shared" si="435"/>
        <v>80</v>
      </c>
      <c r="AG1462" s="47">
        <f t="shared" si="436"/>
        <v>414</v>
      </c>
      <c r="AH1462" s="47">
        <f t="shared" si="437"/>
        <v>334</v>
      </c>
      <c r="AI1462" s="208">
        <f t="shared" si="438"/>
        <v>80</v>
      </c>
    </row>
    <row r="1463" spans="1:35">
      <c r="A1463" t="s">
        <v>2132</v>
      </c>
      <c r="B1463" t="s">
        <v>3142</v>
      </c>
      <c r="C1463" t="s">
        <v>2198</v>
      </c>
      <c r="D1463" t="s">
        <v>4864</v>
      </c>
      <c r="F1463" t="s">
        <v>114</v>
      </c>
      <c r="G1463" s="126">
        <f>SUMIFS('Support - Transition'!F:F,'Support - Transition'!B:B,'Step 2'!A1463,'Support - Transition'!C:C,'Step 2'!B1463,'Support - Transition'!D:D,'Step 2'!C1463,'Support - Transition'!E:E,"CIVIL")</f>
        <v>2.33E-4</v>
      </c>
      <c r="H1463" s="126">
        <f>SUMIFS('Support - Transition'!F:F,'Support - Transition'!B:B,'Step 2'!A1463,'Support - Transition'!C:C,'Step 2'!B1463,'Support - Transition'!D:D,'Step 2'!C1463,'Support - Transition'!E:E,"FIRE")</f>
        <v>1.3190000000000001E-3</v>
      </c>
      <c r="I1463" s="126">
        <f>IF(B1463="0",SUMIFS('Support - Transition'!F:F,'Support - Transition'!J:J,'Step 2'!D1463,'Support - Transition'!E:E,"STATE UNIT"),SUMIFS('Support - Transition'!F:F,'Support - Transition'!J:J,'Step 2'!D1463))</f>
        <v>1.552E-3</v>
      </c>
      <c r="J1463" s="126">
        <f>SUMIFS('Support - Unit Adjustments'!E:E,'Support - Unit Adjustments'!F:F,'Step 2'!D1463)</f>
        <v>0</v>
      </c>
      <c r="K1463" s="126">
        <f t="shared" si="422"/>
        <v>1.552E-3</v>
      </c>
      <c r="L1463" s="174">
        <f>VLOOKUP(A1463,'Step 1'!$A:$E,4,FALSE)</f>
        <v>1222632</v>
      </c>
      <c r="M1463" s="47">
        <f t="shared" si="423"/>
        <v>1898</v>
      </c>
      <c r="N1463" s="177">
        <f>SUMIFS('Support - Transition'!G:G,'Support - Transition'!J:J,'Step 2'!D1463,'Support - Transition'!E:E,"2009 WELFARE ALLOCATION FACTOR")</f>
        <v>0</v>
      </c>
      <c r="O1463" s="152">
        <f t="shared" si="428"/>
        <v>0</v>
      </c>
      <c r="P1463" s="126">
        <f>IF(E1463="Y",0,SUMIFS('Support - Transition'!G:G,'Support - Transition'!J:J,'Step 2'!D1463,'Support - Transition'!E:E,"2009 SCHOOL ALLOCATION FACTOR"))</f>
        <v>0</v>
      </c>
      <c r="Q1463" s="126">
        <f>IF(E1463="Y",VLOOKUP(D1463,'Support - Unit Adjustments'!F:G,2,FALSE),0)</f>
        <v>0</v>
      </c>
      <c r="R1463" s="155">
        <f t="shared" si="440"/>
        <v>0</v>
      </c>
      <c r="S1463" s="47">
        <f t="shared" si="439"/>
        <v>0</v>
      </c>
      <c r="T1463" s="151">
        <f t="shared" si="424"/>
        <v>1898</v>
      </c>
      <c r="U1463" s="151">
        <f t="shared" si="425"/>
        <v>0</v>
      </c>
      <c r="V1463" s="139">
        <f t="shared" si="426"/>
        <v>0</v>
      </c>
      <c r="W1463" s="152">
        <f t="shared" si="429"/>
        <v>1898</v>
      </c>
      <c r="X1463" s="127" t="str">
        <f t="shared" si="427"/>
        <v/>
      </c>
      <c r="Y1463" s="207">
        <f t="shared" si="430"/>
        <v>1898</v>
      </c>
      <c r="Z1463" s="139">
        <f t="shared" si="431"/>
        <v>285</v>
      </c>
      <c r="AA1463" s="139">
        <f t="shared" si="432"/>
        <v>1613</v>
      </c>
      <c r="AC1463" s="47">
        <f t="shared" si="433"/>
        <v>949</v>
      </c>
      <c r="AD1463" s="47">
        <f t="shared" si="434"/>
        <v>143</v>
      </c>
      <c r="AE1463" s="47">
        <f t="shared" si="435"/>
        <v>807</v>
      </c>
      <c r="AG1463" s="47">
        <f t="shared" si="436"/>
        <v>949</v>
      </c>
      <c r="AH1463" s="47">
        <f t="shared" si="437"/>
        <v>142</v>
      </c>
      <c r="AI1463" s="208">
        <f t="shared" si="438"/>
        <v>806</v>
      </c>
    </row>
    <row r="1464" spans="1:35">
      <c r="A1464" t="s">
        <v>2132</v>
      </c>
      <c r="B1464" t="s">
        <v>3142</v>
      </c>
      <c r="C1464" t="s">
        <v>2199</v>
      </c>
      <c r="D1464" t="s">
        <v>4865</v>
      </c>
      <c r="F1464" t="s">
        <v>1125</v>
      </c>
      <c r="G1464" s="126">
        <f>SUMIFS('Support - Transition'!F:F,'Support - Transition'!B:B,'Step 2'!A1464,'Support - Transition'!C:C,'Step 2'!B1464,'Support - Transition'!D:D,'Step 2'!C1464,'Support - Transition'!E:E,"CIVIL")</f>
        <v>1.8E-3</v>
      </c>
      <c r="H1464" s="126">
        <f>SUMIFS('Support - Transition'!F:F,'Support - Transition'!B:B,'Step 2'!A1464,'Support - Transition'!C:C,'Step 2'!B1464,'Support - Transition'!D:D,'Step 2'!C1464,'Support - Transition'!E:E,"FIRE")</f>
        <v>1.8799999999999999E-3</v>
      </c>
      <c r="I1464" s="126">
        <f>IF(B1464="0",SUMIFS('Support - Transition'!F:F,'Support - Transition'!J:J,'Step 2'!D1464,'Support - Transition'!E:E,"STATE UNIT"),SUMIFS('Support - Transition'!F:F,'Support - Transition'!J:J,'Step 2'!D1464))</f>
        <v>3.6800000000000001E-3</v>
      </c>
      <c r="J1464" s="126">
        <f>SUMIFS('Support - Unit Adjustments'!E:E,'Support - Unit Adjustments'!F:F,'Step 2'!D1464)</f>
        <v>0</v>
      </c>
      <c r="K1464" s="126">
        <f t="shared" si="422"/>
        <v>3.6800000000000001E-3</v>
      </c>
      <c r="L1464" s="174">
        <f>VLOOKUP(A1464,'Step 1'!$A:$E,4,FALSE)</f>
        <v>1222632</v>
      </c>
      <c r="M1464" s="47">
        <f t="shared" si="423"/>
        <v>4499</v>
      </c>
      <c r="N1464" s="177">
        <f>SUMIFS('Support - Transition'!G:G,'Support - Transition'!J:J,'Step 2'!D1464,'Support - Transition'!E:E,"2009 WELFARE ALLOCATION FACTOR")</f>
        <v>0</v>
      </c>
      <c r="O1464" s="152">
        <f t="shared" si="428"/>
        <v>0</v>
      </c>
      <c r="P1464" s="126">
        <f>IF(E1464="Y",0,SUMIFS('Support - Transition'!G:G,'Support - Transition'!J:J,'Step 2'!D1464,'Support - Transition'!E:E,"2009 SCHOOL ALLOCATION FACTOR"))</f>
        <v>0</v>
      </c>
      <c r="Q1464" s="126">
        <f>IF(E1464="Y",VLOOKUP(D1464,'Support - Unit Adjustments'!F:G,2,FALSE),0)</f>
        <v>0</v>
      </c>
      <c r="R1464" s="155">
        <f t="shared" si="440"/>
        <v>0</v>
      </c>
      <c r="S1464" s="47">
        <f t="shared" si="439"/>
        <v>0</v>
      </c>
      <c r="T1464" s="151">
        <f t="shared" si="424"/>
        <v>4499</v>
      </c>
      <c r="U1464" s="151">
        <f t="shared" si="425"/>
        <v>0</v>
      </c>
      <c r="V1464" s="139">
        <f t="shared" si="426"/>
        <v>0</v>
      </c>
      <c r="W1464" s="152">
        <f t="shared" si="429"/>
        <v>4499</v>
      </c>
      <c r="X1464" s="127" t="str">
        <f t="shared" si="427"/>
        <v/>
      </c>
      <c r="Y1464" s="207">
        <f t="shared" si="430"/>
        <v>4499</v>
      </c>
      <c r="Z1464" s="139">
        <f t="shared" si="431"/>
        <v>2201</v>
      </c>
      <c r="AA1464" s="139">
        <f t="shared" si="432"/>
        <v>2298</v>
      </c>
      <c r="AC1464" s="47">
        <f t="shared" si="433"/>
        <v>2250</v>
      </c>
      <c r="AD1464" s="47">
        <f t="shared" si="434"/>
        <v>1101</v>
      </c>
      <c r="AE1464" s="47">
        <f t="shared" si="435"/>
        <v>1149</v>
      </c>
      <c r="AG1464" s="47">
        <f t="shared" si="436"/>
        <v>2249</v>
      </c>
      <c r="AH1464" s="47">
        <f t="shared" si="437"/>
        <v>1100</v>
      </c>
      <c r="AI1464" s="208">
        <f t="shared" si="438"/>
        <v>1149</v>
      </c>
    </row>
    <row r="1465" spans="1:35">
      <c r="A1465" t="s">
        <v>2132</v>
      </c>
      <c r="B1465" t="s">
        <v>3142</v>
      </c>
      <c r="C1465" t="s">
        <v>2208</v>
      </c>
      <c r="D1465" t="s">
        <v>4866</v>
      </c>
      <c r="F1465" t="s">
        <v>20</v>
      </c>
      <c r="G1465" s="126">
        <f>SUMIFS('Support - Transition'!F:F,'Support - Transition'!B:B,'Step 2'!A1465,'Support - Transition'!C:C,'Step 2'!B1465,'Support - Transition'!D:D,'Step 2'!C1465,'Support - Transition'!E:E,"CIVIL")</f>
        <v>3.1000000000000001E-5</v>
      </c>
      <c r="H1465" s="126">
        <f>SUMIFS('Support - Transition'!F:F,'Support - Transition'!B:B,'Step 2'!A1465,'Support - Transition'!C:C,'Step 2'!B1465,'Support - Transition'!D:D,'Step 2'!C1465,'Support - Transition'!E:E,"FIRE")</f>
        <v>7.2000000000000002E-5</v>
      </c>
      <c r="I1465" s="126">
        <f>IF(B1465="0",SUMIFS('Support - Transition'!F:F,'Support - Transition'!J:J,'Step 2'!D1465,'Support - Transition'!E:E,"STATE UNIT"),SUMIFS('Support - Transition'!F:F,'Support - Transition'!J:J,'Step 2'!D1465))</f>
        <v>1.0300000000000001E-4</v>
      </c>
      <c r="J1465" s="126">
        <f>SUMIFS('Support - Unit Adjustments'!E:E,'Support - Unit Adjustments'!F:F,'Step 2'!D1465)</f>
        <v>0</v>
      </c>
      <c r="K1465" s="126">
        <f t="shared" si="422"/>
        <v>1.0300000000000001E-4</v>
      </c>
      <c r="L1465" s="174">
        <f>VLOOKUP(A1465,'Step 1'!$A:$E,4,FALSE)</f>
        <v>1222632</v>
      </c>
      <c r="M1465" s="47">
        <f t="shared" si="423"/>
        <v>126</v>
      </c>
      <c r="N1465" s="177">
        <f>SUMIFS('Support - Transition'!G:G,'Support - Transition'!J:J,'Step 2'!D1465,'Support - Transition'!E:E,"2009 WELFARE ALLOCATION FACTOR")</f>
        <v>0</v>
      </c>
      <c r="O1465" s="152">
        <f t="shared" si="428"/>
        <v>0</v>
      </c>
      <c r="P1465" s="126">
        <f>IF(E1465="Y",0,SUMIFS('Support - Transition'!G:G,'Support - Transition'!J:J,'Step 2'!D1465,'Support - Transition'!E:E,"2009 SCHOOL ALLOCATION FACTOR"))</f>
        <v>0</v>
      </c>
      <c r="Q1465" s="126">
        <f>IF(E1465="Y",VLOOKUP(D1465,'Support - Unit Adjustments'!F:G,2,FALSE),0)</f>
        <v>0</v>
      </c>
      <c r="R1465" s="155">
        <f t="shared" si="440"/>
        <v>0</v>
      </c>
      <c r="S1465" s="47">
        <f t="shared" si="439"/>
        <v>0</v>
      </c>
      <c r="T1465" s="151">
        <f t="shared" si="424"/>
        <v>126</v>
      </c>
      <c r="U1465" s="151">
        <f t="shared" si="425"/>
        <v>0</v>
      </c>
      <c r="V1465" s="139">
        <f t="shared" si="426"/>
        <v>0</v>
      </c>
      <c r="W1465" s="152">
        <f t="shared" si="429"/>
        <v>126</v>
      </c>
      <c r="X1465" s="127" t="str">
        <f t="shared" si="427"/>
        <v/>
      </c>
      <c r="Y1465" s="207">
        <f t="shared" si="430"/>
        <v>126</v>
      </c>
      <c r="Z1465" s="139">
        <f t="shared" si="431"/>
        <v>38</v>
      </c>
      <c r="AA1465" s="139">
        <f t="shared" si="432"/>
        <v>88</v>
      </c>
      <c r="AC1465" s="47">
        <f t="shared" si="433"/>
        <v>63</v>
      </c>
      <c r="AD1465" s="47">
        <f t="shared" si="434"/>
        <v>19</v>
      </c>
      <c r="AE1465" s="47">
        <f t="shared" si="435"/>
        <v>44</v>
      </c>
      <c r="AG1465" s="47">
        <f t="shared" si="436"/>
        <v>63</v>
      </c>
      <c r="AH1465" s="47">
        <f t="shared" si="437"/>
        <v>19</v>
      </c>
      <c r="AI1465" s="208">
        <f t="shared" si="438"/>
        <v>44</v>
      </c>
    </row>
    <row r="1466" spans="1:35">
      <c r="A1466" t="s">
        <v>2132</v>
      </c>
      <c r="B1466" t="s">
        <v>3142</v>
      </c>
      <c r="C1466" t="s">
        <v>2209</v>
      </c>
      <c r="D1466" t="s">
        <v>4867</v>
      </c>
      <c r="F1466" t="s">
        <v>169</v>
      </c>
      <c r="G1466" s="126">
        <f>SUMIFS('Support - Transition'!F:F,'Support - Transition'!B:B,'Step 2'!A1466,'Support - Transition'!C:C,'Step 2'!B1466,'Support - Transition'!D:D,'Step 2'!C1466,'Support - Transition'!E:E,"CIVIL")</f>
        <v>3.2400000000000001E-4</v>
      </c>
      <c r="H1466" s="126">
        <f>SUMIFS('Support - Transition'!F:F,'Support - Transition'!B:B,'Step 2'!A1466,'Support - Transition'!C:C,'Step 2'!B1466,'Support - Transition'!D:D,'Step 2'!C1466,'Support - Transition'!E:E,"FIRE")</f>
        <v>2.1499999999999999E-4</v>
      </c>
      <c r="I1466" s="126">
        <f>IF(B1466="0",SUMIFS('Support - Transition'!F:F,'Support - Transition'!J:J,'Step 2'!D1466,'Support - Transition'!E:E,"STATE UNIT"),SUMIFS('Support - Transition'!F:F,'Support - Transition'!J:J,'Step 2'!D1466))</f>
        <v>5.3899999999999998E-4</v>
      </c>
      <c r="J1466" s="126">
        <f>SUMIFS('Support - Unit Adjustments'!E:E,'Support - Unit Adjustments'!F:F,'Step 2'!D1466)</f>
        <v>0</v>
      </c>
      <c r="K1466" s="126">
        <f t="shared" si="422"/>
        <v>5.3899999999999998E-4</v>
      </c>
      <c r="L1466" s="174">
        <f>VLOOKUP(A1466,'Step 1'!$A:$E,4,FALSE)</f>
        <v>1222632</v>
      </c>
      <c r="M1466" s="47">
        <f t="shared" si="423"/>
        <v>659</v>
      </c>
      <c r="N1466" s="177">
        <f>SUMIFS('Support - Transition'!G:G,'Support - Transition'!J:J,'Step 2'!D1466,'Support - Transition'!E:E,"2009 WELFARE ALLOCATION FACTOR")</f>
        <v>0</v>
      </c>
      <c r="O1466" s="152">
        <f t="shared" si="428"/>
        <v>0</v>
      </c>
      <c r="P1466" s="126">
        <f>IF(E1466="Y",0,SUMIFS('Support - Transition'!G:G,'Support - Transition'!J:J,'Step 2'!D1466,'Support - Transition'!E:E,"2009 SCHOOL ALLOCATION FACTOR"))</f>
        <v>0</v>
      </c>
      <c r="Q1466" s="126">
        <f>IF(E1466="Y",VLOOKUP(D1466,'Support - Unit Adjustments'!F:G,2,FALSE),0)</f>
        <v>0</v>
      </c>
      <c r="R1466" s="155">
        <f t="shared" si="440"/>
        <v>0</v>
      </c>
      <c r="S1466" s="47">
        <f t="shared" si="439"/>
        <v>0</v>
      </c>
      <c r="T1466" s="151">
        <f t="shared" si="424"/>
        <v>659</v>
      </c>
      <c r="U1466" s="151">
        <f t="shared" si="425"/>
        <v>0</v>
      </c>
      <c r="V1466" s="139">
        <f t="shared" si="426"/>
        <v>0</v>
      </c>
      <c r="W1466" s="152">
        <f t="shared" si="429"/>
        <v>659</v>
      </c>
      <c r="X1466" s="127" t="str">
        <f t="shared" si="427"/>
        <v/>
      </c>
      <c r="Y1466" s="207">
        <f t="shared" si="430"/>
        <v>659</v>
      </c>
      <c r="Z1466" s="139">
        <f t="shared" si="431"/>
        <v>396</v>
      </c>
      <c r="AA1466" s="139">
        <f t="shared" si="432"/>
        <v>263</v>
      </c>
      <c r="AC1466" s="47">
        <f t="shared" si="433"/>
        <v>330</v>
      </c>
      <c r="AD1466" s="47">
        <f t="shared" si="434"/>
        <v>198</v>
      </c>
      <c r="AE1466" s="47">
        <f t="shared" si="435"/>
        <v>132</v>
      </c>
      <c r="AG1466" s="47">
        <f t="shared" si="436"/>
        <v>329</v>
      </c>
      <c r="AH1466" s="47">
        <f t="shared" si="437"/>
        <v>198</v>
      </c>
      <c r="AI1466" s="208">
        <f t="shared" si="438"/>
        <v>131</v>
      </c>
    </row>
    <row r="1467" spans="1:35">
      <c r="A1467" t="s">
        <v>2132</v>
      </c>
      <c r="B1467" t="s">
        <v>3155</v>
      </c>
      <c r="C1467" t="s">
        <v>2772</v>
      </c>
      <c r="D1467" t="s">
        <v>4868</v>
      </c>
      <c r="F1467" t="s">
        <v>1127</v>
      </c>
      <c r="G1467" s="126">
        <f>SUMIFS('Support - Transition'!F:F,'Support - Transition'!B:B,'Step 2'!A1467,'Support - Transition'!C:C,'Step 2'!B1467,'Support - Transition'!D:D,'Step 2'!C1467,'Support - Transition'!E:E,"CIVIL")</f>
        <v>0</v>
      </c>
      <c r="H1467" s="126">
        <f>SUMIFS('Support - Transition'!F:F,'Support - Transition'!B:B,'Step 2'!A1467,'Support - Transition'!C:C,'Step 2'!B1467,'Support - Transition'!D:D,'Step 2'!C1467,'Support - Transition'!E:E,"FIRE")</f>
        <v>0</v>
      </c>
      <c r="I1467" s="126">
        <f>IF(B1467="0",SUMIFS('Support - Transition'!F:F,'Support - Transition'!J:J,'Step 2'!D1467,'Support - Transition'!E:E,"STATE UNIT"),SUMIFS('Support - Transition'!F:F,'Support - Transition'!J:J,'Step 2'!D1467))</f>
        <v>0.19006400000000001</v>
      </c>
      <c r="J1467" s="126">
        <f>SUMIFS('Support - Unit Adjustments'!E:E,'Support - Unit Adjustments'!F:F,'Step 2'!D1467)</f>
        <v>0</v>
      </c>
      <c r="K1467" s="126">
        <f t="shared" si="422"/>
        <v>0.19006400000000001</v>
      </c>
      <c r="L1467" s="174">
        <f>VLOOKUP(A1467,'Step 1'!$A:$E,4,FALSE)</f>
        <v>1222632</v>
      </c>
      <c r="M1467" s="47">
        <f t="shared" si="423"/>
        <v>232378</v>
      </c>
      <c r="N1467" s="177">
        <f>SUMIFS('Support - Transition'!G:G,'Support - Transition'!J:J,'Step 2'!D1467,'Support - Transition'!E:E,"2009 WELFARE ALLOCATION FACTOR")</f>
        <v>0</v>
      </c>
      <c r="O1467" s="152">
        <f t="shared" si="428"/>
        <v>0</v>
      </c>
      <c r="P1467" s="126">
        <f>IF(E1467="Y",0,SUMIFS('Support - Transition'!G:G,'Support - Transition'!J:J,'Step 2'!D1467,'Support - Transition'!E:E,"2009 SCHOOL ALLOCATION FACTOR"))</f>
        <v>0</v>
      </c>
      <c r="Q1467" s="126">
        <f>IF(E1467="Y",VLOOKUP(D1467,'Support - Unit Adjustments'!F:G,2,FALSE),0)</f>
        <v>0</v>
      </c>
      <c r="R1467" s="155">
        <f t="shared" si="440"/>
        <v>0</v>
      </c>
      <c r="S1467" s="47">
        <f t="shared" si="439"/>
        <v>0</v>
      </c>
      <c r="T1467" s="151">
        <f t="shared" si="424"/>
        <v>232378</v>
      </c>
      <c r="U1467" s="151">
        <f t="shared" si="425"/>
        <v>0</v>
      </c>
      <c r="V1467" s="139">
        <f t="shared" si="426"/>
        <v>0</v>
      </c>
      <c r="W1467" s="152">
        <f t="shared" si="429"/>
        <v>232378</v>
      </c>
      <c r="X1467" s="127" t="str">
        <f t="shared" si="427"/>
        <v/>
      </c>
      <c r="Y1467" s="207">
        <f t="shared" si="430"/>
        <v>232378</v>
      </c>
      <c r="Z1467" s="139">
        <f t="shared" si="431"/>
        <v>232378</v>
      </c>
      <c r="AA1467" s="139">
        <f t="shared" si="432"/>
        <v>0</v>
      </c>
      <c r="AC1467" s="47">
        <f t="shared" si="433"/>
        <v>116189</v>
      </c>
      <c r="AD1467" s="47">
        <f t="shared" si="434"/>
        <v>116189</v>
      </c>
      <c r="AE1467" s="47">
        <f t="shared" si="435"/>
        <v>0</v>
      </c>
      <c r="AG1467" s="47">
        <f t="shared" si="436"/>
        <v>116189</v>
      </c>
      <c r="AH1467" s="47">
        <f t="shared" si="437"/>
        <v>116189</v>
      </c>
      <c r="AI1467" s="208">
        <f t="shared" si="438"/>
        <v>0</v>
      </c>
    </row>
    <row r="1468" spans="1:35">
      <c r="A1468" t="s">
        <v>2132</v>
      </c>
      <c r="B1468" t="s">
        <v>3155</v>
      </c>
      <c r="C1468" t="s">
        <v>2773</v>
      </c>
      <c r="D1468" t="s">
        <v>4869</v>
      </c>
      <c r="F1468" t="s">
        <v>1130</v>
      </c>
      <c r="G1468" s="126">
        <f>SUMIFS('Support - Transition'!F:F,'Support - Transition'!B:B,'Step 2'!A1468,'Support - Transition'!C:C,'Step 2'!B1468,'Support - Transition'!D:D,'Step 2'!C1468,'Support - Transition'!E:E,"CIVIL")</f>
        <v>0</v>
      </c>
      <c r="H1468" s="126">
        <f>SUMIFS('Support - Transition'!F:F,'Support - Transition'!B:B,'Step 2'!A1468,'Support - Transition'!C:C,'Step 2'!B1468,'Support - Transition'!D:D,'Step 2'!C1468,'Support - Transition'!E:E,"FIRE")</f>
        <v>0</v>
      </c>
      <c r="I1468" s="126">
        <f>IF(B1468="0",SUMIFS('Support - Transition'!F:F,'Support - Transition'!J:J,'Step 2'!D1468,'Support - Transition'!E:E,"STATE UNIT"),SUMIFS('Support - Transition'!F:F,'Support - Transition'!J:J,'Step 2'!D1468))</f>
        <v>1.7721000000000001E-2</v>
      </c>
      <c r="J1468" s="126">
        <f>SUMIFS('Support - Unit Adjustments'!E:E,'Support - Unit Adjustments'!F:F,'Step 2'!D1468)</f>
        <v>0</v>
      </c>
      <c r="K1468" s="126">
        <f t="shared" si="422"/>
        <v>1.7721000000000001E-2</v>
      </c>
      <c r="L1468" s="174">
        <f>VLOOKUP(A1468,'Step 1'!$A:$E,4,FALSE)</f>
        <v>1222632</v>
      </c>
      <c r="M1468" s="47">
        <f t="shared" si="423"/>
        <v>21666</v>
      </c>
      <c r="N1468" s="177">
        <f>SUMIFS('Support - Transition'!G:G,'Support - Transition'!J:J,'Step 2'!D1468,'Support - Transition'!E:E,"2009 WELFARE ALLOCATION FACTOR")</f>
        <v>0</v>
      </c>
      <c r="O1468" s="152">
        <f t="shared" si="428"/>
        <v>0</v>
      </c>
      <c r="P1468" s="126">
        <f>IF(E1468="Y",0,SUMIFS('Support - Transition'!G:G,'Support - Transition'!J:J,'Step 2'!D1468,'Support - Transition'!E:E,"2009 SCHOOL ALLOCATION FACTOR"))</f>
        <v>0</v>
      </c>
      <c r="Q1468" s="126">
        <f>IF(E1468="Y",VLOOKUP(D1468,'Support - Unit Adjustments'!F:G,2,FALSE),0)</f>
        <v>0</v>
      </c>
      <c r="R1468" s="155">
        <f t="shared" si="440"/>
        <v>0</v>
      </c>
      <c r="S1468" s="47">
        <f t="shared" si="439"/>
        <v>0</v>
      </c>
      <c r="T1468" s="151">
        <f t="shared" si="424"/>
        <v>21666</v>
      </c>
      <c r="U1468" s="151">
        <f t="shared" si="425"/>
        <v>0</v>
      </c>
      <c r="V1468" s="139">
        <f t="shared" si="426"/>
        <v>0</v>
      </c>
      <c r="W1468" s="152">
        <f t="shared" si="429"/>
        <v>21666</v>
      </c>
      <c r="X1468" s="127" t="str">
        <f t="shared" si="427"/>
        <v/>
      </c>
      <c r="Y1468" s="207">
        <f t="shared" si="430"/>
        <v>21666</v>
      </c>
      <c r="Z1468" s="139">
        <f t="shared" si="431"/>
        <v>21666</v>
      </c>
      <c r="AA1468" s="139">
        <f t="shared" si="432"/>
        <v>0</v>
      </c>
      <c r="AC1468" s="47">
        <f t="shared" si="433"/>
        <v>10833</v>
      </c>
      <c r="AD1468" s="47">
        <f t="shared" si="434"/>
        <v>10833</v>
      </c>
      <c r="AE1468" s="47">
        <f t="shared" si="435"/>
        <v>0</v>
      </c>
      <c r="AG1468" s="47">
        <f t="shared" si="436"/>
        <v>10833</v>
      </c>
      <c r="AH1468" s="47">
        <f t="shared" si="437"/>
        <v>10833</v>
      </c>
      <c r="AI1468" s="208">
        <f t="shared" si="438"/>
        <v>0</v>
      </c>
    </row>
    <row r="1469" spans="1:35">
      <c r="A1469" t="s">
        <v>2132</v>
      </c>
      <c r="B1469" t="s">
        <v>3155</v>
      </c>
      <c r="C1469" t="s">
        <v>2774</v>
      </c>
      <c r="D1469" t="s">
        <v>4870</v>
      </c>
      <c r="F1469" t="s">
        <v>1126</v>
      </c>
      <c r="G1469" s="126">
        <f>SUMIFS('Support - Transition'!F:F,'Support - Transition'!B:B,'Step 2'!A1469,'Support - Transition'!C:C,'Step 2'!B1469,'Support - Transition'!D:D,'Step 2'!C1469,'Support - Transition'!E:E,"CIVIL")</f>
        <v>0</v>
      </c>
      <c r="H1469" s="126">
        <f>SUMIFS('Support - Transition'!F:F,'Support - Transition'!B:B,'Step 2'!A1469,'Support - Transition'!C:C,'Step 2'!B1469,'Support - Transition'!D:D,'Step 2'!C1469,'Support - Transition'!E:E,"FIRE")</f>
        <v>0</v>
      </c>
      <c r="I1469" s="126">
        <f>IF(B1469="0",SUMIFS('Support - Transition'!F:F,'Support - Transition'!J:J,'Step 2'!D1469,'Support - Transition'!E:E,"STATE UNIT"),SUMIFS('Support - Transition'!F:F,'Support - Transition'!J:J,'Step 2'!D1469))</f>
        <v>8.5459999999999998E-3</v>
      </c>
      <c r="J1469" s="126">
        <f>SUMIFS('Support - Unit Adjustments'!E:E,'Support - Unit Adjustments'!F:F,'Step 2'!D1469)</f>
        <v>0</v>
      </c>
      <c r="K1469" s="126">
        <f t="shared" si="422"/>
        <v>8.5459999999999998E-3</v>
      </c>
      <c r="L1469" s="174">
        <f>VLOOKUP(A1469,'Step 1'!$A:$E,4,FALSE)</f>
        <v>1222632</v>
      </c>
      <c r="M1469" s="47">
        <f t="shared" si="423"/>
        <v>10449</v>
      </c>
      <c r="N1469" s="177">
        <f>SUMIFS('Support - Transition'!G:G,'Support - Transition'!J:J,'Step 2'!D1469,'Support - Transition'!E:E,"2009 WELFARE ALLOCATION FACTOR")</f>
        <v>0</v>
      </c>
      <c r="O1469" s="152">
        <f t="shared" si="428"/>
        <v>0</v>
      </c>
      <c r="P1469" s="126">
        <f>IF(E1469="Y",0,SUMIFS('Support - Transition'!G:G,'Support - Transition'!J:J,'Step 2'!D1469,'Support - Transition'!E:E,"2009 SCHOOL ALLOCATION FACTOR"))</f>
        <v>0</v>
      </c>
      <c r="Q1469" s="126">
        <f>IF(E1469="Y",VLOOKUP(D1469,'Support - Unit Adjustments'!F:G,2,FALSE),0)</f>
        <v>0</v>
      </c>
      <c r="R1469" s="155">
        <f t="shared" si="440"/>
        <v>0</v>
      </c>
      <c r="S1469" s="47">
        <f t="shared" si="439"/>
        <v>0</v>
      </c>
      <c r="T1469" s="151">
        <f t="shared" si="424"/>
        <v>10449</v>
      </c>
      <c r="U1469" s="151">
        <f t="shared" si="425"/>
        <v>0</v>
      </c>
      <c r="V1469" s="139">
        <f t="shared" si="426"/>
        <v>0</v>
      </c>
      <c r="W1469" s="152">
        <f t="shared" si="429"/>
        <v>10449</v>
      </c>
      <c r="X1469" s="127" t="str">
        <f t="shared" si="427"/>
        <v/>
      </c>
      <c r="Y1469" s="207">
        <f t="shared" si="430"/>
        <v>10449</v>
      </c>
      <c r="Z1469" s="139">
        <f t="shared" si="431"/>
        <v>10449</v>
      </c>
      <c r="AA1469" s="139">
        <f t="shared" si="432"/>
        <v>0</v>
      </c>
      <c r="AC1469" s="47">
        <f t="shared" si="433"/>
        <v>5225</v>
      </c>
      <c r="AD1469" s="47">
        <f t="shared" si="434"/>
        <v>5225</v>
      </c>
      <c r="AE1469" s="47">
        <f t="shared" si="435"/>
        <v>0</v>
      </c>
      <c r="AG1469" s="47">
        <f t="shared" si="436"/>
        <v>5224</v>
      </c>
      <c r="AH1469" s="47">
        <f t="shared" si="437"/>
        <v>5224</v>
      </c>
      <c r="AI1469" s="208">
        <f t="shared" si="438"/>
        <v>0</v>
      </c>
    </row>
    <row r="1470" spans="1:35">
      <c r="A1470" t="s">
        <v>2132</v>
      </c>
      <c r="B1470" t="s">
        <v>3155</v>
      </c>
      <c r="C1470" t="s">
        <v>2381</v>
      </c>
      <c r="D1470" t="s">
        <v>4871</v>
      </c>
      <c r="F1470" t="s">
        <v>406</v>
      </c>
      <c r="G1470" s="126">
        <f>SUMIFS('Support - Transition'!F:F,'Support - Transition'!B:B,'Step 2'!A1470,'Support - Transition'!C:C,'Step 2'!B1470,'Support - Transition'!D:D,'Step 2'!C1470,'Support - Transition'!E:E,"CIVIL")</f>
        <v>0</v>
      </c>
      <c r="H1470" s="126">
        <f>SUMIFS('Support - Transition'!F:F,'Support - Transition'!B:B,'Step 2'!A1470,'Support - Transition'!C:C,'Step 2'!B1470,'Support - Transition'!D:D,'Step 2'!C1470,'Support - Transition'!E:E,"FIRE")</f>
        <v>0</v>
      </c>
      <c r="I1470" s="126">
        <f>IF(B1470="0",SUMIFS('Support - Transition'!F:F,'Support - Transition'!J:J,'Step 2'!D1470,'Support - Transition'!E:E,"STATE UNIT"),SUMIFS('Support - Transition'!F:F,'Support - Transition'!J:J,'Step 2'!D1470))</f>
        <v>3.4600000000000001E-4</v>
      </c>
      <c r="J1470" s="126">
        <f>SUMIFS('Support - Unit Adjustments'!E:E,'Support - Unit Adjustments'!F:F,'Step 2'!D1470)</f>
        <v>0</v>
      </c>
      <c r="K1470" s="126">
        <f t="shared" si="422"/>
        <v>3.4600000000000001E-4</v>
      </c>
      <c r="L1470" s="174">
        <f>VLOOKUP(A1470,'Step 1'!$A:$E,4,FALSE)</f>
        <v>1222632</v>
      </c>
      <c r="M1470" s="47">
        <f t="shared" si="423"/>
        <v>423</v>
      </c>
      <c r="N1470" s="177">
        <f>SUMIFS('Support - Transition'!G:G,'Support - Transition'!J:J,'Step 2'!D1470,'Support - Transition'!E:E,"2009 WELFARE ALLOCATION FACTOR")</f>
        <v>0</v>
      </c>
      <c r="O1470" s="152">
        <f t="shared" si="428"/>
        <v>0</v>
      </c>
      <c r="P1470" s="126">
        <f>IF(E1470="Y",0,SUMIFS('Support - Transition'!G:G,'Support - Transition'!J:J,'Step 2'!D1470,'Support - Transition'!E:E,"2009 SCHOOL ALLOCATION FACTOR"))</f>
        <v>0</v>
      </c>
      <c r="Q1470" s="126">
        <f>IF(E1470="Y",VLOOKUP(D1470,'Support - Unit Adjustments'!F:G,2,FALSE),0)</f>
        <v>0</v>
      </c>
      <c r="R1470" s="155">
        <f t="shared" si="440"/>
        <v>0</v>
      </c>
      <c r="S1470" s="47">
        <f t="shared" si="439"/>
        <v>0</v>
      </c>
      <c r="T1470" s="151">
        <f t="shared" si="424"/>
        <v>423</v>
      </c>
      <c r="U1470" s="151">
        <f t="shared" si="425"/>
        <v>0</v>
      </c>
      <c r="V1470" s="139">
        <f t="shared" si="426"/>
        <v>0</v>
      </c>
      <c r="W1470" s="152">
        <f t="shared" si="429"/>
        <v>423</v>
      </c>
      <c r="X1470" s="127" t="str">
        <f t="shared" si="427"/>
        <v/>
      </c>
      <c r="Y1470" s="207">
        <f t="shared" si="430"/>
        <v>423</v>
      </c>
      <c r="Z1470" s="139">
        <f t="shared" si="431"/>
        <v>423</v>
      </c>
      <c r="AA1470" s="139">
        <f t="shared" si="432"/>
        <v>0</v>
      </c>
      <c r="AC1470" s="47">
        <f t="shared" si="433"/>
        <v>212</v>
      </c>
      <c r="AD1470" s="47">
        <f t="shared" si="434"/>
        <v>212</v>
      </c>
      <c r="AE1470" s="47">
        <f t="shared" si="435"/>
        <v>0</v>
      </c>
      <c r="AG1470" s="47">
        <f t="shared" si="436"/>
        <v>211</v>
      </c>
      <c r="AH1470" s="47">
        <f t="shared" si="437"/>
        <v>211</v>
      </c>
      <c r="AI1470" s="208">
        <f t="shared" si="438"/>
        <v>0</v>
      </c>
    </row>
    <row r="1471" spans="1:35">
      <c r="A1471" t="s">
        <v>2132</v>
      </c>
      <c r="B1471" t="s">
        <v>3155</v>
      </c>
      <c r="C1471" t="s">
        <v>2775</v>
      </c>
      <c r="D1471" t="s">
        <v>4872</v>
      </c>
      <c r="F1471" t="s">
        <v>1128</v>
      </c>
      <c r="G1471" s="126">
        <f>SUMIFS('Support - Transition'!F:F,'Support - Transition'!B:B,'Step 2'!A1471,'Support - Transition'!C:C,'Step 2'!B1471,'Support - Transition'!D:D,'Step 2'!C1471,'Support - Transition'!E:E,"CIVIL")</f>
        <v>0</v>
      </c>
      <c r="H1471" s="126">
        <f>SUMIFS('Support - Transition'!F:F,'Support - Transition'!B:B,'Step 2'!A1471,'Support - Transition'!C:C,'Step 2'!B1471,'Support - Transition'!D:D,'Step 2'!C1471,'Support - Transition'!E:E,"FIRE")</f>
        <v>0</v>
      </c>
      <c r="I1471" s="126">
        <f>IF(B1471="0",SUMIFS('Support - Transition'!F:F,'Support - Transition'!J:J,'Step 2'!D1471,'Support - Transition'!E:E,"STATE UNIT"),SUMIFS('Support - Transition'!F:F,'Support - Transition'!J:J,'Step 2'!D1471))</f>
        <v>3.9999999999999998E-6</v>
      </c>
      <c r="J1471" s="126">
        <f>SUMIFS('Support - Unit Adjustments'!E:E,'Support - Unit Adjustments'!F:F,'Step 2'!D1471)</f>
        <v>0</v>
      </c>
      <c r="K1471" s="126">
        <f t="shared" si="422"/>
        <v>3.9999999999999998E-6</v>
      </c>
      <c r="L1471" s="174">
        <f>VLOOKUP(A1471,'Step 1'!$A:$E,4,FALSE)</f>
        <v>1222632</v>
      </c>
      <c r="M1471" s="47">
        <f t="shared" si="423"/>
        <v>5</v>
      </c>
      <c r="N1471" s="177">
        <f>SUMIFS('Support - Transition'!G:G,'Support - Transition'!J:J,'Step 2'!D1471,'Support - Transition'!E:E,"2009 WELFARE ALLOCATION FACTOR")</f>
        <v>0</v>
      </c>
      <c r="O1471" s="152">
        <f t="shared" si="428"/>
        <v>0</v>
      </c>
      <c r="P1471" s="126">
        <f>IF(E1471="Y",0,SUMIFS('Support - Transition'!G:G,'Support - Transition'!J:J,'Step 2'!D1471,'Support - Transition'!E:E,"2009 SCHOOL ALLOCATION FACTOR"))</f>
        <v>0</v>
      </c>
      <c r="Q1471" s="126">
        <f>IF(E1471="Y",VLOOKUP(D1471,'Support - Unit Adjustments'!F:G,2,FALSE),0)</f>
        <v>0</v>
      </c>
      <c r="R1471" s="155">
        <f t="shared" si="440"/>
        <v>0</v>
      </c>
      <c r="S1471" s="47">
        <f t="shared" si="439"/>
        <v>0</v>
      </c>
      <c r="T1471" s="151">
        <f t="shared" si="424"/>
        <v>5</v>
      </c>
      <c r="U1471" s="151">
        <f t="shared" si="425"/>
        <v>0</v>
      </c>
      <c r="V1471" s="139">
        <f t="shared" si="426"/>
        <v>0</v>
      </c>
      <c r="W1471" s="152">
        <f t="shared" si="429"/>
        <v>5</v>
      </c>
      <c r="X1471" s="127" t="str">
        <f t="shared" si="427"/>
        <v/>
      </c>
      <c r="Y1471" s="207">
        <f t="shared" si="430"/>
        <v>5</v>
      </c>
      <c r="Z1471" s="139">
        <f t="shared" si="431"/>
        <v>5</v>
      </c>
      <c r="AA1471" s="139">
        <f t="shared" si="432"/>
        <v>0</v>
      </c>
      <c r="AC1471" s="47">
        <f t="shared" si="433"/>
        <v>3</v>
      </c>
      <c r="AD1471" s="47">
        <f t="shared" si="434"/>
        <v>3</v>
      </c>
      <c r="AE1471" s="47">
        <f t="shared" si="435"/>
        <v>0</v>
      </c>
      <c r="AG1471" s="47">
        <f t="shared" si="436"/>
        <v>2</v>
      </c>
      <c r="AH1471" s="47">
        <f t="shared" si="437"/>
        <v>2</v>
      </c>
      <c r="AI1471" s="208">
        <f t="shared" si="438"/>
        <v>0</v>
      </c>
    </row>
    <row r="1472" spans="1:35">
      <c r="A1472" t="s">
        <v>2132</v>
      </c>
      <c r="B1472" t="s">
        <v>3155</v>
      </c>
      <c r="C1472" t="s">
        <v>2776</v>
      </c>
      <c r="D1472" t="s">
        <v>4873</v>
      </c>
      <c r="F1472" t="s">
        <v>1129</v>
      </c>
      <c r="G1472" s="126">
        <f>SUMIFS('Support - Transition'!F:F,'Support - Transition'!B:B,'Step 2'!A1472,'Support - Transition'!C:C,'Step 2'!B1472,'Support - Transition'!D:D,'Step 2'!C1472,'Support - Transition'!E:E,"CIVIL")</f>
        <v>0</v>
      </c>
      <c r="H1472" s="126">
        <f>SUMIFS('Support - Transition'!F:F,'Support - Transition'!B:B,'Step 2'!A1472,'Support - Transition'!C:C,'Step 2'!B1472,'Support - Transition'!D:D,'Step 2'!C1472,'Support - Transition'!E:E,"FIRE")</f>
        <v>0</v>
      </c>
      <c r="I1472" s="126">
        <f>IF(B1472="0",SUMIFS('Support - Transition'!F:F,'Support - Transition'!J:J,'Step 2'!D1472,'Support - Transition'!E:E,"STATE UNIT"),SUMIFS('Support - Transition'!F:F,'Support - Transition'!J:J,'Step 2'!D1472))</f>
        <v>1.45E-4</v>
      </c>
      <c r="J1472" s="126">
        <f>SUMIFS('Support - Unit Adjustments'!E:E,'Support - Unit Adjustments'!F:F,'Step 2'!D1472)</f>
        <v>0</v>
      </c>
      <c r="K1472" s="126">
        <f t="shared" si="422"/>
        <v>1.45E-4</v>
      </c>
      <c r="L1472" s="174">
        <f>VLOOKUP(A1472,'Step 1'!$A:$E,4,FALSE)</f>
        <v>1222632</v>
      </c>
      <c r="M1472" s="47">
        <f t="shared" si="423"/>
        <v>177</v>
      </c>
      <c r="N1472" s="177">
        <f>SUMIFS('Support - Transition'!G:G,'Support - Transition'!J:J,'Step 2'!D1472,'Support - Transition'!E:E,"2009 WELFARE ALLOCATION FACTOR")</f>
        <v>0</v>
      </c>
      <c r="O1472" s="152">
        <f t="shared" si="428"/>
        <v>0</v>
      </c>
      <c r="P1472" s="126">
        <f>IF(E1472="Y",0,SUMIFS('Support - Transition'!G:G,'Support - Transition'!J:J,'Step 2'!D1472,'Support - Transition'!E:E,"2009 SCHOOL ALLOCATION FACTOR"))</f>
        <v>0</v>
      </c>
      <c r="Q1472" s="126">
        <f>IF(E1472="Y",VLOOKUP(D1472,'Support - Unit Adjustments'!F:G,2,FALSE),0)</f>
        <v>0</v>
      </c>
      <c r="R1472" s="155">
        <f t="shared" si="440"/>
        <v>0</v>
      </c>
      <c r="S1472" s="47">
        <f t="shared" si="439"/>
        <v>0</v>
      </c>
      <c r="T1472" s="151">
        <f t="shared" si="424"/>
        <v>177</v>
      </c>
      <c r="U1472" s="151">
        <f t="shared" si="425"/>
        <v>0</v>
      </c>
      <c r="V1472" s="139">
        <f t="shared" si="426"/>
        <v>0</v>
      </c>
      <c r="W1472" s="152">
        <f t="shared" si="429"/>
        <v>177</v>
      </c>
      <c r="X1472" s="127" t="str">
        <f t="shared" si="427"/>
        <v/>
      </c>
      <c r="Y1472" s="207">
        <f t="shared" si="430"/>
        <v>177</v>
      </c>
      <c r="Z1472" s="139">
        <f t="shared" si="431"/>
        <v>177</v>
      </c>
      <c r="AA1472" s="139">
        <f t="shared" si="432"/>
        <v>0</v>
      </c>
      <c r="AC1472" s="47">
        <f t="shared" si="433"/>
        <v>89</v>
      </c>
      <c r="AD1472" s="47">
        <f t="shared" si="434"/>
        <v>89</v>
      </c>
      <c r="AE1472" s="47">
        <f t="shared" si="435"/>
        <v>0</v>
      </c>
      <c r="AG1472" s="47">
        <f t="shared" si="436"/>
        <v>88</v>
      </c>
      <c r="AH1472" s="47">
        <f t="shared" si="437"/>
        <v>88</v>
      </c>
      <c r="AI1472" s="208">
        <f t="shared" si="438"/>
        <v>0</v>
      </c>
    </row>
    <row r="1473" spans="1:35">
      <c r="A1473" t="s">
        <v>2132</v>
      </c>
      <c r="B1473" t="s">
        <v>3155</v>
      </c>
      <c r="C1473" t="s">
        <v>2777</v>
      </c>
      <c r="D1473" t="s">
        <v>4874</v>
      </c>
      <c r="F1473" t="s">
        <v>1131</v>
      </c>
      <c r="G1473" s="126">
        <f>SUMIFS('Support - Transition'!F:F,'Support - Transition'!B:B,'Step 2'!A1473,'Support - Transition'!C:C,'Step 2'!B1473,'Support - Transition'!D:D,'Step 2'!C1473,'Support - Transition'!E:E,"CIVIL")</f>
        <v>0</v>
      </c>
      <c r="H1473" s="126">
        <f>SUMIFS('Support - Transition'!F:F,'Support - Transition'!B:B,'Step 2'!A1473,'Support - Transition'!C:C,'Step 2'!B1473,'Support - Transition'!D:D,'Step 2'!C1473,'Support - Transition'!E:E,"FIRE")</f>
        <v>0</v>
      </c>
      <c r="I1473" s="126">
        <f>IF(B1473="0",SUMIFS('Support - Transition'!F:F,'Support - Transition'!J:J,'Step 2'!D1473,'Support - Transition'!E:E,"STATE UNIT"),SUMIFS('Support - Transition'!F:F,'Support - Transition'!J:J,'Step 2'!D1473))</f>
        <v>5.8399999999999999E-4</v>
      </c>
      <c r="J1473" s="126">
        <f>SUMIFS('Support - Unit Adjustments'!E:E,'Support - Unit Adjustments'!F:F,'Step 2'!D1473)</f>
        <v>0</v>
      </c>
      <c r="K1473" s="126">
        <f t="shared" si="422"/>
        <v>5.8399999999999999E-4</v>
      </c>
      <c r="L1473" s="174">
        <f>VLOOKUP(A1473,'Step 1'!$A:$E,4,FALSE)</f>
        <v>1222632</v>
      </c>
      <c r="M1473" s="47">
        <f t="shared" si="423"/>
        <v>714</v>
      </c>
      <c r="N1473" s="177">
        <f>SUMIFS('Support - Transition'!G:G,'Support - Transition'!J:J,'Step 2'!D1473,'Support - Transition'!E:E,"2009 WELFARE ALLOCATION FACTOR")</f>
        <v>0</v>
      </c>
      <c r="O1473" s="152">
        <f t="shared" si="428"/>
        <v>0</v>
      </c>
      <c r="P1473" s="126">
        <f>IF(E1473="Y",0,SUMIFS('Support - Transition'!G:G,'Support - Transition'!J:J,'Step 2'!D1473,'Support - Transition'!E:E,"2009 SCHOOL ALLOCATION FACTOR"))</f>
        <v>0</v>
      </c>
      <c r="Q1473" s="126">
        <f>IF(E1473="Y",VLOOKUP(D1473,'Support - Unit Adjustments'!F:G,2,FALSE),0)</f>
        <v>0</v>
      </c>
      <c r="R1473" s="155">
        <f t="shared" si="440"/>
        <v>0</v>
      </c>
      <c r="S1473" s="47">
        <f t="shared" si="439"/>
        <v>0</v>
      </c>
      <c r="T1473" s="151">
        <f t="shared" si="424"/>
        <v>714</v>
      </c>
      <c r="U1473" s="151">
        <f t="shared" si="425"/>
        <v>0</v>
      </c>
      <c r="V1473" s="139">
        <f t="shared" si="426"/>
        <v>0</v>
      </c>
      <c r="W1473" s="152">
        <f t="shared" si="429"/>
        <v>714</v>
      </c>
      <c r="X1473" s="127" t="str">
        <f t="shared" si="427"/>
        <v/>
      </c>
      <c r="Y1473" s="207">
        <f t="shared" si="430"/>
        <v>714</v>
      </c>
      <c r="Z1473" s="139">
        <f t="shared" si="431"/>
        <v>714</v>
      </c>
      <c r="AA1473" s="139">
        <f t="shared" si="432"/>
        <v>0</v>
      </c>
      <c r="AC1473" s="47">
        <f t="shared" si="433"/>
        <v>357</v>
      </c>
      <c r="AD1473" s="47">
        <f t="shared" si="434"/>
        <v>357</v>
      </c>
      <c r="AE1473" s="47">
        <f t="shared" si="435"/>
        <v>0</v>
      </c>
      <c r="AG1473" s="47">
        <f t="shared" si="436"/>
        <v>357</v>
      </c>
      <c r="AH1473" s="47">
        <f t="shared" si="437"/>
        <v>357</v>
      </c>
      <c r="AI1473" s="208">
        <f t="shared" si="438"/>
        <v>0</v>
      </c>
    </row>
    <row r="1474" spans="1:35">
      <c r="A1474" t="s">
        <v>2132</v>
      </c>
      <c r="B1474" t="s">
        <v>3155</v>
      </c>
      <c r="C1474" t="s">
        <v>2778</v>
      </c>
      <c r="D1474" t="s">
        <v>4875</v>
      </c>
      <c r="F1474" t="s">
        <v>1132</v>
      </c>
      <c r="G1474" s="126">
        <f>SUMIFS('Support - Transition'!F:F,'Support - Transition'!B:B,'Step 2'!A1474,'Support - Transition'!C:C,'Step 2'!B1474,'Support - Transition'!D:D,'Step 2'!C1474,'Support - Transition'!E:E,"CIVIL")</f>
        <v>0</v>
      </c>
      <c r="H1474" s="126">
        <f>SUMIFS('Support - Transition'!F:F,'Support - Transition'!B:B,'Step 2'!A1474,'Support - Transition'!C:C,'Step 2'!B1474,'Support - Transition'!D:D,'Step 2'!C1474,'Support - Transition'!E:E,"FIRE")</f>
        <v>0</v>
      </c>
      <c r="I1474" s="126">
        <f>IF(B1474="0",SUMIFS('Support - Transition'!F:F,'Support - Transition'!J:J,'Step 2'!D1474,'Support - Transition'!E:E,"STATE UNIT"),SUMIFS('Support - Transition'!F:F,'Support - Transition'!J:J,'Step 2'!D1474))</f>
        <v>4.7100000000000001E-4</v>
      </c>
      <c r="J1474" s="126">
        <f>SUMIFS('Support - Unit Adjustments'!E:E,'Support - Unit Adjustments'!F:F,'Step 2'!D1474)</f>
        <v>0</v>
      </c>
      <c r="K1474" s="126">
        <f t="shared" ref="K1474:K1537" si="441">+I1474+J1474</f>
        <v>4.7100000000000001E-4</v>
      </c>
      <c r="L1474" s="174">
        <f>VLOOKUP(A1474,'Step 1'!$A:$E,4,FALSE)</f>
        <v>1222632</v>
      </c>
      <c r="M1474" s="47">
        <f t="shared" ref="M1474:M1537" si="442">ROUND(+K1474*L1474,0)</f>
        <v>576</v>
      </c>
      <c r="N1474" s="177">
        <f>SUMIFS('Support - Transition'!G:G,'Support - Transition'!J:J,'Step 2'!D1474,'Support - Transition'!E:E,"2009 WELFARE ALLOCATION FACTOR")</f>
        <v>0</v>
      </c>
      <c r="O1474" s="152">
        <f t="shared" si="428"/>
        <v>0</v>
      </c>
      <c r="P1474" s="126">
        <f>IF(E1474="Y",0,SUMIFS('Support - Transition'!G:G,'Support - Transition'!J:J,'Step 2'!D1474,'Support - Transition'!E:E,"2009 SCHOOL ALLOCATION FACTOR"))</f>
        <v>0</v>
      </c>
      <c r="Q1474" s="126">
        <f>IF(E1474="Y",VLOOKUP(D1474,'Support - Unit Adjustments'!F:G,2,FALSE),0)</f>
        <v>0</v>
      </c>
      <c r="R1474" s="155">
        <f t="shared" si="440"/>
        <v>0</v>
      </c>
      <c r="S1474" s="47">
        <f t="shared" si="439"/>
        <v>0</v>
      </c>
      <c r="T1474" s="151">
        <f t="shared" ref="T1474:T1537" si="443">ROUND(+M1474-O1474-S1474,2)</f>
        <v>576</v>
      </c>
      <c r="U1474" s="151">
        <f t="shared" ref="U1474:U1537" si="444">IF(B1474="0",SUMIFS(O:O,A:A,A1474)+SUMIFS(S:S,A:A,A1474)+SUMIFS(T:T,A:A,A1474),0)</f>
        <v>0</v>
      </c>
      <c r="V1474" s="139">
        <f t="shared" ref="V1474:V1537" si="445">IF(B1474="0",U1474-L1474,0)</f>
        <v>0</v>
      </c>
      <c r="W1474" s="152">
        <f t="shared" si="429"/>
        <v>576</v>
      </c>
      <c r="X1474" s="127" t="str">
        <f t="shared" ref="X1474:X1537" si="446">IF(B1474="0",SUMIFS(O:O,A:A,A1474)+SUMIFS(S:S,A:A,A1474)+SUMIFS(W:W,A:A,A1474)-L1474,"")</f>
        <v/>
      </c>
      <c r="Y1474" s="207">
        <f t="shared" si="430"/>
        <v>576</v>
      </c>
      <c r="Z1474" s="139">
        <f t="shared" si="431"/>
        <v>576</v>
      </c>
      <c r="AA1474" s="139">
        <f t="shared" si="432"/>
        <v>0</v>
      </c>
      <c r="AC1474" s="47">
        <f t="shared" si="433"/>
        <v>288</v>
      </c>
      <c r="AD1474" s="47">
        <f t="shared" si="434"/>
        <v>288</v>
      </c>
      <c r="AE1474" s="47">
        <f t="shared" si="435"/>
        <v>0</v>
      </c>
      <c r="AG1474" s="47">
        <f t="shared" si="436"/>
        <v>288</v>
      </c>
      <c r="AH1474" s="47">
        <f t="shared" si="437"/>
        <v>288</v>
      </c>
      <c r="AI1474" s="208">
        <f t="shared" si="438"/>
        <v>0</v>
      </c>
    </row>
    <row r="1475" spans="1:35">
      <c r="A1475" t="s">
        <v>2132</v>
      </c>
      <c r="B1475" t="s">
        <v>3155</v>
      </c>
      <c r="C1475" t="s">
        <v>2779</v>
      </c>
      <c r="D1475" t="s">
        <v>4876</v>
      </c>
      <c r="F1475" t="s">
        <v>1133</v>
      </c>
      <c r="G1475" s="126">
        <f>SUMIFS('Support - Transition'!F:F,'Support - Transition'!B:B,'Step 2'!A1475,'Support - Transition'!C:C,'Step 2'!B1475,'Support - Transition'!D:D,'Step 2'!C1475,'Support - Transition'!E:E,"CIVIL")</f>
        <v>0</v>
      </c>
      <c r="H1475" s="126">
        <f>SUMIFS('Support - Transition'!F:F,'Support - Transition'!B:B,'Step 2'!A1475,'Support - Transition'!C:C,'Step 2'!B1475,'Support - Transition'!D:D,'Step 2'!C1475,'Support - Transition'!E:E,"FIRE")</f>
        <v>0</v>
      </c>
      <c r="I1475" s="126">
        <f>IF(B1475="0",SUMIFS('Support - Transition'!F:F,'Support - Transition'!J:J,'Step 2'!D1475,'Support - Transition'!E:E,"STATE UNIT"),SUMIFS('Support - Transition'!F:F,'Support - Transition'!J:J,'Step 2'!D1475))</f>
        <v>1.2444999999999999E-2</v>
      </c>
      <c r="J1475" s="126">
        <f>SUMIFS('Support - Unit Adjustments'!E:E,'Support - Unit Adjustments'!F:F,'Step 2'!D1475)</f>
        <v>0</v>
      </c>
      <c r="K1475" s="126">
        <f t="shared" si="441"/>
        <v>1.2444999999999999E-2</v>
      </c>
      <c r="L1475" s="174">
        <f>VLOOKUP(A1475,'Step 1'!$A:$E,4,FALSE)</f>
        <v>1222632</v>
      </c>
      <c r="M1475" s="47">
        <f t="shared" si="442"/>
        <v>15216</v>
      </c>
      <c r="N1475" s="177">
        <f>SUMIFS('Support - Transition'!G:G,'Support - Transition'!J:J,'Step 2'!D1475,'Support - Transition'!E:E,"2009 WELFARE ALLOCATION FACTOR")</f>
        <v>0</v>
      </c>
      <c r="O1475" s="152">
        <f t="shared" ref="O1475:O1538" si="447">ROUND(+N1475*M1475,0)</f>
        <v>0</v>
      </c>
      <c r="P1475" s="126">
        <f>IF(E1475="Y",0,SUMIFS('Support - Transition'!G:G,'Support - Transition'!J:J,'Step 2'!D1475,'Support - Transition'!E:E,"2009 SCHOOL ALLOCATION FACTOR"))</f>
        <v>0</v>
      </c>
      <c r="Q1475" s="126">
        <f>IF(E1475="Y",VLOOKUP(D1475,'Support - Unit Adjustments'!F:G,2,FALSE),0)</f>
        <v>0</v>
      </c>
      <c r="R1475" s="155">
        <f t="shared" si="440"/>
        <v>0</v>
      </c>
      <c r="S1475" s="47">
        <f t="shared" si="439"/>
        <v>0</v>
      </c>
      <c r="T1475" s="151">
        <f t="shared" si="443"/>
        <v>15216</v>
      </c>
      <c r="U1475" s="151">
        <f t="shared" si="444"/>
        <v>0</v>
      </c>
      <c r="V1475" s="139">
        <f t="shared" si="445"/>
        <v>0</v>
      </c>
      <c r="W1475" s="152">
        <f t="shared" ref="W1475:W1538" si="448">+T1475-V1475</f>
        <v>15216</v>
      </c>
      <c r="X1475" s="127" t="str">
        <f t="shared" si="446"/>
        <v/>
      </c>
      <c r="Y1475" s="207">
        <f t="shared" ref="Y1475:Y1538" si="449">W1475</f>
        <v>15216</v>
      </c>
      <c r="Z1475" s="139">
        <f t="shared" ref="Z1475:Z1538" si="450">IFERROR(IF(B1475="2",ROUND(Y1475*G1475/I1475,0),Y1475),0)</f>
        <v>15216</v>
      </c>
      <c r="AA1475" s="139">
        <f t="shared" ref="AA1475:AA1538" si="451">+Y1475-Z1475</f>
        <v>0</v>
      </c>
      <c r="AC1475" s="47">
        <f t="shared" ref="AC1475:AC1538" si="452">ROUND(Y1475/2,0)</f>
        <v>7608</v>
      </c>
      <c r="AD1475" s="47">
        <f t="shared" ref="AD1475:AD1538" si="453">ROUND(Z1475/2,0)</f>
        <v>7608</v>
      </c>
      <c r="AE1475" s="47">
        <f t="shared" ref="AE1475:AE1538" si="454">ROUND(AA1475/2,0)</f>
        <v>0</v>
      </c>
      <c r="AG1475" s="47">
        <f t="shared" ref="AG1475:AG1538" si="455">+Y1475-AC1475</f>
        <v>7608</v>
      </c>
      <c r="AH1475" s="47">
        <f t="shared" ref="AH1475:AH1538" si="456">+Z1475-AD1475</f>
        <v>7608</v>
      </c>
      <c r="AI1475" s="208">
        <f t="shared" ref="AI1475:AI1538" si="457">+AA1475-AE1475</f>
        <v>0</v>
      </c>
    </row>
    <row r="1476" spans="1:35">
      <c r="A1476" t="s">
        <v>2132</v>
      </c>
      <c r="B1476" t="s">
        <v>3155</v>
      </c>
      <c r="C1476" t="s">
        <v>2780</v>
      </c>
      <c r="D1476" t="s">
        <v>4877</v>
      </c>
      <c r="F1476" t="s">
        <v>1134</v>
      </c>
      <c r="G1476" s="126">
        <f>SUMIFS('Support - Transition'!F:F,'Support - Transition'!B:B,'Step 2'!A1476,'Support - Transition'!C:C,'Step 2'!B1476,'Support - Transition'!D:D,'Step 2'!C1476,'Support - Transition'!E:E,"CIVIL")</f>
        <v>0</v>
      </c>
      <c r="H1476" s="126">
        <f>SUMIFS('Support - Transition'!F:F,'Support - Transition'!B:B,'Step 2'!A1476,'Support - Transition'!C:C,'Step 2'!B1476,'Support - Transition'!D:D,'Step 2'!C1476,'Support - Transition'!E:E,"FIRE")</f>
        <v>0</v>
      </c>
      <c r="I1476" s="126">
        <f>IF(B1476="0",SUMIFS('Support - Transition'!F:F,'Support - Transition'!J:J,'Step 2'!D1476,'Support - Transition'!E:E,"STATE UNIT"),SUMIFS('Support - Transition'!F:F,'Support - Transition'!J:J,'Step 2'!D1476))</f>
        <v>1.02E-4</v>
      </c>
      <c r="J1476" s="126">
        <f>SUMIFS('Support - Unit Adjustments'!E:E,'Support - Unit Adjustments'!F:F,'Step 2'!D1476)</f>
        <v>0</v>
      </c>
      <c r="K1476" s="126">
        <f t="shared" si="441"/>
        <v>1.02E-4</v>
      </c>
      <c r="L1476" s="174">
        <f>VLOOKUP(A1476,'Step 1'!$A:$E,4,FALSE)</f>
        <v>1222632</v>
      </c>
      <c r="M1476" s="47">
        <f t="shared" si="442"/>
        <v>125</v>
      </c>
      <c r="N1476" s="177">
        <f>SUMIFS('Support - Transition'!G:G,'Support - Transition'!J:J,'Step 2'!D1476,'Support - Transition'!E:E,"2009 WELFARE ALLOCATION FACTOR")</f>
        <v>0</v>
      </c>
      <c r="O1476" s="152">
        <f t="shared" si="447"/>
        <v>0</v>
      </c>
      <c r="P1476" s="126">
        <f>IF(E1476="Y",0,SUMIFS('Support - Transition'!G:G,'Support - Transition'!J:J,'Step 2'!D1476,'Support - Transition'!E:E,"2009 SCHOOL ALLOCATION FACTOR"))</f>
        <v>0</v>
      </c>
      <c r="Q1476" s="126">
        <f>IF(E1476="Y",VLOOKUP(D1476,'Support - Unit Adjustments'!F:G,2,FALSE),0)</f>
        <v>0</v>
      </c>
      <c r="R1476" s="155">
        <f t="shared" si="440"/>
        <v>0</v>
      </c>
      <c r="S1476" s="47">
        <f t="shared" si="439"/>
        <v>0</v>
      </c>
      <c r="T1476" s="151">
        <f t="shared" si="443"/>
        <v>125</v>
      </c>
      <c r="U1476" s="151">
        <f t="shared" si="444"/>
        <v>0</v>
      </c>
      <c r="V1476" s="139">
        <f t="shared" si="445"/>
        <v>0</v>
      </c>
      <c r="W1476" s="152">
        <f t="shared" si="448"/>
        <v>125</v>
      </c>
      <c r="X1476" s="127" t="str">
        <f t="shared" si="446"/>
        <v/>
      </c>
      <c r="Y1476" s="207">
        <f t="shared" si="449"/>
        <v>125</v>
      </c>
      <c r="Z1476" s="139">
        <f t="shared" si="450"/>
        <v>125</v>
      </c>
      <c r="AA1476" s="139">
        <f t="shared" si="451"/>
        <v>0</v>
      </c>
      <c r="AC1476" s="47">
        <f t="shared" si="452"/>
        <v>63</v>
      </c>
      <c r="AD1476" s="47">
        <f t="shared" si="453"/>
        <v>63</v>
      </c>
      <c r="AE1476" s="47">
        <f t="shared" si="454"/>
        <v>0</v>
      </c>
      <c r="AG1476" s="47">
        <f t="shared" si="455"/>
        <v>62</v>
      </c>
      <c r="AH1476" s="47">
        <f t="shared" si="456"/>
        <v>62</v>
      </c>
      <c r="AI1476" s="208">
        <f t="shared" si="457"/>
        <v>0</v>
      </c>
    </row>
    <row r="1477" spans="1:35">
      <c r="A1477" t="s">
        <v>2132</v>
      </c>
      <c r="B1477" t="s">
        <v>3155</v>
      </c>
      <c r="C1477" t="s">
        <v>2781</v>
      </c>
      <c r="D1477" t="s">
        <v>4878</v>
      </c>
      <c r="F1477" t="s">
        <v>1135</v>
      </c>
      <c r="G1477" s="126">
        <f>SUMIFS('Support - Transition'!F:F,'Support - Transition'!B:B,'Step 2'!A1477,'Support - Transition'!C:C,'Step 2'!B1477,'Support - Transition'!D:D,'Step 2'!C1477,'Support - Transition'!E:E,"CIVIL")</f>
        <v>0</v>
      </c>
      <c r="H1477" s="126">
        <f>SUMIFS('Support - Transition'!F:F,'Support - Transition'!B:B,'Step 2'!A1477,'Support - Transition'!C:C,'Step 2'!B1477,'Support - Transition'!D:D,'Step 2'!C1477,'Support - Transition'!E:E,"FIRE")</f>
        <v>0</v>
      </c>
      <c r="I1477" s="126">
        <f>IF(B1477="0",SUMIFS('Support - Transition'!F:F,'Support - Transition'!J:J,'Step 2'!D1477,'Support - Transition'!E:E,"STATE UNIT"),SUMIFS('Support - Transition'!F:F,'Support - Transition'!J:J,'Step 2'!D1477))</f>
        <v>2.7999999999999998E-4</v>
      </c>
      <c r="J1477" s="126">
        <f>SUMIFS('Support - Unit Adjustments'!E:E,'Support - Unit Adjustments'!F:F,'Step 2'!D1477)</f>
        <v>0</v>
      </c>
      <c r="K1477" s="126">
        <f t="shared" si="441"/>
        <v>2.7999999999999998E-4</v>
      </c>
      <c r="L1477" s="174">
        <f>VLOOKUP(A1477,'Step 1'!$A:$E,4,FALSE)</f>
        <v>1222632</v>
      </c>
      <c r="M1477" s="47">
        <f t="shared" si="442"/>
        <v>342</v>
      </c>
      <c r="N1477" s="177">
        <f>SUMIFS('Support - Transition'!G:G,'Support - Transition'!J:J,'Step 2'!D1477,'Support - Transition'!E:E,"2009 WELFARE ALLOCATION FACTOR")</f>
        <v>0</v>
      </c>
      <c r="O1477" s="152">
        <f t="shared" si="447"/>
        <v>0</v>
      </c>
      <c r="P1477" s="126">
        <f>IF(E1477="Y",0,SUMIFS('Support - Transition'!G:G,'Support - Transition'!J:J,'Step 2'!D1477,'Support - Transition'!E:E,"2009 SCHOOL ALLOCATION FACTOR"))</f>
        <v>0</v>
      </c>
      <c r="Q1477" s="126">
        <f>IF(E1477="Y",VLOOKUP(D1477,'Support - Unit Adjustments'!F:G,2,FALSE),0)</f>
        <v>0</v>
      </c>
      <c r="R1477" s="155">
        <f t="shared" si="440"/>
        <v>0</v>
      </c>
      <c r="S1477" s="47">
        <f t="shared" si="439"/>
        <v>0</v>
      </c>
      <c r="T1477" s="151">
        <f t="shared" si="443"/>
        <v>342</v>
      </c>
      <c r="U1477" s="151">
        <f t="shared" si="444"/>
        <v>0</v>
      </c>
      <c r="V1477" s="139">
        <f t="shared" si="445"/>
        <v>0</v>
      </c>
      <c r="W1477" s="152">
        <f t="shared" si="448"/>
        <v>342</v>
      </c>
      <c r="X1477" s="127" t="str">
        <f t="shared" si="446"/>
        <v/>
      </c>
      <c r="Y1477" s="207">
        <f t="shared" si="449"/>
        <v>342</v>
      </c>
      <c r="Z1477" s="139">
        <f t="shared" si="450"/>
        <v>342</v>
      </c>
      <c r="AA1477" s="139">
        <f t="shared" si="451"/>
        <v>0</v>
      </c>
      <c r="AC1477" s="47">
        <f t="shared" si="452"/>
        <v>171</v>
      </c>
      <c r="AD1477" s="47">
        <f t="shared" si="453"/>
        <v>171</v>
      </c>
      <c r="AE1477" s="47">
        <f t="shared" si="454"/>
        <v>0</v>
      </c>
      <c r="AG1477" s="47">
        <f t="shared" si="455"/>
        <v>171</v>
      </c>
      <c r="AH1477" s="47">
        <f t="shared" si="456"/>
        <v>171</v>
      </c>
      <c r="AI1477" s="208">
        <f t="shared" si="457"/>
        <v>0</v>
      </c>
    </row>
    <row r="1478" spans="1:35">
      <c r="A1478" t="s">
        <v>2132</v>
      </c>
      <c r="B1478" t="s">
        <v>3155</v>
      </c>
      <c r="C1478" t="s">
        <v>2276</v>
      </c>
      <c r="D1478" t="s">
        <v>4879</v>
      </c>
      <c r="F1478" t="s">
        <v>1136</v>
      </c>
      <c r="G1478" s="126">
        <f>SUMIFS('Support - Transition'!F:F,'Support - Transition'!B:B,'Step 2'!A1478,'Support - Transition'!C:C,'Step 2'!B1478,'Support - Transition'!D:D,'Step 2'!C1478,'Support - Transition'!E:E,"CIVIL")</f>
        <v>0</v>
      </c>
      <c r="H1478" s="126">
        <f>SUMIFS('Support - Transition'!F:F,'Support - Transition'!B:B,'Step 2'!A1478,'Support - Transition'!C:C,'Step 2'!B1478,'Support - Transition'!D:D,'Step 2'!C1478,'Support - Transition'!E:E,"FIRE")</f>
        <v>0</v>
      </c>
      <c r="I1478" s="126">
        <f>IF(B1478="0",SUMIFS('Support - Transition'!F:F,'Support - Transition'!J:J,'Step 2'!D1478,'Support - Transition'!E:E,"STATE UNIT"),SUMIFS('Support - Transition'!F:F,'Support - Transition'!J:J,'Step 2'!D1478))</f>
        <v>9.3159999999999996E-3</v>
      </c>
      <c r="J1478" s="126">
        <f>SUMIFS('Support - Unit Adjustments'!E:E,'Support - Unit Adjustments'!F:F,'Step 2'!D1478)</f>
        <v>0</v>
      </c>
      <c r="K1478" s="126">
        <f t="shared" si="441"/>
        <v>9.3159999999999996E-3</v>
      </c>
      <c r="L1478" s="174">
        <f>VLOOKUP(A1478,'Step 1'!$A:$E,4,FALSE)</f>
        <v>1222632</v>
      </c>
      <c r="M1478" s="47">
        <f t="shared" si="442"/>
        <v>11390</v>
      </c>
      <c r="N1478" s="177">
        <f>SUMIFS('Support - Transition'!G:G,'Support - Transition'!J:J,'Step 2'!D1478,'Support - Transition'!E:E,"2009 WELFARE ALLOCATION FACTOR")</f>
        <v>0</v>
      </c>
      <c r="O1478" s="152">
        <f t="shared" si="447"/>
        <v>0</v>
      </c>
      <c r="P1478" s="126">
        <f>IF(E1478="Y",0,SUMIFS('Support - Transition'!G:G,'Support - Transition'!J:J,'Step 2'!D1478,'Support - Transition'!E:E,"2009 SCHOOL ALLOCATION FACTOR"))</f>
        <v>0</v>
      </c>
      <c r="Q1478" s="126">
        <f>IF(E1478="Y",VLOOKUP(D1478,'Support - Unit Adjustments'!F:G,2,FALSE),0)</f>
        <v>0</v>
      </c>
      <c r="R1478" s="155">
        <f t="shared" si="440"/>
        <v>0</v>
      </c>
      <c r="S1478" s="47">
        <f t="shared" si="439"/>
        <v>0</v>
      </c>
      <c r="T1478" s="151">
        <f t="shared" si="443"/>
        <v>11390</v>
      </c>
      <c r="U1478" s="151">
        <f t="shared" si="444"/>
        <v>0</v>
      </c>
      <c r="V1478" s="139">
        <f t="shared" si="445"/>
        <v>0</v>
      </c>
      <c r="W1478" s="152">
        <f t="shared" si="448"/>
        <v>11390</v>
      </c>
      <c r="X1478" s="127" t="str">
        <f t="shared" si="446"/>
        <v/>
      </c>
      <c r="Y1478" s="207">
        <f t="shared" si="449"/>
        <v>11390</v>
      </c>
      <c r="Z1478" s="139">
        <f t="shared" si="450"/>
        <v>11390</v>
      </c>
      <c r="AA1478" s="139">
        <f t="shared" si="451"/>
        <v>0</v>
      </c>
      <c r="AC1478" s="47">
        <f t="shared" si="452"/>
        <v>5695</v>
      </c>
      <c r="AD1478" s="47">
        <f t="shared" si="453"/>
        <v>5695</v>
      </c>
      <c r="AE1478" s="47">
        <f t="shared" si="454"/>
        <v>0</v>
      </c>
      <c r="AG1478" s="47">
        <f t="shared" si="455"/>
        <v>5695</v>
      </c>
      <c r="AH1478" s="47">
        <f t="shared" si="456"/>
        <v>5695</v>
      </c>
      <c r="AI1478" s="208">
        <f t="shared" si="457"/>
        <v>0</v>
      </c>
    </row>
    <row r="1479" spans="1:35">
      <c r="A1479" t="s">
        <v>2132</v>
      </c>
      <c r="B1479" t="s">
        <v>3155</v>
      </c>
      <c r="C1479" t="s">
        <v>2782</v>
      </c>
      <c r="D1479" t="s">
        <v>4880</v>
      </c>
      <c r="F1479" t="s">
        <v>1137</v>
      </c>
      <c r="G1479" s="126">
        <f>SUMIFS('Support - Transition'!F:F,'Support - Transition'!B:B,'Step 2'!A1479,'Support - Transition'!C:C,'Step 2'!B1479,'Support - Transition'!D:D,'Step 2'!C1479,'Support - Transition'!E:E,"CIVIL")</f>
        <v>0</v>
      </c>
      <c r="H1479" s="126">
        <f>SUMIFS('Support - Transition'!F:F,'Support - Transition'!B:B,'Step 2'!A1479,'Support - Transition'!C:C,'Step 2'!B1479,'Support - Transition'!D:D,'Step 2'!C1479,'Support - Transition'!E:E,"FIRE")</f>
        <v>0</v>
      </c>
      <c r="I1479" s="126">
        <f>IF(B1479="0",SUMIFS('Support - Transition'!F:F,'Support - Transition'!J:J,'Step 2'!D1479,'Support - Transition'!E:E,"STATE UNIT"),SUMIFS('Support - Transition'!F:F,'Support - Transition'!J:J,'Step 2'!D1479))</f>
        <v>0</v>
      </c>
      <c r="J1479" s="126">
        <f>SUMIFS('Support - Unit Adjustments'!E:E,'Support - Unit Adjustments'!F:F,'Step 2'!D1479)</f>
        <v>0</v>
      </c>
      <c r="K1479" s="126">
        <f t="shared" si="441"/>
        <v>0</v>
      </c>
      <c r="L1479" s="174">
        <f>VLOOKUP(A1479,'Step 1'!$A:$E,4,FALSE)</f>
        <v>1222632</v>
      </c>
      <c r="M1479" s="47">
        <f t="shared" si="442"/>
        <v>0</v>
      </c>
      <c r="N1479" s="177">
        <f>SUMIFS('Support - Transition'!G:G,'Support - Transition'!J:J,'Step 2'!D1479,'Support - Transition'!E:E,"2009 WELFARE ALLOCATION FACTOR")</f>
        <v>0</v>
      </c>
      <c r="O1479" s="152">
        <f t="shared" si="447"/>
        <v>0</v>
      </c>
      <c r="P1479" s="126">
        <f>IF(E1479="Y",0,SUMIFS('Support - Transition'!G:G,'Support - Transition'!J:J,'Step 2'!D1479,'Support - Transition'!E:E,"2009 SCHOOL ALLOCATION FACTOR"))</f>
        <v>0</v>
      </c>
      <c r="Q1479" s="126">
        <f>IF(E1479="Y",VLOOKUP(D1479,'Support - Unit Adjustments'!F:G,2,FALSE),0)</f>
        <v>0</v>
      </c>
      <c r="R1479" s="155">
        <f t="shared" si="440"/>
        <v>0</v>
      </c>
      <c r="S1479" s="47">
        <f t="shared" si="439"/>
        <v>0</v>
      </c>
      <c r="T1479" s="151">
        <f t="shared" si="443"/>
        <v>0</v>
      </c>
      <c r="U1479" s="151">
        <f t="shared" si="444"/>
        <v>0</v>
      </c>
      <c r="V1479" s="139">
        <f t="shared" si="445"/>
        <v>0</v>
      </c>
      <c r="W1479" s="152">
        <f t="shared" si="448"/>
        <v>0</v>
      </c>
      <c r="X1479" s="127" t="str">
        <f t="shared" si="446"/>
        <v/>
      </c>
      <c r="Y1479" s="207">
        <f t="shared" si="449"/>
        <v>0</v>
      </c>
      <c r="Z1479" s="139">
        <f t="shared" si="450"/>
        <v>0</v>
      </c>
      <c r="AA1479" s="139">
        <f t="shared" si="451"/>
        <v>0</v>
      </c>
      <c r="AC1479" s="47">
        <f t="shared" si="452"/>
        <v>0</v>
      </c>
      <c r="AD1479" s="47">
        <f t="shared" si="453"/>
        <v>0</v>
      </c>
      <c r="AE1479" s="47">
        <f t="shared" si="454"/>
        <v>0</v>
      </c>
      <c r="AG1479" s="47">
        <f t="shared" si="455"/>
        <v>0</v>
      </c>
      <c r="AH1479" s="47">
        <f t="shared" si="456"/>
        <v>0</v>
      </c>
      <c r="AI1479" s="208">
        <f t="shared" si="457"/>
        <v>0</v>
      </c>
    </row>
    <row r="1480" spans="1:35">
      <c r="A1480" t="s">
        <v>2132</v>
      </c>
      <c r="B1480" t="s">
        <v>3155</v>
      </c>
      <c r="C1480" t="s">
        <v>2783</v>
      </c>
      <c r="D1480" t="s">
        <v>4881</v>
      </c>
      <c r="F1480" t="s">
        <v>1138</v>
      </c>
      <c r="G1480" s="126">
        <f>SUMIFS('Support - Transition'!F:F,'Support - Transition'!B:B,'Step 2'!A1480,'Support - Transition'!C:C,'Step 2'!B1480,'Support - Transition'!D:D,'Step 2'!C1480,'Support - Transition'!E:E,"CIVIL")</f>
        <v>0</v>
      </c>
      <c r="H1480" s="126">
        <f>SUMIFS('Support - Transition'!F:F,'Support - Transition'!B:B,'Step 2'!A1480,'Support - Transition'!C:C,'Step 2'!B1480,'Support - Transition'!D:D,'Step 2'!C1480,'Support - Transition'!E:E,"FIRE")</f>
        <v>0</v>
      </c>
      <c r="I1480" s="126">
        <f>IF(B1480="0",SUMIFS('Support - Transition'!F:F,'Support - Transition'!J:J,'Step 2'!D1480,'Support - Transition'!E:E,"STATE UNIT"),SUMIFS('Support - Transition'!F:F,'Support - Transition'!J:J,'Step 2'!D1480))</f>
        <v>2.22E-4</v>
      </c>
      <c r="J1480" s="126">
        <f>SUMIFS('Support - Unit Adjustments'!E:E,'Support - Unit Adjustments'!F:F,'Step 2'!D1480)</f>
        <v>0</v>
      </c>
      <c r="K1480" s="126">
        <f t="shared" si="441"/>
        <v>2.22E-4</v>
      </c>
      <c r="L1480" s="174">
        <f>VLOOKUP(A1480,'Step 1'!$A:$E,4,FALSE)</f>
        <v>1222632</v>
      </c>
      <c r="M1480" s="47">
        <f t="shared" si="442"/>
        <v>271</v>
      </c>
      <c r="N1480" s="177">
        <f>SUMIFS('Support - Transition'!G:G,'Support - Transition'!J:J,'Step 2'!D1480,'Support - Transition'!E:E,"2009 WELFARE ALLOCATION FACTOR")</f>
        <v>0</v>
      </c>
      <c r="O1480" s="152">
        <f t="shared" si="447"/>
        <v>0</v>
      </c>
      <c r="P1480" s="126">
        <f>IF(E1480="Y",0,SUMIFS('Support - Transition'!G:G,'Support - Transition'!J:J,'Step 2'!D1480,'Support - Transition'!E:E,"2009 SCHOOL ALLOCATION FACTOR"))</f>
        <v>0</v>
      </c>
      <c r="Q1480" s="126">
        <f>IF(E1480="Y",VLOOKUP(D1480,'Support - Unit Adjustments'!F:G,2,FALSE),0)</f>
        <v>0</v>
      </c>
      <c r="R1480" s="155">
        <f t="shared" si="440"/>
        <v>0</v>
      </c>
      <c r="S1480" s="47">
        <f t="shared" ref="S1480:S1543" si="458">ROUND(+R1480*M1480,0)</f>
        <v>0</v>
      </c>
      <c r="T1480" s="151">
        <f t="shared" si="443"/>
        <v>271</v>
      </c>
      <c r="U1480" s="151">
        <f t="shared" si="444"/>
        <v>0</v>
      </c>
      <c r="V1480" s="139">
        <f t="shared" si="445"/>
        <v>0</v>
      </c>
      <c r="W1480" s="152">
        <f t="shared" si="448"/>
        <v>271</v>
      </c>
      <c r="X1480" s="127" t="str">
        <f t="shared" si="446"/>
        <v/>
      </c>
      <c r="Y1480" s="207">
        <f t="shared" si="449"/>
        <v>271</v>
      </c>
      <c r="Z1480" s="139">
        <f t="shared" si="450"/>
        <v>271</v>
      </c>
      <c r="AA1480" s="139">
        <f t="shared" si="451"/>
        <v>0</v>
      </c>
      <c r="AC1480" s="47">
        <f t="shared" si="452"/>
        <v>136</v>
      </c>
      <c r="AD1480" s="47">
        <f t="shared" si="453"/>
        <v>136</v>
      </c>
      <c r="AE1480" s="47">
        <f t="shared" si="454"/>
        <v>0</v>
      </c>
      <c r="AG1480" s="47">
        <f t="shared" si="455"/>
        <v>135</v>
      </c>
      <c r="AH1480" s="47">
        <f t="shared" si="456"/>
        <v>135</v>
      </c>
      <c r="AI1480" s="208">
        <f t="shared" si="457"/>
        <v>0</v>
      </c>
    </row>
    <row r="1481" spans="1:35">
      <c r="A1481" t="s">
        <v>2132</v>
      </c>
      <c r="B1481" t="s">
        <v>3155</v>
      </c>
      <c r="C1481" t="s">
        <v>2784</v>
      </c>
      <c r="D1481" t="s">
        <v>4882</v>
      </c>
      <c r="F1481" t="s">
        <v>1139</v>
      </c>
      <c r="G1481" s="126">
        <f>SUMIFS('Support - Transition'!F:F,'Support - Transition'!B:B,'Step 2'!A1481,'Support - Transition'!C:C,'Step 2'!B1481,'Support - Transition'!D:D,'Step 2'!C1481,'Support - Transition'!E:E,"CIVIL")</f>
        <v>0</v>
      </c>
      <c r="H1481" s="126">
        <f>SUMIFS('Support - Transition'!F:F,'Support - Transition'!B:B,'Step 2'!A1481,'Support - Transition'!C:C,'Step 2'!B1481,'Support - Transition'!D:D,'Step 2'!C1481,'Support - Transition'!E:E,"FIRE")</f>
        <v>0</v>
      </c>
      <c r="I1481" s="126">
        <f>IF(B1481="0",SUMIFS('Support - Transition'!F:F,'Support - Transition'!J:J,'Step 2'!D1481,'Support - Transition'!E:E,"STATE UNIT"),SUMIFS('Support - Transition'!F:F,'Support - Transition'!J:J,'Step 2'!D1481))</f>
        <v>0</v>
      </c>
      <c r="J1481" s="126">
        <f>SUMIFS('Support - Unit Adjustments'!E:E,'Support - Unit Adjustments'!F:F,'Step 2'!D1481)</f>
        <v>0</v>
      </c>
      <c r="K1481" s="126">
        <f t="shared" si="441"/>
        <v>0</v>
      </c>
      <c r="L1481" s="174">
        <f>VLOOKUP(A1481,'Step 1'!$A:$E,4,FALSE)</f>
        <v>1222632</v>
      </c>
      <c r="M1481" s="47">
        <f t="shared" si="442"/>
        <v>0</v>
      </c>
      <c r="N1481" s="177">
        <f>SUMIFS('Support - Transition'!G:G,'Support - Transition'!J:J,'Step 2'!D1481,'Support - Transition'!E:E,"2009 WELFARE ALLOCATION FACTOR")</f>
        <v>0</v>
      </c>
      <c r="O1481" s="152">
        <f t="shared" si="447"/>
        <v>0</v>
      </c>
      <c r="P1481" s="126">
        <f>IF(E1481="Y",0,SUMIFS('Support - Transition'!G:G,'Support - Transition'!J:J,'Step 2'!D1481,'Support - Transition'!E:E,"2009 SCHOOL ALLOCATION FACTOR"))</f>
        <v>0</v>
      </c>
      <c r="Q1481" s="126">
        <f>IF(E1481="Y",VLOOKUP(D1481,'Support - Unit Adjustments'!F:G,2,FALSE),0)</f>
        <v>0</v>
      </c>
      <c r="R1481" s="155">
        <f t="shared" ref="R1481:R1544" si="459">+P1481+Q1481</f>
        <v>0</v>
      </c>
      <c r="S1481" s="47">
        <f t="shared" si="458"/>
        <v>0</v>
      </c>
      <c r="T1481" s="151">
        <f t="shared" si="443"/>
        <v>0</v>
      </c>
      <c r="U1481" s="151">
        <f t="shared" si="444"/>
        <v>0</v>
      </c>
      <c r="V1481" s="139">
        <f t="shared" si="445"/>
        <v>0</v>
      </c>
      <c r="W1481" s="152">
        <f t="shared" si="448"/>
        <v>0</v>
      </c>
      <c r="X1481" s="127" t="str">
        <f t="shared" si="446"/>
        <v/>
      </c>
      <c r="Y1481" s="207">
        <f t="shared" si="449"/>
        <v>0</v>
      </c>
      <c r="Z1481" s="139">
        <f t="shared" si="450"/>
        <v>0</v>
      </c>
      <c r="AA1481" s="139">
        <f t="shared" si="451"/>
        <v>0</v>
      </c>
      <c r="AC1481" s="47">
        <f t="shared" si="452"/>
        <v>0</v>
      </c>
      <c r="AD1481" s="47">
        <f t="shared" si="453"/>
        <v>0</v>
      </c>
      <c r="AE1481" s="47">
        <f t="shared" si="454"/>
        <v>0</v>
      </c>
      <c r="AG1481" s="47">
        <f t="shared" si="455"/>
        <v>0</v>
      </c>
      <c r="AH1481" s="47">
        <f t="shared" si="456"/>
        <v>0</v>
      </c>
      <c r="AI1481" s="208">
        <f t="shared" si="457"/>
        <v>0</v>
      </c>
    </row>
    <row r="1482" spans="1:35">
      <c r="A1482" t="s">
        <v>2132</v>
      </c>
      <c r="B1482" t="s">
        <v>3160</v>
      </c>
      <c r="C1482" t="s">
        <v>2486</v>
      </c>
      <c r="D1482" t="s">
        <v>4883</v>
      </c>
      <c r="F1482" t="s">
        <v>608</v>
      </c>
      <c r="G1482" s="126">
        <f>SUMIFS('Support - Transition'!F:F,'Support - Transition'!B:B,'Step 2'!A1482,'Support - Transition'!C:C,'Step 2'!B1482,'Support - Transition'!D:D,'Step 2'!C1482,'Support - Transition'!E:E,"CIVIL")</f>
        <v>0</v>
      </c>
      <c r="H1482" s="126">
        <f>SUMIFS('Support - Transition'!F:F,'Support - Transition'!B:B,'Step 2'!A1482,'Support - Transition'!C:C,'Step 2'!B1482,'Support - Transition'!D:D,'Step 2'!C1482,'Support - Transition'!E:E,"FIRE")</f>
        <v>0</v>
      </c>
      <c r="I1482" s="126">
        <f>IF(B1482="0",SUMIFS('Support - Transition'!F:F,'Support - Transition'!J:J,'Step 2'!D1482,'Support - Transition'!E:E,"STATE UNIT"),SUMIFS('Support - Transition'!F:F,'Support - Transition'!J:J,'Step 2'!D1482))</f>
        <v>1.5651000000000002E-2</v>
      </c>
      <c r="J1482" s="126">
        <f>SUMIFS('Support - Unit Adjustments'!E:E,'Support - Unit Adjustments'!F:F,'Step 2'!D1482)</f>
        <v>0</v>
      </c>
      <c r="K1482" s="126">
        <f t="shared" si="441"/>
        <v>1.5651000000000002E-2</v>
      </c>
      <c r="L1482" s="174">
        <f>VLOOKUP(A1482,'Step 1'!$A:$E,4,FALSE)</f>
        <v>1222632</v>
      </c>
      <c r="M1482" s="47">
        <f t="shared" si="442"/>
        <v>19135</v>
      </c>
      <c r="N1482" s="177">
        <f>SUMIFS('Support - Transition'!G:G,'Support - Transition'!J:J,'Step 2'!D1482,'Support - Transition'!E:E,"2009 WELFARE ALLOCATION FACTOR")</f>
        <v>0</v>
      </c>
      <c r="O1482" s="152">
        <f t="shared" si="447"/>
        <v>0</v>
      </c>
      <c r="P1482" s="126">
        <f>IF(E1482="Y",0,SUMIFS('Support - Transition'!G:G,'Support - Transition'!J:J,'Step 2'!D1482,'Support - Transition'!E:E,"2009 SCHOOL ALLOCATION FACTOR"))</f>
        <v>0.45816000000000001</v>
      </c>
      <c r="Q1482" s="126">
        <f>IF(E1482="Y",VLOOKUP(D1482,'Support - Unit Adjustments'!F:G,2,FALSE),0)</f>
        <v>0</v>
      </c>
      <c r="R1482" s="155">
        <f t="shared" si="459"/>
        <v>0.45816000000000001</v>
      </c>
      <c r="S1482" s="47">
        <f t="shared" si="458"/>
        <v>8767</v>
      </c>
      <c r="T1482" s="151">
        <f t="shared" si="443"/>
        <v>10368</v>
      </c>
      <c r="U1482" s="151">
        <f t="shared" si="444"/>
        <v>0</v>
      </c>
      <c r="V1482" s="139">
        <f t="shared" si="445"/>
        <v>0</v>
      </c>
      <c r="W1482" s="152">
        <f t="shared" si="448"/>
        <v>10368</v>
      </c>
      <c r="X1482" s="127" t="str">
        <f t="shared" si="446"/>
        <v/>
      </c>
      <c r="Y1482" s="207">
        <f t="shared" si="449"/>
        <v>10368</v>
      </c>
      <c r="Z1482" s="139">
        <f t="shared" si="450"/>
        <v>10368</v>
      </c>
      <c r="AA1482" s="139">
        <f t="shared" si="451"/>
        <v>0</v>
      </c>
      <c r="AC1482" s="47">
        <f t="shared" si="452"/>
        <v>5184</v>
      </c>
      <c r="AD1482" s="47">
        <f t="shared" si="453"/>
        <v>5184</v>
      </c>
      <c r="AE1482" s="47">
        <f t="shared" si="454"/>
        <v>0</v>
      </c>
      <c r="AG1482" s="47">
        <f t="shared" si="455"/>
        <v>5184</v>
      </c>
      <c r="AH1482" s="47">
        <f t="shared" si="456"/>
        <v>5184</v>
      </c>
      <c r="AI1482" s="208">
        <f t="shared" si="457"/>
        <v>0</v>
      </c>
    </row>
    <row r="1483" spans="1:35">
      <c r="A1483" t="s">
        <v>2132</v>
      </c>
      <c r="B1483" t="s">
        <v>3160</v>
      </c>
      <c r="C1483" t="s">
        <v>2785</v>
      </c>
      <c r="D1483" t="s">
        <v>4884</v>
      </c>
      <c r="F1483" t="s">
        <v>4885</v>
      </c>
      <c r="G1483" s="126">
        <f>SUMIFS('Support - Transition'!F:F,'Support - Transition'!B:B,'Step 2'!A1483,'Support - Transition'!C:C,'Step 2'!B1483,'Support - Transition'!D:D,'Step 2'!C1483,'Support - Transition'!E:E,"CIVIL")</f>
        <v>0</v>
      </c>
      <c r="H1483" s="126">
        <f>SUMIFS('Support - Transition'!F:F,'Support - Transition'!B:B,'Step 2'!A1483,'Support - Transition'!C:C,'Step 2'!B1483,'Support - Transition'!D:D,'Step 2'!C1483,'Support - Transition'!E:E,"FIRE")</f>
        <v>0</v>
      </c>
      <c r="I1483" s="126">
        <f>IF(B1483="0",SUMIFS('Support - Transition'!F:F,'Support - Transition'!J:J,'Step 2'!D1483,'Support - Transition'!E:E,"STATE UNIT"),SUMIFS('Support - Transition'!F:F,'Support - Transition'!J:J,'Step 2'!D1483))</f>
        <v>0.19841200000000001</v>
      </c>
      <c r="J1483" s="126">
        <f>SUMIFS('Support - Unit Adjustments'!E:E,'Support - Unit Adjustments'!F:F,'Step 2'!D1483)</f>
        <v>0</v>
      </c>
      <c r="K1483" s="126">
        <f t="shared" si="441"/>
        <v>0.19841200000000001</v>
      </c>
      <c r="L1483" s="174">
        <f>VLOOKUP(A1483,'Step 1'!$A:$E,4,FALSE)</f>
        <v>1222632</v>
      </c>
      <c r="M1483" s="47">
        <f t="shared" si="442"/>
        <v>242585</v>
      </c>
      <c r="N1483" s="177">
        <f>SUMIFS('Support - Transition'!G:G,'Support - Transition'!J:J,'Step 2'!D1483,'Support - Transition'!E:E,"2009 WELFARE ALLOCATION FACTOR")</f>
        <v>0</v>
      </c>
      <c r="O1483" s="152">
        <f t="shared" si="447"/>
        <v>0</v>
      </c>
      <c r="P1483" s="126">
        <f>IF(E1483="Y",0,SUMIFS('Support - Transition'!G:G,'Support - Transition'!J:J,'Step 2'!D1483,'Support - Transition'!E:E,"2009 SCHOOL ALLOCATION FACTOR"))</f>
        <v>0.35032600000000003</v>
      </c>
      <c r="Q1483" s="126">
        <f>IF(E1483="Y",VLOOKUP(D1483,'Support - Unit Adjustments'!F:G,2,FALSE),0)</f>
        <v>0</v>
      </c>
      <c r="R1483" s="155">
        <f t="shared" si="459"/>
        <v>0.35032600000000003</v>
      </c>
      <c r="S1483" s="47">
        <f t="shared" si="458"/>
        <v>84984</v>
      </c>
      <c r="T1483" s="151">
        <f t="shared" si="443"/>
        <v>157601</v>
      </c>
      <c r="U1483" s="151">
        <f t="shared" si="444"/>
        <v>0</v>
      </c>
      <c r="V1483" s="139">
        <f t="shared" si="445"/>
        <v>0</v>
      </c>
      <c r="W1483" s="152">
        <f t="shared" si="448"/>
        <v>157601</v>
      </c>
      <c r="X1483" s="127" t="str">
        <f t="shared" si="446"/>
        <v/>
      </c>
      <c r="Y1483" s="207">
        <f t="shared" si="449"/>
        <v>157601</v>
      </c>
      <c r="Z1483" s="139">
        <f t="shared" si="450"/>
        <v>157601</v>
      </c>
      <c r="AA1483" s="139">
        <f t="shared" si="451"/>
        <v>0</v>
      </c>
      <c r="AC1483" s="47">
        <f t="shared" si="452"/>
        <v>78801</v>
      </c>
      <c r="AD1483" s="47">
        <f t="shared" si="453"/>
        <v>78801</v>
      </c>
      <c r="AE1483" s="47">
        <f t="shared" si="454"/>
        <v>0</v>
      </c>
      <c r="AG1483" s="47">
        <f t="shared" si="455"/>
        <v>78800</v>
      </c>
      <c r="AH1483" s="47">
        <f t="shared" si="456"/>
        <v>78800</v>
      </c>
      <c r="AI1483" s="208">
        <f t="shared" si="457"/>
        <v>0</v>
      </c>
    </row>
    <row r="1484" spans="1:35">
      <c r="A1484" t="s">
        <v>2132</v>
      </c>
      <c r="B1484" t="s">
        <v>3160</v>
      </c>
      <c r="C1484" t="s">
        <v>2786</v>
      </c>
      <c r="D1484" t="s">
        <v>4886</v>
      </c>
      <c r="F1484" t="s">
        <v>4887</v>
      </c>
      <c r="G1484" s="126">
        <f>SUMIFS('Support - Transition'!F:F,'Support - Transition'!B:B,'Step 2'!A1484,'Support - Transition'!C:C,'Step 2'!B1484,'Support - Transition'!D:D,'Step 2'!C1484,'Support - Transition'!E:E,"CIVIL")</f>
        <v>0</v>
      </c>
      <c r="H1484" s="126">
        <f>SUMIFS('Support - Transition'!F:F,'Support - Transition'!B:B,'Step 2'!A1484,'Support - Transition'!C:C,'Step 2'!B1484,'Support - Transition'!D:D,'Step 2'!C1484,'Support - Transition'!E:E,"FIRE")</f>
        <v>0</v>
      </c>
      <c r="I1484" s="126">
        <f>IF(B1484="0",SUMIFS('Support - Transition'!F:F,'Support - Transition'!J:J,'Step 2'!D1484,'Support - Transition'!E:E,"STATE UNIT"),SUMIFS('Support - Transition'!F:F,'Support - Transition'!J:J,'Step 2'!D1484))</f>
        <v>4.8214E-2</v>
      </c>
      <c r="J1484" s="126">
        <f>SUMIFS('Support - Unit Adjustments'!E:E,'Support - Unit Adjustments'!F:F,'Step 2'!D1484)</f>
        <v>0</v>
      </c>
      <c r="K1484" s="126">
        <f t="shared" si="441"/>
        <v>4.8214E-2</v>
      </c>
      <c r="L1484" s="174">
        <f>VLOOKUP(A1484,'Step 1'!$A:$E,4,FALSE)</f>
        <v>1222632</v>
      </c>
      <c r="M1484" s="47">
        <f t="shared" si="442"/>
        <v>58948</v>
      </c>
      <c r="N1484" s="177">
        <f>SUMIFS('Support - Transition'!G:G,'Support - Transition'!J:J,'Step 2'!D1484,'Support - Transition'!E:E,"2009 WELFARE ALLOCATION FACTOR")</f>
        <v>0</v>
      </c>
      <c r="O1484" s="152">
        <f t="shared" si="447"/>
        <v>0</v>
      </c>
      <c r="P1484" s="126">
        <f>IF(E1484="Y",0,SUMIFS('Support - Transition'!G:G,'Support - Transition'!J:J,'Step 2'!D1484,'Support - Transition'!E:E,"2009 SCHOOL ALLOCATION FACTOR"))</f>
        <v>0.40493000000000001</v>
      </c>
      <c r="Q1484" s="126">
        <f>IF(E1484="Y",VLOOKUP(D1484,'Support - Unit Adjustments'!F:G,2,FALSE),0)</f>
        <v>0</v>
      </c>
      <c r="R1484" s="155">
        <f t="shared" si="459"/>
        <v>0.40493000000000001</v>
      </c>
      <c r="S1484" s="47">
        <f t="shared" si="458"/>
        <v>23870</v>
      </c>
      <c r="T1484" s="151">
        <f t="shared" si="443"/>
        <v>35078</v>
      </c>
      <c r="U1484" s="151">
        <f t="shared" si="444"/>
        <v>0</v>
      </c>
      <c r="V1484" s="139">
        <f t="shared" si="445"/>
        <v>0</v>
      </c>
      <c r="W1484" s="152">
        <f t="shared" si="448"/>
        <v>35078</v>
      </c>
      <c r="X1484" s="127" t="str">
        <f t="shared" si="446"/>
        <v/>
      </c>
      <c r="Y1484" s="207">
        <f t="shared" si="449"/>
        <v>35078</v>
      </c>
      <c r="Z1484" s="139">
        <f t="shared" si="450"/>
        <v>35078</v>
      </c>
      <c r="AA1484" s="139">
        <f t="shared" si="451"/>
        <v>0</v>
      </c>
      <c r="AC1484" s="47">
        <f t="shared" si="452"/>
        <v>17539</v>
      </c>
      <c r="AD1484" s="47">
        <f t="shared" si="453"/>
        <v>17539</v>
      </c>
      <c r="AE1484" s="47">
        <f t="shared" si="454"/>
        <v>0</v>
      </c>
      <c r="AG1484" s="47">
        <f t="shared" si="455"/>
        <v>17539</v>
      </c>
      <c r="AH1484" s="47">
        <f t="shared" si="456"/>
        <v>17539</v>
      </c>
      <c r="AI1484" s="208">
        <f t="shared" si="457"/>
        <v>0</v>
      </c>
    </row>
    <row r="1485" spans="1:35">
      <c r="A1485" t="s">
        <v>2132</v>
      </c>
      <c r="B1485" t="s">
        <v>3160</v>
      </c>
      <c r="C1485" t="s">
        <v>2787</v>
      </c>
      <c r="D1485" t="s">
        <v>4888</v>
      </c>
      <c r="F1485" t="s">
        <v>1140</v>
      </c>
      <c r="G1485" s="126">
        <f>SUMIFS('Support - Transition'!F:F,'Support - Transition'!B:B,'Step 2'!A1485,'Support - Transition'!C:C,'Step 2'!B1485,'Support - Transition'!D:D,'Step 2'!C1485,'Support - Transition'!E:E,"CIVIL")</f>
        <v>0</v>
      </c>
      <c r="H1485" s="126">
        <f>SUMIFS('Support - Transition'!F:F,'Support - Transition'!B:B,'Step 2'!A1485,'Support - Transition'!C:C,'Step 2'!B1485,'Support - Transition'!D:D,'Step 2'!C1485,'Support - Transition'!E:E,"FIRE")</f>
        <v>0</v>
      </c>
      <c r="I1485" s="126">
        <f>IF(B1485="0",SUMIFS('Support - Transition'!F:F,'Support - Transition'!J:J,'Step 2'!D1485,'Support - Transition'!E:E,"STATE UNIT"),SUMIFS('Support - Transition'!F:F,'Support - Transition'!J:J,'Step 2'!D1485))</f>
        <v>1.9619999999999999E-2</v>
      </c>
      <c r="J1485" s="126">
        <f>SUMIFS('Support - Unit Adjustments'!E:E,'Support - Unit Adjustments'!F:F,'Step 2'!D1485)</f>
        <v>0</v>
      </c>
      <c r="K1485" s="126">
        <f t="shared" si="441"/>
        <v>1.9619999999999999E-2</v>
      </c>
      <c r="L1485" s="174">
        <f>VLOOKUP(A1485,'Step 1'!$A:$E,4,FALSE)</f>
        <v>1222632</v>
      </c>
      <c r="M1485" s="47">
        <f t="shared" si="442"/>
        <v>23988</v>
      </c>
      <c r="N1485" s="177">
        <f>SUMIFS('Support - Transition'!G:G,'Support - Transition'!J:J,'Step 2'!D1485,'Support - Transition'!E:E,"2009 WELFARE ALLOCATION FACTOR")</f>
        <v>0</v>
      </c>
      <c r="O1485" s="152">
        <f t="shared" si="447"/>
        <v>0</v>
      </c>
      <c r="P1485" s="126">
        <f>IF(E1485="Y",0,SUMIFS('Support - Transition'!G:G,'Support - Transition'!J:J,'Step 2'!D1485,'Support - Transition'!E:E,"2009 SCHOOL ALLOCATION FACTOR"))</f>
        <v>0.51545300000000005</v>
      </c>
      <c r="Q1485" s="126">
        <f>IF(E1485="Y",VLOOKUP(D1485,'Support - Unit Adjustments'!F:G,2,FALSE),0)</f>
        <v>0</v>
      </c>
      <c r="R1485" s="155">
        <f t="shared" si="459"/>
        <v>0.51545300000000005</v>
      </c>
      <c r="S1485" s="47">
        <f t="shared" si="458"/>
        <v>12365</v>
      </c>
      <c r="T1485" s="151">
        <f t="shared" si="443"/>
        <v>11623</v>
      </c>
      <c r="U1485" s="151">
        <f t="shared" si="444"/>
        <v>0</v>
      </c>
      <c r="V1485" s="139">
        <f t="shared" si="445"/>
        <v>0</v>
      </c>
      <c r="W1485" s="152">
        <f t="shared" si="448"/>
        <v>11623</v>
      </c>
      <c r="X1485" s="127" t="str">
        <f t="shared" si="446"/>
        <v/>
      </c>
      <c r="Y1485" s="207">
        <f t="shared" si="449"/>
        <v>11623</v>
      </c>
      <c r="Z1485" s="139">
        <f t="shared" si="450"/>
        <v>11623</v>
      </c>
      <c r="AA1485" s="139">
        <f t="shared" si="451"/>
        <v>0</v>
      </c>
      <c r="AC1485" s="47">
        <f t="shared" si="452"/>
        <v>5812</v>
      </c>
      <c r="AD1485" s="47">
        <f t="shared" si="453"/>
        <v>5812</v>
      </c>
      <c r="AE1485" s="47">
        <f t="shared" si="454"/>
        <v>0</v>
      </c>
      <c r="AG1485" s="47">
        <f t="shared" si="455"/>
        <v>5811</v>
      </c>
      <c r="AH1485" s="47">
        <f t="shared" si="456"/>
        <v>5811</v>
      </c>
      <c r="AI1485" s="208">
        <f t="shared" si="457"/>
        <v>0</v>
      </c>
    </row>
    <row r="1486" spans="1:35">
      <c r="A1486" t="s">
        <v>2132</v>
      </c>
      <c r="B1486" t="s">
        <v>3160</v>
      </c>
      <c r="C1486" t="s">
        <v>2788</v>
      </c>
      <c r="D1486" t="s">
        <v>4889</v>
      </c>
      <c r="F1486" t="s">
        <v>1141</v>
      </c>
      <c r="G1486" s="126">
        <f>SUMIFS('Support - Transition'!F:F,'Support - Transition'!B:B,'Step 2'!A1486,'Support - Transition'!C:C,'Step 2'!B1486,'Support - Transition'!D:D,'Step 2'!C1486,'Support - Transition'!E:E,"CIVIL")</f>
        <v>0</v>
      </c>
      <c r="H1486" s="126">
        <f>SUMIFS('Support - Transition'!F:F,'Support - Transition'!B:B,'Step 2'!A1486,'Support - Transition'!C:C,'Step 2'!B1486,'Support - Transition'!D:D,'Step 2'!C1486,'Support - Transition'!E:E,"FIRE")</f>
        <v>0</v>
      </c>
      <c r="I1486" s="126">
        <f>IF(B1486="0",SUMIFS('Support - Transition'!F:F,'Support - Transition'!J:J,'Step 2'!D1486,'Support - Transition'!E:E,"STATE UNIT"),SUMIFS('Support - Transition'!F:F,'Support - Transition'!J:J,'Step 2'!D1486))</f>
        <v>0.19852700000000001</v>
      </c>
      <c r="J1486" s="126">
        <f>SUMIFS('Support - Unit Adjustments'!E:E,'Support - Unit Adjustments'!F:F,'Step 2'!D1486)</f>
        <v>0</v>
      </c>
      <c r="K1486" s="126">
        <f t="shared" si="441"/>
        <v>0.19852700000000001</v>
      </c>
      <c r="L1486" s="174">
        <f>VLOOKUP(A1486,'Step 1'!$A:$E,4,FALSE)</f>
        <v>1222632</v>
      </c>
      <c r="M1486" s="47">
        <f t="shared" si="442"/>
        <v>242725</v>
      </c>
      <c r="N1486" s="177">
        <f>SUMIFS('Support - Transition'!G:G,'Support - Transition'!J:J,'Step 2'!D1486,'Support - Transition'!E:E,"2009 WELFARE ALLOCATION FACTOR")</f>
        <v>0</v>
      </c>
      <c r="O1486" s="152">
        <f t="shared" si="447"/>
        <v>0</v>
      </c>
      <c r="P1486" s="126">
        <f>IF(E1486="Y",0,SUMIFS('Support - Transition'!G:G,'Support - Transition'!J:J,'Step 2'!D1486,'Support - Transition'!E:E,"2009 SCHOOL ALLOCATION FACTOR"))</f>
        <v>0.42924200000000001</v>
      </c>
      <c r="Q1486" s="126">
        <f>IF(E1486="Y",VLOOKUP(D1486,'Support - Unit Adjustments'!F:G,2,FALSE),0)</f>
        <v>0</v>
      </c>
      <c r="R1486" s="155">
        <f t="shared" si="459"/>
        <v>0.42924200000000001</v>
      </c>
      <c r="S1486" s="47">
        <f t="shared" si="458"/>
        <v>104188</v>
      </c>
      <c r="T1486" s="151">
        <f t="shared" si="443"/>
        <v>138537</v>
      </c>
      <c r="U1486" s="151">
        <f t="shared" si="444"/>
        <v>0</v>
      </c>
      <c r="V1486" s="139">
        <f t="shared" si="445"/>
        <v>0</v>
      </c>
      <c r="W1486" s="152">
        <f t="shared" si="448"/>
        <v>138537</v>
      </c>
      <c r="X1486" s="127" t="str">
        <f t="shared" si="446"/>
        <v/>
      </c>
      <c r="Y1486" s="207">
        <f t="shared" si="449"/>
        <v>138537</v>
      </c>
      <c r="Z1486" s="139">
        <f t="shared" si="450"/>
        <v>138537</v>
      </c>
      <c r="AA1486" s="139">
        <f t="shared" si="451"/>
        <v>0</v>
      </c>
      <c r="AC1486" s="47">
        <f t="shared" si="452"/>
        <v>69269</v>
      </c>
      <c r="AD1486" s="47">
        <f t="shared" si="453"/>
        <v>69269</v>
      </c>
      <c r="AE1486" s="47">
        <f t="shared" si="454"/>
        <v>0</v>
      </c>
      <c r="AG1486" s="47">
        <f t="shared" si="455"/>
        <v>69268</v>
      </c>
      <c r="AH1486" s="47">
        <f t="shared" si="456"/>
        <v>69268</v>
      </c>
      <c r="AI1486" s="208">
        <f t="shared" si="457"/>
        <v>0</v>
      </c>
    </row>
    <row r="1487" spans="1:35">
      <c r="A1487" t="s">
        <v>2132</v>
      </c>
      <c r="B1487" t="s">
        <v>3160</v>
      </c>
      <c r="C1487" t="s">
        <v>2789</v>
      </c>
      <c r="D1487" t="s">
        <v>4890</v>
      </c>
      <c r="F1487" t="s">
        <v>1142</v>
      </c>
      <c r="G1487" s="126">
        <f>SUMIFS('Support - Transition'!F:F,'Support - Transition'!B:B,'Step 2'!A1487,'Support - Transition'!C:C,'Step 2'!B1487,'Support - Transition'!D:D,'Step 2'!C1487,'Support - Transition'!E:E,"CIVIL")</f>
        <v>0</v>
      </c>
      <c r="H1487" s="126">
        <f>SUMIFS('Support - Transition'!F:F,'Support - Transition'!B:B,'Step 2'!A1487,'Support - Transition'!C:C,'Step 2'!B1487,'Support - Transition'!D:D,'Step 2'!C1487,'Support - Transition'!E:E,"FIRE")</f>
        <v>0</v>
      </c>
      <c r="I1487" s="126">
        <f>IF(B1487="0",SUMIFS('Support - Transition'!F:F,'Support - Transition'!J:J,'Step 2'!D1487,'Support - Transition'!E:E,"STATE UNIT"),SUMIFS('Support - Transition'!F:F,'Support - Transition'!J:J,'Step 2'!D1487))</f>
        <v>2.3826E-2</v>
      </c>
      <c r="J1487" s="126">
        <f>SUMIFS('Support - Unit Adjustments'!E:E,'Support - Unit Adjustments'!F:F,'Step 2'!D1487)</f>
        <v>0</v>
      </c>
      <c r="K1487" s="126">
        <f t="shared" si="441"/>
        <v>2.3826E-2</v>
      </c>
      <c r="L1487" s="174">
        <f>VLOOKUP(A1487,'Step 1'!$A:$E,4,FALSE)</f>
        <v>1222632</v>
      </c>
      <c r="M1487" s="47">
        <f t="shared" si="442"/>
        <v>29130</v>
      </c>
      <c r="N1487" s="177">
        <f>SUMIFS('Support - Transition'!G:G,'Support - Transition'!J:J,'Step 2'!D1487,'Support - Transition'!E:E,"2009 WELFARE ALLOCATION FACTOR")</f>
        <v>0</v>
      </c>
      <c r="O1487" s="152">
        <f t="shared" si="447"/>
        <v>0</v>
      </c>
      <c r="P1487" s="126">
        <f>IF(E1487="Y",0,SUMIFS('Support - Transition'!G:G,'Support - Transition'!J:J,'Step 2'!D1487,'Support - Transition'!E:E,"2009 SCHOOL ALLOCATION FACTOR"))</f>
        <v>0.24490899999999999</v>
      </c>
      <c r="Q1487" s="126">
        <f>IF(E1487="Y",VLOOKUP(D1487,'Support - Unit Adjustments'!F:G,2,FALSE),0)</f>
        <v>0</v>
      </c>
      <c r="R1487" s="155">
        <f t="shared" si="459"/>
        <v>0.24490899999999999</v>
      </c>
      <c r="S1487" s="47">
        <f t="shared" si="458"/>
        <v>7134</v>
      </c>
      <c r="T1487" s="151">
        <f t="shared" si="443"/>
        <v>21996</v>
      </c>
      <c r="U1487" s="151">
        <f t="shared" si="444"/>
        <v>0</v>
      </c>
      <c r="V1487" s="139">
        <f t="shared" si="445"/>
        <v>0</v>
      </c>
      <c r="W1487" s="152">
        <f t="shared" si="448"/>
        <v>21996</v>
      </c>
      <c r="X1487" s="127" t="str">
        <f t="shared" si="446"/>
        <v/>
      </c>
      <c r="Y1487" s="207">
        <f t="shared" si="449"/>
        <v>21996</v>
      </c>
      <c r="Z1487" s="139">
        <f t="shared" si="450"/>
        <v>21996</v>
      </c>
      <c r="AA1487" s="139">
        <f t="shared" si="451"/>
        <v>0</v>
      </c>
      <c r="AC1487" s="47">
        <f t="shared" si="452"/>
        <v>10998</v>
      </c>
      <c r="AD1487" s="47">
        <f t="shared" si="453"/>
        <v>10998</v>
      </c>
      <c r="AE1487" s="47">
        <f t="shared" si="454"/>
        <v>0</v>
      </c>
      <c r="AG1487" s="47">
        <f t="shared" si="455"/>
        <v>10998</v>
      </c>
      <c r="AH1487" s="47">
        <f t="shared" si="456"/>
        <v>10998</v>
      </c>
      <c r="AI1487" s="208">
        <f t="shared" si="457"/>
        <v>0</v>
      </c>
    </row>
    <row r="1488" spans="1:35">
      <c r="A1488" t="s">
        <v>2132</v>
      </c>
      <c r="B1488" t="s">
        <v>3166</v>
      </c>
      <c r="C1488" t="s">
        <v>4891</v>
      </c>
      <c r="D1488" t="s">
        <v>4892</v>
      </c>
      <c r="F1488" t="s">
        <v>1145</v>
      </c>
      <c r="G1488" s="126">
        <f>SUMIFS('Support - Transition'!F:F,'Support - Transition'!B:B,'Step 2'!A1488,'Support - Transition'!C:C,'Step 2'!B1488,'Support - Transition'!D:D,'Step 2'!C1488,'Support - Transition'!E:E,"CIVIL")</f>
        <v>0</v>
      </c>
      <c r="H1488" s="126">
        <f>SUMIFS('Support - Transition'!F:F,'Support - Transition'!B:B,'Step 2'!A1488,'Support - Transition'!C:C,'Step 2'!B1488,'Support - Transition'!D:D,'Step 2'!C1488,'Support - Transition'!E:E,"FIRE")</f>
        <v>0</v>
      </c>
      <c r="I1488" s="126">
        <f>IF(B1488="0",SUMIFS('Support - Transition'!F:F,'Support - Transition'!J:J,'Step 2'!D1488,'Support - Transition'!E:E,"STATE UNIT"),SUMIFS('Support - Transition'!F:F,'Support - Transition'!J:J,'Step 2'!D1488))</f>
        <v>2.6800000000000001E-3</v>
      </c>
      <c r="J1488" s="126">
        <f>SUMIFS('Support - Unit Adjustments'!E:E,'Support - Unit Adjustments'!F:F,'Step 2'!D1488)</f>
        <v>0</v>
      </c>
      <c r="K1488" s="126">
        <f t="shared" si="441"/>
        <v>2.6800000000000001E-3</v>
      </c>
      <c r="L1488" s="174">
        <f>VLOOKUP(A1488,'Step 1'!$A:$E,4,FALSE)</f>
        <v>1222632</v>
      </c>
      <c r="M1488" s="47">
        <f t="shared" si="442"/>
        <v>3277</v>
      </c>
      <c r="N1488" s="177">
        <f>SUMIFS('Support - Transition'!G:G,'Support - Transition'!J:J,'Step 2'!D1488,'Support - Transition'!E:E,"2009 WELFARE ALLOCATION FACTOR")</f>
        <v>0</v>
      </c>
      <c r="O1488" s="152">
        <f t="shared" si="447"/>
        <v>0</v>
      </c>
      <c r="P1488" s="126">
        <f>IF(E1488="Y",0,SUMIFS('Support - Transition'!G:G,'Support - Transition'!J:J,'Step 2'!D1488,'Support - Transition'!E:E,"2009 SCHOOL ALLOCATION FACTOR"))</f>
        <v>0</v>
      </c>
      <c r="Q1488" s="126">
        <f>IF(E1488="Y",VLOOKUP(D1488,'Support - Unit Adjustments'!F:G,2,FALSE),0)</f>
        <v>0</v>
      </c>
      <c r="R1488" s="155">
        <f t="shared" si="459"/>
        <v>0</v>
      </c>
      <c r="S1488" s="47">
        <f t="shared" si="458"/>
        <v>0</v>
      </c>
      <c r="T1488" s="151">
        <f t="shared" si="443"/>
        <v>3277</v>
      </c>
      <c r="U1488" s="151">
        <f t="shared" si="444"/>
        <v>0</v>
      </c>
      <c r="V1488" s="139">
        <f t="shared" si="445"/>
        <v>0</v>
      </c>
      <c r="W1488" s="152">
        <f t="shared" si="448"/>
        <v>3277</v>
      </c>
      <c r="X1488" s="127" t="str">
        <f t="shared" si="446"/>
        <v/>
      </c>
      <c r="Y1488" s="207">
        <f t="shared" si="449"/>
        <v>3277</v>
      </c>
      <c r="Z1488" s="139">
        <f t="shared" si="450"/>
        <v>3277</v>
      </c>
      <c r="AA1488" s="139">
        <f t="shared" si="451"/>
        <v>0</v>
      </c>
      <c r="AC1488" s="47">
        <f t="shared" si="452"/>
        <v>1639</v>
      </c>
      <c r="AD1488" s="47">
        <f t="shared" si="453"/>
        <v>1639</v>
      </c>
      <c r="AE1488" s="47">
        <f t="shared" si="454"/>
        <v>0</v>
      </c>
      <c r="AG1488" s="47">
        <f t="shared" si="455"/>
        <v>1638</v>
      </c>
      <c r="AH1488" s="47">
        <f t="shared" si="456"/>
        <v>1638</v>
      </c>
      <c r="AI1488" s="208">
        <f t="shared" si="457"/>
        <v>0</v>
      </c>
    </row>
    <row r="1489" spans="1:35">
      <c r="A1489" t="s">
        <v>2132</v>
      </c>
      <c r="B1489" t="s">
        <v>3166</v>
      </c>
      <c r="C1489" t="s">
        <v>4893</v>
      </c>
      <c r="D1489" t="s">
        <v>4894</v>
      </c>
      <c r="F1489" t="s">
        <v>1146</v>
      </c>
      <c r="G1489" s="126">
        <f>SUMIFS('Support - Transition'!F:F,'Support - Transition'!B:B,'Step 2'!A1489,'Support - Transition'!C:C,'Step 2'!B1489,'Support - Transition'!D:D,'Step 2'!C1489,'Support - Transition'!E:E,"CIVIL")</f>
        <v>0</v>
      </c>
      <c r="H1489" s="126">
        <f>SUMIFS('Support - Transition'!F:F,'Support - Transition'!B:B,'Step 2'!A1489,'Support - Transition'!C:C,'Step 2'!B1489,'Support - Transition'!D:D,'Step 2'!C1489,'Support - Transition'!E:E,"FIRE")</f>
        <v>0</v>
      </c>
      <c r="I1489" s="126">
        <f>IF(B1489="0",SUMIFS('Support - Transition'!F:F,'Support - Transition'!J:J,'Step 2'!D1489,'Support - Transition'!E:E,"STATE UNIT"),SUMIFS('Support - Transition'!F:F,'Support - Transition'!J:J,'Step 2'!D1489))</f>
        <v>3.1514E-2</v>
      </c>
      <c r="J1489" s="126">
        <f>SUMIFS('Support - Unit Adjustments'!E:E,'Support - Unit Adjustments'!F:F,'Step 2'!D1489)</f>
        <v>0</v>
      </c>
      <c r="K1489" s="126">
        <f t="shared" si="441"/>
        <v>3.1514E-2</v>
      </c>
      <c r="L1489" s="174">
        <f>VLOOKUP(A1489,'Step 1'!$A:$E,4,FALSE)</f>
        <v>1222632</v>
      </c>
      <c r="M1489" s="47">
        <f t="shared" si="442"/>
        <v>38530</v>
      </c>
      <c r="N1489" s="177">
        <f>SUMIFS('Support - Transition'!G:G,'Support - Transition'!J:J,'Step 2'!D1489,'Support - Transition'!E:E,"2009 WELFARE ALLOCATION FACTOR")</f>
        <v>0</v>
      </c>
      <c r="O1489" s="152">
        <f t="shared" si="447"/>
        <v>0</v>
      </c>
      <c r="P1489" s="126">
        <f>IF(E1489="Y",0,SUMIFS('Support - Transition'!G:G,'Support - Transition'!J:J,'Step 2'!D1489,'Support - Transition'!E:E,"2009 SCHOOL ALLOCATION FACTOR"))</f>
        <v>0</v>
      </c>
      <c r="Q1489" s="126">
        <f>IF(E1489="Y",VLOOKUP(D1489,'Support - Unit Adjustments'!F:G,2,FALSE),0)</f>
        <v>0</v>
      </c>
      <c r="R1489" s="155">
        <f t="shared" si="459"/>
        <v>0</v>
      </c>
      <c r="S1489" s="47">
        <f t="shared" si="458"/>
        <v>0</v>
      </c>
      <c r="T1489" s="151">
        <f t="shared" si="443"/>
        <v>38530</v>
      </c>
      <c r="U1489" s="151">
        <f t="shared" si="444"/>
        <v>0</v>
      </c>
      <c r="V1489" s="139">
        <f t="shared" si="445"/>
        <v>0</v>
      </c>
      <c r="W1489" s="152">
        <f t="shared" si="448"/>
        <v>38530</v>
      </c>
      <c r="X1489" s="127" t="str">
        <f t="shared" si="446"/>
        <v/>
      </c>
      <c r="Y1489" s="207">
        <f t="shared" si="449"/>
        <v>38530</v>
      </c>
      <c r="Z1489" s="139">
        <f t="shared" si="450"/>
        <v>38530</v>
      </c>
      <c r="AA1489" s="139">
        <f t="shared" si="451"/>
        <v>0</v>
      </c>
      <c r="AC1489" s="47">
        <f t="shared" si="452"/>
        <v>19265</v>
      </c>
      <c r="AD1489" s="47">
        <f t="shared" si="453"/>
        <v>19265</v>
      </c>
      <c r="AE1489" s="47">
        <f t="shared" si="454"/>
        <v>0</v>
      </c>
      <c r="AG1489" s="47">
        <f t="shared" si="455"/>
        <v>19265</v>
      </c>
      <c r="AH1489" s="47">
        <f t="shared" si="456"/>
        <v>19265</v>
      </c>
      <c r="AI1489" s="208">
        <f t="shared" si="457"/>
        <v>0</v>
      </c>
    </row>
    <row r="1490" spans="1:35">
      <c r="A1490" t="s">
        <v>2132</v>
      </c>
      <c r="B1490" t="s">
        <v>3166</v>
      </c>
      <c r="C1490" t="s">
        <v>4895</v>
      </c>
      <c r="D1490" t="s">
        <v>4896</v>
      </c>
      <c r="F1490" t="s">
        <v>1148</v>
      </c>
      <c r="G1490" s="126">
        <f>SUMIFS('Support - Transition'!F:F,'Support - Transition'!B:B,'Step 2'!A1490,'Support - Transition'!C:C,'Step 2'!B1490,'Support - Transition'!D:D,'Step 2'!C1490,'Support - Transition'!E:E,"CIVIL")</f>
        <v>0</v>
      </c>
      <c r="H1490" s="126">
        <f>SUMIFS('Support - Transition'!F:F,'Support - Transition'!B:B,'Step 2'!A1490,'Support - Transition'!C:C,'Step 2'!B1490,'Support - Transition'!D:D,'Step 2'!C1490,'Support - Transition'!E:E,"FIRE")</f>
        <v>0</v>
      </c>
      <c r="I1490" s="126">
        <f>IF(B1490="0",SUMIFS('Support - Transition'!F:F,'Support - Transition'!J:J,'Step 2'!D1490,'Support - Transition'!E:E,"STATE UNIT"),SUMIFS('Support - Transition'!F:F,'Support - Transition'!J:J,'Step 2'!D1490))</f>
        <v>2.565E-3</v>
      </c>
      <c r="J1490" s="126">
        <f>SUMIFS('Support - Unit Adjustments'!E:E,'Support - Unit Adjustments'!F:F,'Step 2'!D1490)</f>
        <v>0</v>
      </c>
      <c r="K1490" s="126">
        <f t="shared" si="441"/>
        <v>2.565E-3</v>
      </c>
      <c r="L1490" s="174">
        <f>VLOOKUP(A1490,'Step 1'!$A:$E,4,FALSE)</f>
        <v>1222632</v>
      </c>
      <c r="M1490" s="47">
        <f t="shared" si="442"/>
        <v>3136</v>
      </c>
      <c r="N1490" s="177">
        <f>SUMIFS('Support - Transition'!G:G,'Support - Transition'!J:J,'Step 2'!D1490,'Support - Transition'!E:E,"2009 WELFARE ALLOCATION FACTOR")</f>
        <v>0</v>
      </c>
      <c r="O1490" s="152">
        <f t="shared" si="447"/>
        <v>0</v>
      </c>
      <c r="P1490" s="126">
        <f>IF(E1490="Y",0,SUMIFS('Support - Transition'!G:G,'Support - Transition'!J:J,'Step 2'!D1490,'Support - Transition'!E:E,"2009 SCHOOL ALLOCATION FACTOR"))</f>
        <v>0</v>
      </c>
      <c r="Q1490" s="126">
        <f>IF(E1490="Y",VLOOKUP(D1490,'Support - Unit Adjustments'!F:G,2,FALSE),0)</f>
        <v>0</v>
      </c>
      <c r="R1490" s="155">
        <f t="shared" si="459"/>
        <v>0</v>
      </c>
      <c r="S1490" s="47">
        <f t="shared" si="458"/>
        <v>0</v>
      </c>
      <c r="T1490" s="151">
        <f t="shared" si="443"/>
        <v>3136</v>
      </c>
      <c r="U1490" s="151">
        <f t="shared" si="444"/>
        <v>0</v>
      </c>
      <c r="V1490" s="139">
        <f t="shared" si="445"/>
        <v>0</v>
      </c>
      <c r="W1490" s="152">
        <f t="shared" si="448"/>
        <v>3136</v>
      </c>
      <c r="X1490" s="127" t="str">
        <f t="shared" si="446"/>
        <v/>
      </c>
      <c r="Y1490" s="207">
        <f t="shared" si="449"/>
        <v>3136</v>
      </c>
      <c r="Z1490" s="139">
        <f t="shared" si="450"/>
        <v>3136</v>
      </c>
      <c r="AA1490" s="139">
        <f t="shared" si="451"/>
        <v>0</v>
      </c>
      <c r="AC1490" s="47">
        <f t="shared" si="452"/>
        <v>1568</v>
      </c>
      <c r="AD1490" s="47">
        <f t="shared" si="453"/>
        <v>1568</v>
      </c>
      <c r="AE1490" s="47">
        <f t="shared" si="454"/>
        <v>0</v>
      </c>
      <c r="AG1490" s="47">
        <f t="shared" si="455"/>
        <v>1568</v>
      </c>
      <c r="AH1490" s="47">
        <f t="shared" si="456"/>
        <v>1568</v>
      </c>
      <c r="AI1490" s="208">
        <f t="shared" si="457"/>
        <v>0</v>
      </c>
    </row>
    <row r="1491" spans="1:35">
      <c r="A1491" t="s">
        <v>2132</v>
      </c>
      <c r="B1491" t="s">
        <v>3166</v>
      </c>
      <c r="C1491" t="s">
        <v>4897</v>
      </c>
      <c r="D1491" t="s">
        <v>4898</v>
      </c>
      <c r="F1491" t="s">
        <v>1147</v>
      </c>
      <c r="G1491" s="126">
        <f>SUMIFS('Support - Transition'!F:F,'Support - Transition'!B:B,'Step 2'!A1491,'Support - Transition'!C:C,'Step 2'!B1491,'Support - Transition'!D:D,'Step 2'!C1491,'Support - Transition'!E:E,"CIVIL")</f>
        <v>0</v>
      </c>
      <c r="H1491" s="126">
        <f>SUMIFS('Support - Transition'!F:F,'Support - Transition'!B:B,'Step 2'!A1491,'Support - Transition'!C:C,'Step 2'!B1491,'Support - Transition'!D:D,'Step 2'!C1491,'Support - Transition'!E:E,"FIRE")</f>
        <v>0</v>
      </c>
      <c r="I1491" s="126">
        <f>IF(B1491="0",SUMIFS('Support - Transition'!F:F,'Support - Transition'!J:J,'Step 2'!D1491,'Support - Transition'!E:E,"STATE UNIT"),SUMIFS('Support - Transition'!F:F,'Support - Transition'!J:J,'Step 2'!D1491))</f>
        <v>6.3460000000000001E-3</v>
      </c>
      <c r="J1491" s="126">
        <f>SUMIFS('Support - Unit Adjustments'!E:E,'Support - Unit Adjustments'!F:F,'Step 2'!D1491)</f>
        <v>0</v>
      </c>
      <c r="K1491" s="126">
        <f t="shared" si="441"/>
        <v>6.3460000000000001E-3</v>
      </c>
      <c r="L1491" s="174">
        <f>VLOOKUP(A1491,'Step 1'!$A:$E,4,FALSE)</f>
        <v>1222632</v>
      </c>
      <c r="M1491" s="47">
        <f t="shared" si="442"/>
        <v>7759</v>
      </c>
      <c r="N1491" s="177">
        <f>SUMIFS('Support - Transition'!G:G,'Support - Transition'!J:J,'Step 2'!D1491,'Support - Transition'!E:E,"2009 WELFARE ALLOCATION FACTOR")</f>
        <v>0</v>
      </c>
      <c r="O1491" s="152">
        <f t="shared" si="447"/>
        <v>0</v>
      </c>
      <c r="P1491" s="126">
        <f>IF(E1491="Y",0,SUMIFS('Support - Transition'!G:G,'Support - Transition'!J:J,'Step 2'!D1491,'Support - Transition'!E:E,"2009 SCHOOL ALLOCATION FACTOR"))</f>
        <v>0</v>
      </c>
      <c r="Q1491" s="126">
        <f>IF(E1491="Y",VLOOKUP(D1491,'Support - Unit Adjustments'!F:G,2,FALSE),0)</f>
        <v>0</v>
      </c>
      <c r="R1491" s="155">
        <f t="shared" si="459"/>
        <v>0</v>
      </c>
      <c r="S1491" s="47">
        <f t="shared" si="458"/>
        <v>0</v>
      </c>
      <c r="T1491" s="151">
        <f t="shared" si="443"/>
        <v>7759</v>
      </c>
      <c r="U1491" s="151">
        <f t="shared" si="444"/>
        <v>0</v>
      </c>
      <c r="V1491" s="139">
        <f t="shared" si="445"/>
        <v>0</v>
      </c>
      <c r="W1491" s="152">
        <f t="shared" si="448"/>
        <v>7759</v>
      </c>
      <c r="X1491" s="127" t="str">
        <f t="shared" si="446"/>
        <v/>
      </c>
      <c r="Y1491" s="207">
        <f t="shared" si="449"/>
        <v>7759</v>
      </c>
      <c r="Z1491" s="139">
        <f t="shared" si="450"/>
        <v>7759</v>
      </c>
      <c r="AA1491" s="139">
        <f t="shared" si="451"/>
        <v>0</v>
      </c>
      <c r="AC1491" s="47">
        <f t="shared" si="452"/>
        <v>3880</v>
      </c>
      <c r="AD1491" s="47">
        <f t="shared" si="453"/>
        <v>3880</v>
      </c>
      <c r="AE1491" s="47">
        <f t="shared" si="454"/>
        <v>0</v>
      </c>
      <c r="AG1491" s="47">
        <f t="shared" si="455"/>
        <v>3879</v>
      </c>
      <c r="AH1491" s="47">
        <f t="shared" si="456"/>
        <v>3879</v>
      </c>
      <c r="AI1491" s="208">
        <f t="shared" si="457"/>
        <v>0</v>
      </c>
    </row>
    <row r="1492" spans="1:35">
      <c r="A1492" t="s">
        <v>2132</v>
      </c>
      <c r="B1492" t="s">
        <v>3170</v>
      </c>
      <c r="C1492" t="s">
        <v>2790</v>
      </c>
      <c r="D1492" t="s">
        <v>4899</v>
      </c>
      <c r="F1492" t="s">
        <v>1149</v>
      </c>
      <c r="G1492" s="126">
        <f>SUMIFS('Support - Transition'!F:F,'Support - Transition'!B:B,'Step 2'!A1492,'Support - Transition'!C:C,'Step 2'!B1492,'Support - Transition'!D:D,'Step 2'!C1492,'Support - Transition'!E:E,"CIVIL")</f>
        <v>0</v>
      </c>
      <c r="H1492" s="126">
        <f>SUMIFS('Support - Transition'!F:F,'Support - Transition'!B:B,'Step 2'!A1492,'Support - Transition'!C:C,'Step 2'!B1492,'Support - Transition'!D:D,'Step 2'!C1492,'Support - Transition'!E:E,"FIRE")</f>
        <v>0</v>
      </c>
      <c r="I1492" s="126">
        <f>IF(B1492="0",SUMIFS('Support - Transition'!F:F,'Support - Transition'!J:J,'Step 2'!D1492,'Support - Transition'!E:E,"STATE UNIT"),SUMIFS('Support - Transition'!F:F,'Support - Transition'!J:J,'Step 2'!D1492))</f>
        <v>0</v>
      </c>
      <c r="J1492" s="126">
        <f>SUMIFS('Support - Unit Adjustments'!E:E,'Support - Unit Adjustments'!F:F,'Step 2'!D1492)</f>
        <v>0</v>
      </c>
      <c r="K1492" s="126">
        <f t="shared" si="441"/>
        <v>0</v>
      </c>
      <c r="L1492" s="174">
        <f>VLOOKUP(A1492,'Step 1'!$A:$E,4,FALSE)</f>
        <v>1222632</v>
      </c>
      <c r="M1492" s="47">
        <f t="shared" si="442"/>
        <v>0</v>
      </c>
      <c r="N1492" s="177">
        <f>SUMIFS('Support - Transition'!G:G,'Support - Transition'!J:J,'Step 2'!D1492,'Support - Transition'!E:E,"2009 WELFARE ALLOCATION FACTOR")</f>
        <v>0</v>
      </c>
      <c r="O1492" s="152">
        <f t="shared" si="447"/>
        <v>0</v>
      </c>
      <c r="P1492" s="126">
        <f>IF(E1492="Y",0,SUMIFS('Support - Transition'!G:G,'Support - Transition'!J:J,'Step 2'!D1492,'Support - Transition'!E:E,"2009 SCHOOL ALLOCATION FACTOR"))</f>
        <v>0</v>
      </c>
      <c r="Q1492" s="126">
        <f>IF(E1492="Y",VLOOKUP(D1492,'Support - Unit Adjustments'!F:G,2,FALSE),0)</f>
        <v>0</v>
      </c>
      <c r="R1492" s="155">
        <f t="shared" si="459"/>
        <v>0</v>
      </c>
      <c r="S1492" s="47">
        <f t="shared" si="458"/>
        <v>0</v>
      </c>
      <c r="T1492" s="151">
        <f t="shared" si="443"/>
        <v>0</v>
      </c>
      <c r="U1492" s="151">
        <f t="shared" si="444"/>
        <v>0</v>
      </c>
      <c r="V1492" s="139">
        <f t="shared" si="445"/>
        <v>0</v>
      </c>
      <c r="W1492" s="152">
        <f t="shared" si="448"/>
        <v>0</v>
      </c>
      <c r="X1492" s="127" t="str">
        <f t="shared" si="446"/>
        <v/>
      </c>
      <c r="Y1492" s="207">
        <f t="shared" si="449"/>
        <v>0</v>
      </c>
      <c r="Z1492" s="139">
        <f t="shared" si="450"/>
        <v>0</v>
      </c>
      <c r="AA1492" s="139">
        <f t="shared" si="451"/>
        <v>0</v>
      </c>
      <c r="AC1492" s="47">
        <f t="shared" si="452"/>
        <v>0</v>
      </c>
      <c r="AD1492" s="47">
        <f t="shared" si="453"/>
        <v>0</v>
      </c>
      <c r="AE1492" s="47">
        <f t="shared" si="454"/>
        <v>0</v>
      </c>
      <c r="AG1492" s="47">
        <f t="shared" si="455"/>
        <v>0</v>
      </c>
      <c r="AH1492" s="47">
        <f t="shared" si="456"/>
        <v>0</v>
      </c>
      <c r="AI1492" s="208">
        <f t="shared" si="457"/>
        <v>0</v>
      </c>
    </row>
    <row r="1493" spans="1:35">
      <c r="A1493" t="s">
        <v>2132</v>
      </c>
      <c r="B1493" t="s">
        <v>3170</v>
      </c>
      <c r="C1493" t="s">
        <v>3752</v>
      </c>
      <c r="D1493" t="s">
        <v>4900</v>
      </c>
      <c r="F1493" t="s">
        <v>422</v>
      </c>
      <c r="G1493" s="126">
        <f>SUMIFS('Support - Transition'!F:F,'Support - Transition'!B:B,'Step 2'!A1493,'Support - Transition'!C:C,'Step 2'!B1493,'Support - Transition'!D:D,'Step 2'!C1493,'Support - Transition'!E:E,"CIVIL")</f>
        <v>0</v>
      </c>
      <c r="H1493" s="126">
        <f>SUMIFS('Support - Transition'!F:F,'Support - Transition'!B:B,'Step 2'!A1493,'Support - Transition'!C:C,'Step 2'!B1493,'Support - Transition'!D:D,'Step 2'!C1493,'Support - Transition'!E:E,"FIRE")</f>
        <v>0</v>
      </c>
      <c r="I1493" s="126">
        <f>IF(B1493="0",SUMIFS('Support - Transition'!F:F,'Support - Transition'!J:J,'Step 2'!D1493,'Support - Transition'!E:E,"STATE UNIT"),SUMIFS('Support - Transition'!F:F,'Support - Transition'!J:J,'Step 2'!D1493))</f>
        <v>2.2190000000000001E-3</v>
      </c>
      <c r="J1493" s="126">
        <f>SUMIFS('Support - Unit Adjustments'!E:E,'Support - Unit Adjustments'!F:F,'Step 2'!D1493)</f>
        <v>0</v>
      </c>
      <c r="K1493" s="126">
        <f t="shared" si="441"/>
        <v>2.2190000000000001E-3</v>
      </c>
      <c r="L1493" s="174">
        <f>VLOOKUP(A1493,'Step 1'!$A:$E,4,FALSE)</f>
        <v>1222632</v>
      </c>
      <c r="M1493" s="47">
        <f t="shared" si="442"/>
        <v>2713</v>
      </c>
      <c r="N1493" s="177">
        <f>SUMIFS('Support - Transition'!G:G,'Support - Transition'!J:J,'Step 2'!D1493,'Support - Transition'!E:E,"2009 WELFARE ALLOCATION FACTOR")</f>
        <v>0</v>
      </c>
      <c r="O1493" s="152">
        <f t="shared" si="447"/>
        <v>0</v>
      </c>
      <c r="P1493" s="126">
        <f>IF(E1493="Y",0,SUMIFS('Support - Transition'!G:G,'Support - Transition'!J:J,'Step 2'!D1493,'Support - Transition'!E:E,"2009 SCHOOL ALLOCATION FACTOR"))</f>
        <v>0</v>
      </c>
      <c r="Q1493" s="126">
        <f>IF(E1493="Y",VLOOKUP(D1493,'Support - Unit Adjustments'!F:G,2,FALSE),0)</f>
        <v>0</v>
      </c>
      <c r="R1493" s="155">
        <f t="shared" si="459"/>
        <v>0</v>
      </c>
      <c r="S1493" s="47">
        <f t="shared" si="458"/>
        <v>0</v>
      </c>
      <c r="T1493" s="151">
        <f t="shared" si="443"/>
        <v>2713</v>
      </c>
      <c r="U1493" s="151">
        <f t="shared" si="444"/>
        <v>0</v>
      </c>
      <c r="V1493" s="139">
        <f t="shared" si="445"/>
        <v>0</v>
      </c>
      <c r="W1493" s="152">
        <f t="shared" si="448"/>
        <v>2713</v>
      </c>
      <c r="X1493" s="127" t="str">
        <f t="shared" si="446"/>
        <v/>
      </c>
      <c r="Y1493" s="207">
        <f t="shared" si="449"/>
        <v>2713</v>
      </c>
      <c r="Z1493" s="139">
        <f t="shared" si="450"/>
        <v>2713</v>
      </c>
      <c r="AA1493" s="139">
        <f t="shared" si="451"/>
        <v>0</v>
      </c>
      <c r="AC1493" s="47">
        <f t="shared" si="452"/>
        <v>1357</v>
      </c>
      <c r="AD1493" s="47">
        <f t="shared" si="453"/>
        <v>1357</v>
      </c>
      <c r="AE1493" s="47">
        <f t="shared" si="454"/>
        <v>0</v>
      </c>
      <c r="AG1493" s="47">
        <f t="shared" si="455"/>
        <v>1356</v>
      </c>
      <c r="AH1493" s="47">
        <f t="shared" si="456"/>
        <v>1356</v>
      </c>
      <c r="AI1493" s="208">
        <f t="shared" si="457"/>
        <v>0</v>
      </c>
    </row>
    <row r="1494" spans="1:35">
      <c r="A1494" t="s">
        <v>2133</v>
      </c>
      <c r="B1494" s="48" t="s">
        <v>6274</v>
      </c>
      <c r="C1494" t="s">
        <v>2187</v>
      </c>
      <c r="D1494" t="str">
        <f>A1494&amp;B1494&amp;C1494</f>
        <v>4900000</v>
      </c>
      <c r="F1494" t="s">
        <v>6323</v>
      </c>
      <c r="G1494" s="126">
        <f>SUMIFS('Support - Transition'!F:F,'Support - Transition'!B:B,'Step 2'!A1494,'Support - Transition'!C:C,'Step 2'!B1494,'Support - Transition'!D:D,'Step 2'!C1494,'Support - Transition'!E:E,"CIVIL")</f>
        <v>0</v>
      </c>
      <c r="H1494" s="126">
        <f>SUMIFS('Support - Transition'!F:F,'Support - Transition'!B:B,'Step 2'!A1494,'Support - Transition'!C:C,'Step 2'!B1494,'Support - Transition'!D:D,'Step 2'!C1494,'Support - Transition'!E:E,"FIRE")</f>
        <v>0</v>
      </c>
      <c r="I1494" s="126">
        <f>IF(B1494="0",SUMIFS('Support - Transition'!F:F,'Support - Transition'!J:J,'Step 2'!D1494,'Support - Transition'!E:E,"STATE UNIT"),SUMIFS('Support - Transition'!F:F,'Support - Transition'!J:J,'Step 2'!D1494))</f>
        <v>9.2699999999999998E-4</v>
      </c>
      <c r="J1494" s="126">
        <f>SUMIFS('Support - Unit Adjustments'!E:E,'Support - Unit Adjustments'!F:F,'Step 2'!D1494)</f>
        <v>0</v>
      </c>
      <c r="K1494" s="126">
        <f t="shared" si="441"/>
        <v>9.2699999999999998E-4</v>
      </c>
      <c r="L1494" s="174">
        <f>VLOOKUP(A1494,'Step 1'!$A:$E,4,FALSE)</f>
        <v>11858968</v>
      </c>
      <c r="M1494" s="47">
        <f t="shared" si="442"/>
        <v>10993</v>
      </c>
      <c r="N1494" s="177">
        <f>SUMIFS('Support - Transition'!G:G,'Support - Transition'!J:J,'Step 2'!D1494,'Support - Transition'!E:E,"2009 WELFARE ALLOCATION FACTOR")</f>
        <v>0</v>
      </c>
      <c r="O1494" s="152">
        <f t="shared" si="447"/>
        <v>0</v>
      </c>
      <c r="P1494" s="126">
        <f>IF(E1494="Y",0,SUMIFS('Support - Transition'!G:G,'Support - Transition'!J:J,'Step 2'!D1494,'Support - Transition'!E:E,"2009 SCHOOL ALLOCATION FACTOR"))</f>
        <v>0</v>
      </c>
      <c r="Q1494" s="126">
        <f>IF(E1494="Y",VLOOKUP(D1494,'Support - Unit Adjustments'!F:G,2,FALSE),0)</f>
        <v>0</v>
      </c>
      <c r="R1494" s="155">
        <f t="shared" si="459"/>
        <v>0</v>
      </c>
      <c r="S1494" s="47">
        <f t="shared" si="458"/>
        <v>0</v>
      </c>
      <c r="T1494" s="151">
        <f t="shared" si="443"/>
        <v>10993</v>
      </c>
      <c r="U1494" s="151">
        <f t="shared" si="444"/>
        <v>11858967</v>
      </c>
      <c r="V1494" s="139">
        <f t="shared" si="445"/>
        <v>-1</v>
      </c>
      <c r="W1494" s="152">
        <f t="shared" si="448"/>
        <v>10994</v>
      </c>
      <c r="X1494" s="127">
        <f t="shared" si="446"/>
        <v>0</v>
      </c>
      <c r="Y1494" s="207">
        <f t="shared" si="449"/>
        <v>10994</v>
      </c>
      <c r="Z1494" s="139">
        <f t="shared" si="450"/>
        <v>10994</v>
      </c>
      <c r="AA1494" s="139">
        <f t="shared" si="451"/>
        <v>0</v>
      </c>
      <c r="AC1494" s="47">
        <f t="shared" si="452"/>
        <v>5497</v>
      </c>
      <c r="AD1494" s="47">
        <f t="shared" si="453"/>
        <v>5497</v>
      </c>
      <c r="AE1494" s="47">
        <f t="shared" si="454"/>
        <v>0</v>
      </c>
      <c r="AG1494" s="47">
        <f t="shared" si="455"/>
        <v>5497</v>
      </c>
      <c r="AH1494" s="47">
        <f t="shared" si="456"/>
        <v>5497</v>
      </c>
      <c r="AI1494" s="208">
        <f t="shared" si="457"/>
        <v>0</v>
      </c>
    </row>
    <row r="1495" spans="1:35">
      <c r="A1495" t="s">
        <v>2133</v>
      </c>
      <c r="B1495" t="s">
        <v>3140</v>
      </c>
      <c r="C1495" t="s">
        <v>2187</v>
      </c>
      <c r="D1495" t="s">
        <v>4901</v>
      </c>
      <c r="F1495" t="s">
        <v>1152</v>
      </c>
      <c r="G1495" s="126">
        <f>SUMIFS('Support - Transition'!F:F,'Support - Transition'!B:B,'Step 2'!A1495,'Support - Transition'!C:C,'Step 2'!B1495,'Support - Transition'!D:D,'Step 2'!C1495,'Support - Transition'!E:E,"CIVIL")</f>
        <v>0</v>
      </c>
      <c r="H1495" s="126">
        <f>SUMIFS('Support - Transition'!F:F,'Support - Transition'!B:B,'Step 2'!A1495,'Support - Transition'!C:C,'Step 2'!B1495,'Support - Transition'!D:D,'Step 2'!C1495,'Support - Transition'!E:E,"FIRE")</f>
        <v>0</v>
      </c>
      <c r="I1495" s="126">
        <f>IF(B1495="0",SUMIFS('Support - Transition'!F:F,'Support - Transition'!J:J,'Step 2'!D1495,'Support - Transition'!E:E,"STATE UNIT"),SUMIFS('Support - Transition'!F:F,'Support - Transition'!J:J,'Step 2'!D1495))</f>
        <v>0.13018299999999999</v>
      </c>
      <c r="J1495" s="126">
        <f>SUMIFS('Support - Unit Adjustments'!E:E,'Support - Unit Adjustments'!F:F,'Step 2'!D1495)</f>
        <v>0</v>
      </c>
      <c r="K1495" s="126">
        <f t="shared" si="441"/>
        <v>0.13018299999999999</v>
      </c>
      <c r="L1495" s="174">
        <f>VLOOKUP(A1495,'Step 1'!$A:$E,4,FALSE)</f>
        <v>11858968</v>
      </c>
      <c r="M1495" s="47">
        <f t="shared" si="442"/>
        <v>1543836</v>
      </c>
      <c r="N1495" s="177">
        <f>SUMIFS('Support - Transition'!G:G,'Support - Transition'!J:J,'Step 2'!D1495,'Support - Transition'!E:E,"2009 WELFARE ALLOCATION FACTOR")</f>
        <v>0.26215100000000002</v>
      </c>
      <c r="O1495" s="152">
        <f t="shared" si="447"/>
        <v>404718</v>
      </c>
      <c r="P1495" s="126">
        <f>IF(E1495="Y",0,SUMIFS('Support - Transition'!G:G,'Support - Transition'!J:J,'Step 2'!D1495,'Support - Transition'!E:E,"2009 SCHOOL ALLOCATION FACTOR"))</f>
        <v>0</v>
      </c>
      <c r="Q1495" s="126">
        <f>IF(E1495="Y",VLOOKUP(D1495,'Support - Unit Adjustments'!F:G,2,FALSE),0)</f>
        <v>0</v>
      </c>
      <c r="R1495" s="155">
        <f t="shared" si="459"/>
        <v>0</v>
      </c>
      <c r="S1495" s="47">
        <f t="shared" si="458"/>
        <v>0</v>
      </c>
      <c r="T1495" s="151">
        <f t="shared" si="443"/>
        <v>1139118</v>
      </c>
      <c r="U1495" s="151">
        <f t="shared" si="444"/>
        <v>0</v>
      </c>
      <c r="V1495" s="139">
        <f t="shared" si="445"/>
        <v>0</v>
      </c>
      <c r="W1495" s="152">
        <f t="shared" si="448"/>
        <v>1139118</v>
      </c>
      <c r="X1495" s="127" t="str">
        <f t="shared" si="446"/>
        <v/>
      </c>
      <c r="Y1495" s="207">
        <f t="shared" si="449"/>
        <v>1139118</v>
      </c>
      <c r="Z1495" s="139">
        <f t="shared" si="450"/>
        <v>1139118</v>
      </c>
      <c r="AA1495" s="139">
        <f t="shared" si="451"/>
        <v>0</v>
      </c>
      <c r="AC1495" s="47">
        <f t="shared" si="452"/>
        <v>569559</v>
      </c>
      <c r="AD1495" s="47">
        <f t="shared" si="453"/>
        <v>569559</v>
      </c>
      <c r="AE1495" s="47">
        <f t="shared" si="454"/>
        <v>0</v>
      </c>
      <c r="AG1495" s="47">
        <f t="shared" si="455"/>
        <v>569559</v>
      </c>
      <c r="AH1495" s="47">
        <f t="shared" si="456"/>
        <v>569559</v>
      </c>
      <c r="AI1495" s="208">
        <f t="shared" si="457"/>
        <v>0</v>
      </c>
    </row>
    <row r="1496" spans="1:35">
      <c r="A1496" t="s">
        <v>2133</v>
      </c>
      <c r="B1496" t="s">
        <v>3142</v>
      </c>
      <c r="C1496" t="s">
        <v>2188</v>
      </c>
      <c r="D1496" t="s">
        <v>4902</v>
      </c>
      <c r="F1496" t="s">
        <v>107</v>
      </c>
      <c r="G1496" s="126">
        <f>SUMIFS('Support - Transition'!F:F,'Support - Transition'!B:B,'Step 2'!A1496,'Support - Transition'!C:C,'Step 2'!B1496,'Support - Transition'!D:D,'Step 2'!C1496,'Support - Transition'!E:E,"CIVIL")</f>
        <v>4.1099999999999999E-3</v>
      </c>
      <c r="H1496" s="126">
        <f>SUMIFS('Support - Transition'!F:F,'Support - Transition'!B:B,'Step 2'!A1496,'Support - Transition'!C:C,'Step 2'!B1496,'Support - Transition'!D:D,'Step 2'!C1496,'Support - Transition'!E:E,"FIRE")</f>
        <v>0</v>
      </c>
      <c r="I1496" s="126">
        <f>IF(B1496="0",SUMIFS('Support - Transition'!F:F,'Support - Transition'!J:J,'Step 2'!D1496,'Support - Transition'!E:E,"STATE UNIT"),SUMIFS('Support - Transition'!F:F,'Support - Transition'!J:J,'Step 2'!D1496))</f>
        <v>4.1099999999999999E-3</v>
      </c>
      <c r="J1496" s="126">
        <f>SUMIFS('Support - Unit Adjustments'!E:E,'Support - Unit Adjustments'!F:F,'Step 2'!D1496)</f>
        <v>0</v>
      </c>
      <c r="K1496" s="126">
        <f t="shared" si="441"/>
        <v>4.1099999999999999E-3</v>
      </c>
      <c r="L1496" s="174">
        <f>VLOOKUP(A1496,'Step 1'!$A:$E,4,FALSE)</f>
        <v>11858968</v>
      </c>
      <c r="M1496" s="47">
        <f t="shared" si="442"/>
        <v>48740</v>
      </c>
      <c r="N1496" s="177">
        <f>SUMIFS('Support - Transition'!G:G,'Support - Transition'!J:J,'Step 2'!D1496,'Support - Transition'!E:E,"2009 WELFARE ALLOCATION FACTOR")</f>
        <v>0</v>
      </c>
      <c r="O1496" s="152">
        <f t="shared" si="447"/>
        <v>0</v>
      </c>
      <c r="P1496" s="126">
        <f>IF(E1496="Y",0,SUMIFS('Support - Transition'!G:G,'Support - Transition'!J:J,'Step 2'!D1496,'Support - Transition'!E:E,"2009 SCHOOL ALLOCATION FACTOR"))</f>
        <v>0</v>
      </c>
      <c r="Q1496" s="126">
        <f>IF(E1496="Y",VLOOKUP(D1496,'Support - Unit Adjustments'!F:G,2,FALSE),0)</f>
        <v>0</v>
      </c>
      <c r="R1496" s="155">
        <f t="shared" si="459"/>
        <v>0</v>
      </c>
      <c r="S1496" s="47">
        <f t="shared" si="458"/>
        <v>0</v>
      </c>
      <c r="T1496" s="151">
        <f t="shared" si="443"/>
        <v>48740</v>
      </c>
      <c r="U1496" s="151">
        <f t="shared" si="444"/>
        <v>0</v>
      </c>
      <c r="V1496" s="139">
        <f t="shared" si="445"/>
        <v>0</v>
      </c>
      <c r="W1496" s="152">
        <f t="shared" si="448"/>
        <v>48740</v>
      </c>
      <c r="X1496" s="127" t="str">
        <f t="shared" si="446"/>
        <v/>
      </c>
      <c r="Y1496" s="207">
        <f t="shared" si="449"/>
        <v>48740</v>
      </c>
      <c r="Z1496" s="139">
        <f t="shared" si="450"/>
        <v>48740</v>
      </c>
      <c r="AA1496" s="139">
        <f t="shared" si="451"/>
        <v>0</v>
      </c>
      <c r="AC1496" s="47">
        <f t="shared" si="452"/>
        <v>24370</v>
      </c>
      <c r="AD1496" s="47">
        <f t="shared" si="453"/>
        <v>24370</v>
      </c>
      <c r="AE1496" s="47">
        <f t="shared" si="454"/>
        <v>0</v>
      </c>
      <c r="AG1496" s="47">
        <f t="shared" si="455"/>
        <v>24370</v>
      </c>
      <c r="AH1496" s="47">
        <f t="shared" si="456"/>
        <v>24370</v>
      </c>
      <c r="AI1496" s="208">
        <f t="shared" si="457"/>
        <v>0</v>
      </c>
    </row>
    <row r="1497" spans="1:35">
      <c r="A1497" t="s">
        <v>2133</v>
      </c>
      <c r="B1497" t="s">
        <v>3142</v>
      </c>
      <c r="C1497" t="s">
        <v>2189</v>
      </c>
      <c r="D1497" t="s">
        <v>4903</v>
      </c>
      <c r="F1497" t="s">
        <v>1153</v>
      </c>
      <c r="G1497" s="126">
        <f>SUMIFS('Support - Transition'!F:F,'Support - Transition'!B:B,'Step 2'!A1497,'Support - Transition'!C:C,'Step 2'!B1497,'Support - Transition'!D:D,'Step 2'!C1497,'Support - Transition'!E:E,"CIVIL")</f>
        <v>2.7500000000000002E-4</v>
      </c>
      <c r="H1497" s="126">
        <f>SUMIFS('Support - Transition'!F:F,'Support - Transition'!B:B,'Step 2'!A1497,'Support - Transition'!C:C,'Step 2'!B1497,'Support - Transition'!D:D,'Step 2'!C1497,'Support - Transition'!E:E,"FIRE")</f>
        <v>1.737E-3</v>
      </c>
      <c r="I1497" s="126">
        <f>IF(B1497="0",SUMIFS('Support - Transition'!F:F,'Support - Transition'!J:J,'Step 2'!D1497,'Support - Transition'!E:E,"STATE UNIT"),SUMIFS('Support - Transition'!F:F,'Support - Transition'!J:J,'Step 2'!D1497))</f>
        <v>2.0119999999999999E-3</v>
      </c>
      <c r="J1497" s="126">
        <f>SUMIFS('Support - Unit Adjustments'!E:E,'Support - Unit Adjustments'!F:F,'Step 2'!D1497)</f>
        <v>0</v>
      </c>
      <c r="K1497" s="126">
        <f t="shared" si="441"/>
        <v>2.0119999999999999E-3</v>
      </c>
      <c r="L1497" s="174">
        <f>VLOOKUP(A1497,'Step 1'!$A:$E,4,FALSE)</f>
        <v>11858968</v>
      </c>
      <c r="M1497" s="47">
        <f t="shared" si="442"/>
        <v>23860</v>
      </c>
      <c r="N1497" s="177">
        <f>SUMIFS('Support - Transition'!G:G,'Support - Transition'!J:J,'Step 2'!D1497,'Support - Transition'!E:E,"2009 WELFARE ALLOCATION FACTOR")</f>
        <v>0</v>
      </c>
      <c r="O1497" s="152">
        <f t="shared" si="447"/>
        <v>0</v>
      </c>
      <c r="P1497" s="126">
        <f>IF(E1497="Y",0,SUMIFS('Support - Transition'!G:G,'Support - Transition'!J:J,'Step 2'!D1497,'Support - Transition'!E:E,"2009 SCHOOL ALLOCATION FACTOR"))</f>
        <v>0</v>
      </c>
      <c r="Q1497" s="126">
        <f>IF(E1497="Y",VLOOKUP(D1497,'Support - Unit Adjustments'!F:G,2,FALSE),0)</f>
        <v>0</v>
      </c>
      <c r="R1497" s="155">
        <f t="shared" si="459"/>
        <v>0</v>
      </c>
      <c r="S1497" s="47">
        <f t="shared" si="458"/>
        <v>0</v>
      </c>
      <c r="T1497" s="151">
        <f t="shared" si="443"/>
        <v>23860</v>
      </c>
      <c r="U1497" s="151">
        <f t="shared" si="444"/>
        <v>0</v>
      </c>
      <c r="V1497" s="139">
        <f t="shared" si="445"/>
        <v>0</v>
      </c>
      <c r="W1497" s="152">
        <f t="shared" si="448"/>
        <v>23860</v>
      </c>
      <c r="X1497" s="127" t="str">
        <f t="shared" si="446"/>
        <v/>
      </c>
      <c r="Y1497" s="207">
        <f t="shared" si="449"/>
        <v>23860</v>
      </c>
      <c r="Z1497" s="139">
        <f t="shared" si="450"/>
        <v>3261</v>
      </c>
      <c r="AA1497" s="139">
        <f t="shared" si="451"/>
        <v>20599</v>
      </c>
      <c r="AC1497" s="47">
        <f t="shared" si="452"/>
        <v>11930</v>
      </c>
      <c r="AD1497" s="47">
        <f t="shared" si="453"/>
        <v>1631</v>
      </c>
      <c r="AE1497" s="47">
        <f t="shared" si="454"/>
        <v>10300</v>
      </c>
      <c r="AG1497" s="47">
        <f t="shared" si="455"/>
        <v>11930</v>
      </c>
      <c r="AH1497" s="47">
        <f t="shared" si="456"/>
        <v>1630</v>
      </c>
      <c r="AI1497" s="208">
        <f t="shared" si="457"/>
        <v>10299</v>
      </c>
    </row>
    <row r="1498" spans="1:35">
      <c r="A1498" t="s">
        <v>2133</v>
      </c>
      <c r="B1498" t="s">
        <v>3142</v>
      </c>
      <c r="C1498" t="s">
        <v>2190</v>
      </c>
      <c r="D1498" t="s">
        <v>4904</v>
      </c>
      <c r="F1498" t="s">
        <v>372</v>
      </c>
      <c r="G1498" s="126">
        <f>SUMIFS('Support - Transition'!F:F,'Support - Transition'!B:B,'Step 2'!A1498,'Support - Transition'!C:C,'Step 2'!B1498,'Support - Transition'!D:D,'Step 2'!C1498,'Support - Transition'!E:E,"CIVIL")</f>
        <v>7.1900000000000002E-4</v>
      </c>
      <c r="H1498" s="126">
        <f>SUMIFS('Support - Transition'!F:F,'Support - Transition'!B:B,'Step 2'!A1498,'Support - Transition'!C:C,'Step 2'!B1498,'Support - Transition'!D:D,'Step 2'!C1498,'Support - Transition'!E:E,"FIRE")</f>
        <v>1.3159999999999999E-3</v>
      </c>
      <c r="I1498" s="126">
        <f>IF(B1498="0",SUMIFS('Support - Transition'!F:F,'Support - Transition'!J:J,'Step 2'!D1498,'Support - Transition'!E:E,"STATE UNIT"),SUMIFS('Support - Transition'!F:F,'Support - Transition'!J:J,'Step 2'!D1498))</f>
        <v>2.0349999999999999E-3</v>
      </c>
      <c r="J1498" s="126">
        <f>SUMIFS('Support - Unit Adjustments'!E:E,'Support - Unit Adjustments'!F:F,'Step 2'!D1498)</f>
        <v>0</v>
      </c>
      <c r="K1498" s="126">
        <f t="shared" si="441"/>
        <v>2.0349999999999999E-3</v>
      </c>
      <c r="L1498" s="174">
        <f>VLOOKUP(A1498,'Step 1'!$A:$E,4,FALSE)</f>
        <v>11858968</v>
      </c>
      <c r="M1498" s="47">
        <f t="shared" si="442"/>
        <v>24133</v>
      </c>
      <c r="N1498" s="177">
        <f>SUMIFS('Support - Transition'!G:G,'Support - Transition'!J:J,'Step 2'!D1498,'Support - Transition'!E:E,"2009 WELFARE ALLOCATION FACTOR")</f>
        <v>0</v>
      </c>
      <c r="O1498" s="152">
        <f t="shared" si="447"/>
        <v>0</v>
      </c>
      <c r="P1498" s="126">
        <f>IF(E1498="Y",0,SUMIFS('Support - Transition'!G:G,'Support - Transition'!J:J,'Step 2'!D1498,'Support - Transition'!E:E,"2009 SCHOOL ALLOCATION FACTOR"))</f>
        <v>0</v>
      </c>
      <c r="Q1498" s="126">
        <f>IF(E1498="Y",VLOOKUP(D1498,'Support - Unit Adjustments'!F:G,2,FALSE),0)</f>
        <v>0</v>
      </c>
      <c r="R1498" s="155">
        <f t="shared" si="459"/>
        <v>0</v>
      </c>
      <c r="S1498" s="47">
        <f t="shared" si="458"/>
        <v>0</v>
      </c>
      <c r="T1498" s="151">
        <f t="shared" si="443"/>
        <v>24133</v>
      </c>
      <c r="U1498" s="151">
        <f t="shared" si="444"/>
        <v>0</v>
      </c>
      <c r="V1498" s="139">
        <f t="shared" si="445"/>
        <v>0</v>
      </c>
      <c r="W1498" s="152">
        <f t="shared" si="448"/>
        <v>24133</v>
      </c>
      <c r="X1498" s="127" t="str">
        <f t="shared" si="446"/>
        <v/>
      </c>
      <c r="Y1498" s="207">
        <f t="shared" si="449"/>
        <v>24133</v>
      </c>
      <c r="Z1498" s="139">
        <f t="shared" si="450"/>
        <v>8527</v>
      </c>
      <c r="AA1498" s="139">
        <f t="shared" si="451"/>
        <v>15606</v>
      </c>
      <c r="AC1498" s="47">
        <f t="shared" si="452"/>
        <v>12067</v>
      </c>
      <c r="AD1498" s="47">
        <f t="shared" si="453"/>
        <v>4264</v>
      </c>
      <c r="AE1498" s="47">
        <f t="shared" si="454"/>
        <v>7803</v>
      </c>
      <c r="AG1498" s="47">
        <f t="shared" si="455"/>
        <v>12066</v>
      </c>
      <c r="AH1498" s="47">
        <f t="shared" si="456"/>
        <v>4263</v>
      </c>
      <c r="AI1498" s="208">
        <f t="shared" si="457"/>
        <v>7803</v>
      </c>
    </row>
    <row r="1499" spans="1:35">
      <c r="A1499" t="s">
        <v>2133</v>
      </c>
      <c r="B1499" t="s">
        <v>3142</v>
      </c>
      <c r="C1499" t="s">
        <v>2191</v>
      </c>
      <c r="D1499" t="s">
        <v>4905</v>
      </c>
      <c r="F1499" t="s">
        <v>1154</v>
      </c>
      <c r="G1499" s="126">
        <f>SUMIFS('Support - Transition'!F:F,'Support - Transition'!B:B,'Step 2'!A1499,'Support - Transition'!C:C,'Step 2'!B1499,'Support - Transition'!D:D,'Step 2'!C1499,'Support - Transition'!E:E,"CIVIL")</f>
        <v>5.8600000000000004E-4</v>
      </c>
      <c r="H1499" s="126">
        <f>SUMIFS('Support - Transition'!F:F,'Support - Transition'!B:B,'Step 2'!A1499,'Support - Transition'!C:C,'Step 2'!B1499,'Support - Transition'!D:D,'Step 2'!C1499,'Support - Transition'!E:E,"FIRE")</f>
        <v>1.021E-3</v>
      </c>
      <c r="I1499" s="126">
        <f>IF(B1499="0",SUMIFS('Support - Transition'!F:F,'Support - Transition'!J:J,'Step 2'!D1499,'Support - Transition'!E:E,"STATE UNIT"),SUMIFS('Support - Transition'!F:F,'Support - Transition'!J:J,'Step 2'!D1499))</f>
        <v>1.6069999999999999E-3</v>
      </c>
      <c r="J1499" s="126">
        <f>SUMIFS('Support - Unit Adjustments'!E:E,'Support - Unit Adjustments'!F:F,'Step 2'!D1499)</f>
        <v>0</v>
      </c>
      <c r="K1499" s="126">
        <f t="shared" si="441"/>
        <v>1.6069999999999999E-3</v>
      </c>
      <c r="L1499" s="174">
        <f>VLOOKUP(A1499,'Step 1'!$A:$E,4,FALSE)</f>
        <v>11858968</v>
      </c>
      <c r="M1499" s="47">
        <f t="shared" si="442"/>
        <v>19057</v>
      </c>
      <c r="N1499" s="177">
        <f>SUMIFS('Support - Transition'!G:G,'Support - Transition'!J:J,'Step 2'!D1499,'Support - Transition'!E:E,"2009 WELFARE ALLOCATION FACTOR")</f>
        <v>0</v>
      </c>
      <c r="O1499" s="152">
        <f t="shared" si="447"/>
        <v>0</v>
      </c>
      <c r="P1499" s="126">
        <f>IF(E1499="Y",0,SUMIFS('Support - Transition'!G:G,'Support - Transition'!J:J,'Step 2'!D1499,'Support - Transition'!E:E,"2009 SCHOOL ALLOCATION FACTOR"))</f>
        <v>0</v>
      </c>
      <c r="Q1499" s="126">
        <f>IF(E1499="Y",VLOOKUP(D1499,'Support - Unit Adjustments'!F:G,2,FALSE),0)</f>
        <v>0</v>
      </c>
      <c r="R1499" s="155">
        <f t="shared" si="459"/>
        <v>0</v>
      </c>
      <c r="S1499" s="47">
        <f t="shared" si="458"/>
        <v>0</v>
      </c>
      <c r="T1499" s="151">
        <f t="shared" si="443"/>
        <v>19057</v>
      </c>
      <c r="U1499" s="151">
        <f t="shared" si="444"/>
        <v>0</v>
      </c>
      <c r="V1499" s="139">
        <f t="shared" si="445"/>
        <v>0</v>
      </c>
      <c r="W1499" s="152">
        <f t="shared" si="448"/>
        <v>19057</v>
      </c>
      <c r="X1499" s="127" t="str">
        <f t="shared" si="446"/>
        <v/>
      </c>
      <c r="Y1499" s="207">
        <f t="shared" si="449"/>
        <v>19057</v>
      </c>
      <c r="Z1499" s="139">
        <f t="shared" si="450"/>
        <v>6949</v>
      </c>
      <c r="AA1499" s="139">
        <f t="shared" si="451"/>
        <v>12108</v>
      </c>
      <c r="AC1499" s="47">
        <f t="shared" si="452"/>
        <v>9529</v>
      </c>
      <c r="AD1499" s="47">
        <f t="shared" si="453"/>
        <v>3475</v>
      </c>
      <c r="AE1499" s="47">
        <f t="shared" si="454"/>
        <v>6054</v>
      </c>
      <c r="AG1499" s="47">
        <f t="shared" si="455"/>
        <v>9528</v>
      </c>
      <c r="AH1499" s="47">
        <f t="shared" si="456"/>
        <v>3474</v>
      </c>
      <c r="AI1499" s="208">
        <f t="shared" si="457"/>
        <v>6054</v>
      </c>
    </row>
    <row r="1500" spans="1:35">
      <c r="A1500" t="s">
        <v>2133</v>
      </c>
      <c r="B1500" t="s">
        <v>3142</v>
      </c>
      <c r="C1500" t="s">
        <v>2192</v>
      </c>
      <c r="D1500" t="s">
        <v>4906</v>
      </c>
      <c r="F1500" t="s">
        <v>56</v>
      </c>
      <c r="G1500" s="126">
        <f>SUMIFS('Support - Transition'!F:F,'Support - Transition'!B:B,'Step 2'!A1500,'Support - Transition'!C:C,'Step 2'!B1500,'Support - Transition'!D:D,'Step 2'!C1500,'Support - Transition'!E:E,"CIVIL")</f>
        <v>2.1210000000000001E-3</v>
      </c>
      <c r="H1500" s="126">
        <f>SUMIFS('Support - Transition'!F:F,'Support - Transition'!B:B,'Step 2'!A1500,'Support - Transition'!C:C,'Step 2'!B1500,'Support - Transition'!D:D,'Step 2'!C1500,'Support - Transition'!E:E,"FIRE")</f>
        <v>7.842E-3</v>
      </c>
      <c r="I1500" s="126">
        <f>IF(B1500="0",SUMIFS('Support - Transition'!F:F,'Support - Transition'!J:J,'Step 2'!D1500,'Support - Transition'!E:E,"STATE UNIT"),SUMIFS('Support - Transition'!F:F,'Support - Transition'!J:J,'Step 2'!D1500))</f>
        <v>9.9629999999999996E-3</v>
      </c>
      <c r="J1500" s="126">
        <f>SUMIFS('Support - Unit Adjustments'!E:E,'Support - Unit Adjustments'!F:F,'Step 2'!D1500)</f>
        <v>0</v>
      </c>
      <c r="K1500" s="126">
        <f t="shared" si="441"/>
        <v>9.9629999999999996E-3</v>
      </c>
      <c r="L1500" s="174">
        <f>VLOOKUP(A1500,'Step 1'!$A:$E,4,FALSE)</f>
        <v>11858968</v>
      </c>
      <c r="M1500" s="47">
        <f t="shared" si="442"/>
        <v>118151</v>
      </c>
      <c r="N1500" s="177">
        <f>SUMIFS('Support - Transition'!G:G,'Support - Transition'!J:J,'Step 2'!D1500,'Support - Transition'!E:E,"2009 WELFARE ALLOCATION FACTOR")</f>
        <v>0</v>
      </c>
      <c r="O1500" s="152">
        <f t="shared" si="447"/>
        <v>0</v>
      </c>
      <c r="P1500" s="126">
        <f>IF(E1500="Y",0,SUMIFS('Support - Transition'!G:G,'Support - Transition'!J:J,'Step 2'!D1500,'Support - Transition'!E:E,"2009 SCHOOL ALLOCATION FACTOR"))</f>
        <v>0</v>
      </c>
      <c r="Q1500" s="126">
        <f>IF(E1500="Y",VLOOKUP(D1500,'Support - Unit Adjustments'!F:G,2,FALSE),0)</f>
        <v>0</v>
      </c>
      <c r="R1500" s="155">
        <f t="shared" si="459"/>
        <v>0</v>
      </c>
      <c r="S1500" s="47">
        <f t="shared" si="458"/>
        <v>0</v>
      </c>
      <c r="T1500" s="151">
        <f t="shared" si="443"/>
        <v>118151</v>
      </c>
      <c r="U1500" s="151">
        <f t="shared" si="444"/>
        <v>0</v>
      </c>
      <c r="V1500" s="139">
        <f t="shared" si="445"/>
        <v>0</v>
      </c>
      <c r="W1500" s="152">
        <f t="shared" si="448"/>
        <v>118151</v>
      </c>
      <c r="X1500" s="127" t="str">
        <f t="shared" si="446"/>
        <v/>
      </c>
      <c r="Y1500" s="207">
        <f t="shared" si="449"/>
        <v>118151</v>
      </c>
      <c r="Z1500" s="139">
        <f t="shared" si="450"/>
        <v>25153</v>
      </c>
      <c r="AA1500" s="139">
        <f t="shared" si="451"/>
        <v>92998</v>
      </c>
      <c r="AC1500" s="47">
        <f t="shared" si="452"/>
        <v>59076</v>
      </c>
      <c r="AD1500" s="47">
        <f t="shared" si="453"/>
        <v>12577</v>
      </c>
      <c r="AE1500" s="47">
        <f t="shared" si="454"/>
        <v>46499</v>
      </c>
      <c r="AG1500" s="47">
        <f t="shared" si="455"/>
        <v>59075</v>
      </c>
      <c r="AH1500" s="47">
        <f t="shared" si="456"/>
        <v>12576</v>
      </c>
      <c r="AI1500" s="208">
        <f t="shared" si="457"/>
        <v>46499</v>
      </c>
    </row>
    <row r="1501" spans="1:35">
      <c r="A1501" t="s">
        <v>2133</v>
      </c>
      <c r="B1501" t="s">
        <v>3142</v>
      </c>
      <c r="C1501" t="s">
        <v>2193</v>
      </c>
      <c r="D1501" t="s">
        <v>4907</v>
      </c>
      <c r="F1501" t="s">
        <v>858</v>
      </c>
      <c r="G1501" s="126">
        <f>SUMIFS('Support - Transition'!F:F,'Support - Transition'!B:B,'Step 2'!A1501,'Support - Transition'!C:C,'Step 2'!B1501,'Support - Transition'!D:D,'Step 2'!C1501,'Support - Transition'!E:E,"CIVIL")</f>
        <v>7.5100000000000004E-4</v>
      </c>
      <c r="H1501" s="126">
        <f>SUMIFS('Support - Transition'!F:F,'Support - Transition'!B:B,'Step 2'!A1501,'Support - Transition'!C:C,'Step 2'!B1501,'Support - Transition'!D:D,'Step 2'!C1501,'Support - Transition'!E:E,"FIRE")</f>
        <v>9.2280000000000001E-3</v>
      </c>
      <c r="I1501" s="126">
        <f>IF(B1501="0",SUMIFS('Support - Transition'!F:F,'Support - Transition'!J:J,'Step 2'!D1501,'Support - Transition'!E:E,"STATE UNIT"),SUMIFS('Support - Transition'!F:F,'Support - Transition'!J:J,'Step 2'!D1501))</f>
        <v>9.979E-3</v>
      </c>
      <c r="J1501" s="126">
        <f>SUMIFS('Support - Unit Adjustments'!E:E,'Support - Unit Adjustments'!F:F,'Step 2'!D1501)</f>
        <v>0</v>
      </c>
      <c r="K1501" s="126">
        <f t="shared" si="441"/>
        <v>9.979E-3</v>
      </c>
      <c r="L1501" s="174">
        <f>VLOOKUP(A1501,'Step 1'!$A:$E,4,FALSE)</f>
        <v>11858968</v>
      </c>
      <c r="M1501" s="47">
        <f t="shared" si="442"/>
        <v>118341</v>
      </c>
      <c r="N1501" s="177">
        <f>SUMIFS('Support - Transition'!G:G,'Support - Transition'!J:J,'Step 2'!D1501,'Support - Transition'!E:E,"2009 WELFARE ALLOCATION FACTOR")</f>
        <v>0</v>
      </c>
      <c r="O1501" s="152">
        <f t="shared" si="447"/>
        <v>0</v>
      </c>
      <c r="P1501" s="126">
        <f>IF(E1501="Y",0,SUMIFS('Support - Transition'!G:G,'Support - Transition'!J:J,'Step 2'!D1501,'Support - Transition'!E:E,"2009 SCHOOL ALLOCATION FACTOR"))</f>
        <v>0</v>
      </c>
      <c r="Q1501" s="126">
        <f>IF(E1501="Y",VLOOKUP(D1501,'Support - Unit Adjustments'!F:G,2,FALSE),0)</f>
        <v>0</v>
      </c>
      <c r="R1501" s="155">
        <f t="shared" si="459"/>
        <v>0</v>
      </c>
      <c r="S1501" s="47">
        <f t="shared" si="458"/>
        <v>0</v>
      </c>
      <c r="T1501" s="151">
        <f t="shared" si="443"/>
        <v>118341</v>
      </c>
      <c r="U1501" s="151">
        <f t="shared" si="444"/>
        <v>0</v>
      </c>
      <c r="V1501" s="139">
        <f t="shared" si="445"/>
        <v>0</v>
      </c>
      <c r="W1501" s="152">
        <f t="shared" si="448"/>
        <v>118341</v>
      </c>
      <c r="X1501" s="127" t="str">
        <f t="shared" si="446"/>
        <v/>
      </c>
      <c r="Y1501" s="207">
        <f t="shared" si="449"/>
        <v>118341</v>
      </c>
      <c r="Z1501" s="139">
        <f t="shared" si="450"/>
        <v>8906</v>
      </c>
      <c r="AA1501" s="139">
        <f t="shared" si="451"/>
        <v>109435</v>
      </c>
      <c r="AC1501" s="47">
        <f t="shared" si="452"/>
        <v>59171</v>
      </c>
      <c r="AD1501" s="47">
        <f t="shared" si="453"/>
        <v>4453</v>
      </c>
      <c r="AE1501" s="47">
        <f t="shared" si="454"/>
        <v>54718</v>
      </c>
      <c r="AG1501" s="47">
        <f t="shared" si="455"/>
        <v>59170</v>
      </c>
      <c r="AH1501" s="47">
        <f t="shared" si="456"/>
        <v>4453</v>
      </c>
      <c r="AI1501" s="208">
        <f t="shared" si="457"/>
        <v>54717</v>
      </c>
    </row>
    <row r="1502" spans="1:35">
      <c r="A1502" t="s">
        <v>2133</v>
      </c>
      <c r="B1502" t="s">
        <v>3142</v>
      </c>
      <c r="C1502" t="s">
        <v>2194</v>
      </c>
      <c r="D1502" t="s">
        <v>4908</v>
      </c>
      <c r="F1502" t="s">
        <v>272</v>
      </c>
      <c r="G1502" s="126">
        <f>SUMIFS('Support - Transition'!F:F,'Support - Transition'!B:B,'Step 2'!A1502,'Support - Transition'!C:C,'Step 2'!B1502,'Support - Transition'!D:D,'Step 2'!C1502,'Support - Transition'!E:E,"CIVIL")</f>
        <v>3.3379999999999998E-3</v>
      </c>
      <c r="H1502" s="126">
        <f>SUMIFS('Support - Transition'!F:F,'Support - Transition'!B:B,'Step 2'!A1502,'Support - Transition'!C:C,'Step 2'!B1502,'Support - Transition'!D:D,'Step 2'!C1502,'Support - Transition'!E:E,"FIRE")</f>
        <v>7.6920000000000001E-3</v>
      </c>
      <c r="I1502" s="126">
        <f>IF(B1502="0",SUMIFS('Support - Transition'!F:F,'Support - Transition'!J:J,'Step 2'!D1502,'Support - Transition'!E:E,"STATE UNIT"),SUMIFS('Support - Transition'!F:F,'Support - Transition'!J:J,'Step 2'!D1502))</f>
        <v>1.103E-2</v>
      </c>
      <c r="J1502" s="126">
        <f>SUMIFS('Support - Unit Adjustments'!E:E,'Support - Unit Adjustments'!F:F,'Step 2'!D1502)</f>
        <v>0</v>
      </c>
      <c r="K1502" s="126">
        <f t="shared" si="441"/>
        <v>1.103E-2</v>
      </c>
      <c r="L1502" s="174">
        <f>VLOOKUP(A1502,'Step 1'!$A:$E,4,FALSE)</f>
        <v>11858968</v>
      </c>
      <c r="M1502" s="47">
        <f t="shared" si="442"/>
        <v>130804</v>
      </c>
      <c r="N1502" s="177">
        <f>SUMIFS('Support - Transition'!G:G,'Support - Transition'!J:J,'Step 2'!D1502,'Support - Transition'!E:E,"2009 WELFARE ALLOCATION FACTOR")</f>
        <v>0</v>
      </c>
      <c r="O1502" s="152">
        <f t="shared" si="447"/>
        <v>0</v>
      </c>
      <c r="P1502" s="126">
        <f>IF(E1502="Y",0,SUMIFS('Support - Transition'!G:G,'Support - Transition'!J:J,'Step 2'!D1502,'Support - Transition'!E:E,"2009 SCHOOL ALLOCATION FACTOR"))</f>
        <v>0</v>
      </c>
      <c r="Q1502" s="126">
        <f>IF(E1502="Y",VLOOKUP(D1502,'Support - Unit Adjustments'!F:G,2,FALSE),0)</f>
        <v>0</v>
      </c>
      <c r="R1502" s="155">
        <f t="shared" si="459"/>
        <v>0</v>
      </c>
      <c r="S1502" s="47">
        <f t="shared" si="458"/>
        <v>0</v>
      </c>
      <c r="T1502" s="151">
        <f t="shared" si="443"/>
        <v>130804</v>
      </c>
      <c r="U1502" s="151">
        <f t="shared" si="444"/>
        <v>0</v>
      </c>
      <c r="V1502" s="139">
        <f t="shared" si="445"/>
        <v>0</v>
      </c>
      <c r="W1502" s="152">
        <f t="shared" si="448"/>
        <v>130804</v>
      </c>
      <c r="X1502" s="127" t="str">
        <f t="shared" si="446"/>
        <v/>
      </c>
      <c r="Y1502" s="207">
        <f t="shared" si="449"/>
        <v>130804</v>
      </c>
      <c r="Z1502" s="139">
        <f t="shared" si="450"/>
        <v>39585</v>
      </c>
      <c r="AA1502" s="139">
        <f t="shared" si="451"/>
        <v>91219</v>
      </c>
      <c r="AC1502" s="47">
        <f t="shared" si="452"/>
        <v>65402</v>
      </c>
      <c r="AD1502" s="47">
        <f t="shared" si="453"/>
        <v>19793</v>
      </c>
      <c r="AE1502" s="47">
        <f t="shared" si="454"/>
        <v>45610</v>
      </c>
      <c r="AG1502" s="47">
        <f t="shared" si="455"/>
        <v>65402</v>
      </c>
      <c r="AH1502" s="47">
        <f t="shared" si="456"/>
        <v>19792</v>
      </c>
      <c r="AI1502" s="208">
        <f t="shared" si="457"/>
        <v>45609</v>
      </c>
    </row>
    <row r="1503" spans="1:35">
      <c r="A1503" t="s">
        <v>2133</v>
      </c>
      <c r="B1503" t="s">
        <v>3142</v>
      </c>
      <c r="C1503" t="s">
        <v>2195</v>
      </c>
      <c r="D1503" t="s">
        <v>4909</v>
      </c>
      <c r="F1503" t="s">
        <v>22</v>
      </c>
      <c r="G1503" s="126">
        <f>SUMIFS('Support - Transition'!F:F,'Support - Transition'!B:B,'Step 2'!A1503,'Support - Transition'!C:C,'Step 2'!B1503,'Support - Transition'!D:D,'Step 2'!C1503,'Support - Transition'!E:E,"CIVIL")</f>
        <v>2.81E-4</v>
      </c>
      <c r="H1503" s="126">
        <f>SUMIFS('Support - Transition'!F:F,'Support - Transition'!B:B,'Step 2'!A1503,'Support - Transition'!C:C,'Step 2'!B1503,'Support - Transition'!D:D,'Step 2'!C1503,'Support - Transition'!E:E,"FIRE")</f>
        <v>7.0399999999999998E-4</v>
      </c>
      <c r="I1503" s="126">
        <f>IF(B1503="0",SUMIFS('Support - Transition'!F:F,'Support - Transition'!J:J,'Step 2'!D1503,'Support - Transition'!E:E,"STATE UNIT"),SUMIFS('Support - Transition'!F:F,'Support - Transition'!J:J,'Step 2'!D1503))</f>
        <v>9.8499999999999998E-4</v>
      </c>
      <c r="J1503" s="126">
        <f>SUMIFS('Support - Unit Adjustments'!E:E,'Support - Unit Adjustments'!F:F,'Step 2'!D1503)</f>
        <v>0</v>
      </c>
      <c r="K1503" s="126">
        <f t="shared" si="441"/>
        <v>9.8499999999999998E-4</v>
      </c>
      <c r="L1503" s="174">
        <f>VLOOKUP(A1503,'Step 1'!$A:$E,4,FALSE)</f>
        <v>11858968</v>
      </c>
      <c r="M1503" s="47">
        <f t="shared" si="442"/>
        <v>11681</v>
      </c>
      <c r="N1503" s="177">
        <f>SUMIFS('Support - Transition'!G:G,'Support - Transition'!J:J,'Step 2'!D1503,'Support - Transition'!E:E,"2009 WELFARE ALLOCATION FACTOR")</f>
        <v>0</v>
      </c>
      <c r="O1503" s="152">
        <f t="shared" si="447"/>
        <v>0</v>
      </c>
      <c r="P1503" s="126">
        <f>IF(E1503="Y",0,SUMIFS('Support - Transition'!G:G,'Support - Transition'!J:J,'Step 2'!D1503,'Support - Transition'!E:E,"2009 SCHOOL ALLOCATION FACTOR"))</f>
        <v>0</v>
      </c>
      <c r="Q1503" s="126">
        <f>IF(E1503="Y",VLOOKUP(D1503,'Support - Unit Adjustments'!F:G,2,FALSE),0)</f>
        <v>0</v>
      </c>
      <c r="R1503" s="155">
        <f t="shared" si="459"/>
        <v>0</v>
      </c>
      <c r="S1503" s="47">
        <f t="shared" si="458"/>
        <v>0</v>
      </c>
      <c r="T1503" s="151">
        <f t="shared" si="443"/>
        <v>11681</v>
      </c>
      <c r="U1503" s="151">
        <f t="shared" si="444"/>
        <v>0</v>
      </c>
      <c r="V1503" s="139">
        <f t="shared" si="445"/>
        <v>0</v>
      </c>
      <c r="W1503" s="152">
        <f t="shared" si="448"/>
        <v>11681</v>
      </c>
      <c r="X1503" s="127" t="str">
        <f t="shared" si="446"/>
        <v/>
      </c>
      <c r="Y1503" s="207">
        <f t="shared" si="449"/>
        <v>11681</v>
      </c>
      <c r="Z1503" s="139">
        <f t="shared" si="450"/>
        <v>3332</v>
      </c>
      <c r="AA1503" s="139">
        <f t="shared" si="451"/>
        <v>8349</v>
      </c>
      <c r="AC1503" s="47">
        <f t="shared" si="452"/>
        <v>5841</v>
      </c>
      <c r="AD1503" s="47">
        <f t="shared" si="453"/>
        <v>1666</v>
      </c>
      <c r="AE1503" s="47">
        <f t="shared" si="454"/>
        <v>4175</v>
      </c>
      <c r="AG1503" s="47">
        <f t="shared" si="455"/>
        <v>5840</v>
      </c>
      <c r="AH1503" s="47">
        <f t="shared" si="456"/>
        <v>1666</v>
      </c>
      <c r="AI1503" s="208">
        <f t="shared" si="457"/>
        <v>4174</v>
      </c>
    </row>
    <row r="1504" spans="1:35">
      <c r="A1504" t="s">
        <v>2133</v>
      </c>
      <c r="B1504" t="s">
        <v>3142</v>
      </c>
      <c r="C1504" t="s">
        <v>2196</v>
      </c>
      <c r="D1504" t="s">
        <v>4910</v>
      </c>
      <c r="F1504" t="s">
        <v>61</v>
      </c>
      <c r="G1504" s="126">
        <f>SUMIFS('Support - Transition'!F:F,'Support - Transition'!B:B,'Step 2'!A1504,'Support - Transition'!C:C,'Step 2'!B1504,'Support - Transition'!D:D,'Step 2'!C1504,'Support - Transition'!E:E,"CIVIL")</f>
        <v>6.6800000000000002E-3</v>
      </c>
      <c r="H1504" s="126">
        <f>SUMIFS('Support - Transition'!F:F,'Support - Transition'!B:B,'Step 2'!A1504,'Support - Transition'!C:C,'Step 2'!B1504,'Support - Transition'!D:D,'Step 2'!C1504,'Support - Transition'!E:E,"FIRE")</f>
        <v>1.586E-3</v>
      </c>
      <c r="I1504" s="126">
        <f>IF(B1504="0",SUMIFS('Support - Transition'!F:F,'Support - Transition'!J:J,'Step 2'!D1504,'Support - Transition'!E:E,"STATE UNIT"),SUMIFS('Support - Transition'!F:F,'Support - Transition'!J:J,'Step 2'!D1504))</f>
        <v>8.2660000000000008E-3</v>
      </c>
      <c r="J1504" s="126">
        <f>SUMIFS('Support - Unit Adjustments'!E:E,'Support - Unit Adjustments'!F:F,'Step 2'!D1504)</f>
        <v>0</v>
      </c>
      <c r="K1504" s="126">
        <f t="shared" si="441"/>
        <v>8.2660000000000008E-3</v>
      </c>
      <c r="L1504" s="174">
        <f>VLOOKUP(A1504,'Step 1'!$A:$E,4,FALSE)</f>
        <v>11858968</v>
      </c>
      <c r="M1504" s="47">
        <f t="shared" si="442"/>
        <v>98026</v>
      </c>
      <c r="N1504" s="177">
        <f>SUMIFS('Support - Transition'!G:G,'Support - Transition'!J:J,'Step 2'!D1504,'Support - Transition'!E:E,"2009 WELFARE ALLOCATION FACTOR")</f>
        <v>0</v>
      </c>
      <c r="O1504" s="152">
        <f t="shared" si="447"/>
        <v>0</v>
      </c>
      <c r="P1504" s="126">
        <f>IF(E1504="Y",0,SUMIFS('Support - Transition'!G:G,'Support - Transition'!J:J,'Step 2'!D1504,'Support - Transition'!E:E,"2009 SCHOOL ALLOCATION FACTOR"))</f>
        <v>0</v>
      </c>
      <c r="Q1504" s="126">
        <f>IF(E1504="Y",VLOOKUP(D1504,'Support - Unit Adjustments'!F:G,2,FALSE),0)</f>
        <v>0</v>
      </c>
      <c r="R1504" s="155">
        <f t="shared" si="459"/>
        <v>0</v>
      </c>
      <c r="S1504" s="47">
        <f t="shared" si="458"/>
        <v>0</v>
      </c>
      <c r="T1504" s="151">
        <f t="shared" si="443"/>
        <v>98026</v>
      </c>
      <c r="U1504" s="151">
        <f t="shared" si="444"/>
        <v>0</v>
      </c>
      <c r="V1504" s="139">
        <f t="shared" si="445"/>
        <v>0</v>
      </c>
      <c r="W1504" s="152">
        <f t="shared" si="448"/>
        <v>98026</v>
      </c>
      <c r="X1504" s="127" t="str">
        <f t="shared" si="446"/>
        <v/>
      </c>
      <c r="Y1504" s="207">
        <f t="shared" si="449"/>
        <v>98026</v>
      </c>
      <c r="Z1504" s="139">
        <f t="shared" si="450"/>
        <v>79218</v>
      </c>
      <c r="AA1504" s="139">
        <f t="shared" si="451"/>
        <v>18808</v>
      </c>
      <c r="AC1504" s="47">
        <f t="shared" si="452"/>
        <v>49013</v>
      </c>
      <c r="AD1504" s="47">
        <f t="shared" si="453"/>
        <v>39609</v>
      </c>
      <c r="AE1504" s="47">
        <f t="shared" si="454"/>
        <v>9404</v>
      </c>
      <c r="AG1504" s="47">
        <f t="shared" si="455"/>
        <v>49013</v>
      </c>
      <c r="AH1504" s="47">
        <f t="shared" si="456"/>
        <v>39609</v>
      </c>
      <c r="AI1504" s="208">
        <f t="shared" si="457"/>
        <v>9404</v>
      </c>
    </row>
    <row r="1505" spans="1:35">
      <c r="A1505" t="s">
        <v>2133</v>
      </c>
      <c r="B1505" t="s">
        <v>3155</v>
      </c>
      <c r="C1505" t="s">
        <v>2791</v>
      </c>
      <c r="D1505" t="s">
        <v>4911</v>
      </c>
      <c r="F1505" t="s">
        <v>1159</v>
      </c>
      <c r="G1505" s="126">
        <f>SUMIFS('Support - Transition'!F:F,'Support - Transition'!B:B,'Step 2'!A1505,'Support - Transition'!C:C,'Step 2'!B1505,'Support - Transition'!D:D,'Step 2'!C1505,'Support - Transition'!E:E,"CIVIL")</f>
        <v>0</v>
      </c>
      <c r="H1505" s="126">
        <f>SUMIFS('Support - Transition'!F:F,'Support - Transition'!B:B,'Step 2'!A1505,'Support - Transition'!C:C,'Step 2'!B1505,'Support - Transition'!D:D,'Step 2'!C1505,'Support - Transition'!E:E,"FIRE")</f>
        <v>0</v>
      </c>
      <c r="I1505" s="126">
        <f>IF(B1505="0",SUMIFS('Support - Transition'!F:F,'Support - Transition'!J:J,'Step 2'!D1505,'Support - Transition'!E:E,"STATE UNIT"),SUMIFS('Support - Transition'!F:F,'Support - Transition'!J:J,'Step 2'!D1505))</f>
        <v>3.7929999999999999E-3</v>
      </c>
      <c r="J1505" s="126">
        <f>SUMIFS('Support - Unit Adjustments'!E:E,'Support - Unit Adjustments'!F:F,'Step 2'!D1505)</f>
        <v>0</v>
      </c>
      <c r="K1505" s="126">
        <f t="shared" si="441"/>
        <v>3.7929999999999999E-3</v>
      </c>
      <c r="L1505" s="174">
        <f>VLOOKUP(A1505,'Step 1'!$A:$E,4,FALSE)</f>
        <v>11858968</v>
      </c>
      <c r="M1505" s="47">
        <f t="shared" si="442"/>
        <v>44981</v>
      </c>
      <c r="N1505" s="177">
        <f>SUMIFS('Support - Transition'!G:G,'Support - Transition'!J:J,'Step 2'!D1505,'Support - Transition'!E:E,"2009 WELFARE ALLOCATION FACTOR")</f>
        <v>0</v>
      </c>
      <c r="O1505" s="152">
        <f t="shared" si="447"/>
        <v>0</v>
      </c>
      <c r="P1505" s="126">
        <f>IF(E1505="Y",0,SUMIFS('Support - Transition'!G:G,'Support - Transition'!J:J,'Step 2'!D1505,'Support - Transition'!E:E,"2009 SCHOOL ALLOCATION FACTOR"))</f>
        <v>0</v>
      </c>
      <c r="Q1505" s="126">
        <f>IF(E1505="Y",VLOOKUP(D1505,'Support - Unit Adjustments'!F:G,2,FALSE),0)</f>
        <v>0</v>
      </c>
      <c r="R1505" s="155">
        <f t="shared" si="459"/>
        <v>0</v>
      </c>
      <c r="S1505" s="47">
        <f t="shared" si="458"/>
        <v>0</v>
      </c>
      <c r="T1505" s="151">
        <f t="shared" si="443"/>
        <v>44981</v>
      </c>
      <c r="U1505" s="151">
        <f t="shared" si="444"/>
        <v>0</v>
      </c>
      <c r="V1505" s="139">
        <f t="shared" si="445"/>
        <v>0</v>
      </c>
      <c r="W1505" s="152">
        <f t="shared" si="448"/>
        <v>44981</v>
      </c>
      <c r="X1505" s="127" t="str">
        <f t="shared" si="446"/>
        <v/>
      </c>
      <c r="Y1505" s="207">
        <f t="shared" si="449"/>
        <v>44981</v>
      </c>
      <c r="Z1505" s="139">
        <f t="shared" si="450"/>
        <v>44981</v>
      </c>
      <c r="AA1505" s="139">
        <f t="shared" si="451"/>
        <v>0</v>
      </c>
      <c r="AC1505" s="47">
        <f t="shared" si="452"/>
        <v>22491</v>
      </c>
      <c r="AD1505" s="47">
        <f t="shared" si="453"/>
        <v>22491</v>
      </c>
      <c r="AE1505" s="47">
        <f t="shared" si="454"/>
        <v>0</v>
      </c>
      <c r="AG1505" s="47">
        <f t="shared" si="455"/>
        <v>22490</v>
      </c>
      <c r="AH1505" s="47">
        <f t="shared" si="456"/>
        <v>22490</v>
      </c>
      <c r="AI1505" s="208">
        <f t="shared" si="457"/>
        <v>0</v>
      </c>
    </row>
    <row r="1506" spans="1:35">
      <c r="A1506" t="s">
        <v>2133</v>
      </c>
      <c r="B1506" t="s">
        <v>3155</v>
      </c>
      <c r="C1506" t="s">
        <v>2792</v>
      </c>
      <c r="D1506" t="s">
        <v>4912</v>
      </c>
      <c r="F1506" t="s">
        <v>1155</v>
      </c>
      <c r="G1506" s="126">
        <f>SUMIFS('Support - Transition'!F:F,'Support - Transition'!B:B,'Step 2'!A1506,'Support - Transition'!C:C,'Step 2'!B1506,'Support - Transition'!D:D,'Step 2'!C1506,'Support - Transition'!E:E,"CIVIL")</f>
        <v>0</v>
      </c>
      <c r="H1506" s="126">
        <f>SUMIFS('Support - Transition'!F:F,'Support - Transition'!B:B,'Step 2'!A1506,'Support - Transition'!C:C,'Step 2'!B1506,'Support - Transition'!D:D,'Step 2'!C1506,'Support - Transition'!E:E,"FIRE")</f>
        <v>0</v>
      </c>
      <c r="I1506" s="126">
        <f>IF(B1506="0",SUMIFS('Support - Transition'!F:F,'Support - Transition'!J:J,'Step 2'!D1506,'Support - Transition'!E:E,"STATE UNIT"),SUMIFS('Support - Transition'!F:F,'Support - Transition'!J:J,'Step 2'!D1506))</f>
        <v>2.5279999999999999E-3</v>
      </c>
      <c r="J1506" s="126">
        <f>SUMIFS('Support - Unit Adjustments'!E:E,'Support - Unit Adjustments'!F:F,'Step 2'!D1506)</f>
        <v>0</v>
      </c>
      <c r="K1506" s="126">
        <f t="shared" si="441"/>
        <v>2.5279999999999999E-3</v>
      </c>
      <c r="L1506" s="174">
        <f>VLOOKUP(A1506,'Step 1'!$A:$E,4,FALSE)</f>
        <v>11858968</v>
      </c>
      <c r="M1506" s="47">
        <f t="shared" si="442"/>
        <v>29979</v>
      </c>
      <c r="N1506" s="177">
        <f>SUMIFS('Support - Transition'!G:G,'Support - Transition'!J:J,'Step 2'!D1506,'Support - Transition'!E:E,"2009 WELFARE ALLOCATION FACTOR")</f>
        <v>0</v>
      </c>
      <c r="O1506" s="152">
        <f t="shared" si="447"/>
        <v>0</v>
      </c>
      <c r="P1506" s="126">
        <f>IF(E1506="Y",0,SUMIFS('Support - Transition'!G:G,'Support - Transition'!J:J,'Step 2'!D1506,'Support - Transition'!E:E,"2009 SCHOOL ALLOCATION FACTOR"))</f>
        <v>0</v>
      </c>
      <c r="Q1506" s="126">
        <f>IF(E1506="Y",VLOOKUP(D1506,'Support - Unit Adjustments'!F:G,2,FALSE),0)</f>
        <v>0</v>
      </c>
      <c r="R1506" s="155">
        <f t="shared" si="459"/>
        <v>0</v>
      </c>
      <c r="S1506" s="47">
        <f t="shared" si="458"/>
        <v>0</v>
      </c>
      <c r="T1506" s="151">
        <f t="shared" si="443"/>
        <v>29979</v>
      </c>
      <c r="U1506" s="151">
        <f t="shared" si="444"/>
        <v>0</v>
      </c>
      <c r="V1506" s="139">
        <f t="shared" si="445"/>
        <v>0</v>
      </c>
      <c r="W1506" s="152">
        <f t="shared" si="448"/>
        <v>29979</v>
      </c>
      <c r="X1506" s="127" t="str">
        <f t="shared" si="446"/>
        <v/>
      </c>
      <c r="Y1506" s="207">
        <f t="shared" si="449"/>
        <v>29979</v>
      </c>
      <c r="Z1506" s="139">
        <f t="shared" si="450"/>
        <v>29979</v>
      </c>
      <c r="AA1506" s="139">
        <f t="shared" si="451"/>
        <v>0</v>
      </c>
      <c r="AC1506" s="47">
        <f t="shared" si="452"/>
        <v>14990</v>
      </c>
      <c r="AD1506" s="47">
        <f t="shared" si="453"/>
        <v>14990</v>
      </c>
      <c r="AE1506" s="47">
        <f t="shared" si="454"/>
        <v>0</v>
      </c>
      <c r="AG1506" s="47">
        <f t="shared" si="455"/>
        <v>14989</v>
      </c>
      <c r="AH1506" s="47">
        <f t="shared" si="456"/>
        <v>14989</v>
      </c>
      <c r="AI1506" s="208">
        <f t="shared" si="457"/>
        <v>0</v>
      </c>
    </row>
    <row r="1507" spans="1:35">
      <c r="A1507" t="s">
        <v>2133</v>
      </c>
      <c r="B1507" t="s">
        <v>3155</v>
      </c>
      <c r="C1507" t="s">
        <v>2793</v>
      </c>
      <c r="D1507" t="s">
        <v>4913</v>
      </c>
      <c r="F1507" t="s">
        <v>1162</v>
      </c>
      <c r="G1507" s="126">
        <f>SUMIFS('Support - Transition'!F:F,'Support - Transition'!B:B,'Step 2'!A1507,'Support - Transition'!C:C,'Step 2'!B1507,'Support - Transition'!D:D,'Step 2'!C1507,'Support - Transition'!E:E,"CIVIL")</f>
        <v>0</v>
      </c>
      <c r="H1507" s="126">
        <f>SUMIFS('Support - Transition'!F:F,'Support - Transition'!B:B,'Step 2'!A1507,'Support - Transition'!C:C,'Step 2'!B1507,'Support - Transition'!D:D,'Step 2'!C1507,'Support - Transition'!E:E,"FIRE")</f>
        <v>0</v>
      </c>
      <c r="I1507" s="126">
        <f>IF(B1507="0",SUMIFS('Support - Transition'!F:F,'Support - Transition'!J:J,'Step 2'!D1507,'Support - Transition'!E:E,"STATE UNIT"),SUMIFS('Support - Transition'!F:F,'Support - Transition'!J:J,'Step 2'!D1507))</f>
        <v>7.2000000000000002E-5</v>
      </c>
      <c r="J1507" s="126">
        <f>SUMIFS('Support - Unit Adjustments'!E:E,'Support - Unit Adjustments'!F:F,'Step 2'!D1507)</f>
        <v>0</v>
      </c>
      <c r="K1507" s="126">
        <f t="shared" si="441"/>
        <v>7.2000000000000002E-5</v>
      </c>
      <c r="L1507" s="174">
        <f>VLOOKUP(A1507,'Step 1'!$A:$E,4,FALSE)</f>
        <v>11858968</v>
      </c>
      <c r="M1507" s="47">
        <f t="shared" si="442"/>
        <v>854</v>
      </c>
      <c r="N1507" s="177">
        <f>SUMIFS('Support - Transition'!G:G,'Support - Transition'!J:J,'Step 2'!D1507,'Support - Transition'!E:E,"2009 WELFARE ALLOCATION FACTOR")</f>
        <v>0</v>
      </c>
      <c r="O1507" s="152">
        <f t="shared" si="447"/>
        <v>0</v>
      </c>
      <c r="P1507" s="126">
        <f>IF(E1507="Y",0,SUMIFS('Support - Transition'!G:G,'Support - Transition'!J:J,'Step 2'!D1507,'Support - Transition'!E:E,"2009 SCHOOL ALLOCATION FACTOR"))</f>
        <v>0</v>
      </c>
      <c r="Q1507" s="126">
        <f>IF(E1507="Y",VLOOKUP(D1507,'Support - Unit Adjustments'!F:G,2,FALSE),0)</f>
        <v>0</v>
      </c>
      <c r="R1507" s="155">
        <f t="shared" si="459"/>
        <v>0</v>
      </c>
      <c r="S1507" s="47">
        <f t="shared" si="458"/>
        <v>0</v>
      </c>
      <c r="T1507" s="151">
        <f t="shared" si="443"/>
        <v>854</v>
      </c>
      <c r="U1507" s="151">
        <f t="shared" si="444"/>
        <v>0</v>
      </c>
      <c r="V1507" s="139">
        <f t="shared" si="445"/>
        <v>0</v>
      </c>
      <c r="W1507" s="152">
        <f t="shared" si="448"/>
        <v>854</v>
      </c>
      <c r="X1507" s="127" t="str">
        <f t="shared" si="446"/>
        <v/>
      </c>
      <c r="Y1507" s="207">
        <f t="shared" si="449"/>
        <v>854</v>
      </c>
      <c r="Z1507" s="139">
        <f t="shared" si="450"/>
        <v>854</v>
      </c>
      <c r="AA1507" s="139">
        <f t="shared" si="451"/>
        <v>0</v>
      </c>
      <c r="AC1507" s="47">
        <f t="shared" si="452"/>
        <v>427</v>
      </c>
      <c r="AD1507" s="47">
        <f t="shared" si="453"/>
        <v>427</v>
      </c>
      <c r="AE1507" s="47">
        <f t="shared" si="454"/>
        <v>0</v>
      </c>
      <c r="AG1507" s="47">
        <f t="shared" si="455"/>
        <v>427</v>
      </c>
      <c r="AH1507" s="47">
        <f t="shared" si="456"/>
        <v>427</v>
      </c>
      <c r="AI1507" s="208">
        <f t="shared" si="457"/>
        <v>0</v>
      </c>
    </row>
    <row r="1508" spans="1:35">
      <c r="A1508" t="s">
        <v>2133</v>
      </c>
      <c r="B1508" t="s">
        <v>3155</v>
      </c>
      <c r="C1508" t="s">
        <v>2794</v>
      </c>
      <c r="D1508" t="s">
        <v>4914</v>
      </c>
      <c r="F1508" t="s">
        <v>1163</v>
      </c>
      <c r="G1508" s="126">
        <f>SUMIFS('Support - Transition'!F:F,'Support - Transition'!B:B,'Step 2'!A1508,'Support - Transition'!C:C,'Step 2'!B1508,'Support - Transition'!D:D,'Step 2'!C1508,'Support - Transition'!E:E,"CIVIL")</f>
        <v>0</v>
      </c>
      <c r="H1508" s="126">
        <f>SUMIFS('Support - Transition'!F:F,'Support - Transition'!B:B,'Step 2'!A1508,'Support - Transition'!C:C,'Step 2'!B1508,'Support - Transition'!D:D,'Step 2'!C1508,'Support - Transition'!E:E,"FIRE")</f>
        <v>0</v>
      </c>
      <c r="I1508" s="126">
        <f>IF(B1508="0",SUMIFS('Support - Transition'!F:F,'Support - Transition'!J:J,'Step 2'!D1508,'Support - Transition'!E:E,"STATE UNIT"),SUMIFS('Support - Transition'!F:F,'Support - Transition'!J:J,'Step 2'!D1508))</f>
        <v>3.594E-3</v>
      </c>
      <c r="J1508" s="126">
        <f>SUMIFS('Support - Unit Adjustments'!E:E,'Support - Unit Adjustments'!F:F,'Step 2'!D1508)</f>
        <v>0</v>
      </c>
      <c r="K1508" s="126">
        <f t="shared" si="441"/>
        <v>3.594E-3</v>
      </c>
      <c r="L1508" s="174">
        <f>VLOOKUP(A1508,'Step 1'!$A:$E,4,FALSE)</f>
        <v>11858968</v>
      </c>
      <c r="M1508" s="47">
        <f t="shared" si="442"/>
        <v>42621</v>
      </c>
      <c r="N1508" s="177">
        <f>SUMIFS('Support - Transition'!G:G,'Support - Transition'!J:J,'Step 2'!D1508,'Support - Transition'!E:E,"2009 WELFARE ALLOCATION FACTOR")</f>
        <v>0</v>
      </c>
      <c r="O1508" s="152">
        <f t="shared" si="447"/>
        <v>0</v>
      </c>
      <c r="P1508" s="126">
        <f>IF(E1508="Y",0,SUMIFS('Support - Transition'!G:G,'Support - Transition'!J:J,'Step 2'!D1508,'Support - Transition'!E:E,"2009 SCHOOL ALLOCATION FACTOR"))</f>
        <v>0</v>
      </c>
      <c r="Q1508" s="126">
        <f>IF(E1508="Y",VLOOKUP(D1508,'Support - Unit Adjustments'!F:G,2,FALSE),0)</f>
        <v>0</v>
      </c>
      <c r="R1508" s="155">
        <f t="shared" si="459"/>
        <v>0</v>
      </c>
      <c r="S1508" s="47">
        <f t="shared" si="458"/>
        <v>0</v>
      </c>
      <c r="T1508" s="151">
        <f t="shared" si="443"/>
        <v>42621</v>
      </c>
      <c r="U1508" s="151">
        <f t="shared" si="444"/>
        <v>0</v>
      </c>
      <c r="V1508" s="139">
        <f t="shared" si="445"/>
        <v>0</v>
      </c>
      <c r="W1508" s="152">
        <f t="shared" si="448"/>
        <v>42621</v>
      </c>
      <c r="X1508" s="127" t="str">
        <f t="shared" si="446"/>
        <v/>
      </c>
      <c r="Y1508" s="207">
        <f t="shared" si="449"/>
        <v>42621</v>
      </c>
      <c r="Z1508" s="139">
        <f t="shared" si="450"/>
        <v>42621</v>
      </c>
      <c r="AA1508" s="139">
        <f t="shared" si="451"/>
        <v>0</v>
      </c>
      <c r="AC1508" s="47">
        <f t="shared" si="452"/>
        <v>21311</v>
      </c>
      <c r="AD1508" s="47">
        <f t="shared" si="453"/>
        <v>21311</v>
      </c>
      <c r="AE1508" s="47">
        <f t="shared" si="454"/>
        <v>0</v>
      </c>
      <c r="AG1508" s="47">
        <f t="shared" si="455"/>
        <v>21310</v>
      </c>
      <c r="AH1508" s="47">
        <f t="shared" si="456"/>
        <v>21310</v>
      </c>
      <c r="AI1508" s="208">
        <f t="shared" si="457"/>
        <v>0</v>
      </c>
    </row>
    <row r="1509" spans="1:35">
      <c r="A1509" t="s">
        <v>2133</v>
      </c>
      <c r="B1509" t="s">
        <v>3155</v>
      </c>
      <c r="C1509" t="s">
        <v>2795</v>
      </c>
      <c r="D1509" t="s">
        <v>4915</v>
      </c>
      <c r="F1509" t="s">
        <v>1156</v>
      </c>
      <c r="G1509" s="126">
        <f>SUMIFS('Support - Transition'!F:F,'Support - Transition'!B:B,'Step 2'!A1509,'Support - Transition'!C:C,'Step 2'!B1509,'Support - Transition'!D:D,'Step 2'!C1509,'Support - Transition'!E:E,"CIVIL")</f>
        <v>0</v>
      </c>
      <c r="H1509" s="126">
        <f>SUMIFS('Support - Transition'!F:F,'Support - Transition'!B:B,'Step 2'!A1509,'Support - Transition'!C:C,'Step 2'!B1509,'Support - Transition'!D:D,'Step 2'!C1509,'Support - Transition'!E:E,"FIRE")</f>
        <v>0</v>
      </c>
      <c r="I1509" s="126">
        <f>IF(B1509="0",SUMIFS('Support - Transition'!F:F,'Support - Transition'!J:J,'Step 2'!D1509,'Support - Transition'!E:E,"STATE UNIT"),SUMIFS('Support - Transition'!F:F,'Support - Transition'!J:J,'Step 2'!D1509))</f>
        <v>1.614E-3</v>
      </c>
      <c r="J1509" s="126">
        <f>SUMIFS('Support - Unit Adjustments'!E:E,'Support - Unit Adjustments'!F:F,'Step 2'!D1509)</f>
        <v>0</v>
      </c>
      <c r="K1509" s="126">
        <f t="shared" si="441"/>
        <v>1.614E-3</v>
      </c>
      <c r="L1509" s="174">
        <f>VLOOKUP(A1509,'Step 1'!$A:$E,4,FALSE)</f>
        <v>11858968</v>
      </c>
      <c r="M1509" s="47">
        <f t="shared" si="442"/>
        <v>19140</v>
      </c>
      <c r="N1509" s="177">
        <f>SUMIFS('Support - Transition'!G:G,'Support - Transition'!J:J,'Step 2'!D1509,'Support - Transition'!E:E,"2009 WELFARE ALLOCATION FACTOR")</f>
        <v>0</v>
      </c>
      <c r="O1509" s="152">
        <f t="shared" si="447"/>
        <v>0</v>
      </c>
      <c r="P1509" s="126">
        <f>IF(E1509="Y",0,SUMIFS('Support - Transition'!G:G,'Support - Transition'!J:J,'Step 2'!D1509,'Support - Transition'!E:E,"2009 SCHOOL ALLOCATION FACTOR"))</f>
        <v>0</v>
      </c>
      <c r="Q1509" s="126">
        <f>IF(E1509="Y",VLOOKUP(D1509,'Support - Unit Adjustments'!F:G,2,FALSE),0)</f>
        <v>0</v>
      </c>
      <c r="R1509" s="155">
        <f t="shared" si="459"/>
        <v>0</v>
      </c>
      <c r="S1509" s="47">
        <f t="shared" si="458"/>
        <v>0</v>
      </c>
      <c r="T1509" s="151">
        <f t="shared" si="443"/>
        <v>19140</v>
      </c>
      <c r="U1509" s="151">
        <f t="shared" si="444"/>
        <v>0</v>
      </c>
      <c r="V1509" s="139">
        <f t="shared" si="445"/>
        <v>0</v>
      </c>
      <c r="W1509" s="152">
        <f t="shared" si="448"/>
        <v>19140</v>
      </c>
      <c r="X1509" s="127" t="str">
        <f t="shared" si="446"/>
        <v/>
      </c>
      <c r="Y1509" s="207">
        <f t="shared" si="449"/>
        <v>19140</v>
      </c>
      <c r="Z1509" s="139">
        <f t="shared" si="450"/>
        <v>19140</v>
      </c>
      <c r="AA1509" s="139">
        <f t="shared" si="451"/>
        <v>0</v>
      </c>
      <c r="AC1509" s="47">
        <f t="shared" si="452"/>
        <v>9570</v>
      </c>
      <c r="AD1509" s="47">
        <f t="shared" si="453"/>
        <v>9570</v>
      </c>
      <c r="AE1509" s="47">
        <f t="shared" si="454"/>
        <v>0</v>
      </c>
      <c r="AG1509" s="47">
        <f t="shared" si="455"/>
        <v>9570</v>
      </c>
      <c r="AH1509" s="47">
        <f t="shared" si="456"/>
        <v>9570</v>
      </c>
      <c r="AI1509" s="208">
        <f t="shared" si="457"/>
        <v>0</v>
      </c>
    </row>
    <row r="1510" spans="1:35">
      <c r="A1510" t="s">
        <v>2133</v>
      </c>
      <c r="B1510" t="s">
        <v>3155</v>
      </c>
      <c r="C1510" t="s">
        <v>2529</v>
      </c>
      <c r="D1510" t="s">
        <v>4916</v>
      </c>
      <c r="F1510" t="s">
        <v>674</v>
      </c>
      <c r="G1510" s="126">
        <f>SUMIFS('Support - Transition'!F:F,'Support - Transition'!B:B,'Step 2'!A1510,'Support - Transition'!C:C,'Step 2'!B1510,'Support - Transition'!D:D,'Step 2'!C1510,'Support - Transition'!E:E,"CIVIL")</f>
        <v>0</v>
      </c>
      <c r="H1510" s="126">
        <f>SUMIFS('Support - Transition'!F:F,'Support - Transition'!B:B,'Step 2'!A1510,'Support - Transition'!C:C,'Step 2'!B1510,'Support - Transition'!D:D,'Step 2'!C1510,'Support - Transition'!E:E,"FIRE")</f>
        <v>0</v>
      </c>
      <c r="I1510" s="126">
        <f>IF(B1510="0",SUMIFS('Support - Transition'!F:F,'Support - Transition'!J:J,'Step 2'!D1510,'Support - Transition'!E:E,"STATE UNIT"),SUMIFS('Support - Transition'!F:F,'Support - Transition'!J:J,'Step 2'!D1510))</f>
        <v>2.2699999999999999E-4</v>
      </c>
      <c r="J1510" s="126">
        <f>SUMIFS('Support - Unit Adjustments'!E:E,'Support - Unit Adjustments'!F:F,'Step 2'!D1510)</f>
        <v>0</v>
      </c>
      <c r="K1510" s="126">
        <f t="shared" si="441"/>
        <v>2.2699999999999999E-4</v>
      </c>
      <c r="L1510" s="174">
        <f>VLOOKUP(A1510,'Step 1'!$A:$E,4,FALSE)</f>
        <v>11858968</v>
      </c>
      <c r="M1510" s="47">
        <f t="shared" si="442"/>
        <v>2692</v>
      </c>
      <c r="N1510" s="177">
        <f>SUMIFS('Support - Transition'!G:G,'Support - Transition'!J:J,'Step 2'!D1510,'Support - Transition'!E:E,"2009 WELFARE ALLOCATION FACTOR")</f>
        <v>0</v>
      </c>
      <c r="O1510" s="152">
        <f t="shared" si="447"/>
        <v>0</v>
      </c>
      <c r="P1510" s="126">
        <f>IF(E1510="Y",0,SUMIFS('Support - Transition'!G:G,'Support - Transition'!J:J,'Step 2'!D1510,'Support - Transition'!E:E,"2009 SCHOOL ALLOCATION FACTOR"))</f>
        <v>0</v>
      </c>
      <c r="Q1510" s="126">
        <f>IF(E1510="Y",VLOOKUP(D1510,'Support - Unit Adjustments'!F:G,2,FALSE),0)</f>
        <v>0</v>
      </c>
      <c r="R1510" s="155">
        <f t="shared" si="459"/>
        <v>0</v>
      </c>
      <c r="S1510" s="47">
        <f t="shared" si="458"/>
        <v>0</v>
      </c>
      <c r="T1510" s="151">
        <f t="shared" si="443"/>
        <v>2692</v>
      </c>
      <c r="U1510" s="151">
        <f t="shared" si="444"/>
        <v>0</v>
      </c>
      <c r="V1510" s="139">
        <f t="shared" si="445"/>
        <v>0</v>
      </c>
      <c r="W1510" s="152">
        <f t="shared" si="448"/>
        <v>2692</v>
      </c>
      <c r="X1510" s="127" t="str">
        <f t="shared" si="446"/>
        <v/>
      </c>
      <c r="Y1510" s="207">
        <f t="shared" si="449"/>
        <v>2692</v>
      </c>
      <c r="Z1510" s="139">
        <f t="shared" si="450"/>
        <v>2692</v>
      </c>
      <c r="AA1510" s="139">
        <f t="shared" si="451"/>
        <v>0</v>
      </c>
      <c r="AC1510" s="47">
        <f t="shared" si="452"/>
        <v>1346</v>
      </c>
      <c r="AD1510" s="47">
        <f t="shared" si="453"/>
        <v>1346</v>
      </c>
      <c r="AE1510" s="47">
        <f t="shared" si="454"/>
        <v>0</v>
      </c>
      <c r="AG1510" s="47">
        <f t="shared" si="455"/>
        <v>1346</v>
      </c>
      <c r="AH1510" s="47">
        <f t="shared" si="456"/>
        <v>1346</v>
      </c>
      <c r="AI1510" s="208">
        <f t="shared" si="457"/>
        <v>0</v>
      </c>
    </row>
    <row r="1511" spans="1:35">
      <c r="A1511" t="s">
        <v>2133</v>
      </c>
      <c r="B1511" t="s">
        <v>3155</v>
      </c>
      <c r="C1511" t="s">
        <v>2796</v>
      </c>
      <c r="D1511" t="s">
        <v>4917</v>
      </c>
      <c r="F1511" t="s">
        <v>1157</v>
      </c>
      <c r="G1511" s="126">
        <f>SUMIFS('Support - Transition'!F:F,'Support - Transition'!B:B,'Step 2'!A1511,'Support - Transition'!C:C,'Step 2'!B1511,'Support - Transition'!D:D,'Step 2'!C1511,'Support - Transition'!E:E,"CIVIL")</f>
        <v>0</v>
      </c>
      <c r="H1511" s="126">
        <f>SUMIFS('Support - Transition'!F:F,'Support - Transition'!B:B,'Step 2'!A1511,'Support - Transition'!C:C,'Step 2'!B1511,'Support - Transition'!D:D,'Step 2'!C1511,'Support - Transition'!E:E,"FIRE")</f>
        <v>0</v>
      </c>
      <c r="I1511" s="126">
        <f>IF(B1511="0",SUMIFS('Support - Transition'!F:F,'Support - Transition'!J:J,'Step 2'!D1511,'Support - Transition'!E:E,"STATE UNIT"),SUMIFS('Support - Transition'!F:F,'Support - Transition'!J:J,'Step 2'!D1511))</f>
        <v>1.1E-5</v>
      </c>
      <c r="J1511" s="126">
        <f>SUMIFS('Support - Unit Adjustments'!E:E,'Support - Unit Adjustments'!F:F,'Step 2'!D1511)</f>
        <v>0</v>
      </c>
      <c r="K1511" s="126">
        <f t="shared" si="441"/>
        <v>1.1E-5</v>
      </c>
      <c r="L1511" s="174">
        <f>VLOOKUP(A1511,'Step 1'!$A:$E,4,FALSE)</f>
        <v>11858968</v>
      </c>
      <c r="M1511" s="47">
        <f t="shared" si="442"/>
        <v>130</v>
      </c>
      <c r="N1511" s="177">
        <f>SUMIFS('Support - Transition'!G:G,'Support - Transition'!J:J,'Step 2'!D1511,'Support - Transition'!E:E,"2009 WELFARE ALLOCATION FACTOR")</f>
        <v>0</v>
      </c>
      <c r="O1511" s="152">
        <f t="shared" si="447"/>
        <v>0</v>
      </c>
      <c r="P1511" s="126">
        <f>IF(E1511="Y",0,SUMIFS('Support - Transition'!G:G,'Support - Transition'!J:J,'Step 2'!D1511,'Support - Transition'!E:E,"2009 SCHOOL ALLOCATION FACTOR"))</f>
        <v>0</v>
      </c>
      <c r="Q1511" s="126">
        <f>IF(E1511="Y",VLOOKUP(D1511,'Support - Unit Adjustments'!F:G,2,FALSE),0)</f>
        <v>0</v>
      </c>
      <c r="R1511" s="155">
        <f t="shared" si="459"/>
        <v>0</v>
      </c>
      <c r="S1511" s="47">
        <f t="shared" si="458"/>
        <v>0</v>
      </c>
      <c r="T1511" s="151">
        <f t="shared" si="443"/>
        <v>130</v>
      </c>
      <c r="U1511" s="151">
        <f t="shared" si="444"/>
        <v>0</v>
      </c>
      <c r="V1511" s="139">
        <f t="shared" si="445"/>
        <v>0</v>
      </c>
      <c r="W1511" s="152">
        <f t="shared" si="448"/>
        <v>130</v>
      </c>
      <c r="X1511" s="127" t="str">
        <f t="shared" si="446"/>
        <v/>
      </c>
      <c r="Y1511" s="207">
        <f t="shared" si="449"/>
        <v>130</v>
      </c>
      <c r="Z1511" s="139">
        <f t="shared" si="450"/>
        <v>130</v>
      </c>
      <c r="AA1511" s="139">
        <f t="shared" si="451"/>
        <v>0</v>
      </c>
      <c r="AC1511" s="47">
        <f t="shared" si="452"/>
        <v>65</v>
      </c>
      <c r="AD1511" s="47">
        <f t="shared" si="453"/>
        <v>65</v>
      </c>
      <c r="AE1511" s="47">
        <f t="shared" si="454"/>
        <v>0</v>
      </c>
      <c r="AG1511" s="47">
        <f t="shared" si="455"/>
        <v>65</v>
      </c>
      <c r="AH1511" s="47">
        <f t="shared" si="456"/>
        <v>65</v>
      </c>
      <c r="AI1511" s="208">
        <f t="shared" si="457"/>
        <v>0</v>
      </c>
    </row>
    <row r="1512" spans="1:35">
      <c r="A1512" t="s">
        <v>2133</v>
      </c>
      <c r="B1512" t="s">
        <v>3155</v>
      </c>
      <c r="C1512" t="s">
        <v>2797</v>
      </c>
      <c r="D1512" t="s">
        <v>4918</v>
      </c>
      <c r="F1512" t="s">
        <v>1160</v>
      </c>
      <c r="G1512" s="126">
        <f>SUMIFS('Support - Transition'!F:F,'Support - Transition'!B:B,'Step 2'!A1512,'Support - Transition'!C:C,'Step 2'!B1512,'Support - Transition'!D:D,'Step 2'!C1512,'Support - Transition'!E:E,"CIVIL")</f>
        <v>0</v>
      </c>
      <c r="H1512" s="126">
        <f>SUMIFS('Support - Transition'!F:F,'Support - Transition'!B:B,'Step 2'!A1512,'Support - Transition'!C:C,'Step 2'!B1512,'Support - Transition'!D:D,'Step 2'!C1512,'Support - Transition'!E:E,"FIRE")</f>
        <v>0</v>
      </c>
      <c r="I1512" s="126">
        <f>IF(B1512="0",SUMIFS('Support - Transition'!F:F,'Support - Transition'!J:J,'Step 2'!D1512,'Support - Transition'!E:E,"STATE UNIT"),SUMIFS('Support - Transition'!F:F,'Support - Transition'!J:J,'Step 2'!D1512))</f>
        <v>2.3E-5</v>
      </c>
      <c r="J1512" s="126">
        <f>SUMIFS('Support - Unit Adjustments'!E:E,'Support - Unit Adjustments'!F:F,'Step 2'!D1512)</f>
        <v>0</v>
      </c>
      <c r="K1512" s="126">
        <f t="shared" si="441"/>
        <v>2.3E-5</v>
      </c>
      <c r="L1512" s="174">
        <f>VLOOKUP(A1512,'Step 1'!$A:$E,4,FALSE)</f>
        <v>11858968</v>
      </c>
      <c r="M1512" s="47">
        <f t="shared" si="442"/>
        <v>273</v>
      </c>
      <c r="N1512" s="177">
        <f>SUMIFS('Support - Transition'!G:G,'Support - Transition'!J:J,'Step 2'!D1512,'Support - Transition'!E:E,"2009 WELFARE ALLOCATION FACTOR")</f>
        <v>0</v>
      </c>
      <c r="O1512" s="152">
        <f t="shared" si="447"/>
        <v>0</v>
      </c>
      <c r="P1512" s="126">
        <f>IF(E1512="Y",0,SUMIFS('Support - Transition'!G:G,'Support - Transition'!J:J,'Step 2'!D1512,'Support - Transition'!E:E,"2009 SCHOOL ALLOCATION FACTOR"))</f>
        <v>0</v>
      </c>
      <c r="Q1512" s="126">
        <f>IF(E1512="Y",VLOOKUP(D1512,'Support - Unit Adjustments'!F:G,2,FALSE),0)</f>
        <v>0</v>
      </c>
      <c r="R1512" s="155">
        <f t="shared" si="459"/>
        <v>0</v>
      </c>
      <c r="S1512" s="47">
        <f t="shared" si="458"/>
        <v>0</v>
      </c>
      <c r="T1512" s="151">
        <f t="shared" si="443"/>
        <v>273</v>
      </c>
      <c r="U1512" s="151">
        <f t="shared" si="444"/>
        <v>0</v>
      </c>
      <c r="V1512" s="139">
        <f t="shared" si="445"/>
        <v>0</v>
      </c>
      <c r="W1512" s="152">
        <f t="shared" si="448"/>
        <v>273</v>
      </c>
      <c r="X1512" s="127" t="str">
        <f t="shared" si="446"/>
        <v/>
      </c>
      <c r="Y1512" s="207">
        <f t="shared" si="449"/>
        <v>273</v>
      </c>
      <c r="Z1512" s="139">
        <f t="shared" si="450"/>
        <v>273</v>
      </c>
      <c r="AA1512" s="139">
        <f t="shared" si="451"/>
        <v>0</v>
      </c>
      <c r="AC1512" s="47">
        <f t="shared" si="452"/>
        <v>137</v>
      </c>
      <c r="AD1512" s="47">
        <f t="shared" si="453"/>
        <v>137</v>
      </c>
      <c r="AE1512" s="47">
        <f t="shared" si="454"/>
        <v>0</v>
      </c>
      <c r="AG1512" s="47">
        <f t="shared" si="455"/>
        <v>136</v>
      </c>
      <c r="AH1512" s="47">
        <f t="shared" si="456"/>
        <v>136</v>
      </c>
      <c r="AI1512" s="208">
        <f t="shared" si="457"/>
        <v>0</v>
      </c>
    </row>
    <row r="1513" spans="1:35">
      <c r="A1513" t="s">
        <v>2133</v>
      </c>
      <c r="B1513" t="s">
        <v>3155</v>
      </c>
      <c r="C1513" t="s">
        <v>2798</v>
      </c>
      <c r="D1513" t="s">
        <v>4919</v>
      </c>
      <c r="F1513" t="s">
        <v>1161</v>
      </c>
      <c r="G1513" s="126">
        <f>SUMIFS('Support - Transition'!F:F,'Support - Transition'!B:B,'Step 2'!A1513,'Support - Transition'!C:C,'Step 2'!B1513,'Support - Transition'!D:D,'Step 2'!C1513,'Support - Transition'!E:E,"CIVIL")</f>
        <v>0</v>
      </c>
      <c r="H1513" s="126">
        <f>SUMIFS('Support - Transition'!F:F,'Support - Transition'!B:B,'Step 2'!A1513,'Support - Transition'!C:C,'Step 2'!B1513,'Support - Transition'!D:D,'Step 2'!C1513,'Support - Transition'!E:E,"FIRE")</f>
        <v>0</v>
      </c>
      <c r="I1513" s="126">
        <f>IF(B1513="0",SUMIFS('Support - Transition'!F:F,'Support - Transition'!J:J,'Step 2'!D1513,'Support - Transition'!E:E,"STATE UNIT"),SUMIFS('Support - Transition'!F:F,'Support - Transition'!J:J,'Step 2'!D1513))</f>
        <v>0</v>
      </c>
      <c r="J1513" s="126">
        <f>SUMIFS('Support - Unit Adjustments'!E:E,'Support - Unit Adjustments'!F:F,'Step 2'!D1513)</f>
        <v>0</v>
      </c>
      <c r="K1513" s="126">
        <f t="shared" si="441"/>
        <v>0</v>
      </c>
      <c r="L1513" s="174">
        <f>VLOOKUP(A1513,'Step 1'!$A:$E,4,FALSE)</f>
        <v>11858968</v>
      </c>
      <c r="M1513" s="47">
        <f t="shared" si="442"/>
        <v>0</v>
      </c>
      <c r="N1513" s="177">
        <f>SUMIFS('Support - Transition'!G:G,'Support - Transition'!J:J,'Step 2'!D1513,'Support - Transition'!E:E,"2009 WELFARE ALLOCATION FACTOR")</f>
        <v>0</v>
      </c>
      <c r="O1513" s="152">
        <f t="shared" si="447"/>
        <v>0</v>
      </c>
      <c r="P1513" s="126">
        <f>IF(E1513="Y",0,SUMIFS('Support - Transition'!G:G,'Support - Transition'!J:J,'Step 2'!D1513,'Support - Transition'!E:E,"2009 SCHOOL ALLOCATION FACTOR"))</f>
        <v>0</v>
      </c>
      <c r="Q1513" s="126">
        <f>IF(E1513="Y",VLOOKUP(D1513,'Support - Unit Adjustments'!F:G,2,FALSE),0)</f>
        <v>0</v>
      </c>
      <c r="R1513" s="155">
        <f t="shared" si="459"/>
        <v>0</v>
      </c>
      <c r="S1513" s="47">
        <f t="shared" si="458"/>
        <v>0</v>
      </c>
      <c r="T1513" s="151">
        <f t="shared" si="443"/>
        <v>0</v>
      </c>
      <c r="U1513" s="151">
        <f t="shared" si="444"/>
        <v>0</v>
      </c>
      <c r="V1513" s="139">
        <f t="shared" si="445"/>
        <v>0</v>
      </c>
      <c r="W1513" s="152">
        <f t="shared" si="448"/>
        <v>0</v>
      </c>
      <c r="X1513" s="127" t="str">
        <f t="shared" si="446"/>
        <v/>
      </c>
      <c r="Y1513" s="207">
        <f t="shared" si="449"/>
        <v>0</v>
      </c>
      <c r="Z1513" s="139">
        <f t="shared" si="450"/>
        <v>0</v>
      </c>
      <c r="AA1513" s="139">
        <f t="shared" si="451"/>
        <v>0</v>
      </c>
      <c r="AC1513" s="47">
        <f t="shared" si="452"/>
        <v>0</v>
      </c>
      <c r="AD1513" s="47">
        <f t="shared" si="453"/>
        <v>0</v>
      </c>
      <c r="AE1513" s="47">
        <f t="shared" si="454"/>
        <v>0</v>
      </c>
      <c r="AG1513" s="47">
        <f t="shared" si="455"/>
        <v>0</v>
      </c>
      <c r="AH1513" s="47">
        <f t="shared" si="456"/>
        <v>0</v>
      </c>
      <c r="AI1513" s="208">
        <f t="shared" si="457"/>
        <v>0</v>
      </c>
    </row>
    <row r="1514" spans="1:35">
      <c r="A1514" t="s">
        <v>2133</v>
      </c>
      <c r="B1514" t="s">
        <v>3155</v>
      </c>
      <c r="C1514" t="s">
        <v>2799</v>
      </c>
      <c r="D1514" t="s">
        <v>4920</v>
      </c>
      <c r="F1514" t="s">
        <v>1164</v>
      </c>
      <c r="G1514" s="126">
        <f>SUMIFS('Support - Transition'!F:F,'Support - Transition'!B:B,'Step 2'!A1514,'Support - Transition'!C:C,'Step 2'!B1514,'Support - Transition'!D:D,'Step 2'!C1514,'Support - Transition'!E:E,"CIVIL")</f>
        <v>0</v>
      </c>
      <c r="H1514" s="126">
        <f>SUMIFS('Support - Transition'!F:F,'Support - Transition'!B:B,'Step 2'!A1514,'Support - Transition'!C:C,'Step 2'!B1514,'Support - Transition'!D:D,'Step 2'!C1514,'Support - Transition'!E:E,"FIRE")</f>
        <v>0</v>
      </c>
      <c r="I1514" s="126">
        <f>IF(B1514="0",SUMIFS('Support - Transition'!F:F,'Support - Transition'!J:J,'Step 2'!D1514,'Support - Transition'!E:E,"STATE UNIT"),SUMIFS('Support - Transition'!F:F,'Support - Transition'!J:J,'Step 2'!D1514))</f>
        <v>0</v>
      </c>
      <c r="J1514" s="126">
        <f>SUMIFS('Support - Unit Adjustments'!E:E,'Support - Unit Adjustments'!F:F,'Step 2'!D1514)</f>
        <v>0</v>
      </c>
      <c r="K1514" s="126">
        <f t="shared" si="441"/>
        <v>0</v>
      </c>
      <c r="L1514" s="174">
        <f>VLOOKUP(A1514,'Step 1'!$A:$E,4,FALSE)</f>
        <v>11858968</v>
      </c>
      <c r="M1514" s="47">
        <f t="shared" si="442"/>
        <v>0</v>
      </c>
      <c r="N1514" s="177">
        <f>SUMIFS('Support - Transition'!G:G,'Support - Transition'!J:J,'Step 2'!D1514,'Support - Transition'!E:E,"2009 WELFARE ALLOCATION FACTOR")</f>
        <v>0</v>
      </c>
      <c r="O1514" s="152">
        <f t="shared" si="447"/>
        <v>0</v>
      </c>
      <c r="P1514" s="126">
        <f>IF(E1514="Y",0,SUMIFS('Support - Transition'!G:G,'Support - Transition'!J:J,'Step 2'!D1514,'Support - Transition'!E:E,"2009 SCHOOL ALLOCATION FACTOR"))</f>
        <v>0</v>
      </c>
      <c r="Q1514" s="126">
        <f>IF(E1514="Y",VLOOKUP(D1514,'Support - Unit Adjustments'!F:G,2,FALSE),0)</f>
        <v>0</v>
      </c>
      <c r="R1514" s="155">
        <f t="shared" si="459"/>
        <v>0</v>
      </c>
      <c r="S1514" s="47">
        <f t="shared" si="458"/>
        <v>0</v>
      </c>
      <c r="T1514" s="151">
        <f t="shared" si="443"/>
        <v>0</v>
      </c>
      <c r="U1514" s="151">
        <f t="shared" si="444"/>
        <v>0</v>
      </c>
      <c r="V1514" s="139">
        <f t="shared" si="445"/>
        <v>0</v>
      </c>
      <c r="W1514" s="152">
        <f t="shared" si="448"/>
        <v>0</v>
      </c>
      <c r="X1514" s="127" t="str">
        <f t="shared" si="446"/>
        <v/>
      </c>
      <c r="Y1514" s="207">
        <f t="shared" si="449"/>
        <v>0</v>
      </c>
      <c r="Z1514" s="139">
        <f t="shared" si="450"/>
        <v>0</v>
      </c>
      <c r="AA1514" s="139">
        <f t="shared" si="451"/>
        <v>0</v>
      </c>
      <c r="AC1514" s="47">
        <f t="shared" si="452"/>
        <v>0</v>
      </c>
      <c r="AD1514" s="47">
        <f t="shared" si="453"/>
        <v>0</v>
      </c>
      <c r="AE1514" s="47">
        <f t="shared" si="454"/>
        <v>0</v>
      </c>
      <c r="AG1514" s="47">
        <f t="shared" si="455"/>
        <v>0</v>
      </c>
      <c r="AH1514" s="47">
        <f t="shared" si="456"/>
        <v>0</v>
      </c>
      <c r="AI1514" s="208">
        <f t="shared" si="457"/>
        <v>0</v>
      </c>
    </row>
    <row r="1515" spans="1:35">
      <c r="A1515" t="s">
        <v>2133</v>
      </c>
      <c r="B1515" t="s">
        <v>3155</v>
      </c>
      <c r="C1515" t="s">
        <v>2800</v>
      </c>
      <c r="D1515" t="s">
        <v>4921</v>
      </c>
      <c r="F1515" t="s">
        <v>1165</v>
      </c>
      <c r="G1515" s="126">
        <f>SUMIFS('Support - Transition'!F:F,'Support - Transition'!B:B,'Step 2'!A1515,'Support - Transition'!C:C,'Step 2'!B1515,'Support - Transition'!D:D,'Step 2'!C1515,'Support - Transition'!E:E,"CIVIL")</f>
        <v>0</v>
      </c>
      <c r="H1515" s="126">
        <f>SUMIFS('Support - Transition'!F:F,'Support - Transition'!B:B,'Step 2'!A1515,'Support - Transition'!C:C,'Step 2'!B1515,'Support - Transition'!D:D,'Step 2'!C1515,'Support - Transition'!E:E,"FIRE")</f>
        <v>0</v>
      </c>
      <c r="I1515" s="126">
        <f>IF(B1515="0",SUMIFS('Support - Transition'!F:F,'Support - Transition'!J:J,'Step 2'!D1515,'Support - Transition'!E:E,"STATE UNIT"),SUMIFS('Support - Transition'!F:F,'Support - Transition'!J:J,'Step 2'!D1515))</f>
        <v>0</v>
      </c>
      <c r="J1515" s="126">
        <f>SUMIFS('Support - Unit Adjustments'!E:E,'Support - Unit Adjustments'!F:F,'Step 2'!D1515)</f>
        <v>0</v>
      </c>
      <c r="K1515" s="126">
        <f t="shared" si="441"/>
        <v>0</v>
      </c>
      <c r="L1515" s="174">
        <f>VLOOKUP(A1515,'Step 1'!$A:$E,4,FALSE)</f>
        <v>11858968</v>
      </c>
      <c r="M1515" s="47">
        <f t="shared" si="442"/>
        <v>0</v>
      </c>
      <c r="N1515" s="177">
        <f>SUMIFS('Support - Transition'!G:G,'Support - Transition'!J:J,'Step 2'!D1515,'Support - Transition'!E:E,"2009 WELFARE ALLOCATION FACTOR")</f>
        <v>0</v>
      </c>
      <c r="O1515" s="152">
        <f t="shared" si="447"/>
        <v>0</v>
      </c>
      <c r="P1515" s="126">
        <f>IF(E1515="Y",0,SUMIFS('Support - Transition'!G:G,'Support - Transition'!J:J,'Step 2'!D1515,'Support - Transition'!E:E,"2009 SCHOOL ALLOCATION FACTOR"))</f>
        <v>0</v>
      </c>
      <c r="Q1515" s="126">
        <f>IF(E1515="Y",VLOOKUP(D1515,'Support - Unit Adjustments'!F:G,2,FALSE),0)</f>
        <v>0</v>
      </c>
      <c r="R1515" s="155">
        <f t="shared" si="459"/>
        <v>0</v>
      </c>
      <c r="S1515" s="47">
        <f t="shared" si="458"/>
        <v>0</v>
      </c>
      <c r="T1515" s="151">
        <f t="shared" si="443"/>
        <v>0</v>
      </c>
      <c r="U1515" s="151">
        <f t="shared" si="444"/>
        <v>0</v>
      </c>
      <c r="V1515" s="139">
        <f t="shared" si="445"/>
        <v>0</v>
      </c>
      <c r="W1515" s="152">
        <f t="shared" si="448"/>
        <v>0</v>
      </c>
      <c r="X1515" s="127" t="str">
        <f t="shared" si="446"/>
        <v/>
      </c>
      <c r="Y1515" s="207">
        <f t="shared" si="449"/>
        <v>0</v>
      </c>
      <c r="Z1515" s="139">
        <f t="shared" si="450"/>
        <v>0</v>
      </c>
      <c r="AA1515" s="139">
        <f t="shared" si="451"/>
        <v>0</v>
      </c>
      <c r="AC1515" s="47">
        <f t="shared" si="452"/>
        <v>0</v>
      </c>
      <c r="AD1515" s="47">
        <f t="shared" si="453"/>
        <v>0</v>
      </c>
      <c r="AE1515" s="47">
        <f t="shared" si="454"/>
        <v>0</v>
      </c>
      <c r="AG1515" s="47">
        <f t="shared" si="455"/>
        <v>0</v>
      </c>
      <c r="AH1515" s="47">
        <f t="shared" si="456"/>
        <v>0</v>
      </c>
      <c r="AI1515" s="208">
        <f t="shared" si="457"/>
        <v>0</v>
      </c>
    </row>
    <row r="1516" spans="1:35">
      <c r="A1516" t="s">
        <v>2133</v>
      </c>
      <c r="B1516" t="s">
        <v>3155</v>
      </c>
      <c r="C1516" t="s">
        <v>2801</v>
      </c>
      <c r="D1516" t="s">
        <v>4922</v>
      </c>
      <c r="F1516" t="s">
        <v>1166</v>
      </c>
      <c r="G1516" s="126">
        <f>SUMIFS('Support - Transition'!F:F,'Support - Transition'!B:B,'Step 2'!A1516,'Support - Transition'!C:C,'Step 2'!B1516,'Support - Transition'!D:D,'Step 2'!C1516,'Support - Transition'!E:E,"CIVIL")</f>
        <v>0</v>
      </c>
      <c r="H1516" s="126">
        <f>SUMIFS('Support - Transition'!F:F,'Support - Transition'!B:B,'Step 2'!A1516,'Support - Transition'!C:C,'Step 2'!B1516,'Support - Transition'!D:D,'Step 2'!C1516,'Support - Transition'!E:E,"FIRE")</f>
        <v>0</v>
      </c>
      <c r="I1516" s="126">
        <f>IF(B1516="0",SUMIFS('Support - Transition'!F:F,'Support - Transition'!J:J,'Step 2'!D1516,'Support - Transition'!E:E,"STATE UNIT"),SUMIFS('Support - Transition'!F:F,'Support - Transition'!J:J,'Step 2'!D1516))</f>
        <v>0</v>
      </c>
      <c r="J1516" s="126">
        <f>SUMIFS('Support - Unit Adjustments'!E:E,'Support - Unit Adjustments'!F:F,'Step 2'!D1516)</f>
        <v>0</v>
      </c>
      <c r="K1516" s="126">
        <f t="shared" si="441"/>
        <v>0</v>
      </c>
      <c r="L1516" s="174">
        <f>VLOOKUP(A1516,'Step 1'!$A:$E,4,FALSE)</f>
        <v>11858968</v>
      </c>
      <c r="M1516" s="47">
        <f t="shared" si="442"/>
        <v>0</v>
      </c>
      <c r="N1516" s="177">
        <f>SUMIFS('Support - Transition'!G:G,'Support - Transition'!J:J,'Step 2'!D1516,'Support - Transition'!E:E,"2009 WELFARE ALLOCATION FACTOR")</f>
        <v>0</v>
      </c>
      <c r="O1516" s="152">
        <f t="shared" si="447"/>
        <v>0</v>
      </c>
      <c r="P1516" s="126">
        <f>IF(E1516="Y",0,SUMIFS('Support - Transition'!G:G,'Support - Transition'!J:J,'Step 2'!D1516,'Support - Transition'!E:E,"2009 SCHOOL ALLOCATION FACTOR"))</f>
        <v>0</v>
      </c>
      <c r="Q1516" s="126">
        <f>IF(E1516="Y",VLOOKUP(D1516,'Support - Unit Adjustments'!F:G,2,FALSE),0)</f>
        <v>0</v>
      </c>
      <c r="R1516" s="155">
        <f t="shared" si="459"/>
        <v>0</v>
      </c>
      <c r="S1516" s="47">
        <f t="shared" si="458"/>
        <v>0</v>
      </c>
      <c r="T1516" s="151">
        <f t="shared" si="443"/>
        <v>0</v>
      </c>
      <c r="U1516" s="151">
        <f t="shared" si="444"/>
        <v>0</v>
      </c>
      <c r="V1516" s="139">
        <f t="shared" si="445"/>
        <v>0</v>
      </c>
      <c r="W1516" s="152">
        <f t="shared" si="448"/>
        <v>0</v>
      </c>
      <c r="X1516" s="127" t="str">
        <f t="shared" si="446"/>
        <v/>
      </c>
      <c r="Y1516" s="207">
        <f t="shared" si="449"/>
        <v>0</v>
      </c>
      <c r="Z1516" s="139">
        <f t="shared" si="450"/>
        <v>0</v>
      </c>
      <c r="AA1516" s="139">
        <f t="shared" si="451"/>
        <v>0</v>
      </c>
      <c r="AC1516" s="47">
        <f t="shared" si="452"/>
        <v>0</v>
      </c>
      <c r="AD1516" s="47">
        <f t="shared" si="453"/>
        <v>0</v>
      </c>
      <c r="AE1516" s="47">
        <f t="shared" si="454"/>
        <v>0</v>
      </c>
      <c r="AG1516" s="47">
        <f t="shared" si="455"/>
        <v>0</v>
      </c>
      <c r="AH1516" s="47">
        <f t="shared" si="456"/>
        <v>0</v>
      </c>
      <c r="AI1516" s="208">
        <f t="shared" si="457"/>
        <v>0</v>
      </c>
    </row>
    <row r="1517" spans="1:35">
      <c r="A1517" t="s">
        <v>2133</v>
      </c>
      <c r="B1517" t="s">
        <v>3155</v>
      </c>
      <c r="C1517" t="s">
        <v>3461</v>
      </c>
      <c r="D1517" t="s">
        <v>4923</v>
      </c>
      <c r="F1517" t="s">
        <v>4924</v>
      </c>
      <c r="G1517" s="126">
        <f>SUMIFS('Support - Transition'!F:F,'Support - Transition'!B:B,'Step 2'!A1517,'Support - Transition'!C:C,'Step 2'!B1517,'Support - Transition'!D:D,'Step 2'!C1517,'Support - Transition'!E:E,"CIVIL")</f>
        <v>0</v>
      </c>
      <c r="H1517" s="126">
        <f>SUMIFS('Support - Transition'!F:F,'Support - Transition'!B:B,'Step 2'!A1517,'Support - Transition'!C:C,'Step 2'!B1517,'Support - Transition'!D:D,'Step 2'!C1517,'Support - Transition'!E:E,"FIRE")</f>
        <v>0</v>
      </c>
      <c r="I1517" s="126">
        <f>IF(B1517="0",SUMIFS('Support - Transition'!F:F,'Support - Transition'!J:J,'Step 2'!D1517,'Support - Transition'!E:E,"STATE UNIT"),SUMIFS('Support - Transition'!F:F,'Support - Transition'!J:J,'Step 2'!D1517))</f>
        <v>0</v>
      </c>
      <c r="J1517" s="126">
        <f>SUMIFS('Support - Unit Adjustments'!E:E,'Support - Unit Adjustments'!F:F,'Step 2'!D1517)</f>
        <v>0</v>
      </c>
      <c r="K1517" s="126">
        <f t="shared" si="441"/>
        <v>0</v>
      </c>
      <c r="L1517" s="174">
        <f>VLOOKUP(A1517,'Step 1'!$A:$E,4,FALSE)</f>
        <v>11858968</v>
      </c>
      <c r="M1517" s="47">
        <f t="shared" si="442"/>
        <v>0</v>
      </c>
      <c r="N1517" s="177">
        <f>SUMIFS('Support - Transition'!G:G,'Support - Transition'!J:J,'Step 2'!D1517,'Support - Transition'!E:E,"2009 WELFARE ALLOCATION FACTOR")</f>
        <v>0</v>
      </c>
      <c r="O1517" s="152">
        <f t="shared" si="447"/>
        <v>0</v>
      </c>
      <c r="P1517" s="126">
        <f>IF(E1517="Y",0,SUMIFS('Support - Transition'!G:G,'Support - Transition'!J:J,'Step 2'!D1517,'Support - Transition'!E:E,"2009 SCHOOL ALLOCATION FACTOR"))</f>
        <v>0</v>
      </c>
      <c r="Q1517" s="126">
        <f>IF(E1517="Y",VLOOKUP(D1517,'Support - Unit Adjustments'!F:G,2,FALSE),0)</f>
        <v>0</v>
      </c>
      <c r="R1517" s="155">
        <f t="shared" si="459"/>
        <v>0</v>
      </c>
      <c r="S1517" s="47">
        <f t="shared" si="458"/>
        <v>0</v>
      </c>
      <c r="T1517" s="151">
        <f t="shared" si="443"/>
        <v>0</v>
      </c>
      <c r="U1517" s="151">
        <f t="shared" si="444"/>
        <v>0</v>
      </c>
      <c r="V1517" s="139">
        <f t="shared" si="445"/>
        <v>0</v>
      </c>
      <c r="W1517" s="152">
        <f t="shared" si="448"/>
        <v>0</v>
      </c>
      <c r="X1517" s="127" t="str">
        <f t="shared" si="446"/>
        <v/>
      </c>
      <c r="Y1517" s="207">
        <f t="shared" si="449"/>
        <v>0</v>
      </c>
      <c r="Z1517" s="139">
        <f t="shared" si="450"/>
        <v>0</v>
      </c>
      <c r="AA1517" s="139">
        <f t="shared" si="451"/>
        <v>0</v>
      </c>
      <c r="AC1517" s="47">
        <f t="shared" si="452"/>
        <v>0</v>
      </c>
      <c r="AD1517" s="47">
        <f t="shared" si="453"/>
        <v>0</v>
      </c>
      <c r="AE1517" s="47">
        <f t="shared" si="454"/>
        <v>0</v>
      </c>
      <c r="AG1517" s="47">
        <f t="shared" si="455"/>
        <v>0</v>
      </c>
      <c r="AH1517" s="47">
        <f t="shared" si="456"/>
        <v>0</v>
      </c>
      <c r="AI1517" s="208">
        <f t="shared" si="457"/>
        <v>0</v>
      </c>
    </row>
    <row r="1518" spans="1:35">
      <c r="A1518" t="s">
        <v>2133</v>
      </c>
      <c r="B1518" t="s">
        <v>3160</v>
      </c>
      <c r="C1518" t="s">
        <v>2802</v>
      </c>
      <c r="D1518" t="s">
        <v>4925</v>
      </c>
      <c r="F1518" t="s">
        <v>4926</v>
      </c>
      <c r="G1518" s="126">
        <f>SUMIFS('Support - Transition'!F:F,'Support - Transition'!B:B,'Step 2'!A1518,'Support - Transition'!C:C,'Step 2'!B1518,'Support - Transition'!D:D,'Step 2'!C1518,'Support - Transition'!E:E,"CIVIL")</f>
        <v>0</v>
      </c>
      <c r="H1518" s="126">
        <f>SUMIFS('Support - Transition'!F:F,'Support - Transition'!B:B,'Step 2'!A1518,'Support - Transition'!C:C,'Step 2'!B1518,'Support - Transition'!D:D,'Step 2'!C1518,'Support - Transition'!E:E,"FIRE")</f>
        <v>0</v>
      </c>
      <c r="I1518" s="126">
        <f>IF(B1518="0",SUMIFS('Support - Transition'!F:F,'Support - Transition'!J:J,'Step 2'!D1518,'Support - Transition'!E:E,"STATE UNIT"),SUMIFS('Support - Transition'!F:F,'Support - Transition'!J:J,'Step 2'!D1518))</f>
        <v>2.7144999999999999E-2</v>
      </c>
      <c r="J1518" s="126">
        <f>SUMIFS('Support - Unit Adjustments'!E:E,'Support - Unit Adjustments'!F:F,'Step 2'!D1518)</f>
        <v>0</v>
      </c>
      <c r="K1518" s="126">
        <f t="shared" si="441"/>
        <v>2.7144999999999999E-2</v>
      </c>
      <c r="L1518" s="174">
        <f>VLOOKUP(A1518,'Step 1'!$A:$E,4,FALSE)</f>
        <v>11858968</v>
      </c>
      <c r="M1518" s="47">
        <f t="shared" si="442"/>
        <v>321912</v>
      </c>
      <c r="N1518" s="177">
        <f>SUMIFS('Support - Transition'!G:G,'Support - Transition'!J:J,'Step 2'!D1518,'Support - Transition'!E:E,"2009 WELFARE ALLOCATION FACTOR")</f>
        <v>0</v>
      </c>
      <c r="O1518" s="152">
        <f t="shared" si="447"/>
        <v>0</v>
      </c>
      <c r="P1518" s="126">
        <f>IF(E1518="Y",0,SUMIFS('Support - Transition'!G:G,'Support - Transition'!J:J,'Step 2'!D1518,'Support - Transition'!E:E,"2009 SCHOOL ALLOCATION FACTOR"))</f>
        <v>0.349024</v>
      </c>
      <c r="Q1518" s="126">
        <f>IF(E1518="Y",VLOOKUP(D1518,'Support - Unit Adjustments'!F:G,2,FALSE),0)</f>
        <v>0</v>
      </c>
      <c r="R1518" s="155">
        <f t="shared" si="459"/>
        <v>0.349024</v>
      </c>
      <c r="S1518" s="47">
        <f t="shared" si="458"/>
        <v>112355</v>
      </c>
      <c r="T1518" s="151">
        <f t="shared" si="443"/>
        <v>209557</v>
      </c>
      <c r="U1518" s="151">
        <f t="shared" si="444"/>
        <v>0</v>
      </c>
      <c r="V1518" s="139">
        <f t="shared" si="445"/>
        <v>0</v>
      </c>
      <c r="W1518" s="152">
        <f t="shared" si="448"/>
        <v>209557</v>
      </c>
      <c r="X1518" s="127" t="str">
        <f t="shared" si="446"/>
        <v/>
      </c>
      <c r="Y1518" s="207">
        <f t="shared" si="449"/>
        <v>209557</v>
      </c>
      <c r="Z1518" s="139">
        <f t="shared" si="450"/>
        <v>209557</v>
      </c>
      <c r="AA1518" s="139">
        <f t="shared" si="451"/>
        <v>0</v>
      </c>
      <c r="AC1518" s="47">
        <f t="shared" si="452"/>
        <v>104779</v>
      </c>
      <c r="AD1518" s="47">
        <f t="shared" si="453"/>
        <v>104779</v>
      </c>
      <c r="AE1518" s="47">
        <f t="shared" si="454"/>
        <v>0</v>
      </c>
      <c r="AG1518" s="47">
        <f t="shared" si="455"/>
        <v>104778</v>
      </c>
      <c r="AH1518" s="47">
        <f t="shared" si="456"/>
        <v>104778</v>
      </c>
      <c r="AI1518" s="208">
        <f t="shared" si="457"/>
        <v>0</v>
      </c>
    </row>
    <row r="1519" spans="1:35">
      <c r="A1519" t="s">
        <v>2133</v>
      </c>
      <c r="B1519" t="s">
        <v>3160</v>
      </c>
      <c r="C1519" t="s">
        <v>2803</v>
      </c>
      <c r="D1519" t="s">
        <v>4927</v>
      </c>
      <c r="F1519" t="s">
        <v>4928</v>
      </c>
      <c r="G1519" s="126">
        <f>SUMIFS('Support - Transition'!F:F,'Support - Transition'!B:B,'Step 2'!A1519,'Support - Transition'!C:C,'Step 2'!B1519,'Support - Transition'!D:D,'Step 2'!C1519,'Support - Transition'!E:E,"CIVIL")</f>
        <v>0</v>
      </c>
      <c r="H1519" s="126">
        <f>SUMIFS('Support - Transition'!F:F,'Support - Transition'!B:B,'Step 2'!A1519,'Support - Transition'!C:C,'Step 2'!B1519,'Support - Transition'!D:D,'Step 2'!C1519,'Support - Transition'!E:E,"FIRE")</f>
        <v>0</v>
      </c>
      <c r="I1519" s="126">
        <f>IF(B1519="0",SUMIFS('Support - Transition'!F:F,'Support - Transition'!J:J,'Step 2'!D1519,'Support - Transition'!E:E,"STATE UNIT"),SUMIFS('Support - Transition'!F:F,'Support - Transition'!J:J,'Step 2'!D1519))</f>
        <v>1.2227E-2</v>
      </c>
      <c r="J1519" s="126">
        <f>SUMIFS('Support - Unit Adjustments'!E:E,'Support - Unit Adjustments'!F:F,'Step 2'!D1519)</f>
        <v>0</v>
      </c>
      <c r="K1519" s="126">
        <f t="shared" si="441"/>
        <v>1.2227E-2</v>
      </c>
      <c r="L1519" s="174">
        <f>VLOOKUP(A1519,'Step 1'!$A:$E,4,FALSE)</f>
        <v>11858968</v>
      </c>
      <c r="M1519" s="47">
        <f t="shared" si="442"/>
        <v>145000</v>
      </c>
      <c r="N1519" s="177">
        <f>SUMIFS('Support - Transition'!G:G,'Support - Transition'!J:J,'Step 2'!D1519,'Support - Transition'!E:E,"2009 WELFARE ALLOCATION FACTOR")</f>
        <v>0</v>
      </c>
      <c r="O1519" s="152">
        <f t="shared" si="447"/>
        <v>0</v>
      </c>
      <c r="P1519" s="126">
        <f>IF(E1519="Y",0,SUMIFS('Support - Transition'!G:G,'Support - Transition'!J:J,'Step 2'!D1519,'Support - Transition'!E:E,"2009 SCHOOL ALLOCATION FACTOR"))</f>
        <v>0.36462800000000001</v>
      </c>
      <c r="Q1519" s="126">
        <f>IF(E1519="Y",VLOOKUP(D1519,'Support - Unit Adjustments'!F:G,2,FALSE),0)</f>
        <v>0</v>
      </c>
      <c r="R1519" s="155">
        <f t="shared" si="459"/>
        <v>0.36462800000000001</v>
      </c>
      <c r="S1519" s="47">
        <f t="shared" si="458"/>
        <v>52871</v>
      </c>
      <c r="T1519" s="151">
        <f t="shared" si="443"/>
        <v>92129</v>
      </c>
      <c r="U1519" s="151">
        <f t="shared" si="444"/>
        <v>0</v>
      </c>
      <c r="V1519" s="139">
        <f t="shared" si="445"/>
        <v>0</v>
      </c>
      <c r="W1519" s="152">
        <f t="shared" si="448"/>
        <v>92129</v>
      </c>
      <c r="X1519" s="127" t="str">
        <f t="shared" si="446"/>
        <v/>
      </c>
      <c r="Y1519" s="207">
        <f t="shared" si="449"/>
        <v>92129</v>
      </c>
      <c r="Z1519" s="139">
        <f t="shared" si="450"/>
        <v>92129</v>
      </c>
      <c r="AA1519" s="139">
        <f t="shared" si="451"/>
        <v>0</v>
      </c>
      <c r="AC1519" s="47">
        <f t="shared" si="452"/>
        <v>46065</v>
      </c>
      <c r="AD1519" s="47">
        <f t="shared" si="453"/>
        <v>46065</v>
      </c>
      <c r="AE1519" s="47">
        <f t="shared" si="454"/>
        <v>0</v>
      </c>
      <c r="AG1519" s="47">
        <f t="shared" si="455"/>
        <v>46064</v>
      </c>
      <c r="AH1519" s="47">
        <f t="shared" si="456"/>
        <v>46064</v>
      </c>
      <c r="AI1519" s="208">
        <f t="shared" si="457"/>
        <v>0</v>
      </c>
    </row>
    <row r="1520" spans="1:35">
      <c r="A1520" t="s">
        <v>2133</v>
      </c>
      <c r="B1520" t="s">
        <v>3160</v>
      </c>
      <c r="C1520" t="s">
        <v>2804</v>
      </c>
      <c r="D1520" t="s">
        <v>4929</v>
      </c>
      <c r="F1520" t="s">
        <v>4930</v>
      </c>
      <c r="G1520" s="126">
        <f>SUMIFS('Support - Transition'!F:F,'Support - Transition'!B:B,'Step 2'!A1520,'Support - Transition'!C:C,'Step 2'!B1520,'Support - Transition'!D:D,'Step 2'!C1520,'Support - Transition'!E:E,"CIVIL")</f>
        <v>0</v>
      </c>
      <c r="H1520" s="126">
        <f>SUMIFS('Support - Transition'!F:F,'Support - Transition'!B:B,'Step 2'!A1520,'Support - Transition'!C:C,'Step 2'!B1520,'Support - Transition'!D:D,'Step 2'!C1520,'Support - Transition'!E:E,"FIRE")</f>
        <v>0</v>
      </c>
      <c r="I1520" s="126">
        <f>IF(B1520="0",SUMIFS('Support - Transition'!F:F,'Support - Transition'!J:J,'Step 2'!D1520,'Support - Transition'!E:E,"STATE UNIT"),SUMIFS('Support - Transition'!F:F,'Support - Transition'!J:J,'Step 2'!D1520))</f>
        <v>2.0358000000000001E-2</v>
      </c>
      <c r="J1520" s="126">
        <f>SUMIFS('Support - Unit Adjustments'!E:E,'Support - Unit Adjustments'!F:F,'Step 2'!D1520)</f>
        <v>0</v>
      </c>
      <c r="K1520" s="126">
        <f t="shared" si="441"/>
        <v>2.0358000000000001E-2</v>
      </c>
      <c r="L1520" s="174">
        <f>VLOOKUP(A1520,'Step 1'!$A:$E,4,FALSE)</f>
        <v>11858968</v>
      </c>
      <c r="M1520" s="47">
        <f t="shared" si="442"/>
        <v>241425</v>
      </c>
      <c r="N1520" s="177">
        <f>SUMIFS('Support - Transition'!G:G,'Support - Transition'!J:J,'Step 2'!D1520,'Support - Transition'!E:E,"2009 WELFARE ALLOCATION FACTOR")</f>
        <v>0</v>
      </c>
      <c r="O1520" s="152">
        <f t="shared" si="447"/>
        <v>0</v>
      </c>
      <c r="P1520" s="126">
        <f>IF(E1520="Y",0,SUMIFS('Support - Transition'!G:G,'Support - Transition'!J:J,'Step 2'!D1520,'Support - Transition'!E:E,"2009 SCHOOL ALLOCATION FACTOR"))</f>
        <v>0.44681100000000001</v>
      </c>
      <c r="Q1520" s="126">
        <f>IF(E1520="Y",VLOOKUP(D1520,'Support - Unit Adjustments'!F:G,2,FALSE),0)</f>
        <v>0</v>
      </c>
      <c r="R1520" s="155">
        <f t="shared" si="459"/>
        <v>0.44681100000000001</v>
      </c>
      <c r="S1520" s="47">
        <f t="shared" si="458"/>
        <v>107871</v>
      </c>
      <c r="T1520" s="151">
        <f t="shared" si="443"/>
        <v>133554</v>
      </c>
      <c r="U1520" s="151">
        <f t="shared" si="444"/>
        <v>0</v>
      </c>
      <c r="V1520" s="139">
        <f t="shared" si="445"/>
        <v>0</v>
      </c>
      <c r="W1520" s="152">
        <f t="shared" si="448"/>
        <v>133554</v>
      </c>
      <c r="X1520" s="127" t="str">
        <f t="shared" si="446"/>
        <v/>
      </c>
      <c r="Y1520" s="207">
        <f t="shared" si="449"/>
        <v>133554</v>
      </c>
      <c r="Z1520" s="139">
        <f t="shared" si="450"/>
        <v>133554</v>
      </c>
      <c r="AA1520" s="139">
        <f t="shared" si="451"/>
        <v>0</v>
      </c>
      <c r="AC1520" s="47">
        <f t="shared" si="452"/>
        <v>66777</v>
      </c>
      <c r="AD1520" s="47">
        <f t="shared" si="453"/>
        <v>66777</v>
      </c>
      <c r="AE1520" s="47">
        <f t="shared" si="454"/>
        <v>0</v>
      </c>
      <c r="AG1520" s="47">
        <f t="shared" si="455"/>
        <v>66777</v>
      </c>
      <c r="AH1520" s="47">
        <f t="shared" si="456"/>
        <v>66777</v>
      </c>
      <c r="AI1520" s="208">
        <f t="shared" si="457"/>
        <v>0</v>
      </c>
    </row>
    <row r="1521" spans="1:35">
      <c r="A1521" t="s">
        <v>2133</v>
      </c>
      <c r="B1521" t="s">
        <v>3160</v>
      </c>
      <c r="C1521" t="s">
        <v>2805</v>
      </c>
      <c r="D1521" t="s">
        <v>4931</v>
      </c>
      <c r="F1521" t="s">
        <v>1172</v>
      </c>
      <c r="G1521" s="126">
        <f>SUMIFS('Support - Transition'!F:F,'Support - Transition'!B:B,'Step 2'!A1521,'Support - Transition'!C:C,'Step 2'!B1521,'Support - Transition'!D:D,'Step 2'!C1521,'Support - Transition'!E:E,"CIVIL")</f>
        <v>0</v>
      </c>
      <c r="H1521" s="126">
        <f>SUMIFS('Support - Transition'!F:F,'Support - Transition'!B:B,'Step 2'!A1521,'Support - Transition'!C:C,'Step 2'!B1521,'Support - Transition'!D:D,'Step 2'!C1521,'Support - Transition'!E:E,"FIRE")</f>
        <v>0</v>
      </c>
      <c r="I1521" s="126">
        <f>IF(B1521="0",SUMIFS('Support - Transition'!F:F,'Support - Transition'!J:J,'Step 2'!D1521,'Support - Transition'!E:E,"STATE UNIT"),SUMIFS('Support - Transition'!F:F,'Support - Transition'!J:J,'Step 2'!D1521))</f>
        <v>5.9153999999999998E-2</v>
      </c>
      <c r="J1521" s="126">
        <f>SUMIFS('Support - Unit Adjustments'!E:E,'Support - Unit Adjustments'!F:F,'Step 2'!D1521)</f>
        <v>0</v>
      </c>
      <c r="K1521" s="126">
        <f t="shared" si="441"/>
        <v>5.9153999999999998E-2</v>
      </c>
      <c r="L1521" s="174">
        <f>VLOOKUP(A1521,'Step 1'!$A:$E,4,FALSE)</f>
        <v>11858968</v>
      </c>
      <c r="M1521" s="47">
        <f t="shared" si="442"/>
        <v>701505</v>
      </c>
      <c r="N1521" s="177">
        <f>SUMIFS('Support - Transition'!G:G,'Support - Transition'!J:J,'Step 2'!D1521,'Support - Transition'!E:E,"2009 WELFARE ALLOCATION FACTOR")</f>
        <v>0</v>
      </c>
      <c r="O1521" s="152">
        <f t="shared" si="447"/>
        <v>0</v>
      </c>
      <c r="P1521" s="126">
        <f>IF(E1521="Y",0,SUMIFS('Support - Transition'!G:G,'Support - Transition'!J:J,'Step 2'!D1521,'Support - Transition'!E:E,"2009 SCHOOL ALLOCATION FACTOR"))</f>
        <v>0.43310199999999999</v>
      </c>
      <c r="Q1521" s="126">
        <f>IF(E1521="Y",VLOOKUP(D1521,'Support - Unit Adjustments'!F:G,2,FALSE),0)</f>
        <v>0</v>
      </c>
      <c r="R1521" s="155">
        <f t="shared" si="459"/>
        <v>0.43310199999999999</v>
      </c>
      <c r="S1521" s="47">
        <f t="shared" si="458"/>
        <v>303823</v>
      </c>
      <c r="T1521" s="151">
        <f t="shared" si="443"/>
        <v>397682</v>
      </c>
      <c r="U1521" s="151">
        <f t="shared" si="444"/>
        <v>0</v>
      </c>
      <c r="V1521" s="139">
        <f t="shared" si="445"/>
        <v>0</v>
      </c>
      <c r="W1521" s="152">
        <f t="shared" si="448"/>
        <v>397682</v>
      </c>
      <c r="X1521" s="127" t="str">
        <f t="shared" si="446"/>
        <v/>
      </c>
      <c r="Y1521" s="207">
        <f t="shared" si="449"/>
        <v>397682</v>
      </c>
      <c r="Z1521" s="139">
        <f t="shared" si="450"/>
        <v>397682</v>
      </c>
      <c r="AA1521" s="139">
        <f t="shared" si="451"/>
        <v>0</v>
      </c>
      <c r="AC1521" s="47">
        <f t="shared" si="452"/>
        <v>198841</v>
      </c>
      <c r="AD1521" s="47">
        <f t="shared" si="453"/>
        <v>198841</v>
      </c>
      <c r="AE1521" s="47">
        <f t="shared" si="454"/>
        <v>0</v>
      </c>
      <c r="AG1521" s="47">
        <f t="shared" si="455"/>
        <v>198841</v>
      </c>
      <c r="AH1521" s="47">
        <f t="shared" si="456"/>
        <v>198841</v>
      </c>
      <c r="AI1521" s="208">
        <f t="shared" si="457"/>
        <v>0</v>
      </c>
    </row>
    <row r="1522" spans="1:35">
      <c r="A1522" t="s">
        <v>2133</v>
      </c>
      <c r="B1522" t="s">
        <v>3160</v>
      </c>
      <c r="C1522" t="s">
        <v>2806</v>
      </c>
      <c r="D1522" t="s">
        <v>4932</v>
      </c>
      <c r="F1522" t="s">
        <v>1173</v>
      </c>
      <c r="G1522" s="126">
        <f>SUMIFS('Support - Transition'!F:F,'Support - Transition'!B:B,'Step 2'!A1522,'Support - Transition'!C:C,'Step 2'!B1522,'Support - Transition'!D:D,'Step 2'!C1522,'Support - Transition'!E:E,"CIVIL")</f>
        <v>0</v>
      </c>
      <c r="H1522" s="126">
        <f>SUMIFS('Support - Transition'!F:F,'Support - Transition'!B:B,'Step 2'!A1522,'Support - Transition'!C:C,'Step 2'!B1522,'Support - Transition'!D:D,'Step 2'!C1522,'Support - Transition'!E:E,"FIRE")</f>
        <v>0</v>
      </c>
      <c r="I1522" s="126">
        <f>IF(B1522="0",SUMIFS('Support - Transition'!F:F,'Support - Transition'!J:J,'Step 2'!D1522,'Support - Transition'!E:E,"STATE UNIT"),SUMIFS('Support - Transition'!F:F,'Support - Transition'!J:J,'Step 2'!D1522))</f>
        <v>6.1627000000000001E-2</v>
      </c>
      <c r="J1522" s="126">
        <f>SUMIFS('Support - Unit Adjustments'!E:E,'Support - Unit Adjustments'!F:F,'Step 2'!D1522)</f>
        <v>0</v>
      </c>
      <c r="K1522" s="126">
        <f t="shared" si="441"/>
        <v>6.1627000000000001E-2</v>
      </c>
      <c r="L1522" s="174">
        <f>VLOOKUP(A1522,'Step 1'!$A:$E,4,FALSE)</f>
        <v>11858968</v>
      </c>
      <c r="M1522" s="47">
        <f t="shared" si="442"/>
        <v>730833</v>
      </c>
      <c r="N1522" s="177">
        <f>SUMIFS('Support - Transition'!G:G,'Support - Transition'!J:J,'Step 2'!D1522,'Support - Transition'!E:E,"2009 WELFARE ALLOCATION FACTOR")</f>
        <v>0</v>
      </c>
      <c r="O1522" s="152">
        <f t="shared" si="447"/>
        <v>0</v>
      </c>
      <c r="P1522" s="126">
        <f>IF(E1522="Y",0,SUMIFS('Support - Transition'!G:G,'Support - Transition'!J:J,'Step 2'!D1522,'Support - Transition'!E:E,"2009 SCHOOL ALLOCATION FACTOR"))</f>
        <v>0.48118</v>
      </c>
      <c r="Q1522" s="126">
        <f>IF(E1522="Y",VLOOKUP(D1522,'Support - Unit Adjustments'!F:G,2,FALSE),0)</f>
        <v>0</v>
      </c>
      <c r="R1522" s="155">
        <f t="shared" si="459"/>
        <v>0.48118</v>
      </c>
      <c r="S1522" s="47">
        <f t="shared" si="458"/>
        <v>351662</v>
      </c>
      <c r="T1522" s="151">
        <f t="shared" si="443"/>
        <v>379171</v>
      </c>
      <c r="U1522" s="151">
        <f t="shared" si="444"/>
        <v>0</v>
      </c>
      <c r="V1522" s="139">
        <f t="shared" si="445"/>
        <v>0</v>
      </c>
      <c r="W1522" s="152">
        <f t="shared" si="448"/>
        <v>379171</v>
      </c>
      <c r="X1522" s="127" t="str">
        <f t="shared" si="446"/>
        <v/>
      </c>
      <c r="Y1522" s="207">
        <f t="shared" si="449"/>
        <v>379171</v>
      </c>
      <c r="Z1522" s="139">
        <f t="shared" si="450"/>
        <v>379171</v>
      </c>
      <c r="AA1522" s="139">
        <f t="shared" si="451"/>
        <v>0</v>
      </c>
      <c r="AC1522" s="47">
        <f t="shared" si="452"/>
        <v>189586</v>
      </c>
      <c r="AD1522" s="47">
        <f t="shared" si="453"/>
        <v>189586</v>
      </c>
      <c r="AE1522" s="47">
        <f t="shared" si="454"/>
        <v>0</v>
      </c>
      <c r="AG1522" s="47">
        <f t="shared" si="455"/>
        <v>189585</v>
      </c>
      <c r="AH1522" s="47">
        <f t="shared" si="456"/>
        <v>189585</v>
      </c>
      <c r="AI1522" s="208">
        <f t="shared" si="457"/>
        <v>0</v>
      </c>
    </row>
    <row r="1523" spans="1:35">
      <c r="A1523" t="s">
        <v>2133</v>
      </c>
      <c r="B1523" t="s">
        <v>3160</v>
      </c>
      <c r="C1523" t="s">
        <v>2807</v>
      </c>
      <c r="D1523" t="s">
        <v>4933</v>
      </c>
      <c r="F1523" t="s">
        <v>4934</v>
      </c>
      <c r="G1523" s="126">
        <f>SUMIFS('Support - Transition'!F:F,'Support - Transition'!B:B,'Step 2'!A1523,'Support - Transition'!C:C,'Step 2'!B1523,'Support - Transition'!D:D,'Step 2'!C1523,'Support - Transition'!E:E,"CIVIL")</f>
        <v>0</v>
      </c>
      <c r="H1523" s="126">
        <f>SUMIFS('Support - Transition'!F:F,'Support - Transition'!B:B,'Step 2'!A1523,'Support - Transition'!C:C,'Step 2'!B1523,'Support - Transition'!D:D,'Step 2'!C1523,'Support - Transition'!E:E,"FIRE")</f>
        <v>0</v>
      </c>
      <c r="I1523" s="126">
        <f>IF(B1523="0",SUMIFS('Support - Transition'!F:F,'Support - Transition'!J:J,'Step 2'!D1523,'Support - Transition'!E:E,"STATE UNIT"),SUMIFS('Support - Transition'!F:F,'Support - Transition'!J:J,'Step 2'!D1523))</f>
        <v>7.3666999999999996E-2</v>
      </c>
      <c r="J1523" s="126">
        <f>SUMIFS('Support - Unit Adjustments'!E:E,'Support - Unit Adjustments'!F:F,'Step 2'!D1523)</f>
        <v>0</v>
      </c>
      <c r="K1523" s="126">
        <f t="shared" si="441"/>
        <v>7.3666999999999996E-2</v>
      </c>
      <c r="L1523" s="174">
        <f>VLOOKUP(A1523,'Step 1'!$A:$E,4,FALSE)</f>
        <v>11858968</v>
      </c>
      <c r="M1523" s="47">
        <f t="shared" si="442"/>
        <v>873615</v>
      </c>
      <c r="N1523" s="177">
        <f>SUMIFS('Support - Transition'!G:G,'Support - Transition'!J:J,'Step 2'!D1523,'Support - Transition'!E:E,"2009 WELFARE ALLOCATION FACTOR")</f>
        <v>0</v>
      </c>
      <c r="O1523" s="152">
        <f t="shared" si="447"/>
        <v>0</v>
      </c>
      <c r="P1523" s="126">
        <f>IF(E1523="Y",0,SUMIFS('Support - Transition'!G:G,'Support - Transition'!J:J,'Step 2'!D1523,'Support - Transition'!E:E,"2009 SCHOOL ALLOCATION FACTOR"))</f>
        <v>0.39560200000000001</v>
      </c>
      <c r="Q1523" s="126">
        <f>IF(E1523="Y",VLOOKUP(D1523,'Support - Unit Adjustments'!F:G,2,FALSE),0)</f>
        <v>0</v>
      </c>
      <c r="R1523" s="155">
        <f t="shared" si="459"/>
        <v>0.39560200000000001</v>
      </c>
      <c r="S1523" s="47">
        <f t="shared" si="458"/>
        <v>345604</v>
      </c>
      <c r="T1523" s="151">
        <f t="shared" si="443"/>
        <v>528011</v>
      </c>
      <c r="U1523" s="151">
        <f t="shared" si="444"/>
        <v>0</v>
      </c>
      <c r="V1523" s="139">
        <f t="shared" si="445"/>
        <v>0</v>
      </c>
      <c r="W1523" s="152">
        <f t="shared" si="448"/>
        <v>528011</v>
      </c>
      <c r="X1523" s="127" t="str">
        <f t="shared" si="446"/>
        <v/>
      </c>
      <c r="Y1523" s="207">
        <f t="shared" si="449"/>
        <v>528011</v>
      </c>
      <c r="Z1523" s="139">
        <f t="shared" si="450"/>
        <v>528011</v>
      </c>
      <c r="AA1523" s="139">
        <f t="shared" si="451"/>
        <v>0</v>
      </c>
      <c r="AC1523" s="47">
        <f t="shared" si="452"/>
        <v>264006</v>
      </c>
      <c r="AD1523" s="47">
        <f t="shared" si="453"/>
        <v>264006</v>
      </c>
      <c r="AE1523" s="47">
        <f t="shared" si="454"/>
        <v>0</v>
      </c>
      <c r="AG1523" s="47">
        <f t="shared" si="455"/>
        <v>264005</v>
      </c>
      <c r="AH1523" s="47">
        <f t="shared" si="456"/>
        <v>264005</v>
      </c>
      <c r="AI1523" s="208">
        <f t="shared" si="457"/>
        <v>0</v>
      </c>
    </row>
    <row r="1524" spans="1:35">
      <c r="A1524" t="s">
        <v>2133</v>
      </c>
      <c r="B1524" t="s">
        <v>3160</v>
      </c>
      <c r="C1524" t="s">
        <v>2808</v>
      </c>
      <c r="D1524" t="s">
        <v>4935</v>
      </c>
      <c r="F1524" t="s">
        <v>4936</v>
      </c>
      <c r="G1524" s="126">
        <f>SUMIFS('Support - Transition'!F:F,'Support - Transition'!B:B,'Step 2'!A1524,'Support - Transition'!C:C,'Step 2'!B1524,'Support - Transition'!D:D,'Step 2'!C1524,'Support - Transition'!E:E,"CIVIL")</f>
        <v>0</v>
      </c>
      <c r="H1524" s="126">
        <f>SUMIFS('Support - Transition'!F:F,'Support - Transition'!B:B,'Step 2'!A1524,'Support - Transition'!C:C,'Step 2'!B1524,'Support - Transition'!D:D,'Step 2'!C1524,'Support - Transition'!E:E,"FIRE")</f>
        <v>0</v>
      </c>
      <c r="I1524" s="126">
        <f>IF(B1524="0",SUMIFS('Support - Transition'!F:F,'Support - Transition'!J:J,'Step 2'!D1524,'Support - Transition'!E:E,"STATE UNIT"),SUMIFS('Support - Transition'!F:F,'Support - Transition'!J:J,'Step 2'!D1524))</f>
        <v>6.3689999999999997E-3</v>
      </c>
      <c r="J1524" s="126">
        <f>SUMIFS('Support - Unit Adjustments'!E:E,'Support - Unit Adjustments'!F:F,'Step 2'!D1524)</f>
        <v>0</v>
      </c>
      <c r="K1524" s="126">
        <f t="shared" si="441"/>
        <v>6.3689999999999997E-3</v>
      </c>
      <c r="L1524" s="174">
        <f>VLOOKUP(A1524,'Step 1'!$A:$E,4,FALSE)</f>
        <v>11858968</v>
      </c>
      <c r="M1524" s="47">
        <f t="shared" si="442"/>
        <v>75530</v>
      </c>
      <c r="N1524" s="177">
        <f>SUMIFS('Support - Transition'!G:G,'Support - Transition'!J:J,'Step 2'!D1524,'Support - Transition'!E:E,"2009 WELFARE ALLOCATION FACTOR")</f>
        <v>0</v>
      </c>
      <c r="O1524" s="152">
        <f t="shared" si="447"/>
        <v>0</v>
      </c>
      <c r="P1524" s="126">
        <f>IF(E1524="Y",0,SUMIFS('Support - Transition'!G:G,'Support - Transition'!J:J,'Step 2'!D1524,'Support - Transition'!E:E,"2009 SCHOOL ALLOCATION FACTOR"))</f>
        <v>0.58224699999999996</v>
      </c>
      <c r="Q1524" s="126">
        <f>IF(E1524="Y",VLOOKUP(D1524,'Support - Unit Adjustments'!F:G,2,FALSE),0)</f>
        <v>0</v>
      </c>
      <c r="R1524" s="155">
        <f t="shared" si="459"/>
        <v>0.58224699999999996</v>
      </c>
      <c r="S1524" s="47">
        <f t="shared" si="458"/>
        <v>43977</v>
      </c>
      <c r="T1524" s="151">
        <f t="shared" si="443"/>
        <v>31553</v>
      </c>
      <c r="U1524" s="151">
        <f t="shared" si="444"/>
        <v>0</v>
      </c>
      <c r="V1524" s="139">
        <f t="shared" si="445"/>
        <v>0</v>
      </c>
      <c r="W1524" s="152">
        <f t="shared" si="448"/>
        <v>31553</v>
      </c>
      <c r="X1524" s="127" t="str">
        <f t="shared" si="446"/>
        <v/>
      </c>
      <c r="Y1524" s="207">
        <f t="shared" si="449"/>
        <v>31553</v>
      </c>
      <c r="Z1524" s="139">
        <f t="shared" si="450"/>
        <v>31553</v>
      </c>
      <c r="AA1524" s="139">
        <f t="shared" si="451"/>
        <v>0</v>
      </c>
      <c r="AC1524" s="47">
        <f t="shared" si="452"/>
        <v>15777</v>
      </c>
      <c r="AD1524" s="47">
        <f t="shared" si="453"/>
        <v>15777</v>
      </c>
      <c r="AE1524" s="47">
        <f t="shared" si="454"/>
        <v>0</v>
      </c>
      <c r="AG1524" s="47">
        <f t="shared" si="455"/>
        <v>15776</v>
      </c>
      <c r="AH1524" s="47">
        <f t="shared" si="456"/>
        <v>15776</v>
      </c>
      <c r="AI1524" s="208">
        <f t="shared" si="457"/>
        <v>0</v>
      </c>
    </row>
    <row r="1525" spans="1:35">
      <c r="A1525" t="s">
        <v>2133</v>
      </c>
      <c r="B1525" t="s">
        <v>3160</v>
      </c>
      <c r="C1525" t="s">
        <v>2809</v>
      </c>
      <c r="D1525" t="s">
        <v>4937</v>
      </c>
      <c r="F1525" t="s">
        <v>1176</v>
      </c>
      <c r="G1525" s="126">
        <f>SUMIFS('Support - Transition'!F:F,'Support - Transition'!B:B,'Step 2'!A1525,'Support - Transition'!C:C,'Step 2'!B1525,'Support - Transition'!D:D,'Step 2'!C1525,'Support - Transition'!E:E,"CIVIL")</f>
        <v>0</v>
      </c>
      <c r="H1525" s="126">
        <f>SUMIFS('Support - Transition'!F:F,'Support - Transition'!B:B,'Step 2'!A1525,'Support - Transition'!C:C,'Step 2'!B1525,'Support - Transition'!D:D,'Step 2'!C1525,'Support - Transition'!E:E,"FIRE")</f>
        <v>0</v>
      </c>
      <c r="I1525" s="126">
        <f>IF(B1525="0",SUMIFS('Support - Transition'!F:F,'Support - Transition'!J:J,'Step 2'!D1525,'Support - Transition'!E:E,"STATE UNIT"),SUMIFS('Support - Transition'!F:F,'Support - Transition'!J:J,'Step 2'!D1525))</f>
        <v>7.0401000000000005E-2</v>
      </c>
      <c r="J1525" s="126">
        <f>SUMIFS('Support - Unit Adjustments'!E:E,'Support - Unit Adjustments'!F:F,'Step 2'!D1525)</f>
        <v>0</v>
      </c>
      <c r="K1525" s="126">
        <f t="shared" si="441"/>
        <v>7.0401000000000005E-2</v>
      </c>
      <c r="L1525" s="174">
        <f>VLOOKUP(A1525,'Step 1'!$A:$E,4,FALSE)</f>
        <v>11858968</v>
      </c>
      <c r="M1525" s="47">
        <f t="shared" si="442"/>
        <v>834883</v>
      </c>
      <c r="N1525" s="177">
        <f>SUMIFS('Support - Transition'!G:G,'Support - Transition'!J:J,'Step 2'!D1525,'Support - Transition'!E:E,"2009 WELFARE ALLOCATION FACTOR")</f>
        <v>0</v>
      </c>
      <c r="O1525" s="152">
        <f t="shared" si="447"/>
        <v>0</v>
      </c>
      <c r="P1525" s="126">
        <f>IF(E1525="Y",0,SUMIFS('Support - Transition'!G:G,'Support - Transition'!J:J,'Step 2'!D1525,'Support - Transition'!E:E,"2009 SCHOOL ALLOCATION FACTOR"))</f>
        <v>0.38041700000000001</v>
      </c>
      <c r="Q1525" s="126">
        <f>IF(E1525="Y",VLOOKUP(D1525,'Support - Unit Adjustments'!F:G,2,FALSE),0)</f>
        <v>0</v>
      </c>
      <c r="R1525" s="155">
        <f t="shared" si="459"/>
        <v>0.38041700000000001</v>
      </c>
      <c r="S1525" s="47">
        <f t="shared" si="458"/>
        <v>317604</v>
      </c>
      <c r="T1525" s="151">
        <f t="shared" si="443"/>
        <v>517279</v>
      </c>
      <c r="U1525" s="151">
        <f t="shared" si="444"/>
        <v>0</v>
      </c>
      <c r="V1525" s="139">
        <f t="shared" si="445"/>
        <v>0</v>
      </c>
      <c r="W1525" s="152">
        <f t="shared" si="448"/>
        <v>517279</v>
      </c>
      <c r="X1525" s="127" t="str">
        <f t="shared" si="446"/>
        <v/>
      </c>
      <c r="Y1525" s="207">
        <f t="shared" si="449"/>
        <v>517279</v>
      </c>
      <c r="Z1525" s="139">
        <f t="shared" si="450"/>
        <v>517279</v>
      </c>
      <c r="AA1525" s="139">
        <f t="shared" si="451"/>
        <v>0</v>
      </c>
      <c r="AC1525" s="47">
        <f t="shared" si="452"/>
        <v>258640</v>
      </c>
      <c r="AD1525" s="47">
        <f t="shared" si="453"/>
        <v>258640</v>
      </c>
      <c r="AE1525" s="47">
        <f t="shared" si="454"/>
        <v>0</v>
      </c>
      <c r="AG1525" s="47">
        <f t="shared" si="455"/>
        <v>258639</v>
      </c>
      <c r="AH1525" s="47">
        <f t="shared" si="456"/>
        <v>258639</v>
      </c>
      <c r="AI1525" s="208">
        <f t="shared" si="457"/>
        <v>0</v>
      </c>
    </row>
    <row r="1526" spans="1:35">
      <c r="A1526" t="s">
        <v>2133</v>
      </c>
      <c r="B1526" t="s">
        <v>3160</v>
      </c>
      <c r="C1526" t="s">
        <v>2810</v>
      </c>
      <c r="D1526" t="s">
        <v>4938</v>
      </c>
      <c r="F1526" t="s">
        <v>1167</v>
      </c>
      <c r="G1526" s="126">
        <f>SUMIFS('Support - Transition'!F:F,'Support - Transition'!B:B,'Step 2'!A1526,'Support - Transition'!C:C,'Step 2'!B1526,'Support - Transition'!D:D,'Step 2'!C1526,'Support - Transition'!E:E,"CIVIL")</f>
        <v>0</v>
      </c>
      <c r="H1526" s="126">
        <f>SUMIFS('Support - Transition'!F:F,'Support - Transition'!B:B,'Step 2'!A1526,'Support - Transition'!C:C,'Step 2'!B1526,'Support - Transition'!D:D,'Step 2'!C1526,'Support - Transition'!E:E,"FIRE")</f>
        <v>0</v>
      </c>
      <c r="I1526" s="126">
        <f>IF(B1526="0",SUMIFS('Support - Transition'!F:F,'Support - Transition'!J:J,'Step 2'!D1526,'Support - Transition'!E:E,"STATE UNIT"),SUMIFS('Support - Transition'!F:F,'Support - Transition'!J:J,'Step 2'!D1526))</f>
        <v>3.9589999999999998E-3</v>
      </c>
      <c r="J1526" s="126">
        <f>SUMIFS('Support - Unit Adjustments'!E:E,'Support - Unit Adjustments'!F:F,'Step 2'!D1526)</f>
        <v>0</v>
      </c>
      <c r="K1526" s="126">
        <f t="shared" si="441"/>
        <v>3.9589999999999998E-3</v>
      </c>
      <c r="L1526" s="174">
        <f>VLOOKUP(A1526,'Step 1'!$A:$E,4,FALSE)</f>
        <v>11858968</v>
      </c>
      <c r="M1526" s="47">
        <f t="shared" si="442"/>
        <v>46950</v>
      </c>
      <c r="N1526" s="177">
        <f>SUMIFS('Support - Transition'!G:G,'Support - Transition'!J:J,'Step 2'!D1526,'Support - Transition'!E:E,"2009 WELFARE ALLOCATION FACTOR")</f>
        <v>0</v>
      </c>
      <c r="O1526" s="152">
        <f t="shared" si="447"/>
        <v>0</v>
      </c>
      <c r="P1526" s="126">
        <f>IF(E1526="Y",0,SUMIFS('Support - Transition'!G:G,'Support - Transition'!J:J,'Step 2'!D1526,'Support - Transition'!E:E,"2009 SCHOOL ALLOCATION FACTOR"))</f>
        <v>0.35447499999999998</v>
      </c>
      <c r="Q1526" s="126">
        <f>IF(E1526="Y",VLOOKUP(D1526,'Support - Unit Adjustments'!F:G,2,FALSE),0)</f>
        <v>0</v>
      </c>
      <c r="R1526" s="155">
        <f t="shared" si="459"/>
        <v>0.35447499999999998</v>
      </c>
      <c r="S1526" s="47">
        <f t="shared" si="458"/>
        <v>16643</v>
      </c>
      <c r="T1526" s="151">
        <f t="shared" si="443"/>
        <v>30307</v>
      </c>
      <c r="U1526" s="151">
        <f t="shared" si="444"/>
        <v>0</v>
      </c>
      <c r="V1526" s="139">
        <f t="shared" si="445"/>
        <v>0</v>
      </c>
      <c r="W1526" s="152">
        <f t="shared" si="448"/>
        <v>30307</v>
      </c>
      <c r="X1526" s="127" t="str">
        <f t="shared" si="446"/>
        <v/>
      </c>
      <c r="Y1526" s="207">
        <f t="shared" si="449"/>
        <v>30307</v>
      </c>
      <c r="Z1526" s="139">
        <f t="shared" si="450"/>
        <v>30307</v>
      </c>
      <c r="AA1526" s="139">
        <f t="shared" si="451"/>
        <v>0</v>
      </c>
      <c r="AC1526" s="47">
        <f t="shared" si="452"/>
        <v>15154</v>
      </c>
      <c r="AD1526" s="47">
        <f t="shared" si="453"/>
        <v>15154</v>
      </c>
      <c r="AE1526" s="47">
        <f t="shared" si="454"/>
        <v>0</v>
      </c>
      <c r="AG1526" s="47">
        <f t="shared" si="455"/>
        <v>15153</v>
      </c>
      <c r="AH1526" s="47">
        <f t="shared" si="456"/>
        <v>15153</v>
      </c>
      <c r="AI1526" s="208">
        <f t="shared" si="457"/>
        <v>0</v>
      </c>
    </row>
    <row r="1527" spans="1:35">
      <c r="A1527" t="s">
        <v>2133</v>
      </c>
      <c r="B1527" t="s">
        <v>3160</v>
      </c>
      <c r="C1527" t="s">
        <v>2811</v>
      </c>
      <c r="D1527" t="s">
        <v>4939</v>
      </c>
      <c r="F1527" t="s">
        <v>1169</v>
      </c>
      <c r="G1527" s="126">
        <f>SUMIFS('Support - Transition'!F:F,'Support - Transition'!B:B,'Step 2'!A1527,'Support - Transition'!C:C,'Step 2'!B1527,'Support - Transition'!D:D,'Step 2'!C1527,'Support - Transition'!E:E,"CIVIL")</f>
        <v>0</v>
      </c>
      <c r="H1527" s="126">
        <f>SUMIFS('Support - Transition'!F:F,'Support - Transition'!B:B,'Step 2'!A1527,'Support - Transition'!C:C,'Step 2'!B1527,'Support - Transition'!D:D,'Step 2'!C1527,'Support - Transition'!E:E,"FIRE")</f>
        <v>0</v>
      </c>
      <c r="I1527" s="126">
        <f>IF(B1527="0",SUMIFS('Support - Transition'!F:F,'Support - Transition'!J:J,'Step 2'!D1527,'Support - Transition'!E:E,"STATE UNIT"),SUMIFS('Support - Transition'!F:F,'Support - Transition'!J:J,'Step 2'!D1527))</f>
        <v>0.162608</v>
      </c>
      <c r="J1527" s="126">
        <f>SUMIFS('Support - Unit Adjustments'!E:E,'Support - Unit Adjustments'!F:F,'Step 2'!D1527)</f>
        <v>0</v>
      </c>
      <c r="K1527" s="126">
        <f t="shared" si="441"/>
        <v>0.162608</v>
      </c>
      <c r="L1527" s="174">
        <f>VLOOKUP(A1527,'Step 1'!$A:$E,4,FALSE)</f>
        <v>11858968</v>
      </c>
      <c r="M1527" s="47">
        <f t="shared" si="442"/>
        <v>1928363</v>
      </c>
      <c r="N1527" s="177">
        <f>SUMIFS('Support - Transition'!G:G,'Support - Transition'!J:J,'Step 2'!D1527,'Support - Transition'!E:E,"2009 WELFARE ALLOCATION FACTOR")</f>
        <v>0</v>
      </c>
      <c r="O1527" s="152">
        <f t="shared" si="447"/>
        <v>0</v>
      </c>
      <c r="P1527" s="126">
        <f>IF(E1527="Y",0,SUMIFS('Support - Transition'!G:G,'Support - Transition'!J:J,'Step 2'!D1527,'Support - Transition'!E:E,"2009 SCHOOL ALLOCATION FACTOR"))</f>
        <v>0.45038299999999998</v>
      </c>
      <c r="Q1527" s="126">
        <f>IF(E1527="Y",VLOOKUP(D1527,'Support - Unit Adjustments'!F:G,2,FALSE),0)</f>
        <v>0</v>
      </c>
      <c r="R1527" s="155">
        <f t="shared" si="459"/>
        <v>0.45038299999999998</v>
      </c>
      <c r="S1527" s="47">
        <f t="shared" si="458"/>
        <v>868502</v>
      </c>
      <c r="T1527" s="151">
        <f t="shared" si="443"/>
        <v>1059861</v>
      </c>
      <c r="U1527" s="151">
        <f t="shared" si="444"/>
        <v>0</v>
      </c>
      <c r="V1527" s="139">
        <f t="shared" si="445"/>
        <v>0</v>
      </c>
      <c r="W1527" s="152">
        <f t="shared" si="448"/>
        <v>1059861</v>
      </c>
      <c r="X1527" s="127" t="str">
        <f t="shared" si="446"/>
        <v/>
      </c>
      <c r="Y1527" s="207">
        <f t="shared" si="449"/>
        <v>1059861</v>
      </c>
      <c r="Z1527" s="139">
        <f t="shared" si="450"/>
        <v>1059861</v>
      </c>
      <c r="AA1527" s="139">
        <f t="shared" si="451"/>
        <v>0</v>
      </c>
      <c r="AC1527" s="47">
        <f t="shared" si="452"/>
        <v>529931</v>
      </c>
      <c r="AD1527" s="47">
        <f t="shared" si="453"/>
        <v>529931</v>
      </c>
      <c r="AE1527" s="47">
        <f t="shared" si="454"/>
        <v>0</v>
      </c>
      <c r="AG1527" s="47">
        <f t="shared" si="455"/>
        <v>529930</v>
      </c>
      <c r="AH1527" s="47">
        <f t="shared" si="456"/>
        <v>529930</v>
      </c>
      <c r="AI1527" s="208">
        <f t="shared" si="457"/>
        <v>0</v>
      </c>
    </row>
    <row r="1528" spans="1:35">
      <c r="A1528" t="s">
        <v>2133</v>
      </c>
      <c r="B1528" t="s">
        <v>3160</v>
      </c>
      <c r="C1528" t="s">
        <v>2812</v>
      </c>
      <c r="D1528" t="s">
        <v>4940</v>
      </c>
      <c r="F1528" t="s">
        <v>1177</v>
      </c>
      <c r="G1528" s="126">
        <f>SUMIFS('Support - Transition'!F:F,'Support - Transition'!B:B,'Step 2'!A1528,'Support - Transition'!C:C,'Step 2'!B1528,'Support - Transition'!D:D,'Step 2'!C1528,'Support - Transition'!E:E,"CIVIL")</f>
        <v>0</v>
      </c>
      <c r="H1528" s="126">
        <f>SUMIFS('Support - Transition'!F:F,'Support - Transition'!B:B,'Step 2'!A1528,'Support - Transition'!C:C,'Step 2'!B1528,'Support - Transition'!D:D,'Step 2'!C1528,'Support - Transition'!E:E,"FIRE")</f>
        <v>0</v>
      </c>
      <c r="I1528" s="126">
        <f>IF(B1528="0",SUMIFS('Support - Transition'!F:F,'Support - Transition'!J:J,'Step 2'!D1528,'Support - Transition'!E:E,"STATE UNIT"),SUMIFS('Support - Transition'!F:F,'Support - Transition'!J:J,'Step 2'!D1528))</f>
        <v>7.1850000000000004E-3</v>
      </c>
      <c r="J1528" s="126">
        <f>SUMIFS('Support - Unit Adjustments'!E:E,'Support - Unit Adjustments'!F:F,'Step 2'!D1528)</f>
        <v>0</v>
      </c>
      <c r="K1528" s="126">
        <f t="shared" si="441"/>
        <v>7.1850000000000004E-3</v>
      </c>
      <c r="L1528" s="174">
        <f>VLOOKUP(A1528,'Step 1'!$A:$E,4,FALSE)</f>
        <v>11858968</v>
      </c>
      <c r="M1528" s="47">
        <f t="shared" si="442"/>
        <v>85207</v>
      </c>
      <c r="N1528" s="177">
        <f>SUMIFS('Support - Transition'!G:G,'Support - Transition'!J:J,'Step 2'!D1528,'Support - Transition'!E:E,"2009 WELFARE ALLOCATION FACTOR")</f>
        <v>0</v>
      </c>
      <c r="O1528" s="152">
        <f t="shared" si="447"/>
        <v>0</v>
      </c>
      <c r="P1528" s="126">
        <f>IF(E1528="Y",0,SUMIFS('Support - Transition'!G:G,'Support - Transition'!J:J,'Step 2'!D1528,'Support - Transition'!E:E,"2009 SCHOOL ALLOCATION FACTOR"))</f>
        <v>0.68606199999999995</v>
      </c>
      <c r="Q1528" s="126">
        <f>IF(E1528="Y",VLOOKUP(D1528,'Support - Unit Adjustments'!F:G,2,FALSE),0)</f>
        <v>0</v>
      </c>
      <c r="R1528" s="155">
        <f t="shared" si="459"/>
        <v>0.68606199999999995</v>
      </c>
      <c r="S1528" s="47">
        <f t="shared" si="458"/>
        <v>58457</v>
      </c>
      <c r="T1528" s="151">
        <f t="shared" si="443"/>
        <v>26750</v>
      </c>
      <c r="U1528" s="151">
        <f t="shared" si="444"/>
        <v>0</v>
      </c>
      <c r="V1528" s="139">
        <f t="shared" si="445"/>
        <v>0</v>
      </c>
      <c r="W1528" s="152">
        <f t="shared" si="448"/>
        <v>26750</v>
      </c>
      <c r="X1528" s="127" t="str">
        <f t="shared" si="446"/>
        <v/>
      </c>
      <c r="Y1528" s="207">
        <f t="shared" si="449"/>
        <v>26750</v>
      </c>
      <c r="Z1528" s="139">
        <f t="shared" si="450"/>
        <v>26750</v>
      </c>
      <c r="AA1528" s="139">
        <f t="shared" si="451"/>
        <v>0</v>
      </c>
      <c r="AC1528" s="47">
        <f t="shared" si="452"/>
        <v>13375</v>
      </c>
      <c r="AD1528" s="47">
        <f t="shared" si="453"/>
        <v>13375</v>
      </c>
      <c r="AE1528" s="47">
        <f t="shared" si="454"/>
        <v>0</v>
      </c>
      <c r="AG1528" s="47">
        <f t="shared" si="455"/>
        <v>13375</v>
      </c>
      <c r="AH1528" s="47">
        <f t="shared" si="456"/>
        <v>13375</v>
      </c>
      <c r="AI1528" s="208">
        <f t="shared" si="457"/>
        <v>0</v>
      </c>
    </row>
    <row r="1529" spans="1:35">
      <c r="A1529" t="s">
        <v>2133</v>
      </c>
      <c r="B1529" t="s">
        <v>3166</v>
      </c>
      <c r="C1529" t="s">
        <v>4941</v>
      </c>
      <c r="D1529" t="s">
        <v>4942</v>
      </c>
      <c r="F1529" t="s">
        <v>1180</v>
      </c>
      <c r="G1529" s="126">
        <f>SUMIFS('Support - Transition'!F:F,'Support - Transition'!B:B,'Step 2'!A1529,'Support - Transition'!C:C,'Step 2'!B1529,'Support - Transition'!D:D,'Step 2'!C1529,'Support - Transition'!E:E,"CIVIL")</f>
        <v>0</v>
      </c>
      <c r="H1529" s="126">
        <f>SUMIFS('Support - Transition'!F:F,'Support - Transition'!B:B,'Step 2'!A1529,'Support - Transition'!C:C,'Step 2'!B1529,'Support - Transition'!D:D,'Step 2'!C1529,'Support - Transition'!E:E,"FIRE")</f>
        <v>0</v>
      </c>
      <c r="I1529" s="126">
        <f>IF(B1529="0",SUMIFS('Support - Transition'!F:F,'Support - Transition'!J:J,'Step 2'!D1529,'Support - Transition'!E:E,"STATE UNIT"),SUMIFS('Support - Transition'!F:F,'Support - Transition'!J:J,'Step 2'!D1529))</f>
        <v>6.9399999999999996E-4</v>
      </c>
      <c r="J1529" s="126">
        <f>SUMIFS('Support - Unit Adjustments'!E:E,'Support - Unit Adjustments'!F:F,'Step 2'!D1529)</f>
        <v>0</v>
      </c>
      <c r="K1529" s="126">
        <f t="shared" si="441"/>
        <v>6.9399999999999996E-4</v>
      </c>
      <c r="L1529" s="174">
        <f>VLOOKUP(A1529,'Step 1'!$A:$E,4,FALSE)</f>
        <v>11858968</v>
      </c>
      <c r="M1529" s="47">
        <f t="shared" si="442"/>
        <v>8230</v>
      </c>
      <c r="N1529" s="177">
        <f>SUMIFS('Support - Transition'!G:G,'Support - Transition'!J:J,'Step 2'!D1529,'Support - Transition'!E:E,"2009 WELFARE ALLOCATION FACTOR")</f>
        <v>0</v>
      </c>
      <c r="O1529" s="152">
        <f t="shared" si="447"/>
        <v>0</v>
      </c>
      <c r="P1529" s="126">
        <f>IF(E1529="Y",0,SUMIFS('Support - Transition'!G:G,'Support - Transition'!J:J,'Step 2'!D1529,'Support - Transition'!E:E,"2009 SCHOOL ALLOCATION FACTOR"))</f>
        <v>0</v>
      </c>
      <c r="Q1529" s="126">
        <f>IF(E1529="Y",VLOOKUP(D1529,'Support - Unit Adjustments'!F:G,2,FALSE),0)</f>
        <v>0</v>
      </c>
      <c r="R1529" s="155">
        <f t="shared" si="459"/>
        <v>0</v>
      </c>
      <c r="S1529" s="47">
        <f t="shared" si="458"/>
        <v>0</v>
      </c>
      <c r="T1529" s="151">
        <f t="shared" si="443"/>
        <v>8230</v>
      </c>
      <c r="U1529" s="151">
        <f t="shared" si="444"/>
        <v>0</v>
      </c>
      <c r="V1529" s="139">
        <f t="shared" si="445"/>
        <v>0</v>
      </c>
      <c r="W1529" s="152">
        <f t="shared" si="448"/>
        <v>8230</v>
      </c>
      <c r="X1529" s="127" t="str">
        <f t="shared" si="446"/>
        <v/>
      </c>
      <c r="Y1529" s="207">
        <f t="shared" si="449"/>
        <v>8230</v>
      </c>
      <c r="Z1529" s="139">
        <f t="shared" si="450"/>
        <v>8230</v>
      </c>
      <c r="AA1529" s="139">
        <f t="shared" si="451"/>
        <v>0</v>
      </c>
      <c r="AC1529" s="47">
        <f t="shared" si="452"/>
        <v>4115</v>
      </c>
      <c r="AD1529" s="47">
        <f t="shared" si="453"/>
        <v>4115</v>
      </c>
      <c r="AE1529" s="47">
        <f t="shared" si="454"/>
        <v>0</v>
      </c>
      <c r="AG1529" s="47">
        <f t="shared" si="455"/>
        <v>4115</v>
      </c>
      <c r="AH1529" s="47">
        <f t="shared" si="456"/>
        <v>4115</v>
      </c>
      <c r="AI1529" s="208">
        <f t="shared" si="457"/>
        <v>0</v>
      </c>
    </row>
    <row r="1530" spans="1:35">
      <c r="A1530" t="s">
        <v>2133</v>
      </c>
      <c r="B1530" t="s">
        <v>3166</v>
      </c>
      <c r="C1530" t="s">
        <v>4943</v>
      </c>
      <c r="D1530" t="s">
        <v>4944</v>
      </c>
      <c r="F1530" t="s">
        <v>4945</v>
      </c>
      <c r="G1530" s="126">
        <f>SUMIFS('Support - Transition'!F:F,'Support - Transition'!B:B,'Step 2'!A1530,'Support - Transition'!C:C,'Step 2'!B1530,'Support - Transition'!D:D,'Step 2'!C1530,'Support - Transition'!E:E,"CIVIL")</f>
        <v>0</v>
      </c>
      <c r="H1530" s="126">
        <f>SUMIFS('Support - Transition'!F:F,'Support - Transition'!B:B,'Step 2'!A1530,'Support - Transition'!C:C,'Step 2'!B1530,'Support - Transition'!D:D,'Step 2'!C1530,'Support - Transition'!E:E,"FIRE")</f>
        <v>0</v>
      </c>
      <c r="I1530" s="126">
        <f>IF(B1530="0",SUMIFS('Support - Transition'!F:F,'Support - Transition'!J:J,'Step 2'!D1530,'Support - Transition'!E:E,"STATE UNIT"),SUMIFS('Support - Transition'!F:F,'Support - Transition'!J:J,'Step 2'!D1530))</f>
        <v>3.1203999999999999E-2</v>
      </c>
      <c r="J1530" s="126">
        <f>SUMIFS('Support - Unit Adjustments'!E:E,'Support - Unit Adjustments'!F:F,'Step 2'!D1530)</f>
        <v>3.7500000000000001E-4</v>
      </c>
      <c r="K1530" s="126">
        <f t="shared" si="441"/>
        <v>3.1578999999999996E-2</v>
      </c>
      <c r="L1530" s="174">
        <f>VLOOKUP(A1530,'Step 1'!$A:$E,4,FALSE)</f>
        <v>11858968</v>
      </c>
      <c r="M1530" s="47">
        <f t="shared" si="442"/>
        <v>374494</v>
      </c>
      <c r="N1530" s="177">
        <f>SUMIFS('Support - Transition'!G:G,'Support - Transition'!J:J,'Step 2'!D1530,'Support - Transition'!E:E,"2009 WELFARE ALLOCATION FACTOR")</f>
        <v>0</v>
      </c>
      <c r="O1530" s="152">
        <f t="shared" si="447"/>
        <v>0</v>
      </c>
      <c r="P1530" s="126">
        <f>IF(E1530="Y",0,SUMIFS('Support - Transition'!G:G,'Support - Transition'!J:J,'Step 2'!D1530,'Support - Transition'!E:E,"2009 SCHOOL ALLOCATION FACTOR"))</f>
        <v>0</v>
      </c>
      <c r="Q1530" s="126">
        <f>IF(E1530="Y",VLOOKUP(D1530,'Support - Unit Adjustments'!F:G,2,FALSE),0)</f>
        <v>0</v>
      </c>
      <c r="R1530" s="155">
        <f t="shared" si="459"/>
        <v>0</v>
      </c>
      <c r="S1530" s="47">
        <f t="shared" si="458"/>
        <v>0</v>
      </c>
      <c r="T1530" s="151">
        <f t="shared" si="443"/>
        <v>374494</v>
      </c>
      <c r="U1530" s="151">
        <f t="shared" si="444"/>
        <v>0</v>
      </c>
      <c r="V1530" s="139">
        <f t="shared" si="445"/>
        <v>0</v>
      </c>
      <c r="W1530" s="152">
        <f t="shared" si="448"/>
        <v>374494</v>
      </c>
      <c r="X1530" s="127" t="str">
        <f t="shared" si="446"/>
        <v/>
      </c>
      <c r="Y1530" s="207">
        <f t="shared" si="449"/>
        <v>374494</v>
      </c>
      <c r="Z1530" s="139">
        <f t="shared" si="450"/>
        <v>374494</v>
      </c>
      <c r="AA1530" s="139">
        <f t="shared" si="451"/>
        <v>0</v>
      </c>
      <c r="AC1530" s="47">
        <f t="shared" si="452"/>
        <v>187247</v>
      </c>
      <c r="AD1530" s="47">
        <f t="shared" si="453"/>
        <v>187247</v>
      </c>
      <c r="AE1530" s="47">
        <f t="shared" si="454"/>
        <v>0</v>
      </c>
      <c r="AG1530" s="47">
        <f t="shared" si="455"/>
        <v>187247</v>
      </c>
      <c r="AH1530" s="47">
        <f t="shared" si="456"/>
        <v>187247</v>
      </c>
      <c r="AI1530" s="208">
        <f t="shared" si="457"/>
        <v>0</v>
      </c>
    </row>
    <row r="1531" spans="1:35">
      <c r="A1531" t="s">
        <v>2133</v>
      </c>
      <c r="B1531" t="s">
        <v>3170</v>
      </c>
      <c r="C1531" t="s">
        <v>2813</v>
      </c>
      <c r="D1531" t="s">
        <v>4946</v>
      </c>
      <c r="F1531" t="s">
        <v>1185</v>
      </c>
      <c r="G1531" s="126">
        <f>SUMIFS('Support - Transition'!F:F,'Support - Transition'!B:B,'Step 2'!A1531,'Support - Transition'!C:C,'Step 2'!B1531,'Support - Transition'!D:D,'Step 2'!C1531,'Support - Transition'!E:E,"CIVIL")</f>
        <v>0</v>
      </c>
      <c r="H1531" s="126">
        <f>SUMIFS('Support - Transition'!F:F,'Support - Transition'!B:B,'Step 2'!A1531,'Support - Transition'!C:C,'Step 2'!B1531,'Support - Transition'!D:D,'Step 2'!C1531,'Support - Transition'!E:E,"FIRE")</f>
        <v>0</v>
      </c>
      <c r="I1531" s="126">
        <f>IF(B1531="0",SUMIFS('Support - Transition'!F:F,'Support - Transition'!J:J,'Step 2'!D1531,'Support - Transition'!E:E,"STATE UNIT"),SUMIFS('Support - Transition'!F:F,'Support - Transition'!J:J,'Step 2'!D1531))</f>
        <v>2.2225000000000002E-2</v>
      </c>
      <c r="J1531" s="126">
        <f>SUMIFS('Support - Unit Adjustments'!E:E,'Support - Unit Adjustments'!F:F,'Step 2'!D1531)</f>
        <v>5.9769999999999997E-3</v>
      </c>
      <c r="K1531" s="126">
        <f t="shared" si="441"/>
        <v>2.8202000000000001E-2</v>
      </c>
      <c r="L1531" s="174">
        <f>VLOOKUP(A1531,'Step 1'!$A:$E,4,FALSE)</f>
        <v>11858968</v>
      </c>
      <c r="M1531" s="47">
        <f t="shared" si="442"/>
        <v>334447</v>
      </c>
      <c r="N1531" s="177">
        <f>SUMIFS('Support - Transition'!G:G,'Support - Transition'!J:J,'Step 2'!D1531,'Support - Transition'!E:E,"2009 WELFARE ALLOCATION FACTOR")</f>
        <v>0</v>
      </c>
      <c r="O1531" s="152">
        <f t="shared" si="447"/>
        <v>0</v>
      </c>
      <c r="P1531" s="126">
        <f>IF(E1531="Y",0,SUMIFS('Support - Transition'!G:G,'Support - Transition'!J:J,'Step 2'!D1531,'Support - Transition'!E:E,"2009 SCHOOL ALLOCATION FACTOR"))</f>
        <v>0</v>
      </c>
      <c r="Q1531" s="126">
        <f>IF(E1531="Y",VLOOKUP(D1531,'Support - Unit Adjustments'!F:G,2,FALSE),0)</f>
        <v>0</v>
      </c>
      <c r="R1531" s="155">
        <f t="shared" si="459"/>
        <v>0</v>
      </c>
      <c r="S1531" s="47">
        <f t="shared" si="458"/>
        <v>0</v>
      </c>
      <c r="T1531" s="151">
        <f t="shared" si="443"/>
        <v>334447</v>
      </c>
      <c r="U1531" s="151">
        <f t="shared" si="444"/>
        <v>0</v>
      </c>
      <c r="V1531" s="139">
        <f t="shared" si="445"/>
        <v>0</v>
      </c>
      <c r="W1531" s="152">
        <f t="shared" si="448"/>
        <v>334447</v>
      </c>
      <c r="X1531" s="127" t="str">
        <f t="shared" si="446"/>
        <v/>
      </c>
      <c r="Y1531" s="207">
        <f t="shared" si="449"/>
        <v>334447</v>
      </c>
      <c r="Z1531" s="139">
        <f t="shared" si="450"/>
        <v>334447</v>
      </c>
      <c r="AA1531" s="139">
        <f t="shared" si="451"/>
        <v>0</v>
      </c>
      <c r="AC1531" s="47">
        <f t="shared" si="452"/>
        <v>167224</v>
      </c>
      <c r="AD1531" s="47">
        <f t="shared" si="453"/>
        <v>167224</v>
      </c>
      <c r="AE1531" s="47">
        <f t="shared" si="454"/>
        <v>0</v>
      </c>
      <c r="AG1531" s="47">
        <f t="shared" si="455"/>
        <v>167223</v>
      </c>
      <c r="AH1531" s="47">
        <f t="shared" si="456"/>
        <v>167223</v>
      </c>
      <c r="AI1531" s="208">
        <f t="shared" si="457"/>
        <v>0</v>
      </c>
    </row>
    <row r="1532" spans="1:35">
      <c r="A1532" t="s">
        <v>2133</v>
      </c>
      <c r="B1532" t="s">
        <v>3170</v>
      </c>
      <c r="C1532" t="s">
        <v>2814</v>
      </c>
      <c r="D1532" t="s">
        <v>4947</v>
      </c>
      <c r="F1532" t="s">
        <v>1182</v>
      </c>
      <c r="G1532" s="126">
        <f>SUMIFS('Support - Transition'!F:F,'Support - Transition'!B:B,'Step 2'!A1532,'Support - Transition'!C:C,'Step 2'!B1532,'Support - Transition'!D:D,'Step 2'!C1532,'Support - Transition'!E:E,"CIVIL")</f>
        <v>0</v>
      </c>
      <c r="H1532" s="126">
        <f>SUMIFS('Support - Transition'!F:F,'Support - Transition'!B:B,'Step 2'!A1532,'Support - Transition'!C:C,'Step 2'!B1532,'Support - Transition'!D:D,'Step 2'!C1532,'Support - Transition'!E:E,"FIRE")</f>
        <v>0</v>
      </c>
      <c r="I1532" s="126">
        <f>IF(B1532="0",SUMIFS('Support - Transition'!F:F,'Support - Transition'!J:J,'Step 2'!D1532,'Support - Transition'!E:E,"STATE UNIT"),SUMIFS('Support - Transition'!F:F,'Support - Transition'!J:J,'Step 2'!D1532))</f>
        <v>5.0155999999999999E-2</v>
      </c>
      <c r="J1532" s="126">
        <f>SUMIFS('Support - Unit Adjustments'!E:E,'Support - Unit Adjustments'!F:F,'Step 2'!D1532)</f>
        <v>0</v>
      </c>
      <c r="K1532" s="126">
        <f t="shared" si="441"/>
        <v>5.0155999999999999E-2</v>
      </c>
      <c r="L1532" s="174">
        <f>VLOOKUP(A1532,'Step 1'!$A:$E,4,FALSE)</f>
        <v>11858968</v>
      </c>
      <c r="M1532" s="47">
        <f t="shared" si="442"/>
        <v>594798</v>
      </c>
      <c r="N1532" s="177">
        <f>SUMIFS('Support - Transition'!G:G,'Support - Transition'!J:J,'Step 2'!D1532,'Support - Transition'!E:E,"2009 WELFARE ALLOCATION FACTOR")</f>
        <v>0</v>
      </c>
      <c r="O1532" s="152">
        <f t="shared" si="447"/>
        <v>0</v>
      </c>
      <c r="P1532" s="126">
        <f>IF(E1532="Y",0,SUMIFS('Support - Transition'!G:G,'Support - Transition'!J:J,'Step 2'!D1532,'Support - Transition'!E:E,"2009 SCHOOL ALLOCATION FACTOR"))</f>
        <v>0</v>
      </c>
      <c r="Q1532" s="126">
        <f>IF(E1532="Y",VLOOKUP(D1532,'Support - Unit Adjustments'!F:G,2,FALSE),0)</f>
        <v>0</v>
      </c>
      <c r="R1532" s="155">
        <f t="shared" si="459"/>
        <v>0</v>
      </c>
      <c r="S1532" s="47">
        <f t="shared" si="458"/>
        <v>0</v>
      </c>
      <c r="T1532" s="151">
        <f t="shared" si="443"/>
        <v>594798</v>
      </c>
      <c r="U1532" s="151">
        <f t="shared" si="444"/>
        <v>0</v>
      </c>
      <c r="V1532" s="139">
        <f t="shared" si="445"/>
        <v>0</v>
      </c>
      <c r="W1532" s="152">
        <f t="shared" si="448"/>
        <v>594798</v>
      </c>
      <c r="X1532" s="127" t="str">
        <f t="shared" si="446"/>
        <v/>
      </c>
      <c r="Y1532" s="207">
        <f t="shared" si="449"/>
        <v>594798</v>
      </c>
      <c r="Z1532" s="139">
        <f t="shared" si="450"/>
        <v>594798</v>
      </c>
      <c r="AA1532" s="139">
        <f t="shared" si="451"/>
        <v>0</v>
      </c>
      <c r="AC1532" s="47">
        <f t="shared" si="452"/>
        <v>297399</v>
      </c>
      <c r="AD1532" s="47">
        <f t="shared" si="453"/>
        <v>297399</v>
      </c>
      <c r="AE1532" s="47">
        <f t="shared" si="454"/>
        <v>0</v>
      </c>
      <c r="AG1532" s="47">
        <f t="shared" si="455"/>
        <v>297399</v>
      </c>
      <c r="AH1532" s="47">
        <f t="shared" si="456"/>
        <v>297399</v>
      </c>
      <c r="AI1532" s="208">
        <f t="shared" si="457"/>
        <v>0</v>
      </c>
    </row>
    <row r="1533" spans="1:35">
      <c r="A1533" t="s">
        <v>2133</v>
      </c>
      <c r="B1533" t="s">
        <v>3170</v>
      </c>
      <c r="C1533" t="s">
        <v>2815</v>
      </c>
      <c r="D1533" t="s">
        <v>4948</v>
      </c>
      <c r="F1533" t="s">
        <v>1181</v>
      </c>
      <c r="G1533" s="126">
        <f>SUMIFS('Support - Transition'!F:F,'Support - Transition'!B:B,'Step 2'!A1533,'Support - Transition'!C:C,'Step 2'!B1533,'Support - Transition'!D:D,'Step 2'!C1533,'Support - Transition'!E:E,"CIVIL")</f>
        <v>0</v>
      </c>
      <c r="H1533" s="126">
        <f>SUMIFS('Support - Transition'!F:F,'Support - Transition'!B:B,'Step 2'!A1533,'Support - Transition'!C:C,'Step 2'!B1533,'Support - Transition'!D:D,'Step 2'!C1533,'Support - Transition'!E:E,"FIRE")</f>
        <v>0</v>
      </c>
      <c r="I1533" s="126">
        <f>IF(B1533="0",SUMIFS('Support - Transition'!F:F,'Support - Transition'!J:J,'Step 2'!D1533,'Support - Transition'!E:E,"STATE UNIT"),SUMIFS('Support - Transition'!F:F,'Support - Transition'!J:J,'Step 2'!D1533))</f>
        <v>3.5470000000000002E-2</v>
      </c>
      <c r="J1533" s="126">
        <f>SUMIFS('Support - Unit Adjustments'!E:E,'Support - Unit Adjustments'!F:F,'Step 2'!D1533)</f>
        <v>0</v>
      </c>
      <c r="K1533" s="126">
        <f t="shared" si="441"/>
        <v>3.5470000000000002E-2</v>
      </c>
      <c r="L1533" s="174">
        <f>VLOOKUP(A1533,'Step 1'!$A:$E,4,FALSE)</f>
        <v>11858968</v>
      </c>
      <c r="M1533" s="47">
        <f t="shared" si="442"/>
        <v>420638</v>
      </c>
      <c r="N1533" s="177">
        <f>SUMIFS('Support - Transition'!G:G,'Support - Transition'!J:J,'Step 2'!D1533,'Support - Transition'!E:E,"2009 WELFARE ALLOCATION FACTOR")</f>
        <v>0</v>
      </c>
      <c r="O1533" s="152">
        <f t="shared" si="447"/>
        <v>0</v>
      </c>
      <c r="P1533" s="126">
        <f>IF(E1533="Y",0,SUMIFS('Support - Transition'!G:G,'Support - Transition'!J:J,'Step 2'!D1533,'Support - Transition'!E:E,"2009 SCHOOL ALLOCATION FACTOR"))</f>
        <v>0</v>
      </c>
      <c r="Q1533" s="126">
        <f>IF(E1533="Y",VLOOKUP(D1533,'Support - Unit Adjustments'!F:G,2,FALSE),0)</f>
        <v>0</v>
      </c>
      <c r="R1533" s="155">
        <f t="shared" si="459"/>
        <v>0</v>
      </c>
      <c r="S1533" s="47">
        <f t="shared" si="458"/>
        <v>0</v>
      </c>
      <c r="T1533" s="151">
        <f t="shared" si="443"/>
        <v>420638</v>
      </c>
      <c r="U1533" s="151">
        <f t="shared" si="444"/>
        <v>0</v>
      </c>
      <c r="V1533" s="139">
        <f t="shared" si="445"/>
        <v>0</v>
      </c>
      <c r="W1533" s="152">
        <f t="shared" si="448"/>
        <v>420638</v>
      </c>
      <c r="X1533" s="127" t="str">
        <f t="shared" si="446"/>
        <v/>
      </c>
      <c r="Y1533" s="207">
        <f t="shared" si="449"/>
        <v>420638</v>
      </c>
      <c r="Z1533" s="139">
        <f t="shared" si="450"/>
        <v>420638</v>
      </c>
      <c r="AA1533" s="139">
        <f t="shared" si="451"/>
        <v>0</v>
      </c>
      <c r="AC1533" s="47">
        <f t="shared" si="452"/>
        <v>210319</v>
      </c>
      <c r="AD1533" s="47">
        <f t="shared" si="453"/>
        <v>210319</v>
      </c>
      <c r="AE1533" s="47">
        <f t="shared" si="454"/>
        <v>0</v>
      </c>
      <c r="AG1533" s="47">
        <f t="shared" si="455"/>
        <v>210319</v>
      </c>
      <c r="AH1533" s="47">
        <f t="shared" si="456"/>
        <v>210319</v>
      </c>
      <c r="AI1533" s="208">
        <f t="shared" si="457"/>
        <v>0</v>
      </c>
    </row>
    <row r="1534" spans="1:35">
      <c r="A1534" t="s">
        <v>2133</v>
      </c>
      <c r="B1534" t="s">
        <v>3170</v>
      </c>
      <c r="C1534" t="s">
        <v>2816</v>
      </c>
      <c r="D1534" t="s">
        <v>4949</v>
      </c>
      <c r="F1534" t="s">
        <v>1183</v>
      </c>
      <c r="G1534" s="126">
        <f>SUMIFS('Support - Transition'!F:F,'Support - Transition'!B:B,'Step 2'!A1534,'Support - Transition'!C:C,'Step 2'!B1534,'Support - Transition'!D:D,'Step 2'!C1534,'Support - Transition'!E:E,"CIVIL")</f>
        <v>0</v>
      </c>
      <c r="H1534" s="126">
        <f>SUMIFS('Support - Transition'!F:F,'Support - Transition'!B:B,'Step 2'!A1534,'Support - Transition'!C:C,'Step 2'!B1534,'Support - Transition'!D:D,'Step 2'!C1534,'Support - Transition'!E:E,"FIRE")</f>
        <v>0</v>
      </c>
      <c r="I1534" s="126">
        <f>IF(B1534="0",SUMIFS('Support - Transition'!F:F,'Support - Transition'!J:J,'Step 2'!D1534,'Support - Transition'!E:E,"STATE UNIT"),SUMIFS('Support - Transition'!F:F,'Support - Transition'!J:J,'Step 2'!D1534))</f>
        <v>9.8689999999999993E-3</v>
      </c>
      <c r="J1534" s="126">
        <f>SUMIFS('Support - Unit Adjustments'!E:E,'Support - Unit Adjustments'!F:F,'Step 2'!D1534)</f>
        <v>0</v>
      </c>
      <c r="K1534" s="126">
        <f t="shared" si="441"/>
        <v>9.8689999999999993E-3</v>
      </c>
      <c r="L1534" s="174">
        <f>VLOOKUP(A1534,'Step 1'!$A:$E,4,FALSE)</f>
        <v>11858968</v>
      </c>
      <c r="M1534" s="47">
        <f t="shared" si="442"/>
        <v>117036</v>
      </c>
      <c r="N1534" s="177">
        <f>SUMIFS('Support - Transition'!G:G,'Support - Transition'!J:J,'Step 2'!D1534,'Support - Transition'!E:E,"2009 WELFARE ALLOCATION FACTOR")</f>
        <v>0</v>
      </c>
      <c r="O1534" s="152">
        <f t="shared" si="447"/>
        <v>0</v>
      </c>
      <c r="P1534" s="126">
        <f>IF(E1534="Y",0,SUMIFS('Support - Transition'!G:G,'Support - Transition'!J:J,'Step 2'!D1534,'Support - Transition'!E:E,"2009 SCHOOL ALLOCATION FACTOR"))</f>
        <v>0</v>
      </c>
      <c r="Q1534" s="126">
        <f>IF(E1534="Y",VLOOKUP(D1534,'Support - Unit Adjustments'!F:G,2,FALSE),0)</f>
        <v>0</v>
      </c>
      <c r="R1534" s="155">
        <f t="shared" si="459"/>
        <v>0</v>
      </c>
      <c r="S1534" s="47">
        <f t="shared" si="458"/>
        <v>0</v>
      </c>
      <c r="T1534" s="151">
        <f t="shared" si="443"/>
        <v>117036</v>
      </c>
      <c r="U1534" s="151">
        <f t="shared" si="444"/>
        <v>0</v>
      </c>
      <c r="V1534" s="139">
        <f t="shared" si="445"/>
        <v>0</v>
      </c>
      <c r="W1534" s="152">
        <f t="shared" si="448"/>
        <v>117036</v>
      </c>
      <c r="X1534" s="127" t="str">
        <f t="shared" si="446"/>
        <v/>
      </c>
      <c r="Y1534" s="207">
        <f t="shared" si="449"/>
        <v>117036</v>
      </c>
      <c r="Z1534" s="139">
        <f t="shared" si="450"/>
        <v>117036</v>
      </c>
      <c r="AA1534" s="139">
        <f t="shared" si="451"/>
        <v>0</v>
      </c>
      <c r="AC1534" s="47">
        <f t="shared" si="452"/>
        <v>58518</v>
      </c>
      <c r="AD1534" s="47">
        <f t="shared" si="453"/>
        <v>58518</v>
      </c>
      <c r="AE1534" s="47">
        <f t="shared" si="454"/>
        <v>0</v>
      </c>
      <c r="AG1534" s="47">
        <f t="shared" si="455"/>
        <v>58518</v>
      </c>
      <c r="AH1534" s="47">
        <f t="shared" si="456"/>
        <v>58518</v>
      </c>
      <c r="AI1534" s="208">
        <f t="shared" si="457"/>
        <v>0</v>
      </c>
    </row>
    <row r="1535" spans="1:35">
      <c r="A1535" t="s">
        <v>2133</v>
      </c>
      <c r="B1535" t="s">
        <v>3170</v>
      </c>
      <c r="C1535" t="s">
        <v>2817</v>
      </c>
      <c r="D1535" t="s">
        <v>4950</v>
      </c>
      <c r="F1535" t="s">
        <v>1187</v>
      </c>
      <c r="G1535" s="126">
        <f>SUMIFS('Support - Transition'!F:F,'Support - Transition'!B:B,'Step 2'!A1535,'Support - Transition'!C:C,'Step 2'!B1535,'Support - Transition'!D:D,'Step 2'!C1535,'Support - Transition'!E:E,"CIVIL")</f>
        <v>0</v>
      </c>
      <c r="H1535" s="126">
        <f>SUMIFS('Support - Transition'!F:F,'Support - Transition'!B:B,'Step 2'!A1535,'Support - Transition'!C:C,'Step 2'!B1535,'Support - Transition'!D:D,'Step 2'!C1535,'Support - Transition'!E:E,"FIRE")</f>
        <v>0</v>
      </c>
      <c r="I1535" s="126">
        <f>IF(B1535="0",SUMIFS('Support - Transition'!F:F,'Support - Transition'!J:J,'Step 2'!D1535,'Support - Transition'!E:E,"STATE UNIT"),SUMIFS('Support - Transition'!F:F,'Support - Transition'!J:J,'Step 2'!D1535))</f>
        <v>7.3438000000000003E-2</v>
      </c>
      <c r="J1535" s="126">
        <f>SUMIFS('Support - Unit Adjustments'!E:E,'Support - Unit Adjustments'!F:F,'Step 2'!D1535)</f>
        <v>0</v>
      </c>
      <c r="K1535" s="126">
        <f t="shared" si="441"/>
        <v>7.3438000000000003E-2</v>
      </c>
      <c r="L1535" s="174">
        <f>VLOOKUP(A1535,'Step 1'!$A:$E,4,FALSE)</f>
        <v>11858968</v>
      </c>
      <c r="M1535" s="47">
        <f t="shared" si="442"/>
        <v>870899</v>
      </c>
      <c r="N1535" s="177">
        <f>SUMIFS('Support - Transition'!G:G,'Support - Transition'!J:J,'Step 2'!D1535,'Support - Transition'!E:E,"2009 WELFARE ALLOCATION FACTOR")</f>
        <v>0</v>
      </c>
      <c r="O1535" s="152">
        <f t="shared" si="447"/>
        <v>0</v>
      </c>
      <c r="P1535" s="126">
        <f>IF(E1535="Y",0,SUMIFS('Support - Transition'!G:G,'Support - Transition'!J:J,'Step 2'!D1535,'Support - Transition'!E:E,"2009 SCHOOL ALLOCATION FACTOR"))</f>
        <v>0</v>
      </c>
      <c r="Q1535" s="126">
        <f>IF(E1535="Y",VLOOKUP(D1535,'Support - Unit Adjustments'!F:G,2,FALSE),0)</f>
        <v>0</v>
      </c>
      <c r="R1535" s="155">
        <f t="shared" si="459"/>
        <v>0</v>
      </c>
      <c r="S1535" s="47">
        <f t="shared" si="458"/>
        <v>0</v>
      </c>
      <c r="T1535" s="151">
        <f t="shared" si="443"/>
        <v>870899</v>
      </c>
      <c r="U1535" s="151">
        <f t="shared" si="444"/>
        <v>0</v>
      </c>
      <c r="V1535" s="139">
        <f t="shared" si="445"/>
        <v>0</v>
      </c>
      <c r="W1535" s="152">
        <f t="shared" si="448"/>
        <v>870899</v>
      </c>
      <c r="X1535" s="127" t="str">
        <f t="shared" si="446"/>
        <v/>
      </c>
      <c r="Y1535" s="207">
        <f t="shared" si="449"/>
        <v>870899</v>
      </c>
      <c r="Z1535" s="139">
        <f t="shared" si="450"/>
        <v>870899</v>
      </c>
      <c r="AA1535" s="139">
        <f t="shared" si="451"/>
        <v>0</v>
      </c>
      <c r="AC1535" s="47">
        <f t="shared" si="452"/>
        <v>435450</v>
      </c>
      <c r="AD1535" s="47">
        <f t="shared" si="453"/>
        <v>435450</v>
      </c>
      <c r="AE1535" s="47">
        <f t="shared" si="454"/>
        <v>0</v>
      </c>
      <c r="AG1535" s="47">
        <f t="shared" si="455"/>
        <v>435449</v>
      </c>
      <c r="AH1535" s="47">
        <f t="shared" si="456"/>
        <v>435449</v>
      </c>
      <c r="AI1535" s="208">
        <f t="shared" si="457"/>
        <v>0</v>
      </c>
    </row>
    <row r="1536" spans="1:35">
      <c r="A1536" t="s">
        <v>2133</v>
      </c>
      <c r="B1536" t="s">
        <v>3170</v>
      </c>
      <c r="C1536" t="s">
        <v>2818</v>
      </c>
      <c r="D1536" t="s">
        <v>4951</v>
      </c>
      <c r="F1536" t="s">
        <v>1186</v>
      </c>
      <c r="G1536" s="126">
        <f>SUMIFS('Support - Transition'!F:F,'Support - Transition'!B:B,'Step 2'!A1536,'Support - Transition'!C:C,'Step 2'!B1536,'Support - Transition'!D:D,'Step 2'!C1536,'Support - Transition'!E:E,"CIVIL")</f>
        <v>0</v>
      </c>
      <c r="H1536" s="126">
        <f>SUMIFS('Support - Transition'!F:F,'Support - Transition'!B:B,'Step 2'!A1536,'Support - Transition'!C:C,'Step 2'!B1536,'Support - Transition'!D:D,'Step 2'!C1536,'Support - Transition'!E:E,"FIRE")</f>
        <v>0</v>
      </c>
      <c r="I1536" s="126">
        <f>IF(B1536="0",SUMIFS('Support - Transition'!F:F,'Support - Transition'!J:J,'Step 2'!D1536,'Support - Transition'!E:E,"STATE UNIT"),SUMIFS('Support - Transition'!F:F,'Support - Transition'!J:J,'Step 2'!D1536))</f>
        <v>0</v>
      </c>
      <c r="J1536" s="126">
        <f>SUMIFS('Support - Unit Adjustments'!E:E,'Support - Unit Adjustments'!F:F,'Step 2'!D1536)</f>
        <v>0</v>
      </c>
      <c r="K1536" s="126">
        <f t="shared" si="441"/>
        <v>0</v>
      </c>
      <c r="L1536" s="174">
        <f>VLOOKUP(A1536,'Step 1'!$A:$E,4,FALSE)</f>
        <v>11858968</v>
      </c>
      <c r="M1536" s="47">
        <f t="shared" si="442"/>
        <v>0</v>
      </c>
      <c r="N1536" s="177">
        <f>SUMIFS('Support - Transition'!G:G,'Support - Transition'!J:J,'Step 2'!D1536,'Support - Transition'!E:E,"2009 WELFARE ALLOCATION FACTOR")</f>
        <v>0</v>
      </c>
      <c r="O1536" s="152">
        <f t="shared" si="447"/>
        <v>0</v>
      </c>
      <c r="P1536" s="126">
        <f>IF(E1536="Y",0,SUMIFS('Support - Transition'!G:G,'Support - Transition'!J:J,'Step 2'!D1536,'Support - Transition'!E:E,"2009 SCHOOL ALLOCATION FACTOR"))</f>
        <v>0</v>
      </c>
      <c r="Q1536" s="126">
        <f>IF(E1536="Y",VLOOKUP(D1536,'Support - Unit Adjustments'!F:G,2,FALSE),0)</f>
        <v>0</v>
      </c>
      <c r="R1536" s="155">
        <f t="shared" si="459"/>
        <v>0</v>
      </c>
      <c r="S1536" s="47">
        <f t="shared" si="458"/>
        <v>0</v>
      </c>
      <c r="T1536" s="151">
        <f t="shared" si="443"/>
        <v>0</v>
      </c>
      <c r="U1536" s="151">
        <f t="shared" si="444"/>
        <v>0</v>
      </c>
      <c r="V1536" s="139">
        <f t="shared" si="445"/>
        <v>0</v>
      </c>
      <c r="W1536" s="152">
        <f t="shared" si="448"/>
        <v>0</v>
      </c>
      <c r="X1536" s="127" t="str">
        <f t="shared" si="446"/>
        <v/>
      </c>
      <c r="Y1536" s="207">
        <f t="shared" si="449"/>
        <v>0</v>
      </c>
      <c r="Z1536" s="139">
        <f t="shared" si="450"/>
        <v>0</v>
      </c>
      <c r="AA1536" s="139">
        <f t="shared" si="451"/>
        <v>0</v>
      </c>
      <c r="AC1536" s="47">
        <f t="shared" si="452"/>
        <v>0</v>
      </c>
      <c r="AD1536" s="47">
        <f t="shared" si="453"/>
        <v>0</v>
      </c>
      <c r="AE1536" s="47">
        <f t="shared" si="454"/>
        <v>0</v>
      </c>
      <c r="AG1536" s="47">
        <f t="shared" si="455"/>
        <v>0</v>
      </c>
      <c r="AH1536" s="47">
        <f t="shared" si="456"/>
        <v>0</v>
      </c>
      <c r="AI1536" s="208">
        <f t="shared" si="457"/>
        <v>0</v>
      </c>
    </row>
    <row r="1537" spans="1:35">
      <c r="A1537" t="s">
        <v>2133</v>
      </c>
      <c r="B1537" t="s">
        <v>3170</v>
      </c>
      <c r="C1537" t="s">
        <v>4952</v>
      </c>
      <c r="D1537" t="s">
        <v>4953</v>
      </c>
      <c r="F1537" t="s">
        <v>1188</v>
      </c>
      <c r="G1537" s="126">
        <f>SUMIFS('Support - Transition'!F:F,'Support - Transition'!B:B,'Step 2'!A1537,'Support - Transition'!C:C,'Step 2'!B1537,'Support - Transition'!D:D,'Step 2'!C1537,'Support - Transition'!E:E,"CIVIL")</f>
        <v>0</v>
      </c>
      <c r="H1537" s="126">
        <f>SUMIFS('Support - Transition'!F:F,'Support - Transition'!B:B,'Step 2'!A1537,'Support - Transition'!C:C,'Step 2'!B1537,'Support - Transition'!D:D,'Step 2'!C1537,'Support - Transition'!E:E,"FIRE")</f>
        <v>0</v>
      </c>
      <c r="I1537" s="126">
        <f>IF(B1537="0",SUMIFS('Support - Transition'!F:F,'Support - Transition'!J:J,'Step 2'!D1537,'Support - Transition'!E:E,"STATE UNIT"),SUMIFS('Support - Transition'!F:F,'Support - Transition'!J:J,'Step 2'!D1537))</f>
        <v>1.5799999999988046E-4</v>
      </c>
      <c r="J1537" s="126">
        <f>SUMIFS('Support - Unit Adjustments'!E:E,'Support - Unit Adjustments'!F:F,'Step 2'!D1537)</f>
        <v>0</v>
      </c>
      <c r="K1537" s="126">
        <f t="shared" si="441"/>
        <v>1.5799999999988046E-4</v>
      </c>
      <c r="L1537" s="174">
        <f>VLOOKUP(A1537,'Step 1'!$A:$E,4,FALSE)</f>
        <v>11858968</v>
      </c>
      <c r="M1537" s="47">
        <f t="shared" si="442"/>
        <v>1874</v>
      </c>
      <c r="N1537" s="177">
        <f>SUMIFS('Support - Transition'!G:G,'Support - Transition'!J:J,'Step 2'!D1537,'Support - Transition'!E:E,"2009 WELFARE ALLOCATION FACTOR")</f>
        <v>0</v>
      </c>
      <c r="O1537" s="152">
        <f t="shared" si="447"/>
        <v>0</v>
      </c>
      <c r="P1537" s="126">
        <f>IF(E1537="Y",0,SUMIFS('Support - Transition'!G:G,'Support - Transition'!J:J,'Step 2'!D1537,'Support - Transition'!E:E,"2009 SCHOOL ALLOCATION FACTOR"))</f>
        <v>0</v>
      </c>
      <c r="Q1537" s="126">
        <f>IF(E1537="Y",VLOOKUP(D1537,'Support - Unit Adjustments'!F:G,2,FALSE),0)</f>
        <v>0</v>
      </c>
      <c r="R1537" s="155">
        <f t="shared" si="459"/>
        <v>0</v>
      </c>
      <c r="S1537" s="47">
        <f t="shared" si="458"/>
        <v>0</v>
      </c>
      <c r="T1537" s="151">
        <f t="shared" si="443"/>
        <v>1874</v>
      </c>
      <c r="U1537" s="151">
        <f t="shared" si="444"/>
        <v>0</v>
      </c>
      <c r="V1537" s="139">
        <f t="shared" si="445"/>
        <v>0</v>
      </c>
      <c r="W1537" s="152">
        <f t="shared" si="448"/>
        <v>1874</v>
      </c>
      <c r="X1537" s="127" t="str">
        <f t="shared" si="446"/>
        <v/>
      </c>
      <c r="Y1537" s="207">
        <f t="shared" si="449"/>
        <v>1874</v>
      </c>
      <c r="Z1537" s="139">
        <f t="shared" si="450"/>
        <v>1874</v>
      </c>
      <c r="AA1537" s="139">
        <f t="shared" si="451"/>
        <v>0</v>
      </c>
      <c r="AC1537" s="47">
        <f t="shared" si="452"/>
        <v>937</v>
      </c>
      <c r="AD1537" s="47">
        <f t="shared" si="453"/>
        <v>937</v>
      </c>
      <c r="AE1537" s="47">
        <f t="shared" si="454"/>
        <v>0</v>
      </c>
      <c r="AG1537" s="47">
        <f t="shared" si="455"/>
        <v>937</v>
      </c>
      <c r="AH1537" s="47">
        <f t="shared" si="456"/>
        <v>937</v>
      </c>
      <c r="AI1537" s="208">
        <f t="shared" si="457"/>
        <v>0</v>
      </c>
    </row>
    <row r="1538" spans="1:35">
      <c r="A1538" t="s">
        <v>2133</v>
      </c>
      <c r="B1538" t="s">
        <v>3170</v>
      </c>
      <c r="C1538" t="s">
        <v>2819</v>
      </c>
      <c r="D1538" t="s">
        <v>4954</v>
      </c>
      <c r="F1538" t="s">
        <v>1158</v>
      </c>
      <c r="G1538" s="126">
        <f>SUMIFS('Support - Transition'!F:F,'Support - Transition'!B:B,'Step 2'!A1538,'Support - Transition'!C:C,'Step 2'!B1538,'Support - Transition'!D:D,'Step 2'!C1538,'Support - Transition'!E:E,"CIVIL")</f>
        <v>0</v>
      </c>
      <c r="H1538" s="126">
        <f>SUMIFS('Support - Transition'!F:F,'Support - Transition'!B:B,'Step 2'!A1538,'Support - Transition'!C:C,'Step 2'!B1538,'Support - Transition'!D:D,'Step 2'!C1538,'Support - Transition'!E:E,"FIRE")</f>
        <v>0</v>
      </c>
      <c r="I1538" s="126">
        <f>IF(B1538="0",SUMIFS('Support - Transition'!F:F,'Support - Transition'!J:J,'Step 2'!D1538,'Support - Transition'!E:E,"STATE UNIT"),SUMIFS('Support - Transition'!F:F,'Support - Transition'!J:J,'Step 2'!D1538))</f>
        <v>2.2447000000000002E-2</v>
      </c>
      <c r="J1538" s="126">
        <f>SUMIFS('Support - Unit Adjustments'!E:E,'Support - Unit Adjustments'!F:F,'Step 2'!D1538)</f>
        <v>0</v>
      </c>
      <c r="K1538" s="126">
        <f t="shared" ref="K1538:K1601" si="460">+I1538+J1538</f>
        <v>2.2447000000000002E-2</v>
      </c>
      <c r="L1538" s="174">
        <f>VLOOKUP(A1538,'Step 1'!$A:$E,4,FALSE)</f>
        <v>11858968</v>
      </c>
      <c r="M1538" s="47">
        <f t="shared" ref="M1538:M1601" si="461">ROUND(+K1538*L1538,0)</f>
        <v>266198</v>
      </c>
      <c r="N1538" s="177">
        <f>SUMIFS('Support - Transition'!G:G,'Support - Transition'!J:J,'Step 2'!D1538,'Support - Transition'!E:E,"2009 WELFARE ALLOCATION FACTOR")</f>
        <v>0</v>
      </c>
      <c r="O1538" s="152">
        <f t="shared" si="447"/>
        <v>0</v>
      </c>
      <c r="P1538" s="126">
        <f>IF(E1538="Y",0,SUMIFS('Support - Transition'!G:G,'Support - Transition'!J:J,'Step 2'!D1538,'Support - Transition'!E:E,"2009 SCHOOL ALLOCATION FACTOR"))</f>
        <v>0</v>
      </c>
      <c r="Q1538" s="126">
        <f>IF(E1538="Y",VLOOKUP(D1538,'Support - Unit Adjustments'!F:G,2,FALSE),0)</f>
        <v>0</v>
      </c>
      <c r="R1538" s="155">
        <f t="shared" si="459"/>
        <v>0</v>
      </c>
      <c r="S1538" s="47">
        <f t="shared" si="458"/>
        <v>0</v>
      </c>
      <c r="T1538" s="151">
        <f t="shared" ref="T1538:T1601" si="462">ROUND(+M1538-O1538-S1538,2)</f>
        <v>266198</v>
      </c>
      <c r="U1538" s="151">
        <f t="shared" ref="U1538:U1601" si="463">IF(B1538="0",SUMIFS(O:O,A:A,A1538)+SUMIFS(S:S,A:A,A1538)+SUMIFS(T:T,A:A,A1538),0)</f>
        <v>0</v>
      </c>
      <c r="V1538" s="139">
        <f t="shared" ref="V1538:V1601" si="464">IF(B1538="0",U1538-L1538,0)</f>
        <v>0</v>
      </c>
      <c r="W1538" s="152">
        <f t="shared" si="448"/>
        <v>266198</v>
      </c>
      <c r="X1538" s="127" t="str">
        <f t="shared" ref="X1538:X1601" si="465">IF(B1538="0",SUMIFS(O:O,A:A,A1538)+SUMIFS(S:S,A:A,A1538)+SUMIFS(W:W,A:A,A1538)-L1538,"")</f>
        <v/>
      </c>
      <c r="Y1538" s="207">
        <f t="shared" si="449"/>
        <v>266198</v>
      </c>
      <c r="Z1538" s="139">
        <f t="shared" si="450"/>
        <v>266198</v>
      </c>
      <c r="AA1538" s="139">
        <f t="shared" si="451"/>
        <v>0</v>
      </c>
      <c r="AC1538" s="47">
        <f t="shared" si="452"/>
        <v>133099</v>
      </c>
      <c r="AD1538" s="47">
        <f t="shared" si="453"/>
        <v>133099</v>
      </c>
      <c r="AE1538" s="47">
        <f t="shared" si="454"/>
        <v>0</v>
      </c>
      <c r="AG1538" s="47">
        <f t="shared" si="455"/>
        <v>133099</v>
      </c>
      <c r="AH1538" s="47">
        <f t="shared" si="456"/>
        <v>133099</v>
      </c>
      <c r="AI1538" s="208">
        <f t="shared" si="457"/>
        <v>0</v>
      </c>
    </row>
    <row r="1539" spans="1:35">
      <c r="A1539" t="s">
        <v>2133</v>
      </c>
      <c r="B1539" t="s">
        <v>3170</v>
      </c>
      <c r="C1539" t="s">
        <v>2820</v>
      </c>
      <c r="D1539" t="s">
        <v>4955</v>
      </c>
      <c r="F1539" t="s">
        <v>1151</v>
      </c>
      <c r="G1539" s="126">
        <f>SUMIFS('Support - Transition'!F:F,'Support - Transition'!B:B,'Step 2'!A1539,'Support - Transition'!C:C,'Step 2'!B1539,'Support - Transition'!D:D,'Step 2'!C1539,'Support - Transition'!E:E,"CIVIL")</f>
        <v>0</v>
      </c>
      <c r="H1539" s="126">
        <f>SUMIFS('Support - Transition'!F:F,'Support - Transition'!B:B,'Step 2'!A1539,'Support - Transition'!C:C,'Step 2'!B1539,'Support - Transition'!D:D,'Step 2'!C1539,'Support - Transition'!E:E,"FIRE")</f>
        <v>0</v>
      </c>
      <c r="I1539" s="126">
        <f>IF(B1539="0",SUMIFS('Support - Transition'!F:F,'Support - Transition'!J:J,'Step 2'!D1539,'Support - Transition'!E:E,"STATE UNIT"),SUMIFS('Support - Transition'!F:F,'Support - Transition'!J:J,'Step 2'!D1539))</f>
        <v>5.0327999999999998E-2</v>
      </c>
      <c r="J1539" s="126">
        <f>SUMIFS('Support - Unit Adjustments'!E:E,'Support - Unit Adjustments'!F:F,'Step 2'!D1539)</f>
        <v>0</v>
      </c>
      <c r="K1539" s="126">
        <f t="shared" si="460"/>
        <v>5.0327999999999998E-2</v>
      </c>
      <c r="L1539" s="174">
        <f>VLOOKUP(A1539,'Step 1'!$A:$E,4,FALSE)</f>
        <v>11858968</v>
      </c>
      <c r="M1539" s="47">
        <f t="shared" si="461"/>
        <v>596838</v>
      </c>
      <c r="N1539" s="177">
        <f>SUMIFS('Support - Transition'!G:G,'Support - Transition'!J:J,'Step 2'!D1539,'Support - Transition'!E:E,"2009 WELFARE ALLOCATION FACTOR")</f>
        <v>0</v>
      </c>
      <c r="O1539" s="152">
        <f t="shared" ref="O1539:O1602" si="466">ROUND(+N1539*M1539,0)</f>
        <v>0</v>
      </c>
      <c r="P1539" s="126">
        <f>IF(E1539="Y",0,SUMIFS('Support - Transition'!G:G,'Support - Transition'!J:J,'Step 2'!D1539,'Support - Transition'!E:E,"2009 SCHOOL ALLOCATION FACTOR"))</f>
        <v>0</v>
      </c>
      <c r="Q1539" s="126">
        <f>IF(E1539="Y",VLOOKUP(D1539,'Support - Unit Adjustments'!F:G,2,FALSE),0)</f>
        <v>0</v>
      </c>
      <c r="R1539" s="155">
        <f t="shared" si="459"/>
        <v>0</v>
      </c>
      <c r="S1539" s="47">
        <f t="shared" si="458"/>
        <v>0</v>
      </c>
      <c r="T1539" s="151">
        <f t="shared" si="462"/>
        <v>596838</v>
      </c>
      <c r="U1539" s="151">
        <f t="shared" si="463"/>
        <v>0</v>
      </c>
      <c r="V1539" s="139">
        <f t="shared" si="464"/>
        <v>0</v>
      </c>
      <c r="W1539" s="152">
        <f t="shared" ref="W1539:W1602" si="467">+T1539-V1539</f>
        <v>596838</v>
      </c>
      <c r="X1539" s="127" t="str">
        <f t="shared" si="465"/>
        <v/>
      </c>
      <c r="Y1539" s="207">
        <f t="shared" ref="Y1539:Y1602" si="468">W1539</f>
        <v>596838</v>
      </c>
      <c r="Z1539" s="139">
        <f t="shared" ref="Z1539:Z1602" si="469">IFERROR(IF(B1539="2",ROUND(Y1539*G1539/I1539,0),Y1539),0)</f>
        <v>596838</v>
      </c>
      <c r="AA1539" s="139">
        <f t="shared" ref="AA1539:AA1602" si="470">+Y1539-Z1539</f>
        <v>0</v>
      </c>
      <c r="AC1539" s="47">
        <f t="shared" ref="AC1539:AC1602" si="471">ROUND(Y1539/2,0)</f>
        <v>298419</v>
      </c>
      <c r="AD1539" s="47">
        <f t="shared" ref="AD1539:AD1602" si="472">ROUND(Z1539/2,0)</f>
        <v>298419</v>
      </c>
      <c r="AE1539" s="47">
        <f t="shared" ref="AE1539:AE1602" si="473">ROUND(AA1539/2,0)</f>
        <v>0</v>
      </c>
      <c r="AG1539" s="47">
        <f t="shared" ref="AG1539:AG1602" si="474">+Y1539-AC1539</f>
        <v>298419</v>
      </c>
      <c r="AH1539" s="47">
        <f t="shared" ref="AH1539:AH1602" si="475">+Z1539-AD1539</f>
        <v>298419</v>
      </c>
      <c r="AI1539" s="208">
        <f t="shared" ref="AI1539:AI1602" si="476">+AA1539-AE1539</f>
        <v>0</v>
      </c>
    </row>
    <row r="1540" spans="1:35">
      <c r="A1540" t="s">
        <v>2133</v>
      </c>
      <c r="B1540" t="s">
        <v>3170</v>
      </c>
      <c r="C1540" t="s">
        <v>4956</v>
      </c>
      <c r="D1540" t="s">
        <v>4957</v>
      </c>
      <c r="F1540" t="s">
        <v>4958</v>
      </c>
      <c r="G1540" s="126">
        <f>SUMIFS('Support - Transition'!F:F,'Support - Transition'!B:B,'Step 2'!A1540,'Support - Transition'!C:C,'Step 2'!B1540,'Support - Transition'!D:D,'Step 2'!C1540,'Support - Transition'!E:E,"CIVIL")</f>
        <v>0</v>
      </c>
      <c r="H1540" s="126">
        <f>SUMIFS('Support - Transition'!F:F,'Support - Transition'!B:B,'Step 2'!A1540,'Support - Transition'!C:C,'Step 2'!B1540,'Support - Transition'!D:D,'Step 2'!C1540,'Support - Transition'!E:E,"FIRE")</f>
        <v>0</v>
      </c>
      <c r="I1540" s="126">
        <f>IF(B1540="0",SUMIFS('Support - Transition'!F:F,'Support - Transition'!J:J,'Step 2'!D1540,'Support - Transition'!E:E,"STATE UNIT"),SUMIFS('Support - Transition'!F:F,'Support - Transition'!J:J,'Step 2'!D1540))</f>
        <v>0</v>
      </c>
      <c r="J1540" s="126">
        <f>SUMIFS('Support - Unit Adjustments'!E:E,'Support - Unit Adjustments'!F:F,'Step 2'!D1540)</f>
        <v>0</v>
      </c>
      <c r="K1540" s="126">
        <f t="shared" si="460"/>
        <v>0</v>
      </c>
      <c r="L1540" s="174">
        <f>VLOOKUP(A1540,'Step 1'!$A:$E,4,FALSE)</f>
        <v>11858968</v>
      </c>
      <c r="M1540" s="47">
        <f t="shared" si="461"/>
        <v>0</v>
      </c>
      <c r="N1540" s="177">
        <f>SUMIFS('Support - Transition'!G:G,'Support - Transition'!J:J,'Step 2'!D1540,'Support - Transition'!E:E,"2009 WELFARE ALLOCATION FACTOR")</f>
        <v>0</v>
      </c>
      <c r="O1540" s="152">
        <f t="shared" si="466"/>
        <v>0</v>
      </c>
      <c r="P1540" s="126">
        <f>IF(E1540="Y",0,SUMIFS('Support - Transition'!G:G,'Support - Transition'!J:J,'Step 2'!D1540,'Support - Transition'!E:E,"2009 SCHOOL ALLOCATION FACTOR"))</f>
        <v>0</v>
      </c>
      <c r="Q1540" s="126">
        <f>IF(E1540="Y",VLOOKUP(D1540,'Support - Unit Adjustments'!F:G,2,FALSE),0)</f>
        <v>0</v>
      </c>
      <c r="R1540" s="155">
        <f t="shared" si="459"/>
        <v>0</v>
      </c>
      <c r="S1540" s="47">
        <f t="shared" si="458"/>
        <v>0</v>
      </c>
      <c r="T1540" s="151">
        <f t="shared" si="462"/>
        <v>0</v>
      </c>
      <c r="U1540" s="151">
        <f t="shared" si="463"/>
        <v>0</v>
      </c>
      <c r="V1540" s="139">
        <f t="shared" si="464"/>
        <v>0</v>
      </c>
      <c r="W1540" s="152">
        <f t="shared" si="467"/>
        <v>0</v>
      </c>
      <c r="X1540" s="127" t="str">
        <f t="shared" si="465"/>
        <v/>
      </c>
      <c r="Y1540" s="207">
        <f t="shared" si="468"/>
        <v>0</v>
      </c>
      <c r="Z1540" s="139">
        <f t="shared" si="469"/>
        <v>0</v>
      </c>
      <c r="AA1540" s="139">
        <f t="shared" si="470"/>
        <v>0</v>
      </c>
      <c r="AC1540" s="47">
        <f t="shared" si="471"/>
        <v>0</v>
      </c>
      <c r="AD1540" s="47">
        <f t="shared" si="472"/>
        <v>0</v>
      </c>
      <c r="AE1540" s="47">
        <f t="shared" si="473"/>
        <v>0</v>
      </c>
      <c r="AG1540" s="47">
        <f t="shared" si="474"/>
        <v>0</v>
      </c>
      <c r="AH1540" s="47">
        <f t="shared" si="475"/>
        <v>0</v>
      </c>
      <c r="AI1540" s="208">
        <f t="shared" si="476"/>
        <v>0</v>
      </c>
    </row>
    <row r="1541" spans="1:35">
      <c r="A1541" t="s">
        <v>2133</v>
      </c>
      <c r="B1541" t="s">
        <v>3286</v>
      </c>
      <c r="C1541" t="s">
        <v>2210</v>
      </c>
      <c r="D1541" t="s">
        <v>4959</v>
      </c>
      <c r="F1541" t="s">
        <v>4960</v>
      </c>
      <c r="G1541" s="126">
        <f>SUMIFS('Support - Transition'!F:F,'Support - Transition'!B:B,'Step 2'!A1541,'Support - Transition'!C:C,'Step 2'!B1541,'Support - Transition'!D:D,'Step 2'!C1541,'Support - Transition'!E:E,"CIVIL")</f>
        <v>0</v>
      </c>
      <c r="H1541" s="126">
        <f>SUMIFS('Support - Transition'!F:F,'Support - Transition'!B:B,'Step 2'!A1541,'Support - Transition'!C:C,'Step 2'!B1541,'Support - Transition'!D:D,'Step 2'!C1541,'Support - Transition'!E:E,"FIRE")</f>
        <v>0</v>
      </c>
      <c r="I1541" s="126">
        <f>IF(B1541="0",SUMIFS('Support - Transition'!F:F,'Support - Transition'!J:J,'Step 2'!D1541,'Support - Transition'!E:E,"STATE UNIT"),SUMIFS('Support - Transition'!F:F,'Support - Transition'!J:J,'Step 2'!D1541))</f>
        <v>0</v>
      </c>
      <c r="J1541" s="126">
        <f>SUMIFS('Support - Unit Adjustments'!E:E,'Support - Unit Adjustments'!F:F,'Step 2'!D1541)</f>
        <v>0</v>
      </c>
      <c r="K1541" s="126">
        <f t="shared" si="460"/>
        <v>0</v>
      </c>
      <c r="L1541" s="174">
        <f>VLOOKUP(A1541,'Step 1'!$A:$E,4,FALSE)</f>
        <v>11858968</v>
      </c>
      <c r="M1541" s="47">
        <f t="shared" si="461"/>
        <v>0</v>
      </c>
      <c r="N1541" s="177">
        <f>SUMIFS('Support - Transition'!G:G,'Support - Transition'!J:J,'Step 2'!D1541,'Support - Transition'!E:E,"2009 WELFARE ALLOCATION FACTOR")</f>
        <v>0</v>
      </c>
      <c r="O1541" s="152">
        <f t="shared" si="466"/>
        <v>0</v>
      </c>
      <c r="P1541" s="126">
        <f>IF(E1541="Y",0,SUMIFS('Support - Transition'!G:G,'Support - Transition'!J:J,'Step 2'!D1541,'Support - Transition'!E:E,"2009 SCHOOL ALLOCATION FACTOR"))</f>
        <v>0</v>
      </c>
      <c r="Q1541" s="126">
        <f>IF(E1541="Y",VLOOKUP(D1541,'Support - Unit Adjustments'!F:G,2,FALSE),0)</f>
        <v>0</v>
      </c>
      <c r="R1541" s="155">
        <f t="shared" si="459"/>
        <v>0</v>
      </c>
      <c r="S1541" s="47">
        <f t="shared" si="458"/>
        <v>0</v>
      </c>
      <c r="T1541" s="151">
        <f t="shared" si="462"/>
        <v>0</v>
      </c>
      <c r="U1541" s="151">
        <f t="shared" si="463"/>
        <v>0</v>
      </c>
      <c r="V1541" s="139">
        <f t="shared" si="464"/>
        <v>0</v>
      </c>
      <c r="W1541" s="152">
        <f t="shared" si="467"/>
        <v>0</v>
      </c>
      <c r="X1541" s="127" t="str">
        <f t="shared" si="465"/>
        <v/>
      </c>
      <c r="Y1541" s="207">
        <f t="shared" si="468"/>
        <v>0</v>
      </c>
      <c r="Z1541" s="139">
        <f t="shared" si="469"/>
        <v>0</v>
      </c>
      <c r="AA1541" s="139">
        <f t="shared" si="470"/>
        <v>0</v>
      </c>
      <c r="AC1541" s="47">
        <f t="shared" si="471"/>
        <v>0</v>
      </c>
      <c r="AD1541" s="47">
        <f t="shared" si="472"/>
        <v>0</v>
      </c>
      <c r="AE1541" s="47">
        <f t="shared" si="473"/>
        <v>0</v>
      </c>
      <c r="AG1541" s="47">
        <f t="shared" si="474"/>
        <v>0</v>
      </c>
      <c r="AH1541" s="47">
        <f t="shared" si="475"/>
        <v>0</v>
      </c>
      <c r="AI1541" s="208">
        <f t="shared" si="476"/>
        <v>0</v>
      </c>
    </row>
    <row r="1542" spans="1:35">
      <c r="A1542" t="s">
        <v>2133</v>
      </c>
      <c r="B1542" t="s">
        <v>3286</v>
      </c>
      <c r="C1542" t="s">
        <v>4125</v>
      </c>
      <c r="D1542" t="s">
        <v>4961</v>
      </c>
      <c r="F1542" t="s">
        <v>4261</v>
      </c>
      <c r="G1542" s="126">
        <f>SUMIFS('Support - Transition'!F:F,'Support - Transition'!B:B,'Step 2'!A1542,'Support - Transition'!C:C,'Step 2'!B1542,'Support - Transition'!D:D,'Step 2'!C1542,'Support - Transition'!E:E,"CIVIL")</f>
        <v>0</v>
      </c>
      <c r="H1542" s="126">
        <f>SUMIFS('Support - Transition'!F:F,'Support - Transition'!B:B,'Step 2'!A1542,'Support - Transition'!C:C,'Step 2'!B1542,'Support - Transition'!D:D,'Step 2'!C1542,'Support - Transition'!E:E,"FIRE")</f>
        <v>0</v>
      </c>
      <c r="I1542" s="126">
        <f>IF(B1542="0",SUMIFS('Support - Transition'!F:F,'Support - Transition'!J:J,'Step 2'!D1542,'Support - Transition'!E:E,"STATE UNIT"),SUMIFS('Support - Transition'!F:F,'Support - Transition'!J:J,'Step 2'!D1542))</f>
        <v>0</v>
      </c>
      <c r="J1542" s="126">
        <f>SUMIFS('Support - Unit Adjustments'!E:E,'Support - Unit Adjustments'!F:F,'Step 2'!D1542)</f>
        <v>0</v>
      </c>
      <c r="K1542" s="126">
        <f t="shared" si="460"/>
        <v>0</v>
      </c>
      <c r="L1542" s="174">
        <f>VLOOKUP(A1542,'Step 1'!$A:$E,4,FALSE)</f>
        <v>11858968</v>
      </c>
      <c r="M1542" s="47">
        <f t="shared" si="461"/>
        <v>0</v>
      </c>
      <c r="N1542" s="177">
        <f>SUMIFS('Support - Transition'!G:G,'Support - Transition'!J:J,'Step 2'!D1542,'Support - Transition'!E:E,"2009 WELFARE ALLOCATION FACTOR")</f>
        <v>0</v>
      </c>
      <c r="O1542" s="152">
        <f t="shared" si="466"/>
        <v>0</v>
      </c>
      <c r="P1542" s="126">
        <f>IF(E1542="Y",0,SUMIFS('Support - Transition'!G:G,'Support - Transition'!J:J,'Step 2'!D1542,'Support - Transition'!E:E,"2009 SCHOOL ALLOCATION FACTOR"))</f>
        <v>0</v>
      </c>
      <c r="Q1542" s="126">
        <f>IF(E1542="Y",VLOOKUP(D1542,'Support - Unit Adjustments'!F:G,2,FALSE),0)</f>
        <v>0</v>
      </c>
      <c r="R1542" s="155">
        <f t="shared" si="459"/>
        <v>0</v>
      </c>
      <c r="S1542" s="47">
        <f t="shared" si="458"/>
        <v>0</v>
      </c>
      <c r="T1542" s="151">
        <f t="shared" si="462"/>
        <v>0</v>
      </c>
      <c r="U1542" s="151">
        <f t="shared" si="463"/>
        <v>0</v>
      </c>
      <c r="V1542" s="139">
        <f t="shared" si="464"/>
        <v>0</v>
      </c>
      <c r="W1542" s="152">
        <f t="shared" si="467"/>
        <v>0</v>
      </c>
      <c r="X1542" s="127" t="str">
        <f t="shared" si="465"/>
        <v/>
      </c>
      <c r="Y1542" s="207">
        <f t="shared" si="468"/>
        <v>0</v>
      </c>
      <c r="Z1542" s="139">
        <f t="shared" si="469"/>
        <v>0</v>
      </c>
      <c r="AA1542" s="139">
        <f t="shared" si="470"/>
        <v>0</v>
      </c>
      <c r="AC1542" s="47">
        <f t="shared" si="471"/>
        <v>0</v>
      </c>
      <c r="AD1542" s="47">
        <f t="shared" si="472"/>
        <v>0</v>
      </c>
      <c r="AE1542" s="47">
        <f t="shared" si="473"/>
        <v>0</v>
      </c>
      <c r="AG1542" s="47">
        <f t="shared" si="474"/>
        <v>0</v>
      </c>
      <c r="AH1542" s="47">
        <f t="shared" si="475"/>
        <v>0</v>
      </c>
      <c r="AI1542" s="208">
        <f t="shared" si="476"/>
        <v>0</v>
      </c>
    </row>
    <row r="1543" spans="1:35">
      <c r="A1543" t="s">
        <v>2134</v>
      </c>
      <c r="B1543" s="48" t="s">
        <v>6274</v>
      </c>
      <c r="C1543" t="s">
        <v>2187</v>
      </c>
      <c r="D1543" t="str">
        <f>A1543&amp;B1543&amp;C1543</f>
        <v>5000000</v>
      </c>
      <c r="F1543" t="s">
        <v>6324</v>
      </c>
      <c r="G1543" s="126">
        <f>SUMIFS('Support - Transition'!F:F,'Support - Transition'!B:B,'Step 2'!A1543,'Support - Transition'!C:C,'Step 2'!B1543,'Support - Transition'!D:D,'Step 2'!C1543,'Support - Transition'!E:E,"CIVIL")</f>
        <v>0</v>
      </c>
      <c r="H1543" s="126">
        <f>SUMIFS('Support - Transition'!F:F,'Support - Transition'!B:B,'Step 2'!A1543,'Support - Transition'!C:C,'Step 2'!B1543,'Support - Transition'!D:D,'Step 2'!C1543,'Support - Transition'!E:E,"FIRE")</f>
        <v>0</v>
      </c>
      <c r="I1543" s="126">
        <f>IF(B1543="0",SUMIFS('Support - Transition'!F:F,'Support - Transition'!J:J,'Step 2'!D1543,'Support - Transition'!E:E,"STATE UNIT"),SUMIFS('Support - Transition'!F:F,'Support - Transition'!J:J,'Step 2'!D1543))</f>
        <v>1.204E-3</v>
      </c>
      <c r="J1543" s="126">
        <f>SUMIFS('Support - Unit Adjustments'!E:E,'Support - Unit Adjustments'!F:F,'Step 2'!D1543)</f>
        <v>0</v>
      </c>
      <c r="K1543" s="126">
        <f t="shared" si="460"/>
        <v>1.204E-3</v>
      </c>
      <c r="L1543" s="174">
        <f>VLOOKUP(A1543,'Step 1'!$A:$E,4,FALSE)</f>
        <v>526148</v>
      </c>
      <c r="M1543" s="47">
        <f t="shared" si="461"/>
        <v>633</v>
      </c>
      <c r="N1543" s="177">
        <f>SUMIFS('Support - Transition'!G:G,'Support - Transition'!J:J,'Step 2'!D1543,'Support - Transition'!E:E,"2009 WELFARE ALLOCATION FACTOR")</f>
        <v>0</v>
      </c>
      <c r="O1543" s="152">
        <f t="shared" si="466"/>
        <v>0</v>
      </c>
      <c r="P1543" s="126">
        <f>IF(E1543="Y",0,SUMIFS('Support - Transition'!G:G,'Support - Transition'!J:J,'Step 2'!D1543,'Support - Transition'!E:E,"2009 SCHOOL ALLOCATION FACTOR"))</f>
        <v>0</v>
      </c>
      <c r="Q1543" s="126">
        <f>IF(E1543="Y",VLOOKUP(D1543,'Support - Unit Adjustments'!F:G,2,FALSE),0)</f>
        <v>0</v>
      </c>
      <c r="R1543" s="155">
        <f t="shared" si="459"/>
        <v>0</v>
      </c>
      <c r="S1543" s="47">
        <f t="shared" si="458"/>
        <v>0</v>
      </c>
      <c r="T1543" s="151">
        <f t="shared" si="462"/>
        <v>633</v>
      </c>
      <c r="U1543" s="151">
        <f t="shared" si="463"/>
        <v>526149</v>
      </c>
      <c r="V1543" s="139">
        <f t="shared" si="464"/>
        <v>1</v>
      </c>
      <c r="W1543" s="152">
        <f t="shared" si="467"/>
        <v>632</v>
      </c>
      <c r="X1543" s="127">
        <f t="shared" si="465"/>
        <v>0</v>
      </c>
      <c r="Y1543" s="207">
        <f t="shared" si="468"/>
        <v>632</v>
      </c>
      <c r="Z1543" s="139">
        <f t="shared" si="469"/>
        <v>632</v>
      </c>
      <c r="AA1543" s="139">
        <f t="shared" si="470"/>
        <v>0</v>
      </c>
      <c r="AC1543" s="47">
        <f t="shared" si="471"/>
        <v>316</v>
      </c>
      <c r="AD1543" s="47">
        <f t="shared" si="472"/>
        <v>316</v>
      </c>
      <c r="AE1543" s="47">
        <f t="shared" si="473"/>
        <v>0</v>
      </c>
      <c r="AG1543" s="47">
        <f t="shared" si="474"/>
        <v>316</v>
      </c>
      <c r="AH1543" s="47">
        <f t="shared" si="475"/>
        <v>316</v>
      </c>
      <c r="AI1543" s="208">
        <f t="shared" si="476"/>
        <v>0</v>
      </c>
    </row>
    <row r="1544" spans="1:35">
      <c r="A1544" t="s">
        <v>2134</v>
      </c>
      <c r="B1544" t="s">
        <v>3140</v>
      </c>
      <c r="C1544" t="s">
        <v>2187</v>
      </c>
      <c r="D1544" t="s">
        <v>4962</v>
      </c>
      <c r="F1544" t="s">
        <v>1190</v>
      </c>
      <c r="G1544" s="126">
        <f>SUMIFS('Support - Transition'!F:F,'Support - Transition'!B:B,'Step 2'!A1544,'Support - Transition'!C:C,'Step 2'!B1544,'Support - Transition'!D:D,'Step 2'!C1544,'Support - Transition'!E:E,"CIVIL")</f>
        <v>0</v>
      </c>
      <c r="H1544" s="126">
        <f>SUMIFS('Support - Transition'!F:F,'Support - Transition'!B:B,'Step 2'!A1544,'Support - Transition'!C:C,'Step 2'!B1544,'Support - Transition'!D:D,'Step 2'!C1544,'Support - Transition'!E:E,"FIRE")</f>
        <v>0</v>
      </c>
      <c r="I1544" s="126">
        <f>IF(B1544="0",SUMIFS('Support - Transition'!F:F,'Support - Transition'!J:J,'Step 2'!D1544,'Support - Transition'!E:E,"STATE UNIT"),SUMIFS('Support - Transition'!F:F,'Support - Transition'!J:J,'Step 2'!D1544))</f>
        <v>0.17135500000000001</v>
      </c>
      <c r="J1544" s="126">
        <f>SUMIFS('Support - Unit Adjustments'!E:E,'Support - Unit Adjustments'!F:F,'Step 2'!D1544)</f>
        <v>0</v>
      </c>
      <c r="K1544" s="126">
        <f t="shared" si="460"/>
        <v>0.17135500000000001</v>
      </c>
      <c r="L1544" s="174">
        <f>VLOOKUP(A1544,'Step 1'!$A:$E,4,FALSE)</f>
        <v>526148</v>
      </c>
      <c r="M1544" s="47">
        <f t="shared" si="461"/>
        <v>90158</v>
      </c>
      <c r="N1544" s="177">
        <f>SUMIFS('Support - Transition'!G:G,'Support - Transition'!J:J,'Step 2'!D1544,'Support - Transition'!E:E,"2009 WELFARE ALLOCATION FACTOR")</f>
        <v>0.34275800000000001</v>
      </c>
      <c r="O1544" s="152">
        <f t="shared" si="466"/>
        <v>30902</v>
      </c>
      <c r="P1544" s="126">
        <f>IF(E1544="Y",0,SUMIFS('Support - Transition'!G:G,'Support - Transition'!J:J,'Step 2'!D1544,'Support - Transition'!E:E,"2009 SCHOOL ALLOCATION FACTOR"))</f>
        <v>0</v>
      </c>
      <c r="Q1544" s="126">
        <f>IF(E1544="Y",VLOOKUP(D1544,'Support - Unit Adjustments'!F:G,2,FALSE),0)</f>
        <v>0</v>
      </c>
      <c r="R1544" s="155">
        <f t="shared" si="459"/>
        <v>0</v>
      </c>
      <c r="S1544" s="47">
        <f t="shared" ref="S1544:S1607" si="477">ROUND(+R1544*M1544,0)</f>
        <v>0</v>
      </c>
      <c r="T1544" s="151">
        <f t="shared" si="462"/>
        <v>59256</v>
      </c>
      <c r="U1544" s="151">
        <f t="shared" si="463"/>
        <v>0</v>
      </c>
      <c r="V1544" s="139">
        <f t="shared" si="464"/>
        <v>0</v>
      </c>
      <c r="W1544" s="152">
        <f t="shared" si="467"/>
        <v>59256</v>
      </c>
      <c r="X1544" s="127" t="str">
        <f t="shared" si="465"/>
        <v/>
      </c>
      <c r="Y1544" s="207">
        <f t="shared" si="468"/>
        <v>59256</v>
      </c>
      <c r="Z1544" s="139">
        <f t="shared" si="469"/>
        <v>59256</v>
      </c>
      <c r="AA1544" s="139">
        <f t="shared" si="470"/>
        <v>0</v>
      </c>
      <c r="AC1544" s="47">
        <f t="shared" si="471"/>
        <v>29628</v>
      </c>
      <c r="AD1544" s="47">
        <f t="shared" si="472"/>
        <v>29628</v>
      </c>
      <c r="AE1544" s="47">
        <f t="shared" si="473"/>
        <v>0</v>
      </c>
      <c r="AG1544" s="47">
        <f t="shared" si="474"/>
        <v>29628</v>
      </c>
      <c r="AH1544" s="47">
        <f t="shared" si="475"/>
        <v>29628</v>
      </c>
      <c r="AI1544" s="208">
        <f t="shared" si="476"/>
        <v>0</v>
      </c>
    </row>
    <row r="1545" spans="1:35">
      <c r="A1545" t="s">
        <v>2134</v>
      </c>
      <c r="B1545" t="s">
        <v>3142</v>
      </c>
      <c r="C1545" t="s">
        <v>2188</v>
      </c>
      <c r="D1545" t="s">
        <v>4963</v>
      </c>
      <c r="F1545" t="s">
        <v>1191</v>
      </c>
      <c r="G1545" s="126">
        <f>SUMIFS('Support - Transition'!F:F,'Support - Transition'!B:B,'Step 2'!A1545,'Support - Transition'!C:C,'Step 2'!B1545,'Support - Transition'!D:D,'Step 2'!C1545,'Support - Transition'!E:E,"CIVIL")</f>
        <v>1.5900000000000001E-3</v>
      </c>
      <c r="H1545" s="126">
        <f>SUMIFS('Support - Transition'!F:F,'Support - Transition'!B:B,'Step 2'!A1545,'Support - Transition'!C:C,'Step 2'!B1545,'Support - Transition'!D:D,'Step 2'!C1545,'Support - Transition'!E:E,"FIRE")</f>
        <v>1.5899999999999999E-4</v>
      </c>
      <c r="I1545" s="126">
        <f>IF(B1545="0",SUMIFS('Support - Transition'!F:F,'Support - Transition'!J:J,'Step 2'!D1545,'Support - Transition'!E:E,"STATE UNIT"),SUMIFS('Support - Transition'!F:F,'Support - Transition'!J:J,'Step 2'!D1545))</f>
        <v>1.7490000000000001E-3</v>
      </c>
      <c r="J1545" s="126">
        <f>SUMIFS('Support - Unit Adjustments'!E:E,'Support - Unit Adjustments'!F:F,'Step 2'!D1545)</f>
        <v>0</v>
      </c>
      <c r="K1545" s="126">
        <f t="shared" si="460"/>
        <v>1.7490000000000001E-3</v>
      </c>
      <c r="L1545" s="174">
        <f>VLOOKUP(A1545,'Step 1'!$A:$E,4,FALSE)</f>
        <v>526148</v>
      </c>
      <c r="M1545" s="47">
        <f t="shared" si="461"/>
        <v>920</v>
      </c>
      <c r="N1545" s="177">
        <f>SUMIFS('Support - Transition'!G:G,'Support - Transition'!J:J,'Step 2'!D1545,'Support - Transition'!E:E,"2009 WELFARE ALLOCATION FACTOR")</f>
        <v>0</v>
      </c>
      <c r="O1545" s="152">
        <f t="shared" si="466"/>
        <v>0</v>
      </c>
      <c r="P1545" s="126">
        <f>IF(E1545="Y",0,SUMIFS('Support - Transition'!G:G,'Support - Transition'!J:J,'Step 2'!D1545,'Support - Transition'!E:E,"2009 SCHOOL ALLOCATION FACTOR"))</f>
        <v>0</v>
      </c>
      <c r="Q1545" s="126">
        <f>IF(E1545="Y",VLOOKUP(D1545,'Support - Unit Adjustments'!F:G,2,FALSE),0)</f>
        <v>0</v>
      </c>
      <c r="R1545" s="155">
        <f t="shared" ref="R1545:R1608" si="478">+P1545+Q1545</f>
        <v>0</v>
      </c>
      <c r="S1545" s="47">
        <f t="shared" si="477"/>
        <v>0</v>
      </c>
      <c r="T1545" s="151">
        <f t="shared" si="462"/>
        <v>920</v>
      </c>
      <c r="U1545" s="151">
        <f t="shared" si="463"/>
        <v>0</v>
      </c>
      <c r="V1545" s="139">
        <f t="shared" si="464"/>
        <v>0</v>
      </c>
      <c r="W1545" s="152">
        <f t="shared" si="467"/>
        <v>920</v>
      </c>
      <c r="X1545" s="127" t="str">
        <f t="shared" si="465"/>
        <v/>
      </c>
      <c r="Y1545" s="207">
        <f t="shared" si="468"/>
        <v>920</v>
      </c>
      <c r="Z1545" s="139">
        <f t="shared" si="469"/>
        <v>836</v>
      </c>
      <c r="AA1545" s="139">
        <f t="shared" si="470"/>
        <v>84</v>
      </c>
      <c r="AC1545" s="47">
        <f t="shared" si="471"/>
        <v>460</v>
      </c>
      <c r="AD1545" s="47">
        <f t="shared" si="472"/>
        <v>418</v>
      </c>
      <c r="AE1545" s="47">
        <f t="shared" si="473"/>
        <v>42</v>
      </c>
      <c r="AG1545" s="47">
        <f t="shared" si="474"/>
        <v>460</v>
      </c>
      <c r="AH1545" s="47">
        <f t="shared" si="475"/>
        <v>418</v>
      </c>
      <c r="AI1545" s="208">
        <f t="shared" si="476"/>
        <v>42</v>
      </c>
    </row>
    <row r="1546" spans="1:35">
      <c r="A1546" t="s">
        <v>2134</v>
      </c>
      <c r="B1546" t="s">
        <v>3142</v>
      </c>
      <c r="C1546" t="s">
        <v>2189</v>
      </c>
      <c r="D1546" t="s">
        <v>4964</v>
      </c>
      <c r="F1546" t="s">
        <v>107</v>
      </c>
      <c r="G1546" s="126">
        <f>SUMIFS('Support - Transition'!F:F,'Support - Transition'!B:B,'Step 2'!A1546,'Support - Transition'!C:C,'Step 2'!B1546,'Support - Transition'!D:D,'Step 2'!C1546,'Support - Transition'!E:E,"CIVIL")</f>
        <v>6.8970000000000004E-3</v>
      </c>
      <c r="H1546" s="126">
        <f>SUMIFS('Support - Transition'!F:F,'Support - Transition'!B:B,'Step 2'!A1546,'Support - Transition'!C:C,'Step 2'!B1546,'Support - Transition'!D:D,'Step 2'!C1546,'Support - Transition'!E:E,"FIRE")</f>
        <v>7.2199999999999999E-4</v>
      </c>
      <c r="I1546" s="126">
        <f>IF(B1546="0",SUMIFS('Support - Transition'!F:F,'Support - Transition'!J:J,'Step 2'!D1546,'Support - Transition'!E:E,"STATE UNIT"),SUMIFS('Support - Transition'!F:F,'Support - Transition'!J:J,'Step 2'!D1546))</f>
        <v>7.6190000000000008E-3</v>
      </c>
      <c r="J1546" s="126">
        <f>SUMIFS('Support - Unit Adjustments'!E:E,'Support - Unit Adjustments'!F:F,'Step 2'!D1546)</f>
        <v>0</v>
      </c>
      <c r="K1546" s="126">
        <f t="shared" si="460"/>
        <v>7.6190000000000008E-3</v>
      </c>
      <c r="L1546" s="174">
        <f>VLOOKUP(A1546,'Step 1'!$A:$E,4,FALSE)</f>
        <v>526148</v>
      </c>
      <c r="M1546" s="47">
        <f t="shared" si="461"/>
        <v>4009</v>
      </c>
      <c r="N1546" s="177">
        <f>SUMIFS('Support - Transition'!G:G,'Support - Transition'!J:J,'Step 2'!D1546,'Support - Transition'!E:E,"2009 WELFARE ALLOCATION FACTOR")</f>
        <v>0</v>
      </c>
      <c r="O1546" s="152">
        <f t="shared" si="466"/>
        <v>0</v>
      </c>
      <c r="P1546" s="126">
        <f>IF(E1546="Y",0,SUMIFS('Support - Transition'!G:G,'Support - Transition'!J:J,'Step 2'!D1546,'Support - Transition'!E:E,"2009 SCHOOL ALLOCATION FACTOR"))</f>
        <v>0</v>
      </c>
      <c r="Q1546" s="126">
        <f>IF(E1546="Y",VLOOKUP(D1546,'Support - Unit Adjustments'!F:G,2,FALSE),0)</f>
        <v>0</v>
      </c>
      <c r="R1546" s="155">
        <f t="shared" si="478"/>
        <v>0</v>
      </c>
      <c r="S1546" s="47">
        <f t="shared" si="477"/>
        <v>0</v>
      </c>
      <c r="T1546" s="151">
        <f t="shared" si="462"/>
        <v>4009</v>
      </c>
      <c r="U1546" s="151">
        <f t="shared" si="463"/>
        <v>0</v>
      </c>
      <c r="V1546" s="139">
        <f t="shared" si="464"/>
        <v>0</v>
      </c>
      <c r="W1546" s="152">
        <f t="shared" si="467"/>
        <v>4009</v>
      </c>
      <c r="X1546" s="127" t="str">
        <f t="shared" si="465"/>
        <v/>
      </c>
      <c r="Y1546" s="207">
        <f t="shared" si="468"/>
        <v>4009</v>
      </c>
      <c r="Z1546" s="139">
        <f t="shared" si="469"/>
        <v>3629</v>
      </c>
      <c r="AA1546" s="139">
        <f t="shared" si="470"/>
        <v>380</v>
      </c>
      <c r="AC1546" s="47">
        <f t="shared" si="471"/>
        <v>2005</v>
      </c>
      <c r="AD1546" s="47">
        <f t="shared" si="472"/>
        <v>1815</v>
      </c>
      <c r="AE1546" s="47">
        <f t="shared" si="473"/>
        <v>190</v>
      </c>
      <c r="AG1546" s="47">
        <f t="shared" si="474"/>
        <v>2004</v>
      </c>
      <c r="AH1546" s="47">
        <f t="shared" si="475"/>
        <v>1814</v>
      </c>
      <c r="AI1546" s="208">
        <f t="shared" si="476"/>
        <v>190</v>
      </c>
    </row>
    <row r="1547" spans="1:35">
      <c r="A1547" t="s">
        <v>2134</v>
      </c>
      <c r="B1547" t="s">
        <v>3142</v>
      </c>
      <c r="C1547" t="s">
        <v>2190</v>
      </c>
      <c r="D1547" t="s">
        <v>4965</v>
      </c>
      <c r="F1547" t="s">
        <v>85</v>
      </c>
      <c r="G1547" s="126">
        <f>SUMIFS('Support - Transition'!F:F,'Support - Transition'!B:B,'Step 2'!A1547,'Support - Transition'!C:C,'Step 2'!B1547,'Support - Transition'!D:D,'Step 2'!C1547,'Support - Transition'!E:E,"CIVIL")</f>
        <v>3.6670000000000001E-3</v>
      </c>
      <c r="H1547" s="126">
        <f>SUMIFS('Support - Transition'!F:F,'Support - Transition'!B:B,'Step 2'!A1547,'Support - Transition'!C:C,'Step 2'!B1547,'Support - Transition'!D:D,'Step 2'!C1547,'Support - Transition'!E:E,"FIRE")</f>
        <v>4.8000000000000001E-5</v>
      </c>
      <c r="I1547" s="126">
        <f>IF(B1547="0",SUMIFS('Support - Transition'!F:F,'Support - Transition'!J:J,'Step 2'!D1547,'Support - Transition'!E:E,"STATE UNIT"),SUMIFS('Support - Transition'!F:F,'Support - Transition'!J:J,'Step 2'!D1547))</f>
        <v>3.715E-3</v>
      </c>
      <c r="J1547" s="126">
        <f>SUMIFS('Support - Unit Adjustments'!E:E,'Support - Unit Adjustments'!F:F,'Step 2'!D1547)</f>
        <v>0</v>
      </c>
      <c r="K1547" s="126">
        <f t="shared" si="460"/>
        <v>3.715E-3</v>
      </c>
      <c r="L1547" s="174">
        <f>VLOOKUP(A1547,'Step 1'!$A:$E,4,FALSE)</f>
        <v>526148</v>
      </c>
      <c r="M1547" s="47">
        <f t="shared" si="461"/>
        <v>1955</v>
      </c>
      <c r="N1547" s="177">
        <f>SUMIFS('Support - Transition'!G:G,'Support - Transition'!J:J,'Step 2'!D1547,'Support - Transition'!E:E,"2009 WELFARE ALLOCATION FACTOR")</f>
        <v>0</v>
      </c>
      <c r="O1547" s="152">
        <f t="shared" si="466"/>
        <v>0</v>
      </c>
      <c r="P1547" s="126">
        <f>IF(E1547="Y",0,SUMIFS('Support - Transition'!G:G,'Support - Transition'!J:J,'Step 2'!D1547,'Support - Transition'!E:E,"2009 SCHOOL ALLOCATION FACTOR"))</f>
        <v>0</v>
      </c>
      <c r="Q1547" s="126">
        <f>IF(E1547="Y",VLOOKUP(D1547,'Support - Unit Adjustments'!F:G,2,FALSE),0)</f>
        <v>0</v>
      </c>
      <c r="R1547" s="155">
        <f t="shared" si="478"/>
        <v>0</v>
      </c>
      <c r="S1547" s="47">
        <f t="shared" si="477"/>
        <v>0</v>
      </c>
      <c r="T1547" s="151">
        <f t="shared" si="462"/>
        <v>1955</v>
      </c>
      <c r="U1547" s="151">
        <f t="shared" si="463"/>
        <v>0</v>
      </c>
      <c r="V1547" s="139">
        <f t="shared" si="464"/>
        <v>0</v>
      </c>
      <c r="W1547" s="152">
        <f t="shared" si="467"/>
        <v>1955</v>
      </c>
      <c r="X1547" s="127" t="str">
        <f t="shared" si="465"/>
        <v/>
      </c>
      <c r="Y1547" s="207">
        <f t="shared" si="468"/>
        <v>1955</v>
      </c>
      <c r="Z1547" s="139">
        <f t="shared" si="469"/>
        <v>1930</v>
      </c>
      <c r="AA1547" s="139">
        <f t="shared" si="470"/>
        <v>25</v>
      </c>
      <c r="AC1547" s="47">
        <f t="shared" si="471"/>
        <v>978</v>
      </c>
      <c r="AD1547" s="47">
        <f t="shared" si="472"/>
        <v>965</v>
      </c>
      <c r="AE1547" s="47">
        <f t="shared" si="473"/>
        <v>13</v>
      </c>
      <c r="AG1547" s="47">
        <f t="shared" si="474"/>
        <v>977</v>
      </c>
      <c r="AH1547" s="47">
        <f t="shared" si="475"/>
        <v>965</v>
      </c>
      <c r="AI1547" s="208">
        <f t="shared" si="476"/>
        <v>12</v>
      </c>
    </row>
    <row r="1548" spans="1:35">
      <c r="A1548" t="s">
        <v>2134</v>
      </c>
      <c r="B1548" t="s">
        <v>3142</v>
      </c>
      <c r="C1548" t="s">
        <v>2191</v>
      </c>
      <c r="D1548" t="s">
        <v>4966</v>
      </c>
      <c r="F1548" t="s">
        <v>593</v>
      </c>
      <c r="G1548" s="126">
        <f>SUMIFS('Support - Transition'!F:F,'Support - Transition'!B:B,'Step 2'!A1548,'Support - Transition'!C:C,'Step 2'!B1548,'Support - Transition'!D:D,'Step 2'!C1548,'Support - Transition'!E:E,"CIVIL")</f>
        <v>9.01E-4</v>
      </c>
      <c r="H1548" s="126">
        <f>SUMIFS('Support - Transition'!F:F,'Support - Transition'!B:B,'Step 2'!A1548,'Support - Transition'!C:C,'Step 2'!B1548,'Support - Transition'!D:D,'Step 2'!C1548,'Support - Transition'!E:E,"FIRE")</f>
        <v>7.4700000000000005E-4</v>
      </c>
      <c r="I1548" s="126">
        <f>IF(B1548="0",SUMIFS('Support - Transition'!F:F,'Support - Transition'!J:J,'Step 2'!D1548,'Support - Transition'!E:E,"STATE UNIT"),SUMIFS('Support - Transition'!F:F,'Support - Transition'!J:J,'Step 2'!D1548))</f>
        <v>1.6480000000000002E-3</v>
      </c>
      <c r="J1548" s="126">
        <f>SUMIFS('Support - Unit Adjustments'!E:E,'Support - Unit Adjustments'!F:F,'Step 2'!D1548)</f>
        <v>0</v>
      </c>
      <c r="K1548" s="126">
        <f t="shared" si="460"/>
        <v>1.6480000000000002E-3</v>
      </c>
      <c r="L1548" s="174">
        <f>VLOOKUP(A1548,'Step 1'!$A:$E,4,FALSE)</f>
        <v>526148</v>
      </c>
      <c r="M1548" s="47">
        <f t="shared" si="461"/>
        <v>867</v>
      </c>
      <c r="N1548" s="177">
        <f>SUMIFS('Support - Transition'!G:G,'Support - Transition'!J:J,'Step 2'!D1548,'Support - Transition'!E:E,"2009 WELFARE ALLOCATION FACTOR")</f>
        <v>0</v>
      </c>
      <c r="O1548" s="152">
        <f t="shared" si="466"/>
        <v>0</v>
      </c>
      <c r="P1548" s="126">
        <f>IF(E1548="Y",0,SUMIFS('Support - Transition'!G:G,'Support - Transition'!J:J,'Step 2'!D1548,'Support - Transition'!E:E,"2009 SCHOOL ALLOCATION FACTOR"))</f>
        <v>0</v>
      </c>
      <c r="Q1548" s="126">
        <f>IF(E1548="Y",VLOOKUP(D1548,'Support - Unit Adjustments'!F:G,2,FALSE),0)</f>
        <v>0</v>
      </c>
      <c r="R1548" s="155">
        <f t="shared" si="478"/>
        <v>0</v>
      </c>
      <c r="S1548" s="47">
        <f t="shared" si="477"/>
        <v>0</v>
      </c>
      <c r="T1548" s="151">
        <f t="shared" si="462"/>
        <v>867</v>
      </c>
      <c r="U1548" s="151">
        <f t="shared" si="463"/>
        <v>0</v>
      </c>
      <c r="V1548" s="139">
        <f t="shared" si="464"/>
        <v>0</v>
      </c>
      <c r="W1548" s="152">
        <f t="shared" si="467"/>
        <v>867</v>
      </c>
      <c r="X1548" s="127" t="str">
        <f t="shared" si="465"/>
        <v/>
      </c>
      <c r="Y1548" s="207">
        <f t="shared" si="468"/>
        <v>867</v>
      </c>
      <c r="Z1548" s="139">
        <f t="shared" si="469"/>
        <v>474</v>
      </c>
      <c r="AA1548" s="139">
        <f t="shared" si="470"/>
        <v>393</v>
      </c>
      <c r="AC1548" s="47">
        <f t="shared" si="471"/>
        <v>434</v>
      </c>
      <c r="AD1548" s="47">
        <f t="shared" si="472"/>
        <v>237</v>
      </c>
      <c r="AE1548" s="47">
        <f t="shared" si="473"/>
        <v>197</v>
      </c>
      <c r="AG1548" s="47">
        <f t="shared" si="474"/>
        <v>433</v>
      </c>
      <c r="AH1548" s="47">
        <f t="shared" si="475"/>
        <v>237</v>
      </c>
      <c r="AI1548" s="208">
        <f t="shared" si="476"/>
        <v>196</v>
      </c>
    </row>
    <row r="1549" spans="1:35">
      <c r="A1549" t="s">
        <v>2134</v>
      </c>
      <c r="B1549" t="s">
        <v>3142</v>
      </c>
      <c r="C1549" t="s">
        <v>2192</v>
      </c>
      <c r="D1549" t="s">
        <v>4967</v>
      </c>
      <c r="F1549" t="s">
        <v>1001</v>
      </c>
      <c r="G1549" s="126">
        <f>SUMIFS('Support - Transition'!F:F,'Support - Transition'!B:B,'Step 2'!A1549,'Support - Transition'!C:C,'Step 2'!B1549,'Support - Transition'!D:D,'Step 2'!C1549,'Support - Transition'!E:E,"CIVIL")</f>
        <v>2.3370000000000001E-3</v>
      </c>
      <c r="H1549" s="126">
        <f>SUMIFS('Support - Transition'!F:F,'Support - Transition'!B:B,'Step 2'!A1549,'Support - Transition'!C:C,'Step 2'!B1549,'Support - Transition'!D:D,'Step 2'!C1549,'Support - Transition'!E:E,"FIRE")</f>
        <v>5.1599999999999997E-4</v>
      </c>
      <c r="I1549" s="126">
        <f>IF(B1549="0",SUMIFS('Support - Transition'!F:F,'Support - Transition'!J:J,'Step 2'!D1549,'Support - Transition'!E:E,"STATE UNIT"),SUMIFS('Support - Transition'!F:F,'Support - Transition'!J:J,'Step 2'!D1549))</f>
        <v>2.8530000000000001E-3</v>
      </c>
      <c r="J1549" s="126">
        <f>SUMIFS('Support - Unit Adjustments'!E:E,'Support - Unit Adjustments'!F:F,'Step 2'!D1549)</f>
        <v>0</v>
      </c>
      <c r="K1549" s="126">
        <f t="shared" si="460"/>
        <v>2.8530000000000001E-3</v>
      </c>
      <c r="L1549" s="174">
        <f>VLOOKUP(A1549,'Step 1'!$A:$E,4,FALSE)</f>
        <v>526148</v>
      </c>
      <c r="M1549" s="47">
        <f t="shared" si="461"/>
        <v>1501</v>
      </c>
      <c r="N1549" s="177">
        <f>SUMIFS('Support - Transition'!G:G,'Support - Transition'!J:J,'Step 2'!D1549,'Support - Transition'!E:E,"2009 WELFARE ALLOCATION FACTOR")</f>
        <v>0</v>
      </c>
      <c r="O1549" s="152">
        <f t="shared" si="466"/>
        <v>0</v>
      </c>
      <c r="P1549" s="126">
        <f>IF(E1549="Y",0,SUMIFS('Support - Transition'!G:G,'Support - Transition'!J:J,'Step 2'!D1549,'Support - Transition'!E:E,"2009 SCHOOL ALLOCATION FACTOR"))</f>
        <v>0</v>
      </c>
      <c r="Q1549" s="126">
        <f>IF(E1549="Y",VLOOKUP(D1549,'Support - Unit Adjustments'!F:G,2,FALSE),0)</f>
        <v>0</v>
      </c>
      <c r="R1549" s="155">
        <f t="shared" si="478"/>
        <v>0</v>
      </c>
      <c r="S1549" s="47">
        <f t="shared" si="477"/>
        <v>0</v>
      </c>
      <c r="T1549" s="151">
        <f t="shared" si="462"/>
        <v>1501</v>
      </c>
      <c r="U1549" s="151">
        <f t="shared" si="463"/>
        <v>0</v>
      </c>
      <c r="V1549" s="139">
        <f t="shared" si="464"/>
        <v>0</v>
      </c>
      <c r="W1549" s="152">
        <f t="shared" si="467"/>
        <v>1501</v>
      </c>
      <c r="X1549" s="127" t="str">
        <f t="shared" si="465"/>
        <v/>
      </c>
      <c r="Y1549" s="207">
        <f t="shared" si="468"/>
        <v>1501</v>
      </c>
      <c r="Z1549" s="139">
        <f t="shared" si="469"/>
        <v>1230</v>
      </c>
      <c r="AA1549" s="139">
        <f t="shared" si="470"/>
        <v>271</v>
      </c>
      <c r="AC1549" s="47">
        <f t="shared" si="471"/>
        <v>751</v>
      </c>
      <c r="AD1549" s="47">
        <f t="shared" si="472"/>
        <v>615</v>
      </c>
      <c r="AE1549" s="47">
        <f t="shared" si="473"/>
        <v>136</v>
      </c>
      <c r="AG1549" s="47">
        <f t="shared" si="474"/>
        <v>750</v>
      </c>
      <c r="AH1549" s="47">
        <f t="shared" si="475"/>
        <v>615</v>
      </c>
      <c r="AI1549" s="208">
        <f t="shared" si="476"/>
        <v>135</v>
      </c>
    </row>
    <row r="1550" spans="1:35">
      <c r="A1550" t="s">
        <v>2134</v>
      </c>
      <c r="B1550" t="s">
        <v>3142</v>
      </c>
      <c r="C1550" t="s">
        <v>2193</v>
      </c>
      <c r="D1550" t="s">
        <v>4968</v>
      </c>
      <c r="F1550" t="s">
        <v>795</v>
      </c>
      <c r="G1550" s="126">
        <f>SUMIFS('Support - Transition'!F:F,'Support - Transition'!B:B,'Step 2'!A1550,'Support - Transition'!C:C,'Step 2'!B1550,'Support - Transition'!D:D,'Step 2'!C1550,'Support - Transition'!E:E,"CIVIL")</f>
        <v>1.4120000000000001E-3</v>
      </c>
      <c r="H1550" s="126">
        <f>SUMIFS('Support - Transition'!F:F,'Support - Transition'!B:B,'Step 2'!A1550,'Support - Transition'!C:C,'Step 2'!B1550,'Support - Transition'!D:D,'Step 2'!C1550,'Support - Transition'!E:E,"FIRE")</f>
        <v>1.0319999999999999E-3</v>
      </c>
      <c r="I1550" s="126">
        <f>IF(B1550="0",SUMIFS('Support - Transition'!F:F,'Support - Transition'!J:J,'Step 2'!D1550,'Support - Transition'!E:E,"STATE UNIT"),SUMIFS('Support - Transition'!F:F,'Support - Transition'!J:J,'Step 2'!D1550))</f>
        <v>2.444E-3</v>
      </c>
      <c r="J1550" s="126">
        <f>SUMIFS('Support - Unit Adjustments'!E:E,'Support - Unit Adjustments'!F:F,'Step 2'!D1550)</f>
        <v>0</v>
      </c>
      <c r="K1550" s="126">
        <f t="shared" si="460"/>
        <v>2.444E-3</v>
      </c>
      <c r="L1550" s="174">
        <f>VLOOKUP(A1550,'Step 1'!$A:$E,4,FALSE)</f>
        <v>526148</v>
      </c>
      <c r="M1550" s="47">
        <f t="shared" si="461"/>
        <v>1286</v>
      </c>
      <c r="N1550" s="177">
        <f>SUMIFS('Support - Transition'!G:G,'Support - Transition'!J:J,'Step 2'!D1550,'Support - Transition'!E:E,"2009 WELFARE ALLOCATION FACTOR")</f>
        <v>0</v>
      </c>
      <c r="O1550" s="152">
        <f t="shared" si="466"/>
        <v>0</v>
      </c>
      <c r="P1550" s="126">
        <f>IF(E1550="Y",0,SUMIFS('Support - Transition'!G:G,'Support - Transition'!J:J,'Step 2'!D1550,'Support - Transition'!E:E,"2009 SCHOOL ALLOCATION FACTOR"))</f>
        <v>0</v>
      </c>
      <c r="Q1550" s="126">
        <f>IF(E1550="Y",VLOOKUP(D1550,'Support - Unit Adjustments'!F:G,2,FALSE),0)</f>
        <v>0</v>
      </c>
      <c r="R1550" s="155">
        <f t="shared" si="478"/>
        <v>0</v>
      </c>
      <c r="S1550" s="47">
        <f t="shared" si="477"/>
        <v>0</v>
      </c>
      <c r="T1550" s="151">
        <f t="shared" si="462"/>
        <v>1286</v>
      </c>
      <c r="U1550" s="151">
        <f t="shared" si="463"/>
        <v>0</v>
      </c>
      <c r="V1550" s="139">
        <f t="shared" si="464"/>
        <v>0</v>
      </c>
      <c r="W1550" s="152">
        <f t="shared" si="467"/>
        <v>1286</v>
      </c>
      <c r="X1550" s="127" t="str">
        <f t="shared" si="465"/>
        <v/>
      </c>
      <c r="Y1550" s="207">
        <f t="shared" si="468"/>
        <v>1286</v>
      </c>
      <c r="Z1550" s="139">
        <f t="shared" si="469"/>
        <v>743</v>
      </c>
      <c r="AA1550" s="139">
        <f t="shared" si="470"/>
        <v>543</v>
      </c>
      <c r="AC1550" s="47">
        <f t="shared" si="471"/>
        <v>643</v>
      </c>
      <c r="AD1550" s="47">
        <f t="shared" si="472"/>
        <v>372</v>
      </c>
      <c r="AE1550" s="47">
        <f t="shared" si="473"/>
        <v>272</v>
      </c>
      <c r="AG1550" s="47">
        <f t="shared" si="474"/>
        <v>643</v>
      </c>
      <c r="AH1550" s="47">
        <f t="shared" si="475"/>
        <v>371</v>
      </c>
      <c r="AI1550" s="208">
        <f t="shared" si="476"/>
        <v>271</v>
      </c>
    </row>
    <row r="1551" spans="1:35">
      <c r="A1551" t="s">
        <v>2134</v>
      </c>
      <c r="B1551" t="s">
        <v>3142</v>
      </c>
      <c r="C1551" t="s">
        <v>2194</v>
      </c>
      <c r="D1551" t="s">
        <v>4969</v>
      </c>
      <c r="F1551" t="s">
        <v>183</v>
      </c>
      <c r="G1551" s="126">
        <f>SUMIFS('Support - Transition'!F:F,'Support - Transition'!B:B,'Step 2'!A1551,'Support - Transition'!C:C,'Step 2'!B1551,'Support - Transition'!D:D,'Step 2'!C1551,'Support - Transition'!E:E,"CIVIL")</f>
        <v>7.6199999999999998E-4</v>
      </c>
      <c r="H1551" s="126">
        <f>SUMIFS('Support - Transition'!F:F,'Support - Transition'!B:B,'Step 2'!A1551,'Support - Transition'!C:C,'Step 2'!B1551,'Support - Transition'!D:D,'Step 2'!C1551,'Support - Transition'!E:E,"FIRE")</f>
        <v>2.63E-4</v>
      </c>
      <c r="I1551" s="126">
        <f>IF(B1551="0",SUMIFS('Support - Transition'!F:F,'Support - Transition'!J:J,'Step 2'!D1551,'Support - Transition'!E:E,"STATE UNIT"),SUMIFS('Support - Transition'!F:F,'Support - Transition'!J:J,'Step 2'!D1551))</f>
        <v>1.0249999999999999E-3</v>
      </c>
      <c r="J1551" s="126">
        <f>SUMIFS('Support - Unit Adjustments'!E:E,'Support - Unit Adjustments'!F:F,'Step 2'!D1551)</f>
        <v>0</v>
      </c>
      <c r="K1551" s="126">
        <f t="shared" si="460"/>
        <v>1.0249999999999999E-3</v>
      </c>
      <c r="L1551" s="174">
        <f>VLOOKUP(A1551,'Step 1'!$A:$E,4,FALSE)</f>
        <v>526148</v>
      </c>
      <c r="M1551" s="47">
        <f t="shared" si="461"/>
        <v>539</v>
      </c>
      <c r="N1551" s="177">
        <f>SUMIFS('Support - Transition'!G:G,'Support - Transition'!J:J,'Step 2'!D1551,'Support - Transition'!E:E,"2009 WELFARE ALLOCATION FACTOR")</f>
        <v>0</v>
      </c>
      <c r="O1551" s="152">
        <f t="shared" si="466"/>
        <v>0</v>
      </c>
      <c r="P1551" s="126">
        <f>IF(E1551="Y",0,SUMIFS('Support - Transition'!G:G,'Support - Transition'!J:J,'Step 2'!D1551,'Support - Transition'!E:E,"2009 SCHOOL ALLOCATION FACTOR"))</f>
        <v>0</v>
      </c>
      <c r="Q1551" s="126">
        <f>IF(E1551="Y",VLOOKUP(D1551,'Support - Unit Adjustments'!F:G,2,FALSE),0)</f>
        <v>0</v>
      </c>
      <c r="R1551" s="155">
        <f t="shared" si="478"/>
        <v>0</v>
      </c>
      <c r="S1551" s="47">
        <f t="shared" si="477"/>
        <v>0</v>
      </c>
      <c r="T1551" s="151">
        <f t="shared" si="462"/>
        <v>539</v>
      </c>
      <c r="U1551" s="151">
        <f t="shared" si="463"/>
        <v>0</v>
      </c>
      <c r="V1551" s="139">
        <f t="shared" si="464"/>
        <v>0</v>
      </c>
      <c r="W1551" s="152">
        <f t="shared" si="467"/>
        <v>539</v>
      </c>
      <c r="X1551" s="127" t="str">
        <f t="shared" si="465"/>
        <v/>
      </c>
      <c r="Y1551" s="207">
        <f t="shared" si="468"/>
        <v>539</v>
      </c>
      <c r="Z1551" s="139">
        <f t="shared" si="469"/>
        <v>401</v>
      </c>
      <c r="AA1551" s="139">
        <f t="shared" si="470"/>
        <v>138</v>
      </c>
      <c r="AC1551" s="47">
        <f t="shared" si="471"/>
        <v>270</v>
      </c>
      <c r="AD1551" s="47">
        <f t="shared" si="472"/>
        <v>201</v>
      </c>
      <c r="AE1551" s="47">
        <f t="shared" si="473"/>
        <v>69</v>
      </c>
      <c r="AG1551" s="47">
        <f t="shared" si="474"/>
        <v>269</v>
      </c>
      <c r="AH1551" s="47">
        <f t="shared" si="475"/>
        <v>200</v>
      </c>
      <c r="AI1551" s="208">
        <f t="shared" si="476"/>
        <v>69</v>
      </c>
    </row>
    <row r="1552" spans="1:35">
      <c r="A1552" t="s">
        <v>2134</v>
      </c>
      <c r="B1552" t="s">
        <v>3142</v>
      </c>
      <c r="C1552" t="s">
        <v>2195</v>
      </c>
      <c r="D1552" t="s">
        <v>4970</v>
      </c>
      <c r="F1552" t="s">
        <v>20</v>
      </c>
      <c r="G1552" s="126">
        <f>SUMIFS('Support - Transition'!F:F,'Support - Transition'!B:B,'Step 2'!A1552,'Support - Transition'!C:C,'Step 2'!B1552,'Support - Transition'!D:D,'Step 2'!C1552,'Support - Transition'!E:E,"CIVIL")</f>
        <v>4.9870000000000001E-3</v>
      </c>
      <c r="H1552" s="126">
        <f>SUMIFS('Support - Transition'!F:F,'Support - Transition'!B:B,'Step 2'!A1552,'Support - Transition'!C:C,'Step 2'!B1552,'Support - Transition'!D:D,'Step 2'!C1552,'Support - Transition'!E:E,"FIRE")</f>
        <v>6.3400000000000001E-4</v>
      </c>
      <c r="I1552" s="126">
        <f>IF(B1552="0",SUMIFS('Support - Transition'!F:F,'Support - Transition'!J:J,'Step 2'!D1552,'Support - Transition'!E:E,"STATE UNIT"),SUMIFS('Support - Transition'!F:F,'Support - Transition'!J:J,'Step 2'!D1552))</f>
        <v>5.6210000000000001E-3</v>
      </c>
      <c r="J1552" s="126">
        <f>SUMIFS('Support - Unit Adjustments'!E:E,'Support - Unit Adjustments'!F:F,'Step 2'!D1552)</f>
        <v>0</v>
      </c>
      <c r="K1552" s="126">
        <f t="shared" si="460"/>
        <v>5.6210000000000001E-3</v>
      </c>
      <c r="L1552" s="174">
        <f>VLOOKUP(A1552,'Step 1'!$A:$E,4,FALSE)</f>
        <v>526148</v>
      </c>
      <c r="M1552" s="47">
        <f t="shared" si="461"/>
        <v>2957</v>
      </c>
      <c r="N1552" s="177">
        <f>SUMIFS('Support - Transition'!G:G,'Support - Transition'!J:J,'Step 2'!D1552,'Support - Transition'!E:E,"2009 WELFARE ALLOCATION FACTOR")</f>
        <v>0</v>
      </c>
      <c r="O1552" s="152">
        <f t="shared" si="466"/>
        <v>0</v>
      </c>
      <c r="P1552" s="126">
        <f>IF(E1552="Y",0,SUMIFS('Support - Transition'!G:G,'Support - Transition'!J:J,'Step 2'!D1552,'Support - Transition'!E:E,"2009 SCHOOL ALLOCATION FACTOR"))</f>
        <v>0</v>
      </c>
      <c r="Q1552" s="126">
        <f>IF(E1552="Y",VLOOKUP(D1552,'Support - Unit Adjustments'!F:G,2,FALSE),0)</f>
        <v>0</v>
      </c>
      <c r="R1552" s="155">
        <f t="shared" si="478"/>
        <v>0</v>
      </c>
      <c r="S1552" s="47">
        <f t="shared" si="477"/>
        <v>0</v>
      </c>
      <c r="T1552" s="151">
        <f t="shared" si="462"/>
        <v>2957</v>
      </c>
      <c r="U1552" s="151">
        <f t="shared" si="463"/>
        <v>0</v>
      </c>
      <c r="V1552" s="139">
        <f t="shared" si="464"/>
        <v>0</v>
      </c>
      <c r="W1552" s="152">
        <f t="shared" si="467"/>
        <v>2957</v>
      </c>
      <c r="X1552" s="127" t="str">
        <f t="shared" si="465"/>
        <v/>
      </c>
      <c r="Y1552" s="207">
        <f t="shared" si="468"/>
        <v>2957</v>
      </c>
      <c r="Z1552" s="139">
        <f t="shared" si="469"/>
        <v>2623</v>
      </c>
      <c r="AA1552" s="139">
        <f t="shared" si="470"/>
        <v>334</v>
      </c>
      <c r="AC1552" s="47">
        <f t="shared" si="471"/>
        <v>1479</v>
      </c>
      <c r="AD1552" s="47">
        <f t="shared" si="472"/>
        <v>1312</v>
      </c>
      <c r="AE1552" s="47">
        <f t="shared" si="473"/>
        <v>167</v>
      </c>
      <c r="AG1552" s="47">
        <f t="shared" si="474"/>
        <v>1478</v>
      </c>
      <c r="AH1552" s="47">
        <f t="shared" si="475"/>
        <v>1311</v>
      </c>
      <c r="AI1552" s="208">
        <f t="shared" si="476"/>
        <v>167</v>
      </c>
    </row>
    <row r="1553" spans="1:35">
      <c r="A1553" t="s">
        <v>2134</v>
      </c>
      <c r="B1553" t="s">
        <v>3142</v>
      </c>
      <c r="C1553" t="s">
        <v>2196</v>
      </c>
      <c r="D1553" t="s">
        <v>4971</v>
      </c>
      <c r="F1553" t="s">
        <v>1192</v>
      </c>
      <c r="G1553" s="126">
        <f>SUMIFS('Support - Transition'!F:F,'Support - Transition'!B:B,'Step 2'!A1553,'Support - Transition'!C:C,'Step 2'!B1553,'Support - Transition'!D:D,'Step 2'!C1553,'Support - Transition'!E:E,"CIVIL")</f>
        <v>1.122E-3</v>
      </c>
      <c r="H1553" s="126">
        <f>SUMIFS('Support - Transition'!F:F,'Support - Transition'!B:B,'Step 2'!A1553,'Support - Transition'!C:C,'Step 2'!B1553,'Support - Transition'!D:D,'Step 2'!C1553,'Support - Transition'!E:E,"FIRE")</f>
        <v>1.84E-4</v>
      </c>
      <c r="I1553" s="126">
        <f>IF(B1553="0",SUMIFS('Support - Transition'!F:F,'Support - Transition'!J:J,'Step 2'!D1553,'Support - Transition'!E:E,"STATE UNIT"),SUMIFS('Support - Transition'!F:F,'Support - Transition'!J:J,'Step 2'!D1553))</f>
        <v>1.3059999999999999E-3</v>
      </c>
      <c r="J1553" s="126">
        <f>SUMIFS('Support - Unit Adjustments'!E:E,'Support - Unit Adjustments'!F:F,'Step 2'!D1553)</f>
        <v>0</v>
      </c>
      <c r="K1553" s="126">
        <f t="shared" si="460"/>
        <v>1.3059999999999999E-3</v>
      </c>
      <c r="L1553" s="174">
        <f>VLOOKUP(A1553,'Step 1'!$A:$E,4,FALSE)</f>
        <v>526148</v>
      </c>
      <c r="M1553" s="47">
        <f t="shared" si="461"/>
        <v>687</v>
      </c>
      <c r="N1553" s="177">
        <f>SUMIFS('Support - Transition'!G:G,'Support - Transition'!J:J,'Step 2'!D1553,'Support - Transition'!E:E,"2009 WELFARE ALLOCATION FACTOR")</f>
        <v>0</v>
      </c>
      <c r="O1553" s="152">
        <f t="shared" si="466"/>
        <v>0</v>
      </c>
      <c r="P1553" s="126">
        <f>IF(E1553="Y",0,SUMIFS('Support - Transition'!G:G,'Support - Transition'!J:J,'Step 2'!D1553,'Support - Transition'!E:E,"2009 SCHOOL ALLOCATION FACTOR"))</f>
        <v>0</v>
      </c>
      <c r="Q1553" s="126">
        <f>IF(E1553="Y",VLOOKUP(D1553,'Support - Unit Adjustments'!F:G,2,FALSE),0)</f>
        <v>0</v>
      </c>
      <c r="R1553" s="155">
        <f t="shared" si="478"/>
        <v>0</v>
      </c>
      <c r="S1553" s="47">
        <f t="shared" si="477"/>
        <v>0</v>
      </c>
      <c r="T1553" s="151">
        <f t="shared" si="462"/>
        <v>687</v>
      </c>
      <c r="U1553" s="151">
        <f t="shared" si="463"/>
        <v>0</v>
      </c>
      <c r="V1553" s="139">
        <f t="shared" si="464"/>
        <v>0</v>
      </c>
      <c r="W1553" s="152">
        <f t="shared" si="467"/>
        <v>687</v>
      </c>
      <c r="X1553" s="127" t="str">
        <f t="shared" si="465"/>
        <v/>
      </c>
      <c r="Y1553" s="207">
        <f t="shared" si="468"/>
        <v>687</v>
      </c>
      <c r="Z1553" s="139">
        <f t="shared" si="469"/>
        <v>590</v>
      </c>
      <c r="AA1553" s="139">
        <f t="shared" si="470"/>
        <v>97</v>
      </c>
      <c r="AC1553" s="47">
        <f t="shared" si="471"/>
        <v>344</v>
      </c>
      <c r="AD1553" s="47">
        <f t="shared" si="472"/>
        <v>295</v>
      </c>
      <c r="AE1553" s="47">
        <f t="shared" si="473"/>
        <v>49</v>
      </c>
      <c r="AG1553" s="47">
        <f t="shared" si="474"/>
        <v>343</v>
      </c>
      <c r="AH1553" s="47">
        <f t="shared" si="475"/>
        <v>295</v>
      </c>
      <c r="AI1553" s="208">
        <f t="shared" si="476"/>
        <v>48</v>
      </c>
    </row>
    <row r="1554" spans="1:35">
      <c r="A1554" t="s">
        <v>2134</v>
      </c>
      <c r="B1554" t="s">
        <v>3142</v>
      </c>
      <c r="C1554" t="s">
        <v>2197</v>
      </c>
      <c r="D1554" t="s">
        <v>4972</v>
      </c>
      <c r="F1554" t="s">
        <v>1193</v>
      </c>
      <c r="G1554" s="126">
        <f>SUMIFS('Support - Transition'!F:F,'Support - Transition'!B:B,'Step 2'!A1554,'Support - Transition'!C:C,'Step 2'!B1554,'Support - Transition'!D:D,'Step 2'!C1554,'Support - Transition'!E:E,"CIVIL")</f>
        <v>7.7999999999999999E-5</v>
      </c>
      <c r="H1554" s="126">
        <f>SUMIFS('Support - Transition'!F:F,'Support - Transition'!B:B,'Step 2'!A1554,'Support - Transition'!C:C,'Step 2'!B1554,'Support - Transition'!D:D,'Step 2'!C1554,'Support - Transition'!E:E,"FIRE")</f>
        <v>1.4530000000000001E-3</v>
      </c>
      <c r="I1554" s="126">
        <f>IF(B1554="0",SUMIFS('Support - Transition'!F:F,'Support - Transition'!J:J,'Step 2'!D1554,'Support - Transition'!E:E,"STATE UNIT"),SUMIFS('Support - Transition'!F:F,'Support - Transition'!J:J,'Step 2'!D1554))</f>
        <v>1.531E-3</v>
      </c>
      <c r="J1554" s="126">
        <f>SUMIFS('Support - Unit Adjustments'!E:E,'Support - Unit Adjustments'!F:F,'Step 2'!D1554)</f>
        <v>0</v>
      </c>
      <c r="K1554" s="126">
        <f t="shared" si="460"/>
        <v>1.531E-3</v>
      </c>
      <c r="L1554" s="174">
        <f>VLOOKUP(A1554,'Step 1'!$A:$E,4,FALSE)</f>
        <v>526148</v>
      </c>
      <c r="M1554" s="47">
        <f t="shared" si="461"/>
        <v>806</v>
      </c>
      <c r="N1554" s="177">
        <f>SUMIFS('Support - Transition'!G:G,'Support - Transition'!J:J,'Step 2'!D1554,'Support - Transition'!E:E,"2009 WELFARE ALLOCATION FACTOR")</f>
        <v>0</v>
      </c>
      <c r="O1554" s="152">
        <f t="shared" si="466"/>
        <v>0</v>
      </c>
      <c r="P1554" s="126">
        <f>IF(E1554="Y",0,SUMIFS('Support - Transition'!G:G,'Support - Transition'!J:J,'Step 2'!D1554,'Support - Transition'!E:E,"2009 SCHOOL ALLOCATION FACTOR"))</f>
        <v>0</v>
      </c>
      <c r="Q1554" s="126">
        <f>IF(E1554="Y",VLOOKUP(D1554,'Support - Unit Adjustments'!F:G,2,FALSE),0)</f>
        <v>0</v>
      </c>
      <c r="R1554" s="155">
        <f t="shared" si="478"/>
        <v>0</v>
      </c>
      <c r="S1554" s="47">
        <f t="shared" si="477"/>
        <v>0</v>
      </c>
      <c r="T1554" s="151">
        <f t="shared" si="462"/>
        <v>806</v>
      </c>
      <c r="U1554" s="151">
        <f t="shared" si="463"/>
        <v>0</v>
      </c>
      <c r="V1554" s="139">
        <f t="shared" si="464"/>
        <v>0</v>
      </c>
      <c r="W1554" s="152">
        <f t="shared" si="467"/>
        <v>806</v>
      </c>
      <c r="X1554" s="127" t="str">
        <f t="shared" si="465"/>
        <v/>
      </c>
      <c r="Y1554" s="207">
        <f t="shared" si="468"/>
        <v>806</v>
      </c>
      <c r="Z1554" s="139">
        <f t="shared" si="469"/>
        <v>41</v>
      </c>
      <c r="AA1554" s="139">
        <f t="shared" si="470"/>
        <v>765</v>
      </c>
      <c r="AC1554" s="47">
        <f t="shared" si="471"/>
        <v>403</v>
      </c>
      <c r="AD1554" s="47">
        <f t="shared" si="472"/>
        <v>21</v>
      </c>
      <c r="AE1554" s="47">
        <f t="shared" si="473"/>
        <v>383</v>
      </c>
      <c r="AG1554" s="47">
        <f t="shared" si="474"/>
        <v>403</v>
      </c>
      <c r="AH1554" s="47">
        <f t="shared" si="475"/>
        <v>20</v>
      </c>
      <c r="AI1554" s="208">
        <f t="shared" si="476"/>
        <v>382</v>
      </c>
    </row>
    <row r="1555" spans="1:35">
      <c r="A1555" t="s">
        <v>2134</v>
      </c>
      <c r="B1555" t="s">
        <v>3155</v>
      </c>
      <c r="C1555" t="s">
        <v>2821</v>
      </c>
      <c r="D1555" t="s">
        <v>4973</v>
      </c>
      <c r="F1555" t="s">
        <v>1199</v>
      </c>
      <c r="G1555" s="126">
        <f>SUMIFS('Support - Transition'!F:F,'Support - Transition'!B:B,'Step 2'!A1555,'Support - Transition'!C:C,'Step 2'!B1555,'Support - Transition'!D:D,'Step 2'!C1555,'Support - Transition'!E:E,"CIVIL")</f>
        <v>0</v>
      </c>
      <c r="H1555" s="126">
        <f>SUMIFS('Support - Transition'!F:F,'Support - Transition'!B:B,'Step 2'!A1555,'Support - Transition'!C:C,'Step 2'!B1555,'Support - Transition'!D:D,'Step 2'!C1555,'Support - Transition'!E:E,"FIRE")</f>
        <v>0</v>
      </c>
      <c r="I1555" s="126">
        <f>IF(B1555="0",SUMIFS('Support - Transition'!F:F,'Support - Transition'!J:J,'Step 2'!D1555,'Support - Transition'!E:E,"STATE UNIT"),SUMIFS('Support - Transition'!F:F,'Support - Transition'!J:J,'Step 2'!D1555))</f>
        <v>9.4527E-2</v>
      </c>
      <c r="J1555" s="126">
        <f>SUMIFS('Support - Unit Adjustments'!E:E,'Support - Unit Adjustments'!F:F,'Step 2'!D1555)</f>
        <v>0</v>
      </c>
      <c r="K1555" s="126">
        <f t="shared" si="460"/>
        <v>9.4527E-2</v>
      </c>
      <c r="L1555" s="174">
        <f>VLOOKUP(A1555,'Step 1'!$A:$E,4,FALSE)</f>
        <v>526148</v>
      </c>
      <c r="M1555" s="47">
        <f t="shared" si="461"/>
        <v>49735</v>
      </c>
      <c r="N1555" s="177">
        <f>SUMIFS('Support - Transition'!G:G,'Support - Transition'!J:J,'Step 2'!D1555,'Support - Transition'!E:E,"2009 WELFARE ALLOCATION FACTOR")</f>
        <v>0</v>
      </c>
      <c r="O1555" s="152">
        <f t="shared" si="466"/>
        <v>0</v>
      </c>
      <c r="P1555" s="126">
        <f>IF(E1555="Y",0,SUMIFS('Support - Transition'!G:G,'Support - Transition'!J:J,'Step 2'!D1555,'Support - Transition'!E:E,"2009 SCHOOL ALLOCATION FACTOR"))</f>
        <v>0</v>
      </c>
      <c r="Q1555" s="126">
        <f>IF(E1555="Y",VLOOKUP(D1555,'Support - Unit Adjustments'!F:G,2,FALSE),0)</f>
        <v>0</v>
      </c>
      <c r="R1555" s="155">
        <f t="shared" si="478"/>
        <v>0</v>
      </c>
      <c r="S1555" s="47">
        <f t="shared" si="477"/>
        <v>0</v>
      </c>
      <c r="T1555" s="151">
        <f t="shared" si="462"/>
        <v>49735</v>
      </c>
      <c r="U1555" s="151">
        <f t="shared" si="463"/>
        <v>0</v>
      </c>
      <c r="V1555" s="139">
        <f t="shared" si="464"/>
        <v>0</v>
      </c>
      <c r="W1555" s="152">
        <f t="shared" si="467"/>
        <v>49735</v>
      </c>
      <c r="X1555" s="127" t="str">
        <f t="shared" si="465"/>
        <v/>
      </c>
      <c r="Y1555" s="207">
        <f t="shared" si="468"/>
        <v>49735</v>
      </c>
      <c r="Z1555" s="139">
        <f t="shared" si="469"/>
        <v>49735</v>
      </c>
      <c r="AA1555" s="139">
        <f t="shared" si="470"/>
        <v>0</v>
      </c>
      <c r="AC1555" s="47">
        <f t="shared" si="471"/>
        <v>24868</v>
      </c>
      <c r="AD1555" s="47">
        <f t="shared" si="472"/>
        <v>24868</v>
      </c>
      <c r="AE1555" s="47">
        <f t="shared" si="473"/>
        <v>0</v>
      </c>
      <c r="AG1555" s="47">
        <f t="shared" si="474"/>
        <v>24867</v>
      </c>
      <c r="AH1555" s="47">
        <f t="shared" si="475"/>
        <v>24867</v>
      </c>
      <c r="AI1555" s="208">
        <f t="shared" si="476"/>
        <v>0</v>
      </c>
    </row>
    <row r="1556" spans="1:35">
      <c r="A1556" t="s">
        <v>2134</v>
      </c>
      <c r="B1556" t="s">
        <v>3155</v>
      </c>
      <c r="C1556" t="s">
        <v>2284</v>
      </c>
      <c r="D1556" t="s">
        <v>4974</v>
      </c>
      <c r="F1556" t="s">
        <v>1194</v>
      </c>
      <c r="G1556" s="126">
        <f>SUMIFS('Support - Transition'!F:F,'Support - Transition'!B:B,'Step 2'!A1556,'Support - Transition'!C:C,'Step 2'!B1556,'Support - Transition'!D:D,'Step 2'!C1556,'Support - Transition'!E:E,"CIVIL")</f>
        <v>0</v>
      </c>
      <c r="H1556" s="126">
        <f>SUMIFS('Support - Transition'!F:F,'Support - Transition'!B:B,'Step 2'!A1556,'Support - Transition'!C:C,'Step 2'!B1556,'Support - Transition'!D:D,'Step 2'!C1556,'Support - Transition'!E:E,"FIRE")</f>
        <v>0</v>
      </c>
      <c r="I1556" s="126">
        <f>IF(B1556="0",SUMIFS('Support - Transition'!F:F,'Support - Transition'!J:J,'Step 2'!D1556,'Support - Transition'!E:E,"STATE UNIT"),SUMIFS('Support - Transition'!F:F,'Support - Transition'!J:J,'Step 2'!D1556))</f>
        <v>5.8999999999999998E-5</v>
      </c>
      <c r="J1556" s="126">
        <f>SUMIFS('Support - Unit Adjustments'!E:E,'Support - Unit Adjustments'!F:F,'Step 2'!D1556)</f>
        <v>0</v>
      </c>
      <c r="K1556" s="126">
        <f t="shared" si="460"/>
        <v>5.8999999999999998E-5</v>
      </c>
      <c r="L1556" s="174">
        <f>VLOOKUP(A1556,'Step 1'!$A:$E,4,FALSE)</f>
        <v>526148</v>
      </c>
      <c r="M1556" s="47">
        <f t="shared" si="461"/>
        <v>31</v>
      </c>
      <c r="N1556" s="177">
        <f>SUMIFS('Support - Transition'!G:G,'Support - Transition'!J:J,'Step 2'!D1556,'Support - Transition'!E:E,"2009 WELFARE ALLOCATION FACTOR")</f>
        <v>0</v>
      </c>
      <c r="O1556" s="152">
        <f t="shared" si="466"/>
        <v>0</v>
      </c>
      <c r="P1556" s="126">
        <f>IF(E1556="Y",0,SUMIFS('Support - Transition'!G:G,'Support - Transition'!J:J,'Step 2'!D1556,'Support - Transition'!E:E,"2009 SCHOOL ALLOCATION FACTOR"))</f>
        <v>0</v>
      </c>
      <c r="Q1556" s="126">
        <f>IF(E1556="Y",VLOOKUP(D1556,'Support - Unit Adjustments'!F:G,2,FALSE),0)</f>
        <v>0</v>
      </c>
      <c r="R1556" s="155">
        <f t="shared" si="478"/>
        <v>0</v>
      </c>
      <c r="S1556" s="47">
        <f t="shared" si="477"/>
        <v>0</v>
      </c>
      <c r="T1556" s="151">
        <f t="shared" si="462"/>
        <v>31</v>
      </c>
      <c r="U1556" s="151">
        <f t="shared" si="463"/>
        <v>0</v>
      </c>
      <c r="V1556" s="139">
        <f t="shared" si="464"/>
        <v>0</v>
      </c>
      <c r="W1556" s="152">
        <f t="shared" si="467"/>
        <v>31</v>
      </c>
      <c r="X1556" s="127" t="str">
        <f t="shared" si="465"/>
        <v/>
      </c>
      <c r="Y1556" s="207">
        <f t="shared" si="468"/>
        <v>31</v>
      </c>
      <c r="Z1556" s="139">
        <f t="shared" si="469"/>
        <v>31</v>
      </c>
      <c r="AA1556" s="139">
        <f t="shared" si="470"/>
        <v>0</v>
      </c>
      <c r="AC1556" s="47">
        <f t="shared" si="471"/>
        <v>16</v>
      </c>
      <c r="AD1556" s="47">
        <f t="shared" si="472"/>
        <v>16</v>
      </c>
      <c r="AE1556" s="47">
        <f t="shared" si="473"/>
        <v>0</v>
      </c>
      <c r="AG1556" s="47">
        <f t="shared" si="474"/>
        <v>15</v>
      </c>
      <c r="AH1556" s="47">
        <f t="shared" si="475"/>
        <v>15</v>
      </c>
      <c r="AI1556" s="208">
        <f t="shared" si="476"/>
        <v>0</v>
      </c>
    </row>
    <row r="1557" spans="1:35">
      <c r="A1557" t="s">
        <v>2134</v>
      </c>
      <c r="B1557" t="s">
        <v>3155</v>
      </c>
      <c r="C1557" t="s">
        <v>2822</v>
      </c>
      <c r="D1557" t="s">
        <v>4975</v>
      </c>
      <c r="F1557" t="s">
        <v>1195</v>
      </c>
      <c r="G1557" s="126">
        <f>SUMIFS('Support - Transition'!F:F,'Support - Transition'!B:B,'Step 2'!A1557,'Support - Transition'!C:C,'Step 2'!B1557,'Support - Transition'!D:D,'Step 2'!C1557,'Support - Transition'!E:E,"CIVIL")</f>
        <v>0</v>
      </c>
      <c r="H1557" s="126">
        <f>SUMIFS('Support - Transition'!F:F,'Support - Transition'!B:B,'Step 2'!A1557,'Support - Transition'!C:C,'Step 2'!B1557,'Support - Transition'!D:D,'Step 2'!C1557,'Support - Transition'!E:E,"FIRE")</f>
        <v>0</v>
      </c>
      <c r="I1557" s="126">
        <f>IF(B1557="0",SUMIFS('Support - Transition'!F:F,'Support - Transition'!J:J,'Step 2'!D1557,'Support - Transition'!E:E,"STATE UNIT"),SUMIFS('Support - Transition'!F:F,'Support - Transition'!J:J,'Step 2'!D1557))</f>
        <v>1.206E-2</v>
      </c>
      <c r="J1557" s="126">
        <f>SUMIFS('Support - Unit Adjustments'!E:E,'Support - Unit Adjustments'!F:F,'Step 2'!D1557)</f>
        <v>0</v>
      </c>
      <c r="K1557" s="126">
        <f t="shared" si="460"/>
        <v>1.206E-2</v>
      </c>
      <c r="L1557" s="174">
        <f>VLOOKUP(A1557,'Step 1'!$A:$E,4,FALSE)</f>
        <v>526148</v>
      </c>
      <c r="M1557" s="47">
        <f t="shared" si="461"/>
        <v>6345</v>
      </c>
      <c r="N1557" s="177">
        <f>SUMIFS('Support - Transition'!G:G,'Support - Transition'!J:J,'Step 2'!D1557,'Support - Transition'!E:E,"2009 WELFARE ALLOCATION FACTOR")</f>
        <v>0</v>
      </c>
      <c r="O1557" s="152">
        <f t="shared" si="466"/>
        <v>0</v>
      </c>
      <c r="P1557" s="126">
        <f>IF(E1557="Y",0,SUMIFS('Support - Transition'!G:G,'Support - Transition'!J:J,'Step 2'!D1557,'Support - Transition'!E:E,"2009 SCHOOL ALLOCATION FACTOR"))</f>
        <v>0</v>
      </c>
      <c r="Q1557" s="126">
        <f>IF(E1557="Y",VLOOKUP(D1557,'Support - Unit Adjustments'!F:G,2,FALSE),0)</f>
        <v>0</v>
      </c>
      <c r="R1557" s="155">
        <f t="shared" si="478"/>
        <v>0</v>
      </c>
      <c r="S1557" s="47">
        <f t="shared" si="477"/>
        <v>0</v>
      </c>
      <c r="T1557" s="151">
        <f t="shared" si="462"/>
        <v>6345</v>
      </c>
      <c r="U1557" s="151">
        <f t="shared" si="463"/>
        <v>0</v>
      </c>
      <c r="V1557" s="139">
        <f t="shared" si="464"/>
        <v>0</v>
      </c>
      <c r="W1557" s="152">
        <f t="shared" si="467"/>
        <v>6345</v>
      </c>
      <c r="X1557" s="127" t="str">
        <f t="shared" si="465"/>
        <v/>
      </c>
      <c r="Y1557" s="207">
        <f t="shared" si="468"/>
        <v>6345</v>
      </c>
      <c r="Z1557" s="139">
        <f t="shared" si="469"/>
        <v>6345</v>
      </c>
      <c r="AA1557" s="139">
        <f t="shared" si="470"/>
        <v>0</v>
      </c>
      <c r="AC1557" s="47">
        <f t="shared" si="471"/>
        <v>3173</v>
      </c>
      <c r="AD1557" s="47">
        <f t="shared" si="472"/>
        <v>3173</v>
      </c>
      <c r="AE1557" s="47">
        <f t="shared" si="473"/>
        <v>0</v>
      </c>
      <c r="AG1557" s="47">
        <f t="shared" si="474"/>
        <v>3172</v>
      </c>
      <c r="AH1557" s="47">
        <f t="shared" si="475"/>
        <v>3172</v>
      </c>
      <c r="AI1557" s="208">
        <f t="shared" si="476"/>
        <v>0</v>
      </c>
    </row>
    <row r="1558" spans="1:35">
      <c r="A1558" t="s">
        <v>2134</v>
      </c>
      <c r="B1558" t="s">
        <v>3155</v>
      </c>
      <c r="C1558" t="s">
        <v>2823</v>
      </c>
      <c r="D1558" t="s">
        <v>4976</v>
      </c>
      <c r="F1558" t="s">
        <v>1196</v>
      </c>
      <c r="G1558" s="126">
        <f>SUMIFS('Support - Transition'!F:F,'Support - Transition'!B:B,'Step 2'!A1558,'Support - Transition'!C:C,'Step 2'!B1558,'Support - Transition'!D:D,'Step 2'!C1558,'Support - Transition'!E:E,"CIVIL")</f>
        <v>0</v>
      </c>
      <c r="H1558" s="126">
        <f>SUMIFS('Support - Transition'!F:F,'Support - Transition'!B:B,'Step 2'!A1558,'Support - Transition'!C:C,'Step 2'!B1558,'Support - Transition'!D:D,'Step 2'!C1558,'Support - Transition'!E:E,"FIRE")</f>
        <v>0</v>
      </c>
      <c r="I1558" s="126">
        <f>IF(B1558="0",SUMIFS('Support - Transition'!F:F,'Support - Transition'!J:J,'Step 2'!D1558,'Support - Transition'!E:E,"STATE UNIT"),SUMIFS('Support - Transition'!F:F,'Support - Transition'!J:J,'Step 2'!D1558))</f>
        <v>3.5099999999999999E-2</v>
      </c>
      <c r="J1558" s="126">
        <f>SUMIFS('Support - Unit Adjustments'!E:E,'Support - Unit Adjustments'!F:F,'Step 2'!D1558)</f>
        <v>0</v>
      </c>
      <c r="K1558" s="126">
        <f t="shared" si="460"/>
        <v>3.5099999999999999E-2</v>
      </c>
      <c r="L1558" s="174">
        <f>VLOOKUP(A1558,'Step 1'!$A:$E,4,FALSE)</f>
        <v>526148</v>
      </c>
      <c r="M1558" s="47">
        <f t="shared" si="461"/>
        <v>18468</v>
      </c>
      <c r="N1558" s="177">
        <f>SUMIFS('Support - Transition'!G:G,'Support - Transition'!J:J,'Step 2'!D1558,'Support - Transition'!E:E,"2009 WELFARE ALLOCATION FACTOR")</f>
        <v>0</v>
      </c>
      <c r="O1558" s="152">
        <f t="shared" si="466"/>
        <v>0</v>
      </c>
      <c r="P1558" s="126">
        <f>IF(E1558="Y",0,SUMIFS('Support - Transition'!G:G,'Support - Transition'!J:J,'Step 2'!D1558,'Support - Transition'!E:E,"2009 SCHOOL ALLOCATION FACTOR"))</f>
        <v>0</v>
      </c>
      <c r="Q1558" s="126">
        <f>IF(E1558="Y",VLOOKUP(D1558,'Support - Unit Adjustments'!F:G,2,FALSE),0)</f>
        <v>0</v>
      </c>
      <c r="R1558" s="155">
        <f t="shared" si="478"/>
        <v>0</v>
      </c>
      <c r="S1558" s="47">
        <f t="shared" si="477"/>
        <v>0</v>
      </c>
      <c r="T1558" s="151">
        <f t="shared" si="462"/>
        <v>18468</v>
      </c>
      <c r="U1558" s="151">
        <f t="shared" si="463"/>
        <v>0</v>
      </c>
      <c r="V1558" s="139">
        <f t="shared" si="464"/>
        <v>0</v>
      </c>
      <c r="W1558" s="152">
        <f t="shared" si="467"/>
        <v>18468</v>
      </c>
      <c r="X1558" s="127" t="str">
        <f t="shared" si="465"/>
        <v/>
      </c>
      <c r="Y1558" s="207">
        <f t="shared" si="468"/>
        <v>18468</v>
      </c>
      <c r="Z1558" s="139">
        <f t="shared" si="469"/>
        <v>18468</v>
      </c>
      <c r="AA1558" s="139">
        <f t="shared" si="470"/>
        <v>0</v>
      </c>
      <c r="AC1558" s="47">
        <f t="shared" si="471"/>
        <v>9234</v>
      </c>
      <c r="AD1558" s="47">
        <f t="shared" si="472"/>
        <v>9234</v>
      </c>
      <c r="AE1558" s="47">
        <f t="shared" si="473"/>
        <v>0</v>
      </c>
      <c r="AG1558" s="47">
        <f t="shared" si="474"/>
        <v>9234</v>
      </c>
      <c r="AH1558" s="47">
        <f t="shared" si="475"/>
        <v>9234</v>
      </c>
      <c r="AI1558" s="208">
        <f t="shared" si="476"/>
        <v>0</v>
      </c>
    </row>
    <row r="1559" spans="1:35">
      <c r="A1559" t="s">
        <v>2134</v>
      </c>
      <c r="B1559" t="s">
        <v>3155</v>
      </c>
      <c r="C1559" t="s">
        <v>2824</v>
      </c>
      <c r="D1559" t="s">
        <v>4977</v>
      </c>
      <c r="F1559" t="s">
        <v>1197</v>
      </c>
      <c r="G1559" s="126">
        <f>SUMIFS('Support - Transition'!F:F,'Support - Transition'!B:B,'Step 2'!A1559,'Support - Transition'!C:C,'Step 2'!B1559,'Support - Transition'!D:D,'Step 2'!C1559,'Support - Transition'!E:E,"CIVIL")</f>
        <v>0</v>
      </c>
      <c r="H1559" s="126">
        <f>SUMIFS('Support - Transition'!F:F,'Support - Transition'!B:B,'Step 2'!A1559,'Support - Transition'!C:C,'Step 2'!B1559,'Support - Transition'!D:D,'Step 2'!C1559,'Support - Transition'!E:E,"FIRE")</f>
        <v>0</v>
      </c>
      <c r="I1559" s="126">
        <f>IF(B1559="0",SUMIFS('Support - Transition'!F:F,'Support - Transition'!J:J,'Step 2'!D1559,'Support - Transition'!E:E,"STATE UNIT"),SUMIFS('Support - Transition'!F:F,'Support - Transition'!J:J,'Step 2'!D1559))</f>
        <v>1.341E-3</v>
      </c>
      <c r="J1559" s="126">
        <f>SUMIFS('Support - Unit Adjustments'!E:E,'Support - Unit Adjustments'!F:F,'Step 2'!D1559)</f>
        <v>0</v>
      </c>
      <c r="K1559" s="126">
        <f t="shared" si="460"/>
        <v>1.341E-3</v>
      </c>
      <c r="L1559" s="174">
        <f>VLOOKUP(A1559,'Step 1'!$A:$E,4,FALSE)</f>
        <v>526148</v>
      </c>
      <c r="M1559" s="47">
        <f t="shared" si="461"/>
        <v>706</v>
      </c>
      <c r="N1559" s="177">
        <f>SUMIFS('Support - Transition'!G:G,'Support - Transition'!J:J,'Step 2'!D1559,'Support - Transition'!E:E,"2009 WELFARE ALLOCATION FACTOR")</f>
        <v>0</v>
      </c>
      <c r="O1559" s="152">
        <f t="shared" si="466"/>
        <v>0</v>
      </c>
      <c r="P1559" s="126">
        <f>IF(E1559="Y",0,SUMIFS('Support - Transition'!G:G,'Support - Transition'!J:J,'Step 2'!D1559,'Support - Transition'!E:E,"2009 SCHOOL ALLOCATION FACTOR"))</f>
        <v>0</v>
      </c>
      <c r="Q1559" s="126">
        <f>IF(E1559="Y",VLOOKUP(D1559,'Support - Unit Adjustments'!F:G,2,FALSE),0)</f>
        <v>0</v>
      </c>
      <c r="R1559" s="155">
        <f t="shared" si="478"/>
        <v>0</v>
      </c>
      <c r="S1559" s="47">
        <f t="shared" si="477"/>
        <v>0</v>
      </c>
      <c r="T1559" s="151">
        <f t="shared" si="462"/>
        <v>706</v>
      </c>
      <c r="U1559" s="151">
        <f t="shared" si="463"/>
        <v>0</v>
      </c>
      <c r="V1559" s="139">
        <f t="shared" si="464"/>
        <v>0</v>
      </c>
      <c r="W1559" s="152">
        <f t="shared" si="467"/>
        <v>706</v>
      </c>
      <c r="X1559" s="127" t="str">
        <f t="shared" si="465"/>
        <v/>
      </c>
      <c r="Y1559" s="207">
        <f t="shared" si="468"/>
        <v>706</v>
      </c>
      <c r="Z1559" s="139">
        <f t="shared" si="469"/>
        <v>706</v>
      </c>
      <c r="AA1559" s="139">
        <f t="shared" si="470"/>
        <v>0</v>
      </c>
      <c r="AC1559" s="47">
        <f t="shared" si="471"/>
        <v>353</v>
      </c>
      <c r="AD1559" s="47">
        <f t="shared" si="472"/>
        <v>353</v>
      </c>
      <c r="AE1559" s="47">
        <f t="shared" si="473"/>
        <v>0</v>
      </c>
      <c r="AG1559" s="47">
        <f t="shared" si="474"/>
        <v>353</v>
      </c>
      <c r="AH1559" s="47">
        <f t="shared" si="475"/>
        <v>353</v>
      </c>
      <c r="AI1559" s="208">
        <f t="shared" si="476"/>
        <v>0</v>
      </c>
    </row>
    <row r="1560" spans="1:35">
      <c r="A1560" t="s">
        <v>2134</v>
      </c>
      <c r="B1560" t="s">
        <v>3155</v>
      </c>
      <c r="C1560" t="s">
        <v>2825</v>
      </c>
      <c r="D1560" t="s">
        <v>4978</v>
      </c>
      <c r="F1560" t="s">
        <v>1198</v>
      </c>
      <c r="G1560" s="126">
        <f>SUMIFS('Support - Transition'!F:F,'Support - Transition'!B:B,'Step 2'!A1560,'Support - Transition'!C:C,'Step 2'!B1560,'Support - Transition'!D:D,'Step 2'!C1560,'Support - Transition'!E:E,"CIVIL")</f>
        <v>0</v>
      </c>
      <c r="H1560" s="126">
        <f>SUMIFS('Support - Transition'!F:F,'Support - Transition'!B:B,'Step 2'!A1560,'Support - Transition'!C:C,'Step 2'!B1560,'Support - Transition'!D:D,'Step 2'!C1560,'Support - Transition'!E:E,"FIRE")</f>
        <v>0</v>
      </c>
      <c r="I1560" s="126">
        <f>IF(B1560="0",SUMIFS('Support - Transition'!F:F,'Support - Transition'!J:J,'Step 2'!D1560,'Support - Transition'!E:E,"STATE UNIT"),SUMIFS('Support - Transition'!F:F,'Support - Transition'!J:J,'Step 2'!D1560))</f>
        <v>3.6400000000000001E-4</v>
      </c>
      <c r="J1560" s="126">
        <f>SUMIFS('Support - Unit Adjustments'!E:E,'Support - Unit Adjustments'!F:F,'Step 2'!D1560)</f>
        <v>0</v>
      </c>
      <c r="K1560" s="126">
        <f t="shared" si="460"/>
        <v>3.6400000000000001E-4</v>
      </c>
      <c r="L1560" s="174">
        <f>VLOOKUP(A1560,'Step 1'!$A:$E,4,FALSE)</f>
        <v>526148</v>
      </c>
      <c r="M1560" s="47">
        <f t="shared" si="461"/>
        <v>192</v>
      </c>
      <c r="N1560" s="177">
        <f>SUMIFS('Support - Transition'!G:G,'Support - Transition'!J:J,'Step 2'!D1560,'Support - Transition'!E:E,"2009 WELFARE ALLOCATION FACTOR")</f>
        <v>0</v>
      </c>
      <c r="O1560" s="152">
        <f t="shared" si="466"/>
        <v>0</v>
      </c>
      <c r="P1560" s="126">
        <f>IF(E1560="Y",0,SUMIFS('Support - Transition'!G:G,'Support - Transition'!J:J,'Step 2'!D1560,'Support - Transition'!E:E,"2009 SCHOOL ALLOCATION FACTOR"))</f>
        <v>0</v>
      </c>
      <c r="Q1560" s="126">
        <f>IF(E1560="Y",VLOOKUP(D1560,'Support - Unit Adjustments'!F:G,2,FALSE),0)</f>
        <v>0</v>
      </c>
      <c r="R1560" s="155">
        <f t="shared" si="478"/>
        <v>0</v>
      </c>
      <c r="S1560" s="47">
        <f t="shared" si="477"/>
        <v>0</v>
      </c>
      <c r="T1560" s="151">
        <f t="shared" si="462"/>
        <v>192</v>
      </c>
      <c r="U1560" s="151">
        <f t="shared" si="463"/>
        <v>0</v>
      </c>
      <c r="V1560" s="139">
        <f t="shared" si="464"/>
        <v>0</v>
      </c>
      <c r="W1560" s="152">
        <f t="shared" si="467"/>
        <v>192</v>
      </c>
      <c r="X1560" s="127" t="str">
        <f t="shared" si="465"/>
        <v/>
      </c>
      <c r="Y1560" s="207">
        <f t="shared" si="468"/>
        <v>192</v>
      </c>
      <c r="Z1560" s="139">
        <f t="shared" si="469"/>
        <v>192</v>
      </c>
      <c r="AA1560" s="139">
        <f t="shared" si="470"/>
        <v>0</v>
      </c>
      <c r="AC1560" s="47">
        <f t="shared" si="471"/>
        <v>96</v>
      </c>
      <c r="AD1560" s="47">
        <f t="shared" si="472"/>
        <v>96</v>
      </c>
      <c r="AE1560" s="47">
        <f t="shared" si="473"/>
        <v>0</v>
      </c>
      <c r="AG1560" s="47">
        <f t="shared" si="474"/>
        <v>96</v>
      </c>
      <c r="AH1560" s="47">
        <f t="shared" si="475"/>
        <v>96</v>
      </c>
      <c r="AI1560" s="208">
        <f t="shared" si="476"/>
        <v>0</v>
      </c>
    </row>
    <row r="1561" spans="1:35">
      <c r="A1561" t="s">
        <v>2134</v>
      </c>
      <c r="B1561" t="s">
        <v>3160</v>
      </c>
      <c r="C1561" t="s">
        <v>2458</v>
      </c>
      <c r="D1561" t="s">
        <v>4979</v>
      </c>
      <c r="F1561" t="s">
        <v>557</v>
      </c>
      <c r="G1561" s="126">
        <f>SUMIFS('Support - Transition'!F:F,'Support - Transition'!B:B,'Step 2'!A1561,'Support - Transition'!C:C,'Step 2'!B1561,'Support - Transition'!D:D,'Step 2'!C1561,'Support - Transition'!E:E,"CIVIL")</f>
        <v>0</v>
      </c>
      <c r="H1561" s="126">
        <f>SUMIFS('Support - Transition'!F:F,'Support - Transition'!B:B,'Step 2'!A1561,'Support - Transition'!C:C,'Step 2'!B1561,'Support - Transition'!D:D,'Step 2'!C1561,'Support - Transition'!E:E,"FIRE")</f>
        <v>0</v>
      </c>
      <c r="I1561" s="126">
        <f>IF(B1561="0",SUMIFS('Support - Transition'!F:F,'Support - Transition'!J:J,'Step 2'!D1561,'Support - Transition'!E:E,"STATE UNIT"),SUMIFS('Support - Transition'!F:F,'Support - Transition'!J:J,'Step 2'!D1561))</f>
        <v>5.6209000000000002E-2</v>
      </c>
      <c r="J1561" s="126">
        <f>SUMIFS('Support - Unit Adjustments'!E:E,'Support - Unit Adjustments'!F:F,'Step 2'!D1561)</f>
        <v>0</v>
      </c>
      <c r="K1561" s="126">
        <f t="shared" si="460"/>
        <v>5.6209000000000002E-2</v>
      </c>
      <c r="L1561" s="174">
        <f>VLOOKUP(A1561,'Step 1'!$A:$E,4,FALSE)</f>
        <v>526148</v>
      </c>
      <c r="M1561" s="47">
        <f t="shared" si="461"/>
        <v>29574</v>
      </c>
      <c r="N1561" s="177">
        <f>SUMIFS('Support - Transition'!G:G,'Support - Transition'!J:J,'Step 2'!D1561,'Support - Transition'!E:E,"2009 WELFARE ALLOCATION FACTOR")</f>
        <v>0</v>
      </c>
      <c r="O1561" s="152">
        <f t="shared" si="466"/>
        <v>0</v>
      </c>
      <c r="P1561" s="126">
        <f>IF(E1561="Y",0,SUMIFS('Support - Transition'!G:G,'Support - Transition'!J:J,'Step 2'!D1561,'Support - Transition'!E:E,"2009 SCHOOL ALLOCATION FACTOR"))</f>
        <v>0.48541400000000001</v>
      </c>
      <c r="Q1561" s="126">
        <f>IF(E1561="Y",VLOOKUP(D1561,'Support - Unit Adjustments'!F:G,2,FALSE),0)</f>
        <v>0</v>
      </c>
      <c r="R1561" s="155">
        <f t="shared" si="478"/>
        <v>0.48541400000000001</v>
      </c>
      <c r="S1561" s="47">
        <f t="shared" si="477"/>
        <v>14356</v>
      </c>
      <c r="T1561" s="151">
        <f t="shared" si="462"/>
        <v>15218</v>
      </c>
      <c r="U1561" s="151">
        <f t="shared" si="463"/>
        <v>0</v>
      </c>
      <c r="V1561" s="139">
        <f t="shared" si="464"/>
        <v>0</v>
      </c>
      <c r="W1561" s="152">
        <f t="shared" si="467"/>
        <v>15218</v>
      </c>
      <c r="X1561" s="127" t="str">
        <f t="shared" si="465"/>
        <v/>
      </c>
      <c r="Y1561" s="207">
        <f t="shared" si="468"/>
        <v>15218</v>
      </c>
      <c r="Z1561" s="139">
        <f t="shared" si="469"/>
        <v>15218</v>
      </c>
      <c r="AA1561" s="139">
        <f t="shared" si="470"/>
        <v>0</v>
      </c>
      <c r="AC1561" s="47">
        <f t="shared" si="471"/>
        <v>7609</v>
      </c>
      <c r="AD1561" s="47">
        <f t="shared" si="472"/>
        <v>7609</v>
      </c>
      <c r="AE1561" s="47">
        <f t="shared" si="473"/>
        <v>0</v>
      </c>
      <c r="AG1561" s="47">
        <f t="shared" si="474"/>
        <v>7609</v>
      </c>
      <c r="AH1561" s="47">
        <f t="shared" si="475"/>
        <v>7609</v>
      </c>
      <c r="AI1561" s="208">
        <f t="shared" si="476"/>
        <v>0</v>
      </c>
    </row>
    <row r="1562" spans="1:35">
      <c r="A1562" t="s">
        <v>2134</v>
      </c>
      <c r="B1562" t="s">
        <v>3160</v>
      </c>
      <c r="C1562" t="s">
        <v>2826</v>
      </c>
      <c r="D1562" t="s">
        <v>4980</v>
      </c>
      <c r="F1562" t="s">
        <v>1200</v>
      </c>
      <c r="G1562" s="126">
        <f>SUMIFS('Support - Transition'!F:F,'Support - Transition'!B:B,'Step 2'!A1562,'Support - Transition'!C:C,'Step 2'!B1562,'Support - Transition'!D:D,'Step 2'!C1562,'Support - Transition'!E:E,"CIVIL")</f>
        <v>0</v>
      </c>
      <c r="H1562" s="126">
        <f>SUMIFS('Support - Transition'!F:F,'Support - Transition'!B:B,'Step 2'!A1562,'Support - Transition'!C:C,'Step 2'!B1562,'Support - Transition'!D:D,'Step 2'!C1562,'Support - Transition'!E:E,"FIRE")</f>
        <v>0</v>
      </c>
      <c r="I1562" s="126">
        <f>IF(B1562="0",SUMIFS('Support - Transition'!F:F,'Support - Transition'!J:J,'Step 2'!D1562,'Support - Transition'!E:E,"STATE UNIT"),SUMIFS('Support - Transition'!F:F,'Support - Transition'!J:J,'Step 2'!D1562))</f>
        <v>4.5342E-2</v>
      </c>
      <c r="J1562" s="126">
        <f>SUMIFS('Support - Unit Adjustments'!E:E,'Support - Unit Adjustments'!F:F,'Step 2'!D1562)</f>
        <v>0</v>
      </c>
      <c r="K1562" s="126">
        <f t="shared" si="460"/>
        <v>4.5342E-2</v>
      </c>
      <c r="L1562" s="174">
        <f>VLOOKUP(A1562,'Step 1'!$A:$E,4,FALSE)</f>
        <v>526148</v>
      </c>
      <c r="M1562" s="47">
        <f t="shared" si="461"/>
        <v>23857</v>
      </c>
      <c r="N1562" s="177">
        <f>SUMIFS('Support - Transition'!G:G,'Support - Transition'!J:J,'Step 2'!D1562,'Support - Transition'!E:E,"2009 WELFARE ALLOCATION FACTOR")</f>
        <v>0</v>
      </c>
      <c r="O1562" s="152">
        <f t="shared" si="466"/>
        <v>0</v>
      </c>
      <c r="P1562" s="126">
        <f>IF(E1562="Y",0,SUMIFS('Support - Transition'!G:G,'Support - Transition'!J:J,'Step 2'!D1562,'Support - Transition'!E:E,"2009 SCHOOL ALLOCATION FACTOR"))</f>
        <v>0.41400199999999998</v>
      </c>
      <c r="Q1562" s="126">
        <f>IF(E1562="Y",VLOOKUP(D1562,'Support - Unit Adjustments'!F:G,2,FALSE),0)</f>
        <v>0</v>
      </c>
      <c r="R1562" s="155">
        <f t="shared" si="478"/>
        <v>0.41400199999999998</v>
      </c>
      <c r="S1562" s="47">
        <f t="shared" si="477"/>
        <v>9877</v>
      </c>
      <c r="T1562" s="151">
        <f t="shared" si="462"/>
        <v>13980</v>
      </c>
      <c r="U1562" s="151">
        <f t="shared" si="463"/>
        <v>0</v>
      </c>
      <c r="V1562" s="139">
        <f t="shared" si="464"/>
        <v>0</v>
      </c>
      <c r="W1562" s="152">
        <f t="shared" si="467"/>
        <v>13980</v>
      </c>
      <c r="X1562" s="127" t="str">
        <f t="shared" si="465"/>
        <v/>
      </c>
      <c r="Y1562" s="207">
        <f t="shared" si="468"/>
        <v>13980</v>
      </c>
      <c r="Z1562" s="139">
        <f t="shared" si="469"/>
        <v>13980</v>
      </c>
      <c r="AA1562" s="139">
        <f t="shared" si="470"/>
        <v>0</v>
      </c>
      <c r="AC1562" s="47">
        <f t="shared" si="471"/>
        <v>6990</v>
      </c>
      <c r="AD1562" s="47">
        <f t="shared" si="472"/>
        <v>6990</v>
      </c>
      <c r="AE1562" s="47">
        <f t="shared" si="473"/>
        <v>0</v>
      </c>
      <c r="AG1562" s="47">
        <f t="shared" si="474"/>
        <v>6990</v>
      </c>
      <c r="AH1562" s="47">
        <f t="shared" si="475"/>
        <v>6990</v>
      </c>
      <c r="AI1562" s="208">
        <f t="shared" si="476"/>
        <v>0</v>
      </c>
    </row>
    <row r="1563" spans="1:35">
      <c r="A1563" t="s">
        <v>2134</v>
      </c>
      <c r="B1563" t="s">
        <v>3160</v>
      </c>
      <c r="C1563" t="s">
        <v>2827</v>
      </c>
      <c r="D1563" t="s">
        <v>4981</v>
      </c>
      <c r="F1563" t="s">
        <v>1201</v>
      </c>
      <c r="G1563" s="126">
        <f>SUMIFS('Support - Transition'!F:F,'Support - Transition'!B:B,'Step 2'!A1563,'Support - Transition'!C:C,'Step 2'!B1563,'Support - Transition'!D:D,'Step 2'!C1563,'Support - Transition'!E:E,"CIVIL")</f>
        <v>0</v>
      </c>
      <c r="H1563" s="126">
        <f>SUMIFS('Support - Transition'!F:F,'Support - Transition'!B:B,'Step 2'!A1563,'Support - Transition'!C:C,'Step 2'!B1563,'Support - Transition'!D:D,'Step 2'!C1563,'Support - Transition'!E:E,"FIRE")</f>
        <v>0</v>
      </c>
      <c r="I1563" s="126">
        <f>IF(B1563="0",SUMIFS('Support - Transition'!F:F,'Support - Transition'!J:J,'Step 2'!D1563,'Support - Transition'!E:E,"STATE UNIT"),SUMIFS('Support - Transition'!F:F,'Support - Transition'!J:J,'Step 2'!D1563))</f>
        <v>0.102782</v>
      </c>
      <c r="J1563" s="126">
        <f>SUMIFS('Support - Unit Adjustments'!E:E,'Support - Unit Adjustments'!F:F,'Step 2'!D1563)</f>
        <v>0</v>
      </c>
      <c r="K1563" s="126">
        <f t="shared" si="460"/>
        <v>0.102782</v>
      </c>
      <c r="L1563" s="174">
        <f>VLOOKUP(A1563,'Step 1'!$A:$E,4,FALSE)</f>
        <v>526148</v>
      </c>
      <c r="M1563" s="47">
        <f t="shared" si="461"/>
        <v>54079</v>
      </c>
      <c r="N1563" s="177">
        <f>SUMIFS('Support - Transition'!G:G,'Support - Transition'!J:J,'Step 2'!D1563,'Support - Transition'!E:E,"2009 WELFARE ALLOCATION FACTOR")</f>
        <v>0</v>
      </c>
      <c r="O1563" s="152">
        <f t="shared" si="466"/>
        <v>0</v>
      </c>
      <c r="P1563" s="126">
        <f>IF(E1563="Y",0,SUMIFS('Support - Transition'!G:G,'Support - Transition'!J:J,'Step 2'!D1563,'Support - Transition'!E:E,"2009 SCHOOL ALLOCATION FACTOR"))</f>
        <v>0.495645</v>
      </c>
      <c r="Q1563" s="126">
        <f>IF(E1563="Y",VLOOKUP(D1563,'Support - Unit Adjustments'!F:G,2,FALSE),0)</f>
        <v>0</v>
      </c>
      <c r="R1563" s="155">
        <f t="shared" si="478"/>
        <v>0.495645</v>
      </c>
      <c r="S1563" s="47">
        <f t="shared" si="477"/>
        <v>26804</v>
      </c>
      <c r="T1563" s="151">
        <f t="shared" si="462"/>
        <v>27275</v>
      </c>
      <c r="U1563" s="151">
        <f t="shared" si="463"/>
        <v>0</v>
      </c>
      <c r="V1563" s="139">
        <f t="shared" si="464"/>
        <v>0</v>
      </c>
      <c r="W1563" s="152">
        <f t="shared" si="467"/>
        <v>27275</v>
      </c>
      <c r="X1563" s="127" t="str">
        <f t="shared" si="465"/>
        <v/>
      </c>
      <c r="Y1563" s="207">
        <f t="shared" si="468"/>
        <v>27275</v>
      </c>
      <c r="Z1563" s="139">
        <f t="shared" si="469"/>
        <v>27275</v>
      </c>
      <c r="AA1563" s="139">
        <f t="shared" si="470"/>
        <v>0</v>
      </c>
      <c r="AC1563" s="47">
        <f t="shared" si="471"/>
        <v>13638</v>
      </c>
      <c r="AD1563" s="47">
        <f t="shared" si="472"/>
        <v>13638</v>
      </c>
      <c r="AE1563" s="47">
        <f t="shared" si="473"/>
        <v>0</v>
      </c>
      <c r="AG1563" s="47">
        <f t="shared" si="474"/>
        <v>13637</v>
      </c>
      <c r="AH1563" s="47">
        <f t="shared" si="475"/>
        <v>13637</v>
      </c>
      <c r="AI1563" s="208">
        <f t="shared" si="476"/>
        <v>0</v>
      </c>
    </row>
    <row r="1564" spans="1:35">
      <c r="A1564" t="s">
        <v>2134</v>
      </c>
      <c r="B1564" t="s">
        <v>3160</v>
      </c>
      <c r="C1564" t="s">
        <v>2828</v>
      </c>
      <c r="D1564" t="s">
        <v>4982</v>
      </c>
      <c r="F1564" t="s">
        <v>2829</v>
      </c>
      <c r="G1564" s="126">
        <f>SUMIFS('Support - Transition'!F:F,'Support - Transition'!B:B,'Step 2'!A1564,'Support - Transition'!C:C,'Step 2'!B1564,'Support - Transition'!D:D,'Step 2'!C1564,'Support - Transition'!E:E,"CIVIL")</f>
        <v>0</v>
      </c>
      <c r="H1564" s="126">
        <f>SUMIFS('Support - Transition'!F:F,'Support - Transition'!B:B,'Step 2'!A1564,'Support - Transition'!C:C,'Step 2'!B1564,'Support - Transition'!D:D,'Step 2'!C1564,'Support - Transition'!E:E,"FIRE")</f>
        <v>0</v>
      </c>
      <c r="I1564" s="126">
        <f>IF(B1564="0",SUMIFS('Support - Transition'!F:F,'Support - Transition'!J:J,'Step 2'!D1564,'Support - Transition'!E:E,"STATE UNIT"),SUMIFS('Support - Transition'!F:F,'Support - Transition'!J:J,'Step 2'!D1564))</f>
        <v>0.27815899999999999</v>
      </c>
      <c r="J1564" s="126">
        <f>SUMIFS('Support - Unit Adjustments'!E:E,'Support - Unit Adjustments'!F:F,'Step 2'!D1564)</f>
        <v>0</v>
      </c>
      <c r="K1564" s="126">
        <f t="shared" si="460"/>
        <v>0.27815899999999999</v>
      </c>
      <c r="L1564" s="174">
        <f>VLOOKUP(A1564,'Step 1'!$A:$E,4,FALSE)</f>
        <v>526148</v>
      </c>
      <c r="M1564" s="47">
        <f t="shared" si="461"/>
        <v>146353</v>
      </c>
      <c r="N1564" s="177">
        <f>SUMIFS('Support - Transition'!G:G,'Support - Transition'!J:J,'Step 2'!D1564,'Support - Transition'!E:E,"2009 WELFARE ALLOCATION FACTOR")</f>
        <v>0</v>
      </c>
      <c r="O1564" s="152">
        <f t="shared" si="466"/>
        <v>0</v>
      </c>
      <c r="P1564" s="126">
        <f>IF(E1564="Y",0,SUMIFS('Support - Transition'!G:G,'Support - Transition'!J:J,'Step 2'!D1564,'Support - Transition'!E:E,"2009 SCHOOL ALLOCATION FACTOR"))</f>
        <v>0.455814</v>
      </c>
      <c r="Q1564" s="126">
        <f>IF(E1564="Y",VLOOKUP(D1564,'Support - Unit Adjustments'!F:G,2,FALSE),0)</f>
        <v>0</v>
      </c>
      <c r="R1564" s="155">
        <f t="shared" si="478"/>
        <v>0.455814</v>
      </c>
      <c r="S1564" s="47">
        <f t="shared" si="477"/>
        <v>66710</v>
      </c>
      <c r="T1564" s="151">
        <f t="shared" si="462"/>
        <v>79643</v>
      </c>
      <c r="U1564" s="151">
        <f t="shared" si="463"/>
        <v>0</v>
      </c>
      <c r="V1564" s="139">
        <f t="shared" si="464"/>
        <v>0</v>
      </c>
      <c r="W1564" s="152">
        <f t="shared" si="467"/>
        <v>79643</v>
      </c>
      <c r="X1564" s="127" t="str">
        <f t="shared" si="465"/>
        <v/>
      </c>
      <c r="Y1564" s="207">
        <f t="shared" si="468"/>
        <v>79643</v>
      </c>
      <c r="Z1564" s="139">
        <f t="shared" si="469"/>
        <v>79643</v>
      </c>
      <c r="AA1564" s="139">
        <f t="shared" si="470"/>
        <v>0</v>
      </c>
      <c r="AC1564" s="47">
        <f t="shared" si="471"/>
        <v>39822</v>
      </c>
      <c r="AD1564" s="47">
        <f t="shared" si="472"/>
        <v>39822</v>
      </c>
      <c r="AE1564" s="47">
        <f t="shared" si="473"/>
        <v>0</v>
      </c>
      <c r="AG1564" s="47">
        <f t="shared" si="474"/>
        <v>39821</v>
      </c>
      <c r="AH1564" s="47">
        <f t="shared" si="475"/>
        <v>39821</v>
      </c>
      <c r="AI1564" s="208">
        <f t="shared" si="476"/>
        <v>0</v>
      </c>
    </row>
    <row r="1565" spans="1:35">
      <c r="A1565" t="s">
        <v>2134</v>
      </c>
      <c r="B1565" t="s">
        <v>3160</v>
      </c>
      <c r="C1565" t="s">
        <v>2684</v>
      </c>
      <c r="D1565" t="s">
        <v>4983</v>
      </c>
      <c r="F1565" t="s">
        <v>969</v>
      </c>
      <c r="G1565" s="126">
        <f>SUMIFS('Support - Transition'!F:F,'Support - Transition'!B:B,'Step 2'!A1565,'Support - Transition'!C:C,'Step 2'!B1565,'Support - Transition'!D:D,'Step 2'!C1565,'Support - Transition'!E:E,"CIVIL")</f>
        <v>0</v>
      </c>
      <c r="H1565" s="126">
        <f>SUMIFS('Support - Transition'!F:F,'Support - Transition'!B:B,'Step 2'!A1565,'Support - Transition'!C:C,'Step 2'!B1565,'Support - Transition'!D:D,'Step 2'!C1565,'Support - Transition'!E:E,"FIRE")</f>
        <v>0</v>
      </c>
      <c r="I1565" s="126">
        <f>IF(B1565="0",SUMIFS('Support - Transition'!F:F,'Support - Transition'!J:J,'Step 2'!D1565,'Support - Transition'!E:E,"STATE UNIT"),SUMIFS('Support - Transition'!F:F,'Support - Transition'!J:J,'Step 2'!D1565))</f>
        <v>5.6895000000000001E-2</v>
      </c>
      <c r="J1565" s="126">
        <f>SUMIFS('Support - Unit Adjustments'!E:E,'Support - Unit Adjustments'!F:F,'Step 2'!D1565)</f>
        <v>0</v>
      </c>
      <c r="K1565" s="126">
        <f t="shared" si="460"/>
        <v>5.6895000000000001E-2</v>
      </c>
      <c r="L1565" s="174">
        <f>VLOOKUP(A1565,'Step 1'!$A:$E,4,FALSE)</f>
        <v>526148</v>
      </c>
      <c r="M1565" s="47">
        <f t="shared" si="461"/>
        <v>29935</v>
      </c>
      <c r="N1565" s="177">
        <f>SUMIFS('Support - Transition'!G:G,'Support - Transition'!J:J,'Step 2'!D1565,'Support - Transition'!E:E,"2009 WELFARE ALLOCATION FACTOR")</f>
        <v>0</v>
      </c>
      <c r="O1565" s="152">
        <f t="shared" si="466"/>
        <v>0</v>
      </c>
      <c r="P1565" s="126">
        <f>IF(E1565="Y",0,SUMIFS('Support - Transition'!G:G,'Support - Transition'!J:J,'Step 2'!D1565,'Support - Transition'!E:E,"2009 SCHOOL ALLOCATION FACTOR"))</f>
        <v>0.50257799999999997</v>
      </c>
      <c r="Q1565" s="126">
        <f>IF(E1565="Y",VLOOKUP(D1565,'Support - Unit Adjustments'!F:G,2,FALSE),0)</f>
        <v>0</v>
      </c>
      <c r="R1565" s="155">
        <f t="shared" si="478"/>
        <v>0.50257799999999997</v>
      </c>
      <c r="S1565" s="47">
        <f t="shared" si="477"/>
        <v>15045</v>
      </c>
      <c r="T1565" s="151">
        <f t="shared" si="462"/>
        <v>14890</v>
      </c>
      <c r="U1565" s="151">
        <f t="shared" si="463"/>
        <v>0</v>
      </c>
      <c r="V1565" s="139">
        <f t="shared" si="464"/>
        <v>0</v>
      </c>
      <c r="W1565" s="152">
        <f t="shared" si="467"/>
        <v>14890</v>
      </c>
      <c r="X1565" s="127" t="str">
        <f t="shared" si="465"/>
        <v/>
      </c>
      <c r="Y1565" s="207">
        <f t="shared" si="468"/>
        <v>14890</v>
      </c>
      <c r="Z1565" s="139">
        <f t="shared" si="469"/>
        <v>14890</v>
      </c>
      <c r="AA1565" s="139">
        <f t="shared" si="470"/>
        <v>0</v>
      </c>
      <c r="AC1565" s="47">
        <f t="shared" si="471"/>
        <v>7445</v>
      </c>
      <c r="AD1565" s="47">
        <f t="shared" si="472"/>
        <v>7445</v>
      </c>
      <c r="AE1565" s="47">
        <f t="shared" si="473"/>
        <v>0</v>
      </c>
      <c r="AG1565" s="47">
        <f t="shared" si="474"/>
        <v>7445</v>
      </c>
      <c r="AH1565" s="47">
        <f t="shared" si="475"/>
        <v>7445</v>
      </c>
      <c r="AI1565" s="208">
        <f t="shared" si="476"/>
        <v>0</v>
      </c>
    </row>
    <row r="1566" spans="1:35">
      <c r="A1566" t="s">
        <v>2134</v>
      </c>
      <c r="B1566" t="s">
        <v>3160</v>
      </c>
      <c r="C1566" t="s">
        <v>2759</v>
      </c>
      <c r="D1566" t="s">
        <v>4984</v>
      </c>
      <c r="F1566" t="s">
        <v>1087</v>
      </c>
      <c r="G1566" s="126">
        <f>SUMIFS('Support - Transition'!F:F,'Support - Transition'!B:B,'Step 2'!A1566,'Support - Transition'!C:C,'Step 2'!B1566,'Support - Transition'!D:D,'Step 2'!C1566,'Support - Transition'!E:E,"CIVIL")</f>
        <v>0</v>
      </c>
      <c r="H1566" s="126">
        <f>SUMIFS('Support - Transition'!F:F,'Support - Transition'!B:B,'Step 2'!A1566,'Support - Transition'!C:C,'Step 2'!B1566,'Support - Transition'!D:D,'Step 2'!C1566,'Support - Transition'!E:E,"FIRE")</f>
        <v>0</v>
      </c>
      <c r="I1566" s="126">
        <f>IF(B1566="0",SUMIFS('Support - Transition'!F:F,'Support - Transition'!J:J,'Step 2'!D1566,'Support - Transition'!E:E,"STATE UNIT"),SUMIFS('Support - Transition'!F:F,'Support - Transition'!J:J,'Step 2'!D1566))</f>
        <v>2.7023999999999999E-2</v>
      </c>
      <c r="J1566" s="126">
        <f>SUMIFS('Support - Unit Adjustments'!E:E,'Support - Unit Adjustments'!F:F,'Step 2'!D1566)</f>
        <v>0</v>
      </c>
      <c r="K1566" s="126">
        <f t="shared" si="460"/>
        <v>2.7023999999999999E-2</v>
      </c>
      <c r="L1566" s="174">
        <f>VLOOKUP(A1566,'Step 1'!$A:$E,4,FALSE)</f>
        <v>526148</v>
      </c>
      <c r="M1566" s="47">
        <f t="shared" si="461"/>
        <v>14219</v>
      </c>
      <c r="N1566" s="177">
        <f>SUMIFS('Support - Transition'!G:G,'Support - Transition'!J:J,'Step 2'!D1566,'Support - Transition'!E:E,"2009 WELFARE ALLOCATION FACTOR")</f>
        <v>0</v>
      </c>
      <c r="O1566" s="152">
        <f t="shared" si="466"/>
        <v>0</v>
      </c>
      <c r="P1566" s="126">
        <f>IF(E1566="Y",0,SUMIFS('Support - Transition'!G:G,'Support - Transition'!J:J,'Step 2'!D1566,'Support - Transition'!E:E,"2009 SCHOOL ALLOCATION FACTOR"))</f>
        <v>0.41838999999999998</v>
      </c>
      <c r="Q1566" s="126">
        <f>IF(E1566="Y",VLOOKUP(D1566,'Support - Unit Adjustments'!F:G,2,FALSE),0)</f>
        <v>0</v>
      </c>
      <c r="R1566" s="155">
        <f t="shared" si="478"/>
        <v>0.41838999999999998</v>
      </c>
      <c r="S1566" s="47">
        <f t="shared" si="477"/>
        <v>5949</v>
      </c>
      <c r="T1566" s="151">
        <f t="shared" si="462"/>
        <v>8270</v>
      </c>
      <c r="U1566" s="151">
        <f t="shared" si="463"/>
        <v>0</v>
      </c>
      <c r="V1566" s="139">
        <f t="shared" si="464"/>
        <v>0</v>
      </c>
      <c r="W1566" s="152">
        <f t="shared" si="467"/>
        <v>8270</v>
      </c>
      <c r="X1566" s="127" t="str">
        <f t="shared" si="465"/>
        <v/>
      </c>
      <c r="Y1566" s="207">
        <f t="shared" si="468"/>
        <v>8270</v>
      </c>
      <c r="Z1566" s="139">
        <f t="shared" si="469"/>
        <v>8270</v>
      </c>
      <c r="AA1566" s="139">
        <f t="shared" si="470"/>
        <v>0</v>
      </c>
      <c r="AC1566" s="47">
        <f t="shared" si="471"/>
        <v>4135</v>
      </c>
      <c r="AD1566" s="47">
        <f t="shared" si="472"/>
        <v>4135</v>
      </c>
      <c r="AE1566" s="47">
        <f t="shared" si="473"/>
        <v>0</v>
      </c>
      <c r="AG1566" s="47">
        <f t="shared" si="474"/>
        <v>4135</v>
      </c>
      <c r="AH1566" s="47">
        <f t="shared" si="475"/>
        <v>4135</v>
      </c>
      <c r="AI1566" s="208">
        <f t="shared" si="476"/>
        <v>0</v>
      </c>
    </row>
    <row r="1567" spans="1:35">
      <c r="A1567" t="s">
        <v>2134</v>
      </c>
      <c r="B1567" t="s">
        <v>3160</v>
      </c>
      <c r="C1567" t="s">
        <v>2830</v>
      </c>
      <c r="D1567" t="s">
        <v>4985</v>
      </c>
      <c r="F1567" t="s">
        <v>1203</v>
      </c>
      <c r="G1567" s="126">
        <f>SUMIFS('Support - Transition'!F:F,'Support - Transition'!B:B,'Step 2'!A1567,'Support - Transition'!C:C,'Step 2'!B1567,'Support - Transition'!D:D,'Step 2'!C1567,'Support - Transition'!E:E,"CIVIL")</f>
        <v>0</v>
      </c>
      <c r="H1567" s="126">
        <f>SUMIFS('Support - Transition'!F:F,'Support - Transition'!B:B,'Step 2'!A1567,'Support - Transition'!C:C,'Step 2'!B1567,'Support - Transition'!D:D,'Step 2'!C1567,'Support - Transition'!E:E,"FIRE")</f>
        <v>0</v>
      </c>
      <c r="I1567" s="126">
        <f>IF(B1567="0",SUMIFS('Support - Transition'!F:F,'Support - Transition'!J:J,'Step 2'!D1567,'Support - Transition'!E:E,"STATE UNIT"),SUMIFS('Support - Transition'!F:F,'Support - Transition'!J:J,'Step 2'!D1567))</f>
        <v>4.6542E-2</v>
      </c>
      <c r="J1567" s="126">
        <f>SUMIFS('Support - Unit Adjustments'!E:E,'Support - Unit Adjustments'!F:F,'Step 2'!D1567)</f>
        <v>0</v>
      </c>
      <c r="K1567" s="126">
        <f t="shared" si="460"/>
        <v>4.6542E-2</v>
      </c>
      <c r="L1567" s="174">
        <f>VLOOKUP(A1567,'Step 1'!$A:$E,4,FALSE)</f>
        <v>526148</v>
      </c>
      <c r="M1567" s="47">
        <f t="shared" si="461"/>
        <v>24488</v>
      </c>
      <c r="N1567" s="177">
        <f>SUMIFS('Support - Transition'!G:G,'Support - Transition'!J:J,'Step 2'!D1567,'Support - Transition'!E:E,"2009 WELFARE ALLOCATION FACTOR")</f>
        <v>0</v>
      </c>
      <c r="O1567" s="152">
        <f t="shared" si="466"/>
        <v>0</v>
      </c>
      <c r="P1567" s="126">
        <f>IF(E1567="Y",0,SUMIFS('Support - Transition'!G:G,'Support - Transition'!J:J,'Step 2'!D1567,'Support - Transition'!E:E,"2009 SCHOOL ALLOCATION FACTOR"))</f>
        <v>0.49469099999999999</v>
      </c>
      <c r="Q1567" s="126">
        <f>IF(E1567="Y",VLOOKUP(D1567,'Support - Unit Adjustments'!F:G,2,FALSE),0)</f>
        <v>0</v>
      </c>
      <c r="R1567" s="155">
        <f t="shared" si="478"/>
        <v>0.49469099999999999</v>
      </c>
      <c r="S1567" s="47">
        <f t="shared" si="477"/>
        <v>12114</v>
      </c>
      <c r="T1567" s="151">
        <f t="shared" si="462"/>
        <v>12374</v>
      </c>
      <c r="U1567" s="151">
        <f t="shared" si="463"/>
        <v>0</v>
      </c>
      <c r="V1567" s="139">
        <f t="shared" si="464"/>
        <v>0</v>
      </c>
      <c r="W1567" s="152">
        <f t="shared" si="467"/>
        <v>12374</v>
      </c>
      <c r="X1567" s="127" t="str">
        <f t="shared" si="465"/>
        <v/>
      </c>
      <c r="Y1567" s="207">
        <f t="shared" si="468"/>
        <v>12374</v>
      </c>
      <c r="Z1567" s="139">
        <f t="shared" si="469"/>
        <v>12374</v>
      </c>
      <c r="AA1567" s="139">
        <f t="shared" si="470"/>
        <v>0</v>
      </c>
      <c r="AC1567" s="47">
        <f t="shared" si="471"/>
        <v>6187</v>
      </c>
      <c r="AD1567" s="47">
        <f t="shared" si="472"/>
        <v>6187</v>
      </c>
      <c r="AE1567" s="47">
        <f t="shared" si="473"/>
        <v>0</v>
      </c>
      <c r="AG1567" s="47">
        <f t="shared" si="474"/>
        <v>6187</v>
      </c>
      <c r="AH1567" s="47">
        <f t="shared" si="475"/>
        <v>6187</v>
      </c>
      <c r="AI1567" s="208">
        <f t="shared" si="476"/>
        <v>0</v>
      </c>
    </row>
    <row r="1568" spans="1:35">
      <c r="A1568" t="s">
        <v>2134</v>
      </c>
      <c r="B1568" t="s">
        <v>3166</v>
      </c>
      <c r="C1568" t="s">
        <v>2831</v>
      </c>
      <c r="D1568" t="s">
        <v>4986</v>
      </c>
      <c r="F1568" t="s">
        <v>1204</v>
      </c>
      <c r="G1568" s="126">
        <f>SUMIFS('Support - Transition'!F:F,'Support - Transition'!B:B,'Step 2'!A1568,'Support - Transition'!C:C,'Step 2'!B1568,'Support - Transition'!D:D,'Step 2'!C1568,'Support - Transition'!E:E,"CIVIL")</f>
        <v>0</v>
      </c>
      <c r="H1568" s="126">
        <f>SUMIFS('Support - Transition'!F:F,'Support - Transition'!B:B,'Step 2'!A1568,'Support - Transition'!C:C,'Step 2'!B1568,'Support - Transition'!D:D,'Step 2'!C1568,'Support - Transition'!E:E,"FIRE")</f>
        <v>0</v>
      </c>
      <c r="I1568" s="126">
        <f>IF(B1568="0",SUMIFS('Support - Transition'!F:F,'Support - Transition'!J:J,'Step 2'!D1568,'Support - Transition'!E:E,"STATE UNIT"),SUMIFS('Support - Transition'!F:F,'Support - Transition'!J:J,'Step 2'!D1568))</f>
        <v>1.4339999999999999E-3</v>
      </c>
      <c r="J1568" s="126">
        <f>SUMIFS('Support - Unit Adjustments'!E:E,'Support - Unit Adjustments'!F:F,'Step 2'!D1568)</f>
        <v>0</v>
      </c>
      <c r="K1568" s="126">
        <f t="shared" si="460"/>
        <v>1.4339999999999999E-3</v>
      </c>
      <c r="L1568" s="174">
        <f>VLOOKUP(A1568,'Step 1'!$A:$E,4,FALSE)</f>
        <v>526148</v>
      </c>
      <c r="M1568" s="47">
        <f t="shared" si="461"/>
        <v>754</v>
      </c>
      <c r="N1568" s="177">
        <f>SUMIFS('Support - Transition'!G:G,'Support - Transition'!J:J,'Step 2'!D1568,'Support - Transition'!E:E,"2009 WELFARE ALLOCATION FACTOR")</f>
        <v>0</v>
      </c>
      <c r="O1568" s="152">
        <f t="shared" si="466"/>
        <v>0</v>
      </c>
      <c r="P1568" s="126">
        <f>IF(E1568="Y",0,SUMIFS('Support - Transition'!G:G,'Support - Transition'!J:J,'Step 2'!D1568,'Support - Transition'!E:E,"2009 SCHOOL ALLOCATION FACTOR"))</f>
        <v>0</v>
      </c>
      <c r="Q1568" s="126">
        <f>IF(E1568="Y",VLOOKUP(D1568,'Support - Unit Adjustments'!F:G,2,FALSE),0)</f>
        <v>0</v>
      </c>
      <c r="R1568" s="155">
        <f t="shared" si="478"/>
        <v>0</v>
      </c>
      <c r="S1568" s="47">
        <f t="shared" si="477"/>
        <v>0</v>
      </c>
      <c r="T1568" s="151">
        <f t="shared" si="462"/>
        <v>754</v>
      </c>
      <c r="U1568" s="151">
        <f t="shared" si="463"/>
        <v>0</v>
      </c>
      <c r="V1568" s="139">
        <f t="shared" si="464"/>
        <v>0</v>
      </c>
      <c r="W1568" s="152">
        <f t="shared" si="467"/>
        <v>754</v>
      </c>
      <c r="X1568" s="127" t="str">
        <f t="shared" si="465"/>
        <v/>
      </c>
      <c r="Y1568" s="207">
        <f t="shared" si="468"/>
        <v>754</v>
      </c>
      <c r="Z1568" s="139">
        <f t="shared" si="469"/>
        <v>754</v>
      </c>
      <c r="AA1568" s="139">
        <f t="shared" si="470"/>
        <v>0</v>
      </c>
      <c r="AC1568" s="47">
        <f t="shared" si="471"/>
        <v>377</v>
      </c>
      <c r="AD1568" s="47">
        <f t="shared" si="472"/>
        <v>377</v>
      </c>
      <c r="AE1568" s="47">
        <f t="shared" si="473"/>
        <v>0</v>
      </c>
      <c r="AG1568" s="47">
        <f t="shared" si="474"/>
        <v>377</v>
      </c>
      <c r="AH1568" s="47">
        <f t="shared" si="475"/>
        <v>377</v>
      </c>
      <c r="AI1568" s="208">
        <f t="shared" si="476"/>
        <v>0</v>
      </c>
    </row>
    <row r="1569" spans="1:35">
      <c r="A1569" t="s">
        <v>2134</v>
      </c>
      <c r="B1569" t="s">
        <v>3166</v>
      </c>
      <c r="C1569" t="s">
        <v>2832</v>
      </c>
      <c r="D1569" t="s">
        <v>4987</v>
      </c>
      <c r="F1569" t="s">
        <v>1205</v>
      </c>
      <c r="G1569" s="126">
        <f>SUMIFS('Support - Transition'!F:F,'Support - Transition'!B:B,'Step 2'!A1569,'Support - Transition'!C:C,'Step 2'!B1569,'Support - Transition'!D:D,'Step 2'!C1569,'Support - Transition'!E:E,"CIVIL")</f>
        <v>0</v>
      </c>
      <c r="H1569" s="126">
        <f>SUMIFS('Support - Transition'!F:F,'Support - Transition'!B:B,'Step 2'!A1569,'Support - Transition'!C:C,'Step 2'!B1569,'Support - Transition'!D:D,'Step 2'!C1569,'Support - Transition'!E:E,"FIRE")</f>
        <v>0</v>
      </c>
      <c r="I1569" s="126">
        <f>IF(B1569="0",SUMIFS('Support - Transition'!F:F,'Support - Transition'!J:J,'Step 2'!D1569,'Support - Transition'!E:E,"STATE UNIT"),SUMIFS('Support - Transition'!F:F,'Support - Transition'!J:J,'Step 2'!D1569))</f>
        <v>1.8289999999999999E-3</v>
      </c>
      <c r="J1569" s="126">
        <f>SUMIFS('Support - Unit Adjustments'!E:E,'Support - Unit Adjustments'!F:F,'Step 2'!D1569)</f>
        <v>0</v>
      </c>
      <c r="K1569" s="126">
        <f t="shared" si="460"/>
        <v>1.8289999999999999E-3</v>
      </c>
      <c r="L1569" s="174">
        <f>VLOOKUP(A1569,'Step 1'!$A:$E,4,FALSE)</f>
        <v>526148</v>
      </c>
      <c r="M1569" s="47">
        <f t="shared" si="461"/>
        <v>962</v>
      </c>
      <c r="N1569" s="177">
        <f>SUMIFS('Support - Transition'!G:G,'Support - Transition'!J:J,'Step 2'!D1569,'Support - Transition'!E:E,"2009 WELFARE ALLOCATION FACTOR")</f>
        <v>0</v>
      </c>
      <c r="O1569" s="152">
        <f t="shared" si="466"/>
        <v>0</v>
      </c>
      <c r="P1569" s="126">
        <f>IF(E1569="Y",0,SUMIFS('Support - Transition'!G:G,'Support - Transition'!J:J,'Step 2'!D1569,'Support - Transition'!E:E,"2009 SCHOOL ALLOCATION FACTOR"))</f>
        <v>0</v>
      </c>
      <c r="Q1569" s="126">
        <f>IF(E1569="Y",VLOOKUP(D1569,'Support - Unit Adjustments'!F:G,2,FALSE),0)</f>
        <v>0</v>
      </c>
      <c r="R1569" s="155">
        <f t="shared" si="478"/>
        <v>0</v>
      </c>
      <c r="S1569" s="47">
        <f t="shared" si="477"/>
        <v>0</v>
      </c>
      <c r="T1569" s="151">
        <f t="shared" si="462"/>
        <v>962</v>
      </c>
      <c r="U1569" s="151">
        <f t="shared" si="463"/>
        <v>0</v>
      </c>
      <c r="V1569" s="139">
        <f t="shared" si="464"/>
        <v>0</v>
      </c>
      <c r="W1569" s="152">
        <f t="shared" si="467"/>
        <v>962</v>
      </c>
      <c r="X1569" s="127" t="str">
        <f t="shared" si="465"/>
        <v/>
      </c>
      <c r="Y1569" s="207">
        <f t="shared" si="468"/>
        <v>962</v>
      </c>
      <c r="Z1569" s="139">
        <f t="shared" si="469"/>
        <v>962</v>
      </c>
      <c r="AA1569" s="139">
        <f t="shared" si="470"/>
        <v>0</v>
      </c>
      <c r="AC1569" s="47">
        <f t="shared" si="471"/>
        <v>481</v>
      </c>
      <c r="AD1569" s="47">
        <f t="shared" si="472"/>
        <v>481</v>
      </c>
      <c r="AE1569" s="47">
        <f t="shared" si="473"/>
        <v>0</v>
      </c>
      <c r="AG1569" s="47">
        <f t="shared" si="474"/>
        <v>481</v>
      </c>
      <c r="AH1569" s="47">
        <f t="shared" si="475"/>
        <v>481</v>
      </c>
      <c r="AI1569" s="208">
        <f t="shared" si="476"/>
        <v>0</v>
      </c>
    </row>
    <row r="1570" spans="1:35">
      <c r="A1570" t="s">
        <v>2134</v>
      </c>
      <c r="B1570" t="s">
        <v>3166</v>
      </c>
      <c r="C1570" t="s">
        <v>2833</v>
      </c>
      <c r="D1570" t="s">
        <v>4988</v>
      </c>
      <c r="F1570" t="s">
        <v>1206</v>
      </c>
      <c r="G1570" s="126">
        <f>SUMIFS('Support - Transition'!F:F,'Support - Transition'!B:B,'Step 2'!A1570,'Support - Transition'!C:C,'Step 2'!B1570,'Support - Transition'!D:D,'Step 2'!C1570,'Support - Transition'!E:E,"CIVIL")</f>
        <v>0</v>
      </c>
      <c r="H1570" s="126">
        <f>SUMIFS('Support - Transition'!F:F,'Support - Transition'!B:B,'Step 2'!A1570,'Support - Transition'!C:C,'Step 2'!B1570,'Support - Transition'!D:D,'Step 2'!C1570,'Support - Transition'!E:E,"FIRE")</f>
        <v>0</v>
      </c>
      <c r="I1570" s="126">
        <f>IF(B1570="0",SUMIFS('Support - Transition'!F:F,'Support - Transition'!J:J,'Step 2'!D1570,'Support - Transition'!E:E,"STATE UNIT"),SUMIFS('Support - Transition'!F:F,'Support - Transition'!J:J,'Step 2'!D1570))</f>
        <v>1.0571000000000001E-2</v>
      </c>
      <c r="J1570" s="126">
        <f>SUMIFS('Support - Unit Adjustments'!E:E,'Support - Unit Adjustments'!F:F,'Step 2'!D1570)</f>
        <v>0</v>
      </c>
      <c r="K1570" s="126">
        <f t="shared" si="460"/>
        <v>1.0571000000000001E-2</v>
      </c>
      <c r="L1570" s="174">
        <f>VLOOKUP(A1570,'Step 1'!$A:$E,4,FALSE)</f>
        <v>526148</v>
      </c>
      <c r="M1570" s="47">
        <f t="shared" si="461"/>
        <v>5562</v>
      </c>
      <c r="N1570" s="177">
        <f>SUMIFS('Support - Transition'!G:G,'Support - Transition'!J:J,'Step 2'!D1570,'Support - Transition'!E:E,"2009 WELFARE ALLOCATION FACTOR")</f>
        <v>0</v>
      </c>
      <c r="O1570" s="152">
        <f t="shared" si="466"/>
        <v>0</v>
      </c>
      <c r="P1570" s="126">
        <f>IF(E1570="Y",0,SUMIFS('Support - Transition'!G:G,'Support - Transition'!J:J,'Step 2'!D1570,'Support - Transition'!E:E,"2009 SCHOOL ALLOCATION FACTOR"))</f>
        <v>0</v>
      </c>
      <c r="Q1570" s="126">
        <f>IF(E1570="Y",VLOOKUP(D1570,'Support - Unit Adjustments'!F:G,2,FALSE),0)</f>
        <v>0</v>
      </c>
      <c r="R1570" s="155">
        <f t="shared" si="478"/>
        <v>0</v>
      </c>
      <c r="S1570" s="47">
        <f t="shared" si="477"/>
        <v>0</v>
      </c>
      <c r="T1570" s="151">
        <f t="shared" si="462"/>
        <v>5562</v>
      </c>
      <c r="U1570" s="151">
        <f t="shared" si="463"/>
        <v>0</v>
      </c>
      <c r="V1570" s="139">
        <f t="shared" si="464"/>
        <v>0</v>
      </c>
      <c r="W1570" s="152">
        <f t="shared" si="467"/>
        <v>5562</v>
      </c>
      <c r="X1570" s="127" t="str">
        <f t="shared" si="465"/>
        <v/>
      </c>
      <c r="Y1570" s="207">
        <f t="shared" si="468"/>
        <v>5562</v>
      </c>
      <c r="Z1570" s="139">
        <f t="shared" si="469"/>
        <v>5562</v>
      </c>
      <c r="AA1570" s="139">
        <f t="shared" si="470"/>
        <v>0</v>
      </c>
      <c r="AC1570" s="47">
        <f t="shared" si="471"/>
        <v>2781</v>
      </c>
      <c r="AD1570" s="47">
        <f t="shared" si="472"/>
        <v>2781</v>
      </c>
      <c r="AE1570" s="47">
        <f t="shared" si="473"/>
        <v>0</v>
      </c>
      <c r="AG1570" s="47">
        <f t="shared" si="474"/>
        <v>2781</v>
      </c>
      <c r="AH1570" s="47">
        <f t="shared" si="475"/>
        <v>2781</v>
      </c>
      <c r="AI1570" s="208">
        <f t="shared" si="476"/>
        <v>0</v>
      </c>
    </row>
    <row r="1571" spans="1:35">
      <c r="A1571" t="s">
        <v>2134</v>
      </c>
      <c r="B1571" t="s">
        <v>3166</v>
      </c>
      <c r="C1571" t="s">
        <v>2834</v>
      </c>
      <c r="D1571" t="s">
        <v>4989</v>
      </c>
      <c r="F1571" t="s">
        <v>1207</v>
      </c>
      <c r="G1571" s="126">
        <f>SUMIFS('Support - Transition'!F:F,'Support - Transition'!B:B,'Step 2'!A1571,'Support - Transition'!C:C,'Step 2'!B1571,'Support - Transition'!D:D,'Step 2'!C1571,'Support - Transition'!E:E,"CIVIL")</f>
        <v>0</v>
      </c>
      <c r="H1571" s="126">
        <f>SUMIFS('Support - Transition'!F:F,'Support - Transition'!B:B,'Step 2'!A1571,'Support - Transition'!C:C,'Step 2'!B1571,'Support - Transition'!D:D,'Step 2'!C1571,'Support - Transition'!E:E,"FIRE")</f>
        <v>0</v>
      </c>
      <c r="I1571" s="126">
        <f>IF(B1571="0",SUMIFS('Support - Transition'!F:F,'Support - Transition'!J:J,'Step 2'!D1571,'Support - Transition'!E:E,"STATE UNIT"),SUMIFS('Support - Transition'!F:F,'Support - Transition'!J:J,'Step 2'!D1571))</f>
        <v>4.8710000000000003E-3</v>
      </c>
      <c r="J1571" s="126">
        <f>SUMIFS('Support - Unit Adjustments'!E:E,'Support - Unit Adjustments'!F:F,'Step 2'!D1571)</f>
        <v>0</v>
      </c>
      <c r="K1571" s="126">
        <f t="shared" si="460"/>
        <v>4.8710000000000003E-3</v>
      </c>
      <c r="L1571" s="174">
        <f>VLOOKUP(A1571,'Step 1'!$A:$E,4,FALSE)</f>
        <v>526148</v>
      </c>
      <c r="M1571" s="47">
        <f t="shared" si="461"/>
        <v>2563</v>
      </c>
      <c r="N1571" s="177">
        <f>SUMIFS('Support - Transition'!G:G,'Support - Transition'!J:J,'Step 2'!D1571,'Support - Transition'!E:E,"2009 WELFARE ALLOCATION FACTOR")</f>
        <v>0</v>
      </c>
      <c r="O1571" s="152">
        <f t="shared" si="466"/>
        <v>0</v>
      </c>
      <c r="P1571" s="126">
        <f>IF(E1571="Y",0,SUMIFS('Support - Transition'!G:G,'Support - Transition'!J:J,'Step 2'!D1571,'Support - Transition'!E:E,"2009 SCHOOL ALLOCATION FACTOR"))</f>
        <v>0</v>
      </c>
      <c r="Q1571" s="126">
        <f>IF(E1571="Y",VLOOKUP(D1571,'Support - Unit Adjustments'!F:G,2,FALSE),0)</f>
        <v>0</v>
      </c>
      <c r="R1571" s="155">
        <f t="shared" si="478"/>
        <v>0</v>
      </c>
      <c r="S1571" s="47">
        <f t="shared" si="477"/>
        <v>0</v>
      </c>
      <c r="T1571" s="151">
        <f t="shared" si="462"/>
        <v>2563</v>
      </c>
      <c r="U1571" s="151">
        <f t="shared" si="463"/>
        <v>0</v>
      </c>
      <c r="V1571" s="139">
        <f t="shared" si="464"/>
        <v>0</v>
      </c>
      <c r="W1571" s="152">
        <f t="shared" si="467"/>
        <v>2563</v>
      </c>
      <c r="X1571" s="127" t="str">
        <f t="shared" si="465"/>
        <v/>
      </c>
      <c r="Y1571" s="207">
        <f t="shared" si="468"/>
        <v>2563</v>
      </c>
      <c r="Z1571" s="139">
        <f t="shared" si="469"/>
        <v>2563</v>
      </c>
      <c r="AA1571" s="139">
        <f t="shared" si="470"/>
        <v>0</v>
      </c>
      <c r="AC1571" s="47">
        <f t="shared" si="471"/>
        <v>1282</v>
      </c>
      <c r="AD1571" s="47">
        <f t="shared" si="472"/>
        <v>1282</v>
      </c>
      <c r="AE1571" s="47">
        <f t="shared" si="473"/>
        <v>0</v>
      </c>
      <c r="AG1571" s="47">
        <f t="shared" si="474"/>
        <v>1281</v>
      </c>
      <c r="AH1571" s="47">
        <f t="shared" si="475"/>
        <v>1281</v>
      </c>
      <c r="AI1571" s="208">
        <f t="shared" si="476"/>
        <v>0</v>
      </c>
    </row>
    <row r="1572" spans="1:35">
      <c r="A1572" t="s">
        <v>2134</v>
      </c>
      <c r="B1572" t="s">
        <v>3166</v>
      </c>
      <c r="C1572" t="s">
        <v>2835</v>
      </c>
      <c r="D1572" t="s">
        <v>4990</v>
      </c>
      <c r="F1572" t="s">
        <v>1208</v>
      </c>
      <c r="G1572" s="126">
        <f>SUMIFS('Support - Transition'!F:F,'Support - Transition'!B:B,'Step 2'!A1572,'Support - Transition'!C:C,'Step 2'!B1572,'Support - Transition'!D:D,'Step 2'!C1572,'Support - Transition'!E:E,"CIVIL")</f>
        <v>0</v>
      </c>
      <c r="H1572" s="126">
        <f>SUMIFS('Support - Transition'!F:F,'Support - Transition'!B:B,'Step 2'!A1572,'Support - Transition'!C:C,'Step 2'!B1572,'Support - Transition'!D:D,'Step 2'!C1572,'Support - Transition'!E:E,"FIRE")</f>
        <v>0</v>
      </c>
      <c r="I1572" s="126">
        <f>IF(B1572="0",SUMIFS('Support - Transition'!F:F,'Support - Transition'!J:J,'Step 2'!D1572,'Support - Transition'!E:E,"STATE UNIT"),SUMIFS('Support - Transition'!F:F,'Support - Transition'!J:J,'Step 2'!D1572))</f>
        <v>1.7409000000000001E-2</v>
      </c>
      <c r="J1572" s="126">
        <f>SUMIFS('Support - Unit Adjustments'!E:E,'Support - Unit Adjustments'!F:F,'Step 2'!D1572)</f>
        <v>0</v>
      </c>
      <c r="K1572" s="126">
        <f t="shared" si="460"/>
        <v>1.7409000000000001E-2</v>
      </c>
      <c r="L1572" s="174">
        <f>VLOOKUP(A1572,'Step 1'!$A:$E,4,FALSE)</f>
        <v>526148</v>
      </c>
      <c r="M1572" s="47">
        <f t="shared" si="461"/>
        <v>9160</v>
      </c>
      <c r="N1572" s="177">
        <f>SUMIFS('Support - Transition'!G:G,'Support - Transition'!J:J,'Step 2'!D1572,'Support - Transition'!E:E,"2009 WELFARE ALLOCATION FACTOR")</f>
        <v>0</v>
      </c>
      <c r="O1572" s="152">
        <f t="shared" si="466"/>
        <v>0</v>
      </c>
      <c r="P1572" s="126">
        <f>IF(E1572="Y",0,SUMIFS('Support - Transition'!G:G,'Support - Transition'!J:J,'Step 2'!D1572,'Support - Transition'!E:E,"2009 SCHOOL ALLOCATION FACTOR"))</f>
        <v>0</v>
      </c>
      <c r="Q1572" s="126">
        <f>IF(E1572="Y",VLOOKUP(D1572,'Support - Unit Adjustments'!F:G,2,FALSE),0)</f>
        <v>0</v>
      </c>
      <c r="R1572" s="155">
        <f t="shared" si="478"/>
        <v>0</v>
      </c>
      <c r="S1572" s="47">
        <f t="shared" si="477"/>
        <v>0</v>
      </c>
      <c r="T1572" s="151">
        <f t="shared" si="462"/>
        <v>9160</v>
      </c>
      <c r="U1572" s="151">
        <f t="shared" si="463"/>
        <v>0</v>
      </c>
      <c r="V1572" s="139">
        <f t="shared" si="464"/>
        <v>0</v>
      </c>
      <c r="W1572" s="152">
        <f t="shared" si="467"/>
        <v>9160</v>
      </c>
      <c r="X1572" s="127" t="str">
        <f t="shared" si="465"/>
        <v/>
      </c>
      <c r="Y1572" s="207">
        <f t="shared" si="468"/>
        <v>9160</v>
      </c>
      <c r="Z1572" s="139">
        <f t="shared" si="469"/>
        <v>9160</v>
      </c>
      <c r="AA1572" s="139">
        <f t="shared" si="470"/>
        <v>0</v>
      </c>
      <c r="AC1572" s="47">
        <f t="shared" si="471"/>
        <v>4580</v>
      </c>
      <c r="AD1572" s="47">
        <f t="shared" si="472"/>
        <v>4580</v>
      </c>
      <c r="AE1572" s="47">
        <f t="shared" si="473"/>
        <v>0</v>
      </c>
      <c r="AG1572" s="47">
        <f t="shared" si="474"/>
        <v>4580</v>
      </c>
      <c r="AH1572" s="47">
        <f t="shared" si="475"/>
        <v>4580</v>
      </c>
      <c r="AI1572" s="208">
        <f t="shared" si="476"/>
        <v>0</v>
      </c>
    </row>
    <row r="1573" spans="1:35">
      <c r="A1573" t="s">
        <v>2134</v>
      </c>
      <c r="B1573" t="s">
        <v>3170</v>
      </c>
      <c r="C1573" t="s">
        <v>4991</v>
      </c>
      <c r="D1573" t="s">
        <v>4992</v>
      </c>
      <c r="F1573" t="s">
        <v>1209</v>
      </c>
      <c r="G1573" s="126">
        <f>SUMIFS('Support - Transition'!F:F,'Support - Transition'!B:B,'Step 2'!A1573,'Support - Transition'!C:C,'Step 2'!B1573,'Support - Transition'!D:D,'Step 2'!C1573,'Support - Transition'!E:E,"CIVIL")</f>
        <v>0</v>
      </c>
      <c r="H1573" s="126">
        <f>SUMIFS('Support - Transition'!F:F,'Support - Transition'!B:B,'Step 2'!A1573,'Support - Transition'!C:C,'Step 2'!B1573,'Support - Transition'!D:D,'Step 2'!C1573,'Support - Transition'!E:E,"FIRE")</f>
        <v>0</v>
      </c>
      <c r="I1573" s="126">
        <f>IF(B1573="0",SUMIFS('Support - Transition'!F:F,'Support - Transition'!J:J,'Step 2'!D1573,'Support - Transition'!E:E,"STATE UNIT"),SUMIFS('Support - Transition'!F:F,'Support - Transition'!J:J,'Step 2'!D1573))</f>
        <v>5.4119999999999724E-3</v>
      </c>
      <c r="J1573" s="126">
        <f>SUMIFS('Support - Unit Adjustments'!E:E,'Support - Unit Adjustments'!F:F,'Step 2'!D1573)</f>
        <v>0</v>
      </c>
      <c r="K1573" s="126">
        <f t="shared" si="460"/>
        <v>5.4119999999999724E-3</v>
      </c>
      <c r="L1573" s="174">
        <f>VLOOKUP(A1573,'Step 1'!$A:$E,4,FALSE)</f>
        <v>526148</v>
      </c>
      <c r="M1573" s="47">
        <f t="shared" si="461"/>
        <v>2848</v>
      </c>
      <c r="N1573" s="177">
        <f>SUMIFS('Support - Transition'!G:G,'Support - Transition'!J:J,'Step 2'!D1573,'Support - Transition'!E:E,"2009 WELFARE ALLOCATION FACTOR")</f>
        <v>0</v>
      </c>
      <c r="O1573" s="152">
        <f t="shared" si="466"/>
        <v>0</v>
      </c>
      <c r="P1573" s="126">
        <f>IF(E1573="Y",0,SUMIFS('Support - Transition'!G:G,'Support - Transition'!J:J,'Step 2'!D1573,'Support - Transition'!E:E,"2009 SCHOOL ALLOCATION FACTOR"))</f>
        <v>0</v>
      </c>
      <c r="Q1573" s="126">
        <f>IF(E1573="Y",VLOOKUP(D1573,'Support - Unit Adjustments'!F:G,2,FALSE),0)</f>
        <v>0</v>
      </c>
      <c r="R1573" s="155">
        <f t="shared" si="478"/>
        <v>0</v>
      </c>
      <c r="S1573" s="47">
        <f t="shared" si="477"/>
        <v>0</v>
      </c>
      <c r="T1573" s="151">
        <f t="shared" si="462"/>
        <v>2848</v>
      </c>
      <c r="U1573" s="151">
        <f t="shared" si="463"/>
        <v>0</v>
      </c>
      <c r="V1573" s="139">
        <f t="shared" si="464"/>
        <v>0</v>
      </c>
      <c r="W1573" s="152">
        <f t="shared" si="467"/>
        <v>2848</v>
      </c>
      <c r="X1573" s="127" t="str">
        <f t="shared" si="465"/>
        <v/>
      </c>
      <c r="Y1573" s="207">
        <f t="shared" si="468"/>
        <v>2848</v>
      </c>
      <c r="Z1573" s="139">
        <f t="shared" si="469"/>
        <v>2848</v>
      </c>
      <c r="AA1573" s="139">
        <f t="shared" si="470"/>
        <v>0</v>
      </c>
      <c r="AC1573" s="47">
        <f t="shared" si="471"/>
        <v>1424</v>
      </c>
      <c r="AD1573" s="47">
        <f t="shared" si="472"/>
        <v>1424</v>
      </c>
      <c r="AE1573" s="47">
        <f t="shared" si="473"/>
        <v>0</v>
      </c>
      <c r="AG1573" s="47">
        <f t="shared" si="474"/>
        <v>1424</v>
      </c>
      <c r="AH1573" s="47">
        <f t="shared" si="475"/>
        <v>1424</v>
      </c>
      <c r="AI1573" s="208">
        <f t="shared" si="476"/>
        <v>0</v>
      </c>
    </row>
    <row r="1574" spans="1:35">
      <c r="A1574" t="s">
        <v>2134</v>
      </c>
      <c r="B1574" t="s">
        <v>3286</v>
      </c>
      <c r="C1574" t="s">
        <v>2188</v>
      </c>
      <c r="D1574" t="s">
        <v>4993</v>
      </c>
      <c r="F1574" t="s">
        <v>4994</v>
      </c>
      <c r="G1574" s="126">
        <f>SUMIFS('Support - Transition'!F:F,'Support - Transition'!B:B,'Step 2'!A1574,'Support - Transition'!C:C,'Step 2'!B1574,'Support - Transition'!D:D,'Step 2'!C1574,'Support - Transition'!E:E,"CIVIL")</f>
        <v>0</v>
      </c>
      <c r="H1574" s="126">
        <f>SUMIFS('Support - Transition'!F:F,'Support - Transition'!B:B,'Step 2'!A1574,'Support - Transition'!C:C,'Step 2'!B1574,'Support - Transition'!D:D,'Step 2'!C1574,'Support - Transition'!E:E,"FIRE")</f>
        <v>0</v>
      </c>
      <c r="I1574" s="126">
        <f>IF(B1574="0",SUMIFS('Support - Transition'!F:F,'Support - Transition'!J:J,'Step 2'!D1574,'Support - Transition'!E:E,"STATE UNIT"),SUMIFS('Support - Transition'!F:F,'Support - Transition'!J:J,'Step 2'!D1574))</f>
        <v>0</v>
      </c>
      <c r="J1574" s="126">
        <f>SUMIFS('Support - Unit Adjustments'!E:E,'Support - Unit Adjustments'!F:F,'Step 2'!D1574)</f>
        <v>0</v>
      </c>
      <c r="K1574" s="126">
        <f t="shared" si="460"/>
        <v>0</v>
      </c>
      <c r="L1574" s="174">
        <f>VLOOKUP(A1574,'Step 1'!$A:$E,4,FALSE)</f>
        <v>526148</v>
      </c>
      <c r="M1574" s="47">
        <f t="shared" si="461"/>
        <v>0</v>
      </c>
      <c r="N1574" s="177">
        <f>SUMIFS('Support - Transition'!G:G,'Support - Transition'!J:J,'Step 2'!D1574,'Support - Transition'!E:E,"2009 WELFARE ALLOCATION FACTOR")</f>
        <v>0</v>
      </c>
      <c r="O1574" s="152">
        <f t="shared" si="466"/>
        <v>0</v>
      </c>
      <c r="P1574" s="126">
        <f>IF(E1574="Y",0,SUMIFS('Support - Transition'!G:G,'Support - Transition'!J:J,'Step 2'!D1574,'Support - Transition'!E:E,"2009 SCHOOL ALLOCATION FACTOR"))</f>
        <v>0</v>
      </c>
      <c r="Q1574" s="126">
        <f>IF(E1574="Y",VLOOKUP(D1574,'Support - Unit Adjustments'!F:G,2,FALSE),0)</f>
        <v>0</v>
      </c>
      <c r="R1574" s="155">
        <f t="shared" si="478"/>
        <v>0</v>
      </c>
      <c r="S1574" s="47">
        <f t="shared" si="477"/>
        <v>0</v>
      </c>
      <c r="T1574" s="151">
        <f t="shared" si="462"/>
        <v>0</v>
      </c>
      <c r="U1574" s="151">
        <f t="shared" si="463"/>
        <v>0</v>
      </c>
      <c r="V1574" s="139">
        <f t="shared" si="464"/>
        <v>0</v>
      </c>
      <c r="W1574" s="152">
        <f t="shared" si="467"/>
        <v>0</v>
      </c>
      <c r="X1574" s="127" t="str">
        <f t="shared" si="465"/>
        <v/>
      </c>
      <c r="Y1574" s="207">
        <f t="shared" si="468"/>
        <v>0</v>
      </c>
      <c r="Z1574" s="139">
        <f t="shared" si="469"/>
        <v>0</v>
      </c>
      <c r="AA1574" s="139">
        <f t="shared" si="470"/>
        <v>0</v>
      </c>
      <c r="AC1574" s="47">
        <f t="shared" si="471"/>
        <v>0</v>
      </c>
      <c r="AD1574" s="47">
        <f t="shared" si="472"/>
        <v>0</v>
      </c>
      <c r="AE1574" s="47">
        <f t="shared" si="473"/>
        <v>0</v>
      </c>
      <c r="AG1574" s="47">
        <f t="shared" si="474"/>
        <v>0</v>
      </c>
      <c r="AH1574" s="47">
        <f t="shared" si="475"/>
        <v>0</v>
      </c>
      <c r="AI1574" s="208">
        <f t="shared" si="476"/>
        <v>0</v>
      </c>
    </row>
    <row r="1575" spans="1:35">
      <c r="A1575" t="s">
        <v>2134</v>
      </c>
      <c r="B1575" t="s">
        <v>3286</v>
      </c>
      <c r="C1575" t="s">
        <v>4995</v>
      </c>
      <c r="D1575" t="s">
        <v>4996</v>
      </c>
      <c r="F1575" t="s">
        <v>4997</v>
      </c>
      <c r="G1575" s="126">
        <f>SUMIFS('Support - Transition'!F:F,'Support - Transition'!B:B,'Step 2'!A1575,'Support - Transition'!C:C,'Step 2'!B1575,'Support - Transition'!D:D,'Step 2'!C1575,'Support - Transition'!E:E,"CIVIL")</f>
        <v>0</v>
      </c>
      <c r="H1575" s="126">
        <f>SUMIFS('Support - Transition'!F:F,'Support - Transition'!B:B,'Step 2'!A1575,'Support - Transition'!C:C,'Step 2'!B1575,'Support - Transition'!D:D,'Step 2'!C1575,'Support - Transition'!E:E,"FIRE")</f>
        <v>0</v>
      </c>
      <c r="I1575" s="126">
        <f>IF(B1575="0",SUMIFS('Support - Transition'!F:F,'Support - Transition'!J:J,'Step 2'!D1575,'Support - Transition'!E:E,"STATE UNIT"),SUMIFS('Support - Transition'!F:F,'Support - Transition'!J:J,'Step 2'!D1575))</f>
        <v>0</v>
      </c>
      <c r="J1575" s="126">
        <f>SUMIFS('Support - Unit Adjustments'!E:E,'Support - Unit Adjustments'!F:F,'Step 2'!D1575)</f>
        <v>0</v>
      </c>
      <c r="K1575" s="126">
        <f t="shared" si="460"/>
        <v>0</v>
      </c>
      <c r="L1575" s="174">
        <f>VLOOKUP(A1575,'Step 1'!$A:$E,4,FALSE)</f>
        <v>526148</v>
      </c>
      <c r="M1575" s="47">
        <f t="shared" si="461"/>
        <v>0</v>
      </c>
      <c r="N1575" s="177">
        <f>SUMIFS('Support - Transition'!G:G,'Support - Transition'!J:J,'Step 2'!D1575,'Support - Transition'!E:E,"2009 WELFARE ALLOCATION FACTOR")</f>
        <v>0</v>
      </c>
      <c r="O1575" s="152">
        <f t="shared" si="466"/>
        <v>0</v>
      </c>
      <c r="P1575" s="126">
        <f>IF(E1575="Y",0,SUMIFS('Support - Transition'!G:G,'Support - Transition'!J:J,'Step 2'!D1575,'Support - Transition'!E:E,"2009 SCHOOL ALLOCATION FACTOR"))</f>
        <v>0</v>
      </c>
      <c r="Q1575" s="126">
        <f>IF(E1575="Y",VLOOKUP(D1575,'Support - Unit Adjustments'!F:G,2,FALSE),0)</f>
        <v>0</v>
      </c>
      <c r="R1575" s="155">
        <f t="shared" si="478"/>
        <v>0</v>
      </c>
      <c r="S1575" s="47">
        <f t="shared" si="477"/>
        <v>0</v>
      </c>
      <c r="T1575" s="151">
        <f t="shared" si="462"/>
        <v>0</v>
      </c>
      <c r="U1575" s="151">
        <f t="shared" si="463"/>
        <v>0</v>
      </c>
      <c r="V1575" s="139">
        <f t="shared" si="464"/>
        <v>0</v>
      </c>
      <c r="W1575" s="152">
        <f t="shared" si="467"/>
        <v>0</v>
      </c>
      <c r="X1575" s="127" t="str">
        <f t="shared" si="465"/>
        <v/>
      </c>
      <c r="Y1575" s="207">
        <f t="shared" si="468"/>
        <v>0</v>
      </c>
      <c r="Z1575" s="139">
        <f t="shared" si="469"/>
        <v>0</v>
      </c>
      <c r="AA1575" s="139">
        <f t="shared" si="470"/>
        <v>0</v>
      </c>
      <c r="AC1575" s="47">
        <f t="shared" si="471"/>
        <v>0</v>
      </c>
      <c r="AD1575" s="47">
        <f t="shared" si="472"/>
        <v>0</v>
      </c>
      <c r="AE1575" s="47">
        <f t="shared" si="473"/>
        <v>0</v>
      </c>
      <c r="AG1575" s="47">
        <f t="shared" si="474"/>
        <v>0</v>
      </c>
      <c r="AH1575" s="47">
        <f t="shared" si="475"/>
        <v>0</v>
      </c>
      <c r="AI1575" s="208">
        <f t="shared" si="476"/>
        <v>0</v>
      </c>
    </row>
    <row r="1576" spans="1:35">
      <c r="A1576" t="s">
        <v>2134</v>
      </c>
      <c r="B1576" t="s">
        <v>3286</v>
      </c>
      <c r="C1576" t="s">
        <v>4998</v>
      </c>
      <c r="D1576" t="s">
        <v>4999</v>
      </c>
      <c r="F1576" t="s">
        <v>5000</v>
      </c>
      <c r="G1576" s="126">
        <f>SUMIFS('Support - Transition'!F:F,'Support - Transition'!B:B,'Step 2'!A1576,'Support - Transition'!C:C,'Step 2'!B1576,'Support - Transition'!D:D,'Step 2'!C1576,'Support - Transition'!E:E,"CIVIL")</f>
        <v>0</v>
      </c>
      <c r="H1576" s="126">
        <f>SUMIFS('Support - Transition'!F:F,'Support - Transition'!B:B,'Step 2'!A1576,'Support - Transition'!C:C,'Step 2'!B1576,'Support - Transition'!D:D,'Step 2'!C1576,'Support - Transition'!E:E,"FIRE")</f>
        <v>0</v>
      </c>
      <c r="I1576" s="126">
        <f>IF(B1576="0",SUMIFS('Support - Transition'!F:F,'Support - Transition'!J:J,'Step 2'!D1576,'Support - Transition'!E:E,"STATE UNIT"),SUMIFS('Support - Transition'!F:F,'Support - Transition'!J:J,'Step 2'!D1576))</f>
        <v>0</v>
      </c>
      <c r="J1576" s="126">
        <f>SUMIFS('Support - Unit Adjustments'!E:E,'Support - Unit Adjustments'!F:F,'Step 2'!D1576)</f>
        <v>0</v>
      </c>
      <c r="K1576" s="126">
        <f t="shared" si="460"/>
        <v>0</v>
      </c>
      <c r="L1576" s="174">
        <f>VLOOKUP(A1576,'Step 1'!$A:$E,4,FALSE)</f>
        <v>526148</v>
      </c>
      <c r="M1576" s="47">
        <f t="shared" si="461"/>
        <v>0</v>
      </c>
      <c r="N1576" s="177">
        <f>SUMIFS('Support - Transition'!G:G,'Support - Transition'!J:J,'Step 2'!D1576,'Support - Transition'!E:E,"2009 WELFARE ALLOCATION FACTOR")</f>
        <v>0</v>
      </c>
      <c r="O1576" s="152">
        <f t="shared" si="466"/>
        <v>0</v>
      </c>
      <c r="P1576" s="126">
        <f>IF(E1576="Y",0,SUMIFS('Support - Transition'!G:G,'Support - Transition'!J:J,'Step 2'!D1576,'Support - Transition'!E:E,"2009 SCHOOL ALLOCATION FACTOR"))</f>
        <v>0</v>
      </c>
      <c r="Q1576" s="126">
        <f>IF(E1576="Y",VLOOKUP(D1576,'Support - Unit Adjustments'!F:G,2,FALSE),0)</f>
        <v>0</v>
      </c>
      <c r="R1576" s="155">
        <f t="shared" si="478"/>
        <v>0</v>
      </c>
      <c r="S1576" s="47">
        <f t="shared" si="477"/>
        <v>0</v>
      </c>
      <c r="T1576" s="151">
        <f t="shared" si="462"/>
        <v>0</v>
      </c>
      <c r="U1576" s="151">
        <f t="shared" si="463"/>
        <v>0</v>
      </c>
      <c r="V1576" s="139">
        <f t="shared" si="464"/>
        <v>0</v>
      </c>
      <c r="W1576" s="152">
        <f t="shared" si="467"/>
        <v>0</v>
      </c>
      <c r="X1576" s="127" t="str">
        <f t="shared" si="465"/>
        <v/>
      </c>
      <c r="Y1576" s="207">
        <f t="shared" si="468"/>
        <v>0</v>
      </c>
      <c r="Z1576" s="139">
        <f t="shared" si="469"/>
        <v>0</v>
      </c>
      <c r="AA1576" s="139">
        <f t="shared" si="470"/>
        <v>0</v>
      </c>
      <c r="AC1576" s="47">
        <f t="shared" si="471"/>
        <v>0</v>
      </c>
      <c r="AD1576" s="47">
        <f t="shared" si="472"/>
        <v>0</v>
      </c>
      <c r="AE1576" s="47">
        <f t="shared" si="473"/>
        <v>0</v>
      </c>
      <c r="AG1576" s="47">
        <f t="shared" si="474"/>
        <v>0</v>
      </c>
      <c r="AH1576" s="47">
        <f t="shared" si="475"/>
        <v>0</v>
      </c>
      <c r="AI1576" s="208">
        <f t="shared" si="476"/>
        <v>0</v>
      </c>
    </row>
    <row r="1577" spans="1:35">
      <c r="A1577" t="s">
        <v>2135</v>
      </c>
      <c r="B1577" s="48" t="s">
        <v>6274</v>
      </c>
      <c r="C1577" t="s">
        <v>2187</v>
      </c>
      <c r="D1577" t="str">
        <f>A1577&amp;B1577&amp;C1577</f>
        <v>5100000</v>
      </c>
      <c r="F1577" t="s">
        <v>6325</v>
      </c>
      <c r="G1577" s="126">
        <f>SUMIFS('Support - Transition'!F:F,'Support - Transition'!B:B,'Step 2'!A1577,'Support - Transition'!C:C,'Step 2'!B1577,'Support - Transition'!D:D,'Step 2'!C1577,'Support - Transition'!E:E,"CIVIL")</f>
        <v>0</v>
      </c>
      <c r="H1577" s="126">
        <f>SUMIFS('Support - Transition'!F:F,'Support - Transition'!B:B,'Step 2'!A1577,'Support - Transition'!C:C,'Step 2'!B1577,'Support - Transition'!D:D,'Step 2'!C1577,'Support - Transition'!E:E,"FIRE")</f>
        <v>0</v>
      </c>
      <c r="I1577" s="126">
        <f>IF(B1577="0",SUMIFS('Support - Transition'!F:F,'Support - Transition'!J:J,'Step 2'!D1577,'Support - Transition'!E:E,"STATE UNIT"),SUMIFS('Support - Transition'!F:F,'Support - Transition'!J:J,'Step 2'!D1577))</f>
        <v>1.129E-3</v>
      </c>
      <c r="J1577" s="126">
        <f>SUMIFS('Support - Unit Adjustments'!E:E,'Support - Unit Adjustments'!F:F,'Step 2'!D1577)</f>
        <v>0</v>
      </c>
      <c r="K1577" s="126">
        <f t="shared" si="460"/>
        <v>1.129E-3</v>
      </c>
      <c r="L1577" s="174">
        <f>VLOOKUP(A1577,'Step 1'!$A:$E,4,FALSE)</f>
        <v>130716</v>
      </c>
      <c r="M1577" s="47">
        <f t="shared" si="461"/>
        <v>148</v>
      </c>
      <c r="N1577" s="177">
        <f>SUMIFS('Support - Transition'!G:G,'Support - Transition'!J:J,'Step 2'!D1577,'Support - Transition'!E:E,"2009 WELFARE ALLOCATION FACTOR")</f>
        <v>0</v>
      </c>
      <c r="O1577" s="152">
        <f t="shared" si="466"/>
        <v>0</v>
      </c>
      <c r="P1577" s="126">
        <f>IF(E1577="Y",0,SUMIFS('Support - Transition'!G:G,'Support - Transition'!J:J,'Step 2'!D1577,'Support - Transition'!E:E,"2009 SCHOOL ALLOCATION FACTOR"))</f>
        <v>0</v>
      </c>
      <c r="Q1577" s="126">
        <f>IF(E1577="Y",VLOOKUP(D1577,'Support - Unit Adjustments'!F:G,2,FALSE),0)</f>
        <v>0</v>
      </c>
      <c r="R1577" s="155">
        <f t="shared" si="478"/>
        <v>0</v>
      </c>
      <c r="S1577" s="47">
        <f t="shared" si="477"/>
        <v>0</v>
      </c>
      <c r="T1577" s="151">
        <f t="shared" si="462"/>
        <v>148</v>
      </c>
      <c r="U1577" s="151">
        <f t="shared" si="463"/>
        <v>130717</v>
      </c>
      <c r="V1577" s="139">
        <f t="shared" si="464"/>
        <v>1</v>
      </c>
      <c r="W1577" s="152">
        <f t="shared" si="467"/>
        <v>147</v>
      </c>
      <c r="X1577" s="127">
        <f t="shared" si="465"/>
        <v>0</v>
      </c>
      <c r="Y1577" s="207">
        <f t="shared" si="468"/>
        <v>147</v>
      </c>
      <c r="Z1577" s="139">
        <f t="shared" si="469"/>
        <v>147</v>
      </c>
      <c r="AA1577" s="139">
        <f t="shared" si="470"/>
        <v>0</v>
      </c>
      <c r="AC1577" s="47">
        <f t="shared" si="471"/>
        <v>74</v>
      </c>
      <c r="AD1577" s="47">
        <f t="shared" si="472"/>
        <v>74</v>
      </c>
      <c r="AE1577" s="47">
        <f t="shared" si="473"/>
        <v>0</v>
      </c>
      <c r="AG1577" s="47">
        <f t="shared" si="474"/>
        <v>73</v>
      </c>
      <c r="AH1577" s="47">
        <f t="shared" si="475"/>
        <v>73</v>
      </c>
      <c r="AI1577" s="208">
        <f t="shared" si="476"/>
        <v>0</v>
      </c>
    </row>
    <row r="1578" spans="1:35">
      <c r="A1578" t="s">
        <v>2135</v>
      </c>
      <c r="B1578" t="s">
        <v>3140</v>
      </c>
      <c r="C1578" t="s">
        <v>2187</v>
      </c>
      <c r="D1578" t="s">
        <v>5001</v>
      </c>
      <c r="F1578" t="s">
        <v>1211</v>
      </c>
      <c r="G1578" s="126">
        <f>SUMIFS('Support - Transition'!F:F,'Support - Transition'!B:B,'Step 2'!A1578,'Support - Transition'!C:C,'Step 2'!B1578,'Support - Transition'!D:D,'Step 2'!C1578,'Support - Transition'!E:E,"CIVIL")</f>
        <v>0</v>
      </c>
      <c r="H1578" s="126">
        <f>SUMIFS('Support - Transition'!F:F,'Support - Transition'!B:B,'Step 2'!A1578,'Support - Transition'!C:C,'Step 2'!B1578,'Support - Transition'!D:D,'Step 2'!C1578,'Support - Transition'!E:E,"FIRE")</f>
        <v>0</v>
      </c>
      <c r="I1578" s="126">
        <f>IF(B1578="0",SUMIFS('Support - Transition'!F:F,'Support - Transition'!J:J,'Step 2'!D1578,'Support - Transition'!E:E,"STATE UNIT"),SUMIFS('Support - Transition'!F:F,'Support - Transition'!J:J,'Step 2'!D1578))</f>
        <v>0.27809800000000001</v>
      </c>
      <c r="J1578" s="126">
        <f>SUMIFS('Support - Unit Adjustments'!E:E,'Support - Unit Adjustments'!F:F,'Step 2'!D1578)</f>
        <v>0</v>
      </c>
      <c r="K1578" s="126">
        <f t="shared" si="460"/>
        <v>0.27809800000000001</v>
      </c>
      <c r="L1578" s="174">
        <f>VLOOKUP(A1578,'Step 1'!$A:$E,4,FALSE)</f>
        <v>130716</v>
      </c>
      <c r="M1578" s="47">
        <f t="shared" si="461"/>
        <v>36352</v>
      </c>
      <c r="N1578" s="177">
        <f>SUMIFS('Support - Transition'!G:G,'Support - Transition'!J:J,'Step 2'!D1578,'Support - Transition'!E:E,"2009 WELFARE ALLOCATION FACTOR")</f>
        <v>0.15964100000000001</v>
      </c>
      <c r="O1578" s="152">
        <f t="shared" si="466"/>
        <v>5803</v>
      </c>
      <c r="P1578" s="126">
        <f>IF(E1578="Y",0,SUMIFS('Support - Transition'!G:G,'Support - Transition'!J:J,'Step 2'!D1578,'Support - Transition'!E:E,"2009 SCHOOL ALLOCATION FACTOR"))</f>
        <v>0</v>
      </c>
      <c r="Q1578" s="126">
        <f>IF(E1578="Y",VLOOKUP(D1578,'Support - Unit Adjustments'!F:G,2,FALSE),0)</f>
        <v>0</v>
      </c>
      <c r="R1578" s="155">
        <f t="shared" si="478"/>
        <v>0</v>
      </c>
      <c r="S1578" s="47">
        <f t="shared" si="477"/>
        <v>0</v>
      </c>
      <c r="T1578" s="151">
        <f t="shared" si="462"/>
        <v>30549</v>
      </c>
      <c r="U1578" s="151">
        <f t="shared" si="463"/>
        <v>0</v>
      </c>
      <c r="V1578" s="139">
        <f t="shared" si="464"/>
        <v>0</v>
      </c>
      <c r="W1578" s="152">
        <f t="shared" si="467"/>
        <v>30549</v>
      </c>
      <c r="X1578" s="127" t="str">
        <f t="shared" si="465"/>
        <v/>
      </c>
      <c r="Y1578" s="207">
        <f t="shared" si="468"/>
        <v>30549</v>
      </c>
      <c r="Z1578" s="139">
        <f t="shared" si="469"/>
        <v>30549</v>
      </c>
      <c r="AA1578" s="139">
        <f t="shared" si="470"/>
        <v>0</v>
      </c>
      <c r="AC1578" s="47">
        <f t="shared" si="471"/>
        <v>15275</v>
      </c>
      <c r="AD1578" s="47">
        <f t="shared" si="472"/>
        <v>15275</v>
      </c>
      <c r="AE1578" s="47">
        <f t="shared" si="473"/>
        <v>0</v>
      </c>
      <c r="AG1578" s="47">
        <f t="shared" si="474"/>
        <v>15274</v>
      </c>
      <c r="AH1578" s="47">
        <f t="shared" si="475"/>
        <v>15274</v>
      </c>
      <c r="AI1578" s="208">
        <f t="shared" si="476"/>
        <v>0</v>
      </c>
    </row>
    <row r="1579" spans="1:35">
      <c r="A1579" t="s">
        <v>2135</v>
      </c>
      <c r="B1579" t="s">
        <v>3142</v>
      </c>
      <c r="C1579" t="s">
        <v>2188</v>
      </c>
      <c r="D1579" t="s">
        <v>5002</v>
      </c>
      <c r="F1579" t="s">
        <v>107</v>
      </c>
      <c r="G1579" s="126">
        <f>SUMIFS('Support - Transition'!F:F,'Support - Transition'!B:B,'Step 2'!A1579,'Support - Transition'!C:C,'Step 2'!B1579,'Support - Transition'!D:D,'Step 2'!C1579,'Support - Transition'!E:E,"CIVIL")</f>
        <v>9.6900000000000003E-4</v>
      </c>
      <c r="H1579" s="126">
        <f>SUMIFS('Support - Transition'!F:F,'Support - Transition'!B:B,'Step 2'!A1579,'Support - Transition'!C:C,'Step 2'!B1579,'Support - Transition'!D:D,'Step 2'!C1579,'Support - Transition'!E:E,"FIRE")</f>
        <v>1.1900000000000001E-4</v>
      </c>
      <c r="I1579" s="126">
        <f>IF(B1579="0",SUMIFS('Support - Transition'!F:F,'Support - Transition'!J:J,'Step 2'!D1579,'Support - Transition'!E:E,"STATE UNIT"),SUMIFS('Support - Transition'!F:F,'Support - Transition'!J:J,'Step 2'!D1579))</f>
        <v>1.088E-3</v>
      </c>
      <c r="J1579" s="126">
        <f>SUMIFS('Support - Unit Adjustments'!E:E,'Support - Unit Adjustments'!F:F,'Step 2'!D1579)</f>
        <v>0</v>
      </c>
      <c r="K1579" s="126">
        <f t="shared" si="460"/>
        <v>1.088E-3</v>
      </c>
      <c r="L1579" s="174">
        <f>VLOOKUP(A1579,'Step 1'!$A:$E,4,FALSE)</f>
        <v>130716</v>
      </c>
      <c r="M1579" s="47">
        <f t="shared" si="461"/>
        <v>142</v>
      </c>
      <c r="N1579" s="177">
        <f>SUMIFS('Support - Transition'!G:G,'Support - Transition'!J:J,'Step 2'!D1579,'Support - Transition'!E:E,"2009 WELFARE ALLOCATION FACTOR")</f>
        <v>0</v>
      </c>
      <c r="O1579" s="152">
        <f t="shared" si="466"/>
        <v>0</v>
      </c>
      <c r="P1579" s="126">
        <f>IF(E1579="Y",0,SUMIFS('Support - Transition'!G:G,'Support - Transition'!J:J,'Step 2'!D1579,'Support - Transition'!E:E,"2009 SCHOOL ALLOCATION FACTOR"))</f>
        <v>0</v>
      </c>
      <c r="Q1579" s="126">
        <f>IF(E1579="Y",VLOOKUP(D1579,'Support - Unit Adjustments'!F:G,2,FALSE),0)</f>
        <v>0</v>
      </c>
      <c r="R1579" s="155">
        <f t="shared" si="478"/>
        <v>0</v>
      </c>
      <c r="S1579" s="47">
        <f t="shared" si="477"/>
        <v>0</v>
      </c>
      <c r="T1579" s="151">
        <f t="shared" si="462"/>
        <v>142</v>
      </c>
      <c r="U1579" s="151">
        <f t="shared" si="463"/>
        <v>0</v>
      </c>
      <c r="V1579" s="139">
        <f t="shared" si="464"/>
        <v>0</v>
      </c>
      <c r="W1579" s="152">
        <f t="shared" si="467"/>
        <v>142</v>
      </c>
      <c r="X1579" s="127" t="str">
        <f t="shared" si="465"/>
        <v/>
      </c>
      <c r="Y1579" s="207">
        <f t="shared" si="468"/>
        <v>142</v>
      </c>
      <c r="Z1579" s="139">
        <f t="shared" si="469"/>
        <v>126</v>
      </c>
      <c r="AA1579" s="139">
        <f t="shared" si="470"/>
        <v>16</v>
      </c>
      <c r="AC1579" s="47">
        <f t="shared" si="471"/>
        <v>71</v>
      </c>
      <c r="AD1579" s="47">
        <f t="shared" si="472"/>
        <v>63</v>
      </c>
      <c r="AE1579" s="47">
        <f t="shared" si="473"/>
        <v>8</v>
      </c>
      <c r="AG1579" s="47">
        <f t="shared" si="474"/>
        <v>71</v>
      </c>
      <c r="AH1579" s="47">
        <f t="shared" si="475"/>
        <v>63</v>
      </c>
      <c r="AI1579" s="208">
        <f t="shared" si="476"/>
        <v>8</v>
      </c>
    </row>
    <row r="1580" spans="1:35">
      <c r="A1580" t="s">
        <v>2135</v>
      </c>
      <c r="B1580" t="s">
        <v>3142</v>
      </c>
      <c r="C1580" t="s">
        <v>2189</v>
      </c>
      <c r="D1580" t="s">
        <v>5003</v>
      </c>
      <c r="F1580" t="s">
        <v>1212</v>
      </c>
      <c r="G1580" s="126">
        <f>SUMIFS('Support - Transition'!F:F,'Support - Transition'!B:B,'Step 2'!A1580,'Support - Transition'!C:C,'Step 2'!B1580,'Support - Transition'!D:D,'Step 2'!C1580,'Support - Transition'!E:E,"CIVIL")</f>
        <v>8.8830000000000003E-3</v>
      </c>
      <c r="H1580" s="126">
        <f>SUMIFS('Support - Transition'!F:F,'Support - Transition'!B:B,'Step 2'!A1580,'Support - Transition'!C:C,'Step 2'!B1580,'Support - Transition'!D:D,'Step 2'!C1580,'Support - Transition'!E:E,"FIRE")</f>
        <v>5.2300000000000003E-4</v>
      </c>
      <c r="I1580" s="126">
        <f>IF(B1580="0",SUMIFS('Support - Transition'!F:F,'Support - Transition'!J:J,'Step 2'!D1580,'Support - Transition'!E:E,"STATE UNIT"),SUMIFS('Support - Transition'!F:F,'Support - Transition'!J:J,'Step 2'!D1580))</f>
        <v>9.4060000000000012E-3</v>
      </c>
      <c r="J1580" s="126">
        <f>SUMIFS('Support - Unit Adjustments'!E:E,'Support - Unit Adjustments'!F:F,'Step 2'!D1580)</f>
        <v>0</v>
      </c>
      <c r="K1580" s="126">
        <f t="shared" si="460"/>
        <v>9.4060000000000012E-3</v>
      </c>
      <c r="L1580" s="174">
        <f>VLOOKUP(A1580,'Step 1'!$A:$E,4,FALSE)</f>
        <v>130716</v>
      </c>
      <c r="M1580" s="47">
        <f t="shared" si="461"/>
        <v>1230</v>
      </c>
      <c r="N1580" s="177">
        <f>SUMIFS('Support - Transition'!G:G,'Support - Transition'!J:J,'Step 2'!D1580,'Support - Transition'!E:E,"2009 WELFARE ALLOCATION FACTOR")</f>
        <v>0</v>
      </c>
      <c r="O1580" s="152">
        <f t="shared" si="466"/>
        <v>0</v>
      </c>
      <c r="P1580" s="126">
        <f>IF(E1580="Y",0,SUMIFS('Support - Transition'!G:G,'Support - Transition'!J:J,'Step 2'!D1580,'Support - Transition'!E:E,"2009 SCHOOL ALLOCATION FACTOR"))</f>
        <v>0</v>
      </c>
      <c r="Q1580" s="126">
        <f>IF(E1580="Y",VLOOKUP(D1580,'Support - Unit Adjustments'!F:G,2,FALSE),0)</f>
        <v>0</v>
      </c>
      <c r="R1580" s="155">
        <f t="shared" si="478"/>
        <v>0</v>
      </c>
      <c r="S1580" s="47">
        <f t="shared" si="477"/>
        <v>0</v>
      </c>
      <c r="T1580" s="151">
        <f t="shared" si="462"/>
        <v>1230</v>
      </c>
      <c r="U1580" s="151">
        <f t="shared" si="463"/>
        <v>0</v>
      </c>
      <c r="V1580" s="139">
        <f t="shared" si="464"/>
        <v>0</v>
      </c>
      <c r="W1580" s="152">
        <f t="shared" si="467"/>
        <v>1230</v>
      </c>
      <c r="X1580" s="127" t="str">
        <f t="shared" si="465"/>
        <v/>
      </c>
      <c r="Y1580" s="207">
        <f t="shared" si="468"/>
        <v>1230</v>
      </c>
      <c r="Z1580" s="139">
        <f t="shared" si="469"/>
        <v>1162</v>
      </c>
      <c r="AA1580" s="139">
        <f t="shared" si="470"/>
        <v>68</v>
      </c>
      <c r="AC1580" s="47">
        <f t="shared" si="471"/>
        <v>615</v>
      </c>
      <c r="AD1580" s="47">
        <f t="shared" si="472"/>
        <v>581</v>
      </c>
      <c r="AE1580" s="47">
        <f t="shared" si="473"/>
        <v>34</v>
      </c>
      <c r="AG1580" s="47">
        <f t="shared" si="474"/>
        <v>615</v>
      </c>
      <c r="AH1580" s="47">
        <f t="shared" si="475"/>
        <v>581</v>
      </c>
      <c r="AI1580" s="208">
        <f t="shared" si="476"/>
        <v>34</v>
      </c>
    </row>
    <row r="1581" spans="1:35">
      <c r="A1581" t="s">
        <v>2135</v>
      </c>
      <c r="B1581" t="s">
        <v>3142</v>
      </c>
      <c r="C1581" t="s">
        <v>2190</v>
      </c>
      <c r="D1581" t="s">
        <v>5004</v>
      </c>
      <c r="F1581" t="s">
        <v>1213</v>
      </c>
      <c r="G1581" s="126">
        <f>SUMIFS('Support - Transition'!F:F,'Support - Transition'!B:B,'Step 2'!A1581,'Support - Transition'!C:C,'Step 2'!B1581,'Support - Transition'!D:D,'Step 2'!C1581,'Support - Transition'!E:E,"CIVIL")</f>
        <v>9.3400000000000004E-4</v>
      </c>
      <c r="H1581" s="126">
        <f>SUMIFS('Support - Transition'!F:F,'Support - Transition'!B:B,'Step 2'!A1581,'Support - Transition'!C:C,'Step 2'!B1581,'Support - Transition'!D:D,'Step 2'!C1581,'Support - Transition'!E:E,"FIRE")</f>
        <v>2.6499999999999999E-4</v>
      </c>
      <c r="I1581" s="126">
        <f>IF(B1581="0",SUMIFS('Support - Transition'!F:F,'Support - Transition'!J:J,'Step 2'!D1581,'Support - Transition'!E:E,"STATE UNIT"),SUMIFS('Support - Transition'!F:F,'Support - Transition'!J:J,'Step 2'!D1581))</f>
        <v>1.199E-3</v>
      </c>
      <c r="J1581" s="126">
        <f>SUMIFS('Support - Unit Adjustments'!E:E,'Support - Unit Adjustments'!F:F,'Step 2'!D1581)</f>
        <v>0</v>
      </c>
      <c r="K1581" s="126">
        <f t="shared" si="460"/>
        <v>1.199E-3</v>
      </c>
      <c r="L1581" s="174">
        <f>VLOOKUP(A1581,'Step 1'!$A:$E,4,FALSE)</f>
        <v>130716</v>
      </c>
      <c r="M1581" s="47">
        <f t="shared" si="461"/>
        <v>157</v>
      </c>
      <c r="N1581" s="177">
        <f>SUMIFS('Support - Transition'!G:G,'Support - Transition'!J:J,'Step 2'!D1581,'Support - Transition'!E:E,"2009 WELFARE ALLOCATION FACTOR")</f>
        <v>0</v>
      </c>
      <c r="O1581" s="152">
        <f t="shared" si="466"/>
        <v>0</v>
      </c>
      <c r="P1581" s="126">
        <f>IF(E1581="Y",0,SUMIFS('Support - Transition'!G:G,'Support - Transition'!J:J,'Step 2'!D1581,'Support - Transition'!E:E,"2009 SCHOOL ALLOCATION FACTOR"))</f>
        <v>0</v>
      </c>
      <c r="Q1581" s="126">
        <f>IF(E1581="Y",VLOOKUP(D1581,'Support - Unit Adjustments'!F:G,2,FALSE),0)</f>
        <v>0</v>
      </c>
      <c r="R1581" s="155">
        <f t="shared" si="478"/>
        <v>0</v>
      </c>
      <c r="S1581" s="47">
        <f t="shared" si="477"/>
        <v>0</v>
      </c>
      <c r="T1581" s="151">
        <f t="shared" si="462"/>
        <v>157</v>
      </c>
      <c r="U1581" s="151">
        <f t="shared" si="463"/>
        <v>0</v>
      </c>
      <c r="V1581" s="139">
        <f t="shared" si="464"/>
        <v>0</v>
      </c>
      <c r="W1581" s="152">
        <f t="shared" si="467"/>
        <v>157</v>
      </c>
      <c r="X1581" s="127" t="str">
        <f t="shared" si="465"/>
        <v/>
      </c>
      <c r="Y1581" s="207">
        <f t="shared" si="468"/>
        <v>157</v>
      </c>
      <c r="Z1581" s="139">
        <f t="shared" si="469"/>
        <v>122</v>
      </c>
      <c r="AA1581" s="139">
        <f t="shared" si="470"/>
        <v>35</v>
      </c>
      <c r="AC1581" s="47">
        <f t="shared" si="471"/>
        <v>79</v>
      </c>
      <c r="AD1581" s="47">
        <f t="shared" si="472"/>
        <v>61</v>
      </c>
      <c r="AE1581" s="47">
        <f t="shared" si="473"/>
        <v>18</v>
      </c>
      <c r="AG1581" s="47">
        <f t="shared" si="474"/>
        <v>78</v>
      </c>
      <c r="AH1581" s="47">
        <f t="shared" si="475"/>
        <v>61</v>
      </c>
      <c r="AI1581" s="208">
        <f t="shared" si="476"/>
        <v>17</v>
      </c>
    </row>
    <row r="1582" spans="1:35">
      <c r="A1582" t="s">
        <v>2135</v>
      </c>
      <c r="B1582" t="s">
        <v>3142</v>
      </c>
      <c r="C1582" t="s">
        <v>2191</v>
      </c>
      <c r="D1582" t="s">
        <v>5005</v>
      </c>
      <c r="F1582" t="s">
        <v>1214</v>
      </c>
      <c r="G1582" s="126">
        <f>SUMIFS('Support - Transition'!F:F,'Support - Transition'!B:B,'Step 2'!A1582,'Support - Transition'!C:C,'Step 2'!B1582,'Support - Transition'!D:D,'Step 2'!C1582,'Support - Transition'!E:E,"CIVIL")</f>
        <v>1.3899999999999999E-4</v>
      </c>
      <c r="H1582" s="126">
        <f>SUMIFS('Support - Transition'!F:F,'Support - Transition'!B:B,'Step 2'!A1582,'Support - Transition'!C:C,'Step 2'!B1582,'Support - Transition'!D:D,'Step 2'!C1582,'Support - Transition'!E:E,"FIRE")</f>
        <v>1.4E-5</v>
      </c>
      <c r="I1582" s="126">
        <f>IF(B1582="0",SUMIFS('Support - Transition'!F:F,'Support - Transition'!J:J,'Step 2'!D1582,'Support - Transition'!E:E,"STATE UNIT"),SUMIFS('Support - Transition'!F:F,'Support - Transition'!J:J,'Step 2'!D1582))</f>
        <v>1.5299999999999998E-4</v>
      </c>
      <c r="J1582" s="126">
        <f>SUMIFS('Support - Unit Adjustments'!E:E,'Support - Unit Adjustments'!F:F,'Step 2'!D1582)</f>
        <v>0</v>
      </c>
      <c r="K1582" s="126">
        <f t="shared" si="460"/>
        <v>1.5299999999999998E-4</v>
      </c>
      <c r="L1582" s="174">
        <f>VLOOKUP(A1582,'Step 1'!$A:$E,4,FALSE)</f>
        <v>130716</v>
      </c>
      <c r="M1582" s="47">
        <f t="shared" si="461"/>
        <v>20</v>
      </c>
      <c r="N1582" s="177">
        <f>SUMIFS('Support - Transition'!G:G,'Support - Transition'!J:J,'Step 2'!D1582,'Support - Transition'!E:E,"2009 WELFARE ALLOCATION FACTOR")</f>
        <v>0</v>
      </c>
      <c r="O1582" s="152">
        <f t="shared" si="466"/>
        <v>0</v>
      </c>
      <c r="P1582" s="126">
        <f>IF(E1582="Y",0,SUMIFS('Support - Transition'!G:G,'Support - Transition'!J:J,'Step 2'!D1582,'Support - Transition'!E:E,"2009 SCHOOL ALLOCATION FACTOR"))</f>
        <v>0</v>
      </c>
      <c r="Q1582" s="126">
        <f>IF(E1582="Y",VLOOKUP(D1582,'Support - Unit Adjustments'!F:G,2,FALSE),0)</f>
        <v>0</v>
      </c>
      <c r="R1582" s="155">
        <f t="shared" si="478"/>
        <v>0</v>
      </c>
      <c r="S1582" s="47">
        <f t="shared" si="477"/>
        <v>0</v>
      </c>
      <c r="T1582" s="151">
        <f t="shared" si="462"/>
        <v>20</v>
      </c>
      <c r="U1582" s="151">
        <f t="shared" si="463"/>
        <v>0</v>
      </c>
      <c r="V1582" s="139">
        <f t="shared" si="464"/>
        <v>0</v>
      </c>
      <c r="W1582" s="152">
        <f t="shared" si="467"/>
        <v>20</v>
      </c>
      <c r="X1582" s="127" t="str">
        <f t="shared" si="465"/>
        <v/>
      </c>
      <c r="Y1582" s="207">
        <f t="shared" si="468"/>
        <v>20</v>
      </c>
      <c r="Z1582" s="139">
        <f t="shared" si="469"/>
        <v>18</v>
      </c>
      <c r="AA1582" s="139">
        <f t="shared" si="470"/>
        <v>2</v>
      </c>
      <c r="AC1582" s="47">
        <f t="shared" si="471"/>
        <v>10</v>
      </c>
      <c r="AD1582" s="47">
        <f t="shared" si="472"/>
        <v>9</v>
      </c>
      <c r="AE1582" s="47">
        <f t="shared" si="473"/>
        <v>1</v>
      </c>
      <c r="AG1582" s="47">
        <f t="shared" si="474"/>
        <v>10</v>
      </c>
      <c r="AH1582" s="47">
        <f t="shared" si="475"/>
        <v>9</v>
      </c>
      <c r="AI1582" s="208">
        <f t="shared" si="476"/>
        <v>1</v>
      </c>
    </row>
    <row r="1583" spans="1:35">
      <c r="A1583" t="s">
        <v>2135</v>
      </c>
      <c r="B1583" t="s">
        <v>3142</v>
      </c>
      <c r="C1583" t="s">
        <v>2192</v>
      </c>
      <c r="D1583" t="s">
        <v>5006</v>
      </c>
      <c r="F1583" t="s">
        <v>56</v>
      </c>
      <c r="G1583" s="126">
        <f>SUMIFS('Support - Transition'!F:F,'Support - Transition'!B:B,'Step 2'!A1583,'Support - Transition'!C:C,'Step 2'!B1583,'Support - Transition'!D:D,'Step 2'!C1583,'Support - Transition'!E:E,"CIVIL")</f>
        <v>2.879E-3</v>
      </c>
      <c r="H1583" s="126">
        <f>SUMIFS('Support - Transition'!F:F,'Support - Transition'!B:B,'Step 2'!A1583,'Support - Transition'!C:C,'Step 2'!B1583,'Support - Transition'!D:D,'Step 2'!C1583,'Support - Transition'!E:E,"FIRE")</f>
        <v>3.0699999999999998E-4</v>
      </c>
      <c r="I1583" s="126">
        <f>IF(B1583="0",SUMIFS('Support - Transition'!F:F,'Support - Transition'!J:J,'Step 2'!D1583,'Support - Transition'!E:E,"STATE UNIT"),SUMIFS('Support - Transition'!F:F,'Support - Transition'!J:J,'Step 2'!D1583))</f>
        <v>3.186E-3</v>
      </c>
      <c r="J1583" s="126">
        <f>SUMIFS('Support - Unit Adjustments'!E:E,'Support - Unit Adjustments'!F:F,'Step 2'!D1583)</f>
        <v>0</v>
      </c>
      <c r="K1583" s="126">
        <f t="shared" si="460"/>
        <v>3.186E-3</v>
      </c>
      <c r="L1583" s="174">
        <f>VLOOKUP(A1583,'Step 1'!$A:$E,4,FALSE)</f>
        <v>130716</v>
      </c>
      <c r="M1583" s="47">
        <f t="shared" si="461"/>
        <v>416</v>
      </c>
      <c r="N1583" s="177">
        <f>SUMIFS('Support - Transition'!G:G,'Support - Transition'!J:J,'Step 2'!D1583,'Support - Transition'!E:E,"2009 WELFARE ALLOCATION FACTOR")</f>
        <v>0</v>
      </c>
      <c r="O1583" s="152">
        <f t="shared" si="466"/>
        <v>0</v>
      </c>
      <c r="P1583" s="126">
        <f>IF(E1583="Y",0,SUMIFS('Support - Transition'!G:G,'Support - Transition'!J:J,'Step 2'!D1583,'Support - Transition'!E:E,"2009 SCHOOL ALLOCATION FACTOR"))</f>
        <v>0</v>
      </c>
      <c r="Q1583" s="126">
        <f>IF(E1583="Y",VLOOKUP(D1583,'Support - Unit Adjustments'!F:G,2,FALSE),0)</f>
        <v>0</v>
      </c>
      <c r="R1583" s="155">
        <f t="shared" si="478"/>
        <v>0</v>
      </c>
      <c r="S1583" s="47">
        <f t="shared" si="477"/>
        <v>0</v>
      </c>
      <c r="T1583" s="151">
        <f t="shared" si="462"/>
        <v>416</v>
      </c>
      <c r="U1583" s="151">
        <f t="shared" si="463"/>
        <v>0</v>
      </c>
      <c r="V1583" s="139">
        <f t="shared" si="464"/>
        <v>0</v>
      </c>
      <c r="W1583" s="152">
        <f t="shared" si="467"/>
        <v>416</v>
      </c>
      <c r="X1583" s="127" t="str">
        <f t="shared" si="465"/>
        <v/>
      </c>
      <c r="Y1583" s="207">
        <f t="shared" si="468"/>
        <v>416</v>
      </c>
      <c r="Z1583" s="139">
        <f t="shared" si="469"/>
        <v>376</v>
      </c>
      <c r="AA1583" s="139">
        <f t="shared" si="470"/>
        <v>40</v>
      </c>
      <c r="AC1583" s="47">
        <f t="shared" si="471"/>
        <v>208</v>
      </c>
      <c r="AD1583" s="47">
        <f t="shared" si="472"/>
        <v>188</v>
      </c>
      <c r="AE1583" s="47">
        <f t="shared" si="473"/>
        <v>20</v>
      </c>
      <c r="AG1583" s="47">
        <f t="shared" si="474"/>
        <v>208</v>
      </c>
      <c r="AH1583" s="47">
        <f t="shared" si="475"/>
        <v>188</v>
      </c>
      <c r="AI1583" s="208">
        <f t="shared" si="476"/>
        <v>20</v>
      </c>
    </row>
    <row r="1584" spans="1:35">
      <c r="A1584" t="s">
        <v>2135</v>
      </c>
      <c r="B1584" t="s">
        <v>3142</v>
      </c>
      <c r="C1584" t="s">
        <v>2193</v>
      </c>
      <c r="D1584" t="s">
        <v>5007</v>
      </c>
      <c r="F1584" t="s">
        <v>1215</v>
      </c>
      <c r="G1584" s="126">
        <f>SUMIFS('Support - Transition'!F:F,'Support - Transition'!B:B,'Step 2'!A1584,'Support - Transition'!C:C,'Step 2'!B1584,'Support - Transition'!D:D,'Step 2'!C1584,'Support - Transition'!E:E,"CIVIL")</f>
        <v>1.0809999999999999E-3</v>
      </c>
      <c r="H1584" s="126">
        <f>SUMIFS('Support - Transition'!F:F,'Support - Transition'!B:B,'Step 2'!A1584,'Support - Transition'!C:C,'Step 2'!B1584,'Support - Transition'!D:D,'Step 2'!C1584,'Support - Transition'!E:E,"FIRE")</f>
        <v>4.5300000000000001E-4</v>
      </c>
      <c r="I1584" s="126">
        <f>IF(B1584="0",SUMIFS('Support - Transition'!F:F,'Support - Transition'!J:J,'Step 2'!D1584,'Support - Transition'!E:E,"STATE UNIT"),SUMIFS('Support - Transition'!F:F,'Support - Transition'!J:J,'Step 2'!D1584))</f>
        <v>1.534E-3</v>
      </c>
      <c r="J1584" s="126">
        <f>SUMIFS('Support - Unit Adjustments'!E:E,'Support - Unit Adjustments'!F:F,'Step 2'!D1584)</f>
        <v>0</v>
      </c>
      <c r="K1584" s="126">
        <f t="shared" si="460"/>
        <v>1.534E-3</v>
      </c>
      <c r="L1584" s="174">
        <f>VLOOKUP(A1584,'Step 1'!$A:$E,4,FALSE)</f>
        <v>130716</v>
      </c>
      <c r="M1584" s="47">
        <f t="shared" si="461"/>
        <v>201</v>
      </c>
      <c r="N1584" s="177">
        <f>SUMIFS('Support - Transition'!G:G,'Support - Transition'!J:J,'Step 2'!D1584,'Support - Transition'!E:E,"2009 WELFARE ALLOCATION FACTOR")</f>
        <v>0</v>
      </c>
      <c r="O1584" s="152">
        <f t="shared" si="466"/>
        <v>0</v>
      </c>
      <c r="P1584" s="126">
        <f>IF(E1584="Y",0,SUMIFS('Support - Transition'!G:G,'Support - Transition'!J:J,'Step 2'!D1584,'Support - Transition'!E:E,"2009 SCHOOL ALLOCATION FACTOR"))</f>
        <v>0</v>
      </c>
      <c r="Q1584" s="126">
        <f>IF(E1584="Y",VLOOKUP(D1584,'Support - Unit Adjustments'!F:G,2,FALSE),0)</f>
        <v>0</v>
      </c>
      <c r="R1584" s="155">
        <f t="shared" si="478"/>
        <v>0</v>
      </c>
      <c r="S1584" s="47">
        <f t="shared" si="477"/>
        <v>0</v>
      </c>
      <c r="T1584" s="151">
        <f t="shared" si="462"/>
        <v>201</v>
      </c>
      <c r="U1584" s="151">
        <f t="shared" si="463"/>
        <v>0</v>
      </c>
      <c r="V1584" s="139">
        <f t="shared" si="464"/>
        <v>0</v>
      </c>
      <c r="W1584" s="152">
        <f t="shared" si="467"/>
        <v>201</v>
      </c>
      <c r="X1584" s="127" t="str">
        <f t="shared" si="465"/>
        <v/>
      </c>
      <c r="Y1584" s="207">
        <f t="shared" si="468"/>
        <v>201</v>
      </c>
      <c r="Z1584" s="139">
        <f t="shared" si="469"/>
        <v>142</v>
      </c>
      <c r="AA1584" s="139">
        <f t="shared" si="470"/>
        <v>59</v>
      </c>
      <c r="AC1584" s="47">
        <f t="shared" si="471"/>
        <v>101</v>
      </c>
      <c r="AD1584" s="47">
        <f t="shared" si="472"/>
        <v>71</v>
      </c>
      <c r="AE1584" s="47">
        <f t="shared" si="473"/>
        <v>30</v>
      </c>
      <c r="AG1584" s="47">
        <f t="shared" si="474"/>
        <v>100</v>
      </c>
      <c r="AH1584" s="47">
        <f t="shared" si="475"/>
        <v>71</v>
      </c>
      <c r="AI1584" s="208">
        <f t="shared" si="476"/>
        <v>29</v>
      </c>
    </row>
    <row r="1585" spans="1:35">
      <c r="A1585" t="s">
        <v>2135</v>
      </c>
      <c r="B1585" t="s">
        <v>3155</v>
      </c>
      <c r="C1585" t="s">
        <v>2836</v>
      </c>
      <c r="D1585" t="s">
        <v>5008</v>
      </c>
      <c r="F1585" t="s">
        <v>1217</v>
      </c>
      <c r="G1585" s="126">
        <f>SUMIFS('Support - Transition'!F:F,'Support - Transition'!B:B,'Step 2'!A1585,'Support - Transition'!C:C,'Step 2'!B1585,'Support - Transition'!D:D,'Step 2'!C1585,'Support - Transition'!E:E,"CIVIL")</f>
        <v>0</v>
      </c>
      <c r="H1585" s="126">
        <f>SUMIFS('Support - Transition'!F:F,'Support - Transition'!B:B,'Step 2'!A1585,'Support - Transition'!C:C,'Step 2'!B1585,'Support - Transition'!D:D,'Step 2'!C1585,'Support - Transition'!E:E,"FIRE")</f>
        <v>0</v>
      </c>
      <c r="I1585" s="126">
        <f>IF(B1585="0",SUMIFS('Support - Transition'!F:F,'Support - Transition'!J:J,'Step 2'!D1585,'Support - Transition'!E:E,"STATE UNIT"),SUMIFS('Support - Transition'!F:F,'Support - Transition'!J:J,'Step 2'!D1585))</f>
        <v>3.3570999999999997E-2</v>
      </c>
      <c r="J1585" s="126">
        <f>SUMIFS('Support - Unit Adjustments'!E:E,'Support - Unit Adjustments'!F:F,'Step 2'!D1585)</f>
        <v>0</v>
      </c>
      <c r="K1585" s="126">
        <f t="shared" si="460"/>
        <v>3.3570999999999997E-2</v>
      </c>
      <c r="L1585" s="174">
        <f>VLOOKUP(A1585,'Step 1'!$A:$E,4,FALSE)</f>
        <v>130716</v>
      </c>
      <c r="M1585" s="47">
        <f t="shared" si="461"/>
        <v>4388</v>
      </c>
      <c r="N1585" s="177">
        <f>SUMIFS('Support - Transition'!G:G,'Support - Transition'!J:J,'Step 2'!D1585,'Support - Transition'!E:E,"2009 WELFARE ALLOCATION FACTOR")</f>
        <v>0</v>
      </c>
      <c r="O1585" s="152">
        <f t="shared" si="466"/>
        <v>0</v>
      </c>
      <c r="P1585" s="126">
        <f>IF(E1585="Y",0,SUMIFS('Support - Transition'!G:G,'Support - Transition'!J:J,'Step 2'!D1585,'Support - Transition'!E:E,"2009 SCHOOL ALLOCATION FACTOR"))</f>
        <v>0</v>
      </c>
      <c r="Q1585" s="126">
        <f>IF(E1585="Y",VLOOKUP(D1585,'Support - Unit Adjustments'!F:G,2,FALSE),0)</f>
        <v>0</v>
      </c>
      <c r="R1585" s="155">
        <f t="shared" si="478"/>
        <v>0</v>
      </c>
      <c r="S1585" s="47">
        <f t="shared" si="477"/>
        <v>0</v>
      </c>
      <c r="T1585" s="151">
        <f t="shared" si="462"/>
        <v>4388</v>
      </c>
      <c r="U1585" s="151">
        <f t="shared" si="463"/>
        <v>0</v>
      </c>
      <c r="V1585" s="139">
        <f t="shared" si="464"/>
        <v>0</v>
      </c>
      <c r="W1585" s="152">
        <f t="shared" si="467"/>
        <v>4388</v>
      </c>
      <c r="X1585" s="127" t="str">
        <f t="shared" si="465"/>
        <v/>
      </c>
      <c r="Y1585" s="207">
        <f t="shared" si="468"/>
        <v>4388</v>
      </c>
      <c r="Z1585" s="139">
        <f t="shared" si="469"/>
        <v>4388</v>
      </c>
      <c r="AA1585" s="139">
        <f t="shared" si="470"/>
        <v>0</v>
      </c>
      <c r="AC1585" s="47">
        <f t="shared" si="471"/>
        <v>2194</v>
      </c>
      <c r="AD1585" s="47">
        <f t="shared" si="472"/>
        <v>2194</v>
      </c>
      <c r="AE1585" s="47">
        <f t="shared" si="473"/>
        <v>0</v>
      </c>
      <c r="AG1585" s="47">
        <f t="shared" si="474"/>
        <v>2194</v>
      </c>
      <c r="AH1585" s="47">
        <f t="shared" si="475"/>
        <v>2194</v>
      </c>
      <c r="AI1585" s="208">
        <f t="shared" si="476"/>
        <v>0</v>
      </c>
    </row>
    <row r="1586" spans="1:35">
      <c r="A1586" t="s">
        <v>2135</v>
      </c>
      <c r="B1586" t="s">
        <v>3155</v>
      </c>
      <c r="C1586" t="s">
        <v>2837</v>
      </c>
      <c r="D1586" t="s">
        <v>5009</v>
      </c>
      <c r="F1586" t="s">
        <v>1216</v>
      </c>
      <c r="G1586" s="126">
        <f>SUMIFS('Support - Transition'!F:F,'Support - Transition'!B:B,'Step 2'!A1586,'Support - Transition'!C:C,'Step 2'!B1586,'Support - Transition'!D:D,'Step 2'!C1586,'Support - Transition'!E:E,"CIVIL")</f>
        <v>0</v>
      </c>
      <c r="H1586" s="126">
        <f>SUMIFS('Support - Transition'!F:F,'Support - Transition'!B:B,'Step 2'!A1586,'Support - Transition'!C:C,'Step 2'!B1586,'Support - Transition'!D:D,'Step 2'!C1586,'Support - Transition'!E:E,"FIRE")</f>
        <v>0</v>
      </c>
      <c r="I1586" s="126">
        <f>IF(B1586="0",SUMIFS('Support - Transition'!F:F,'Support - Transition'!J:J,'Step 2'!D1586,'Support - Transition'!E:E,"STATE UNIT"),SUMIFS('Support - Transition'!F:F,'Support - Transition'!J:J,'Step 2'!D1586))</f>
        <v>0</v>
      </c>
      <c r="J1586" s="126">
        <f>SUMIFS('Support - Unit Adjustments'!E:E,'Support - Unit Adjustments'!F:F,'Step 2'!D1586)</f>
        <v>0</v>
      </c>
      <c r="K1586" s="126">
        <f t="shared" si="460"/>
        <v>0</v>
      </c>
      <c r="L1586" s="174">
        <f>VLOOKUP(A1586,'Step 1'!$A:$E,4,FALSE)</f>
        <v>130716</v>
      </c>
      <c r="M1586" s="47">
        <f t="shared" si="461"/>
        <v>0</v>
      </c>
      <c r="N1586" s="177">
        <f>SUMIFS('Support - Transition'!G:G,'Support - Transition'!J:J,'Step 2'!D1586,'Support - Transition'!E:E,"2009 WELFARE ALLOCATION FACTOR")</f>
        <v>0</v>
      </c>
      <c r="O1586" s="152">
        <f t="shared" si="466"/>
        <v>0</v>
      </c>
      <c r="P1586" s="126">
        <f>IF(E1586="Y",0,SUMIFS('Support - Transition'!G:G,'Support - Transition'!J:J,'Step 2'!D1586,'Support - Transition'!E:E,"2009 SCHOOL ALLOCATION FACTOR"))</f>
        <v>0</v>
      </c>
      <c r="Q1586" s="126">
        <f>IF(E1586="Y",VLOOKUP(D1586,'Support - Unit Adjustments'!F:G,2,FALSE),0)</f>
        <v>0</v>
      </c>
      <c r="R1586" s="155">
        <f t="shared" si="478"/>
        <v>0</v>
      </c>
      <c r="S1586" s="47">
        <f t="shared" si="477"/>
        <v>0</v>
      </c>
      <c r="T1586" s="151">
        <f t="shared" si="462"/>
        <v>0</v>
      </c>
      <c r="U1586" s="151">
        <f t="shared" si="463"/>
        <v>0</v>
      </c>
      <c r="V1586" s="139">
        <f t="shared" si="464"/>
        <v>0</v>
      </c>
      <c r="W1586" s="152">
        <f t="shared" si="467"/>
        <v>0</v>
      </c>
      <c r="X1586" s="127" t="str">
        <f t="shared" si="465"/>
        <v/>
      </c>
      <c r="Y1586" s="207">
        <f t="shared" si="468"/>
        <v>0</v>
      </c>
      <c r="Z1586" s="139">
        <f t="shared" si="469"/>
        <v>0</v>
      </c>
      <c r="AA1586" s="139">
        <f t="shared" si="470"/>
        <v>0</v>
      </c>
      <c r="AC1586" s="47">
        <f t="shared" si="471"/>
        <v>0</v>
      </c>
      <c r="AD1586" s="47">
        <f t="shared" si="472"/>
        <v>0</v>
      </c>
      <c r="AE1586" s="47">
        <f t="shared" si="473"/>
        <v>0</v>
      </c>
      <c r="AG1586" s="47">
        <f t="shared" si="474"/>
        <v>0</v>
      </c>
      <c r="AH1586" s="47">
        <f t="shared" si="475"/>
        <v>0</v>
      </c>
      <c r="AI1586" s="208">
        <f t="shared" si="476"/>
        <v>0</v>
      </c>
    </row>
    <row r="1587" spans="1:35">
      <c r="A1587" t="s">
        <v>2135</v>
      </c>
      <c r="B1587" t="s">
        <v>3155</v>
      </c>
      <c r="C1587" t="s">
        <v>2838</v>
      </c>
      <c r="D1587" t="s">
        <v>5010</v>
      </c>
      <c r="F1587" t="s">
        <v>1218</v>
      </c>
      <c r="G1587" s="126">
        <f>SUMIFS('Support - Transition'!F:F,'Support - Transition'!B:B,'Step 2'!A1587,'Support - Transition'!C:C,'Step 2'!B1587,'Support - Transition'!D:D,'Step 2'!C1587,'Support - Transition'!E:E,"CIVIL")</f>
        <v>0</v>
      </c>
      <c r="H1587" s="126">
        <f>SUMIFS('Support - Transition'!F:F,'Support - Transition'!B:B,'Step 2'!A1587,'Support - Transition'!C:C,'Step 2'!B1587,'Support - Transition'!D:D,'Step 2'!C1587,'Support - Transition'!E:E,"FIRE")</f>
        <v>0</v>
      </c>
      <c r="I1587" s="126">
        <f>IF(B1587="0",SUMIFS('Support - Transition'!F:F,'Support - Transition'!J:J,'Step 2'!D1587,'Support - Transition'!E:E,"STATE UNIT"),SUMIFS('Support - Transition'!F:F,'Support - Transition'!J:J,'Step 2'!D1587))</f>
        <v>2.6242999999999999E-2</v>
      </c>
      <c r="J1587" s="126">
        <f>SUMIFS('Support - Unit Adjustments'!E:E,'Support - Unit Adjustments'!F:F,'Step 2'!D1587)</f>
        <v>0</v>
      </c>
      <c r="K1587" s="126">
        <f t="shared" si="460"/>
        <v>2.6242999999999999E-2</v>
      </c>
      <c r="L1587" s="174">
        <f>VLOOKUP(A1587,'Step 1'!$A:$E,4,FALSE)</f>
        <v>130716</v>
      </c>
      <c r="M1587" s="47">
        <f t="shared" si="461"/>
        <v>3430</v>
      </c>
      <c r="N1587" s="177">
        <f>SUMIFS('Support - Transition'!G:G,'Support - Transition'!J:J,'Step 2'!D1587,'Support - Transition'!E:E,"2009 WELFARE ALLOCATION FACTOR")</f>
        <v>0</v>
      </c>
      <c r="O1587" s="152">
        <f t="shared" si="466"/>
        <v>0</v>
      </c>
      <c r="P1587" s="126">
        <f>IF(E1587="Y",0,SUMIFS('Support - Transition'!G:G,'Support - Transition'!J:J,'Step 2'!D1587,'Support - Transition'!E:E,"2009 SCHOOL ALLOCATION FACTOR"))</f>
        <v>0</v>
      </c>
      <c r="Q1587" s="126">
        <f>IF(E1587="Y",VLOOKUP(D1587,'Support - Unit Adjustments'!F:G,2,FALSE),0)</f>
        <v>0</v>
      </c>
      <c r="R1587" s="155">
        <f t="shared" si="478"/>
        <v>0</v>
      </c>
      <c r="S1587" s="47">
        <f t="shared" si="477"/>
        <v>0</v>
      </c>
      <c r="T1587" s="151">
        <f t="shared" si="462"/>
        <v>3430</v>
      </c>
      <c r="U1587" s="151">
        <f t="shared" si="463"/>
        <v>0</v>
      </c>
      <c r="V1587" s="139">
        <f t="shared" si="464"/>
        <v>0</v>
      </c>
      <c r="W1587" s="152">
        <f t="shared" si="467"/>
        <v>3430</v>
      </c>
      <c r="X1587" s="127" t="str">
        <f t="shared" si="465"/>
        <v/>
      </c>
      <c r="Y1587" s="207">
        <f t="shared" si="468"/>
        <v>3430</v>
      </c>
      <c r="Z1587" s="139">
        <f t="shared" si="469"/>
        <v>3430</v>
      </c>
      <c r="AA1587" s="139">
        <f t="shared" si="470"/>
        <v>0</v>
      </c>
      <c r="AC1587" s="47">
        <f t="shared" si="471"/>
        <v>1715</v>
      </c>
      <c r="AD1587" s="47">
        <f t="shared" si="472"/>
        <v>1715</v>
      </c>
      <c r="AE1587" s="47">
        <f t="shared" si="473"/>
        <v>0</v>
      </c>
      <c r="AG1587" s="47">
        <f t="shared" si="474"/>
        <v>1715</v>
      </c>
      <c r="AH1587" s="47">
        <f t="shared" si="475"/>
        <v>1715</v>
      </c>
      <c r="AI1587" s="208">
        <f t="shared" si="476"/>
        <v>0</v>
      </c>
    </row>
    <row r="1588" spans="1:35">
      <c r="A1588" t="s">
        <v>2135</v>
      </c>
      <c r="B1588" t="s">
        <v>3160</v>
      </c>
      <c r="C1588" t="s">
        <v>2839</v>
      </c>
      <c r="D1588" t="s">
        <v>5011</v>
      </c>
      <c r="F1588" t="s">
        <v>1220</v>
      </c>
      <c r="G1588" s="126">
        <f>SUMIFS('Support - Transition'!F:F,'Support - Transition'!B:B,'Step 2'!A1588,'Support - Transition'!C:C,'Step 2'!B1588,'Support - Transition'!D:D,'Step 2'!C1588,'Support - Transition'!E:E,"CIVIL")</f>
        <v>0</v>
      </c>
      <c r="H1588" s="126">
        <f>SUMIFS('Support - Transition'!F:F,'Support - Transition'!B:B,'Step 2'!A1588,'Support - Transition'!C:C,'Step 2'!B1588,'Support - Transition'!D:D,'Step 2'!C1588,'Support - Transition'!E:E,"FIRE")</f>
        <v>0</v>
      </c>
      <c r="I1588" s="126">
        <f>IF(B1588="0",SUMIFS('Support - Transition'!F:F,'Support - Transition'!J:J,'Step 2'!D1588,'Support - Transition'!E:E,"STATE UNIT"),SUMIFS('Support - Transition'!F:F,'Support - Transition'!J:J,'Step 2'!D1588))</f>
        <v>0.40582699999999999</v>
      </c>
      <c r="J1588" s="126">
        <f>SUMIFS('Support - Unit Adjustments'!E:E,'Support - Unit Adjustments'!F:F,'Step 2'!D1588)</f>
        <v>0</v>
      </c>
      <c r="K1588" s="126">
        <f t="shared" si="460"/>
        <v>0.40582699999999999</v>
      </c>
      <c r="L1588" s="174">
        <f>VLOOKUP(A1588,'Step 1'!$A:$E,4,FALSE)</f>
        <v>130716</v>
      </c>
      <c r="M1588" s="47">
        <f t="shared" si="461"/>
        <v>53048</v>
      </c>
      <c r="N1588" s="177">
        <f>SUMIFS('Support - Transition'!G:G,'Support - Transition'!J:J,'Step 2'!D1588,'Support - Transition'!E:E,"2009 WELFARE ALLOCATION FACTOR")</f>
        <v>0</v>
      </c>
      <c r="O1588" s="152">
        <f t="shared" si="466"/>
        <v>0</v>
      </c>
      <c r="P1588" s="126">
        <f>IF(E1588="Y",0,SUMIFS('Support - Transition'!G:G,'Support - Transition'!J:J,'Step 2'!D1588,'Support - Transition'!E:E,"2009 SCHOOL ALLOCATION FACTOR"))</f>
        <v>0.34824899999999998</v>
      </c>
      <c r="Q1588" s="126">
        <f>IF(E1588="Y",VLOOKUP(D1588,'Support - Unit Adjustments'!F:G,2,FALSE),0)</f>
        <v>0</v>
      </c>
      <c r="R1588" s="155">
        <f t="shared" si="478"/>
        <v>0.34824899999999998</v>
      </c>
      <c r="S1588" s="47">
        <f t="shared" si="477"/>
        <v>18474</v>
      </c>
      <c r="T1588" s="151">
        <f t="shared" si="462"/>
        <v>34574</v>
      </c>
      <c r="U1588" s="151">
        <f t="shared" si="463"/>
        <v>0</v>
      </c>
      <c r="V1588" s="139">
        <f t="shared" si="464"/>
        <v>0</v>
      </c>
      <c r="W1588" s="152">
        <f t="shared" si="467"/>
        <v>34574</v>
      </c>
      <c r="X1588" s="127" t="str">
        <f t="shared" si="465"/>
        <v/>
      </c>
      <c r="Y1588" s="207">
        <f t="shared" si="468"/>
        <v>34574</v>
      </c>
      <c r="Z1588" s="139">
        <f t="shared" si="469"/>
        <v>34574</v>
      </c>
      <c r="AA1588" s="139">
        <f t="shared" si="470"/>
        <v>0</v>
      </c>
      <c r="AC1588" s="47">
        <f t="shared" si="471"/>
        <v>17287</v>
      </c>
      <c r="AD1588" s="47">
        <f t="shared" si="472"/>
        <v>17287</v>
      </c>
      <c r="AE1588" s="47">
        <f t="shared" si="473"/>
        <v>0</v>
      </c>
      <c r="AG1588" s="47">
        <f t="shared" si="474"/>
        <v>17287</v>
      </c>
      <c r="AH1588" s="47">
        <f t="shared" si="475"/>
        <v>17287</v>
      </c>
      <c r="AI1588" s="208">
        <f t="shared" si="476"/>
        <v>0</v>
      </c>
    </row>
    <row r="1589" spans="1:35">
      <c r="A1589" t="s">
        <v>2135</v>
      </c>
      <c r="B1589" t="s">
        <v>3160</v>
      </c>
      <c r="C1589" t="s">
        <v>2840</v>
      </c>
      <c r="D1589" t="s">
        <v>5012</v>
      </c>
      <c r="F1589" t="s">
        <v>1219</v>
      </c>
      <c r="G1589" s="126">
        <f>SUMIFS('Support - Transition'!F:F,'Support - Transition'!B:B,'Step 2'!A1589,'Support - Transition'!C:C,'Step 2'!B1589,'Support - Transition'!D:D,'Step 2'!C1589,'Support - Transition'!E:E,"CIVIL")</f>
        <v>0</v>
      </c>
      <c r="H1589" s="126">
        <f>SUMIFS('Support - Transition'!F:F,'Support - Transition'!B:B,'Step 2'!A1589,'Support - Transition'!C:C,'Step 2'!B1589,'Support - Transition'!D:D,'Step 2'!C1589,'Support - Transition'!E:E,"FIRE")</f>
        <v>0</v>
      </c>
      <c r="I1589" s="126">
        <f>IF(B1589="0",SUMIFS('Support - Transition'!F:F,'Support - Transition'!J:J,'Step 2'!D1589,'Support - Transition'!E:E,"STATE UNIT"),SUMIFS('Support - Transition'!F:F,'Support - Transition'!J:J,'Step 2'!D1589))</f>
        <v>0.21643599999999999</v>
      </c>
      <c r="J1589" s="126">
        <f>SUMIFS('Support - Unit Adjustments'!E:E,'Support - Unit Adjustments'!F:F,'Step 2'!D1589)</f>
        <v>0</v>
      </c>
      <c r="K1589" s="126">
        <f t="shared" si="460"/>
        <v>0.21643599999999999</v>
      </c>
      <c r="L1589" s="174">
        <f>VLOOKUP(A1589,'Step 1'!$A:$E,4,FALSE)</f>
        <v>130716</v>
      </c>
      <c r="M1589" s="47">
        <f t="shared" si="461"/>
        <v>28292</v>
      </c>
      <c r="N1589" s="177">
        <f>SUMIFS('Support - Transition'!G:G,'Support - Transition'!J:J,'Step 2'!D1589,'Support - Transition'!E:E,"2009 WELFARE ALLOCATION FACTOR")</f>
        <v>0</v>
      </c>
      <c r="O1589" s="152">
        <f t="shared" si="466"/>
        <v>0</v>
      </c>
      <c r="P1589" s="126">
        <f>IF(E1589="Y",0,SUMIFS('Support - Transition'!G:G,'Support - Transition'!J:J,'Step 2'!D1589,'Support - Transition'!E:E,"2009 SCHOOL ALLOCATION FACTOR"))</f>
        <v>0.51748099999999997</v>
      </c>
      <c r="Q1589" s="126">
        <f>IF(E1589="Y",VLOOKUP(D1589,'Support - Unit Adjustments'!F:G,2,FALSE),0)</f>
        <v>0</v>
      </c>
      <c r="R1589" s="155">
        <f t="shared" si="478"/>
        <v>0.51748099999999997</v>
      </c>
      <c r="S1589" s="47">
        <f t="shared" si="477"/>
        <v>14641</v>
      </c>
      <c r="T1589" s="151">
        <f t="shared" si="462"/>
        <v>13651</v>
      </c>
      <c r="U1589" s="151">
        <f t="shared" si="463"/>
        <v>0</v>
      </c>
      <c r="V1589" s="139">
        <f t="shared" si="464"/>
        <v>0</v>
      </c>
      <c r="W1589" s="152">
        <f t="shared" si="467"/>
        <v>13651</v>
      </c>
      <c r="X1589" s="127" t="str">
        <f t="shared" si="465"/>
        <v/>
      </c>
      <c r="Y1589" s="207">
        <f t="shared" si="468"/>
        <v>13651</v>
      </c>
      <c r="Z1589" s="139">
        <f t="shared" si="469"/>
        <v>13651</v>
      </c>
      <c r="AA1589" s="139">
        <f t="shared" si="470"/>
        <v>0</v>
      </c>
      <c r="AC1589" s="47">
        <f t="shared" si="471"/>
        <v>6826</v>
      </c>
      <c r="AD1589" s="47">
        <f t="shared" si="472"/>
        <v>6826</v>
      </c>
      <c r="AE1589" s="47">
        <f t="shared" si="473"/>
        <v>0</v>
      </c>
      <c r="AG1589" s="47">
        <f t="shared" si="474"/>
        <v>6825</v>
      </c>
      <c r="AH1589" s="47">
        <f t="shared" si="475"/>
        <v>6825</v>
      </c>
      <c r="AI1589" s="208">
        <f t="shared" si="476"/>
        <v>0</v>
      </c>
    </row>
    <row r="1590" spans="1:35">
      <c r="A1590" t="s">
        <v>2135</v>
      </c>
      <c r="B1590" t="s">
        <v>3166</v>
      </c>
      <c r="C1590" t="s">
        <v>2841</v>
      </c>
      <c r="D1590" t="s">
        <v>5013</v>
      </c>
      <c r="F1590" t="s">
        <v>1221</v>
      </c>
      <c r="G1590" s="126">
        <f>SUMIFS('Support - Transition'!F:F,'Support - Transition'!B:B,'Step 2'!A1590,'Support - Transition'!C:C,'Step 2'!B1590,'Support - Transition'!D:D,'Step 2'!C1590,'Support - Transition'!E:E,"CIVIL")</f>
        <v>0</v>
      </c>
      <c r="H1590" s="126">
        <f>SUMIFS('Support - Transition'!F:F,'Support - Transition'!B:B,'Step 2'!A1590,'Support - Transition'!C:C,'Step 2'!B1590,'Support - Transition'!D:D,'Step 2'!C1590,'Support - Transition'!E:E,"FIRE")</f>
        <v>0</v>
      </c>
      <c r="I1590" s="126">
        <f>IF(B1590="0",SUMIFS('Support - Transition'!F:F,'Support - Transition'!J:J,'Step 2'!D1590,'Support - Transition'!E:E,"STATE UNIT"),SUMIFS('Support - Transition'!F:F,'Support - Transition'!J:J,'Step 2'!D1590))</f>
        <v>3.2070000000000002E-3</v>
      </c>
      <c r="J1590" s="126">
        <f>SUMIFS('Support - Unit Adjustments'!E:E,'Support - Unit Adjustments'!F:F,'Step 2'!D1590)</f>
        <v>0</v>
      </c>
      <c r="K1590" s="126">
        <f t="shared" si="460"/>
        <v>3.2070000000000002E-3</v>
      </c>
      <c r="L1590" s="174">
        <f>VLOOKUP(A1590,'Step 1'!$A:$E,4,FALSE)</f>
        <v>130716</v>
      </c>
      <c r="M1590" s="47">
        <f t="shared" si="461"/>
        <v>419</v>
      </c>
      <c r="N1590" s="177">
        <f>SUMIFS('Support - Transition'!G:G,'Support - Transition'!J:J,'Step 2'!D1590,'Support - Transition'!E:E,"2009 WELFARE ALLOCATION FACTOR")</f>
        <v>0</v>
      </c>
      <c r="O1590" s="152">
        <f t="shared" si="466"/>
        <v>0</v>
      </c>
      <c r="P1590" s="126">
        <f>IF(E1590="Y",0,SUMIFS('Support - Transition'!G:G,'Support - Transition'!J:J,'Step 2'!D1590,'Support - Transition'!E:E,"2009 SCHOOL ALLOCATION FACTOR"))</f>
        <v>0</v>
      </c>
      <c r="Q1590" s="126">
        <f>IF(E1590="Y",VLOOKUP(D1590,'Support - Unit Adjustments'!F:G,2,FALSE),0)</f>
        <v>0</v>
      </c>
      <c r="R1590" s="155">
        <f t="shared" si="478"/>
        <v>0</v>
      </c>
      <c r="S1590" s="47">
        <f t="shared" si="477"/>
        <v>0</v>
      </c>
      <c r="T1590" s="151">
        <f t="shared" si="462"/>
        <v>419</v>
      </c>
      <c r="U1590" s="151">
        <f t="shared" si="463"/>
        <v>0</v>
      </c>
      <c r="V1590" s="139">
        <f t="shared" si="464"/>
        <v>0</v>
      </c>
      <c r="W1590" s="152">
        <f t="shared" si="467"/>
        <v>419</v>
      </c>
      <c r="X1590" s="127" t="str">
        <f t="shared" si="465"/>
        <v/>
      </c>
      <c r="Y1590" s="207">
        <f t="shared" si="468"/>
        <v>419</v>
      </c>
      <c r="Z1590" s="139">
        <f t="shared" si="469"/>
        <v>419</v>
      </c>
      <c r="AA1590" s="139">
        <f t="shared" si="470"/>
        <v>0</v>
      </c>
      <c r="AC1590" s="47">
        <f t="shared" si="471"/>
        <v>210</v>
      </c>
      <c r="AD1590" s="47">
        <f t="shared" si="472"/>
        <v>210</v>
      </c>
      <c r="AE1590" s="47">
        <f t="shared" si="473"/>
        <v>0</v>
      </c>
      <c r="AG1590" s="47">
        <f t="shared" si="474"/>
        <v>209</v>
      </c>
      <c r="AH1590" s="47">
        <f t="shared" si="475"/>
        <v>209</v>
      </c>
      <c r="AI1590" s="208">
        <f t="shared" si="476"/>
        <v>0</v>
      </c>
    </row>
    <row r="1591" spans="1:35">
      <c r="A1591" t="s">
        <v>2135</v>
      </c>
      <c r="B1591" t="s">
        <v>3166</v>
      </c>
      <c r="C1591" t="s">
        <v>2842</v>
      </c>
      <c r="D1591" t="s">
        <v>5014</v>
      </c>
      <c r="F1591" t="s">
        <v>1222</v>
      </c>
      <c r="G1591" s="126">
        <f>SUMIFS('Support - Transition'!F:F,'Support - Transition'!B:B,'Step 2'!A1591,'Support - Transition'!C:C,'Step 2'!B1591,'Support - Transition'!D:D,'Step 2'!C1591,'Support - Transition'!E:E,"CIVIL")</f>
        <v>0</v>
      </c>
      <c r="H1591" s="126">
        <f>SUMIFS('Support - Transition'!F:F,'Support - Transition'!B:B,'Step 2'!A1591,'Support - Transition'!C:C,'Step 2'!B1591,'Support - Transition'!D:D,'Step 2'!C1591,'Support - Transition'!E:E,"FIRE")</f>
        <v>0</v>
      </c>
      <c r="I1591" s="126">
        <f>IF(B1591="0",SUMIFS('Support - Transition'!F:F,'Support - Transition'!J:J,'Step 2'!D1591,'Support - Transition'!E:E,"STATE UNIT"),SUMIFS('Support - Transition'!F:F,'Support - Transition'!J:J,'Step 2'!D1591))</f>
        <v>3.3809999999999999E-3</v>
      </c>
      <c r="J1591" s="126">
        <f>SUMIFS('Support - Unit Adjustments'!E:E,'Support - Unit Adjustments'!F:F,'Step 2'!D1591)</f>
        <v>0</v>
      </c>
      <c r="K1591" s="126">
        <f t="shared" si="460"/>
        <v>3.3809999999999999E-3</v>
      </c>
      <c r="L1591" s="174">
        <f>VLOOKUP(A1591,'Step 1'!$A:$E,4,FALSE)</f>
        <v>130716</v>
      </c>
      <c r="M1591" s="47">
        <f t="shared" si="461"/>
        <v>442</v>
      </c>
      <c r="N1591" s="177">
        <f>SUMIFS('Support - Transition'!G:G,'Support - Transition'!J:J,'Step 2'!D1591,'Support - Transition'!E:E,"2009 WELFARE ALLOCATION FACTOR")</f>
        <v>0</v>
      </c>
      <c r="O1591" s="152">
        <f t="shared" si="466"/>
        <v>0</v>
      </c>
      <c r="P1591" s="126">
        <f>IF(E1591="Y",0,SUMIFS('Support - Transition'!G:G,'Support - Transition'!J:J,'Step 2'!D1591,'Support - Transition'!E:E,"2009 SCHOOL ALLOCATION FACTOR"))</f>
        <v>0</v>
      </c>
      <c r="Q1591" s="126">
        <f>IF(E1591="Y",VLOOKUP(D1591,'Support - Unit Adjustments'!F:G,2,FALSE),0)</f>
        <v>0</v>
      </c>
      <c r="R1591" s="155">
        <f t="shared" si="478"/>
        <v>0</v>
      </c>
      <c r="S1591" s="47">
        <f t="shared" si="477"/>
        <v>0</v>
      </c>
      <c r="T1591" s="151">
        <f t="shared" si="462"/>
        <v>442</v>
      </c>
      <c r="U1591" s="151">
        <f t="shared" si="463"/>
        <v>0</v>
      </c>
      <c r="V1591" s="139">
        <f t="shared" si="464"/>
        <v>0</v>
      </c>
      <c r="W1591" s="152">
        <f t="shared" si="467"/>
        <v>442</v>
      </c>
      <c r="X1591" s="127" t="str">
        <f t="shared" si="465"/>
        <v/>
      </c>
      <c r="Y1591" s="207">
        <f t="shared" si="468"/>
        <v>442</v>
      </c>
      <c r="Z1591" s="139">
        <f t="shared" si="469"/>
        <v>442</v>
      </c>
      <c r="AA1591" s="139">
        <f t="shared" si="470"/>
        <v>0</v>
      </c>
      <c r="AC1591" s="47">
        <f t="shared" si="471"/>
        <v>221</v>
      </c>
      <c r="AD1591" s="47">
        <f t="shared" si="472"/>
        <v>221</v>
      </c>
      <c r="AE1591" s="47">
        <f t="shared" si="473"/>
        <v>0</v>
      </c>
      <c r="AG1591" s="47">
        <f t="shared" si="474"/>
        <v>221</v>
      </c>
      <c r="AH1591" s="47">
        <f t="shared" si="475"/>
        <v>221</v>
      </c>
      <c r="AI1591" s="208">
        <f t="shared" si="476"/>
        <v>0</v>
      </c>
    </row>
    <row r="1592" spans="1:35">
      <c r="A1592" t="s">
        <v>2135</v>
      </c>
      <c r="B1592" t="s">
        <v>3170</v>
      </c>
      <c r="C1592" t="s">
        <v>5015</v>
      </c>
      <c r="D1592" t="s">
        <v>5016</v>
      </c>
      <c r="F1592" t="s">
        <v>5017</v>
      </c>
      <c r="G1592" s="126">
        <f>SUMIFS('Support - Transition'!F:F,'Support - Transition'!B:B,'Step 2'!A1592,'Support - Transition'!C:C,'Step 2'!B1592,'Support - Transition'!D:D,'Step 2'!C1592,'Support - Transition'!E:E,"CIVIL")</f>
        <v>0</v>
      </c>
      <c r="H1592" s="126">
        <f>SUMIFS('Support - Transition'!F:F,'Support - Transition'!B:B,'Step 2'!A1592,'Support - Transition'!C:C,'Step 2'!B1592,'Support - Transition'!D:D,'Step 2'!C1592,'Support - Transition'!E:E,"FIRE")</f>
        <v>0</v>
      </c>
      <c r="I1592" s="126">
        <f>IF(B1592="0",SUMIFS('Support - Transition'!F:F,'Support - Transition'!J:J,'Step 2'!D1592,'Support - Transition'!E:E,"STATE UNIT"),SUMIFS('Support - Transition'!F:F,'Support - Transition'!J:J,'Step 2'!D1592))</f>
        <v>1.5542000000000056E-2</v>
      </c>
      <c r="J1592" s="126">
        <f>SUMIFS('Support - Unit Adjustments'!E:E,'Support - Unit Adjustments'!F:F,'Step 2'!D1592)</f>
        <v>0</v>
      </c>
      <c r="K1592" s="126">
        <f t="shared" si="460"/>
        <v>1.5542000000000056E-2</v>
      </c>
      <c r="L1592" s="174">
        <f>VLOOKUP(A1592,'Step 1'!$A:$E,4,FALSE)</f>
        <v>130716</v>
      </c>
      <c r="M1592" s="47">
        <f t="shared" si="461"/>
        <v>2032</v>
      </c>
      <c r="N1592" s="177">
        <f>SUMIFS('Support - Transition'!G:G,'Support - Transition'!J:J,'Step 2'!D1592,'Support - Transition'!E:E,"2009 WELFARE ALLOCATION FACTOR")</f>
        <v>0</v>
      </c>
      <c r="O1592" s="152">
        <f t="shared" si="466"/>
        <v>0</v>
      </c>
      <c r="P1592" s="126">
        <f>IF(E1592="Y",0,SUMIFS('Support - Transition'!G:G,'Support - Transition'!J:J,'Step 2'!D1592,'Support - Transition'!E:E,"2009 SCHOOL ALLOCATION FACTOR"))</f>
        <v>0</v>
      </c>
      <c r="Q1592" s="126">
        <f>IF(E1592="Y",VLOOKUP(D1592,'Support - Unit Adjustments'!F:G,2,FALSE),0)</f>
        <v>0</v>
      </c>
      <c r="R1592" s="155">
        <f t="shared" si="478"/>
        <v>0</v>
      </c>
      <c r="S1592" s="47">
        <f t="shared" si="477"/>
        <v>0</v>
      </c>
      <c r="T1592" s="151">
        <f t="shared" si="462"/>
        <v>2032</v>
      </c>
      <c r="U1592" s="151">
        <f t="shared" si="463"/>
        <v>0</v>
      </c>
      <c r="V1592" s="139">
        <f t="shared" si="464"/>
        <v>0</v>
      </c>
      <c r="W1592" s="152">
        <f t="shared" si="467"/>
        <v>2032</v>
      </c>
      <c r="X1592" s="127" t="str">
        <f t="shared" si="465"/>
        <v/>
      </c>
      <c r="Y1592" s="207">
        <f t="shared" si="468"/>
        <v>2032</v>
      </c>
      <c r="Z1592" s="139">
        <f t="shared" si="469"/>
        <v>2032</v>
      </c>
      <c r="AA1592" s="139">
        <f t="shared" si="470"/>
        <v>0</v>
      </c>
      <c r="AC1592" s="47">
        <f t="shared" si="471"/>
        <v>1016</v>
      </c>
      <c r="AD1592" s="47">
        <f t="shared" si="472"/>
        <v>1016</v>
      </c>
      <c r="AE1592" s="47">
        <f t="shared" si="473"/>
        <v>0</v>
      </c>
      <c r="AG1592" s="47">
        <f t="shared" si="474"/>
        <v>1016</v>
      </c>
      <c r="AH1592" s="47">
        <f t="shared" si="475"/>
        <v>1016</v>
      </c>
      <c r="AI1592" s="208">
        <f t="shared" si="476"/>
        <v>0</v>
      </c>
    </row>
    <row r="1593" spans="1:35">
      <c r="A1593" t="s">
        <v>2136</v>
      </c>
      <c r="B1593" s="48" t="s">
        <v>6274</v>
      </c>
      <c r="C1593" t="s">
        <v>2187</v>
      </c>
      <c r="D1593" t="str">
        <f>A1593&amp;B1593&amp;C1593</f>
        <v>5200000</v>
      </c>
      <c r="F1593" t="s">
        <v>6326</v>
      </c>
      <c r="G1593" s="126">
        <f>SUMIFS('Support - Transition'!F:F,'Support - Transition'!B:B,'Step 2'!A1593,'Support - Transition'!C:C,'Step 2'!B1593,'Support - Transition'!D:D,'Step 2'!C1593,'Support - Transition'!E:E,"CIVIL")</f>
        <v>0</v>
      </c>
      <c r="H1593" s="126">
        <f>SUMIFS('Support - Transition'!F:F,'Support - Transition'!B:B,'Step 2'!A1593,'Support - Transition'!C:C,'Step 2'!B1593,'Support - Transition'!D:D,'Step 2'!C1593,'Support - Transition'!E:E,"FIRE")</f>
        <v>0</v>
      </c>
      <c r="I1593" s="126">
        <f>IF(B1593="0",SUMIFS('Support - Transition'!F:F,'Support - Transition'!J:J,'Step 2'!D1593,'Support - Transition'!E:E,"STATE UNIT"),SUMIFS('Support - Transition'!F:F,'Support - Transition'!J:J,'Step 2'!D1593))</f>
        <v>1.1980000000000001E-3</v>
      </c>
      <c r="J1593" s="126">
        <f>SUMIFS('Support - Unit Adjustments'!E:E,'Support - Unit Adjustments'!F:F,'Step 2'!D1593)</f>
        <v>0</v>
      </c>
      <c r="K1593" s="126">
        <f t="shared" si="460"/>
        <v>1.1980000000000001E-3</v>
      </c>
      <c r="L1593" s="174">
        <f>VLOOKUP(A1593,'Step 1'!$A:$E,4,FALSE)</f>
        <v>244256</v>
      </c>
      <c r="M1593" s="47">
        <f t="shared" si="461"/>
        <v>293</v>
      </c>
      <c r="N1593" s="177">
        <f>SUMIFS('Support - Transition'!G:G,'Support - Transition'!J:J,'Step 2'!D1593,'Support - Transition'!E:E,"2009 WELFARE ALLOCATION FACTOR")</f>
        <v>0</v>
      </c>
      <c r="O1593" s="152">
        <f t="shared" si="466"/>
        <v>0</v>
      </c>
      <c r="P1593" s="126">
        <f>IF(E1593="Y",0,SUMIFS('Support - Transition'!G:G,'Support - Transition'!J:J,'Step 2'!D1593,'Support - Transition'!E:E,"2009 SCHOOL ALLOCATION FACTOR"))</f>
        <v>0</v>
      </c>
      <c r="Q1593" s="126">
        <f>IF(E1593="Y",VLOOKUP(D1593,'Support - Unit Adjustments'!F:G,2,FALSE),0)</f>
        <v>0</v>
      </c>
      <c r="R1593" s="155">
        <f t="shared" si="478"/>
        <v>0</v>
      </c>
      <c r="S1593" s="47">
        <f t="shared" si="477"/>
        <v>0</v>
      </c>
      <c r="T1593" s="151">
        <f t="shared" si="462"/>
        <v>293</v>
      </c>
      <c r="U1593" s="151">
        <f t="shared" si="463"/>
        <v>244256</v>
      </c>
      <c r="V1593" s="139">
        <f t="shared" si="464"/>
        <v>0</v>
      </c>
      <c r="W1593" s="152">
        <f t="shared" si="467"/>
        <v>293</v>
      </c>
      <c r="X1593" s="127">
        <f t="shared" si="465"/>
        <v>0</v>
      </c>
      <c r="Y1593" s="207">
        <f t="shared" si="468"/>
        <v>293</v>
      </c>
      <c r="Z1593" s="139">
        <f t="shared" si="469"/>
        <v>293</v>
      </c>
      <c r="AA1593" s="139">
        <f t="shared" si="470"/>
        <v>0</v>
      </c>
      <c r="AC1593" s="47">
        <f t="shared" si="471"/>
        <v>147</v>
      </c>
      <c r="AD1593" s="47">
        <f t="shared" si="472"/>
        <v>147</v>
      </c>
      <c r="AE1593" s="47">
        <f t="shared" si="473"/>
        <v>0</v>
      </c>
      <c r="AG1593" s="47">
        <f t="shared" si="474"/>
        <v>146</v>
      </c>
      <c r="AH1593" s="47">
        <f t="shared" si="475"/>
        <v>146</v>
      </c>
      <c r="AI1593" s="208">
        <f t="shared" si="476"/>
        <v>0</v>
      </c>
    </row>
    <row r="1594" spans="1:35">
      <c r="A1594" t="s">
        <v>2136</v>
      </c>
      <c r="B1594" t="s">
        <v>3140</v>
      </c>
      <c r="C1594" t="s">
        <v>2187</v>
      </c>
      <c r="D1594" t="s">
        <v>5018</v>
      </c>
      <c r="F1594" t="s">
        <v>1225</v>
      </c>
      <c r="G1594" s="126">
        <f>SUMIFS('Support - Transition'!F:F,'Support - Transition'!B:B,'Step 2'!A1594,'Support - Transition'!C:C,'Step 2'!B1594,'Support - Transition'!D:D,'Step 2'!C1594,'Support - Transition'!E:E,"CIVIL")</f>
        <v>0</v>
      </c>
      <c r="H1594" s="126">
        <f>SUMIFS('Support - Transition'!F:F,'Support - Transition'!B:B,'Step 2'!A1594,'Support - Transition'!C:C,'Step 2'!B1594,'Support - Transition'!D:D,'Step 2'!C1594,'Support - Transition'!E:E,"FIRE")</f>
        <v>0</v>
      </c>
      <c r="I1594" s="126">
        <f>IF(B1594="0",SUMIFS('Support - Transition'!F:F,'Support - Transition'!J:J,'Step 2'!D1594,'Support - Transition'!E:E,"STATE UNIT"),SUMIFS('Support - Transition'!F:F,'Support - Transition'!J:J,'Step 2'!D1594))</f>
        <v>0.23414099999999999</v>
      </c>
      <c r="J1594" s="126">
        <f>SUMIFS('Support - Unit Adjustments'!E:E,'Support - Unit Adjustments'!F:F,'Step 2'!D1594)</f>
        <v>0</v>
      </c>
      <c r="K1594" s="126">
        <f t="shared" si="460"/>
        <v>0.23414099999999999</v>
      </c>
      <c r="L1594" s="174">
        <f>VLOOKUP(A1594,'Step 1'!$A:$E,4,FALSE)</f>
        <v>244256</v>
      </c>
      <c r="M1594" s="47">
        <f t="shared" si="461"/>
        <v>57190</v>
      </c>
      <c r="N1594" s="177">
        <f>SUMIFS('Support - Transition'!G:G,'Support - Transition'!J:J,'Step 2'!D1594,'Support - Transition'!E:E,"2009 WELFARE ALLOCATION FACTOR")</f>
        <v>0.28745999999999999</v>
      </c>
      <c r="O1594" s="152">
        <f t="shared" si="466"/>
        <v>16440</v>
      </c>
      <c r="P1594" s="126">
        <f>IF(E1594="Y",0,SUMIFS('Support - Transition'!G:G,'Support - Transition'!J:J,'Step 2'!D1594,'Support - Transition'!E:E,"2009 SCHOOL ALLOCATION FACTOR"))</f>
        <v>0</v>
      </c>
      <c r="Q1594" s="126">
        <f>IF(E1594="Y",VLOOKUP(D1594,'Support - Unit Adjustments'!F:G,2,FALSE),0)</f>
        <v>0</v>
      </c>
      <c r="R1594" s="155">
        <f t="shared" si="478"/>
        <v>0</v>
      </c>
      <c r="S1594" s="47">
        <f t="shared" si="477"/>
        <v>0</v>
      </c>
      <c r="T1594" s="151">
        <f t="shared" si="462"/>
        <v>40750</v>
      </c>
      <c r="U1594" s="151">
        <f t="shared" si="463"/>
        <v>0</v>
      </c>
      <c r="V1594" s="139">
        <f t="shared" si="464"/>
        <v>0</v>
      </c>
      <c r="W1594" s="152">
        <f t="shared" si="467"/>
        <v>40750</v>
      </c>
      <c r="X1594" s="127" t="str">
        <f t="shared" si="465"/>
        <v/>
      </c>
      <c r="Y1594" s="207">
        <f t="shared" si="468"/>
        <v>40750</v>
      </c>
      <c r="Z1594" s="139">
        <f t="shared" si="469"/>
        <v>40750</v>
      </c>
      <c r="AA1594" s="139">
        <f t="shared" si="470"/>
        <v>0</v>
      </c>
      <c r="AC1594" s="47">
        <f t="shared" si="471"/>
        <v>20375</v>
      </c>
      <c r="AD1594" s="47">
        <f t="shared" si="472"/>
        <v>20375</v>
      </c>
      <c r="AE1594" s="47">
        <f t="shared" si="473"/>
        <v>0</v>
      </c>
      <c r="AG1594" s="47">
        <f t="shared" si="474"/>
        <v>20375</v>
      </c>
      <c r="AH1594" s="47">
        <f t="shared" si="475"/>
        <v>20375</v>
      </c>
      <c r="AI1594" s="208">
        <f t="shared" si="476"/>
        <v>0</v>
      </c>
    </row>
    <row r="1595" spans="1:35">
      <c r="A1595" t="s">
        <v>2136</v>
      </c>
      <c r="B1595" t="s">
        <v>3142</v>
      </c>
      <c r="C1595" t="s">
        <v>2188</v>
      </c>
      <c r="D1595" t="s">
        <v>5019</v>
      </c>
      <c r="F1595" t="s">
        <v>1226</v>
      </c>
      <c r="G1595" s="126">
        <f>SUMIFS('Support - Transition'!F:F,'Support - Transition'!B:B,'Step 2'!A1595,'Support - Transition'!C:C,'Step 2'!B1595,'Support - Transition'!D:D,'Step 2'!C1595,'Support - Transition'!E:E,"CIVIL")</f>
        <v>5.9299999999999999E-4</v>
      </c>
      <c r="H1595" s="126">
        <f>SUMIFS('Support - Transition'!F:F,'Support - Transition'!B:B,'Step 2'!A1595,'Support - Transition'!C:C,'Step 2'!B1595,'Support - Transition'!D:D,'Step 2'!C1595,'Support - Transition'!E:E,"FIRE")</f>
        <v>2.9500000000000001E-4</v>
      </c>
      <c r="I1595" s="126">
        <f>IF(B1595="0",SUMIFS('Support - Transition'!F:F,'Support - Transition'!J:J,'Step 2'!D1595,'Support - Transition'!E:E,"STATE UNIT"),SUMIFS('Support - Transition'!F:F,'Support - Transition'!J:J,'Step 2'!D1595))</f>
        <v>8.8800000000000001E-4</v>
      </c>
      <c r="J1595" s="126">
        <f>SUMIFS('Support - Unit Adjustments'!E:E,'Support - Unit Adjustments'!F:F,'Step 2'!D1595)</f>
        <v>0</v>
      </c>
      <c r="K1595" s="126">
        <f t="shared" si="460"/>
        <v>8.8800000000000001E-4</v>
      </c>
      <c r="L1595" s="174">
        <f>VLOOKUP(A1595,'Step 1'!$A:$E,4,FALSE)</f>
        <v>244256</v>
      </c>
      <c r="M1595" s="47">
        <f t="shared" si="461"/>
        <v>217</v>
      </c>
      <c r="N1595" s="177">
        <f>SUMIFS('Support - Transition'!G:G,'Support - Transition'!J:J,'Step 2'!D1595,'Support - Transition'!E:E,"2009 WELFARE ALLOCATION FACTOR")</f>
        <v>0</v>
      </c>
      <c r="O1595" s="152">
        <f t="shared" si="466"/>
        <v>0</v>
      </c>
      <c r="P1595" s="126">
        <f>IF(E1595="Y",0,SUMIFS('Support - Transition'!G:G,'Support - Transition'!J:J,'Step 2'!D1595,'Support - Transition'!E:E,"2009 SCHOOL ALLOCATION FACTOR"))</f>
        <v>0</v>
      </c>
      <c r="Q1595" s="126">
        <f>IF(E1595="Y",VLOOKUP(D1595,'Support - Unit Adjustments'!F:G,2,FALSE),0)</f>
        <v>0</v>
      </c>
      <c r="R1595" s="155">
        <f t="shared" si="478"/>
        <v>0</v>
      </c>
      <c r="S1595" s="47">
        <f t="shared" si="477"/>
        <v>0</v>
      </c>
      <c r="T1595" s="151">
        <f t="shared" si="462"/>
        <v>217</v>
      </c>
      <c r="U1595" s="151">
        <f t="shared" si="463"/>
        <v>0</v>
      </c>
      <c r="V1595" s="139">
        <f t="shared" si="464"/>
        <v>0</v>
      </c>
      <c r="W1595" s="152">
        <f t="shared" si="467"/>
        <v>217</v>
      </c>
      <c r="X1595" s="127" t="str">
        <f t="shared" si="465"/>
        <v/>
      </c>
      <c r="Y1595" s="207">
        <f t="shared" si="468"/>
        <v>217</v>
      </c>
      <c r="Z1595" s="139">
        <f t="shared" si="469"/>
        <v>145</v>
      </c>
      <c r="AA1595" s="139">
        <f t="shared" si="470"/>
        <v>72</v>
      </c>
      <c r="AC1595" s="47">
        <f t="shared" si="471"/>
        <v>109</v>
      </c>
      <c r="AD1595" s="47">
        <f t="shared" si="472"/>
        <v>73</v>
      </c>
      <c r="AE1595" s="47">
        <f t="shared" si="473"/>
        <v>36</v>
      </c>
      <c r="AG1595" s="47">
        <f t="shared" si="474"/>
        <v>108</v>
      </c>
      <c r="AH1595" s="47">
        <f t="shared" si="475"/>
        <v>72</v>
      </c>
      <c r="AI1595" s="208">
        <f t="shared" si="476"/>
        <v>36</v>
      </c>
    </row>
    <row r="1596" spans="1:35">
      <c r="A1596" t="s">
        <v>2136</v>
      </c>
      <c r="B1596" t="s">
        <v>3142</v>
      </c>
      <c r="C1596" t="s">
        <v>2189</v>
      </c>
      <c r="D1596" t="s">
        <v>5020</v>
      </c>
      <c r="F1596" t="s">
        <v>369</v>
      </c>
      <c r="G1596" s="126">
        <f>SUMIFS('Support - Transition'!F:F,'Support - Transition'!B:B,'Step 2'!A1596,'Support - Transition'!C:C,'Step 2'!B1596,'Support - Transition'!D:D,'Step 2'!C1596,'Support - Transition'!E:E,"CIVIL")</f>
        <v>4.5899999999999999E-4</v>
      </c>
      <c r="H1596" s="126">
        <f>SUMIFS('Support - Transition'!F:F,'Support - Transition'!B:B,'Step 2'!A1596,'Support - Transition'!C:C,'Step 2'!B1596,'Support - Transition'!D:D,'Step 2'!C1596,'Support - Transition'!E:E,"FIRE")</f>
        <v>2.2000000000000001E-4</v>
      </c>
      <c r="I1596" s="126">
        <f>IF(B1596="0",SUMIFS('Support - Transition'!F:F,'Support - Transition'!J:J,'Step 2'!D1596,'Support - Transition'!E:E,"STATE UNIT"),SUMIFS('Support - Transition'!F:F,'Support - Transition'!J:J,'Step 2'!D1596))</f>
        <v>6.7900000000000002E-4</v>
      </c>
      <c r="J1596" s="126">
        <f>SUMIFS('Support - Unit Adjustments'!E:E,'Support - Unit Adjustments'!F:F,'Step 2'!D1596)</f>
        <v>0</v>
      </c>
      <c r="K1596" s="126">
        <f t="shared" si="460"/>
        <v>6.7900000000000002E-4</v>
      </c>
      <c r="L1596" s="174">
        <f>VLOOKUP(A1596,'Step 1'!$A:$E,4,FALSE)</f>
        <v>244256</v>
      </c>
      <c r="M1596" s="47">
        <f t="shared" si="461"/>
        <v>166</v>
      </c>
      <c r="N1596" s="177">
        <f>SUMIFS('Support - Transition'!G:G,'Support - Transition'!J:J,'Step 2'!D1596,'Support - Transition'!E:E,"2009 WELFARE ALLOCATION FACTOR")</f>
        <v>0</v>
      </c>
      <c r="O1596" s="152">
        <f t="shared" si="466"/>
        <v>0</v>
      </c>
      <c r="P1596" s="126">
        <f>IF(E1596="Y",0,SUMIFS('Support - Transition'!G:G,'Support - Transition'!J:J,'Step 2'!D1596,'Support - Transition'!E:E,"2009 SCHOOL ALLOCATION FACTOR"))</f>
        <v>0</v>
      </c>
      <c r="Q1596" s="126">
        <f>IF(E1596="Y",VLOOKUP(D1596,'Support - Unit Adjustments'!F:G,2,FALSE),0)</f>
        <v>0</v>
      </c>
      <c r="R1596" s="155">
        <f t="shared" si="478"/>
        <v>0</v>
      </c>
      <c r="S1596" s="47">
        <f t="shared" si="477"/>
        <v>0</v>
      </c>
      <c r="T1596" s="151">
        <f t="shared" si="462"/>
        <v>166</v>
      </c>
      <c r="U1596" s="151">
        <f t="shared" si="463"/>
        <v>0</v>
      </c>
      <c r="V1596" s="139">
        <f t="shared" si="464"/>
        <v>0</v>
      </c>
      <c r="W1596" s="152">
        <f t="shared" si="467"/>
        <v>166</v>
      </c>
      <c r="X1596" s="127" t="str">
        <f t="shared" si="465"/>
        <v/>
      </c>
      <c r="Y1596" s="207">
        <f t="shared" si="468"/>
        <v>166</v>
      </c>
      <c r="Z1596" s="139">
        <f t="shared" si="469"/>
        <v>112</v>
      </c>
      <c r="AA1596" s="139">
        <f t="shared" si="470"/>
        <v>54</v>
      </c>
      <c r="AC1596" s="47">
        <f t="shared" si="471"/>
        <v>83</v>
      </c>
      <c r="AD1596" s="47">
        <f t="shared" si="472"/>
        <v>56</v>
      </c>
      <c r="AE1596" s="47">
        <f t="shared" si="473"/>
        <v>27</v>
      </c>
      <c r="AG1596" s="47">
        <f t="shared" si="474"/>
        <v>83</v>
      </c>
      <c r="AH1596" s="47">
        <f t="shared" si="475"/>
        <v>56</v>
      </c>
      <c r="AI1596" s="208">
        <f t="shared" si="476"/>
        <v>27</v>
      </c>
    </row>
    <row r="1597" spans="1:35">
      <c r="A1597" t="s">
        <v>2136</v>
      </c>
      <c r="B1597" t="s">
        <v>3142</v>
      </c>
      <c r="C1597" t="s">
        <v>2190</v>
      </c>
      <c r="D1597" t="s">
        <v>5021</v>
      </c>
      <c r="F1597" t="s">
        <v>81</v>
      </c>
      <c r="G1597" s="126">
        <f>SUMIFS('Support - Transition'!F:F,'Support - Transition'!B:B,'Step 2'!A1597,'Support - Transition'!C:C,'Step 2'!B1597,'Support - Transition'!D:D,'Step 2'!C1597,'Support - Transition'!E:E,"CIVIL")</f>
        <v>7.9100000000000004E-4</v>
      </c>
      <c r="H1597" s="126">
        <f>SUMIFS('Support - Transition'!F:F,'Support - Transition'!B:B,'Step 2'!A1597,'Support - Transition'!C:C,'Step 2'!B1597,'Support - Transition'!D:D,'Step 2'!C1597,'Support - Transition'!E:E,"FIRE")</f>
        <v>5.04E-4</v>
      </c>
      <c r="I1597" s="126">
        <f>IF(B1597="0",SUMIFS('Support - Transition'!F:F,'Support - Transition'!J:J,'Step 2'!D1597,'Support - Transition'!E:E,"STATE UNIT"),SUMIFS('Support - Transition'!F:F,'Support - Transition'!J:J,'Step 2'!D1597))</f>
        <v>1.2950000000000001E-3</v>
      </c>
      <c r="J1597" s="126">
        <f>SUMIFS('Support - Unit Adjustments'!E:E,'Support - Unit Adjustments'!F:F,'Step 2'!D1597)</f>
        <v>0</v>
      </c>
      <c r="K1597" s="126">
        <f t="shared" si="460"/>
        <v>1.2950000000000001E-3</v>
      </c>
      <c r="L1597" s="174">
        <f>VLOOKUP(A1597,'Step 1'!$A:$E,4,FALSE)</f>
        <v>244256</v>
      </c>
      <c r="M1597" s="47">
        <f t="shared" si="461"/>
        <v>316</v>
      </c>
      <c r="N1597" s="177">
        <f>SUMIFS('Support - Transition'!G:G,'Support - Transition'!J:J,'Step 2'!D1597,'Support - Transition'!E:E,"2009 WELFARE ALLOCATION FACTOR")</f>
        <v>0</v>
      </c>
      <c r="O1597" s="152">
        <f t="shared" si="466"/>
        <v>0</v>
      </c>
      <c r="P1597" s="126">
        <f>IF(E1597="Y",0,SUMIFS('Support - Transition'!G:G,'Support - Transition'!J:J,'Step 2'!D1597,'Support - Transition'!E:E,"2009 SCHOOL ALLOCATION FACTOR"))</f>
        <v>0</v>
      </c>
      <c r="Q1597" s="126">
        <f>IF(E1597="Y",VLOOKUP(D1597,'Support - Unit Adjustments'!F:G,2,FALSE),0)</f>
        <v>0</v>
      </c>
      <c r="R1597" s="155">
        <f t="shared" si="478"/>
        <v>0</v>
      </c>
      <c r="S1597" s="47">
        <f t="shared" si="477"/>
        <v>0</v>
      </c>
      <c r="T1597" s="151">
        <f t="shared" si="462"/>
        <v>316</v>
      </c>
      <c r="U1597" s="151">
        <f t="shared" si="463"/>
        <v>0</v>
      </c>
      <c r="V1597" s="139">
        <f t="shared" si="464"/>
        <v>0</v>
      </c>
      <c r="W1597" s="152">
        <f t="shared" si="467"/>
        <v>316</v>
      </c>
      <c r="X1597" s="127" t="str">
        <f t="shared" si="465"/>
        <v/>
      </c>
      <c r="Y1597" s="207">
        <f t="shared" si="468"/>
        <v>316</v>
      </c>
      <c r="Z1597" s="139">
        <f t="shared" si="469"/>
        <v>193</v>
      </c>
      <c r="AA1597" s="139">
        <f t="shared" si="470"/>
        <v>123</v>
      </c>
      <c r="AC1597" s="47">
        <f t="shared" si="471"/>
        <v>158</v>
      </c>
      <c r="AD1597" s="47">
        <f t="shared" si="472"/>
        <v>97</v>
      </c>
      <c r="AE1597" s="47">
        <f t="shared" si="473"/>
        <v>62</v>
      </c>
      <c r="AG1597" s="47">
        <f t="shared" si="474"/>
        <v>158</v>
      </c>
      <c r="AH1597" s="47">
        <f t="shared" si="475"/>
        <v>96</v>
      </c>
      <c r="AI1597" s="208">
        <f t="shared" si="476"/>
        <v>61</v>
      </c>
    </row>
    <row r="1598" spans="1:35">
      <c r="A1598" t="s">
        <v>2136</v>
      </c>
      <c r="B1598" t="s">
        <v>3142</v>
      </c>
      <c r="C1598" t="s">
        <v>2191</v>
      </c>
      <c r="D1598" t="s">
        <v>5022</v>
      </c>
      <c r="F1598" t="s">
        <v>179</v>
      </c>
      <c r="G1598" s="126">
        <f>SUMIFS('Support - Transition'!F:F,'Support - Transition'!B:B,'Step 2'!A1598,'Support - Transition'!C:C,'Step 2'!B1598,'Support - Transition'!D:D,'Step 2'!C1598,'Support - Transition'!E:E,"CIVIL")</f>
        <v>3.5399999999999999E-4</v>
      </c>
      <c r="H1598" s="126">
        <f>SUMIFS('Support - Transition'!F:F,'Support - Transition'!B:B,'Step 2'!A1598,'Support - Transition'!C:C,'Step 2'!B1598,'Support - Transition'!D:D,'Step 2'!C1598,'Support - Transition'!E:E,"FIRE")</f>
        <v>1.7200000000000001E-4</v>
      </c>
      <c r="I1598" s="126">
        <f>IF(B1598="0",SUMIFS('Support - Transition'!F:F,'Support - Transition'!J:J,'Step 2'!D1598,'Support - Transition'!E:E,"STATE UNIT"),SUMIFS('Support - Transition'!F:F,'Support - Transition'!J:J,'Step 2'!D1598))</f>
        <v>5.2599999999999999E-4</v>
      </c>
      <c r="J1598" s="126">
        <f>SUMIFS('Support - Unit Adjustments'!E:E,'Support - Unit Adjustments'!F:F,'Step 2'!D1598)</f>
        <v>0</v>
      </c>
      <c r="K1598" s="126">
        <f t="shared" si="460"/>
        <v>5.2599999999999999E-4</v>
      </c>
      <c r="L1598" s="174">
        <f>VLOOKUP(A1598,'Step 1'!$A:$E,4,FALSE)</f>
        <v>244256</v>
      </c>
      <c r="M1598" s="47">
        <f t="shared" si="461"/>
        <v>128</v>
      </c>
      <c r="N1598" s="177">
        <f>SUMIFS('Support - Transition'!G:G,'Support - Transition'!J:J,'Step 2'!D1598,'Support - Transition'!E:E,"2009 WELFARE ALLOCATION FACTOR")</f>
        <v>0</v>
      </c>
      <c r="O1598" s="152">
        <f t="shared" si="466"/>
        <v>0</v>
      </c>
      <c r="P1598" s="126">
        <f>IF(E1598="Y",0,SUMIFS('Support - Transition'!G:G,'Support - Transition'!J:J,'Step 2'!D1598,'Support - Transition'!E:E,"2009 SCHOOL ALLOCATION FACTOR"))</f>
        <v>0</v>
      </c>
      <c r="Q1598" s="126">
        <f>IF(E1598="Y",VLOOKUP(D1598,'Support - Unit Adjustments'!F:G,2,FALSE),0)</f>
        <v>0</v>
      </c>
      <c r="R1598" s="155">
        <f t="shared" si="478"/>
        <v>0</v>
      </c>
      <c r="S1598" s="47">
        <f t="shared" si="477"/>
        <v>0</v>
      </c>
      <c r="T1598" s="151">
        <f t="shared" si="462"/>
        <v>128</v>
      </c>
      <c r="U1598" s="151">
        <f t="shared" si="463"/>
        <v>0</v>
      </c>
      <c r="V1598" s="139">
        <f t="shared" si="464"/>
        <v>0</v>
      </c>
      <c r="W1598" s="152">
        <f t="shared" si="467"/>
        <v>128</v>
      </c>
      <c r="X1598" s="127" t="str">
        <f t="shared" si="465"/>
        <v/>
      </c>
      <c r="Y1598" s="207">
        <f t="shared" si="468"/>
        <v>128</v>
      </c>
      <c r="Z1598" s="139">
        <f t="shared" si="469"/>
        <v>86</v>
      </c>
      <c r="AA1598" s="139">
        <f t="shared" si="470"/>
        <v>42</v>
      </c>
      <c r="AC1598" s="47">
        <f t="shared" si="471"/>
        <v>64</v>
      </c>
      <c r="AD1598" s="47">
        <f t="shared" si="472"/>
        <v>43</v>
      </c>
      <c r="AE1598" s="47">
        <f t="shared" si="473"/>
        <v>21</v>
      </c>
      <c r="AG1598" s="47">
        <f t="shared" si="474"/>
        <v>64</v>
      </c>
      <c r="AH1598" s="47">
        <f t="shared" si="475"/>
        <v>43</v>
      </c>
      <c r="AI1598" s="208">
        <f t="shared" si="476"/>
        <v>21</v>
      </c>
    </row>
    <row r="1599" spans="1:35">
      <c r="A1599" t="s">
        <v>2136</v>
      </c>
      <c r="B1599" t="s">
        <v>3142</v>
      </c>
      <c r="C1599" t="s">
        <v>2192</v>
      </c>
      <c r="D1599" t="s">
        <v>5023</v>
      </c>
      <c r="F1599" t="s">
        <v>1227</v>
      </c>
      <c r="G1599" s="126">
        <f>SUMIFS('Support - Transition'!F:F,'Support - Transition'!B:B,'Step 2'!A1599,'Support - Transition'!C:C,'Step 2'!B1599,'Support - Transition'!D:D,'Step 2'!C1599,'Support - Transition'!E:E,"CIVIL")</f>
        <v>2.5700000000000001E-4</v>
      </c>
      <c r="H1599" s="126">
        <f>SUMIFS('Support - Transition'!F:F,'Support - Transition'!B:B,'Step 2'!A1599,'Support - Transition'!C:C,'Step 2'!B1599,'Support - Transition'!D:D,'Step 2'!C1599,'Support - Transition'!E:E,"FIRE")</f>
        <v>1.01E-4</v>
      </c>
      <c r="I1599" s="126">
        <f>IF(B1599="0",SUMIFS('Support - Transition'!F:F,'Support - Transition'!J:J,'Step 2'!D1599,'Support - Transition'!E:E,"STATE UNIT"),SUMIFS('Support - Transition'!F:F,'Support - Transition'!J:J,'Step 2'!D1599))</f>
        <v>3.5800000000000003E-4</v>
      </c>
      <c r="J1599" s="126">
        <f>SUMIFS('Support - Unit Adjustments'!E:E,'Support - Unit Adjustments'!F:F,'Step 2'!D1599)</f>
        <v>0</v>
      </c>
      <c r="K1599" s="126">
        <f t="shared" si="460"/>
        <v>3.5800000000000003E-4</v>
      </c>
      <c r="L1599" s="174">
        <f>VLOOKUP(A1599,'Step 1'!$A:$E,4,FALSE)</f>
        <v>244256</v>
      </c>
      <c r="M1599" s="47">
        <f t="shared" si="461"/>
        <v>87</v>
      </c>
      <c r="N1599" s="177">
        <f>SUMIFS('Support - Transition'!G:G,'Support - Transition'!J:J,'Step 2'!D1599,'Support - Transition'!E:E,"2009 WELFARE ALLOCATION FACTOR")</f>
        <v>0</v>
      </c>
      <c r="O1599" s="152">
        <f t="shared" si="466"/>
        <v>0</v>
      </c>
      <c r="P1599" s="126">
        <f>IF(E1599="Y",0,SUMIFS('Support - Transition'!G:G,'Support - Transition'!J:J,'Step 2'!D1599,'Support - Transition'!E:E,"2009 SCHOOL ALLOCATION FACTOR"))</f>
        <v>0</v>
      </c>
      <c r="Q1599" s="126">
        <f>IF(E1599="Y",VLOOKUP(D1599,'Support - Unit Adjustments'!F:G,2,FALSE),0)</f>
        <v>0</v>
      </c>
      <c r="R1599" s="155">
        <f t="shared" si="478"/>
        <v>0</v>
      </c>
      <c r="S1599" s="47">
        <f t="shared" si="477"/>
        <v>0</v>
      </c>
      <c r="T1599" s="151">
        <f t="shared" si="462"/>
        <v>87</v>
      </c>
      <c r="U1599" s="151">
        <f t="shared" si="463"/>
        <v>0</v>
      </c>
      <c r="V1599" s="139">
        <f t="shared" si="464"/>
        <v>0</v>
      </c>
      <c r="W1599" s="152">
        <f t="shared" si="467"/>
        <v>87</v>
      </c>
      <c r="X1599" s="127" t="str">
        <f t="shared" si="465"/>
        <v/>
      </c>
      <c r="Y1599" s="207">
        <f t="shared" si="468"/>
        <v>87</v>
      </c>
      <c r="Z1599" s="139">
        <f t="shared" si="469"/>
        <v>62</v>
      </c>
      <c r="AA1599" s="139">
        <f t="shared" si="470"/>
        <v>25</v>
      </c>
      <c r="AC1599" s="47">
        <f t="shared" si="471"/>
        <v>44</v>
      </c>
      <c r="AD1599" s="47">
        <f t="shared" si="472"/>
        <v>31</v>
      </c>
      <c r="AE1599" s="47">
        <f t="shared" si="473"/>
        <v>13</v>
      </c>
      <c r="AG1599" s="47">
        <f t="shared" si="474"/>
        <v>43</v>
      </c>
      <c r="AH1599" s="47">
        <f t="shared" si="475"/>
        <v>31</v>
      </c>
      <c r="AI1599" s="208">
        <f t="shared" si="476"/>
        <v>12</v>
      </c>
    </row>
    <row r="1600" spans="1:35">
      <c r="A1600" t="s">
        <v>2136</v>
      </c>
      <c r="B1600" t="s">
        <v>3142</v>
      </c>
      <c r="C1600" t="s">
        <v>2193</v>
      </c>
      <c r="D1600" t="s">
        <v>5024</v>
      </c>
      <c r="F1600" t="s">
        <v>86</v>
      </c>
      <c r="G1600" s="126">
        <f>SUMIFS('Support - Transition'!F:F,'Support - Transition'!B:B,'Step 2'!A1600,'Support - Transition'!C:C,'Step 2'!B1600,'Support - Transition'!D:D,'Step 2'!C1600,'Support - Transition'!E:E,"CIVIL")</f>
        <v>2.6499999999999999E-4</v>
      </c>
      <c r="H1600" s="126">
        <f>SUMIFS('Support - Transition'!F:F,'Support - Transition'!B:B,'Step 2'!A1600,'Support - Transition'!C:C,'Step 2'!B1600,'Support - Transition'!D:D,'Step 2'!C1600,'Support - Transition'!E:E,"FIRE")</f>
        <v>1.7200000000000001E-4</v>
      </c>
      <c r="I1600" s="126">
        <f>IF(B1600="0",SUMIFS('Support - Transition'!F:F,'Support - Transition'!J:J,'Step 2'!D1600,'Support - Transition'!E:E,"STATE UNIT"),SUMIFS('Support - Transition'!F:F,'Support - Transition'!J:J,'Step 2'!D1600))</f>
        <v>4.37E-4</v>
      </c>
      <c r="J1600" s="126">
        <f>SUMIFS('Support - Unit Adjustments'!E:E,'Support - Unit Adjustments'!F:F,'Step 2'!D1600)</f>
        <v>0</v>
      </c>
      <c r="K1600" s="126">
        <f t="shared" si="460"/>
        <v>4.37E-4</v>
      </c>
      <c r="L1600" s="174">
        <f>VLOOKUP(A1600,'Step 1'!$A:$E,4,FALSE)</f>
        <v>244256</v>
      </c>
      <c r="M1600" s="47">
        <f t="shared" si="461"/>
        <v>107</v>
      </c>
      <c r="N1600" s="177">
        <f>SUMIFS('Support - Transition'!G:G,'Support - Transition'!J:J,'Step 2'!D1600,'Support - Transition'!E:E,"2009 WELFARE ALLOCATION FACTOR")</f>
        <v>0</v>
      </c>
      <c r="O1600" s="152">
        <f t="shared" si="466"/>
        <v>0</v>
      </c>
      <c r="P1600" s="126">
        <f>IF(E1600="Y",0,SUMIFS('Support - Transition'!G:G,'Support - Transition'!J:J,'Step 2'!D1600,'Support - Transition'!E:E,"2009 SCHOOL ALLOCATION FACTOR"))</f>
        <v>0</v>
      </c>
      <c r="Q1600" s="126">
        <f>IF(E1600="Y",VLOOKUP(D1600,'Support - Unit Adjustments'!F:G,2,FALSE),0)</f>
        <v>0</v>
      </c>
      <c r="R1600" s="155">
        <f t="shared" si="478"/>
        <v>0</v>
      </c>
      <c r="S1600" s="47">
        <f t="shared" si="477"/>
        <v>0</v>
      </c>
      <c r="T1600" s="151">
        <f t="shared" si="462"/>
        <v>107</v>
      </c>
      <c r="U1600" s="151">
        <f t="shared" si="463"/>
        <v>0</v>
      </c>
      <c r="V1600" s="139">
        <f t="shared" si="464"/>
        <v>0</v>
      </c>
      <c r="W1600" s="152">
        <f t="shared" si="467"/>
        <v>107</v>
      </c>
      <c r="X1600" s="127" t="str">
        <f t="shared" si="465"/>
        <v/>
      </c>
      <c r="Y1600" s="207">
        <f t="shared" si="468"/>
        <v>107</v>
      </c>
      <c r="Z1600" s="139">
        <f t="shared" si="469"/>
        <v>65</v>
      </c>
      <c r="AA1600" s="139">
        <f t="shared" si="470"/>
        <v>42</v>
      </c>
      <c r="AC1600" s="47">
        <f t="shared" si="471"/>
        <v>54</v>
      </c>
      <c r="AD1600" s="47">
        <f t="shared" si="472"/>
        <v>33</v>
      </c>
      <c r="AE1600" s="47">
        <f t="shared" si="473"/>
        <v>21</v>
      </c>
      <c r="AG1600" s="47">
        <f t="shared" si="474"/>
        <v>53</v>
      </c>
      <c r="AH1600" s="47">
        <f t="shared" si="475"/>
        <v>32</v>
      </c>
      <c r="AI1600" s="208">
        <f t="shared" si="476"/>
        <v>21</v>
      </c>
    </row>
    <row r="1601" spans="1:35">
      <c r="A1601" t="s">
        <v>2136</v>
      </c>
      <c r="B1601" t="s">
        <v>3142</v>
      </c>
      <c r="C1601" t="s">
        <v>2194</v>
      </c>
      <c r="D1601" t="s">
        <v>5025</v>
      </c>
      <c r="F1601" t="s">
        <v>49</v>
      </c>
      <c r="G1601" s="126">
        <f>SUMIFS('Support - Transition'!F:F,'Support - Transition'!B:B,'Step 2'!A1601,'Support - Transition'!C:C,'Step 2'!B1601,'Support - Transition'!D:D,'Step 2'!C1601,'Support - Transition'!E:E,"CIVIL")</f>
        <v>9.2199999999999997E-4</v>
      </c>
      <c r="H1601" s="126">
        <f>SUMIFS('Support - Transition'!F:F,'Support - Transition'!B:B,'Step 2'!A1601,'Support - Transition'!C:C,'Step 2'!B1601,'Support - Transition'!D:D,'Step 2'!C1601,'Support - Transition'!E:E,"FIRE")</f>
        <v>4.4000000000000002E-4</v>
      </c>
      <c r="I1601" s="126">
        <f>IF(B1601="0",SUMIFS('Support - Transition'!F:F,'Support - Transition'!J:J,'Step 2'!D1601,'Support - Transition'!E:E,"STATE UNIT"),SUMIFS('Support - Transition'!F:F,'Support - Transition'!J:J,'Step 2'!D1601))</f>
        <v>1.3619999999999999E-3</v>
      </c>
      <c r="J1601" s="126">
        <f>SUMIFS('Support - Unit Adjustments'!E:E,'Support - Unit Adjustments'!F:F,'Step 2'!D1601)</f>
        <v>0</v>
      </c>
      <c r="K1601" s="126">
        <f t="shared" si="460"/>
        <v>1.3619999999999999E-3</v>
      </c>
      <c r="L1601" s="174">
        <f>VLOOKUP(A1601,'Step 1'!$A:$E,4,FALSE)</f>
        <v>244256</v>
      </c>
      <c r="M1601" s="47">
        <f t="shared" si="461"/>
        <v>333</v>
      </c>
      <c r="N1601" s="177">
        <f>SUMIFS('Support - Transition'!G:G,'Support - Transition'!J:J,'Step 2'!D1601,'Support - Transition'!E:E,"2009 WELFARE ALLOCATION FACTOR")</f>
        <v>0</v>
      </c>
      <c r="O1601" s="152">
        <f t="shared" si="466"/>
        <v>0</v>
      </c>
      <c r="P1601" s="126">
        <f>IF(E1601="Y",0,SUMIFS('Support - Transition'!G:G,'Support - Transition'!J:J,'Step 2'!D1601,'Support - Transition'!E:E,"2009 SCHOOL ALLOCATION FACTOR"))</f>
        <v>0</v>
      </c>
      <c r="Q1601" s="126">
        <f>IF(E1601="Y",VLOOKUP(D1601,'Support - Unit Adjustments'!F:G,2,FALSE),0)</f>
        <v>0</v>
      </c>
      <c r="R1601" s="155">
        <f t="shared" si="478"/>
        <v>0</v>
      </c>
      <c r="S1601" s="47">
        <f t="shared" si="477"/>
        <v>0</v>
      </c>
      <c r="T1601" s="151">
        <f t="shared" si="462"/>
        <v>333</v>
      </c>
      <c r="U1601" s="151">
        <f t="shared" si="463"/>
        <v>0</v>
      </c>
      <c r="V1601" s="139">
        <f t="shared" si="464"/>
        <v>0</v>
      </c>
      <c r="W1601" s="152">
        <f t="shared" si="467"/>
        <v>333</v>
      </c>
      <c r="X1601" s="127" t="str">
        <f t="shared" si="465"/>
        <v/>
      </c>
      <c r="Y1601" s="207">
        <f t="shared" si="468"/>
        <v>333</v>
      </c>
      <c r="Z1601" s="139">
        <f t="shared" si="469"/>
        <v>225</v>
      </c>
      <c r="AA1601" s="139">
        <f t="shared" si="470"/>
        <v>108</v>
      </c>
      <c r="AC1601" s="47">
        <f t="shared" si="471"/>
        <v>167</v>
      </c>
      <c r="AD1601" s="47">
        <f t="shared" si="472"/>
        <v>113</v>
      </c>
      <c r="AE1601" s="47">
        <f t="shared" si="473"/>
        <v>54</v>
      </c>
      <c r="AG1601" s="47">
        <f t="shared" si="474"/>
        <v>166</v>
      </c>
      <c r="AH1601" s="47">
        <f t="shared" si="475"/>
        <v>112</v>
      </c>
      <c r="AI1601" s="208">
        <f t="shared" si="476"/>
        <v>54</v>
      </c>
    </row>
    <row r="1602" spans="1:35">
      <c r="A1602" t="s">
        <v>2136</v>
      </c>
      <c r="B1602" t="s">
        <v>3142</v>
      </c>
      <c r="C1602" t="s">
        <v>2195</v>
      </c>
      <c r="D1602" t="s">
        <v>5026</v>
      </c>
      <c r="F1602" t="s">
        <v>14</v>
      </c>
      <c r="G1602" s="126">
        <f>SUMIFS('Support - Transition'!F:F,'Support - Transition'!B:B,'Step 2'!A1602,'Support - Transition'!C:C,'Step 2'!B1602,'Support - Transition'!D:D,'Step 2'!C1602,'Support - Transition'!E:E,"CIVIL")</f>
        <v>8.6899999999999998E-4</v>
      </c>
      <c r="H1602" s="126">
        <f>SUMIFS('Support - Transition'!F:F,'Support - Transition'!B:B,'Step 2'!A1602,'Support - Transition'!C:C,'Step 2'!B1602,'Support - Transition'!D:D,'Step 2'!C1602,'Support - Transition'!E:E,"FIRE")</f>
        <v>8.43E-4</v>
      </c>
      <c r="I1602" s="126">
        <f>IF(B1602="0",SUMIFS('Support - Transition'!F:F,'Support - Transition'!J:J,'Step 2'!D1602,'Support - Transition'!E:E,"STATE UNIT"),SUMIFS('Support - Transition'!F:F,'Support - Transition'!J:J,'Step 2'!D1602))</f>
        <v>1.712E-3</v>
      </c>
      <c r="J1602" s="126">
        <f>SUMIFS('Support - Unit Adjustments'!E:E,'Support - Unit Adjustments'!F:F,'Step 2'!D1602)</f>
        <v>0</v>
      </c>
      <c r="K1602" s="126">
        <f t="shared" ref="K1602:K1665" si="479">+I1602+J1602</f>
        <v>1.712E-3</v>
      </c>
      <c r="L1602" s="174">
        <f>VLOOKUP(A1602,'Step 1'!$A:$E,4,FALSE)</f>
        <v>244256</v>
      </c>
      <c r="M1602" s="47">
        <f t="shared" ref="M1602:M1665" si="480">ROUND(+K1602*L1602,0)</f>
        <v>418</v>
      </c>
      <c r="N1602" s="177">
        <f>SUMIFS('Support - Transition'!G:G,'Support - Transition'!J:J,'Step 2'!D1602,'Support - Transition'!E:E,"2009 WELFARE ALLOCATION FACTOR")</f>
        <v>0</v>
      </c>
      <c r="O1602" s="152">
        <f t="shared" si="466"/>
        <v>0</v>
      </c>
      <c r="P1602" s="126">
        <f>IF(E1602="Y",0,SUMIFS('Support - Transition'!G:G,'Support - Transition'!J:J,'Step 2'!D1602,'Support - Transition'!E:E,"2009 SCHOOL ALLOCATION FACTOR"))</f>
        <v>0</v>
      </c>
      <c r="Q1602" s="126">
        <f>IF(E1602="Y",VLOOKUP(D1602,'Support - Unit Adjustments'!F:G,2,FALSE),0)</f>
        <v>0</v>
      </c>
      <c r="R1602" s="155">
        <f t="shared" si="478"/>
        <v>0</v>
      </c>
      <c r="S1602" s="47">
        <f t="shared" si="477"/>
        <v>0</v>
      </c>
      <c r="T1602" s="151">
        <f t="shared" ref="T1602:T1665" si="481">ROUND(+M1602-O1602-S1602,2)</f>
        <v>418</v>
      </c>
      <c r="U1602" s="151">
        <f t="shared" ref="U1602:U1665" si="482">IF(B1602="0",SUMIFS(O:O,A:A,A1602)+SUMIFS(S:S,A:A,A1602)+SUMIFS(T:T,A:A,A1602),0)</f>
        <v>0</v>
      </c>
      <c r="V1602" s="139">
        <f t="shared" ref="V1602:V1665" si="483">IF(B1602="0",U1602-L1602,0)</f>
        <v>0</v>
      </c>
      <c r="W1602" s="152">
        <f t="shared" si="467"/>
        <v>418</v>
      </c>
      <c r="X1602" s="127" t="str">
        <f t="shared" ref="X1602:X1665" si="484">IF(B1602="0",SUMIFS(O:O,A:A,A1602)+SUMIFS(S:S,A:A,A1602)+SUMIFS(W:W,A:A,A1602)-L1602,"")</f>
        <v/>
      </c>
      <c r="Y1602" s="207">
        <f t="shared" si="468"/>
        <v>418</v>
      </c>
      <c r="Z1602" s="139">
        <f t="shared" si="469"/>
        <v>212</v>
      </c>
      <c r="AA1602" s="139">
        <f t="shared" si="470"/>
        <v>206</v>
      </c>
      <c r="AC1602" s="47">
        <f t="shared" si="471"/>
        <v>209</v>
      </c>
      <c r="AD1602" s="47">
        <f t="shared" si="472"/>
        <v>106</v>
      </c>
      <c r="AE1602" s="47">
        <f t="shared" si="473"/>
        <v>103</v>
      </c>
      <c r="AG1602" s="47">
        <f t="shared" si="474"/>
        <v>209</v>
      </c>
      <c r="AH1602" s="47">
        <f t="shared" si="475"/>
        <v>106</v>
      </c>
      <c r="AI1602" s="208">
        <f t="shared" si="476"/>
        <v>103</v>
      </c>
    </row>
    <row r="1603" spans="1:35">
      <c r="A1603" t="s">
        <v>2136</v>
      </c>
      <c r="B1603" t="s">
        <v>3142</v>
      </c>
      <c r="C1603" t="s">
        <v>2196</v>
      </c>
      <c r="D1603" t="s">
        <v>5027</v>
      </c>
      <c r="F1603" t="s">
        <v>56</v>
      </c>
      <c r="G1603" s="126">
        <f>SUMIFS('Support - Transition'!F:F,'Support - Transition'!B:B,'Step 2'!A1603,'Support - Transition'!C:C,'Step 2'!B1603,'Support - Transition'!D:D,'Step 2'!C1603,'Support - Transition'!E:E,"CIVIL")</f>
        <v>3.5399999999999999E-4</v>
      </c>
      <c r="H1603" s="126">
        <f>SUMIFS('Support - Transition'!F:F,'Support - Transition'!B:B,'Step 2'!A1603,'Support - Transition'!C:C,'Step 2'!B1603,'Support - Transition'!D:D,'Step 2'!C1603,'Support - Transition'!E:E,"FIRE")</f>
        <v>1.27E-4</v>
      </c>
      <c r="I1603" s="126">
        <f>IF(B1603="0",SUMIFS('Support - Transition'!F:F,'Support - Transition'!J:J,'Step 2'!D1603,'Support - Transition'!E:E,"STATE UNIT"),SUMIFS('Support - Transition'!F:F,'Support - Transition'!J:J,'Step 2'!D1603))</f>
        <v>4.8099999999999998E-4</v>
      </c>
      <c r="J1603" s="126">
        <f>SUMIFS('Support - Unit Adjustments'!E:E,'Support - Unit Adjustments'!F:F,'Step 2'!D1603)</f>
        <v>0</v>
      </c>
      <c r="K1603" s="126">
        <f t="shared" si="479"/>
        <v>4.8099999999999998E-4</v>
      </c>
      <c r="L1603" s="174">
        <f>VLOOKUP(A1603,'Step 1'!$A:$E,4,FALSE)</f>
        <v>244256</v>
      </c>
      <c r="M1603" s="47">
        <f t="shared" si="480"/>
        <v>117</v>
      </c>
      <c r="N1603" s="177">
        <f>SUMIFS('Support - Transition'!G:G,'Support - Transition'!J:J,'Step 2'!D1603,'Support - Transition'!E:E,"2009 WELFARE ALLOCATION FACTOR")</f>
        <v>0</v>
      </c>
      <c r="O1603" s="152">
        <f t="shared" ref="O1603:O1666" si="485">ROUND(+N1603*M1603,0)</f>
        <v>0</v>
      </c>
      <c r="P1603" s="126">
        <f>IF(E1603="Y",0,SUMIFS('Support - Transition'!G:G,'Support - Transition'!J:J,'Step 2'!D1603,'Support - Transition'!E:E,"2009 SCHOOL ALLOCATION FACTOR"))</f>
        <v>0</v>
      </c>
      <c r="Q1603" s="126">
        <f>IF(E1603="Y",VLOOKUP(D1603,'Support - Unit Adjustments'!F:G,2,FALSE),0)</f>
        <v>0</v>
      </c>
      <c r="R1603" s="155">
        <f t="shared" si="478"/>
        <v>0</v>
      </c>
      <c r="S1603" s="47">
        <f t="shared" si="477"/>
        <v>0</v>
      </c>
      <c r="T1603" s="151">
        <f t="shared" si="481"/>
        <v>117</v>
      </c>
      <c r="U1603" s="151">
        <f t="shared" si="482"/>
        <v>0</v>
      </c>
      <c r="V1603" s="139">
        <f t="shared" si="483"/>
        <v>0</v>
      </c>
      <c r="W1603" s="152">
        <f t="shared" ref="W1603:W1666" si="486">+T1603-V1603</f>
        <v>117</v>
      </c>
      <c r="X1603" s="127" t="str">
        <f t="shared" si="484"/>
        <v/>
      </c>
      <c r="Y1603" s="207">
        <f t="shared" ref="Y1603:Y1666" si="487">W1603</f>
        <v>117</v>
      </c>
      <c r="Z1603" s="139">
        <f t="shared" ref="Z1603:Z1666" si="488">IFERROR(IF(B1603="2",ROUND(Y1603*G1603/I1603,0),Y1603),0)</f>
        <v>86</v>
      </c>
      <c r="AA1603" s="139">
        <f t="shared" ref="AA1603:AA1666" si="489">+Y1603-Z1603</f>
        <v>31</v>
      </c>
      <c r="AC1603" s="47">
        <f t="shared" ref="AC1603:AC1666" si="490">ROUND(Y1603/2,0)</f>
        <v>59</v>
      </c>
      <c r="AD1603" s="47">
        <f t="shared" ref="AD1603:AD1666" si="491">ROUND(Z1603/2,0)</f>
        <v>43</v>
      </c>
      <c r="AE1603" s="47">
        <f t="shared" ref="AE1603:AE1666" si="492">ROUND(AA1603/2,0)</f>
        <v>16</v>
      </c>
      <c r="AG1603" s="47">
        <f t="shared" ref="AG1603:AG1666" si="493">+Y1603-AC1603</f>
        <v>58</v>
      </c>
      <c r="AH1603" s="47">
        <f t="shared" ref="AH1603:AH1666" si="494">+Z1603-AD1603</f>
        <v>43</v>
      </c>
      <c r="AI1603" s="208">
        <f t="shared" ref="AI1603:AI1666" si="495">+AA1603-AE1603</f>
        <v>15</v>
      </c>
    </row>
    <row r="1604" spans="1:35">
      <c r="A1604" t="s">
        <v>2136</v>
      </c>
      <c r="B1604" t="s">
        <v>3142</v>
      </c>
      <c r="C1604" t="s">
        <v>2197</v>
      </c>
      <c r="D1604" t="s">
        <v>5028</v>
      </c>
      <c r="F1604" t="s">
        <v>1228</v>
      </c>
      <c r="G1604" s="126">
        <f>SUMIFS('Support - Transition'!F:F,'Support - Transition'!B:B,'Step 2'!A1604,'Support - Transition'!C:C,'Step 2'!B1604,'Support - Transition'!D:D,'Step 2'!C1604,'Support - Transition'!E:E,"CIVIL")</f>
        <v>8.0029999999999997E-3</v>
      </c>
      <c r="H1604" s="126">
        <f>SUMIFS('Support - Transition'!F:F,'Support - Transition'!B:B,'Step 2'!A1604,'Support - Transition'!C:C,'Step 2'!B1604,'Support - Transition'!D:D,'Step 2'!C1604,'Support - Transition'!E:E,"FIRE")</f>
        <v>2.0070000000000001E-3</v>
      </c>
      <c r="I1604" s="126">
        <f>IF(B1604="0",SUMIFS('Support - Transition'!F:F,'Support - Transition'!J:J,'Step 2'!D1604,'Support - Transition'!E:E,"STATE UNIT"),SUMIFS('Support - Transition'!F:F,'Support - Transition'!J:J,'Step 2'!D1604))</f>
        <v>1.001E-2</v>
      </c>
      <c r="J1604" s="126">
        <f>SUMIFS('Support - Unit Adjustments'!E:E,'Support - Unit Adjustments'!F:F,'Step 2'!D1604)</f>
        <v>0</v>
      </c>
      <c r="K1604" s="126">
        <f t="shared" si="479"/>
        <v>1.001E-2</v>
      </c>
      <c r="L1604" s="174">
        <f>VLOOKUP(A1604,'Step 1'!$A:$E,4,FALSE)</f>
        <v>244256</v>
      </c>
      <c r="M1604" s="47">
        <f t="shared" si="480"/>
        <v>2445</v>
      </c>
      <c r="N1604" s="177">
        <f>SUMIFS('Support - Transition'!G:G,'Support - Transition'!J:J,'Step 2'!D1604,'Support - Transition'!E:E,"2009 WELFARE ALLOCATION FACTOR")</f>
        <v>0</v>
      </c>
      <c r="O1604" s="152">
        <f t="shared" si="485"/>
        <v>0</v>
      </c>
      <c r="P1604" s="126">
        <f>IF(E1604="Y",0,SUMIFS('Support - Transition'!G:G,'Support - Transition'!J:J,'Step 2'!D1604,'Support - Transition'!E:E,"2009 SCHOOL ALLOCATION FACTOR"))</f>
        <v>0</v>
      </c>
      <c r="Q1604" s="126">
        <f>IF(E1604="Y",VLOOKUP(D1604,'Support - Unit Adjustments'!F:G,2,FALSE),0)</f>
        <v>0</v>
      </c>
      <c r="R1604" s="155">
        <f t="shared" si="478"/>
        <v>0</v>
      </c>
      <c r="S1604" s="47">
        <f t="shared" si="477"/>
        <v>0</v>
      </c>
      <c r="T1604" s="151">
        <f t="shared" si="481"/>
        <v>2445</v>
      </c>
      <c r="U1604" s="151">
        <f t="shared" si="482"/>
        <v>0</v>
      </c>
      <c r="V1604" s="139">
        <f t="shared" si="483"/>
        <v>0</v>
      </c>
      <c r="W1604" s="152">
        <f t="shared" si="486"/>
        <v>2445</v>
      </c>
      <c r="X1604" s="127" t="str">
        <f t="shared" si="484"/>
        <v/>
      </c>
      <c r="Y1604" s="207">
        <f t="shared" si="487"/>
        <v>2445</v>
      </c>
      <c r="Z1604" s="139">
        <f t="shared" si="488"/>
        <v>1955</v>
      </c>
      <c r="AA1604" s="139">
        <f t="shared" si="489"/>
        <v>490</v>
      </c>
      <c r="AC1604" s="47">
        <f t="shared" si="490"/>
        <v>1223</v>
      </c>
      <c r="AD1604" s="47">
        <f t="shared" si="491"/>
        <v>978</v>
      </c>
      <c r="AE1604" s="47">
        <f t="shared" si="492"/>
        <v>245</v>
      </c>
      <c r="AG1604" s="47">
        <f t="shared" si="493"/>
        <v>1222</v>
      </c>
      <c r="AH1604" s="47">
        <f t="shared" si="494"/>
        <v>977</v>
      </c>
      <c r="AI1604" s="208">
        <f t="shared" si="495"/>
        <v>245</v>
      </c>
    </row>
    <row r="1605" spans="1:35">
      <c r="A1605" t="s">
        <v>2136</v>
      </c>
      <c r="B1605" t="s">
        <v>3142</v>
      </c>
      <c r="C1605" t="s">
        <v>2198</v>
      </c>
      <c r="D1605" t="s">
        <v>5029</v>
      </c>
      <c r="F1605" t="s">
        <v>1124</v>
      </c>
      <c r="G1605" s="126">
        <f>SUMIFS('Support - Transition'!F:F,'Support - Transition'!B:B,'Step 2'!A1605,'Support - Transition'!C:C,'Step 2'!B1605,'Support - Transition'!D:D,'Step 2'!C1605,'Support - Transition'!E:E,"CIVIL")</f>
        <v>6.4199999999999999E-4</v>
      </c>
      <c r="H1605" s="126">
        <f>SUMIFS('Support - Transition'!F:F,'Support - Transition'!B:B,'Step 2'!A1605,'Support - Transition'!C:C,'Step 2'!B1605,'Support - Transition'!D:D,'Step 2'!C1605,'Support - Transition'!E:E,"FIRE")</f>
        <v>6.0400000000000004E-4</v>
      </c>
      <c r="I1605" s="126">
        <f>IF(B1605="0",SUMIFS('Support - Transition'!F:F,'Support - Transition'!J:J,'Step 2'!D1605,'Support - Transition'!E:E,"STATE UNIT"),SUMIFS('Support - Transition'!F:F,'Support - Transition'!J:J,'Step 2'!D1605))</f>
        <v>1.2460000000000001E-3</v>
      </c>
      <c r="J1605" s="126">
        <f>SUMIFS('Support - Unit Adjustments'!E:E,'Support - Unit Adjustments'!F:F,'Step 2'!D1605)</f>
        <v>0</v>
      </c>
      <c r="K1605" s="126">
        <f t="shared" si="479"/>
        <v>1.2460000000000001E-3</v>
      </c>
      <c r="L1605" s="174">
        <f>VLOOKUP(A1605,'Step 1'!$A:$E,4,FALSE)</f>
        <v>244256</v>
      </c>
      <c r="M1605" s="47">
        <f t="shared" si="480"/>
        <v>304</v>
      </c>
      <c r="N1605" s="177">
        <f>SUMIFS('Support - Transition'!G:G,'Support - Transition'!J:J,'Step 2'!D1605,'Support - Transition'!E:E,"2009 WELFARE ALLOCATION FACTOR")</f>
        <v>0</v>
      </c>
      <c r="O1605" s="152">
        <f t="shared" si="485"/>
        <v>0</v>
      </c>
      <c r="P1605" s="126">
        <f>IF(E1605="Y",0,SUMIFS('Support - Transition'!G:G,'Support - Transition'!J:J,'Step 2'!D1605,'Support - Transition'!E:E,"2009 SCHOOL ALLOCATION FACTOR"))</f>
        <v>0</v>
      </c>
      <c r="Q1605" s="126">
        <f>IF(E1605="Y",VLOOKUP(D1605,'Support - Unit Adjustments'!F:G,2,FALSE),0)</f>
        <v>0</v>
      </c>
      <c r="R1605" s="155">
        <f t="shared" si="478"/>
        <v>0</v>
      </c>
      <c r="S1605" s="47">
        <f t="shared" si="477"/>
        <v>0</v>
      </c>
      <c r="T1605" s="151">
        <f t="shared" si="481"/>
        <v>304</v>
      </c>
      <c r="U1605" s="151">
        <f t="shared" si="482"/>
        <v>0</v>
      </c>
      <c r="V1605" s="139">
        <f t="shared" si="483"/>
        <v>0</v>
      </c>
      <c r="W1605" s="152">
        <f t="shared" si="486"/>
        <v>304</v>
      </c>
      <c r="X1605" s="127" t="str">
        <f t="shared" si="484"/>
        <v/>
      </c>
      <c r="Y1605" s="207">
        <f t="shared" si="487"/>
        <v>304</v>
      </c>
      <c r="Z1605" s="139">
        <f t="shared" si="488"/>
        <v>157</v>
      </c>
      <c r="AA1605" s="139">
        <f t="shared" si="489"/>
        <v>147</v>
      </c>
      <c r="AC1605" s="47">
        <f t="shared" si="490"/>
        <v>152</v>
      </c>
      <c r="AD1605" s="47">
        <f t="shared" si="491"/>
        <v>79</v>
      </c>
      <c r="AE1605" s="47">
        <f t="shared" si="492"/>
        <v>74</v>
      </c>
      <c r="AG1605" s="47">
        <f t="shared" si="493"/>
        <v>152</v>
      </c>
      <c r="AH1605" s="47">
        <f t="shared" si="494"/>
        <v>78</v>
      </c>
      <c r="AI1605" s="208">
        <f t="shared" si="495"/>
        <v>73</v>
      </c>
    </row>
    <row r="1606" spans="1:35">
      <c r="A1606" t="s">
        <v>2136</v>
      </c>
      <c r="B1606" t="s">
        <v>3142</v>
      </c>
      <c r="C1606" t="s">
        <v>2199</v>
      </c>
      <c r="D1606" t="s">
        <v>5030</v>
      </c>
      <c r="F1606" t="s">
        <v>114</v>
      </c>
      <c r="G1606" s="126">
        <f>SUMIFS('Support - Transition'!F:F,'Support - Transition'!B:B,'Step 2'!A1606,'Support - Transition'!C:C,'Step 2'!B1606,'Support - Transition'!D:D,'Step 2'!C1606,'Support - Transition'!E:E,"CIVIL")</f>
        <v>5.4100000000000003E-4</v>
      </c>
      <c r="H1606" s="126">
        <f>SUMIFS('Support - Transition'!F:F,'Support - Transition'!B:B,'Step 2'!A1606,'Support - Transition'!C:C,'Step 2'!B1606,'Support - Transition'!D:D,'Step 2'!C1606,'Support - Transition'!E:E,"FIRE")</f>
        <v>2.7599999999999999E-4</v>
      </c>
      <c r="I1606" s="126">
        <f>IF(B1606="0",SUMIFS('Support - Transition'!F:F,'Support - Transition'!J:J,'Step 2'!D1606,'Support - Transition'!E:E,"STATE UNIT"),SUMIFS('Support - Transition'!F:F,'Support - Transition'!J:J,'Step 2'!D1606))</f>
        <v>8.1700000000000002E-4</v>
      </c>
      <c r="J1606" s="126">
        <f>SUMIFS('Support - Unit Adjustments'!E:E,'Support - Unit Adjustments'!F:F,'Step 2'!D1606)</f>
        <v>0</v>
      </c>
      <c r="K1606" s="126">
        <f t="shared" si="479"/>
        <v>8.1700000000000002E-4</v>
      </c>
      <c r="L1606" s="174">
        <f>VLOOKUP(A1606,'Step 1'!$A:$E,4,FALSE)</f>
        <v>244256</v>
      </c>
      <c r="M1606" s="47">
        <f t="shared" si="480"/>
        <v>200</v>
      </c>
      <c r="N1606" s="177">
        <f>SUMIFS('Support - Transition'!G:G,'Support - Transition'!J:J,'Step 2'!D1606,'Support - Transition'!E:E,"2009 WELFARE ALLOCATION FACTOR")</f>
        <v>0</v>
      </c>
      <c r="O1606" s="152">
        <f t="shared" si="485"/>
        <v>0</v>
      </c>
      <c r="P1606" s="126">
        <f>IF(E1606="Y",0,SUMIFS('Support - Transition'!G:G,'Support - Transition'!J:J,'Step 2'!D1606,'Support - Transition'!E:E,"2009 SCHOOL ALLOCATION FACTOR"))</f>
        <v>0</v>
      </c>
      <c r="Q1606" s="126">
        <f>IF(E1606="Y",VLOOKUP(D1606,'Support - Unit Adjustments'!F:G,2,FALSE),0)</f>
        <v>0</v>
      </c>
      <c r="R1606" s="155">
        <f t="shared" si="478"/>
        <v>0</v>
      </c>
      <c r="S1606" s="47">
        <f t="shared" si="477"/>
        <v>0</v>
      </c>
      <c r="T1606" s="151">
        <f t="shared" si="481"/>
        <v>200</v>
      </c>
      <c r="U1606" s="151">
        <f t="shared" si="482"/>
        <v>0</v>
      </c>
      <c r="V1606" s="139">
        <f t="shared" si="483"/>
        <v>0</v>
      </c>
      <c r="W1606" s="152">
        <f t="shared" si="486"/>
        <v>200</v>
      </c>
      <c r="X1606" s="127" t="str">
        <f t="shared" si="484"/>
        <v/>
      </c>
      <c r="Y1606" s="207">
        <f t="shared" si="487"/>
        <v>200</v>
      </c>
      <c r="Z1606" s="139">
        <f t="shared" si="488"/>
        <v>132</v>
      </c>
      <c r="AA1606" s="139">
        <f t="shared" si="489"/>
        <v>68</v>
      </c>
      <c r="AC1606" s="47">
        <f t="shared" si="490"/>
        <v>100</v>
      </c>
      <c r="AD1606" s="47">
        <f t="shared" si="491"/>
        <v>66</v>
      </c>
      <c r="AE1606" s="47">
        <f t="shared" si="492"/>
        <v>34</v>
      </c>
      <c r="AG1606" s="47">
        <f t="shared" si="493"/>
        <v>100</v>
      </c>
      <c r="AH1606" s="47">
        <f t="shared" si="494"/>
        <v>66</v>
      </c>
      <c r="AI1606" s="208">
        <f t="shared" si="495"/>
        <v>34</v>
      </c>
    </row>
    <row r="1607" spans="1:35">
      <c r="A1607" t="s">
        <v>2136</v>
      </c>
      <c r="B1607" t="s">
        <v>3142</v>
      </c>
      <c r="C1607" t="s">
        <v>2208</v>
      </c>
      <c r="D1607" t="s">
        <v>5031</v>
      </c>
      <c r="F1607" t="s">
        <v>20</v>
      </c>
      <c r="G1607" s="126">
        <f>SUMIFS('Support - Transition'!F:F,'Support - Transition'!B:B,'Step 2'!A1607,'Support - Transition'!C:C,'Step 2'!B1607,'Support - Transition'!D:D,'Step 2'!C1607,'Support - Transition'!E:E,"CIVIL")</f>
        <v>9.3999999999999997E-4</v>
      </c>
      <c r="H1607" s="126">
        <f>SUMIFS('Support - Transition'!F:F,'Support - Transition'!B:B,'Step 2'!A1607,'Support - Transition'!C:C,'Step 2'!B1607,'Support - Transition'!D:D,'Step 2'!C1607,'Support - Transition'!E:E,"FIRE")</f>
        <v>5.71E-4</v>
      </c>
      <c r="I1607" s="126">
        <f>IF(B1607="0",SUMIFS('Support - Transition'!F:F,'Support - Transition'!J:J,'Step 2'!D1607,'Support - Transition'!E:E,"STATE UNIT"),SUMIFS('Support - Transition'!F:F,'Support - Transition'!J:J,'Step 2'!D1607))</f>
        <v>1.511E-3</v>
      </c>
      <c r="J1607" s="126">
        <f>SUMIFS('Support - Unit Adjustments'!E:E,'Support - Unit Adjustments'!F:F,'Step 2'!D1607)</f>
        <v>0</v>
      </c>
      <c r="K1607" s="126">
        <f t="shared" si="479"/>
        <v>1.511E-3</v>
      </c>
      <c r="L1607" s="174">
        <f>VLOOKUP(A1607,'Step 1'!$A:$E,4,FALSE)</f>
        <v>244256</v>
      </c>
      <c r="M1607" s="47">
        <f t="shared" si="480"/>
        <v>369</v>
      </c>
      <c r="N1607" s="177">
        <f>SUMIFS('Support - Transition'!G:G,'Support - Transition'!J:J,'Step 2'!D1607,'Support - Transition'!E:E,"2009 WELFARE ALLOCATION FACTOR")</f>
        <v>0</v>
      </c>
      <c r="O1607" s="152">
        <f t="shared" si="485"/>
        <v>0</v>
      </c>
      <c r="P1607" s="126">
        <f>IF(E1607="Y",0,SUMIFS('Support - Transition'!G:G,'Support - Transition'!J:J,'Step 2'!D1607,'Support - Transition'!E:E,"2009 SCHOOL ALLOCATION FACTOR"))</f>
        <v>0</v>
      </c>
      <c r="Q1607" s="126">
        <f>IF(E1607="Y",VLOOKUP(D1607,'Support - Unit Adjustments'!F:G,2,FALSE),0)</f>
        <v>0</v>
      </c>
      <c r="R1607" s="155">
        <f t="shared" si="478"/>
        <v>0</v>
      </c>
      <c r="S1607" s="47">
        <f t="shared" si="477"/>
        <v>0</v>
      </c>
      <c r="T1607" s="151">
        <f t="shared" si="481"/>
        <v>369</v>
      </c>
      <c r="U1607" s="151">
        <f t="shared" si="482"/>
        <v>0</v>
      </c>
      <c r="V1607" s="139">
        <f t="shared" si="483"/>
        <v>0</v>
      </c>
      <c r="W1607" s="152">
        <f t="shared" si="486"/>
        <v>369</v>
      </c>
      <c r="X1607" s="127" t="str">
        <f t="shared" si="484"/>
        <v/>
      </c>
      <c r="Y1607" s="207">
        <f t="shared" si="487"/>
        <v>369</v>
      </c>
      <c r="Z1607" s="139">
        <f t="shared" si="488"/>
        <v>230</v>
      </c>
      <c r="AA1607" s="139">
        <f t="shared" si="489"/>
        <v>139</v>
      </c>
      <c r="AC1607" s="47">
        <f t="shared" si="490"/>
        <v>185</v>
      </c>
      <c r="AD1607" s="47">
        <f t="shared" si="491"/>
        <v>115</v>
      </c>
      <c r="AE1607" s="47">
        <f t="shared" si="492"/>
        <v>70</v>
      </c>
      <c r="AG1607" s="47">
        <f t="shared" si="493"/>
        <v>184</v>
      </c>
      <c r="AH1607" s="47">
        <f t="shared" si="494"/>
        <v>115</v>
      </c>
      <c r="AI1607" s="208">
        <f t="shared" si="495"/>
        <v>69</v>
      </c>
    </row>
    <row r="1608" spans="1:35">
      <c r="A1608" t="s">
        <v>2136</v>
      </c>
      <c r="B1608" t="s">
        <v>3142</v>
      </c>
      <c r="C1608" t="s">
        <v>2209</v>
      </c>
      <c r="D1608" t="s">
        <v>5032</v>
      </c>
      <c r="F1608" t="s">
        <v>22</v>
      </c>
      <c r="G1608" s="126">
        <f>SUMIFS('Support - Transition'!F:F,'Support - Transition'!B:B,'Step 2'!A1608,'Support - Transition'!C:C,'Step 2'!B1608,'Support - Transition'!D:D,'Step 2'!C1608,'Support - Transition'!E:E,"CIVIL")</f>
        <v>6.0800000000000003E-4</v>
      </c>
      <c r="H1608" s="126">
        <f>SUMIFS('Support - Transition'!F:F,'Support - Transition'!B:B,'Step 2'!A1608,'Support - Transition'!C:C,'Step 2'!B1608,'Support - Transition'!D:D,'Step 2'!C1608,'Support - Transition'!E:E,"FIRE")</f>
        <v>6.1200000000000002E-4</v>
      </c>
      <c r="I1608" s="126">
        <f>IF(B1608="0",SUMIFS('Support - Transition'!F:F,'Support - Transition'!J:J,'Step 2'!D1608,'Support - Transition'!E:E,"STATE UNIT"),SUMIFS('Support - Transition'!F:F,'Support - Transition'!J:J,'Step 2'!D1608))</f>
        <v>1.2200000000000002E-3</v>
      </c>
      <c r="J1608" s="126">
        <f>SUMIFS('Support - Unit Adjustments'!E:E,'Support - Unit Adjustments'!F:F,'Step 2'!D1608)</f>
        <v>0</v>
      </c>
      <c r="K1608" s="126">
        <f t="shared" si="479"/>
        <v>1.2200000000000002E-3</v>
      </c>
      <c r="L1608" s="174">
        <f>VLOOKUP(A1608,'Step 1'!$A:$E,4,FALSE)</f>
        <v>244256</v>
      </c>
      <c r="M1608" s="47">
        <f t="shared" si="480"/>
        <v>298</v>
      </c>
      <c r="N1608" s="177">
        <f>SUMIFS('Support - Transition'!G:G,'Support - Transition'!J:J,'Step 2'!D1608,'Support - Transition'!E:E,"2009 WELFARE ALLOCATION FACTOR")</f>
        <v>0</v>
      </c>
      <c r="O1608" s="152">
        <f t="shared" si="485"/>
        <v>0</v>
      </c>
      <c r="P1608" s="126">
        <f>IF(E1608="Y",0,SUMIFS('Support - Transition'!G:G,'Support - Transition'!J:J,'Step 2'!D1608,'Support - Transition'!E:E,"2009 SCHOOL ALLOCATION FACTOR"))</f>
        <v>0</v>
      </c>
      <c r="Q1608" s="126">
        <f>IF(E1608="Y",VLOOKUP(D1608,'Support - Unit Adjustments'!F:G,2,FALSE),0)</f>
        <v>0</v>
      </c>
      <c r="R1608" s="155">
        <f t="shared" si="478"/>
        <v>0</v>
      </c>
      <c r="S1608" s="47">
        <f t="shared" ref="S1608:S1671" si="496">ROUND(+R1608*M1608,0)</f>
        <v>0</v>
      </c>
      <c r="T1608" s="151">
        <f t="shared" si="481"/>
        <v>298</v>
      </c>
      <c r="U1608" s="151">
        <f t="shared" si="482"/>
        <v>0</v>
      </c>
      <c r="V1608" s="139">
        <f t="shared" si="483"/>
        <v>0</v>
      </c>
      <c r="W1608" s="152">
        <f t="shared" si="486"/>
        <v>298</v>
      </c>
      <c r="X1608" s="127" t="str">
        <f t="shared" si="484"/>
        <v/>
      </c>
      <c r="Y1608" s="207">
        <f t="shared" si="487"/>
        <v>298</v>
      </c>
      <c r="Z1608" s="139">
        <f t="shared" si="488"/>
        <v>149</v>
      </c>
      <c r="AA1608" s="139">
        <f t="shared" si="489"/>
        <v>149</v>
      </c>
      <c r="AC1608" s="47">
        <f t="shared" si="490"/>
        <v>149</v>
      </c>
      <c r="AD1608" s="47">
        <f t="shared" si="491"/>
        <v>75</v>
      </c>
      <c r="AE1608" s="47">
        <f t="shared" si="492"/>
        <v>75</v>
      </c>
      <c r="AG1608" s="47">
        <f t="shared" si="493"/>
        <v>149</v>
      </c>
      <c r="AH1608" s="47">
        <f t="shared" si="494"/>
        <v>74</v>
      </c>
      <c r="AI1608" s="208">
        <f t="shared" si="495"/>
        <v>74</v>
      </c>
    </row>
    <row r="1609" spans="1:35">
      <c r="A1609" t="s">
        <v>2136</v>
      </c>
      <c r="B1609" t="s">
        <v>3155</v>
      </c>
      <c r="C1609" t="s">
        <v>2843</v>
      </c>
      <c r="D1609" t="s">
        <v>5033</v>
      </c>
      <c r="F1609" t="s">
        <v>1234</v>
      </c>
      <c r="G1609" s="126">
        <f>SUMIFS('Support - Transition'!F:F,'Support - Transition'!B:B,'Step 2'!A1609,'Support - Transition'!C:C,'Step 2'!B1609,'Support - Transition'!D:D,'Step 2'!C1609,'Support - Transition'!E:E,"CIVIL")</f>
        <v>0</v>
      </c>
      <c r="H1609" s="126">
        <f>SUMIFS('Support - Transition'!F:F,'Support - Transition'!B:B,'Step 2'!A1609,'Support - Transition'!C:C,'Step 2'!B1609,'Support - Transition'!D:D,'Step 2'!C1609,'Support - Transition'!E:E,"FIRE")</f>
        <v>0</v>
      </c>
      <c r="I1609" s="126">
        <f>IF(B1609="0",SUMIFS('Support - Transition'!F:F,'Support - Transition'!J:J,'Step 2'!D1609,'Support - Transition'!E:E,"STATE UNIT"),SUMIFS('Support - Transition'!F:F,'Support - Transition'!J:J,'Step 2'!D1609))</f>
        <v>9.4884999999999997E-2</v>
      </c>
      <c r="J1609" s="126">
        <f>SUMIFS('Support - Unit Adjustments'!E:E,'Support - Unit Adjustments'!F:F,'Step 2'!D1609)</f>
        <v>0</v>
      </c>
      <c r="K1609" s="126">
        <f t="shared" si="479"/>
        <v>9.4884999999999997E-2</v>
      </c>
      <c r="L1609" s="174">
        <f>VLOOKUP(A1609,'Step 1'!$A:$E,4,FALSE)</f>
        <v>244256</v>
      </c>
      <c r="M1609" s="47">
        <f t="shared" si="480"/>
        <v>23176</v>
      </c>
      <c r="N1609" s="177">
        <f>SUMIFS('Support - Transition'!G:G,'Support - Transition'!J:J,'Step 2'!D1609,'Support - Transition'!E:E,"2009 WELFARE ALLOCATION FACTOR")</f>
        <v>0</v>
      </c>
      <c r="O1609" s="152">
        <f t="shared" si="485"/>
        <v>0</v>
      </c>
      <c r="P1609" s="126">
        <f>IF(E1609="Y",0,SUMIFS('Support - Transition'!G:G,'Support - Transition'!J:J,'Step 2'!D1609,'Support - Transition'!E:E,"2009 SCHOOL ALLOCATION FACTOR"))</f>
        <v>0</v>
      </c>
      <c r="Q1609" s="126">
        <f>IF(E1609="Y",VLOOKUP(D1609,'Support - Unit Adjustments'!F:G,2,FALSE),0)</f>
        <v>0</v>
      </c>
      <c r="R1609" s="155">
        <f t="shared" ref="R1609:R1672" si="497">+P1609+Q1609</f>
        <v>0</v>
      </c>
      <c r="S1609" s="47">
        <f t="shared" si="496"/>
        <v>0</v>
      </c>
      <c r="T1609" s="151">
        <f t="shared" si="481"/>
        <v>23176</v>
      </c>
      <c r="U1609" s="151">
        <f t="shared" si="482"/>
        <v>0</v>
      </c>
      <c r="V1609" s="139">
        <f t="shared" si="483"/>
        <v>0</v>
      </c>
      <c r="W1609" s="152">
        <f t="shared" si="486"/>
        <v>23176</v>
      </c>
      <c r="X1609" s="127" t="str">
        <f t="shared" si="484"/>
        <v/>
      </c>
      <c r="Y1609" s="207">
        <f t="shared" si="487"/>
        <v>23176</v>
      </c>
      <c r="Z1609" s="139">
        <f t="shared" si="488"/>
        <v>23176</v>
      </c>
      <c r="AA1609" s="139">
        <f t="shared" si="489"/>
        <v>0</v>
      </c>
      <c r="AC1609" s="47">
        <f t="shared" si="490"/>
        <v>11588</v>
      </c>
      <c r="AD1609" s="47">
        <f t="shared" si="491"/>
        <v>11588</v>
      </c>
      <c r="AE1609" s="47">
        <f t="shared" si="492"/>
        <v>0</v>
      </c>
      <c r="AG1609" s="47">
        <f t="shared" si="493"/>
        <v>11588</v>
      </c>
      <c r="AH1609" s="47">
        <f t="shared" si="494"/>
        <v>11588</v>
      </c>
      <c r="AI1609" s="208">
        <f t="shared" si="495"/>
        <v>0</v>
      </c>
    </row>
    <row r="1610" spans="1:35">
      <c r="A1610" t="s">
        <v>2136</v>
      </c>
      <c r="B1610" t="s">
        <v>3155</v>
      </c>
      <c r="C1610" t="s">
        <v>2844</v>
      </c>
      <c r="D1610" t="s">
        <v>5034</v>
      </c>
      <c r="F1610" t="s">
        <v>1230</v>
      </c>
      <c r="G1610" s="126">
        <f>SUMIFS('Support - Transition'!F:F,'Support - Transition'!B:B,'Step 2'!A1610,'Support - Transition'!C:C,'Step 2'!B1610,'Support - Transition'!D:D,'Step 2'!C1610,'Support - Transition'!E:E,"CIVIL")</f>
        <v>0</v>
      </c>
      <c r="H1610" s="126">
        <f>SUMIFS('Support - Transition'!F:F,'Support - Transition'!B:B,'Step 2'!A1610,'Support - Transition'!C:C,'Step 2'!B1610,'Support - Transition'!D:D,'Step 2'!C1610,'Support - Transition'!E:E,"FIRE")</f>
        <v>0</v>
      </c>
      <c r="I1610" s="126">
        <f>IF(B1610="0",SUMIFS('Support - Transition'!F:F,'Support - Transition'!J:J,'Step 2'!D1610,'Support - Transition'!E:E,"STATE UNIT"),SUMIFS('Support - Transition'!F:F,'Support - Transition'!J:J,'Step 2'!D1610))</f>
        <v>3.0600000000000001E-4</v>
      </c>
      <c r="J1610" s="126">
        <f>SUMIFS('Support - Unit Adjustments'!E:E,'Support - Unit Adjustments'!F:F,'Step 2'!D1610)</f>
        <v>0</v>
      </c>
      <c r="K1610" s="126">
        <f t="shared" si="479"/>
        <v>3.0600000000000001E-4</v>
      </c>
      <c r="L1610" s="174">
        <f>VLOOKUP(A1610,'Step 1'!$A:$E,4,FALSE)</f>
        <v>244256</v>
      </c>
      <c r="M1610" s="47">
        <f t="shared" si="480"/>
        <v>75</v>
      </c>
      <c r="N1610" s="177">
        <f>SUMIFS('Support - Transition'!G:G,'Support - Transition'!J:J,'Step 2'!D1610,'Support - Transition'!E:E,"2009 WELFARE ALLOCATION FACTOR")</f>
        <v>0</v>
      </c>
      <c r="O1610" s="152">
        <f t="shared" si="485"/>
        <v>0</v>
      </c>
      <c r="P1610" s="126">
        <f>IF(E1610="Y",0,SUMIFS('Support - Transition'!G:G,'Support - Transition'!J:J,'Step 2'!D1610,'Support - Transition'!E:E,"2009 SCHOOL ALLOCATION FACTOR"))</f>
        <v>0</v>
      </c>
      <c r="Q1610" s="126">
        <f>IF(E1610="Y",VLOOKUP(D1610,'Support - Unit Adjustments'!F:G,2,FALSE),0)</f>
        <v>0</v>
      </c>
      <c r="R1610" s="155">
        <f t="shared" si="497"/>
        <v>0</v>
      </c>
      <c r="S1610" s="47">
        <f t="shared" si="496"/>
        <v>0</v>
      </c>
      <c r="T1610" s="151">
        <f t="shared" si="481"/>
        <v>75</v>
      </c>
      <c r="U1610" s="151">
        <f t="shared" si="482"/>
        <v>0</v>
      </c>
      <c r="V1610" s="139">
        <f t="shared" si="483"/>
        <v>0</v>
      </c>
      <c r="W1610" s="152">
        <f t="shared" si="486"/>
        <v>75</v>
      </c>
      <c r="X1610" s="127" t="str">
        <f t="shared" si="484"/>
        <v/>
      </c>
      <c r="Y1610" s="207">
        <f t="shared" si="487"/>
        <v>75</v>
      </c>
      <c r="Z1610" s="139">
        <f t="shared" si="488"/>
        <v>75</v>
      </c>
      <c r="AA1610" s="139">
        <f t="shared" si="489"/>
        <v>0</v>
      </c>
      <c r="AC1610" s="47">
        <f t="shared" si="490"/>
        <v>38</v>
      </c>
      <c r="AD1610" s="47">
        <f t="shared" si="491"/>
        <v>38</v>
      </c>
      <c r="AE1610" s="47">
        <f t="shared" si="492"/>
        <v>0</v>
      </c>
      <c r="AG1610" s="47">
        <f t="shared" si="493"/>
        <v>37</v>
      </c>
      <c r="AH1610" s="47">
        <f t="shared" si="494"/>
        <v>37</v>
      </c>
      <c r="AI1610" s="208">
        <f t="shared" si="495"/>
        <v>0</v>
      </c>
    </row>
    <row r="1611" spans="1:35">
      <c r="A1611" t="s">
        <v>2136</v>
      </c>
      <c r="B1611" t="s">
        <v>3155</v>
      </c>
      <c r="C1611" t="s">
        <v>2845</v>
      </c>
      <c r="D1611" t="s">
        <v>5035</v>
      </c>
      <c r="F1611" t="s">
        <v>1231</v>
      </c>
      <c r="G1611" s="126">
        <f>SUMIFS('Support - Transition'!F:F,'Support - Transition'!B:B,'Step 2'!A1611,'Support - Transition'!C:C,'Step 2'!B1611,'Support - Transition'!D:D,'Step 2'!C1611,'Support - Transition'!E:E,"CIVIL")</f>
        <v>0</v>
      </c>
      <c r="H1611" s="126">
        <f>SUMIFS('Support - Transition'!F:F,'Support - Transition'!B:B,'Step 2'!A1611,'Support - Transition'!C:C,'Step 2'!B1611,'Support - Transition'!D:D,'Step 2'!C1611,'Support - Transition'!E:E,"FIRE")</f>
        <v>0</v>
      </c>
      <c r="I1611" s="126">
        <f>IF(B1611="0",SUMIFS('Support - Transition'!F:F,'Support - Transition'!J:J,'Step 2'!D1611,'Support - Transition'!E:E,"STATE UNIT"),SUMIFS('Support - Transition'!F:F,'Support - Transition'!J:J,'Step 2'!D1611))</f>
        <v>5.4500000000000002E-4</v>
      </c>
      <c r="J1611" s="126">
        <f>SUMIFS('Support - Unit Adjustments'!E:E,'Support - Unit Adjustments'!F:F,'Step 2'!D1611)</f>
        <v>0</v>
      </c>
      <c r="K1611" s="126">
        <f t="shared" si="479"/>
        <v>5.4500000000000002E-4</v>
      </c>
      <c r="L1611" s="174">
        <f>VLOOKUP(A1611,'Step 1'!$A:$E,4,FALSE)</f>
        <v>244256</v>
      </c>
      <c r="M1611" s="47">
        <f t="shared" si="480"/>
        <v>133</v>
      </c>
      <c r="N1611" s="177">
        <f>SUMIFS('Support - Transition'!G:G,'Support - Transition'!J:J,'Step 2'!D1611,'Support - Transition'!E:E,"2009 WELFARE ALLOCATION FACTOR")</f>
        <v>0</v>
      </c>
      <c r="O1611" s="152">
        <f t="shared" si="485"/>
        <v>0</v>
      </c>
      <c r="P1611" s="126">
        <f>IF(E1611="Y",0,SUMIFS('Support - Transition'!G:G,'Support - Transition'!J:J,'Step 2'!D1611,'Support - Transition'!E:E,"2009 SCHOOL ALLOCATION FACTOR"))</f>
        <v>0</v>
      </c>
      <c r="Q1611" s="126">
        <f>IF(E1611="Y",VLOOKUP(D1611,'Support - Unit Adjustments'!F:G,2,FALSE),0)</f>
        <v>0</v>
      </c>
      <c r="R1611" s="155">
        <f t="shared" si="497"/>
        <v>0</v>
      </c>
      <c r="S1611" s="47">
        <f t="shared" si="496"/>
        <v>0</v>
      </c>
      <c r="T1611" s="151">
        <f t="shared" si="481"/>
        <v>133</v>
      </c>
      <c r="U1611" s="151">
        <f t="shared" si="482"/>
        <v>0</v>
      </c>
      <c r="V1611" s="139">
        <f t="shared" si="483"/>
        <v>0</v>
      </c>
      <c r="W1611" s="152">
        <f t="shared" si="486"/>
        <v>133</v>
      </c>
      <c r="X1611" s="127" t="str">
        <f t="shared" si="484"/>
        <v/>
      </c>
      <c r="Y1611" s="207">
        <f t="shared" si="487"/>
        <v>133</v>
      </c>
      <c r="Z1611" s="139">
        <f t="shared" si="488"/>
        <v>133</v>
      </c>
      <c r="AA1611" s="139">
        <f t="shared" si="489"/>
        <v>0</v>
      </c>
      <c r="AC1611" s="47">
        <f t="shared" si="490"/>
        <v>67</v>
      </c>
      <c r="AD1611" s="47">
        <f t="shared" si="491"/>
        <v>67</v>
      </c>
      <c r="AE1611" s="47">
        <f t="shared" si="492"/>
        <v>0</v>
      </c>
      <c r="AG1611" s="47">
        <f t="shared" si="493"/>
        <v>66</v>
      </c>
      <c r="AH1611" s="47">
        <f t="shared" si="494"/>
        <v>66</v>
      </c>
      <c r="AI1611" s="208">
        <f t="shared" si="495"/>
        <v>0</v>
      </c>
    </row>
    <row r="1612" spans="1:35">
      <c r="A1612" t="s">
        <v>2136</v>
      </c>
      <c r="B1612" t="s">
        <v>3155</v>
      </c>
      <c r="C1612" t="s">
        <v>2484</v>
      </c>
      <c r="D1612" t="s">
        <v>5036</v>
      </c>
      <c r="F1612" t="s">
        <v>596</v>
      </c>
      <c r="G1612" s="126">
        <f>SUMIFS('Support - Transition'!F:F,'Support - Transition'!B:B,'Step 2'!A1612,'Support - Transition'!C:C,'Step 2'!B1612,'Support - Transition'!D:D,'Step 2'!C1612,'Support - Transition'!E:E,"CIVIL")</f>
        <v>0</v>
      </c>
      <c r="H1612" s="126">
        <f>SUMIFS('Support - Transition'!F:F,'Support - Transition'!B:B,'Step 2'!A1612,'Support - Transition'!C:C,'Step 2'!B1612,'Support - Transition'!D:D,'Step 2'!C1612,'Support - Transition'!E:E,"FIRE")</f>
        <v>0</v>
      </c>
      <c r="I1612" s="126">
        <f>IF(B1612="0",SUMIFS('Support - Transition'!F:F,'Support - Transition'!J:J,'Step 2'!D1612,'Support - Transition'!E:E,"STATE UNIT"),SUMIFS('Support - Transition'!F:F,'Support - Transition'!J:J,'Step 2'!D1612))</f>
        <v>6.6709999999999998E-3</v>
      </c>
      <c r="J1612" s="126">
        <f>SUMIFS('Support - Unit Adjustments'!E:E,'Support - Unit Adjustments'!F:F,'Step 2'!D1612)</f>
        <v>0</v>
      </c>
      <c r="K1612" s="126">
        <f t="shared" si="479"/>
        <v>6.6709999999999998E-3</v>
      </c>
      <c r="L1612" s="174">
        <f>VLOOKUP(A1612,'Step 1'!$A:$E,4,FALSE)</f>
        <v>244256</v>
      </c>
      <c r="M1612" s="47">
        <f t="shared" si="480"/>
        <v>1629</v>
      </c>
      <c r="N1612" s="177">
        <f>SUMIFS('Support - Transition'!G:G,'Support - Transition'!J:J,'Step 2'!D1612,'Support - Transition'!E:E,"2009 WELFARE ALLOCATION FACTOR")</f>
        <v>0</v>
      </c>
      <c r="O1612" s="152">
        <f t="shared" si="485"/>
        <v>0</v>
      </c>
      <c r="P1612" s="126">
        <f>IF(E1612="Y",0,SUMIFS('Support - Transition'!G:G,'Support - Transition'!J:J,'Step 2'!D1612,'Support - Transition'!E:E,"2009 SCHOOL ALLOCATION FACTOR"))</f>
        <v>0</v>
      </c>
      <c r="Q1612" s="126">
        <f>IF(E1612="Y",VLOOKUP(D1612,'Support - Unit Adjustments'!F:G,2,FALSE),0)</f>
        <v>0</v>
      </c>
      <c r="R1612" s="155">
        <f t="shared" si="497"/>
        <v>0</v>
      </c>
      <c r="S1612" s="47">
        <f t="shared" si="496"/>
        <v>0</v>
      </c>
      <c r="T1612" s="151">
        <f t="shared" si="481"/>
        <v>1629</v>
      </c>
      <c r="U1612" s="151">
        <f t="shared" si="482"/>
        <v>0</v>
      </c>
      <c r="V1612" s="139">
        <f t="shared" si="483"/>
        <v>0</v>
      </c>
      <c r="W1612" s="152">
        <f t="shared" si="486"/>
        <v>1629</v>
      </c>
      <c r="X1612" s="127" t="str">
        <f t="shared" si="484"/>
        <v/>
      </c>
      <c r="Y1612" s="207">
        <f t="shared" si="487"/>
        <v>1629</v>
      </c>
      <c r="Z1612" s="139">
        <f t="shared" si="488"/>
        <v>1629</v>
      </c>
      <c r="AA1612" s="139">
        <f t="shared" si="489"/>
        <v>0</v>
      </c>
      <c r="AC1612" s="47">
        <f t="shared" si="490"/>
        <v>815</v>
      </c>
      <c r="AD1612" s="47">
        <f t="shared" si="491"/>
        <v>815</v>
      </c>
      <c r="AE1612" s="47">
        <f t="shared" si="492"/>
        <v>0</v>
      </c>
      <c r="AG1612" s="47">
        <f t="shared" si="493"/>
        <v>814</v>
      </c>
      <c r="AH1612" s="47">
        <f t="shared" si="494"/>
        <v>814</v>
      </c>
      <c r="AI1612" s="208">
        <f t="shared" si="495"/>
        <v>0</v>
      </c>
    </row>
    <row r="1613" spans="1:35">
      <c r="A1613" t="s">
        <v>2136</v>
      </c>
      <c r="B1613" t="s">
        <v>3155</v>
      </c>
      <c r="C1613" t="s">
        <v>2846</v>
      </c>
      <c r="D1613" t="s">
        <v>5037</v>
      </c>
      <c r="F1613" t="s">
        <v>1232</v>
      </c>
      <c r="G1613" s="126">
        <f>SUMIFS('Support - Transition'!F:F,'Support - Transition'!B:B,'Step 2'!A1613,'Support - Transition'!C:C,'Step 2'!B1613,'Support - Transition'!D:D,'Step 2'!C1613,'Support - Transition'!E:E,"CIVIL")</f>
        <v>0</v>
      </c>
      <c r="H1613" s="126">
        <f>SUMIFS('Support - Transition'!F:F,'Support - Transition'!B:B,'Step 2'!A1613,'Support - Transition'!C:C,'Step 2'!B1613,'Support - Transition'!D:D,'Step 2'!C1613,'Support - Transition'!E:E,"FIRE")</f>
        <v>0</v>
      </c>
      <c r="I1613" s="126">
        <f>IF(B1613="0",SUMIFS('Support - Transition'!F:F,'Support - Transition'!J:J,'Step 2'!D1613,'Support - Transition'!E:E,"STATE UNIT"),SUMIFS('Support - Transition'!F:F,'Support - Transition'!J:J,'Step 2'!D1613))</f>
        <v>1.75E-4</v>
      </c>
      <c r="J1613" s="126">
        <f>SUMIFS('Support - Unit Adjustments'!E:E,'Support - Unit Adjustments'!F:F,'Step 2'!D1613)</f>
        <v>0</v>
      </c>
      <c r="K1613" s="126">
        <f t="shared" si="479"/>
        <v>1.75E-4</v>
      </c>
      <c r="L1613" s="174">
        <f>VLOOKUP(A1613,'Step 1'!$A:$E,4,FALSE)</f>
        <v>244256</v>
      </c>
      <c r="M1613" s="47">
        <f t="shared" si="480"/>
        <v>43</v>
      </c>
      <c r="N1613" s="177">
        <f>SUMIFS('Support - Transition'!G:G,'Support - Transition'!J:J,'Step 2'!D1613,'Support - Transition'!E:E,"2009 WELFARE ALLOCATION FACTOR")</f>
        <v>0</v>
      </c>
      <c r="O1613" s="152">
        <f t="shared" si="485"/>
        <v>0</v>
      </c>
      <c r="P1613" s="126">
        <f>IF(E1613="Y",0,SUMIFS('Support - Transition'!G:G,'Support - Transition'!J:J,'Step 2'!D1613,'Support - Transition'!E:E,"2009 SCHOOL ALLOCATION FACTOR"))</f>
        <v>0</v>
      </c>
      <c r="Q1613" s="126">
        <f>IF(E1613="Y",VLOOKUP(D1613,'Support - Unit Adjustments'!F:G,2,FALSE),0)</f>
        <v>0</v>
      </c>
      <c r="R1613" s="155">
        <f t="shared" si="497"/>
        <v>0</v>
      </c>
      <c r="S1613" s="47">
        <f t="shared" si="496"/>
        <v>0</v>
      </c>
      <c r="T1613" s="151">
        <f t="shared" si="481"/>
        <v>43</v>
      </c>
      <c r="U1613" s="151">
        <f t="shared" si="482"/>
        <v>0</v>
      </c>
      <c r="V1613" s="139">
        <f t="shared" si="483"/>
        <v>0</v>
      </c>
      <c r="W1613" s="152">
        <f t="shared" si="486"/>
        <v>43</v>
      </c>
      <c r="X1613" s="127" t="str">
        <f t="shared" si="484"/>
        <v/>
      </c>
      <c r="Y1613" s="207">
        <f t="shared" si="487"/>
        <v>43</v>
      </c>
      <c r="Z1613" s="139">
        <f t="shared" si="488"/>
        <v>43</v>
      </c>
      <c r="AA1613" s="139">
        <f t="shared" si="489"/>
        <v>0</v>
      </c>
      <c r="AC1613" s="47">
        <f t="shared" si="490"/>
        <v>22</v>
      </c>
      <c r="AD1613" s="47">
        <f t="shared" si="491"/>
        <v>22</v>
      </c>
      <c r="AE1613" s="47">
        <f t="shared" si="492"/>
        <v>0</v>
      </c>
      <c r="AG1613" s="47">
        <f t="shared" si="493"/>
        <v>21</v>
      </c>
      <c r="AH1613" s="47">
        <f t="shared" si="494"/>
        <v>21</v>
      </c>
      <c r="AI1613" s="208">
        <f t="shared" si="495"/>
        <v>0</v>
      </c>
    </row>
    <row r="1614" spans="1:35">
      <c r="A1614" t="s">
        <v>2136</v>
      </c>
      <c r="B1614" t="s">
        <v>3155</v>
      </c>
      <c r="C1614" t="s">
        <v>2847</v>
      </c>
      <c r="D1614" t="s">
        <v>5038</v>
      </c>
      <c r="F1614" t="s">
        <v>1233</v>
      </c>
      <c r="G1614" s="126">
        <f>SUMIFS('Support - Transition'!F:F,'Support - Transition'!B:B,'Step 2'!A1614,'Support - Transition'!C:C,'Step 2'!B1614,'Support - Transition'!D:D,'Step 2'!C1614,'Support - Transition'!E:E,"CIVIL")</f>
        <v>0</v>
      </c>
      <c r="H1614" s="126">
        <f>SUMIFS('Support - Transition'!F:F,'Support - Transition'!B:B,'Step 2'!A1614,'Support - Transition'!C:C,'Step 2'!B1614,'Support - Transition'!D:D,'Step 2'!C1614,'Support - Transition'!E:E,"FIRE")</f>
        <v>0</v>
      </c>
      <c r="I1614" s="126">
        <f>IF(B1614="0",SUMIFS('Support - Transition'!F:F,'Support - Transition'!J:J,'Step 2'!D1614,'Support - Transition'!E:E,"STATE UNIT"),SUMIFS('Support - Transition'!F:F,'Support - Transition'!J:J,'Step 2'!D1614))</f>
        <v>1.01E-4</v>
      </c>
      <c r="J1614" s="126">
        <f>SUMIFS('Support - Unit Adjustments'!E:E,'Support - Unit Adjustments'!F:F,'Step 2'!D1614)</f>
        <v>0</v>
      </c>
      <c r="K1614" s="126">
        <f t="shared" si="479"/>
        <v>1.01E-4</v>
      </c>
      <c r="L1614" s="174">
        <f>VLOOKUP(A1614,'Step 1'!$A:$E,4,FALSE)</f>
        <v>244256</v>
      </c>
      <c r="M1614" s="47">
        <f t="shared" si="480"/>
        <v>25</v>
      </c>
      <c r="N1614" s="177">
        <f>SUMIFS('Support - Transition'!G:G,'Support - Transition'!J:J,'Step 2'!D1614,'Support - Transition'!E:E,"2009 WELFARE ALLOCATION FACTOR")</f>
        <v>0</v>
      </c>
      <c r="O1614" s="152">
        <f t="shared" si="485"/>
        <v>0</v>
      </c>
      <c r="P1614" s="126">
        <f>IF(E1614="Y",0,SUMIFS('Support - Transition'!G:G,'Support - Transition'!J:J,'Step 2'!D1614,'Support - Transition'!E:E,"2009 SCHOOL ALLOCATION FACTOR"))</f>
        <v>0</v>
      </c>
      <c r="Q1614" s="126">
        <f>IF(E1614="Y",VLOOKUP(D1614,'Support - Unit Adjustments'!F:G,2,FALSE),0)</f>
        <v>0</v>
      </c>
      <c r="R1614" s="155">
        <f t="shared" si="497"/>
        <v>0</v>
      </c>
      <c r="S1614" s="47">
        <f t="shared" si="496"/>
        <v>0</v>
      </c>
      <c r="T1614" s="151">
        <f t="shared" si="481"/>
        <v>25</v>
      </c>
      <c r="U1614" s="151">
        <f t="shared" si="482"/>
        <v>0</v>
      </c>
      <c r="V1614" s="139">
        <f t="shared" si="483"/>
        <v>0</v>
      </c>
      <c r="W1614" s="152">
        <f t="shared" si="486"/>
        <v>25</v>
      </c>
      <c r="X1614" s="127" t="str">
        <f t="shared" si="484"/>
        <v/>
      </c>
      <c r="Y1614" s="207">
        <f t="shared" si="487"/>
        <v>25</v>
      </c>
      <c r="Z1614" s="139">
        <f t="shared" si="488"/>
        <v>25</v>
      </c>
      <c r="AA1614" s="139">
        <f t="shared" si="489"/>
        <v>0</v>
      </c>
      <c r="AC1614" s="47">
        <f t="shared" si="490"/>
        <v>13</v>
      </c>
      <c r="AD1614" s="47">
        <f t="shared" si="491"/>
        <v>13</v>
      </c>
      <c r="AE1614" s="47">
        <f t="shared" si="492"/>
        <v>0</v>
      </c>
      <c r="AG1614" s="47">
        <f t="shared" si="493"/>
        <v>12</v>
      </c>
      <c r="AH1614" s="47">
        <f t="shared" si="494"/>
        <v>12</v>
      </c>
      <c r="AI1614" s="208">
        <f t="shared" si="495"/>
        <v>0</v>
      </c>
    </row>
    <row r="1615" spans="1:35">
      <c r="A1615" t="s">
        <v>2136</v>
      </c>
      <c r="B1615" t="s">
        <v>3160</v>
      </c>
      <c r="C1615" t="s">
        <v>2848</v>
      </c>
      <c r="D1615" t="s">
        <v>5039</v>
      </c>
      <c r="F1615" t="s">
        <v>5040</v>
      </c>
      <c r="G1615" s="126">
        <f>SUMIFS('Support - Transition'!F:F,'Support - Transition'!B:B,'Step 2'!A1615,'Support - Transition'!C:C,'Step 2'!B1615,'Support - Transition'!D:D,'Step 2'!C1615,'Support - Transition'!E:E,"CIVIL")</f>
        <v>0</v>
      </c>
      <c r="H1615" s="126">
        <f>SUMIFS('Support - Transition'!F:F,'Support - Transition'!B:B,'Step 2'!A1615,'Support - Transition'!C:C,'Step 2'!B1615,'Support - Transition'!D:D,'Step 2'!C1615,'Support - Transition'!E:E,"FIRE")</f>
        <v>0</v>
      </c>
      <c r="I1615" s="126">
        <f>IF(B1615="0",SUMIFS('Support - Transition'!F:F,'Support - Transition'!J:J,'Step 2'!D1615,'Support - Transition'!E:E,"STATE UNIT"),SUMIFS('Support - Transition'!F:F,'Support - Transition'!J:J,'Step 2'!D1615))</f>
        <v>0.171654</v>
      </c>
      <c r="J1615" s="126">
        <f>SUMIFS('Support - Unit Adjustments'!E:E,'Support - Unit Adjustments'!F:F,'Step 2'!D1615)</f>
        <v>0</v>
      </c>
      <c r="K1615" s="126">
        <f t="shared" si="479"/>
        <v>0.171654</v>
      </c>
      <c r="L1615" s="174">
        <f>VLOOKUP(A1615,'Step 1'!$A:$E,4,FALSE)</f>
        <v>244256</v>
      </c>
      <c r="M1615" s="47">
        <f t="shared" si="480"/>
        <v>41928</v>
      </c>
      <c r="N1615" s="177">
        <f>SUMIFS('Support - Transition'!G:G,'Support - Transition'!J:J,'Step 2'!D1615,'Support - Transition'!E:E,"2009 WELFARE ALLOCATION FACTOR")</f>
        <v>0</v>
      </c>
      <c r="O1615" s="152">
        <f t="shared" si="485"/>
        <v>0</v>
      </c>
      <c r="P1615" s="126">
        <f>IF(E1615="Y",0,SUMIFS('Support - Transition'!G:G,'Support - Transition'!J:J,'Step 2'!D1615,'Support - Transition'!E:E,"2009 SCHOOL ALLOCATION FACTOR"))</f>
        <v>0.66305099999999995</v>
      </c>
      <c r="Q1615" s="126">
        <f>IF(E1615="Y",VLOOKUP(D1615,'Support - Unit Adjustments'!F:G,2,FALSE),0)</f>
        <v>0</v>
      </c>
      <c r="R1615" s="155">
        <f t="shared" si="497"/>
        <v>0.66305099999999995</v>
      </c>
      <c r="S1615" s="47">
        <f t="shared" si="496"/>
        <v>27800</v>
      </c>
      <c r="T1615" s="151">
        <f t="shared" si="481"/>
        <v>14128</v>
      </c>
      <c r="U1615" s="151">
        <f t="shared" si="482"/>
        <v>0</v>
      </c>
      <c r="V1615" s="139">
        <f t="shared" si="483"/>
        <v>0</v>
      </c>
      <c r="W1615" s="152">
        <f t="shared" si="486"/>
        <v>14128</v>
      </c>
      <c r="X1615" s="127" t="str">
        <f t="shared" si="484"/>
        <v/>
      </c>
      <c r="Y1615" s="207">
        <f t="shared" si="487"/>
        <v>14128</v>
      </c>
      <c r="Z1615" s="139">
        <f t="shared" si="488"/>
        <v>14128</v>
      </c>
      <c r="AA1615" s="139">
        <f t="shared" si="489"/>
        <v>0</v>
      </c>
      <c r="AC1615" s="47">
        <f t="shared" si="490"/>
        <v>7064</v>
      </c>
      <c r="AD1615" s="47">
        <f t="shared" si="491"/>
        <v>7064</v>
      </c>
      <c r="AE1615" s="47">
        <f t="shared" si="492"/>
        <v>0</v>
      </c>
      <c r="AG1615" s="47">
        <f t="shared" si="493"/>
        <v>7064</v>
      </c>
      <c r="AH1615" s="47">
        <f t="shared" si="494"/>
        <v>7064</v>
      </c>
      <c r="AI1615" s="208">
        <f t="shared" si="495"/>
        <v>0</v>
      </c>
    </row>
    <row r="1616" spans="1:35">
      <c r="A1616" t="s">
        <v>2136</v>
      </c>
      <c r="B1616" t="s">
        <v>3160</v>
      </c>
      <c r="C1616" t="s">
        <v>2849</v>
      </c>
      <c r="D1616" t="s">
        <v>5041</v>
      </c>
      <c r="F1616" t="s">
        <v>5042</v>
      </c>
      <c r="G1616" s="126">
        <f>SUMIFS('Support - Transition'!F:F,'Support - Transition'!B:B,'Step 2'!A1616,'Support - Transition'!C:C,'Step 2'!B1616,'Support - Transition'!D:D,'Step 2'!C1616,'Support - Transition'!E:E,"CIVIL")</f>
        <v>0</v>
      </c>
      <c r="H1616" s="126">
        <f>SUMIFS('Support - Transition'!F:F,'Support - Transition'!B:B,'Step 2'!A1616,'Support - Transition'!C:C,'Step 2'!B1616,'Support - Transition'!D:D,'Step 2'!C1616,'Support - Transition'!E:E,"FIRE")</f>
        <v>0</v>
      </c>
      <c r="I1616" s="126">
        <f>IF(B1616="0",SUMIFS('Support - Transition'!F:F,'Support - Transition'!J:J,'Step 2'!D1616,'Support - Transition'!E:E,"STATE UNIT"),SUMIFS('Support - Transition'!F:F,'Support - Transition'!J:J,'Step 2'!D1616))</f>
        <v>0.14373</v>
      </c>
      <c r="J1616" s="126">
        <f>SUMIFS('Support - Unit Adjustments'!E:E,'Support - Unit Adjustments'!F:F,'Step 2'!D1616)</f>
        <v>0</v>
      </c>
      <c r="K1616" s="126">
        <f t="shared" si="479"/>
        <v>0.14373</v>
      </c>
      <c r="L1616" s="174">
        <f>VLOOKUP(A1616,'Step 1'!$A:$E,4,FALSE)</f>
        <v>244256</v>
      </c>
      <c r="M1616" s="47">
        <f t="shared" si="480"/>
        <v>35107</v>
      </c>
      <c r="N1616" s="177">
        <f>SUMIFS('Support - Transition'!G:G,'Support - Transition'!J:J,'Step 2'!D1616,'Support - Transition'!E:E,"2009 WELFARE ALLOCATION FACTOR")</f>
        <v>0</v>
      </c>
      <c r="O1616" s="152">
        <f t="shared" si="485"/>
        <v>0</v>
      </c>
      <c r="P1616" s="126">
        <f>IF(E1616="Y",0,SUMIFS('Support - Transition'!G:G,'Support - Transition'!J:J,'Step 2'!D1616,'Support - Transition'!E:E,"2009 SCHOOL ALLOCATION FACTOR"))</f>
        <v>0.45907700000000001</v>
      </c>
      <c r="Q1616" s="126">
        <f>IF(E1616="Y",VLOOKUP(D1616,'Support - Unit Adjustments'!F:G,2,FALSE),0)</f>
        <v>0</v>
      </c>
      <c r="R1616" s="155">
        <f t="shared" si="497"/>
        <v>0.45907700000000001</v>
      </c>
      <c r="S1616" s="47">
        <f t="shared" si="496"/>
        <v>16117</v>
      </c>
      <c r="T1616" s="151">
        <f t="shared" si="481"/>
        <v>18990</v>
      </c>
      <c r="U1616" s="151">
        <f t="shared" si="482"/>
        <v>0</v>
      </c>
      <c r="V1616" s="139">
        <f t="shared" si="483"/>
        <v>0</v>
      </c>
      <c r="W1616" s="152">
        <f t="shared" si="486"/>
        <v>18990</v>
      </c>
      <c r="X1616" s="127" t="str">
        <f t="shared" si="484"/>
        <v/>
      </c>
      <c r="Y1616" s="207">
        <f t="shared" si="487"/>
        <v>18990</v>
      </c>
      <c r="Z1616" s="139">
        <f t="shared" si="488"/>
        <v>18990</v>
      </c>
      <c r="AA1616" s="139">
        <f t="shared" si="489"/>
        <v>0</v>
      </c>
      <c r="AC1616" s="47">
        <f t="shared" si="490"/>
        <v>9495</v>
      </c>
      <c r="AD1616" s="47">
        <f t="shared" si="491"/>
        <v>9495</v>
      </c>
      <c r="AE1616" s="47">
        <f t="shared" si="492"/>
        <v>0</v>
      </c>
      <c r="AG1616" s="47">
        <f t="shared" si="493"/>
        <v>9495</v>
      </c>
      <c r="AH1616" s="47">
        <f t="shared" si="494"/>
        <v>9495</v>
      </c>
      <c r="AI1616" s="208">
        <f t="shared" si="495"/>
        <v>0</v>
      </c>
    </row>
    <row r="1617" spans="1:35">
      <c r="A1617" t="s">
        <v>2136</v>
      </c>
      <c r="B1617" t="s">
        <v>3160</v>
      </c>
      <c r="C1617" t="s">
        <v>2488</v>
      </c>
      <c r="D1617" t="s">
        <v>5043</v>
      </c>
      <c r="F1617" t="s">
        <v>611</v>
      </c>
      <c r="G1617" s="126">
        <f>SUMIFS('Support - Transition'!F:F,'Support - Transition'!B:B,'Step 2'!A1617,'Support - Transition'!C:C,'Step 2'!B1617,'Support - Transition'!D:D,'Step 2'!C1617,'Support - Transition'!E:E,"CIVIL")</f>
        <v>0</v>
      </c>
      <c r="H1617" s="126">
        <f>SUMIFS('Support - Transition'!F:F,'Support - Transition'!B:B,'Step 2'!A1617,'Support - Transition'!C:C,'Step 2'!B1617,'Support - Transition'!D:D,'Step 2'!C1617,'Support - Transition'!E:E,"FIRE")</f>
        <v>0</v>
      </c>
      <c r="I1617" s="126">
        <f>IF(B1617="0",SUMIFS('Support - Transition'!F:F,'Support - Transition'!J:J,'Step 2'!D1617,'Support - Transition'!E:E,"STATE UNIT"),SUMIFS('Support - Transition'!F:F,'Support - Transition'!J:J,'Step 2'!D1617))</f>
        <v>5.2039000000000002E-2</v>
      </c>
      <c r="J1617" s="126">
        <f>SUMIFS('Support - Unit Adjustments'!E:E,'Support - Unit Adjustments'!F:F,'Step 2'!D1617)</f>
        <v>0</v>
      </c>
      <c r="K1617" s="126">
        <f t="shared" si="479"/>
        <v>5.2039000000000002E-2</v>
      </c>
      <c r="L1617" s="174">
        <f>VLOOKUP(A1617,'Step 1'!$A:$E,4,FALSE)</f>
        <v>244256</v>
      </c>
      <c r="M1617" s="47">
        <f t="shared" si="480"/>
        <v>12711</v>
      </c>
      <c r="N1617" s="177">
        <f>SUMIFS('Support - Transition'!G:G,'Support - Transition'!J:J,'Step 2'!D1617,'Support - Transition'!E:E,"2009 WELFARE ALLOCATION FACTOR")</f>
        <v>0</v>
      </c>
      <c r="O1617" s="152">
        <f t="shared" si="485"/>
        <v>0</v>
      </c>
      <c r="P1617" s="126">
        <f>IF(E1617="Y",0,SUMIFS('Support - Transition'!G:G,'Support - Transition'!J:J,'Step 2'!D1617,'Support - Transition'!E:E,"2009 SCHOOL ALLOCATION FACTOR"))</f>
        <v>0.415018</v>
      </c>
      <c r="Q1617" s="126">
        <f>IF(E1617="Y",VLOOKUP(D1617,'Support - Unit Adjustments'!F:G,2,FALSE),0)</f>
        <v>0</v>
      </c>
      <c r="R1617" s="155">
        <f t="shared" si="497"/>
        <v>0.415018</v>
      </c>
      <c r="S1617" s="47">
        <f t="shared" si="496"/>
        <v>5275</v>
      </c>
      <c r="T1617" s="151">
        <f t="shared" si="481"/>
        <v>7436</v>
      </c>
      <c r="U1617" s="151">
        <f t="shared" si="482"/>
        <v>0</v>
      </c>
      <c r="V1617" s="139">
        <f t="shared" si="483"/>
        <v>0</v>
      </c>
      <c r="W1617" s="152">
        <f t="shared" si="486"/>
        <v>7436</v>
      </c>
      <c r="X1617" s="127" t="str">
        <f t="shared" si="484"/>
        <v/>
      </c>
      <c r="Y1617" s="207">
        <f t="shared" si="487"/>
        <v>7436</v>
      </c>
      <c r="Z1617" s="139">
        <f t="shared" si="488"/>
        <v>7436</v>
      </c>
      <c r="AA1617" s="139">
        <f t="shared" si="489"/>
        <v>0</v>
      </c>
      <c r="AC1617" s="47">
        <f t="shared" si="490"/>
        <v>3718</v>
      </c>
      <c r="AD1617" s="47">
        <f t="shared" si="491"/>
        <v>3718</v>
      </c>
      <c r="AE1617" s="47">
        <f t="shared" si="492"/>
        <v>0</v>
      </c>
      <c r="AG1617" s="47">
        <f t="shared" si="493"/>
        <v>3718</v>
      </c>
      <c r="AH1617" s="47">
        <f t="shared" si="494"/>
        <v>3718</v>
      </c>
      <c r="AI1617" s="208">
        <f t="shared" si="495"/>
        <v>0</v>
      </c>
    </row>
    <row r="1618" spans="1:35">
      <c r="A1618" t="s">
        <v>2136</v>
      </c>
      <c r="B1618" t="s">
        <v>3160</v>
      </c>
      <c r="C1618" t="s">
        <v>2850</v>
      </c>
      <c r="D1618" t="s">
        <v>5044</v>
      </c>
      <c r="F1618" t="s">
        <v>1237</v>
      </c>
      <c r="G1618" s="126">
        <f>SUMIFS('Support - Transition'!F:F,'Support - Transition'!B:B,'Step 2'!A1618,'Support - Transition'!C:C,'Step 2'!B1618,'Support - Transition'!D:D,'Step 2'!C1618,'Support - Transition'!E:E,"CIVIL")</f>
        <v>0</v>
      </c>
      <c r="H1618" s="126">
        <f>SUMIFS('Support - Transition'!F:F,'Support - Transition'!B:B,'Step 2'!A1618,'Support - Transition'!C:C,'Step 2'!B1618,'Support - Transition'!D:D,'Step 2'!C1618,'Support - Transition'!E:E,"FIRE")</f>
        <v>0</v>
      </c>
      <c r="I1618" s="126">
        <f>IF(B1618="0",SUMIFS('Support - Transition'!F:F,'Support - Transition'!J:J,'Step 2'!D1618,'Support - Transition'!E:E,"STATE UNIT"),SUMIFS('Support - Transition'!F:F,'Support - Transition'!J:J,'Step 2'!D1618))</f>
        <v>0.26249800000000001</v>
      </c>
      <c r="J1618" s="126">
        <f>SUMIFS('Support - Unit Adjustments'!E:E,'Support - Unit Adjustments'!F:F,'Step 2'!D1618)</f>
        <v>0</v>
      </c>
      <c r="K1618" s="126">
        <f t="shared" si="479"/>
        <v>0.26249800000000001</v>
      </c>
      <c r="L1618" s="174">
        <f>VLOOKUP(A1618,'Step 1'!$A:$E,4,FALSE)</f>
        <v>244256</v>
      </c>
      <c r="M1618" s="47">
        <f t="shared" si="480"/>
        <v>64117</v>
      </c>
      <c r="N1618" s="177">
        <f>SUMIFS('Support - Transition'!G:G,'Support - Transition'!J:J,'Step 2'!D1618,'Support - Transition'!E:E,"2009 WELFARE ALLOCATION FACTOR")</f>
        <v>0</v>
      </c>
      <c r="O1618" s="152">
        <f t="shared" si="485"/>
        <v>0</v>
      </c>
      <c r="P1618" s="126">
        <f>IF(E1618="Y",0,SUMIFS('Support - Transition'!G:G,'Support - Transition'!J:J,'Step 2'!D1618,'Support - Transition'!E:E,"2009 SCHOOL ALLOCATION FACTOR"))</f>
        <v>0.38120900000000002</v>
      </c>
      <c r="Q1618" s="126">
        <f>IF(E1618="Y",VLOOKUP(D1618,'Support - Unit Adjustments'!F:G,2,FALSE),0)</f>
        <v>0</v>
      </c>
      <c r="R1618" s="155">
        <f t="shared" si="497"/>
        <v>0.38120900000000002</v>
      </c>
      <c r="S1618" s="47">
        <f t="shared" si="496"/>
        <v>24442</v>
      </c>
      <c r="T1618" s="151">
        <f t="shared" si="481"/>
        <v>39675</v>
      </c>
      <c r="U1618" s="151">
        <f t="shared" si="482"/>
        <v>0</v>
      </c>
      <c r="V1618" s="139">
        <f t="shared" si="483"/>
        <v>0</v>
      </c>
      <c r="W1618" s="152">
        <f t="shared" si="486"/>
        <v>39675</v>
      </c>
      <c r="X1618" s="127" t="str">
        <f t="shared" si="484"/>
        <v/>
      </c>
      <c r="Y1618" s="207">
        <f t="shared" si="487"/>
        <v>39675</v>
      </c>
      <c r="Z1618" s="139">
        <f t="shared" si="488"/>
        <v>39675</v>
      </c>
      <c r="AA1618" s="139">
        <f t="shared" si="489"/>
        <v>0</v>
      </c>
      <c r="AC1618" s="47">
        <f t="shared" si="490"/>
        <v>19838</v>
      </c>
      <c r="AD1618" s="47">
        <f t="shared" si="491"/>
        <v>19838</v>
      </c>
      <c r="AE1618" s="47">
        <f t="shared" si="492"/>
        <v>0</v>
      </c>
      <c r="AG1618" s="47">
        <f t="shared" si="493"/>
        <v>19837</v>
      </c>
      <c r="AH1618" s="47">
        <f t="shared" si="494"/>
        <v>19837</v>
      </c>
      <c r="AI1618" s="208">
        <f t="shared" si="495"/>
        <v>0</v>
      </c>
    </row>
    <row r="1619" spans="1:35">
      <c r="A1619" t="s">
        <v>2136</v>
      </c>
      <c r="B1619" t="s">
        <v>3166</v>
      </c>
      <c r="C1619" t="s">
        <v>2495</v>
      </c>
      <c r="D1619" t="s">
        <v>5045</v>
      </c>
      <c r="F1619" t="s">
        <v>1238</v>
      </c>
      <c r="G1619" s="126">
        <f>SUMIFS('Support - Transition'!F:F,'Support - Transition'!B:B,'Step 2'!A1619,'Support - Transition'!C:C,'Step 2'!B1619,'Support - Transition'!D:D,'Step 2'!C1619,'Support - Transition'!E:E,"CIVIL")</f>
        <v>0</v>
      </c>
      <c r="H1619" s="126">
        <f>SUMIFS('Support - Transition'!F:F,'Support - Transition'!B:B,'Step 2'!A1619,'Support - Transition'!C:C,'Step 2'!B1619,'Support - Transition'!D:D,'Step 2'!C1619,'Support - Transition'!E:E,"FIRE")</f>
        <v>0</v>
      </c>
      <c r="I1619" s="126">
        <f>IF(B1619="0",SUMIFS('Support - Transition'!F:F,'Support - Transition'!J:J,'Step 2'!D1619,'Support - Transition'!E:E,"STATE UNIT"),SUMIFS('Support - Transition'!F:F,'Support - Transition'!J:J,'Step 2'!D1619))</f>
        <v>3.313E-3</v>
      </c>
      <c r="J1619" s="126">
        <f>SUMIFS('Support - Unit Adjustments'!E:E,'Support - Unit Adjustments'!F:F,'Step 2'!D1619)</f>
        <v>0</v>
      </c>
      <c r="K1619" s="126">
        <f t="shared" si="479"/>
        <v>3.313E-3</v>
      </c>
      <c r="L1619" s="174">
        <f>VLOOKUP(A1619,'Step 1'!$A:$E,4,FALSE)</f>
        <v>244256</v>
      </c>
      <c r="M1619" s="47">
        <f t="shared" si="480"/>
        <v>809</v>
      </c>
      <c r="N1619" s="177">
        <f>SUMIFS('Support - Transition'!G:G,'Support - Transition'!J:J,'Step 2'!D1619,'Support - Transition'!E:E,"2009 WELFARE ALLOCATION FACTOR")</f>
        <v>0</v>
      </c>
      <c r="O1619" s="152">
        <f t="shared" si="485"/>
        <v>0</v>
      </c>
      <c r="P1619" s="126">
        <f>IF(E1619="Y",0,SUMIFS('Support - Transition'!G:G,'Support - Transition'!J:J,'Step 2'!D1619,'Support - Transition'!E:E,"2009 SCHOOL ALLOCATION FACTOR"))</f>
        <v>0</v>
      </c>
      <c r="Q1619" s="126">
        <f>IF(E1619="Y",VLOOKUP(D1619,'Support - Unit Adjustments'!F:G,2,FALSE),0)</f>
        <v>0</v>
      </c>
      <c r="R1619" s="155">
        <f t="shared" si="497"/>
        <v>0</v>
      </c>
      <c r="S1619" s="47">
        <f t="shared" si="496"/>
        <v>0</v>
      </c>
      <c r="T1619" s="151">
        <f t="shared" si="481"/>
        <v>809</v>
      </c>
      <c r="U1619" s="151">
        <f t="shared" si="482"/>
        <v>0</v>
      </c>
      <c r="V1619" s="139">
        <f t="shared" si="483"/>
        <v>0</v>
      </c>
      <c r="W1619" s="152">
        <f t="shared" si="486"/>
        <v>809</v>
      </c>
      <c r="X1619" s="127" t="str">
        <f t="shared" si="484"/>
        <v/>
      </c>
      <c r="Y1619" s="207">
        <f t="shared" si="487"/>
        <v>809</v>
      </c>
      <c r="Z1619" s="139">
        <f t="shared" si="488"/>
        <v>809</v>
      </c>
      <c r="AA1619" s="139">
        <f t="shared" si="489"/>
        <v>0</v>
      </c>
      <c r="AC1619" s="47">
        <f t="shared" si="490"/>
        <v>405</v>
      </c>
      <c r="AD1619" s="47">
        <f t="shared" si="491"/>
        <v>405</v>
      </c>
      <c r="AE1619" s="47">
        <f t="shared" si="492"/>
        <v>0</v>
      </c>
      <c r="AG1619" s="47">
        <f t="shared" si="493"/>
        <v>404</v>
      </c>
      <c r="AH1619" s="47">
        <f t="shared" si="494"/>
        <v>404</v>
      </c>
      <c r="AI1619" s="208">
        <f t="shared" si="495"/>
        <v>0</v>
      </c>
    </row>
    <row r="1620" spans="1:35">
      <c r="A1620" t="s">
        <v>2136</v>
      </c>
      <c r="B1620" t="s">
        <v>3166</v>
      </c>
      <c r="C1620" t="s">
        <v>2851</v>
      </c>
      <c r="D1620" t="s">
        <v>5046</v>
      </c>
      <c r="F1620" t="s">
        <v>1239</v>
      </c>
      <c r="G1620" s="126">
        <f>SUMIFS('Support - Transition'!F:F,'Support - Transition'!B:B,'Step 2'!A1620,'Support - Transition'!C:C,'Step 2'!B1620,'Support - Transition'!D:D,'Step 2'!C1620,'Support - Transition'!E:E,"CIVIL")</f>
        <v>0</v>
      </c>
      <c r="H1620" s="126">
        <f>SUMIFS('Support - Transition'!F:F,'Support - Transition'!B:B,'Step 2'!A1620,'Support - Transition'!C:C,'Step 2'!B1620,'Support - Transition'!D:D,'Step 2'!C1620,'Support - Transition'!E:E,"FIRE")</f>
        <v>0</v>
      </c>
      <c r="I1620" s="126">
        <f>IF(B1620="0",SUMIFS('Support - Transition'!F:F,'Support - Transition'!J:J,'Step 2'!D1620,'Support - Transition'!E:E,"STATE UNIT"),SUMIFS('Support - Transition'!F:F,'Support - Transition'!J:J,'Step 2'!D1620))</f>
        <v>6.2020000000000408E-3</v>
      </c>
      <c r="J1620" s="126">
        <f>SUMIFS('Support - Unit Adjustments'!E:E,'Support - Unit Adjustments'!F:F,'Step 2'!D1620)</f>
        <v>0</v>
      </c>
      <c r="K1620" s="126">
        <f t="shared" si="479"/>
        <v>6.2020000000000408E-3</v>
      </c>
      <c r="L1620" s="174">
        <f>VLOOKUP(A1620,'Step 1'!$A:$E,4,FALSE)</f>
        <v>244256</v>
      </c>
      <c r="M1620" s="47">
        <f t="shared" si="480"/>
        <v>1515</v>
      </c>
      <c r="N1620" s="177">
        <f>SUMIFS('Support - Transition'!G:G,'Support - Transition'!J:J,'Step 2'!D1620,'Support - Transition'!E:E,"2009 WELFARE ALLOCATION FACTOR")</f>
        <v>0</v>
      </c>
      <c r="O1620" s="152">
        <f t="shared" si="485"/>
        <v>0</v>
      </c>
      <c r="P1620" s="126">
        <f>IF(E1620="Y",0,SUMIFS('Support - Transition'!G:G,'Support - Transition'!J:J,'Step 2'!D1620,'Support - Transition'!E:E,"2009 SCHOOL ALLOCATION FACTOR"))</f>
        <v>0</v>
      </c>
      <c r="Q1620" s="126">
        <f>IF(E1620="Y",VLOOKUP(D1620,'Support - Unit Adjustments'!F:G,2,FALSE),0)</f>
        <v>0</v>
      </c>
      <c r="R1620" s="155">
        <f t="shared" si="497"/>
        <v>0</v>
      </c>
      <c r="S1620" s="47">
        <f t="shared" si="496"/>
        <v>0</v>
      </c>
      <c r="T1620" s="151">
        <f t="shared" si="481"/>
        <v>1515</v>
      </c>
      <c r="U1620" s="151">
        <f t="shared" si="482"/>
        <v>0</v>
      </c>
      <c r="V1620" s="139">
        <f t="shared" si="483"/>
        <v>0</v>
      </c>
      <c r="W1620" s="152">
        <f t="shared" si="486"/>
        <v>1515</v>
      </c>
      <c r="X1620" s="127" t="str">
        <f t="shared" si="484"/>
        <v/>
      </c>
      <c r="Y1620" s="207">
        <f t="shared" si="487"/>
        <v>1515</v>
      </c>
      <c r="Z1620" s="139">
        <f t="shared" si="488"/>
        <v>1515</v>
      </c>
      <c r="AA1620" s="139">
        <f t="shared" si="489"/>
        <v>0</v>
      </c>
      <c r="AC1620" s="47">
        <f t="shared" si="490"/>
        <v>758</v>
      </c>
      <c r="AD1620" s="47">
        <f t="shared" si="491"/>
        <v>758</v>
      </c>
      <c r="AE1620" s="47">
        <f t="shared" si="492"/>
        <v>0</v>
      </c>
      <c r="AG1620" s="47">
        <f t="shared" si="493"/>
        <v>757</v>
      </c>
      <c r="AH1620" s="47">
        <f t="shared" si="494"/>
        <v>757</v>
      </c>
      <c r="AI1620" s="208">
        <f t="shared" si="495"/>
        <v>0</v>
      </c>
    </row>
    <row r="1621" spans="1:35">
      <c r="A1621" t="s">
        <v>2136</v>
      </c>
      <c r="B1621" t="s">
        <v>3170</v>
      </c>
      <c r="C1621" t="s">
        <v>5047</v>
      </c>
      <c r="D1621" t="s">
        <v>5048</v>
      </c>
      <c r="F1621" t="s">
        <v>1240</v>
      </c>
      <c r="G1621" s="126">
        <f>SUMIFS('Support - Transition'!F:F,'Support - Transition'!B:B,'Step 2'!A1621,'Support - Transition'!C:C,'Step 2'!B1621,'Support - Transition'!D:D,'Step 2'!C1621,'Support - Transition'!E:E,"CIVIL")</f>
        <v>0</v>
      </c>
      <c r="H1621" s="126">
        <f>SUMIFS('Support - Transition'!F:F,'Support - Transition'!B:B,'Step 2'!A1621,'Support - Transition'!C:C,'Step 2'!B1621,'Support - Transition'!D:D,'Step 2'!C1621,'Support - Transition'!E:E,"FIRE")</f>
        <v>0</v>
      </c>
      <c r="I1621" s="126">
        <f>IF(B1621="0",SUMIFS('Support - Transition'!F:F,'Support - Transition'!J:J,'Step 2'!D1621,'Support - Transition'!E:E,"STATE UNIT"),SUMIFS('Support - Transition'!F:F,'Support - Transition'!J:J,'Step 2'!D1621))</f>
        <v>0</v>
      </c>
      <c r="J1621" s="126">
        <f>SUMIFS('Support - Unit Adjustments'!E:E,'Support - Unit Adjustments'!F:F,'Step 2'!D1621)</f>
        <v>0</v>
      </c>
      <c r="K1621" s="126">
        <f t="shared" si="479"/>
        <v>0</v>
      </c>
      <c r="L1621" s="174">
        <f>VLOOKUP(A1621,'Step 1'!$A:$E,4,FALSE)</f>
        <v>244256</v>
      </c>
      <c r="M1621" s="47">
        <f t="shared" si="480"/>
        <v>0</v>
      </c>
      <c r="N1621" s="177">
        <f>SUMIFS('Support - Transition'!G:G,'Support - Transition'!J:J,'Step 2'!D1621,'Support - Transition'!E:E,"2009 WELFARE ALLOCATION FACTOR")</f>
        <v>0</v>
      </c>
      <c r="O1621" s="152">
        <f t="shared" si="485"/>
        <v>0</v>
      </c>
      <c r="P1621" s="126">
        <f>IF(E1621="Y",0,SUMIFS('Support - Transition'!G:G,'Support - Transition'!J:J,'Step 2'!D1621,'Support - Transition'!E:E,"2009 SCHOOL ALLOCATION FACTOR"))</f>
        <v>0</v>
      </c>
      <c r="Q1621" s="126">
        <f>IF(E1621="Y",VLOOKUP(D1621,'Support - Unit Adjustments'!F:G,2,FALSE),0)</f>
        <v>0</v>
      </c>
      <c r="R1621" s="155">
        <f t="shared" si="497"/>
        <v>0</v>
      </c>
      <c r="S1621" s="47">
        <f t="shared" si="496"/>
        <v>0</v>
      </c>
      <c r="T1621" s="151">
        <f t="shared" si="481"/>
        <v>0</v>
      </c>
      <c r="U1621" s="151">
        <f t="shared" si="482"/>
        <v>0</v>
      </c>
      <c r="V1621" s="139">
        <f t="shared" si="483"/>
        <v>0</v>
      </c>
      <c r="W1621" s="152">
        <f t="shared" si="486"/>
        <v>0</v>
      </c>
      <c r="X1621" s="127" t="str">
        <f t="shared" si="484"/>
        <v/>
      </c>
      <c r="Y1621" s="207">
        <f t="shared" si="487"/>
        <v>0</v>
      </c>
      <c r="Z1621" s="139">
        <f t="shared" si="488"/>
        <v>0</v>
      </c>
      <c r="AA1621" s="139">
        <f t="shared" si="489"/>
        <v>0</v>
      </c>
      <c r="AC1621" s="47">
        <f t="shared" si="490"/>
        <v>0</v>
      </c>
      <c r="AD1621" s="47">
        <f t="shared" si="491"/>
        <v>0</v>
      </c>
      <c r="AE1621" s="47">
        <f t="shared" si="492"/>
        <v>0</v>
      </c>
      <c r="AG1621" s="47">
        <f t="shared" si="493"/>
        <v>0</v>
      </c>
      <c r="AH1621" s="47">
        <f t="shared" si="494"/>
        <v>0</v>
      </c>
      <c r="AI1621" s="208">
        <f t="shared" si="495"/>
        <v>0</v>
      </c>
    </row>
    <row r="1622" spans="1:35">
      <c r="A1622" t="s">
        <v>2137</v>
      </c>
      <c r="B1622" s="48" t="s">
        <v>6274</v>
      </c>
      <c r="C1622" t="s">
        <v>2187</v>
      </c>
      <c r="D1622" t="str">
        <f>A1622&amp;B1622&amp;C1622</f>
        <v>5300000</v>
      </c>
      <c r="F1622" t="s">
        <v>6327</v>
      </c>
      <c r="G1622" s="126">
        <f>SUMIFS('Support - Transition'!F:F,'Support - Transition'!B:B,'Step 2'!A1622,'Support - Transition'!C:C,'Step 2'!B1622,'Support - Transition'!D:D,'Step 2'!C1622,'Support - Transition'!E:E,"CIVIL")</f>
        <v>0</v>
      </c>
      <c r="H1622" s="126">
        <f>SUMIFS('Support - Transition'!F:F,'Support - Transition'!B:B,'Step 2'!A1622,'Support - Transition'!C:C,'Step 2'!B1622,'Support - Transition'!D:D,'Step 2'!C1622,'Support - Transition'!E:E,"FIRE")</f>
        <v>0</v>
      </c>
      <c r="I1622" s="126">
        <f>IF(B1622="0",SUMIFS('Support - Transition'!F:F,'Support - Transition'!J:J,'Step 2'!D1622,'Support - Transition'!E:E,"STATE UNIT"),SUMIFS('Support - Transition'!F:F,'Support - Transition'!J:J,'Step 2'!D1622))</f>
        <v>1.109E-3</v>
      </c>
      <c r="J1622" s="126">
        <f>SUMIFS('Support - Unit Adjustments'!E:E,'Support - Unit Adjustments'!F:F,'Step 2'!D1622)</f>
        <v>0</v>
      </c>
      <c r="K1622" s="126">
        <f t="shared" si="479"/>
        <v>1.109E-3</v>
      </c>
      <c r="L1622" s="174">
        <f>VLOOKUP(A1622,'Step 1'!$A:$E,4,FALSE)</f>
        <v>934087</v>
      </c>
      <c r="M1622" s="47">
        <f t="shared" si="480"/>
        <v>1036</v>
      </c>
      <c r="N1622" s="177">
        <f>SUMIFS('Support - Transition'!G:G,'Support - Transition'!J:J,'Step 2'!D1622,'Support - Transition'!E:E,"2009 WELFARE ALLOCATION FACTOR")</f>
        <v>0</v>
      </c>
      <c r="O1622" s="152">
        <f t="shared" si="485"/>
        <v>0</v>
      </c>
      <c r="P1622" s="126">
        <f>IF(E1622="Y",0,SUMIFS('Support - Transition'!G:G,'Support - Transition'!J:J,'Step 2'!D1622,'Support - Transition'!E:E,"2009 SCHOOL ALLOCATION FACTOR"))</f>
        <v>0</v>
      </c>
      <c r="Q1622" s="126">
        <f>IF(E1622="Y",VLOOKUP(D1622,'Support - Unit Adjustments'!F:G,2,FALSE),0)</f>
        <v>0</v>
      </c>
      <c r="R1622" s="155">
        <f t="shared" si="497"/>
        <v>0</v>
      </c>
      <c r="S1622" s="47">
        <f t="shared" si="496"/>
        <v>0</v>
      </c>
      <c r="T1622" s="151">
        <f t="shared" si="481"/>
        <v>1036</v>
      </c>
      <c r="U1622" s="151">
        <f t="shared" si="482"/>
        <v>934088</v>
      </c>
      <c r="V1622" s="139">
        <f t="shared" si="483"/>
        <v>1</v>
      </c>
      <c r="W1622" s="152">
        <f t="shared" si="486"/>
        <v>1035</v>
      </c>
      <c r="X1622" s="127">
        <f t="shared" si="484"/>
        <v>0</v>
      </c>
      <c r="Y1622" s="207">
        <f t="shared" si="487"/>
        <v>1035</v>
      </c>
      <c r="Z1622" s="139">
        <f t="shared" si="488"/>
        <v>1035</v>
      </c>
      <c r="AA1622" s="139">
        <f t="shared" si="489"/>
        <v>0</v>
      </c>
      <c r="AC1622" s="47">
        <f t="shared" si="490"/>
        <v>518</v>
      </c>
      <c r="AD1622" s="47">
        <f t="shared" si="491"/>
        <v>518</v>
      </c>
      <c r="AE1622" s="47">
        <f t="shared" si="492"/>
        <v>0</v>
      </c>
      <c r="AG1622" s="47">
        <f t="shared" si="493"/>
        <v>517</v>
      </c>
      <c r="AH1622" s="47">
        <f t="shared" si="494"/>
        <v>517</v>
      </c>
      <c r="AI1622" s="208">
        <f t="shared" si="495"/>
        <v>0</v>
      </c>
    </row>
    <row r="1623" spans="1:35">
      <c r="A1623" t="s">
        <v>2137</v>
      </c>
      <c r="B1623" t="s">
        <v>3140</v>
      </c>
      <c r="C1623" t="s">
        <v>2187</v>
      </c>
      <c r="D1623" t="s">
        <v>5049</v>
      </c>
      <c r="F1623" t="s">
        <v>1242</v>
      </c>
      <c r="G1623" s="126">
        <f>SUMIFS('Support - Transition'!F:F,'Support - Transition'!B:B,'Step 2'!A1623,'Support - Transition'!C:C,'Step 2'!B1623,'Support - Transition'!D:D,'Step 2'!C1623,'Support - Transition'!E:E,"CIVIL")</f>
        <v>0</v>
      </c>
      <c r="H1623" s="126">
        <f>SUMIFS('Support - Transition'!F:F,'Support - Transition'!B:B,'Step 2'!A1623,'Support - Transition'!C:C,'Step 2'!B1623,'Support - Transition'!D:D,'Step 2'!C1623,'Support - Transition'!E:E,"FIRE")</f>
        <v>0</v>
      </c>
      <c r="I1623" s="126">
        <f>IF(B1623="0",SUMIFS('Support - Transition'!F:F,'Support - Transition'!J:J,'Step 2'!D1623,'Support - Transition'!E:E,"STATE UNIT"),SUMIFS('Support - Transition'!F:F,'Support - Transition'!J:J,'Step 2'!D1623))</f>
        <v>0.22822700000000001</v>
      </c>
      <c r="J1623" s="126">
        <f>SUMIFS('Support - Unit Adjustments'!E:E,'Support - Unit Adjustments'!F:F,'Step 2'!D1623)</f>
        <v>0</v>
      </c>
      <c r="K1623" s="126">
        <f t="shared" si="479"/>
        <v>0.22822700000000001</v>
      </c>
      <c r="L1623" s="174">
        <f>VLOOKUP(A1623,'Step 1'!$A:$E,4,FALSE)</f>
        <v>934087</v>
      </c>
      <c r="M1623" s="47">
        <f t="shared" si="480"/>
        <v>213184</v>
      </c>
      <c r="N1623" s="177">
        <f>SUMIFS('Support - Transition'!G:G,'Support - Transition'!J:J,'Step 2'!D1623,'Support - Transition'!E:E,"2009 WELFARE ALLOCATION FACTOR")</f>
        <v>0.28630299999999997</v>
      </c>
      <c r="O1623" s="152">
        <f t="shared" si="485"/>
        <v>61035</v>
      </c>
      <c r="P1623" s="126">
        <f>IF(E1623="Y",0,SUMIFS('Support - Transition'!G:G,'Support - Transition'!J:J,'Step 2'!D1623,'Support - Transition'!E:E,"2009 SCHOOL ALLOCATION FACTOR"))</f>
        <v>0</v>
      </c>
      <c r="Q1623" s="126">
        <f>IF(E1623="Y",VLOOKUP(D1623,'Support - Unit Adjustments'!F:G,2,FALSE),0)</f>
        <v>0</v>
      </c>
      <c r="R1623" s="155">
        <f t="shared" si="497"/>
        <v>0</v>
      </c>
      <c r="S1623" s="47">
        <f t="shared" si="496"/>
        <v>0</v>
      </c>
      <c r="T1623" s="151">
        <f t="shared" si="481"/>
        <v>152149</v>
      </c>
      <c r="U1623" s="151">
        <f t="shared" si="482"/>
        <v>0</v>
      </c>
      <c r="V1623" s="139">
        <f t="shared" si="483"/>
        <v>0</v>
      </c>
      <c r="W1623" s="152">
        <f t="shared" si="486"/>
        <v>152149</v>
      </c>
      <c r="X1623" s="127" t="str">
        <f t="shared" si="484"/>
        <v/>
      </c>
      <c r="Y1623" s="207">
        <f t="shared" si="487"/>
        <v>152149</v>
      </c>
      <c r="Z1623" s="139">
        <f t="shared" si="488"/>
        <v>152149</v>
      </c>
      <c r="AA1623" s="139">
        <f t="shared" si="489"/>
        <v>0</v>
      </c>
      <c r="AC1623" s="47">
        <f t="shared" si="490"/>
        <v>76075</v>
      </c>
      <c r="AD1623" s="47">
        <f t="shared" si="491"/>
        <v>76075</v>
      </c>
      <c r="AE1623" s="47">
        <f t="shared" si="492"/>
        <v>0</v>
      </c>
      <c r="AG1623" s="47">
        <f t="shared" si="493"/>
        <v>76074</v>
      </c>
      <c r="AH1623" s="47">
        <f t="shared" si="494"/>
        <v>76074</v>
      </c>
      <c r="AI1623" s="208">
        <f t="shared" si="495"/>
        <v>0</v>
      </c>
    </row>
    <row r="1624" spans="1:35">
      <c r="A1624" t="s">
        <v>2137</v>
      </c>
      <c r="B1624" t="s">
        <v>3142</v>
      </c>
      <c r="C1624" t="s">
        <v>2188</v>
      </c>
      <c r="D1624" t="s">
        <v>5050</v>
      </c>
      <c r="F1624" t="s">
        <v>1243</v>
      </c>
      <c r="G1624" s="126">
        <f>SUMIFS('Support - Transition'!F:F,'Support - Transition'!B:B,'Step 2'!A1624,'Support - Transition'!C:C,'Step 2'!B1624,'Support - Transition'!D:D,'Step 2'!C1624,'Support - Transition'!E:E,"CIVIL")</f>
        <v>2.33E-4</v>
      </c>
      <c r="H1624" s="126">
        <f>SUMIFS('Support - Transition'!F:F,'Support - Transition'!B:B,'Step 2'!A1624,'Support - Transition'!C:C,'Step 2'!B1624,'Support - Transition'!D:D,'Step 2'!C1624,'Support - Transition'!E:E,"FIRE")</f>
        <v>7.6000000000000004E-4</v>
      </c>
      <c r="I1624" s="126">
        <f>IF(B1624="0",SUMIFS('Support - Transition'!F:F,'Support - Transition'!J:J,'Step 2'!D1624,'Support - Transition'!E:E,"STATE UNIT"),SUMIFS('Support - Transition'!F:F,'Support - Transition'!J:J,'Step 2'!D1624))</f>
        <v>9.9299999999999996E-4</v>
      </c>
      <c r="J1624" s="126">
        <f>SUMIFS('Support - Unit Adjustments'!E:E,'Support - Unit Adjustments'!F:F,'Step 2'!D1624)</f>
        <v>0</v>
      </c>
      <c r="K1624" s="126">
        <f t="shared" si="479"/>
        <v>9.9299999999999996E-4</v>
      </c>
      <c r="L1624" s="174">
        <f>VLOOKUP(A1624,'Step 1'!$A:$E,4,FALSE)</f>
        <v>934087</v>
      </c>
      <c r="M1624" s="47">
        <f t="shared" si="480"/>
        <v>928</v>
      </c>
      <c r="N1624" s="177">
        <f>SUMIFS('Support - Transition'!G:G,'Support - Transition'!J:J,'Step 2'!D1624,'Support - Transition'!E:E,"2009 WELFARE ALLOCATION FACTOR")</f>
        <v>0</v>
      </c>
      <c r="O1624" s="152">
        <f t="shared" si="485"/>
        <v>0</v>
      </c>
      <c r="P1624" s="126">
        <f>IF(E1624="Y",0,SUMIFS('Support - Transition'!G:G,'Support - Transition'!J:J,'Step 2'!D1624,'Support - Transition'!E:E,"2009 SCHOOL ALLOCATION FACTOR"))</f>
        <v>0</v>
      </c>
      <c r="Q1624" s="126">
        <f>IF(E1624="Y",VLOOKUP(D1624,'Support - Unit Adjustments'!F:G,2,FALSE),0)</f>
        <v>0</v>
      </c>
      <c r="R1624" s="155">
        <f t="shared" si="497"/>
        <v>0</v>
      </c>
      <c r="S1624" s="47">
        <f t="shared" si="496"/>
        <v>0</v>
      </c>
      <c r="T1624" s="151">
        <f t="shared" si="481"/>
        <v>928</v>
      </c>
      <c r="U1624" s="151">
        <f t="shared" si="482"/>
        <v>0</v>
      </c>
      <c r="V1624" s="139">
        <f t="shared" si="483"/>
        <v>0</v>
      </c>
      <c r="W1624" s="152">
        <f t="shared" si="486"/>
        <v>928</v>
      </c>
      <c r="X1624" s="127" t="str">
        <f t="shared" si="484"/>
        <v/>
      </c>
      <c r="Y1624" s="207">
        <f t="shared" si="487"/>
        <v>928</v>
      </c>
      <c r="Z1624" s="139">
        <f t="shared" si="488"/>
        <v>218</v>
      </c>
      <c r="AA1624" s="139">
        <f t="shared" si="489"/>
        <v>710</v>
      </c>
      <c r="AC1624" s="47">
        <f t="shared" si="490"/>
        <v>464</v>
      </c>
      <c r="AD1624" s="47">
        <f t="shared" si="491"/>
        <v>109</v>
      </c>
      <c r="AE1624" s="47">
        <f t="shared" si="492"/>
        <v>355</v>
      </c>
      <c r="AG1624" s="47">
        <f t="shared" si="493"/>
        <v>464</v>
      </c>
      <c r="AH1624" s="47">
        <f t="shared" si="494"/>
        <v>109</v>
      </c>
      <c r="AI1624" s="208">
        <f t="shared" si="495"/>
        <v>355</v>
      </c>
    </row>
    <row r="1625" spans="1:35">
      <c r="A1625" t="s">
        <v>2137</v>
      </c>
      <c r="B1625" t="s">
        <v>3142</v>
      </c>
      <c r="C1625" t="s">
        <v>2189</v>
      </c>
      <c r="D1625" t="s">
        <v>5051</v>
      </c>
      <c r="F1625" t="s">
        <v>450</v>
      </c>
      <c r="G1625" s="126">
        <f>SUMIFS('Support - Transition'!F:F,'Support - Transition'!B:B,'Step 2'!A1625,'Support - Transition'!C:C,'Step 2'!B1625,'Support - Transition'!D:D,'Step 2'!C1625,'Support - Transition'!E:E,"CIVIL")</f>
        <v>1.1440000000000001E-3</v>
      </c>
      <c r="H1625" s="126">
        <f>SUMIFS('Support - Transition'!F:F,'Support - Transition'!B:B,'Step 2'!A1625,'Support - Transition'!C:C,'Step 2'!B1625,'Support - Transition'!D:D,'Step 2'!C1625,'Support - Transition'!E:E,"FIRE")</f>
        <v>1.003E-3</v>
      </c>
      <c r="I1625" s="126">
        <f>IF(B1625="0",SUMIFS('Support - Transition'!F:F,'Support - Transition'!J:J,'Step 2'!D1625,'Support - Transition'!E:E,"STATE UNIT"),SUMIFS('Support - Transition'!F:F,'Support - Transition'!J:J,'Step 2'!D1625))</f>
        <v>2.147E-3</v>
      </c>
      <c r="J1625" s="126">
        <f>SUMIFS('Support - Unit Adjustments'!E:E,'Support - Unit Adjustments'!F:F,'Step 2'!D1625)</f>
        <v>0</v>
      </c>
      <c r="K1625" s="126">
        <f t="shared" si="479"/>
        <v>2.147E-3</v>
      </c>
      <c r="L1625" s="174">
        <f>VLOOKUP(A1625,'Step 1'!$A:$E,4,FALSE)</f>
        <v>934087</v>
      </c>
      <c r="M1625" s="47">
        <f t="shared" si="480"/>
        <v>2005</v>
      </c>
      <c r="N1625" s="177">
        <f>SUMIFS('Support - Transition'!G:G,'Support - Transition'!J:J,'Step 2'!D1625,'Support - Transition'!E:E,"2009 WELFARE ALLOCATION FACTOR")</f>
        <v>0</v>
      </c>
      <c r="O1625" s="152">
        <f t="shared" si="485"/>
        <v>0</v>
      </c>
      <c r="P1625" s="126">
        <f>IF(E1625="Y",0,SUMIFS('Support - Transition'!G:G,'Support - Transition'!J:J,'Step 2'!D1625,'Support - Transition'!E:E,"2009 SCHOOL ALLOCATION FACTOR"))</f>
        <v>0</v>
      </c>
      <c r="Q1625" s="126">
        <f>IF(E1625="Y",VLOOKUP(D1625,'Support - Unit Adjustments'!F:G,2,FALSE),0)</f>
        <v>0</v>
      </c>
      <c r="R1625" s="155">
        <f t="shared" si="497"/>
        <v>0</v>
      </c>
      <c r="S1625" s="47">
        <f t="shared" si="496"/>
        <v>0</v>
      </c>
      <c r="T1625" s="151">
        <f t="shared" si="481"/>
        <v>2005</v>
      </c>
      <c r="U1625" s="151">
        <f t="shared" si="482"/>
        <v>0</v>
      </c>
      <c r="V1625" s="139">
        <f t="shared" si="483"/>
        <v>0</v>
      </c>
      <c r="W1625" s="152">
        <f t="shared" si="486"/>
        <v>2005</v>
      </c>
      <c r="X1625" s="127" t="str">
        <f t="shared" si="484"/>
        <v/>
      </c>
      <c r="Y1625" s="207">
        <f t="shared" si="487"/>
        <v>2005</v>
      </c>
      <c r="Z1625" s="139">
        <f t="shared" si="488"/>
        <v>1068</v>
      </c>
      <c r="AA1625" s="139">
        <f t="shared" si="489"/>
        <v>937</v>
      </c>
      <c r="AC1625" s="47">
        <f t="shared" si="490"/>
        <v>1003</v>
      </c>
      <c r="AD1625" s="47">
        <f t="shared" si="491"/>
        <v>534</v>
      </c>
      <c r="AE1625" s="47">
        <f t="shared" si="492"/>
        <v>469</v>
      </c>
      <c r="AG1625" s="47">
        <f t="shared" si="493"/>
        <v>1002</v>
      </c>
      <c r="AH1625" s="47">
        <f t="shared" si="494"/>
        <v>534</v>
      </c>
      <c r="AI1625" s="208">
        <f t="shared" si="495"/>
        <v>468</v>
      </c>
    </row>
    <row r="1626" spans="1:35">
      <c r="A1626" t="s">
        <v>2137</v>
      </c>
      <c r="B1626" t="s">
        <v>3142</v>
      </c>
      <c r="C1626" t="s">
        <v>2190</v>
      </c>
      <c r="D1626" t="s">
        <v>5052</v>
      </c>
      <c r="F1626" t="s">
        <v>1244</v>
      </c>
      <c r="G1626" s="126">
        <f>SUMIFS('Support - Transition'!F:F,'Support - Transition'!B:B,'Step 2'!A1626,'Support - Transition'!C:C,'Step 2'!B1626,'Support - Transition'!D:D,'Step 2'!C1626,'Support - Transition'!E:E,"CIVIL")</f>
        <v>1.5472E-2</v>
      </c>
      <c r="H1626" s="126">
        <f>SUMIFS('Support - Transition'!F:F,'Support - Transition'!B:B,'Step 2'!A1626,'Support - Transition'!C:C,'Step 2'!B1626,'Support - Transition'!D:D,'Step 2'!C1626,'Support - Transition'!E:E,"FIRE")</f>
        <v>1.536E-3</v>
      </c>
      <c r="I1626" s="126">
        <f>IF(B1626="0",SUMIFS('Support - Transition'!F:F,'Support - Transition'!J:J,'Step 2'!D1626,'Support - Transition'!E:E,"STATE UNIT"),SUMIFS('Support - Transition'!F:F,'Support - Transition'!J:J,'Step 2'!D1626))</f>
        <v>1.7007999999999999E-2</v>
      </c>
      <c r="J1626" s="126">
        <f>SUMIFS('Support - Unit Adjustments'!E:E,'Support - Unit Adjustments'!F:F,'Step 2'!D1626)</f>
        <v>0</v>
      </c>
      <c r="K1626" s="126">
        <f t="shared" si="479"/>
        <v>1.7007999999999999E-2</v>
      </c>
      <c r="L1626" s="174">
        <f>VLOOKUP(A1626,'Step 1'!$A:$E,4,FALSE)</f>
        <v>934087</v>
      </c>
      <c r="M1626" s="47">
        <f t="shared" si="480"/>
        <v>15887</v>
      </c>
      <c r="N1626" s="177">
        <f>SUMIFS('Support - Transition'!G:G,'Support - Transition'!J:J,'Step 2'!D1626,'Support - Transition'!E:E,"2009 WELFARE ALLOCATION FACTOR")</f>
        <v>0</v>
      </c>
      <c r="O1626" s="152">
        <f t="shared" si="485"/>
        <v>0</v>
      </c>
      <c r="P1626" s="126">
        <f>IF(E1626="Y",0,SUMIFS('Support - Transition'!G:G,'Support - Transition'!J:J,'Step 2'!D1626,'Support - Transition'!E:E,"2009 SCHOOL ALLOCATION FACTOR"))</f>
        <v>0</v>
      </c>
      <c r="Q1626" s="126">
        <f>IF(E1626="Y",VLOOKUP(D1626,'Support - Unit Adjustments'!F:G,2,FALSE),0)</f>
        <v>0</v>
      </c>
      <c r="R1626" s="155">
        <f t="shared" si="497"/>
        <v>0</v>
      </c>
      <c r="S1626" s="47">
        <f t="shared" si="496"/>
        <v>0</v>
      </c>
      <c r="T1626" s="151">
        <f t="shared" si="481"/>
        <v>15887</v>
      </c>
      <c r="U1626" s="151">
        <f t="shared" si="482"/>
        <v>0</v>
      </c>
      <c r="V1626" s="139">
        <f t="shared" si="483"/>
        <v>0</v>
      </c>
      <c r="W1626" s="152">
        <f t="shared" si="486"/>
        <v>15887</v>
      </c>
      <c r="X1626" s="127" t="str">
        <f t="shared" si="484"/>
        <v/>
      </c>
      <c r="Y1626" s="207">
        <f t="shared" si="487"/>
        <v>15887</v>
      </c>
      <c r="Z1626" s="139">
        <f t="shared" si="488"/>
        <v>14452</v>
      </c>
      <c r="AA1626" s="139">
        <f t="shared" si="489"/>
        <v>1435</v>
      </c>
      <c r="AC1626" s="47">
        <f t="shared" si="490"/>
        <v>7944</v>
      </c>
      <c r="AD1626" s="47">
        <f t="shared" si="491"/>
        <v>7226</v>
      </c>
      <c r="AE1626" s="47">
        <f t="shared" si="492"/>
        <v>718</v>
      </c>
      <c r="AG1626" s="47">
        <f t="shared" si="493"/>
        <v>7943</v>
      </c>
      <c r="AH1626" s="47">
        <f t="shared" si="494"/>
        <v>7226</v>
      </c>
      <c r="AI1626" s="208">
        <f t="shared" si="495"/>
        <v>717</v>
      </c>
    </row>
    <row r="1627" spans="1:35">
      <c r="A1627" t="s">
        <v>2137</v>
      </c>
      <c r="B1627" t="s">
        <v>3142</v>
      </c>
      <c r="C1627" t="s">
        <v>2191</v>
      </c>
      <c r="D1627" t="s">
        <v>5053</v>
      </c>
      <c r="F1627" t="s">
        <v>791</v>
      </c>
      <c r="G1627" s="126">
        <f>SUMIFS('Support - Transition'!F:F,'Support - Transition'!B:B,'Step 2'!A1627,'Support - Transition'!C:C,'Step 2'!B1627,'Support - Transition'!D:D,'Step 2'!C1627,'Support - Transition'!E:E,"CIVIL")</f>
        <v>1.8240000000000001E-3</v>
      </c>
      <c r="H1627" s="126">
        <f>SUMIFS('Support - Transition'!F:F,'Support - Transition'!B:B,'Step 2'!A1627,'Support - Transition'!C:C,'Step 2'!B1627,'Support - Transition'!D:D,'Step 2'!C1627,'Support - Transition'!E:E,"FIRE")</f>
        <v>0</v>
      </c>
      <c r="I1627" s="126">
        <f>IF(B1627="0",SUMIFS('Support - Transition'!F:F,'Support - Transition'!J:J,'Step 2'!D1627,'Support - Transition'!E:E,"STATE UNIT"),SUMIFS('Support - Transition'!F:F,'Support - Transition'!J:J,'Step 2'!D1627))</f>
        <v>1.8240000000000001E-3</v>
      </c>
      <c r="J1627" s="126">
        <f>SUMIFS('Support - Unit Adjustments'!E:E,'Support - Unit Adjustments'!F:F,'Step 2'!D1627)</f>
        <v>0</v>
      </c>
      <c r="K1627" s="126">
        <f t="shared" si="479"/>
        <v>1.8240000000000001E-3</v>
      </c>
      <c r="L1627" s="174">
        <f>VLOOKUP(A1627,'Step 1'!$A:$E,4,FALSE)</f>
        <v>934087</v>
      </c>
      <c r="M1627" s="47">
        <f t="shared" si="480"/>
        <v>1704</v>
      </c>
      <c r="N1627" s="177">
        <f>SUMIFS('Support - Transition'!G:G,'Support - Transition'!J:J,'Step 2'!D1627,'Support - Transition'!E:E,"2009 WELFARE ALLOCATION FACTOR")</f>
        <v>0</v>
      </c>
      <c r="O1627" s="152">
        <f t="shared" si="485"/>
        <v>0</v>
      </c>
      <c r="P1627" s="126">
        <f>IF(E1627="Y",0,SUMIFS('Support - Transition'!G:G,'Support - Transition'!J:J,'Step 2'!D1627,'Support - Transition'!E:E,"2009 SCHOOL ALLOCATION FACTOR"))</f>
        <v>0</v>
      </c>
      <c r="Q1627" s="126">
        <f>IF(E1627="Y",VLOOKUP(D1627,'Support - Unit Adjustments'!F:G,2,FALSE),0)</f>
        <v>0</v>
      </c>
      <c r="R1627" s="155">
        <f t="shared" si="497"/>
        <v>0</v>
      </c>
      <c r="S1627" s="47">
        <f t="shared" si="496"/>
        <v>0</v>
      </c>
      <c r="T1627" s="151">
        <f t="shared" si="481"/>
        <v>1704</v>
      </c>
      <c r="U1627" s="151">
        <f t="shared" si="482"/>
        <v>0</v>
      </c>
      <c r="V1627" s="139">
        <f t="shared" si="483"/>
        <v>0</v>
      </c>
      <c r="W1627" s="152">
        <f t="shared" si="486"/>
        <v>1704</v>
      </c>
      <c r="X1627" s="127" t="str">
        <f t="shared" si="484"/>
        <v/>
      </c>
      <c r="Y1627" s="207">
        <f t="shared" si="487"/>
        <v>1704</v>
      </c>
      <c r="Z1627" s="139">
        <f t="shared" si="488"/>
        <v>1704</v>
      </c>
      <c r="AA1627" s="139">
        <f t="shared" si="489"/>
        <v>0</v>
      </c>
      <c r="AC1627" s="47">
        <f t="shared" si="490"/>
        <v>852</v>
      </c>
      <c r="AD1627" s="47">
        <f t="shared" si="491"/>
        <v>852</v>
      </c>
      <c r="AE1627" s="47">
        <f t="shared" si="492"/>
        <v>0</v>
      </c>
      <c r="AG1627" s="47">
        <f t="shared" si="493"/>
        <v>852</v>
      </c>
      <c r="AH1627" s="47">
        <f t="shared" si="494"/>
        <v>852</v>
      </c>
      <c r="AI1627" s="208">
        <f t="shared" si="495"/>
        <v>0</v>
      </c>
    </row>
    <row r="1628" spans="1:35">
      <c r="A1628" t="s">
        <v>2137</v>
      </c>
      <c r="B1628" t="s">
        <v>3142</v>
      </c>
      <c r="C1628" t="s">
        <v>2192</v>
      </c>
      <c r="D1628" t="s">
        <v>5054</v>
      </c>
      <c r="F1628" t="s">
        <v>1107</v>
      </c>
      <c r="G1628" s="126">
        <f>SUMIFS('Support - Transition'!F:F,'Support - Transition'!B:B,'Step 2'!A1628,'Support - Transition'!C:C,'Step 2'!B1628,'Support - Transition'!D:D,'Step 2'!C1628,'Support - Transition'!E:E,"CIVIL")</f>
        <v>4.7600000000000002E-4</v>
      </c>
      <c r="H1628" s="126">
        <f>SUMIFS('Support - Transition'!F:F,'Support - Transition'!B:B,'Step 2'!A1628,'Support - Transition'!C:C,'Step 2'!B1628,'Support - Transition'!D:D,'Step 2'!C1628,'Support - Transition'!E:E,"FIRE")</f>
        <v>3.19E-4</v>
      </c>
      <c r="I1628" s="126">
        <f>IF(B1628="0",SUMIFS('Support - Transition'!F:F,'Support - Transition'!J:J,'Step 2'!D1628,'Support - Transition'!E:E,"STATE UNIT"),SUMIFS('Support - Transition'!F:F,'Support - Transition'!J:J,'Step 2'!D1628))</f>
        <v>7.9500000000000003E-4</v>
      </c>
      <c r="J1628" s="126">
        <f>SUMIFS('Support - Unit Adjustments'!E:E,'Support - Unit Adjustments'!F:F,'Step 2'!D1628)</f>
        <v>0</v>
      </c>
      <c r="K1628" s="126">
        <f t="shared" si="479"/>
        <v>7.9500000000000003E-4</v>
      </c>
      <c r="L1628" s="174">
        <f>VLOOKUP(A1628,'Step 1'!$A:$E,4,FALSE)</f>
        <v>934087</v>
      </c>
      <c r="M1628" s="47">
        <f t="shared" si="480"/>
        <v>743</v>
      </c>
      <c r="N1628" s="177">
        <f>SUMIFS('Support - Transition'!G:G,'Support - Transition'!J:J,'Step 2'!D1628,'Support - Transition'!E:E,"2009 WELFARE ALLOCATION FACTOR")</f>
        <v>0</v>
      </c>
      <c r="O1628" s="152">
        <f t="shared" si="485"/>
        <v>0</v>
      </c>
      <c r="P1628" s="126">
        <f>IF(E1628="Y",0,SUMIFS('Support - Transition'!G:G,'Support - Transition'!J:J,'Step 2'!D1628,'Support - Transition'!E:E,"2009 SCHOOL ALLOCATION FACTOR"))</f>
        <v>0</v>
      </c>
      <c r="Q1628" s="126">
        <f>IF(E1628="Y",VLOOKUP(D1628,'Support - Unit Adjustments'!F:G,2,FALSE),0)</f>
        <v>0</v>
      </c>
      <c r="R1628" s="155">
        <f t="shared" si="497"/>
        <v>0</v>
      </c>
      <c r="S1628" s="47">
        <f t="shared" si="496"/>
        <v>0</v>
      </c>
      <c r="T1628" s="151">
        <f t="shared" si="481"/>
        <v>743</v>
      </c>
      <c r="U1628" s="151">
        <f t="shared" si="482"/>
        <v>0</v>
      </c>
      <c r="V1628" s="139">
        <f t="shared" si="483"/>
        <v>0</v>
      </c>
      <c r="W1628" s="152">
        <f t="shared" si="486"/>
        <v>743</v>
      </c>
      <c r="X1628" s="127" t="str">
        <f t="shared" si="484"/>
        <v/>
      </c>
      <c r="Y1628" s="207">
        <f t="shared" si="487"/>
        <v>743</v>
      </c>
      <c r="Z1628" s="139">
        <f t="shared" si="488"/>
        <v>445</v>
      </c>
      <c r="AA1628" s="139">
        <f t="shared" si="489"/>
        <v>298</v>
      </c>
      <c r="AC1628" s="47">
        <f t="shared" si="490"/>
        <v>372</v>
      </c>
      <c r="AD1628" s="47">
        <f t="shared" si="491"/>
        <v>223</v>
      </c>
      <c r="AE1628" s="47">
        <f t="shared" si="492"/>
        <v>149</v>
      </c>
      <c r="AG1628" s="47">
        <f t="shared" si="493"/>
        <v>371</v>
      </c>
      <c r="AH1628" s="47">
        <f t="shared" si="494"/>
        <v>222</v>
      </c>
      <c r="AI1628" s="208">
        <f t="shared" si="495"/>
        <v>149</v>
      </c>
    </row>
    <row r="1629" spans="1:35">
      <c r="A1629" t="s">
        <v>2137</v>
      </c>
      <c r="B1629" t="s">
        <v>3142</v>
      </c>
      <c r="C1629" t="s">
        <v>2193</v>
      </c>
      <c r="D1629" t="s">
        <v>5055</v>
      </c>
      <c r="F1629" t="s">
        <v>56</v>
      </c>
      <c r="G1629" s="126">
        <f>SUMIFS('Support - Transition'!F:F,'Support - Transition'!B:B,'Step 2'!A1629,'Support - Transition'!C:C,'Step 2'!B1629,'Support - Transition'!D:D,'Step 2'!C1629,'Support - Transition'!E:E,"CIVIL")</f>
        <v>3.869E-3</v>
      </c>
      <c r="H1629" s="126">
        <f>SUMIFS('Support - Transition'!F:F,'Support - Transition'!B:B,'Step 2'!A1629,'Support - Transition'!C:C,'Step 2'!B1629,'Support - Transition'!D:D,'Step 2'!C1629,'Support - Transition'!E:E,"FIRE")</f>
        <v>0</v>
      </c>
      <c r="I1629" s="126">
        <f>IF(B1629="0",SUMIFS('Support - Transition'!F:F,'Support - Transition'!J:J,'Step 2'!D1629,'Support - Transition'!E:E,"STATE UNIT"),SUMIFS('Support - Transition'!F:F,'Support - Transition'!J:J,'Step 2'!D1629))</f>
        <v>3.869E-3</v>
      </c>
      <c r="J1629" s="126">
        <f>SUMIFS('Support - Unit Adjustments'!E:E,'Support - Unit Adjustments'!F:F,'Step 2'!D1629)</f>
        <v>0</v>
      </c>
      <c r="K1629" s="126">
        <f t="shared" si="479"/>
        <v>3.869E-3</v>
      </c>
      <c r="L1629" s="174">
        <f>VLOOKUP(A1629,'Step 1'!$A:$E,4,FALSE)</f>
        <v>934087</v>
      </c>
      <c r="M1629" s="47">
        <f t="shared" si="480"/>
        <v>3614</v>
      </c>
      <c r="N1629" s="177">
        <f>SUMIFS('Support - Transition'!G:G,'Support - Transition'!J:J,'Step 2'!D1629,'Support - Transition'!E:E,"2009 WELFARE ALLOCATION FACTOR")</f>
        <v>0</v>
      </c>
      <c r="O1629" s="152">
        <f t="shared" si="485"/>
        <v>0</v>
      </c>
      <c r="P1629" s="126">
        <f>IF(E1629="Y",0,SUMIFS('Support - Transition'!G:G,'Support - Transition'!J:J,'Step 2'!D1629,'Support - Transition'!E:E,"2009 SCHOOL ALLOCATION FACTOR"))</f>
        <v>0</v>
      </c>
      <c r="Q1629" s="126">
        <f>IF(E1629="Y",VLOOKUP(D1629,'Support - Unit Adjustments'!F:G,2,FALSE),0)</f>
        <v>0</v>
      </c>
      <c r="R1629" s="155">
        <f t="shared" si="497"/>
        <v>0</v>
      </c>
      <c r="S1629" s="47">
        <f t="shared" si="496"/>
        <v>0</v>
      </c>
      <c r="T1629" s="151">
        <f t="shared" si="481"/>
        <v>3614</v>
      </c>
      <c r="U1629" s="151">
        <f t="shared" si="482"/>
        <v>0</v>
      </c>
      <c r="V1629" s="139">
        <f t="shared" si="483"/>
        <v>0</v>
      </c>
      <c r="W1629" s="152">
        <f t="shared" si="486"/>
        <v>3614</v>
      </c>
      <c r="X1629" s="127" t="str">
        <f t="shared" si="484"/>
        <v/>
      </c>
      <c r="Y1629" s="207">
        <f t="shared" si="487"/>
        <v>3614</v>
      </c>
      <c r="Z1629" s="139">
        <f t="shared" si="488"/>
        <v>3614</v>
      </c>
      <c r="AA1629" s="139">
        <f t="shared" si="489"/>
        <v>0</v>
      </c>
      <c r="AC1629" s="47">
        <f t="shared" si="490"/>
        <v>1807</v>
      </c>
      <c r="AD1629" s="47">
        <f t="shared" si="491"/>
        <v>1807</v>
      </c>
      <c r="AE1629" s="47">
        <f t="shared" si="492"/>
        <v>0</v>
      </c>
      <c r="AG1629" s="47">
        <f t="shared" si="493"/>
        <v>1807</v>
      </c>
      <c r="AH1629" s="47">
        <f t="shared" si="494"/>
        <v>1807</v>
      </c>
      <c r="AI1629" s="208">
        <f t="shared" si="495"/>
        <v>0</v>
      </c>
    </row>
    <row r="1630" spans="1:35">
      <c r="A1630" t="s">
        <v>2137</v>
      </c>
      <c r="B1630" t="s">
        <v>3142</v>
      </c>
      <c r="C1630" t="s">
        <v>2194</v>
      </c>
      <c r="D1630" t="s">
        <v>5056</v>
      </c>
      <c r="F1630" t="s">
        <v>795</v>
      </c>
      <c r="G1630" s="126">
        <f>SUMIFS('Support - Transition'!F:F,'Support - Transition'!B:B,'Step 2'!A1630,'Support - Transition'!C:C,'Step 2'!B1630,'Support - Transition'!D:D,'Step 2'!C1630,'Support - Transition'!E:E,"CIVIL")</f>
        <v>4.8999999999999998E-5</v>
      </c>
      <c r="H1630" s="126">
        <f>SUMIFS('Support - Transition'!F:F,'Support - Transition'!B:B,'Step 2'!A1630,'Support - Transition'!C:C,'Step 2'!B1630,'Support - Transition'!D:D,'Step 2'!C1630,'Support - Transition'!E:E,"FIRE")</f>
        <v>2.8E-5</v>
      </c>
      <c r="I1630" s="126">
        <f>IF(B1630="0",SUMIFS('Support - Transition'!F:F,'Support - Transition'!J:J,'Step 2'!D1630,'Support - Transition'!E:E,"STATE UNIT"),SUMIFS('Support - Transition'!F:F,'Support - Transition'!J:J,'Step 2'!D1630))</f>
        <v>7.7000000000000001E-5</v>
      </c>
      <c r="J1630" s="126">
        <f>SUMIFS('Support - Unit Adjustments'!E:E,'Support - Unit Adjustments'!F:F,'Step 2'!D1630)</f>
        <v>0</v>
      </c>
      <c r="K1630" s="126">
        <f t="shared" si="479"/>
        <v>7.7000000000000001E-5</v>
      </c>
      <c r="L1630" s="174">
        <f>VLOOKUP(A1630,'Step 1'!$A:$E,4,FALSE)</f>
        <v>934087</v>
      </c>
      <c r="M1630" s="47">
        <f t="shared" si="480"/>
        <v>72</v>
      </c>
      <c r="N1630" s="177">
        <f>SUMIFS('Support - Transition'!G:G,'Support - Transition'!J:J,'Step 2'!D1630,'Support - Transition'!E:E,"2009 WELFARE ALLOCATION FACTOR")</f>
        <v>0</v>
      </c>
      <c r="O1630" s="152">
        <f t="shared" si="485"/>
        <v>0</v>
      </c>
      <c r="P1630" s="126">
        <f>IF(E1630="Y",0,SUMIFS('Support - Transition'!G:G,'Support - Transition'!J:J,'Step 2'!D1630,'Support - Transition'!E:E,"2009 SCHOOL ALLOCATION FACTOR"))</f>
        <v>0</v>
      </c>
      <c r="Q1630" s="126">
        <f>IF(E1630="Y",VLOOKUP(D1630,'Support - Unit Adjustments'!F:G,2,FALSE),0)</f>
        <v>0</v>
      </c>
      <c r="R1630" s="155">
        <f t="shared" si="497"/>
        <v>0</v>
      </c>
      <c r="S1630" s="47">
        <f t="shared" si="496"/>
        <v>0</v>
      </c>
      <c r="T1630" s="151">
        <f t="shared" si="481"/>
        <v>72</v>
      </c>
      <c r="U1630" s="151">
        <f t="shared" si="482"/>
        <v>0</v>
      </c>
      <c r="V1630" s="139">
        <f t="shared" si="483"/>
        <v>0</v>
      </c>
      <c r="W1630" s="152">
        <f t="shared" si="486"/>
        <v>72</v>
      </c>
      <c r="X1630" s="127" t="str">
        <f t="shared" si="484"/>
        <v/>
      </c>
      <c r="Y1630" s="207">
        <f t="shared" si="487"/>
        <v>72</v>
      </c>
      <c r="Z1630" s="139">
        <f t="shared" si="488"/>
        <v>46</v>
      </c>
      <c r="AA1630" s="139">
        <f t="shared" si="489"/>
        <v>26</v>
      </c>
      <c r="AC1630" s="47">
        <f t="shared" si="490"/>
        <v>36</v>
      </c>
      <c r="AD1630" s="47">
        <f t="shared" si="491"/>
        <v>23</v>
      </c>
      <c r="AE1630" s="47">
        <f t="shared" si="492"/>
        <v>13</v>
      </c>
      <c r="AG1630" s="47">
        <f t="shared" si="493"/>
        <v>36</v>
      </c>
      <c r="AH1630" s="47">
        <f t="shared" si="494"/>
        <v>23</v>
      </c>
      <c r="AI1630" s="208">
        <f t="shared" si="495"/>
        <v>13</v>
      </c>
    </row>
    <row r="1631" spans="1:35">
      <c r="A1631" t="s">
        <v>2137</v>
      </c>
      <c r="B1631" t="s">
        <v>3142</v>
      </c>
      <c r="C1631" t="s">
        <v>2195</v>
      </c>
      <c r="D1631" t="s">
        <v>5057</v>
      </c>
      <c r="F1631" t="s">
        <v>114</v>
      </c>
      <c r="G1631" s="126">
        <f>SUMIFS('Support - Transition'!F:F,'Support - Transition'!B:B,'Step 2'!A1631,'Support - Transition'!C:C,'Step 2'!B1631,'Support - Transition'!D:D,'Step 2'!C1631,'Support - Transition'!E:E,"CIVIL")</f>
        <v>1.639E-3</v>
      </c>
      <c r="H1631" s="126">
        <f>SUMIFS('Support - Transition'!F:F,'Support - Transition'!B:B,'Step 2'!A1631,'Support - Transition'!C:C,'Step 2'!B1631,'Support - Transition'!D:D,'Step 2'!C1631,'Support - Transition'!E:E,"FIRE")</f>
        <v>3.2049999999999999E-3</v>
      </c>
      <c r="I1631" s="126">
        <f>IF(B1631="0",SUMIFS('Support - Transition'!F:F,'Support - Transition'!J:J,'Step 2'!D1631,'Support - Transition'!E:E,"STATE UNIT"),SUMIFS('Support - Transition'!F:F,'Support - Transition'!J:J,'Step 2'!D1631))</f>
        <v>4.8440000000000002E-3</v>
      </c>
      <c r="J1631" s="126">
        <f>SUMIFS('Support - Unit Adjustments'!E:E,'Support - Unit Adjustments'!F:F,'Step 2'!D1631)</f>
        <v>0</v>
      </c>
      <c r="K1631" s="126">
        <f t="shared" si="479"/>
        <v>4.8440000000000002E-3</v>
      </c>
      <c r="L1631" s="174">
        <f>VLOOKUP(A1631,'Step 1'!$A:$E,4,FALSE)</f>
        <v>934087</v>
      </c>
      <c r="M1631" s="47">
        <f t="shared" si="480"/>
        <v>4525</v>
      </c>
      <c r="N1631" s="177">
        <f>SUMIFS('Support - Transition'!G:G,'Support - Transition'!J:J,'Step 2'!D1631,'Support - Transition'!E:E,"2009 WELFARE ALLOCATION FACTOR")</f>
        <v>0</v>
      </c>
      <c r="O1631" s="152">
        <f t="shared" si="485"/>
        <v>0</v>
      </c>
      <c r="P1631" s="126">
        <f>IF(E1631="Y",0,SUMIFS('Support - Transition'!G:G,'Support - Transition'!J:J,'Step 2'!D1631,'Support - Transition'!E:E,"2009 SCHOOL ALLOCATION FACTOR"))</f>
        <v>0</v>
      </c>
      <c r="Q1631" s="126">
        <f>IF(E1631="Y",VLOOKUP(D1631,'Support - Unit Adjustments'!F:G,2,FALSE),0)</f>
        <v>0</v>
      </c>
      <c r="R1631" s="155">
        <f t="shared" si="497"/>
        <v>0</v>
      </c>
      <c r="S1631" s="47">
        <f t="shared" si="496"/>
        <v>0</v>
      </c>
      <c r="T1631" s="151">
        <f t="shared" si="481"/>
        <v>4525</v>
      </c>
      <c r="U1631" s="151">
        <f t="shared" si="482"/>
        <v>0</v>
      </c>
      <c r="V1631" s="139">
        <f t="shared" si="483"/>
        <v>0</v>
      </c>
      <c r="W1631" s="152">
        <f t="shared" si="486"/>
        <v>4525</v>
      </c>
      <c r="X1631" s="127" t="str">
        <f t="shared" si="484"/>
        <v/>
      </c>
      <c r="Y1631" s="207">
        <f t="shared" si="487"/>
        <v>4525</v>
      </c>
      <c r="Z1631" s="139">
        <f t="shared" si="488"/>
        <v>1531</v>
      </c>
      <c r="AA1631" s="139">
        <f t="shared" si="489"/>
        <v>2994</v>
      </c>
      <c r="AC1631" s="47">
        <f t="shared" si="490"/>
        <v>2263</v>
      </c>
      <c r="AD1631" s="47">
        <f t="shared" si="491"/>
        <v>766</v>
      </c>
      <c r="AE1631" s="47">
        <f t="shared" si="492"/>
        <v>1497</v>
      </c>
      <c r="AG1631" s="47">
        <f t="shared" si="493"/>
        <v>2262</v>
      </c>
      <c r="AH1631" s="47">
        <f t="shared" si="494"/>
        <v>765</v>
      </c>
      <c r="AI1631" s="208">
        <f t="shared" si="495"/>
        <v>1497</v>
      </c>
    </row>
    <row r="1632" spans="1:35">
      <c r="A1632" t="s">
        <v>2137</v>
      </c>
      <c r="B1632" t="s">
        <v>3142</v>
      </c>
      <c r="C1632" t="s">
        <v>2196</v>
      </c>
      <c r="D1632" t="s">
        <v>5058</v>
      </c>
      <c r="F1632" t="s">
        <v>532</v>
      </c>
      <c r="G1632" s="126">
        <f>SUMIFS('Support - Transition'!F:F,'Support - Transition'!B:B,'Step 2'!A1632,'Support - Transition'!C:C,'Step 2'!B1632,'Support - Transition'!D:D,'Step 2'!C1632,'Support - Transition'!E:E,"CIVIL")</f>
        <v>1.83E-4</v>
      </c>
      <c r="H1632" s="126">
        <f>SUMIFS('Support - Transition'!F:F,'Support - Transition'!B:B,'Step 2'!A1632,'Support - Transition'!C:C,'Step 2'!B1632,'Support - Transition'!D:D,'Step 2'!C1632,'Support - Transition'!E:E,"FIRE")</f>
        <v>1E-4</v>
      </c>
      <c r="I1632" s="126">
        <f>IF(B1632="0",SUMIFS('Support - Transition'!F:F,'Support - Transition'!J:J,'Step 2'!D1632,'Support - Transition'!E:E,"STATE UNIT"),SUMIFS('Support - Transition'!F:F,'Support - Transition'!J:J,'Step 2'!D1632))</f>
        <v>2.8299999999999999E-4</v>
      </c>
      <c r="J1632" s="126">
        <f>SUMIFS('Support - Unit Adjustments'!E:E,'Support - Unit Adjustments'!F:F,'Step 2'!D1632)</f>
        <v>0</v>
      </c>
      <c r="K1632" s="126">
        <f t="shared" si="479"/>
        <v>2.8299999999999999E-4</v>
      </c>
      <c r="L1632" s="174">
        <f>VLOOKUP(A1632,'Step 1'!$A:$E,4,FALSE)</f>
        <v>934087</v>
      </c>
      <c r="M1632" s="47">
        <f t="shared" si="480"/>
        <v>264</v>
      </c>
      <c r="N1632" s="177">
        <f>SUMIFS('Support - Transition'!G:G,'Support - Transition'!J:J,'Step 2'!D1632,'Support - Transition'!E:E,"2009 WELFARE ALLOCATION FACTOR")</f>
        <v>0</v>
      </c>
      <c r="O1632" s="152">
        <f t="shared" si="485"/>
        <v>0</v>
      </c>
      <c r="P1632" s="126">
        <f>IF(E1632="Y",0,SUMIFS('Support - Transition'!G:G,'Support - Transition'!J:J,'Step 2'!D1632,'Support - Transition'!E:E,"2009 SCHOOL ALLOCATION FACTOR"))</f>
        <v>0</v>
      </c>
      <c r="Q1632" s="126">
        <f>IF(E1632="Y",VLOOKUP(D1632,'Support - Unit Adjustments'!F:G,2,FALSE),0)</f>
        <v>0</v>
      </c>
      <c r="R1632" s="155">
        <f t="shared" si="497"/>
        <v>0</v>
      </c>
      <c r="S1632" s="47">
        <f t="shared" si="496"/>
        <v>0</v>
      </c>
      <c r="T1632" s="151">
        <f t="shared" si="481"/>
        <v>264</v>
      </c>
      <c r="U1632" s="151">
        <f t="shared" si="482"/>
        <v>0</v>
      </c>
      <c r="V1632" s="139">
        <f t="shared" si="483"/>
        <v>0</v>
      </c>
      <c r="W1632" s="152">
        <f t="shared" si="486"/>
        <v>264</v>
      </c>
      <c r="X1632" s="127" t="str">
        <f t="shared" si="484"/>
        <v/>
      </c>
      <c r="Y1632" s="207">
        <f t="shared" si="487"/>
        <v>264</v>
      </c>
      <c r="Z1632" s="139">
        <f t="shared" si="488"/>
        <v>171</v>
      </c>
      <c r="AA1632" s="139">
        <f t="shared" si="489"/>
        <v>93</v>
      </c>
      <c r="AC1632" s="47">
        <f t="shared" si="490"/>
        <v>132</v>
      </c>
      <c r="AD1632" s="47">
        <f t="shared" si="491"/>
        <v>86</v>
      </c>
      <c r="AE1632" s="47">
        <f t="shared" si="492"/>
        <v>47</v>
      </c>
      <c r="AG1632" s="47">
        <f t="shared" si="493"/>
        <v>132</v>
      </c>
      <c r="AH1632" s="47">
        <f t="shared" si="494"/>
        <v>85</v>
      </c>
      <c r="AI1632" s="208">
        <f t="shared" si="495"/>
        <v>46</v>
      </c>
    </row>
    <row r="1633" spans="1:35">
      <c r="A1633" t="s">
        <v>2137</v>
      </c>
      <c r="B1633" t="s">
        <v>3142</v>
      </c>
      <c r="C1633" t="s">
        <v>2197</v>
      </c>
      <c r="D1633" t="s">
        <v>5059</v>
      </c>
      <c r="F1633" t="s">
        <v>169</v>
      </c>
      <c r="G1633" s="126">
        <f>SUMIFS('Support - Transition'!F:F,'Support - Transition'!B:B,'Step 2'!A1633,'Support - Transition'!C:C,'Step 2'!B1633,'Support - Transition'!D:D,'Step 2'!C1633,'Support - Transition'!E:E,"CIVIL")</f>
        <v>5.1330000000000004E-3</v>
      </c>
      <c r="H1633" s="126">
        <f>SUMIFS('Support - Transition'!F:F,'Support - Transition'!B:B,'Step 2'!A1633,'Support - Transition'!C:C,'Step 2'!B1633,'Support - Transition'!D:D,'Step 2'!C1633,'Support - Transition'!E:E,"FIRE")</f>
        <v>9.7499999999999996E-4</v>
      </c>
      <c r="I1633" s="126">
        <f>IF(B1633="0",SUMIFS('Support - Transition'!F:F,'Support - Transition'!J:J,'Step 2'!D1633,'Support - Transition'!E:E,"STATE UNIT"),SUMIFS('Support - Transition'!F:F,'Support - Transition'!J:J,'Step 2'!D1633))</f>
        <v>6.1080000000000006E-3</v>
      </c>
      <c r="J1633" s="126">
        <f>SUMIFS('Support - Unit Adjustments'!E:E,'Support - Unit Adjustments'!F:F,'Step 2'!D1633)</f>
        <v>0</v>
      </c>
      <c r="K1633" s="126">
        <f t="shared" si="479"/>
        <v>6.1080000000000006E-3</v>
      </c>
      <c r="L1633" s="174">
        <f>VLOOKUP(A1633,'Step 1'!$A:$E,4,FALSE)</f>
        <v>934087</v>
      </c>
      <c r="M1633" s="47">
        <f t="shared" si="480"/>
        <v>5705</v>
      </c>
      <c r="N1633" s="177">
        <f>SUMIFS('Support - Transition'!G:G,'Support - Transition'!J:J,'Step 2'!D1633,'Support - Transition'!E:E,"2009 WELFARE ALLOCATION FACTOR")</f>
        <v>0</v>
      </c>
      <c r="O1633" s="152">
        <f t="shared" si="485"/>
        <v>0</v>
      </c>
      <c r="P1633" s="126">
        <f>IF(E1633="Y",0,SUMIFS('Support - Transition'!G:G,'Support - Transition'!J:J,'Step 2'!D1633,'Support - Transition'!E:E,"2009 SCHOOL ALLOCATION FACTOR"))</f>
        <v>0</v>
      </c>
      <c r="Q1633" s="126">
        <f>IF(E1633="Y",VLOOKUP(D1633,'Support - Unit Adjustments'!F:G,2,FALSE),0)</f>
        <v>0</v>
      </c>
      <c r="R1633" s="155">
        <f t="shared" si="497"/>
        <v>0</v>
      </c>
      <c r="S1633" s="47">
        <f t="shared" si="496"/>
        <v>0</v>
      </c>
      <c r="T1633" s="151">
        <f t="shared" si="481"/>
        <v>5705</v>
      </c>
      <c r="U1633" s="151">
        <f t="shared" si="482"/>
        <v>0</v>
      </c>
      <c r="V1633" s="139">
        <f t="shared" si="483"/>
        <v>0</v>
      </c>
      <c r="W1633" s="152">
        <f t="shared" si="486"/>
        <v>5705</v>
      </c>
      <c r="X1633" s="127" t="str">
        <f t="shared" si="484"/>
        <v/>
      </c>
      <c r="Y1633" s="207">
        <f t="shared" si="487"/>
        <v>5705</v>
      </c>
      <c r="Z1633" s="139">
        <f t="shared" si="488"/>
        <v>4794</v>
      </c>
      <c r="AA1633" s="139">
        <f t="shared" si="489"/>
        <v>911</v>
      </c>
      <c r="AC1633" s="47">
        <f t="shared" si="490"/>
        <v>2853</v>
      </c>
      <c r="AD1633" s="47">
        <f t="shared" si="491"/>
        <v>2397</v>
      </c>
      <c r="AE1633" s="47">
        <f t="shared" si="492"/>
        <v>456</v>
      </c>
      <c r="AG1633" s="47">
        <f t="shared" si="493"/>
        <v>2852</v>
      </c>
      <c r="AH1633" s="47">
        <f t="shared" si="494"/>
        <v>2397</v>
      </c>
      <c r="AI1633" s="208">
        <f t="shared" si="495"/>
        <v>455</v>
      </c>
    </row>
    <row r="1634" spans="1:35">
      <c r="A1634" t="s">
        <v>2137</v>
      </c>
      <c r="B1634" t="s">
        <v>3142</v>
      </c>
      <c r="C1634" t="s">
        <v>2198</v>
      </c>
      <c r="D1634" t="s">
        <v>5060</v>
      </c>
      <c r="F1634" t="s">
        <v>22</v>
      </c>
      <c r="G1634" s="126">
        <f>SUMIFS('Support - Transition'!F:F,'Support - Transition'!B:B,'Step 2'!A1634,'Support - Transition'!C:C,'Step 2'!B1634,'Support - Transition'!D:D,'Step 2'!C1634,'Support - Transition'!E:E,"CIVIL")</f>
        <v>5.2599999999999999E-4</v>
      </c>
      <c r="H1634" s="126">
        <f>SUMIFS('Support - Transition'!F:F,'Support - Transition'!B:B,'Step 2'!A1634,'Support - Transition'!C:C,'Step 2'!B1634,'Support - Transition'!D:D,'Step 2'!C1634,'Support - Transition'!E:E,"FIRE")</f>
        <v>3.1199999999999999E-4</v>
      </c>
      <c r="I1634" s="126">
        <f>IF(B1634="0",SUMIFS('Support - Transition'!F:F,'Support - Transition'!J:J,'Step 2'!D1634,'Support - Transition'!E:E,"STATE UNIT"),SUMIFS('Support - Transition'!F:F,'Support - Transition'!J:J,'Step 2'!D1634))</f>
        <v>8.3799999999999999E-4</v>
      </c>
      <c r="J1634" s="126">
        <f>SUMIFS('Support - Unit Adjustments'!E:E,'Support - Unit Adjustments'!F:F,'Step 2'!D1634)</f>
        <v>0</v>
      </c>
      <c r="K1634" s="126">
        <f t="shared" si="479"/>
        <v>8.3799999999999999E-4</v>
      </c>
      <c r="L1634" s="174">
        <f>VLOOKUP(A1634,'Step 1'!$A:$E,4,FALSE)</f>
        <v>934087</v>
      </c>
      <c r="M1634" s="47">
        <f t="shared" si="480"/>
        <v>783</v>
      </c>
      <c r="N1634" s="177">
        <f>SUMIFS('Support - Transition'!G:G,'Support - Transition'!J:J,'Step 2'!D1634,'Support - Transition'!E:E,"2009 WELFARE ALLOCATION FACTOR")</f>
        <v>0</v>
      </c>
      <c r="O1634" s="152">
        <f t="shared" si="485"/>
        <v>0</v>
      </c>
      <c r="P1634" s="126">
        <f>IF(E1634="Y",0,SUMIFS('Support - Transition'!G:G,'Support - Transition'!J:J,'Step 2'!D1634,'Support - Transition'!E:E,"2009 SCHOOL ALLOCATION FACTOR"))</f>
        <v>0</v>
      </c>
      <c r="Q1634" s="126">
        <f>IF(E1634="Y",VLOOKUP(D1634,'Support - Unit Adjustments'!F:G,2,FALSE),0)</f>
        <v>0</v>
      </c>
      <c r="R1634" s="155">
        <f t="shared" si="497"/>
        <v>0</v>
      </c>
      <c r="S1634" s="47">
        <f t="shared" si="496"/>
        <v>0</v>
      </c>
      <c r="T1634" s="151">
        <f t="shared" si="481"/>
        <v>783</v>
      </c>
      <c r="U1634" s="151">
        <f t="shared" si="482"/>
        <v>0</v>
      </c>
      <c r="V1634" s="139">
        <f t="shared" si="483"/>
        <v>0</v>
      </c>
      <c r="W1634" s="152">
        <f t="shared" si="486"/>
        <v>783</v>
      </c>
      <c r="X1634" s="127" t="str">
        <f t="shared" si="484"/>
        <v/>
      </c>
      <c r="Y1634" s="207">
        <f t="shared" si="487"/>
        <v>783</v>
      </c>
      <c r="Z1634" s="139">
        <f t="shared" si="488"/>
        <v>491</v>
      </c>
      <c r="AA1634" s="139">
        <f t="shared" si="489"/>
        <v>292</v>
      </c>
      <c r="AC1634" s="47">
        <f t="shared" si="490"/>
        <v>392</v>
      </c>
      <c r="AD1634" s="47">
        <f t="shared" si="491"/>
        <v>246</v>
      </c>
      <c r="AE1634" s="47">
        <f t="shared" si="492"/>
        <v>146</v>
      </c>
      <c r="AG1634" s="47">
        <f t="shared" si="493"/>
        <v>391</v>
      </c>
      <c r="AH1634" s="47">
        <f t="shared" si="494"/>
        <v>245</v>
      </c>
      <c r="AI1634" s="208">
        <f t="shared" si="495"/>
        <v>146</v>
      </c>
    </row>
    <row r="1635" spans="1:35">
      <c r="A1635" t="s">
        <v>2137</v>
      </c>
      <c r="B1635" t="s">
        <v>3155</v>
      </c>
      <c r="C1635" t="s">
        <v>2655</v>
      </c>
      <c r="D1635" t="s">
        <v>5061</v>
      </c>
      <c r="F1635" t="s">
        <v>1245</v>
      </c>
      <c r="G1635" s="126">
        <f>SUMIFS('Support - Transition'!F:F,'Support - Transition'!B:B,'Step 2'!A1635,'Support - Transition'!C:C,'Step 2'!B1635,'Support - Transition'!D:D,'Step 2'!C1635,'Support - Transition'!E:E,"CIVIL")</f>
        <v>0</v>
      </c>
      <c r="H1635" s="126">
        <f>SUMIFS('Support - Transition'!F:F,'Support - Transition'!B:B,'Step 2'!A1635,'Support - Transition'!C:C,'Step 2'!B1635,'Support - Transition'!D:D,'Step 2'!C1635,'Support - Transition'!E:E,"FIRE")</f>
        <v>0</v>
      </c>
      <c r="I1635" s="126">
        <f>IF(B1635="0",SUMIFS('Support - Transition'!F:F,'Support - Transition'!J:J,'Step 2'!D1635,'Support - Transition'!E:E,"STATE UNIT"),SUMIFS('Support - Transition'!F:F,'Support - Transition'!J:J,'Step 2'!D1635))</f>
        <v>0.117699</v>
      </c>
      <c r="J1635" s="126">
        <f>SUMIFS('Support - Unit Adjustments'!E:E,'Support - Unit Adjustments'!F:F,'Step 2'!D1635)</f>
        <v>0</v>
      </c>
      <c r="K1635" s="126">
        <f t="shared" si="479"/>
        <v>0.117699</v>
      </c>
      <c r="L1635" s="174">
        <f>VLOOKUP(A1635,'Step 1'!$A:$E,4,FALSE)</f>
        <v>934087</v>
      </c>
      <c r="M1635" s="47">
        <f t="shared" si="480"/>
        <v>109941</v>
      </c>
      <c r="N1635" s="177">
        <f>SUMIFS('Support - Transition'!G:G,'Support - Transition'!J:J,'Step 2'!D1635,'Support - Transition'!E:E,"2009 WELFARE ALLOCATION FACTOR")</f>
        <v>0</v>
      </c>
      <c r="O1635" s="152">
        <f t="shared" si="485"/>
        <v>0</v>
      </c>
      <c r="P1635" s="126">
        <f>IF(E1635="Y",0,SUMIFS('Support - Transition'!G:G,'Support - Transition'!J:J,'Step 2'!D1635,'Support - Transition'!E:E,"2009 SCHOOL ALLOCATION FACTOR"))</f>
        <v>0</v>
      </c>
      <c r="Q1635" s="126">
        <f>IF(E1635="Y",VLOOKUP(D1635,'Support - Unit Adjustments'!F:G,2,FALSE),0)</f>
        <v>0</v>
      </c>
      <c r="R1635" s="155">
        <f t="shared" si="497"/>
        <v>0</v>
      </c>
      <c r="S1635" s="47">
        <f t="shared" si="496"/>
        <v>0</v>
      </c>
      <c r="T1635" s="151">
        <f t="shared" si="481"/>
        <v>109941</v>
      </c>
      <c r="U1635" s="151">
        <f t="shared" si="482"/>
        <v>0</v>
      </c>
      <c r="V1635" s="139">
        <f t="shared" si="483"/>
        <v>0</v>
      </c>
      <c r="W1635" s="152">
        <f t="shared" si="486"/>
        <v>109941</v>
      </c>
      <c r="X1635" s="127" t="str">
        <f t="shared" si="484"/>
        <v/>
      </c>
      <c r="Y1635" s="207">
        <f t="shared" si="487"/>
        <v>109941</v>
      </c>
      <c r="Z1635" s="139">
        <f t="shared" si="488"/>
        <v>109941</v>
      </c>
      <c r="AA1635" s="139">
        <f t="shared" si="489"/>
        <v>0</v>
      </c>
      <c r="AC1635" s="47">
        <f t="shared" si="490"/>
        <v>54971</v>
      </c>
      <c r="AD1635" s="47">
        <f t="shared" si="491"/>
        <v>54971</v>
      </c>
      <c r="AE1635" s="47">
        <f t="shared" si="492"/>
        <v>0</v>
      </c>
      <c r="AG1635" s="47">
        <f t="shared" si="493"/>
        <v>54970</v>
      </c>
      <c r="AH1635" s="47">
        <f t="shared" si="494"/>
        <v>54970</v>
      </c>
      <c r="AI1635" s="208">
        <f t="shared" si="495"/>
        <v>0</v>
      </c>
    </row>
    <row r="1636" spans="1:35">
      <c r="A1636" t="s">
        <v>2137</v>
      </c>
      <c r="B1636" t="s">
        <v>3155</v>
      </c>
      <c r="C1636" t="s">
        <v>2852</v>
      </c>
      <c r="D1636" t="s">
        <v>5062</v>
      </c>
      <c r="F1636" t="s">
        <v>1246</v>
      </c>
      <c r="G1636" s="126">
        <f>SUMIFS('Support - Transition'!F:F,'Support - Transition'!B:B,'Step 2'!A1636,'Support - Transition'!C:C,'Step 2'!B1636,'Support - Transition'!D:D,'Step 2'!C1636,'Support - Transition'!E:E,"CIVIL")</f>
        <v>0</v>
      </c>
      <c r="H1636" s="126">
        <f>SUMIFS('Support - Transition'!F:F,'Support - Transition'!B:B,'Step 2'!A1636,'Support - Transition'!C:C,'Step 2'!B1636,'Support - Transition'!D:D,'Step 2'!C1636,'Support - Transition'!E:E,"FIRE")</f>
        <v>0</v>
      </c>
      <c r="I1636" s="126">
        <f>IF(B1636="0",SUMIFS('Support - Transition'!F:F,'Support - Transition'!J:J,'Step 2'!D1636,'Support - Transition'!E:E,"STATE UNIT"),SUMIFS('Support - Transition'!F:F,'Support - Transition'!J:J,'Step 2'!D1636))</f>
        <v>3.993E-3</v>
      </c>
      <c r="J1636" s="126">
        <f>SUMIFS('Support - Unit Adjustments'!E:E,'Support - Unit Adjustments'!F:F,'Step 2'!D1636)</f>
        <v>0</v>
      </c>
      <c r="K1636" s="126">
        <f t="shared" si="479"/>
        <v>3.993E-3</v>
      </c>
      <c r="L1636" s="174">
        <f>VLOOKUP(A1636,'Step 1'!$A:$E,4,FALSE)</f>
        <v>934087</v>
      </c>
      <c r="M1636" s="47">
        <f t="shared" si="480"/>
        <v>3730</v>
      </c>
      <c r="N1636" s="177">
        <f>SUMIFS('Support - Transition'!G:G,'Support - Transition'!J:J,'Step 2'!D1636,'Support - Transition'!E:E,"2009 WELFARE ALLOCATION FACTOR")</f>
        <v>0</v>
      </c>
      <c r="O1636" s="152">
        <f t="shared" si="485"/>
        <v>0</v>
      </c>
      <c r="P1636" s="126">
        <f>IF(E1636="Y",0,SUMIFS('Support - Transition'!G:G,'Support - Transition'!J:J,'Step 2'!D1636,'Support - Transition'!E:E,"2009 SCHOOL ALLOCATION FACTOR"))</f>
        <v>0</v>
      </c>
      <c r="Q1636" s="126">
        <f>IF(E1636="Y",VLOOKUP(D1636,'Support - Unit Adjustments'!F:G,2,FALSE),0)</f>
        <v>0</v>
      </c>
      <c r="R1636" s="155">
        <f t="shared" si="497"/>
        <v>0</v>
      </c>
      <c r="S1636" s="47">
        <f t="shared" si="496"/>
        <v>0</v>
      </c>
      <c r="T1636" s="151">
        <f t="shared" si="481"/>
        <v>3730</v>
      </c>
      <c r="U1636" s="151">
        <f t="shared" si="482"/>
        <v>0</v>
      </c>
      <c r="V1636" s="139">
        <f t="shared" si="483"/>
        <v>0</v>
      </c>
      <c r="W1636" s="152">
        <f t="shared" si="486"/>
        <v>3730</v>
      </c>
      <c r="X1636" s="127" t="str">
        <f t="shared" si="484"/>
        <v/>
      </c>
      <c r="Y1636" s="207">
        <f t="shared" si="487"/>
        <v>3730</v>
      </c>
      <c r="Z1636" s="139">
        <f t="shared" si="488"/>
        <v>3730</v>
      </c>
      <c r="AA1636" s="139">
        <f t="shared" si="489"/>
        <v>0</v>
      </c>
      <c r="AC1636" s="47">
        <f t="shared" si="490"/>
        <v>1865</v>
      </c>
      <c r="AD1636" s="47">
        <f t="shared" si="491"/>
        <v>1865</v>
      </c>
      <c r="AE1636" s="47">
        <f t="shared" si="492"/>
        <v>0</v>
      </c>
      <c r="AG1636" s="47">
        <f t="shared" si="493"/>
        <v>1865</v>
      </c>
      <c r="AH1636" s="47">
        <f t="shared" si="494"/>
        <v>1865</v>
      </c>
      <c r="AI1636" s="208">
        <f t="shared" si="495"/>
        <v>0</v>
      </c>
    </row>
    <row r="1637" spans="1:35">
      <c r="A1637" t="s">
        <v>2137</v>
      </c>
      <c r="B1637" t="s">
        <v>3155</v>
      </c>
      <c r="C1637" t="s">
        <v>2853</v>
      </c>
      <c r="D1637" t="s">
        <v>5063</v>
      </c>
      <c r="F1637" t="s">
        <v>1247</v>
      </c>
      <c r="G1637" s="126">
        <f>SUMIFS('Support - Transition'!F:F,'Support - Transition'!B:B,'Step 2'!A1637,'Support - Transition'!C:C,'Step 2'!B1637,'Support - Transition'!D:D,'Step 2'!C1637,'Support - Transition'!E:E,"CIVIL")</f>
        <v>0</v>
      </c>
      <c r="H1637" s="126">
        <f>SUMIFS('Support - Transition'!F:F,'Support - Transition'!B:B,'Step 2'!A1637,'Support - Transition'!C:C,'Step 2'!B1637,'Support - Transition'!D:D,'Step 2'!C1637,'Support - Transition'!E:E,"FIRE")</f>
        <v>0</v>
      </c>
      <c r="I1637" s="126">
        <f>IF(B1637="0",SUMIFS('Support - Transition'!F:F,'Support - Transition'!J:J,'Step 2'!D1637,'Support - Transition'!E:E,"STATE UNIT"),SUMIFS('Support - Transition'!F:F,'Support - Transition'!J:J,'Step 2'!D1637))</f>
        <v>3.01E-4</v>
      </c>
      <c r="J1637" s="126">
        <f>SUMIFS('Support - Unit Adjustments'!E:E,'Support - Unit Adjustments'!F:F,'Step 2'!D1637)</f>
        <v>0</v>
      </c>
      <c r="K1637" s="126">
        <f t="shared" si="479"/>
        <v>3.01E-4</v>
      </c>
      <c r="L1637" s="174">
        <f>VLOOKUP(A1637,'Step 1'!$A:$E,4,FALSE)</f>
        <v>934087</v>
      </c>
      <c r="M1637" s="47">
        <f t="shared" si="480"/>
        <v>281</v>
      </c>
      <c r="N1637" s="177">
        <f>SUMIFS('Support - Transition'!G:G,'Support - Transition'!J:J,'Step 2'!D1637,'Support - Transition'!E:E,"2009 WELFARE ALLOCATION FACTOR")</f>
        <v>0</v>
      </c>
      <c r="O1637" s="152">
        <f t="shared" si="485"/>
        <v>0</v>
      </c>
      <c r="P1637" s="126">
        <f>IF(E1637="Y",0,SUMIFS('Support - Transition'!G:G,'Support - Transition'!J:J,'Step 2'!D1637,'Support - Transition'!E:E,"2009 SCHOOL ALLOCATION FACTOR"))</f>
        <v>0</v>
      </c>
      <c r="Q1637" s="126">
        <f>IF(E1637="Y",VLOOKUP(D1637,'Support - Unit Adjustments'!F:G,2,FALSE),0)</f>
        <v>0</v>
      </c>
      <c r="R1637" s="155">
        <f t="shared" si="497"/>
        <v>0</v>
      </c>
      <c r="S1637" s="47">
        <f t="shared" si="496"/>
        <v>0</v>
      </c>
      <c r="T1637" s="151">
        <f t="shared" si="481"/>
        <v>281</v>
      </c>
      <c r="U1637" s="151">
        <f t="shared" si="482"/>
        <v>0</v>
      </c>
      <c r="V1637" s="139">
        <f t="shared" si="483"/>
        <v>0</v>
      </c>
      <c r="W1637" s="152">
        <f t="shared" si="486"/>
        <v>281</v>
      </c>
      <c r="X1637" s="127" t="str">
        <f t="shared" si="484"/>
        <v/>
      </c>
      <c r="Y1637" s="207">
        <f t="shared" si="487"/>
        <v>281</v>
      </c>
      <c r="Z1637" s="139">
        <f t="shared" si="488"/>
        <v>281</v>
      </c>
      <c r="AA1637" s="139">
        <f t="shared" si="489"/>
        <v>0</v>
      </c>
      <c r="AC1637" s="47">
        <f t="shared" si="490"/>
        <v>141</v>
      </c>
      <c r="AD1637" s="47">
        <f t="shared" si="491"/>
        <v>141</v>
      </c>
      <c r="AE1637" s="47">
        <f t="shared" si="492"/>
        <v>0</v>
      </c>
      <c r="AG1637" s="47">
        <f t="shared" si="493"/>
        <v>140</v>
      </c>
      <c r="AH1637" s="47">
        <f t="shared" si="494"/>
        <v>140</v>
      </c>
      <c r="AI1637" s="208">
        <f t="shared" si="495"/>
        <v>0</v>
      </c>
    </row>
    <row r="1638" spans="1:35">
      <c r="A1638" t="s">
        <v>2137</v>
      </c>
      <c r="B1638" t="s">
        <v>3160</v>
      </c>
      <c r="C1638" t="s">
        <v>2854</v>
      </c>
      <c r="D1638" t="s">
        <v>5064</v>
      </c>
      <c r="F1638" t="s">
        <v>5065</v>
      </c>
      <c r="G1638" s="126">
        <f>SUMIFS('Support - Transition'!F:F,'Support - Transition'!B:B,'Step 2'!A1638,'Support - Transition'!C:C,'Step 2'!B1638,'Support - Transition'!D:D,'Step 2'!C1638,'Support - Transition'!E:E,"CIVIL")</f>
        <v>0</v>
      </c>
      <c r="H1638" s="126">
        <f>SUMIFS('Support - Transition'!F:F,'Support - Transition'!B:B,'Step 2'!A1638,'Support - Transition'!C:C,'Step 2'!B1638,'Support - Transition'!D:D,'Step 2'!C1638,'Support - Transition'!E:E,"FIRE")</f>
        <v>0</v>
      </c>
      <c r="I1638" s="126">
        <f>IF(B1638="0",SUMIFS('Support - Transition'!F:F,'Support - Transition'!J:J,'Step 2'!D1638,'Support - Transition'!E:E,"STATE UNIT"),SUMIFS('Support - Transition'!F:F,'Support - Transition'!J:J,'Step 2'!D1638))</f>
        <v>9.8303000000000001E-2</v>
      </c>
      <c r="J1638" s="126">
        <f>SUMIFS('Support - Unit Adjustments'!E:E,'Support - Unit Adjustments'!F:F,'Step 2'!D1638)</f>
        <v>0</v>
      </c>
      <c r="K1638" s="126">
        <f t="shared" si="479"/>
        <v>9.8303000000000001E-2</v>
      </c>
      <c r="L1638" s="174">
        <f>VLOOKUP(A1638,'Step 1'!$A:$E,4,FALSE)</f>
        <v>934087</v>
      </c>
      <c r="M1638" s="47">
        <f t="shared" si="480"/>
        <v>91824</v>
      </c>
      <c r="N1638" s="177">
        <f>SUMIFS('Support - Transition'!G:G,'Support - Transition'!J:J,'Step 2'!D1638,'Support - Transition'!E:E,"2009 WELFARE ALLOCATION FACTOR")</f>
        <v>0</v>
      </c>
      <c r="O1638" s="152">
        <f t="shared" si="485"/>
        <v>0</v>
      </c>
      <c r="P1638" s="126">
        <f>IF(E1638="Y",0,SUMIFS('Support - Transition'!G:G,'Support - Transition'!J:J,'Step 2'!D1638,'Support - Transition'!E:E,"2009 SCHOOL ALLOCATION FACTOR"))</f>
        <v>0.46112500000000001</v>
      </c>
      <c r="Q1638" s="126">
        <f>IF(E1638="Y",VLOOKUP(D1638,'Support - Unit Adjustments'!F:G,2,FALSE),0)</f>
        <v>0</v>
      </c>
      <c r="R1638" s="155">
        <f t="shared" si="497"/>
        <v>0.46112500000000001</v>
      </c>
      <c r="S1638" s="47">
        <f t="shared" si="496"/>
        <v>42342</v>
      </c>
      <c r="T1638" s="151">
        <f t="shared" si="481"/>
        <v>49482</v>
      </c>
      <c r="U1638" s="151">
        <f t="shared" si="482"/>
        <v>0</v>
      </c>
      <c r="V1638" s="139">
        <f t="shared" si="483"/>
        <v>0</v>
      </c>
      <c r="W1638" s="152">
        <f t="shared" si="486"/>
        <v>49482</v>
      </c>
      <c r="X1638" s="127" t="str">
        <f t="shared" si="484"/>
        <v/>
      </c>
      <c r="Y1638" s="207">
        <f t="shared" si="487"/>
        <v>49482</v>
      </c>
      <c r="Z1638" s="139">
        <f t="shared" si="488"/>
        <v>49482</v>
      </c>
      <c r="AA1638" s="139">
        <f t="shared" si="489"/>
        <v>0</v>
      </c>
      <c r="AC1638" s="47">
        <f t="shared" si="490"/>
        <v>24741</v>
      </c>
      <c r="AD1638" s="47">
        <f t="shared" si="491"/>
        <v>24741</v>
      </c>
      <c r="AE1638" s="47">
        <f t="shared" si="492"/>
        <v>0</v>
      </c>
      <c r="AG1638" s="47">
        <f t="shared" si="493"/>
        <v>24741</v>
      </c>
      <c r="AH1638" s="47">
        <f t="shared" si="494"/>
        <v>24741</v>
      </c>
      <c r="AI1638" s="208">
        <f t="shared" si="495"/>
        <v>0</v>
      </c>
    </row>
    <row r="1639" spans="1:35">
      <c r="A1639" t="s">
        <v>2137</v>
      </c>
      <c r="B1639" t="s">
        <v>3160</v>
      </c>
      <c r="C1639" t="s">
        <v>2855</v>
      </c>
      <c r="D1639" t="s">
        <v>5066</v>
      </c>
      <c r="F1639" t="s">
        <v>5067</v>
      </c>
      <c r="G1639" s="126">
        <f>SUMIFS('Support - Transition'!F:F,'Support - Transition'!B:B,'Step 2'!A1639,'Support - Transition'!C:C,'Step 2'!B1639,'Support - Transition'!D:D,'Step 2'!C1639,'Support - Transition'!E:E,"CIVIL")</f>
        <v>0</v>
      </c>
      <c r="H1639" s="126">
        <f>SUMIFS('Support - Transition'!F:F,'Support - Transition'!B:B,'Step 2'!A1639,'Support - Transition'!C:C,'Step 2'!B1639,'Support - Transition'!D:D,'Step 2'!C1639,'Support - Transition'!E:E,"FIRE")</f>
        <v>0</v>
      </c>
      <c r="I1639" s="126">
        <f>IF(B1639="0",SUMIFS('Support - Transition'!F:F,'Support - Transition'!J:J,'Step 2'!D1639,'Support - Transition'!E:E,"STATE UNIT"),SUMIFS('Support - Transition'!F:F,'Support - Transition'!J:J,'Step 2'!D1639))</f>
        <v>0.42664600000000003</v>
      </c>
      <c r="J1639" s="126">
        <f>SUMIFS('Support - Unit Adjustments'!E:E,'Support - Unit Adjustments'!F:F,'Step 2'!D1639)</f>
        <v>0</v>
      </c>
      <c r="K1639" s="126">
        <f t="shared" si="479"/>
        <v>0.42664600000000003</v>
      </c>
      <c r="L1639" s="174">
        <f>VLOOKUP(A1639,'Step 1'!$A:$E,4,FALSE)</f>
        <v>934087</v>
      </c>
      <c r="M1639" s="47">
        <f t="shared" si="480"/>
        <v>398524</v>
      </c>
      <c r="N1639" s="177">
        <f>SUMIFS('Support - Transition'!G:G,'Support - Transition'!J:J,'Step 2'!D1639,'Support - Transition'!E:E,"2009 WELFARE ALLOCATION FACTOR")</f>
        <v>0</v>
      </c>
      <c r="O1639" s="152">
        <f t="shared" si="485"/>
        <v>0</v>
      </c>
      <c r="P1639" s="126">
        <f>IF(E1639="Y",0,SUMIFS('Support - Transition'!G:G,'Support - Transition'!J:J,'Step 2'!D1639,'Support - Transition'!E:E,"2009 SCHOOL ALLOCATION FACTOR"))</f>
        <v>0.56552000000000002</v>
      </c>
      <c r="Q1639" s="126">
        <f>IF(E1639="Y",VLOOKUP(D1639,'Support - Unit Adjustments'!F:G,2,FALSE),0)</f>
        <v>0</v>
      </c>
      <c r="R1639" s="155">
        <f t="shared" si="497"/>
        <v>0.56552000000000002</v>
      </c>
      <c r="S1639" s="47">
        <f t="shared" si="496"/>
        <v>225373</v>
      </c>
      <c r="T1639" s="151">
        <f t="shared" si="481"/>
        <v>173151</v>
      </c>
      <c r="U1639" s="151">
        <f t="shared" si="482"/>
        <v>0</v>
      </c>
      <c r="V1639" s="139">
        <f t="shared" si="483"/>
        <v>0</v>
      </c>
      <c r="W1639" s="152">
        <f t="shared" si="486"/>
        <v>173151</v>
      </c>
      <c r="X1639" s="127" t="str">
        <f t="shared" si="484"/>
        <v/>
      </c>
      <c r="Y1639" s="207">
        <f t="shared" si="487"/>
        <v>173151</v>
      </c>
      <c r="Z1639" s="139">
        <f t="shared" si="488"/>
        <v>173151</v>
      </c>
      <c r="AA1639" s="139">
        <f t="shared" si="489"/>
        <v>0</v>
      </c>
      <c r="AC1639" s="47">
        <f t="shared" si="490"/>
        <v>86576</v>
      </c>
      <c r="AD1639" s="47">
        <f t="shared" si="491"/>
        <v>86576</v>
      </c>
      <c r="AE1639" s="47">
        <f t="shared" si="492"/>
        <v>0</v>
      </c>
      <c r="AG1639" s="47">
        <f t="shared" si="493"/>
        <v>86575</v>
      </c>
      <c r="AH1639" s="47">
        <f t="shared" si="494"/>
        <v>86575</v>
      </c>
      <c r="AI1639" s="208">
        <f t="shared" si="495"/>
        <v>0</v>
      </c>
    </row>
    <row r="1640" spans="1:35">
      <c r="A1640" t="s">
        <v>2137</v>
      </c>
      <c r="B1640" t="s">
        <v>3166</v>
      </c>
      <c r="C1640" t="s">
        <v>5068</v>
      </c>
      <c r="D1640" t="s">
        <v>5069</v>
      </c>
      <c r="F1640" t="s">
        <v>1250</v>
      </c>
      <c r="G1640" s="126">
        <f>SUMIFS('Support - Transition'!F:F,'Support - Transition'!B:B,'Step 2'!A1640,'Support - Transition'!C:C,'Step 2'!B1640,'Support - Transition'!D:D,'Step 2'!C1640,'Support - Transition'!E:E,"CIVIL")</f>
        <v>0</v>
      </c>
      <c r="H1640" s="126">
        <f>SUMIFS('Support - Transition'!F:F,'Support - Transition'!B:B,'Step 2'!A1640,'Support - Transition'!C:C,'Step 2'!B1640,'Support - Transition'!D:D,'Step 2'!C1640,'Support - Transition'!E:E,"FIRE")</f>
        <v>0</v>
      </c>
      <c r="I1640" s="126">
        <f>IF(B1640="0",SUMIFS('Support - Transition'!F:F,'Support - Transition'!J:J,'Step 2'!D1640,'Support - Transition'!E:E,"STATE UNIT"),SUMIFS('Support - Transition'!F:F,'Support - Transition'!J:J,'Step 2'!D1640))</f>
        <v>5.7487000000000003E-2</v>
      </c>
      <c r="J1640" s="126">
        <f>SUMIFS('Support - Unit Adjustments'!E:E,'Support - Unit Adjustments'!F:F,'Step 2'!D1640)</f>
        <v>0</v>
      </c>
      <c r="K1640" s="126">
        <f t="shared" si="479"/>
        <v>5.7487000000000003E-2</v>
      </c>
      <c r="L1640" s="174">
        <f>VLOOKUP(A1640,'Step 1'!$A:$E,4,FALSE)</f>
        <v>934087</v>
      </c>
      <c r="M1640" s="47">
        <f t="shared" si="480"/>
        <v>53698</v>
      </c>
      <c r="N1640" s="177">
        <f>SUMIFS('Support - Transition'!G:G,'Support - Transition'!J:J,'Step 2'!D1640,'Support - Transition'!E:E,"2009 WELFARE ALLOCATION FACTOR")</f>
        <v>0</v>
      </c>
      <c r="O1640" s="152">
        <f t="shared" si="485"/>
        <v>0</v>
      </c>
      <c r="P1640" s="126">
        <f>IF(E1640="Y",0,SUMIFS('Support - Transition'!G:G,'Support - Transition'!J:J,'Step 2'!D1640,'Support - Transition'!E:E,"2009 SCHOOL ALLOCATION FACTOR"))</f>
        <v>0</v>
      </c>
      <c r="Q1640" s="126">
        <f>IF(E1640="Y",VLOOKUP(D1640,'Support - Unit Adjustments'!F:G,2,FALSE),0)</f>
        <v>0</v>
      </c>
      <c r="R1640" s="155">
        <f t="shared" si="497"/>
        <v>0</v>
      </c>
      <c r="S1640" s="47">
        <f t="shared" si="496"/>
        <v>0</v>
      </c>
      <c r="T1640" s="151">
        <f t="shared" si="481"/>
        <v>53698</v>
      </c>
      <c r="U1640" s="151">
        <f t="shared" si="482"/>
        <v>0</v>
      </c>
      <c r="V1640" s="139">
        <f t="shared" si="483"/>
        <v>0</v>
      </c>
      <c r="W1640" s="152">
        <f t="shared" si="486"/>
        <v>53698</v>
      </c>
      <c r="X1640" s="127" t="str">
        <f t="shared" si="484"/>
        <v/>
      </c>
      <c r="Y1640" s="207">
        <f t="shared" si="487"/>
        <v>53698</v>
      </c>
      <c r="Z1640" s="139">
        <f t="shared" si="488"/>
        <v>53698</v>
      </c>
      <c r="AA1640" s="139">
        <f t="shared" si="489"/>
        <v>0</v>
      </c>
      <c r="AC1640" s="47">
        <f t="shared" si="490"/>
        <v>26849</v>
      </c>
      <c r="AD1640" s="47">
        <f t="shared" si="491"/>
        <v>26849</v>
      </c>
      <c r="AE1640" s="47">
        <f t="shared" si="492"/>
        <v>0</v>
      </c>
      <c r="AG1640" s="47">
        <f t="shared" si="493"/>
        <v>26849</v>
      </c>
      <c r="AH1640" s="47">
        <f t="shared" si="494"/>
        <v>26849</v>
      </c>
      <c r="AI1640" s="208">
        <f t="shared" si="495"/>
        <v>0</v>
      </c>
    </row>
    <row r="1641" spans="1:35">
      <c r="A1641" t="s">
        <v>2137</v>
      </c>
      <c r="B1641" t="s">
        <v>3170</v>
      </c>
      <c r="C1641" t="s">
        <v>2253</v>
      </c>
      <c r="D1641" t="s">
        <v>5070</v>
      </c>
      <c r="F1641" t="s">
        <v>1251</v>
      </c>
      <c r="G1641" s="126">
        <f>SUMIFS('Support - Transition'!F:F,'Support - Transition'!B:B,'Step 2'!A1641,'Support - Transition'!C:C,'Step 2'!B1641,'Support - Transition'!D:D,'Step 2'!C1641,'Support - Transition'!E:E,"CIVIL")</f>
        <v>0</v>
      </c>
      <c r="H1641" s="126">
        <f>SUMIFS('Support - Transition'!F:F,'Support - Transition'!B:B,'Step 2'!A1641,'Support - Transition'!C:C,'Step 2'!B1641,'Support - Transition'!D:D,'Step 2'!C1641,'Support - Transition'!E:E,"FIRE")</f>
        <v>0</v>
      </c>
      <c r="I1641" s="126">
        <f>IF(B1641="0",SUMIFS('Support - Transition'!F:F,'Support - Transition'!J:J,'Step 2'!D1641,'Support - Transition'!E:E,"STATE UNIT"),SUMIFS('Support - Transition'!F:F,'Support - Transition'!J:J,'Step 2'!D1641))</f>
        <v>4.8380000000000003E-3</v>
      </c>
      <c r="J1641" s="126">
        <f>SUMIFS('Support - Unit Adjustments'!E:E,'Support - Unit Adjustments'!F:F,'Step 2'!D1641)</f>
        <v>0</v>
      </c>
      <c r="K1641" s="126">
        <f t="shared" si="479"/>
        <v>4.8380000000000003E-3</v>
      </c>
      <c r="L1641" s="174">
        <f>VLOOKUP(A1641,'Step 1'!$A:$E,4,FALSE)</f>
        <v>934087</v>
      </c>
      <c r="M1641" s="47">
        <f t="shared" si="480"/>
        <v>4519</v>
      </c>
      <c r="N1641" s="177">
        <f>SUMIFS('Support - Transition'!G:G,'Support - Transition'!J:J,'Step 2'!D1641,'Support - Transition'!E:E,"2009 WELFARE ALLOCATION FACTOR")</f>
        <v>0</v>
      </c>
      <c r="O1641" s="152">
        <f t="shared" si="485"/>
        <v>0</v>
      </c>
      <c r="P1641" s="126">
        <f>IF(E1641="Y",0,SUMIFS('Support - Transition'!G:G,'Support - Transition'!J:J,'Step 2'!D1641,'Support - Transition'!E:E,"2009 SCHOOL ALLOCATION FACTOR"))</f>
        <v>0</v>
      </c>
      <c r="Q1641" s="126">
        <f>IF(E1641="Y",VLOOKUP(D1641,'Support - Unit Adjustments'!F:G,2,FALSE),0)</f>
        <v>0</v>
      </c>
      <c r="R1641" s="155">
        <f t="shared" si="497"/>
        <v>0</v>
      </c>
      <c r="S1641" s="47">
        <f t="shared" si="496"/>
        <v>0</v>
      </c>
      <c r="T1641" s="151">
        <f t="shared" si="481"/>
        <v>4519</v>
      </c>
      <c r="U1641" s="151">
        <f t="shared" si="482"/>
        <v>0</v>
      </c>
      <c r="V1641" s="139">
        <f t="shared" si="483"/>
        <v>0</v>
      </c>
      <c r="W1641" s="152">
        <f t="shared" si="486"/>
        <v>4519</v>
      </c>
      <c r="X1641" s="127" t="str">
        <f t="shared" si="484"/>
        <v/>
      </c>
      <c r="Y1641" s="207">
        <f t="shared" si="487"/>
        <v>4519</v>
      </c>
      <c r="Z1641" s="139">
        <f t="shared" si="488"/>
        <v>4519</v>
      </c>
      <c r="AA1641" s="139">
        <f t="shared" si="489"/>
        <v>0</v>
      </c>
      <c r="AC1641" s="47">
        <f t="shared" si="490"/>
        <v>2260</v>
      </c>
      <c r="AD1641" s="47">
        <f t="shared" si="491"/>
        <v>2260</v>
      </c>
      <c r="AE1641" s="47">
        <f t="shared" si="492"/>
        <v>0</v>
      </c>
      <c r="AG1641" s="47">
        <f t="shared" si="493"/>
        <v>2259</v>
      </c>
      <c r="AH1641" s="47">
        <f t="shared" si="494"/>
        <v>2259</v>
      </c>
      <c r="AI1641" s="208">
        <f t="shared" si="495"/>
        <v>0</v>
      </c>
    </row>
    <row r="1642" spans="1:35">
      <c r="A1642" t="s">
        <v>2137</v>
      </c>
      <c r="B1642" t="s">
        <v>3170</v>
      </c>
      <c r="C1642" t="s">
        <v>3463</v>
      </c>
      <c r="D1642" t="s">
        <v>5071</v>
      </c>
      <c r="F1642" t="s">
        <v>5072</v>
      </c>
      <c r="G1642" s="126">
        <f>SUMIFS('Support - Transition'!F:F,'Support - Transition'!B:B,'Step 2'!A1642,'Support - Transition'!C:C,'Step 2'!B1642,'Support - Transition'!D:D,'Step 2'!C1642,'Support - Transition'!E:E,"CIVIL")</f>
        <v>0</v>
      </c>
      <c r="H1642" s="126">
        <f>SUMIFS('Support - Transition'!F:F,'Support - Transition'!B:B,'Step 2'!A1642,'Support - Transition'!C:C,'Step 2'!B1642,'Support - Transition'!D:D,'Step 2'!C1642,'Support - Transition'!E:E,"FIRE")</f>
        <v>0</v>
      </c>
      <c r="I1642" s="126">
        <f>IF(B1642="0",SUMIFS('Support - Transition'!F:F,'Support - Transition'!J:J,'Step 2'!D1642,'Support - Transition'!E:E,"STATE UNIT"),SUMIFS('Support - Transition'!F:F,'Support - Transition'!J:J,'Step 2'!D1642))</f>
        <v>0</v>
      </c>
      <c r="J1642" s="126">
        <f>SUMIFS('Support - Unit Adjustments'!E:E,'Support - Unit Adjustments'!F:F,'Step 2'!D1642)</f>
        <v>1.2945999999999902E-2</v>
      </c>
      <c r="K1642" s="126">
        <f t="shared" si="479"/>
        <v>1.2945999999999902E-2</v>
      </c>
      <c r="L1642" s="174">
        <f>VLOOKUP(A1642,'Step 1'!$A:$E,4,FALSE)</f>
        <v>934087</v>
      </c>
      <c r="M1642" s="47">
        <f t="shared" si="480"/>
        <v>12093</v>
      </c>
      <c r="N1642" s="177">
        <f>SUMIFS('Support - Transition'!G:G,'Support - Transition'!J:J,'Step 2'!D1642,'Support - Transition'!E:E,"2009 WELFARE ALLOCATION FACTOR")</f>
        <v>0</v>
      </c>
      <c r="O1642" s="152">
        <f t="shared" si="485"/>
        <v>0</v>
      </c>
      <c r="P1642" s="126">
        <f>IF(E1642="Y",0,SUMIFS('Support - Transition'!G:G,'Support - Transition'!J:J,'Step 2'!D1642,'Support - Transition'!E:E,"2009 SCHOOL ALLOCATION FACTOR"))</f>
        <v>0</v>
      </c>
      <c r="Q1642" s="126">
        <f>IF(E1642="Y",VLOOKUP(D1642,'Support - Unit Adjustments'!F:G,2,FALSE),0)</f>
        <v>0</v>
      </c>
      <c r="R1642" s="155">
        <f t="shared" si="497"/>
        <v>0</v>
      </c>
      <c r="S1642" s="47">
        <f t="shared" si="496"/>
        <v>0</v>
      </c>
      <c r="T1642" s="151">
        <f t="shared" si="481"/>
        <v>12093</v>
      </c>
      <c r="U1642" s="151">
        <f t="shared" si="482"/>
        <v>0</v>
      </c>
      <c r="V1642" s="139">
        <f t="shared" si="483"/>
        <v>0</v>
      </c>
      <c r="W1642" s="152">
        <f t="shared" si="486"/>
        <v>12093</v>
      </c>
      <c r="X1642" s="127" t="str">
        <f t="shared" si="484"/>
        <v/>
      </c>
      <c r="Y1642" s="207">
        <f t="shared" si="487"/>
        <v>12093</v>
      </c>
      <c r="Z1642" s="139">
        <f t="shared" si="488"/>
        <v>12093</v>
      </c>
      <c r="AA1642" s="139">
        <f t="shared" si="489"/>
        <v>0</v>
      </c>
      <c r="AC1642" s="47">
        <f t="shared" si="490"/>
        <v>6047</v>
      </c>
      <c r="AD1642" s="47">
        <f t="shared" si="491"/>
        <v>6047</v>
      </c>
      <c r="AE1642" s="47">
        <f t="shared" si="492"/>
        <v>0</v>
      </c>
      <c r="AG1642" s="47">
        <f t="shared" si="493"/>
        <v>6046</v>
      </c>
      <c r="AH1642" s="47">
        <f t="shared" si="494"/>
        <v>6046</v>
      </c>
      <c r="AI1642" s="208">
        <f t="shared" si="495"/>
        <v>0</v>
      </c>
    </row>
    <row r="1643" spans="1:35">
      <c r="A1643" t="s">
        <v>2137</v>
      </c>
      <c r="B1643" t="s">
        <v>3170</v>
      </c>
      <c r="C1643" t="s">
        <v>5073</v>
      </c>
      <c r="D1643" t="s">
        <v>5074</v>
      </c>
      <c r="F1643" t="s">
        <v>5075</v>
      </c>
      <c r="G1643" s="126">
        <f>SUMIFS('Support - Transition'!F:F,'Support - Transition'!B:B,'Step 2'!A1643,'Support - Transition'!C:C,'Step 2'!B1643,'Support - Transition'!D:D,'Step 2'!C1643,'Support - Transition'!E:E,"CIVIL")</f>
        <v>0</v>
      </c>
      <c r="H1643" s="126">
        <f>SUMIFS('Support - Transition'!F:F,'Support - Transition'!B:B,'Step 2'!A1643,'Support - Transition'!C:C,'Step 2'!B1643,'Support - Transition'!D:D,'Step 2'!C1643,'Support - Transition'!E:E,"FIRE")</f>
        <v>0</v>
      </c>
      <c r="I1643" s="126">
        <f>IF(B1643="0",SUMIFS('Support - Transition'!F:F,'Support - Transition'!J:J,'Step 2'!D1643,'Support - Transition'!E:E,"STATE UNIT"),SUMIFS('Support - Transition'!F:F,'Support - Transition'!J:J,'Step 2'!D1643))</f>
        <v>9.665E-3</v>
      </c>
      <c r="J1643" s="126">
        <f>SUMIFS('Support - Unit Adjustments'!E:E,'Support - Unit Adjustments'!F:F,'Step 2'!D1643)</f>
        <v>0</v>
      </c>
      <c r="K1643" s="126">
        <f t="shared" si="479"/>
        <v>9.665E-3</v>
      </c>
      <c r="L1643" s="174">
        <f>VLOOKUP(A1643,'Step 1'!$A:$E,4,FALSE)</f>
        <v>934087</v>
      </c>
      <c r="M1643" s="47">
        <f t="shared" si="480"/>
        <v>9028</v>
      </c>
      <c r="N1643" s="177">
        <f>SUMIFS('Support - Transition'!G:G,'Support - Transition'!J:J,'Step 2'!D1643,'Support - Transition'!E:E,"2009 WELFARE ALLOCATION FACTOR")</f>
        <v>0</v>
      </c>
      <c r="O1643" s="152">
        <f t="shared" si="485"/>
        <v>0</v>
      </c>
      <c r="P1643" s="126">
        <f>IF(E1643="Y",0,SUMIFS('Support - Transition'!G:G,'Support - Transition'!J:J,'Step 2'!D1643,'Support - Transition'!E:E,"2009 SCHOOL ALLOCATION FACTOR"))</f>
        <v>0</v>
      </c>
      <c r="Q1643" s="126">
        <f>IF(E1643="Y",VLOOKUP(D1643,'Support - Unit Adjustments'!F:G,2,FALSE),0)</f>
        <v>0</v>
      </c>
      <c r="R1643" s="155">
        <f t="shared" si="497"/>
        <v>0</v>
      </c>
      <c r="S1643" s="47">
        <f t="shared" si="496"/>
        <v>0</v>
      </c>
      <c r="T1643" s="151">
        <f t="shared" si="481"/>
        <v>9028</v>
      </c>
      <c r="U1643" s="151">
        <f t="shared" si="482"/>
        <v>0</v>
      </c>
      <c r="V1643" s="139">
        <f t="shared" si="483"/>
        <v>0</v>
      </c>
      <c r="W1643" s="152">
        <f t="shared" si="486"/>
        <v>9028</v>
      </c>
      <c r="X1643" s="127" t="str">
        <f t="shared" si="484"/>
        <v/>
      </c>
      <c r="Y1643" s="207">
        <f t="shared" si="487"/>
        <v>9028</v>
      </c>
      <c r="Z1643" s="139">
        <f t="shared" si="488"/>
        <v>9028</v>
      </c>
      <c r="AA1643" s="139">
        <f t="shared" si="489"/>
        <v>0</v>
      </c>
      <c r="AC1643" s="47">
        <f t="shared" si="490"/>
        <v>4514</v>
      </c>
      <c r="AD1643" s="47">
        <f t="shared" si="491"/>
        <v>4514</v>
      </c>
      <c r="AE1643" s="47">
        <f t="shared" si="492"/>
        <v>0</v>
      </c>
      <c r="AG1643" s="47">
        <f t="shared" si="493"/>
        <v>4514</v>
      </c>
      <c r="AH1643" s="47">
        <f t="shared" si="494"/>
        <v>4514</v>
      </c>
      <c r="AI1643" s="208">
        <f t="shared" si="495"/>
        <v>0</v>
      </c>
    </row>
    <row r="1644" spans="1:35">
      <c r="A1644" t="s">
        <v>2137</v>
      </c>
      <c r="B1644" t="s">
        <v>3286</v>
      </c>
      <c r="C1644" t="s">
        <v>3352</v>
      </c>
      <c r="D1644" t="s">
        <v>5076</v>
      </c>
      <c r="F1644" t="s">
        <v>3354</v>
      </c>
      <c r="G1644" s="126">
        <f>SUMIFS('Support - Transition'!F:F,'Support - Transition'!B:B,'Step 2'!A1644,'Support - Transition'!C:C,'Step 2'!B1644,'Support - Transition'!D:D,'Step 2'!C1644,'Support - Transition'!E:E,"CIVIL")</f>
        <v>0</v>
      </c>
      <c r="H1644" s="126">
        <f>SUMIFS('Support - Transition'!F:F,'Support - Transition'!B:B,'Step 2'!A1644,'Support - Transition'!C:C,'Step 2'!B1644,'Support - Transition'!D:D,'Step 2'!C1644,'Support - Transition'!E:E,"FIRE")</f>
        <v>0</v>
      </c>
      <c r="I1644" s="126">
        <f>IF(B1644="0",SUMIFS('Support - Transition'!F:F,'Support - Transition'!J:J,'Step 2'!D1644,'Support - Transition'!E:E,"STATE UNIT"),SUMIFS('Support - Transition'!F:F,'Support - Transition'!J:J,'Step 2'!D1644))</f>
        <v>0</v>
      </c>
      <c r="J1644" s="126">
        <f>SUMIFS('Support - Unit Adjustments'!E:E,'Support - Unit Adjustments'!F:F,'Step 2'!D1644)</f>
        <v>0</v>
      </c>
      <c r="K1644" s="126">
        <f t="shared" si="479"/>
        <v>0</v>
      </c>
      <c r="L1644" s="174">
        <f>VLOOKUP(A1644,'Step 1'!$A:$E,4,FALSE)</f>
        <v>934087</v>
      </c>
      <c r="M1644" s="47">
        <f t="shared" si="480"/>
        <v>0</v>
      </c>
      <c r="N1644" s="177">
        <f>SUMIFS('Support - Transition'!G:G,'Support - Transition'!J:J,'Step 2'!D1644,'Support - Transition'!E:E,"2009 WELFARE ALLOCATION FACTOR")</f>
        <v>0</v>
      </c>
      <c r="O1644" s="152">
        <f t="shared" si="485"/>
        <v>0</v>
      </c>
      <c r="P1644" s="126">
        <f>IF(E1644="Y",0,SUMIFS('Support - Transition'!G:G,'Support - Transition'!J:J,'Step 2'!D1644,'Support - Transition'!E:E,"2009 SCHOOL ALLOCATION FACTOR"))</f>
        <v>0</v>
      </c>
      <c r="Q1644" s="126">
        <f>IF(E1644="Y",VLOOKUP(D1644,'Support - Unit Adjustments'!F:G,2,FALSE),0)</f>
        <v>0</v>
      </c>
      <c r="R1644" s="155">
        <f t="shared" si="497"/>
        <v>0</v>
      </c>
      <c r="S1644" s="47">
        <f t="shared" si="496"/>
        <v>0</v>
      </c>
      <c r="T1644" s="151">
        <f t="shared" si="481"/>
        <v>0</v>
      </c>
      <c r="U1644" s="151">
        <f t="shared" si="482"/>
        <v>0</v>
      </c>
      <c r="V1644" s="139">
        <f t="shared" si="483"/>
        <v>0</v>
      </c>
      <c r="W1644" s="152">
        <f t="shared" si="486"/>
        <v>0</v>
      </c>
      <c r="X1644" s="127" t="str">
        <f t="shared" si="484"/>
        <v/>
      </c>
      <c r="Y1644" s="207">
        <f t="shared" si="487"/>
        <v>0</v>
      </c>
      <c r="Z1644" s="139">
        <f t="shared" si="488"/>
        <v>0</v>
      </c>
      <c r="AA1644" s="139">
        <f t="shared" si="489"/>
        <v>0</v>
      </c>
      <c r="AC1644" s="47">
        <f t="shared" si="490"/>
        <v>0</v>
      </c>
      <c r="AD1644" s="47">
        <f t="shared" si="491"/>
        <v>0</v>
      </c>
      <c r="AE1644" s="47">
        <f t="shared" si="492"/>
        <v>0</v>
      </c>
      <c r="AG1644" s="47">
        <f t="shared" si="493"/>
        <v>0</v>
      </c>
      <c r="AH1644" s="47">
        <f t="shared" si="494"/>
        <v>0</v>
      </c>
      <c r="AI1644" s="208">
        <f t="shared" si="495"/>
        <v>0</v>
      </c>
    </row>
    <row r="1645" spans="1:35">
      <c r="A1645" t="s">
        <v>2138</v>
      </c>
      <c r="B1645" s="48" t="s">
        <v>6274</v>
      </c>
      <c r="C1645" t="s">
        <v>2187</v>
      </c>
      <c r="D1645" t="str">
        <f>A1645&amp;B1645&amp;C1645</f>
        <v>5400000</v>
      </c>
      <c r="F1645" t="s">
        <v>6328</v>
      </c>
      <c r="G1645" s="126">
        <f>SUMIFS('Support - Transition'!F:F,'Support - Transition'!B:B,'Step 2'!A1645,'Support - Transition'!C:C,'Step 2'!B1645,'Support - Transition'!D:D,'Step 2'!C1645,'Support - Transition'!E:E,"CIVIL")</f>
        <v>0</v>
      </c>
      <c r="H1645" s="126">
        <f>SUMIFS('Support - Transition'!F:F,'Support - Transition'!B:B,'Step 2'!A1645,'Support - Transition'!C:C,'Step 2'!B1645,'Support - Transition'!D:D,'Step 2'!C1645,'Support - Transition'!E:E,"FIRE")</f>
        <v>0</v>
      </c>
      <c r="I1645" s="126">
        <f>IF(B1645="0",SUMIFS('Support - Transition'!F:F,'Support - Transition'!J:J,'Step 2'!D1645,'Support - Transition'!E:E,"STATE UNIT"),SUMIFS('Support - Transition'!F:F,'Support - Transition'!J:J,'Step 2'!D1645))</f>
        <v>1.2689999999999999E-3</v>
      </c>
      <c r="J1645" s="126">
        <f>SUMIFS('Support - Unit Adjustments'!E:E,'Support - Unit Adjustments'!F:F,'Step 2'!D1645)</f>
        <v>0</v>
      </c>
      <c r="K1645" s="126">
        <f t="shared" si="479"/>
        <v>1.2689999999999999E-3</v>
      </c>
      <c r="L1645" s="174">
        <f>VLOOKUP(A1645,'Step 1'!$A:$E,4,FALSE)</f>
        <v>331682</v>
      </c>
      <c r="M1645" s="47">
        <f t="shared" si="480"/>
        <v>421</v>
      </c>
      <c r="N1645" s="177">
        <f>SUMIFS('Support - Transition'!G:G,'Support - Transition'!J:J,'Step 2'!D1645,'Support - Transition'!E:E,"2009 WELFARE ALLOCATION FACTOR")</f>
        <v>0</v>
      </c>
      <c r="O1645" s="152">
        <f t="shared" si="485"/>
        <v>0</v>
      </c>
      <c r="P1645" s="126">
        <f>IF(E1645="Y",0,SUMIFS('Support - Transition'!G:G,'Support - Transition'!J:J,'Step 2'!D1645,'Support - Transition'!E:E,"2009 SCHOOL ALLOCATION FACTOR"))</f>
        <v>0</v>
      </c>
      <c r="Q1645" s="126">
        <f>IF(E1645="Y",VLOOKUP(D1645,'Support - Unit Adjustments'!F:G,2,FALSE),0)</f>
        <v>0</v>
      </c>
      <c r="R1645" s="155">
        <f t="shared" si="497"/>
        <v>0</v>
      </c>
      <c r="S1645" s="47">
        <f t="shared" si="496"/>
        <v>0</v>
      </c>
      <c r="T1645" s="151">
        <f t="shared" si="481"/>
        <v>421</v>
      </c>
      <c r="U1645" s="151">
        <f t="shared" si="482"/>
        <v>331682</v>
      </c>
      <c r="V1645" s="139">
        <f t="shared" si="483"/>
        <v>0</v>
      </c>
      <c r="W1645" s="152">
        <f t="shared" si="486"/>
        <v>421</v>
      </c>
      <c r="X1645" s="127">
        <f t="shared" si="484"/>
        <v>0</v>
      </c>
      <c r="Y1645" s="207">
        <f t="shared" si="487"/>
        <v>421</v>
      </c>
      <c r="Z1645" s="139">
        <f t="shared" si="488"/>
        <v>421</v>
      </c>
      <c r="AA1645" s="139">
        <f t="shared" si="489"/>
        <v>0</v>
      </c>
      <c r="AC1645" s="47">
        <f t="shared" si="490"/>
        <v>211</v>
      </c>
      <c r="AD1645" s="47">
        <f t="shared" si="491"/>
        <v>211</v>
      </c>
      <c r="AE1645" s="47">
        <f t="shared" si="492"/>
        <v>0</v>
      </c>
      <c r="AG1645" s="47">
        <f t="shared" si="493"/>
        <v>210</v>
      </c>
      <c r="AH1645" s="47">
        <f t="shared" si="494"/>
        <v>210</v>
      </c>
      <c r="AI1645" s="208">
        <f t="shared" si="495"/>
        <v>0</v>
      </c>
    </row>
    <row r="1646" spans="1:35">
      <c r="A1646" t="s">
        <v>2138</v>
      </c>
      <c r="B1646" t="s">
        <v>3140</v>
      </c>
      <c r="C1646" t="s">
        <v>2187</v>
      </c>
      <c r="D1646" t="s">
        <v>5077</v>
      </c>
      <c r="F1646" t="s">
        <v>1255</v>
      </c>
      <c r="G1646" s="126">
        <f>SUMIFS('Support - Transition'!F:F,'Support - Transition'!B:B,'Step 2'!A1646,'Support - Transition'!C:C,'Step 2'!B1646,'Support - Transition'!D:D,'Step 2'!C1646,'Support - Transition'!E:E,"CIVIL")</f>
        <v>0</v>
      </c>
      <c r="H1646" s="126">
        <f>SUMIFS('Support - Transition'!F:F,'Support - Transition'!B:B,'Step 2'!A1646,'Support - Transition'!C:C,'Step 2'!B1646,'Support - Transition'!D:D,'Step 2'!C1646,'Support - Transition'!E:E,"FIRE")</f>
        <v>0</v>
      </c>
      <c r="I1646" s="126">
        <f>IF(B1646="0",SUMIFS('Support - Transition'!F:F,'Support - Transition'!J:J,'Step 2'!D1646,'Support - Transition'!E:E,"STATE UNIT"),SUMIFS('Support - Transition'!F:F,'Support - Transition'!J:J,'Step 2'!D1646))</f>
        <v>0.14826</v>
      </c>
      <c r="J1646" s="126">
        <f>SUMIFS('Support - Unit Adjustments'!E:E,'Support - Unit Adjustments'!F:F,'Step 2'!D1646)</f>
        <v>0</v>
      </c>
      <c r="K1646" s="126">
        <f t="shared" si="479"/>
        <v>0.14826</v>
      </c>
      <c r="L1646" s="174">
        <f>VLOOKUP(A1646,'Step 1'!$A:$E,4,FALSE)</f>
        <v>331682</v>
      </c>
      <c r="M1646" s="47">
        <f t="shared" si="480"/>
        <v>49175</v>
      </c>
      <c r="N1646" s="177">
        <f>SUMIFS('Support - Transition'!G:G,'Support - Transition'!J:J,'Step 2'!D1646,'Support - Transition'!E:E,"2009 WELFARE ALLOCATION FACTOR")</f>
        <v>0.27552700000000002</v>
      </c>
      <c r="O1646" s="152">
        <f t="shared" si="485"/>
        <v>13549</v>
      </c>
      <c r="P1646" s="126">
        <f>IF(E1646="Y",0,SUMIFS('Support - Transition'!G:G,'Support - Transition'!J:J,'Step 2'!D1646,'Support - Transition'!E:E,"2009 SCHOOL ALLOCATION FACTOR"))</f>
        <v>0</v>
      </c>
      <c r="Q1646" s="126">
        <f>IF(E1646="Y",VLOOKUP(D1646,'Support - Unit Adjustments'!F:G,2,FALSE),0)</f>
        <v>0</v>
      </c>
      <c r="R1646" s="155">
        <f t="shared" si="497"/>
        <v>0</v>
      </c>
      <c r="S1646" s="47">
        <f t="shared" si="496"/>
        <v>0</v>
      </c>
      <c r="T1646" s="151">
        <f t="shared" si="481"/>
        <v>35626</v>
      </c>
      <c r="U1646" s="151">
        <f t="shared" si="482"/>
        <v>0</v>
      </c>
      <c r="V1646" s="139">
        <f t="shared" si="483"/>
        <v>0</v>
      </c>
      <c r="W1646" s="152">
        <f t="shared" si="486"/>
        <v>35626</v>
      </c>
      <c r="X1646" s="127" t="str">
        <f t="shared" si="484"/>
        <v/>
      </c>
      <c r="Y1646" s="207">
        <f t="shared" si="487"/>
        <v>35626</v>
      </c>
      <c r="Z1646" s="139">
        <f t="shared" si="488"/>
        <v>35626</v>
      </c>
      <c r="AA1646" s="139">
        <f t="shared" si="489"/>
        <v>0</v>
      </c>
      <c r="AC1646" s="47">
        <f t="shared" si="490"/>
        <v>17813</v>
      </c>
      <c r="AD1646" s="47">
        <f t="shared" si="491"/>
        <v>17813</v>
      </c>
      <c r="AE1646" s="47">
        <f t="shared" si="492"/>
        <v>0</v>
      </c>
      <c r="AG1646" s="47">
        <f t="shared" si="493"/>
        <v>17813</v>
      </c>
      <c r="AH1646" s="47">
        <f t="shared" si="494"/>
        <v>17813</v>
      </c>
      <c r="AI1646" s="208">
        <f t="shared" si="495"/>
        <v>0</v>
      </c>
    </row>
    <row r="1647" spans="1:35">
      <c r="A1647" t="s">
        <v>2138</v>
      </c>
      <c r="B1647" t="s">
        <v>3142</v>
      </c>
      <c r="C1647" t="s">
        <v>2188</v>
      </c>
      <c r="D1647" t="s">
        <v>5078</v>
      </c>
      <c r="F1647" t="s">
        <v>671</v>
      </c>
      <c r="G1647" s="126">
        <f>SUMIFS('Support - Transition'!F:F,'Support - Transition'!B:B,'Step 2'!A1647,'Support - Transition'!C:C,'Step 2'!B1647,'Support - Transition'!D:D,'Step 2'!C1647,'Support - Transition'!E:E,"CIVIL")</f>
        <v>1.6789999999999999E-3</v>
      </c>
      <c r="H1647" s="126">
        <f>SUMIFS('Support - Transition'!F:F,'Support - Transition'!B:B,'Step 2'!A1647,'Support - Transition'!C:C,'Step 2'!B1647,'Support - Transition'!D:D,'Step 2'!C1647,'Support - Transition'!E:E,"FIRE")</f>
        <v>1.6949999999999999E-3</v>
      </c>
      <c r="I1647" s="126">
        <f>IF(B1647="0",SUMIFS('Support - Transition'!F:F,'Support - Transition'!J:J,'Step 2'!D1647,'Support - Transition'!E:E,"STATE UNIT"),SUMIFS('Support - Transition'!F:F,'Support - Transition'!J:J,'Step 2'!D1647))</f>
        <v>3.3739999999999998E-3</v>
      </c>
      <c r="J1647" s="126">
        <f>SUMIFS('Support - Unit Adjustments'!E:E,'Support - Unit Adjustments'!F:F,'Step 2'!D1647)</f>
        <v>0</v>
      </c>
      <c r="K1647" s="126">
        <f t="shared" si="479"/>
        <v>3.3739999999999998E-3</v>
      </c>
      <c r="L1647" s="174">
        <f>VLOOKUP(A1647,'Step 1'!$A:$E,4,FALSE)</f>
        <v>331682</v>
      </c>
      <c r="M1647" s="47">
        <f t="shared" si="480"/>
        <v>1119</v>
      </c>
      <c r="N1647" s="177">
        <f>SUMIFS('Support - Transition'!G:G,'Support - Transition'!J:J,'Step 2'!D1647,'Support - Transition'!E:E,"2009 WELFARE ALLOCATION FACTOR")</f>
        <v>0</v>
      </c>
      <c r="O1647" s="152">
        <f t="shared" si="485"/>
        <v>0</v>
      </c>
      <c r="P1647" s="126">
        <f>IF(E1647="Y",0,SUMIFS('Support - Transition'!G:G,'Support - Transition'!J:J,'Step 2'!D1647,'Support - Transition'!E:E,"2009 SCHOOL ALLOCATION FACTOR"))</f>
        <v>0</v>
      </c>
      <c r="Q1647" s="126">
        <f>IF(E1647="Y",VLOOKUP(D1647,'Support - Unit Adjustments'!F:G,2,FALSE),0)</f>
        <v>0</v>
      </c>
      <c r="R1647" s="155">
        <f t="shared" si="497"/>
        <v>0</v>
      </c>
      <c r="S1647" s="47">
        <f t="shared" si="496"/>
        <v>0</v>
      </c>
      <c r="T1647" s="151">
        <f t="shared" si="481"/>
        <v>1119</v>
      </c>
      <c r="U1647" s="151">
        <f t="shared" si="482"/>
        <v>0</v>
      </c>
      <c r="V1647" s="139">
        <f t="shared" si="483"/>
        <v>0</v>
      </c>
      <c r="W1647" s="152">
        <f t="shared" si="486"/>
        <v>1119</v>
      </c>
      <c r="X1647" s="127" t="str">
        <f t="shared" si="484"/>
        <v/>
      </c>
      <c r="Y1647" s="207">
        <f t="shared" si="487"/>
        <v>1119</v>
      </c>
      <c r="Z1647" s="139">
        <f t="shared" si="488"/>
        <v>557</v>
      </c>
      <c r="AA1647" s="139">
        <f t="shared" si="489"/>
        <v>562</v>
      </c>
      <c r="AC1647" s="47">
        <f t="shared" si="490"/>
        <v>560</v>
      </c>
      <c r="AD1647" s="47">
        <f t="shared" si="491"/>
        <v>279</v>
      </c>
      <c r="AE1647" s="47">
        <f t="shared" si="492"/>
        <v>281</v>
      </c>
      <c r="AG1647" s="47">
        <f t="shared" si="493"/>
        <v>559</v>
      </c>
      <c r="AH1647" s="47">
        <f t="shared" si="494"/>
        <v>278</v>
      </c>
      <c r="AI1647" s="208">
        <f t="shared" si="495"/>
        <v>281</v>
      </c>
    </row>
    <row r="1648" spans="1:35">
      <c r="A1648" t="s">
        <v>2138</v>
      </c>
      <c r="B1648" t="s">
        <v>3142</v>
      </c>
      <c r="C1648" t="s">
        <v>2189</v>
      </c>
      <c r="D1648" t="s">
        <v>5079</v>
      </c>
      <c r="F1648" t="s">
        <v>895</v>
      </c>
      <c r="G1648" s="126">
        <f>SUMIFS('Support - Transition'!F:F,'Support - Transition'!B:B,'Step 2'!A1648,'Support - Transition'!C:C,'Step 2'!B1648,'Support - Transition'!D:D,'Step 2'!C1648,'Support - Transition'!E:E,"CIVIL")</f>
        <v>2.091E-3</v>
      </c>
      <c r="H1648" s="126">
        <f>SUMIFS('Support - Transition'!F:F,'Support - Transition'!B:B,'Step 2'!A1648,'Support - Transition'!C:C,'Step 2'!B1648,'Support - Transition'!D:D,'Step 2'!C1648,'Support - Transition'!E:E,"FIRE")</f>
        <v>4.37E-4</v>
      </c>
      <c r="I1648" s="126">
        <f>IF(B1648="0",SUMIFS('Support - Transition'!F:F,'Support - Transition'!J:J,'Step 2'!D1648,'Support - Transition'!E:E,"STATE UNIT"),SUMIFS('Support - Transition'!F:F,'Support - Transition'!J:J,'Step 2'!D1648))</f>
        <v>2.5279999999999999E-3</v>
      </c>
      <c r="J1648" s="126">
        <f>SUMIFS('Support - Unit Adjustments'!E:E,'Support - Unit Adjustments'!F:F,'Step 2'!D1648)</f>
        <v>0</v>
      </c>
      <c r="K1648" s="126">
        <f t="shared" si="479"/>
        <v>2.5279999999999999E-3</v>
      </c>
      <c r="L1648" s="174">
        <f>VLOOKUP(A1648,'Step 1'!$A:$E,4,FALSE)</f>
        <v>331682</v>
      </c>
      <c r="M1648" s="47">
        <f t="shared" si="480"/>
        <v>838</v>
      </c>
      <c r="N1648" s="177">
        <f>SUMIFS('Support - Transition'!G:G,'Support - Transition'!J:J,'Step 2'!D1648,'Support - Transition'!E:E,"2009 WELFARE ALLOCATION FACTOR")</f>
        <v>0</v>
      </c>
      <c r="O1648" s="152">
        <f t="shared" si="485"/>
        <v>0</v>
      </c>
      <c r="P1648" s="126">
        <f>IF(E1648="Y",0,SUMIFS('Support - Transition'!G:G,'Support - Transition'!J:J,'Step 2'!D1648,'Support - Transition'!E:E,"2009 SCHOOL ALLOCATION FACTOR"))</f>
        <v>0</v>
      </c>
      <c r="Q1648" s="126">
        <f>IF(E1648="Y",VLOOKUP(D1648,'Support - Unit Adjustments'!F:G,2,FALSE),0)</f>
        <v>0</v>
      </c>
      <c r="R1648" s="155">
        <f t="shared" si="497"/>
        <v>0</v>
      </c>
      <c r="S1648" s="47">
        <f t="shared" si="496"/>
        <v>0</v>
      </c>
      <c r="T1648" s="151">
        <f t="shared" si="481"/>
        <v>838</v>
      </c>
      <c r="U1648" s="151">
        <f t="shared" si="482"/>
        <v>0</v>
      </c>
      <c r="V1648" s="139">
        <f t="shared" si="483"/>
        <v>0</v>
      </c>
      <c r="W1648" s="152">
        <f t="shared" si="486"/>
        <v>838</v>
      </c>
      <c r="X1648" s="127" t="str">
        <f t="shared" si="484"/>
        <v/>
      </c>
      <c r="Y1648" s="207">
        <f t="shared" si="487"/>
        <v>838</v>
      </c>
      <c r="Z1648" s="139">
        <f t="shared" si="488"/>
        <v>693</v>
      </c>
      <c r="AA1648" s="139">
        <f t="shared" si="489"/>
        <v>145</v>
      </c>
      <c r="AC1648" s="47">
        <f t="shared" si="490"/>
        <v>419</v>
      </c>
      <c r="AD1648" s="47">
        <f t="shared" si="491"/>
        <v>347</v>
      </c>
      <c r="AE1648" s="47">
        <f t="shared" si="492"/>
        <v>73</v>
      </c>
      <c r="AG1648" s="47">
        <f t="shared" si="493"/>
        <v>419</v>
      </c>
      <c r="AH1648" s="47">
        <f t="shared" si="494"/>
        <v>346</v>
      </c>
      <c r="AI1648" s="208">
        <f t="shared" si="495"/>
        <v>72</v>
      </c>
    </row>
    <row r="1649" spans="1:35">
      <c r="A1649" t="s">
        <v>2138</v>
      </c>
      <c r="B1649" t="s">
        <v>3142</v>
      </c>
      <c r="C1649" t="s">
        <v>2190</v>
      </c>
      <c r="D1649" t="s">
        <v>5080</v>
      </c>
      <c r="F1649" t="s">
        <v>1256</v>
      </c>
      <c r="G1649" s="126">
        <f>SUMIFS('Support - Transition'!F:F,'Support - Transition'!B:B,'Step 2'!A1649,'Support - Transition'!C:C,'Step 2'!B1649,'Support - Transition'!D:D,'Step 2'!C1649,'Support - Transition'!E:E,"CIVIL")</f>
        <v>6.3699999999999998E-4</v>
      </c>
      <c r="H1649" s="126">
        <f>SUMIFS('Support - Transition'!F:F,'Support - Transition'!B:B,'Step 2'!A1649,'Support - Transition'!C:C,'Step 2'!B1649,'Support - Transition'!D:D,'Step 2'!C1649,'Support - Transition'!E:E,"FIRE")</f>
        <v>2.1699999999999999E-4</v>
      </c>
      <c r="I1649" s="126">
        <f>IF(B1649="0",SUMIFS('Support - Transition'!F:F,'Support - Transition'!J:J,'Step 2'!D1649,'Support - Transition'!E:E,"STATE UNIT"),SUMIFS('Support - Transition'!F:F,'Support - Transition'!J:J,'Step 2'!D1649))</f>
        <v>8.5399999999999994E-4</v>
      </c>
      <c r="J1649" s="126">
        <f>SUMIFS('Support - Unit Adjustments'!E:E,'Support - Unit Adjustments'!F:F,'Step 2'!D1649)</f>
        <v>0</v>
      </c>
      <c r="K1649" s="126">
        <f t="shared" si="479"/>
        <v>8.5399999999999994E-4</v>
      </c>
      <c r="L1649" s="174">
        <f>VLOOKUP(A1649,'Step 1'!$A:$E,4,FALSE)</f>
        <v>331682</v>
      </c>
      <c r="M1649" s="47">
        <f t="shared" si="480"/>
        <v>283</v>
      </c>
      <c r="N1649" s="177">
        <f>SUMIFS('Support - Transition'!G:G,'Support - Transition'!J:J,'Step 2'!D1649,'Support - Transition'!E:E,"2009 WELFARE ALLOCATION FACTOR")</f>
        <v>0</v>
      </c>
      <c r="O1649" s="152">
        <f t="shared" si="485"/>
        <v>0</v>
      </c>
      <c r="P1649" s="126">
        <f>IF(E1649="Y",0,SUMIFS('Support - Transition'!G:G,'Support - Transition'!J:J,'Step 2'!D1649,'Support - Transition'!E:E,"2009 SCHOOL ALLOCATION FACTOR"))</f>
        <v>0</v>
      </c>
      <c r="Q1649" s="126">
        <f>IF(E1649="Y",VLOOKUP(D1649,'Support - Unit Adjustments'!F:G,2,FALSE),0)</f>
        <v>0</v>
      </c>
      <c r="R1649" s="155">
        <f t="shared" si="497"/>
        <v>0</v>
      </c>
      <c r="S1649" s="47">
        <f t="shared" si="496"/>
        <v>0</v>
      </c>
      <c r="T1649" s="151">
        <f t="shared" si="481"/>
        <v>283</v>
      </c>
      <c r="U1649" s="151">
        <f t="shared" si="482"/>
        <v>0</v>
      </c>
      <c r="V1649" s="139">
        <f t="shared" si="483"/>
        <v>0</v>
      </c>
      <c r="W1649" s="152">
        <f t="shared" si="486"/>
        <v>283</v>
      </c>
      <c r="X1649" s="127" t="str">
        <f t="shared" si="484"/>
        <v/>
      </c>
      <c r="Y1649" s="207">
        <f t="shared" si="487"/>
        <v>283</v>
      </c>
      <c r="Z1649" s="139">
        <f t="shared" si="488"/>
        <v>211</v>
      </c>
      <c r="AA1649" s="139">
        <f t="shared" si="489"/>
        <v>72</v>
      </c>
      <c r="AC1649" s="47">
        <f t="shared" si="490"/>
        <v>142</v>
      </c>
      <c r="AD1649" s="47">
        <f t="shared" si="491"/>
        <v>106</v>
      </c>
      <c r="AE1649" s="47">
        <f t="shared" si="492"/>
        <v>36</v>
      </c>
      <c r="AG1649" s="47">
        <f t="shared" si="493"/>
        <v>141</v>
      </c>
      <c r="AH1649" s="47">
        <f t="shared" si="494"/>
        <v>105</v>
      </c>
      <c r="AI1649" s="208">
        <f t="shared" si="495"/>
        <v>36</v>
      </c>
    </row>
    <row r="1650" spans="1:35">
      <c r="A1650" t="s">
        <v>2138</v>
      </c>
      <c r="B1650" t="s">
        <v>3142</v>
      </c>
      <c r="C1650" t="s">
        <v>2191</v>
      </c>
      <c r="D1650" t="s">
        <v>5081</v>
      </c>
      <c r="F1650" t="s">
        <v>372</v>
      </c>
      <c r="G1650" s="126">
        <f>SUMIFS('Support - Transition'!F:F,'Support - Transition'!B:B,'Step 2'!A1650,'Support - Transition'!C:C,'Step 2'!B1650,'Support - Transition'!D:D,'Step 2'!C1650,'Support - Transition'!E:E,"CIVIL")</f>
        <v>9.810000000000001E-4</v>
      </c>
      <c r="H1650" s="126">
        <f>SUMIFS('Support - Transition'!F:F,'Support - Transition'!B:B,'Step 2'!A1650,'Support - Transition'!C:C,'Step 2'!B1650,'Support - Transition'!D:D,'Step 2'!C1650,'Support - Transition'!E:E,"FIRE")</f>
        <v>5.1900000000000004E-4</v>
      </c>
      <c r="I1650" s="126">
        <f>IF(B1650="0",SUMIFS('Support - Transition'!F:F,'Support - Transition'!J:J,'Step 2'!D1650,'Support - Transition'!E:E,"STATE UNIT"),SUMIFS('Support - Transition'!F:F,'Support - Transition'!J:J,'Step 2'!D1650))</f>
        <v>1.5E-3</v>
      </c>
      <c r="J1650" s="126">
        <f>SUMIFS('Support - Unit Adjustments'!E:E,'Support - Unit Adjustments'!F:F,'Step 2'!D1650)</f>
        <v>0</v>
      </c>
      <c r="K1650" s="126">
        <f t="shared" si="479"/>
        <v>1.5E-3</v>
      </c>
      <c r="L1650" s="174">
        <f>VLOOKUP(A1650,'Step 1'!$A:$E,4,FALSE)</f>
        <v>331682</v>
      </c>
      <c r="M1650" s="47">
        <f t="shared" si="480"/>
        <v>498</v>
      </c>
      <c r="N1650" s="177">
        <f>SUMIFS('Support - Transition'!G:G,'Support - Transition'!J:J,'Step 2'!D1650,'Support - Transition'!E:E,"2009 WELFARE ALLOCATION FACTOR")</f>
        <v>0</v>
      </c>
      <c r="O1650" s="152">
        <f t="shared" si="485"/>
        <v>0</v>
      </c>
      <c r="P1650" s="126">
        <f>IF(E1650="Y",0,SUMIFS('Support - Transition'!G:G,'Support - Transition'!J:J,'Step 2'!D1650,'Support - Transition'!E:E,"2009 SCHOOL ALLOCATION FACTOR"))</f>
        <v>0</v>
      </c>
      <c r="Q1650" s="126">
        <f>IF(E1650="Y",VLOOKUP(D1650,'Support - Unit Adjustments'!F:G,2,FALSE),0)</f>
        <v>0</v>
      </c>
      <c r="R1650" s="155">
        <f t="shared" si="497"/>
        <v>0</v>
      </c>
      <c r="S1650" s="47">
        <f t="shared" si="496"/>
        <v>0</v>
      </c>
      <c r="T1650" s="151">
        <f t="shared" si="481"/>
        <v>498</v>
      </c>
      <c r="U1650" s="151">
        <f t="shared" si="482"/>
        <v>0</v>
      </c>
      <c r="V1650" s="139">
        <f t="shared" si="483"/>
        <v>0</v>
      </c>
      <c r="W1650" s="152">
        <f t="shared" si="486"/>
        <v>498</v>
      </c>
      <c r="X1650" s="127" t="str">
        <f t="shared" si="484"/>
        <v/>
      </c>
      <c r="Y1650" s="207">
        <f t="shared" si="487"/>
        <v>498</v>
      </c>
      <c r="Z1650" s="139">
        <f t="shared" si="488"/>
        <v>326</v>
      </c>
      <c r="AA1650" s="139">
        <f t="shared" si="489"/>
        <v>172</v>
      </c>
      <c r="AC1650" s="47">
        <f t="shared" si="490"/>
        <v>249</v>
      </c>
      <c r="AD1650" s="47">
        <f t="shared" si="491"/>
        <v>163</v>
      </c>
      <c r="AE1650" s="47">
        <f t="shared" si="492"/>
        <v>86</v>
      </c>
      <c r="AG1650" s="47">
        <f t="shared" si="493"/>
        <v>249</v>
      </c>
      <c r="AH1650" s="47">
        <f t="shared" si="494"/>
        <v>163</v>
      </c>
      <c r="AI1650" s="208">
        <f t="shared" si="495"/>
        <v>86</v>
      </c>
    </row>
    <row r="1651" spans="1:35">
      <c r="A1651" t="s">
        <v>2138</v>
      </c>
      <c r="B1651" t="s">
        <v>3142</v>
      </c>
      <c r="C1651" t="s">
        <v>2192</v>
      </c>
      <c r="D1651" t="s">
        <v>5082</v>
      </c>
      <c r="F1651" t="s">
        <v>52</v>
      </c>
      <c r="G1651" s="126">
        <f>SUMIFS('Support - Transition'!F:F,'Support - Transition'!B:B,'Step 2'!A1651,'Support - Transition'!C:C,'Step 2'!B1651,'Support - Transition'!D:D,'Step 2'!C1651,'Support - Transition'!E:E,"CIVIL")</f>
        <v>5.385E-3</v>
      </c>
      <c r="H1651" s="126">
        <f>SUMIFS('Support - Transition'!F:F,'Support - Transition'!B:B,'Step 2'!A1651,'Support - Transition'!C:C,'Step 2'!B1651,'Support - Transition'!D:D,'Step 2'!C1651,'Support - Transition'!E:E,"FIRE")</f>
        <v>2.7750000000000001E-3</v>
      </c>
      <c r="I1651" s="126">
        <f>IF(B1651="0",SUMIFS('Support - Transition'!F:F,'Support - Transition'!J:J,'Step 2'!D1651,'Support - Transition'!E:E,"STATE UNIT"),SUMIFS('Support - Transition'!F:F,'Support - Transition'!J:J,'Step 2'!D1651))</f>
        <v>8.1600000000000006E-3</v>
      </c>
      <c r="J1651" s="126">
        <f>SUMIFS('Support - Unit Adjustments'!E:E,'Support - Unit Adjustments'!F:F,'Step 2'!D1651)</f>
        <v>0</v>
      </c>
      <c r="K1651" s="126">
        <f t="shared" si="479"/>
        <v>8.1600000000000006E-3</v>
      </c>
      <c r="L1651" s="174">
        <f>VLOOKUP(A1651,'Step 1'!$A:$E,4,FALSE)</f>
        <v>331682</v>
      </c>
      <c r="M1651" s="47">
        <f t="shared" si="480"/>
        <v>2707</v>
      </c>
      <c r="N1651" s="177">
        <f>SUMIFS('Support - Transition'!G:G,'Support - Transition'!J:J,'Step 2'!D1651,'Support - Transition'!E:E,"2009 WELFARE ALLOCATION FACTOR")</f>
        <v>0</v>
      </c>
      <c r="O1651" s="152">
        <f t="shared" si="485"/>
        <v>0</v>
      </c>
      <c r="P1651" s="126">
        <f>IF(E1651="Y",0,SUMIFS('Support - Transition'!G:G,'Support - Transition'!J:J,'Step 2'!D1651,'Support - Transition'!E:E,"2009 SCHOOL ALLOCATION FACTOR"))</f>
        <v>0</v>
      </c>
      <c r="Q1651" s="126">
        <f>IF(E1651="Y",VLOOKUP(D1651,'Support - Unit Adjustments'!F:G,2,FALSE),0)</f>
        <v>0</v>
      </c>
      <c r="R1651" s="155">
        <f t="shared" si="497"/>
        <v>0</v>
      </c>
      <c r="S1651" s="47">
        <f t="shared" si="496"/>
        <v>0</v>
      </c>
      <c r="T1651" s="151">
        <f t="shared" si="481"/>
        <v>2707</v>
      </c>
      <c r="U1651" s="151">
        <f t="shared" si="482"/>
        <v>0</v>
      </c>
      <c r="V1651" s="139">
        <f t="shared" si="483"/>
        <v>0</v>
      </c>
      <c r="W1651" s="152">
        <f t="shared" si="486"/>
        <v>2707</v>
      </c>
      <c r="X1651" s="127" t="str">
        <f t="shared" si="484"/>
        <v/>
      </c>
      <c r="Y1651" s="207">
        <f t="shared" si="487"/>
        <v>2707</v>
      </c>
      <c r="Z1651" s="139">
        <f t="shared" si="488"/>
        <v>1786</v>
      </c>
      <c r="AA1651" s="139">
        <f t="shared" si="489"/>
        <v>921</v>
      </c>
      <c r="AC1651" s="47">
        <f t="shared" si="490"/>
        <v>1354</v>
      </c>
      <c r="AD1651" s="47">
        <f t="shared" si="491"/>
        <v>893</v>
      </c>
      <c r="AE1651" s="47">
        <f t="shared" si="492"/>
        <v>461</v>
      </c>
      <c r="AG1651" s="47">
        <f t="shared" si="493"/>
        <v>1353</v>
      </c>
      <c r="AH1651" s="47">
        <f t="shared" si="494"/>
        <v>893</v>
      </c>
      <c r="AI1651" s="208">
        <f t="shared" si="495"/>
        <v>460</v>
      </c>
    </row>
    <row r="1652" spans="1:35">
      <c r="A1652" t="s">
        <v>2138</v>
      </c>
      <c r="B1652" t="s">
        <v>3142</v>
      </c>
      <c r="C1652" t="s">
        <v>2193</v>
      </c>
      <c r="D1652" t="s">
        <v>5083</v>
      </c>
      <c r="F1652" t="s">
        <v>1257</v>
      </c>
      <c r="G1652" s="126">
        <f>SUMIFS('Support - Transition'!F:F,'Support - Transition'!B:B,'Step 2'!A1652,'Support - Transition'!C:C,'Step 2'!B1652,'Support - Transition'!D:D,'Step 2'!C1652,'Support - Transition'!E:E,"CIVIL")</f>
        <v>1.4649999999999999E-3</v>
      </c>
      <c r="H1652" s="126">
        <f>SUMIFS('Support - Transition'!F:F,'Support - Transition'!B:B,'Step 2'!A1652,'Support - Transition'!C:C,'Step 2'!B1652,'Support - Transition'!D:D,'Step 2'!C1652,'Support - Transition'!E:E,"FIRE")</f>
        <v>6.8099999999999996E-4</v>
      </c>
      <c r="I1652" s="126">
        <f>IF(B1652="0",SUMIFS('Support - Transition'!F:F,'Support - Transition'!J:J,'Step 2'!D1652,'Support - Transition'!E:E,"STATE UNIT"),SUMIFS('Support - Transition'!F:F,'Support - Transition'!J:J,'Step 2'!D1652))</f>
        <v>2.1459999999999999E-3</v>
      </c>
      <c r="J1652" s="126">
        <f>SUMIFS('Support - Unit Adjustments'!E:E,'Support - Unit Adjustments'!F:F,'Step 2'!D1652)</f>
        <v>0</v>
      </c>
      <c r="K1652" s="126">
        <f t="shared" si="479"/>
        <v>2.1459999999999999E-3</v>
      </c>
      <c r="L1652" s="174">
        <f>VLOOKUP(A1652,'Step 1'!$A:$E,4,FALSE)</f>
        <v>331682</v>
      </c>
      <c r="M1652" s="47">
        <f t="shared" si="480"/>
        <v>712</v>
      </c>
      <c r="N1652" s="177">
        <f>SUMIFS('Support - Transition'!G:G,'Support - Transition'!J:J,'Step 2'!D1652,'Support - Transition'!E:E,"2009 WELFARE ALLOCATION FACTOR")</f>
        <v>0</v>
      </c>
      <c r="O1652" s="152">
        <f t="shared" si="485"/>
        <v>0</v>
      </c>
      <c r="P1652" s="126">
        <f>IF(E1652="Y",0,SUMIFS('Support - Transition'!G:G,'Support - Transition'!J:J,'Step 2'!D1652,'Support - Transition'!E:E,"2009 SCHOOL ALLOCATION FACTOR"))</f>
        <v>0</v>
      </c>
      <c r="Q1652" s="126">
        <f>IF(E1652="Y",VLOOKUP(D1652,'Support - Unit Adjustments'!F:G,2,FALSE),0)</f>
        <v>0</v>
      </c>
      <c r="R1652" s="155">
        <f t="shared" si="497"/>
        <v>0</v>
      </c>
      <c r="S1652" s="47">
        <f t="shared" si="496"/>
        <v>0</v>
      </c>
      <c r="T1652" s="151">
        <f t="shared" si="481"/>
        <v>712</v>
      </c>
      <c r="U1652" s="151">
        <f t="shared" si="482"/>
        <v>0</v>
      </c>
      <c r="V1652" s="139">
        <f t="shared" si="483"/>
        <v>0</v>
      </c>
      <c r="W1652" s="152">
        <f t="shared" si="486"/>
        <v>712</v>
      </c>
      <c r="X1652" s="127" t="str">
        <f t="shared" si="484"/>
        <v/>
      </c>
      <c r="Y1652" s="207">
        <f t="shared" si="487"/>
        <v>712</v>
      </c>
      <c r="Z1652" s="139">
        <f t="shared" si="488"/>
        <v>486</v>
      </c>
      <c r="AA1652" s="139">
        <f t="shared" si="489"/>
        <v>226</v>
      </c>
      <c r="AC1652" s="47">
        <f t="shared" si="490"/>
        <v>356</v>
      </c>
      <c r="AD1652" s="47">
        <f t="shared" si="491"/>
        <v>243</v>
      </c>
      <c r="AE1652" s="47">
        <f t="shared" si="492"/>
        <v>113</v>
      </c>
      <c r="AG1652" s="47">
        <f t="shared" si="493"/>
        <v>356</v>
      </c>
      <c r="AH1652" s="47">
        <f t="shared" si="494"/>
        <v>243</v>
      </c>
      <c r="AI1652" s="208">
        <f t="shared" si="495"/>
        <v>113</v>
      </c>
    </row>
    <row r="1653" spans="1:35">
      <c r="A1653" t="s">
        <v>2138</v>
      </c>
      <c r="B1653" t="s">
        <v>3142</v>
      </c>
      <c r="C1653" t="s">
        <v>2194</v>
      </c>
      <c r="D1653" t="s">
        <v>5084</v>
      </c>
      <c r="F1653" t="s">
        <v>954</v>
      </c>
      <c r="G1653" s="126">
        <f>SUMIFS('Support - Transition'!F:F,'Support - Transition'!B:B,'Step 2'!A1653,'Support - Transition'!C:C,'Step 2'!B1653,'Support - Transition'!D:D,'Step 2'!C1653,'Support - Transition'!E:E,"CIVIL")</f>
        <v>4.26E-4</v>
      </c>
      <c r="H1653" s="126">
        <f>SUMIFS('Support - Transition'!F:F,'Support - Transition'!B:B,'Step 2'!A1653,'Support - Transition'!C:C,'Step 2'!B1653,'Support - Transition'!D:D,'Step 2'!C1653,'Support - Transition'!E:E,"FIRE")</f>
        <v>1.1950000000000001E-3</v>
      </c>
      <c r="I1653" s="126">
        <f>IF(B1653="0",SUMIFS('Support - Transition'!F:F,'Support - Transition'!J:J,'Step 2'!D1653,'Support - Transition'!E:E,"STATE UNIT"),SUMIFS('Support - Transition'!F:F,'Support - Transition'!J:J,'Step 2'!D1653))</f>
        <v>1.621E-3</v>
      </c>
      <c r="J1653" s="126">
        <f>SUMIFS('Support - Unit Adjustments'!E:E,'Support - Unit Adjustments'!F:F,'Step 2'!D1653)</f>
        <v>0</v>
      </c>
      <c r="K1653" s="126">
        <f t="shared" si="479"/>
        <v>1.621E-3</v>
      </c>
      <c r="L1653" s="174">
        <f>VLOOKUP(A1653,'Step 1'!$A:$E,4,FALSE)</f>
        <v>331682</v>
      </c>
      <c r="M1653" s="47">
        <f t="shared" si="480"/>
        <v>538</v>
      </c>
      <c r="N1653" s="177">
        <f>SUMIFS('Support - Transition'!G:G,'Support - Transition'!J:J,'Step 2'!D1653,'Support - Transition'!E:E,"2009 WELFARE ALLOCATION FACTOR")</f>
        <v>0</v>
      </c>
      <c r="O1653" s="152">
        <f t="shared" si="485"/>
        <v>0</v>
      </c>
      <c r="P1653" s="126">
        <f>IF(E1653="Y",0,SUMIFS('Support - Transition'!G:G,'Support - Transition'!J:J,'Step 2'!D1653,'Support - Transition'!E:E,"2009 SCHOOL ALLOCATION FACTOR"))</f>
        <v>0</v>
      </c>
      <c r="Q1653" s="126">
        <f>IF(E1653="Y",VLOOKUP(D1653,'Support - Unit Adjustments'!F:G,2,FALSE),0)</f>
        <v>0</v>
      </c>
      <c r="R1653" s="155">
        <f t="shared" si="497"/>
        <v>0</v>
      </c>
      <c r="S1653" s="47">
        <f t="shared" si="496"/>
        <v>0</v>
      </c>
      <c r="T1653" s="151">
        <f t="shared" si="481"/>
        <v>538</v>
      </c>
      <c r="U1653" s="151">
        <f t="shared" si="482"/>
        <v>0</v>
      </c>
      <c r="V1653" s="139">
        <f t="shared" si="483"/>
        <v>0</v>
      </c>
      <c r="W1653" s="152">
        <f t="shared" si="486"/>
        <v>538</v>
      </c>
      <c r="X1653" s="127" t="str">
        <f t="shared" si="484"/>
        <v/>
      </c>
      <c r="Y1653" s="207">
        <f t="shared" si="487"/>
        <v>538</v>
      </c>
      <c r="Z1653" s="139">
        <f t="shared" si="488"/>
        <v>141</v>
      </c>
      <c r="AA1653" s="139">
        <f t="shared" si="489"/>
        <v>397</v>
      </c>
      <c r="AC1653" s="47">
        <f t="shared" si="490"/>
        <v>269</v>
      </c>
      <c r="AD1653" s="47">
        <f t="shared" si="491"/>
        <v>71</v>
      </c>
      <c r="AE1653" s="47">
        <f t="shared" si="492"/>
        <v>199</v>
      </c>
      <c r="AG1653" s="47">
        <f t="shared" si="493"/>
        <v>269</v>
      </c>
      <c r="AH1653" s="47">
        <f t="shared" si="494"/>
        <v>70</v>
      </c>
      <c r="AI1653" s="208">
        <f t="shared" si="495"/>
        <v>198</v>
      </c>
    </row>
    <row r="1654" spans="1:35">
      <c r="A1654" t="s">
        <v>2138</v>
      </c>
      <c r="B1654" t="s">
        <v>3142</v>
      </c>
      <c r="C1654" t="s">
        <v>2195</v>
      </c>
      <c r="D1654" t="s">
        <v>5085</v>
      </c>
      <c r="F1654" t="s">
        <v>149</v>
      </c>
      <c r="G1654" s="126">
        <f>SUMIFS('Support - Transition'!F:F,'Support - Transition'!B:B,'Step 2'!A1654,'Support - Transition'!C:C,'Step 2'!B1654,'Support - Transition'!D:D,'Step 2'!C1654,'Support - Transition'!E:E,"CIVIL")</f>
        <v>1.3929999999999999E-3</v>
      </c>
      <c r="H1654" s="126">
        <f>SUMIFS('Support - Transition'!F:F,'Support - Transition'!B:B,'Step 2'!A1654,'Support - Transition'!C:C,'Step 2'!B1654,'Support - Transition'!D:D,'Step 2'!C1654,'Support - Transition'!E:E,"FIRE")</f>
        <v>6.8400000000000004E-4</v>
      </c>
      <c r="I1654" s="126">
        <f>IF(B1654="0",SUMIFS('Support - Transition'!F:F,'Support - Transition'!J:J,'Step 2'!D1654,'Support - Transition'!E:E,"STATE UNIT"),SUMIFS('Support - Transition'!F:F,'Support - Transition'!J:J,'Step 2'!D1654))</f>
        <v>2.0769999999999999E-3</v>
      </c>
      <c r="J1654" s="126">
        <f>SUMIFS('Support - Unit Adjustments'!E:E,'Support - Unit Adjustments'!F:F,'Step 2'!D1654)</f>
        <v>0</v>
      </c>
      <c r="K1654" s="126">
        <f t="shared" si="479"/>
        <v>2.0769999999999999E-3</v>
      </c>
      <c r="L1654" s="174">
        <f>VLOOKUP(A1654,'Step 1'!$A:$E,4,FALSE)</f>
        <v>331682</v>
      </c>
      <c r="M1654" s="47">
        <f t="shared" si="480"/>
        <v>689</v>
      </c>
      <c r="N1654" s="177">
        <f>SUMIFS('Support - Transition'!G:G,'Support - Transition'!J:J,'Step 2'!D1654,'Support - Transition'!E:E,"2009 WELFARE ALLOCATION FACTOR")</f>
        <v>0</v>
      </c>
      <c r="O1654" s="152">
        <f t="shared" si="485"/>
        <v>0</v>
      </c>
      <c r="P1654" s="126">
        <f>IF(E1654="Y",0,SUMIFS('Support - Transition'!G:G,'Support - Transition'!J:J,'Step 2'!D1654,'Support - Transition'!E:E,"2009 SCHOOL ALLOCATION FACTOR"))</f>
        <v>0</v>
      </c>
      <c r="Q1654" s="126">
        <f>IF(E1654="Y",VLOOKUP(D1654,'Support - Unit Adjustments'!F:G,2,FALSE),0)</f>
        <v>0</v>
      </c>
      <c r="R1654" s="155">
        <f t="shared" si="497"/>
        <v>0</v>
      </c>
      <c r="S1654" s="47">
        <f t="shared" si="496"/>
        <v>0</v>
      </c>
      <c r="T1654" s="151">
        <f t="shared" si="481"/>
        <v>689</v>
      </c>
      <c r="U1654" s="151">
        <f t="shared" si="482"/>
        <v>0</v>
      </c>
      <c r="V1654" s="139">
        <f t="shared" si="483"/>
        <v>0</v>
      </c>
      <c r="W1654" s="152">
        <f t="shared" si="486"/>
        <v>689</v>
      </c>
      <c r="X1654" s="127" t="str">
        <f t="shared" si="484"/>
        <v/>
      </c>
      <c r="Y1654" s="207">
        <f t="shared" si="487"/>
        <v>689</v>
      </c>
      <c r="Z1654" s="139">
        <f t="shared" si="488"/>
        <v>462</v>
      </c>
      <c r="AA1654" s="139">
        <f t="shared" si="489"/>
        <v>227</v>
      </c>
      <c r="AC1654" s="47">
        <f t="shared" si="490"/>
        <v>345</v>
      </c>
      <c r="AD1654" s="47">
        <f t="shared" si="491"/>
        <v>231</v>
      </c>
      <c r="AE1654" s="47">
        <f t="shared" si="492"/>
        <v>114</v>
      </c>
      <c r="AG1654" s="47">
        <f t="shared" si="493"/>
        <v>344</v>
      </c>
      <c r="AH1654" s="47">
        <f t="shared" si="494"/>
        <v>231</v>
      </c>
      <c r="AI1654" s="208">
        <f t="shared" si="495"/>
        <v>113</v>
      </c>
    </row>
    <row r="1655" spans="1:35">
      <c r="A1655" t="s">
        <v>2138</v>
      </c>
      <c r="B1655" t="s">
        <v>3142</v>
      </c>
      <c r="C1655" t="s">
        <v>2196</v>
      </c>
      <c r="D1655" t="s">
        <v>5086</v>
      </c>
      <c r="F1655" t="s">
        <v>20</v>
      </c>
      <c r="G1655" s="126">
        <f>SUMIFS('Support - Transition'!F:F,'Support - Transition'!B:B,'Step 2'!A1655,'Support - Transition'!C:C,'Step 2'!B1655,'Support - Transition'!D:D,'Step 2'!C1655,'Support - Transition'!E:E,"CIVIL")</f>
        <v>6.0920000000000002E-3</v>
      </c>
      <c r="H1655" s="126">
        <f>SUMIFS('Support - Transition'!F:F,'Support - Transition'!B:B,'Step 2'!A1655,'Support - Transition'!C:C,'Step 2'!B1655,'Support - Transition'!D:D,'Step 2'!C1655,'Support - Transition'!E:E,"FIRE")</f>
        <v>1.753E-3</v>
      </c>
      <c r="I1655" s="126">
        <f>IF(B1655="0",SUMIFS('Support - Transition'!F:F,'Support - Transition'!J:J,'Step 2'!D1655,'Support - Transition'!E:E,"STATE UNIT"),SUMIFS('Support - Transition'!F:F,'Support - Transition'!J:J,'Step 2'!D1655))</f>
        <v>7.8449999999999995E-3</v>
      </c>
      <c r="J1655" s="126">
        <f>SUMIFS('Support - Unit Adjustments'!E:E,'Support - Unit Adjustments'!F:F,'Step 2'!D1655)</f>
        <v>0</v>
      </c>
      <c r="K1655" s="126">
        <f t="shared" si="479"/>
        <v>7.8449999999999995E-3</v>
      </c>
      <c r="L1655" s="174">
        <f>VLOOKUP(A1655,'Step 1'!$A:$E,4,FALSE)</f>
        <v>331682</v>
      </c>
      <c r="M1655" s="47">
        <f t="shared" si="480"/>
        <v>2602</v>
      </c>
      <c r="N1655" s="177">
        <f>SUMIFS('Support - Transition'!G:G,'Support - Transition'!J:J,'Step 2'!D1655,'Support - Transition'!E:E,"2009 WELFARE ALLOCATION FACTOR")</f>
        <v>0</v>
      </c>
      <c r="O1655" s="152">
        <f t="shared" si="485"/>
        <v>0</v>
      </c>
      <c r="P1655" s="126">
        <f>IF(E1655="Y",0,SUMIFS('Support - Transition'!G:G,'Support - Transition'!J:J,'Step 2'!D1655,'Support - Transition'!E:E,"2009 SCHOOL ALLOCATION FACTOR"))</f>
        <v>0</v>
      </c>
      <c r="Q1655" s="126">
        <f>IF(E1655="Y",VLOOKUP(D1655,'Support - Unit Adjustments'!F:G,2,FALSE),0)</f>
        <v>0</v>
      </c>
      <c r="R1655" s="155">
        <f t="shared" si="497"/>
        <v>0</v>
      </c>
      <c r="S1655" s="47">
        <f t="shared" si="496"/>
        <v>0</v>
      </c>
      <c r="T1655" s="151">
        <f t="shared" si="481"/>
        <v>2602</v>
      </c>
      <c r="U1655" s="151">
        <f t="shared" si="482"/>
        <v>0</v>
      </c>
      <c r="V1655" s="139">
        <f t="shared" si="483"/>
        <v>0</v>
      </c>
      <c r="W1655" s="152">
        <f t="shared" si="486"/>
        <v>2602</v>
      </c>
      <c r="X1655" s="127" t="str">
        <f t="shared" si="484"/>
        <v/>
      </c>
      <c r="Y1655" s="207">
        <f t="shared" si="487"/>
        <v>2602</v>
      </c>
      <c r="Z1655" s="139">
        <f t="shared" si="488"/>
        <v>2021</v>
      </c>
      <c r="AA1655" s="139">
        <f t="shared" si="489"/>
        <v>581</v>
      </c>
      <c r="AC1655" s="47">
        <f t="shared" si="490"/>
        <v>1301</v>
      </c>
      <c r="AD1655" s="47">
        <f t="shared" si="491"/>
        <v>1011</v>
      </c>
      <c r="AE1655" s="47">
        <f t="shared" si="492"/>
        <v>291</v>
      </c>
      <c r="AG1655" s="47">
        <f t="shared" si="493"/>
        <v>1301</v>
      </c>
      <c r="AH1655" s="47">
        <f t="shared" si="494"/>
        <v>1010</v>
      </c>
      <c r="AI1655" s="208">
        <f t="shared" si="495"/>
        <v>290</v>
      </c>
    </row>
    <row r="1656" spans="1:35">
      <c r="A1656" t="s">
        <v>2138</v>
      </c>
      <c r="B1656" t="s">
        <v>3142</v>
      </c>
      <c r="C1656" t="s">
        <v>2197</v>
      </c>
      <c r="D1656" t="s">
        <v>5087</v>
      </c>
      <c r="F1656" t="s">
        <v>1192</v>
      </c>
      <c r="G1656" s="126">
        <f>SUMIFS('Support - Transition'!F:F,'Support - Transition'!B:B,'Step 2'!A1656,'Support - Transition'!C:C,'Step 2'!B1656,'Support - Transition'!D:D,'Step 2'!C1656,'Support - Transition'!E:E,"CIVIL")</f>
        <v>5.5500000000000005E-4</v>
      </c>
      <c r="H1656" s="126">
        <f>SUMIFS('Support - Transition'!F:F,'Support - Transition'!B:B,'Step 2'!A1656,'Support - Transition'!C:C,'Step 2'!B1656,'Support - Transition'!D:D,'Step 2'!C1656,'Support - Transition'!E:E,"FIRE")</f>
        <v>3.5199999999999999E-4</v>
      </c>
      <c r="I1656" s="126">
        <f>IF(B1656="0",SUMIFS('Support - Transition'!F:F,'Support - Transition'!J:J,'Step 2'!D1656,'Support - Transition'!E:E,"STATE UNIT"),SUMIFS('Support - Transition'!F:F,'Support - Transition'!J:J,'Step 2'!D1656))</f>
        <v>9.0700000000000004E-4</v>
      </c>
      <c r="J1656" s="126">
        <f>SUMIFS('Support - Unit Adjustments'!E:E,'Support - Unit Adjustments'!F:F,'Step 2'!D1656)</f>
        <v>0</v>
      </c>
      <c r="K1656" s="126">
        <f t="shared" si="479"/>
        <v>9.0700000000000004E-4</v>
      </c>
      <c r="L1656" s="174">
        <f>VLOOKUP(A1656,'Step 1'!$A:$E,4,FALSE)</f>
        <v>331682</v>
      </c>
      <c r="M1656" s="47">
        <f t="shared" si="480"/>
        <v>301</v>
      </c>
      <c r="N1656" s="177">
        <f>SUMIFS('Support - Transition'!G:G,'Support - Transition'!J:J,'Step 2'!D1656,'Support - Transition'!E:E,"2009 WELFARE ALLOCATION FACTOR")</f>
        <v>0</v>
      </c>
      <c r="O1656" s="152">
        <f t="shared" si="485"/>
        <v>0</v>
      </c>
      <c r="P1656" s="126">
        <f>IF(E1656="Y",0,SUMIFS('Support - Transition'!G:G,'Support - Transition'!J:J,'Step 2'!D1656,'Support - Transition'!E:E,"2009 SCHOOL ALLOCATION FACTOR"))</f>
        <v>0</v>
      </c>
      <c r="Q1656" s="126">
        <f>IF(E1656="Y",VLOOKUP(D1656,'Support - Unit Adjustments'!F:G,2,FALSE),0)</f>
        <v>0</v>
      </c>
      <c r="R1656" s="155">
        <f t="shared" si="497"/>
        <v>0</v>
      </c>
      <c r="S1656" s="47">
        <f t="shared" si="496"/>
        <v>0</v>
      </c>
      <c r="T1656" s="151">
        <f t="shared" si="481"/>
        <v>301</v>
      </c>
      <c r="U1656" s="151">
        <f t="shared" si="482"/>
        <v>0</v>
      </c>
      <c r="V1656" s="139">
        <f t="shared" si="483"/>
        <v>0</v>
      </c>
      <c r="W1656" s="152">
        <f t="shared" si="486"/>
        <v>301</v>
      </c>
      <c r="X1656" s="127" t="str">
        <f t="shared" si="484"/>
        <v/>
      </c>
      <c r="Y1656" s="207">
        <f t="shared" si="487"/>
        <v>301</v>
      </c>
      <c r="Z1656" s="139">
        <f t="shared" si="488"/>
        <v>184</v>
      </c>
      <c r="AA1656" s="139">
        <f t="shared" si="489"/>
        <v>117</v>
      </c>
      <c r="AC1656" s="47">
        <f t="shared" si="490"/>
        <v>151</v>
      </c>
      <c r="AD1656" s="47">
        <f t="shared" si="491"/>
        <v>92</v>
      </c>
      <c r="AE1656" s="47">
        <f t="shared" si="492"/>
        <v>59</v>
      </c>
      <c r="AG1656" s="47">
        <f t="shared" si="493"/>
        <v>150</v>
      </c>
      <c r="AH1656" s="47">
        <f t="shared" si="494"/>
        <v>92</v>
      </c>
      <c r="AI1656" s="208">
        <f t="shared" si="495"/>
        <v>58</v>
      </c>
    </row>
    <row r="1657" spans="1:35">
      <c r="A1657" t="s">
        <v>2138</v>
      </c>
      <c r="B1657" t="s">
        <v>3142</v>
      </c>
      <c r="C1657" t="s">
        <v>2198</v>
      </c>
      <c r="D1657" t="s">
        <v>5088</v>
      </c>
      <c r="F1657" t="s">
        <v>61</v>
      </c>
      <c r="G1657" s="126">
        <f>SUMIFS('Support - Transition'!F:F,'Support - Transition'!B:B,'Step 2'!A1657,'Support - Transition'!C:C,'Step 2'!B1657,'Support - Transition'!D:D,'Step 2'!C1657,'Support - Transition'!E:E,"CIVIL")</f>
        <v>7.8299999999999995E-4</v>
      </c>
      <c r="H1657" s="126">
        <f>SUMIFS('Support - Transition'!F:F,'Support - Transition'!B:B,'Step 2'!A1657,'Support - Transition'!C:C,'Step 2'!B1657,'Support - Transition'!D:D,'Step 2'!C1657,'Support - Transition'!E:E,"FIRE")</f>
        <v>5.6099999999999998E-4</v>
      </c>
      <c r="I1657" s="126">
        <f>IF(B1657="0",SUMIFS('Support - Transition'!F:F,'Support - Transition'!J:J,'Step 2'!D1657,'Support - Transition'!E:E,"STATE UNIT"),SUMIFS('Support - Transition'!F:F,'Support - Transition'!J:J,'Step 2'!D1657))</f>
        <v>1.3439999999999999E-3</v>
      </c>
      <c r="J1657" s="126">
        <f>SUMIFS('Support - Unit Adjustments'!E:E,'Support - Unit Adjustments'!F:F,'Step 2'!D1657)</f>
        <v>0</v>
      </c>
      <c r="K1657" s="126">
        <f t="shared" si="479"/>
        <v>1.3439999999999999E-3</v>
      </c>
      <c r="L1657" s="174">
        <f>VLOOKUP(A1657,'Step 1'!$A:$E,4,FALSE)</f>
        <v>331682</v>
      </c>
      <c r="M1657" s="47">
        <f t="shared" si="480"/>
        <v>446</v>
      </c>
      <c r="N1657" s="177">
        <f>SUMIFS('Support - Transition'!G:G,'Support - Transition'!J:J,'Step 2'!D1657,'Support - Transition'!E:E,"2009 WELFARE ALLOCATION FACTOR")</f>
        <v>0</v>
      </c>
      <c r="O1657" s="152">
        <f t="shared" si="485"/>
        <v>0</v>
      </c>
      <c r="P1657" s="126">
        <f>IF(E1657="Y",0,SUMIFS('Support - Transition'!G:G,'Support - Transition'!J:J,'Step 2'!D1657,'Support - Transition'!E:E,"2009 SCHOOL ALLOCATION FACTOR"))</f>
        <v>0</v>
      </c>
      <c r="Q1657" s="126">
        <f>IF(E1657="Y",VLOOKUP(D1657,'Support - Unit Adjustments'!F:G,2,FALSE),0)</f>
        <v>0</v>
      </c>
      <c r="R1657" s="155">
        <f t="shared" si="497"/>
        <v>0</v>
      </c>
      <c r="S1657" s="47">
        <f t="shared" si="496"/>
        <v>0</v>
      </c>
      <c r="T1657" s="151">
        <f t="shared" si="481"/>
        <v>446</v>
      </c>
      <c r="U1657" s="151">
        <f t="shared" si="482"/>
        <v>0</v>
      </c>
      <c r="V1657" s="139">
        <f t="shared" si="483"/>
        <v>0</v>
      </c>
      <c r="W1657" s="152">
        <f t="shared" si="486"/>
        <v>446</v>
      </c>
      <c r="X1657" s="127" t="str">
        <f t="shared" si="484"/>
        <v/>
      </c>
      <c r="Y1657" s="207">
        <f t="shared" si="487"/>
        <v>446</v>
      </c>
      <c r="Z1657" s="139">
        <f t="shared" si="488"/>
        <v>260</v>
      </c>
      <c r="AA1657" s="139">
        <f t="shared" si="489"/>
        <v>186</v>
      </c>
      <c r="AC1657" s="47">
        <f t="shared" si="490"/>
        <v>223</v>
      </c>
      <c r="AD1657" s="47">
        <f t="shared" si="491"/>
        <v>130</v>
      </c>
      <c r="AE1657" s="47">
        <f t="shared" si="492"/>
        <v>93</v>
      </c>
      <c r="AG1657" s="47">
        <f t="shared" si="493"/>
        <v>223</v>
      </c>
      <c r="AH1657" s="47">
        <f t="shared" si="494"/>
        <v>130</v>
      </c>
      <c r="AI1657" s="208">
        <f t="shared" si="495"/>
        <v>93</v>
      </c>
    </row>
    <row r="1658" spans="1:35">
      <c r="A1658" t="s">
        <v>2138</v>
      </c>
      <c r="B1658" t="s">
        <v>3155</v>
      </c>
      <c r="C1658" t="s">
        <v>2856</v>
      </c>
      <c r="D1658" t="s">
        <v>5089</v>
      </c>
      <c r="F1658" t="s">
        <v>1259</v>
      </c>
      <c r="G1658" s="126">
        <f>SUMIFS('Support - Transition'!F:F,'Support - Transition'!B:B,'Step 2'!A1658,'Support - Transition'!C:C,'Step 2'!B1658,'Support - Transition'!D:D,'Step 2'!C1658,'Support - Transition'!E:E,"CIVIL")</f>
        <v>0</v>
      </c>
      <c r="H1658" s="126">
        <f>SUMIFS('Support - Transition'!F:F,'Support - Transition'!B:B,'Step 2'!A1658,'Support - Transition'!C:C,'Step 2'!B1658,'Support - Transition'!D:D,'Step 2'!C1658,'Support - Transition'!E:E,"FIRE")</f>
        <v>0</v>
      </c>
      <c r="I1658" s="126">
        <f>IF(B1658="0",SUMIFS('Support - Transition'!F:F,'Support - Transition'!J:J,'Step 2'!D1658,'Support - Transition'!E:E,"STATE UNIT"),SUMIFS('Support - Transition'!F:F,'Support - Transition'!J:J,'Step 2'!D1658))</f>
        <v>6.3235E-2</v>
      </c>
      <c r="J1658" s="126">
        <f>SUMIFS('Support - Unit Adjustments'!E:E,'Support - Unit Adjustments'!F:F,'Step 2'!D1658)</f>
        <v>0</v>
      </c>
      <c r="K1658" s="126">
        <f t="shared" si="479"/>
        <v>6.3235E-2</v>
      </c>
      <c r="L1658" s="174">
        <f>VLOOKUP(A1658,'Step 1'!$A:$E,4,FALSE)</f>
        <v>331682</v>
      </c>
      <c r="M1658" s="47">
        <f t="shared" si="480"/>
        <v>20974</v>
      </c>
      <c r="N1658" s="177">
        <f>SUMIFS('Support - Transition'!G:G,'Support - Transition'!J:J,'Step 2'!D1658,'Support - Transition'!E:E,"2009 WELFARE ALLOCATION FACTOR")</f>
        <v>0</v>
      </c>
      <c r="O1658" s="152">
        <f t="shared" si="485"/>
        <v>0</v>
      </c>
      <c r="P1658" s="126">
        <f>IF(E1658="Y",0,SUMIFS('Support - Transition'!G:G,'Support - Transition'!J:J,'Step 2'!D1658,'Support - Transition'!E:E,"2009 SCHOOL ALLOCATION FACTOR"))</f>
        <v>0</v>
      </c>
      <c r="Q1658" s="126">
        <f>IF(E1658="Y",VLOOKUP(D1658,'Support - Unit Adjustments'!F:G,2,FALSE),0)</f>
        <v>0</v>
      </c>
      <c r="R1658" s="155">
        <f t="shared" si="497"/>
        <v>0</v>
      </c>
      <c r="S1658" s="47">
        <f t="shared" si="496"/>
        <v>0</v>
      </c>
      <c r="T1658" s="151">
        <f t="shared" si="481"/>
        <v>20974</v>
      </c>
      <c r="U1658" s="151">
        <f t="shared" si="482"/>
        <v>0</v>
      </c>
      <c r="V1658" s="139">
        <f t="shared" si="483"/>
        <v>0</v>
      </c>
      <c r="W1658" s="152">
        <f t="shared" si="486"/>
        <v>20974</v>
      </c>
      <c r="X1658" s="127" t="str">
        <f t="shared" si="484"/>
        <v/>
      </c>
      <c r="Y1658" s="207">
        <f t="shared" si="487"/>
        <v>20974</v>
      </c>
      <c r="Z1658" s="139">
        <f t="shared" si="488"/>
        <v>20974</v>
      </c>
      <c r="AA1658" s="139">
        <f t="shared" si="489"/>
        <v>0</v>
      </c>
      <c r="AC1658" s="47">
        <f t="shared" si="490"/>
        <v>10487</v>
      </c>
      <c r="AD1658" s="47">
        <f t="shared" si="491"/>
        <v>10487</v>
      </c>
      <c r="AE1658" s="47">
        <f t="shared" si="492"/>
        <v>0</v>
      </c>
      <c r="AG1658" s="47">
        <f t="shared" si="493"/>
        <v>10487</v>
      </c>
      <c r="AH1658" s="47">
        <f t="shared" si="494"/>
        <v>10487</v>
      </c>
      <c r="AI1658" s="208">
        <f t="shared" si="495"/>
        <v>0</v>
      </c>
    </row>
    <row r="1659" spans="1:35">
      <c r="A1659" t="s">
        <v>2138</v>
      </c>
      <c r="B1659" t="s">
        <v>3155</v>
      </c>
      <c r="C1659" t="s">
        <v>2857</v>
      </c>
      <c r="D1659" t="s">
        <v>5090</v>
      </c>
      <c r="F1659" t="s">
        <v>1258</v>
      </c>
      <c r="G1659" s="126">
        <f>SUMIFS('Support - Transition'!F:F,'Support - Transition'!B:B,'Step 2'!A1659,'Support - Transition'!C:C,'Step 2'!B1659,'Support - Transition'!D:D,'Step 2'!C1659,'Support - Transition'!E:E,"CIVIL")</f>
        <v>0</v>
      </c>
      <c r="H1659" s="126">
        <f>SUMIFS('Support - Transition'!F:F,'Support - Transition'!B:B,'Step 2'!A1659,'Support - Transition'!C:C,'Step 2'!B1659,'Support - Transition'!D:D,'Step 2'!C1659,'Support - Transition'!E:E,"FIRE")</f>
        <v>0</v>
      </c>
      <c r="I1659" s="126">
        <f>IF(B1659="0",SUMIFS('Support - Transition'!F:F,'Support - Transition'!J:J,'Step 2'!D1659,'Support - Transition'!E:E,"STATE UNIT"),SUMIFS('Support - Transition'!F:F,'Support - Transition'!J:J,'Step 2'!D1659))</f>
        <v>1.2899999999999999E-4</v>
      </c>
      <c r="J1659" s="126">
        <f>SUMIFS('Support - Unit Adjustments'!E:E,'Support - Unit Adjustments'!F:F,'Step 2'!D1659)</f>
        <v>0</v>
      </c>
      <c r="K1659" s="126">
        <f t="shared" si="479"/>
        <v>1.2899999999999999E-4</v>
      </c>
      <c r="L1659" s="174">
        <f>VLOOKUP(A1659,'Step 1'!$A:$E,4,FALSE)</f>
        <v>331682</v>
      </c>
      <c r="M1659" s="47">
        <f t="shared" si="480"/>
        <v>43</v>
      </c>
      <c r="N1659" s="177">
        <f>SUMIFS('Support - Transition'!G:G,'Support - Transition'!J:J,'Step 2'!D1659,'Support - Transition'!E:E,"2009 WELFARE ALLOCATION FACTOR")</f>
        <v>0</v>
      </c>
      <c r="O1659" s="152">
        <f t="shared" si="485"/>
        <v>0</v>
      </c>
      <c r="P1659" s="126">
        <f>IF(E1659="Y",0,SUMIFS('Support - Transition'!G:G,'Support - Transition'!J:J,'Step 2'!D1659,'Support - Transition'!E:E,"2009 SCHOOL ALLOCATION FACTOR"))</f>
        <v>0</v>
      </c>
      <c r="Q1659" s="126">
        <f>IF(E1659="Y",VLOOKUP(D1659,'Support - Unit Adjustments'!F:G,2,FALSE),0)</f>
        <v>0</v>
      </c>
      <c r="R1659" s="155">
        <f t="shared" si="497"/>
        <v>0</v>
      </c>
      <c r="S1659" s="47">
        <f t="shared" si="496"/>
        <v>0</v>
      </c>
      <c r="T1659" s="151">
        <f t="shared" si="481"/>
        <v>43</v>
      </c>
      <c r="U1659" s="151">
        <f t="shared" si="482"/>
        <v>0</v>
      </c>
      <c r="V1659" s="139">
        <f t="shared" si="483"/>
        <v>0</v>
      </c>
      <c r="W1659" s="152">
        <f t="shared" si="486"/>
        <v>43</v>
      </c>
      <c r="X1659" s="127" t="str">
        <f t="shared" si="484"/>
        <v/>
      </c>
      <c r="Y1659" s="207">
        <f t="shared" si="487"/>
        <v>43</v>
      </c>
      <c r="Z1659" s="139">
        <f t="shared" si="488"/>
        <v>43</v>
      </c>
      <c r="AA1659" s="139">
        <f t="shared" si="489"/>
        <v>0</v>
      </c>
      <c r="AC1659" s="47">
        <f t="shared" si="490"/>
        <v>22</v>
      </c>
      <c r="AD1659" s="47">
        <f t="shared" si="491"/>
        <v>22</v>
      </c>
      <c r="AE1659" s="47">
        <f t="shared" si="492"/>
        <v>0</v>
      </c>
      <c r="AG1659" s="47">
        <f t="shared" si="493"/>
        <v>21</v>
      </c>
      <c r="AH1659" s="47">
        <f t="shared" si="494"/>
        <v>21</v>
      </c>
      <c r="AI1659" s="208">
        <f t="shared" si="495"/>
        <v>0</v>
      </c>
    </row>
    <row r="1660" spans="1:35">
      <c r="A1660" t="s">
        <v>2138</v>
      </c>
      <c r="B1660" t="s">
        <v>3155</v>
      </c>
      <c r="C1660" t="s">
        <v>2858</v>
      </c>
      <c r="D1660" t="s">
        <v>5091</v>
      </c>
      <c r="F1660" t="s">
        <v>1260</v>
      </c>
      <c r="G1660" s="126">
        <f>SUMIFS('Support - Transition'!F:F,'Support - Transition'!B:B,'Step 2'!A1660,'Support - Transition'!C:C,'Step 2'!B1660,'Support - Transition'!D:D,'Step 2'!C1660,'Support - Transition'!E:E,"CIVIL")</f>
        <v>0</v>
      </c>
      <c r="H1660" s="126">
        <f>SUMIFS('Support - Transition'!F:F,'Support - Transition'!B:B,'Step 2'!A1660,'Support - Transition'!C:C,'Step 2'!B1660,'Support - Transition'!D:D,'Step 2'!C1660,'Support - Transition'!E:E,"FIRE")</f>
        <v>0</v>
      </c>
      <c r="I1660" s="126">
        <f>IF(B1660="0",SUMIFS('Support - Transition'!F:F,'Support - Transition'!J:J,'Step 2'!D1660,'Support - Transition'!E:E,"STATE UNIT"),SUMIFS('Support - Transition'!F:F,'Support - Transition'!J:J,'Step 2'!D1660))</f>
        <v>1.9040000000000001E-3</v>
      </c>
      <c r="J1660" s="126">
        <f>SUMIFS('Support - Unit Adjustments'!E:E,'Support - Unit Adjustments'!F:F,'Step 2'!D1660)</f>
        <v>0</v>
      </c>
      <c r="K1660" s="126">
        <f t="shared" si="479"/>
        <v>1.9040000000000001E-3</v>
      </c>
      <c r="L1660" s="174">
        <f>VLOOKUP(A1660,'Step 1'!$A:$E,4,FALSE)</f>
        <v>331682</v>
      </c>
      <c r="M1660" s="47">
        <f t="shared" si="480"/>
        <v>632</v>
      </c>
      <c r="N1660" s="177">
        <f>SUMIFS('Support - Transition'!G:G,'Support - Transition'!J:J,'Step 2'!D1660,'Support - Transition'!E:E,"2009 WELFARE ALLOCATION FACTOR")</f>
        <v>0</v>
      </c>
      <c r="O1660" s="152">
        <f t="shared" si="485"/>
        <v>0</v>
      </c>
      <c r="P1660" s="126">
        <f>IF(E1660="Y",0,SUMIFS('Support - Transition'!G:G,'Support - Transition'!J:J,'Step 2'!D1660,'Support - Transition'!E:E,"2009 SCHOOL ALLOCATION FACTOR"))</f>
        <v>0</v>
      </c>
      <c r="Q1660" s="126">
        <f>IF(E1660="Y",VLOOKUP(D1660,'Support - Unit Adjustments'!F:G,2,FALSE),0)</f>
        <v>0</v>
      </c>
      <c r="R1660" s="155">
        <f t="shared" si="497"/>
        <v>0</v>
      </c>
      <c r="S1660" s="47">
        <f t="shared" si="496"/>
        <v>0</v>
      </c>
      <c r="T1660" s="151">
        <f t="shared" si="481"/>
        <v>632</v>
      </c>
      <c r="U1660" s="151">
        <f t="shared" si="482"/>
        <v>0</v>
      </c>
      <c r="V1660" s="139">
        <f t="shared" si="483"/>
        <v>0</v>
      </c>
      <c r="W1660" s="152">
        <f t="shared" si="486"/>
        <v>632</v>
      </c>
      <c r="X1660" s="127" t="str">
        <f t="shared" si="484"/>
        <v/>
      </c>
      <c r="Y1660" s="207">
        <f t="shared" si="487"/>
        <v>632</v>
      </c>
      <c r="Z1660" s="139">
        <f t="shared" si="488"/>
        <v>632</v>
      </c>
      <c r="AA1660" s="139">
        <f t="shared" si="489"/>
        <v>0</v>
      </c>
      <c r="AC1660" s="47">
        <f t="shared" si="490"/>
        <v>316</v>
      </c>
      <c r="AD1660" s="47">
        <f t="shared" si="491"/>
        <v>316</v>
      </c>
      <c r="AE1660" s="47">
        <f t="shared" si="492"/>
        <v>0</v>
      </c>
      <c r="AG1660" s="47">
        <f t="shared" si="493"/>
        <v>316</v>
      </c>
      <c r="AH1660" s="47">
        <f t="shared" si="494"/>
        <v>316</v>
      </c>
      <c r="AI1660" s="208">
        <f t="shared" si="495"/>
        <v>0</v>
      </c>
    </row>
    <row r="1661" spans="1:35">
      <c r="A1661" t="s">
        <v>2138</v>
      </c>
      <c r="B1661" t="s">
        <v>3155</v>
      </c>
      <c r="C1661" t="s">
        <v>2859</v>
      </c>
      <c r="D1661" t="s">
        <v>5092</v>
      </c>
      <c r="F1661" t="s">
        <v>1261</v>
      </c>
      <c r="G1661" s="126">
        <f>SUMIFS('Support - Transition'!F:F,'Support - Transition'!B:B,'Step 2'!A1661,'Support - Transition'!C:C,'Step 2'!B1661,'Support - Transition'!D:D,'Step 2'!C1661,'Support - Transition'!E:E,"CIVIL")</f>
        <v>0</v>
      </c>
      <c r="H1661" s="126">
        <f>SUMIFS('Support - Transition'!F:F,'Support - Transition'!B:B,'Step 2'!A1661,'Support - Transition'!C:C,'Step 2'!B1661,'Support - Transition'!D:D,'Step 2'!C1661,'Support - Transition'!E:E,"FIRE")</f>
        <v>0</v>
      </c>
      <c r="I1661" s="126">
        <f>IF(B1661="0",SUMIFS('Support - Transition'!F:F,'Support - Transition'!J:J,'Step 2'!D1661,'Support - Transition'!E:E,"STATE UNIT"),SUMIFS('Support - Transition'!F:F,'Support - Transition'!J:J,'Step 2'!D1661))</f>
        <v>9.1200000000000005E-4</v>
      </c>
      <c r="J1661" s="126">
        <f>SUMIFS('Support - Unit Adjustments'!E:E,'Support - Unit Adjustments'!F:F,'Step 2'!D1661)</f>
        <v>0</v>
      </c>
      <c r="K1661" s="126">
        <f t="shared" si="479"/>
        <v>9.1200000000000005E-4</v>
      </c>
      <c r="L1661" s="174">
        <f>VLOOKUP(A1661,'Step 1'!$A:$E,4,FALSE)</f>
        <v>331682</v>
      </c>
      <c r="M1661" s="47">
        <f t="shared" si="480"/>
        <v>302</v>
      </c>
      <c r="N1661" s="177">
        <f>SUMIFS('Support - Transition'!G:G,'Support - Transition'!J:J,'Step 2'!D1661,'Support - Transition'!E:E,"2009 WELFARE ALLOCATION FACTOR")</f>
        <v>0</v>
      </c>
      <c r="O1661" s="152">
        <f t="shared" si="485"/>
        <v>0</v>
      </c>
      <c r="P1661" s="126">
        <f>IF(E1661="Y",0,SUMIFS('Support - Transition'!G:G,'Support - Transition'!J:J,'Step 2'!D1661,'Support - Transition'!E:E,"2009 SCHOOL ALLOCATION FACTOR"))</f>
        <v>0</v>
      </c>
      <c r="Q1661" s="126">
        <f>IF(E1661="Y",VLOOKUP(D1661,'Support - Unit Adjustments'!F:G,2,FALSE),0)</f>
        <v>0</v>
      </c>
      <c r="R1661" s="155">
        <f t="shared" si="497"/>
        <v>0</v>
      </c>
      <c r="S1661" s="47">
        <f t="shared" si="496"/>
        <v>0</v>
      </c>
      <c r="T1661" s="151">
        <f t="shared" si="481"/>
        <v>302</v>
      </c>
      <c r="U1661" s="151">
        <f t="shared" si="482"/>
        <v>0</v>
      </c>
      <c r="V1661" s="139">
        <f t="shared" si="483"/>
        <v>0</v>
      </c>
      <c r="W1661" s="152">
        <f t="shared" si="486"/>
        <v>302</v>
      </c>
      <c r="X1661" s="127" t="str">
        <f t="shared" si="484"/>
        <v/>
      </c>
      <c r="Y1661" s="207">
        <f t="shared" si="487"/>
        <v>302</v>
      </c>
      <c r="Z1661" s="139">
        <f t="shared" si="488"/>
        <v>302</v>
      </c>
      <c r="AA1661" s="139">
        <f t="shared" si="489"/>
        <v>0</v>
      </c>
      <c r="AC1661" s="47">
        <f t="shared" si="490"/>
        <v>151</v>
      </c>
      <c r="AD1661" s="47">
        <f t="shared" si="491"/>
        <v>151</v>
      </c>
      <c r="AE1661" s="47">
        <f t="shared" si="492"/>
        <v>0</v>
      </c>
      <c r="AG1661" s="47">
        <f t="shared" si="493"/>
        <v>151</v>
      </c>
      <c r="AH1661" s="47">
        <f t="shared" si="494"/>
        <v>151</v>
      </c>
      <c r="AI1661" s="208">
        <f t="shared" si="495"/>
        <v>0</v>
      </c>
    </row>
    <row r="1662" spans="1:35">
      <c r="A1662" t="s">
        <v>2138</v>
      </c>
      <c r="B1662" t="s">
        <v>3155</v>
      </c>
      <c r="C1662" t="s">
        <v>2860</v>
      </c>
      <c r="D1662" t="s">
        <v>5093</v>
      </c>
      <c r="F1662" t="s">
        <v>1262</v>
      </c>
      <c r="G1662" s="126">
        <f>SUMIFS('Support - Transition'!F:F,'Support - Transition'!B:B,'Step 2'!A1662,'Support - Transition'!C:C,'Step 2'!B1662,'Support - Transition'!D:D,'Step 2'!C1662,'Support - Transition'!E:E,"CIVIL")</f>
        <v>0</v>
      </c>
      <c r="H1662" s="126">
        <f>SUMIFS('Support - Transition'!F:F,'Support - Transition'!B:B,'Step 2'!A1662,'Support - Transition'!C:C,'Step 2'!B1662,'Support - Transition'!D:D,'Step 2'!C1662,'Support - Transition'!E:E,"FIRE")</f>
        <v>0</v>
      </c>
      <c r="I1662" s="126">
        <f>IF(B1662="0",SUMIFS('Support - Transition'!F:F,'Support - Transition'!J:J,'Step 2'!D1662,'Support - Transition'!E:E,"STATE UNIT"),SUMIFS('Support - Transition'!F:F,'Support - Transition'!J:J,'Step 2'!D1662))</f>
        <v>2.8470000000000001E-3</v>
      </c>
      <c r="J1662" s="126">
        <f>SUMIFS('Support - Unit Adjustments'!E:E,'Support - Unit Adjustments'!F:F,'Step 2'!D1662)</f>
        <v>0</v>
      </c>
      <c r="K1662" s="126">
        <f t="shared" si="479"/>
        <v>2.8470000000000001E-3</v>
      </c>
      <c r="L1662" s="174">
        <f>VLOOKUP(A1662,'Step 1'!$A:$E,4,FALSE)</f>
        <v>331682</v>
      </c>
      <c r="M1662" s="47">
        <f t="shared" si="480"/>
        <v>944</v>
      </c>
      <c r="N1662" s="177">
        <f>SUMIFS('Support - Transition'!G:G,'Support - Transition'!J:J,'Step 2'!D1662,'Support - Transition'!E:E,"2009 WELFARE ALLOCATION FACTOR")</f>
        <v>0</v>
      </c>
      <c r="O1662" s="152">
        <f t="shared" si="485"/>
        <v>0</v>
      </c>
      <c r="P1662" s="126">
        <f>IF(E1662="Y",0,SUMIFS('Support - Transition'!G:G,'Support - Transition'!J:J,'Step 2'!D1662,'Support - Transition'!E:E,"2009 SCHOOL ALLOCATION FACTOR"))</f>
        <v>0</v>
      </c>
      <c r="Q1662" s="126">
        <f>IF(E1662="Y",VLOOKUP(D1662,'Support - Unit Adjustments'!F:G,2,FALSE),0)</f>
        <v>0</v>
      </c>
      <c r="R1662" s="155">
        <f t="shared" si="497"/>
        <v>0</v>
      </c>
      <c r="S1662" s="47">
        <f t="shared" si="496"/>
        <v>0</v>
      </c>
      <c r="T1662" s="151">
        <f t="shared" si="481"/>
        <v>944</v>
      </c>
      <c r="U1662" s="151">
        <f t="shared" si="482"/>
        <v>0</v>
      </c>
      <c r="V1662" s="139">
        <f t="shared" si="483"/>
        <v>0</v>
      </c>
      <c r="W1662" s="152">
        <f t="shared" si="486"/>
        <v>944</v>
      </c>
      <c r="X1662" s="127" t="str">
        <f t="shared" si="484"/>
        <v/>
      </c>
      <c r="Y1662" s="207">
        <f t="shared" si="487"/>
        <v>944</v>
      </c>
      <c r="Z1662" s="139">
        <f t="shared" si="488"/>
        <v>944</v>
      </c>
      <c r="AA1662" s="139">
        <f t="shared" si="489"/>
        <v>0</v>
      </c>
      <c r="AC1662" s="47">
        <f t="shared" si="490"/>
        <v>472</v>
      </c>
      <c r="AD1662" s="47">
        <f t="shared" si="491"/>
        <v>472</v>
      </c>
      <c r="AE1662" s="47">
        <f t="shared" si="492"/>
        <v>0</v>
      </c>
      <c r="AG1662" s="47">
        <f t="shared" si="493"/>
        <v>472</v>
      </c>
      <c r="AH1662" s="47">
        <f t="shared" si="494"/>
        <v>472</v>
      </c>
      <c r="AI1662" s="208">
        <f t="shared" si="495"/>
        <v>0</v>
      </c>
    </row>
    <row r="1663" spans="1:35">
      <c r="A1663" t="s">
        <v>2138</v>
      </c>
      <c r="B1663" t="s">
        <v>3155</v>
      </c>
      <c r="C1663" t="s">
        <v>2861</v>
      </c>
      <c r="D1663" t="s">
        <v>5094</v>
      </c>
      <c r="F1663" t="s">
        <v>1263</v>
      </c>
      <c r="G1663" s="126">
        <f>SUMIFS('Support - Transition'!F:F,'Support - Transition'!B:B,'Step 2'!A1663,'Support - Transition'!C:C,'Step 2'!B1663,'Support - Transition'!D:D,'Step 2'!C1663,'Support - Transition'!E:E,"CIVIL")</f>
        <v>0</v>
      </c>
      <c r="H1663" s="126">
        <f>SUMIFS('Support - Transition'!F:F,'Support - Transition'!B:B,'Step 2'!A1663,'Support - Transition'!C:C,'Step 2'!B1663,'Support - Transition'!D:D,'Step 2'!C1663,'Support - Transition'!E:E,"FIRE")</f>
        <v>0</v>
      </c>
      <c r="I1663" s="126">
        <f>IF(B1663="0",SUMIFS('Support - Transition'!F:F,'Support - Transition'!J:J,'Step 2'!D1663,'Support - Transition'!E:E,"STATE UNIT"),SUMIFS('Support - Transition'!F:F,'Support - Transition'!J:J,'Step 2'!D1663))</f>
        <v>7.8299999999999995E-4</v>
      </c>
      <c r="J1663" s="126">
        <f>SUMIFS('Support - Unit Adjustments'!E:E,'Support - Unit Adjustments'!F:F,'Step 2'!D1663)</f>
        <v>0</v>
      </c>
      <c r="K1663" s="126">
        <f t="shared" si="479"/>
        <v>7.8299999999999995E-4</v>
      </c>
      <c r="L1663" s="174">
        <f>VLOOKUP(A1663,'Step 1'!$A:$E,4,FALSE)</f>
        <v>331682</v>
      </c>
      <c r="M1663" s="47">
        <f t="shared" si="480"/>
        <v>260</v>
      </c>
      <c r="N1663" s="177">
        <f>SUMIFS('Support - Transition'!G:G,'Support - Transition'!J:J,'Step 2'!D1663,'Support - Transition'!E:E,"2009 WELFARE ALLOCATION FACTOR")</f>
        <v>0</v>
      </c>
      <c r="O1663" s="152">
        <f t="shared" si="485"/>
        <v>0</v>
      </c>
      <c r="P1663" s="126">
        <f>IF(E1663="Y",0,SUMIFS('Support - Transition'!G:G,'Support - Transition'!J:J,'Step 2'!D1663,'Support - Transition'!E:E,"2009 SCHOOL ALLOCATION FACTOR"))</f>
        <v>0</v>
      </c>
      <c r="Q1663" s="126">
        <f>IF(E1663="Y",VLOOKUP(D1663,'Support - Unit Adjustments'!F:G,2,FALSE),0)</f>
        <v>0</v>
      </c>
      <c r="R1663" s="155">
        <f t="shared" si="497"/>
        <v>0</v>
      </c>
      <c r="S1663" s="47">
        <f t="shared" si="496"/>
        <v>0</v>
      </c>
      <c r="T1663" s="151">
        <f t="shared" si="481"/>
        <v>260</v>
      </c>
      <c r="U1663" s="151">
        <f t="shared" si="482"/>
        <v>0</v>
      </c>
      <c r="V1663" s="139">
        <f t="shared" si="483"/>
        <v>0</v>
      </c>
      <c r="W1663" s="152">
        <f t="shared" si="486"/>
        <v>260</v>
      </c>
      <c r="X1663" s="127" t="str">
        <f t="shared" si="484"/>
        <v/>
      </c>
      <c r="Y1663" s="207">
        <f t="shared" si="487"/>
        <v>260</v>
      </c>
      <c r="Z1663" s="139">
        <f t="shared" si="488"/>
        <v>260</v>
      </c>
      <c r="AA1663" s="139">
        <f t="shared" si="489"/>
        <v>0</v>
      </c>
      <c r="AC1663" s="47">
        <f t="shared" si="490"/>
        <v>130</v>
      </c>
      <c r="AD1663" s="47">
        <f t="shared" si="491"/>
        <v>130</v>
      </c>
      <c r="AE1663" s="47">
        <f t="shared" si="492"/>
        <v>0</v>
      </c>
      <c r="AG1663" s="47">
        <f t="shared" si="493"/>
        <v>130</v>
      </c>
      <c r="AH1663" s="47">
        <f t="shared" si="494"/>
        <v>130</v>
      </c>
      <c r="AI1663" s="208">
        <f t="shared" si="495"/>
        <v>0</v>
      </c>
    </row>
    <row r="1664" spans="1:35">
      <c r="A1664" t="s">
        <v>2138</v>
      </c>
      <c r="B1664" t="s">
        <v>3155</v>
      </c>
      <c r="C1664" t="s">
        <v>2862</v>
      </c>
      <c r="D1664" t="s">
        <v>5095</v>
      </c>
      <c r="F1664" t="s">
        <v>1266</v>
      </c>
      <c r="G1664" s="126">
        <f>SUMIFS('Support - Transition'!F:F,'Support - Transition'!B:B,'Step 2'!A1664,'Support - Transition'!C:C,'Step 2'!B1664,'Support - Transition'!D:D,'Step 2'!C1664,'Support - Transition'!E:E,"CIVIL")</f>
        <v>0</v>
      </c>
      <c r="H1664" s="126">
        <f>SUMIFS('Support - Transition'!F:F,'Support - Transition'!B:B,'Step 2'!A1664,'Support - Transition'!C:C,'Step 2'!B1664,'Support - Transition'!D:D,'Step 2'!C1664,'Support - Transition'!E:E,"FIRE")</f>
        <v>0</v>
      </c>
      <c r="I1664" s="126">
        <f>IF(B1664="0",SUMIFS('Support - Transition'!F:F,'Support - Transition'!J:J,'Step 2'!D1664,'Support - Transition'!E:E,"STATE UNIT"),SUMIFS('Support - Transition'!F:F,'Support - Transition'!J:J,'Step 2'!D1664))</f>
        <v>5.7700000000000004E-4</v>
      </c>
      <c r="J1664" s="126">
        <f>SUMIFS('Support - Unit Adjustments'!E:E,'Support - Unit Adjustments'!F:F,'Step 2'!D1664)</f>
        <v>0</v>
      </c>
      <c r="K1664" s="126">
        <f t="shared" si="479"/>
        <v>5.7700000000000004E-4</v>
      </c>
      <c r="L1664" s="174">
        <f>VLOOKUP(A1664,'Step 1'!$A:$E,4,FALSE)</f>
        <v>331682</v>
      </c>
      <c r="M1664" s="47">
        <f t="shared" si="480"/>
        <v>191</v>
      </c>
      <c r="N1664" s="177">
        <f>SUMIFS('Support - Transition'!G:G,'Support - Transition'!J:J,'Step 2'!D1664,'Support - Transition'!E:E,"2009 WELFARE ALLOCATION FACTOR")</f>
        <v>0</v>
      </c>
      <c r="O1664" s="152">
        <f t="shared" si="485"/>
        <v>0</v>
      </c>
      <c r="P1664" s="126">
        <f>IF(E1664="Y",0,SUMIFS('Support - Transition'!G:G,'Support - Transition'!J:J,'Step 2'!D1664,'Support - Transition'!E:E,"2009 SCHOOL ALLOCATION FACTOR"))</f>
        <v>0</v>
      </c>
      <c r="Q1664" s="126">
        <f>IF(E1664="Y",VLOOKUP(D1664,'Support - Unit Adjustments'!F:G,2,FALSE),0)</f>
        <v>0</v>
      </c>
      <c r="R1664" s="155">
        <f t="shared" si="497"/>
        <v>0</v>
      </c>
      <c r="S1664" s="47">
        <f t="shared" si="496"/>
        <v>0</v>
      </c>
      <c r="T1664" s="151">
        <f t="shared" si="481"/>
        <v>191</v>
      </c>
      <c r="U1664" s="151">
        <f t="shared" si="482"/>
        <v>0</v>
      </c>
      <c r="V1664" s="139">
        <f t="shared" si="483"/>
        <v>0</v>
      </c>
      <c r="W1664" s="152">
        <f t="shared" si="486"/>
        <v>191</v>
      </c>
      <c r="X1664" s="127" t="str">
        <f t="shared" si="484"/>
        <v/>
      </c>
      <c r="Y1664" s="207">
        <f t="shared" si="487"/>
        <v>191</v>
      </c>
      <c r="Z1664" s="139">
        <f t="shared" si="488"/>
        <v>191</v>
      </c>
      <c r="AA1664" s="139">
        <f t="shared" si="489"/>
        <v>0</v>
      </c>
      <c r="AC1664" s="47">
        <f t="shared" si="490"/>
        <v>96</v>
      </c>
      <c r="AD1664" s="47">
        <f t="shared" si="491"/>
        <v>96</v>
      </c>
      <c r="AE1664" s="47">
        <f t="shared" si="492"/>
        <v>0</v>
      </c>
      <c r="AG1664" s="47">
        <f t="shared" si="493"/>
        <v>95</v>
      </c>
      <c r="AH1664" s="47">
        <f t="shared" si="494"/>
        <v>95</v>
      </c>
      <c r="AI1664" s="208">
        <f t="shared" si="495"/>
        <v>0</v>
      </c>
    </row>
    <row r="1665" spans="1:35">
      <c r="A1665" t="s">
        <v>2138</v>
      </c>
      <c r="B1665" t="s">
        <v>3155</v>
      </c>
      <c r="C1665" t="s">
        <v>2863</v>
      </c>
      <c r="D1665" t="s">
        <v>5096</v>
      </c>
      <c r="F1665" t="s">
        <v>1267</v>
      </c>
      <c r="G1665" s="126">
        <f>SUMIFS('Support - Transition'!F:F,'Support - Transition'!B:B,'Step 2'!A1665,'Support - Transition'!C:C,'Step 2'!B1665,'Support - Transition'!D:D,'Step 2'!C1665,'Support - Transition'!E:E,"CIVIL")</f>
        <v>0</v>
      </c>
      <c r="H1665" s="126">
        <f>SUMIFS('Support - Transition'!F:F,'Support - Transition'!B:B,'Step 2'!A1665,'Support - Transition'!C:C,'Step 2'!B1665,'Support - Transition'!D:D,'Step 2'!C1665,'Support - Transition'!E:E,"FIRE")</f>
        <v>0</v>
      </c>
      <c r="I1665" s="126">
        <f>IF(B1665="0",SUMIFS('Support - Transition'!F:F,'Support - Transition'!J:J,'Step 2'!D1665,'Support - Transition'!E:E,"STATE UNIT"),SUMIFS('Support - Transition'!F:F,'Support - Transition'!J:J,'Step 2'!D1665))</f>
        <v>1.75E-3</v>
      </c>
      <c r="J1665" s="126">
        <f>SUMIFS('Support - Unit Adjustments'!E:E,'Support - Unit Adjustments'!F:F,'Step 2'!D1665)</f>
        <v>0</v>
      </c>
      <c r="K1665" s="126">
        <f t="shared" si="479"/>
        <v>1.75E-3</v>
      </c>
      <c r="L1665" s="174">
        <f>VLOOKUP(A1665,'Step 1'!$A:$E,4,FALSE)</f>
        <v>331682</v>
      </c>
      <c r="M1665" s="47">
        <f t="shared" si="480"/>
        <v>580</v>
      </c>
      <c r="N1665" s="177">
        <f>SUMIFS('Support - Transition'!G:G,'Support - Transition'!J:J,'Step 2'!D1665,'Support - Transition'!E:E,"2009 WELFARE ALLOCATION FACTOR")</f>
        <v>0</v>
      </c>
      <c r="O1665" s="152">
        <f t="shared" si="485"/>
        <v>0</v>
      </c>
      <c r="P1665" s="126">
        <f>IF(E1665="Y",0,SUMIFS('Support - Transition'!G:G,'Support - Transition'!J:J,'Step 2'!D1665,'Support - Transition'!E:E,"2009 SCHOOL ALLOCATION FACTOR"))</f>
        <v>0</v>
      </c>
      <c r="Q1665" s="126">
        <f>IF(E1665="Y",VLOOKUP(D1665,'Support - Unit Adjustments'!F:G,2,FALSE),0)</f>
        <v>0</v>
      </c>
      <c r="R1665" s="155">
        <f t="shared" si="497"/>
        <v>0</v>
      </c>
      <c r="S1665" s="47">
        <f t="shared" si="496"/>
        <v>0</v>
      </c>
      <c r="T1665" s="151">
        <f t="shared" si="481"/>
        <v>580</v>
      </c>
      <c r="U1665" s="151">
        <f t="shared" si="482"/>
        <v>0</v>
      </c>
      <c r="V1665" s="139">
        <f t="shared" si="483"/>
        <v>0</v>
      </c>
      <c r="W1665" s="152">
        <f t="shared" si="486"/>
        <v>580</v>
      </c>
      <c r="X1665" s="127" t="str">
        <f t="shared" si="484"/>
        <v/>
      </c>
      <c r="Y1665" s="207">
        <f t="shared" si="487"/>
        <v>580</v>
      </c>
      <c r="Z1665" s="139">
        <f t="shared" si="488"/>
        <v>580</v>
      </c>
      <c r="AA1665" s="139">
        <f t="shared" si="489"/>
        <v>0</v>
      </c>
      <c r="AC1665" s="47">
        <f t="shared" si="490"/>
        <v>290</v>
      </c>
      <c r="AD1665" s="47">
        <f t="shared" si="491"/>
        <v>290</v>
      </c>
      <c r="AE1665" s="47">
        <f t="shared" si="492"/>
        <v>0</v>
      </c>
      <c r="AG1665" s="47">
        <f t="shared" si="493"/>
        <v>290</v>
      </c>
      <c r="AH1665" s="47">
        <f t="shared" si="494"/>
        <v>290</v>
      </c>
      <c r="AI1665" s="208">
        <f t="shared" si="495"/>
        <v>0</v>
      </c>
    </row>
    <row r="1666" spans="1:35">
      <c r="A1666" t="s">
        <v>2138</v>
      </c>
      <c r="B1666" t="s">
        <v>3155</v>
      </c>
      <c r="C1666" t="s">
        <v>2864</v>
      </c>
      <c r="D1666" t="s">
        <v>5097</v>
      </c>
      <c r="F1666" t="s">
        <v>1268</v>
      </c>
      <c r="G1666" s="126">
        <f>SUMIFS('Support - Transition'!F:F,'Support - Transition'!B:B,'Step 2'!A1666,'Support - Transition'!C:C,'Step 2'!B1666,'Support - Transition'!D:D,'Step 2'!C1666,'Support - Transition'!E:E,"CIVIL")</f>
        <v>0</v>
      </c>
      <c r="H1666" s="126">
        <f>SUMIFS('Support - Transition'!F:F,'Support - Transition'!B:B,'Step 2'!A1666,'Support - Transition'!C:C,'Step 2'!B1666,'Support - Transition'!D:D,'Step 2'!C1666,'Support - Transition'!E:E,"FIRE")</f>
        <v>0</v>
      </c>
      <c r="I1666" s="126">
        <f>IF(B1666="0",SUMIFS('Support - Transition'!F:F,'Support - Transition'!J:J,'Step 2'!D1666,'Support - Transition'!E:E,"STATE UNIT"),SUMIFS('Support - Transition'!F:F,'Support - Transition'!J:J,'Step 2'!D1666))</f>
        <v>1.8990000000000001E-3</v>
      </c>
      <c r="J1666" s="126">
        <f>SUMIFS('Support - Unit Adjustments'!E:E,'Support - Unit Adjustments'!F:F,'Step 2'!D1666)</f>
        <v>0</v>
      </c>
      <c r="K1666" s="126">
        <f t="shared" ref="K1666:K1729" si="498">+I1666+J1666</f>
        <v>1.8990000000000001E-3</v>
      </c>
      <c r="L1666" s="174">
        <f>VLOOKUP(A1666,'Step 1'!$A:$E,4,FALSE)</f>
        <v>331682</v>
      </c>
      <c r="M1666" s="47">
        <f t="shared" ref="M1666:M1729" si="499">ROUND(+K1666*L1666,0)</f>
        <v>630</v>
      </c>
      <c r="N1666" s="177">
        <f>SUMIFS('Support - Transition'!G:G,'Support - Transition'!J:J,'Step 2'!D1666,'Support - Transition'!E:E,"2009 WELFARE ALLOCATION FACTOR")</f>
        <v>0</v>
      </c>
      <c r="O1666" s="152">
        <f t="shared" si="485"/>
        <v>0</v>
      </c>
      <c r="P1666" s="126">
        <f>IF(E1666="Y",0,SUMIFS('Support - Transition'!G:G,'Support - Transition'!J:J,'Step 2'!D1666,'Support - Transition'!E:E,"2009 SCHOOL ALLOCATION FACTOR"))</f>
        <v>0</v>
      </c>
      <c r="Q1666" s="126">
        <f>IF(E1666="Y",VLOOKUP(D1666,'Support - Unit Adjustments'!F:G,2,FALSE),0)</f>
        <v>0</v>
      </c>
      <c r="R1666" s="155">
        <f t="shared" si="497"/>
        <v>0</v>
      </c>
      <c r="S1666" s="47">
        <f t="shared" si="496"/>
        <v>0</v>
      </c>
      <c r="T1666" s="151">
        <f t="shared" ref="T1666:T1729" si="500">ROUND(+M1666-O1666-S1666,2)</f>
        <v>630</v>
      </c>
      <c r="U1666" s="151">
        <f t="shared" ref="U1666:U1729" si="501">IF(B1666="0",SUMIFS(O:O,A:A,A1666)+SUMIFS(S:S,A:A,A1666)+SUMIFS(T:T,A:A,A1666),0)</f>
        <v>0</v>
      </c>
      <c r="V1666" s="139">
        <f t="shared" ref="V1666:V1729" si="502">IF(B1666="0",U1666-L1666,0)</f>
        <v>0</v>
      </c>
      <c r="W1666" s="152">
        <f t="shared" si="486"/>
        <v>630</v>
      </c>
      <c r="X1666" s="127" t="str">
        <f t="shared" ref="X1666:X1729" si="503">IF(B1666="0",SUMIFS(O:O,A:A,A1666)+SUMIFS(S:S,A:A,A1666)+SUMIFS(W:W,A:A,A1666)-L1666,"")</f>
        <v/>
      </c>
      <c r="Y1666" s="207">
        <f t="shared" si="487"/>
        <v>630</v>
      </c>
      <c r="Z1666" s="139">
        <f t="shared" si="488"/>
        <v>630</v>
      </c>
      <c r="AA1666" s="139">
        <f t="shared" si="489"/>
        <v>0</v>
      </c>
      <c r="AC1666" s="47">
        <f t="shared" si="490"/>
        <v>315</v>
      </c>
      <c r="AD1666" s="47">
        <f t="shared" si="491"/>
        <v>315</v>
      </c>
      <c r="AE1666" s="47">
        <f t="shared" si="492"/>
        <v>0</v>
      </c>
      <c r="AG1666" s="47">
        <f t="shared" si="493"/>
        <v>315</v>
      </c>
      <c r="AH1666" s="47">
        <f t="shared" si="494"/>
        <v>315</v>
      </c>
      <c r="AI1666" s="208">
        <f t="shared" si="495"/>
        <v>0</v>
      </c>
    </row>
    <row r="1667" spans="1:35">
      <c r="A1667" t="s">
        <v>2138</v>
      </c>
      <c r="B1667" t="s">
        <v>3155</v>
      </c>
      <c r="C1667" t="s">
        <v>2741</v>
      </c>
      <c r="D1667" t="s">
        <v>5098</v>
      </c>
      <c r="F1667" t="s">
        <v>1264</v>
      </c>
      <c r="G1667" s="126">
        <f>SUMIFS('Support - Transition'!F:F,'Support - Transition'!B:B,'Step 2'!A1667,'Support - Transition'!C:C,'Step 2'!B1667,'Support - Transition'!D:D,'Step 2'!C1667,'Support - Transition'!E:E,"CIVIL")</f>
        <v>0</v>
      </c>
      <c r="H1667" s="126">
        <f>SUMIFS('Support - Transition'!F:F,'Support - Transition'!B:B,'Step 2'!A1667,'Support - Transition'!C:C,'Step 2'!B1667,'Support - Transition'!D:D,'Step 2'!C1667,'Support - Transition'!E:E,"FIRE")</f>
        <v>0</v>
      </c>
      <c r="I1667" s="126">
        <f>IF(B1667="0",SUMIFS('Support - Transition'!F:F,'Support - Transition'!J:J,'Step 2'!D1667,'Support - Transition'!E:E,"STATE UNIT"),SUMIFS('Support - Transition'!F:F,'Support - Transition'!J:J,'Step 2'!D1667))</f>
        <v>0</v>
      </c>
      <c r="J1667" s="126">
        <f>SUMIFS('Support - Unit Adjustments'!E:E,'Support - Unit Adjustments'!F:F,'Step 2'!D1667)</f>
        <v>0</v>
      </c>
      <c r="K1667" s="126">
        <f t="shared" si="498"/>
        <v>0</v>
      </c>
      <c r="L1667" s="174">
        <f>VLOOKUP(A1667,'Step 1'!$A:$E,4,FALSE)</f>
        <v>331682</v>
      </c>
      <c r="M1667" s="47">
        <f t="shared" si="499"/>
        <v>0</v>
      </c>
      <c r="N1667" s="177">
        <f>SUMIFS('Support - Transition'!G:G,'Support - Transition'!J:J,'Step 2'!D1667,'Support - Transition'!E:E,"2009 WELFARE ALLOCATION FACTOR")</f>
        <v>0</v>
      </c>
      <c r="O1667" s="152">
        <f t="shared" ref="O1667:O1730" si="504">ROUND(+N1667*M1667,0)</f>
        <v>0</v>
      </c>
      <c r="P1667" s="126">
        <f>IF(E1667="Y",0,SUMIFS('Support - Transition'!G:G,'Support - Transition'!J:J,'Step 2'!D1667,'Support - Transition'!E:E,"2009 SCHOOL ALLOCATION FACTOR"))</f>
        <v>0</v>
      </c>
      <c r="Q1667" s="126">
        <f>IF(E1667="Y",VLOOKUP(D1667,'Support - Unit Adjustments'!F:G,2,FALSE),0)</f>
        <v>0</v>
      </c>
      <c r="R1667" s="155">
        <f t="shared" si="497"/>
        <v>0</v>
      </c>
      <c r="S1667" s="47">
        <f t="shared" si="496"/>
        <v>0</v>
      </c>
      <c r="T1667" s="151">
        <f t="shared" si="500"/>
        <v>0</v>
      </c>
      <c r="U1667" s="151">
        <f t="shared" si="501"/>
        <v>0</v>
      </c>
      <c r="V1667" s="139">
        <f t="shared" si="502"/>
        <v>0</v>
      </c>
      <c r="W1667" s="152">
        <f t="shared" ref="W1667:W1730" si="505">+T1667-V1667</f>
        <v>0</v>
      </c>
      <c r="X1667" s="127" t="str">
        <f t="shared" si="503"/>
        <v/>
      </c>
      <c r="Y1667" s="207">
        <f t="shared" ref="Y1667:Y1730" si="506">W1667</f>
        <v>0</v>
      </c>
      <c r="Z1667" s="139">
        <f t="shared" ref="Z1667:Z1730" si="507">IFERROR(IF(B1667="2",ROUND(Y1667*G1667/I1667,0),Y1667),0)</f>
        <v>0</v>
      </c>
      <c r="AA1667" s="139">
        <f t="shared" ref="AA1667:AA1730" si="508">+Y1667-Z1667</f>
        <v>0</v>
      </c>
      <c r="AC1667" s="47">
        <f t="shared" ref="AC1667:AC1730" si="509">ROUND(Y1667/2,0)</f>
        <v>0</v>
      </c>
      <c r="AD1667" s="47">
        <f t="shared" ref="AD1667:AD1730" si="510">ROUND(Z1667/2,0)</f>
        <v>0</v>
      </c>
      <c r="AE1667" s="47">
        <f t="shared" ref="AE1667:AE1730" si="511">ROUND(AA1667/2,0)</f>
        <v>0</v>
      </c>
      <c r="AG1667" s="47">
        <f t="shared" ref="AG1667:AG1730" si="512">+Y1667-AC1667</f>
        <v>0</v>
      </c>
      <c r="AH1667" s="47">
        <f t="shared" ref="AH1667:AH1730" si="513">+Z1667-AD1667</f>
        <v>0</v>
      </c>
      <c r="AI1667" s="208">
        <f t="shared" ref="AI1667:AI1730" si="514">+AA1667-AE1667</f>
        <v>0</v>
      </c>
    </row>
    <row r="1668" spans="1:35">
      <c r="A1668" t="s">
        <v>2138</v>
      </c>
      <c r="B1668" t="s">
        <v>3155</v>
      </c>
      <c r="C1668" t="s">
        <v>2227</v>
      </c>
      <c r="D1668" t="s">
        <v>5099</v>
      </c>
      <c r="F1668" t="s">
        <v>1265</v>
      </c>
      <c r="G1668" s="126">
        <f>SUMIFS('Support - Transition'!F:F,'Support - Transition'!B:B,'Step 2'!A1668,'Support - Transition'!C:C,'Step 2'!B1668,'Support - Transition'!D:D,'Step 2'!C1668,'Support - Transition'!E:E,"CIVIL")</f>
        <v>0</v>
      </c>
      <c r="H1668" s="126">
        <f>SUMIFS('Support - Transition'!F:F,'Support - Transition'!B:B,'Step 2'!A1668,'Support - Transition'!C:C,'Step 2'!B1668,'Support - Transition'!D:D,'Step 2'!C1668,'Support - Transition'!E:E,"FIRE")</f>
        <v>0</v>
      </c>
      <c r="I1668" s="126">
        <f>IF(B1668="0",SUMIFS('Support - Transition'!F:F,'Support - Transition'!J:J,'Step 2'!D1668,'Support - Transition'!E:E,"STATE UNIT"),SUMIFS('Support - Transition'!F:F,'Support - Transition'!J:J,'Step 2'!D1668))</f>
        <v>5.9100000000000005E-4</v>
      </c>
      <c r="J1668" s="126">
        <f>SUMIFS('Support - Unit Adjustments'!E:E,'Support - Unit Adjustments'!F:F,'Step 2'!D1668)</f>
        <v>0</v>
      </c>
      <c r="K1668" s="126">
        <f t="shared" si="498"/>
        <v>5.9100000000000005E-4</v>
      </c>
      <c r="L1668" s="174">
        <f>VLOOKUP(A1668,'Step 1'!$A:$E,4,FALSE)</f>
        <v>331682</v>
      </c>
      <c r="M1668" s="47">
        <f t="shared" si="499"/>
        <v>196</v>
      </c>
      <c r="N1668" s="177">
        <f>SUMIFS('Support - Transition'!G:G,'Support - Transition'!J:J,'Step 2'!D1668,'Support - Transition'!E:E,"2009 WELFARE ALLOCATION FACTOR")</f>
        <v>0</v>
      </c>
      <c r="O1668" s="152">
        <f t="shared" si="504"/>
        <v>0</v>
      </c>
      <c r="P1668" s="126">
        <f>IF(E1668="Y",0,SUMIFS('Support - Transition'!G:G,'Support - Transition'!J:J,'Step 2'!D1668,'Support - Transition'!E:E,"2009 SCHOOL ALLOCATION FACTOR"))</f>
        <v>0</v>
      </c>
      <c r="Q1668" s="126">
        <f>IF(E1668="Y",VLOOKUP(D1668,'Support - Unit Adjustments'!F:G,2,FALSE),0)</f>
        <v>0</v>
      </c>
      <c r="R1668" s="155">
        <f t="shared" si="497"/>
        <v>0</v>
      </c>
      <c r="S1668" s="47">
        <f t="shared" si="496"/>
        <v>0</v>
      </c>
      <c r="T1668" s="151">
        <f t="shared" si="500"/>
        <v>196</v>
      </c>
      <c r="U1668" s="151">
        <f t="shared" si="501"/>
        <v>0</v>
      </c>
      <c r="V1668" s="139">
        <f t="shared" si="502"/>
        <v>0</v>
      </c>
      <c r="W1668" s="152">
        <f t="shared" si="505"/>
        <v>196</v>
      </c>
      <c r="X1668" s="127" t="str">
        <f t="shared" si="503"/>
        <v/>
      </c>
      <c r="Y1668" s="207">
        <f t="shared" si="506"/>
        <v>196</v>
      </c>
      <c r="Z1668" s="139">
        <f t="shared" si="507"/>
        <v>196</v>
      </c>
      <c r="AA1668" s="139">
        <f t="shared" si="508"/>
        <v>0</v>
      </c>
      <c r="AC1668" s="47">
        <f t="shared" si="509"/>
        <v>98</v>
      </c>
      <c r="AD1668" s="47">
        <f t="shared" si="510"/>
        <v>98</v>
      </c>
      <c r="AE1668" s="47">
        <f t="shared" si="511"/>
        <v>0</v>
      </c>
      <c r="AG1668" s="47">
        <f t="shared" si="512"/>
        <v>98</v>
      </c>
      <c r="AH1668" s="47">
        <f t="shared" si="513"/>
        <v>98</v>
      </c>
      <c r="AI1668" s="208">
        <f t="shared" si="514"/>
        <v>0</v>
      </c>
    </row>
    <row r="1669" spans="1:35">
      <c r="A1669" t="s">
        <v>2138</v>
      </c>
      <c r="B1669" t="s">
        <v>3160</v>
      </c>
      <c r="C1669" t="s">
        <v>2865</v>
      </c>
      <c r="D1669" t="s">
        <v>5100</v>
      </c>
      <c r="F1669" t="s">
        <v>5101</v>
      </c>
      <c r="G1669" s="126">
        <f>SUMIFS('Support - Transition'!F:F,'Support - Transition'!B:B,'Step 2'!A1669,'Support - Transition'!C:C,'Step 2'!B1669,'Support - Transition'!D:D,'Step 2'!C1669,'Support - Transition'!E:E,"CIVIL")</f>
        <v>0</v>
      </c>
      <c r="H1669" s="126">
        <f>SUMIFS('Support - Transition'!F:F,'Support - Transition'!B:B,'Step 2'!A1669,'Support - Transition'!C:C,'Step 2'!B1669,'Support - Transition'!D:D,'Step 2'!C1669,'Support - Transition'!E:E,"FIRE")</f>
        <v>0</v>
      </c>
      <c r="I1669" s="126">
        <f>IF(B1669="0",SUMIFS('Support - Transition'!F:F,'Support - Transition'!J:J,'Step 2'!D1669,'Support - Transition'!E:E,"STATE UNIT"),SUMIFS('Support - Transition'!F:F,'Support - Transition'!J:J,'Step 2'!D1669))</f>
        <v>0.33996900000000002</v>
      </c>
      <c r="J1669" s="126">
        <f>SUMIFS('Support - Unit Adjustments'!E:E,'Support - Unit Adjustments'!F:F,'Step 2'!D1669)</f>
        <v>0</v>
      </c>
      <c r="K1669" s="126">
        <f t="shared" si="498"/>
        <v>0.33996900000000002</v>
      </c>
      <c r="L1669" s="174">
        <f>VLOOKUP(A1669,'Step 1'!$A:$E,4,FALSE)</f>
        <v>331682</v>
      </c>
      <c r="M1669" s="47">
        <f t="shared" si="499"/>
        <v>112762</v>
      </c>
      <c r="N1669" s="177">
        <f>SUMIFS('Support - Transition'!G:G,'Support - Transition'!J:J,'Step 2'!D1669,'Support - Transition'!E:E,"2009 WELFARE ALLOCATION FACTOR")</f>
        <v>0</v>
      </c>
      <c r="O1669" s="152">
        <f t="shared" si="504"/>
        <v>0</v>
      </c>
      <c r="P1669" s="126">
        <f>IF(E1669="Y",0,SUMIFS('Support - Transition'!G:G,'Support - Transition'!J:J,'Step 2'!D1669,'Support - Transition'!E:E,"2009 SCHOOL ALLOCATION FACTOR"))</f>
        <v>0.396789</v>
      </c>
      <c r="Q1669" s="126">
        <f>IF(E1669="Y",VLOOKUP(D1669,'Support - Unit Adjustments'!F:G,2,FALSE),0)</f>
        <v>0</v>
      </c>
      <c r="R1669" s="155">
        <f t="shared" si="497"/>
        <v>0.396789</v>
      </c>
      <c r="S1669" s="47">
        <f t="shared" si="496"/>
        <v>44743</v>
      </c>
      <c r="T1669" s="151">
        <f t="shared" si="500"/>
        <v>68019</v>
      </c>
      <c r="U1669" s="151">
        <f t="shared" si="501"/>
        <v>0</v>
      </c>
      <c r="V1669" s="139">
        <f t="shared" si="502"/>
        <v>0</v>
      </c>
      <c r="W1669" s="152">
        <f t="shared" si="505"/>
        <v>68019</v>
      </c>
      <c r="X1669" s="127" t="str">
        <f t="shared" si="503"/>
        <v/>
      </c>
      <c r="Y1669" s="207">
        <f t="shared" si="506"/>
        <v>68019</v>
      </c>
      <c r="Z1669" s="139">
        <f t="shared" si="507"/>
        <v>68019</v>
      </c>
      <c r="AA1669" s="139">
        <f t="shared" si="508"/>
        <v>0</v>
      </c>
      <c r="AC1669" s="47">
        <f t="shared" si="509"/>
        <v>34010</v>
      </c>
      <c r="AD1669" s="47">
        <f t="shared" si="510"/>
        <v>34010</v>
      </c>
      <c r="AE1669" s="47">
        <f t="shared" si="511"/>
        <v>0</v>
      </c>
      <c r="AG1669" s="47">
        <f t="shared" si="512"/>
        <v>34009</v>
      </c>
      <c r="AH1669" s="47">
        <f t="shared" si="513"/>
        <v>34009</v>
      </c>
      <c r="AI1669" s="208">
        <f t="shared" si="514"/>
        <v>0</v>
      </c>
    </row>
    <row r="1670" spans="1:35">
      <c r="A1670" t="s">
        <v>2138</v>
      </c>
      <c r="B1670" t="s">
        <v>3160</v>
      </c>
      <c r="C1670" t="s">
        <v>2866</v>
      </c>
      <c r="D1670" t="s">
        <v>5102</v>
      </c>
      <c r="F1670" t="s">
        <v>5103</v>
      </c>
      <c r="G1670" s="126">
        <f>SUMIFS('Support - Transition'!F:F,'Support - Transition'!B:B,'Step 2'!A1670,'Support - Transition'!C:C,'Step 2'!B1670,'Support - Transition'!D:D,'Step 2'!C1670,'Support - Transition'!E:E,"CIVIL")</f>
        <v>0</v>
      </c>
      <c r="H1670" s="126">
        <f>SUMIFS('Support - Transition'!F:F,'Support - Transition'!B:B,'Step 2'!A1670,'Support - Transition'!C:C,'Step 2'!B1670,'Support - Transition'!D:D,'Step 2'!C1670,'Support - Transition'!E:E,"FIRE")</f>
        <v>0</v>
      </c>
      <c r="I1670" s="126">
        <f>IF(B1670="0",SUMIFS('Support - Transition'!F:F,'Support - Transition'!J:J,'Step 2'!D1670,'Support - Transition'!E:E,"STATE UNIT"),SUMIFS('Support - Transition'!F:F,'Support - Transition'!J:J,'Step 2'!D1670))</f>
        <v>0.259077</v>
      </c>
      <c r="J1670" s="126">
        <f>SUMIFS('Support - Unit Adjustments'!E:E,'Support - Unit Adjustments'!F:F,'Step 2'!D1670)</f>
        <v>0</v>
      </c>
      <c r="K1670" s="126">
        <f t="shared" si="498"/>
        <v>0.259077</v>
      </c>
      <c r="L1670" s="174">
        <f>VLOOKUP(A1670,'Step 1'!$A:$E,4,FALSE)</f>
        <v>331682</v>
      </c>
      <c r="M1670" s="47">
        <f t="shared" si="499"/>
        <v>85931</v>
      </c>
      <c r="N1670" s="177">
        <f>SUMIFS('Support - Transition'!G:G,'Support - Transition'!J:J,'Step 2'!D1670,'Support - Transition'!E:E,"2009 WELFARE ALLOCATION FACTOR")</f>
        <v>0</v>
      </c>
      <c r="O1670" s="152">
        <f t="shared" si="504"/>
        <v>0</v>
      </c>
      <c r="P1670" s="126">
        <f>IF(E1670="Y",0,SUMIFS('Support - Transition'!G:G,'Support - Transition'!J:J,'Step 2'!D1670,'Support - Transition'!E:E,"2009 SCHOOL ALLOCATION FACTOR"))</f>
        <v>0.45506999999999997</v>
      </c>
      <c r="Q1670" s="126">
        <f>IF(E1670="Y",VLOOKUP(D1670,'Support - Unit Adjustments'!F:G,2,FALSE),0)</f>
        <v>0</v>
      </c>
      <c r="R1670" s="155">
        <f t="shared" si="497"/>
        <v>0.45506999999999997</v>
      </c>
      <c r="S1670" s="47">
        <f t="shared" si="496"/>
        <v>39105</v>
      </c>
      <c r="T1670" s="151">
        <f t="shared" si="500"/>
        <v>46826</v>
      </c>
      <c r="U1670" s="151">
        <f t="shared" si="501"/>
        <v>0</v>
      </c>
      <c r="V1670" s="139">
        <f t="shared" si="502"/>
        <v>0</v>
      </c>
      <c r="W1670" s="152">
        <f t="shared" si="505"/>
        <v>46826</v>
      </c>
      <c r="X1670" s="127" t="str">
        <f t="shared" si="503"/>
        <v/>
      </c>
      <c r="Y1670" s="207">
        <f t="shared" si="506"/>
        <v>46826</v>
      </c>
      <c r="Z1670" s="139">
        <f t="shared" si="507"/>
        <v>46826</v>
      </c>
      <c r="AA1670" s="139">
        <f t="shared" si="508"/>
        <v>0</v>
      </c>
      <c r="AC1670" s="47">
        <f t="shared" si="509"/>
        <v>23413</v>
      </c>
      <c r="AD1670" s="47">
        <f t="shared" si="510"/>
        <v>23413</v>
      </c>
      <c r="AE1670" s="47">
        <f t="shared" si="511"/>
        <v>0</v>
      </c>
      <c r="AG1670" s="47">
        <f t="shared" si="512"/>
        <v>23413</v>
      </c>
      <c r="AH1670" s="47">
        <f t="shared" si="513"/>
        <v>23413</v>
      </c>
      <c r="AI1670" s="208">
        <f t="shared" si="514"/>
        <v>0</v>
      </c>
    </row>
    <row r="1671" spans="1:35">
      <c r="A1671" t="s">
        <v>2138</v>
      </c>
      <c r="B1671" t="s">
        <v>3160</v>
      </c>
      <c r="C1671" t="s">
        <v>2867</v>
      </c>
      <c r="D1671" t="s">
        <v>5104</v>
      </c>
      <c r="F1671" t="s">
        <v>5105</v>
      </c>
      <c r="G1671" s="126">
        <f>SUMIFS('Support - Transition'!F:F,'Support - Transition'!B:B,'Step 2'!A1671,'Support - Transition'!C:C,'Step 2'!B1671,'Support - Transition'!D:D,'Step 2'!C1671,'Support - Transition'!E:E,"CIVIL")</f>
        <v>0</v>
      </c>
      <c r="H1671" s="126">
        <f>SUMIFS('Support - Transition'!F:F,'Support - Transition'!B:B,'Step 2'!A1671,'Support - Transition'!C:C,'Step 2'!B1671,'Support - Transition'!D:D,'Step 2'!C1671,'Support - Transition'!E:E,"FIRE")</f>
        <v>0</v>
      </c>
      <c r="I1671" s="126">
        <f>IF(B1671="0",SUMIFS('Support - Transition'!F:F,'Support - Transition'!J:J,'Step 2'!D1671,'Support - Transition'!E:E,"STATE UNIT"),SUMIFS('Support - Transition'!F:F,'Support - Transition'!J:J,'Step 2'!D1671))</f>
        <v>0.12316000000000001</v>
      </c>
      <c r="J1671" s="126">
        <f>SUMIFS('Support - Unit Adjustments'!E:E,'Support - Unit Adjustments'!F:F,'Step 2'!D1671)</f>
        <v>0</v>
      </c>
      <c r="K1671" s="126">
        <f t="shared" si="498"/>
        <v>0.12316000000000001</v>
      </c>
      <c r="L1671" s="174">
        <f>VLOOKUP(A1671,'Step 1'!$A:$E,4,FALSE)</f>
        <v>331682</v>
      </c>
      <c r="M1671" s="47">
        <f t="shared" si="499"/>
        <v>40850</v>
      </c>
      <c r="N1671" s="177">
        <f>SUMIFS('Support - Transition'!G:G,'Support - Transition'!J:J,'Step 2'!D1671,'Support - Transition'!E:E,"2009 WELFARE ALLOCATION FACTOR")</f>
        <v>0</v>
      </c>
      <c r="O1671" s="152">
        <f t="shared" si="504"/>
        <v>0</v>
      </c>
      <c r="P1671" s="126">
        <f>IF(E1671="Y",0,SUMIFS('Support - Transition'!G:G,'Support - Transition'!J:J,'Step 2'!D1671,'Support - Transition'!E:E,"2009 SCHOOL ALLOCATION FACTOR"))</f>
        <v>0.31659900000000002</v>
      </c>
      <c r="Q1671" s="126">
        <f>IF(E1671="Y",VLOOKUP(D1671,'Support - Unit Adjustments'!F:G,2,FALSE),0)</f>
        <v>0</v>
      </c>
      <c r="R1671" s="155">
        <f t="shared" si="497"/>
        <v>0.31659900000000002</v>
      </c>
      <c r="S1671" s="47">
        <f t="shared" si="496"/>
        <v>12933</v>
      </c>
      <c r="T1671" s="151">
        <f t="shared" si="500"/>
        <v>27917</v>
      </c>
      <c r="U1671" s="151">
        <f t="shared" si="501"/>
        <v>0</v>
      </c>
      <c r="V1671" s="139">
        <f t="shared" si="502"/>
        <v>0</v>
      </c>
      <c r="W1671" s="152">
        <f t="shared" si="505"/>
        <v>27917</v>
      </c>
      <c r="X1671" s="127" t="str">
        <f t="shared" si="503"/>
        <v/>
      </c>
      <c r="Y1671" s="207">
        <f t="shared" si="506"/>
        <v>27917</v>
      </c>
      <c r="Z1671" s="139">
        <f t="shared" si="507"/>
        <v>27917</v>
      </c>
      <c r="AA1671" s="139">
        <f t="shared" si="508"/>
        <v>0</v>
      </c>
      <c r="AC1671" s="47">
        <f t="shared" si="509"/>
        <v>13959</v>
      </c>
      <c r="AD1671" s="47">
        <f t="shared" si="510"/>
        <v>13959</v>
      </c>
      <c r="AE1671" s="47">
        <f t="shared" si="511"/>
        <v>0</v>
      </c>
      <c r="AG1671" s="47">
        <f t="shared" si="512"/>
        <v>13958</v>
      </c>
      <c r="AH1671" s="47">
        <f t="shared" si="513"/>
        <v>13958</v>
      </c>
      <c r="AI1671" s="208">
        <f t="shared" si="514"/>
        <v>0</v>
      </c>
    </row>
    <row r="1672" spans="1:35">
      <c r="A1672" t="s">
        <v>2138</v>
      </c>
      <c r="B1672" t="s">
        <v>3166</v>
      </c>
      <c r="C1672" t="s">
        <v>5106</v>
      </c>
      <c r="D1672" t="s">
        <v>5107</v>
      </c>
      <c r="F1672" t="s">
        <v>1272</v>
      </c>
      <c r="G1672" s="126">
        <f>SUMIFS('Support - Transition'!F:F,'Support - Transition'!B:B,'Step 2'!A1672,'Support - Transition'!C:C,'Step 2'!B1672,'Support - Transition'!D:D,'Step 2'!C1672,'Support - Transition'!E:E,"CIVIL")</f>
        <v>0</v>
      </c>
      <c r="H1672" s="126">
        <f>SUMIFS('Support - Transition'!F:F,'Support - Transition'!B:B,'Step 2'!A1672,'Support - Transition'!C:C,'Step 2'!B1672,'Support - Transition'!D:D,'Step 2'!C1672,'Support - Transition'!E:E,"FIRE")</f>
        <v>0</v>
      </c>
      <c r="I1672" s="126">
        <f>IF(B1672="0",SUMIFS('Support - Transition'!F:F,'Support - Transition'!J:J,'Step 2'!D1672,'Support - Transition'!E:E,"STATE UNIT"),SUMIFS('Support - Transition'!F:F,'Support - Transition'!J:J,'Step 2'!D1672))</f>
        <v>1.0312E-2</v>
      </c>
      <c r="J1672" s="126">
        <f>SUMIFS('Support - Unit Adjustments'!E:E,'Support - Unit Adjustments'!F:F,'Step 2'!D1672)</f>
        <v>0</v>
      </c>
      <c r="K1672" s="126">
        <f t="shared" si="498"/>
        <v>1.0312E-2</v>
      </c>
      <c r="L1672" s="174">
        <f>VLOOKUP(A1672,'Step 1'!$A:$E,4,FALSE)</f>
        <v>331682</v>
      </c>
      <c r="M1672" s="47">
        <f t="shared" si="499"/>
        <v>3420</v>
      </c>
      <c r="N1672" s="177">
        <f>SUMIFS('Support - Transition'!G:G,'Support - Transition'!J:J,'Step 2'!D1672,'Support - Transition'!E:E,"2009 WELFARE ALLOCATION FACTOR")</f>
        <v>0</v>
      </c>
      <c r="O1672" s="152">
        <f t="shared" si="504"/>
        <v>0</v>
      </c>
      <c r="P1672" s="126">
        <f>IF(E1672="Y",0,SUMIFS('Support - Transition'!G:G,'Support - Transition'!J:J,'Step 2'!D1672,'Support - Transition'!E:E,"2009 SCHOOL ALLOCATION FACTOR"))</f>
        <v>0</v>
      </c>
      <c r="Q1672" s="126">
        <f>IF(E1672="Y",VLOOKUP(D1672,'Support - Unit Adjustments'!F:G,2,FALSE),0)</f>
        <v>0</v>
      </c>
      <c r="R1672" s="155">
        <f t="shared" si="497"/>
        <v>0</v>
      </c>
      <c r="S1672" s="47">
        <f t="shared" ref="S1672:S1735" si="515">ROUND(+R1672*M1672,0)</f>
        <v>0</v>
      </c>
      <c r="T1672" s="151">
        <f t="shared" si="500"/>
        <v>3420</v>
      </c>
      <c r="U1672" s="151">
        <f t="shared" si="501"/>
        <v>0</v>
      </c>
      <c r="V1672" s="139">
        <f t="shared" si="502"/>
        <v>0</v>
      </c>
      <c r="W1672" s="152">
        <f t="shared" si="505"/>
        <v>3420</v>
      </c>
      <c r="X1672" s="127" t="str">
        <f t="shared" si="503"/>
        <v/>
      </c>
      <c r="Y1672" s="207">
        <f t="shared" si="506"/>
        <v>3420</v>
      </c>
      <c r="Z1672" s="139">
        <f t="shared" si="507"/>
        <v>3420</v>
      </c>
      <c r="AA1672" s="139">
        <f t="shared" si="508"/>
        <v>0</v>
      </c>
      <c r="AC1672" s="47">
        <f t="shared" si="509"/>
        <v>1710</v>
      </c>
      <c r="AD1672" s="47">
        <f t="shared" si="510"/>
        <v>1710</v>
      </c>
      <c r="AE1672" s="47">
        <f t="shared" si="511"/>
        <v>0</v>
      </c>
      <c r="AG1672" s="47">
        <f t="shared" si="512"/>
        <v>1710</v>
      </c>
      <c r="AH1672" s="47">
        <f t="shared" si="513"/>
        <v>1710</v>
      </c>
      <c r="AI1672" s="208">
        <f t="shared" si="514"/>
        <v>0</v>
      </c>
    </row>
    <row r="1673" spans="1:35">
      <c r="A1673" t="s">
        <v>2138</v>
      </c>
      <c r="B1673" t="s">
        <v>3166</v>
      </c>
      <c r="C1673" t="s">
        <v>2868</v>
      </c>
      <c r="D1673" t="s">
        <v>5108</v>
      </c>
      <c r="F1673" t="s">
        <v>1273</v>
      </c>
      <c r="G1673" s="126">
        <f>SUMIFS('Support - Transition'!F:F,'Support - Transition'!B:B,'Step 2'!A1673,'Support - Transition'!C:C,'Step 2'!B1673,'Support - Transition'!D:D,'Step 2'!C1673,'Support - Transition'!E:E,"CIVIL")</f>
        <v>0</v>
      </c>
      <c r="H1673" s="126">
        <f>SUMIFS('Support - Transition'!F:F,'Support - Transition'!B:B,'Step 2'!A1673,'Support - Transition'!C:C,'Step 2'!B1673,'Support - Transition'!D:D,'Step 2'!C1673,'Support - Transition'!E:E,"FIRE")</f>
        <v>0</v>
      </c>
      <c r="I1673" s="126">
        <f>IF(B1673="0",SUMIFS('Support - Transition'!F:F,'Support - Transition'!J:J,'Step 2'!D1673,'Support - Transition'!E:E,"STATE UNIT"),SUMIFS('Support - Transition'!F:F,'Support - Transition'!J:J,'Step 2'!D1673))</f>
        <v>2.0089999999999999E-3</v>
      </c>
      <c r="J1673" s="126">
        <f>SUMIFS('Support - Unit Adjustments'!E:E,'Support - Unit Adjustments'!F:F,'Step 2'!D1673)</f>
        <v>0</v>
      </c>
      <c r="K1673" s="126">
        <f t="shared" si="498"/>
        <v>2.0089999999999999E-3</v>
      </c>
      <c r="L1673" s="174">
        <f>VLOOKUP(A1673,'Step 1'!$A:$E,4,FALSE)</f>
        <v>331682</v>
      </c>
      <c r="M1673" s="47">
        <f t="shared" si="499"/>
        <v>666</v>
      </c>
      <c r="N1673" s="177">
        <f>SUMIFS('Support - Transition'!G:G,'Support - Transition'!J:J,'Step 2'!D1673,'Support - Transition'!E:E,"2009 WELFARE ALLOCATION FACTOR")</f>
        <v>0</v>
      </c>
      <c r="O1673" s="152">
        <f t="shared" si="504"/>
        <v>0</v>
      </c>
      <c r="P1673" s="126">
        <f>IF(E1673="Y",0,SUMIFS('Support - Transition'!G:G,'Support - Transition'!J:J,'Step 2'!D1673,'Support - Transition'!E:E,"2009 SCHOOL ALLOCATION FACTOR"))</f>
        <v>0</v>
      </c>
      <c r="Q1673" s="126">
        <f>IF(E1673="Y",VLOOKUP(D1673,'Support - Unit Adjustments'!F:G,2,FALSE),0)</f>
        <v>0</v>
      </c>
      <c r="R1673" s="155">
        <f t="shared" ref="R1673:R1736" si="516">+P1673+Q1673</f>
        <v>0</v>
      </c>
      <c r="S1673" s="47">
        <f t="shared" si="515"/>
        <v>0</v>
      </c>
      <c r="T1673" s="151">
        <f t="shared" si="500"/>
        <v>666</v>
      </c>
      <c r="U1673" s="151">
        <f t="shared" si="501"/>
        <v>0</v>
      </c>
      <c r="V1673" s="139">
        <f t="shared" si="502"/>
        <v>0</v>
      </c>
      <c r="W1673" s="152">
        <f t="shared" si="505"/>
        <v>666</v>
      </c>
      <c r="X1673" s="127" t="str">
        <f t="shared" si="503"/>
        <v/>
      </c>
      <c r="Y1673" s="207">
        <f t="shared" si="506"/>
        <v>666</v>
      </c>
      <c r="Z1673" s="139">
        <f t="shared" si="507"/>
        <v>666</v>
      </c>
      <c r="AA1673" s="139">
        <f t="shared" si="508"/>
        <v>0</v>
      </c>
      <c r="AC1673" s="47">
        <f t="shared" si="509"/>
        <v>333</v>
      </c>
      <c r="AD1673" s="47">
        <f t="shared" si="510"/>
        <v>333</v>
      </c>
      <c r="AE1673" s="47">
        <f t="shared" si="511"/>
        <v>0</v>
      </c>
      <c r="AG1673" s="47">
        <f t="shared" si="512"/>
        <v>333</v>
      </c>
      <c r="AH1673" s="47">
        <f t="shared" si="513"/>
        <v>333</v>
      </c>
      <c r="AI1673" s="208">
        <f t="shared" si="514"/>
        <v>0</v>
      </c>
    </row>
    <row r="1674" spans="1:35">
      <c r="A1674" t="s">
        <v>2138</v>
      </c>
      <c r="B1674" t="s">
        <v>3166</v>
      </c>
      <c r="C1674" t="s">
        <v>2869</v>
      </c>
      <c r="D1674" t="s">
        <v>5109</v>
      </c>
      <c r="F1674" t="s">
        <v>1274</v>
      </c>
      <c r="G1674" s="126">
        <f>SUMIFS('Support - Transition'!F:F,'Support - Transition'!B:B,'Step 2'!A1674,'Support - Transition'!C:C,'Step 2'!B1674,'Support - Transition'!D:D,'Step 2'!C1674,'Support - Transition'!E:E,"CIVIL")</f>
        <v>0</v>
      </c>
      <c r="H1674" s="126">
        <f>SUMIFS('Support - Transition'!F:F,'Support - Transition'!B:B,'Step 2'!A1674,'Support - Transition'!C:C,'Step 2'!B1674,'Support - Transition'!D:D,'Step 2'!C1674,'Support - Transition'!E:E,"FIRE")</f>
        <v>0</v>
      </c>
      <c r="I1674" s="126">
        <f>IF(B1674="0",SUMIFS('Support - Transition'!F:F,'Support - Transition'!J:J,'Step 2'!D1674,'Support - Transition'!E:E,"STATE UNIT"),SUMIFS('Support - Transition'!F:F,'Support - Transition'!J:J,'Step 2'!D1674))</f>
        <v>2.9020000000000001E-3</v>
      </c>
      <c r="J1674" s="126">
        <f>SUMIFS('Support - Unit Adjustments'!E:E,'Support - Unit Adjustments'!F:F,'Step 2'!D1674)</f>
        <v>0</v>
      </c>
      <c r="K1674" s="126">
        <f t="shared" si="498"/>
        <v>2.9020000000000001E-3</v>
      </c>
      <c r="L1674" s="174">
        <f>VLOOKUP(A1674,'Step 1'!$A:$E,4,FALSE)</f>
        <v>331682</v>
      </c>
      <c r="M1674" s="47">
        <f t="shared" si="499"/>
        <v>963</v>
      </c>
      <c r="N1674" s="177">
        <f>SUMIFS('Support - Transition'!G:G,'Support - Transition'!J:J,'Step 2'!D1674,'Support - Transition'!E:E,"2009 WELFARE ALLOCATION FACTOR")</f>
        <v>0</v>
      </c>
      <c r="O1674" s="152">
        <f t="shared" si="504"/>
        <v>0</v>
      </c>
      <c r="P1674" s="126">
        <f>IF(E1674="Y",0,SUMIFS('Support - Transition'!G:G,'Support - Transition'!J:J,'Step 2'!D1674,'Support - Transition'!E:E,"2009 SCHOOL ALLOCATION FACTOR"))</f>
        <v>0</v>
      </c>
      <c r="Q1674" s="126">
        <f>IF(E1674="Y",VLOOKUP(D1674,'Support - Unit Adjustments'!F:G,2,FALSE),0)</f>
        <v>0</v>
      </c>
      <c r="R1674" s="155">
        <f t="shared" si="516"/>
        <v>0</v>
      </c>
      <c r="S1674" s="47">
        <f t="shared" si="515"/>
        <v>0</v>
      </c>
      <c r="T1674" s="151">
        <f t="shared" si="500"/>
        <v>963</v>
      </c>
      <c r="U1674" s="151">
        <f t="shared" si="501"/>
        <v>0</v>
      </c>
      <c r="V1674" s="139">
        <f t="shared" si="502"/>
        <v>0</v>
      </c>
      <c r="W1674" s="152">
        <f t="shared" si="505"/>
        <v>963</v>
      </c>
      <c r="X1674" s="127" t="str">
        <f t="shared" si="503"/>
        <v/>
      </c>
      <c r="Y1674" s="207">
        <f t="shared" si="506"/>
        <v>963</v>
      </c>
      <c r="Z1674" s="139">
        <f t="shared" si="507"/>
        <v>963</v>
      </c>
      <c r="AA1674" s="139">
        <f t="shared" si="508"/>
        <v>0</v>
      </c>
      <c r="AC1674" s="47">
        <f t="shared" si="509"/>
        <v>482</v>
      </c>
      <c r="AD1674" s="47">
        <f t="shared" si="510"/>
        <v>482</v>
      </c>
      <c r="AE1674" s="47">
        <f t="shared" si="511"/>
        <v>0</v>
      </c>
      <c r="AG1674" s="47">
        <f t="shared" si="512"/>
        <v>481</v>
      </c>
      <c r="AH1674" s="47">
        <f t="shared" si="513"/>
        <v>481</v>
      </c>
      <c r="AI1674" s="208">
        <f t="shared" si="514"/>
        <v>0</v>
      </c>
    </row>
    <row r="1675" spans="1:35">
      <c r="A1675" t="s">
        <v>2138</v>
      </c>
      <c r="B1675" t="s">
        <v>3166</v>
      </c>
      <c r="C1675" t="s">
        <v>2870</v>
      </c>
      <c r="D1675" t="s">
        <v>5110</v>
      </c>
      <c r="F1675" t="s">
        <v>1275</v>
      </c>
      <c r="G1675" s="126">
        <f>SUMIFS('Support - Transition'!F:F,'Support - Transition'!B:B,'Step 2'!A1675,'Support - Transition'!C:C,'Step 2'!B1675,'Support - Transition'!D:D,'Step 2'!C1675,'Support - Transition'!E:E,"CIVIL")</f>
        <v>0</v>
      </c>
      <c r="H1675" s="126">
        <f>SUMIFS('Support - Transition'!F:F,'Support - Transition'!B:B,'Step 2'!A1675,'Support - Transition'!C:C,'Step 2'!B1675,'Support - Transition'!D:D,'Step 2'!C1675,'Support - Transition'!E:E,"FIRE")</f>
        <v>0</v>
      </c>
      <c r="I1675" s="126">
        <f>IF(B1675="0",SUMIFS('Support - Transition'!F:F,'Support - Transition'!J:J,'Step 2'!D1675,'Support - Transition'!E:E,"STATE UNIT"),SUMIFS('Support - Transition'!F:F,'Support - Transition'!J:J,'Step 2'!D1675))</f>
        <v>2.7780000000000001E-3</v>
      </c>
      <c r="J1675" s="126">
        <f>SUMIFS('Support - Unit Adjustments'!E:E,'Support - Unit Adjustments'!F:F,'Step 2'!D1675)</f>
        <v>0</v>
      </c>
      <c r="K1675" s="126">
        <f t="shared" si="498"/>
        <v>2.7780000000000001E-3</v>
      </c>
      <c r="L1675" s="174">
        <f>VLOOKUP(A1675,'Step 1'!$A:$E,4,FALSE)</f>
        <v>331682</v>
      </c>
      <c r="M1675" s="47">
        <f t="shared" si="499"/>
        <v>921</v>
      </c>
      <c r="N1675" s="177">
        <f>SUMIFS('Support - Transition'!G:G,'Support - Transition'!J:J,'Step 2'!D1675,'Support - Transition'!E:E,"2009 WELFARE ALLOCATION FACTOR")</f>
        <v>0</v>
      </c>
      <c r="O1675" s="152">
        <f t="shared" si="504"/>
        <v>0</v>
      </c>
      <c r="P1675" s="126">
        <f>IF(E1675="Y",0,SUMIFS('Support - Transition'!G:G,'Support - Transition'!J:J,'Step 2'!D1675,'Support - Transition'!E:E,"2009 SCHOOL ALLOCATION FACTOR"))</f>
        <v>0</v>
      </c>
      <c r="Q1675" s="126">
        <f>IF(E1675="Y",VLOOKUP(D1675,'Support - Unit Adjustments'!F:G,2,FALSE),0)</f>
        <v>0</v>
      </c>
      <c r="R1675" s="155">
        <f t="shared" si="516"/>
        <v>0</v>
      </c>
      <c r="S1675" s="47">
        <f t="shared" si="515"/>
        <v>0</v>
      </c>
      <c r="T1675" s="151">
        <f t="shared" si="500"/>
        <v>921</v>
      </c>
      <c r="U1675" s="151">
        <f t="shared" si="501"/>
        <v>0</v>
      </c>
      <c r="V1675" s="139">
        <f t="shared" si="502"/>
        <v>0</v>
      </c>
      <c r="W1675" s="152">
        <f t="shared" si="505"/>
        <v>921</v>
      </c>
      <c r="X1675" s="127" t="str">
        <f t="shared" si="503"/>
        <v/>
      </c>
      <c r="Y1675" s="207">
        <f t="shared" si="506"/>
        <v>921</v>
      </c>
      <c r="Z1675" s="139">
        <f t="shared" si="507"/>
        <v>921</v>
      </c>
      <c r="AA1675" s="139">
        <f t="shared" si="508"/>
        <v>0</v>
      </c>
      <c r="AC1675" s="47">
        <f t="shared" si="509"/>
        <v>461</v>
      </c>
      <c r="AD1675" s="47">
        <f t="shared" si="510"/>
        <v>461</v>
      </c>
      <c r="AE1675" s="47">
        <f t="shared" si="511"/>
        <v>0</v>
      </c>
      <c r="AG1675" s="47">
        <f t="shared" si="512"/>
        <v>460</v>
      </c>
      <c r="AH1675" s="47">
        <f t="shared" si="513"/>
        <v>460</v>
      </c>
      <c r="AI1675" s="208">
        <f t="shared" si="514"/>
        <v>0</v>
      </c>
    </row>
    <row r="1676" spans="1:35">
      <c r="A1676" t="s">
        <v>2138</v>
      </c>
      <c r="B1676" t="s">
        <v>3166</v>
      </c>
      <c r="C1676" t="s">
        <v>2871</v>
      </c>
      <c r="D1676" t="s">
        <v>5111</v>
      </c>
      <c r="F1676" t="s">
        <v>1276</v>
      </c>
      <c r="G1676" s="126">
        <f>SUMIFS('Support - Transition'!F:F,'Support - Transition'!B:B,'Step 2'!A1676,'Support - Transition'!C:C,'Step 2'!B1676,'Support - Transition'!D:D,'Step 2'!C1676,'Support - Transition'!E:E,"CIVIL")</f>
        <v>0</v>
      </c>
      <c r="H1676" s="126">
        <f>SUMIFS('Support - Transition'!F:F,'Support - Transition'!B:B,'Step 2'!A1676,'Support - Transition'!C:C,'Step 2'!B1676,'Support - Transition'!D:D,'Step 2'!C1676,'Support - Transition'!E:E,"FIRE")</f>
        <v>0</v>
      </c>
      <c r="I1676" s="126">
        <f>IF(B1676="0",SUMIFS('Support - Transition'!F:F,'Support - Transition'!J:J,'Step 2'!D1676,'Support - Transition'!E:E,"STATE UNIT"),SUMIFS('Support - Transition'!F:F,'Support - Transition'!J:J,'Step 2'!D1676))</f>
        <v>3.2810000000000001E-3</v>
      </c>
      <c r="J1676" s="126">
        <f>SUMIFS('Support - Unit Adjustments'!E:E,'Support - Unit Adjustments'!F:F,'Step 2'!D1676)</f>
        <v>0</v>
      </c>
      <c r="K1676" s="126">
        <f t="shared" si="498"/>
        <v>3.2810000000000001E-3</v>
      </c>
      <c r="L1676" s="174">
        <f>VLOOKUP(A1676,'Step 1'!$A:$E,4,FALSE)</f>
        <v>331682</v>
      </c>
      <c r="M1676" s="47">
        <f t="shared" si="499"/>
        <v>1088</v>
      </c>
      <c r="N1676" s="177">
        <f>SUMIFS('Support - Transition'!G:G,'Support - Transition'!J:J,'Step 2'!D1676,'Support - Transition'!E:E,"2009 WELFARE ALLOCATION FACTOR")</f>
        <v>0</v>
      </c>
      <c r="O1676" s="152">
        <f t="shared" si="504"/>
        <v>0</v>
      </c>
      <c r="P1676" s="126">
        <f>IF(E1676="Y",0,SUMIFS('Support - Transition'!G:G,'Support - Transition'!J:J,'Step 2'!D1676,'Support - Transition'!E:E,"2009 SCHOOL ALLOCATION FACTOR"))</f>
        <v>0</v>
      </c>
      <c r="Q1676" s="126">
        <f>IF(E1676="Y",VLOOKUP(D1676,'Support - Unit Adjustments'!F:G,2,FALSE),0)</f>
        <v>0</v>
      </c>
      <c r="R1676" s="155">
        <f t="shared" si="516"/>
        <v>0</v>
      </c>
      <c r="S1676" s="47">
        <f t="shared" si="515"/>
        <v>0</v>
      </c>
      <c r="T1676" s="151">
        <f t="shared" si="500"/>
        <v>1088</v>
      </c>
      <c r="U1676" s="151">
        <f t="shared" si="501"/>
        <v>0</v>
      </c>
      <c r="V1676" s="139">
        <f t="shared" si="502"/>
        <v>0</v>
      </c>
      <c r="W1676" s="152">
        <f t="shared" si="505"/>
        <v>1088</v>
      </c>
      <c r="X1676" s="127" t="str">
        <f t="shared" si="503"/>
        <v/>
      </c>
      <c r="Y1676" s="207">
        <f t="shared" si="506"/>
        <v>1088</v>
      </c>
      <c r="Z1676" s="139">
        <f t="shared" si="507"/>
        <v>1088</v>
      </c>
      <c r="AA1676" s="139">
        <f t="shared" si="508"/>
        <v>0</v>
      </c>
      <c r="AC1676" s="47">
        <f t="shared" si="509"/>
        <v>544</v>
      </c>
      <c r="AD1676" s="47">
        <f t="shared" si="510"/>
        <v>544</v>
      </c>
      <c r="AE1676" s="47">
        <f t="shared" si="511"/>
        <v>0</v>
      </c>
      <c r="AG1676" s="47">
        <f t="shared" si="512"/>
        <v>544</v>
      </c>
      <c r="AH1676" s="47">
        <f t="shared" si="513"/>
        <v>544</v>
      </c>
      <c r="AI1676" s="208">
        <f t="shared" si="514"/>
        <v>0</v>
      </c>
    </row>
    <row r="1677" spans="1:35">
      <c r="A1677" t="s">
        <v>2138</v>
      </c>
      <c r="B1677" t="s">
        <v>3170</v>
      </c>
      <c r="C1677" t="s">
        <v>2374</v>
      </c>
      <c r="D1677" t="s">
        <v>5112</v>
      </c>
      <c r="F1677" t="s">
        <v>5113</v>
      </c>
      <c r="G1677" s="126">
        <f>SUMIFS('Support - Transition'!F:F,'Support - Transition'!B:B,'Step 2'!A1677,'Support - Transition'!C:C,'Step 2'!B1677,'Support - Transition'!D:D,'Step 2'!C1677,'Support - Transition'!E:E,"CIVIL")</f>
        <v>0</v>
      </c>
      <c r="H1677" s="126">
        <f>SUMIFS('Support - Transition'!F:F,'Support - Transition'!B:B,'Step 2'!A1677,'Support - Transition'!C:C,'Step 2'!B1677,'Support - Transition'!D:D,'Step 2'!C1677,'Support - Transition'!E:E,"FIRE")</f>
        <v>0</v>
      </c>
      <c r="I1677" s="126">
        <f>IF(B1677="0",SUMIFS('Support - Transition'!F:F,'Support - Transition'!J:J,'Step 2'!D1677,'Support - Transition'!E:E,"STATE UNIT"),SUMIFS('Support - Transition'!F:F,'Support - Transition'!J:J,'Step 2'!D1677))</f>
        <v>0</v>
      </c>
      <c r="J1677" s="126">
        <f>SUMIFS('Support - Unit Adjustments'!E:E,'Support - Unit Adjustments'!F:F,'Step 2'!D1677)</f>
        <v>0</v>
      </c>
      <c r="K1677" s="126">
        <f t="shared" si="498"/>
        <v>0</v>
      </c>
      <c r="L1677" s="174">
        <f>VLOOKUP(A1677,'Step 1'!$A:$E,4,FALSE)</f>
        <v>331682</v>
      </c>
      <c r="M1677" s="47">
        <f t="shared" si="499"/>
        <v>0</v>
      </c>
      <c r="N1677" s="177">
        <f>SUMIFS('Support - Transition'!G:G,'Support - Transition'!J:J,'Step 2'!D1677,'Support - Transition'!E:E,"2009 WELFARE ALLOCATION FACTOR")</f>
        <v>0</v>
      </c>
      <c r="O1677" s="152">
        <f t="shared" si="504"/>
        <v>0</v>
      </c>
      <c r="P1677" s="126">
        <f>IF(E1677="Y",0,SUMIFS('Support - Transition'!G:G,'Support - Transition'!J:J,'Step 2'!D1677,'Support - Transition'!E:E,"2009 SCHOOL ALLOCATION FACTOR"))</f>
        <v>0</v>
      </c>
      <c r="Q1677" s="126">
        <f>IF(E1677="Y",VLOOKUP(D1677,'Support - Unit Adjustments'!F:G,2,FALSE),0)</f>
        <v>0</v>
      </c>
      <c r="R1677" s="155">
        <f t="shared" si="516"/>
        <v>0</v>
      </c>
      <c r="S1677" s="47">
        <f t="shared" si="515"/>
        <v>0</v>
      </c>
      <c r="T1677" s="151">
        <f t="shared" si="500"/>
        <v>0</v>
      </c>
      <c r="U1677" s="151">
        <f t="shared" si="501"/>
        <v>0</v>
      </c>
      <c r="V1677" s="139">
        <f t="shared" si="502"/>
        <v>0</v>
      </c>
      <c r="W1677" s="152">
        <f t="shared" si="505"/>
        <v>0</v>
      </c>
      <c r="X1677" s="127" t="str">
        <f t="shared" si="503"/>
        <v/>
      </c>
      <c r="Y1677" s="207">
        <f t="shared" si="506"/>
        <v>0</v>
      </c>
      <c r="Z1677" s="139">
        <f t="shared" si="507"/>
        <v>0</v>
      </c>
      <c r="AA1677" s="139">
        <f t="shared" si="508"/>
        <v>0</v>
      </c>
      <c r="AC1677" s="47">
        <f t="shared" si="509"/>
        <v>0</v>
      </c>
      <c r="AD1677" s="47">
        <f t="shared" si="510"/>
        <v>0</v>
      </c>
      <c r="AE1677" s="47">
        <f t="shared" si="511"/>
        <v>0</v>
      </c>
      <c r="AG1677" s="47">
        <f t="shared" si="512"/>
        <v>0</v>
      </c>
      <c r="AH1677" s="47">
        <f t="shared" si="513"/>
        <v>0</v>
      </c>
      <c r="AI1677" s="208">
        <f t="shared" si="514"/>
        <v>0</v>
      </c>
    </row>
    <row r="1678" spans="1:35">
      <c r="A1678" t="s">
        <v>2138</v>
      </c>
      <c r="B1678" t="s">
        <v>3286</v>
      </c>
      <c r="C1678" t="s">
        <v>3415</v>
      </c>
      <c r="D1678" t="s">
        <v>5114</v>
      </c>
      <c r="F1678" t="s">
        <v>5115</v>
      </c>
      <c r="G1678" s="126">
        <f>SUMIFS('Support - Transition'!F:F,'Support - Transition'!B:B,'Step 2'!A1678,'Support - Transition'!C:C,'Step 2'!B1678,'Support - Transition'!D:D,'Step 2'!C1678,'Support - Transition'!E:E,"CIVIL")</f>
        <v>0</v>
      </c>
      <c r="H1678" s="126">
        <f>SUMIFS('Support - Transition'!F:F,'Support - Transition'!B:B,'Step 2'!A1678,'Support - Transition'!C:C,'Step 2'!B1678,'Support - Transition'!D:D,'Step 2'!C1678,'Support - Transition'!E:E,"FIRE")</f>
        <v>0</v>
      </c>
      <c r="I1678" s="126">
        <f>IF(B1678="0",SUMIFS('Support - Transition'!F:F,'Support - Transition'!J:J,'Step 2'!D1678,'Support - Transition'!E:E,"STATE UNIT"),SUMIFS('Support - Transition'!F:F,'Support - Transition'!J:J,'Step 2'!D1678))</f>
        <v>0</v>
      </c>
      <c r="J1678" s="126">
        <f>SUMIFS('Support - Unit Adjustments'!E:E,'Support - Unit Adjustments'!F:F,'Step 2'!D1678)</f>
        <v>0</v>
      </c>
      <c r="K1678" s="126">
        <f t="shared" si="498"/>
        <v>0</v>
      </c>
      <c r="L1678" s="174">
        <f>VLOOKUP(A1678,'Step 1'!$A:$E,4,FALSE)</f>
        <v>331682</v>
      </c>
      <c r="M1678" s="47">
        <f t="shared" si="499"/>
        <v>0</v>
      </c>
      <c r="N1678" s="177">
        <f>SUMIFS('Support - Transition'!G:G,'Support - Transition'!J:J,'Step 2'!D1678,'Support - Transition'!E:E,"2009 WELFARE ALLOCATION FACTOR")</f>
        <v>0</v>
      </c>
      <c r="O1678" s="152">
        <f t="shared" si="504"/>
        <v>0</v>
      </c>
      <c r="P1678" s="126">
        <f>IF(E1678="Y",0,SUMIFS('Support - Transition'!G:G,'Support - Transition'!J:J,'Step 2'!D1678,'Support - Transition'!E:E,"2009 SCHOOL ALLOCATION FACTOR"))</f>
        <v>0</v>
      </c>
      <c r="Q1678" s="126">
        <f>IF(E1678="Y",VLOOKUP(D1678,'Support - Unit Adjustments'!F:G,2,FALSE),0)</f>
        <v>0</v>
      </c>
      <c r="R1678" s="155">
        <f t="shared" si="516"/>
        <v>0</v>
      </c>
      <c r="S1678" s="47">
        <f t="shared" si="515"/>
        <v>0</v>
      </c>
      <c r="T1678" s="151">
        <f t="shared" si="500"/>
        <v>0</v>
      </c>
      <c r="U1678" s="151">
        <f t="shared" si="501"/>
        <v>0</v>
      </c>
      <c r="V1678" s="139">
        <f t="shared" si="502"/>
        <v>0</v>
      </c>
      <c r="W1678" s="152">
        <f t="shared" si="505"/>
        <v>0</v>
      </c>
      <c r="X1678" s="127" t="str">
        <f t="shared" si="503"/>
        <v/>
      </c>
      <c r="Y1678" s="207">
        <f t="shared" si="506"/>
        <v>0</v>
      </c>
      <c r="Z1678" s="139">
        <f t="shared" si="507"/>
        <v>0</v>
      </c>
      <c r="AA1678" s="139">
        <f t="shared" si="508"/>
        <v>0</v>
      </c>
      <c r="AC1678" s="47">
        <f t="shared" si="509"/>
        <v>0</v>
      </c>
      <c r="AD1678" s="47">
        <f t="shared" si="510"/>
        <v>0</v>
      </c>
      <c r="AE1678" s="47">
        <f t="shared" si="511"/>
        <v>0</v>
      </c>
      <c r="AG1678" s="47">
        <f t="shared" si="512"/>
        <v>0</v>
      </c>
      <c r="AH1678" s="47">
        <f t="shared" si="513"/>
        <v>0</v>
      </c>
      <c r="AI1678" s="208">
        <f t="shared" si="514"/>
        <v>0</v>
      </c>
    </row>
    <row r="1679" spans="1:35">
      <c r="A1679" t="s">
        <v>2138</v>
      </c>
      <c r="B1679" t="s">
        <v>3286</v>
      </c>
      <c r="C1679" t="s">
        <v>5116</v>
      </c>
      <c r="D1679" t="s">
        <v>5117</v>
      </c>
      <c r="F1679" t="s">
        <v>5118</v>
      </c>
      <c r="G1679" s="126">
        <f>SUMIFS('Support - Transition'!F:F,'Support - Transition'!B:B,'Step 2'!A1679,'Support - Transition'!C:C,'Step 2'!B1679,'Support - Transition'!D:D,'Step 2'!C1679,'Support - Transition'!E:E,"CIVIL")</f>
        <v>0</v>
      </c>
      <c r="H1679" s="126">
        <f>SUMIFS('Support - Transition'!F:F,'Support - Transition'!B:B,'Step 2'!A1679,'Support - Transition'!C:C,'Step 2'!B1679,'Support - Transition'!D:D,'Step 2'!C1679,'Support - Transition'!E:E,"FIRE")</f>
        <v>0</v>
      </c>
      <c r="I1679" s="126">
        <f>IF(B1679="0",SUMIFS('Support - Transition'!F:F,'Support - Transition'!J:J,'Step 2'!D1679,'Support - Transition'!E:E,"STATE UNIT"),SUMIFS('Support - Transition'!F:F,'Support - Transition'!J:J,'Step 2'!D1679))</f>
        <v>0</v>
      </c>
      <c r="J1679" s="126">
        <f>SUMIFS('Support - Unit Adjustments'!E:E,'Support - Unit Adjustments'!F:F,'Step 2'!D1679)</f>
        <v>0</v>
      </c>
      <c r="K1679" s="126">
        <f t="shared" si="498"/>
        <v>0</v>
      </c>
      <c r="L1679" s="174">
        <f>VLOOKUP(A1679,'Step 1'!$A:$E,4,FALSE)</f>
        <v>331682</v>
      </c>
      <c r="M1679" s="47">
        <f t="shared" si="499"/>
        <v>0</v>
      </c>
      <c r="N1679" s="177">
        <f>SUMIFS('Support - Transition'!G:G,'Support - Transition'!J:J,'Step 2'!D1679,'Support - Transition'!E:E,"2009 WELFARE ALLOCATION FACTOR")</f>
        <v>0</v>
      </c>
      <c r="O1679" s="152">
        <f t="shared" si="504"/>
        <v>0</v>
      </c>
      <c r="P1679" s="126">
        <f>IF(E1679="Y",0,SUMIFS('Support - Transition'!G:G,'Support - Transition'!J:J,'Step 2'!D1679,'Support - Transition'!E:E,"2009 SCHOOL ALLOCATION FACTOR"))</f>
        <v>0</v>
      </c>
      <c r="Q1679" s="126">
        <f>IF(E1679="Y",VLOOKUP(D1679,'Support - Unit Adjustments'!F:G,2,FALSE),0)</f>
        <v>0</v>
      </c>
      <c r="R1679" s="155">
        <f t="shared" si="516"/>
        <v>0</v>
      </c>
      <c r="S1679" s="47">
        <f t="shared" si="515"/>
        <v>0</v>
      </c>
      <c r="T1679" s="151">
        <f t="shared" si="500"/>
        <v>0</v>
      </c>
      <c r="U1679" s="151">
        <f t="shared" si="501"/>
        <v>0</v>
      </c>
      <c r="V1679" s="139">
        <f t="shared" si="502"/>
        <v>0</v>
      </c>
      <c r="W1679" s="152">
        <f t="shared" si="505"/>
        <v>0</v>
      </c>
      <c r="X1679" s="127" t="str">
        <f t="shared" si="503"/>
        <v/>
      </c>
      <c r="Y1679" s="207">
        <f t="shared" si="506"/>
        <v>0</v>
      </c>
      <c r="Z1679" s="139">
        <f t="shared" si="507"/>
        <v>0</v>
      </c>
      <c r="AA1679" s="139">
        <f t="shared" si="508"/>
        <v>0</v>
      </c>
      <c r="AC1679" s="47">
        <f t="shared" si="509"/>
        <v>0</v>
      </c>
      <c r="AD1679" s="47">
        <f t="shared" si="510"/>
        <v>0</v>
      </c>
      <c r="AE1679" s="47">
        <f t="shared" si="511"/>
        <v>0</v>
      </c>
      <c r="AG1679" s="47">
        <f t="shared" si="512"/>
        <v>0</v>
      </c>
      <c r="AH1679" s="47">
        <f t="shared" si="513"/>
        <v>0</v>
      </c>
      <c r="AI1679" s="208">
        <f t="shared" si="514"/>
        <v>0</v>
      </c>
    </row>
    <row r="1680" spans="1:35">
      <c r="A1680" t="s">
        <v>2139</v>
      </c>
      <c r="B1680" s="48" t="s">
        <v>6274</v>
      </c>
      <c r="C1680" t="s">
        <v>2187</v>
      </c>
      <c r="D1680" t="str">
        <f>A1680&amp;B1680&amp;C1680</f>
        <v>5500000</v>
      </c>
      <c r="F1680" t="s">
        <v>6329</v>
      </c>
      <c r="G1680" s="126">
        <f>SUMIFS('Support - Transition'!F:F,'Support - Transition'!B:B,'Step 2'!A1680,'Support - Transition'!C:C,'Step 2'!B1680,'Support - Transition'!D:D,'Step 2'!C1680,'Support - Transition'!E:E,"CIVIL")</f>
        <v>0</v>
      </c>
      <c r="H1680" s="126">
        <f>SUMIFS('Support - Transition'!F:F,'Support - Transition'!B:B,'Step 2'!A1680,'Support - Transition'!C:C,'Step 2'!B1680,'Support - Transition'!D:D,'Step 2'!C1680,'Support - Transition'!E:E,"FIRE")</f>
        <v>0</v>
      </c>
      <c r="I1680" s="126">
        <f>IF(B1680="0",SUMIFS('Support - Transition'!F:F,'Support - Transition'!J:J,'Step 2'!D1680,'Support - Transition'!E:E,"STATE UNIT"),SUMIFS('Support - Transition'!F:F,'Support - Transition'!J:J,'Step 2'!D1680))</f>
        <v>1.369E-3</v>
      </c>
      <c r="J1680" s="126">
        <f>SUMIFS('Support - Unit Adjustments'!E:E,'Support - Unit Adjustments'!F:F,'Step 2'!D1680)</f>
        <v>0</v>
      </c>
      <c r="K1680" s="126">
        <f t="shared" si="498"/>
        <v>1.369E-3</v>
      </c>
      <c r="L1680" s="174">
        <f>VLOOKUP(A1680,'Step 1'!$A:$E,4,FALSE)</f>
        <v>453237</v>
      </c>
      <c r="M1680" s="47">
        <f t="shared" si="499"/>
        <v>620</v>
      </c>
      <c r="N1680" s="177">
        <f>SUMIFS('Support - Transition'!G:G,'Support - Transition'!J:J,'Step 2'!D1680,'Support - Transition'!E:E,"2009 WELFARE ALLOCATION FACTOR")</f>
        <v>0</v>
      </c>
      <c r="O1680" s="152">
        <f t="shared" si="504"/>
        <v>0</v>
      </c>
      <c r="P1680" s="126">
        <f>IF(E1680="Y",0,SUMIFS('Support - Transition'!G:G,'Support - Transition'!J:J,'Step 2'!D1680,'Support - Transition'!E:E,"2009 SCHOOL ALLOCATION FACTOR"))</f>
        <v>0</v>
      </c>
      <c r="Q1680" s="126">
        <f>IF(E1680="Y",VLOOKUP(D1680,'Support - Unit Adjustments'!F:G,2,FALSE),0)</f>
        <v>0</v>
      </c>
      <c r="R1680" s="155">
        <f t="shared" si="516"/>
        <v>0</v>
      </c>
      <c r="S1680" s="47">
        <f t="shared" si="515"/>
        <v>0</v>
      </c>
      <c r="T1680" s="151">
        <f t="shared" si="500"/>
        <v>620</v>
      </c>
      <c r="U1680" s="151">
        <f t="shared" si="501"/>
        <v>453237</v>
      </c>
      <c r="V1680" s="139">
        <f t="shared" si="502"/>
        <v>0</v>
      </c>
      <c r="W1680" s="152">
        <f t="shared" si="505"/>
        <v>620</v>
      </c>
      <c r="X1680" s="127">
        <f t="shared" si="503"/>
        <v>0</v>
      </c>
      <c r="Y1680" s="207">
        <f t="shared" si="506"/>
        <v>620</v>
      </c>
      <c r="Z1680" s="139">
        <f t="shared" si="507"/>
        <v>620</v>
      </c>
      <c r="AA1680" s="139">
        <f t="shared" si="508"/>
        <v>0</v>
      </c>
      <c r="AC1680" s="47">
        <f t="shared" si="509"/>
        <v>310</v>
      </c>
      <c r="AD1680" s="47">
        <f t="shared" si="510"/>
        <v>310</v>
      </c>
      <c r="AE1680" s="47">
        <f t="shared" si="511"/>
        <v>0</v>
      </c>
      <c r="AG1680" s="47">
        <f t="shared" si="512"/>
        <v>310</v>
      </c>
      <c r="AH1680" s="47">
        <f t="shared" si="513"/>
        <v>310</v>
      </c>
      <c r="AI1680" s="208">
        <f t="shared" si="514"/>
        <v>0</v>
      </c>
    </row>
    <row r="1681" spans="1:35">
      <c r="A1681" t="s">
        <v>2139</v>
      </c>
      <c r="B1681" t="s">
        <v>3140</v>
      </c>
      <c r="C1681" t="s">
        <v>2187</v>
      </c>
      <c r="D1681" t="s">
        <v>5119</v>
      </c>
      <c r="F1681" t="s">
        <v>1278</v>
      </c>
      <c r="G1681" s="126">
        <f>SUMIFS('Support - Transition'!F:F,'Support - Transition'!B:B,'Step 2'!A1681,'Support - Transition'!C:C,'Step 2'!B1681,'Support - Transition'!D:D,'Step 2'!C1681,'Support - Transition'!E:E,"CIVIL")</f>
        <v>0</v>
      </c>
      <c r="H1681" s="126">
        <f>SUMIFS('Support - Transition'!F:F,'Support - Transition'!B:B,'Step 2'!A1681,'Support - Transition'!C:C,'Step 2'!B1681,'Support - Transition'!D:D,'Step 2'!C1681,'Support - Transition'!E:E,"FIRE")</f>
        <v>0</v>
      </c>
      <c r="I1681" s="126">
        <f>IF(B1681="0",SUMIFS('Support - Transition'!F:F,'Support - Transition'!J:J,'Step 2'!D1681,'Support - Transition'!E:E,"STATE UNIT"),SUMIFS('Support - Transition'!F:F,'Support - Transition'!J:J,'Step 2'!D1681))</f>
        <v>0.15270700000000001</v>
      </c>
      <c r="J1681" s="126">
        <f>SUMIFS('Support - Unit Adjustments'!E:E,'Support - Unit Adjustments'!F:F,'Step 2'!D1681)</f>
        <v>0</v>
      </c>
      <c r="K1681" s="126">
        <f t="shared" si="498"/>
        <v>0.15270700000000001</v>
      </c>
      <c r="L1681" s="174">
        <f>VLOOKUP(A1681,'Step 1'!$A:$E,4,FALSE)</f>
        <v>453237</v>
      </c>
      <c r="M1681" s="47">
        <f t="shared" si="499"/>
        <v>69212</v>
      </c>
      <c r="N1681" s="177">
        <f>SUMIFS('Support - Transition'!G:G,'Support - Transition'!J:J,'Step 2'!D1681,'Support - Transition'!E:E,"2009 WELFARE ALLOCATION FACTOR")</f>
        <v>0.22949600000000001</v>
      </c>
      <c r="O1681" s="152">
        <f t="shared" si="504"/>
        <v>15884</v>
      </c>
      <c r="P1681" s="126">
        <f>IF(E1681="Y",0,SUMIFS('Support - Transition'!G:G,'Support - Transition'!J:J,'Step 2'!D1681,'Support - Transition'!E:E,"2009 SCHOOL ALLOCATION FACTOR"))</f>
        <v>0</v>
      </c>
      <c r="Q1681" s="126">
        <f>IF(E1681="Y",VLOOKUP(D1681,'Support - Unit Adjustments'!F:G,2,FALSE),0)</f>
        <v>0</v>
      </c>
      <c r="R1681" s="155">
        <f t="shared" si="516"/>
        <v>0</v>
      </c>
      <c r="S1681" s="47">
        <f t="shared" si="515"/>
        <v>0</v>
      </c>
      <c r="T1681" s="151">
        <f t="shared" si="500"/>
        <v>53328</v>
      </c>
      <c r="U1681" s="151">
        <f t="shared" si="501"/>
        <v>0</v>
      </c>
      <c r="V1681" s="139">
        <f t="shared" si="502"/>
        <v>0</v>
      </c>
      <c r="W1681" s="152">
        <f t="shared" si="505"/>
        <v>53328</v>
      </c>
      <c r="X1681" s="127" t="str">
        <f t="shared" si="503"/>
        <v/>
      </c>
      <c r="Y1681" s="207">
        <f t="shared" si="506"/>
        <v>53328</v>
      </c>
      <c r="Z1681" s="139">
        <f t="shared" si="507"/>
        <v>53328</v>
      </c>
      <c r="AA1681" s="139">
        <f t="shared" si="508"/>
        <v>0</v>
      </c>
      <c r="AC1681" s="47">
        <f t="shared" si="509"/>
        <v>26664</v>
      </c>
      <c r="AD1681" s="47">
        <f t="shared" si="510"/>
        <v>26664</v>
      </c>
      <c r="AE1681" s="47">
        <f t="shared" si="511"/>
        <v>0</v>
      </c>
      <c r="AG1681" s="47">
        <f t="shared" si="512"/>
        <v>26664</v>
      </c>
      <c r="AH1681" s="47">
        <f t="shared" si="513"/>
        <v>26664</v>
      </c>
      <c r="AI1681" s="208">
        <f t="shared" si="514"/>
        <v>0</v>
      </c>
    </row>
    <row r="1682" spans="1:35">
      <c r="A1682" t="s">
        <v>2139</v>
      </c>
      <c r="B1682" t="s">
        <v>3142</v>
      </c>
      <c r="C1682" t="s">
        <v>2188</v>
      </c>
      <c r="D1682" t="s">
        <v>5120</v>
      </c>
      <c r="F1682" t="s">
        <v>46</v>
      </c>
      <c r="G1682" s="126">
        <f>SUMIFS('Support - Transition'!F:F,'Support - Transition'!B:B,'Step 2'!A1682,'Support - Transition'!C:C,'Step 2'!B1682,'Support - Transition'!D:D,'Step 2'!C1682,'Support - Transition'!E:E,"CIVIL")</f>
        <v>7.4799999999999997E-4</v>
      </c>
      <c r="H1682" s="126">
        <f>SUMIFS('Support - Transition'!F:F,'Support - Transition'!B:B,'Step 2'!A1682,'Support - Transition'!C:C,'Step 2'!B1682,'Support - Transition'!D:D,'Step 2'!C1682,'Support - Transition'!E:E,"FIRE")</f>
        <v>5.2099999999999998E-4</v>
      </c>
      <c r="I1682" s="126">
        <f>IF(B1682="0",SUMIFS('Support - Transition'!F:F,'Support - Transition'!J:J,'Step 2'!D1682,'Support - Transition'!E:E,"STATE UNIT"),SUMIFS('Support - Transition'!F:F,'Support - Transition'!J:J,'Step 2'!D1682))</f>
        <v>1.2689999999999999E-3</v>
      </c>
      <c r="J1682" s="126">
        <f>SUMIFS('Support - Unit Adjustments'!E:E,'Support - Unit Adjustments'!F:F,'Step 2'!D1682)</f>
        <v>0</v>
      </c>
      <c r="K1682" s="126">
        <f t="shared" si="498"/>
        <v>1.2689999999999999E-3</v>
      </c>
      <c r="L1682" s="174">
        <f>VLOOKUP(A1682,'Step 1'!$A:$E,4,FALSE)</f>
        <v>453237</v>
      </c>
      <c r="M1682" s="47">
        <f t="shared" si="499"/>
        <v>575</v>
      </c>
      <c r="N1682" s="177">
        <f>SUMIFS('Support - Transition'!G:G,'Support - Transition'!J:J,'Step 2'!D1682,'Support - Transition'!E:E,"2009 WELFARE ALLOCATION FACTOR")</f>
        <v>0</v>
      </c>
      <c r="O1682" s="152">
        <f t="shared" si="504"/>
        <v>0</v>
      </c>
      <c r="P1682" s="126">
        <f>IF(E1682="Y",0,SUMIFS('Support - Transition'!G:G,'Support - Transition'!J:J,'Step 2'!D1682,'Support - Transition'!E:E,"2009 SCHOOL ALLOCATION FACTOR"))</f>
        <v>0</v>
      </c>
      <c r="Q1682" s="126">
        <f>IF(E1682="Y",VLOOKUP(D1682,'Support - Unit Adjustments'!F:G,2,FALSE),0)</f>
        <v>0</v>
      </c>
      <c r="R1682" s="155">
        <f t="shared" si="516"/>
        <v>0</v>
      </c>
      <c r="S1682" s="47">
        <f t="shared" si="515"/>
        <v>0</v>
      </c>
      <c r="T1682" s="151">
        <f t="shared" si="500"/>
        <v>575</v>
      </c>
      <c r="U1682" s="151">
        <f t="shared" si="501"/>
        <v>0</v>
      </c>
      <c r="V1682" s="139">
        <f t="shared" si="502"/>
        <v>0</v>
      </c>
      <c r="W1682" s="152">
        <f t="shared" si="505"/>
        <v>575</v>
      </c>
      <c r="X1682" s="127" t="str">
        <f t="shared" si="503"/>
        <v/>
      </c>
      <c r="Y1682" s="207">
        <f t="shared" si="506"/>
        <v>575</v>
      </c>
      <c r="Z1682" s="139">
        <f t="shared" si="507"/>
        <v>339</v>
      </c>
      <c r="AA1682" s="139">
        <f t="shared" si="508"/>
        <v>236</v>
      </c>
      <c r="AC1682" s="47">
        <f t="shared" si="509"/>
        <v>288</v>
      </c>
      <c r="AD1682" s="47">
        <f t="shared" si="510"/>
        <v>170</v>
      </c>
      <c r="AE1682" s="47">
        <f t="shared" si="511"/>
        <v>118</v>
      </c>
      <c r="AG1682" s="47">
        <f t="shared" si="512"/>
        <v>287</v>
      </c>
      <c r="AH1682" s="47">
        <f t="shared" si="513"/>
        <v>169</v>
      </c>
      <c r="AI1682" s="208">
        <f t="shared" si="514"/>
        <v>118</v>
      </c>
    </row>
    <row r="1683" spans="1:35">
      <c r="A1683" t="s">
        <v>2139</v>
      </c>
      <c r="B1683" t="s">
        <v>3142</v>
      </c>
      <c r="C1683" t="s">
        <v>2189</v>
      </c>
      <c r="D1683" t="s">
        <v>5121</v>
      </c>
      <c r="F1683" t="s">
        <v>1279</v>
      </c>
      <c r="G1683" s="126">
        <f>SUMIFS('Support - Transition'!F:F,'Support - Transition'!B:B,'Step 2'!A1683,'Support - Transition'!C:C,'Step 2'!B1683,'Support - Transition'!D:D,'Step 2'!C1683,'Support - Transition'!E:E,"CIVIL")</f>
        <v>3.5199999999999999E-4</v>
      </c>
      <c r="H1683" s="126">
        <f>SUMIFS('Support - Transition'!F:F,'Support - Transition'!B:B,'Step 2'!A1683,'Support - Transition'!C:C,'Step 2'!B1683,'Support - Transition'!D:D,'Step 2'!C1683,'Support - Transition'!E:E,"FIRE")</f>
        <v>2.5099999999999998E-4</v>
      </c>
      <c r="I1683" s="126">
        <f>IF(B1683="0",SUMIFS('Support - Transition'!F:F,'Support - Transition'!J:J,'Step 2'!D1683,'Support - Transition'!E:E,"STATE UNIT"),SUMIFS('Support - Transition'!F:F,'Support - Transition'!J:J,'Step 2'!D1683))</f>
        <v>6.0300000000000002E-4</v>
      </c>
      <c r="J1683" s="126">
        <f>SUMIFS('Support - Unit Adjustments'!E:E,'Support - Unit Adjustments'!F:F,'Step 2'!D1683)</f>
        <v>0</v>
      </c>
      <c r="K1683" s="126">
        <f t="shared" si="498"/>
        <v>6.0300000000000002E-4</v>
      </c>
      <c r="L1683" s="174">
        <f>VLOOKUP(A1683,'Step 1'!$A:$E,4,FALSE)</f>
        <v>453237</v>
      </c>
      <c r="M1683" s="47">
        <f t="shared" si="499"/>
        <v>273</v>
      </c>
      <c r="N1683" s="177">
        <f>SUMIFS('Support - Transition'!G:G,'Support - Transition'!J:J,'Step 2'!D1683,'Support - Transition'!E:E,"2009 WELFARE ALLOCATION FACTOR")</f>
        <v>0</v>
      </c>
      <c r="O1683" s="152">
        <f t="shared" si="504"/>
        <v>0</v>
      </c>
      <c r="P1683" s="126">
        <f>IF(E1683="Y",0,SUMIFS('Support - Transition'!G:G,'Support - Transition'!J:J,'Step 2'!D1683,'Support - Transition'!E:E,"2009 SCHOOL ALLOCATION FACTOR"))</f>
        <v>0</v>
      </c>
      <c r="Q1683" s="126">
        <f>IF(E1683="Y",VLOOKUP(D1683,'Support - Unit Adjustments'!F:G,2,FALSE),0)</f>
        <v>0</v>
      </c>
      <c r="R1683" s="155">
        <f t="shared" si="516"/>
        <v>0</v>
      </c>
      <c r="S1683" s="47">
        <f t="shared" si="515"/>
        <v>0</v>
      </c>
      <c r="T1683" s="151">
        <f t="shared" si="500"/>
        <v>273</v>
      </c>
      <c r="U1683" s="151">
        <f t="shared" si="501"/>
        <v>0</v>
      </c>
      <c r="V1683" s="139">
        <f t="shared" si="502"/>
        <v>0</v>
      </c>
      <c r="W1683" s="152">
        <f t="shared" si="505"/>
        <v>273</v>
      </c>
      <c r="X1683" s="127" t="str">
        <f t="shared" si="503"/>
        <v/>
      </c>
      <c r="Y1683" s="207">
        <f t="shared" si="506"/>
        <v>273</v>
      </c>
      <c r="Z1683" s="139">
        <f t="shared" si="507"/>
        <v>159</v>
      </c>
      <c r="AA1683" s="139">
        <f t="shared" si="508"/>
        <v>114</v>
      </c>
      <c r="AC1683" s="47">
        <f t="shared" si="509"/>
        <v>137</v>
      </c>
      <c r="AD1683" s="47">
        <f t="shared" si="510"/>
        <v>80</v>
      </c>
      <c r="AE1683" s="47">
        <f t="shared" si="511"/>
        <v>57</v>
      </c>
      <c r="AG1683" s="47">
        <f t="shared" si="512"/>
        <v>136</v>
      </c>
      <c r="AH1683" s="47">
        <f t="shared" si="513"/>
        <v>79</v>
      </c>
      <c r="AI1683" s="208">
        <f t="shared" si="514"/>
        <v>57</v>
      </c>
    </row>
    <row r="1684" spans="1:35">
      <c r="A1684" t="s">
        <v>2139</v>
      </c>
      <c r="B1684" t="s">
        <v>3142</v>
      </c>
      <c r="C1684" t="s">
        <v>2190</v>
      </c>
      <c r="D1684" t="s">
        <v>5122</v>
      </c>
      <c r="F1684" t="s">
        <v>1280</v>
      </c>
      <c r="G1684" s="126">
        <f>SUMIFS('Support - Transition'!F:F,'Support - Transition'!B:B,'Step 2'!A1684,'Support - Transition'!C:C,'Step 2'!B1684,'Support - Transition'!D:D,'Step 2'!C1684,'Support - Transition'!E:E,"CIVIL")</f>
        <v>2.1499999999999999E-4</v>
      </c>
      <c r="H1684" s="126">
        <f>SUMIFS('Support - Transition'!F:F,'Support - Transition'!B:B,'Step 2'!A1684,'Support - Transition'!C:C,'Step 2'!B1684,'Support - Transition'!D:D,'Step 2'!C1684,'Support - Transition'!E:E,"FIRE")</f>
        <v>1.4E-5</v>
      </c>
      <c r="I1684" s="126">
        <f>IF(B1684="0",SUMIFS('Support - Transition'!F:F,'Support - Transition'!J:J,'Step 2'!D1684,'Support - Transition'!E:E,"STATE UNIT"),SUMIFS('Support - Transition'!F:F,'Support - Transition'!J:J,'Step 2'!D1684))</f>
        <v>2.2899999999999998E-4</v>
      </c>
      <c r="J1684" s="126">
        <f>SUMIFS('Support - Unit Adjustments'!E:E,'Support - Unit Adjustments'!F:F,'Step 2'!D1684)</f>
        <v>0</v>
      </c>
      <c r="K1684" s="126">
        <f t="shared" si="498"/>
        <v>2.2899999999999998E-4</v>
      </c>
      <c r="L1684" s="174">
        <f>VLOOKUP(A1684,'Step 1'!$A:$E,4,FALSE)</f>
        <v>453237</v>
      </c>
      <c r="M1684" s="47">
        <f t="shared" si="499"/>
        <v>104</v>
      </c>
      <c r="N1684" s="177">
        <f>SUMIFS('Support - Transition'!G:G,'Support - Transition'!J:J,'Step 2'!D1684,'Support - Transition'!E:E,"2009 WELFARE ALLOCATION FACTOR")</f>
        <v>0</v>
      </c>
      <c r="O1684" s="152">
        <f t="shared" si="504"/>
        <v>0</v>
      </c>
      <c r="P1684" s="126">
        <f>IF(E1684="Y",0,SUMIFS('Support - Transition'!G:G,'Support - Transition'!J:J,'Step 2'!D1684,'Support - Transition'!E:E,"2009 SCHOOL ALLOCATION FACTOR"))</f>
        <v>0</v>
      </c>
      <c r="Q1684" s="126">
        <f>IF(E1684="Y",VLOOKUP(D1684,'Support - Unit Adjustments'!F:G,2,FALSE),0)</f>
        <v>0</v>
      </c>
      <c r="R1684" s="155">
        <f t="shared" si="516"/>
        <v>0</v>
      </c>
      <c r="S1684" s="47">
        <f t="shared" si="515"/>
        <v>0</v>
      </c>
      <c r="T1684" s="151">
        <f t="shared" si="500"/>
        <v>104</v>
      </c>
      <c r="U1684" s="151">
        <f t="shared" si="501"/>
        <v>0</v>
      </c>
      <c r="V1684" s="139">
        <f t="shared" si="502"/>
        <v>0</v>
      </c>
      <c r="W1684" s="152">
        <f t="shared" si="505"/>
        <v>104</v>
      </c>
      <c r="X1684" s="127" t="str">
        <f t="shared" si="503"/>
        <v/>
      </c>
      <c r="Y1684" s="207">
        <f t="shared" si="506"/>
        <v>104</v>
      </c>
      <c r="Z1684" s="139">
        <f t="shared" si="507"/>
        <v>98</v>
      </c>
      <c r="AA1684" s="139">
        <f t="shared" si="508"/>
        <v>6</v>
      </c>
      <c r="AC1684" s="47">
        <f t="shared" si="509"/>
        <v>52</v>
      </c>
      <c r="AD1684" s="47">
        <f t="shared" si="510"/>
        <v>49</v>
      </c>
      <c r="AE1684" s="47">
        <f t="shared" si="511"/>
        <v>3</v>
      </c>
      <c r="AG1684" s="47">
        <f t="shared" si="512"/>
        <v>52</v>
      </c>
      <c r="AH1684" s="47">
        <f t="shared" si="513"/>
        <v>49</v>
      </c>
      <c r="AI1684" s="208">
        <f t="shared" si="514"/>
        <v>3</v>
      </c>
    </row>
    <row r="1685" spans="1:35">
      <c r="A1685" t="s">
        <v>2139</v>
      </c>
      <c r="B1685" t="s">
        <v>3142</v>
      </c>
      <c r="C1685" t="s">
        <v>2191</v>
      </c>
      <c r="D1685" t="s">
        <v>5123</v>
      </c>
      <c r="F1685" t="s">
        <v>671</v>
      </c>
      <c r="G1685" s="126">
        <f>SUMIFS('Support - Transition'!F:F,'Support - Transition'!B:B,'Step 2'!A1685,'Support - Transition'!C:C,'Step 2'!B1685,'Support - Transition'!D:D,'Step 2'!C1685,'Support - Transition'!E:E,"CIVIL")</f>
        <v>8.7930000000000005E-3</v>
      </c>
      <c r="H1685" s="126">
        <f>SUMIFS('Support - Transition'!F:F,'Support - Transition'!B:B,'Step 2'!A1685,'Support - Transition'!C:C,'Step 2'!B1685,'Support - Transition'!D:D,'Step 2'!C1685,'Support - Transition'!E:E,"FIRE")</f>
        <v>2.222E-3</v>
      </c>
      <c r="I1685" s="126">
        <f>IF(B1685="0",SUMIFS('Support - Transition'!F:F,'Support - Transition'!J:J,'Step 2'!D1685,'Support - Transition'!E:E,"STATE UNIT"),SUMIFS('Support - Transition'!F:F,'Support - Transition'!J:J,'Step 2'!D1685))</f>
        <v>1.1015E-2</v>
      </c>
      <c r="J1685" s="126">
        <f>SUMIFS('Support - Unit Adjustments'!E:E,'Support - Unit Adjustments'!F:F,'Step 2'!D1685)</f>
        <v>0</v>
      </c>
      <c r="K1685" s="126">
        <f t="shared" si="498"/>
        <v>1.1015E-2</v>
      </c>
      <c r="L1685" s="174">
        <f>VLOOKUP(A1685,'Step 1'!$A:$E,4,FALSE)</f>
        <v>453237</v>
      </c>
      <c r="M1685" s="47">
        <f t="shared" si="499"/>
        <v>4992</v>
      </c>
      <c r="N1685" s="177">
        <f>SUMIFS('Support - Transition'!G:G,'Support - Transition'!J:J,'Step 2'!D1685,'Support - Transition'!E:E,"2009 WELFARE ALLOCATION FACTOR")</f>
        <v>0</v>
      </c>
      <c r="O1685" s="152">
        <f t="shared" si="504"/>
        <v>0</v>
      </c>
      <c r="P1685" s="126">
        <f>IF(E1685="Y",0,SUMIFS('Support - Transition'!G:G,'Support - Transition'!J:J,'Step 2'!D1685,'Support - Transition'!E:E,"2009 SCHOOL ALLOCATION FACTOR"))</f>
        <v>0</v>
      </c>
      <c r="Q1685" s="126">
        <f>IF(E1685="Y",VLOOKUP(D1685,'Support - Unit Adjustments'!F:G,2,FALSE),0)</f>
        <v>0</v>
      </c>
      <c r="R1685" s="155">
        <f t="shared" si="516"/>
        <v>0</v>
      </c>
      <c r="S1685" s="47">
        <f t="shared" si="515"/>
        <v>0</v>
      </c>
      <c r="T1685" s="151">
        <f t="shared" si="500"/>
        <v>4992</v>
      </c>
      <c r="U1685" s="151">
        <f t="shared" si="501"/>
        <v>0</v>
      </c>
      <c r="V1685" s="139">
        <f t="shared" si="502"/>
        <v>0</v>
      </c>
      <c r="W1685" s="152">
        <f t="shared" si="505"/>
        <v>4992</v>
      </c>
      <c r="X1685" s="127" t="str">
        <f t="shared" si="503"/>
        <v/>
      </c>
      <c r="Y1685" s="207">
        <f t="shared" si="506"/>
        <v>4992</v>
      </c>
      <c r="Z1685" s="139">
        <f t="shared" si="507"/>
        <v>3985</v>
      </c>
      <c r="AA1685" s="139">
        <f t="shared" si="508"/>
        <v>1007</v>
      </c>
      <c r="AC1685" s="47">
        <f t="shared" si="509"/>
        <v>2496</v>
      </c>
      <c r="AD1685" s="47">
        <f t="shared" si="510"/>
        <v>1993</v>
      </c>
      <c r="AE1685" s="47">
        <f t="shared" si="511"/>
        <v>504</v>
      </c>
      <c r="AG1685" s="47">
        <f t="shared" si="512"/>
        <v>2496</v>
      </c>
      <c r="AH1685" s="47">
        <f t="shared" si="513"/>
        <v>1992</v>
      </c>
      <c r="AI1685" s="208">
        <f t="shared" si="514"/>
        <v>503</v>
      </c>
    </row>
    <row r="1686" spans="1:35">
      <c r="A1686" t="s">
        <v>2139</v>
      </c>
      <c r="B1686" t="s">
        <v>3142</v>
      </c>
      <c r="C1686" t="s">
        <v>2192</v>
      </c>
      <c r="D1686" t="s">
        <v>5124</v>
      </c>
      <c r="F1686" t="s">
        <v>81</v>
      </c>
      <c r="G1686" s="126">
        <f>SUMIFS('Support - Transition'!F:F,'Support - Transition'!B:B,'Step 2'!A1686,'Support - Transition'!C:C,'Step 2'!B1686,'Support - Transition'!D:D,'Step 2'!C1686,'Support - Transition'!E:E,"CIVIL")</f>
        <v>2.0100000000000001E-4</v>
      </c>
      <c r="H1686" s="126">
        <f>SUMIFS('Support - Transition'!F:F,'Support - Transition'!B:B,'Step 2'!A1686,'Support - Transition'!C:C,'Step 2'!B1686,'Support - Transition'!D:D,'Step 2'!C1686,'Support - Transition'!E:E,"FIRE")</f>
        <v>3.8000000000000002E-4</v>
      </c>
      <c r="I1686" s="126">
        <f>IF(B1686="0",SUMIFS('Support - Transition'!F:F,'Support - Transition'!J:J,'Step 2'!D1686,'Support - Transition'!E:E,"STATE UNIT"),SUMIFS('Support - Transition'!F:F,'Support - Transition'!J:J,'Step 2'!D1686))</f>
        <v>5.8100000000000003E-4</v>
      </c>
      <c r="J1686" s="126">
        <f>SUMIFS('Support - Unit Adjustments'!E:E,'Support - Unit Adjustments'!F:F,'Step 2'!D1686)</f>
        <v>0</v>
      </c>
      <c r="K1686" s="126">
        <f t="shared" si="498"/>
        <v>5.8100000000000003E-4</v>
      </c>
      <c r="L1686" s="174">
        <f>VLOOKUP(A1686,'Step 1'!$A:$E,4,FALSE)</f>
        <v>453237</v>
      </c>
      <c r="M1686" s="47">
        <f t="shared" si="499"/>
        <v>263</v>
      </c>
      <c r="N1686" s="177">
        <f>SUMIFS('Support - Transition'!G:G,'Support - Transition'!J:J,'Step 2'!D1686,'Support - Transition'!E:E,"2009 WELFARE ALLOCATION FACTOR")</f>
        <v>0</v>
      </c>
      <c r="O1686" s="152">
        <f t="shared" si="504"/>
        <v>0</v>
      </c>
      <c r="P1686" s="126">
        <f>IF(E1686="Y",0,SUMIFS('Support - Transition'!G:G,'Support - Transition'!J:J,'Step 2'!D1686,'Support - Transition'!E:E,"2009 SCHOOL ALLOCATION FACTOR"))</f>
        <v>0</v>
      </c>
      <c r="Q1686" s="126">
        <f>IF(E1686="Y",VLOOKUP(D1686,'Support - Unit Adjustments'!F:G,2,FALSE),0)</f>
        <v>0</v>
      </c>
      <c r="R1686" s="155">
        <f t="shared" si="516"/>
        <v>0</v>
      </c>
      <c r="S1686" s="47">
        <f t="shared" si="515"/>
        <v>0</v>
      </c>
      <c r="T1686" s="151">
        <f t="shared" si="500"/>
        <v>263</v>
      </c>
      <c r="U1686" s="151">
        <f t="shared" si="501"/>
        <v>0</v>
      </c>
      <c r="V1686" s="139">
        <f t="shared" si="502"/>
        <v>0</v>
      </c>
      <c r="W1686" s="152">
        <f t="shared" si="505"/>
        <v>263</v>
      </c>
      <c r="X1686" s="127" t="str">
        <f t="shared" si="503"/>
        <v/>
      </c>
      <c r="Y1686" s="207">
        <f t="shared" si="506"/>
        <v>263</v>
      </c>
      <c r="Z1686" s="139">
        <f t="shared" si="507"/>
        <v>91</v>
      </c>
      <c r="AA1686" s="139">
        <f t="shared" si="508"/>
        <v>172</v>
      </c>
      <c r="AC1686" s="47">
        <f t="shared" si="509"/>
        <v>132</v>
      </c>
      <c r="AD1686" s="47">
        <f t="shared" si="510"/>
        <v>46</v>
      </c>
      <c r="AE1686" s="47">
        <f t="shared" si="511"/>
        <v>86</v>
      </c>
      <c r="AG1686" s="47">
        <f t="shared" si="512"/>
        <v>131</v>
      </c>
      <c r="AH1686" s="47">
        <f t="shared" si="513"/>
        <v>45</v>
      </c>
      <c r="AI1686" s="208">
        <f t="shared" si="514"/>
        <v>86</v>
      </c>
    </row>
    <row r="1687" spans="1:35">
      <c r="A1687" t="s">
        <v>2139</v>
      </c>
      <c r="B1687" t="s">
        <v>3142</v>
      </c>
      <c r="C1687" t="s">
        <v>2193</v>
      </c>
      <c r="D1687" t="s">
        <v>5125</v>
      </c>
      <c r="F1687" t="s">
        <v>593</v>
      </c>
      <c r="G1687" s="126">
        <f>SUMIFS('Support - Transition'!F:F,'Support - Transition'!B:B,'Step 2'!A1687,'Support - Transition'!C:C,'Step 2'!B1687,'Support - Transition'!D:D,'Step 2'!C1687,'Support - Transition'!E:E,"CIVIL")</f>
        <v>3.225E-3</v>
      </c>
      <c r="H1687" s="126">
        <f>SUMIFS('Support - Transition'!F:F,'Support - Transition'!B:B,'Step 2'!A1687,'Support - Transition'!C:C,'Step 2'!B1687,'Support - Transition'!D:D,'Step 2'!C1687,'Support - Transition'!E:E,"FIRE")</f>
        <v>7.2800000000000002E-4</v>
      </c>
      <c r="I1687" s="126">
        <f>IF(B1687="0",SUMIFS('Support - Transition'!F:F,'Support - Transition'!J:J,'Step 2'!D1687,'Support - Transition'!E:E,"STATE UNIT"),SUMIFS('Support - Transition'!F:F,'Support - Transition'!J:J,'Step 2'!D1687))</f>
        <v>3.9529999999999999E-3</v>
      </c>
      <c r="J1687" s="126">
        <f>SUMIFS('Support - Unit Adjustments'!E:E,'Support - Unit Adjustments'!F:F,'Step 2'!D1687)</f>
        <v>0</v>
      </c>
      <c r="K1687" s="126">
        <f t="shared" si="498"/>
        <v>3.9529999999999999E-3</v>
      </c>
      <c r="L1687" s="174">
        <f>VLOOKUP(A1687,'Step 1'!$A:$E,4,FALSE)</f>
        <v>453237</v>
      </c>
      <c r="M1687" s="47">
        <f t="shared" si="499"/>
        <v>1792</v>
      </c>
      <c r="N1687" s="177">
        <f>SUMIFS('Support - Transition'!G:G,'Support - Transition'!J:J,'Step 2'!D1687,'Support - Transition'!E:E,"2009 WELFARE ALLOCATION FACTOR")</f>
        <v>0</v>
      </c>
      <c r="O1687" s="152">
        <f t="shared" si="504"/>
        <v>0</v>
      </c>
      <c r="P1687" s="126">
        <f>IF(E1687="Y",0,SUMIFS('Support - Transition'!G:G,'Support - Transition'!J:J,'Step 2'!D1687,'Support - Transition'!E:E,"2009 SCHOOL ALLOCATION FACTOR"))</f>
        <v>0</v>
      </c>
      <c r="Q1687" s="126">
        <f>IF(E1687="Y",VLOOKUP(D1687,'Support - Unit Adjustments'!F:G,2,FALSE),0)</f>
        <v>0</v>
      </c>
      <c r="R1687" s="155">
        <f t="shared" si="516"/>
        <v>0</v>
      </c>
      <c r="S1687" s="47">
        <f t="shared" si="515"/>
        <v>0</v>
      </c>
      <c r="T1687" s="151">
        <f t="shared" si="500"/>
        <v>1792</v>
      </c>
      <c r="U1687" s="151">
        <f t="shared" si="501"/>
        <v>0</v>
      </c>
      <c r="V1687" s="139">
        <f t="shared" si="502"/>
        <v>0</v>
      </c>
      <c r="W1687" s="152">
        <f t="shared" si="505"/>
        <v>1792</v>
      </c>
      <c r="X1687" s="127" t="str">
        <f t="shared" si="503"/>
        <v/>
      </c>
      <c r="Y1687" s="207">
        <f t="shared" si="506"/>
        <v>1792</v>
      </c>
      <c r="Z1687" s="139">
        <f t="shared" si="507"/>
        <v>1462</v>
      </c>
      <c r="AA1687" s="139">
        <f t="shared" si="508"/>
        <v>330</v>
      </c>
      <c r="AC1687" s="47">
        <f t="shared" si="509"/>
        <v>896</v>
      </c>
      <c r="AD1687" s="47">
        <f t="shared" si="510"/>
        <v>731</v>
      </c>
      <c r="AE1687" s="47">
        <f t="shared" si="511"/>
        <v>165</v>
      </c>
      <c r="AG1687" s="47">
        <f t="shared" si="512"/>
        <v>896</v>
      </c>
      <c r="AH1687" s="47">
        <f t="shared" si="513"/>
        <v>731</v>
      </c>
      <c r="AI1687" s="208">
        <f t="shared" si="514"/>
        <v>165</v>
      </c>
    </row>
    <row r="1688" spans="1:35">
      <c r="A1688" t="s">
        <v>2139</v>
      </c>
      <c r="B1688" t="s">
        <v>3142</v>
      </c>
      <c r="C1688" t="s">
        <v>2194</v>
      </c>
      <c r="D1688" t="s">
        <v>5126</v>
      </c>
      <c r="F1688" t="s">
        <v>1281</v>
      </c>
      <c r="G1688" s="126">
        <f>SUMIFS('Support - Transition'!F:F,'Support - Transition'!B:B,'Step 2'!A1688,'Support - Transition'!C:C,'Step 2'!B1688,'Support - Transition'!D:D,'Step 2'!C1688,'Support - Transition'!E:E,"CIVIL")</f>
        <v>1.65E-4</v>
      </c>
      <c r="H1688" s="126">
        <f>SUMIFS('Support - Transition'!F:F,'Support - Transition'!B:B,'Step 2'!A1688,'Support - Transition'!C:C,'Step 2'!B1688,'Support - Transition'!D:D,'Step 2'!C1688,'Support - Transition'!E:E,"FIRE")</f>
        <v>9.0000000000000006E-5</v>
      </c>
      <c r="I1688" s="126">
        <f>IF(B1688="0",SUMIFS('Support - Transition'!F:F,'Support - Transition'!J:J,'Step 2'!D1688,'Support - Transition'!E:E,"STATE UNIT"),SUMIFS('Support - Transition'!F:F,'Support - Transition'!J:J,'Step 2'!D1688))</f>
        <v>2.5500000000000002E-4</v>
      </c>
      <c r="J1688" s="126">
        <f>SUMIFS('Support - Unit Adjustments'!E:E,'Support - Unit Adjustments'!F:F,'Step 2'!D1688)</f>
        <v>0</v>
      </c>
      <c r="K1688" s="126">
        <f t="shared" si="498"/>
        <v>2.5500000000000002E-4</v>
      </c>
      <c r="L1688" s="174">
        <f>VLOOKUP(A1688,'Step 1'!$A:$E,4,FALSE)</f>
        <v>453237</v>
      </c>
      <c r="M1688" s="47">
        <f t="shared" si="499"/>
        <v>116</v>
      </c>
      <c r="N1688" s="177">
        <f>SUMIFS('Support - Transition'!G:G,'Support - Transition'!J:J,'Step 2'!D1688,'Support - Transition'!E:E,"2009 WELFARE ALLOCATION FACTOR")</f>
        <v>0</v>
      </c>
      <c r="O1688" s="152">
        <f t="shared" si="504"/>
        <v>0</v>
      </c>
      <c r="P1688" s="126">
        <f>IF(E1688="Y",0,SUMIFS('Support - Transition'!G:G,'Support - Transition'!J:J,'Step 2'!D1688,'Support - Transition'!E:E,"2009 SCHOOL ALLOCATION FACTOR"))</f>
        <v>0</v>
      </c>
      <c r="Q1688" s="126">
        <f>IF(E1688="Y",VLOOKUP(D1688,'Support - Unit Adjustments'!F:G,2,FALSE),0)</f>
        <v>0</v>
      </c>
      <c r="R1688" s="155">
        <f t="shared" si="516"/>
        <v>0</v>
      </c>
      <c r="S1688" s="47">
        <f t="shared" si="515"/>
        <v>0</v>
      </c>
      <c r="T1688" s="151">
        <f t="shared" si="500"/>
        <v>116</v>
      </c>
      <c r="U1688" s="151">
        <f t="shared" si="501"/>
        <v>0</v>
      </c>
      <c r="V1688" s="139">
        <f t="shared" si="502"/>
        <v>0</v>
      </c>
      <c r="W1688" s="152">
        <f t="shared" si="505"/>
        <v>116</v>
      </c>
      <c r="X1688" s="127" t="str">
        <f t="shared" si="503"/>
        <v/>
      </c>
      <c r="Y1688" s="207">
        <f t="shared" si="506"/>
        <v>116</v>
      </c>
      <c r="Z1688" s="139">
        <f t="shared" si="507"/>
        <v>75</v>
      </c>
      <c r="AA1688" s="139">
        <f t="shared" si="508"/>
        <v>41</v>
      </c>
      <c r="AC1688" s="47">
        <f t="shared" si="509"/>
        <v>58</v>
      </c>
      <c r="AD1688" s="47">
        <f t="shared" si="510"/>
        <v>38</v>
      </c>
      <c r="AE1688" s="47">
        <f t="shared" si="511"/>
        <v>21</v>
      </c>
      <c r="AG1688" s="47">
        <f t="shared" si="512"/>
        <v>58</v>
      </c>
      <c r="AH1688" s="47">
        <f t="shared" si="513"/>
        <v>37</v>
      </c>
      <c r="AI1688" s="208">
        <f t="shared" si="514"/>
        <v>20</v>
      </c>
    </row>
    <row r="1689" spans="1:35">
      <c r="A1689" t="s">
        <v>2139</v>
      </c>
      <c r="B1689" t="s">
        <v>3142</v>
      </c>
      <c r="C1689" t="s">
        <v>2195</v>
      </c>
      <c r="D1689" t="s">
        <v>5127</v>
      </c>
      <c r="F1689" t="s">
        <v>86</v>
      </c>
      <c r="G1689" s="126">
        <f>SUMIFS('Support - Transition'!F:F,'Support - Transition'!B:B,'Step 2'!A1689,'Support - Transition'!C:C,'Step 2'!B1689,'Support - Transition'!D:D,'Step 2'!C1689,'Support - Transition'!E:E,"CIVIL")</f>
        <v>4.8099999999999998E-4</v>
      </c>
      <c r="H1689" s="126">
        <f>SUMIFS('Support - Transition'!F:F,'Support - Transition'!B:B,'Step 2'!A1689,'Support - Transition'!C:C,'Step 2'!B1689,'Support - Transition'!D:D,'Step 2'!C1689,'Support - Transition'!E:E,"FIRE")</f>
        <v>0</v>
      </c>
      <c r="I1689" s="126">
        <f>IF(B1689="0",SUMIFS('Support - Transition'!F:F,'Support - Transition'!J:J,'Step 2'!D1689,'Support - Transition'!E:E,"STATE UNIT"),SUMIFS('Support - Transition'!F:F,'Support - Transition'!J:J,'Step 2'!D1689))</f>
        <v>4.8099999999999998E-4</v>
      </c>
      <c r="J1689" s="126">
        <f>SUMIFS('Support - Unit Adjustments'!E:E,'Support - Unit Adjustments'!F:F,'Step 2'!D1689)</f>
        <v>0</v>
      </c>
      <c r="K1689" s="126">
        <f t="shared" si="498"/>
        <v>4.8099999999999998E-4</v>
      </c>
      <c r="L1689" s="174">
        <f>VLOOKUP(A1689,'Step 1'!$A:$E,4,FALSE)</f>
        <v>453237</v>
      </c>
      <c r="M1689" s="47">
        <f t="shared" si="499"/>
        <v>218</v>
      </c>
      <c r="N1689" s="177">
        <f>SUMIFS('Support - Transition'!G:G,'Support - Transition'!J:J,'Step 2'!D1689,'Support - Transition'!E:E,"2009 WELFARE ALLOCATION FACTOR")</f>
        <v>0</v>
      </c>
      <c r="O1689" s="152">
        <f t="shared" si="504"/>
        <v>0</v>
      </c>
      <c r="P1689" s="126">
        <f>IF(E1689="Y",0,SUMIFS('Support - Transition'!G:G,'Support - Transition'!J:J,'Step 2'!D1689,'Support - Transition'!E:E,"2009 SCHOOL ALLOCATION FACTOR"))</f>
        <v>0</v>
      </c>
      <c r="Q1689" s="126">
        <f>IF(E1689="Y",VLOOKUP(D1689,'Support - Unit Adjustments'!F:G,2,FALSE),0)</f>
        <v>0</v>
      </c>
      <c r="R1689" s="155">
        <f t="shared" si="516"/>
        <v>0</v>
      </c>
      <c r="S1689" s="47">
        <f t="shared" si="515"/>
        <v>0</v>
      </c>
      <c r="T1689" s="151">
        <f t="shared" si="500"/>
        <v>218</v>
      </c>
      <c r="U1689" s="151">
        <f t="shared" si="501"/>
        <v>0</v>
      </c>
      <c r="V1689" s="139">
        <f t="shared" si="502"/>
        <v>0</v>
      </c>
      <c r="W1689" s="152">
        <f t="shared" si="505"/>
        <v>218</v>
      </c>
      <c r="X1689" s="127" t="str">
        <f t="shared" si="503"/>
        <v/>
      </c>
      <c r="Y1689" s="207">
        <f t="shared" si="506"/>
        <v>218</v>
      </c>
      <c r="Z1689" s="139">
        <f t="shared" si="507"/>
        <v>218</v>
      </c>
      <c r="AA1689" s="139">
        <f t="shared" si="508"/>
        <v>0</v>
      </c>
      <c r="AC1689" s="47">
        <f t="shared" si="509"/>
        <v>109</v>
      </c>
      <c r="AD1689" s="47">
        <f t="shared" si="510"/>
        <v>109</v>
      </c>
      <c r="AE1689" s="47">
        <f t="shared" si="511"/>
        <v>0</v>
      </c>
      <c r="AG1689" s="47">
        <f t="shared" si="512"/>
        <v>109</v>
      </c>
      <c r="AH1689" s="47">
        <f t="shared" si="513"/>
        <v>109</v>
      </c>
      <c r="AI1689" s="208">
        <f t="shared" si="514"/>
        <v>0</v>
      </c>
    </row>
    <row r="1690" spans="1:35">
      <c r="A1690" t="s">
        <v>2139</v>
      </c>
      <c r="B1690" t="s">
        <v>3142</v>
      </c>
      <c r="C1690" t="s">
        <v>2196</v>
      </c>
      <c r="D1690" t="s">
        <v>5128</v>
      </c>
      <c r="F1690" t="s">
        <v>49</v>
      </c>
      <c r="G1690" s="126">
        <f>SUMIFS('Support - Transition'!F:F,'Support - Transition'!B:B,'Step 2'!A1690,'Support - Transition'!C:C,'Step 2'!B1690,'Support - Transition'!D:D,'Step 2'!C1690,'Support - Transition'!E:E,"CIVIL")</f>
        <v>1.116E-3</v>
      </c>
      <c r="H1690" s="126">
        <f>SUMIFS('Support - Transition'!F:F,'Support - Transition'!B:B,'Step 2'!A1690,'Support - Transition'!C:C,'Step 2'!B1690,'Support - Transition'!D:D,'Step 2'!C1690,'Support - Transition'!E:E,"FIRE")</f>
        <v>3.9199999999999999E-4</v>
      </c>
      <c r="I1690" s="126">
        <f>IF(B1690="0",SUMIFS('Support - Transition'!F:F,'Support - Transition'!J:J,'Step 2'!D1690,'Support - Transition'!E:E,"STATE UNIT"),SUMIFS('Support - Transition'!F:F,'Support - Transition'!J:J,'Step 2'!D1690))</f>
        <v>1.508E-3</v>
      </c>
      <c r="J1690" s="126">
        <f>SUMIFS('Support - Unit Adjustments'!E:E,'Support - Unit Adjustments'!F:F,'Step 2'!D1690)</f>
        <v>0</v>
      </c>
      <c r="K1690" s="126">
        <f t="shared" si="498"/>
        <v>1.508E-3</v>
      </c>
      <c r="L1690" s="174">
        <f>VLOOKUP(A1690,'Step 1'!$A:$E,4,FALSE)</f>
        <v>453237</v>
      </c>
      <c r="M1690" s="47">
        <f t="shared" si="499"/>
        <v>683</v>
      </c>
      <c r="N1690" s="177">
        <f>SUMIFS('Support - Transition'!G:G,'Support - Transition'!J:J,'Step 2'!D1690,'Support - Transition'!E:E,"2009 WELFARE ALLOCATION FACTOR")</f>
        <v>0</v>
      </c>
      <c r="O1690" s="152">
        <f t="shared" si="504"/>
        <v>0</v>
      </c>
      <c r="P1690" s="126">
        <f>IF(E1690="Y",0,SUMIFS('Support - Transition'!G:G,'Support - Transition'!J:J,'Step 2'!D1690,'Support - Transition'!E:E,"2009 SCHOOL ALLOCATION FACTOR"))</f>
        <v>0</v>
      </c>
      <c r="Q1690" s="126">
        <f>IF(E1690="Y",VLOOKUP(D1690,'Support - Unit Adjustments'!F:G,2,FALSE),0)</f>
        <v>0</v>
      </c>
      <c r="R1690" s="155">
        <f t="shared" si="516"/>
        <v>0</v>
      </c>
      <c r="S1690" s="47">
        <f t="shared" si="515"/>
        <v>0</v>
      </c>
      <c r="T1690" s="151">
        <f t="shared" si="500"/>
        <v>683</v>
      </c>
      <c r="U1690" s="151">
        <f t="shared" si="501"/>
        <v>0</v>
      </c>
      <c r="V1690" s="139">
        <f t="shared" si="502"/>
        <v>0</v>
      </c>
      <c r="W1690" s="152">
        <f t="shared" si="505"/>
        <v>683</v>
      </c>
      <c r="X1690" s="127" t="str">
        <f t="shared" si="503"/>
        <v/>
      </c>
      <c r="Y1690" s="207">
        <f t="shared" si="506"/>
        <v>683</v>
      </c>
      <c r="Z1690" s="139">
        <f t="shared" si="507"/>
        <v>505</v>
      </c>
      <c r="AA1690" s="139">
        <f t="shared" si="508"/>
        <v>178</v>
      </c>
      <c r="AC1690" s="47">
        <f t="shared" si="509"/>
        <v>342</v>
      </c>
      <c r="AD1690" s="47">
        <f t="shared" si="510"/>
        <v>253</v>
      </c>
      <c r="AE1690" s="47">
        <f t="shared" si="511"/>
        <v>89</v>
      </c>
      <c r="AG1690" s="47">
        <f t="shared" si="512"/>
        <v>341</v>
      </c>
      <c r="AH1690" s="47">
        <f t="shared" si="513"/>
        <v>252</v>
      </c>
      <c r="AI1690" s="208">
        <f t="shared" si="514"/>
        <v>89</v>
      </c>
    </row>
    <row r="1691" spans="1:35">
      <c r="A1691" t="s">
        <v>2139</v>
      </c>
      <c r="B1691" t="s">
        <v>3142</v>
      </c>
      <c r="C1691" t="s">
        <v>2197</v>
      </c>
      <c r="D1691" t="s">
        <v>5129</v>
      </c>
      <c r="F1691" t="s">
        <v>14</v>
      </c>
      <c r="G1691" s="126">
        <f>SUMIFS('Support - Transition'!F:F,'Support - Transition'!B:B,'Step 2'!A1691,'Support - Transition'!C:C,'Step 2'!B1691,'Support - Transition'!D:D,'Step 2'!C1691,'Support - Transition'!E:E,"CIVIL")</f>
        <v>9.6100000000000005E-4</v>
      </c>
      <c r="H1691" s="126">
        <f>SUMIFS('Support - Transition'!F:F,'Support - Transition'!B:B,'Step 2'!A1691,'Support - Transition'!C:C,'Step 2'!B1691,'Support - Transition'!D:D,'Step 2'!C1691,'Support - Transition'!E:E,"FIRE")</f>
        <v>7.2199999999999999E-4</v>
      </c>
      <c r="I1691" s="126">
        <f>IF(B1691="0",SUMIFS('Support - Transition'!F:F,'Support - Transition'!J:J,'Step 2'!D1691,'Support - Transition'!E:E,"STATE UNIT"),SUMIFS('Support - Transition'!F:F,'Support - Transition'!J:J,'Step 2'!D1691))</f>
        <v>1.683E-3</v>
      </c>
      <c r="J1691" s="126">
        <f>SUMIFS('Support - Unit Adjustments'!E:E,'Support - Unit Adjustments'!F:F,'Step 2'!D1691)</f>
        <v>0</v>
      </c>
      <c r="K1691" s="126">
        <f t="shared" si="498"/>
        <v>1.683E-3</v>
      </c>
      <c r="L1691" s="174">
        <f>VLOOKUP(A1691,'Step 1'!$A:$E,4,FALSE)</f>
        <v>453237</v>
      </c>
      <c r="M1691" s="47">
        <f t="shared" si="499"/>
        <v>763</v>
      </c>
      <c r="N1691" s="177">
        <f>SUMIFS('Support - Transition'!G:G,'Support - Transition'!J:J,'Step 2'!D1691,'Support - Transition'!E:E,"2009 WELFARE ALLOCATION FACTOR")</f>
        <v>0</v>
      </c>
      <c r="O1691" s="152">
        <f t="shared" si="504"/>
        <v>0</v>
      </c>
      <c r="P1691" s="126">
        <f>IF(E1691="Y",0,SUMIFS('Support - Transition'!G:G,'Support - Transition'!J:J,'Step 2'!D1691,'Support - Transition'!E:E,"2009 SCHOOL ALLOCATION FACTOR"))</f>
        <v>0</v>
      </c>
      <c r="Q1691" s="126">
        <f>IF(E1691="Y",VLOOKUP(D1691,'Support - Unit Adjustments'!F:G,2,FALSE),0)</f>
        <v>0</v>
      </c>
      <c r="R1691" s="155">
        <f t="shared" si="516"/>
        <v>0</v>
      </c>
      <c r="S1691" s="47">
        <f t="shared" si="515"/>
        <v>0</v>
      </c>
      <c r="T1691" s="151">
        <f t="shared" si="500"/>
        <v>763</v>
      </c>
      <c r="U1691" s="151">
        <f t="shared" si="501"/>
        <v>0</v>
      </c>
      <c r="V1691" s="139">
        <f t="shared" si="502"/>
        <v>0</v>
      </c>
      <c r="W1691" s="152">
        <f t="shared" si="505"/>
        <v>763</v>
      </c>
      <c r="X1691" s="127" t="str">
        <f t="shared" si="503"/>
        <v/>
      </c>
      <c r="Y1691" s="207">
        <f t="shared" si="506"/>
        <v>763</v>
      </c>
      <c r="Z1691" s="139">
        <f t="shared" si="507"/>
        <v>436</v>
      </c>
      <c r="AA1691" s="139">
        <f t="shared" si="508"/>
        <v>327</v>
      </c>
      <c r="AC1691" s="47">
        <f t="shared" si="509"/>
        <v>382</v>
      </c>
      <c r="AD1691" s="47">
        <f t="shared" si="510"/>
        <v>218</v>
      </c>
      <c r="AE1691" s="47">
        <f t="shared" si="511"/>
        <v>164</v>
      </c>
      <c r="AG1691" s="47">
        <f t="shared" si="512"/>
        <v>381</v>
      </c>
      <c r="AH1691" s="47">
        <f t="shared" si="513"/>
        <v>218</v>
      </c>
      <c r="AI1691" s="208">
        <f t="shared" si="514"/>
        <v>163</v>
      </c>
    </row>
    <row r="1692" spans="1:35">
      <c r="A1692" t="s">
        <v>2139</v>
      </c>
      <c r="B1692" t="s">
        <v>3142</v>
      </c>
      <c r="C1692" t="s">
        <v>2198</v>
      </c>
      <c r="D1692" t="s">
        <v>5130</v>
      </c>
      <c r="F1692" t="s">
        <v>52</v>
      </c>
      <c r="G1692" s="126">
        <f>SUMIFS('Support - Transition'!F:F,'Support - Transition'!B:B,'Step 2'!A1692,'Support - Transition'!C:C,'Step 2'!B1692,'Support - Transition'!D:D,'Step 2'!C1692,'Support - Transition'!E:E,"CIVIL")</f>
        <v>5.9459999999999999E-3</v>
      </c>
      <c r="H1692" s="126">
        <f>SUMIFS('Support - Transition'!F:F,'Support - Transition'!B:B,'Step 2'!A1692,'Support - Transition'!C:C,'Step 2'!B1692,'Support - Transition'!D:D,'Step 2'!C1692,'Support - Transition'!E:E,"FIRE")</f>
        <v>3.3300000000000001E-3</v>
      </c>
      <c r="I1692" s="126">
        <f>IF(B1692="0",SUMIFS('Support - Transition'!F:F,'Support - Transition'!J:J,'Step 2'!D1692,'Support - Transition'!E:E,"STATE UNIT"),SUMIFS('Support - Transition'!F:F,'Support - Transition'!J:J,'Step 2'!D1692))</f>
        <v>9.2759999999999995E-3</v>
      </c>
      <c r="J1692" s="126">
        <f>SUMIFS('Support - Unit Adjustments'!E:E,'Support - Unit Adjustments'!F:F,'Step 2'!D1692)</f>
        <v>0</v>
      </c>
      <c r="K1692" s="126">
        <f t="shared" si="498"/>
        <v>9.2759999999999995E-3</v>
      </c>
      <c r="L1692" s="174">
        <f>VLOOKUP(A1692,'Step 1'!$A:$E,4,FALSE)</f>
        <v>453237</v>
      </c>
      <c r="M1692" s="47">
        <f t="shared" si="499"/>
        <v>4204</v>
      </c>
      <c r="N1692" s="177">
        <f>SUMIFS('Support - Transition'!G:G,'Support - Transition'!J:J,'Step 2'!D1692,'Support - Transition'!E:E,"2009 WELFARE ALLOCATION FACTOR")</f>
        <v>0</v>
      </c>
      <c r="O1692" s="152">
        <f t="shared" si="504"/>
        <v>0</v>
      </c>
      <c r="P1692" s="126">
        <f>IF(E1692="Y",0,SUMIFS('Support - Transition'!G:G,'Support - Transition'!J:J,'Step 2'!D1692,'Support - Transition'!E:E,"2009 SCHOOL ALLOCATION FACTOR"))</f>
        <v>0</v>
      </c>
      <c r="Q1692" s="126">
        <f>IF(E1692="Y",VLOOKUP(D1692,'Support - Unit Adjustments'!F:G,2,FALSE),0)</f>
        <v>0</v>
      </c>
      <c r="R1692" s="155">
        <f t="shared" si="516"/>
        <v>0</v>
      </c>
      <c r="S1692" s="47">
        <f t="shared" si="515"/>
        <v>0</v>
      </c>
      <c r="T1692" s="151">
        <f t="shared" si="500"/>
        <v>4204</v>
      </c>
      <c r="U1692" s="151">
        <f t="shared" si="501"/>
        <v>0</v>
      </c>
      <c r="V1692" s="139">
        <f t="shared" si="502"/>
        <v>0</v>
      </c>
      <c r="W1692" s="152">
        <f t="shared" si="505"/>
        <v>4204</v>
      </c>
      <c r="X1692" s="127" t="str">
        <f t="shared" si="503"/>
        <v/>
      </c>
      <c r="Y1692" s="207">
        <f t="shared" si="506"/>
        <v>4204</v>
      </c>
      <c r="Z1692" s="139">
        <f t="shared" si="507"/>
        <v>2695</v>
      </c>
      <c r="AA1692" s="139">
        <f t="shared" si="508"/>
        <v>1509</v>
      </c>
      <c r="AC1692" s="47">
        <f t="shared" si="509"/>
        <v>2102</v>
      </c>
      <c r="AD1692" s="47">
        <f t="shared" si="510"/>
        <v>1348</v>
      </c>
      <c r="AE1692" s="47">
        <f t="shared" si="511"/>
        <v>755</v>
      </c>
      <c r="AG1692" s="47">
        <f t="shared" si="512"/>
        <v>2102</v>
      </c>
      <c r="AH1692" s="47">
        <f t="shared" si="513"/>
        <v>1347</v>
      </c>
      <c r="AI1692" s="208">
        <f t="shared" si="514"/>
        <v>754</v>
      </c>
    </row>
    <row r="1693" spans="1:35">
      <c r="A1693" t="s">
        <v>2139</v>
      </c>
      <c r="B1693" t="s">
        <v>3142</v>
      </c>
      <c r="C1693" t="s">
        <v>2199</v>
      </c>
      <c r="D1693" t="s">
        <v>5131</v>
      </c>
      <c r="F1693" t="s">
        <v>16</v>
      </c>
      <c r="G1693" s="126">
        <f>SUMIFS('Support - Transition'!F:F,'Support - Transition'!B:B,'Step 2'!A1693,'Support - Transition'!C:C,'Step 2'!B1693,'Support - Transition'!D:D,'Step 2'!C1693,'Support - Transition'!E:E,"CIVIL")</f>
        <v>1.15E-4</v>
      </c>
      <c r="H1693" s="126">
        <f>SUMIFS('Support - Transition'!F:F,'Support - Transition'!B:B,'Step 2'!A1693,'Support - Transition'!C:C,'Step 2'!B1693,'Support - Transition'!D:D,'Step 2'!C1693,'Support - Transition'!E:E,"FIRE")</f>
        <v>0</v>
      </c>
      <c r="I1693" s="126">
        <f>IF(B1693="0",SUMIFS('Support - Transition'!F:F,'Support - Transition'!J:J,'Step 2'!D1693,'Support - Transition'!E:E,"STATE UNIT"),SUMIFS('Support - Transition'!F:F,'Support - Transition'!J:J,'Step 2'!D1693))</f>
        <v>1.15E-4</v>
      </c>
      <c r="J1693" s="126">
        <f>SUMIFS('Support - Unit Adjustments'!E:E,'Support - Unit Adjustments'!F:F,'Step 2'!D1693)</f>
        <v>0</v>
      </c>
      <c r="K1693" s="126">
        <f t="shared" si="498"/>
        <v>1.15E-4</v>
      </c>
      <c r="L1693" s="174">
        <f>VLOOKUP(A1693,'Step 1'!$A:$E,4,FALSE)</f>
        <v>453237</v>
      </c>
      <c r="M1693" s="47">
        <f t="shared" si="499"/>
        <v>52</v>
      </c>
      <c r="N1693" s="177">
        <f>SUMIFS('Support - Transition'!G:G,'Support - Transition'!J:J,'Step 2'!D1693,'Support - Transition'!E:E,"2009 WELFARE ALLOCATION FACTOR")</f>
        <v>0</v>
      </c>
      <c r="O1693" s="152">
        <f t="shared" si="504"/>
        <v>0</v>
      </c>
      <c r="P1693" s="126">
        <f>IF(E1693="Y",0,SUMIFS('Support - Transition'!G:G,'Support - Transition'!J:J,'Step 2'!D1693,'Support - Transition'!E:E,"2009 SCHOOL ALLOCATION FACTOR"))</f>
        <v>0</v>
      </c>
      <c r="Q1693" s="126">
        <f>IF(E1693="Y",VLOOKUP(D1693,'Support - Unit Adjustments'!F:G,2,FALSE),0)</f>
        <v>0</v>
      </c>
      <c r="R1693" s="155">
        <f t="shared" si="516"/>
        <v>0</v>
      </c>
      <c r="S1693" s="47">
        <f t="shared" si="515"/>
        <v>0</v>
      </c>
      <c r="T1693" s="151">
        <f t="shared" si="500"/>
        <v>52</v>
      </c>
      <c r="U1693" s="151">
        <f t="shared" si="501"/>
        <v>0</v>
      </c>
      <c r="V1693" s="139">
        <f t="shared" si="502"/>
        <v>0</v>
      </c>
      <c r="W1693" s="152">
        <f t="shared" si="505"/>
        <v>52</v>
      </c>
      <c r="X1693" s="127" t="str">
        <f t="shared" si="503"/>
        <v/>
      </c>
      <c r="Y1693" s="207">
        <f t="shared" si="506"/>
        <v>52</v>
      </c>
      <c r="Z1693" s="139">
        <f t="shared" si="507"/>
        <v>52</v>
      </c>
      <c r="AA1693" s="139">
        <f t="shared" si="508"/>
        <v>0</v>
      </c>
      <c r="AC1693" s="47">
        <f t="shared" si="509"/>
        <v>26</v>
      </c>
      <c r="AD1693" s="47">
        <f t="shared" si="510"/>
        <v>26</v>
      </c>
      <c r="AE1693" s="47">
        <f t="shared" si="511"/>
        <v>0</v>
      </c>
      <c r="AG1693" s="47">
        <f t="shared" si="512"/>
        <v>26</v>
      </c>
      <c r="AH1693" s="47">
        <f t="shared" si="513"/>
        <v>26</v>
      </c>
      <c r="AI1693" s="208">
        <f t="shared" si="514"/>
        <v>0</v>
      </c>
    </row>
    <row r="1694" spans="1:35">
      <c r="A1694" t="s">
        <v>2139</v>
      </c>
      <c r="B1694" t="s">
        <v>3142</v>
      </c>
      <c r="C1694" t="s">
        <v>2208</v>
      </c>
      <c r="D1694" t="s">
        <v>5132</v>
      </c>
      <c r="F1694" t="s">
        <v>531</v>
      </c>
      <c r="G1694" s="126">
        <f>SUMIFS('Support - Transition'!F:F,'Support - Transition'!B:B,'Step 2'!A1694,'Support - Transition'!C:C,'Step 2'!B1694,'Support - Transition'!D:D,'Step 2'!C1694,'Support - Transition'!E:E,"CIVIL")</f>
        <v>9.6699999999999998E-4</v>
      </c>
      <c r="H1694" s="126">
        <f>SUMIFS('Support - Transition'!F:F,'Support - Transition'!B:B,'Step 2'!A1694,'Support - Transition'!C:C,'Step 2'!B1694,'Support - Transition'!D:D,'Step 2'!C1694,'Support - Transition'!E:E,"FIRE")</f>
        <v>4.5199999999999998E-4</v>
      </c>
      <c r="I1694" s="126">
        <f>IF(B1694="0",SUMIFS('Support - Transition'!F:F,'Support - Transition'!J:J,'Step 2'!D1694,'Support - Transition'!E:E,"STATE UNIT"),SUMIFS('Support - Transition'!F:F,'Support - Transition'!J:J,'Step 2'!D1694))</f>
        <v>1.4189999999999999E-3</v>
      </c>
      <c r="J1694" s="126">
        <f>SUMIFS('Support - Unit Adjustments'!E:E,'Support - Unit Adjustments'!F:F,'Step 2'!D1694)</f>
        <v>0</v>
      </c>
      <c r="K1694" s="126">
        <f t="shared" si="498"/>
        <v>1.4189999999999999E-3</v>
      </c>
      <c r="L1694" s="174">
        <f>VLOOKUP(A1694,'Step 1'!$A:$E,4,FALSE)</f>
        <v>453237</v>
      </c>
      <c r="M1694" s="47">
        <f t="shared" si="499"/>
        <v>643</v>
      </c>
      <c r="N1694" s="177">
        <f>SUMIFS('Support - Transition'!G:G,'Support - Transition'!J:J,'Step 2'!D1694,'Support - Transition'!E:E,"2009 WELFARE ALLOCATION FACTOR")</f>
        <v>0</v>
      </c>
      <c r="O1694" s="152">
        <f t="shared" si="504"/>
        <v>0</v>
      </c>
      <c r="P1694" s="126">
        <f>IF(E1694="Y",0,SUMIFS('Support - Transition'!G:G,'Support - Transition'!J:J,'Step 2'!D1694,'Support - Transition'!E:E,"2009 SCHOOL ALLOCATION FACTOR"))</f>
        <v>0</v>
      </c>
      <c r="Q1694" s="126">
        <f>IF(E1694="Y",VLOOKUP(D1694,'Support - Unit Adjustments'!F:G,2,FALSE),0)</f>
        <v>0</v>
      </c>
      <c r="R1694" s="155">
        <f t="shared" si="516"/>
        <v>0</v>
      </c>
      <c r="S1694" s="47">
        <f t="shared" si="515"/>
        <v>0</v>
      </c>
      <c r="T1694" s="151">
        <f t="shared" si="500"/>
        <v>643</v>
      </c>
      <c r="U1694" s="151">
        <f t="shared" si="501"/>
        <v>0</v>
      </c>
      <c r="V1694" s="139">
        <f t="shared" si="502"/>
        <v>0</v>
      </c>
      <c r="W1694" s="152">
        <f t="shared" si="505"/>
        <v>643</v>
      </c>
      <c r="X1694" s="127" t="str">
        <f t="shared" si="503"/>
        <v/>
      </c>
      <c r="Y1694" s="207">
        <f t="shared" si="506"/>
        <v>643</v>
      </c>
      <c r="Z1694" s="139">
        <f t="shared" si="507"/>
        <v>438</v>
      </c>
      <c r="AA1694" s="139">
        <f t="shared" si="508"/>
        <v>205</v>
      </c>
      <c r="AC1694" s="47">
        <f t="shared" si="509"/>
        <v>322</v>
      </c>
      <c r="AD1694" s="47">
        <f t="shared" si="510"/>
        <v>219</v>
      </c>
      <c r="AE1694" s="47">
        <f t="shared" si="511"/>
        <v>103</v>
      </c>
      <c r="AG1694" s="47">
        <f t="shared" si="512"/>
        <v>321</v>
      </c>
      <c r="AH1694" s="47">
        <f t="shared" si="513"/>
        <v>219</v>
      </c>
      <c r="AI1694" s="208">
        <f t="shared" si="514"/>
        <v>102</v>
      </c>
    </row>
    <row r="1695" spans="1:35">
      <c r="A1695" t="s">
        <v>2139</v>
      </c>
      <c r="B1695" t="s">
        <v>3142</v>
      </c>
      <c r="C1695" t="s">
        <v>2209</v>
      </c>
      <c r="D1695" t="s">
        <v>5133</v>
      </c>
      <c r="F1695" t="s">
        <v>22</v>
      </c>
      <c r="G1695" s="126">
        <f>SUMIFS('Support - Transition'!F:F,'Support - Transition'!B:B,'Step 2'!A1695,'Support - Transition'!C:C,'Step 2'!B1695,'Support - Transition'!D:D,'Step 2'!C1695,'Support - Transition'!E:E,"CIVIL")</f>
        <v>3.7559999999999998E-3</v>
      </c>
      <c r="H1695" s="126">
        <f>SUMIFS('Support - Transition'!F:F,'Support - Transition'!B:B,'Step 2'!A1695,'Support - Transition'!C:C,'Step 2'!B1695,'Support - Transition'!D:D,'Step 2'!C1695,'Support - Transition'!E:E,"FIRE")</f>
        <v>2.5760000000000002E-3</v>
      </c>
      <c r="I1695" s="126">
        <f>IF(B1695="0",SUMIFS('Support - Transition'!F:F,'Support - Transition'!J:J,'Step 2'!D1695,'Support - Transition'!E:E,"STATE UNIT"),SUMIFS('Support - Transition'!F:F,'Support - Transition'!J:J,'Step 2'!D1695))</f>
        <v>6.332E-3</v>
      </c>
      <c r="J1695" s="126">
        <f>SUMIFS('Support - Unit Adjustments'!E:E,'Support - Unit Adjustments'!F:F,'Step 2'!D1695)</f>
        <v>0</v>
      </c>
      <c r="K1695" s="126">
        <f t="shared" si="498"/>
        <v>6.332E-3</v>
      </c>
      <c r="L1695" s="174">
        <f>VLOOKUP(A1695,'Step 1'!$A:$E,4,FALSE)</f>
        <v>453237</v>
      </c>
      <c r="M1695" s="47">
        <f t="shared" si="499"/>
        <v>2870</v>
      </c>
      <c r="N1695" s="177">
        <f>SUMIFS('Support - Transition'!G:G,'Support - Transition'!J:J,'Step 2'!D1695,'Support - Transition'!E:E,"2009 WELFARE ALLOCATION FACTOR")</f>
        <v>0</v>
      </c>
      <c r="O1695" s="152">
        <f t="shared" si="504"/>
        <v>0</v>
      </c>
      <c r="P1695" s="126">
        <f>IF(E1695="Y",0,SUMIFS('Support - Transition'!G:G,'Support - Transition'!J:J,'Step 2'!D1695,'Support - Transition'!E:E,"2009 SCHOOL ALLOCATION FACTOR"))</f>
        <v>0</v>
      </c>
      <c r="Q1695" s="126">
        <f>IF(E1695="Y",VLOOKUP(D1695,'Support - Unit Adjustments'!F:G,2,FALSE),0)</f>
        <v>0</v>
      </c>
      <c r="R1695" s="155">
        <f t="shared" si="516"/>
        <v>0</v>
      </c>
      <c r="S1695" s="47">
        <f t="shared" si="515"/>
        <v>0</v>
      </c>
      <c r="T1695" s="151">
        <f t="shared" si="500"/>
        <v>2870</v>
      </c>
      <c r="U1695" s="151">
        <f t="shared" si="501"/>
        <v>0</v>
      </c>
      <c r="V1695" s="139">
        <f t="shared" si="502"/>
        <v>0</v>
      </c>
      <c r="W1695" s="152">
        <f t="shared" si="505"/>
        <v>2870</v>
      </c>
      <c r="X1695" s="127" t="str">
        <f t="shared" si="503"/>
        <v/>
      </c>
      <c r="Y1695" s="207">
        <f t="shared" si="506"/>
        <v>2870</v>
      </c>
      <c r="Z1695" s="139">
        <f t="shared" si="507"/>
        <v>1702</v>
      </c>
      <c r="AA1695" s="139">
        <f t="shared" si="508"/>
        <v>1168</v>
      </c>
      <c r="AC1695" s="47">
        <f t="shared" si="509"/>
        <v>1435</v>
      </c>
      <c r="AD1695" s="47">
        <f t="shared" si="510"/>
        <v>851</v>
      </c>
      <c r="AE1695" s="47">
        <f t="shared" si="511"/>
        <v>584</v>
      </c>
      <c r="AG1695" s="47">
        <f t="shared" si="512"/>
        <v>1435</v>
      </c>
      <c r="AH1695" s="47">
        <f t="shared" si="513"/>
        <v>851</v>
      </c>
      <c r="AI1695" s="208">
        <f t="shared" si="514"/>
        <v>584</v>
      </c>
    </row>
    <row r="1696" spans="1:35">
      <c r="A1696" t="s">
        <v>2139</v>
      </c>
      <c r="B1696" t="s">
        <v>3155</v>
      </c>
      <c r="C1696" t="s">
        <v>2872</v>
      </c>
      <c r="D1696" t="s">
        <v>5134</v>
      </c>
      <c r="F1696" t="s">
        <v>1284</v>
      </c>
      <c r="G1696" s="126">
        <f>SUMIFS('Support - Transition'!F:F,'Support - Transition'!B:B,'Step 2'!A1696,'Support - Transition'!C:C,'Step 2'!B1696,'Support - Transition'!D:D,'Step 2'!C1696,'Support - Transition'!E:E,"CIVIL")</f>
        <v>0</v>
      </c>
      <c r="H1696" s="126">
        <f>SUMIFS('Support - Transition'!F:F,'Support - Transition'!B:B,'Step 2'!A1696,'Support - Transition'!C:C,'Step 2'!B1696,'Support - Transition'!D:D,'Step 2'!C1696,'Support - Transition'!E:E,"FIRE")</f>
        <v>0</v>
      </c>
      <c r="I1696" s="126">
        <f>IF(B1696="0",SUMIFS('Support - Transition'!F:F,'Support - Transition'!J:J,'Step 2'!D1696,'Support - Transition'!E:E,"STATE UNIT"),SUMIFS('Support - Transition'!F:F,'Support - Transition'!J:J,'Step 2'!D1696))</f>
        <v>5.2794000000000001E-2</v>
      </c>
      <c r="J1696" s="126">
        <f>SUMIFS('Support - Unit Adjustments'!E:E,'Support - Unit Adjustments'!F:F,'Step 2'!D1696)</f>
        <v>0</v>
      </c>
      <c r="K1696" s="126">
        <f t="shared" si="498"/>
        <v>5.2794000000000001E-2</v>
      </c>
      <c r="L1696" s="174">
        <f>VLOOKUP(A1696,'Step 1'!$A:$E,4,FALSE)</f>
        <v>453237</v>
      </c>
      <c r="M1696" s="47">
        <f t="shared" si="499"/>
        <v>23928</v>
      </c>
      <c r="N1696" s="177">
        <f>SUMIFS('Support - Transition'!G:G,'Support - Transition'!J:J,'Step 2'!D1696,'Support - Transition'!E:E,"2009 WELFARE ALLOCATION FACTOR")</f>
        <v>0</v>
      </c>
      <c r="O1696" s="152">
        <f t="shared" si="504"/>
        <v>0</v>
      </c>
      <c r="P1696" s="126">
        <f>IF(E1696="Y",0,SUMIFS('Support - Transition'!G:G,'Support - Transition'!J:J,'Step 2'!D1696,'Support - Transition'!E:E,"2009 SCHOOL ALLOCATION FACTOR"))</f>
        <v>0</v>
      </c>
      <c r="Q1696" s="126">
        <f>IF(E1696="Y",VLOOKUP(D1696,'Support - Unit Adjustments'!F:G,2,FALSE),0)</f>
        <v>0</v>
      </c>
      <c r="R1696" s="155">
        <f t="shared" si="516"/>
        <v>0</v>
      </c>
      <c r="S1696" s="47">
        <f t="shared" si="515"/>
        <v>0</v>
      </c>
      <c r="T1696" s="151">
        <f t="shared" si="500"/>
        <v>23928</v>
      </c>
      <c r="U1696" s="151">
        <f t="shared" si="501"/>
        <v>0</v>
      </c>
      <c r="V1696" s="139">
        <f t="shared" si="502"/>
        <v>0</v>
      </c>
      <c r="W1696" s="152">
        <f t="shared" si="505"/>
        <v>23928</v>
      </c>
      <c r="X1696" s="127" t="str">
        <f t="shared" si="503"/>
        <v/>
      </c>
      <c r="Y1696" s="207">
        <f t="shared" si="506"/>
        <v>23928</v>
      </c>
      <c r="Z1696" s="139">
        <f t="shared" si="507"/>
        <v>23928</v>
      </c>
      <c r="AA1696" s="139">
        <f t="shared" si="508"/>
        <v>0</v>
      </c>
      <c r="AC1696" s="47">
        <f t="shared" si="509"/>
        <v>11964</v>
      </c>
      <c r="AD1696" s="47">
        <f t="shared" si="510"/>
        <v>11964</v>
      </c>
      <c r="AE1696" s="47">
        <f t="shared" si="511"/>
        <v>0</v>
      </c>
      <c r="AG1696" s="47">
        <f t="shared" si="512"/>
        <v>11964</v>
      </c>
      <c r="AH1696" s="47">
        <f t="shared" si="513"/>
        <v>11964</v>
      </c>
      <c r="AI1696" s="208">
        <f t="shared" si="514"/>
        <v>0</v>
      </c>
    </row>
    <row r="1697" spans="1:35">
      <c r="A1697" t="s">
        <v>2139</v>
      </c>
      <c r="B1697" t="s">
        <v>3155</v>
      </c>
      <c r="C1697" t="s">
        <v>2873</v>
      </c>
      <c r="D1697" t="s">
        <v>5135</v>
      </c>
      <c r="F1697" t="s">
        <v>1286</v>
      </c>
      <c r="G1697" s="126">
        <f>SUMIFS('Support - Transition'!F:F,'Support - Transition'!B:B,'Step 2'!A1697,'Support - Transition'!C:C,'Step 2'!B1697,'Support - Transition'!D:D,'Step 2'!C1697,'Support - Transition'!E:E,"CIVIL")</f>
        <v>0</v>
      </c>
      <c r="H1697" s="126">
        <f>SUMIFS('Support - Transition'!F:F,'Support - Transition'!B:B,'Step 2'!A1697,'Support - Transition'!C:C,'Step 2'!B1697,'Support - Transition'!D:D,'Step 2'!C1697,'Support - Transition'!E:E,"FIRE")</f>
        <v>0</v>
      </c>
      <c r="I1697" s="126">
        <f>IF(B1697="0",SUMIFS('Support - Transition'!F:F,'Support - Transition'!J:J,'Step 2'!D1697,'Support - Transition'!E:E,"STATE UNIT"),SUMIFS('Support - Transition'!F:F,'Support - Transition'!J:J,'Step 2'!D1697))</f>
        <v>4.7918000000000002E-2</v>
      </c>
      <c r="J1697" s="126">
        <f>SUMIFS('Support - Unit Adjustments'!E:E,'Support - Unit Adjustments'!F:F,'Step 2'!D1697)</f>
        <v>0</v>
      </c>
      <c r="K1697" s="126">
        <f t="shared" si="498"/>
        <v>4.7918000000000002E-2</v>
      </c>
      <c r="L1697" s="174">
        <f>VLOOKUP(A1697,'Step 1'!$A:$E,4,FALSE)</f>
        <v>453237</v>
      </c>
      <c r="M1697" s="47">
        <f t="shared" si="499"/>
        <v>21718</v>
      </c>
      <c r="N1697" s="177">
        <f>SUMIFS('Support - Transition'!G:G,'Support - Transition'!J:J,'Step 2'!D1697,'Support - Transition'!E:E,"2009 WELFARE ALLOCATION FACTOR")</f>
        <v>0</v>
      </c>
      <c r="O1697" s="152">
        <f t="shared" si="504"/>
        <v>0</v>
      </c>
      <c r="P1697" s="126">
        <f>IF(E1697="Y",0,SUMIFS('Support - Transition'!G:G,'Support - Transition'!J:J,'Step 2'!D1697,'Support - Transition'!E:E,"2009 SCHOOL ALLOCATION FACTOR"))</f>
        <v>0</v>
      </c>
      <c r="Q1697" s="126">
        <f>IF(E1697="Y",VLOOKUP(D1697,'Support - Unit Adjustments'!F:G,2,FALSE),0)</f>
        <v>0</v>
      </c>
      <c r="R1697" s="155">
        <f t="shared" si="516"/>
        <v>0</v>
      </c>
      <c r="S1697" s="47">
        <f t="shared" si="515"/>
        <v>0</v>
      </c>
      <c r="T1697" s="151">
        <f t="shared" si="500"/>
        <v>21718</v>
      </c>
      <c r="U1697" s="151">
        <f t="shared" si="501"/>
        <v>0</v>
      </c>
      <c r="V1697" s="139">
        <f t="shared" si="502"/>
        <v>0</v>
      </c>
      <c r="W1697" s="152">
        <f t="shared" si="505"/>
        <v>21718</v>
      </c>
      <c r="X1697" s="127" t="str">
        <f t="shared" si="503"/>
        <v/>
      </c>
      <c r="Y1697" s="207">
        <f t="shared" si="506"/>
        <v>21718</v>
      </c>
      <c r="Z1697" s="139">
        <f t="shared" si="507"/>
        <v>21718</v>
      </c>
      <c r="AA1697" s="139">
        <f t="shared" si="508"/>
        <v>0</v>
      </c>
      <c r="AC1697" s="47">
        <f t="shared" si="509"/>
        <v>10859</v>
      </c>
      <c r="AD1697" s="47">
        <f t="shared" si="510"/>
        <v>10859</v>
      </c>
      <c r="AE1697" s="47">
        <f t="shared" si="511"/>
        <v>0</v>
      </c>
      <c r="AG1697" s="47">
        <f t="shared" si="512"/>
        <v>10859</v>
      </c>
      <c r="AH1697" s="47">
        <f t="shared" si="513"/>
        <v>10859</v>
      </c>
      <c r="AI1697" s="208">
        <f t="shared" si="514"/>
        <v>0</v>
      </c>
    </row>
    <row r="1698" spans="1:35">
      <c r="A1698" t="s">
        <v>2139</v>
      </c>
      <c r="B1698" t="s">
        <v>3155</v>
      </c>
      <c r="C1698" t="s">
        <v>2874</v>
      </c>
      <c r="D1698" t="s">
        <v>5136</v>
      </c>
      <c r="F1698" t="s">
        <v>1282</v>
      </c>
      <c r="G1698" s="126">
        <f>SUMIFS('Support - Transition'!F:F,'Support - Transition'!B:B,'Step 2'!A1698,'Support - Transition'!C:C,'Step 2'!B1698,'Support - Transition'!D:D,'Step 2'!C1698,'Support - Transition'!E:E,"CIVIL")</f>
        <v>0</v>
      </c>
      <c r="H1698" s="126">
        <f>SUMIFS('Support - Transition'!F:F,'Support - Transition'!B:B,'Step 2'!A1698,'Support - Transition'!C:C,'Step 2'!B1698,'Support - Transition'!D:D,'Step 2'!C1698,'Support - Transition'!E:E,"FIRE")</f>
        <v>0</v>
      </c>
      <c r="I1698" s="126">
        <f>IF(B1698="0",SUMIFS('Support - Transition'!F:F,'Support - Transition'!J:J,'Step 2'!D1698,'Support - Transition'!E:E,"STATE UNIT"),SUMIFS('Support - Transition'!F:F,'Support - Transition'!J:J,'Step 2'!D1698))</f>
        <v>1.0000000000000001E-5</v>
      </c>
      <c r="J1698" s="126">
        <f>SUMIFS('Support - Unit Adjustments'!E:E,'Support - Unit Adjustments'!F:F,'Step 2'!D1698)</f>
        <v>0</v>
      </c>
      <c r="K1698" s="126">
        <f t="shared" si="498"/>
        <v>1.0000000000000001E-5</v>
      </c>
      <c r="L1698" s="174">
        <f>VLOOKUP(A1698,'Step 1'!$A:$E,4,FALSE)</f>
        <v>453237</v>
      </c>
      <c r="M1698" s="47">
        <f t="shared" si="499"/>
        <v>5</v>
      </c>
      <c r="N1698" s="177">
        <f>SUMIFS('Support - Transition'!G:G,'Support - Transition'!J:J,'Step 2'!D1698,'Support - Transition'!E:E,"2009 WELFARE ALLOCATION FACTOR")</f>
        <v>0</v>
      </c>
      <c r="O1698" s="152">
        <f t="shared" si="504"/>
        <v>0</v>
      </c>
      <c r="P1698" s="126">
        <f>IF(E1698="Y",0,SUMIFS('Support - Transition'!G:G,'Support - Transition'!J:J,'Step 2'!D1698,'Support - Transition'!E:E,"2009 SCHOOL ALLOCATION FACTOR"))</f>
        <v>0</v>
      </c>
      <c r="Q1698" s="126">
        <f>IF(E1698="Y",VLOOKUP(D1698,'Support - Unit Adjustments'!F:G,2,FALSE),0)</f>
        <v>0</v>
      </c>
      <c r="R1698" s="155">
        <f t="shared" si="516"/>
        <v>0</v>
      </c>
      <c r="S1698" s="47">
        <f t="shared" si="515"/>
        <v>0</v>
      </c>
      <c r="T1698" s="151">
        <f t="shared" si="500"/>
        <v>5</v>
      </c>
      <c r="U1698" s="151">
        <f t="shared" si="501"/>
        <v>0</v>
      </c>
      <c r="V1698" s="139">
        <f t="shared" si="502"/>
        <v>0</v>
      </c>
      <c r="W1698" s="152">
        <f t="shared" si="505"/>
        <v>5</v>
      </c>
      <c r="X1698" s="127" t="str">
        <f t="shared" si="503"/>
        <v/>
      </c>
      <c r="Y1698" s="207">
        <f t="shared" si="506"/>
        <v>5</v>
      </c>
      <c r="Z1698" s="139">
        <f t="shared" si="507"/>
        <v>5</v>
      </c>
      <c r="AA1698" s="139">
        <f t="shared" si="508"/>
        <v>0</v>
      </c>
      <c r="AC1698" s="47">
        <f t="shared" si="509"/>
        <v>3</v>
      </c>
      <c r="AD1698" s="47">
        <f t="shared" si="510"/>
        <v>3</v>
      </c>
      <c r="AE1698" s="47">
        <f t="shared" si="511"/>
        <v>0</v>
      </c>
      <c r="AG1698" s="47">
        <f t="shared" si="512"/>
        <v>2</v>
      </c>
      <c r="AH1698" s="47">
        <f t="shared" si="513"/>
        <v>2</v>
      </c>
      <c r="AI1698" s="208">
        <f t="shared" si="514"/>
        <v>0</v>
      </c>
    </row>
    <row r="1699" spans="1:35">
      <c r="A1699" t="s">
        <v>2139</v>
      </c>
      <c r="B1699" t="s">
        <v>3155</v>
      </c>
      <c r="C1699" t="s">
        <v>2875</v>
      </c>
      <c r="D1699" t="s">
        <v>5137</v>
      </c>
      <c r="F1699" t="s">
        <v>1283</v>
      </c>
      <c r="G1699" s="126">
        <f>SUMIFS('Support - Transition'!F:F,'Support - Transition'!B:B,'Step 2'!A1699,'Support - Transition'!C:C,'Step 2'!B1699,'Support - Transition'!D:D,'Step 2'!C1699,'Support - Transition'!E:E,"CIVIL")</f>
        <v>0</v>
      </c>
      <c r="H1699" s="126">
        <f>SUMIFS('Support - Transition'!F:F,'Support - Transition'!B:B,'Step 2'!A1699,'Support - Transition'!C:C,'Step 2'!B1699,'Support - Transition'!D:D,'Step 2'!C1699,'Support - Transition'!E:E,"FIRE")</f>
        <v>0</v>
      </c>
      <c r="I1699" s="126">
        <f>IF(B1699="0",SUMIFS('Support - Transition'!F:F,'Support - Transition'!J:J,'Step 2'!D1699,'Support - Transition'!E:E,"STATE UNIT"),SUMIFS('Support - Transition'!F:F,'Support - Transition'!J:J,'Step 2'!D1699))</f>
        <v>2.1100000000000001E-4</v>
      </c>
      <c r="J1699" s="126">
        <f>SUMIFS('Support - Unit Adjustments'!E:E,'Support - Unit Adjustments'!F:F,'Step 2'!D1699)</f>
        <v>0</v>
      </c>
      <c r="K1699" s="126">
        <f t="shared" si="498"/>
        <v>2.1100000000000001E-4</v>
      </c>
      <c r="L1699" s="174">
        <f>VLOOKUP(A1699,'Step 1'!$A:$E,4,FALSE)</f>
        <v>453237</v>
      </c>
      <c r="M1699" s="47">
        <f t="shared" si="499"/>
        <v>96</v>
      </c>
      <c r="N1699" s="177">
        <f>SUMIFS('Support - Transition'!G:G,'Support - Transition'!J:J,'Step 2'!D1699,'Support - Transition'!E:E,"2009 WELFARE ALLOCATION FACTOR")</f>
        <v>0</v>
      </c>
      <c r="O1699" s="152">
        <f t="shared" si="504"/>
        <v>0</v>
      </c>
      <c r="P1699" s="126">
        <f>IF(E1699="Y",0,SUMIFS('Support - Transition'!G:G,'Support - Transition'!J:J,'Step 2'!D1699,'Support - Transition'!E:E,"2009 SCHOOL ALLOCATION FACTOR"))</f>
        <v>0</v>
      </c>
      <c r="Q1699" s="126">
        <f>IF(E1699="Y",VLOOKUP(D1699,'Support - Unit Adjustments'!F:G,2,FALSE),0)</f>
        <v>0</v>
      </c>
      <c r="R1699" s="155">
        <f t="shared" si="516"/>
        <v>0</v>
      </c>
      <c r="S1699" s="47">
        <f t="shared" si="515"/>
        <v>0</v>
      </c>
      <c r="T1699" s="151">
        <f t="shared" si="500"/>
        <v>96</v>
      </c>
      <c r="U1699" s="151">
        <f t="shared" si="501"/>
        <v>0</v>
      </c>
      <c r="V1699" s="139">
        <f t="shared" si="502"/>
        <v>0</v>
      </c>
      <c r="W1699" s="152">
        <f t="shared" si="505"/>
        <v>96</v>
      </c>
      <c r="X1699" s="127" t="str">
        <f t="shared" si="503"/>
        <v/>
      </c>
      <c r="Y1699" s="207">
        <f t="shared" si="506"/>
        <v>96</v>
      </c>
      <c r="Z1699" s="139">
        <f t="shared" si="507"/>
        <v>96</v>
      </c>
      <c r="AA1699" s="139">
        <f t="shared" si="508"/>
        <v>0</v>
      </c>
      <c r="AC1699" s="47">
        <f t="shared" si="509"/>
        <v>48</v>
      </c>
      <c r="AD1699" s="47">
        <f t="shared" si="510"/>
        <v>48</v>
      </c>
      <c r="AE1699" s="47">
        <f t="shared" si="511"/>
        <v>0</v>
      </c>
      <c r="AG1699" s="47">
        <f t="shared" si="512"/>
        <v>48</v>
      </c>
      <c r="AH1699" s="47">
        <f t="shared" si="513"/>
        <v>48</v>
      </c>
      <c r="AI1699" s="208">
        <f t="shared" si="514"/>
        <v>0</v>
      </c>
    </row>
    <row r="1700" spans="1:35">
      <c r="A1700" t="s">
        <v>2139</v>
      </c>
      <c r="B1700" t="s">
        <v>3155</v>
      </c>
      <c r="C1700" t="s">
        <v>2226</v>
      </c>
      <c r="D1700" t="s">
        <v>5138</v>
      </c>
      <c r="F1700" t="s">
        <v>1287</v>
      </c>
      <c r="G1700" s="126">
        <f>SUMIFS('Support - Transition'!F:F,'Support - Transition'!B:B,'Step 2'!A1700,'Support - Transition'!C:C,'Step 2'!B1700,'Support - Transition'!D:D,'Step 2'!C1700,'Support - Transition'!E:E,"CIVIL")</f>
        <v>0</v>
      </c>
      <c r="H1700" s="126">
        <f>SUMIFS('Support - Transition'!F:F,'Support - Transition'!B:B,'Step 2'!A1700,'Support - Transition'!C:C,'Step 2'!B1700,'Support - Transition'!D:D,'Step 2'!C1700,'Support - Transition'!E:E,"FIRE")</f>
        <v>0</v>
      </c>
      <c r="I1700" s="126">
        <f>IF(B1700="0",SUMIFS('Support - Transition'!F:F,'Support - Transition'!J:J,'Step 2'!D1700,'Support - Transition'!E:E,"STATE UNIT"),SUMIFS('Support - Transition'!F:F,'Support - Transition'!J:J,'Step 2'!D1700))</f>
        <v>1.0900000000000001E-4</v>
      </c>
      <c r="J1700" s="126">
        <f>SUMIFS('Support - Unit Adjustments'!E:E,'Support - Unit Adjustments'!F:F,'Step 2'!D1700)</f>
        <v>0</v>
      </c>
      <c r="K1700" s="126">
        <f t="shared" si="498"/>
        <v>1.0900000000000001E-4</v>
      </c>
      <c r="L1700" s="174">
        <f>VLOOKUP(A1700,'Step 1'!$A:$E,4,FALSE)</f>
        <v>453237</v>
      </c>
      <c r="M1700" s="47">
        <f t="shared" si="499"/>
        <v>49</v>
      </c>
      <c r="N1700" s="177">
        <f>SUMIFS('Support - Transition'!G:G,'Support - Transition'!J:J,'Step 2'!D1700,'Support - Transition'!E:E,"2009 WELFARE ALLOCATION FACTOR")</f>
        <v>0</v>
      </c>
      <c r="O1700" s="152">
        <f t="shared" si="504"/>
        <v>0</v>
      </c>
      <c r="P1700" s="126">
        <f>IF(E1700="Y",0,SUMIFS('Support - Transition'!G:G,'Support - Transition'!J:J,'Step 2'!D1700,'Support - Transition'!E:E,"2009 SCHOOL ALLOCATION FACTOR"))</f>
        <v>0</v>
      </c>
      <c r="Q1700" s="126">
        <f>IF(E1700="Y",VLOOKUP(D1700,'Support - Unit Adjustments'!F:G,2,FALSE),0)</f>
        <v>0</v>
      </c>
      <c r="R1700" s="155">
        <f t="shared" si="516"/>
        <v>0</v>
      </c>
      <c r="S1700" s="47">
        <f t="shared" si="515"/>
        <v>0</v>
      </c>
      <c r="T1700" s="151">
        <f t="shared" si="500"/>
        <v>49</v>
      </c>
      <c r="U1700" s="151">
        <f t="shared" si="501"/>
        <v>0</v>
      </c>
      <c r="V1700" s="139">
        <f t="shared" si="502"/>
        <v>0</v>
      </c>
      <c r="W1700" s="152">
        <f t="shared" si="505"/>
        <v>49</v>
      </c>
      <c r="X1700" s="127" t="str">
        <f t="shared" si="503"/>
        <v/>
      </c>
      <c r="Y1700" s="207">
        <f t="shared" si="506"/>
        <v>49</v>
      </c>
      <c r="Z1700" s="139">
        <f t="shared" si="507"/>
        <v>49</v>
      </c>
      <c r="AA1700" s="139">
        <f t="shared" si="508"/>
        <v>0</v>
      </c>
      <c r="AC1700" s="47">
        <f t="shared" si="509"/>
        <v>25</v>
      </c>
      <c r="AD1700" s="47">
        <f t="shared" si="510"/>
        <v>25</v>
      </c>
      <c r="AE1700" s="47">
        <f t="shared" si="511"/>
        <v>0</v>
      </c>
      <c r="AG1700" s="47">
        <f t="shared" si="512"/>
        <v>24</v>
      </c>
      <c r="AH1700" s="47">
        <f t="shared" si="513"/>
        <v>24</v>
      </c>
      <c r="AI1700" s="208">
        <f t="shared" si="514"/>
        <v>0</v>
      </c>
    </row>
    <row r="1701" spans="1:35">
      <c r="A1701" t="s">
        <v>2139</v>
      </c>
      <c r="B1701" t="s">
        <v>3155</v>
      </c>
      <c r="C1701" t="s">
        <v>2876</v>
      </c>
      <c r="D1701" t="s">
        <v>5139</v>
      </c>
      <c r="F1701" t="s">
        <v>1288</v>
      </c>
      <c r="G1701" s="126">
        <f>SUMIFS('Support - Transition'!F:F,'Support - Transition'!B:B,'Step 2'!A1701,'Support - Transition'!C:C,'Step 2'!B1701,'Support - Transition'!D:D,'Step 2'!C1701,'Support - Transition'!E:E,"CIVIL")</f>
        <v>0</v>
      </c>
      <c r="H1701" s="126">
        <f>SUMIFS('Support - Transition'!F:F,'Support - Transition'!B:B,'Step 2'!A1701,'Support - Transition'!C:C,'Step 2'!B1701,'Support - Transition'!D:D,'Step 2'!C1701,'Support - Transition'!E:E,"FIRE")</f>
        <v>0</v>
      </c>
      <c r="I1701" s="126">
        <f>IF(B1701="0",SUMIFS('Support - Transition'!F:F,'Support - Transition'!J:J,'Step 2'!D1701,'Support - Transition'!E:E,"STATE UNIT"),SUMIFS('Support - Transition'!F:F,'Support - Transition'!J:J,'Step 2'!D1701))</f>
        <v>1.7470000000000001E-3</v>
      </c>
      <c r="J1701" s="126">
        <f>SUMIFS('Support - Unit Adjustments'!E:E,'Support - Unit Adjustments'!F:F,'Step 2'!D1701)</f>
        <v>0</v>
      </c>
      <c r="K1701" s="126">
        <f t="shared" si="498"/>
        <v>1.7470000000000001E-3</v>
      </c>
      <c r="L1701" s="174">
        <f>VLOOKUP(A1701,'Step 1'!$A:$E,4,FALSE)</f>
        <v>453237</v>
      </c>
      <c r="M1701" s="47">
        <f t="shared" si="499"/>
        <v>792</v>
      </c>
      <c r="N1701" s="177">
        <f>SUMIFS('Support - Transition'!G:G,'Support - Transition'!J:J,'Step 2'!D1701,'Support - Transition'!E:E,"2009 WELFARE ALLOCATION FACTOR")</f>
        <v>0</v>
      </c>
      <c r="O1701" s="152">
        <f t="shared" si="504"/>
        <v>0</v>
      </c>
      <c r="P1701" s="126">
        <f>IF(E1701="Y",0,SUMIFS('Support - Transition'!G:G,'Support - Transition'!J:J,'Step 2'!D1701,'Support - Transition'!E:E,"2009 SCHOOL ALLOCATION FACTOR"))</f>
        <v>0</v>
      </c>
      <c r="Q1701" s="126">
        <f>IF(E1701="Y",VLOOKUP(D1701,'Support - Unit Adjustments'!F:G,2,FALSE),0)</f>
        <v>0</v>
      </c>
      <c r="R1701" s="155">
        <f t="shared" si="516"/>
        <v>0</v>
      </c>
      <c r="S1701" s="47">
        <f t="shared" si="515"/>
        <v>0</v>
      </c>
      <c r="T1701" s="151">
        <f t="shared" si="500"/>
        <v>792</v>
      </c>
      <c r="U1701" s="151">
        <f t="shared" si="501"/>
        <v>0</v>
      </c>
      <c r="V1701" s="139">
        <f t="shared" si="502"/>
        <v>0</v>
      </c>
      <c r="W1701" s="152">
        <f t="shared" si="505"/>
        <v>792</v>
      </c>
      <c r="X1701" s="127" t="str">
        <f t="shared" si="503"/>
        <v/>
      </c>
      <c r="Y1701" s="207">
        <f t="shared" si="506"/>
        <v>792</v>
      </c>
      <c r="Z1701" s="139">
        <f t="shared" si="507"/>
        <v>792</v>
      </c>
      <c r="AA1701" s="139">
        <f t="shared" si="508"/>
        <v>0</v>
      </c>
      <c r="AC1701" s="47">
        <f t="shared" si="509"/>
        <v>396</v>
      </c>
      <c r="AD1701" s="47">
        <f t="shared" si="510"/>
        <v>396</v>
      </c>
      <c r="AE1701" s="47">
        <f t="shared" si="511"/>
        <v>0</v>
      </c>
      <c r="AG1701" s="47">
        <f t="shared" si="512"/>
        <v>396</v>
      </c>
      <c r="AH1701" s="47">
        <f t="shared" si="513"/>
        <v>396</v>
      </c>
      <c r="AI1701" s="208">
        <f t="shared" si="514"/>
        <v>0</v>
      </c>
    </row>
    <row r="1702" spans="1:35">
      <c r="A1702" t="s">
        <v>2139</v>
      </c>
      <c r="B1702" t="s">
        <v>3155</v>
      </c>
      <c r="C1702" t="s">
        <v>2656</v>
      </c>
      <c r="D1702" t="s">
        <v>5140</v>
      </c>
      <c r="F1702" t="s">
        <v>1285</v>
      </c>
      <c r="G1702" s="126">
        <f>SUMIFS('Support - Transition'!F:F,'Support - Transition'!B:B,'Step 2'!A1702,'Support - Transition'!C:C,'Step 2'!B1702,'Support - Transition'!D:D,'Step 2'!C1702,'Support - Transition'!E:E,"CIVIL")</f>
        <v>0</v>
      </c>
      <c r="H1702" s="126">
        <f>SUMIFS('Support - Transition'!F:F,'Support - Transition'!B:B,'Step 2'!A1702,'Support - Transition'!C:C,'Step 2'!B1702,'Support - Transition'!D:D,'Step 2'!C1702,'Support - Transition'!E:E,"FIRE")</f>
        <v>0</v>
      </c>
      <c r="I1702" s="126">
        <f>IF(B1702="0",SUMIFS('Support - Transition'!F:F,'Support - Transition'!J:J,'Step 2'!D1702,'Support - Transition'!E:E,"STATE UNIT"),SUMIFS('Support - Transition'!F:F,'Support - Transition'!J:J,'Step 2'!D1702))</f>
        <v>2.6199999999999999E-3</v>
      </c>
      <c r="J1702" s="126">
        <f>SUMIFS('Support - Unit Adjustments'!E:E,'Support - Unit Adjustments'!F:F,'Step 2'!D1702)</f>
        <v>0</v>
      </c>
      <c r="K1702" s="126">
        <f t="shared" si="498"/>
        <v>2.6199999999999999E-3</v>
      </c>
      <c r="L1702" s="174">
        <f>VLOOKUP(A1702,'Step 1'!$A:$E,4,FALSE)</f>
        <v>453237</v>
      </c>
      <c r="M1702" s="47">
        <f t="shared" si="499"/>
        <v>1187</v>
      </c>
      <c r="N1702" s="177">
        <f>SUMIFS('Support - Transition'!G:G,'Support - Transition'!J:J,'Step 2'!D1702,'Support - Transition'!E:E,"2009 WELFARE ALLOCATION FACTOR")</f>
        <v>0</v>
      </c>
      <c r="O1702" s="152">
        <f t="shared" si="504"/>
        <v>0</v>
      </c>
      <c r="P1702" s="126">
        <f>IF(E1702="Y",0,SUMIFS('Support - Transition'!G:G,'Support - Transition'!J:J,'Step 2'!D1702,'Support - Transition'!E:E,"2009 SCHOOL ALLOCATION FACTOR"))</f>
        <v>0</v>
      </c>
      <c r="Q1702" s="126">
        <f>IF(E1702="Y",VLOOKUP(D1702,'Support - Unit Adjustments'!F:G,2,FALSE),0)</f>
        <v>0</v>
      </c>
      <c r="R1702" s="155">
        <f t="shared" si="516"/>
        <v>0</v>
      </c>
      <c r="S1702" s="47">
        <f t="shared" si="515"/>
        <v>0</v>
      </c>
      <c r="T1702" s="151">
        <f t="shared" si="500"/>
        <v>1187</v>
      </c>
      <c r="U1702" s="151">
        <f t="shared" si="501"/>
        <v>0</v>
      </c>
      <c r="V1702" s="139">
        <f t="shared" si="502"/>
        <v>0</v>
      </c>
      <c r="W1702" s="152">
        <f t="shared" si="505"/>
        <v>1187</v>
      </c>
      <c r="X1702" s="127" t="str">
        <f t="shared" si="503"/>
        <v/>
      </c>
      <c r="Y1702" s="207">
        <f t="shared" si="506"/>
        <v>1187</v>
      </c>
      <c r="Z1702" s="139">
        <f t="shared" si="507"/>
        <v>1187</v>
      </c>
      <c r="AA1702" s="139">
        <f t="shared" si="508"/>
        <v>0</v>
      </c>
      <c r="AC1702" s="47">
        <f t="shared" si="509"/>
        <v>594</v>
      </c>
      <c r="AD1702" s="47">
        <f t="shared" si="510"/>
        <v>594</v>
      </c>
      <c r="AE1702" s="47">
        <f t="shared" si="511"/>
        <v>0</v>
      </c>
      <c r="AG1702" s="47">
        <f t="shared" si="512"/>
        <v>593</v>
      </c>
      <c r="AH1702" s="47">
        <f t="shared" si="513"/>
        <v>593</v>
      </c>
      <c r="AI1702" s="208">
        <f t="shared" si="514"/>
        <v>0</v>
      </c>
    </row>
    <row r="1703" spans="1:35">
      <c r="A1703" t="s">
        <v>2139</v>
      </c>
      <c r="B1703" t="s">
        <v>3160</v>
      </c>
      <c r="C1703" t="s">
        <v>2654</v>
      </c>
      <c r="D1703" t="s">
        <v>5141</v>
      </c>
      <c r="F1703" t="s">
        <v>4550</v>
      </c>
      <c r="G1703" s="126">
        <f>SUMIFS('Support - Transition'!F:F,'Support - Transition'!B:B,'Step 2'!A1703,'Support - Transition'!C:C,'Step 2'!B1703,'Support - Transition'!D:D,'Step 2'!C1703,'Support - Transition'!E:E,"CIVIL")</f>
        <v>0</v>
      </c>
      <c r="H1703" s="126">
        <f>SUMIFS('Support - Transition'!F:F,'Support - Transition'!B:B,'Step 2'!A1703,'Support - Transition'!C:C,'Step 2'!B1703,'Support - Transition'!D:D,'Step 2'!C1703,'Support - Transition'!E:E,"FIRE")</f>
        <v>0</v>
      </c>
      <c r="I1703" s="126">
        <f>IF(B1703="0",SUMIFS('Support - Transition'!F:F,'Support - Transition'!J:J,'Step 2'!D1703,'Support - Transition'!E:E,"STATE UNIT"),SUMIFS('Support - Transition'!F:F,'Support - Transition'!J:J,'Step 2'!D1703))</f>
        <v>2.0655E-2</v>
      </c>
      <c r="J1703" s="126">
        <f>SUMIFS('Support - Unit Adjustments'!E:E,'Support - Unit Adjustments'!F:F,'Step 2'!D1703)</f>
        <v>0</v>
      </c>
      <c r="K1703" s="126">
        <f t="shared" si="498"/>
        <v>2.0655E-2</v>
      </c>
      <c r="L1703" s="174">
        <f>VLOOKUP(A1703,'Step 1'!$A:$E,4,FALSE)</f>
        <v>453237</v>
      </c>
      <c r="M1703" s="47">
        <f t="shared" si="499"/>
        <v>9362</v>
      </c>
      <c r="N1703" s="177">
        <f>SUMIFS('Support - Transition'!G:G,'Support - Transition'!J:J,'Step 2'!D1703,'Support - Transition'!E:E,"2009 WELFARE ALLOCATION FACTOR")</f>
        <v>0</v>
      </c>
      <c r="O1703" s="152">
        <f t="shared" si="504"/>
        <v>0</v>
      </c>
      <c r="P1703" s="126">
        <f>IF(E1703="Y",0,SUMIFS('Support - Transition'!G:G,'Support - Transition'!J:J,'Step 2'!D1703,'Support - Transition'!E:E,"2009 SCHOOL ALLOCATION FACTOR"))</f>
        <v>0.41900399999999999</v>
      </c>
      <c r="Q1703" s="126">
        <f>IF(E1703="Y",VLOOKUP(D1703,'Support - Unit Adjustments'!F:G,2,FALSE),0)</f>
        <v>0</v>
      </c>
      <c r="R1703" s="155">
        <f t="shared" si="516"/>
        <v>0.41900399999999999</v>
      </c>
      <c r="S1703" s="47">
        <f t="shared" si="515"/>
        <v>3923</v>
      </c>
      <c r="T1703" s="151">
        <f t="shared" si="500"/>
        <v>5439</v>
      </c>
      <c r="U1703" s="151">
        <f t="shared" si="501"/>
        <v>0</v>
      </c>
      <c r="V1703" s="139">
        <f t="shared" si="502"/>
        <v>0</v>
      </c>
      <c r="W1703" s="152">
        <f t="shared" si="505"/>
        <v>5439</v>
      </c>
      <c r="X1703" s="127" t="str">
        <f t="shared" si="503"/>
        <v/>
      </c>
      <c r="Y1703" s="207">
        <f t="shared" si="506"/>
        <v>5439</v>
      </c>
      <c r="Z1703" s="139">
        <f t="shared" si="507"/>
        <v>5439</v>
      </c>
      <c r="AA1703" s="139">
        <f t="shared" si="508"/>
        <v>0</v>
      </c>
      <c r="AC1703" s="47">
        <f t="shared" si="509"/>
        <v>2720</v>
      </c>
      <c r="AD1703" s="47">
        <f t="shared" si="510"/>
        <v>2720</v>
      </c>
      <c r="AE1703" s="47">
        <f t="shared" si="511"/>
        <v>0</v>
      </c>
      <c r="AG1703" s="47">
        <f t="shared" si="512"/>
        <v>2719</v>
      </c>
      <c r="AH1703" s="47">
        <f t="shared" si="513"/>
        <v>2719</v>
      </c>
      <c r="AI1703" s="208">
        <f t="shared" si="514"/>
        <v>0</v>
      </c>
    </row>
    <row r="1704" spans="1:35">
      <c r="A1704" t="s">
        <v>2139</v>
      </c>
      <c r="B1704" t="s">
        <v>3160</v>
      </c>
      <c r="C1704" t="s">
        <v>2877</v>
      </c>
      <c r="D1704" t="s">
        <v>5142</v>
      </c>
      <c r="F1704" t="s">
        <v>1291</v>
      </c>
      <c r="G1704" s="126">
        <f>SUMIFS('Support - Transition'!F:F,'Support - Transition'!B:B,'Step 2'!A1704,'Support - Transition'!C:C,'Step 2'!B1704,'Support - Transition'!D:D,'Step 2'!C1704,'Support - Transition'!E:E,"CIVIL")</f>
        <v>0</v>
      </c>
      <c r="H1704" s="126">
        <f>SUMIFS('Support - Transition'!F:F,'Support - Transition'!B:B,'Step 2'!A1704,'Support - Transition'!C:C,'Step 2'!B1704,'Support - Transition'!D:D,'Step 2'!C1704,'Support - Transition'!E:E,"FIRE")</f>
        <v>0</v>
      </c>
      <c r="I1704" s="126">
        <f>IF(B1704="0",SUMIFS('Support - Transition'!F:F,'Support - Transition'!J:J,'Step 2'!D1704,'Support - Transition'!E:E,"STATE UNIT"),SUMIFS('Support - Transition'!F:F,'Support - Transition'!J:J,'Step 2'!D1704))</f>
        <v>3.8581999999999998E-2</v>
      </c>
      <c r="J1704" s="126">
        <f>SUMIFS('Support - Unit Adjustments'!E:E,'Support - Unit Adjustments'!F:F,'Step 2'!D1704)</f>
        <v>0</v>
      </c>
      <c r="K1704" s="126">
        <f t="shared" si="498"/>
        <v>3.8581999999999998E-2</v>
      </c>
      <c r="L1704" s="174">
        <f>VLOOKUP(A1704,'Step 1'!$A:$E,4,FALSE)</f>
        <v>453237</v>
      </c>
      <c r="M1704" s="47">
        <f t="shared" si="499"/>
        <v>17487</v>
      </c>
      <c r="N1704" s="177">
        <f>SUMIFS('Support - Transition'!G:G,'Support - Transition'!J:J,'Step 2'!D1704,'Support - Transition'!E:E,"2009 WELFARE ALLOCATION FACTOR")</f>
        <v>0</v>
      </c>
      <c r="O1704" s="152">
        <f t="shared" si="504"/>
        <v>0</v>
      </c>
      <c r="P1704" s="126">
        <f>IF(E1704="Y",0,SUMIFS('Support - Transition'!G:G,'Support - Transition'!J:J,'Step 2'!D1704,'Support - Transition'!E:E,"2009 SCHOOL ALLOCATION FACTOR"))</f>
        <v>0.42618499999999998</v>
      </c>
      <c r="Q1704" s="126">
        <f>IF(E1704="Y",VLOOKUP(D1704,'Support - Unit Adjustments'!F:G,2,FALSE),0)</f>
        <v>0</v>
      </c>
      <c r="R1704" s="155">
        <f t="shared" si="516"/>
        <v>0.42618499999999998</v>
      </c>
      <c r="S1704" s="47">
        <f t="shared" si="515"/>
        <v>7453</v>
      </c>
      <c r="T1704" s="151">
        <f t="shared" si="500"/>
        <v>10034</v>
      </c>
      <c r="U1704" s="151">
        <f t="shared" si="501"/>
        <v>0</v>
      </c>
      <c r="V1704" s="139">
        <f t="shared" si="502"/>
        <v>0</v>
      </c>
      <c r="W1704" s="152">
        <f t="shared" si="505"/>
        <v>10034</v>
      </c>
      <c r="X1704" s="127" t="str">
        <f t="shared" si="503"/>
        <v/>
      </c>
      <c r="Y1704" s="207">
        <f t="shared" si="506"/>
        <v>10034</v>
      </c>
      <c r="Z1704" s="139">
        <f t="shared" si="507"/>
        <v>10034</v>
      </c>
      <c r="AA1704" s="139">
        <f t="shared" si="508"/>
        <v>0</v>
      </c>
      <c r="AC1704" s="47">
        <f t="shared" si="509"/>
        <v>5017</v>
      </c>
      <c r="AD1704" s="47">
        <f t="shared" si="510"/>
        <v>5017</v>
      </c>
      <c r="AE1704" s="47">
        <f t="shared" si="511"/>
        <v>0</v>
      </c>
      <c r="AG1704" s="47">
        <f t="shared" si="512"/>
        <v>5017</v>
      </c>
      <c r="AH1704" s="47">
        <f t="shared" si="513"/>
        <v>5017</v>
      </c>
      <c r="AI1704" s="208">
        <f t="shared" si="514"/>
        <v>0</v>
      </c>
    </row>
    <row r="1705" spans="1:35">
      <c r="A1705" t="s">
        <v>2139</v>
      </c>
      <c r="B1705" t="s">
        <v>3160</v>
      </c>
      <c r="C1705" t="s">
        <v>2878</v>
      </c>
      <c r="D1705" t="s">
        <v>5143</v>
      </c>
      <c r="F1705" t="s">
        <v>1289</v>
      </c>
      <c r="G1705" s="126">
        <f>SUMIFS('Support - Transition'!F:F,'Support - Transition'!B:B,'Step 2'!A1705,'Support - Transition'!C:C,'Step 2'!B1705,'Support - Transition'!D:D,'Step 2'!C1705,'Support - Transition'!E:E,"CIVIL")</f>
        <v>0</v>
      </c>
      <c r="H1705" s="126">
        <f>SUMIFS('Support - Transition'!F:F,'Support - Transition'!B:B,'Step 2'!A1705,'Support - Transition'!C:C,'Step 2'!B1705,'Support - Transition'!D:D,'Step 2'!C1705,'Support - Transition'!E:E,"FIRE")</f>
        <v>0</v>
      </c>
      <c r="I1705" s="126">
        <f>IF(B1705="0",SUMIFS('Support - Transition'!F:F,'Support - Transition'!J:J,'Step 2'!D1705,'Support - Transition'!E:E,"STATE UNIT"),SUMIFS('Support - Transition'!F:F,'Support - Transition'!J:J,'Step 2'!D1705))</f>
        <v>4.3199000000000001E-2</v>
      </c>
      <c r="J1705" s="126">
        <f>SUMIFS('Support - Unit Adjustments'!E:E,'Support - Unit Adjustments'!F:F,'Step 2'!D1705)</f>
        <v>0</v>
      </c>
      <c r="K1705" s="126">
        <f t="shared" si="498"/>
        <v>4.3199000000000001E-2</v>
      </c>
      <c r="L1705" s="174">
        <f>VLOOKUP(A1705,'Step 1'!$A:$E,4,FALSE)</f>
        <v>453237</v>
      </c>
      <c r="M1705" s="47">
        <f t="shared" si="499"/>
        <v>19579</v>
      </c>
      <c r="N1705" s="177">
        <f>SUMIFS('Support - Transition'!G:G,'Support - Transition'!J:J,'Step 2'!D1705,'Support - Transition'!E:E,"2009 WELFARE ALLOCATION FACTOR")</f>
        <v>0</v>
      </c>
      <c r="O1705" s="152">
        <f t="shared" si="504"/>
        <v>0</v>
      </c>
      <c r="P1705" s="126">
        <f>IF(E1705="Y",0,SUMIFS('Support - Transition'!G:G,'Support - Transition'!J:J,'Step 2'!D1705,'Support - Transition'!E:E,"2009 SCHOOL ALLOCATION FACTOR"))</f>
        <v>0.46447699999999997</v>
      </c>
      <c r="Q1705" s="126">
        <f>IF(E1705="Y",VLOOKUP(D1705,'Support - Unit Adjustments'!F:G,2,FALSE),0)</f>
        <v>0</v>
      </c>
      <c r="R1705" s="155">
        <f t="shared" si="516"/>
        <v>0.46447699999999997</v>
      </c>
      <c r="S1705" s="47">
        <f t="shared" si="515"/>
        <v>9094</v>
      </c>
      <c r="T1705" s="151">
        <f t="shared" si="500"/>
        <v>10485</v>
      </c>
      <c r="U1705" s="151">
        <f t="shared" si="501"/>
        <v>0</v>
      </c>
      <c r="V1705" s="139">
        <f t="shared" si="502"/>
        <v>0</v>
      </c>
      <c r="W1705" s="152">
        <f t="shared" si="505"/>
        <v>10485</v>
      </c>
      <c r="X1705" s="127" t="str">
        <f t="shared" si="503"/>
        <v/>
      </c>
      <c r="Y1705" s="207">
        <f t="shared" si="506"/>
        <v>10485</v>
      </c>
      <c r="Z1705" s="139">
        <f t="shared" si="507"/>
        <v>10485</v>
      </c>
      <c r="AA1705" s="139">
        <f t="shared" si="508"/>
        <v>0</v>
      </c>
      <c r="AC1705" s="47">
        <f t="shared" si="509"/>
        <v>5243</v>
      </c>
      <c r="AD1705" s="47">
        <f t="shared" si="510"/>
        <v>5243</v>
      </c>
      <c r="AE1705" s="47">
        <f t="shared" si="511"/>
        <v>0</v>
      </c>
      <c r="AG1705" s="47">
        <f t="shared" si="512"/>
        <v>5242</v>
      </c>
      <c r="AH1705" s="47">
        <f t="shared" si="513"/>
        <v>5242</v>
      </c>
      <c r="AI1705" s="208">
        <f t="shared" si="514"/>
        <v>0</v>
      </c>
    </row>
    <row r="1706" spans="1:35">
      <c r="A1706" t="s">
        <v>2139</v>
      </c>
      <c r="B1706" t="s">
        <v>3160</v>
      </c>
      <c r="C1706" t="s">
        <v>2879</v>
      </c>
      <c r="D1706" t="s">
        <v>5144</v>
      </c>
      <c r="F1706" t="s">
        <v>1290</v>
      </c>
      <c r="G1706" s="126">
        <f>SUMIFS('Support - Transition'!F:F,'Support - Transition'!B:B,'Step 2'!A1706,'Support - Transition'!C:C,'Step 2'!B1706,'Support - Transition'!D:D,'Step 2'!C1706,'Support - Transition'!E:E,"CIVIL")</f>
        <v>0</v>
      </c>
      <c r="H1706" s="126">
        <f>SUMIFS('Support - Transition'!F:F,'Support - Transition'!B:B,'Step 2'!A1706,'Support - Transition'!C:C,'Step 2'!B1706,'Support - Transition'!D:D,'Step 2'!C1706,'Support - Transition'!E:E,"FIRE")</f>
        <v>0</v>
      </c>
      <c r="I1706" s="126">
        <f>IF(B1706="0",SUMIFS('Support - Transition'!F:F,'Support - Transition'!J:J,'Step 2'!D1706,'Support - Transition'!E:E,"STATE UNIT"),SUMIFS('Support - Transition'!F:F,'Support - Transition'!J:J,'Step 2'!D1706))</f>
        <v>0.32753399999999999</v>
      </c>
      <c r="J1706" s="126">
        <f>SUMIFS('Support - Unit Adjustments'!E:E,'Support - Unit Adjustments'!F:F,'Step 2'!D1706)</f>
        <v>0</v>
      </c>
      <c r="K1706" s="126">
        <f t="shared" si="498"/>
        <v>0.32753399999999999</v>
      </c>
      <c r="L1706" s="174">
        <f>VLOOKUP(A1706,'Step 1'!$A:$E,4,FALSE)</f>
        <v>453237</v>
      </c>
      <c r="M1706" s="47">
        <f t="shared" si="499"/>
        <v>148451</v>
      </c>
      <c r="N1706" s="177">
        <f>SUMIFS('Support - Transition'!G:G,'Support - Transition'!J:J,'Step 2'!D1706,'Support - Transition'!E:E,"2009 WELFARE ALLOCATION FACTOR")</f>
        <v>0</v>
      </c>
      <c r="O1706" s="152">
        <f t="shared" si="504"/>
        <v>0</v>
      </c>
      <c r="P1706" s="126">
        <f>IF(E1706="Y",0,SUMIFS('Support - Transition'!G:G,'Support - Transition'!J:J,'Step 2'!D1706,'Support - Transition'!E:E,"2009 SCHOOL ALLOCATION FACTOR"))</f>
        <v>0.51149500000000003</v>
      </c>
      <c r="Q1706" s="126">
        <f>IF(E1706="Y",VLOOKUP(D1706,'Support - Unit Adjustments'!F:G,2,FALSE),0)</f>
        <v>0</v>
      </c>
      <c r="R1706" s="155">
        <f t="shared" si="516"/>
        <v>0.51149500000000003</v>
      </c>
      <c r="S1706" s="47">
        <f t="shared" si="515"/>
        <v>75932</v>
      </c>
      <c r="T1706" s="151">
        <f t="shared" si="500"/>
        <v>72519</v>
      </c>
      <c r="U1706" s="151">
        <f t="shared" si="501"/>
        <v>0</v>
      </c>
      <c r="V1706" s="139">
        <f t="shared" si="502"/>
        <v>0</v>
      </c>
      <c r="W1706" s="152">
        <f t="shared" si="505"/>
        <v>72519</v>
      </c>
      <c r="X1706" s="127" t="str">
        <f t="shared" si="503"/>
        <v/>
      </c>
      <c r="Y1706" s="207">
        <f t="shared" si="506"/>
        <v>72519</v>
      </c>
      <c r="Z1706" s="139">
        <f t="shared" si="507"/>
        <v>72519</v>
      </c>
      <c r="AA1706" s="139">
        <f t="shared" si="508"/>
        <v>0</v>
      </c>
      <c r="AC1706" s="47">
        <f t="shared" si="509"/>
        <v>36260</v>
      </c>
      <c r="AD1706" s="47">
        <f t="shared" si="510"/>
        <v>36260</v>
      </c>
      <c r="AE1706" s="47">
        <f t="shared" si="511"/>
        <v>0</v>
      </c>
      <c r="AG1706" s="47">
        <f t="shared" si="512"/>
        <v>36259</v>
      </c>
      <c r="AH1706" s="47">
        <f t="shared" si="513"/>
        <v>36259</v>
      </c>
      <c r="AI1706" s="208">
        <f t="shared" si="514"/>
        <v>0</v>
      </c>
    </row>
    <row r="1707" spans="1:35">
      <c r="A1707" t="s">
        <v>2139</v>
      </c>
      <c r="B1707" t="s">
        <v>3160</v>
      </c>
      <c r="C1707" t="s">
        <v>2880</v>
      </c>
      <c r="D1707" t="s">
        <v>5145</v>
      </c>
      <c r="F1707" t="s">
        <v>5146</v>
      </c>
      <c r="G1707" s="126">
        <f>SUMIFS('Support - Transition'!F:F,'Support - Transition'!B:B,'Step 2'!A1707,'Support - Transition'!C:C,'Step 2'!B1707,'Support - Transition'!D:D,'Step 2'!C1707,'Support - Transition'!E:E,"CIVIL")</f>
        <v>0</v>
      </c>
      <c r="H1707" s="126">
        <f>SUMIFS('Support - Transition'!F:F,'Support - Transition'!B:B,'Step 2'!A1707,'Support - Transition'!C:C,'Step 2'!B1707,'Support - Transition'!D:D,'Step 2'!C1707,'Support - Transition'!E:E,"FIRE")</f>
        <v>0</v>
      </c>
      <c r="I1707" s="126">
        <f>IF(B1707="0",SUMIFS('Support - Transition'!F:F,'Support - Transition'!J:J,'Step 2'!D1707,'Support - Transition'!E:E,"STATE UNIT"),SUMIFS('Support - Transition'!F:F,'Support - Transition'!J:J,'Step 2'!D1707))</f>
        <v>0.24737300000000001</v>
      </c>
      <c r="J1707" s="126">
        <f>SUMIFS('Support - Unit Adjustments'!E:E,'Support - Unit Adjustments'!F:F,'Step 2'!D1707)</f>
        <v>0</v>
      </c>
      <c r="K1707" s="126">
        <f t="shared" si="498"/>
        <v>0.24737300000000001</v>
      </c>
      <c r="L1707" s="174">
        <f>VLOOKUP(A1707,'Step 1'!$A:$E,4,FALSE)</f>
        <v>453237</v>
      </c>
      <c r="M1707" s="47">
        <f t="shared" si="499"/>
        <v>112119</v>
      </c>
      <c r="N1707" s="177">
        <f>SUMIFS('Support - Transition'!G:G,'Support - Transition'!J:J,'Step 2'!D1707,'Support - Transition'!E:E,"2009 WELFARE ALLOCATION FACTOR")</f>
        <v>0</v>
      </c>
      <c r="O1707" s="152">
        <f t="shared" si="504"/>
        <v>0</v>
      </c>
      <c r="P1707" s="126">
        <f>IF(E1707="Y",0,SUMIFS('Support - Transition'!G:G,'Support - Transition'!J:J,'Step 2'!D1707,'Support - Transition'!E:E,"2009 SCHOOL ALLOCATION FACTOR"))</f>
        <v>0.43861499999999998</v>
      </c>
      <c r="Q1707" s="126">
        <f>IF(E1707="Y",VLOOKUP(D1707,'Support - Unit Adjustments'!F:G,2,FALSE),0)</f>
        <v>0</v>
      </c>
      <c r="R1707" s="155">
        <f t="shared" si="516"/>
        <v>0.43861499999999998</v>
      </c>
      <c r="S1707" s="47">
        <f t="shared" si="515"/>
        <v>49177</v>
      </c>
      <c r="T1707" s="151">
        <f t="shared" si="500"/>
        <v>62942</v>
      </c>
      <c r="U1707" s="151">
        <f t="shared" si="501"/>
        <v>0</v>
      </c>
      <c r="V1707" s="139">
        <f t="shared" si="502"/>
        <v>0</v>
      </c>
      <c r="W1707" s="152">
        <f t="shared" si="505"/>
        <v>62942</v>
      </c>
      <c r="X1707" s="127" t="str">
        <f t="shared" si="503"/>
        <v/>
      </c>
      <c r="Y1707" s="207">
        <f t="shared" si="506"/>
        <v>62942</v>
      </c>
      <c r="Z1707" s="139">
        <f t="shared" si="507"/>
        <v>62942</v>
      </c>
      <c r="AA1707" s="139">
        <f t="shared" si="508"/>
        <v>0</v>
      </c>
      <c r="AC1707" s="47">
        <f t="shared" si="509"/>
        <v>31471</v>
      </c>
      <c r="AD1707" s="47">
        <f t="shared" si="510"/>
        <v>31471</v>
      </c>
      <c r="AE1707" s="47">
        <f t="shared" si="511"/>
        <v>0</v>
      </c>
      <c r="AG1707" s="47">
        <f t="shared" si="512"/>
        <v>31471</v>
      </c>
      <c r="AH1707" s="47">
        <f t="shared" si="513"/>
        <v>31471</v>
      </c>
      <c r="AI1707" s="208">
        <f t="shared" si="514"/>
        <v>0</v>
      </c>
    </row>
    <row r="1708" spans="1:35">
      <c r="A1708" t="s">
        <v>2139</v>
      </c>
      <c r="B1708" t="s">
        <v>3166</v>
      </c>
      <c r="C1708" t="s">
        <v>5147</v>
      </c>
      <c r="D1708" t="s">
        <v>5148</v>
      </c>
      <c r="F1708" t="s">
        <v>1294</v>
      </c>
      <c r="G1708" s="126">
        <f>SUMIFS('Support - Transition'!F:F,'Support - Transition'!B:B,'Step 2'!A1708,'Support - Transition'!C:C,'Step 2'!B1708,'Support - Transition'!D:D,'Step 2'!C1708,'Support - Transition'!E:E,"CIVIL")</f>
        <v>0</v>
      </c>
      <c r="H1708" s="126">
        <f>SUMIFS('Support - Transition'!F:F,'Support - Transition'!B:B,'Step 2'!A1708,'Support - Transition'!C:C,'Step 2'!B1708,'Support - Transition'!D:D,'Step 2'!C1708,'Support - Transition'!E:E,"FIRE")</f>
        <v>0</v>
      </c>
      <c r="I1708" s="126">
        <f>IF(B1708="0",SUMIFS('Support - Transition'!F:F,'Support - Transition'!J:J,'Step 2'!D1708,'Support - Transition'!E:E,"STATE UNIT"),SUMIFS('Support - Transition'!F:F,'Support - Transition'!J:J,'Step 2'!D1708))</f>
        <v>1.5513000000000001E-2</v>
      </c>
      <c r="J1708" s="126">
        <f>SUMIFS('Support - Unit Adjustments'!E:E,'Support - Unit Adjustments'!F:F,'Step 2'!D1708)</f>
        <v>0</v>
      </c>
      <c r="K1708" s="126">
        <f t="shared" si="498"/>
        <v>1.5513000000000001E-2</v>
      </c>
      <c r="L1708" s="174">
        <f>VLOOKUP(A1708,'Step 1'!$A:$E,4,FALSE)</f>
        <v>453237</v>
      </c>
      <c r="M1708" s="47">
        <f t="shared" si="499"/>
        <v>7031</v>
      </c>
      <c r="N1708" s="177">
        <f>SUMIFS('Support - Transition'!G:G,'Support - Transition'!J:J,'Step 2'!D1708,'Support - Transition'!E:E,"2009 WELFARE ALLOCATION FACTOR")</f>
        <v>0</v>
      </c>
      <c r="O1708" s="152">
        <f t="shared" si="504"/>
        <v>0</v>
      </c>
      <c r="P1708" s="126">
        <f>IF(E1708="Y",0,SUMIFS('Support - Transition'!G:G,'Support - Transition'!J:J,'Step 2'!D1708,'Support - Transition'!E:E,"2009 SCHOOL ALLOCATION FACTOR"))</f>
        <v>0</v>
      </c>
      <c r="Q1708" s="126">
        <f>IF(E1708="Y",VLOOKUP(D1708,'Support - Unit Adjustments'!F:G,2,FALSE),0)</f>
        <v>0</v>
      </c>
      <c r="R1708" s="155">
        <f t="shared" si="516"/>
        <v>0</v>
      </c>
      <c r="S1708" s="47">
        <f t="shared" si="515"/>
        <v>0</v>
      </c>
      <c r="T1708" s="151">
        <f t="shared" si="500"/>
        <v>7031</v>
      </c>
      <c r="U1708" s="151">
        <f t="shared" si="501"/>
        <v>0</v>
      </c>
      <c r="V1708" s="139">
        <f t="shared" si="502"/>
        <v>0</v>
      </c>
      <c r="W1708" s="152">
        <f t="shared" si="505"/>
        <v>7031</v>
      </c>
      <c r="X1708" s="127" t="str">
        <f t="shared" si="503"/>
        <v/>
      </c>
      <c r="Y1708" s="207">
        <f t="shared" si="506"/>
        <v>7031</v>
      </c>
      <c r="Z1708" s="139">
        <f t="shared" si="507"/>
        <v>7031</v>
      </c>
      <c r="AA1708" s="139">
        <f t="shared" si="508"/>
        <v>0</v>
      </c>
      <c r="AC1708" s="47">
        <f t="shared" si="509"/>
        <v>3516</v>
      </c>
      <c r="AD1708" s="47">
        <f t="shared" si="510"/>
        <v>3516</v>
      </c>
      <c r="AE1708" s="47">
        <f t="shared" si="511"/>
        <v>0</v>
      </c>
      <c r="AG1708" s="47">
        <f t="shared" si="512"/>
        <v>3515</v>
      </c>
      <c r="AH1708" s="47">
        <f t="shared" si="513"/>
        <v>3515</v>
      </c>
      <c r="AI1708" s="208">
        <f t="shared" si="514"/>
        <v>0</v>
      </c>
    </row>
    <row r="1709" spans="1:35">
      <c r="A1709" t="s">
        <v>2139</v>
      </c>
      <c r="B1709" t="s">
        <v>3166</v>
      </c>
      <c r="C1709" t="s">
        <v>5149</v>
      </c>
      <c r="D1709" t="s">
        <v>5150</v>
      </c>
      <c r="F1709" t="s">
        <v>1293</v>
      </c>
      <c r="G1709" s="126">
        <f>SUMIFS('Support - Transition'!F:F,'Support - Transition'!B:B,'Step 2'!A1709,'Support - Transition'!C:C,'Step 2'!B1709,'Support - Transition'!D:D,'Step 2'!C1709,'Support - Transition'!E:E,"CIVIL")</f>
        <v>0</v>
      </c>
      <c r="H1709" s="126">
        <f>SUMIFS('Support - Transition'!F:F,'Support - Transition'!B:B,'Step 2'!A1709,'Support - Transition'!C:C,'Step 2'!B1709,'Support - Transition'!D:D,'Step 2'!C1709,'Support - Transition'!E:E,"FIRE")</f>
        <v>0</v>
      </c>
      <c r="I1709" s="126">
        <f>IF(B1709="0",SUMIFS('Support - Transition'!F:F,'Support - Transition'!J:J,'Step 2'!D1709,'Support - Transition'!E:E,"STATE UNIT"),SUMIFS('Support - Transition'!F:F,'Support - Transition'!J:J,'Step 2'!D1709))</f>
        <v>6.5209999999999999E-3</v>
      </c>
      <c r="J1709" s="126">
        <f>SUMIFS('Support - Unit Adjustments'!E:E,'Support - Unit Adjustments'!F:F,'Step 2'!D1709)</f>
        <v>0</v>
      </c>
      <c r="K1709" s="126">
        <f t="shared" si="498"/>
        <v>6.5209999999999999E-3</v>
      </c>
      <c r="L1709" s="174">
        <f>VLOOKUP(A1709,'Step 1'!$A:$E,4,FALSE)</f>
        <v>453237</v>
      </c>
      <c r="M1709" s="47">
        <f t="shared" si="499"/>
        <v>2956</v>
      </c>
      <c r="N1709" s="177">
        <f>SUMIFS('Support - Transition'!G:G,'Support - Transition'!J:J,'Step 2'!D1709,'Support - Transition'!E:E,"2009 WELFARE ALLOCATION FACTOR")</f>
        <v>0</v>
      </c>
      <c r="O1709" s="152">
        <f t="shared" si="504"/>
        <v>0</v>
      </c>
      <c r="P1709" s="126">
        <f>IF(E1709="Y",0,SUMIFS('Support - Transition'!G:G,'Support - Transition'!J:J,'Step 2'!D1709,'Support - Transition'!E:E,"2009 SCHOOL ALLOCATION FACTOR"))</f>
        <v>0</v>
      </c>
      <c r="Q1709" s="126">
        <f>IF(E1709="Y",VLOOKUP(D1709,'Support - Unit Adjustments'!F:G,2,FALSE),0)</f>
        <v>0</v>
      </c>
      <c r="R1709" s="155">
        <f t="shared" si="516"/>
        <v>0</v>
      </c>
      <c r="S1709" s="47">
        <f t="shared" si="515"/>
        <v>0</v>
      </c>
      <c r="T1709" s="151">
        <f t="shared" si="500"/>
        <v>2956</v>
      </c>
      <c r="U1709" s="151">
        <f t="shared" si="501"/>
        <v>0</v>
      </c>
      <c r="V1709" s="139">
        <f t="shared" si="502"/>
        <v>0</v>
      </c>
      <c r="W1709" s="152">
        <f t="shared" si="505"/>
        <v>2956</v>
      </c>
      <c r="X1709" s="127" t="str">
        <f t="shared" si="503"/>
        <v/>
      </c>
      <c r="Y1709" s="207">
        <f t="shared" si="506"/>
        <v>2956</v>
      </c>
      <c r="Z1709" s="139">
        <f t="shared" si="507"/>
        <v>2956</v>
      </c>
      <c r="AA1709" s="139">
        <f t="shared" si="508"/>
        <v>0</v>
      </c>
      <c r="AC1709" s="47">
        <f t="shared" si="509"/>
        <v>1478</v>
      </c>
      <c r="AD1709" s="47">
        <f t="shared" si="510"/>
        <v>1478</v>
      </c>
      <c r="AE1709" s="47">
        <f t="shared" si="511"/>
        <v>0</v>
      </c>
      <c r="AG1709" s="47">
        <f t="shared" si="512"/>
        <v>1478</v>
      </c>
      <c r="AH1709" s="47">
        <f t="shared" si="513"/>
        <v>1478</v>
      </c>
      <c r="AI1709" s="208">
        <f t="shared" si="514"/>
        <v>0</v>
      </c>
    </row>
    <row r="1710" spans="1:35">
      <c r="A1710" t="s">
        <v>2139</v>
      </c>
      <c r="B1710" t="s">
        <v>3170</v>
      </c>
      <c r="C1710" t="s">
        <v>2382</v>
      </c>
      <c r="D1710" t="s">
        <v>5151</v>
      </c>
      <c r="F1710" t="s">
        <v>1295</v>
      </c>
      <c r="G1710" s="126">
        <f>SUMIFS('Support - Transition'!F:F,'Support - Transition'!B:B,'Step 2'!A1710,'Support - Transition'!C:C,'Step 2'!B1710,'Support - Transition'!D:D,'Step 2'!C1710,'Support - Transition'!E:E,"CIVIL")</f>
        <v>0</v>
      </c>
      <c r="H1710" s="126">
        <f>SUMIFS('Support - Transition'!F:F,'Support - Transition'!B:B,'Step 2'!A1710,'Support - Transition'!C:C,'Step 2'!B1710,'Support - Transition'!D:D,'Step 2'!C1710,'Support - Transition'!E:E,"FIRE")</f>
        <v>0</v>
      </c>
      <c r="I1710" s="126">
        <f>IF(B1710="0",SUMIFS('Support - Transition'!F:F,'Support - Transition'!J:J,'Step 2'!D1710,'Support - Transition'!E:E,"STATE UNIT"),SUMIFS('Support - Transition'!F:F,'Support - Transition'!J:J,'Step 2'!D1710))</f>
        <v>1.5460000000000001E-3</v>
      </c>
      <c r="J1710" s="126">
        <f>SUMIFS('Support - Unit Adjustments'!E:E,'Support - Unit Adjustments'!F:F,'Step 2'!D1710)</f>
        <v>0</v>
      </c>
      <c r="K1710" s="126">
        <f t="shared" si="498"/>
        <v>1.5460000000000001E-3</v>
      </c>
      <c r="L1710" s="174">
        <f>VLOOKUP(A1710,'Step 1'!$A:$E,4,FALSE)</f>
        <v>453237</v>
      </c>
      <c r="M1710" s="47">
        <f t="shared" si="499"/>
        <v>701</v>
      </c>
      <c r="N1710" s="177">
        <f>SUMIFS('Support - Transition'!G:G,'Support - Transition'!J:J,'Step 2'!D1710,'Support - Transition'!E:E,"2009 WELFARE ALLOCATION FACTOR")</f>
        <v>0</v>
      </c>
      <c r="O1710" s="152">
        <f t="shared" si="504"/>
        <v>0</v>
      </c>
      <c r="P1710" s="126">
        <f>IF(E1710="Y",0,SUMIFS('Support - Transition'!G:G,'Support - Transition'!J:J,'Step 2'!D1710,'Support - Transition'!E:E,"2009 SCHOOL ALLOCATION FACTOR"))</f>
        <v>0</v>
      </c>
      <c r="Q1710" s="126">
        <f>IF(E1710="Y",VLOOKUP(D1710,'Support - Unit Adjustments'!F:G,2,FALSE),0)</f>
        <v>0</v>
      </c>
      <c r="R1710" s="155">
        <f t="shared" si="516"/>
        <v>0</v>
      </c>
      <c r="S1710" s="47">
        <f t="shared" si="515"/>
        <v>0</v>
      </c>
      <c r="T1710" s="151">
        <f t="shared" si="500"/>
        <v>701</v>
      </c>
      <c r="U1710" s="151">
        <f t="shared" si="501"/>
        <v>0</v>
      </c>
      <c r="V1710" s="139">
        <f t="shared" si="502"/>
        <v>0</v>
      </c>
      <c r="W1710" s="152">
        <f t="shared" si="505"/>
        <v>701</v>
      </c>
      <c r="X1710" s="127" t="str">
        <f t="shared" si="503"/>
        <v/>
      </c>
      <c r="Y1710" s="207">
        <f t="shared" si="506"/>
        <v>701</v>
      </c>
      <c r="Z1710" s="139">
        <f t="shared" si="507"/>
        <v>701</v>
      </c>
      <c r="AA1710" s="139">
        <f t="shared" si="508"/>
        <v>0</v>
      </c>
      <c r="AC1710" s="47">
        <f t="shared" si="509"/>
        <v>351</v>
      </c>
      <c r="AD1710" s="47">
        <f t="shared" si="510"/>
        <v>351</v>
      </c>
      <c r="AE1710" s="47">
        <f t="shared" si="511"/>
        <v>0</v>
      </c>
      <c r="AG1710" s="47">
        <f t="shared" si="512"/>
        <v>350</v>
      </c>
      <c r="AH1710" s="47">
        <f t="shared" si="513"/>
        <v>350</v>
      </c>
      <c r="AI1710" s="208">
        <f t="shared" si="514"/>
        <v>0</v>
      </c>
    </row>
    <row r="1711" spans="1:35">
      <c r="A1711" t="s">
        <v>2139</v>
      </c>
      <c r="B1711" t="s">
        <v>3170</v>
      </c>
      <c r="C1711" t="s">
        <v>4418</v>
      </c>
      <c r="D1711" t="s">
        <v>5152</v>
      </c>
      <c r="F1711" t="s">
        <v>1296</v>
      </c>
      <c r="G1711" s="126">
        <f>SUMIFS('Support - Transition'!F:F,'Support - Transition'!B:B,'Step 2'!A1711,'Support - Transition'!C:C,'Step 2'!B1711,'Support - Transition'!D:D,'Step 2'!C1711,'Support - Transition'!E:E,"CIVIL")</f>
        <v>0</v>
      </c>
      <c r="H1711" s="126">
        <f>SUMIFS('Support - Transition'!F:F,'Support - Transition'!B:B,'Step 2'!A1711,'Support - Transition'!C:C,'Step 2'!B1711,'Support - Transition'!D:D,'Step 2'!C1711,'Support - Transition'!E:E,"FIRE")</f>
        <v>0</v>
      </c>
      <c r="I1711" s="126">
        <f>IF(B1711="0",SUMIFS('Support - Transition'!F:F,'Support - Transition'!J:J,'Step 2'!D1711,'Support - Transition'!E:E,"STATE UNIT"),SUMIFS('Support - Transition'!F:F,'Support - Transition'!J:J,'Step 2'!D1711))</f>
        <v>8.7299999999990163E-4</v>
      </c>
      <c r="J1711" s="126">
        <f>SUMIFS('Support - Unit Adjustments'!E:E,'Support - Unit Adjustments'!F:F,'Step 2'!D1711)</f>
        <v>0</v>
      </c>
      <c r="K1711" s="126">
        <f t="shared" si="498"/>
        <v>8.7299999999990163E-4</v>
      </c>
      <c r="L1711" s="174">
        <f>VLOOKUP(A1711,'Step 1'!$A:$E,4,FALSE)</f>
        <v>453237</v>
      </c>
      <c r="M1711" s="47">
        <f t="shared" si="499"/>
        <v>396</v>
      </c>
      <c r="N1711" s="177">
        <f>SUMIFS('Support - Transition'!G:G,'Support - Transition'!J:J,'Step 2'!D1711,'Support - Transition'!E:E,"2009 WELFARE ALLOCATION FACTOR")</f>
        <v>0</v>
      </c>
      <c r="O1711" s="152">
        <f t="shared" si="504"/>
        <v>0</v>
      </c>
      <c r="P1711" s="126">
        <f>IF(E1711="Y",0,SUMIFS('Support - Transition'!G:G,'Support - Transition'!J:J,'Step 2'!D1711,'Support - Transition'!E:E,"2009 SCHOOL ALLOCATION FACTOR"))</f>
        <v>0</v>
      </c>
      <c r="Q1711" s="126">
        <f>IF(E1711="Y",VLOOKUP(D1711,'Support - Unit Adjustments'!F:G,2,FALSE),0)</f>
        <v>0</v>
      </c>
      <c r="R1711" s="155">
        <f t="shared" si="516"/>
        <v>0</v>
      </c>
      <c r="S1711" s="47">
        <f t="shared" si="515"/>
        <v>0</v>
      </c>
      <c r="T1711" s="151">
        <f t="shared" si="500"/>
        <v>396</v>
      </c>
      <c r="U1711" s="151">
        <f t="shared" si="501"/>
        <v>0</v>
      </c>
      <c r="V1711" s="139">
        <f t="shared" si="502"/>
        <v>0</v>
      </c>
      <c r="W1711" s="152">
        <f t="shared" si="505"/>
        <v>396</v>
      </c>
      <c r="X1711" s="127" t="str">
        <f t="shared" si="503"/>
        <v/>
      </c>
      <c r="Y1711" s="207">
        <f t="shared" si="506"/>
        <v>396</v>
      </c>
      <c r="Z1711" s="139">
        <f t="shared" si="507"/>
        <v>396</v>
      </c>
      <c r="AA1711" s="139">
        <f t="shared" si="508"/>
        <v>0</v>
      </c>
      <c r="AC1711" s="47">
        <f t="shared" si="509"/>
        <v>198</v>
      </c>
      <c r="AD1711" s="47">
        <f t="shared" si="510"/>
        <v>198</v>
      </c>
      <c r="AE1711" s="47">
        <f t="shared" si="511"/>
        <v>0</v>
      </c>
      <c r="AG1711" s="47">
        <f t="shared" si="512"/>
        <v>198</v>
      </c>
      <c r="AH1711" s="47">
        <f t="shared" si="513"/>
        <v>198</v>
      </c>
      <c r="AI1711" s="208">
        <f t="shared" si="514"/>
        <v>0</v>
      </c>
    </row>
    <row r="1712" spans="1:35">
      <c r="A1712" t="s">
        <v>2139</v>
      </c>
      <c r="B1712" t="s">
        <v>3286</v>
      </c>
      <c r="C1712" t="s">
        <v>2211</v>
      </c>
      <c r="D1712" t="s">
        <v>5153</v>
      </c>
      <c r="F1712" t="s">
        <v>5154</v>
      </c>
      <c r="G1712" s="126">
        <f>SUMIFS('Support - Transition'!F:F,'Support - Transition'!B:B,'Step 2'!A1712,'Support - Transition'!C:C,'Step 2'!B1712,'Support - Transition'!D:D,'Step 2'!C1712,'Support - Transition'!E:E,"CIVIL")</f>
        <v>0</v>
      </c>
      <c r="H1712" s="126">
        <f>SUMIFS('Support - Transition'!F:F,'Support - Transition'!B:B,'Step 2'!A1712,'Support - Transition'!C:C,'Step 2'!B1712,'Support - Transition'!D:D,'Step 2'!C1712,'Support - Transition'!E:E,"FIRE")</f>
        <v>0</v>
      </c>
      <c r="I1712" s="126">
        <f>IF(B1712="0",SUMIFS('Support - Transition'!F:F,'Support - Transition'!J:J,'Step 2'!D1712,'Support - Transition'!E:E,"STATE UNIT"),SUMIFS('Support - Transition'!F:F,'Support - Transition'!J:J,'Step 2'!D1712))</f>
        <v>0</v>
      </c>
      <c r="J1712" s="126">
        <f>SUMIFS('Support - Unit Adjustments'!E:E,'Support - Unit Adjustments'!F:F,'Step 2'!D1712)</f>
        <v>0</v>
      </c>
      <c r="K1712" s="126">
        <f t="shared" si="498"/>
        <v>0</v>
      </c>
      <c r="L1712" s="174">
        <f>VLOOKUP(A1712,'Step 1'!$A:$E,4,FALSE)</f>
        <v>453237</v>
      </c>
      <c r="M1712" s="47">
        <f t="shared" si="499"/>
        <v>0</v>
      </c>
      <c r="N1712" s="177">
        <f>SUMIFS('Support - Transition'!G:G,'Support - Transition'!J:J,'Step 2'!D1712,'Support - Transition'!E:E,"2009 WELFARE ALLOCATION FACTOR")</f>
        <v>0</v>
      </c>
      <c r="O1712" s="152">
        <f t="shared" si="504"/>
        <v>0</v>
      </c>
      <c r="P1712" s="126">
        <f>IF(E1712="Y",0,SUMIFS('Support - Transition'!G:G,'Support - Transition'!J:J,'Step 2'!D1712,'Support - Transition'!E:E,"2009 SCHOOL ALLOCATION FACTOR"))</f>
        <v>0</v>
      </c>
      <c r="Q1712" s="126">
        <f>IF(E1712="Y",VLOOKUP(D1712,'Support - Unit Adjustments'!F:G,2,FALSE),0)</f>
        <v>0</v>
      </c>
      <c r="R1712" s="155">
        <f t="shared" si="516"/>
        <v>0</v>
      </c>
      <c r="S1712" s="47">
        <f t="shared" si="515"/>
        <v>0</v>
      </c>
      <c r="T1712" s="151">
        <f t="shared" si="500"/>
        <v>0</v>
      </c>
      <c r="U1712" s="151">
        <f t="shared" si="501"/>
        <v>0</v>
      </c>
      <c r="V1712" s="139">
        <f t="shared" si="502"/>
        <v>0</v>
      </c>
      <c r="W1712" s="152">
        <f t="shared" si="505"/>
        <v>0</v>
      </c>
      <c r="X1712" s="127" t="str">
        <f t="shared" si="503"/>
        <v/>
      </c>
      <c r="Y1712" s="207">
        <f t="shared" si="506"/>
        <v>0</v>
      </c>
      <c r="Z1712" s="139">
        <f t="shared" si="507"/>
        <v>0</v>
      </c>
      <c r="AA1712" s="139">
        <f t="shared" si="508"/>
        <v>0</v>
      </c>
      <c r="AC1712" s="47">
        <f t="shared" si="509"/>
        <v>0</v>
      </c>
      <c r="AD1712" s="47">
        <f t="shared" si="510"/>
        <v>0</v>
      </c>
      <c r="AE1712" s="47">
        <f t="shared" si="511"/>
        <v>0</v>
      </c>
      <c r="AG1712" s="47">
        <f t="shared" si="512"/>
        <v>0</v>
      </c>
      <c r="AH1712" s="47">
        <f t="shared" si="513"/>
        <v>0</v>
      </c>
      <c r="AI1712" s="208">
        <f t="shared" si="514"/>
        <v>0</v>
      </c>
    </row>
    <row r="1713" spans="1:35">
      <c r="A1713" t="s">
        <v>2139</v>
      </c>
      <c r="B1713" t="s">
        <v>3286</v>
      </c>
      <c r="C1713" t="s">
        <v>4125</v>
      </c>
      <c r="D1713" t="s">
        <v>5155</v>
      </c>
      <c r="F1713" t="s">
        <v>4261</v>
      </c>
      <c r="G1713" s="126">
        <f>SUMIFS('Support - Transition'!F:F,'Support - Transition'!B:B,'Step 2'!A1713,'Support - Transition'!C:C,'Step 2'!B1713,'Support - Transition'!D:D,'Step 2'!C1713,'Support - Transition'!E:E,"CIVIL")</f>
        <v>0</v>
      </c>
      <c r="H1713" s="126">
        <f>SUMIFS('Support - Transition'!F:F,'Support - Transition'!B:B,'Step 2'!A1713,'Support - Transition'!C:C,'Step 2'!B1713,'Support - Transition'!D:D,'Step 2'!C1713,'Support - Transition'!E:E,"FIRE")</f>
        <v>0</v>
      </c>
      <c r="I1713" s="126">
        <f>IF(B1713="0",SUMIFS('Support - Transition'!F:F,'Support - Transition'!J:J,'Step 2'!D1713,'Support - Transition'!E:E,"STATE UNIT"),SUMIFS('Support - Transition'!F:F,'Support - Transition'!J:J,'Step 2'!D1713))</f>
        <v>0</v>
      </c>
      <c r="J1713" s="126">
        <f>SUMIFS('Support - Unit Adjustments'!E:E,'Support - Unit Adjustments'!F:F,'Step 2'!D1713)</f>
        <v>0</v>
      </c>
      <c r="K1713" s="126">
        <f t="shared" si="498"/>
        <v>0</v>
      </c>
      <c r="L1713" s="174">
        <f>VLOOKUP(A1713,'Step 1'!$A:$E,4,FALSE)</f>
        <v>453237</v>
      </c>
      <c r="M1713" s="47">
        <f t="shared" si="499"/>
        <v>0</v>
      </c>
      <c r="N1713" s="177">
        <f>SUMIFS('Support - Transition'!G:G,'Support - Transition'!J:J,'Step 2'!D1713,'Support - Transition'!E:E,"2009 WELFARE ALLOCATION FACTOR")</f>
        <v>0</v>
      </c>
      <c r="O1713" s="152">
        <f t="shared" si="504"/>
        <v>0</v>
      </c>
      <c r="P1713" s="126">
        <f>IF(E1713="Y",0,SUMIFS('Support - Transition'!G:G,'Support - Transition'!J:J,'Step 2'!D1713,'Support - Transition'!E:E,"2009 SCHOOL ALLOCATION FACTOR"))</f>
        <v>0</v>
      </c>
      <c r="Q1713" s="126">
        <f>IF(E1713="Y",VLOOKUP(D1713,'Support - Unit Adjustments'!F:G,2,FALSE),0)</f>
        <v>0</v>
      </c>
      <c r="R1713" s="155">
        <f t="shared" si="516"/>
        <v>0</v>
      </c>
      <c r="S1713" s="47">
        <f t="shared" si="515"/>
        <v>0</v>
      </c>
      <c r="T1713" s="151">
        <f t="shared" si="500"/>
        <v>0</v>
      </c>
      <c r="U1713" s="151">
        <f t="shared" si="501"/>
        <v>0</v>
      </c>
      <c r="V1713" s="139">
        <f t="shared" si="502"/>
        <v>0</v>
      </c>
      <c r="W1713" s="152">
        <f t="shared" si="505"/>
        <v>0</v>
      </c>
      <c r="X1713" s="127" t="str">
        <f t="shared" si="503"/>
        <v/>
      </c>
      <c r="Y1713" s="207">
        <f t="shared" si="506"/>
        <v>0</v>
      </c>
      <c r="Z1713" s="139">
        <f t="shared" si="507"/>
        <v>0</v>
      </c>
      <c r="AA1713" s="139">
        <f t="shared" si="508"/>
        <v>0</v>
      </c>
      <c r="AC1713" s="47">
        <f t="shared" si="509"/>
        <v>0</v>
      </c>
      <c r="AD1713" s="47">
        <f t="shared" si="510"/>
        <v>0</v>
      </c>
      <c r="AE1713" s="47">
        <f t="shared" si="511"/>
        <v>0</v>
      </c>
      <c r="AG1713" s="47">
        <f t="shared" si="512"/>
        <v>0</v>
      </c>
      <c r="AH1713" s="47">
        <f t="shared" si="513"/>
        <v>0</v>
      </c>
      <c r="AI1713" s="208">
        <f t="shared" si="514"/>
        <v>0</v>
      </c>
    </row>
    <row r="1714" spans="1:35">
      <c r="A1714" t="s">
        <v>2139</v>
      </c>
      <c r="B1714" t="s">
        <v>3286</v>
      </c>
      <c r="C1714" t="s">
        <v>2696</v>
      </c>
      <c r="D1714" t="s">
        <v>5156</v>
      </c>
      <c r="F1714" t="s">
        <v>5157</v>
      </c>
      <c r="G1714" s="126">
        <f>SUMIFS('Support - Transition'!F:F,'Support - Transition'!B:B,'Step 2'!A1714,'Support - Transition'!C:C,'Step 2'!B1714,'Support - Transition'!D:D,'Step 2'!C1714,'Support - Transition'!E:E,"CIVIL")</f>
        <v>0</v>
      </c>
      <c r="H1714" s="126">
        <f>SUMIFS('Support - Transition'!F:F,'Support - Transition'!B:B,'Step 2'!A1714,'Support - Transition'!C:C,'Step 2'!B1714,'Support - Transition'!D:D,'Step 2'!C1714,'Support - Transition'!E:E,"FIRE")</f>
        <v>0</v>
      </c>
      <c r="I1714" s="126">
        <f>IF(B1714="0",SUMIFS('Support - Transition'!F:F,'Support - Transition'!J:J,'Step 2'!D1714,'Support - Transition'!E:E,"STATE UNIT"),SUMIFS('Support - Transition'!F:F,'Support - Transition'!J:J,'Step 2'!D1714))</f>
        <v>0</v>
      </c>
      <c r="J1714" s="126">
        <f>SUMIFS('Support - Unit Adjustments'!E:E,'Support - Unit Adjustments'!F:F,'Step 2'!D1714)</f>
        <v>0</v>
      </c>
      <c r="K1714" s="126">
        <f t="shared" si="498"/>
        <v>0</v>
      </c>
      <c r="L1714" s="174">
        <f>VLOOKUP(A1714,'Step 1'!$A:$E,4,FALSE)</f>
        <v>453237</v>
      </c>
      <c r="M1714" s="47">
        <f t="shared" si="499"/>
        <v>0</v>
      </c>
      <c r="N1714" s="177">
        <f>SUMIFS('Support - Transition'!G:G,'Support - Transition'!J:J,'Step 2'!D1714,'Support - Transition'!E:E,"2009 WELFARE ALLOCATION FACTOR")</f>
        <v>0</v>
      </c>
      <c r="O1714" s="152">
        <f t="shared" si="504"/>
        <v>0</v>
      </c>
      <c r="P1714" s="126">
        <f>IF(E1714="Y",0,SUMIFS('Support - Transition'!G:G,'Support - Transition'!J:J,'Step 2'!D1714,'Support - Transition'!E:E,"2009 SCHOOL ALLOCATION FACTOR"))</f>
        <v>0</v>
      </c>
      <c r="Q1714" s="126">
        <f>IF(E1714="Y",VLOOKUP(D1714,'Support - Unit Adjustments'!F:G,2,FALSE),0)</f>
        <v>0</v>
      </c>
      <c r="R1714" s="155">
        <f t="shared" si="516"/>
        <v>0</v>
      </c>
      <c r="S1714" s="47">
        <f t="shared" si="515"/>
        <v>0</v>
      </c>
      <c r="T1714" s="151">
        <f t="shared" si="500"/>
        <v>0</v>
      </c>
      <c r="U1714" s="151">
        <f t="shared" si="501"/>
        <v>0</v>
      </c>
      <c r="V1714" s="139">
        <f t="shared" si="502"/>
        <v>0</v>
      </c>
      <c r="W1714" s="152">
        <f t="shared" si="505"/>
        <v>0</v>
      </c>
      <c r="X1714" s="127" t="str">
        <f t="shared" si="503"/>
        <v/>
      </c>
      <c r="Y1714" s="207">
        <f t="shared" si="506"/>
        <v>0</v>
      </c>
      <c r="Z1714" s="139">
        <f t="shared" si="507"/>
        <v>0</v>
      </c>
      <c r="AA1714" s="139">
        <f t="shared" si="508"/>
        <v>0</v>
      </c>
      <c r="AC1714" s="47">
        <f t="shared" si="509"/>
        <v>0</v>
      </c>
      <c r="AD1714" s="47">
        <f t="shared" si="510"/>
        <v>0</v>
      </c>
      <c r="AE1714" s="47">
        <f t="shared" si="511"/>
        <v>0</v>
      </c>
      <c r="AG1714" s="47">
        <f t="shared" si="512"/>
        <v>0</v>
      </c>
      <c r="AH1714" s="47">
        <f t="shared" si="513"/>
        <v>0</v>
      </c>
      <c r="AI1714" s="208">
        <f t="shared" si="514"/>
        <v>0</v>
      </c>
    </row>
    <row r="1715" spans="1:35">
      <c r="A1715" t="s">
        <v>2139</v>
      </c>
      <c r="B1715" t="s">
        <v>3286</v>
      </c>
      <c r="C1715" t="s">
        <v>2626</v>
      </c>
      <c r="D1715" t="s">
        <v>5158</v>
      </c>
      <c r="F1715" t="s">
        <v>5159</v>
      </c>
      <c r="G1715" s="126">
        <f>SUMIFS('Support - Transition'!F:F,'Support - Transition'!B:B,'Step 2'!A1715,'Support - Transition'!C:C,'Step 2'!B1715,'Support - Transition'!D:D,'Step 2'!C1715,'Support - Transition'!E:E,"CIVIL")</f>
        <v>0</v>
      </c>
      <c r="H1715" s="126">
        <f>SUMIFS('Support - Transition'!F:F,'Support - Transition'!B:B,'Step 2'!A1715,'Support - Transition'!C:C,'Step 2'!B1715,'Support - Transition'!D:D,'Step 2'!C1715,'Support - Transition'!E:E,"FIRE")</f>
        <v>0</v>
      </c>
      <c r="I1715" s="126">
        <f>IF(B1715="0",SUMIFS('Support - Transition'!F:F,'Support - Transition'!J:J,'Step 2'!D1715,'Support - Transition'!E:E,"STATE UNIT"),SUMIFS('Support - Transition'!F:F,'Support - Transition'!J:J,'Step 2'!D1715))</f>
        <v>0</v>
      </c>
      <c r="J1715" s="126">
        <f>SUMIFS('Support - Unit Adjustments'!E:E,'Support - Unit Adjustments'!F:F,'Step 2'!D1715)</f>
        <v>0</v>
      </c>
      <c r="K1715" s="126">
        <f t="shared" si="498"/>
        <v>0</v>
      </c>
      <c r="L1715" s="174">
        <f>VLOOKUP(A1715,'Step 1'!$A:$E,4,FALSE)</f>
        <v>453237</v>
      </c>
      <c r="M1715" s="47">
        <f t="shared" si="499"/>
        <v>0</v>
      </c>
      <c r="N1715" s="177">
        <f>SUMIFS('Support - Transition'!G:G,'Support - Transition'!J:J,'Step 2'!D1715,'Support - Transition'!E:E,"2009 WELFARE ALLOCATION FACTOR")</f>
        <v>0</v>
      </c>
      <c r="O1715" s="152">
        <f t="shared" si="504"/>
        <v>0</v>
      </c>
      <c r="P1715" s="126">
        <f>IF(E1715="Y",0,SUMIFS('Support - Transition'!G:G,'Support - Transition'!J:J,'Step 2'!D1715,'Support - Transition'!E:E,"2009 SCHOOL ALLOCATION FACTOR"))</f>
        <v>0</v>
      </c>
      <c r="Q1715" s="126">
        <f>IF(E1715="Y",VLOOKUP(D1715,'Support - Unit Adjustments'!F:G,2,FALSE),0)</f>
        <v>0</v>
      </c>
      <c r="R1715" s="155">
        <f t="shared" si="516"/>
        <v>0</v>
      </c>
      <c r="S1715" s="47">
        <f t="shared" si="515"/>
        <v>0</v>
      </c>
      <c r="T1715" s="151">
        <f t="shared" si="500"/>
        <v>0</v>
      </c>
      <c r="U1715" s="151">
        <f t="shared" si="501"/>
        <v>0</v>
      </c>
      <c r="V1715" s="139">
        <f t="shared" si="502"/>
        <v>0</v>
      </c>
      <c r="W1715" s="152">
        <f t="shared" si="505"/>
        <v>0</v>
      </c>
      <c r="X1715" s="127" t="str">
        <f t="shared" si="503"/>
        <v/>
      </c>
      <c r="Y1715" s="207">
        <f t="shared" si="506"/>
        <v>0</v>
      </c>
      <c r="Z1715" s="139">
        <f t="shared" si="507"/>
        <v>0</v>
      </c>
      <c r="AA1715" s="139">
        <f t="shared" si="508"/>
        <v>0</v>
      </c>
      <c r="AC1715" s="47">
        <f t="shared" si="509"/>
        <v>0</v>
      </c>
      <c r="AD1715" s="47">
        <f t="shared" si="510"/>
        <v>0</v>
      </c>
      <c r="AE1715" s="47">
        <f t="shared" si="511"/>
        <v>0</v>
      </c>
      <c r="AG1715" s="47">
        <f t="shared" si="512"/>
        <v>0</v>
      </c>
      <c r="AH1715" s="47">
        <f t="shared" si="513"/>
        <v>0</v>
      </c>
      <c r="AI1715" s="208">
        <f t="shared" si="514"/>
        <v>0</v>
      </c>
    </row>
    <row r="1716" spans="1:35">
      <c r="A1716" t="s">
        <v>2139</v>
      </c>
      <c r="B1716" t="s">
        <v>3286</v>
      </c>
      <c r="C1716" t="s">
        <v>2256</v>
      </c>
      <c r="D1716" t="s">
        <v>5160</v>
      </c>
      <c r="F1716" t="s">
        <v>5161</v>
      </c>
      <c r="G1716" s="126">
        <f>SUMIFS('Support - Transition'!F:F,'Support - Transition'!B:B,'Step 2'!A1716,'Support - Transition'!C:C,'Step 2'!B1716,'Support - Transition'!D:D,'Step 2'!C1716,'Support - Transition'!E:E,"CIVIL")</f>
        <v>0</v>
      </c>
      <c r="H1716" s="126">
        <f>SUMIFS('Support - Transition'!F:F,'Support - Transition'!B:B,'Step 2'!A1716,'Support - Transition'!C:C,'Step 2'!B1716,'Support - Transition'!D:D,'Step 2'!C1716,'Support - Transition'!E:E,"FIRE")</f>
        <v>0</v>
      </c>
      <c r="I1716" s="126">
        <f>IF(B1716="0",SUMIFS('Support - Transition'!F:F,'Support - Transition'!J:J,'Step 2'!D1716,'Support - Transition'!E:E,"STATE UNIT"),SUMIFS('Support - Transition'!F:F,'Support - Transition'!J:J,'Step 2'!D1716))</f>
        <v>0</v>
      </c>
      <c r="J1716" s="126">
        <f>SUMIFS('Support - Unit Adjustments'!E:E,'Support - Unit Adjustments'!F:F,'Step 2'!D1716)</f>
        <v>0</v>
      </c>
      <c r="K1716" s="126">
        <f t="shared" si="498"/>
        <v>0</v>
      </c>
      <c r="L1716" s="174">
        <f>VLOOKUP(A1716,'Step 1'!$A:$E,4,FALSE)</f>
        <v>453237</v>
      </c>
      <c r="M1716" s="47">
        <f t="shared" si="499"/>
        <v>0</v>
      </c>
      <c r="N1716" s="177">
        <f>SUMIFS('Support - Transition'!G:G,'Support - Transition'!J:J,'Step 2'!D1716,'Support - Transition'!E:E,"2009 WELFARE ALLOCATION FACTOR")</f>
        <v>0</v>
      </c>
      <c r="O1716" s="152">
        <f t="shared" si="504"/>
        <v>0</v>
      </c>
      <c r="P1716" s="126">
        <f>IF(E1716="Y",0,SUMIFS('Support - Transition'!G:G,'Support - Transition'!J:J,'Step 2'!D1716,'Support - Transition'!E:E,"2009 SCHOOL ALLOCATION FACTOR"))</f>
        <v>0</v>
      </c>
      <c r="Q1716" s="126">
        <f>IF(E1716="Y",VLOOKUP(D1716,'Support - Unit Adjustments'!F:G,2,FALSE),0)</f>
        <v>0</v>
      </c>
      <c r="R1716" s="155">
        <f t="shared" si="516"/>
        <v>0</v>
      </c>
      <c r="S1716" s="47">
        <f t="shared" si="515"/>
        <v>0</v>
      </c>
      <c r="T1716" s="151">
        <f t="shared" si="500"/>
        <v>0</v>
      </c>
      <c r="U1716" s="151">
        <f t="shared" si="501"/>
        <v>0</v>
      </c>
      <c r="V1716" s="139">
        <f t="shared" si="502"/>
        <v>0</v>
      </c>
      <c r="W1716" s="152">
        <f t="shared" si="505"/>
        <v>0</v>
      </c>
      <c r="X1716" s="127" t="str">
        <f t="shared" si="503"/>
        <v/>
      </c>
      <c r="Y1716" s="207">
        <f t="shared" si="506"/>
        <v>0</v>
      </c>
      <c r="Z1716" s="139">
        <f t="shared" si="507"/>
        <v>0</v>
      </c>
      <c r="AA1716" s="139">
        <f t="shared" si="508"/>
        <v>0</v>
      </c>
      <c r="AC1716" s="47">
        <f t="shared" si="509"/>
        <v>0</v>
      </c>
      <c r="AD1716" s="47">
        <f t="shared" si="510"/>
        <v>0</v>
      </c>
      <c r="AE1716" s="47">
        <f t="shared" si="511"/>
        <v>0</v>
      </c>
      <c r="AG1716" s="47">
        <f t="shared" si="512"/>
        <v>0</v>
      </c>
      <c r="AH1716" s="47">
        <f t="shared" si="513"/>
        <v>0</v>
      </c>
      <c r="AI1716" s="208">
        <f t="shared" si="514"/>
        <v>0</v>
      </c>
    </row>
    <row r="1717" spans="1:35">
      <c r="A1717" t="s">
        <v>2139</v>
      </c>
      <c r="B1717" t="s">
        <v>3286</v>
      </c>
      <c r="C1717" t="s">
        <v>5162</v>
      </c>
      <c r="D1717" t="s">
        <v>5163</v>
      </c>
      <c r="F1717" t="s">
        <v>5164</v>
      </c>
      <c r="G1717" s="126">
        <f>SUMIFS('Support - Transition'!F:F,'Support - Transition'!B:B,'Step 2'!A1717,'Support - Transition'!C:C,'Step 2'!B1717,'Support - Transition'!D:D,'Step 2'!C1717,'Support - Transition'!E:E,"CIVIL")</f>
        <v>0</v>
      </c>
      <c r="H1717" s="126">
        <f>SUMIFS('Support - Transition'!F:F,'Support - Transition'!B:B,'Step 2'!A1717,'Support - Transition'!C:C,'Step 2'!B1717,'Support - Transition'!D:D,'Step 2'!C1717,'Support - Transition'!E:E,"FIRE")</f>
        <v>0</v>
      </c>
      <c r="I1717" s="126">
        <f>IF(B1717="0",SUMIFS('Support - Transition'!F:F,'Support - Transition'!J:J,'Step 2'!D1717,'Support - Transition'!E:E,"STATE UNIT"),SUMIFS('Support - Transition'!F:F,'Support - Transition'!J:J,'Step 2'!D1717))</f>
        <v>0</v>
      </c>
      <c r="J1717" s="126">
        <f>SUMIFS('Support - Unit Adjustments'!E:E,'Support - Unit Adjustments'!F:F,'Step 2'!D1717)</f>
        <v>0</v>
      </c>
      <c r="K1717" s="126">
        <f t="shared" si="498"/>
        <v>0</v>
      </c>
      <c r="L1717" s="174">
        <f>VLOOKUP(A1717,'Step 1'!$A:$E,4,FALSE)</f>
        <v>453237</v>
      </c>
      <c r="M1717" s="47">
        <f t="shared" si="499"/>
        <v>0</v>
      </c>
      <c r="N1717" s="177">
        <f>SUMIFS('Support - Transition'!G:G,'Support - Transition'!J:J,'Step 2'!D1717,'Support - Transition'!E:E,"2009 WELFARE ALLOCATION FACTOR")</f>
        <v>0</v>
      </c>
      <c r="O1717" s="152">
        <f t="shared" si="504"/>
        <v>0</v>
      </c>
      <c r="P1717" s="126">
        <f>IF(E1717="Y",0,SUMIFS('Support - Transition'!G:G,'Support - Transition'!J:J,'Step 2'!D1717,'Support - Transition'!E:E,"2009 SCHOOL ALLOCATION FACTOR"))</f>
        <v>0</v>
      </c>
      <c r="Q1717" s="126">
        <f>IF(E1717="Y",VLOOKUP(D1717,'Support - Unit Adjustments'!F:G,2,FALSE),0)</f>
        <v>0</v>
      </c>
      <c r="R1717" s="155">
        <f t="shared" si="516"/>
        <v>0</v>
      </c>
      <c r="S1717" s="47">
        <f t="shared" si="515"/>
        <v>0</v>
      </c>
      <c r="T1717" s="151">
        <f t="shared" si="500"/>
        <v>0</v>
      </c>
      <c r="U1717" s="151">
        <f t="shared" si="501"/>
        <v>0</v>
      </c>
      <c r="V1717" s="139">
        <f t="shared" si="502"/>
        <v>0</v>
      </c>
      <c r="W1717" s="152">
        <f t="shared" si="505"/>
        <v>0</v>
      </c>
      <c r="X1717" s="127" t="str">
        <f t="shared" si="503"/>
        <v/>
      </c>
      <c r="Y1717" s="207">
        <f t="shared" si="506"/>
        <v>0</v>
      </c>
      <c r="Z1717" s="139">
        <f t="shared" si="507"/>
        <v>0</v>
      </c>
      <c r="AA1717" s="139">
        <f t="shared" si="508"/>
        <v>0</v>
      </c>
      <c r="AC1717" s="47">
        <f t="shared" si="509"/>
        <v>0</v>
      </c>
      <c r="AD1717" s="47">
        <f t="shared" si="510"/>
        <v>0</v>
      </c>
      <c r="AE1717" s="47">
        <f t="shared" si="511"/>
        <v>0</v>
      </c>
      <c r="AG1717" s="47">
        <f t="shared" si="512"/>
        <v>0</v>
      </c>
      <c r="AH1717" s="47">
        <f t="shared" si="513"/>
        <v>0</v>
      </c>
      <c r="AI1717" s="208">
        <f t="shared" si="514"/>
        <v>0</v>
      </c>
    </row>
    <row r="1718" spans="1:35">
      <c r="A1718" t="s">
        <v>2139</v>
      </c>
      <c r="B1718" t="s">
        <v>3286</v>
      </c>
      <c r="C1718" t="s">
        <v>5165</v>
      </c>
      <c r="D1718" t="s">
        <v>5166</v>
      </c>
      <c r="F1718" t="s">
        <v>5167</v>
      </c>
      <c r="G1718" s="126">
        <f>SUMIFS('Support - Transition'!F:F,'Support - Transition'!B:B,'Step 2'!A1718,'Support - Transition'!C:C,'Step 2'!B1718,'Support - Transition'!D:D,'Step 2'!C1718,'Support - Transition'!E:E,"CIVIL")</f>
        <v>0</v>
      </c>
      <c r="H1718" s="126">
        <f>SUMIFS('Support - Transition'!F:F,'Support - Transition'!B:B,'Step 2'!A1718,'Support - Transition'!C:C,'Step 2'!B1718,'Support - Transition'!D:D,'Step 2'!C1718,'Support - Transition'!E:E,"FIRE")</f>
        <v>0</v>
      </c>
      <c r="I1718" s="126">
        <f>IF(B1718="0",SUMIFS('Support - Transition'!F:F,'Support - Transition'!J:J,'Step 2'!D1718,'Support - Transition'!E:E,"STATE UNIT"),SUMIFS('Support - Transition'!F:F,'Support - Transition'!J:J,'Step 2'!D1718))</f>
        <v>0</v>
      </c>
      <c r="J1718" s="126">
        <f>SUMIFS('Support - Unit Adjustments'!E:E,'Support - Unit Adjustments'!F:F,'Step 2'!D1718)</f>
        <v>0</v>
      </c>
      <c r="K1718" s="126">
        <f t="shared" si="498"/>
        <v>0</v>
      </c>
      <c r="L1718" s="174">
        <f>VLOOKUP(A1718,'Step 1'!$A:$E,4,FALSE)</f>
        <v>453237</v>
      </c>
      <c r="M1718" s="47">
        <f t="shared" si="499"/>
        <v>0</v>
      </c>
      <c r="N1718" s="177">
        <f>SUMIFS('Support - Transition'!G:G,'Support - Transition'!J:J,'Step 2'!D1718,'Support - Transition'!E:E,"2009 WELFARE ALLOCATION FACTOR")</f>
        <v>0</v>
      </c>
      <c r="O1718" s="152">
        <f t="shared" si="504"/>
        <v>0</v>
      </c>
      <c r="P1718" s="126">
        <f>IF(E1718="Y",0,SUMIFS('Support - Transition'!G:G,'Support - Transition'!J:J,'Step 2'!D1718,'Support - Transition'!E:E,"2009 SCHOOL ALLOCATION FACTOR"))</f>
        <v>0</v>
      </c>
      <c r="Q1718" s="126">
        <f>IF(E1718="Y",VLOOKUP(D1718,'Support - Unit Adjustments'!F:G,2,FALSE),0)</f>
        <v>0</v>
      </c>
      <c r="R1718" s="155">
        <f t="shared" si="516"/>
        <v>0</v>
      </c>
      <c r="S1718" s="47">
        <f t="shared" si="515"/>
        <v>0</v>
      </c>
      <c r="T1718" s="151">
        <f t="shared" si="500"/>
        <v>0</v>
      </c>
      <c r="U1718" s="151">
        <f t="shared" si="501"/>
        <v>0</v>
      </c>
      <c r="V1718" s="139">
        <f t="shared" si="502"/>
        <v>0</v>
      </c>
      <c r="W1718" s="152">
        <f t="shared" si="505"/>
        <v>0</v>
      </c>
      <c r="X1718" s="127" t="str">
        <f t="shared" si="503"/>
        <v/>
      </c>
      <c r="Y1718" s="207">
        <f t="shared" si="506"/>
        <v>0</v>
      </c>
      <c r="Z1718" s="139">
        <f t="shared" si="507"/>
        <v>0</v>
      </c>
      <c r="AA1718" s="139">
        <f t="shared" si="508"/>
        <v>0</v>
      </c>
      <c r="AC1718" s="47">
        <f t="shared" si="509"/>
        <v>0</v>
      </c>
      <c r="AD1718" s="47">
        <f t="shared" si="510"/>
        <v>0</v>
      </c>
      <c r="AE1718" s="47">
        <f t="shared" si="511"/>
        <v>0</v>
      </c>
      <c r="AG1718" s="47">
        <f t="shared" si="512"/>
        <v>0</v>
      </c>
      <c r="AH1718" s="47">
        <f t="shared" si="513"/>
        <v>0</v>
      </c>
      <c r="AI1718" s="208">
        <f t="shared" si="514"/>
        <v>0</v>
      </c>
    </row>
    <row r="1719" spans="1:35">
      <c r="A1719" t="s">
        <v>2140</v>
      </c>
      <c r="B1719" s="48" t="s">
        <v>6274</v>
      </c>
      <c r="C1719" t="s">
        <v>2187</v>
      </c>
      <c r="D1719" t="str">
        <f>A1719&amp;B1719&amp;C1719</f>
        <v>5600000</v>
      </c>
      <c r="F1719" t="s">
        <v>6330</v>
      </c>
      <c r="G1719" s="126">
        <f>SUMIFS('Support - Transition'!F:F,'Support - Transition'!B:B,'Step 2'!A1719,'Support - Transition'!C:C,'Step 2'!B1719,'Support - Transition'!D:D,'Step 2'!C1719,'Support - Transition'!E:E,"CIVIL")</f>
        <v>0</v>
      </c>
      <c r="H1719" s="126">
        <f>SUMIFS('Support - Transition'!F:F,'Support - Transition'!B:B,'Step 2'!A1719,'Support - Transition'!C:C,'Step 2'!B1719,'Support - Transition'!D:D,'Step 2'!C1719,'Support - Transition'!E:E,"FIRE")</f>
        <v>0</v>
      </c>
      <c r="I1719" s="126">
        <f>IF(B1719="0",SUMIFS('Support - Transition'!F:F,'Support - Transition'!J:J,'Step 2'!D1719,'Support - Transition'!E:E,"STATE UNIT"),SUMIFS('Support - Transition'!F:F,'Support - Transition'!J:J,'Step 2'!D1719))</f>
        <v>9.8900000000000008E-4</v>
      </c>
      <c r="J1719" s="126">
        <f>SUMIFS('Support - Unit Adjustments'!E:E,'Support - Unit Adjustments'!F:F,'Step 2'!D1719)</f>
        <v>0</v>
      </c>
      <c r="K1719" s="126">
        <f t="shared" si="498"/>
        <v>9.8900000000000008E-4</v>
      </c>
      <c r="L1719" s="174">
        <f>VLOOKUP(A1719,'Step 1'!$A:$E,4,FALSE)</f>
        <v>218494</v>
      </c>
      <c r="M1719" s="47">
        <f t="shared" si="499"/>
        <v>216</v>
      </c>
      <c r="N1719" s="177">
        <f>SUMIFS('Support - Transition'!G:G,'Support - Transition'!J:J,'Step 2'!D1719,'Support - Transition'!E:E,"2009 WELFARE ALLOCATION FACTOR")</f>
        <v>0</v>
      </c>
      <c r="O1719" s="152">
        <f t="shared" si="504"/>
        <v>0</v>
      </c>
      <c r="P1719" s="126">
        <f>IF(E1719="Y",0,SUMIFS('Support - Transition'!G:G,'Support - Transition'!J:J,'Step 2'!D1719,'Support - Transition'!E:E,"2009 SCHOOL ALLOCATION FACTOR"))</f>
        <v>0</v>
      </c>
      <c r="Q1719" s="126">
        <f>IF(E1719="Y",VLOOKUP(D1719,'Support - Unit Adjustments'!F:G,2,FALSE),0)</f>
        <v>0</v>
      </c>
      <c r="R1719" s="155">
        <f t="shared" si="516"/>
        <v>0</v>
      </c>
      <c r="S1719" s="47">
        <f t="shared" si="515"/>
        <v>0</v>
      </c>
      <c r="T1719" s="151">
        <f t="shared" si="500"/>
        <v>216</v>
      </c>
      <c r="U1719" s="151">
        <f t="shared" si="501"/>
        <v>218495</v>
      </c>
      <c r="V1719" s="139">
        <f t="shared" si="502"/>
        <v>1</v>
      </c>
      <c r="W1719" s="152">
        <f t="shared" si="505"/>
        <v>215</v>
      </c>
      <c r="X1719" s="127">
        <f t="shared" si="503"/>
        <v>0</v>
      </c>
      <c r="Y1719" s="207">
        <f t="shared" si="506"/>
        <v>215</v>
      </c>
      <c r="Z1719" s="139">
        <f t="shared" si="507"/>
        <v>215</v>
      </c>
      <c r="AA1719" s="139">
        <f t="shared" si="508"/>
        <v>0</v>
      </c>
      <c r="AC1719" s="47">
        <f t="shared" si="509"/>
        <v>108</v>
      </c>
      <c r="AD1719" s="47">
        <f t="shared" si="510"/>
        <v>108</v>
      </c>
      <c r="AE1719" s="47">
        <f t="shared" si="511"/>
        <v>0</v>
      </c>
      <c r="AG1719" s="47">
        <f t="shared" si="512"/>
        <v>107</v>
      </c>
      <c r="AH1719" s="47">
        <f t="shared" si="513"/>
        <v>107</v>
      </c>
      <c r="AI1719" s="208">
        <f t="shared" si="514"/>
        <v>0</v>
      </c>
    </row>
    <row r="1720" spans="1:35">
      <c r="A1720" t="s">
        <v>2140</v>
      </c>
      <c r="B1720" t="s">
        <v>3140</v>
      </c>
      <c r="C1720" t="s">
        <v>2187</v>
      </c>
      <c r="D1720" t="s">
        <v>5168</v>
      </c>
      <c r="F1720" t="s">
        <v>1298</v>
      </c>
      <c r="G1720" s="126">
        <f>SUMIFS('Support - Transition'!F:F,'Support - Transition'!B:B,'Step 2'!A1720,'Support - Transition'!C:C,'Step 2'!B1720,'Support - Transition'!D:D,'Step 2'!C1720,'Support - Transition'!E:E,"CIVIL")</f>
        <v>0</v>
      </c>
      <c r="H1720" s="126">
        <f>SUMIFS('Support - Transition'!F:F,'Support - Transition'!B:B,'Step 2'!A1720,'Support - Transition'!C:C,'Step 2'!B1720,'Support - Transition'!D:D,'Step 2'!C1720,'Support - Transition'!E:E,"FIRE")</f>
        <v>0</v>
      </c>
      <c r="I1720" s="126">
        <f>IF(B1720="0",SUMIFS('Support - Transition'!F:F,'Support - Transition'!J:J,'Step 2'!D1720,'Support - Transition'!E:E,"STATE UNIT"),SUMIFS('Support - Transition'!F:F,'Support - Transition'!J:J,'Step 2'!D1720))</f>
        <v>0.28554800000000002</v>
      </c>
      <c r="J1720" s="126">
        <f>SUMIFS('Support - Unit Adjustments'!E:E,'Support - Unit Adjustments'!F:F,'Step 2'!D1720)</f>
        <v>0</v>
      </c>
      <c r="K1720" s="126">
        <f t="shared" si="498"/>
        <v>0.28554800000000002</v>
      </c>
      <c r="L1720" s="174">
        <f>VLOOKUP(A1720,'Step 1'!$A:$E,4,FALSE)</f>
        <v>218494</v>
      </c>
      <c r="M1720" s="47">
        <f t="shared" si="499"/>
        <v>62391</v>
      </c>
      <c r="N1720" s="177">
        <f>SUMIFS('Support - Transition'!G:G,'Support - Transition'!J:J,'Step 2'!D1720,'Support - Transition'!E:E,"2009 WELFARE ALLOCATION FACTOR")</f>
        <v>0.18049699999999999</v>
      </c>
      <c r="O1720" s="152">
        <f t="shared" si="504"/>
        <v>11261</v>
      </c>
      <c r="P1720" s="126">
        <f>IF(E1720="Y",0,SUMIFS('Support - Transition'!G:G,'Support - Transition'!J:J,'Step 2'!D1720,'Support - Transition'!E:E,"2009 SCHOOL ALLOCATION FACTOR"))</f>
        <v>0</v>
      </c>
      <c r="Q1720" s="126">
        <f>IF(E1720="Y",VLOOKUP(D1720,'Support - Unit Adjustments'!F:G,2,FALSE),0)</f>
        <v>0</v>
      </c>
      <c r="R1720" s="155">
        <f t="shared" si="516"/>
        <v>0</v>
      </c>
      <c r="S1720" s="47">
        <f t="shared" si="515"/>
        <v>0</v>
      </c>
      <c r="T1720" s="151">
        <f t="shared" si="500"/>
        <v>51130</v>
      </c>
      <c r="U1720" s="151">
        <f t="shared" si="501"/>
        <v>0</v>
      </c>
      <c r="V1720" s="139">
        <f t="shared" si="502"/>
        <v>0</v>
      </c>
      <c r="W1720" s="152">
        <f t="shared" si="505"/>
        <v>51130</v>
      </c>
      <c r="X1720" s="127" t="str">
        <f t="shared" si="503"/>
        <v/>
      </c>
      <c r="Y1720" s="207">
        <f t="shared" si="506"/>
        <v>51130</v>
      </c>
      <c r="Z1720" s="139">
        <f t="shared" si="507"/>
        <v>51130</v>
      </c>
      <c r="AA1720" s="139">
        <f t="shared" si="508"/>
        <v>0</v>
      </c>
      <c r="AC1720" s="47">
        <f t="shared" si="509"/>
        <v>25565</v>
      </c>
      <c r="AD1720" s="47">
        <f t="shared" si="510"/>
        <v>25565</v>
      </c>
      <c r="AE1720" s="47">
        <f t="shared" si="511"/>
        <v>0</v>
      </c>
      <c r="AG1720" s="47">
        <f t="shared" si="512"/>
        <v>25565</v>
      </c>
      <c r="AH1720" s="47">
        <f t="shared" si="513"/>
        <v>25565</v>
      </c>
      <c r="AI1720" s="208">
        <f t="shared" si="514"/>
        <v>0</v>
      </c>
    </row>
    <row r="1721" spans="1:35">
      <c r="A1721" t="s">
        <v>2140</v>
      </c>
      <c r="B1721" t="s">
        <v>3142</v>
      </c>
      <c r="C1721" t="s">
        <v>2188</v>
      </c>
      <c r="D1721" t="s">
        <v>5169</v>
      </c>
      <c r="F1721" t="s">
        <v>1299</v>
      </c>
      <c r="G1721" s="126">
        <f>SUMIFS('Support - Transition'!F:F,'Support - Transition'!B:B,'Step 2'!A1721,'Support - Transition'!C:C,'Step 2'!B1721,'Support - Transition'!D:D,'Step 2'!C1721,'Support - Transition'!E:E,"CIVIL")</f>
        <v>7.842E-3</v>
      </c>
      <c r="H1721" s="126">
        <f>SUMIFS('Support - Transition'!F:F,'Support - Transition'!B:B,'Step 2'!A1721,'Support - Transition'!C:C,'Step 2'!B1721,'Support - Transition'!D:D,'Step 2'!C1721,'Support - Transition'!E:E,"FIRE")</f>
        <v>3.0990000000000002E-3</v>
      </c>
      <c r="I1721" s="126">
        <f>IF(B1721="0",SUMIFS('Support - Transition'!F:F,'Support - Transition'!J:J,'Step 2'!D1721,'Support - Transition'!E:E,"STATE UNIT"),SUMIFS('Support - Transition'!F:F,'Support - Transition'!J:J,'Step 2'!D1721))</f>
        <v>1.0940999999999999E-2</v>
      </c>
      <c r="J1721" s="126">
        <f>SUMIFS('Support - Unit Adjustments'!E:E,'Support - Unit Adjustments'!F:F,'Step 2'!D1721)</f>
        <v>0</v>
      </c>
      <c r="K1721" s="126">
        <f t="shared" si="498"/>
        <v>1.0940999999999999E-2</v>
      </c>
      <c r="L1721" s="174">
        <f>VLOOKUP(A1721,'Step 1'!$A:$E,4,FALSE)</f>
        <v>218494</v>
      </c>
      <c r="M1721" s="47">
        <f t="shared" si="499"/>
        <v>2391</v>
      </c>
      <c r="N1721" s="177">
        <f>SUMIFS('Support - Transition'!G:G,'Support - Transition'!J:J,'Step 2'!D1721,'Support - Transition'!E:E,"2009 WELFARE ALLOCATION FACTOR")</f>
        <v>0</v>
      </c>
      <c r="O1721" s="152">
        <f t="shared" si="504"/>
        <v>0</v>
      </c>
      <c r="P1721" s="126">
        <f>IF(E1721="Y",0,SUMIFS('Support - Transition'!G:G,'Support - Transition'!J:J,'Step 2'!D1721,'Support - Transition'!E:E,"2009 SCHOOL ALLOCATION FACTOR"))</f>
        <v>0</v>
      </c>
      <c r="Q1721" s="126">
        <f>IF(E1721="Y",VLOOKUP(D1721,'Support - Unit Adjustments'!F:G,2,FALSE),0)</f>
        <v>0</v>
      </c>
      <c r="R1721" s="155">
        <f t="shared" si="516"/>
        <v>0</v>
      </c>
      <c r="S1721" s="47">
        <f t="shared" si="515"/>
        <v>0</v>
      </c>
      <c r="T1721" s="151">
        <f t="shared" si="500"/>
        <v>2391</v>
      </c>
      <c r="U1721" s="151">
        <f t="shared" si="501"/>
        <v>0</v>
      </c>
      <c r="V1721" s="139">
        <f t="shared" si="502"/>
        <v>0</v>
      </c>
      <c r="W1721" s="152">
        <f t="shared" si="505"/>
        <v>2391</v>
      </c>
      <c r="X1721" s="127" t="str">
        <f t="shared" si="503"/>
        <v/>
      </c>
      <c r="Y1721" s="207">
        <f t="shared" si="506"/>
        <v>2391</v>
      </c>
      <c r="Z1721" s="139">
        <f t="shared" si="507"/>
        <v>1714</v>
      </c>
      <c r="AA1721" s="139">
        <f t="shared" si="508"/>
        <v>677</v>
      </c>
      <c r="AC1721" s="47">
        <f t="shared" si="509"/>
        <v>1196</v>
      </c>
      <c r="AD1721" s="47">
        <f t="shared" si="510"/>
        <v>857</v>
      </c>
      <c r="AE1721" s="47">
        <f t="shared" si="511"/>
        <v>339</v>
      </c>
      <c r="AG1721" s="47">
        <f t="shared" si="512"/>
        <v>1195</v>
      </c>
      <c r="AH1721" s="47">
        <f t="shared" si="513"/>
        <v>857</v>
      </c>
      <c r="AI1721" s="208">
        <f t="shared" si="514"/>
        <v>338</v>
      </c>
    </row>
    <row r="1722" spans="1:35">
      <c r="A1722" t="s">
        <v>2140</v>
      </c>
      <c r="B1722" t="s">
        <v>3142</v>
      </c>
      <c r="C1722" t="s">
        <v>2189</v>
      </c>
      <c r="D1722" t="s">
        <v>5170</v>
      </c>
      <c r="F1722" t="s">
        <v>1300</v>
      </c>
      <c r="G1722" s="126">
        <f>SUMIFS('Support - Transition'!F:F,'Support - Transition'!B:B,'Step 2'!A1722,'Support - Transition'!C:C,'Step 2'!B1722,'Support - Transition'!D:D,'Step 2'!C1722,'Support - Transition'!E:E,"CIVIL")</f>
        <v>6.0099999999999997E-4</v>
      </c>
      <c r="H1722" s="126">
        <f>SUMIFS('Support - Transition'!F:F,'Support - Transition'!B:B,'Step 2'!A1722,'Support - Transition'!C:C,'Step 2'!B1722,'Support - Transition'!D:D,'Step 2'!C1722,'Support - Transition'!E:E,"FIRE")</f>
        <v>2.04E-4</v>
      </c>
      <c r="I1722" s="126">
        <f>IF(B1722="0",SUMIFS('Support - Transition'!F:F,'Support - Transition'!J:J,'Step 2'!D1722,'Support - Transition'!E:E,"STATE UNIT"),SUMIFS('Support - Transition'!F:F,'Support - Transition'!J:J,'Step 2'!D1722))</f>
        <v>8.0499999999999994E-4</v>
      </c>
      <c r="J1722" s="126">
        <f>SUMIFS('Support - Unit Adjustments'!E:E,'Support - Unit Adjustments'!F:F,'Step 2'!D1722)</f>
        <v>0</v>
      </c>
      <c r="K1722" s="126">
        <f t="shared" si="498"/>
        <v>8.0499999999999994E-4</v>
      </c>
      <c r="L1722" s="174">
        <f>VLOOKUP(A1722,'Step 1'!$A:$E,4,FALSE)</f>
        <v>218494</v>
      </c>
      <c r="M1722" s="47">
        <f t="shared" si="499"/>
        <v>176</v>
      </c>
      <c r="N1722" s="177">
        <f>SUMIFS('Support - Transition'!G:G,'Support - Transition'!J:J,'Step 2'!D1722,'Support - Transition'!E:E,"2009 WELFARE ALLOCATION FACTOR")</f>
        <v>0</v>
      </c>
      <c r="O1722" s="152">
        <f t="shared" si="504"/>
        <v>0</v>
      </c>
      <c r="P1722" s="126">
        <f>IF(E1722="Y",0,SUMIFS('Support - Transition'!G:G,'Support - Transition'!J:J,'Step 2'!D1722,'Support - Transition'!E:E,"2009 SCHOOL ALLOCATION FACTOR"))</f>
        <v>0</v>
      </c>
      <c r="Q1722" s="126">
        <f>IF(E1722="Y",VLOOKUP(D1722,'Support - Unit Adjustments'!F:G,2,FALSE),0)</f>
        <v>0</v>
      </c>
      <c r="R1722" s="155">
        <f t="shared" si="516"/>
        <v>0</v>
      </c>
      <c r="S1722" s="47">
        <f t="shared" si="515"/>
        <v>0</v>
      </c>
      <c r="T1722" s="151">
        <f t="shared" si="500"/>
        <v>176</v>
      </c>
      <c r="U1722" s="151">
        <f t="shared" si="501"/>
        <v>0</v>
      </c>
      <c r="V1722" s="139">
        <f t="shared" si="502"/>
        <v>0</v>
      </c>
      <c r="W1722" s="152">
        <f t="shared" si="505"/>
        <v>176</v>
      </c>
      <c r="X1722" s="127" t="str">
        <f t="shared" si="503"/>
        <v/>
      </c>
      <c r="Y1722" s="207">
        <f t="shared" si="506"/>
        <v>176</v>
      </c>
      <c r="Z1722" s="139">
        <f t="shared" si="507"/>
        <v>131</v>
      </c>
      <c r="AA1722" s="139">
        <f t="shared" si="508"/>
        <v>45</v>
      </c>
      <c r="AC1722" s="47">
        <f t="shared" si="509"/>
        <v>88</v>
      </c>
      <c r="AD1722" s="47">
        <f t="shared" si="510"/>
        <v>66</v>
      </c>
      <c r="AE1722" s="47">
        <f t="shared" si="511"/>
        <v>23</v>
      </c>
      <c r="AG1722" s="47">
        <f t="shared" si="512"/>
        <v>88</v>
      </c>
      <c r="AH1722" s="47">
        <f t="shared" si="513"/>
        <v>65</v>
      </c>
      <c r="AI1722" s="208">
        <f t="shared" si="514"/>
        <v>22</v>
      </c>
    </row>
    <row r="1723" spans="1:35">
      <c r="A1723" t="s">
        <v>2140</v>
      </c>
      <c r="B1723" t="s">
        <v>3142</v>
      </c>
      <c r="C1723" t="s">
        <v>2190</v>
      </c>
      <c r="D1723" t="s">
        <v>5171</v>
      </c>
      <c r="F1723" t="s">
        <v>109</v>
      </c>
      <c r="G1723" s="126">
        <f>SUMIFS('Support - Transition'!F:F,'Support - Transition'!B:B,'Step 2'!A1723,'Support - Transition'!C:C,'Step 2'!B1723,'Support - Transition'!D:D,'Step 2'!C1723,'Support - Transition'!E:E,"CIVIL")</f>
        <v>1.1429999999999999E-3</v>
      </c>
      <c r="H1723" s="126">
        <f>SUMIFS('Support - Transition'!F:F,'Support - Transition'!B:B,'Step 2'!A1723,'Support - Transition'!C:C,'Step 2'!B1723,'Support - Transition'!D:D,'Step 2'!C1723,'Support - Transition'!E:E,"FIRE")</f>
        <v>3.6699999999999998E-4</v>
      </c>
      <c r="I1723" s="126">
        <f>IF(B1723="0",SUMIFS('Support - Transition'!F:F,'Support - Transition'!J:J,'Step 2'!D1723,'Support - Transition'!E:E,"STATE UNIT"),SUMIFS('Support - Transition'!F:F,'Support - Transition'!J:J,'Step 2'!D1723))</f>
        <v>1.5099999999999998E-3</v>
      </c>
      <c r="J1723" s="126">
        <f>SUMIFS('Support - Unit Adjustments'!E:E,'Support - Unit Adjustments'!F:F,'Step 2'!D1723)</f>
        <v>0</v>
      </c>
      <c r="K1723" s="126">
        <f t="shared" si="498"/>
        <v>1.5099999999999998E-3</v>
      </c>
      <c r="L1723" s="174">
        <f>VLOOKUP(A1723,'Step 1'!$A:$E,4,FALSE)</f>
        <v>218494</v>
      </c>
      <c r="M1723" s="47">
        <f t="shared" si="499"/>
        <v>330</v>
      </c>
      <c r="N1723" s="177">
        <f>SUMIFS('Support - Transition'!G:G,'Support - Transition'!J:J,'Step 2'!D1723,'Support - Transition'!E:E,"2009 WELFARE ALLOCATION FACTOR")</f>
        <v>0</v>
      </c>
      <c r="O1723" s="152">
        <f t="shared" si="504"/>
        <v>0</v>
      </c>
      <c r="P1723" s="126">
        <f>IF(E1723="Y",0,SUMIFS('Support - Transition'!G:G,'Support - Transition'!J:J,'Step 2'!D1723,'Support - Transition'!E:E,"2009 SCHOOL ALLOCATION FACTOR"))</f>
        <v>0</v>
      </c>
      <c r="Q1723" s="126">
        <f>IF(E1723="Y",VLOOKUP(D1723,'Support - Unit Adjustments'!F:G,2,FALSE),0)</f>
        <v>0</v>
      </c>
      <c r="R1723" s="155">
        <f t="shared" si="516"/>
        <v>0</v>
      </c>
      <c r="S1723" s="47">
        <f t="shared" si="515"/>
        <v>0</v>
      </c>
      <c r="T1723" s="151">
        <f t="shared" si="500"/>
        <v>330</v>
      </c>
      <c r="U1723" s="151">
        <f t="shared" si="501"/>
        <v>0</v>
      </c>
      <c r="V1723" s="139">
        <f t="shared" si="502"/>
        <v>0</v>
      </c>
      <c r="W1723" s="152">
        <f t="shared" si="505"/>
        <v>330</v>
      </c>
      <c r="X1723" s="127" t="str">
        <f t="shared" si="503"/>
        <v/>
      </c>
      <c r="Y1723" s="207">
        <f t="shared" si="506"/>
        <v>330</v>
      </c>
      <c r="Z1723" s="139">
        <f t="shared" si="507"/>
        <v>250</v>
      </c>
      <c r="AA1723" s="139">
        <f t="shared" si="508"/>
        <v>80</v>
      </c>
      <c r="AC1723" s="47">
        <f t="shared" si="509"/>
        <v>165</v>
      </c>
      <c r="AD1723" s="47">
        <f t="shared" si="510"/>
        <v>125</v>
      </c>
      <c r="AE1723" s="47">
        <f t="shared" si="511"/>
        <v>40</v>
      </c>
      <c r="AG1723" s="47">
        <f t="shared" si="512"/>
        <v>165</v>
      </c>
      <c r="AH1723" s="47">
        <f t="shared" si="513"/>
        <v>125</v>
      </c>
      <c r="AI1723" s="208">
        <f t="shared" si="514"/>
        <v>40</v>
      </c>
    </row>
    <row r="1724" spans="1:35">
      <c r="A1724" t="s">
        <v>2140</v>
      </c>
      <c r="B1724" t="s">
        <v>3142</v>
      </c>
      <c r="C1724" t="s">
        <v>2191</v>
      </c>
      <c r="D1724" t="s">
        <v>5172</v>
      </c>
      <c r="F1724" t="s">
        <v>1301</v>
      </c>
      <c r="G1724" s="126">
        <f>SUMIFS('Support - Transition'!F:F,'Support - Transition'!B:B,'Step 2'!A1724,'Support - Transition'!C:C,'Step 2'!B1724,'Support - Transition'!D:D,'Step 2'!C1724,'Support - Transition'!E:E,"CIVIL")</f>
        <v>1.8519999999999999E-3</v>
      </c>
      <c r="H1724" s="126">
        <f>SUMIFS('Support - Transition'!F:F,'Support - Transition'!B:B,'Step 2'!A1724,'Support - Transition'!C:C,'Step 2'!B1724,'Support - Transition'!D:D,'Step 2'!C1724,'Support - Transition'!E:E,"FIRE")</f>
        <v>3.6699999999999998E-4</v>
      </c>
      <c r="I1724" s="126">
        <f>IF(B1724="0",SUMIFS('Support - Transition'!F:F,'Support - Transition'!J:J,'Step 2'!D1724,'Support - Transition'!E:E,"STATE UNIT"),SUMIFS('Support - Transition'!F:F,'Support - Transition'!J:J,'Step 2'!D1724))</f>
        <v>2.2190000000000001E-3</v>
      </c>
      <c r="J1724" s="126">
        <f>SUMIFS('Support - Unit Adjustments'!E:E,'Support - Unit Adjustments'!F:F,'Step 2'!D1724)</f>
        <v>0</v>
      </c>
      <c r="K1724" s="126">
        <f t="shared" si="498"/>
        <v>2.2190000000000001E-3</v>
      </c>
      <c r="L1724" s="174">
        <f>VLOOKUP(A1724,'Step 1'!$A:$E,4,FALSE)</f>
        <v>218494</v>
      </c>
      <c r="M1724" s="47">
        <f t="shared" si="499"/>
        <v>485</v>
      </c>
      <c r="N1724" s="177">
        <f>SUMIFS('Support - Transition'!G:G,'Support - Transition'!J:J,'Step 2'!D1724,'Support - Transition'!E:E,"2009 WELFARE ALLOCATION FACTOR")</f>
        <v>0</v>
      </c>
      <c r="O1724" s="152">
        <f t="shared" si="504"/>
        <v>0</v>
      </c>
      <c r="P1724" s="126">
        <f>IF(E1724="Y",0,SUMIFS('Support - Transition'!G:G,'Support - Transition'!J:J,'Step 2'!D1724,'Support - Transition'!E:E,"2009 SCHOOL ALLOCATION FACTOR"))</f>
        <v>0</v>
      </c>
      <c r="Q1724" s="126">
        <f>IF(E1724="Y",VLOOKUP(D1724,'Support - Unit Adjustments'!F:G,2,FALSE),0)</f>
        <v>0</v>
      </c>
      <c r="R1724" s="155">
        <f t="shared" si="516"/>
        <v>0</v>
      </c>
      <c r="S1724" s="47">
        <f t="shared" si="515"/>
        <v>0</v>
      </c>
      <c r="T1724" s="151">
        <f t="shared" si="500"/>
        <v>485</v>
      </c>
      <c r="U1724" s="151">
        <f t="shared" si="501"/>
        <v>0</v>
      </c>
      <c r="V1724" s="139">
        <f t="shared" si="502"/>
        <v>0</v>
      </c>
      <c r="W1724" s="152">
        <f t="shared" si="505"/>
        <v>485</v>
      </c>
      <c r="X1724" s="127" t="str">
        <f t="shared" si="503"/>
        <v/>
      </c>
      <c r="Y1724" s="207">
        <f t="shared" si="506"/>
        <v>485</v>
      </c>
      <c r="Z1724" s="139">
        <f t="shared" si="507"/>
        <v>405</v>
      </c>
      <c r="AA1724" s="139">
        <f t="shared" si="508"/>
        <v>80</v>
      </c>
      <c r="AC1724" s="47">
        <f t="shared" si="509"/>
        <v>243</v>
      </c>
      <c r="AD1724" s="47">
        <f t="shared" si="510"/>
        <v>203</v>
      </c>
      <c r="AE1724" s="47">
        <f t="shared" si="511"/>
        <v>40</v>
      </c>
      <c r="AG1724" s="47">
        <f t="shared" si="512"/>
        <v>242</v>
      </c>
      <c r="AH1724" s="47">
        <f t="shared" si="513"/>
        <v>202</v>
      </c>
      <c r="AI1724" s="208">
        <f t="shared" si="514"/>
        <v>40</v>
      </c>
    </row>
    <row r="1725" spans="1:35">
      <c r="A1725" t="s">
        <v>2140</v>
      </c>
      <c r="B1725" t="s">
        <v>3142</v>
      </c>
      <c r="C1725" t="s">
        <v>2192</v>
      </c>
      <c r="D1725" t="s">
        <v>5173</v>
      </c>
      <c r="F1725" t="s">
        <v>49</v>
      </c>
      <c r="G1725" s="126">
        <f>SUMIFS('Support - Transition'!F:F,'Support - Transition'!B:B,'Step 2'!A1725,'Support - Transition'!C:C,'Step 2'!B1725,'Support - Transition'!D:D,'Step 2'!C1725,'Support - Transition'!E:E,"CIVIL")</f>
        <v>5.1699999999999999E-4</v>
      </c>
      <c r="H1725" s="126">
        <f>SUMIFS('Support - Transition'!F:F,'Support - Transition'!B:B,'Step 2'!A1725,'Support - Transition'!C:C,'Step 2'!B1725,'Support - Transition'!D:D,'Step 2'!C1725,'Support - Transition'!E:E,"FIRE")</f>
        <v>1.21E-4</v>
      </c>
      <c r="I1725" s="126">
        <f>IF(B1725="0",SUMIFS('Support - Transition'!F:F,'Support - Transition'!J:J,'Step 2'!D1725,'Support - Transition'!E:E,"STATE UNIT"),SUMIFS('Support - Transition'!F:F,'Support - Transition'!J:J,'Step 2'!D1725))</f>
        <v>6.38E-4</v>
      </c>
      <c r="J1725" s="126">
        <f>SUMIFS('Support - Unit Adjustments'!E:E,'Support - Unit Adjustments'!F:F,'Step 2'!D1725)</f>
        <v>0</v>
      </c>
      <c r="K1725" s="126">
        <f t="shared" si="498"/>
        <v>6.38E-4</v>
      </c>
      <c r="L1725" s="174">
        <f>VLOOKUP(A1725,'Step 1'!$A:$E,4,FALSE)</f>
        <v>218494</v>
      </c>
      <c r="M1725" s="47">
        <f t="shared" si="499"/>
        <v>139</v>
      </c>
      <c r="N1725" s="177">
        <f>SUMIFS('Support - Transition'!G:G,'Support - Transition'!J:J,'Step 2'!D1725,'Support - Transition'!E:E,"2009 WELFARE ALLOCATION FACTOR")</f>
        <v>0</v>
      </c>
      <c r="O1725" s="152">
        <f t="shared" si="504"/>
        <v>0</v>
      </c>
      <c r="P1725" s="126">
        <f>IF(E1725="Y",0,SUMIFS('Support - Transition'!G:G,'Support - Transition'!J:J,'Step 2'!D1725,'Support - Transition'!E:E,"2009 SCHOOL ALLOCATION FACTOR"))</f>
        <v>0</v>
      </c>
      <c r="Q1725" s="126">
        <f>IF(E1725="Y",VLOOKUP(D1725,'Support - Unit Adjustments'!F:G,2,FALSE),0)</f>
        <v>0</v>
      </c>
      <c r="R1725" s="155">
        <f t="shared" si="516"/>
        <v>0</v>
      </c>
      <c r="S1725" s="47">
        <f t="shared" si="515"/>
        <v>0</v>
      </c>
      <c r="T1725" s="151">
        <f t="shared" si="500"/>
        <v>139</v>
      </c>
      <c r="U1725" s="151">
        <f t="shared" si="501"/>
        <v>0</v>
      </c>
      <c r="V1725" s="139">
        <f t="shared" si="502"/>
        <v>0</v>
      </c>
      <c r="W1725" s="152">
        <f t="shared" si="505"/>
        <v>139</v>
      </c>
      <c r="X1725" s="127" t="str">
        <f t="shared" si="503"/>
        <v/>
      </c>
      <c r="Y1725" s="207">
        <f t="shared" si="506"/>
        <v>139</v>
      </c>
      <c r="Z1725" s="139">
        <f t="shared" si="507"/>
        <v>113</v>
      </c>
      <c r="AA1725" s="139">
        <f t="shared" si="508"/>
        <v>26</v>
      </c>
      <c r="AC1725" s="47">
        <f t="shared" si="509"/>
        <v>70</v>
      </c>
      <c r="AD1725" s="47">
        <f t="shared" si="510"/>
        <v>57</v>
      </c>
      <c r="AE1725" s="47">
        <f t="shared" si="511"/>
        <v>13</v>
      </c>
      <c r="AG1725" s="47">
        <f t="shared" si="512"/>
        <v>69</v>
      </c>
      <c r="AH1725" s="47">
        <f t="shared" si="513"/>
        <v>56</v>
      </c>
      <c r="AI1725" s="208">
        <f t="shared" si="514"/>
        <v>13</v>
      </c>
    </row>
    <row r="1726" spans="1:35">
      <c r="A1726" t="s">
        <v>2140</v>
      </c>
      <c r="B1726" t="s">
        <v>3142</v>
      </c>
      <c r="C1726" t="s">
        <v>2193</v>
      </c>
      <c r="D1726" t="s">
        <v>5174</v>
      </c>
      <c r="F1726" t="s">
        <v>14</v>
      </c>
      <c r="G1726" s="126">
        <f>SUMIFS('Support - Transition'!F:F,'Support - Transition'!B:B,'Step 2'!A1726,'Support - Transition'!C:C,'Step 2'!B1726,'Support - Transition'!D:D,'Step 2'!C1726,'Support - Transition'!E:E,"CIVIL")</f>
        <v>1.1299999999999999E-3</v>
      </c>
      <c r="H1726" s="126">
        <f>SUMIFS('Support - Transition'!F:F,'Support - Transition'!B:B,'Step 2'!A1726,'Support - Transition'!C:C,'Step 2'!B1726,'Support - Transition'!D:D,'Step 2'!C1726,'Support - Transition'!E:E,"FIRE")</f>
        <v>3.4200000000000002E-4</v>
      </c>
      <c r="I1726" s="126">
        <f>IF(B1726="0",SUMIFS('Support - Transition'!F:F,'Support - Transition'!J:J,'Step 2'!D1726,'Support - Transition'!E:E,"STATE UNIT"),SUMIFS('Support - Transition'!F:F,'Support - Transition'!J:J,'Step 2'!D1726))</f>
        <v>1.472E-3</v>
      </c>
      <c r="J1726" s="126">
        <f>SUMIFS('Support - Unit Adjustments'!E:E,'Support - Unit Adjustments'!F:F,'Step 2'!D1726)</f>
        <v>0</v>
      </c>
      <c r="K1726" s="126">
        <f t="shared" si="498"/>
        <v>1.472E-3</v>
      </c>
      <c r="L1726" s="174">
        <f>VLOOKUP(A1726,'Step 1'!$A:$E,4,FALSE)</f>
        <v>218494</v>
      </c>
      <c r="M1726" s="47">
        <f t="shared" si="499"/>
        <v>322</v>
      </c>
      <c r="N1726" s="177">
        <f>SUMIFS('Support - Transition'!G:G,'Support - Transition'!J:J,'Step 2'!D1726,'Support - Transition'!E:E,"2009 WELFARE ALLOCATION FACTOR")</f>
        <v>0</v>
      </c>
      <c r="O1726" s="152">
        <f t="shared" si="504"/>
        <v>0</v>
      </c>
      <c r="P1726" s="126">
        <f>IF(E1726="Y",0,SUMIFS('Support - Transition'!G:G,'Support - Transition'!J:J,'Step 2'!D1726,'Support - Transition'!E:E,"2009 SCHOOL ALLOCATION FACTOR"))</f>
        <v>0</v>
      </c>
      <c r="Q1726" s="126">
        <f>IF(E1726="Y",VLOOKUP(D1726,'Support - Unit Adjustments'!F:G,2,FALSE),0)</f>
        <v>0</v>
      </c>
      <c r="R1726" s="155">
        <f t="shared" si="516"/>
        <v>0</v>
      </c>
      <c r="S1726" s="47">
        <f t="shared" si="515"/>
        <v>0</v>
      </c>
      <c r="T1726" s="151">
        <f t="shared" si="500"/>
        <v>322</v>
      </c>
      <c r="U1726" s="151">
        <f t="shared" si="501"/>
        <v>0</v>
      </c>
      <c r="V1726" s="139">
        <f t="shared" si="502"/>
        <v>0</v>
      </c>
      <c r="W1726" s="152">
        <f t="shared" si="505"/>
        <v>322</v>
      </c>
      <c r="X1726" s="127" t="str">
        <f t="shared" si="503"/>
        <v/>
      </c>
      <c r="Y1726" s="207">
        <f t="shared" si="506"/>
        <v>322</v>
      </c>
      <c r="Z1726" s="139">
        <f t="shared" si="507"/>
        <v>247</v>
      </c>
      <c r="AA1726" s="139">
        <f t="shared" si="508"/>
        <v>75</v>
      </c>
      <c r="AC1726" s="47">
        <f t="shared" si="509"/>
        <v>161</v>
      </c>
      <c r="AD1726" s="47">
        <f t="shared" si="510"/>
        <v>124</v>
      </c>
      <c r="AE1726" s="47">
        <f t="shared" si="511"/>
        <v>38</v>
      </c>
      <c r="AG1726" s="47">
        <f t="shared" si="512"/>
        <v>161</v>
      </c>
      <c r="AH1726" s="47">
        <f t="shared" si="513"/>
        <v>123</v>
      </c>
      <c r="AI1726" s="208">
        <f t="shared" si="514"/>
        <v>37</v>
      </c>
    </row>
    <row r="1727" spans="1:35">
      <c r="A1727" t="s">
        <v>2140</v>
      </c>
      <c r="B1727" t="s">
        <v>3142</v>
      </c>
      <c r="C1727" t="s">
        <v>2194</v>
      </c>
      <c r="D1727" t="s">
        <v>5175</v>
      </c>
      <c r="F1727" t="s">
        <v>51</v>
      </c>
      <c r="G1727" s="126">
        <f>SUMIFS('Support - Transition'!F:F,'Support - Transition'!B:B,'Step 2'!A1727,'Support - Transition'!C:C,'Step 2'!B1727,'Support - Transition'!D:D,'Step 2'!C1727,'Support - Transition'!E:E,"CIVIL")</f>
        <v>6.019E-3</v>
      </c>
      <c r="H1727" s="126">
        <f>SUMIFS('Support - Transition'!F:F,'Support - Transition'!B:B,'Step 2'!A1727,'Support - Transition'!C:C,'Step 2'!B1727,'Support - Transition'!D:D,'Step 2'!C1727,'Support - Transition'!E:E,"FIRE")</f>
        <v>3.0490000000000001E-3</v>
      </c>
      <c r="I1727" s="126">
        <f>IF(B1727="0",SUMIFS('Support - Transition'!F:F,'Support - Transition'!J:J,'Step 2'!D1727,'Support - Transition'!E:E,"STATE UNIT"),SUMIFS('Support - Transition'!F:F,'Support - Transition'!J:J,'Step 2'!D1727))</f>
        <v>9.0679999999999997E-3</v>
      </c>
      <c r="J1727" s="126">
        <f>SUMIFS('Support - Unit Adjustments'!E:E,'Support - Unit Adjustments'!F:F,'Step 2'!D1727)</f>
        <v>0</v>
      </c>
      <c r="K1727" s="126">
        <f t="shared" si="498"/>
        <v>9.0679999999999997E-3</v>
      </c>
      <c r="L1727" s="174">
        <f>VLOOKUP(A1727,'Step 1'!$A:$E,4,FALSE)</f>
        <v>218494</v>
      </c>
      <c r="M1727" s="47">
        <f t="shared" si="499"/>
        <v>1981</v>
      </c>
      <c r="N1727" s="177">
        <f>SUMIFS('Support - Transition'!G:G,'Support - Transition'!J:J,'Step 2'!D1727,'Support - Transition'!E:E,"2009 WELFARE ALLOCATION FACTOR")</f>
        <v>0</v>
      </c>
      <c r="O1727" s="152">
        <f t="shared" si="504"/>
        <v>0</v>
      </c>
      <c r="P1727" s="126">
        <f>IF(E1727="Y",0,SUMIFS('Support - Transition'!G:G,'Support - Transition'!J:J,'Step 2'!D1727,'Support - Transition'!E:E,"2009 SCHOOL ALLOCATION FACTOR"))</f>
        <v>0</v>
      </c>
      <c r="Q1727" s="126">
        <f>IF(E1727="Y",VLOOKUP(D1727,'Support - Unit Adjustments'!F:G,2,FALSE),0)</f>
        <v>0</v>
      </c>
      <c r="R1727" s="155">
        <f t="shared" si="516"/>
        <v>0</v>
      </c>
      <c r="S1727" s="47">
        <f t="shared" si="515"/>
        <v>0</v>
      </c>
      <c r="T1727" s="151">
        <f t="shared" si="500"/>
        <v>1981</v>
      </c>
      <c r="U1727" s="151">
        <f t="shared" si="501"/>
        <v>0</v>
      </c>
      <c r="V1727" s="139">
        <f t="shared" si="502"/>
        <v>0</v>
      </c>
      <c r="W1727" s="152">
        <f t="shared" si="505"/>
        <v>1981</v>
      </c>
      <c r="X1727" s="127" t="str">
        <f t="shared" si="503"/>
        <v/>
      </c>
      <c r="Y1727" s="207">
        <f t="shared" si="506"/>
        <v>1981</v>
      </c>
      <c r="Z1727" s="139">
        <f t="shared" si="507"/>
        <v>1315</v>
      </c>
      <c r="AA1727" s="139">
        <f t="shared" si="508"/>
        <v>666</v>
      </c>
      <c r="AC1727" s="47">
        <f t="shared" si="509"/>
        <v>991</v>
      </c>
      <c r="AD1727" s="47">
        <f t="shared" si="510"/>
        <v>658</v>
      </c>
      <c r="AE1727" s="47">
        <f t="shared" si="511"/>
        <v>333</v>
      </c>
      <c r="AG1727" s="47">
        <f t="shared" si="512"/>
        <v>990</v>
      </c>
      <c r="AH1727" s="47">
        <f t="shared" si="513"/>
        <v>657</v>
      </c>
      <c r="AI1727" s="208">
        <f t="shared" si="514"/>
        <v>333</v>
      </c>
    </row>
    <row r="1728" spans="1:35">
      <c r="A1728" t="s">
        <v>2140</v>
      </c>
      <c r="B1728" t="s">
        <v>3142</v>
      </c>
      <c r="C1728" t="s">
        <v>2195</v>
      </c>
      <c r="D1728" t="s">
        <v>5176</v>
      </c>
      <c r="F1728" t="s">
        <v>714</v>
      </c>
      <c r="G1728" s="126">
        <f>SUMIFS('Support - Transition'!F:F,'Support - Transition'!B:B,'Step 2'!A1728,'Support - Transition'!C:C,'Step 2'!B1728,'Support - Transition'!D:D,'Step 2'!C1728,'Support - Transition'!E:E,"CIVIL")</f>
        <v>4.0169999999999997E-3</v>
      </c>
      <c r="H1728" s="126">
        <f>SUMIFS('Support - Transition'!F:F,'Support - Transition'!B:B,'Step 2'!A1728,'Support - Transition'!C:C,'Step 2'!B1728,'Support - Transition'!D:D,'Step 2'!C1728,'Support - Transition'!E:E,"FIRE")</f>
        <v>2.4529999999999999E-3</v>
      </c>
      <c r="I1728" s="126">
        <f>IF(B1728="0",SUMIFS('Support - Transition'!F:F,'Support - Transition'!J:J,'Step 2'!D1728,'Support - Transition'!E:E,"STATE UNIT"),SUMIFS('Support - Transition'!F:F,'Support - Transition'!J:J,'Step 2'!D1728))</f>
        <v>6.4700000000000001E-3</v>
      </c>
      <c r="J1728" s="126">
        <f>SUMIFS('Support - Unit Adjustments'!E:E,'Support - Unit Adjustments'!F:F,'Step 2'!D1728)</f>
        <v>0</v>
      </c>
      <c r="K1728" s="126">
        <f t="shared" si="498"/>
        <v>6.4700000000000001E-3</v>
      </c>
      <c r="L1728" s="174">
        <f>VLOOKUP(A1728,'Step 1'!$A:$E,4,FALSE)</f>
        <v>218494</v>
      </c>
      <c r="M1728" s="47">
        <f t="shared" si="499"/>
        <v>1414</v>
      </c>
      <c r="N1728" s="177">
        <f>SUMIFS('Support - Transition'!G:G,'Support - Transition'!J:J,'Step 2'!D1728,'Support - Transition'!E:E,"2009 WELFARE ALLOCATION FACTOR")</f>
        <v>0</v>
      </c>
      <c r="O1728" s="152">
        <f t="shared" si="504"/>
        <v>0</v>
      </c>
      <c r="P1728" s="126">
        <f>IF(E1728="Y",0,SUMIFS('Support - Transition'!G:G,'Support - Transition'!J:J,'Step 2'!D1728,'Support - Transition'!E:E,"2009 SCHOOL ALLOCATION FACTOR"))</f>
        <v>0</v>
      </c>
      <c r="Q1728" s="126">
        <f>IF(E1728="Y",VLOOKUP(D1728,'Support - Unit Adjustments'!F:G,2,FALSE),0)</f>
        <v>0</v>
      </c>
      <c r="R1728" s="155">
        <f t="shared" si="516"/>
        <v>0</v>
      </c>
      <c r="S1728" s="47">
        <f t="shared" si="515"/>
        <v>0</v>
      </c>
      <c r="T1728" s="151">
        <f t="shared" si="500"/>
        <v>1414</v>
      </c>
      <c r="U1728" s="151">
        <f t="shared" si="501"/>
        <v>0</v>
      </c>
      <c r="V1728" s="139">
        <f t="shared" si="502"/>
        <v>0</v>
      </c>
      <c r="W1728" s="152">
        <f t="shared" si="505"/>
        <v>1414</v>
      </c>
      <c r="X1728" s="127" t="str">
        <f t="shared" si="503"/>
        <v/>
      </c>
      <c r="Y1728" s="207">
        <f t="shared" si="506"/>
        <v>1414</v>
      </c>
      <c r="Z1728" s="139">
        <f t="shared" si="507"/>
        <v>878</v>
      </c>
      <c r="AA1728" s="139">
        <f t="shared" si="508"/>
        <v>536</v>
      </c>
      <c r="AC1728" s="47">
        <f t="shared" si="509"/>
        <v>707</v>
      </c>
      <c r="AD1728" s="47">
        <f t="shared" si="510"/>
        <v>439</v>
      </c>
      <c r="AE1728" s="47">
        <f t="shared" si="511"/>
        <v>268</v>
      </c>
      <c r="AG1728" s="47">
        <f t="shared" si="512"/>
        <v>707</v>
      </c>
      <c r="AH1728" s="47">
        <f t="shared" si="513"/>
        <v>439</v>
      </c>
      <c r="AI1728" s="208">
        <f t="shared" si="514"/>
        <v>268</v>
      </c>
    </row>
    <row r="1729" spans="1:35">
      <c r="A1729" t="s">
        <v>2140</v>
      </c>
      <c r="B1729" t="s">
        <v>3142</v>
      </c>
      <c r="C1729" t="s">
        <v>2196</v>
      </c>
      <c r="D1729" t="s">
        <v>5177</v>
      </c>
      <c r="F1729" t="s">
        <v>1302</v>
      </c>
      <c r="G1729" s="126">
        <f>SUMIFS('Support - Transition'!F:F,'Support - Transition'!B:B,'Step 2'!A1729,'Support - Transition'!C:C,'Step 2'!B1729,'Support - Transition'!D:D,'Step 2'!C1729,'Support - Transition'!E:E,"CIVIL")</f>
        <v>6.8000000000000005E-4</v>
      </c>
      <c r="H1729" s="126">
        <f>SUMIFS('Support - Transition'!F:F,'Support - Transition'!B:B,'Step 2'!A1729,'Support - Transition'!C:C,'Step 2'!B1729,'Support - Transition'!D:D,'Step 2'!C1729,'Support - Transition'!E:E,"FIRE")</f>
        <v>8.2999999999999998E-5</v>
      </c>
      <c r="I1729" s="126">
        <f>IF(B1729="0",SUMIFS('Support - Transition'!F:F,'Support - Transition'!J:J,'Step 2'!D1729,'Support - Transition'!E:E,"STATE UNIT"),SUMIFS('Support - Transition'!F:F,'Support - Transition'!J:J,'Step 2'!D1729))</f>
        <v>7.6300000000000001E-4</v>
      </c>
      <c r="J1729" s="126">
        <f>SUMIFS('Support - Unit Adjustments'!E:E,'Support - Unit Adjustments'!F:F,'Step 2'!D1729)</f>
        <v>0</v>
      </c>
      <c r="K1729" s="126">
        <f t="shared" si="498"/>
        <v>7.6300000000000001E-4</v>
      </c>
      <c r="L1729" s="174">
        <f>VLOOKUP(A1729,'Step 1'!$A:$E,4,FALSE)</f>
        <v>218494</v>
      </c>
      <c r="M1729" s="47">
        <f t="shared" si="499"/>
        <v>167</v>
      </c>
      <c r="N1729" s="177">
        <f>SUMIFS('Support - Transition'!G:G,'Support - Transition'!J:J,'Step 2'!D1729,'Support - Transition'!E:E,"2009 WELFARE ALLOCATION FACTOR")</f>
        <v>0</v>
      </c>
      <c r="O1729" s="152">
        <f t="shared" si="504"/>
        <v>0</v>
      </c>
      <c r="P1729" s="126">
        <f>IF(E1729="Y",0,SUMIFS('Support - Transition'!G:G,'Support - Transition'!J:J,'Step 2'!D1729,'Support - Transition'!E:E,"2009 SCHOOL ALLOCATION FACTOR"))</f>
        <v>0</v>
      </c>
      <c r="Q1729" s="126">
        <f>IF(E1729="Y",VLOOKUP(D1729,'Support - Unit Adjustments'!F:G,2,FALSE),0)</f>
        <v>0</v>
      </c>
      <c r="R1729" s="155">
        <f t="shared" si="516"/>
        <v>0</v>
      </c>
      <c r="S1729" s="47">
        <f t="shared" si="515"/>
        <v>0</v>
      </c>
      <c r="T1729" s="151">
        <f t="shared" si="500"/>
        <v>167</v>
      </c>
      <c r="U1729" s="151">
        <f t="shared" si="501"/>
        <v>0</v>
      </c>
      <c r="V1729" s="139">
        <f t="shared" si="502"/>
        <v>0</v>
      </c>
      <c r="W1729" s="152">
        <f t="shared" si="505"/>
        <v>167</v>
      </c>
      <c r="X1729" s="127" t="str">
        <f t="shared" si="503"/>
        <v/>
      </c>
      <c r="Y1729" s="207">
        <f t="shared" si="506"/>
        <v>167</v>
      </c>
      <c r="Z1729" s="139">
        <f t="shared" si="507"/>
        <v>149</v>
      </c>
      <c r="AA1729" s="139">
        <f t="shared" si="508"/>
        <v>18</v>
      </c>
      <c r="AC1729" s="47">
        <f t="shared" si="509"/>
        <v>84</v>
      </c>
      <c r="AD1729" s="47">
        <f t="shared" si="510"/>
        <v>75</v>
      </c>
      <c r="AE1729" s="47">
        <f t="shared" si="511"/>
        <v>9</v>
      </c>
      <c r="AG1729" s="47">
        <f t="shared" si="512"/>
        <v>83</v>
      </c>
      <c r="AH1729" s="47">
        <f t="shared" si="513"/>
        <v>74</v>
      </c>
      <c r="AI1729" s="208">
        <f t="shared" si="514"/>
        <v>9</v>
      </c>
    </row>
    <row r="1730" spans="1:35">
      <c r="A1730" t="s">
        <v>2140</v>
      </c>
      <c r="B1730" t="s">
        <v>3142</v>
      </c>
      <c r="C1730" t="s">
        <v>2197</v>
      </c>
      <c r="D1730" t="s">
        <v>5178</v>
      </c>
      <c r="F1730" t="s">
        <v>22</v>
      </c>
      <c r="G1730" s="126">
        <f>SUMIFS('Support - Transition'!F:F,'Support - Transition'!B:B,'Step 2'!A1730,'Support - Transition'!C:C,'Step 2'!B1730,'Support - Transition'!D:D,'Step 2'!C1730,'Support - Transition'!E:E,"CIVIL")</f>
        <v>1.614E-3</v>
      </c>
      <c r="H1730" s="126">
        <f>SUMIFS('Support - Transition'!F:F,'Support - Transition'!B:B,'Step 2'!A1730,'Support - Transition'!C:C,'Step 2'!B1730,'Support - Transition'!D:D,'Step 2'!C1730,'Support - Transition'!E:E,"FIRE")</f>
        <v>2.5000000000000001E-4</v>
      </c>
      <c r="I1730" s="126">
        <f>IF(B1730="0",SUMIFS('Support - Transition'!F:F,'Support - Transition'!J:J,'Step 2'!D1730,'Support - Transition'!E:E,"STATE UNIT"),SUMIFS('Support - Transition'!F:F,'Support - Transition'!J:J,'Step 2'!D1730))</f>
        <v>1.864E-3</v>
      </c>
      <c r="J1730" s="126">
        <f>SUMIFS('Support - Unit Adjustments'!E:E,'Support - Unit Adjustments'!F:F,'Step 2'!D1730)</f>
        <v>0</v>
      </c>
      <c r="K1730" s="126">
        <f t="shared" ref="K1730:K1793" si="517">+I1730+J1730</f>
        <v>1.864E-3</v>
      </c>
      <c r="L1730" s="174">
        <f>VLOOKUP(A1730,'Step 1'!$A:$E,4,FALSE)</f>
        <v>218494</v>
      </c>
      <c r="M1730" s="47">
        <f t="shared" ref="M1730:M1793" si="518">ROUND(+K1730*L1730,0)</f>
        <v>407</v>
      </c>
      <c r="N1730" s="177">
        <f>SUMIFS('Support - Transition'!G:G,'Support - Transition'!J:J,'Step 2'!D1730,'Support - Transition'!E:E,"2009 WELFARE ALLOCATION FACTOR")</f>
        <v>0</v>
      </c>
      <c r="O1730" s="152">
        <f t="shared" si="504"/>
        <v>0</v>
      </c>
      <c r="P1730" s="126">
        <f>IF(E1730="Y",0,SUMIFS('Support - Transition'!G:G,'Support - Transition'!J:J,'Step 2'!D1730,'Support - Transition'!E:E,"2009 SCHOOL ALLOCATION FACTOR"))</f>
        <v>0</v>
      </c>
      <c r="Q1730" s="126">
        <f>IF(E1730="Y",VLOOKUP(D1730,'Support - Unit Adjustments'!F:G,2,FALSE),0)</f>
        <v>0</v>
      </c>
      <c r="R1730" s="155">
        <f t="shared" si="516"/>
        <v>0</v>
      </c>
      <c r="S1730" s="47">
        <f t="shared" si="515"/>
        <v>0</v>
      </c>
      <c r="T1730" s="151">
        <f t="shared" ref="T1730:T1793" si="519">ROUND(+M1730-O1730-S1730,2)</f>
        <v>407</v>
      </c>
      <c r="U1730" s="151">
        <f t="shared" ref="U1730:U1793" si="520">IF(B1730="0",SUMIFS(O:O,A:A,A1730)+SUMIFS(S:S,A:A,A1730)+SUMIFS(T:T,A:A,A1730),0)</f>
        <v>0</v>
      </c>
      <c r="V1730" s="139">
        <f t="shared" ref="V1730:V1793" si="521">IF(B1730="0",U1730-L1730,0)</f>
        <v>0</v>
      </c>
      <c r="W1730" s="152">
        <f t="shared" si="505"/>
        <v>407</v>
      </c>
      <c r="X1730" s="127" t="str">
        <f t="shared" ref="X1730:X1793" si="522">IF(B1730="0",SUMIFS(O:O,A:A,A1730)+SUMIFS(S:S,A:A,A1730)+SUMIFS(W:W,A:A,A1730)-L1730,"")</f>
        <v/>
      </c>
      <c r="Y1730" s="207">
        <f t="shared" si="506"/>
        <v>407</v>
      </c>
      <c r="Z1730" s="139">
        <f t="shared" si="507"/>
        <v>352</v>
      </c>
      <c r="AA1730" s="139">
        <f t="shared" si="508"/>
        <v>55</v>
      </c>
      <c r="AC1730" s="47">
        <f t="shared" si="509"/>
        <v>204</v>
      </c>
      <c r="AD1730" s="47">
        <f t="shared" si="510"/>
        <v>176</v>
      </c>
      <c r="AE1730" s="47">
        <f t="shared" si="511"/>
        <v>28</v>
      </c>
      <c r="AG1730" s="47">
        <f t="shared" si="512"/>
        <v>203</v>
      </c>
      <c r="AH1730" s="47">
        <f t="shared" si="513"/>
        <v>176</v>
      </c>
      <c r="AI1730" s="208">
        <f t="shared" si="514"/>
        <v>27</v>
      </c>
    </row>
    <row r="1731" spans="1:35">
      <c r="A1731" t="s">
        <v>2140</v>
      </c>
      <c r="B1731" t="s">
        <v>3155</v>
      </c>
      <c r="C1731" t="s">
        <v>2300</v>
      </c>
      <c r="D1731" t="s">
        <v>5179</v>
      </c>
      <c r="F1731" t="s">
        <v>1303</v>
      </c>
      <c r="G1731" s="126">
        <f>SUMIFS('Support - Transition'!F:F,'Support - Transition'!B:B,'Step 2'!A1731,'Support - Transition'!C:C,'Step 2'!B1731,'Support - Transition'!D:D,'Step 2'!C1731,'Support - Transition'!E:E,"CIVIL")</f>
        <v>0</v>
      </c>
      <c r="H1731" s="126">
        <f>SUMIFS('Support - Transition'!F:F,'Support - Transition'!B:B,'Step 2'!A1731,'Support - Transition'!C:C,'Step 2'!B1731,'Support - Transition'!D:D,'Step 2'!C1731,'Support - Transition'!E:E,"FIRE")</f>
        <v>0</v>
      </c>
      <c r="I1731" s="126">
        <f>IF(B1731="0",SUMIFS('Support - Transition'!F:F,'Support - Transition'!J:J,'Step 2'!D1731,'Support - Transition'!E:E,"STATE UNIT"),SUMIFS('Support - Transition'!F:F,'Support - Transition'!J:J,'Step 2'!D1731))</f>
        <v>2.7144999999999999E-2</v>
      </c>
      <c r="J1731" s="126">
        <f>SUMIFS('Support - Unit Adjustments'!E:E,'Support - Unit Adjustments'!F:F,'Step 2'!D1731)</f>
        <v>0</v>
      </c>
      <c r="K1731" s="126">
        <f t="shared" si="517"/>
        <v>2.7144999999999999E-2</v>
      </c>
      <c r="L1731" s="174">
        <f>VLOOKUP(A1731,'Step 1'!$A:$E,4,FALSE)</f>
        <v>218494</v>
      </c>
      <c r="M1731" s="47">
        <f t="shared" si="518"/>
        <v>5931</v>
      </c>
      <c r="N1731" s="177">
        <f>SUMIFS('Support - Transition'!G:G,'Support - Transition'!J:J,'Step 2'!D1731,'Support - Transition'!E:E,"2009 WELFARE ALLOCATION FACTOR")</f>
        <v>0</v>
      </c>
      <c r="O1731" s="152">
        <f t="shared" ref="O1731:O1794" si="523">ROUND(+N1731*M1731,0)</f>
        <v>0</v>
      </c>
      <c r="P1731" s="126">
        <f>IF(E1731="Y",0,SUMIFS('Support - Transition'!G:G,'Support - Transition'!J:J,'Step 2'!D1731,'Support - Transition'!E:E,"2009 SCHOOL ALLOCATION FACTOR"))</f>
        <v>0</v>
      </c>
      <c r="Q1731" s="126">
        <f>IF(E1731="Y",VLOOKUP(D1731,'Support - Unit Adjustments'!F:G,2,FALSE),0)</f>
        <v>0</v>
      </c>
      <c r="R1731" s="155">
        <f t="shared" si="516"/>
        <v>0</v>
      </c>
      <c r="S1731" s="47">
        <f t="shared" si="515"/>
        <v>0</v>
      </c>
      <c r="T1731" s="151">
        <f t="shared" si="519"/>
        <v>5931</v>
      </c>
      <c r="U1731" s="151">
        <f t="shared" si="520"/>
        <v>0</v>
      </c>
      <c r="V1731" s="139">
        <f t="shared" si="521"/>
        <v>0</v>
      </c>
      <c r="W1731" s="152">
        <f t="shared" ref="W1731:W1794" si="524">+T1731-V1731</f>
        <v>5931</v>
      </c>
      <c r="X1731" s="127" t="str">
        <f t="shared" si="522"/>
        <v/>
      </c>
      <c r="Y1731" s="207">
        <f t="shared" ref="Y1731:Y1794" si="525">W1731</f>
        <v>5931</v>
      </c>
      <c r="Z1731" s="139">
        <f t="shared" ref="Z1731:Z1794" si="526">IFERROR(IF(B1731="2",ROUND(Y1731*G1731/I1731,0),Y1731),0)</f>
        <v>5931</v>
      </c>
      <c r="AA1731" s="139">
        <f t="shared" ref="AA1731:AA1794" si="527">+Y1731-Z1731</f>
        <v>0</v>
      </c>
      <c r="AC1731" s="47">
        <f t="shared" ref="AC1731:AC1794" si="528">ROUND(Y1731/2,0)</f>
        <v>2966</v>
      </c>
      <c r="AD1731" s="47">
        <f t="shared" ref="AD1731:AD1794" si="529">ROUND(Z1731/2,0)</f>
        <v>2966</v>
      </c>
      <c r="AE1731" s="47">
        <f t="shared" ref="AE1731:AE1794" si="530">ROUND(AA1731/2,0)</f>
        <v>0</v>
      </c>
      <c r="AG1731" s="47">
        <f t="shared" ref="AG1731:AG1794" si="531">+Y1731-AC1731</f>
        <v>2965</v>
      </c>
      <c r="AH1731" s="47">
        <f t="shared" ref="AH1731:AH1794" si="532">+Z1731-AD1731</f>
        <v>2965</v>
      </c>
      <c r="AI1731" s="208">
        <f t="shared" ref="AI1731:AI1794" si="533">+AA1731-AE1731</f>
        <v>0</v>
      </c>
    </row>
    <row r="1732" spans="1:35">
      <c r="A1732" t="s">
        <v>2140</v>
      </c>
      <c r="B1732" t="s">
        <v>3155</v>
      </c>
      <c r="C1732" t="s">
        <v>2881</v>
      </c>
      <c r="D1732" t="s">
        <v>5180</v>
      </c>
      <c r="F1732" t="s">
        <v>1304</v>
      </c>
      <c r="G1732" s="126">
        <f>SUMIFS('Support - Transition'!F:F,'Support - Transition'!B:B,'Step 2'!A1732,'Support - Transition'!C:C,'Step 2'!B1732,'Support - Transition'!D:D,'Step 2'!C1732,'Support - Transition'!E:E,"CIVIL")</f>
        <v>0</v>
      </c>
      <c r="H1732" s="126">
        <f>SUMIFS('Support - Transition'!F:F,'Support - Transition'!B:B,'Step 2'!A1732,'Support - Transition'!C:C,'Step 2'!B1732,'Support - Transition'!D:D,'Step 2'!C1732,'Support - Transition'!E:E,"FIRE")</f>
        <v>0</v>
      </c>
      <c r="I1732" s="126">
        <f>IF(B1732="0",SUMIFS('Support - Transition'!F:F,'Support - Transition'!J:J,'Step 2'!D1732,'Support - Transition'!E:E,"STATE UNIT"),SUMIFS('Support - Transition'!F:F,'Support - Transition'!J:J,'Step 2'!D1732))</f>
        <v>7.0619999999999997E-3</v>
      </c>
      <c r="J1732" s="126">
        <f>SUMIFS('Support - Unit Adjustments'!E:E,'Support - Unit Adjustments'!F:F,'Step 2'!D1732)</f>
        <v>0</v>
      </c>
      <c r="K1732" s="126">
        <f t="shared" si="517"/>
        <v>7.0619999999999997E-3</v>
      </c>
      <c r="L1732" s="174">
        <f>VLOOKUP(A1732,'Step 1'!$A:$E,4,FALSE)</f>
        <v>218494</v>
      </c>
      <c r="M1732" s="47">
        <f t="shared" si="518"/>
        <v>1543</v>
      </c>
      <c r="N1732" s="177">
        <f>SUMIFS('Support - Transition'!G:G,'Support - Transition'!J:J,'Step 2'!D1732,'Support - Transition'!E:E,"2009 WELFARE ALLOCATION FACTOR")</f>
        <v>0</v>
      </c>
      <c r="O1732" s="152">
        <f t="shared" si="523"/>
        <v>0</v>
      </c>
      <c r="P1732" s="126">
        <f>IF(E1732="Y",0,SUMIFS('Support - Transition'!G:G,'Support - Transition'!J:J,'Step 2'!D1732,'Support - Transition'!E:E,"2009 SCHOOL ALLOCATION FACTOR"))</f>
        <v>0</v>
      </c>
      <c r="Q1732" s="126">
        <f>IF(E1732="Y",VLOOKUP(D1732,'Support - Unit Adjustments'!F:G,2,FALSE),0)</f>
        <v>0</v>
      </c>
      <c r="R1732" s="155">
        <f t="shared" si="516"/>
        <v>0</v>
      </c>
      <c r="S1732" s="47">
        <f t="shared" si="515"/>
        <v>0</v>
      </c>
      <c r="T1732" s="151">
        <f t="shared" si="519"/>
        <v>1543</v>
      </c>
      <c r="U1732" s="151">
        <f t="shared" si="520"/>
        <v>0</v>
      </c>
      <c r="V1732" s="139">
        <f t="shared" si="521"/>
        <v>0</v>
      </c>
      <c r="W1732" s="152">
        <f t="shared" si="524"/>
        <v>1543</v>
      </c>
      <c r="X1732" s="127" t="str">
        <f t="shared" si="522"/>
        <v/>
      </c>
      <c r="Y1732" s="207">
        <f t="shared" si="525"/>
        <v>1543</v>
      </c>
      <c r="Z1732" s="139">
        <f t="shared" si="526"/>
        <v>1543</v>
      </c>
      <c r="AA1732" s="139">
        <f t="shared" si="527"/>
        <v>0</v>
      </c>
      <c r="AC1732" s="47">
        <f t="shared" si="528"/>
        <v>772</v>
      </c>
      <c r="AD1732" s="47">
        <f t="shared" si="529"/>
        <v>772</v>
      </c>
      <c r="AE1732" s="47">
        <f t="shared" si="530"/>
        <v>0</v>
      </c>
      <c r="AG1732" s="47">
        <f t="shared" si="531"/>
        <v>771</v>
      </c>
      <c r="AH1732" s="47">
        <f t="shared" si="532"/>
        <v>771</v>
      </c>
      <c r="AI1732" s="208">
        <f t="shared" si="533"/>
        <v>0</v>
      </c>
    </row>
    <row r="1733" spans="1:35">
      <c r="A1733" t="s">
        <v>2140</v>
      </c>
      <c r="B1733" t="s">
        <v>3155</v>
      </c>
      <c r="C1733" t="s">
        <v>2882</v>
      </c>
      <c r="D1733" t="s">
        <v>5181</v>
      </c>
      <c r="F1733" t="s">
        <v>1305</v>
      </c>
      <c r="G1733" s="126">
        <f>SUMIFS('Support - Transition'!F:F,'Support - Transition'!B:B,'Step 2'!A1733,'Support - Transition'!C:C,'Step 2'!B1733,'Support - Transition'!D:D,'Step 2'!C1733,'Support - Transition'!E:E,"CIVIL")</f>
        <v>0</v>
      </c>
      <c r="H1733" s="126">
        <f>SUMIFS('Support - Transition'!F:F,'Support - Transition'!B:B,'Step 2'!A1733,'Support - Transition'!C:C,'Step 2'!B1733,'Support - Transition'!D:D,'Step 2'!C1733,'Support - Transition'!E:E,"FIRE")</f>
        <v>0</v>
      </c>
      <c r="I1733" s="126">
        <f>IF(B1733="0",SUMIFS('Support - Transition'!F:F,'Support - Transition'!J:J,'Step 2'!D1733,'Support - Transition'!E:E,"STATE UNIT"),SUMIFS('Support - Transition'!F:F,'Support - Transition'!J:J,'Step 2'!D1733))</f>
        <v>1.2989000000000001E-2</v>
      </c>
      <c r="J1733" s="126">
        <f>SUMIFS('Support - Unit Adjustments'!E:E,'Support - Unit Adjustments'!F:F,'Step 2'!D1733)</f>
        <v>0</v>
      </c>
      <c r="K1733" s="126">
        <f t="shared" si="517"/>
        <v>1.2989000000000001E-2</v>
      </c>
      <c r="L1733" s="174">
        <f>VLOOKUP(A1733,'Step 1'!$A:$E,4,FALSE)</f>
        <v>218494</v>
      </c>
      <c r="M1733" s="47">
        <f t="shared" si="518"/>
        <v>2838</v>
      </c>
      <c r="N1733" s="177">
        <f>SUMIFS('Support - Transition'!G:G,'Support - Transition'!J:J,'Step 2'!D1733,'Support - Transition'!E:E,"2009 WELFARE ALLOCATION FACTOR")</f>
        <v>0</v>
      </c>
      <c r="O1733" s="152">
        <f t="shared" si="523"/>
        <v>0</v>
      </c>
      <c r="P1733" s="126">
        <f>IF(E1733="Y",0,SUMIFS('Support - Transition'!G:G,'Support - Transition'!J:J,'Step 2'!D1733,'Support - Transition'!E:E,"2009 SCHOOL ALLOCATION FACTOR"))</f>
        <v>0</v>
      </c>
      <c r="Q1733" s="126">
        <f>IF(E1733="Y",VLOOKUP(D1733,'Support - Unit Adjustments'!F:G,2,FALSE),0)</f>
        <v>0</v>
      </c>
      <c r="R1733" s="155">
        <f t="shared" si="516"/>
        <v>0</v>
      </c>
      <c r="S1733" s="47">
        <f t="shared" si="515"/>
        <v>0</v>
      </c>
      <c r="T1733" s="151">
        <f t="shared" si="519"/>
        <v>2838</v>
      </c>
      <c r="U1733" s="151">
        <f t="shared" si="520"/>
        <v>0</v>
      </c>
      <c r="V1733" s="139">
        <f t="shared" si="521"/>
        <v>0</v>
      </c>
      <c r="W1733" s="152">
        <f t="shared" si="524"/>
        <v>2838</v>
      </c>
      <c r="X1733" s="127" t="str">
        <f t="shared" si="522"/>
        <v/>
      </c>
      <c r="Y1733" s="207">
        <f t="shared" si="525"/>
        <v>2838</v>
      </c>
      <c r="Z1733" s="139">
        <f t="shared" si="526"/>
        <v>2838</v>
      </c>
      <c r="AA1733" s="139">
        <f t="shared" si="527"/>
        <v>0</v>
      </c>
      <c r="AC1733" s="47">
        <f t="shared" si="528"/>
        <v>1419</v>
      </c>
      <c r="AD1733" s="47">
        <f t="shared" si="529"/>
        <v>1419</v>
      </c>
      <c r="AE1733" s="47">
        <f t="shared" si="530"/>
        <v>0</v>
      </c>
      <c r="AG1733" s="47">
        <f t="shared" si="531"/>
        <v>1419</v>
      </c>
      <c r="AH1733" s="47">
        <f t="shared" si="532"/>
        <v>1419</v>
      </c>
      <c r="AI1733" s="208">
        <f t="shared" si="533"/>
        <v>0</v>
      </c>
    </row>
    <row r="1734" spans="1:35">
      <c r="A1734" t="s">
        <v>2140</v>
      </c>
      <c r="B1734" t="s">
        <v>3155</v>
      </c>
      <c r="C1734" t="s">
        <v>2883</v>
      </c>
      <c r="D1734" t="s">
        <v>5182</v>
      </c>
      <c r="F1734" t="s">
        <v>1306</v>
      </c>
      <c r="G1734" s="126">
        <f>SUMIFS('Support - Transition'!F:F,'Support - Transition'!B:B,'Step 2'!A1734,'Support - Transition'!C:C,'Step 2'!B1734,'Support - Transition'!D:D,'Step 2'!C1734,'Support - Transition'!E:E,"CIVIL")</f>
        <v>0</v>
      </c>
      <c r="H1734" s="126">
        <f>SUMIFS('Support - Transition'!F:F,'Support - Transition'!B:B,'Step 2'!A1734,'Support - Transition'!C:C,'Step 2'!B1734,'Support - Transition'!D:D,'Step 2'!C1734,'Support - Transition'!E:E,"FIRE")</f>
        <v>0</v>
      </c>
      <c r="I1734" s="126">
        <f>IF(B1734="0",SUMIFS('Support - Transition'!F:F,'Support - Transition'!J:J,'Step 2'!D1734,'Support - Transition'!E:E,"STATE UNIT"),SUMIFS('Support - Transition'!F:F,'Support - Transition'!J:J,'Step 2'!D1734))</f>
        <v>1.8995000000000001E-2</v>
      </c>
      <c r="J1734" s="126">
        <f>SUMIFS('Support - Unit Adjustments'!E:E,'Support - Unit Adjustments'!F:F,'Step 2'!D1734)</f>
        <v>0</v>
      </c>
      <c r="K1734" s="126">
        <f t="shared" si="517"/>
        <v>1.8995000000000001E-2</v>
      </c>
      <c r="L1734" s="174">
        <f>VLOOKUP(A1734,'Step 1'!$A:$E,4,FALSE)</f>
        <v>218494</v>
      </c>
      <c r="M1734" s="47">
        <f t="shared" si="518"/>
        <v>4150</v>
      </c>
      <c r="N1734" s="177">
        <f>SUMIFS('Support - Transition'!G:G,'Support - Transition'!J:J,'Step 2'!D1734,'Support - Transition'!E:E,"2009 WELFARE ALLOCATION FACTOR")</f>
        <v>0</v>
      </c>
      <c r="O1734" s="152">
        <f t="shared" si="523"/>
        <v>0</v>
      </c>
      <c r="P1734" s="126">
        <f>IF(E1734="Y",0,SUMIFS('Support - Transition'!G:G,'Support - Transition'!J:J,'Step 2'!D1734,'Support - Transition'!E:E,"2009 SCHOOL ALLOCATION FACTOR"))</f>
        <v>0</v>
      </c>
      <c r="Q1734" s="126">
        <f>IF(E1734="Y",VLOOKUP(D1734,'Support - Unit Adjustments'!F:G,2,FALSE),0)</f>
        <v>0</v>
      </c>
      <c r="R1734" s="155">
        <f t="shared" si="516"/>
        <v>0</v>
      </c>
      <c r="S1734" s="47">
        <f t="shared" si="515"/>
        <v>0</v>
      </c>
      <c r="T1734" s="151">
        <f t="shared" si="519"/>
        <v>4150</v>
      </c>
      <c r="U1734" s="151">
        <f t="shared" si="520"/>
        <v>0</v>
      </c>
      <c r="V1734" s="139">
        <f t="shared" si="521"/>
        <v>0</v>
      </c>
      <c r="W1734" s="152">
        <f t="shared" si="524"/>
        <v>4150</v>
      </c>
      <c r="X1734" s="127" t="str">
        <f t="shared" si="522"/>
        <v/>
      </c>
      <c r="Y1734" s="207">
        <f t="shared" si="525"/>
        <v>4150</v>
      </c>
      <c r="Z1734" s="139">
        <f t="shared" si="526"/>
        <v>4150</v>
      </c>
      <c r="AA1734" s="139">
        <f t="shared" si="527"/>
        <v>0</v>
      </c>
      <c r="AC1734" s="47">
        <f t="shared" si="528"/>
        <v>2075</v>
      </c>
      <c r="AD1734" s="47">
        <f t="shared" si="529"/>
        <v>2075</v>
      </c>
      <c r="AE1734" s="47">
        <f t="shared" si="530"/>
        <v>0</v>
      </c>
      <c r="AG1734" s="47">
        <f t="shared" si="531"/>
        <v>2075</v>
      </c>
      <c r="AH1734" s="47">
        <f t="shared" si="532"/>
        <v>2075</v>
      </c>
      <c r="AI1734" s="208">
        <f t="shared" si="533"/>
        <v>0</v>
      </c>
    </row>
    <row r="1735" spans="1:35">
      <c r="A1735" t="s">
        <v>2140</v>
      </c>
      <c r="B1735" t="s">
        <v>3155</v>
      </c>
      <c r="C1735" t="s">
        <v>2389</v>
      </c>
      <c r="D1735" t="s">
        <v>5183</v>
      </c>
      <c r="F1735" t="s">
        <v>1307</v>
      </c>
      <c r="G1735" s="126">
        <f>SUMIFS('Support - Transition'!F:F,'Support - Transition'!B:B,'Step 2'!A1735,'Support - Transition'!C:C,'Step 2'!B1735,'Support - Transition'!D:D,'Step 2'!C1735,'Support - Transition'!E:E,"CIVIL")</f>
        <v>0</v>
      </c>
      <c r="H1735" s="126">
        <f>SUMIFS('Support - Transition'!F:F,'Support - Transition'!B:B,'Step 2'!A1735,'Support - Transition'!C:C,'Step 2'!B1735,'Support - Transition'!D:D,'Step 2'!C1735,'Support - Transition'!E:E,"FIRE")</f>
        <v>0</v>
      </c>
      <c r="I1735" s="126">
        <f>IF(B1735="0",SUMIFS('Support - Transition'!F:F,'Support - Transition'!J:J,'Step 2'!D1735,'Support - Transition'!E:E,"STATE UNIT"),SUMIFS('Support - Transition'!F:F,'Support - Transition'!J:J,'Step 2'!D1735))</f>
        <v>1.3600000000000001E-3</v>
      </c>
      <c r="J1735" s="126">
        <f>SUMIFS('Support - Unit Adjustments'!E:E,'Support - Unit Adjustments'!F:F,'Step 2'!D1735)</f>
        <v>0</v>
      </c>
      <c r="K1735" s="126">
        <f t="shared" si="517"/>
        <v>1.3600000000000001E-3</v>
      </c>
      <c r="L1735" s="174">
        <f>VLOOKUP(A1735,'Step 1'!$A:$E,4,FALSE)</f>
        <v>218494</v>
      </c>
      <c r="M1735" s="47">
        <f t="shared" si="518"/>
        <v>297</v>
      </c>
      <c r="N1735" s="177">
        <f>SUMIFS('Support - Transition'!G:G,'Support - Transition'!J:J,'Step 2'!D1735,'Support - Transition'!E:E,"2009 WELFARE ALLOCATION FACTOR")</f>
        <v>0</v>
      </c>
      <c r="O1735" s="152">
        <f t="shared" si="523"/>
        <v>0</v>
      </c>
      <c r="P1735" s="126">
        <f>IF(E1735="Y",0,SUMIFS('Support - Transition'!G:G,'Support - Transition'!J:J,'Step 2'!D1735,'Support - Transition'!E:E,"2009 SCHOOL ALLOCATION FACTOR"))</f>
        <v>0</v>
      </c>
      <c r="Q1735" s="126">
        <f>IF(E1735="Y",VLOOKUP(D1735,'Support - Unit Adjustments'!F:G,2,FALSE),0)</f>
        <v>0</v>
      </c>
      <c r="R1735" s="155">
        <f t="shared" si="516"/>
        <v>0</v>
      </c>
      <c r="S1735" s="47">
        <f t="shared" si="515"/>
        <v>0</v>
      </c>
      <c r="T1735" s="151">
        <f t="shared" si="519"/>
        <v>297</v>
      </c>
      <c r="U1735" s="151">
        <f t="shared" si="520"/>
        <v>0</v>
      </c>
      <c r="V1735" s="139">
        <f t="shared" si="521"/>
        <v>0</v>
      </c>
      <c r="W1735" s="152">
        <f t="shared" si="524"/>
        <v>297</v>
      </c>
      <c r="X1735" s="127" t="str">
        <f t="shared" si="522"/>
        <v/>
      </c>
      <c r="Y1735" s="207">
        <f t="shared" si="525"/>
        <v>297</v>
      </c>
      <c r="Z1735" s="139">
        <f t="shared" si="526"/>
        <v>297</v>
      </c>
      <c r="AA1735" s="139">
        <f t="shared" si="527"/>
        <v>0</v>
      </c>
      <c r="AC1735" s="47">
        <f t="shared" si="528"/>
        <v>149</v>
      </c>
      <c r="AD1735" s="47">
        <f t="shared" si="529"/>
        <v>149</v>
      </c>
      <c r="AE1735" s="47">
        <f t="shared" si="530"/>
        <v>0</v>
      </c>
      <c r="AG1735" s="47">
        <f t="shared" si="531"/>
        <v>148</v>
      </c>
      <c r="AH1735" s="47">
        <f t="shared" si="532"/>
        <v>148</v>
      </c>
      <c r="AI1735" s="208">
        <f t="shared" si="533"/>
        <v>0</v>
      </c>
    </row>
    <row r="1736" spans="1:35">
      <c r="A1736" t="s">
        <v>2140</v>
      </c>
      <c r="B1736" t="s">
        <v>3160</v>
      </c>
      <c r="C1736" t="s">
        <v>2884</v>
      </c>
      <c r="D1736" t="s">
        <v>5184</v>
      </c>
      <c r="F1736" t="s">
        <v>1308</v>
      </c>
      <c r="G1736" s="126">
        <f>SUMIFS('Support - Transition'!F:F,'Support - Transition'!B:B,'Step 2'!A1736,'Support - Transition'!C:C,'Step 2'!B1736,'Support - Transition'!D:D,'Step 2'!C1736,'Support - Transition'!E:E,"CIVIL")</f>
        <v>0</v>
      </c>
      <c r="H1736" s="126">
        <f>SUMIFS('Support - Transition'!F:F,'Support - Transition'!B:B,'Step 2'!A1736,'Support - Transition'!C:C,'Step 2'!B1736,'Support - Transition'!D:D,'Step 2'!C1736,'Support - Transition'!E:E,"FIRE")</f>
        <v>0</v>
      </c>
      <c r="I1736" s="126">
        <f>IF(B1736="0",SUMIFS('Support - Transition'!F:F,'Support - Transition'!J:J,'Step 2'!D1736,'Support - Transition'!E:E,"STATE UNIT"),SUMIFS('Support - Transition'!F:F,'Support - Transition'!J:J,'Step 2'!D1736))</f>
        <v>0.30964000000000003</v>
      </c>
      <c r="J1736" s="126">
        <f>SUMIFS('Support - Unit Adjustments'!E:E,'Support - Unit Adjustments'!F:F,'Step 2'!D1736)</f>
        <v>0</v>
      </c>
      <c r="K1736" s="126">
        <f t="shared" si="517"/>
        <v>0.30964000000000003</v>
      </c>
      <c r="L1736" s="174">
        <f>VLOOKUP(A1736,'Step 1'!$A:$E,4,FALSE)</f>
        <v>218494</v>
      </c>
      <c r="M1736" s="47">
        <f t="shared" si="518"/>
        <v>67654</v>
      </c>
      <c r="N1736" s="177">
        <f>SUMIFS('Support - Transition'!G:G,'Support - Transition'!J:J,'Step 2'!D1736,'Support - Transition'!E:E,"2009 WELFARE ALLOCATION FACTOR")</f>
        <v>0</v>
      </c>
      <c r="O1736" s="152">
        <f t="shared" si="523"/>
        <v>0</v>
      </c>
      <c r="P1736" s="126">
        <f>IF(E1736="Y",0,SUMIFS('Support - Transition'!G:G,'Support - Transition'!J:J,'Step 2'!D1736,'Support - Transition'!E:E,"2009 SCHOOL ALLOCATION FACTOR"))</f>
        <v>0.47567799999999999</v>
      </c>
      <c r="Q1736" s="126">
        <f>IF(E1736="Y",VLOOKUP(D1736,'Support - Unit Adjustments'!F:G,2,FALSE),0)</f>
        <v>0</v>
      </c>
      <c r="R1736" s="155">
        <f t="shared" si="516"/>
        <v>0.47567799999999999</v>
      </c>
      <c r="S1736" s="47">
        <f t="shared" ref="S1736:S1799" si="534">ROUND(+R1736*M1736,0)</f>
        <v>32182</v>
      </c>
      <c r="T1736" s="151">
        <f t="shared" si="519"/>
        <v>35472</v>
      </c>
      <c r="U1736" s="151">
        <f t="shared" si="520"/>
        <v>0</v>
      </c>
      <c r="V1736" s="139">
        <f t="shared" si="521"/>
        <v>0</v>
      </c>
      <c r="W1736" s="152">
        <f t="shared" si="524"/>
        <v>35472</v>
      </c>
      <c r="X1736" s="127" t="str">
        <f t="shared" si="522"/>
        <v/>
      </c>
      <c r="Y1736" s="207">
        <f t="shared" si="525"/>
        <v>35472</v>
      </c>
      <c r="Z1736" s="139">
        <f t="shared" si="526"/>
        <v>35472</v>
      </c>
      <c r="AA1736" s="139">
        <f t="shared" si="527"/>
        <v>0</v>
      </c>
      <c r="AC1736" s="47">
        <f t="shared" si="528"/>
        <v>17736</v>
      </c>
      <c r="AD1736" s="47">
        <f t="shared" si="529"/>
        <v>17736</v>
      </c>
      <c r="AE1736" s="47">
        <f t="shared" si="530"/>
        <v>0</v>
      </c>
      <c r="AG1736" s="47">
        <f t="shared" si="531"/>
        <v>17736</v>
      </c>
      <c r="AH1736" s="47">
        <f t="shared" si="532"/>
        <v>17736</v>
      </c>
      <c r="AI1736" s="208">
        <f t="shared" si="533"/>
        <v>0</v>
      </c>
    </row>
    <row r="1737" spans="1:35">
      <c r="A1737" t="s">
        <v>2140</v>
      </c>
      <c r="B1737" t="s">
        <v>3160</v>
      </c>
      <c r="C1737" t="s">
        <v>2247</v>
      </c>
      <c r="D1737" t="s">
        <v>5185</v>
      </c>
      <c r="F1737" t="s">
        <v>123</v>
      </c>
      <c r="G1737" s="126">
        <f>SUMIFS('Support - Transition'!F:F,'Support - Transition'!B:B,'Step 2'!A1737,'Support - Transition'!C:C,'Step 2'!B1737,'Support - Transition'!D:D,'Step 2'!C1737,'Support - Transition'!E:E,"CIVIL")</f>
        <v>0</v>
      </c>
      <c r="H1737" s="126">
        <f>SUMIFS('Support - Transition'!F:F,'Support - Transition'!B:B,'Step 2'!A1737,'Support - Transition'!C:C,'Step 2'!B1737,'Support - Transition'!D:D,'Step 2'!C1737,'Support - Transition'!E:E,"FIRE")</f>
        <v>0</v>
      </c>
      <c r="I1737" s="126">
        <f>IF(B1737="0",SUMIFS('Support - Transition'!F:F,'Support - Transition'!J:J,'Step 2'!D1737,'Support - Transition'!E:E,"STATE UNIT"),SUMIFS('Support - Transition'!F:F,'Support - Transition'!J:J,'Step 2'!D1737))</f>
        <v>0.26789200000000002</v>
      </c>
      <c r="J1737" s="126">
        <f>SUMIFS('Support - Unit Adjustments'!E:E,'Support - Unit Adjustments'!F:F,'Step 2'!D1737)</f>
        <v>0</v>
      </c>
      <c r="K1737" s="126">
        <f t="shared" si="517"/>
        <v>0.26789200000000002</v>
      </c>
      <c r="L1737" s="174">
        <f>VLOOKUP(A1737,'Step 1'!$A:$E,4,FALSE)</f>
        <v>218494</v>
      </c>
      <c r="M1737" s="47">
        <f t="shared" si="518"/>
        <v>58533</v>
      </c>
      <c r="N1737" s="177">
        <f>SUMIFS('Support - Transition'!G:G,'Support - Transition'!J:J,'Step 2'!D1737,'Support - Transition'!E:E,"2009 WELFARE ALLOCATION FACTOR")</f>
        <v>0</v>
      </c>
      <c r="O1737" s="152">
        <f t="shared" si="523"/>
        <v>0</v>
      </c>
      <c r="P1737" s="126">
        <f>IF(E1737="Y",0,SUMIFS('Support - Transition'!G:G,'Support - Transition'!J:J,'Step 2'!D1737,'Support - Transition'!E:E,"2009 SCHOOL ALLOCATION FACTOR"))</f>
        <v>0.46950199999999997</v>
      </c>
      <c r="Q1737" s="126">
        <f>IF(E1737="Y",VLOOKUP(D1737,'Support - Unit Adjustments'!F:G,2,FALSE),0)</f>
        <v>0</v>
      </c>
      <c r="R1737" s="155">
        <f t="shared" ref="R1737:R1800" si="535">+P1737+Q1737</f>
        <v>0.46950199999999997</v>
      </c>
      <c r="S1737" s="47">
        <f t="shared" si="534"/>
        <v>27481</v>
      </c>
      <c r="T1737" s="151">
        <f t="shared" si="519"/>
        <v>31052</v>
      </c>
      <c r="U1737" s="151">
        <f t="shared" si="520"/>
        <v>0</v>
      </c>
      <c r="V1737" s="139">
        <f t="shared" si="521"/>
        <v>0</v>
      </c>
      <c r="W1737" s="152">
        <f t="shared" si="524"/>
        <v>31052</v>
      </c>
      <c r="X1737" s="127" t="str">
        <f t="shared" si="522"/>
        <v/>
      </c>
      <c r="Y1737" s="207">
        <f t="shared" si="525"/>
        <v>31052</v>
      </c>
      <c r="Z1737" s="139">
        <f t="shared" si="526"/>
        <v>31052</v>
      </c>
      <c r="AA1737" s="139">
        <f t="shared" si="527"/>
        <v>0</v>
      </c>
      <c r="AC1737" s="47">
        <f t="shared" si="528"/>
        <v>15526</v>
      </c>
      <c r="AD1737" s="47">
        <f t="shared" si="529"/>
        <v>15526</v>
      </c>
      <c r="AE1737" s="47">
        <f t="shared" si="530"/>
        <v>0</v>
      </c>
      <c r="AG1737" s="47">
        <f t="shared" si="531"/>
        <v>15526</v>
      </c>
      <c r="AH1737" s="47">
        <f t="shared" si="532"/>
        <v>15526</v>
      </c>
      <c r="AI1737" s="208">
        <f t="shared" si="533"/>
        <v>0</v>
      </c>
    </row>
    <row r="1738" spans="1:35">
      <c r="A1738" t="s">
        <v>2140</v>
      </c>
      <c r="B1738" t="s">
        <v>3166</v>
      </c>
      <c r="C1738" t="s">
        <v>2885</v>
      </c>
      <c r="D1738" t="s">
        <v>5186</v>
      </c>
      <c r="F1738" t="s">
        <v>1309</v>
      </c>
      <c r="G1738" s="126">
        <f>SUMIFS('Support - Transition'!F:F,'Support - Transition'!B:B,'Step 2'!A1738,'Support - Transition'!C:C,'Step 2'!B1738,'Support - Transition'!D:D,'Step 2'!C1738,'Support - Transition'!E:E,"CIVIL")</f>
        <v>0</v>
      </c>
      <c r="H1738" s="126">
        <f>SUMIFS('Support - Transition'!F:F,'Support - Transition'!B:B,'Step 2'!A1738,'Support - Transition'!C:C,'Step 2'!B1738,'Support - Transition'!D:D,'Step 2'!C1738,'Support - Transition'!E:E,"FIRE")</f>
        <v>0</v>
      </c>
      <c r="I1738" s="126">
        <f>IF(B1738="0",SUMIFS('Support - Transition'!F:F,'Support - Transition'!J:J,'Step 2'!D1738,'Support - Transition'!E:E,"STATE UNIT"),SUMIFS('Support - Transition'!F:F,'Support - Transition'!J:J,'Step 2'!D1738))</f>
        <v>7.9459999999999999E-3</v>
      </c>
      <c r="J1738" s="126">
        <f>SUMIFS('Support - Unit Adjustments'!E:E,'Support - Unit Adjustments'!F:F,'Step 2'!D1738)</f>
        <v>0</v>
      </c>
      <c r="K1738" s="126">
        <f t="shared" si="517"/>
        <v>7.9459999999999999E-3</v>
      </c>
      <c r="L1738" s="174">
        <f>VLOOKUP(A1738,'Step 1'!$A:$E,4,FALSE)</f>
        <v>218494</v>
      </c>
      <c r="M1738" s="47">
        <f t="shared" si="518"/>
        <v>1736</v>
      </c>
      <c r="N1738" s="177">
        <f>SUMIFS('Support - Transition'!G:G,'Support - Transition'!J:J,'Step 2'!D1738,'Support - Transition'!E:E,"2009 WELFARE ALLOCATION FACTOR")</f>
        <v>0</v>
      </c>
      <c r="O1738" s="152">
        <f t="shared" si="523"/>
        <v>0</v>
      </c>
      <c r="P1738" s="126">
        <f>IF(E1738="Y",0,SUMIFS('Support - Transition'!G:G,'Support - Transition'!J:J,'Step 2'!D1738,'Support - Transition'!E:E,"2009 SCHOOL ALLOCATION FACTOR"))</f>
        <v>0</v>
      </c>
      <c r="Q1738" s="126">
        <f>IF(E1738="Y",VLOOKUP(D1738,'Support - Unit Adjustments'!F:G,2,FALSE),0)</f>
        <v>0</v>
      </c>
      <c r="R1738" s="155">
        <f t="shared" si="535"/>
        <v>0</v>
      </c>
      <c r="S1738" s="47">
        <f t="shared" si="534"/>
        <v>0</v>
      </c>
      <c r="T1738" s="151">
        <f t="shared" si="519"/>
        <v>1736</v>
      </c>
      <c r="U1738" s="151">
        <f t="shared" si="520"/>
        <v>0</v>
      </c>
      <c r="V1738" s="139">
        <f t="shared" si="521"/>
        <v>0</v>
      </c>
      <c r="W1738" s="152">
        <f t="shared" si="524"/>
        <v>1736</v>
      </c>
      <c r="X1738" s="127" t="str">
        <f t="shared" si="522"/>
        <v/>
      </c>
      <c r="Y1738" s="207">
        <f t="shared" si="525"/>
        <v>1736</v>
      </c>
      <c r="Z1738" s="139">
        <f t="shared" si="526"/>
        <v>1736</v>
      </c>
      <c r="AA1738" s="139">
        <f t="shared" si="527"/>
        <v>0</v>
      </c>
      <c r="AC1738" s="47">
        <f t="shared" si="528"/>
        <v>868</v>
      </c>
      <c r="AD1738" s="47">
        <f t="shared" si="529"/>
        <v>868</v>
      </c>
      <c r="AE1738" s="47">
        <f t="shared" si="530"/>
        <v>0</v>
      </c>
      <c r="AG1738" s="47">
        <f t="shared" si="531"/>
        <v>868</v>
      </c>
      <c r="AH1738" s="47">
        <f t="shared" si="532"/>
        <v>868</v>
      </c>
      <c r="AI1738" s="208">
        <f t="shared" si="533"/>
        <v>0</v>
      </c>
    </row>
    <row r="1739" spans="1:35">
      <c r="A1739" t="s">
        <v>2140</v>
      </c>
      <c r="B1739" t="s">
        <v>3166</v>
      </c>
      <c r="C1739" t="s">
        <v>2886</v>
      </c>
      <c r="D1739" t="s">
        <v>5187</v>
      </c>
      <c r="F1739" t="s">
        <v>1310</v>
      </c>
      <c r="G1739" s="126">
        <f>SUMIFS('Support - Transition'!F:F,'Support - Transition'!B:B,'Step 2'!A1739,'Support - Transition'!C:C,'Step 2'!B1739,'Support - Transition'!D:D,'Step 2'!C1739,'Support - Transition'!E:E,"CIVIL")</f>
        <v>0</v>
      </c>
      <c r="H1739" s="126">
        <f>SUMIFS('Support - Transition'!F:F,'Support - Transition'!B:B,'Step 2'!A1739,'Support - Transition'!C:C,'Step 2'!B1739,'Support - Transition'!D:D,'Step 2'!C1739,'Support - Transition'!E:E,"FIRE")</f>
        <v>0</v>
      </c>
      <c r="I1739" s="126">
        <f>IF(B1739="0",SUMIFS('Support - Transition'!F:F,'Support - Transition'!J:J,'Step 2'!D1739,'Support - Transition'!E:E,"STATE UNIT"),SUMIFS('Support - Transition'!F:F,'Support - Transition'!J:J,'Step 2'!D1739))</f>
        <v>3.3909999999999999E-3</v>
      </c>
      <c r="J1739" s="126">
        <f>SUMIFS('Support - Unit Adjustments'!E:E,'Support - Unit Adjustments'!F:F,'Step 2'!D1739)</f>
        <v>0</v>
      </c>
      <c r="K1739" s="126">
        <f t="shared" si="517"/>
        <v>3.3909999999999999E-3</v>
      </c>
      <c r="L1739" s="174">
        <f>VLOOKUP(A1739,'Step 1'!$A:$E,4,FALSE)</f>
        <v>218494</v>
      </c>
      <c r="M1739" s="47">
        <f t="shared" si="518"/>
        <v>741</v>
      </c>
      <c r="N1739" s="177">
        <f>SUMIFS('Support - Transition'!G:G,'Support - Transition'!J:J,'Step 2'!D1739,'Support - Transition'!E:E,"2009 WELFARE ALLOCATION FACTOR")</f>
        <v>0</v>
      </c>
      <c r="O1739" s="152">
        <f t="shared" si="523"/>
        <v>0</v>
      </c>
      <c r="P1739" s="126">
        <f>IF(E1739="Y",0,SUMIFS('Support - Transition'!G:G,'Support - Transition'!J:J,'Step 2'!D1739,'Support - Transition'!E:E,"2009 SCHOOL ALLOCATION FACTOR"))</f>
        <v>0</v>
      </c>
      <c r="Q1739" s="126">
        <f>IF(E1739="Y",VLOOKUP(D1739,'Support - Unit Adjustments'!F:G,2,FALSE),0)</f>
        <v>0</v>
      </c>
      <c r="R1739" s="155">
        <f t="shared" si="535"/>
        <v>0</v>
      </c>
      <c r="S1739" s="47">
        <f t="shared" si="534"/>
        <v>0</v>
      </c>
      <c r="T1739" s="151">
        <f t="shared" si="519"/>
        <v>741</v>
      </c>
      <c r="U1739" s="151">
        <f t="shared" si="520"/>
        <v>0</v>
      </c>
      <c r="V1739" s="139">
        <f t="shared" si="521"/>
        <v>0</v>
      </c>
      <c r="W1739" s="152">
        <f t="shared" si="524"/>
        <v>741</v>
      </c>
      <c r="X1739" s="127" t="str">
        <f t="shared" si="522"/>
        <v/>
      </c>
      <c r="Y1739" s="207">
        <f t="shared" si="525"/>
        <v>741</v>
      </c>
      <c r="Z1739" s="139">
        <f t="shared" si="526"/>
        <v>741</v>
      </c>
      <c r="AA1739" s="139">
        <f t="shared" si="527"/>
        <v>0</v>
      </c>
      <c r="AC1739" s="47">
        <f t="shared" si="528"/>
        <v>371</v>
      </c>
      <c r="AD1739" s="47">
        <f t="shared" si="529"/>
        <v>371</v>
      </c>
      <c r="AE1739" s="47">
        <f t="shared" si="530"/>
        <v>0</v>
      </c>
      <c r="AG1739" s="47">
        <f t="shared" si="531"/>
        <v>370</v>
      </c>
      <c r="AH1739" s="47">
        <f t="shared" si="532"/>
        <v>370</v>
      </c>
      <c r="AI1739" s="208">
        <f t="shared" si="533"/>
        <v>0</v>
      </c>
    </row>
    <row r="1740" spans="1:35">
      <c r="A1740" t="s">
        <v>2140</v>
      </c>
      <c r="B1740" t="s">
        <v>3166</v>
      </c>
      <c r="C1740" t="s">
        <v>2887</v>
      </c>
      <c r="D1740" t="s">
        <v>5188</v>
      </c>
      <c r="F1740" t="s">
        <v>1311</v>
      </c>
      <c r="G1740" s="126">
        <f>SUMIFS('Support - Transition'!F:F,'Support - Transition'!B:B,'Step 2'!A1740,'Support - Transition'!C:C,'Step 2'!B1740,'Support - Transition'!D:D,'Step 2'!C1740,'Support - Transition'!E:E,"CIVIL")</f>
        <v>0</v>
      </c>
      <c r="H1740" s="126">
        <f>SUMIFS('Support - Transition'!F:F,'Support - Transition'!B:B,'Step 2'!A1740,'Support - Transition'!C:C,'Step 2'!B1740,'Support - Transition'!D:D,'Step 2'!C1740,'Support - Transition'!E:E,"FIRE")</f>
        <v>0</v>
      </c>
      <c r="I1740" s="126">
        <f>IF(B1740="0",SUMIFS('Support - Transition'!F:F,'Support - Transition'!J:J,'Step 2'!D1740,'Support - Transition'!E:E,"STATE UNIT"),SUMIFS('Support - Transition'!F:F,'Support - Transition'!J:J,'Step 2'!D1740))</f>
        <v>3.8289999999999999E-3</v>
      </c>
      <c r="J1740" s="126">
        <f>SUMIFS('Support - Unit Adjustments'!E:E,'Support - Unit Adjustments'!F:F,'Step 2'!D1740)</f>
        <v>0</v>
      </c>
      <c r="K1740" s="126">
        <f t="shared" si="517"/>
        <v>3.8289999999999999E-3</v>
      </c>
      <c r="L1740" s="174">
        <f>VLOOKUP(A1740,'Step 1'!$A:$E,4,FALSE)</f>
        <v>218494</v>
      </c>
      <c r="M1740" s="47">
        <f t="shared" si="518"/>
        <v>837</v>
      </c>
      <c r="N1740" s="177">
        <f>SUMIFS('Support - Transition'!G:G,'Support - Transition'!J:J,'Step 2'!D1740,'Support - Transition'!E:E,"2009 WELFARE ALLOCATION FACTOR")</f>
        <v>0</v>
      </c>
      <c r="O1740" s="152">
        <f t="shared" si="523"/>
        <v>0</v>
      </c>
      <c r="P1740" s="126">
        <f>IF(E1740="Y",0,SUMIFS('Support - Transition'!G:G,'Support - Transition'!J:J,'Step 2'!D1740,'Support - Transition'!E:E,"2009 SCHOOL ALLOCATION FACTOR"))</f>
        <v>0</v>
      </c>
      <c r="Q1740" s="126">
        <f>IF(E1740="Y",VLOOKUP(D1740,'Support - Unit Adjustments'!F:G,2,FALSE),0)</f>
        <v>0</v>
      </c>
      <c r="R1740" s="155">
        <f t="shared" si="535"/>
        <v>0</v>
      </c>
      <c r="S1740" s="47">
        <f t="shared" si="534"/>
        <v>0</v>
      </c>
      <c r="T1740" s="151">
        <f t="shared" si="519"/>
        <v>837</v>
      </c>
      <c r="U1740" s="151">
        <f t="shared" si="520"/>
        <v>0</v>
      </c>
      <c r="V1740" s="139">
        <f t="shared" si="521"/>
        <v>0</v>
      </c>
      <c r="W1740" s="152">
        <f t="shared" si="524"/>
        <v>837</v>
      </c>
      <c r="X1740" s="127" t="str">
        <f t="shared" si="522"/>
        <v/>
      </c>
      <c r="Y1740" s="207">
        <f t="shared" si="525"/>
        <v>837</v>
      </c>
      <c r="Z1740" s="139">
        <f t="shared" si="526"/>
        <v>837</v>
      </c>
      <c r="AA1740" s="139">
        <f t="shared" si="527"/>
        <v>0</v>
      </c>
      <c r="AC1740" s="47">
        <f t="shared" si="528"/>
        <v>419</v>
      </c>
      <c r="AD1740" s="47">
        <f t="shared" si="529"/>
        <v>419</v>
      </c>
      <c r="AE1740" s="47">
        <f t="shared" si="530"/>
        <v>0</v>
      </c>
      <c r="AG1740" s="47">
        <f t="shared" si="531"/>
        <v>418</v>
      </c>
      <c r="AH1740" s="47">
        <f t="shared" si="532"/>
        <v>418</v>
      </c>
      <c r="AI1740" s="208">
        <f t="shared" si="533"/>
        <v>0</v>
      </c>
    </row>
    <row r="1741" spans="1:35">
      <c r="A1741" t="s">
        <v>2140</v>
      </c>
      <c r="B1741" t="s">
        <v>3166</v>
      </c>
      <c r="C1741" t="s">
        <v>5189</v>
      </c>
      <c r="D1741" t="s">
        <v>5190</v>
      </c>
      <c r="F1741" t="s">
        <v>1312</v>
      </c>
      <c r="G1741" s="126">
        <f>SUMIFS('Support - Transition'!F:F,'Support - Transition'!B:B,'Step 2'!A1741,'Support - Transition'!C:C,'Step 2'!B1741,'Support - Transition'!D:D,'Step 2'!C1741,'Support - Transition'!E:E,"CIVIL")</f>
        <v>0</v>
      </c>
      <c r="H1741" s="126">
        <f>SUMIFS('Support - Transition'!F:F,'Support - Transition'!B:B,'Step 2'!A1741,'Support - Transition'!C:C,'Step 2'!B1741,'Support - Transition'!D:D,'Step 2'!C1741,'Support - Transition'!E:E,"FIRE")</f>
        <v>0</v>
      </c>
      <c r="I1741" s="126">
        <f>IF(B1741="0",SUMIFS('Support - Transition'!F:F,'Support - Transition'!J:J,'Step 2'!D1741,'Support - Transition'!E:E,"STATE UNIT"),SUMIFS('Support - Transition'!F:F,'Support - Transition'!J:J,'Step 2'!D1741))</f>
        <v>1.7464E-2</v>
      </c>
      <c r="J1741" s="126">
        <f>SUMIFS('Support - Unit Adjustments'!E:E,'Support - Unit Adjustments'!F:F,'Step 2'!D1741)</f>
        <v>0</v>
      </c>
      <c r="K1741" s="126">
        <f t="shared" si="517"/>
        <v>1.7464E-2</v>
      </c>
      <c r="L1741" s="174">
        <f>VLOOKUP(A1741,'Step 1'!$A:$E,4,FALSE)</f>
        <v>218494</v>
      </c>
      <c r="M1741" s="47">
        <f t="shared" si="518"/>
        <v>3816</v>
      </c>
      <c r="N1741" s="177">
        <f>SUMIFS('Support - Transition'!G:G,'Support - Transition'!J:J,'Step 2'!D1741,'Support - Transition'!E:E,"2009 WELFARE ALLOCATION FACTOR")</f>
        <v>0</v>
      </c>
      <c r="O1741" s="152">
        <f t="shared" si="523"/>
        <v>0</v>
      </c>
      <c r="P1741" s="126">
        <f>IF(E1741="Y",0,SUMIFS('Support - Transition'!G:G,'Support - Transition'!J:J,'Step 2'!D1741,'Support - Transition'!E:E,"2009 SCHOOL ALLOCATION FACTOR"))</f>
        <v>0</v>
      </c>
      <c r="Q1741" s="126">
        <f>IF(E1741="Y",VLOOKUP(D1741,'Support - Unit Adjustments'!F:G,2,FALSE),0)</f>
        <v>0</v>
      </c>
      <c r="R1741" s="155">
        <f t="shared" si="535"/>
        <v>0</v>
      </c>
      <c r="S1741" s="47">
        <f t="shared" si="534"/>
        <v>0</v>
      </c>
      <c r="T1741" s="151">
        <f t="shared" si="519"/>
        <v>3816</v>
      </c>
      <c r="U1741" s="151">
        <f t="shared" si="520"/>
        <v>0</v>
      </c>
      <c r="V1741" s="139">
        <f t="shared" si="521"/>
        <v>0</v>
      </c>
      <c r="W1741" s="152">
        <f t="shared" si="524"/>
        <v>3816</v>
      </c>
      <c r="X1741" s="127" t="str">
        <f t="shared" si="522"/>
        <v/>
      </c>
      <c r="Y1741" s="207">
        <f t="shared" si="525"/>
        <v>3816</v>
      </c>
      <c r="Z1741" s="139">
        <f t="shared" si="526"/>
        <v>3816</v>
      </c>
      <c r="AA1741" s="139">
        <f t="shared" si="527"/>
        <v>0</v>
      </c>
      <c r="AC1741" s="47">
        <f t="shared" si="528"/>
        <v>1908</v>
      </c>
      <c r="AD1741" s="47">
        <f t="shared" si="529"/>
        <v>1908</v>
      </c>
      <c r="AE1741" s="47">
        <f t="shared" si="530"/>
        <v>0</v>
      </c>
      <c r="AG1741" s="47">
        <f t="shared" si="531"/>
        <v>1908</v>
      </c>
      <c r="AH1741" s="47">
        <f t="shared" si="532"/>
        <v>1908</v>
      </c>
      <c r="AI1741" s="208">
        <f t="shared" si="533"/>
        <v>0</v>
      </c>
    </row>
    <row r="1742" spans="1:35">
      <c r="A1742" t="s">
        <v>2140</v>
      </c>
      <c r="B1742" t="s">
        <v>3170</v>
      </c>
      <c r="C1742" t="s">
        <v>3281</v>
      </c>
      <c r="D1742" t="s">
        <v>5191</v>
      </c>
      <c r="F1742" t="s">
        <v>131</v>
      </c>
      <c r="G1742" s="126">
        <f>SUMIFS('Support - Transition'!F:F,'Support - Transition'!B:B,'Step 2'!A1742,'Support - Transition'!C:C,'Step 2'!B1742,'Support - Transition'!D:D,'Step 2'!C1742,'Support - Transition'!E:E,"CIVIL")</f>
        <v>0</v>
      </c>
      <c r="H1742" s="126">
        <f>SUMIFS('Support - Transition'!F:F,'Support - Transition'!B:B,'Step 2'!A1742,'Support - Transition'!C:C,'Step 2'!B1742,'Support - Transition'!D:D,'Step 2'!C1742,'Support - Transition'!E:E,"FIRE")</f>
        <v>0</v>
      </c>
      <c r="I1742" s="126">
        <f>IF(B1742="0",SUMIFS('Support - Transition'!F:F,'Support - Transition'!J:J,'Step 2'!D1742,'Support - Transition'!E:E,"STATE UNIT"),SUMIFS('Support - Transition'!F:F,'Support - Transition'!J:J,'Step 2'!D1742))</f>
        <v>0</v>
      </c>
      <c r="J1742" s="126">
        <f>SUMIFS('Support - Unit Adjustments'!E:E,'Support - Unit Adjustments'!F:F,'Step 2'!D1742)</f>
        <v>0</v>
      </c>
      <c r="K1742" s="126">
        <f t="shared" si="517"/>
        <v>0</v>
      </c>
      <c r="L1742" s="174">
        <f>VLOOKUP(A1742,'Step 1'!$A:$E,4,FALSE)</f>
        <v>218494</v>
      </c>
      <c r="M1742" s="47">
        <f t="shared" si="518"/>
        <v>0</v>
      </c>
      <c r="N1742" s="177">
        <f>SUMIFS('Support - Transition'!G:G,'Support - Transition'!J:J,'Step 2'!D1742,'Support - Transition'!E:E,"2009 WELFARE ALLOCATION FACTOR")</f>
        <v>0</v>
      </c>
      <c r="O1742" s="152">
        <f t="shared" si="523"/>
        <v>0</v>
      </c>
      <c r="P1742" s="126">
        <f>IF(E1742="Y",0,SUMIFS('Support - Transition'!G:G,'Support - Transition'!J:J,'Step 2'!D1742,'Support - Transition'!E:E,"2009 SCHOOL ALLOCATION FACTOR"))</f>
        <v>0</v>
      </c>
      <c r="Q1742" s="126">
        <f>IF(E1742="Y",VLOOKUP(D1742,'Support - Unit Adjustments'!F:G,2,FALSE),0)</f>
        <v>0</v>
      </c>
      <c r="R1742" s="155">
        <f t="shared" si="535"/>
        <v>0</v>
      </c>
      <c r="S1742" s="47">
        <f t="shared" si="534"/>
        <v>0</v>
      </c>
      <c r="T1742" s="151">
        <f t="shared" si="519"/>
        <v>0</v>
      </c>
      <c r="U1742" s="151">
        <f t="shared" si="520"/>
        <v>0</v>
      </c>
      <c r="V1742" s="139">
        <f t="shared" si="521"/>
        <v>0</v>
      </c>
      <c r="W1742" s="152">
        <f t="shared" si="524"/>
        <v>0</v>
      </c>
      <c r="X1742" s="127" t="str">
        <f t="shared" si="522"/>
        <v/>
      </c>
      <c r="Y1742" s="207">
        <f t="shared" si="525"/>
        <v>0</v>
      </c>
      <c r="Z1742" s="139">
        <f t="shared" si="526"/>
        <v>0</v>
      </c>
      <c r="AA1742" s="139">
        <f t="shared" si="527"/>
        <v>0</v>
      </c>
      <c r="AC1742" s="47">
        <f t="shared" si="528"/>
        <v>0</v>
      </c>
      <c r="AD1742" s="47">
        <f t="shared" si="529"/>
        <v>0</v>
      </c>
      <c r="AE1742" s="47">
        <f t="shared" si="530"/>
        <v>0</v>
      </c>
      <c r="AG1742" s="47">
        <f t="shared" si="531"/>
        <v>0</v>
      </c>
      <c r="AH1742" s="47">
        <f t="shared" si="532"/>
        <v>0</v>
      </c>
      <c r="AI1742" s="208">
        <f t="shared" si="533"/>
        <v>0</v>
      </c>
    </row>
    <row r="1743" spans="1:35">
      <c r="A1743" t="s">
        <v>2140</v>
      </c>
      <c r="B1743" t="s">
        <v>3286</v>
      </c>
      <c r="C1743" t="s">
        <v>2213</v>
      </c>
      <c r="D1743" t="s">
        <v>5192</v>
      </c>
      <c r="F1743" t="s">
        <v>5193</v>
      </c>
      <c r="G1743" s="126">
        <f>SUMIFS('Support - Transition'!F:F,'Support - Transition'!B:B,'Step 2'!A1743,'Support - Transition'!C:C,'Step 2'!B1743,'Support - Transition'!D:D,'Step 2'!C1743,'Support - Transition'!E:E,"CIVIL")</f>
        <v>0</v>
      </c>
      <c r="H1743" s="126">
        <f>SUMIFS('Support - Transition'!F:F,'Support - Transition'!B:B,'Step 2'!A1743,'Support - Transition'!C:C,'Step 2'!B1743,'Support - Transition'!D:D,'Step 2'!C1743,'Support - Transition'!E:E,"FIRE")</f>
        <v>0</v>
      </c>
      <c r="I1743" s="126">
        <f>IF(B1743="0",SUMIFS('Support - Transition'!F:F,'Support - Transition'!J:J,'Step 2'!D1743,'Support - Transition'!E:E,"STATE UNIT"),SUMIFS('Support - Transition'!F:F,'Support - Transition'!J:J,'Step 2'!D1743))</f>
        <v>0</v>
      </c>
      <c r="J1743" s="126">
        <f>SUMIFS('Support - Unit Adjustments'!E:E,'Support - Unit Adjustments'!F:F,'Step 2'!D1743)</f>
        <v>0</v>
      </c>
      <c r="K1743" s="126">
        <f t="shared" si="517"/>
        <v>0</v>
      </c>
      <c r="L1743" s="174">
        <f>VLOOKUP(A1743,'Step 1'!$A:$E,4,FALSE)</f>
        <v>218494</v>
      </c>
      <c r="M1743" s="47">
        <f t="shared" si="518"/>
        <v>0</v>
      </c>
      <c r="N1743" s="177">
        <f>SUMIFS('Support - Transition'!G:G,'Support - Transition'!J:J,'Step 2'!D1743,'Support - Transition'!E:E,"2009 WELFARE ALLOCATION FACTOR")</f>
        <v>0</v>
      </c>
      <c r="O1743" s="152">
        <f t="shared" si="523"/>
        <v>0</v>
      </c>
      <c r="P1743" s="126">
        <f>IF(E1743="Y",0,SUMIFS('Support - Transition'!G:G,'Support - Transition'!J:J,'Step 2'!D1743,'Support - Transition'!E:E,"2009 SCHOOL ALLOCATION FACTOR"))</f>
        <v>0</v>
      </c>
      <c r="Q1743" s="126">
        <f>IF(E1743="Y",VLOOKUP(D1743,'Support - Unit Adjustments'!F:G,2,FALSE),0)</f>
        <v>0</v>
      </c>
      <c r="R1743" s="155">
        <f t="shared" si="535"/>
        <v>0</v>
      </c>
      <c r="S1743" s="47">
        <f t="shared" si="534"/>
        <v>0</v>
      </c>
      <c r="T1743" s="151">
        <f t="shared" si="519"/>
        <v>0</v>
      </c>
      <c r="U1743" s="151">
        <f t="shared" si="520"/>
        <v>0</v>
      </c>
      <c r="V1743" s="139">
        <f t="shared" si="521"/>
        <v>0</v>
      </c>
      <c r="W1743" s="152">
        <f t="shared" si="524"/>
        <v>0</v>
      </c>
      <c r="X1743" s="127" t="str">
        <f t="shared" si="522"/>
        <v/>
      </c>
      <c r="Y1743" s="207">
        <f t="shared" si="525"/>
        <v>0</v>
      </c>
      <c r="Z1743" s="139">
        <f t="shared" si="526"/>
        <v>0</v>
      </c>
      <c r="AA1743" s="139">
        <f t="shared" si="527"/>
        <v>0</v>
      </c>
      <c r="AC1743" s="47">
        <f t="shared" si="528"/>
        <v>0</v>
      </c>
      <c r="AD1743" s="47">
        <f t="shared" si="529"/>
        <v>0</v>
      </c>
      <c r="AE1743" s="47">
        <f t="shared" si="530"/>
        <v>0</v>
      </c>
      <c r="AG1743" s="47">
        <f t="shared" si="531"/>
        <v>0</v>
      </c>
      <c r="AH1743" s="47">
        <f t="shared" si="532"/>
        <v>0</v>
      </c>
      <c r="AI1743" s="208">
        <f t="shared" si="533"/>
        <v>0</v>
      </c>
    </row>
    <row r="1744" spans="1:35">
      <c r="A1744" t="s">
        <v>2140</v>
      </c>
      <c r="B1744" t="s">
        <v>3286</v>
      </c>
      <c r="C1744" t="s">
        <v>2441</v>
      </c>
      <c r="D1744" t="s">
        <v>5194</v>
      </c>
      <c r="F1744" t="s">
        <v>5195</v>
      </c>
      <c r="G1744" s="126">
        <f>SUMIFS('Support - Transition'!F:F,'Support - Transition'!B:B,'Step 2'!A1744,'Support - Transition'!C:C,'Step 2'!B1744,'Support - Transition'!D:D,'Step 2'!C1744,'Support - Transition'!E:E,"CIVIL")</f>
        <v>0</v>
      </c>
      <c r="H1744" s="126">
        <f>SUMIFS('Support - Transition'!F:F,'Support - Transition'!B:B,'Step 2'!A1744,'Support - Transition'!C:C,'Step 2'!B1744,'Support - Transition'!D:D,'Step 2'!C1744,'Support - Transition'!E:E,"FIRE")</f>
        <v>0</v>
      </c>
      <c r="I1744" s="126">
        <f>IF(B1744="0",SUMIFS('Support - Transition'!F:F,'Support - Transition'!J:J,'Step 2'!D1744,'Support - Transition'!E:E,"STATE UNIT"),SUMIFS('Support - Transition'!F:F,'Support - Transition'!J:J,'Step 2'!D1744))</f>
        <v>0</v>
      </c>
      <c r="J1744" s="126">
        <f>SUMIFS('Support - Unit Adjustments'!E:E,'Support - Unit Adjustments'!F:F,'Step 2'!D1744)</f>
        <v>0</v>
      </c>
      <c r="K1744" s="126">
        <f t="shared" si="517"/>
        <v>0</v>
      </c>
      <c r="L1744" s="174">
        <f>VLOOKUP(A1744,'Step 1'!$A:$E,4,FALSE)</f>
        <v>218494</v>
      </c>
      <c r="M1744" s="47">
        <f t="shared" si="518"/>
        <v>0</v>
      </c>
      <c r="N1744" s="177">
        <f>SUMIFS('Support - Transition'!G:G,'Support - Transition'!J:J,'Step 2'!D1744,'Support - Transition'!E:E,"2009 WELFARE ALLOCATION FACTOR")</f>
        <v>0</v>
      </c>
      <c r="O1744" s="152">
        <f t="shared" si="523"/>
        <v>0</v>
      </c>
      <c r="P1744" s="126">
        <f>IF(E1744="Y",0,SUMIFS('Support - Transition'!G:G,'Support - Transition'!J:J,'Step 2'!D1744,'Support - Transition'!E:E,"2009 SCHOOL ALLOCATION FACTOR"))</f>
        <v>0</v>
      </c>
      <c r="Q1744" s="126">
        <f>IF(E1744="Y",VLOOKUP(D1744,'Support - Unit Adjustments'!F:G,2,FALSE),0)</f>
        <v>0</v>
      </c>
      <c r="R1744" s="155">
        <f t="shared" si="535"/>
        <v>0</v>
      </c>
      <c r="S1744" s="47">
        <f t="shared" si="534"/>
        <v>0</v>
      </c>
      <c r="T1744" s="151">
        <f t="shared" si="519"/>
        <v>0</v>
      </c>
      <c r="U1744" s="151">
        <f t="shared" si="520"/>
        <v>0</v>
      </c>
      <c r="V1744" s="139">
        <f t="shared" si="521"/>
        <v>0</v>
      </c>
      <c r="W1744" s="152">
        <f t="shared" si="524"/>
        <v>0</v>
      </c>
      <c r="X1744" s="127" t="str">
        <f t="shared" si="522"/>
        <v/>
      </c>
      <c r="Y1744" s="207">
        <f t="shared" si="525"/>
        <v>0</v>
      </c>
      <c r="Z1744" s="139">
        <f t="shared" si="526"/>
        <v>0</v>
      </c>
      <c r="AA1744" s="139">
        <f t="shared" si="527"/>
        <v>0</v>
      </c>
      <c r="AC1744" s="47">
        <f t="shared" si="528"/>
        <v>0</v>
      </c>
      <c r="AD1744" s="47">
        <f t="shared" si="529"/>
        <v>0</v>
      </c>
      <c r="AE1744" s="47">
        <f t="shared" si="530"/>
        <v>0</v>
      </c>
      <c r="AG1744" s="47">
        <f t="shared" si="531"/>
        <v>0</v>
      </c>
      <c r="AH1744" s="47">
        <f t="shared" si="532"/>
        <v>0</v>
      </c>
      <c r="AI1744" s="208">
        <f t="shared" si="533"/>
        <v>0</v>
      </c>
    </row>
    <row r="1745" spans="1:35">
      <c r="A1745" t="s">
        <v>2140</v>
      </c>
      <c r="B1745" t="s">
        <v>3286</v>
      </c>
      <c r="C1745" t="s">
        <v>2249</v>
      </c>
      <c r="D1745" t="s">
        <v>5196</v>
      </c>
      <c r="F1745" t="s">
        <v>3288</v>
      </c>
      <c r="G1745" s="126">
        <f>SUMIFS('Support - Transition'!F:F,'Support - Transition'!B:B,'Step 2'!A1745,'Support - Transition'!C:C,'Step 2'!B1745,'Support - Transition'!D:D,'Step 2'!C1745,'Support - Transition'!E:E,"CIVIL")</f>
        <v>0</v>
      </c>
      <c r="H1745" s="126">
        <f>SUMIFS('Support - Transition'!F:F,'Support - Transition'!B:B,'Step 2'!A1745,'Support - Transition'!C:C,'Step 2'!B1745,'Support - Transition'!D:D,'Step 2'!C1745,'Support - Transition'!E:E,"FIRE")</f>
        <v>0</v>
      </c>
      <c r="I1745" s="126">
        <f>IF(B1745="0",SUMIFS('Support - Transition'!F:F,'Support - Transition'!J:J,'Step 2'!D1745,'Support - Transition'!E:E,"STATE UNIT"),SUMIFS('Support - Transition'!F:F,'Support - Transition'!J:J,'Step 2'!D1745))</f>
        <v>0</v>
      </c>
      <c r="J1745" s="126">
        <f>SUMIFS('Support - Unit Adjustments'!E:E,'Support - Unit Adjustments'!F:F,'Step 2'!D1745)</f>
        <v>0</v>
      </c>
      <c r="K1745" s="126">
        <f t="shared" si="517"/>
        <v>0</v>
      </c>
      <c r="L1745" s="174">
        <f>VLOOKUP(A1745,'Step 1'!$A:$E,4,FALSE)</f>
        <v>218494</v>
      </c>
      <c r="M1745" s="47">
        <f t="shared" si="518"/>
        <v>0</v>
      </c>
      <c r="N1745" s="177">
        <f>SUMIFS('Support - Transition'!G:G,'Support - Transition'!J:J,'Step 2'!D1745,'Support - Transition'!E:E,"2009 WELFARE ALLOCATION FACTOR")</f>
        <v>0</v>
      </c>
      <c r="O1745" s="152">
        <f t="shared" si="523"/>
        <v>0</v>
      </c>
      <c r="P1745" s="126">
        <f>IF(E1745="Y",0,SUMIFS('Support - Transition'!G:G,'Support - Transition'!J:J,'Step 2'!D1745,'Support - Transition'!E:E,"2009 SCHOOL ALLOCATION FACTOR"))</f>
        <v>0</v>
      </c>
      <c r="Q1745" s="126">
        <f>IF(E1745="Y",VLOOKUP(D1745,'Support - Unit Adjustments'!F:G,2,FALSE),0)</f>
        <v>0</v>
      </c>
      <c r="R1745" s="155">
        <f t="shared" si="535"/>
        <v>0</v>
      </c>
      <c r="S1745" s="47">
        <f t="shared" si="534"/>
        <v>0</v>
      </c>
      <c r="T1745" s="151">
        <f t="shared" si="519"/>
        <v>0</v>
      </c>
      <c r="U1745" s="151">
        <f t="shared" si="520"/>
        <v>0</v>
      </c>
      <c r="V1745" s="139">
        <f t="shared" si="521"/>
        <v>0</v>
      </c>
      <c r="W1745" s="152">
        <f t="shared" si="524"/>
        <v>0</v>
      </c>
      <c r="X1745" s="127" t="str">
        <f t="shared" si="522"/>
        <v/>
      </c>
      <c r="Y1745" s="207">
        <f t="shared" si="525"/>
        <v>0</v>
      </c>
      <c r="Z1745" s="139">
        <f t="shared" si="526"/>
        <v>0</v>
      </c>
      <c r="AA1745" s="139">
        <f t="shared" si="527"/>
        <v>0</v>
      </c>
      <c r="AC1745" s="47">
        <f t="shared" si="528"/>
        <v>0</v>
      </c>
      <c r="AD1745" s="47">
        <f t="shared" si="529"/>
        <v>0</v>
      </c>
      <c r="AE1745" s="47">
        <f t="shared" si="530"/>
        <v>0</v>
      </c>
      <c r="AG1745" s="47">
        <f t="shared" si="531"/>
        <v>0</v>
      </c>
      <c r="AH1745" s="47">
        <f t="shared" si="532"/>
        <v>0</v>
      </c>
      <c r="AI1745" s="208">
        <f t="shared" si="533"/>
        <v>0</v>
      </c>
    </row>
    <row r="1746" spans="1:35">
      <c r="A1746" t="s">
        <v>2141</v>
      </c>
      <c r="B1746" s="48" t="s">
        <v>6274</v>
      </c>
      <c r="C1746" t="s">
        <v>2187</v>
      </c>
      <c r="D1746" t="str">
        <f>A1746&amp;B1746&amp;C1746</f>
        <v>5700000</v>
      </c>
      <c r="F1746" t="s">
        <v>6331</v>
      </c>
      <c r="G1746" s="126">
        <f>SUMIFS('Support - Transition'!F:F,'Support - Transition'!B:B,'Step 2'!A1746,'Support - Transition'!C:C,'Step 2'!B1746,'Support - Transition'!D:D,'Step 2'!C1746,'Support - Transition'!E:E,"CIVIL")</f>
        <v>0</v>
      </c>
      <c r="H1746" s="126">
        <f>SUMIFS('Support - Transition'!F:F,'Support - Transition'!B:B,'Step 2'!A1746,'Support - Transition'!C:C,'Step 2'!B1746,'Support - Transition'!D:D,'Step 2'!C1746,'Support - Transition'!E:E,"FIRE")</f>
        <v>0</v>
      </c>
      <c r="I1746" s="126">
        <f>IF(B1746="0",SUMIFS('Support - Transition'!F:F,'Support - Transition'!J:J,'Step 2'!D1746,'Support - Transition'!E:E,"STATE UNIT"),SUMIFS('Support - Transition'!F:F,'Support - Transition'!J:J,'Step 2'!D1746))</f>
        <v>1.354E-3</v>
      </c>
      <c r="J1746" s="126">
        <f>SUMIFS('Support - Unit Adjustments'!E:E,'Support - Unit Adjustments'!F:F,'Step 2'!D1746)</f>
        <v>0</v>
      </c>
      <c r="K1746" s="126">
        <f t="shared" si="517"/>
        <v>1.354E-3</v>
      </c>
      <c r="L1746" s="174">
        <f>VLOOKUP(A1746,'Step 1'!$A:$E,4,FALSE)</f>
        <v>283380</v>
      </c>
      <c r="M1746" s="47">
        <f t="shared" si="518"/>
        <v>384</v>
      </c>
      <c r="N1746" s="177">
        <f>SUMIFS('Support - Transition'!G:G,'Support - Transition'!J:J,'Step 2'!D1746,'Support - Transition'!E:E,"2009 WELFARE ALLOCATION FACTOR")</f>
        <v>0</v>
      </c>
      <c r="O1746" s="152">
        <f t="shared" si="523"/>
        <v>0</v>
      </c>
      <c r="P1746" s="126">
        <f>IF(E1746="Y",0,SUMIFS('Support - Transition'!G:G,'Support - Transition'!J:J,'Step 2'!D1746,'Support - Transition'!E:E,"2009 SCHOOL ALLOCATION FACTOR"))</f>
        <v>0</v>
      </c>
      <c r="Q1746" s="126">
        <f>IF(E1746="Y",VLOOKUP(D1746,'Support - Unit Adjustments'!F:G,2,FALSE),0)</f>
        <v>0</v>
      </c>
      <c r="R1746" s="155">
        <f t="shared" si="535"/>
        <v>0</v>
      </c>
      <c r="S1746" s="47">
        <f t="shared" si="534"/>
        <v>0</v>
      </c>
      <c r="T1746" s="151">
        <f t="shared" si="519"/>
        <v>384</v>
      </c>
      <c r="U1746" s="151">
        <f t="shared" si="520"/>
        <v>283380</v>
      </c>
      <c r="V1746" s="139">
        <f t="shared" si="521"/>
        <v>0</v>
      </c>
      <c r="W1746" s="152">
        <f t="shared" si="524"/>
        <v>384</v>
      </c>
      <c r="X1746" s="127">
        <f t="shared" si="522"/>
        <v>0</v>
      </c>
      <c r="Y1746" s="207">
        <f t="shared" si="525"/>
        <v>384</v>
      </c>
      <c r="Z1746" s="139">
        <f t="shared" si="526"/>
        <v>384</v>
      </c>
      <c r="AA1746" s="139">
        <f t="shared" si="527"/>
        <v>0</v>
      </c>
      <c r="AC1746" s="47">
        <f t="shared" si="528"/>
        <v>192</v>
      </c>
      <c r="AD1746" s="47">
        <f t="shared" si="529"/>
        <v>192</v>
      </c>
      <c r="AE1746" s="47">
        <f t="shared" si="530"/>
        <v>0</v>
      </c>
      <c r="AG1746" s="47">
        <f t="shared" si="531"/>
        <v>192</v>
      </c>
      <c r="AH1746" s="47">
        <f t="shared" si="532"/>
        <v>192</v>
      </c>
      <c r="AI1746" s="208">
        <f t="shared" si="533"/>
        <v>0</v>
      </c>
    </row>
    <row r="1747" spans="1:35">
      <c r="A1747" t="s">
        <v>2141</v>
      </c>
      <c r="B1747" t="s">
        <v>3140</v>
      </c>
      <c r="C1747" t="s">
        <v>2187</v>
      </c>
      <c r="D1747" t="s">
        <v>5197</v>
      </c>
      <c r="F1747" t="s">
        <v>1314</v>
      </c>
      <c r="G1747" s="126">
        <f>SUMIFS('Support - Transition'!F:F,'Support - Transition'!B:B,'Step 2'!A1747,'Support - Transition'!C:C,'Step 2'!B1747,'Support - Transition'!D:D,'Step 2'!C1747,'Support - Transition'!E:E,"CIVIL")</f>
        <v>0</v>
      </c>
      <c r="H1747" s="126">
        <f>SUMIFS('Support - Transition'!F:F,'Support - Transition'!B:B,'Step 2'!A1747,'Support - Transition'!C:C,'Step 2'!B1747,'Support - Transition'!D:D,'Step 2'!C1747,'Support - Transition'!E:E,"FIRE")</f>
        <v>0</v>
      </c>
      <c r="I1747" s="126">
        <f>IF(B1747="0",SUMIFS('Support - Transition'!F:F,'Support - Transition'!J:J,'Step 2'!D1747,'Support - Transition'!E:E,"STATE UNIT"),SUMIFS('Support - Transition'!F:F,'Support - Transition'!J:J,'Step 2'!D1747))</f>
        <v>0.17034199999999999</v>
      </c>
      <c r="J1747" s="126">
        <f>SUMIFS('Support - Unit Adjustments'!E:E,'Support - Unit Adjustments'!F:F,'Step 2'!D1747)</f>
        <v>0</v>
      </c>
      <c r="K1747" s="126">
        <f t="shared" si="517"/>
        <v>0.17034199999999999</v>
      </c>
      <c r="L1747" s="174">
        <f>VLOOKUP(A1747,'Step 1'!$A:$E,4,FALSE)</f>
        <v>283380</v>
      </c>
      <c r="M1747" s="47">
        <f t="shared" si="518"/>
        <v>48272</v>
      </c>
      <c r="N1747" s="177">
        <f>SUMIFS('Support - Transition'!G:G,'Support - Transition'!J:J,'Step 2'!D1747,'Support - Transition'!E:E,"2009 WELFARE ALLOCATION FACTOR")</f>
        <v>0.16686000000000001</v>
      </c>
      <c r="O1747" s="152">
        <f t="shared" si="523"/>
        <v>8055</v>
      </c>
      <c r="P1747" s="126">
        <f>IF(E1747="Y",0,SUMIFS('Support - Transition'!G:G,'Support - Transition'!J:J,'Step 2'!D1747,'Support - Transition'!E:E,"2009 SCHOOL ALLOCATION FACTOR"))</f>
        <v>0</v>
      </c>
      <c r="Q1747" s="126">
        <f>IF(E1747="Y",VLOOKUP(D1747,'Support - Unit Adjustments'!F:G,2,FALSE),0)</f>
        <v>0</v>
      </c>
      <c r="R1747" s="155">
        <f t="shared" si="535"/>
        <v>0</v>
      </c>
      <c r="S1747" s="47">
        <f t="shared" si="534"/>
        <v>0</v>
      </c>
      <c r="T1747" s="151">
        <f t="shared" si="519"/>
        <v>40217</v>
      </c>
      <c r="U1747" s="151">
        <f t="shared" si="520"/>
        <v>0</v>
      </c>
      <c r="V1747" s="139">
        <f t="shared" si="521"/>
        <v>0</v>
      </c>
      <c r="W1747" s="152">
        <f t="shared" si="524"/>
        <v>40217</v>
      </c>
      <c r="X1747" s="127" t="str">
        <f t="shared" si="522"/>
        <v/>
      </c>
      <c r="Y1747" s="207">
        <f t="shared" si="525"/>
        <v>40217</v>
      </c>
      <c r="Z1747" s="139">
        <f t="shared" si="526"/>
        <v>40217</v>
      </c>
      <c r="AA1747" s="139">
        <f t="shared" si="527"/>
        <v>0</v>
      </c>
      <c r="AC1747" s="47">
        <f t="shared" si="528"/>
        <v>20109</v>
      </c>
      <c r="AD1747" s="47">
        <f t="shared" si="529"/>
        <v>20109</v>
      </c>
      <c r="AE1747" s="47">
        <f t="shared" si="530"/>
        <v>0</v>
      </c>
      <c r="AG1747" s="47">
        <f t="shared" si="531"/>
        <v>20108</v>
      </c>
      <c r="AH1747" s="47">
        <f t="shared" si="532"/>
        <v>20108</v>
      </c>
      <c r="AI1747" s="208">
        <f t="shared" si="533"/>
        <v>0</v>
      </c>
    </row>
    <row r="1748" spans="1:35">
      <c r="A1748" t="s">
        <v>2141</v>
      </c>
      <c r="B1748" t="s">
        <v>3142</v>
      </c>
      <c r="C1748" t="s">
        <v>2188</v>
      </c>
      <c r="D1748" t="s">
        <v>5198</v>
      </c>
      <c r="F1748" t="s">
        <v>1315</v>
      </c>
      <c r="G1748" s="126">
        <f>SUMIFS('Support - Transition'!F:F,'Support - Transition'!B:B,'Step 2'!A1748,'Support - Transition'!C:C,'Step 2'!B1748,'Support - Transition'!D:D,'Step 2'!C1748,'Support - Transition'!E:E,"CIVIL")</f>
        <v>3.0600000000000001E-4</v>
      </c>
      <c r="H1748" s="126">
        <f>SUMIFS('Support - Transition'!F:F,'Support - Transition'!B:B,'Step 2'!A1748,'Support - Transition'!C:C,'Step 2'!B1748,'Support - Transition'!D:D,'Step 2'!C1748,'Support - Transition'!E:E,"FIRE")</f>
        <v>3.0000000000000001E-6</v>
      </c>
      <c r="I1748" s="126">
        <f>IF(B1748="0",SUMIFS('Support - Transition'!F:F,'Support - Transition'!J:J,'Step 2'!D1748,'Support - Transition'!E:E,"STATE UNIT"),SUMIFS('Support - Transition'!F:F,'Support - Transition'!J:J,'Step 2'!D1748))</f>
        <v>3.0900000000000003E-4</v>
      </c>
      <c r="J1748" s="126">
        <f>SUMIFS('Support - Unit Adjustments'!E:E,'Support - Unit Adjustments'!F:F,'Step 2'!D1748)</f>
        <v>0</v>
      </c>
      <c r="K1748" s="126">
        <f t="shared" si="517"/>
        <v>3.0900000000000003E-4</v>
      </c>
      <c r="L1748" s="174">
        <f>VLOOKUP(A1748,'Step 1'!$A:$E,4,FALSE)</f>
        <v>283380</v>
      </c>
      <c r="M1748" s="47">
        <f t="shared" si="518"/>
        <v>88</v>
      </c>
      <c r="N1748" s="177">
        <f>SUMIFS('Support - Transition'!G:G,'Support - Transition'!J:J,'Step 2'!D1748,'Support - Transition'!E:E,"2009 WELFARE ALLOCATION FACTOR")</f>
        <v>0</v>
      </c>
      <c r="O1748" s="152">
        <f t="shared" si="523"/>
        <v>0</v>
      </c>
      <c r="P1748" s="126">
        <f>IF(E1748="Y",0,SUMIFS('Support - Transition'!G:G,'Support - Transition'!J:J,'Step 2'!D1748,'Support - Transition'!E:E,"2009 SCHOOL ALLOCATION FACTOR"))</f>
        <v>0</v>
      </c>
      <c r="Q1748" s="126">
        <f>IF(E1748="Y",VLOOKUP(D1748,'Support - Unit Adjustments'!F:G,2,FALSE),0)</f>
        <v>0</v>
      </c>
      <c r="R1748" s="155">
        <f t="shared" si="535"/>
        <v>0</v>
      </c>
      <c r="S1748" s="47">
        <f t="shared" si="534"/>
        <v>0</v>
      </c>
      <c r="T1748" s="151">
        <f t="shared" si="519"/>
        <v>88</v>
      </c>
      <c r="U1748" s="151">
        <f t="shared" si="520"/>
        <v>0</v>
      </c>
      <c r="V1748" s="139">
        <f t="shared" si="521"/>
        <v>0</v>
      </c>
      <c r="W1748" s="152">
        <f t="shared" si="524"/>
        <v>88</v>
      </c>
      <c r="X1748" s="127" t="str">
        <f t="shared" si="522"/>
        <v/>
      </c>
      <c r="Y1748" s="207">
        <f t="shared" si="525"/>
        <v>88</v>
      </c>
      <c r="Z1748" s="139">
        <f t="shared" si="526"/>
        <v>87</v>
      </c>
      <c r="AA1748" s="139">
        <f t="shared" si="527"/>
        <v>1</v>
      </c>
      <c r="AC1748" s="47">
        <f t="shared" si="528"/>
        <v>44</v>
      </c>
      <c r="AD1748" s="47">
        <f t="shared" si="529"/>
        <v>44</v>
      </c>
      <c r="AE1748" s="47">
        <f t="shared" si="530"/>
        <v>1</v>
      </c>
      <c r="AG1748" s="47">
        <f t="shared" si="531"/>
        <v>44</v>
      </c>
      <c r="AH1748" s="47">
        <f t="shared" si="532"/>
        <v>43</v>
      </c>
      <c r="AI1748" s="208">
        <f t="shared" si="533"/>
        <v>0</v>
      </c>
    </row>
    <row r="1749" spans="1:35">
      <c r="A1749" t="s">
        <v>2141</v>
      </c>
      <c r="B1749" t="s">
        <v>3142</v>
      </c>
      <c r="C1749" t="s">
        <v>2189</v>
      </c>
      <c r="D1749" t="s">
        <v>5199</v>
      </c>
      <c r="F1749" t="s">
        <v>1226</v>
      </c>
      <c r="G1749" s="126">
        <f>SUMIFS('Support - Transition'!F:F,'Support - Transition'!B:B,'Step 2'!A1749,'Support - Transition'!C:C,'Step 2'!B1749,'Support - Transition'!D:D,'Step 2'!C1749,'Support - Transition'!E:E,"CIVIL")</f>
        <v>1.2669999999999999E-3</v>
      </c>
      <c r="H1749" s="126">
        <f>SUMIFS('Support - Transition'!F:F,'Support - Transition'!B:B,'Step 2'!A1749,'Support - Transition'!C:C,'Step 2'!B1749,'Support - Transition'!D:D,'Step 2'!C1749,'Support - Transition'!E:E,"FIRE")</f>
        <v>2.22E-4</v>
      </c>
      <c r="I1749" s="126">
        <f>IF(B1749="0",SUMIFS('Support - Transition'!F:F,'Support - Transition'!J:J,'Step 2'!D1749,'Support - Transition'!E:E,"STATE UNIT"),SUMIFS('Support - Transition'!F:F,'Support - Transition'!J:J,'Step 2'!D1749))</f>
        <v>1.4889999999999999E-3</v>
      </c>
      <c r="J1749" s="126">
        <f>SUMIFS('Support - Unit Adjustments'!E:E,'Support - Unit Adjustments'!F:F,'Step 2'!D1749)</f>
        <v>0</v>
      </c>
      <c r="K1749" s="126">
        <f t="shared" si="517"/>
        <v>1.4889999999999999E-3</v>
      </c>
      <c r="L1749" s="174">
        <f>VLOOKUP(A1749,'Step 1'!$A:$E,4,FALSE)</f>
        <v>283380</v>
      </c>
      <c r="M1749" s="47">
        <f t="shared" si="518"/>
        <v>422</v>
      </c>
      <c r="N1749" s="177">
        <f>SUMIFS('Support - Transition'!G:G,'Support - Transition'!J:J,'Step 2'!D1749,'Support - Transition'!E:E,"2009 WELFARE ALLOCATION FACTOR")</f>
        <v>0</v>
      </c>
      <c r="O1749" s="152">
        <f t="shared" si="523"/>
        <v>0</v>
      </c>
      <c r="P1749" s="126">
        <f>IF(E1749="Y",0,SUMIFS('Support - Transition'!G:G,'Support - Transition'!J:J,'Step 2'!D1749,'Support - Transition'!E:E,"2009 SCHOOL ALLOCATION FACTOR"))</f>
        <v>0</v>
      </c>
      <c r="Q1749" s="126">
        <f>IF(E1749="Y",VLOOKUP(D1749,'Support - Unit Adjustments'!F:G,2,FALSE),0)</f>
        <v>0</v>
      </c>
      <c r="R1749" s="155">
        <f t="shared" si="535"/>
        <v>0</v>
      </c>
      <c r="S1749" s="47">
        <f t="shared" si="534"/>
        <v>0</v>
      </c>
      <c r="T1749" s="151">
        <f t="shared" si="519"/>
        <v>422</v>
      </c>
      <c r="U1749" s="151">
        <f t="shared" si="520"/>
        <v>0</v>
      </c>
      <c r="V1749" s="139">
        <f t="shared" si="521"/>
        <v>0</v>
      </c>
      <c r="W1749" s="152">
        <f t="shared" si="524"/>
        <v>422</v>
      </c>
      <c r="X1749" s="127" t="str">
        <f t="shared" si="522"/>
        <v/>
      </c>
      <c r="Y1749" s="207">
        <f t="shared" si="525"/>
        <v>422</v>
      </c>
      <c r="Z1749" s="139">
        <f t="shared" si="526"/>
        <v>359</v>
      </c>
      <c r="AA1749" s="139">
        <f t="shared" si="527"/>
        <v>63</v>
      </c>
      <c r="AC1749" s="47">
        <f t="shared" si="528"/>
        <v>211</v>
      </c>
      <c r="AD1749" s="47">
        <f t="shared" si="529"/>
        <v>180</v>
      </c>
      <c r="AE1749" s="47">
        <f t="shared" si="530"/>
        <v>32</v>
      </c>
      <c r="AG1749" s="47">
        <f t="shared" si="531"/>
        <v>211</v>
      </c>
      <c r="AH1749" s="47">
        <f t="shared" si="532"/>
        <v>179</v>
      </c>
      <c r="AI1749" s="208">
        <f t="shared" si="533"/>
        <v>31</v>
      </c>
    </row>
    <row r="1750" spans="1:35">
      <c r="A1750" t="s">
        <v>2141</v>
      </c>
      <c r="B1750" t="s">
        <v>3142</v>
      </c>
      <c r="C1750" t="s">
        <v>2190</v>
      </c>
      <c r="D1750" t="s">
        <v>5200</v>
      </c>
      <c r="F1750" t="s">
        <v>452</v>
      </c>
      <c r="G1750" s="126">
        <f>SUMIFS('Support - Transition'!F:F,'Support - Transition'!B:B,'Step 2'!A1750,'Support - Transition'!C:C,'Step 2'!B1750,'Support - Transition'!D:D,'Step 2'!C1750,'Support - Transition'!E:E,"CIVIL")</f>
        <v>1.3600000000000001E-3</v>
      </c>
      <c r="H1750" s="126">
        <f>SUMIFS('Support - Transition'!F:F,'Support - Transition'!B:B,'Step 2'!A1750,'Support - Transition'!C:C,'Step 2'!B1750,'Support - Transition'!D:D,'Step 2'!C1750,'Support - Transition'!E:E,"FIRE")</f>
        <v>2.7700000000000001E-4</v>
      </c>
      <c r="I1750" s="126">
        <f>IF(B1750="0",SUMIFS('Support - Transition'!F:F,'Support - Transition'!J:J,'Step 2'!D1750,'Support - Transition'!E:E,"STATE UNIT"),SUMIFS('Support - Transition'!F:F,'Support - Transition'!J:J,'Step 2'!D1750))</f>
        <v>1.637E-3</v>
      </c>
      <c r="J1750" s="126">
        <f>SUMIFS('Support - Unit Adjustments'!E:E,'Support - Unit Adjustments'!F:F,'Step 2'!D1750)</f>
        <v>0</v>
      </c>
      <c r="K1750" s="126">
        <f t="shared" si="517"/>
        <v>1.637E-3</v>
      </c>
      <c r="L1750" s="174">
        <f>VLOOKUP(A1750,'Step 1'!$A:$E,4,FALSE)</f>
        <v>283380</v>
      </c>
      <c r="M1750" s="47">
        <f t="shared" si="518"/>
        <v>464</v>
      </c>
      <c r="N1750" s="177">
        <f>SUMIFS('Support - Transition'!G:G,'Support - Transition'!J:J,'Step 2'!D1750,'Support - Transition'!E:E,"2009 WELFARE ALLOCATION FACTOR")</f>
        <v>0</v>
      </c>
      <c r="O1750" s="152">
        <f t="shared" si="523"/>
        <v>0</v>
      </c>
      <c r="P1750" s="126">
        <f>IF(E1750="Y",0,SUMIFS('Support - Transition'!G:G,'Support - Transition'!J:J,'Step 2'!D1750,'Support - Transition'!E:E,"2009 SCHOOL ALLOCATION FACTOR"))</f>
        <v>0</v>
      </c>
      <c r="Q1750" s="126">
        <f>IF(E1750="Y",VLOOKUP(D1750,'Support - Unit Adjustments'!F:G,2,FALSE),0)</f>
        <v>0</v>
      </c>
      <c r="R1750" s="155">
        <f t="shared" si="535"/>
        <v>0</v>
      </c>
      <c r="S1750" s="47">
        <f t="shared" si="534"/>
        <v>0</v>
      </c>
      <c r="T1750" s="151">
        <f t="shared" si="519"/>
        <v>464</v>
      </c>
      <c r="U1750" s="151">
        <f t="shared" si="520"/>
        <v>0</v>
      </c>
      <c r="V1750" s="139">
        <f t="shared" si="521"/>
        <v>0</v>
      </c>
      <c r="W1750" s="152">
        <f t="shared" si="524"/>
        <v>464</v>
      </c>
      <c r="X1750" s="127" t="str">
        <f t="shared" si="522"/>
        <v/>
      </c>
      <c r="Y1750" s="207">
        <f t="shared" si="525"/>
        <v>464</v>
      </c>
      <c r="Z1750" s="139">
        <f t="shared" si="526"/>
        <v>385</v>
      </c>
      <c r="AA1750" s="139">
        <f t="shared" si="527"/>
        <v>79</v>
      </c>
      <c r="AC1750" s="47">
        <f t="shared" si="528"/>
        <v>232</v>
      </c>
      <c r="AD1750" s="47">
        <f t="shared" si="529"/>
        <v>193</v>
      </c>
      <c r="AE1750" s="47">
        <f t="shared" si="530"/>
        <v>40</v>
      </c>
      <c r="AG1750" s="47">
        <f t="shared" si="531"/>
        <v>232</v>
      </c>
      <c r="AH1750" s="47">
        <f t="shared" si="532"/>
        <v>192</v>
      </c>
      <c r="AI1750" s="208">
        <f t="shared" si="533"/>
        <v>39</v>
      </c>
    </row>
    <row r="1751" spans="1:35">
      <c r="A1751" t="s">
        <v>2141</v>
      </c>
      <c r="B1751" t="s">
        <v>3142</v>
      </c>
      <c r="C1751" t="s">
        <v>2191</v>
      </c>
      <c r="D1751" t="s">
        <v>5201</v>
      </c>
      <c r="F1751" t="s">
        <v>593</v>
      </c>
      <c r="G1751" s="126">
        <f>SUMIFS('Support - Transition'!F:F,'Support - Transition'!B:B,'Step 2'!A1751,'Support - Transition'!C:C,'Step 2'!B1751,'Support - Transition'!D:D,'Step 2'!C1751,'Support - Transition'!E:E,"CIVIL")</f>
        <v>5.6599999999999999E-4</v>
      </c>
      <c r="H1751" s="126">
        <f>SUMIFS('Support - Transition'!F:F,'Support - Transition'!B:B,'Step 2'!A1751,'Support - Transition'!C:C,'Step 2'!B1751,'Support - Transition'!D:D,'Step 2'!C1751,'Support - Transition'!E:E,"FIRE")</f>
        <v>2.5399999999999999E-4</v>
      </c>
      <c r="I1751" s="126">
        <f>IF(B1751="0",SUMIFS('Support - Transition'!F:F,'Support - Transition'!J:J,'Step 2'!D1751,'Support - Transition'!E:E,"STATE UNIT"),SUMIFS('Support - Transition'!F:F,'Support - Transition'!J:J,'Step 2'!D1751))</f>
        <v>8.1999999999999998E-4</v>
      </c>
      <c r="J1751" s="126">
        <f>SUMIFS('Support - Unit Adjustments'!E:E,'Support - Unit Adjustments'!F:F,'Step 2'!D1751)</f>
        <v>0</v>
      </c>
      <c r="K1751" s="126">
        <f t="shared" si="517"/>
        <v>8.1999999999999998E-4</v>
      </c>
      <c r="L1751" s="174">
        <f>VLOOKUP(A1751,'Step 1'!$A:$E,4,FALSE)</f>
        <v>283380</v>
      </c>
      <c r="M1751" s="47">
        <f t="shared" si="518"/>
        <v>232</v>
      </c>
      <c r="N1751" s="177">
        <f>SUMIFS('Support - Transition'!G:G,'Support - Transition'!J:J,'Step 2'!D1751,'Support - Transition'!E:E,"2009 WELFARE ALLOCATION FACTOR")</f>
        <v>0</v>
      </c>
      <c r="O1751" s="152">
        <f t="shared" si="523"/>
        <v>0</v>
      </c>
      <c r="P1751" s="126">
        <f>IF(E1751="Y",0,SUMIFS('Support - Transition'!G:G,'Support - Transition'!J:J,'Step 2'!D1751,'Support - Transition'!E:E,"2009 SCHOOL ALLOCATION FACTOR"))</f>
        <v>0</v>
      </c>
      <c r="Q1751" s="126">
        <f>IF(E1751="Y",VLOOKUP(D1751,'Support - Unit Adjustments'!F:G,2,FALSE),0)</f>
        <v>0</v>
      </c>
      <c r="R1751" s="155">
        <f t="shared" si="535"/>
        <v>0</v>
      </c>
      <c r="S1751" s="47">
        <f t="shared" si="534"/>
        <v>0</v>
      </c>
      <c r="T1751" s="151">
        <f t="shared" si="519"/>
        <v>232</v>
      </c>
      <c r="U1751" s="151">
        <f t="shared" si="520"/>
        <v>0</v>
      </c>
      <c r="V1751" s="139">
        <f t="shared" si="521"/>
        <v>0</v>
      </c>
      <c r="W1751" s="152">
        <f t="shared" si="524"/>
        <v>232</v>
      </c>
      <c r="X1751" s="127" t="str">
        <f t="shared" si="522"/>
        <v/>
      </c>
      <c r="Y1751" s="207">
        <f t="shared" si="525"/>
        <v>232</v>
      </c>
      <c r="Z1751" s="139">
        <f t="shared" si="526"/>
        <v>160</v>
      </c>
      <c r="AA1751" s="139">
        <f t="shared" si="527"/>
        <v>72</v>
      </c>
      <c r="AC1751" s="47">
        <f t="shared" si="528"/>
        <v>116</v>
      </c>
      <c r="AD1751" s="47">
        <f t="shared" si="529"/>
        <v>80</v>
      </c>
      <c r="AE1751" s="47">
        <f t="shared" si="530"/>
        <v>36</v>
      </c>
      <c r="AG1751" s="47">
        <f t="shared" si="531"/>
        <v>116</v>
      </c>
      <c r="AH1751" s="47">
        <f t="shared" si="532"/>
        <v>80</v>
      </c>
      <c r="AI1751" s="208">
        <f t="shared" si="533"/>
        <v>36</v>
      </c>
    </row>
    <row r="1752" spans="1:35">
      <c r="A1752" t="s">
        <v>2141</v>
      </c>
      <c r="B1752" t="s">
        <v>3142</v>
      </c>
      <c r="C1752" t="s">
        <v>2192</v>
      </c>
      <c r="D1752" t="s">
        <v>5202</v>
      </c>
      <c r="F1752" t="s">
        <v>14</v>
      </c>
      <c r="G1752" s="126">
        <f>SUMIFS('Support - Transition'!F:F,'Support - Transition'!B:B,'Step 2'!A1752,'Support - Transition'!C:C,'Step 2'!B1752,'Support - Transition'!D:D,'Step 2'!C1752,'Support - Transition'!E:E,"CIVIL")</f>
        <v>5.6599999999999999E-4</v>
      </c>
      <c r="H1752" s="126">
        <f>SUMIFS('Support - Transition'!F:F,'Support - Transition'!B:B,'Step 2'!A1752,'Support - Transition'!C:C,'Step 2'!B1752,'Support - Transition'!D:D,'Step 2'!C1752,'Support - Transition'!E:E,"FIRE")</f>
        <v>6.69E-4</v>
      </c>
      <c r="I1752" s="126">
        <f>IF(B1752="0",SUMIFS('Support - Transition'!F:F,'Support - Transition'!J:J,'Step 2'!D1752,'Support - Transition'!E:E,"STATE UNIT"),SUMIFS('Support - Transition'!F:F,'Support - Transition'!J:J,'Step 2'!D1752))</f>
        <v>1.235E-3</v>
      </c>
      <c r="J1752" s="126">
        <f>SUMIFS('Support - Unit Adjustments'!E:E,'Support - Unit Adjustments'!F:F,'Step 2'!D1752)</f>
        <v>0</v>
      </c>
      <c r="K1752" s="126">
        <f t="shared" si="517"/>
        <v>1.235E-3</v>
      </c>
      <c r="L1752" s="174">
        <f>VLOOKUP(A1752,'Step 1'!$A:$E,4,FALSE)</f>
        <v>283380</v>
      </c>
      <c r="M1752" s="47">
        <f t="shared" si="518"/>
        <v>350</v>
      </c>
      <c r="N1752" s="177">
        <f>SUMIFS('Support - Transition'!G:G,'Support - Transition'!J:J,'Step 2'!D1752,'Support - Transition'!E:E,"2009 WELFARE ALLOCATION FACTOR")</f>
        <v>0</v>
      </c>
      <c r="O1752" s="152">
        <f t="shared" si="523"/>
        <v>0</v>
      </c>
      <c r="P1752" s="126">
        <f>IF(E1752="Y",0,SUMIFS('Support - Transition'!G:G,'Support - Transition'!J:J,'Step 2'!D1752,'Support - Transition'!E:E,"2009 SCHOOL ALLOCATION FACTOR"))</f>
        <v>0</v>
      </c>
      <c r="Q1752" s="126">
        <f>IF(E1752="Y",VLOOKUP(D1752,'Support - Unit Adjustments'!F:G,2,FALSE),0)</f>
        <v>0</v>
      </c>
      <c r="R1752" s="155">
        <f t="shared" si="535"/>
        <v>0</v>
      </c>
      <c r="S1752" s="47">
        <f t="shared" si="534"/>
        <v>0</v>
      </c>
      <c r="T1752" s="151">
        <f t="shared" si="519"/>
        <v>350</v>
      </c>
      <c r="U1752" s="151">
        <f t="shared" si="520"/>
        <v>0</v>
      </c>
      <c r="V1752" s="139">
        <f t="shared" si="521"/>
        <v>0</v>
      </c>
      <c r="W1752" s="152">
        <f t="shared" si="524"/>
        <v>350</v>
      </c>
      <c r="X1752" s="127" t="str">
        <f t="shared" si="522"/>
        <v/>
      </c>
      <c r="Y1752" s="207">
        <f t="shared" si="525"/>
        <v>350</v>
      </c>
      <c r="Z1752" s="139">
        <f t="shared" si="526"/>
        <v>160</v>
      </c>
      <c r="AA1752" s="139">
        <f t="shared" si="527"/>
        <v>190</v>
      </c>
      <c r="AC1752" s="47">
        <f t="shared" si="528"/>
        <v>175</v>
      </c>
      <c r="AD1752" s="47">
        <f t="shared" si="529"/>
        <v>80</v>
      </c>
      <c r="AE1752" s="47">
        <f t="shared" si="530"/>
        <v>95</v>
      </c>
      <c r="AG1752" s="47">
        <f t="shared" si="531"/>
        <v>175</v>
      </c>
      <c r="AH1752" s="47">
        <f t="shared" si="532"/>
        <v>80</v>
      </c>
      <c r="AI1752" s="208">
        <f t="shared" si="533"/>
        <v>95</v>
      </c>
    </row>
    <row r="1753" spans="1:35">
      <c r="A1753" t="s">
        <v>2141</v>
      </c>
      <c r="B1753" t="s">
        <v>3142</v>
      </c>
      <c r="C1753" t="s">
        <v>2193</v>
      </c>
      <c r="D1753" t="s">
        <v>5203</v>
      </c>
      <c r="F1753" t="s">
        <v>203</v>
      </c>
      <c r="G1753" s="126">
        <f>SUMIFS('Support - Transition'!F:F,'Support - Transition'!B:B,'Step 2'!A1753,'Support - Transition'!C:C,'Step 2'!B1753,'Support - Transition'!D:D,'Step 2'!C1753,'Support - Transition'!E:E,"CIVIL")</f>
        <v>4.1549999999999998E-3</v>
      </c>
      <c r="H1753" s="126">
        <f>SUMIFS('Support - Transition'!F:F,'Support - Transition'!B:B,'Step 2'!A1753,'Support - Transition'!C:C,'Step 2'!B1753,'Support - Transition'!D:D,'Step 2'!C1753,'Support - Transition'!E:E,"FIRE")</f>
        <v>2.052E-3</v>
      </c>
      <c r="I1753" s="126">
        <f>IF(B1753="0",SUMIFS('Support - Transition'!F:F,'Support - Transition'!J:J,'Step 2'!D1753,'Support - Transition'!E:E,"STATE UNIT"),SUMIFS('Support - Transition'!F:F,'Support - Transition'!J:J,'Step 2'!D1753))</f>
        <v>6.2069999999999998E-3</v>
      </c>
      <c r="J1753" s="126">
        <f>SUMIFS('Support - Unit Adjustments'!E:E,'Support - Unit Adjustments'!F:F,'Step 2'!D1753)</f>
        <v>0</v>
      </c>
      <c r="K1753" s="126">
        <f t="shared" si="517"/>
        <v>6.2069999999999998E-3</v>
      </c>
      <c r="L1753" s="174">
        <f>VLOOKUP(A1753,'Step 1'!$A:$E,4,FALSE)</f>
        <v>283380</v>
      </c>
      <c r="M1753" s="47">
        <f t="shared" si="518"/>
        <v>1759</v>
      </c>
      <c r="N1753" s="177">
        <f>SUMIFS('Support - Transition'!G:G,'Support - Transition'!J:J,'Step 2'!D1753,'Support - Transition'!E:E,"2009 WELFARE ALLOCATION FACTOR")</f>
        <v>0</v>
      </c>
      <c r="O1753" s="152">
        <f t="shared" si="523"/>
        <v>0</v>
      </c>
      <c r="P1753" s="126">
        <f>IF(E1753="Y",0,SUMIFS('Support - Transition'!G:G,'Support - Transition'!J:J,'Step 2'!D1753,'Support - Transition'!E:E,"2009 SCHOOL ALLOCATION FACTOR"))</f>
        <v>0</v>
      </c>
      <c r="Q1753" s="126">
        <f>IF(E1753="Y",VLOOKUP(D1753,'Support - Unit Adjustments'!F:G,2,FALSE),0)</f>
        <v>0</v>
      </c>
      <c r="R1753" s="155">
        <f t="shared" si="535"/>
        <v>0</v>
      </c>
      <c r="S1753" s="47">
        <f t="shared" si="534"/>
        <v>0</v>
      </c>
      <c r="T1753" s="151">
        <f t="shared" si="519"/>
        <v>1759</v>
      </c>
      <c r="U1753" s="151">
        <f t="shared" si="520"/>
        <v>0</v>
      </c>
      <c r="V1753" s="139">
        <f t="shared" si="521"/>
        <v>0</v>
      </c>
      <c r="W1753" s="152">
        <f t="shared" si="524"/>
        <v>1759</v>
      </c>
      <c r="X1753" s="127" t="str">
        <f t="shared" si="522"/>
        <v/>
      </c>
      <c r="Y1753" s="207">
        <f t="shared" si="525"/>
        <v>1759</v>
      </c>
      <c r="Z1753" s="139">
        <f t="shared" si="526"/>
        <v>1177</v>
      </c>
      <c r="AA1753" s="139">
        <f t="shared" si="527"/>
        <v>582</v>
      </c>
      <c r="AC1753" s="47">
        <f t="shared" si="528"/>
        <v>880</v>
      </c>
      <c r="AD1753" s="47">
        <f t="shared" si="529"/>
        <v>589</v>
      </c>
      <c r="AE1753" s="47">
        <f t="shared" si="530"/>
        <v>291</v>
      </c>
      <c r="AG1753" s="47">
        <f t="shared" si="531"/>
        <v>879</v>
      </c>
      <c r="AH1753" s="47">
        <f t="shared" si="532"/>
        <v>588</v>
      </c>
      <c r="AI1753" s="208">
        <f t="shared" si="533"/>
        <v>291</v>
      </c>
    </row>
    <row r="1754" spans="1:35">
      <c r="A1754" t="s">
        <v>2141</v>
      </c>
      <c r="B1754" t="s">
        <v>3142</v>
      </c>
      <c r="C1754" t="s">
        <v>2194</v>
      </c>
      <c r="D1754" t="s">
        <v>5204</v>
      </c>
      <c r="F1754" t="s">
        <v>482</v>
      </c>
      <c r="G1754" s="126">
        <f>SUMIFS('Support - Transition'!F:F,'Support - Transition'!B:B,'Step 2'!A1754,'Support - Transition'!C:C,'Step 2'!B1754,'Support - Transition'!D:D,'Step 2'!C1754,'Support - Transition'!E:E,"CIVIL")</f>
        <v>6.2100000000000002E-3</v>
      </c>
      <c r="H1754" s="126">
        <f>SUMIFS('Support - Transition'!F:F,'Support - Transition'!B:B,'Step 2'!A1754,'Support - Transition'!C:C,'Step 2'!B1754,'Support - Transition'!D:D,'Step 2'!C1754,'Support - Transition'!E:E,"FIRE")</f>
        <v>1.8400000000000001E-3</v>
      </c>
      <c r="I1754" s="126">
        <f>IF(B1754="0",SUMIFS('Support - Transition'!F:F,'Support - Transition'!J:J,'Step 2'!D1754,'Support - Transition'!E:E,"STATE UNIT"),SUMIFS('Support - Transition'!F:F,'Support - Transition'!J:J,'Step 2'!D1754))</f>
        <v>8.0499999999999999E-3</v>
      </c>
      <c r="J1754" s="126">
        <f>SUMIFS('Support - Unit Adjustments'!E:E,'Support - Unit Adjustments'!F:F,'Step 2'!D1754)</f>
        <v>0</v>
      </c>
      <c r="K1754" s="126">
        <f t="shared" si="517"/>
        <v>8.0499999999999999E-3</v>
      </c>
      <c r="L1754" s="174">
        <f>VLOOKUP(A1754,'Step 1'!$A:$E,4,FALSE)</f>
        <v>283380</v>
      </c>
      <c r="M1754" s="47">
        <f t="shared" si="518"/>
        <v>2281</v>
      </c>
      <c r="N1754" s="177">
        <f>SUMIFS('Support - Transition'!G:G,'Support - Transition'!J:J,'Step 2'!D1754,'Support - Transition'!E:E,"2009 WELFARE ALLOCATION FACTOR")</f>
        <v>0</v>
      </c>
      <c r="O1754" s="152">
        <f t="shared" si="523"/>
        <v>0</v>
      </c>
      <c r="P1754" s="126">
        <f>IF(E1754="Y",0,SUMIFS('Support - Transition'!G:G,'Support - Transition'!J:J,'Step 2'!D1754,'Support - Transition'!E:E,"2009 SCHOOL ALLOCATION FACTOR"))</f>
        <v>0</v>
      </c>
      <c r="Q1754" s="126">
        <f>IF(E1754="Y",VLOOKUP(D1754,'Support - Unit Adjustments'!F:G,2,FALSE),0)</f>
        <v>0</v>
      </c>
      <c r="R1754" s="155">
        <f t="shared" si="535"/>
        <v>0</v>
      </c>
      <c r="S1754" s="47">
        <f t="shared" si="534"/>
        <v>0</v>
      </c>
      <c r="T1754" s="151">
        <f t="shared" si="519"/>
        <v>2281</v>
      </c>
      <c r="U1754" s="151">
        <f t="shared" si="520"/>
        <v>0</v>
      </c>
      <c r="V1754" s="139">
        <f t="shared" si="521"/>
        <v>0</v>
      </c>
      <c r="W1754" s="152">
        <f t="shared" si="524"/>
        <v>2281</v>
      </c>
      <c r="X1754" s="127" t="str">
        <f t="shared" si="522"/>
        <v/>
      </c>
      <c r="Y1754" s="207">
        <f t="shared" si="525"/>
        <v>2281</v>
      </c>
      <c r="Z1754" s="139">
        <f t="shared" si="526"/>
        <v>1760</v>
      </c>
      <c r="AA1754" s="139">
        <f t="shared" si="527"/>
        <v>521</v>
      </c>
      <c r="AC1754" s="47">
        <f t="shared" si="528"/>
        <v>1141</v>
      </c>
      <c r="AD1754" s="47">
        <f t="shared" si="529"/>
        <v>880</v>
      </c>
      <c r="AE1754" s="47">
        <f t="shared" si="530"/>
        <v>261</v>
      </c>
      <c r="AG1754" s="47">
        <f t="shared" si="531"/>
        <v>1140</v>
      </c>
      <c r="AH1754" s="47">
        <f t="shared" si="532"/>
        <v>880</v>
      </c>
      <c r="AI1754" s="208">
        <f t="shared" si="533"/>
        <v>260</v>
      </c>
    </row>
    <row r="1755" spans="1:35">
      <c r="A1755" t="s">
        <v>2141</v>
      </c>
      <c r="B1755" t="s">
        <v>3142</v>
      </c>
      <c r="C1755" t="s">
        <v>2195</v>
      </c>
      <c r="D1755" t="s">
        <v>5205</v>
      </c>
      <c r="F1755" t="s">
        <v>56</v>
      </c>
      <c r="G1755" s="126">
        <f>SUMIFS('Support - Transition'!F:F,'Support - Transition'!B:B,'Step 2'!A1755,'Support - Transition'!C:C,'Step 2'!B1755,'Support - Transition'!D:D,'Step 2'!C1755,'Support - Transition'!E:E,"CIVIL")</f>
        <v>4.7400000000000003E-3</v>
      </c>
      <c r="H1755" s="126">
        <f>SUMIFS('Support - Transition'!F:F,'Support - Transition'!B:B,'Step 2'!A1755,'Support - Transition'!C:C,'Step 2'!B1755,'Support - Transition'!D:D,'Step 2'!C1755,'Support - Transition'!E:E,"FIRE")</f>
        <v>0</v>
      </c>
      <c r="I1755" s="126">
        <f>IF(B1755="0",SUMIFS('Support - Transition'!F:F,'Support - Transition'!J:J,'Step 2'!D1755,'Support - Transition'!E:E,"STATE UNIT"),SUMIFS('Support - Transition'!F:F,'Support - Transition'!J:J,'Step 2'!D1755))</f>
        <v>4.7400000000000003E-3</v>
      </c>
      <c r="J1755" s="126">
        <f>SUMIFS('Support - Unit Adjustments'!E:E,'Support - Unit Adjustments'!F:F,'Step 2'!D1755)</f>
        <v>0</v>
      </c>
      <c r="K1755" s="126">
        <f t="shared" si="517"/>
        <v>4.7400000000000003E-3</v>
      </c>
      <c r="L1755" s="174">
        <f>VLOOKUP(A1755,'Step 1'!$A:$E,4,FALSE)</f>
        <v>283380</v>
      </c>
      <c r="M1755" s="47">
        <f t="shared" si="518"/>
        <v>1343</v>
      </c>
      <c r="N1755" s="177">
        <f>SUMIFS('Support - Transition'!G:G,'Support - Transition'!J:J,'Step 2'!D1755,'Support - Transition'!E:E,"2009 WELFARE ALLOCATION FACTOR")</f>
        <v>0</v>
      </c>
      <c r="O1755" s="152">
        <f t="shared" si="523"/>
        <v>0</v>
      </c>
      <c r="P1755" s="126">
        <f>IF(E1755="Y",0,SUMIFS('Support - Transition'!G:G,'Support - Transition'!J:J,'Step 2'!D1755,'Support - Transition'!E:E,"2009 SCHOOL ALLOCATION FACTOR"))</f>
        <v>0</v>
      </c>
      <c r="Q1755" s="126">
        <f>IF(E1755="Y",VLOOKUP(D1755,'Support - Unit Adjustments'!F:G,2,FALSE),0)</f>
        <v>0</v>
      </c>
      <c r="R1755" s="155">
        <f t="shared" si="535"/>
        <v>0</v>
      </c>
      <c r="S1755" s="47">
        <f t="shared" si="534"/>
        <v>0</v>
      </c>
      <c r="T1755" s="151">
        <f t="shared" si="519"/>
        <v>1343</v>
      </c>
      <c r="U1755" s="151">
        <f t="shared" si="520"/>
        <v>0</v>
      </c>
      <c r="V1755" s="139">
        <f t="shared" si="521"/>
        <v>0</v>
      </c>
      <c r="W1755" s="152">
        <f t="shared" si="524"/>
        <v>1343</v>
      </c>
      <c r="X1755" s="127" t="str">
        <f t="shared" si="522"/>
        <v/>
      </c>
      <c r="Y1755" s="207">
        <f t="shared" si="525"/>
        <v>1343</v>
      </c>
      <c r="Z1755" s="139">
        <f t="shared" si="526"/>
        <v>1343</v>
      </c>
      <c r="AA1755" s="139">
        <f t="shared" si="527"/>
        <v>0</v>
      </c>
      <c r="AC1755" s="47">
        <f t="shared" si="528"/>
        <v>672</v>
      </c>
      <c r="AD1755" s="47">
        <f t="shared" si="529"/>
        <v>672</v>
      </c>
      <c r="AE1755" s="47">
        <f t="shared" si="530"/>
        <v>0</v>
      </c>
      <c r="AG1755" s="47">
        <f t="shared" si="531"/>
        <v>671</v>
      </c>
      <c r="AH1755" s="47">
        <f t="shared" si="532"/>
        <v>671</v>
      </c>
      <c r="AI1755" s="208">
        <f t="shared" si="533"/>
        <v>0</v>
      </c>
    </row>
    <row r="1756" spans="1:35">
      <c r="A1756" t="s">
        <v>2141</v>
      </c>
      <c r="B1756" t="s">
        <v>3142</v>
      </c>
      <c r="C1756" t="s">
        <v>2196</v>
      </c>
      <c r="D1756" t="s">
        <v>5206</v>
      </c>
      <c r="F1756" t="s">
        <v>338</v>
      </c>
      <c r="G1756" s="126">
        <f>SUMIFS('Support - Transition'!F:F,'Support - Transition'!B:B,'Step 2'!A1756,'Support - Transition'!C:C,'Step 2'!B1756,'Support - Transition'!D:D,'Step 2'!C1756,'Support - Transition'!E:E,"CIVIL")</f>
        <v>1.2899999999999999E-3</v>
      </c>
      <c r="H1756" s="126">
        <f>SUMIFS('Support - Transition'!F:F,'Support - Transition'!B:B,'Step 2'!A1756,'Support - Transition'!C:C,'Step 2'!B1756,'Support - Transition'!D:D,'Step 2'!C1756,'Support - Transition'!E:E,"FIRE")</f>
        <v>1.495E-3</v>
      </c>
      <c r="I1756" s="126">
        <f>IF(B1756="0",SUMIFS('Support - Transition'!F:F,'Support - Transition'!J:J,'Step 2'!D1756,'Support - Transition'!E:E,"STATE UNIT"),SUMIFS('Support - Transition'!F:F,'Support - Transition'!J:J,'Step 2'!D1756))</f>
        <v>2.7850000000000001E-3</v>
      </c>
      <c r="J1756" s="126">
        <f>SUMIFS('Support - Unit Adjustments'!E:E,'Support - Unit Adjustments'!F:F,'Step 2'!D1756)</f>
        <v>0</v>
      </c>
      <c r="K1756" s="126">
        <f t="shared" si="517"/>
        <v>2.7850000000000001E-3</v>
      </c>
      <c r="L1756" s="174">
        <f>VLOOKUP(A1756,'Step 1'!$A:$E,4,FALSE)</f>
        <v>283380</v>
      </c>
      <c r="M1756" s="47">
        <f t="shared" si="518"/>
        <v>789</v>
      </c>
      <c r="N1756" s="177">
        <f>SUMIFS('Support - Transition'!G:G,'Support - Transition'!J:J,'Step 2'!D1756,'Support - Transition'!E:E,"2009 WELFARE ALLOCATION FACTOR")</f>
        <v>0</v>
      </c>
      <c r="O1756" s="152">
        <f t="shared" si="523"/>
        <v>0</v>
      </c>
      <c r="P1756" s="126">
        <f>IF(E1756="Y",0,SUMIFS('Support - Transition'!G:G,'Support - Transition'!J:J,'Step 2'!D1756,'Support - Transition'!E:E,"2009 SCHOOL ALLOCATION FACTOR"))</f>
        <v>0</v>
      </c>
      <c r="Q1756" s="126">
        <f>IF(E1756="Y",VLOOKUP(D1756,'Support - Unit Adjustments'!F:G,2,FALSE),0)</f>
        <v>0</v>
      </c>
      <c r="R1756" s="155">
        <f t="shared" si="535"/>
        <v>0</v>
      </c>
      <c r="S1756" s="47">
        <f t="shared" si="534"/>
        <v>0</v>
      </c>
      <c r="T1756" s="151">
        <f t="shared" si="519"/>
        <v>789</v>
      </c>
      <c r="U1756" s="151">
        <f t="shared" si="520"/>
        <v>0</v>
      </c>
      <c r="V1756" s="139">
        <f t="shared" si="521"/>
        <v>0</v>
      </c>
      <c r="W1756" s="152">
        <f t="shared" si="524"/>
        <v>789</v>
      </c>
      <c r="X1756" s="127" t="str">
        <f t="shared" si="522"/>
        <v/>
      </c>
      <c r="Y1756" s="207">
        <f t="shared" si="525"/>
        <v>789</v>
      </c>
      <c r="Z1756" s="139">
        <f t="shared" si="526"/>
        <v>365</v>
      </c>
      <c r="AA1756" s="139">
        <f t="shared" si="527"/>
        <v>424</v>
      </c>
      <c r="AC1756" s="47">
        <f t="shared" si="528"/>
        <v>395</v>
      </c>
      <c r="AD1756" s="47">
        <f t="shared" si="529"/>
        <v>183</v>
      </c>
      <c r="AE1756" s="47">
        <f t="shared" si="530"/>
        <v>212</v>
      </c>
      <c r="AG1756" s="47">
        <f t="shared" si="531"/>
        <v>394</v>
      </c>
      <c r="AH1756" s="47">
        <f t="shared" si="532"/>
        <v>182</v>
      </c>
      <c r="AI1756" s="208">
        <f t="shared" si="533"/>
        <v>212</v>
      </c>
    </row>
    <row r="1757" spans="1:35">
      <c r="A1757" t="s">
        <v>2141</v>
      </c>
      <c r="B1757" t="s">
        <v>3142</v>
      </c>
      <c r="C1757" t="s">
        <v>2197</v>
      </c>
      <c r="D1757" t="s">
        <v>5207</v>
      </c>
      <c r="F1757" t="s">
        <v>1316</v>
      </c>
      <c r="G1757" s="126">
        <f>SUMIFS('Support - Transition'!F:F,'Support - Transition'!B:B,'Step 2'!A1757,'Support - Transition'!C:C,'Step 2'!B1757,'Support - Transition'!D:D,'Step 2'!C1757,'Support - Transition'!E:E,"CIVIL")</f>
        <v>1.322E-3</v>
      </c>
      <c r="H1757" s="126">
        <f>SUMIFS('Support - Transition'!F:F,'Support - Transition'!B:B,'Step 2'!A1757,'Support - Transition'!C:C,'Step 2'!B1757,'Support - Transition'!D:D,'Step 2'!C1757,'Support - Transition'!E:E,"FIRE")</f>
        <v>1.126E-3</v>
      </c>
      <c r="I1757" s="126">
        <f>IF(B1757="0",SUMIFS('Support - Transition'!F:F,'Support - Transition'!J:J,'Step 2'!D1757,'Support - Transition'!E:E,"STATE UNIT"),SUMIFS('Support - Transition'!F:F,'Support - Transition'!J:J,'Step 2'!D1757))</f>
        <v>2.4480000000000001E-3</v>
      </c>
      <c r="J1757" s="126">
        <f>SUMIFS('Support - Unit Adjustments'!E:E,'Support - Unit Adjustments'!F:F,'Step 2'!D1757)</f>
        <v>0</v>
      </c>
      <c r="K1757" s="126">
        <f t="shared" si="517"/>
        <v>2.4480000000000001E-3</v>
      </c>
      <c r="L1757" s="174">
        <f>VLOOKUP(A1757,'Step 1'!$A:$E,4,FALSE)</f>
        <v>283380</v>
      </c>
      <c r="M1757" s="47">
        <f t="shared" si="518"/>
        <v>694</v>
      </c>
      <c r="N1757" s="177">
        <f>SUMIFS('Support - Transition'!G:G,'Support - Transition'!J:J,'Step 2'!D1757,'Support - Transition'!E:E,"2009 WELFARE ALLOCATION FACTOR")</f>
        <v>0</v>
      </c>
      <c r="O1757" s="152">
        <f t="shared" si="523"/>
        <v>0</v>
      </c>
      <c r="P1757" s="126">
        <f>IF(E1757="Y",0,SUMIFS('Support - Transition'!G:G,'Support - Transition'!J:J,'Step 2'!D1757,'Support - Transition'!E:E,"2009 SCHOOL ALLOCATION FACTOR"))</f>
        <v>0</v>
      </c>
      <c r="Q1757" s="126">
        <f>IF(E1757="Y",VLOOKUP(D1757,'Support - Unit Adjustments'!F:G,2,FALSE),0)</f>
        <v>0</v>
      </c>
      <c r="R1757" s="155">
        <f t="shared" si="535"/>
        <v>0</v>
      </c>
      <c r="S1757" s="47">
        <f t="shared" si="534"/>
        <v>0</v>
      </c>
      <c r="T1757" s="151">
        <f t="shared" si="519"/>
        <v>694</v>
      </c>
      <c r="U1757" s="151">
        <f t="shared" si="520"/>
        <v>0</v>
      </c>
      <c r="V1757" s="139">
        <f t="shared" si="521"/>
        <v>0</v>
      </c>
      <c r="W1757" s="152">
        <f t="shared" si="524"/>
        <v>694</v>
      </c>
      <c r="X1757" s="127" t="str">
        <f t="shared" si="522"/>
        <v/>
      </c>
      <c r="Y1757" s="207">
        <f t="shared" si="525"/>
        <v>694</v>
      </c>
      <c r="Z1757" s="139">
        <f t="shared" si="526"/>
        <v>375</v>
      </c>
      <c r="AA1757" s="139">
        <f t="shared" si="527"/>
        <v>319</v>
      </c>
      <c r="AC1757" s="47">
        <f t="shared" si="528"/>
        <v>347</v>
      </c>
      <c r="AD1757" s="47">
        <f t="shared" si="529"/>
        <v>188</v>
      </c>
      <c r="AE1757" s="47">
        <f t="shared" si="530"/>
        <v>160</v>
      </c>
      <c r="AG1757" s="47">
        <f t="shared" si="531"/>
        <v>347</v>
      </c>
      <c r="AH1757" s="47">
        <f t="shared" si="532"/>
        <v>187</v>
      </c>
      <c r="AI1757" s="208">
        <f t="shared" si="533"/>
        <v>159</v>
      </c>
    </row>
    <row r="1758" spans="1:35">
      <c r="A1758" t="s">
        <v>2141</v>
      </c>
      <c r="B1758" t="s">
        <v>3142</v>
      </c>
      <c r="C1758" t="s">
        <v>2198</v>
      </c>
      <c r="D1758" t="s">
        <v>5208</v>
      </c>
      <c r="F1758" t="s">
        <v>22</v>
      </c>
      <c r="G1758" s="126">
        <f>SUMIFS('Support - Transition'!F:F,'Support - Transition'!B:B,'Step 2'!A1758,'Support - Transition'!C:C,'Step 2'!B1758,'Support - Transition'!D:D,'Step 2'!C1758,'Support - Transition'!E:E,"CIVIL")</f>
        <v>8.2299999999999995E-4</v>
      </c>
      <c r="H1758" s="126">
        <f>SUMIFS('Support - Transition'!F:F,'Support - Transition'!B:B,'Step 2'!A1758,'Support - Transition'!C:C,'Step 2'!B1758,'Support - Transition'!D:D,'Step 2'!C1758,'Support - Transition'!E:E,"FIRE")</f>
        <v>3.9199999999999999E-4</v>
      </c>
      <c r="I1758" s="126">
        <f>IF(B1758="0",SUMIFS('Support - Transition'!F:F,'Support - Transition'!J:J,'Step 2'!D1758,'Support - Transition'!E:E,"STATE UNIT"),SUMIFS('Support - Transition'!F:F,'Support - Transition'!J:J,'Step 2'!D1758))</f>
        <v>1.2149999999999999E-3</v>
      </c>
      <c r="J1758" s="126">
        <f>SUMIFS('Support - Unit Adjustments'!E:E,'Support - Unit Adjustments'!F:F,'Step 2'!D1758)</f>
        <v>0</v>
      </c>
      <c r="K1758" s="126">
        <f t="shared" si="517"/>
        <v>1.2149999999999999E-3</v>
      </c>
      <c r="L1758" s="174">
        <f>VLOOKUP(A1758,'Step 1'!$A:$E,4,FALSE)</f>
        <v>283380</v>
      </c>
      <c r="M1758" s="47">
        <f t="shared" si="518"/>
        <v>344</v>
      </c>
      <c r="N1758" s="177">
        <f>SUMIFS('Support - Transition'!G:G,'Support - Transition'!J:J,'Step 2'!D1758,'Support - Transition'!E:E,"2009 WELFARE ALLOCATION FACTOR")</f>
        <v>0</v>
      </c>
      <c r="O1758" s="152">
        <f t="shared" si="523"/>
        <v>0</v>
      </c>
      <c r="P1758" s="126">
        <f>IF(E1758="Y",0,SUMIFS('Support - Transition'!G:G,'Support - Transition'!J:J,'Step 2'!D1758,'Support - Transition'!E:E,"2009 SCHOOL ALLOCATION FACTOR"))</f>
        <v>0</v>
      </c>
      <c r="Q1758" s="126">
        <f>IF(E1758="Y",VLOOKUP(D1758,'Support - Unit Adjustments'!F:G,2,FALSE),0)</f>
        <v>0</v>
      </c>
      <c r="R1758" s="155">
        <f t="shared" si="535"/>
        <v>0</v>
      </c>
      <c r="S1758" s="47">
        <f t="shared" si="534"/>
        <v>0</v>
      </c>
      <c r="T1758" s="151">
        <f t="shared" si="519"/>
        <v>344</v>
      </c>
      <c r="U1758" s="151">
        <f t="shared" si="520"/>
        <v>0</v>
      </c>
      <c r="V1758" s="139">
        <f t="shared" si="521"/>
        <v>0</v>
      </c>
      <c r="W1758" s="152">
        <f t="shared" si="524"/>
        <v>344</v>
      </c>
      <c r="X1758" s="127" t="str">
        <f t="shared" si="522"/>
        <v/>
      </c>
      <c r="Y1758" s="207">
        <f t="shared" si="525"/>
        <v>344</v>
      </c>
      <c r="Z1758" s="139">
        <f t="shared" si="526"/>
        <v>233</v>
      </c>
      <c r="AA1758" s="139">
        <f t="shared" si="527"/>
        <v>111</v>
      </c>
      <c r="AC1758" s="47">
        <f t="shared" si="528"/>
        <v>172</v>
      </c>
      <c r="AD1758" s="47">
        <f t="shared" si="529"/>
        <v>117</v>
      </c>
      <c r="AE1758" s="47">
        <f t="shared" si="530"/>
        <v>56</v>
      </c>
      <c r="AG1758" s="47">
        <f t="shared" si="531"/>
        <v>172</v>
      </c>
      <c r="AH1758" s="47">
        <f t="shared" si="532"/>
        <v>116</v>
      </c>
      <c r="AI1758" s="208">
        <f t="shared" si="533"/>
        <v>55</v>
      </c>
    </row>
    <row r="1759" spans="1:35">
      <c r="A1759" t="s">
        <v>2141</v>
      </c>
      <c r="B1759" t="s">
        <v>3142</v>
      </c>
      <c r="C1759" t="s">
        <v>2199</v>
      </c>
      <c r="D1759" t="s">
        <v>5209</v>
      </c>
      <c r="F1759" t="s">
        <v>61</v>
      </c>
      <c r="G1759" s="126">
        <f>SUMIFS('Support - Transition'!F:F,'Support - Transition'!B:B,'Step 2'!A1759,'Support - Transition'!C:C,'Step 2'!B1759,'Support - Transition'!D:D,'Step 2'!C1759,'Support - Transition'!E:E,"CIVIL")</f>
        <v>1.093E-3</v>
      </c>
      <c r="H1759" s="126">
        <f>SUMIFS('Support - Transition'!F:F,'Support - Transition'!B:B,'Step 2'!A1759,'Support - Transition'!C:C,'Step 2'!B1759,'Support - Transition'!D:D,'Step 2'!C1759,'Support - Transition'!E:E,"FIRE")</f>
        <v>1.4200000000000001E-4</v>
      </c>
      <c r="I1759" s="126">
        <f>IF(B1759="0",SUMIFS('Support - Transition'!F:F,'Support - Transition'!J:J,'Step 2'!D1759,'Support - Transition'!E:E,"STATE UNIT"),SUMIFS('Support - Transition'!F:F,'Support - Transition'!J:J,'Step 2'!D1759))</f>
        <v>1.235E-3</v>
      </c>
      <c r="J1759" s="126">
        <f>SUMIFS('Support - Unit Adjustments'!E:E,'Support - Unit Adjustments'!F:F,'Step 2'!D1759)</f>
        <v>0</v>
      </c>
      <c r="K1759" s="126">
        <f t="shared" si="517"/>
        <v>1.235E-3</v>
      </c>
      <c r="L1759" s="174">
        <f>VLOOKUP(A1759,'Step 1'!$A:$E,4,FALSE)</f>
        <v>283380</v>
      </c>
      <c r="M1759" s="47">
        <f t="shared" si="518"/>
        <v>350</v>
      </c>
      <c r="N1759" s="177">
        <f>SUMIFS('Support - Transition'!G:G,'Support - Transition'!J:J,'Step 2'!D1759,'Support - Transition'!E:E,"2009 WELFARE ALLOCATION FACTOR")</f>
        <v>0</v>
      </c>
      <c r="O1759" s="152">
        <f t="shared" si="523"/>
        <v>0</v>
      </c>
      <c r="P1759" s="126">
        <f>IF(E1759="Y",0,SUMIFS('Support - Transition'!G:G,'Support - Transition'!J:J,'Step 2'!D1759,'Support - Transition'!E:E,"2009 SCHOOL ALLOCATION FACTOR"))</f>
        <v>0</v>
      </c>
      <c r="Q1759" s="126">
        <f>IF(E1759="Y",VLOOKUP(D1759,'Support - Unit Adjustments'!F:G,2,FALSE),0)</f>
        <v>0</v>
      </c>
      <c r="R1759" s="155">
        <f t="shared" si="535"/>
        <v>0</v>
      </c>
      <c r="S1759" s="47">
        <f t="shared" si="534"/>
        <v>0</v>
      </c>
      <c r="T1759" s="151">
        <f t="shared" si="519"/>
        <v>350</v>
      </c>
      <c r="U1759" s="151">
        <f t="shared" si="520"/>
        <v>0</v>
      </c>
      <c r="V1759" s="139">
        <f t="shared" si="521"/>
        <v>0</v>
      </c>
      <c r="W1759" s="152">
        <f t="shared" si="524"/>
        <v>350</v>
      </c>
      <c r="X1759" s="127" t="str">
        <f t="shared" si="522"/>
        <v/>
      </c>
      <c r="Y1759" s="207">
        <f t="shared" si="525"/>
        <v>350</v>
      </c>
      <c r="Z1759" s="139">
        <f t="shared" si="526"/>
        <v>310</v>
      </c>
      <c r="AA1759" s="139">
        <f t="shared" si="527"/>
        <v>40</v>
      </c>
      <c r="AC1759" s="47">
        <f t="shared" si="528"/>
        <v>175</v>
      </c>
      <c r="AD1759" s="47">
        <f t="shared" si="529"/>
        <v>155</v>
      </c>
      <c r="AE1759" s="47">
        <f t="shared" si="530"/>
        <v>20</v>
      </c>
      <c r="AG1759" s="47">
        <f t="shared" si="531"/>
        <v>175</v>
      </c>
      <c r="AH1759" s="47">
        <f t="shared" si="532"/>
        <v>155</v>
      </c>
      <c r="AI1759" s="208">
        <f t="shared" si="533"/>
        <v>20</v>
      </c>
    </row>
    <row r="1760" spans="1:35">
      <c r="A1760" t="s">
        <v>2141</v>
      </c>
      <c r="B1760" t="s">
        <v>3142</v>
      </c>
      <c r="C1760" t="s">
        <v>2208</v>
      </c>
      <c r="D1760" t="s">
        <v>5210</v>
      </c>
      <c r="F1760" t="s">
        <v>115</v>
      </c>
      <c r="G1760" s="126">
        <f>SUMIFS('Support - Transition'!F:F,'Support - Transition'!B:B,'Step 2'!A1760,'Support - Transition'!C:C,'Step 2'!B1760,'Support - Transition'!D:D,'Step 2'!C1760,'Support - Transition'!E:E,"CIVIL")</f>
        <v>3.3799999999999998E-4</v>
      </c>
      <c r="H1760" s="126">
        <f>SUMIFS('Support - Transition'!F:F,'Support - Transition'!B:B,'Step 2'!A1760,'Support - Transition'!C:C,'Step 2'!B1760,'Support - Transition'!D:D,'Step 2'!C1760,'Support - Transition'!E:E,"FIRE")</f>
        <v>3.2499999999999999E-4</v>
      </c>
      <c r="I1760" s="126">
        <f>IF(B1760="0",SUMIFS('Support - Transition'!F:F,'Support - Transition'!J:J,'Step 2'!D1760,'Support - Transition'!E:E,"STATE UNIT"),SUMIFS('Support - Transition'!F:F,'Support - Transition'!J:J,'Step 2'!D1760))</f>
        <v>6.6299999999999996E-4</v>
      </c>
      <c r="J1760" s="126">
        <f>SUMIFS('Support - Unit Adjustments'!E:E,'Support - Unit Adjustments'!F:F,'Step 2'!D1760)</f>
        <v>0</v>
      </c>
      <c r="K1760" s="126">
        <f t="shared" si="517"/>
        <v>6.6299999999999996E-4</v>
      </c>
      <c r="L1760" s="174">
        <f>VLOOKUP(A1760,'Step 1'!$A:$E,4,FALSE)</f>
        <v>283380</v>
      </c>
      <c r="M1760" s="47">
        <f t="shared" si="518"/>
        <v>188</v>
      </c>
      <c r="N1760" s="177">
        <f>SUMIFS('Support - Transition'!G:G,'Support - Transition'!J:J,'Step 2'!D1760,'Support - Transition'!E:E,"2009 WELFARE ALLOCATION FACTOR")</f>
        <v>0</v>
      </c>
      <c r="O1760" s="152">
        <f t="shared" si="523"/>
        <v>0</v>
      </c>
      <c r="P1760" s="126">
        <f>IF(E1760="Y",0,SUMIFS('Support - Transition'!G:G,'Support - Transition'!J:J,'Step 2'!D1760,'Support - Transition'!E:E,"2009 SCHOOL ALLOCATION FACTOR"))</f>
        <v>0</v>
      </c>
      <c r="Q1760" s="126">
        <f>IF(E1760="Y",VLOOKUP(D1760,'Support - Unit Adjustments'!F:G,2,FALSE),0)</f>
        <v>0</v>
      </c>
      <c r="R1760" s="155">
        <f t="shared" si="535"/>
        <v>0</v>
      </c>
      <c r="S1760" s="47">
        <f t="shared" si="534"/>
        <v>0</v>
      </c>
      <c r="T1760" s="151">
        <f t="shared" si="519"/>
        <v>188</v>
      </c>
      <c r="U1760" s="151">
        <f t="shared" si="520"/>
        <v>0</v>
      </c>
      <c r="V1760" s="139">
        <f t="shared" si="521"/>
        <v>0</v>
      </c>
      <c r="W1760" s="152">
        <f t="shared" si="524"/>
        <v>188</v>
      </c>
      <c r="X1760" s="127" t="str">
        <f t="shared" si="522"/>
        <v/>
      </c>
      <c r="Y1760" s="207">
        <f t="shared" si="525"/>
        <v>188</v>
      </c>
      <c r="Z1760" s="139">
        <f t="shared" si="526"/>
        <v>96</v>
      </c>
      <c r="AA1760" s="139">
        <f t="shared" si="527"/>
        <v>92</v>
      </c>
      <c r="AC1760" s="47">
        <f t="shared" si="528"/>
        <v>94</v>
      </c>
      <c r="AD1760" s="47">
        <f t="shared" si="529"/>
        <v>48</v>
      </c>
      <c r="AE1760" s="47">
        <f t="shared" si="530"/>
        <v>46</v>
      </c>
      <c r="AG1760" s="47">
        <f t="shared" si="531"/>
        <v>94</v>
      </c>
      <c r="AH1760" s="47">
        <f t="shared" si="532"/>
        <v>48</v>
      </c>
      <c r="AI1760" s="208">
        <f t="shared" si="533"/>
        <v>46</v>
      </c>
    </row>
    <row r="1761" spans="1:35">
      <c r="A1761" t="s">
        <v>2141</v>
      </c>
      <c r="B1761" t="s">
        <v>3155</v>
      </c>
      <c r="C1761" t="s">
        <v>2888</v>
      </c>
      <c r="D1761" t="s">
        <v>5211</v>
      </c>
      <c r="F1761" t="s">
        <v>1320</v>
      </c>
      <c r="G1761" s="126">
        <f>SUMIFS('Support - Transition'!F:F,'Support - Transition'!B:B,'Step 2'!A1761,'Support - Transition'!C:C,'Step 2'!B1761,'Support - Transition'!D:D,'Step 2'!C1761,'Support - Transition'!E:E,"CIVIL")</f>
        <v>0</v>
      </c>
      <c r="H1761" s="126">
        <f>SUMIFS('Support - Transition'!F:F,'Support - Transition'!B:B,'Step 2'!A1761,'Support - Transition'!C:C,'Step 2'!B1761,'Support - Transition'!D:D,'Step 2'!C1761,'Support - Transition'!E:E,"FIRE")</f>
        <v>0</v>
      </c>
      <c r="I1761" s="126">
        <f>IF(B1761="0",SUMIFS('Support - Transition'!F:F,'Support - Transition'!J:J,'Step 2'!D1761,'Support - Transition'!E:E,"STATE UNIT"),SUMIFS('Support - Transition'!F:F,'Support - Transition'!J:J,'Step 2'!D1761))</f>
        <v>3.9467000000000002E-2</v>
      </c>
      <c r="J1761" s="126">
        <f>SUMIFS('Support - Unit Adjustments'!E:E,'Support - Unit Adjustments'!F:F,'Step 2'!D1761)</f>
        <v>0</v>
      </c>
      <c r="K1761" s="126">
        <f t="shared" si="517"/>
        <v>3.9467000000000002E-2</v>
      </c>
      <c r="L1761" s="174">
        <f>VLOOKUP(A1761,'Step 1'!$A:$E,4,FALSE)</f>
        <v>283380</v>
      </c>
      <c r="M1761" s="47">
        <f t="shared" si="518"/>
        <v>11184</v>
      </c>
      <c r="N1761" s="177">
        <f>SUMIFS('Support - Transition'!G:G,'Support - Transition'!J:J,'Step 2'!D1761,'Support - Transition'!E:E,"2009 WELFARE ALLOCATION FACTOR")</f>
        <v>0</v>
      </c>
      <c r="O1761" s="152">
        <f t="shared" si="523"/>
        <v>0</v>
      </c>
      <c r="P1761" s="126">
        <f>IF(E1761="Y",0,SUMIFS('Support - Transition'!G:G,'Support - Transition'!J:J,'Step 2'!D1761,'Support - Transition'!E:E,"2009 SCHOOL ALLOCATION FACTOR"))</f>
        <v>0</v>
      </c>
      <c r="Q1761" s="126">
        <f>IF(E1761="Y",VLOOKUP(D1761,'Support - Unit Adjustments'!F:G,2,FALSE),0)</f>
        <v>0</v>
      </c>
      <c r="R1761" s="155">
        <f t="shared" si="535"/>
        <v>0</v>
      </c>
      <c r="S1761" s="47">
        <f t="shared" si="534"/>
        <v>0</v>
      </c>
      <c r="T1761" s="151">
        <f t="shared" si="519"/>
        <v>11184</v>
      </c>
      <c r="U1761" s="151">
        <f t="shared" si="520"/>
        <v>0</v>
      </c>
      <c r="V1761" s="139">
        <f t="shared" si="521"/>
        <v>0</v>
      </c>
      <c r="W1761" s="152">
        <f t="shared" si="524"/>
        <v>11184</v>
      </c>
      <c r="X1761" s="127" t="str">
        <f t="shared" si="522"/>
        <v/>
      </c>
      <c r="Y1761" s="207">
        <f t="shared" si="525"/>
        <v>11184</v>
      </c>
      <c r="Z1761" s="139">
        <f t="shared" si="526"/>
        <v>11184</v>
      </c>
      <c r="AA1761" s="139">
        <f t="shared" si="527"/>
        <v>0</v>
      </c>
      <c r="AC1761" s="47">
        <f t="shared" si="528"/>
        <v>5592</v>
      </c>
      <c r="AD1761" s="47">
        <f t="shared" si="529"/>
        <v>5592</v>
      </c>
      <c r="AE1761" s="47">
        <f t="shared" si="530"/>
        <v>0</v>
      </c>
      <c r="AG1761" s="47">
        <f t="shared" si="531"/>
        <v>5592</v>
      </c>
      <c r="AH1761" s="47">
        <f t="shared" si="532"/>
        <v>5592</v>
      </c>
      <c r="AI1761" s="208">
        <f t="shared" si="533"/>
        <v>0</v>
      </c>
    </row>
    <row r="1762" spans="1:35">
      <c r="A1762" t="s">
        <v>2141</v>
      </c>
      <c r="B1762" t="s">
        <v>3155</v>
      </c>
      <c r="C1762" t="s">
        <v>2889</v>
      </c>
      <c r="D1762" t="s">
        <v>5212</v>
      </c>
      <c r="F1762" t="s">
        <v>1321</v>
      </c>
      <c r="G1762" s="126">
        <f>SUMIFS('Support - Transition'!F:F,'Support - Transition'!B:B,'Step 2'!A1762,'Support - Transition'!C:C,'Step 2'!B1762,'Support - Transition'!D:D,'Step 2'!C1762,'Support - Transition'!E:E,"CIVIL")</f>
        <v>0</v>
      </c>
      <c r="H1762" s="126">
        <f>SUMIFS('Support - Transition'!F:F,'Support - Transition'!B:B,'Step 2'!A1762,'Support - Transition'!C:C,'Step 2'!B1762,'Support - Transition'!D:D,'Step 2'!C1762,'Support - Transition'!E:E,"FIRE")</f>
        <v>0</v>
      </c>
      <c r="I1762" s="126">
        <f>IF(B1762="0",SUMIFS('Support - Transition'!F:F,'Support - Transition'!J:J,'Step 2'!D1762,'Support - Transition'!E:E,"STATE UNIT"),SUMIFS('Support - Transition'!F:F,'Support - Transition'!J:J,'Step 2'!D1762))</f>
        <v>3.3960999999999998E-2</v>
      </c>
      <c r="J1762" s="126">
        <f>SUMIFS('Support - Unit Adjustments'!E:E,'Support - Unit Adjustments'!F:F,'Step 2'!D1762)</f>
        <v>0</v>
      </c>
      <c r="K1762" s="126">
        <f t="shared" si="517"/>
        <v>3.3960999999999998E-2</v>
      </c>
      <c r="L1762" s="174">
        <f>VLOOKUP(A1762,'Step 1'!$A:$E,4,FALSE)</f>
        <v>283380</v>
      </c>
      <c r="M1762" s="47">
        <f t="shared" si="518"/>
        <v>9624</v>
      </c>
      <c r="N1762" s="177">
        <f>SUMIFS('Support - Transition'!G:G,'Support - Transition'!J:J,'Step 2'!D1762,'Support - Transition'!E:E,"2009 WELFARE ALLOCATION FACTOR")</f>
        <v>0</v>
      </c>
      <c r="O1762" s="152">
        <f t="shared" si="523"/>
        <v>0</v>
      </c>
      <c r="P1762" s="126">
        <f>IF(E1762="Y",0,SUMIFS('Support - Transition'!G:G,'Support - Transition'!J:J,'Step 2'!D1762,'Support - Transition'!E:E,"2009 SCHOOL ALLOCATION FACTOR"))</f>
        <v>0</v>
      </c>
      <c r="Q1762" s="126">
        <f>IF(E1762="Y",VLOOKUP(D1762,'Support - Unit Adjustments'!F:G,2,FALSE),0)</f>
        <v>0</v>
      </c>
      <c r="R1762" s="155">
        <f t="shared" si="535"/>
        <v>0</v>
      </c>
      <c r="S1762" s="47">
        <f t="shared" si="534"/>
        <v>0</v>
      </c>
      <c r="T1762" s="151">
        <f t="shared" si="519"/>
        <v>9624</v>
      </c>
      <c r="U1762" s="151">
        <f t="shared" si="520"/>
        <v>0</v>
      </c>
      <c r="V1762" s="139">
        <f t="shared" si="521"/>
        <v>0</v>
      </c>
      <c r="W1762" s="152">
        <f t="shared" si="524"/>
        <v>9624</v>
      </c>
      <c r="X1762" s="127" t="str">
        <f t="shared" si="522"/>
        <v/>
      </c>
      <c r="Y1762" s="207">
        <f t="shared" si="525"/>
        <v>9624</v>
      </c>
      <c r="Z1762" s="139">
        <f t="shared" si="526"/>
        <v>9624</v>
      </c>
      <c r="AA1762" s="139">
        <f t="shared" si="527"/>
        <v>0</v>
      </c>
      <c r="AC1762" s="47">
        <f t="shared" si="528"/>
        <v>4812</v>
      </c>
      <c r="AD1762" s="47">
        <f t="shared" si="529"/>
        <v>4812</v>
      </c>
      <c r="AE1762" s="47">
        <f t="shared" si="530"/>
        <v>0</v>
      </c>
      <c r="AG1762" s="47">
        <f t="shared" si="531"/>
        <v>4812</v>
      </c>
      <c r="AH1762" s="47">
        <f t="shared" si="532"/>
        <v>4812</v>
      </c>
      <c r="AI1762" s="208">
        <f t="shared" si="533"/>
        <v>0</v>
      </c>
    </row>
    <row r="1763" spans="1:35">
      <c r="A1763" t="s">
        <v>2141</v>
      </c>
      <c r="B1763" t="s">
        <v>3155</v>
      </c>
      <c r="C1763" t="s">
        <v>2428</v>
      </c>
      <c r="D1763" t="s">
        <v>5213</v>
      </c>
      <c r="F1763" t="s">
        <v>1317</v>
      </c>
      <c r="G1763" s="126">
        <f>SUMIFS('Support - Transition'!F:F,'Support - Transition'!B:B,'Step 2'!A1763,'Support - Transition'!C:C,'Step 2'!B1763,'Support - Transition'!D:D,'Step 2'!C1763,'Support - Transition'!E:E,"CIVIL")</f>
        <v>0</v>
      </c>
      <c r="H1763" s="126">
        <f>SUMIFS('Support - Transition'!F:F,'Support - Transition'!B:B,'Step 2'!A1763,'Support - Transition'!C:C,'Step 2'!B1763,'Support - Transition'!D:D,'Step 2'!C1763,'Support - Transition'!E:E,"FIRE")</f>
        <v>0</v>
      </c>
      <c r="I1763" s="126">
        <f>IF(B1763="0",SUMIFS('Support - Transition'!F:F,'Support - Transition'!J:J,'Step 2'!D1763,'Support - Transition'!E:E,"STATE UNIT"),SUMIFS('Support - Transition'!F:F,'Support - Transition'!J:J,'Step 2'!D1763))</f>
        <v>6.9760000000000004E-3</v>
      </c>
      <c r="J1763" s="126">
        <f>SUMIFS('Support - Unit Adjustments'!E:E,'Support - Unit Adjustments'!F:F,'Step 2'!D1763)</f>
        <v>0</v>
      </c>
      <c r="K1763" s="126">
        <f t="shared" si="517"/>
        <v>6.9760000000000004E-3</v>
      </c>
      <c r="L1763" s="174">
        <f>VLOOKUP(A1763,'Step 1'!$A:$E,4,FALSE)</f>
        <v>283380</v>
      </c>
      <c r="M1763" s="47">
        <f t="shared" si="518"/>
        <v>1977</v>
      </c>
      <c r="N1763" s="177">
        <f>SUMIFS('Support - Transition'!G:G,'Support - Transition'!J:J,'Step 2'!D1763,'Support - Transition'!E:E,"2009 WELFARE ALLOCATION FACTOR")</f>
        <v>0</v>
      </c>
      <c r="O1763" s="152">
        <f t="shared" si="523"/>
        <v>0</v>
      </c>
      <c r="P1763" s="126">
        <f>IF(E1763="Y",0,SUMIFS('Support - Transition'!G:G,'Support - Transition'!J:J,'Step 2'!D1763,'Support - Transition'!E:E,"2009 SCHOOL ALLOCATION FACTOR"))</f>
        <v>0</v>
      </c>
      <c r="Q1763" s="126">
        <f>IF(E1763="Y",VLOOKUP(D1763,'Support - Unit Adjustments'!F:G,2,FALSE),0)</f>
        <v>0</v>
      </c>
      <c r="R1763" s="155">
        <f t="shared" si="535"/>
        <v>0</v>
      </c>
      <c r="S1763" s="47">
        <f t="shared" si="534"/>
        <v>0</v>
      </c>
      <c r="T1763" s="151">
        <f t="shared" si="519"/>
        <v>1977</v>
      </c>
      <c r="U1763" s="151">
        <f t="shared" si="520"/>
        <v>0</v>
      </c>
      <c r="V1763" s="139">
        <f t="shared" si="521"/>
        <v>0</v>
      </c>
      <c r="W1763" s="152">
        <f t="shared" si="524"/>
        <v>1977</v>
      </c>
      <c r="X1763" s="127" t="str">
        <f t="shared" si="522"/>
        <v/>
      </c>
      <c r="Y1763" s="207">
        <f t="shared" si="525"/>
        <v>1977</v>
      </c>
      <c r="Z1763" s="139">
        <f t="shared" si="526"/>
        <v>1977</v>
      </c>
      <c r="AA1763" s="139">
        <f t="shared" si="527"/>
        <v>0</v>
      </c>
      <c r="AC1763" s="47">
        <f t="shared" si="528"/>
        <v>989</v>
      </c>
      <c r="AD1763" s="47">
        <f t="shared" si="529"/>
        <v>989</v>
      </c>
      <c r="AE1763" s="47">
        <f t="shared" si="530"/>
        <v>0</v>
      </c>
      <c r="AG1763" s="47">
        <f t="shared" si="531"/>
        <v>988</v>
      </c>
      <c r="AH1763" s="47">
        <f t="shared" si="532"/>
        <v>988</v>
      </c>
      <c r="AI1763" s="208">
        <f t="shared" si="533"/>
        <v>0</v>
      </c>
    </row>
    <row r="1764" spans="1:35">
      <c r="A1764" t="s">
        <v>2141</v>
      </c>
      <c r="B1764" t="s">
        <v>3155</v>
      </c>
      <c r="C1764" t="s">
        <v>2734</v>
      </c>
      <c r="D1764" t="s">
        <v>5214</v>
      </c>
      <c r="F1764" t="s">
        <v>1318</v>
      </c>
      <c r="G1764" s="126">
        <f>SUMIFS('Support - Transition'!F:F,'Support - Transition'!B:B,'Step 2'!A1764,'Support - Transition'!C:C,'Step 2'!B1764,'Support - Transition'!D:D,'Step 2'!C1764,'Support - Transition'!E:E,"CIVIL")</f>
        <v>0</v>
      </c>
      <c r="H1764" s="126">
        <f>SUMIFS('Support - Transition'!F:F,'Support - Transition'!B:B,'Step 2'!A1764,'Support - Transition'!C:C,'Step 2'!B1764,'Support - Transition'!D:D,'Step 2'!C1764,'Support - Transition'!E:E,"FIRE")</f>
        <v>0</v>
      </c>
      <c r="I1764" s="126">
        <f>IF(B1764="0",SUMIFS('Support - Transition'!F:F,'Support - Transition'!J:J,'Step 2'!D1764,'Support - Transition'!E:E,"STATE UNIT"),SUMIFS('Support - Transition'!F:F,'Support - Transition'!J:J,'Step 2'!D1764))</f>
        <v>2.7399999999999998E-3</v>
      </c>
      <c r="J1764" s="126">
        <f>SUMIFS('Support - Unit Adjustments'!E:E,'Support - Unit Adjustments'!F:F,'Step 2'!D1764)</f>
        <v>0</v>
      </c>
      <c r="K1764" s="126">
        <f t="shared" si="517"/>
        <v>2.7399999999999998E-3</v>
      </c>
      <c r="L1764" s="174">
        <f>VLOOKUP(A1764,'Step 1'!$A:$E,4,FALSE)</f>
        <v>283380</v>
      </c>
      <c r="M1764" s="47">
        <f t="shared" si="518"/>
        <v>776</v>
      </c>
      <c r="N1764" s="177">
        <f>SUMIFS('Support - Transition'!G:G,'Support - Transition'!J:J,'Step 2'!D1764,'Support - Transition'!E:E,"2009 WELFARE ALLOCATION FACTOR")</f>
        <v>0</v>
      </c>
      <c r="O1764" s="152">
        <f t="shared" si="523"/>
        <v>0</v>
      </c>
      <c r="P1764" s="126">
        <f>IF(E1764="Y",0,SUMIFS('Support - Transition'!G:G,'Support - Transition'!J:J,'Step 2'!D1764,'Support - Transition'!E:E,"2009 SCHOOL ALLOCATION FACTOR"))</f>
        <v>0</v>
      </c>
      <c r="Q1764" s="126">
        <f>IF(E1764="Y",VLOOKUP(D1764,'Support - Unit Adjustments'!F:G,2,FALSE),0)</f>
        <v>0</v>
      </c>
      <c r="R1764" s="155">
        <f t="shared" si="535"/>
        <v>0</v>
      </c>
      <c r="S1764" s="47">
        <f t="shared" si="534"/>
        <v>0</v>
      </c>
      <c r="T1764" s="151">
        <f t="shared" si="519"/>
        <v>776</v>
      </c>
      <c r="U1764" s="151">
        <f t="shared" si="520"/>
        <v>0</v>
      </c>
      <c r="V1764" s="139">
        <f t="shared" si="521"/>
        <v>0</v>
      </c>
      <c r="W1764" s="152">
        <f t="shared" si="524"/>
        <v>776</v>
      </c>
      <c r="X1764" s="127" t="str">
        <f t="shared" si="522"/>
        <v/>
      </c>
      <c r="Y1764" s="207">
        <f t="shared" si="525"/>
        <v>776</v>
      </c>
      <c r="Z1764" s="139">
        <f t="shared" si="526"/>
        <v>776</v>
      </c>
      <c r="AA1764" s="139">
        <f t="shared" si="527"/>
        <v>0</v>
      </c>
      <c r="AC1764" s="47">
        <f t="shared" si="528"/>
        <v>388</v>
      </c>
      <c r="AD1764" s="47">
        <f t="shared" si="529"/>
        <v>388</v>
      </c>
      <c r="AE1764" s="47">
        <f t="shared" si="530"/>
        <v>0</v>
      </c>
      <c r="AG1764" s="47">
        <f t="shared" si="531"/>
        <v>388</v>
      </c>
      <c r="AH1764" s="47">
        <f t="shared" si="532"/>
        <v>388</v>
      </c>
      <c r="AI1764" s="208">
        <f t="shared" si="533"/>
        <v>0</v>
      </c>
    </row>
    <row r="1765" spans="1:35">
      <c r="A1765" t="s">
        <v>2141</v>
      </c>
      <c r="B1765" t="s">
        <v>3155</v>
      </c>
      <c r="C1765" t="s">
        <v>2890</v>
      </c>
      <c r="D1765" t="s">
        <v>5215</v>
      </c>
      <c r="F1765" t="s">
        <v>1319</v>
      </c>
      <c r="G1765" s="126">
        <f>SUMIFS('Support - Transition'!F:F,'Support - Transition'!B:B,'Step 2'!A1765,'Support - Transition'!C:C,'Step 2'!B1765,'Support - Transition'!D:D,'Step 2'!C1765,'Support - Transition'!E:E,"CIVIL")</f>
        <v>0</v>
      </c>
      <c r="H1765" s="126">
        <f>SUMIFS('Support - Transition'!F:F,'Support - Transition'!B:B,'Step 2'!A1765,'Support - Transition'!C:C,'Step 2'!B1765,'Support - Transition'!D:D,'Step 2'!C1765,'Support - Transition'!E:E,"FIRE")</f>
        <v>0</v>
      </c>
      <c r="I1765" s="126">
        <f>IF(B1765="0",SUMIFS('Support - Transition'!F:F,'Support - Transition'!J:J,'Step 2'!D1765,'Support - Transition'!E:E,"STATE UNIT"),SUMIFS('Support - Transition'!F:F,'Support - Transition'!J:J,'Step 2'!D1765))</f>
        <v>5.6860000000000001E-3</v>
      </c>
      <c r="J1765" s="126">
        <f>SUMIFS('Support - Unit Adjustments'!E:E,'Support - Unit Adjustments'!F:F,'Step 2'!D1765)</f>
        <v>0</v>
      </c>
      <c r="K1765" s="126">
        <f t="shared" si="517"/>
        <v>5.6860000000000001E-3</v>
      </c>
      <c r="L1765" s="174">
        <f>VLOOKUP(A1765,'Step 1'!$A:$E,4,FALSE)</f>
        <v>283380</v>
      </c>
      <c r="M1765" s="47">
        <f t="shared" si="518"/>
        <v>1611</v>
      </c>
      <c r="N1765" s="177">
        <f>SUMIFS('Support - Transition'!G:G,'Support - Transition'!J:J,'Step 2'!D1765,'Support - Transition'!E:E,"2009 WELFARE ALLOCATION FACTOR")</f>
        <v>0</v>
      </c>
      <c r="O1765" s="152">
        <f t="shared" si="523"/>
        <v>0</v>
      </c>
      <c r="P1765" s="126">
        <f>IF(E1765="Y",0,SUMIFS('Support - Transition'!G:G,'Support - Transition'!J:J,'Step 2'!D1765,'Support - Transition'!E:E,"2009 SCHOOL ALLOCATION FACTOR"))</f>
        <v>0</v>
      </c>
      <c r="Q1765" s="126">
        <f>IF(E1765="Y",VLOOKUP(D1765,'Support - Unit Adjustments'!F:G,2,FALSE),0)</f>
        <v>0</v>
      </c>
      <c r="R1765" s="155">
        <f t="shared" si="535"/>
        <v>0</v>
      </c>
      <c r="S1765" s="47">
        <f t="shared" si="534"/>
        <v>0</v>
      </c>
      <c r="T1765" s="151">
        <f t="shared" si="519"/>
        <v>1611</v>
      </c>
      <c r="U1765" s="151">
        <f t="shared" si="520"/>
        <v>0</v>
      </c>
      <c r="V1765" s="139">
        <f t="shared" si="521"/>
        <v>0</v>
      </c>
      <c r="W1765" s="152">
        <f t="shared" si="524"/>
        <v>1611</v>
      </c>
      <c r="X1765" s="127" t="str">
        <f t="shared" si="522"/>
        <v/>
      </c>
      <c r="Y1765" s="207">
        <f t="shared" si="525"/>
        <v>1611</v>
      </c>
      <c r="Z1765" s="139">
        <f t="shared" si="526"/>
        <v>1611</v>
      </c>
      <c r="AA1765" s="139">
        <f t="shared" si="527"/>
        <v>0</v>
      </c>
      <c r="AC1765" s="47">
        <f t="shared" si="528"/>
        <v>806</v>
      </c>
      <c r="AD1765" s="47">
        <f t="shared" si="529"/>
        <v>806</v>
      </c>
      <c r="AE1765" s="47">
        <f t="shared" si="530"/>
        <v>0</v>
      </c>
      <c r="AG1765" s="47">
        <f t="shared" si="531"/>
        <v>805</v>
      </c>
      <c r="AH1765" s="47">
        <f t="shared" si="532"/>
        <v>805</v>
      </c>
      <c r="AI1765" s="208">
        <f t="shared" si="533"/>
        <v>0</v>
      </c>
    </row>
    <row r="1766" spans="1:35">
      <c r="A1766" t="s">
        <v>2141</v>
      </c>
      <c r="B1766" t="s">
        <v>3155</v>
      </c>
      <c r="C1766" t="s">
        <v>2735</v>
      </c>
      <c r="D1766" t="s">
        <v>5216</v>
      </c>
      <c r="F1766" t="s">
        <v>1322</v>
      </c>
      <c r="G1766" s="126">
        <f>SUMIFS('Support - Transition'!F:F,'Support - Transition'!B:B,'Step 2'!A1766,'Support - Transition'!C:C,'Step 2'!B1766,'Support - Transition'!D:D,'Step 2'!C1766,'Support - Transition'!E:E,"CIVIL")</f>
        <v>0</v>
      </c>
      <c r="H1766" s="126">
        <f>SUMIFS('Support - Transition'!F:F,'Support - Transition'!B:B,'Step 2'!A1766,'Support - Transition'!C:C,'Step 2'!B1766,'Support - Transition'!D:D,'Step 2'!C1766,'Support - Transition'!E:E,"FIRE")</f>
        <v>0</v>
      </c>
      <c r="I1766" s="126">
        <f>IF(B1766="0",SUMIFS('Support - Transition'!F:F,'Support - Transition'!J:J,'Step 2'!D1766,'Support - Transition'!E:E,"STATE UNIT"),SUMIFS('Support - Transition'!F:F,'Support - Transition'!J:J,'Step 2'!D1766))</f>
        <v>6.2399999999999999E-4</v>
      </c>
      <c r="J1766" s="126">
        <f>SUMIFS('Support - Unit Adjustments'!E:E,'Support - Unit Adjustments'!F:F,'Step 2'!D1766)</f>
        <v>0</v>
      </c>
      <c r="K1766" s="126">
        <f t="shared" si="517"/>
        <v>6.2399999999999999E-4</v>
      </c>
      <c r="L1766" s="174">
        <f>VLOOKUP(A1766,'Step 1'!$A:$E,4,FALSE)</f>
        <v>283380</v>
      </c>
      <c r="M1766" s="47">
        <f t="shared" si="518"/>
        <v>177</v>
      </c>
      <c r="N1766" s="177">
        <f>SUMIFS('Support - Transition'!G:G,'Support - Transition'!J:J,'Step 2'!D1766,'Support - Transition'!E:E,"2009 WELFARE ALLOCATION FACTOR")</f>
        <v>0</v>
      </c>
      <c r="O1766" s="152">
        <f t="shared" si="523"/>
        <v>0</v>
      </c>
      <c r="P1766" s="126">
        <f>IF(E1766="Y",0,SUMIFS('Support - Transition'!G:G,'Support - Transition'!J:J,'Step 2'!D1766,'Support - Transition'!E:E,"2009 SCHOOL ALLOCATION FACTOR"))</f>
        <v>0</v>
      </c>
      <c r="Q1766" s="126">
        <f>IF(E1766="Y",VLOOKUP(D1766,'Support - Unit Adjustments'!F:G,2,FALSE),0)</f>
        <v>0</v>
      </c>
      <c r="R1766" s="155">
        <f t="shared" si="535"/>
        <v>0</v>
      </c>
      <c r="S1766" s="47">
        <f t="shared" si="534"/>
        <v>0</v>
      </c>
      <c r="T1766" s="151">
        <f t="shared" si="519"/>
        <v>177</v>
      </c>
      <c r="U1766" s="151">
        <f t="shared" si="520"/>
        <v>0</v>
      </c>
      <c r="V1766" s="139">
        <f t="shared" si="521"/>
        <v>0</v>
      </c>
      <c r="W1766" s="152">
        <f t="shared" si="524"/>
        <v>177</v>
      </c>
      <c r="X1766" s="127" t="str">
        <f t="shared" si="522"/>
        <v/>
      </c>
      <c r="Y1766" s="207">
        <f t="shared" si="525"/>
        <v>177</v>
      </c>
      <c r="Z1766" s="139">
        <f t="shared" si="526"/>
        <v>177</v>
      </c>
      <c r="AA1766" s="139">
        <f t="shared" si="527"/>
        <v>0</v>
      </c>
      <c r="AC1766" s="47">
        <f t="shared" si="528"/>
        <v>89</v>
      </c>
      <c r="AD1766" s="47">
        <f t="shared" si="529"/>
        <v>89</v>
      </c>
      <c r="AE1766" s="47">
        <f t="shared" si="530"/>
        <v>0</v>
      </c>
      <c r="AG1766" s="47">
        <f t="shared" si="531"/>
        <v>88</v>
      </c>
      <c r="AH1766" s="47">
        <f t="shared" si="532"/>
        <v>88</v>
      </c>
      <c r="AI1766" s="208">
        <f t="shared" si="533"/>
        <v>0</v>
      </c>
    </row>
    <row r="1767" spans="1:35">
      <c r="A1767" t="s">
        <v>2141</v>
      </c>
      <c r="B1767" t="s">
        <v>3155</v>
      </c>
      <c r="C1767" t="s">
        <v>2692</v>
      </c>
      <c r="D1767" t="s">
        <v>5217</v>
      </c>
      <c r="F1767" t="s">
        <v>991</v>
      </c>
      <c r="G1767" s="126">
        <f>SUMIFS('Support - Transition'!F:F,'Support - Transition'!B:B,'Step 2'!A1767,'Support - Transition'!C:C,'Step 2'!B1767,'Support - Transition'!D:D,'Step 2'!C1767,'Support - Transition'!E:E,"CIVIL")</f>
        <v>0</v>
      </c>
      <c r="H1767" s="126">
        <f>SUMIFS('Support - Transition'!F:F,'Support - Transition'!B:B,'Step 2'!A1767,'Support - Transition'!C:C,'Step 2'!B1767,'Support - Transition'!D:D,'Step 2'!C1767,'Support - Transition'!E:E,"FIRE")</f>
        <v>0</v>
      </c>
      <c r="I1767" s="126">
        <f>IF(B1767="0",SUMIFS('Support - Transition'!F:F,'Support - Transition'!J:J,'Step 2'!D1767,'Support - Transition'!E:E,"STATE UNIT"),SUMIFS('Support - Transition'!F:F,'Support - Transition'!J:J,'Step 2'!D1767))</f>
        <v>1.1658E-2</v>
      </c>
      <c r="J1767" s="126">
        <f>SUMIFS('Support - Unit Adjustments'!E:E,'Support - Unit Adjustments'!F:F,'Step 2'!D1767)</f>
        <v>0</v>
      </c>
      <c r="K1767" s="126">
        <f t="shared" si="517"/>
        <v>1.1658E-2</v>
      </c>
      <c r="L1767" s="174">
        <f>VLOOKUP(A1767,'Step 1'!$A:$E,4,FALSE)</f>
        <v>283380</v>
      </c>
      <c r="M1767" s="47">
        <f t="shared" si="518"/>
        <v>3304</v>
      </c>
      <c r="N1767" s="177">
        <f>SUMIFS('Support - Transition'!G:G,'Support - Transition'!J:J,'Step 2'!D1767,'Support - Transition'!E:E,"2009 WELFARE ALLOCATION FACTOR")</f>
        <v>0</v>
      </c>
      <c r="O1767" s="152">
        <f t="shared" si="523"/>
        <v>0</v>
      </c>
      <c r="P1767" s="126">
        <f>IF(E1767="Y",0,SUMIFS('Support - Transition'!G:G,'Support - Transition'!J:J,'Step 2'!D1767,'Support - Transition'!E:E,"2009 SCHOOL ALLOCATION FACTOR"))</f>
        <v>0</v>
      </c>
      <c r="Q1767" s="126">
        <f>IF(E1767="Y",VLOOKUP(D1767,'Support - Unit Adjustments'!F:G,2,FALSE),0)</f>
        <v>0</v>
      </c>
      <c r="R1767" s="155">
        <f t="shared" si="535"/>
        <v>0</v>
      </c>
      <c r="S1767" s="47">
        <f t="shared" si="534"/>
        <v>0</v>
      </c>
      <c r="T1767" s="151">
        <f t="shared" si="519"/>
        <v>3304</v>
      </c>
      <c r="U1767" s="151">
        <f t="shared" si="520"/>
        <v>0</v>
      </c>
      <c r="V1767" s="139">
        <f t="shared" si="521"/>
        <v>0</v>
      </c>
      <c r="W1767" s="152">
        <f t="shared" si="524"/>
        <v>3304</v>
      </c>
      <c r="X1767" s="127" t="str">
        <f t="shared" si="522"/>
        <v/>
      </c>
      <c r="Y1767" s="207">
        <f t="shared" si="525"/>
        <v>3304</v>
      </c>
      <c r="Z1767" s="139">
        <f t="shared" si="526"/>
        <v>3304</v>
      </c>
      <c r="AA1767" s="139">
        <f t="shared" si="527"/>
        <v>0</v>
      </c>
      <c r="AC1767" s="47">
        <f t="shared" si="528"/>
        <v>1652</v>
      </c>
      <c r="AD1767" s="47">
        <f t="shared" si="529"/>
        <v>1652</v>
      </c>
      <c r="AE1767" s="47">
        <f t="shared" si="530"/>
        <v>0</v>
      </c>
      <c r="AG1767" s="47">
        <f t="shared" si="531"/>
        <v>1652</v>
      </c>
      <c r="AH1767" s="47">
        <f t="shared" si="532"/>
        <v>1652</v>
      </c>
      <c r="AI1767" s="208">
        <f t="shared" si="533"/>
        <v>0</v>
      </c>
    </row>
    <row r="1768" spans="1:35">
      <c r="A1768" t="s">
        <v>2141</v>
      </c>
      <c r="B1768" t="s">
        <v>3160</v>
      </c>
      <c r="C1768" t="s">
        <v>2695</v>
      </c>
      <c r="D1768" t="s">
        <v>5218</v>
      </c>
      <c r="F1768" t="s">
        <v>992</v>
      </c>
      <c r="G1768" s="126">
        <f>SUMIFS('Support - Transition'!F:F,'Support - Transition'!B:B,'Step 2'!A1768,'Support - Transition'!C:C,'Step 2'!B1768,'Support - Transition'!D:D,'Step 2'!C1768,'Support - Transition'!E:E,"CIVIL")</f>
        <v>0</v>
      </c>
      <c r="H1768" s="126">
        <f>SUMIFS('Support - Transition'!F:F,'Support - Transition'!B:B,'Step 2'!A1768,'Support - Transition'!C:C,'Step 2'!B1768,'Support - Transition'!D:D,'Step 2'!C1768,'Support - Transition'!E:E,"FIRE")</f>
        <v>0</v>
      </c>
      <c r="I1768" s="126">
        <f>IF(B1768="0",SUMIFS('Support - Transition'!F:F,'Support - Transition'!J:J,'Step 2'!D1768,'Support - Transition'!E:E,"STATE UNIT"),SUMIFS('Support - Transition'!F:F,'Support - Transition'!J:J,'Step 2'!D1768))</f>
        <v>1.5266E-2</v>
      </c>
      <c r="J1768" s="126">
        <f>SUMIFS('Support - Unit Adjustments'!E:E,'Support - Unit Adjustments'!F:F,'Step 2'!D1768)</f>
        <v>0</v>
      </c>
      <c r="K1768" s="126">
        <f t="shared" si="517"/>
        <v>1.5266E-2</v>
      </c>
      <c r="L1768" s="174">
        <f>VLOOKUP(A1768,'Step 1'!$A:$E,4,FALSE)</f>
        <v>283380</v>
      </c>
      <c r="M1768" s="47">
        <f t="shared" si="518"/>
        <v>4326</v>
      </c>
      <c r="N1768" s="177">
        <f>SUMIFS('Support - Transition'!G:G,'Support - Transition'!J:J,'Step 2'!D1768,'Support - Transition'!E:E,"2009 WELFARE ALLOCATION FACTOR")</f>
        <v>0</v>
      </c>
      <c r="O1768" s="152">
        <f t="shared" si="523"/>
        <v>0</v>
      </c>
      <c r="P1768" s="126">
        <f>IF(E1768="Y",0,SUMIFS('Support - Transition'!G:G,'Support - Transition'!J:J,'Step 2'!D1768,'Support - Transition'!E:E,"2009 SCHOOL ALLOCATION FACTOR"))</f>
        <v>0.50163199999999997</v>
      </c>
      <c r="Q1768" s="126">
        <f>IF(E1768="Y",VLOOKUP(D1768,'Support - Unit Adjustments'!F:G,2,FALSE),0)</f>
        <v>0</v>
      </c>
      <c r="R1768" s="155">
        <f t="shared" si="535"/>
        <v>0.50163199999999997</v>
      </c>
      <c r="S1768" s="47">
        <f t="shared" si="534"/>
        <v>2170</v>
      </c>
      <c r="T1768" s="151">
        <f t="shared" si="519"/>
        <v>2156</v>
      </c>
      <c r="U1768" s="151">
        <f t="shared" si="520"/>
        <v>0</v>
      </c>
      <c r="V1768" s="139">
        <f t="shared" si="521"/>
        <v>0</v>
      </c>
      <c r="W1768" s="152">
        <f t="shared" si="524"/>
        <v>2156</v>
      </c>
      <c r="X1768" s="127" t="str">
        <f t="shared" si="522"/>
        <v/>
      </c>
      <c r="Y1768" s="207">
        <f t="shared" si="525"/>
        <v>2156</v>
      </c>
      <c r="Z1768" s="139">
        <f t="shared" si="526"/>
        <v>2156</v>
      </c>
      <c r="AA1768" s="139">
        <f t="shared" si="527"/>
        <v>0</v>
      </c>
      <c r="AC1768" s="47">
        <f t="shared" si="528"/>
        <v>1078</v>
      </c>
      <c r="AD1768" s="47">
        <f t="shared" si="529"/>
        <v>1078</v>
      </c>
      <c r="AE1768" s="47">
        <f t="shared" si="530"/>
        <v>0</v>
      </c>
      <c r="AG1768" s="47">
        <f t="shared" si="531"/>
        <v>1078</v>
      </c>
      <c r="AH1768" s="47">
        <f t="shared" si="532"/>
        <v>1078</v>
      </c>
      <c r="AI1768" s="208">
        <f t="shared" si="533"/>
        <v>0</v>
      </c>
    </row>
    <row r="1769" spans="1:35">
      <c r="A1769" t="s">
        <v>2141</v>
      </c>
      <c r="B1769" t="s">
        <v>3160</v>
      </c>
      <c r="C1769" t="s">
        <v>2891</v>
      </c>
      <c r="D1769" t="s">
        <v>5219</v>
      </c>
      <c r="F1769" t="s">
        <v>5220</v>
      </c>
      <c r="G1769" s="126">
        <f>SUMIFS('Support - Transition'!F:F,'Support - Transition'!B:B,'Step 2'!A1769,'Support - Transition'!C:C,'Step 2'!B1769,'Support - Transition'!D:D,'Step 2'!C1769,'Support - Transition'!E:E,"CIVIL")</f>
        <v>0</v>
      </c>
      <c r="H1769" s="126">
        <f>SUMIFS('Support - Transition'!F:F,'Support - Transition'!B:B,'Step 2'!A1769,'Support - Transition'!C:C,'Step 2'!B1769,'Support - Transition'!D:D,'Step 2'!C1769,'Support - Transition'!E:E,"FIRE")</f>
        <v>0</v>
      </c>
      <c r="I1769" s="126">
        <f>IF(B1769="0",SUMIFS('Support - Transition'!F:F,'Support - Transition'!J:J,'Step 2'!D1769,'Support - Transition'!E:E,"STATE UNIT"),SUMIFS('Support - Transition'!F:F,'Support - Transition'!J:J,'Step 2'!D1769))</f>
        <v>0.121796</v>
      </c>
      <c r="J1769" s="126">
        <f>SUMIFS('Support - Unit Adjustments'!E:E,'Support - Unit Adjustments'!F:F,'Step 2'!D1769)</f>
        <v>0</v>
      </c>
      <c r="K1769" s="126">
        <f t="shared" si="517"/>
        <v>0.121796</v>
      </c>
      <c r="L1769" s="174">
        <f>VLOOKUP(A1769,'Step 1'!$A:$E,4,FALSE)</f>
        <v>283380</v>
      </c>
      <c r="M1769" s="47">
        <f t="shared" si="518"/>
        <v>34515</v>
      </c>
      <c r="N1769" s="177">
        <f>SUMIFS('Support - Transition'!G:G,'Support - Transition'!J:J,'Step 2'!D1769,'Support - Transition'!E:E,"2009 WELFARE ALLOCATION FACTOR")</f>
        <v>0</v>
      </c>
      <c r="O1769" s="152">
        <f t="shared" si="523"/>
        <v>0</v>
      </c>
      <c r="P1769" s="126">
        <f>IF(E1769="Y",0,SUMIFS('Support - Transition'!G:G,'Support - Transition'!J:J,'Step 2'!D1769,'Support - Transition'!E:E,"2009 SCHOOL ALLOCATION FACTOR"))</f>
        <v>0.46808699999999998</v>
      </c>
      <c r="Q1769" s="126">
        <f>IF(E1769="Y",VLOOKUP(D1769,'Support - Unit Adjustments'!F:G,2,FALSE),0)</f>
        <v>0</v>
      </c>
      <c r="R1769" s="155">
        <f t="shared" si="535"/>
        <v>0.46808699999999998</v>
      </c>
      <c r="S1769" s="47">
        <f t="shared" si="534"/>
        <v>16156</v>
      </c>
      <c r="T1769" s="151">
        <f t="shared" si="519"/>
        <v>18359</v>
      </c>
      <c r="U1769" s="151">
        <f t="shared" si="520"/>
        <v>0</v>
      </c>
      <c r="V1769" s="139">
        <f t="shared" si="521"/>
        <v>0</v>
      </c>
      <c r="W1769" s="152">
        <f t="shared" si="524"/>
        <v>18359</v>
      </c>
      <c r="X1769" s="127" t="str">
        <f t="shared" si="522"/>
        <v/>
      </c>
      <c r="Y1769" s="207">
        <f t="shared" si="525"/>
        <v>18359</v>
      </c>
      <c r="Z1769" s="139">
        <f t="shared" si="526"/>
        <v>18359</v>
      </c>
      <c r="AA1769" s="139">
        <f t="shared" si="527"/>
        <v>0</v>
      </c>
      <c r="AC1769" s="47">
        <f t="shared" si="528"/>
        <v>9180</v>
      </c>
      <c r="AD1769" s="47">
        <f t="shared" si="529"/>
        <v>9180</v>
      </c>
      <c r="AE1769" s="47">
        <f t="shared" si="530"/>
        <v>0</v>
      </c>
      <c r="AG1769" s="47">
        <f t="shared" si="531"/>
        <v>9179</v>
      </c>
      <c r="AH1769" s="47">
        <f t="shared" si="532"/>
        <v>9179</v>
      </c>
      <c r="AI1769" s="208">
        <f t="shared" si="533"/>
        <v>0</v>
      </c>
    </row>
    <row r="1770" spans="1:35">
      <c r="A1770" t="s">
        <v>2141</v>
      </c>
      <c r="B1770" t="s">
        <v>3160</v>
      </c>
      <c r="C1770" t="s">
        <v>2892</v>
      </c>
      <c r="D1770" t="s">
        <v>5221</v>
      </c>
      <c r="F1770" t="s">
        <v>1324</v>
      </c>
      <c r="G1770" s="126">
        <f>SUMIFS('Support - Transition'!F:F,'Support - Transition'!B:B,'Step 2'!A1770,'Support - Transition'!C:C,'Step 2'!B1770,'Support - Transition'!D:D,'Step 2'!C1770,'Support - Transition'!E:E,"CIVIL")</f>
        <v>0</v>
      </c>
      <c r="H1770" s="126">
        <f>SUMIFS('Support - Transition'!F:F,'Support - Transition'!B:B,'Step 2'!A1770,'Support - Transition'!C:C,'Step 2'!B1770,'Support - Transition'!D:D,'Step 2'!C1770,'Support - Transition'!E:E,"FIRE")</f>
        <v>0</v>
      </c>
      <c r="I1770" s="126">
        <f>IF(B1770="0",SUMIFS('Support - Transition'!F:F,'Support - Transition'!J:J,'Step 2'!D1770,'Support - Transition'!E:E,"STATE UNIT"),SUMIFS('Support - Transition'!F:F,'Support - Transition'!J:J,'Step 2'!D1770))</f>
        <v>0.25220500000000001</v>
      </c>
      <c r="J1770" s="126">
        <f>SUMIFS('Support - Unit Adjustments'!E:E,'Support - Unit Adjustments'!F:F,'Step 2'!D1770)</f>
        <v>0</v>
      </c>
      <c r="K1770" s="126">
        <f t="shared" si="517"/>
        <v>0.25220500000000001</v>
      </c>
      <c r="L1770" s="174">
        <f>VLOOKUP(A1770,'Step 1'!$A:$E,4,FALSE)</f>
        <v>283380</v>
      </c>
      <c r="M1770" s="47">
        <f t="shared" si="518"/>
        <v>71470</v>
      </c>
      <c r="N1770" s="177">
        <f>SUMIFS('Support - Transition'!G:G,'Support - Transition'!J:J,'Step 2'!D1770,'Support - Transition'!E:E,"2009 WELFARE ALLOCATION FACTOR")</f>
        <v>0</v>
      </c>
      <c r="O1770" s="152">
        <f t="shared" si="523"/>
        <v>0</v>
      </c>
      <c r="P1770" s="126">
        <f>IF(E1770="Y",0,SUMIFS('Support - Transition'!G:G,'Support - Transition'!J:J,'Step 2'!D1770,'Support - Transition'!E:E,"2009 SCHOOL ALLOCATION FACTOR"))</f>
        <v>0.45510499999999998</v>
      </c>
      <c r="Q1770" s="126">
        <f>IF(E1770="Y",VLOOKUP(D1770,'Support - Unit Adjustments'!F:G,2,FALSE),0)</f>
        <v>0</v>
      </c>
      <c r="R1770" s="155">
        <f t="shared" si="535"/>
        <v>0.45510499999999998</v>
      </c>
      <c r="S1770" s="47">
        <f t="shared" si="534"/>
        <v>32526</v>
      </c>
      <c r="T1770" s="151">
        <f t="shared" si="519"/>
        <v>38944</v>
      </c>
      <c r="U1770" s="151">
        <f t="shared" si="520"/>
        <v>0</v>
      </c>
      <c r="V1770" s="139">
        <f t="shared" si="521"/>
        <v>0</v>
      </c>
      <c r="W1770" s="152">
        <f t="shared" si="524"/>
        <v>38944</v>
      </c>
      <c r="X1770" s="127" t="str">
        <f t="shared" si="522"/>
        <v/>
      </c>
      <c r="Y1770" s="207">
        <f t="shared" si="525"/>
        <v>38944</v>
      </c>
      <c r="Z1770" s="139">
        <f t="shared" si="526"/>
        <v>38944</v>
      </c>
      <c r="AA1770" s="139">
        <f t="shared" si="527"/>
        <v>0</v>
      </c>
      <c r="AC1770" s="47">
        <f t="shared" si="528"/>
        <v>19472</v>
      </c>
      <c r="AD1770" s="47">
        <f t="shared" si="529"/>
        <v>19472</v>
      </c>
      <c r="AE1770" s="47">
        <f t="shared" si="530"/>
        <v>0</v>
      </c>
      <c r="AG1770" s="47">
        <f t="shared" si="531"/>
        <v>19472</v>
      </c>
      <c r="AH1770" s="47">
        <f t="shared" si="532"/>
        <v>19472</v>
      </c>
      <c r="AI1770" s="208">
        <f t="shared" si="533"/>
        <v>0</v>
      </c>
    </row>
    <row r="1771" spans="1:35">
      <c r="A1771" t="s">
        <v>2141</v>
      </c>
      <c r="B1771" t="s">
        <v>3160</v>
      </c>
      <c r="C1771" t="s">
        <v>5222</v>
      </c>
      <c r="D1771" t="s">
        <v>5223</v>
      </c>
      <c r="F1771" t="s">
        <v>1326</v>
      </c>
      <c r="G1771" s="126">
        <f>SUMIFS('Support - Transition'!F:F,'Support - Transition'!B:B,'Step 2'!A1771,'Support - Transition'!C:C,'Step 2'!B1771,'Support - Transition'!D:D,'Step 2'!C1771,'Support - Transition'!E:E,"CIVIL")</f>
        <v>0</v>
      </c>
      <c r="H1771" s="126">
        <f>SUMIFS('Support - Transition'!F:F,'Support - Transition'!B:B,'Step 2'!A1771,'Support - Transition'!C:C,'Step 2'!B1771,'Support - Transition'!D:D,'Step 2'!C1771,'Support - Transition'!E:E,"FIRE")</f>
        <v>0</v>
      </c>
      <c r="I1771" s="126">
        <f>IF(B1771="0",SUMIFS('Support - Transition'!F:F,'Support - Transition'!J:J,'Step 2'!D1771,'Support - Transition'!E:E,"STATE UNIT"),SUMIFS('Support - Transition'!F:F,'Support - Transition'!J:J,'Step 2'!D1771))</f>
        <v>0.24460599999999999</v>
      </c>
      <c r="J1771" s="126">
        <f>SUMIFS('Support - Unit Adjustments'!E:E,'Support - Unit Adjustments'!F:F,'Step 2'!D1771)</f>
        <v>0</v>
      </c>
      <c r="K1771" s="126">
        <f t="shared" si="517"/>
        <v>0.24460599999999999</v>
      </c>
      <c r="L1771" s="174">
        <f>VLOOKUP(A1771,'Step 1'!$A:$E,4,FALSE)</f>
        <v>283380</v>
      </c>
      <c r="M1771" s="47">
        <f t="shared" si="518"/>
        <v>69316</v>
      </c>
      <c r="N1771" s="177">
        <f>SUMIFS('Support - Transition'!G:G,'Support - Transition'!J:J,'Step 2'!D1771,'Support - Transition'!E:E,"2009 WELFARE ALLOCATION FACTOR")</f>
        <v>0</v>
      </c>
      <c r="O1771" s="152">
        <f t="shared" si="523"/>
        <v>0</v>
      </c>
      <c r="P1771" s="126">
        <f>IF(E1771="Y",0,SUMIFS('Support - Transition'!G:G,'Support - Transition'!J:J,'Step 2'!D1771,'Support - Transition'!E:E,"2009 SCHOOL ALLOCATION FACTOR"))</f>
        <v>0.37976799999999999</v>
      </c>
      <c r="Q1771" s="126">
        <f>IF(E1771="Y",VLOOKUP(D1771,'Support - Unit Adjustments'!F:G,2,FALSE),0)</f>
        <v>0</v>
      </c>
      <c r="R1771" s="155">
        <f t="shared" si="535"/>
        <v>0.37976799999999999</v>
      </c>
      <c r="S1771" s="47">
        <f t="shared" si="534"/>
        <v>26324</v>
      </c>
      <c r="T1771" s="151">
        <f t="shared" si="519"/>
        <v>42992</v>
      </c>
      <c r="U1771" s="151">
        <f t="shared" si="520"/>
        <v>0</v>
      </c>
      <c r="V1771" s="139">
        <f t="shared" si="521"/>
        <v>0</v>
      </c>
      <c r="W1771" s="152">
        <f t="shared" si="524"/>
        <v>42992</v>
      </c>
      <c r="X1771" s="127" t="str">
        <f t="shared" si="522"/>
        <v/>
      </c>
      <c r="Y1771" s="207">
        <f t="shared" si="525"/>
        <v>42992</v>
      </c>
      <c r="Z1771" s="139">
        <f t="shared" si="526"/>
        <v>42992</v>
      </c>
      <c r="AA1771" s="139">
        <f t="shared" si="527"/>
        <v>0</v>
      </c>
      <c r="AC1771" s="47">
        <f t="shared" si="528"/>
        <v>21496</v>
      </c>
      <c r="AD1771" s="47">
        <f t="shared" si="529"/>
        <v>21496</v>
      </c>
      <c r="AE1771" s="47">
        <f t="shared" si="530"/>
        <v>0</v>
      </c>
      <c r="AG1771" s="47">
        <f t="shared" si="531"/>
        <v>21496</v>
      </c>
      <c r="AH1771" s="47">
        <f t="shared" si="532"/>
        <v>21496</v>
      </c>
      <c r="AI1771" s="208">
        <f t="shared" si="533"/>
        <v>0</v>
      </c>
    </row>
    <row r="1772" spans="1:35">
      <c r="A1772" t="s">
        <v>2141</v>
      </c>
      <c r="B1772" t="s">
        <v>3160</v>
      </c>
      <c r="C1772" t="s">
        <v>2893</v>
      </c>
      <c r="D1772" t="s">
        <v>5224</v>
      </c>
      <c r="F1772" t="s">
        <v>1325</v>
      </c>
      <c r="G1772" s="126">
        <f>SUMIFS('Support - Transition'!F:F,'Support - Transition'!B:B,'Step 2'!A1772,'Support - Transition'!C:C,'Step 2'!B1772,'Support - Transition'!D:D,'Step 2'!C1772,'Support - Transition'!E:E,"CIVIL")</f>
        <v>0</v>
      </c>
      <c r="H1772" s="126">
        <f>SUMIFS('Support - Transition'!F:F,'Support - Transition'!B:B,'Step 2'!A1772,'Support - Transition'!C:C,'Step 2'!B1772,'Support - Transition'!D:D,'Step 2'!C1772,'Support - Transition'!E:E,"FIRE")</f>
        <v>0</v>
      </c>
      <c r="I1772" s="126">
        <f>IF(B1772="0",SUMIFS('Support - Transition'!F:F,'Support - Transition'!J:J,'Step 2'!D1772,'Support - Transition'!E:E,"STATE UNIT"),SUMIFS('Support - Transition'!F:F,'Support - Transition'!J:J,'Step 2'!D1772))</f>
        <v>1.8248E-2</v>
      </c>
      <c r="J1772" s="126">
        <f>SUMIFS('Support - Unit Adjustments'!E:E,'Support - Unit Adjustments'!F:F,'Step 2'!D1772)</f>
        <v>0</v>
      </c>
      <c r="K1772" s="126">
        <f t="shared" si="517"/>
        <v>1.8248E-2</v>
      </c>
      <c r="L1772" s="174">
        <f>VLOOKUP(A1772,'Step 1'!$A:$E,4,FALSE)</f>
        <v>283380</v>
      </c>
      <c r="M1772" s="47">
        <f t="shared" si="518"/>
        <v>5171</v>
      </c>
      <c r="N1772" s="177">
        <f>SUMIFS('Support - Transition'!G:G,'Support - Transition'!J:J,'Step 2'!D1772,'Support - Transition'!E:E,"2009 WELFARE ALLOCATION FACTOR")</f>
        <v>0</v>
      </c>
      <c r="O1772" s="152">
        <f t="shared" si="523"/>
        <v>0</v>
      </c>
      <c r="P1772" s="126">
        <f>IF(E1772="Y",0,SUMIFS('Support - Transition'!G:G,'Support - Transition'!J:J,'Step 2'!D1772,'Support - Transition'!E:E,"2009 SCHOOL ALLOCATION FACTOR"))</f>
        <v>0.47263899999999998</v>
      </c>
      <c r="Q1772" s="126">
        <f>IF(E1772="Y",VLOOKUP(D1772,'Support - Unit Adjustments'!F:G,2,FALSE),0)</f>
        <v>0</v>
      </c>
      <c r="R1772" s="155">
        <f t="shared" si="535"/>
        <v>0.47263899999999998</v>
      </c>
      <c r="S1772" s="47">
        <f t="shared" si="534"/>
        <v>2444</v>
      </c>
      <c r="T1772" s="151">
        <f t="shared" si="519"/>
        <v>2727</v>
      </c>
      <c r="U1772" s="151">
        <f t="shared" si="520"/>
        <v>0</v>
      </c>
      <c r="V1772" s="139">
        <f t="shared" si="521"/>
        <v>0</v>
      </c>
      <c r="W1772" s="152">
        <f t="shared" si="524"/>
        <v>2727</v>
      </c>
      <c r="X1772" s="127" t="str">
        <f t="shared" si="522"/>
        <v/>
      </c>
      <c r="Y1772" s="207">
        <f t="shared" si="525"/>
        <v>2727</v>
      </c>
      <c r="Z1772" s="139">
        <f t="shared" si="526"/>
        <v>2727</v>
      </c>
      <c r="AA1772" s="139">
        <f t="shared" si="527"/>
        <v>0</v>
      </c>
      <c r="AC1772" s="47">
        <f t="shared" si="528"/>
        <v>1364</v>
      </c>
      <c r="AD1772" s="47">
        <f t="shared" si="529"/>
        <v>1364</v>
      </c>
      <c r="AE1772" s="47">
        <f t="shared" si="530"/>
        <v>0</v>
      </c>
      <c r="AG1772" s="47">
        <f t="shared" si="531"/>
        <v>1363</v>
      </c>
      <c r="AH1772" s="47">
        <f t="shared" si="532"/>
        <v>1363</v>
      </c>
      <c r="AI1772" s="208">
        <f t="shared" si="533"/>
        <v>0</v>
      </c>
    </row>
    <row r="1773" spans="1:35">
      <c r="A1773" t="s">
        <v>2141</v>
      </c>
      <c r="B1773" t="s">
        <v>3166</v>
      </c>
      <c r="C1773" t="s">
        <v>5225</v>
      </c>
      <c r="D1773" t="s">
        <v>5226</v>
      </c>
      <c r="F1773" t="s">
        <v>1327</v>
      </c>
      <c r="G1773" s="126">
        <f>SUMIFS('Support - Transition'!F:F,'Support - Transition'!B:B,'Step 2'!A1773,'Support - Transition'!C:C,'Step 2'!B1773,'Support - Transition'!D:D,'Step 2'!C1773,'Support - Transition'!E:E,"CIVIL")</f>
        <v>0</v>
      </c>
      <c r="H1773" s="126">
        <f>SUMIFS('Support - Transition'!F:F,'Support - Transition'!B:B,'Step 2'!A1773,'Support - Transition'!C:C,'Step 2'!B1773,'Support - Transition'!D:D,'Step 2'!C1773,'Support - Transition'!E:E,"FIRE")</f>
        <v>0</v>
      </c>
      <c r="I1773" s="126">
        <f>IF(B1773="0",SUMIFS('Support - Transition'!F:F,'Support - Transition'!J:J,'Step 2'!D1773,'Support - Transition'!E:E,"STATE UNIT"),SUMIFS('Support - Transition'!F:F,'Support - Transition'!J:J,'Step 2'!D1773))</f>
        <v>1.4636E-2</v>
      </c>
      <c r="J1773" s="126">
        <f>SUMIFS('Support - Unit Adjustments'!E:E,'Support - Unit Adjustments'!F:F,'Step 2'!D1773)</f>
        <v>0</v>
      </c>
      <c r="K1773" s="126">
        <f t="shared" si="517"/>
        <v>1.4636E-2</v>
      </c>
      <c r="L1773" s="174">
        <f>VLOOKUP(A1773,'Step 1'!$A:$E,4,FALSE)</f>
        <v>283380</v>
      </c>
      <c r="M1773" s="47">
        <f t="shared" si="518"/>
        <v>4148</v>
      </c>
      <c r="N1773" s="177">
        <f>SUMIFS('Support - Transition'!G:G,'Support - Transition'!J:J,'Step 2'!D1773,'Support - Transition'!E:E,"2009 WELFARE ALLOCATION FACTOR")</f>
        <v>0</v>
      </c>
      <c r="O1773" s="152">
        <f t="shared" si="523"/>
        <v>0</v>
      </c>
      <c r="P1773" s="126">
        <f>IF(E1773="Y",0,SUMIFS('Support - Transition'!G:G,'Support - Transition'!J:J,'Step 2'!D1773,'Support - Transition'!E:E,"2009 SCHOOL ALLOCATION FACTOR"))</f>
        <v>0</v>
      </c>
      <c r="Q1773" s="126">
        <f>IF(E1773="Y",VLOOKUP(D1773,'Support - Unit Adjustments'!F:G,2,FALSE),0)</f>
        <v>0</v>
      </c>
      <c r="R1773" s="155">
        <f t="shared" si="535"/>
        <v>0</v>
      </c>
      <c r="S1773" s="47">
        <f t="shared" si="534"/>
        <v>0</v>
      </c>
      <c r="T1773" s="151">
        <f t="shared" si="519"/>
        <v>4148</v>
      </c>
      <c r="U1773" s="151">
        <f t="shared" si="520"/>
        <v>0</v>
      </c>
      <c r="V1773" s="139">
        <f t="shared" si="521"/>
        <v>0</v>
      </c>
      <c r="W1773" s="152">
        <f t="shared" si="524"/>
        <v>4148</v>
      </c>
      <c r="X1773" s="127" t="str">
        <f t="shared" si="522"/>
        <v/>
      </c>
      <c r="Y1773" s="207">
        <f t="shared" si="525"/>
        <v>4148</v>
      </c>
      <c r="Z1773" s="139">
        <f t="shared" si="526"/>
        <v>4148</v>
      </c>
      <c r="AA1773" s="139">
        <f t="shared" si="527"/>
        <v>0</v>
      </c>
      <c r="AC1773" s="47">
        <f t="shared" si="528"/>
        <v>2074</v>
      </c>
      <c r="AD1773" s="47">
        <f t="shared" si="529"/>
        <v>2074</v>
      </c>
      <c r="AE1773" s="47">
        <f t="shared" si="530"/>
        <v>0</v>
      </c>
      <c r="AG1773" s="47">
        <f t="shared" si="531"/>
        <v>2074</v>
      </c>
      <c r="AH1773" s="47">
        <f t="shared" si="532"/>
        <v>2074</v>
      </c>
      <c r="AI1773" s="208">
        <f t="shared" si="533"/>
        <v>0</v>
      </c>
    </row>
    <row r="1774" spans="1:35">
      <c r="A1774" t="s">
        <v>2141</v>
      </c>
      <c r="B1774" t="s">
        <v>3166</v>
      </c>
      <c r="C1774" t="s">
        <v>2894</v>
      </c>
      <c r="D1774" t="s">
        <v>5227</v>
      </c>
      <c r="F1774" t="s">
        <v>1328</v>
      </c>
      <c r="G1774" s="126">
        <f>SUMIFS('Support - Transition'!F:F,'Support - Transition'!B:B,'Step 2'!A1774,'Support - Transition'!C:C,'Step 2'!B1774,'Support - Transition'!D:D,'Step 2'!C1774,'Support - Transition'!E:E,"CIVIL")</f>
        <v>0</v>
      </c>
      <c r="H1774" s="126">
        <f>SUMIFS('Support - Transition'!F:F,'Support - Transition'!B:B,'Step 2'!A1774,'Support - Transition'!C:C,'Step 2'!B1774,'Support - Transition'!D:D,'Step 2'!C1774,'Support - Transition'!E:E,"FIRE")</f>
        <v>0</v>
      </c>
      <c r="I1774" s="126">
        <f>IF(B1774="0",SUMIFS('Support - Transition'!F:F,'Support - Transition'!J:J,'Step 2'!D1774,'Support - Transition'!E:E,"STATE UNIT"),SUMIFS('Support - Transition'!F:F,'Support - Transition'!J:J,'Step 2'!D1774))</f>
        <v>5.1710000000000002E-3</v>
      </c>
      <c r="J1774" s="126">
        <f>SUMIFS('Support - Unit Adjustments'!E:E,'Support - Unit Adjustments'!F:F,'Step 2'!D1774)</f>
        <v>0</v>
      </c>
      <c r="K1774" s="126">
        <f t="shared" si="517"/>
        <v>5.1710000000000002E-3</v>
      </c>
      <c r="L1774" s="174">
        <f>VLOOKUP(A1774,'Step 1'!$A:$E,4,FALSE)</f>
        <v>283380</v>
      </c>
      <c r="M1774" s="47">
        <f t="shared" si="518"/>
        <v>1465</v>
      </c>
      <c r="N1774" s="177">
        <f>SUMIFS('Support - Transition'!G:G,'Support - Transition'!J:J,'Step 2'!D1774,'Support - Transition'!E:E,"2009 WELFARE ALLOCATION FACTOR")</f>
        <v>0</v>
      </c>
      <c r="O1774" s="152">
        <f t="shared" si="523"/>
        <v>0</v>
      </c>
      <c r="P1774" s="126">
        <f>IF(E1774="Y",0,SUMIFS('Support - Transition'!G:G,'Support - Transition'!J:J,'Step 2'!D1774,'Support - Transition'!E:E,"2009 SCHOOL ALLOCATION FACTOR"))</f>
        <v>0</v>
      </c>
      <c r="Q1774" s="126">
        <f>IF(E1774="Y",VLOOKUP(D1774,'Support - Unit Adjustments'!F:G,2,FALSE),0)</f>
        <v>0</v>
      </c>
      <c r="R1774" s="155">
        <f t="shared" si="535"/>
        <v>0</v>
      </c>
      <c r="S1774" s="47">
        <f t="shared" si="534"/>
        <v>0</v>
      </c>
      <c r="T1774" s="151">
        <f t="shared" si="519"/>
        <v>1465</v>
      </c>
      <c r="U1774" s="151">
        <f t="shared" si="520"/>
        <v>0</v>
      </c>
      <c r="V1774" s="139">
        <f t="shared" si="521"/>
        <v>0</v>
      </c>
      <c r="W1774" s="152">
        <f t="shared" si="524"/>
        <v>1465</v>
      </c>
      <c r="X1774" s="127" t="str">
        <f t="shared" si="522"/>
        <v/>
      </c>
      <c r="Y1774" s="207">
        <f t="shared" si="525"/>
        <v>1465</v>
      </c>
      <c r="Z1774" s="139">
        <f t="shared" si="526"/>
        <v>1465</v>
      </c>
      <c r="AA1774" s="139">
        <f t="shared" si="527"/>
        <v>0</v>
      </c>
      <c r="AC1774" s="47">
        <f t="shared" si="528"/>
        <v>733</v>
      </c>
      <c r="AD1774" s="47">
        <f t="shared" si="529"/>
        <v>733</v>
      </c>
      <c r="AE1774" s="47">
        <f t="shared" si="530"/>
        <v>0</v>
      </c>
      <c r="AG1774" s="47">
        <f t="shared" si="531"/>
        <v>732</v>
      </c>
      <c r="AH1774" s="47">
        <f t="shared" si="532"/>
        <v>732</v>
      </c>
      <c r="AI1774" s="208">
        <f t="shared" si="533"/>
        <v>0</v>
      </c>
    </row>
    <row r="1775" spans="1:35">
      <c r="A1775" t="s">
        <v>2141</v>
      </c>
      <c r="B1775" t="s">
        <v>3166</v>
      </c>
      <c r="C1775" t="s">
        <v>5228</v>
      </c>
      <c r="D1775" t="s">
        <v>5229</v>
      </c>
      <c r="F1775" t="s">
        <v>1329</v>
      </c>
      <c r="G1775" s="126">
        <f>SUMIFS('Support - Transition'!F:F,'Support - Transition'!B:B,'Step 2'!A1775,'Support - Transition'!C:C,'Step 2'!B1775,'Support - Transition'!D:D,'Step 2'!C1775,'Support - Transition'!E:E,"CIVIL")</f>
        <v>0</v>
      </c>
      <c r="H1775" s="126">
        <f>SUMIFS('Support - Transition'!F:F,'Support - Transition'!B:B,'Step 2'!A1775,'Support - Transition'!C:C,'Step 2'!B1775,'Support - Transition'!D:D,'Step 2'!C1775,'Support - Transition'!E:E,"FIRE")</f>
        <v>0</v>
      </c>
      <c r="I1775" s="126">
        <f>IF(B1775="0",SUMIFS('Support - Transition'!F:F,'Support - Transition'!J:J,'Step 2'!D1775,'Support - Transition'!E:E,"STATE UNIT"),SUMIFS('Support - Transition'!F:F,'Support - Transition'!J:J,'Step 2'!D1775))</f>
        <v>1.6941999999999999E-2</v>
      </c>
      <c r="J1775" s="126">
        <f>SUMIFS('Support - Unit Adjustments'!E:E,'Support - Unit Adjustments'!F:F,'Step 2'!D1775)</f>
        <v>0</v>
      </c>
      <c r="K1775" s="126">
        <f t="shared" si="517"/>
        <v>1.6941999999999999E-2</v>
      </c>
      <c r="L1775" s="174">
        <f>VLOOKUP(A1775,'Step 1'!$A:$E,4,FALSE)</f>
        <v>283380</v>
      </c>
      <c r="M1775" s="47">
        <f t="shared" si="518"/>
        <v>4801</v>
      </c>
      <c r="N1775" s="177">
        <f>SUMIFS('Support - Transition'!G:G,'Support - Transition'!J:J,'Step 2'!D1775,'Support - Transition'!E:E,"2009 WELFARE ALLOCATION FACTOR")</f>
        <v>0</v>
      </c>
      <c r="O1775" s="152">
        <f t="shared" si="523"/>
        <v>0</v>
      </c>
      <c r="P1775" s="126">
        <f>IF(E1775="Y",0,SUMIFS('Support - Transition'!G:G,'Support - Transition'!J:J,'Step 2'!D1775,'Support - Transition'!E:E,"2009 SCHOOL ALLOCATION FACTOR"))</f>
        <v>0</v>
      </c>
      <c r="Q1775" s="126">
        <f>IF(E1775="Y",VLOOKUP(D1775,'Support - Unit Adjustments'!F:G,2,FALSE),0)</f>
        <v>0</v>
      </c>
      <c r="R1775" s="155">
        <f t="shared" si="535"/>
        <v>0</v>
      </c>
      <c r="S1775" s="47">
        <f t="shared" si="534"/>
        <v>0</v>
      </c>
      <c r="T1775" s="151">
        <f t="shared" si="519"/>
        <v>4801</v>
      </c>
      <c r="U1775" s="151">
        <f t="shared" si="520"/>
        <v>0</v>
      </c>
      <c r="V1775" s="139">
        <f t="shared" si="521"/>
        <v>0</v>
      </c>
      <c r="W1775" s="152">
        <f t="shared" si="524"/>
        <v>4801</v>
      </c>
      <c r="X1775" s="127" t="str">
        <f t="shared" si="522"/>
        <v/>
      </c>
      <c r="Y1775" s="207">
        <f t="shared" si="525"/>
        <v>4801</v>
      </c>
      <c r="Z1775" s="139">
        <f t="shared" si="526"/>
        <v>4801</v>
      </c>
      <c r="AA1775" s="139">
        <f t="shared" si="527"/>
        <v>0</v>
      </c>
      <c r="AC1775" s="47">
        <f t="shared" si="528"/>
        <v>2401</v>
      </c>
      <c r="AD1775" s="47">
        <f t="shared" si="529"/>
        <v>2401</v>
      </c>
      <c r="AE1775" s="47">
        <f t="shared" si="530"/>
        <v>0</v>
      </c>
      <c r="AG1775" s="47">
        <f t="shared" si="531"/>
        <v>2400</v>
      </c>
      <c r="AH1775" s="47">
        <f t="shared" si="532"/>
        <v>2400</v>
      </c>
      <c r="AI1775" s="208">
        <f t="shared" si="533"/>
        <v>0</v>
      </c>
    </row>
    <row r="1776" spans="1:35">
      <c r="A1776" t="s">
        <v>2141</v>
      </c>
      <c r="B1776" t="s">
        <v>3170</v>
      </c>
      <c r="C1776" t="s">
        <v>3708</v>
      </c>
      <c r="D1776" t="s">
        <v>5230</v>
      </c>
      <c r="F1776" t="s">
        <v>397</v>
      </c>
      <c r="G1776" s="126">
        <f>SUMIFS('Support - Transition'!F:F,'Support - Transition'!B:B,'Step 2'!A1776,'Support - Transition'!C:C,'Step 2'!B1776,'Support - Transition'!D:D,'Step 2'!C1776,'Support - Transition'!E:E,"CIVIL")</f>
        <v>0</v>
      </c>
      <c r="H1776" s="126">
        <f>SUMIFS('Support - Transition'!F:F,'Support - Transition'!B:B,'Step 2'!A1776,'Support - Transition'!C:C,'Step 2'!B1776,'Support - Transition'!D:D,'Step 2'!C1776,'Support - Transition'!E:E,"FIRE")</f>
        <v>0</v>
      </c>
      <c r="I1776" s="126">
        <f>IF(B1776="0",SUMIFS('Support - Transition'!F:F,'Support - Transition'!J:J,'Step 2'!D1776,'Support - Transition'!E:E,"STATE UNIT"),SUMIFS('Support - Transition'!F:F,'Support - Transition'!J:J,'Step 2'!D1776))</f>
        <v>5.4889999999998551E-3</v>
      </c>
      <c r="J1776" s="126">
        <f>SUMIFS('Support - Unit Adjustments'!E:E,'Support - Unit Adjustments'!F:F,'Step 2'!D1776)</f>
        <v>0</v>
      </c>
      <c r="K1776" s="126">
        <f t="shared" si="517"/>
        <v>5.4889999999998551E-3</v>
      </c>
      <c r="L1776" s="174">
        <f>VLOOKUP(A1776,'Step 1'!$A:$E,4,FALSE)</f>
        <v>283380</v>
      </c>
      <c r="M1776" s="47">
        <f t="shared" si="518"/>
        <v>1555</v>
      </c>
      <c r="N1776" s="177">
        <f>SUMIFS('Support - Transition'!G:G,'Support - Transition'!J:J,'Step 2'!D1776,'Support - Transition'!E:E,"2009 WELFARE ALLOCATION FACTOR")</f>
        <v>0</v>
      </c>
      <c r="O1776" s="152">
        <f t="shared" si="523"/>
        <v>0</v>
      </c>
      <c r="P1776" s="126">
        <f>IF(E1776="Y",0,SUMIFS('Support - Transition'!G:G,'Support - Transition'!J:J,'Step 2'!D1776,'Support - Transition'!E:E,"2009 SCHOOL ALLOCATION FACTOR"))</f>
        <v>0</v>
      </c>
      <c r="Q1776" s="126">
        <f>IF(E1776="Y",VLOOKUP(D1776,'Support - Unit Adjustments'!F:G,2,FALSE),0)</f>
        <v>0</v>
      </c>
      <c r="R1776" s="155">
        <f t="shared" si="535"/>
        <v>0</v>
      </c>
      <c r="S1776" s="47">
        <f t="shared" si="534"/>
        <v>0</v>
      </c>
      <c r="T1776" s="151">
        <f t="shared" si="519"/>
        <v>1555</v>
      </c>
      <c r="U1776" s="151">
        <f t="shared" si="520"/>
        <v>0</v>
      </c>
      <c r="V1776" s="139">
        <f t="shared" si="521"/>
        <v>0</v>
      </c>
      <c r="W1776" s="152">
        <f t="shared" si="524"/>
        <v>1555</v>
      </c>
      <c r="X1776" s="127" t="str">
        <f t="shared" si="522"/>
        <v/>
      </c>
      <c r="Y1776" s="207">
        <f t="shared" si="525"/>
        <v>1555</v>
      </c>
      <c r="Z1776" s="139">
        <f t="shared" si="526"/>
        <v>1555</v>
      </c>
      <c r="AA1776" s="139">
        <f t="shared" si="527"/>
        <v>0</v>
      </c>
      <c r="AC1776" s="47">
        <f t="shared" si="528"/>
        <v>778</v>
      </c>
      <c r="AD1776" s="47">
        <f t="shared" si="529"/>
        <v>778</v>
      </c>
      <c r="AE1776" s="47">
        <f t="shared" si="530"/>
        <v>0</v>
      </c>
      <c r="AG1776" s="47">
        <f t="shared" si="531"/>
        <v>777</v>
      </c>
      <c r="AH1776" s="47">
        <f t="shared" si="532"/>
        <v>777</v>
      </c>
      <c r="AI1776" s="208">
        <f t="shared" si="533"/>
        <v>0</v>
      </c>
    </row>
    <row r="1777" spans="1:35">
      <c r="A1777" t="s">
        <v>2141</v>
      </c>
      <c r="B1777" t="s">
        <v>3286</v>
      </c>
      <c r="C1777" t="s">
        <v>3932</v>
      </c>
      <c r="D1777" t="s">
        <v>5231</v>
      </c>
      <c r="F1777" t="s">
        <v>5232</v>
      </c>
      <c r="G1777" s="126">
        <f>SUMIFS('Support - Transition'!F:F,'Support - Transition'!B:B,'Step 2'!A1777,'Support - Transition'!C:C,'Step 2'!B1777,'Support - Transition'!D:D,'Step 2'!C1777,'Support - Transition'!E:E,"CIVIL")</f>
        <v>0</v>
      </c>
      <c r="H1777" s="126">
        <f>SUMIFS('Support - Transition'!F:F,'Support - Transition'!B:B,'Step 2'!A1777,'Support - Transition'!C:C,'Step 2'!B1777,'Support - Transition'!D:D,'Step 2'!C1777,'Support - Transition'!E:E,"FIRE")</f>
        <v>0</v>
      </c>
      <c r="I1777" s="126">
        <f>IF(B1777="0",SUMIFS('Support - Transition'!F:F,'Support - Transition'!J:J,'Step 2'!D1777,'Support - Transition'!E:E,"STATE UNIT"),SUMIFS('Support - Transition'!F:F,'Support - Transition'!J:J,'Step 2'!D1777))</f>
        <v>0</v>
      </c>
      <c r="J1777" s="126">
        <f>SUMIFS('Support - Unit Adjustments'!E:E,'Support - Unit Adjustments'!F:F,'Step 2'!D1777)</f>
        <v>0</v>
      </c>
      <c r="K1777" s="126">
        <f t="shared" si="517"/>
        <v>0</v>
      </c>
      <c r="L1777" s="174">
        <f>VLOOKUP(A1777,'Step 1'!$A:$E,4,FALSE)</f>
        <v>283380</v>
      </c>
      <c r="M1777" s="47">
        <f t="shared" si="518"/>
        <v>0</v>
      </c>
      <c r="N1777" s="177">
        <f>SUMIFS('Support - Transition'!G:G,'Support - Transition'!J:J,'Step 2'!D1777,'Support - Transition'!E:E,"2009 WELFARE ALLOCATION FACTOR")</f>
        <v>0</v>
      </c>
      <c r="O1777" s="152">
        <f t="shared" si="523"/>
        <v>0</v>
      </c>
      <c r="P1777" s="126">
        <f>IF(E1777="Y",0,SUMIFS('Support - Transition'!G:G,'Support - Transition'!J:J,'Step 2'!D1777,'Support - Transition'!E:E,"2009 SCHOOL ALLOCATION FACTOR"))</f>
        <v>0</v>
      </c>
      <c r="Q1777" s="126">
        <f>IF(E1777="Y",VLOOKUP(D1777,'Support - Unit Adjustments'!F:G,2,FALSE),0)</f>
        <v>0</v>
      </c>
      <c r="R1777" s="155">
        <f t="shared" si="535"/>
        <v>0</v>
      </c>
      <c r="S1777" s="47">
        <f t="shared" si="534"/>
        <v>0</v>
      </c>
      <c r="T1777" s="151">
        <f t="shared" si="519"/>
        <v>0</v>
      </c>
      <c r="U1777" s="151">
        <f t="shared" si="520"/>
        <v>0</v>
      </c>
      <c r="V1777" s="139">
        <f t="shared" si="521"/>
        <v>0</v>
      </c>
      <c r="W1777" s="152">
        <f t="shared" si="524"/>
        <v>0</v>
      </c>
      <c r="X1777" s="127" t="str">
        <f t="shared" si="522"/>
        <v/>
      </c>
      <c r="Y1777" s="207">
        <f t="shared" si="525"/>
        <v>0</v>
      </c>
      <c r="Z1777" s="139">
        <f t="shared" si="526"/>
        <v>0</v>
      </c>
      <c r="AA1777" s="139">
        <f t="shared" si="527"/>
        <v>0</v>
      </c>
      <c r="AC1777" s="47">
        <f t="shared" si="528"/>
        <v>0</v>
      </c>
      <c r="AD1777" s="47">
        <f t="shared" si="529"/>
        <v>0</v>
      </c>
      <c r="AE1777" s="47">
        <f t="shared" si="530"/>
        <v>0</v>
      </c>
      <c r="AG1777" s="47">
        <f t="shared" si="531"/>
        <v>0</v>
      </c>
      <c r="AH1777" s="47">
        <f t="shared" si="532"/>
        <v>0</v>
      </c>
      <c r="AI1777" s="208">
        <f t="shared" si="533"/>
        <v>0</v>
      </c>
    </row>
    <row r="1778" spans="1:35">
      <c r="A1778" t="s">
        <v>2142</v>
      </c>
      <c r="B1778" s="48" t="s">
        <v>6274</v>
      </c>
      <c r="C1778" t="s">
        <v>2187</v>
      </c>
      <c r="D1778" t="str">
        <f>A1778&amp;B1778&amp;C1778</f>
        <v>5800000</v>
      </c>
      <c r="F1778" t="s">
        <v>6332</v>
      </c>
      <c r="G1778" s="126">
        <f>SUMIFS('Support - Transition'!F:F,'Support - Transition'!B:B,'Step 2'!A1778,'Support - Transition'!C:C,'Step 2'!B1778,'Support - Transition'!D:D,'Step 2'!C1778,'Support - Transition'!E:E,"CIVIL")</f>
        <v>0</v>
      </c>
      <c r="H1778" s="126">
        <f>SUMIFS('Support - Transition'!F:F,'Support - Transition'!B:B,'Step 2'!A1778,'Support - Transition'!C:C,'Step 2'!B1778,'Support - Transition'!D:D,'Step 2'!C1778,'Support - Transition'!E:E,"FIRE")</f>
        <v>0</v>
      </c>
      <c r="I1778" s="126">
        <f>IF(B1778="0",SUMIFS('Support - Transition'!F:F,'Support - Transition'!J:J,'Step 2'!D1778,'Support - Transition'!E:E,"STATE UNIT"),SUMIFS('Support - Transition'!F:F,'Support - Transition'!J:J,'Step 2'!D1778))</f>
        <v>1.4959999999999999E-3</v>
      </c>
      <c r="J1778" s="126">
        <f>SUMIFS('Support - Unit Adjustments'!E:E,'Support - Unit Adjustments'!F:F,'Step 2'!D1778)</f>
        <v>0</v>
      </c>
      <c r="K1778" s="126">
        <f t="shared" si="517"/>
        <v>1.4959999999999999E-3</v>
      </c>
      <c r="L1778" s="174">
        <f>VLOOKUP(A1778,'Step 1'!$A:$E,4,FALSE)</f>
        <v>29242</v>
      </c>
      <c r="M1778" s="47">
        <f t="shared" si="518"/>
        <v>44</v>
      </c>
      <c r="N1778" s="177">
        <f>SUMIFS('Support - Transition'!G:G,'Support - Transition'!J:J,'Step 2'!D1778,'Support - Transition'!E:E,"2009 WELFARE ALLOCATION FACTOR")</f>
        <v>0</v>
      </c>
      <c r="O1778" s="152">
        <f t="shared" si="523"/>
        <v>0</v>
      </c>
      <c r="P1778" s="126">
        <f>IF(E1778="Y",0,SUMIFS('Support - Transition'!G:G,'Support - Transition'!J:J,'Step 2'!D1778,'Support - Transition'!E:E,"2009 SCHOOL ALLOCATION FACTOR"))</f>
        <v>0</v>
      </c>
      <c r="Q1778" s="126">
        <f>IF(E1778="Y",VLOOKUP(D1778,'Support - Unit Adjustments'!F:G,2,FALSE),0)</f>
        <v>0</v>
      </c>
      <c r="R1778" s="155">
        <f t="shared" si="535"/>
        <v>0</v>
      </c>
      <c r="S1778" s="47">
        <f t="shared" si="534"/>
        <v>0</v>
      </c>
      <c r="T1778" s="151">
        <f t="shared" si="519"/>
        <v>44</v>
      </c>
      <c r="U1778" s="151">
        <f t="shared" si="520"/>
        <v>29243</v>
      </c>
      <c r="V1778" s="139">
        <f t="shared" si="521"/>
        <v>1</v>
      </c>
      <c r="W1778" s="152">
        <f t="shared" si="524"/>
        <v>43</v>
      </c>
      <c r="X1778" s="127">
        <f t="shared" si="522"/>
        <v>0</v>
      </c>
      <c r="Y1778" s="207">
        <f t="shared" si="525"/>
        <v>43</v>
      </c>
      <c r="Z1778" s="139">
        <f t="shared" si="526"/>
        <v>43</v>
      </c>
      <c r="AA1778" s="139">
        <f t="shared" si="527"/>
        <v>0</v>
      </c>
      <c r="AC1778" s="47">
        <f t="shared" si="528"/>
        <v>22</v>
      </c>
      <c r="AD1778" s="47">
        <f t="shared" si="529"/>
        <v>22</v>
      </c>
      <c r="AE1778" s="47">
        <f t="shared" si="530"/>
        <v>0</v>
      </c>
      <c r="AG1778" s="47">
        <f t="shared" si="531"/>
        <v>21</v>
      </c>
      <c r="AH1778" s="47">
        <f t="shared" si="532"/>
        <v>21</v>
      </c>
      <c r="AI1778" s="208">
        <f t="shared" si="533"/>
        <v>0</v>
      </c>
    </row>
    <row r="1779" spans="1:35">
      <c r="A1779" t="s">
        <v>2142</v>
      </c>
      <c r="B1779" t="s">
        <v>3140</v>
      </c>
      <c r="C1779" t="s">
        <v>2187</v>
      </c>
      <c r="D1779" t="s">
        <v>5233</v>
      </c>
      <c r="F1779" t="s">
        <v>1332</v>
      </c>
      <c r="G1779" s="126">
        <f>SUMIFS('Support - Transition'!F:F,'Support - Transition'!B:B,'Step 2'!A1779,'Support - Transition'!C:C,'Step 2'!B1779,'Support - Transition'!D:D,'Step 2'!C1779,'Support - Transition'!E:E,"CIVIL")</f>
        <v>0</v>
      </c>
      <c r="H1779" s="126">
        <f>SUMIFS('Support - Transition'!F:F,'Support - Transition'!B:B,'Step 2'!A1779,'Support - Transition'!C:C,'Step 2'!B1779,'Support - Transition'!D:D,'Step 2'!C1779,'Support - Transition'!E:E,"FIRE")</f>
        <v>0</v>
      </c>
      <c r="I1779" s="126">
        <f>IF(B1779="0",SUMIFS('Support - Transition'!F:F,'Support - Transition'!J:J,'Step 2'!D1779,'Support - Transition'!E:E,"STATE UNIT"),SUMIFS('Support - Transition'!F:F,'Support - Transition'!J:J,'Step 2'!D1779))</f>
        <v>0.245972</v>
      </c>
      <c r="J1779" s="126">
        <f>SUMIFS('Support - Unit Adjustments'!E:E,'Support - Unit Adjustments'!F:F,'Step 2'!D1779)</f>
        <v>0</v>
      </c>
      <c r="K1779" s="126">
        <f t="shared" si="517"/>
        <v>0.245972</v>
      </c>
      <c r="L1779" s="174">
        <f>VLOOKUP(A1779,'Step 1'!$A:$E,4,FALSE)</f>
        <v>29242</v>
      </c>
      <c r="M1779" s="47">
        <f t="shared" si="518"/>
        <v>7193</v>
      </c>
      <c r="N1779" s="177">
        <f>SUMIFS('Support - Transition'!G:G,'Support - Transition'!J:J,'Step 2'!D1779,'Support - Transition'!E:E,"2009 WELFARE ALLOCATION FACTOR")</f>
        <v>0.28086899999999998</v>
      </c>
      <c r="O1779" s="152">
        <f t="shared" si="523"/>
        <v>2020</v>
      </c>
      <c r="P1779" s="126">
        <f>IF(E1779="Y",0,SUMIFS('Support - Transition'!G:G,'Support - Transition'!J:J,'Step 2'!D1779,'Support - Transition'!E:E,"2009 SCHOOL ALLOCATION FACTOR"))</f>
        <v>0</v>
      </c>
      <c r="Q1779" s="126">
        <f>IF(E1779="Y",VLOOKUP(D1779,'Support - Unit Adjustments'!F:G,2,FALSE),0)</f>
        <v>0</v>
      </c>
      <c r="R1779" s="155">
        <f t="shared" si="535"/>
        <v>0</v>
      </c>
      <c r="S1779" s="47">
        <f t="shared" si="534"/>
        <v>0</v>
      </c>
      <c r="T1779" s="151">
        <f t="shared" si="519"/>
        <v>5173</v>
      </c>
      <c r="U1779" s="151">
        <f t="shared" si="520"/>
        <v>0</v>
      </c>
      <c r="V1779" s="139">
        <f t="shared" si="521"/>
        <v>0</v>
      </c>
      <c r="W1779" s="152">
        <f t="shared" si="524"/>
        <v>5173</v>
      </c>
      <c r="X1779" s="127" t="str">
        <f t="shared" si="522"/>
        <v/>
      </c>
      <c r="Y1779" s="207">
        <f t="shared" si="525"/>
        <v>5173</v>
      </c>
      <c r="Z1779" s="139">
        <f t="shared" si="526"/>
        <v>5173</v>
      </c>
      <c r="AA1779" s="139">
        <f t="shared" si="527"/>
        <v>0</v>
      </c>
      <c r="AC1779" s="47">
        <f t="shared" si="528"/>
        <v>2587</v>
      </c>
      <c r="AD1779" s="47">
        <f t="shared" si="529"/>
        <v>2587</v>
      </c>
      <c r="AE1779" s="47">
        <f t="shared" si="530"/>
        <v>0</v>
      </c>
      <c r="AG1779" s="47">
        <f t="shared" si="531"/>
        <v>2586</v>
      </c>
      <c r="AH1779" s="47">
        <f t="shared" si="532"/>
        <v>2586</v>
      </c>
      <c r="AI1779" s="208">
        <f t="shared" si="533"/>
        <v>0</v>
      </c>
    </row>
    <row r="1780" spans="1:35">
      <c r="A1780" t="s">
        <v>2142</v>
      </c>
      <c r="B1780" t="s">
        <v>3142</v>
      </c>
      <c r="C1780" t="s">
        <v>2188</v>
      </c>
      <c r="D1780" t="s">
        <v>5234</v>
      </c>
      <c r="F1780" t="s">
        <v>249</v>
      </c>
      <c r="G1780" s="126">
        <f>SUMIFS('Support - Transition'!F:F,'Support - Transition'!B:B,'Step 2'!A1780,'Support - Transition'!C:C,'Step 2'!B1780,'Support - Transition'!D:D,'Step 2'!C1780,'Support - Transition'!E:E,"CIVIL")</f>
        <v>4.1139999999999996E-3</v>
      </c>
      <c r="H1780" s="126">
        <f>SUMIFS('Support - Transition'!F:F,'Support - Transition'!B:B,'Step 2'!A1780,'Support - Transition'!C:C,'Step 2'!B1780,'Support - Transition'!D:D,'Step 2'!C1780,'Support - Transition'!E:E,"FIRE")</f>
        <v>8.0999999999999996E-4</v>
      </c>
      <c r="I1780" s="126">
        <f>IF(B1780="0",SUMIFS('Support - Transition'!F:F,'Support - Transition'!J:J,'Step 2'!D1780,'Support - Transition'!E:E,"STATE UNIT"),SUMIFS('Support - Transition'!F:F,'Support - Transition'!J:J,'Step 2'!D1780))</f>
        <v>4.9239999999999996E-3</v>
      </c>
      <c r="J1780" s="126">
        <f>SUMIFS('Support - Unit Adjustments'!E:E,'Support - Unit Adjustments'!F:F,'Step 2'!D1780)</f>
        <v>0</v>
      </c>
      <c r="K1780" s="126">
        <f t="shared" si="517"/>
        <v>4.9239999999999996E-3</v>
      </c>
      <c r="L1780" s="174">
        <f>VLOOKUP(A1780,'Step 1'!$A:$E,4,FALSE)</f>
        <v>29242</v>
      </c>
      <c r="M1780" s="47">
        <f t="shared" si="518"/>
        <v>144</v>
      </c>
      <c r="N1780" s="177">
        <f>SUMIFS('Support - Transition'!G:G,'Support - Transition'!J:J,'Step 2'!D1780,'Support - Transition'!E:E,"2009 WELFARE ALLOCATION FACTOR")</f>
        <v>0</v>
      </c>
      <c r="O1780" s="152">
        <f t="shared" si="523"/>
        <v>0</v>
      </c>
      <c r="P1780" s="126">
        <f>IF(E1780="Y",0,SUMIFS('Support - Transition'!G:G,'Support - Transition'!J:J,'Step 2'!D1780,'Support - Transition'!E:E,"2009 SCHOOL ALLOCATION FACTOR"))</f>
        <v>0</v>
      </c>
      <c r="Q1780" s="126">
        <f>IF(E1780="Y",VLOOKUP(D1780,'Support - Unit Adjustments'!F:G,2,FALSE),0)</f>
        <v>0</v>
      </c>
      <c r="R1780" s="155">
        <f t="shared" si="535"/>
        <v>0</v>
      </c>
      <c r="S1780" s="47">
        <f t="shared" si="534"/>
        <v>0</v>
      </c>
      <c r="T1780" s="151">
        <f t="shared" si="519"/>
        <v>144</v>
      </c>
      <c r="U1780" s="151">
        <f t="shared" si="520"/>
        <v>0</v>
      </c>
      <c r="V1780" s="139">
        <f t="shared" si="521"/>
        <v>0</v>
      </c>
      <c r="W1780" s="152">
        <f t="shared" si="524"/>
        <v>144</v>
      </c>
      <c r="X1780" s="127" t="str">
        <f t="shared" si="522"/>
        <v/>
      </c>
      <c r="Y1780" s="207">
        <f t="shared" si="525"/>
        <v>144</v>
      </c>
      <c r="Z1780" s="139">
        <f t="shared" si="526"/>
        <v>120</v>
      </c>
      <c r="AA1780" s="139">
        <f t="shared" si="527"/>
        <v>24</v>
      </c>
      <c r="AC1780" s="47">
        <f t="shared" si="528"/>
        <v>72</v>
      </c>
      <c r="AD1780" s="47">
        <f t="shared" si="529"/>
        <v>60</v>
      </c>
      <c r="AE1780" s="47">
        <f t="shared" si="530"/>
        <v>12</v>
      </c>
      <c r="AG1780" s="47">
        <f t="shared" si="531"/>
        <v>72</v>
      </c>
      <c r="AH1780" s="47">
        <f t="shared" si="532"/>
        <v>60</v>
      </c>
      <c r="AI1780" s="208">
        <f t="shared" si="533"/>
        <v>12</v>
      </c>
    </row>
    <row r="1781" spans="1:35">
      <c r="A1781" t="s">
        <v>2142</v>
      </c>
      <c r="B1781" t="s">
        <v>3142</v>
      </c>
      <c r="C1781" t="s">
        <v>2189</v>
      </c>
      <c r="D1781" t="s">
        <v>5235</v>
      </c>
      <c r="F1781" t="s">
        <v>858</v>
      </c>
      <c r="G1781" s="126">
        <f>SUMIFS('Support - Transition'!F:F,'Support - Transition'!B:B,'Step 2'!A1781,'Support - Transition'!C:C,'Step 2'!B1781,'Support - Transition'!D:D,'Step 2'!C1781,'Support - Transition'!E:E,"CIVIL")</f>
        <v>2.0569999999999998E-3</v>
      </c>
      <c r="H1781" s="126">
        <f>SUMIFS('Support - Transition'!F:F,'Support - Transition'!B:B,'Step 2'!A1781,'Support - Transition'!C:C,'Step 2'!B1781,'Support - Transition'!D:D,'Step 2'!C1781,'Support - Transition'!E:E,"FIRE")</f>
        <v>6.5499999999999998E-4</v>
      </c>
      <c r="I1781" s="126">
        <f>IF(B1781="0",SUMIFS('Support - Transition'!F:F,'Support - Transition'!J:J,'Step 2'!D1781,'Support - Transition'!E:E,"STATE UNIT"),SUMIFS('Support - Transition'!F:F,'Support - Transition'!J:J,'Step 2'!D1781))</f>
        <v>2.712E-3</v>
      </c>
      <c r="J1781" s="126">
        <f>SUMIFS('Support - Unit Adjustments'!E:E,'Support - Unit Adjustments'!F:F,'Step 2'!D1781)</f>
        <v>0</v>
      </c>
      <c r="K1781" s="126">
        <f t="shared" si="517"/>
        <v>2.712E-3</v>
      </c>
      <c r="L1781" s="174">
        <f>VLOOKUP(A1781,'Step 1'!$A:$E,4,FALSE)</f>
        <v>29242</v>
      </c>
      <c r="M1781" s="47">
        <f t="shared" si="518"/>
        <v>79</v>
      </c>
      <c r="N1781" s="177">
        <f>SUMIFS('Support - Transition'!G:G,'Support - Transition'!J:J,'Step 2'!D1781,'Support - Transition'!E:E,"2009 WELFARE ALLOCATION FACTOR")</f>
        <v>0</v>
      </c>
      <c r="O1781" s="152">
        <f t="shared" si="523"/>
        <v>0</v>
      </c>
      <c r="P1781" s="126">
        <f>IF(E1781="Y",0,SUMIFS('Support - Transition'!G:G,'Support - Transition'!J:J,'Step 2'!D1781,'Support - Transition'!E:E,"2009 SCHOOL ALLOCATION FACTOR"))</f>
        <v>0</v>
      </c>
      <c r="Q1781" s="126">
        <f>IF(E1781="Y",VLOOKUP(D1781,'Support - Unit Adjustments'!F:G,2,FALSE),0)</f>
        <v>0</v>
      </c>
      <c r="R1781" s="155">
        <f t="shared" si="535"/>
        <v>0</v>
      </c>
      <c r="S1781" s="47">
        <f t="shared" si="534"/>
        <v>0</v>
      </c>
      <c r="T1781" s="151">
        <f t="shared" si="519"/>
        <v>79</v>
      </c>
      <c r="U1781" s="151">
        <f t="shared" si="520"/>
        <v>0</v>
      </c>
      <c r="V1781" s="139">
        <f t="shared" si="521"/>
        <v>0</v>
      </c>
      <c r="W1781" s="152">
        <f t="shared" si="524"/>
        <v>79</v>
      </c>
      <c r="X1781" s="127" t="str">
        <f t="shared" si="522"/>
        <v/>
      </c>
      <c r="Y1781" s="207">
        <f t="shared" si="525"/>
        <v>79</v>
      </c>
      <c r="Z1781" s="139">
        <f t="shared" si="526"/>
        <v>60</v>
      </c>
      <c r="AA1781" s="139">
        <f t="shared" si="527"/>
        <v>19</v>
      </c>
      <c r="AC1781" s="47">
        <f t="shared" si="528"/>
        <v>40</v>
      </c>
      <c r="AD1781" s="47">
        <f t="shared" si="529"/>
        <v>30</v>
      </c>
      <c r="AE1781" s="47">
        <f t="shared" si="530"/>
        <v>10</v>
      </c>
      <c r="AG1781" s="47">
        <f t="shared" si="531"/>
        <v>39</v>
      </c>
      <c r="AH1781" s="47">
        <f t="shared" si="532"/>
        <v>30</v>
      </c>
      <c r="AI1781" s="208">
        <f t="shared" si="533"/>
        <v>9</v>
      </c>
    </row>
    <row r="1782" spans="1:35">
      <c r="A1782" t="s">
        <v>2142</v>
      </c>
      <c r="B1782" t="s">
        <v>3142</v>
      </c>
      <c r="C1782" t="s">
        <v>2190</v>
      </c>
      <c r="D1782" t="s">
        <v>5236</v>
      </c>
      <c r="F1782" t="s">
        <v>1333</v>
      </c>
      <c r="G1782" s="126">
        <f>SUMIFS('Support - Transition'!F:F,'Support - Transition'!B:B,'Step 2'!A1782,'Support - Transition'!C:C,'Step 2'!B1782,'Support - Transition'!D:D,'Step 2'!C1782,'Support - Transition'!E:E,"CIVIL")</f>
        <v>7.2620000000000002E-3</v>
      </c>
      <c r="H1782" s="126">
        <f>SUMIFS('Support - Transition'!F:F,'Support - Transition'!B:B,'Step 2'!A1782,'Support - Transition'!C:C,'Step 2'!B1782,'Support - Transition'!D:D,'Step 2'!C1782,'Support - Transition'!E:E,"FIRE")</f>
        <v>2.2439999999999999E-3</v>
      </c>
      <c r="I1782" s="126">
        <f>IF(B1782="0",SUMIFS('Support - Transition'!F:F,'Support - Transition'!J:J,'Step 2'!D1782,'Support - Transition'!E:E,"STATE UNIT"),SUMIFS('Support - Transition'!F:F,'Support - Transition'!J:J,'Step 2'!D1782))</f>
        <v>9.5060000000000006E-3</v>
      </c>
      <c r="J1782" s="126">
        <f>SUMIFS('Support - Unit Adjustments'!E:E,'Support - Unit Adjustments'!F:F,'Step 2'!D1782)</f>
        <v>0</v>
      </c>
      <c r="K1782" s="126">
        <f t="shared" si="517"/>
        <v>9.5060000000000006E-3</v>
      </c>
      <c r="L1782" s="174">
        <f>VLOOKUP(A1782,'Step 1'!$A:$E,4,FALSE)</f>
        <v>29242</v>
      </c>
      <c r="M1782" s="47">
        <f t="shared" si="518"/>
        <v>278</v>
      </c>
      <c r="N1782" s="177">
        <f>SUMIFS('Support - Transition'!G:G,'Support - Transition'!J:J,'Step 2'!D1782,'Support - Transition'!E:E,"2009 WELFARE ALLOCATION FACTOR")</f>
        <v>0</v>
      </c>
      <c r="O1782" s="152">
        <f t="shared" si="523"/>
        <v>0</v>
      </c>
      <c r="P1782" s="126">
        <f>IF(E1782="Y",0,SUMIFS('Support - Transition'!G:G,'Support - Transition'!J:J,'Step 2'!D1782,'Support - Transition'!E:E,"2009 SCHOOL ALLOCATION FACTOR"))</f>
        <v>0</v>
      </c>
      <c r="Q1782" s="126">
        <f>IF(E1782="Y",VLOOKUP(D1782,'Support - Unit Adjustments'!F:G,2,FALSE),0)</f>
        <v>0</v>
      </c>
      <c r="R1782" s="155">
        <f t="shared" si="535"/>
        <v>0</v>
      </c>
      <c r="S1782" s="47">
        <f t="shared" si="534"/>
        <v>0</v>
      </c>
      <c r="T1782" s="151">
        <f t="shared" si="519"/>
        <v>278</v>
      </c>
      <c r="U1782" s="151">
        <f t="shared" si="520"/>
        <v>0</v>
      </c>
      <c r="V1782" s="139">
        <f t="shared" si="521"/>
        <v>0</v>
      </c>
      <c r="W1782" s="152">
        <f t="shared" si="524"/>
        <v>278</v>
      </c>
      <c r="X1782" s="127" t="str">
        <f t="shared" si="522"/>
        <v/>
      </c>
      <c r="Y1782" s="207">
        <f t="shared" si="525"/>
        <v>278</v>
      </c>
      <c r="Z1782" s="139">
        <f t="shared" si="526"/>
        <v>212</v>
      </c>
      <c r="AA1782" s="139">
        <f t="shared" si="527"/>
        <v>66</v>
      </c>
      <c r="AC1782" s="47">
        <f t="shared" si="528"/>
        <v>139</v>
      </c>
      <c r="AD1782" s="47">
        <f t="shared" si="529"/>
        <v>106</v>
      </c>
      <c r="AE1782" s="47">
        <f t="shared" si="530"/>
        <v>33</v>
      </c>
      <c r="AG1782" s="47">
        <f t="shared" si="531"/>
        <v>139</v>
      </c>
      <c r="AH1782" s="47">
        <f t="shared" si="532"/>
        <v>106</v>
      </c>
      <c r="AI1782" s="208">
        <f t="shared" si="533"/>
        <v>33</v>
      </c>
    </row>
    <row r="1783" spans="1:35">
      <c r="A1783" t="s">
        <v>2142</v>
      </c>
      <c r="B1783" t="s">
        <v>3142</v>
      </c>
      <c r="C1783" t="s">
        <v>2191</v>
      </c>
      <c r="D1783" t="s">
        <v>5237</v>
      </c>
      <c r="F1783" t="s">
        <v>20</v>
      </c>
      <c r="G1783" s="126">
        <f>SUMIFS('Support - Transition'!F:F,'Support - Transition'!B:B,'Step 2'!A1783,'Support - Transition'!C:C,'Step 2'!B1783,'Support - Transition'!D:D,'Step 2'!C1783,'Support - Transition'!E:E,"CIVIL")</f>
        <v>3.117E-3</v>
      </c>
      <c r="H1783" s="126">
        <f>SUMIFS('Support - Transition'!F:F,'Support - Transition'!B:B,'Step 2'!A1783,'Support - Transition'!C:C,'Step 2'!B1783,'Support - Transition'!D:D,'Step 2'!C1783,'Support - Transition'!E:E,"FIRE")</f>
        <v>6.8599999999999998E-4</v>
      </c>
      <c r="I1783" s="126">
        <f>IF(B1783="0",SUMIFS('Support - Transition'!F:F,'Support - Transition'!J:J,'Step 2'!D1783,'Support - Transition'!E:E,"STATE UNIT"),SUMIFS('Support - Transition'!F:F,'Support - Transition'!J:J,'Step 2'!D1783))</f>
        <v>3.803E-3</v>
      </c>
      <c r="J1783" s="126">
        <f>SUMIFS('Support - Unit Adjustments'!E:E,'Support - Unit Adjustments'!F:F,'Step 2'!D1783)</f>
        <v>0</v>
      </c>
      <c r="K1783" s="126">
        <f t="shared" si="517"/>
        <v>3.803E-3</v>
      </c>
      <c r="L1783" s="174">
        <f>VLOOKUP(A1783,'Step 1'!$A:$E,4,FALSE)</f>
        <v>29242</v>
      </c>
      <c r="M1783" s="47">
        <f t="shared" si="518"/>
        <v>111</v>
      </c>
      <c r="N1783" s="177">
        <f>SUMIFS('Support - Transition'!G:G,'Support - Transition'!J:J,'Step 2'!D1783,'Support - Transition'!E:E,"2009 WELFARE ALLOCATION FACTOR")</f>
        <v>0</v>
      </c>
      <c r="O1783" s="152">
        <f t="shared" si="523"/>
        <v>0</v>
      </c>
      <c r="P1783" s="126">
        <f>IF(E1783="Y",0,SUMIFS('Support - Transition'!G:G,'Support - Transition'!J:J,'Step 2'!D1783,'Support - Transition'!E:E,"2009 SCHOOL ALLOCATION FACTOR"))</f>
        <v>0</v>
      </c>
      <c r="Q1783" s="126">
        <f>IF(E1783="Y",VLOOKUP(D1783,'Support - Unit Adjustments'!F:G,2,FALSE),0)</f>
        <v>0</v>
      </c>
      <c r="R1783" s="155">
        <f t="shared" si="535"/>
        <v>0</v>
      </c>
      <c r="S1783" s="47">
        <f t="shared" si="534"/>
        <v>0</v>
      </c>
      <c r="T1783" s="151">
        <f t="shared" si="519"/>
        <v>111</v>
      </c>
      <c r="U1783" s="151">
        <f t="shared" si="520"/>
        <v>0</v>
      </c>
      <c r="V1783" s="139">
        <f t="shared" si="521"/>
        <v>0</v>
      </c>
      <c r="W1783" s="152">
        <f t="shared" si="524"/>
        <v>111</v>
      </c>
      <c r="X1783" s="127" t="str">
        <f t="shared" si="522"/>
        <v/>
      </c>
      <c r="Y1783" s="207">
        <f t="shared" si="525"/>
        <v>111</v>
      </c>
      <c r="Z1783" s="139">
        <f t="shared" si="526"/>
        <v>91</v>
      </c>
      <c r="AA1783" s="139">
        <f t="shared" si="527"/>
        <v>20</v>
      </c>
      <c r="AC1783" s="47">
        <f t="shared" si="528"/>
        <v>56</v>
      </c>
      <c r="AD1783" s="47">
        <f t="shared" si="529"/>
        <v>46</v>
      </c>
      <c r="AE1783" s="47">
        <f t="shared" si="530"/>
        <v>10</v>
      </c>
      <c r="AG1783" s="47">
        <f t="shared" si="531"/>
        <v>55</v>
      </c>
      <c r="AH1783" s="47">
        <f t="shared" si="532"/>
        <v>45</v>
      </c>
      <c r="AI1783" s="208">
        <f t="shared" si="533"/>
        <v>10</v>
      </c>
    </row>
    <row r="1784" spans="1:35">
      <c r="A1784" t="s">
        <v>2142</v>
      </c>
      <c r="B1784" t="s">
        <v>3155</v>
      </c>
      <c r="C1784" t="s">
        <v>2895</v>
      </c>
      <c r="D1784" t="s">
        <v>5238</v>
      </c>
      <c r="F1784" t="s">
        <v>1334</v>
      </c>
      <c r="G1784" s="126">
        <f>SUMIFS('Support - Transition'!F:F,'Support - Transition'!B:B,'Step 2'!A1784,'Support - Transition'!C:C,'Step 2'!B1784,'Support - Transition'!D:D,'Step 2'!C1784,'Support - Transition'!E:E,"CIVIL")</f>
        <v>0</v>
      </c>
      <c r="H1784" s="126">
        <f>SUMIFS('Support - Transition'!F:F,'Support - Transition'!B:B,'Step 2'!A1784,'Support - Transition'!C:C,'Step 2'!B1784,'Support - Transition'!D:D,'Step 2'!C1784,'Support - Transition'!E:E,"FIRE")</f>
        <v>0</v>
      </c>
      <c r="I1784" s="126">
        <f>IF(B1784="0",SUMIFS('Support - Transition'!F:F,'Support - Transition'!J:J,'Step 2'!D1784,'Support - Transition'!E:E,"STATE UNIT"),SUMIFS('Support - Transition'!F:F,'Support - Transition'!J:J,'Step 2'!D1784))</f>
        <v>2.3344E-2</v>
      </c>
      <c r="J1784" s="126">
        <f>SUMIFS('Support - Unit Adjustments'!E:E,'Support - Unit Adjustments'!F:F,'Step 2'!D1784)</f>
        <v>0</v>
      </c>
      <c r="K1784" s="126">
        <f t="shared" si="517"/>
        <v>2.3344E-2</v>
      </c>
      <c r="L1784" s="174">
        <f>VLOOKUP(A1784,'Step 1'!$A:$E,4,FALSE)</f>
        <v>29242</v>
      </c>
      <c r="M1784" s="47">
        <f t="shared" si="518"/>
        <v>683</v>
      </c>
      <c r="N1784" s="177">
        <f>SUMIFS('Support - Transition'!G:G,'Support - Transition'!J:J,'Step 2'!D1784,'Support - Transition'!E:E,"2009 WELFARE ALLOCATION FACTOR")</f>
        <v>0</v>
      </c>
      <c r="O1784" s="152">
        <f t="shared" si="523"/>
        <v>0</v>
      </c>
      <c r="P1784" s="126">
        <f>IF(E1784="Y",0,SUMIFS('Support - Transition'!G:G,'Support - Transition'!J:J,'Step 2'!D1784,'Support - Transition'!E:E,"2009 SCHOOL ALLOCATION FACTOR"))</f>
        <v>0</v>
      </c>
      <c r="Q1784" s="126">
        <f>IF(E1784="Y",VLOOKUP(D1784,'Support - Unit Adjustments'!F:G,2,FALSE),0)</f>
        <v>0</v>
      </c>
      <c r="R1784" s="155">
        <f t="shared" si="535"/>
        <v>0</v>
      </c>
      <c r="S1784" s="47">
        <f t="shared" si="534"/>
        <v>0</v>
      </c>
      <c r="T1784" s="151">
        <f t="shared" si="519"/>
        <v>683</v>
      </c>
      <c r="U1784" s="151">
        <f t="shared" si="520"/>
        <v>0</v>
      </c>
      <c r="V1784" s="139">
        <f t="shared" si="521"/>
        <v>0</v>
      </c>
      <c r="W1784" s="152">
        <f t="shared" si="524"/>
        <v>683</v>
      </c>
      <c r="X1784" s="127" t="str">
        <f t="shared" si="522"/>
        <v/>
      </c>
      <c r="Y1784" s="207">
        <f t="shared" si="525"/>
        <v>683</v>
      </c>
      <c r="Z1784" s="139">
        <f t="shared" si="526"/>
        <v>683</v>
      </c>
      <c r="AA1784" s="139">
        <f t="shared" si="527"/>
        <v>0</v>
      </c>
      <c r="AC1784" s="47">
        <f t="shared" si="528"/>
        <v>342</v>
      </c>
      <c r="AD1784" s="47">
        <f t="shared" si="529"/>
        <v>342</v>
      </c>
      <c r="AE1784" s="47">
        <f t="shared" si="530"/>
        <v>0</v>
      </c>
      <c r="AG1784" s="47">
        <f t="shared" si="531"/>
        <v>341</v>
      </c>
      <c r="AH1784" s="47">
        <f t="shared" si="532"/>
        <v>341</v>
      </c>
      <c r="AI1784" s="208">
        <f t="shared" si="533"/>
        <v>0</v>
      </c>
    </row>
    <row r="1785" spans="1:35">
      <c r="A1785" t="s">
        <v>2142</v>
      </c>
      <c r="B1785" t="s">
        <v>3160</v>
      </c>
      <c r="C1785" t="s">
        <v>2896</v>
      </c>
      <c r="D1785" t="s">
        <v>5239</v>
      </c>
      <c r="F1785" t="s">
        <v>5240</v>
      </c>
      <c r="G1785" s="126">
        <f>SUMIFS('Support - Transition'!F:F,'Support - Transition'!B:B,'Step 2'!A1785,'Support - Transition'!C:C,'Step 2'!B1785,'Support - Transition'!D:D,'Step 2'!C1785,'Support - Transition'!E:E,"CIVIL")</f>
        <v>0</v>
      </c>
      <c r="H1785" s="126">
        <f>SUMIFS('Support - Transition'!F:F,'Support - Transition'!B:B,'Step 2'!A1785,'Support - Transition'!C:C,'Step 2'!B1785,'Support - Transition'!D:D,'Step 2'!C1785,'Support - Transition'!E:E,"FIRE")</f>
        <v>0</v>
      </c>
      <c r="I1785" s="126">
        <f>IF(B1785="0",SUMIFS('Support - Transition'!F:F,'Support - Transition'!J:J,'Step 2'!D1785,'Support - Transition'!E:E,"STATE UNIT"),SUMIFS('Support - Transition'!F:F,'Support - Transition'!J:J,'Step 2'!D1785))</f>
        <v>0.68181400000000003</v>
      </c>
      <c r="J1785" s="126">
        <f>SUMIFS('Support - Unit Adjustments'!E:E,'Support - Unit Adjustments'!F:F,'Step 2'!D1785)</f>
        <v>0</v>
      </c>
      <c r="K1785" s="126">
        <f t="shared" si="517"/>
        <v>0.68181400000000003</v>
      </c>
      <c r="L1785" s="174">
        <f>VLOOKUP(A1785,'Step 1'!$A:$E,4,FALSE)</f>
        <v>29242</v>
      </c>
      <c r="M1785" s="47">
        <f t="shared" si="518"/>
        <v>19938</v>
      </c>
      <c r="N1785" s="177">
        <f>SUMIFS('Support - Transition'!G:G,'Support - Transition'!J:J,'Step 2'!D1785,'Support - Transition'!E:E,"2009 WELFARE ALLOCATION FACTOR")</f>
        <v>0</v>
      </c>
      <c r="O1785" s="152">
        <f t="shared" si="523"/>
        <v>0</v>
      </c>
      <c r="P1785" s="126">
        <f>IF(E1785="Y",0,SUMIFS('Support - Transition'!G:G,'Support - Transition'!J:J,'Step 2'!D1785,'Support - Transition'!E:E,"2009 SCHOOL ALLOCATION FACTOR"))</f>
        <v>0.66781900000000005</v>
      </c>
      <c r="Q1785" s="126">
        <f>IF(E1785="Y",VLOOKUP(D1785,'Support - Unit Adjustments'!F:G,2,FALSE),0)</f>
        <v>0</v>
      </c>
      <c r="R1785" s="155">
        <f t="shared" si="535"/>
        <v>0.66781900000000005</v>
      </c>
      <c r="S1785" s="47">
        <f t="shared" si="534"/>
        <v>13315</v>
      </c>
      <c r="T1785" s="151">
        <f t="shared" si="519"/>
        <v>6623</v>
      </c>
      <c r="U1785" s="151">
        <f t="shared" si="520"/>
        <v>0</v>
      </c>
      <c r="V1785" s="139">
        <f t="shared" si="521"/>
        <v>0</v>
      </c>
      <c r="W1785" s="152">
        <f t="shared" si="524"/>
        <v>6623</v>
      </c>
      <c r="X1785" s="127" t="str">
        <f t="shared" si="522"/>
        <v/>
      </c>
      <c r="Y1785" s="207">
        <f t="shared" si="525"/>
        <v>6623</v>
      </c>
      <c r="Z1785" s="139">
        <f t="shared" si="526"/>
        <v>6623</v>
      </c>
      <c r="AA1785" s="139">
        <f t="shared" si="527"/>
        <v>0</v>
      </c>
      <c r="AC1785" s="47">
        <f t="shared" si="528"/>
        <v>3312</v>
      </c>
      <c r="AD1785" s="47">
        <f t="shared" si="529"/>
        <v>3312</v>
      </c>
      <c r="AE1785" s="47">
        <f t="shared" si="530"/>
        <v>0</v>
      </c>
      <c r="AG1785" s="47">
        <f t="shared" si="531"/>
        <v>3311</v>
      </c>
      <c r="AH1785" s="47">
        <f t="shared" si="532"/>
        <v>3311</v>
      </c>
      <c r="AI1785" s="208">
        <f t="shared" si="533"/>
        <v>0</v>
      </c>
    </row>
    <row r="1786" spans="1:35">
      <c r="A1786" t="s">
        <v>2142</v>
      </c>
      <c r="B1786" t="s">
        <v>3166</v>
      </c>
      <c r="C1786" t="s">
        <v>5241</v>
      </c>
      <c r="D1786" t="s">
        <v>5242</v>
      </c>
      <c r="F1786" t="s">
        <v>1336</v>
      </c>
      <c r="G1786" s="126">
        <f>SUMIFS('Support - Transition'!F:F,'Support - Transition'!B:B,'Step 2'!A1786,'Support - Transition'!C:C,'Step 2'!B1786,'Support - Transition'!D:D,'Step 2'!C1786,'Support - Transition'!E:E,"CIVIL")</f>
        <v>0</v>
      </c>
      <c r="H1786" s="126">
        <f>SUMIFS('Support - Transition'!F:F,'Support - Transition'!B:B,'Step 2'!A1786,'Support - Transition'!C:C,'Step 2'!B1786,'Support - Transition'!D:D,'Step 2'!C1786,'Support - Transition'!E:E,"FIRE")</f>
        <v>0</v>
      </c>
      <c r="I1786" s="126">
        <f>IF(B1786="0",SUMIFS('Support - Transition'!F:F,'Support - Transition'!J:J,'Step 2'!D1786,'Support - Transition'!E:E,"STATE UNIT"),SUMIFS('Support - Transition'!F:F,'Support - Transition'!J:J,'Step 2'!D1786))</f>
        <v>2.0382999999999998E-2</v>
      </c>
      <c r="J1786" s="126">
        <f>SUMIFS('Support - Unit Adjustments'!E:E,'Support - Unit Adjustments'!F:F,'Step 2'!D1786)</f>
        <v>0</v>
      </c>
      <c r="K1786" s="126">
        <f t="shared" si="517"/>
        <v>2.0382999999999998E-2</v>
      </c>
      <c r="L1786" s="174">
        <f>VLOOKUP(A1786,'Step 1'!$A:$E,4,FALSE)</f>
        <v>29242</v>
      </c>
      <c r="M1786" s="47">
        <f t="shared" si="518"/>
        <v>596</v>
      </c>
      <c r="N1786" s="177">
        <f>SUMIFS('Support - Transition'!G:G,'Support - Transition'!J:J,'Step 2'!D1786,'Support - Transition'!E:E,"2009 WELFARE ALLOCATION FACTOR")</f>
        <v>0</v>
      </c>
      <c r="O1786" s="152">
        <f t="shared" si="523"/>
        <v>0</v>
      </c>
      <c r="P1786" s="126">
        <f>IF(E1786="Y",0,SUMIFS('Support - Transition'!G:G,'Support - Transition'!J:J,'Step 2'!D1786,'Support - Transition'!E:E,"2009 SCHOOL ALLOCATION FACTOR"))</f>
        <v>0</v>
      </c>
      <c r="Q1786" s="126">
        <f>IF(E1786="Y",VLOOKUP(D1786,'Support - Unit Adjustments'!F:G,2,FALSE),0)</f>
        <v>0</v>
      </c>
      <c r="R1786" s="155">
        <f t="shared" si="535"/>
        <v>0</v>
      </c>
      <c r="S1786" s="47">
        <f t="shared" si="534"/>
        <v>0</v>
      </c>
      <c r="T1786" s="151">
        <f t="shared" si="519"/>
        <v>596</v>
      </c>
      <c r="U1786" s="151">
        <f t="shared" si="520"/>
        <v>0</v>
      </c>
      <c r="V1786" s="139">
        <f t="shared" si="521"/>
        <v>0</v>
      </c>
      <c r="W1786" s="152">
        <f t="shared" si="524"/>
        <v>596</v>
      </c>
      <c r="X1786" s="127" t="str">
        <f t="shared" si="522"/>
        <v/>
      </c>
      <c r="Y1786" s="207">
        <f t="shared" si="525"/>
        <v>596</v>
      </c>
      <c r="Z1786" s="139">
        <f t="shared" si="526"/>
        <v>596</v>
      </c>
      <c r="AA1786" s="139">
        <f t="shared" si="527"/>
        <v>0</v>
      </c>
      <c r="AC1786" s="47">
        <f t="shared" si="528"/>
        <v>298</v>
      </c>
      <c r="AD1786" s="47">
        <f t="shared" si="529"/>
        <v>298</v>
      </c>
      <c r="AE1786" s="47">
        <f t="shared" si="530"/>
        <v>0</v>
      </c>
      <c r="AG1786" s="47">
        <f t="shared" si="531"/>
        <v>298</v>
      </c>
      <c r="AH1786" s="47">
        <f t="shared" si="532"/>
        <v>298</v>
      </c>
      <c r="AI1786" s="208">
        <f t="shared" si="533"/>
        <v>0</v>
      </c>
    </row>
    <row r="1787" spans="1:35">
      <c r="A1787" t="s">
        <v>2142</v>
      </c>
      <c r="B1787" t="s">
        <v>3170</v>
      </c>
      <c r="C1787" t="s">
        <v>3936</v>
      </c>
      <c r="D1787" t="s">
        <v>5243</v>
      </c>
      <c r="F1787" t="s">
        <v>3938</v>
      </c>
      <c r="G1787" s="126">
        <f>SUMIFS('Support - Transition'!F:F,'Support - Transition'!B:B,'Step 2'!A1787,'Support - Transition'!C:C,'Step 2'!B1787,'Support - Transition'!D:D,'Step 2'!C1787,'Support - Transition'!E:E,"CIVIL")</f>
        <v>0</v>
      </c>
      <c r="H1787" s="126">
        <f>SUMIFS('Support - Transition'!F:F,'Support - Transition'!B:B,'Step 2'!A1787,'Support - Transition'!C:C,'Step 2'!B1787,'Support - Transition'!D:D,'Step 2'!C1787,'Support - Transition'!E:E,"FIRE")</f>
        <v>0</v>
      </c>
      <c r="I1787" s="126">
        <f>IF(B1787="0",SUMIFS('Support - Transition'!F:F,'Support - Transition'!J:J,'Step 2'!D1787,'Support - Transition'!E:E,"STATE UNIT"),SUMIFS('Support - Transition'!F:F,'Support - Transition'!J:J,'Step 2'!D1787))</f>
        <v>6.0460000000000002E-3</v>
      </c>
      <c r="J1787" s="126">
        <f>SUMIFS('Support - Unit Adjustments'!E:E,'Support - Unit Adjustments'!F:F,'Step 2'!D1787)</f>
        <v>0</v>
      </c>
      <c r="K1787" s="126">
        <f t="shared" si="517"/>
        <v>6.0460000000000002E-3</v>
      </c>
      <c r="L1787" s="174">
        <f>VLOOKUP(A1787,'Step 1'!$A:$E,4,FALSE)</f>
        <v>29242</v>
      </c>
      <c r="M1787" s="47">
        <f t="shared" si="518"/>
        <v>177</v>
      </c>
      <c r="N1787" s="177">
        <f>SUMIFS('Support - Transition'!G:G,'Support - Transition'!J:J,'Step 2'!D1787,'Support - Transition'!E:E,"2009 WELFARE ALLOCATION FACTOR")</f>
        <v>0</v>
      </c>
      <c r="O1787" s="152">
        <f t="shared" si="523"/>
        <v>0</v>
      </c>
      <c r="P1787" s="126">
        <f>IF(E1787="Y",0,SUMIFS('Support - Transition'!G:G,'Support - Transition'!J:J,'Step 2'!D1787,'Support - Transition'!E:E,"2009 SCHOOL ALLOCATION FACTOR"))</f>
        <v>0</v>
      </c>
      <c r="Q1787" s="126">
        <f>IF(E1787="Y",VLOOKUP(D1787,'Support - Unit Adjustments'!F:G,2,FALSE),0)</f>
        <v>0</v>
      </c>
      <c r="R1787" s="155">
        <f t="shared" si="535"/>
        <v>0</v>
      </c>
      <c r="S1787" s="47">
        <f t="shared" si="534"/>
        <v>0</v>
      </c>
      <c r="T1787" s="151">
        <f t="shared" si="519"/>
        <v>177</v>
      </c>
      <c r="U1787" s="151">
        <f t="shared" si="520"/>
        <v>0</v>
      </c>
      <c r="V1787" s="139">
        <f t="shared" si="521"/>
        <v>0</v>
      </c>
      <c r="W1787" s="152">
        <f t="shared" si="524"/>
        <v>177</v>
      </c>
      <c r="X1787" s="127" t="str">
        <f t="shared" si="522"/>
        <v/>
      </c>
      <c r="Y1787" s="207">
        <f t="shared" si="525"/>
        <v>177</v>
      </c>
      <c r="Z1787" s="139">
        <f t="shared" si="526"/>
        <v>177</v>
      </c>
      <c r="AA1787" s="139">
        <f t="shared" si="527"/>
        <v>0</v>
      </c>
      <c r="AC1787" s="47">
        <f t="shared" si="528"/>
        <v>89</v>
      </c>
      <c r="AD1787" s="47">
        <f t="shared" si="529"/>
        <v>89</v>
      </c>
      <c r="AE1787" s="47">
        <f t="shared" si="530"/>
        <v>0</v>
      </c>
      <c r="AG1787" s="47">
        <f t="shared" si="531"/>
        <v>88</v>
      </c>
      <c r="AH1787" s="47">
        <f t="shared" si="532"/>
        <v>88</v>
      </c>
      <c r="AI1787" s="208">
        <f t="shared" si="533"/>
        <v>0</v>
      </c>
    </row>
    <row r="1788" spans="1:35">
      <c r="A1788" t="s">
        <v>2143</v>
      </c>
      <c r="B1788" s="48" t="s">
        <v>6274</v>
      </c>
      <c r="C1788" t="s">
        <v>2187</v>
      </c>
      <c r="D1788" t="str">
        <f>A1788&amp;B1788&amp;C1788</f>
        <v>5900000</v>
      </c>
      <c r="F1788" t="s">
        <v>6333</v>
      </c>
      <c r="G1788" s="126">
        <f>SUMIFS('Support - Transition'!F:F,'Support - Transition'!B:B,'Step 2'!A1788,'Support - Transition'!C:C,'Step 2'!B1788,'Support - Transition'!D:D,'Step 2'!C1788,'Support - Transition'!E:E,"CIVIL")</f>
        <v>0</v>
      </c>
      <c r="H1788" s="126">
        <f>SUMIFS('Support - Transition'!F:F,'Support - Transition'!B:B,'Step 2'!A1788,'Support - Transition'!C:C,'Step 2'!B1788,'Support - Transition'!D:D,'Step 2'!C1788,'Support - Transition'!E:E,"FIRE")</f>
        <v>0</v>
      </c>
      <c r="I1788" s="126">
        <f>IF(B1788="0",SUMIFS('Support - Transition'!F:F,'Support - Transition'!J:J,'Step 2'!D1788,'Support - Transition'!E:E,"STATE UNIT"),SUMIFS('Support - Transition'!F:F,'Support - Transition'!J:J,'Step 2'!D1788))</f>
        <v>1.508E-3</v>
      </c>
      <c r="J1788" s="126">
        <f>SUMIFS('Support - Unit Adjustments'!E:E,'Support - Unit Adjustments'!F:F,'Step 2'!D1788)</f>
        <v>0</v>
      </c>
      <c r="K1788" s="126">
        <f t="shared" si="517"/>
        <v>1.508E-3</v>
      </c>
      <c r="L1788" s="174">
        <f>VLOOKUP(A1788,'Step 1'!$A:$E,4,FALSE)</f>
        <v>352394</v>
      </c>
      <c r="M1788" s="47">
        <f t="shared" si="518"/>
        <v>531</v>
      </c>
      <c r="N1788" s="177">
        <f>SUMIFS('Support - Transition'!G:G,'Support - Transition'!J:J,'Step 2'!D1788,'Support - Transition'!E:E,"2009 WELFARE ALLOCATION FACTOR")</f>
        <v>0</v>
      </c>
      <c r="O1788" s="152">
        <f t="shared" si="523"/>
        <v>0</v>
      </c>
      <c r="P1788" s="126">
        <f>IF(E1788="Y",0,SUMIFS('Support - Transition'!G:G,'Support - Transition'!J:J,'Step 2'!D1788,'Support - Transition'!E:E,"2009 SCHOOL ALLOCATION FACTOR"))</f>
        <v>0</v>
      </c>
      <c r="Q1788" s="126">
        <f>IF(E1788="Y",VLOOKUP(D1788,'Support - Unit Adjustments'!F:G,2,FALSE),0)</f>
        <v>0</v>
      </c>
      <c r="R1788" s="155">
        <f t="shared" si="535"/>
        <v>0</v>
      </c>
      <c r="S1788" s="47">
        <f t="shared" si="534"/>
        <v>0</v>
      </c>
      <c r="T1788" s="151">
        <f t="shared" si="519"/>
        <v>531</v>
      </c>
      <c r="U1788" s="151">
        <f t="shared" si="520"/>
        <v>352394</v>
      </c>
      <c r="V1788" s="139">
        <f t="shared" si="521"/>
        <v>0</v>
      </c>
      <c r="W1788" s="152">
        <f t="shared" si="524"/>
        <v>531</v>
      </c>
      <c r="X1788" s="127">
        <f t="shared" si="522"/>
        <v>0</v>
      </c>
      <c r="Y1788" s="207">
        <f t="shared" si="525"/>
        <v>531</v>
      </c>
      <c r="Z1788" s="139">
        <f t="shared" si="526"/>
        <v>531</v>
      </c>
      <c r="AA1788" s="139">
        <f t="shared" si="527"/>
        <v>0</v>
      </c>
      <c r="AC1788" s="47">
        <f t="shared" si="528"/>
        <v>266</v>
      </c>
      <c r="AD1788" s="47">
        <f t="shared" si="529"/>
        <v>266</v>
      </c>
      <c r="AE1788" s="47">
        <f t="shared" si="530"/>
        <v>0</v>
      </c>
      <c r="AG1788" s="47">
        <f t="shared" si="531"/>
        <v>265</v>
      </c>
      <c r="AH1788" s="47">
        <f t="shared" si="532"/>
        <v>265</v>
      </c>
      <c r="AI1788" s="208">
        <f t="shared" si="533"/>
        <v>0</v>
      </c>
    </row>
    <row r="1789" spans="1:35">
      <c r="A1789" t="s">
        <v>2143</v>
      </c>
      <c r="B1789" t="s">
        <v>3140</v>
      </c>
      <c r="C1789" t="s">
        <v>2187</v>
      </c>
      <c r="D1789" t="s">
        <v>5244</v>
      </c>
      <c r="F1789" t="s">
        <v>1338</v>
      </c>
      <c r="G1789" s="126">
        <f>SUMIFS('Support - Transition'!F:F,'Support - Transition'!B:B,'Step 2'!A1789,'Support - Transition'!C:C,'Step 2'!B1789,'Support - Transition'!D:D,'Step 2'!C1789,'Support - Transition'!E:E,"CIVIL")</f>
        <v>0</v>
      </c>
      <c r="H1789" s="126">
        <f>SUMIFS('Support - Transition'!F:F,'Support - Transition'!B:B,'Step 2'!A1789,'Support - Transition'!C:C,'Step 2'!B1789,'Support - Transition'!D:D,'Step 2'!C1789,'Support - Transition'!E:E,"FIRE")</f>
        <v>0</v>
      </c>
      <c r="I1789" s="126">
        <f>IF(B1789="0",SUMIFS('Support - Transition'!F:F,'Support - Transition'!J:J,'Step 2'!D1789,'Support - Transition'!E:E,"STATE UNIT"),SUMIFS('Support - Transition'!F:F,'Support - Transition'!J:J,'Step 2'!D1789))</f>
        <v>0.213057</v>
      </c>
      <c r="J1789" s="126">
        <f>SUMIFS('Support - Unit Adjustments'!E:E,'Support - Unit Adjustments'!F:F,'Step 2'!D1789)</f>
        <v>0</v>
      </c>
      <c r="K1789" s="126">
        <f t="shared" si="517"/>
        <v>0.213057</v>
      </c>
      <c r="L1789" s="174">
        <f>VLOOKUP(A1789,'Step 1'!$A:$E,4,FALSE)</f>
        <v>352394</v>
      </c>
      <c r="M1789" s="47">
        <f t="shared" si="518"/>
        <v>75080</v>
      </c>
      <c r="N1789" s="177">
        <f>SUMIFS('Support - Transition'!G:G,'Support - Transition'!J:J,'Step 2'!D1789,'Support - Transition'!E:E,"2009 WELFARE ALLOCATION FACTOR")</f>
        <v>0.124043</v>
      </c>
      <c r="O1789" s="152">
        <f t="shared" si="523"/>
        <v>9313</v>
      </c>
      <c r="P1789" s="126">
        <f>IF(E1789="Y",0,SUMIFS('Support - Transition'!G:G,'Support - Transition'!J:J,'Step 2'!D1789,'Support - Transition'!E:E,"2009 SCHOOL ALLOCATION FACTOR"))</f>
        <v>0</v>
      </c>
      <c r="Q1789" s="126">
        <f>IF(E1789="Y",VLOOKUP(D1789,'Support - Unit Adjustments'!F:G,2,FALSE),0)</f>
        <v>0</v>
      </c>
      <c r="R1789" s="155">
        <f t="shared" si="535"/>
        <v>0</v>
      </c>
      <c r="S1789" s="47">
        <f t="shared" si="534"/>
        <v>0</v>
      </c>
      <c r="T1789" s="151">
        <f t="shared" si="519"/>
        <v>65767</v>
      </c>
      <c r="U1789" s="151">
        <f t="shared" si="520"/>
        <v>0</v>
      </c>
      <c r="V1789" s="139">
        <f t="shared" si="521"/>
        <v>0</v>
      </c>
      <c r="W1789" s="152">
        <f t="shared" si="524"/>
        <v>65767</v>
      </c>
      <c r="X1789" s="127" t="str">
        <f t="shared" si="522"/>
        <v/>
      </c>
      <c r="Y1789" s="207">
        <f t="shared" si="525"/>
        <v>65767</v>
      </c>
      <c r="Z1789" s="139">
        <f t="shared" si="526"/>
        <v>65767</v>
      </c>
      <c r="AA1789" s="139">
        <f t="shared" si="527"/>
        <v>0</v>
      </c>
      <c r="AC1789" s="47">
        <f t="shared" si="528"/>
        <v>32884</v>
      </c>
      <c r="AD1789" s="47">
        <f t="shared" si="529"/>
        <v>32884</v>
      </c>
      <c r="AE1789" s="47">
        <f t="shared" si="530"/>
        <v>0</v>
      </c>
      <c r="AG1789" s="47">
        <f t="shared" si="531"/>
        <v>32883</v>
      </c>
      <c r="AH1789" s="47">
        <f t="shared" si="532"/>
        <v>32883</v>
      </c>
      <c r="AI1789" s="208">
        <f t="shared" si="533"/>
        <v>0</v>
      </c>
    </row>
    <row r="1790" spans="1:35">
      <c r="A1790" t="s">
        <v>2143</v>
      </c>
      <c r="B1790" t="s">
        <v>3142</v>
      </c>
      <c r="C1790" t="s">
        <v>2188</v>
      </c>
      <c r="D1790" t="s">
        <v>5245</v>
      </c>
      <c r="F1790" t="s">
        <v>1339</v>
      </c>
      <c r="G1790" s="126">
        <f>SUMIFS('Support - Transition'!F:F,'Support - Transition'!B:B,'Step 2'!A1790,'Support - Transition'!C:C,'Step 2'!B1790,'Support - Transition'!D:D,'Step 2'!C1790,'Support - Transition'!E:E,"CIVIL")</f>
        <v>7.5000000000000002E-4</v>
      </c>
      <c r="H1790" s="126">
        <f>SUMIFS('Support - Transition'!F:F,'Support - Transition'!B:B,'Step 2'!A1790,'Support - Transition'!C:C,'Step 2'!B1790,'Support - Transition'!D:D,'Step 2'!C1790,'Support - Transition'!E:E,"FIRE")</f>
        <v>0</v>
      </c>
      <c r="I1790" s="126">
        <f>IF(B1790="0",SUMIFS('Support - Transition'!F:F,'Support - Transition'!J:J,'Step 2'!D1790,'Support - Transition'!E:E,"STATE UNIT"),SUMIFS('Support - Transition'!F:F,'Support - Transition'!J:J,'Step 2'!D1790))</f>
        <v>7.5000000000000002E-4</v>
      </c>
      <c r="J1790" s="126">
        <f>SUMIFS('Support - Unit Adjustments'!E:E,'Support - Unit Adjustments'!F:F,'Step 2'!D1790)</f>
        <v>0</v>
      </c>
      <c r="K1790" s="126">
        <f t="shared" si="517"/>
        <v>7.5000000000000002E-4</v>
      </c>
      <c r="L1790" s="174">
        <f>VLOOKUP(A1790,'Step 1'!$A:$E,4,FALSE)</f>
        <v>352394</v>
      </c>
      <c r="M1790" s="47">
        <f t="shared" si="518"/>
        <v>264</v>
      </c>
      <c r="N1790" s="177">
        <f>SUMIFS('Support - Transition'!G:G,'Support - Transition'!J:J,'Step 2'!D1790,'Support - Transition'!E:E,"2009 WELFARE ALLOCATION FACTOR")</f>
        <v>0</v>
      </c>
      <c r="O1790" s="152">
        <f t="shared" si="523"/>
        <v>0</v>
      </c>
      <c r="P1790" s="126">
        <f>IF(E1790="Y",0,SUMIFS('Support - Transition'!G:G,'Support - Transition'!J:J,'Step 2'!D1790,'Support - Transition'!E:E,"2009 SCHOOL ALLOCATION FACTOR"))</f>
        <v>0</v>
      </c>
      <c r="Q1790" s="126">
        <f>IF(E1790="Y",VLOOKUP(D1790,'Support - Unit Adjustments'!F:G,2,FALSE),0)</f>
        <v>0</v>
      </c>
      <c r="R1790" s="155">
        <f t="shared" si="535"/>
        <v>0</v>
      </c>
      <c r="S1790" s="47">
        <f t="shared" si="534"/>
        <v>0</v>
      </c>
      <c r="T1790" s="151">
        <f t="shared" si="519"/>
        <v>264</v>
      </c>
      <c r="U1790" s="151">
        <f t="shared" si="520"/>
        <v>0</v>
      </c>
      <c r="V1790" s="139">
        <f t="shared" si="521"/>
        <v>0</v>
      </c>
      <c r="W1790" s="152">
        <f t="shared" si="524"/>
        <v>264</v>
      </c>
      <c r="X1790" s="127" t="str">
        <f t="shared" si="522"/>
        <v/>
      </c>
      <c r="Y1790" s="207">
        <f t="shared" si="525"/>
        <v>264</v>
      </c>
      <c r="Z1790" s="139">
        <f t="shared" si="526"/>
        <v>264</v>
      </c>
      <c r="AA1790" s="139">
        <f t="shared" si="527"/>
        <v>0</v>
      </c>
      <c r="AC1790" s="47">
        <f t="shared" si="528"/>
        <v>132</v>
      </c>
      <c r="AD1790" s="47">
        <f t="shared" si="529"/>
        <v>132</v>
      </c>
      <c r="AE1790" s="47">
        <f t="shared" si="530"/>
        <v>0</v>
      </c>
      <c r="AG1790" s="47">
        <f t="shared" si="531"/>
        <v>132</v>
      </c>
      <c r="AH1790" s="47">
        <f t="shared" si="532"/>
        <v>132</v>
      </c>
      <c r="AI1790" s="208">
        <f t="shared" si="533"/>
        <v>0</v>
      </c>
    </row>
    <row r="1791" spans="1:35">
      <c r="A1791" t="s">
        <v>2143</v>
      </c>
      <c r="B1791" t="s">
        <v>3142</v>
      </c>
      <c r="C1791" t="s">
        <v>2189</v>
      </c>
      <c r="D1791" t="s">
        <v>5246</v>
      </c>
      <c r="F1791" t="s">
        <v>984</v>
      </c>
      <c r="G1791" s="126">
        <f>SUMIFS('Support - Transition'!F:F,'Support - Transition'!B:B,'Step 2'!A1791,'Support - Transition'!C:C,'Step 2'!B1791,'Support - Transition'!D:D,'Step 2'!C1791,'Support - Transition'!E:E,"CIVIL")</f>
        <v>1.6799999999999999E-4</v>
      </c>
      <c r="H1791" s="126">
        <f>SUMIFS('Support - Transition'!F:F,'Support - Transition'!B:B,'Step 2'!A1791,'Support - Transition'!C:C,'Step 2'!B1791,'Support - Transition'!D:D,'Step 2'!C1791,'Support - Transition'!E:E,"FIRE")</f>
        <v>0</v>
      </c>
      <c r="I1791" s="126">
        <f>IF(B1791="0",SUMIFS('Support - Transition'!F:F,'Support - Transition'!J:J,'Step 2'!D1791,'Support - Transition'!E:E,"STATE UNIT"),SUMIFS('Support - Transition'!F:F,'Support - Transition'!J:J,'Step 2'!D1791))</f>
        <v>1.6799999999999999E-4</v>
      </c>
      <c r="J1791" s="126">
        <f>SUMIFS('Support - Unit Adjustments'!E:E,'Support - Unit Adjustments'!F:F,'Step 2'!D1791)</f>
        <v>0</v>
      </c>
      <c r="K1791" s="126">
        <f t="shared" si="517"/>
        <v>1.6799999999999999E-4</v>
      </c>
      <c r="L1791" s="174">
        <f>VLOOKUP(A1791,'Step 1'!$A:$E,4,FALSE)</f>
        <v>352394</v>
      </c>
      <c r="M1791" s="47">
        <f t="shared" si="518"/>
        <v>59</v>
      </c>
      <c r="N1791" s="177">
        <f>SUMIFS('Support - Transition'!G:G,'Support - Transition'!J:J,'Step 2'!D1791,'Support - Transition'!E:E,"2009 WELFARE ALLOCATION FACTOR")</f>
        <v>0</v>
      </c>
      <c r="O1791" s="152">
        <f t="shared" si="523"/>
        <v>0</v>
      </c>
      <c r="P1791" s="126">
        <f>IF(E1791="Y",0,SUMIFS('Support - Transition'!G:G,'Support - Transition'!J:J,'Step 2'!D1791,'Support - Transition'!E:E,"2009 SCHOOL ALLOCATION FACTOR"))</f>
        <v>0</v>
      </c>
      <c r="Q1791" s="126">
        <f>IF(E1791="Y",VLOOKUP(D1791,'Support - Unit Adjustments'!F:G,2,FALSE),0)</f>
        <v>0</v>
      </c>
      <c r="R1791" s="155">
        <f t="shared" si="535"/>
        <v>0</v>
      </c>
      <c r="S1791" s="47">
        <f t="shared" si="534"/>
        <v>0</v>
      </c>
      <c r="T1791" s="151">
        <f t="shared" si="519"/>
        <v>59</v>
      </c>
      <c r="U1791" s="151">
        <f t="shared" si="520"/>
        <v>0</v>
      </c>
      <c r="V1791" s="139">
        <f t="shared" si="521"/>
        <v>0</v>
      </c>
      <c r="W1791" s="152">
        <f t="shared" si="524"/>
        <v>59</v>
      </c>
      <c r="X1791" s="127" t="str">
        <f t="shared" si="522"/>
        <v/>
      </c>
      <c r="Y1791" s="207">
        <f t="shared" si="525"/>
        <v>59</v>
      </c>
      <c r="Z1791" s="139">
        <f t="shared" si="526"/>
        <v>59</v>
      </c>
      <c r="AA1791" s="139">
        <f t="shared" si="527"/>
        <v>0</v>
      </c>
      <c r="AC1791" s="47">
        <f t="shared" si="528"/>
        <v>30</v>
      </c>
      <c r="AD1791" s="47">
        <f t="shared" si="529"/>
        <v>30</v>
      </c>
      <c r="AE1791" s="47">
        <f t="shared" si="530"/>
        <v>0</v>
      </c>
      <c r="AG1791" s="47">
        <f t="shared" si="531"/>
        <v>29</v>
      </c>
      <c r="AH1791" s="47">
        <f t="shared" si="532"/>
        <v>29</v>
      </c>
      <c r="AI1791" s="208">
        <f t="shared" si="533"/>
        <v>0</v>
      </c>
    </row>
    <row r="1792" spans="1:35">
      <c r="A1792" t="s">
        <v>2143</v>
      </c>
      <c r="B1792" t="s">
        <v>3142</v>
      </c>
      <c r="C1792" t="s">
        <v>2190</v>
      </c>
      <c r="D1792" t="s">
        <v>5247</v>
      </c>
      <c r="F1792" t="s">
        <v>49</v>
      </c>
      <c r="G1792" s="126">
        <f>SUMIFS('Support - Transition'!F:F,'Support - Transition'!B:B,'Step 2'!A1792,'Support - Transition'!C:C,'Step 2'!B1792,'Support - Transition'!D:D,'Step 2'!C1792,'Support - Transition'!E:E,"CIVIL")</f>
        <v>3.1599999999999998E-4</v>
      </c>
      <c r="H1792" s="126">
        <f>SUMIFS('Support - Transition'!F:F,'Support - Transition'!B:B,'Step 2'!A1792,'Support - Transition'!C:C,'Step 2'!B1792,'Support - Transition'!D:D,'Step 2'!C1792,'Support - Transition'!E:E,"FIRE")</f>
        <v>0</v>
      </c>
      <c r="I1792" s="126">
        <f>IF(B1792="0",SUMIFS('Support - Transition'!F:F,'Support - Transition'!J:J,'Step 2'!D1792,'Support - Transition'!E:E,"STATE UNIT"),SUMIFS('Support - Transition'!F:F,'Support - Transition'!J:J,'Step 2'!D1792))</f>
        <v>3.1599999999999998E-4</v>
      </c>
      <c r="J1792" s="126">
        <f>SUMIFS('Support - Unit Adjustments'!E:E,'Support - Unit Adjustments'!F:F,'Step 2'!D1792)</f>
        <v>0</v>
      </c>
      <c r="K1792" s="126">
        <f t="shared" si="517"/>
        <v>3.1599999999999998E-4</v>
      </c>
      <c r="L1792" s="174">
        <f>VLOOKUP(A1792,'Step 1'!$A:$E,4,FALSE)</f>
        <v>352394</v>
      </c>
      <c r="M1792" s="47">
        <f t="shared" si="518"/>
        <v>111</v>
      </c>
      <c r="N1792" s="177">
        <f>SUMIFS('Support - Transition'!G:G,'Support - Transition'!J:J,'Step 2'!D1792,'Support - Transition'!E:E,"2009 WELFARE ALLOCATION FACTOR")</f>
        <v>0</v>
      </c>
      <c r="O1792" s="152">
        <f t="shared" si="523"/>
        <v>0</v>
      </c>
      <c r="P1792" s="126">
        <f>IF(E1792="Y",0,SUMIFS('Support - Transition'!G:G,'Support - Transition'!J:J,'Step 2'!D1792,'Support - Transition'!E:E,"2009 SCHOOL ALLOCATION FACTOR"))</f>
        <v>0</v>
      </c>
      <c r="Q1792" s="126">
        <f>IF(E1792="Y",VLOOKUP(D1792,'Support - Unit Adjustments'!F:G,2,FALSE),0)</f>
        <v>0</v>
      </c>
      <c r="R1792" s="155">
        <f t="shared" si="535"/>
        <v>0</v>
      </c>
      <c r="S1792" s="47">
        <f t="shared" si="534"/>
        <v>0</v>
      </c>
      <c r="T1792" s="151">
        <f t="shared" si="519"/>
        <v>111</v>
      </c>
      <c r="U1792" s="151">
        <f t="shared" si="520"/>
        <v>0</v>
      </c>
      <c r="V1792" s="139">
        <f t="shared" si="521"/>
        <v>0</v>
      </c>
      <c r="W1792" s="152">
        <f t="shared" si="524"/>
        <v>111</v>
      </c>
      <c r="X1792" s="127" t="str">
        <f t="shared" si="522"/>
        <v/>
      </c>
      <c r="Y1792" s="207">
        <f t="shared" si="525"/>
        <v>111</v>
      </c>
      <c r="Z1792" s="139">
        <f t="shared" si="526"/>
        <v>111</v>
      </c>
      <c r="AA1792" s="139">
        <f t="shared" si="527"/>
        <v>0</v>
      </c>
      <c r="AC1792" s="47">
        <f t="shared" si="528"/>
        <v>56</v>
      </c>
      <c r="AD1792" s="47">
        <f t="shared" si="529"/>
        <v>56</v>
      </c>
      <c r="AE1792" s="47">
        <f t="shared" si="530"/>
        <v>0</v>
      </c>
      <c r="AG1792" s="47">
        <f t="shared" si="531"/>
        <v>55</v>
      </c>
      <c r="AH1792" s="47">
        <f t="shared" si="532"/>
        <v>55</v>
      </c>
      <c r="AI1792" s="208">
        <f t="shared" si="533"/>
        <v>0</v>
      </c>
    </row>
    <row r="1793" spans="1:35">
      <c r="A1793" t="s">
        <v>2143</v>
      </c>
      <c r="B1793" t="s">
        <v>3142</v>
      </c>
      <c r="C1793" t="s">
        <v>2191</v>
      </c>
      <c r="D1793" t="s">
        <v>5248</v>
      </c>
      <c r="F1793" t="s">
        <v>1340</v>
      </c>
      <c r="G1793" s="126">
        <f>SUMIFS('Support - Transition'!F:F,'Support - Transition'!B:B,'Step 2'!A1793,'Support - Transition'!C:C,'Step 2'!B1793,'Support - Transition'!D:D,'Step 2'!C1793,'Support - Transition'!E:E,"CIVIL")</f>
        <v>2.7399999999999999E-4</v>
      </c>
      <c r="H1793" s="126">
        <f>SUMIFS('Support - Transition'!F:F,'Support - Transition'!B:B,'Step 2'!A1793,'Support - Transition'!C:C,'Step 2'!B1793,'Support - Transition'!D:D,'Step 2'!C1793,'Support - Transition'!E:E,"FIRE")</f>
        <v>0</v>
      </c>
      <c r="I1793" s="126">
        <f>IF(B1793="0",SUMIFS('Support - Transition'!F:F,'Support - Transition'!J:J,'Step 2'!D1793,'Support - Transition'!E:E,"STATE UNIT"),SUMIFS('Support - Transition'!F:F,'Support - Transition'!J:J,'Step 2'!D1793))</f>
        <v>2.7399999999999999E-4</v>
      </c>
      <c r="J1793" s="126">
        <f>SUMIFS('Support - Unit Adjustments'!E:E,'Support - Unit Adjustments'!F:F,'Step 2'!D1793)</f>
        <v>0</v>
      </c>
      <c r="K1793" s="126">
        <f t="shared" si="517"/>
        <v>2.7399999999999999E-4</v>
      </c>
      <c r="L1793" s="174">
        <f>VLOOKUP(A1793,'Step 1'!$A:$E,4,FALSE)</f>
        <v>352394</v>
      </c>
      <c r="M1793" s="47">
        <f t="shared" si="518"/>
        <v>97</v>
      </c>
      <c r="N1793" s="177">
        <f>SUMIFS('Support - Transition'!G:G,'Support - Transition'!J:J,'Step 2'!D1793,'Support - Transition'!E:E,"2009 WELFARE ALLOCATION FACTOR")</f>
        <v>0</v>
      </c>
      <c r="O1793" s="152">
        <f t="shared" si="523"/>
        <v>0</v>
      </c>
      <c r="P1793" s="126">
        <f>IF(E1793="Y",0,SUMIFS('Support - Transition'!G:G,'Support - Transition'!J:J,'Step 2'!D1793,'Support - Transition'!E:E,"2009 SCHOOL ALLOCATION FACTOR"))</f>
        <v>0</v>
      </c>
      <c r="Q1793" s="126">
        <f>IF(E1793="Y",VLOOKUP(D1793,'Support - Unit Adjustments'!F:G,2,FALSE),0)</f>
        <v>0</v>
      </c>
      <c r="R1793" s="155">
        <f t="shared" si="535"/>
        <v>0</v>
      </c>
      <c r="S1793" s="47">
        <f t="shared" si="534"/>
        <v>0</v>
      </c>
      <c r="T1793" s="151">
        <f t="shared" si="519"/>
        <v>97</v>
      </c>
      <c r="U1793" s="151">
        <f t="shared" si="520"/>
        <v>0</v>
      </c>
      <c r="V1793" s="139">
        <f t="shared" si="521"/>
        <v>0</v>
      </c>
      <c r="W1793" s="152">
        <f t="shared" si="524"/>
        <v>97</v>
      </c>
      <c r="X1793" s="127" t="str">
        <f t="shared" si="522"/>
        <v/>
      </c>
      <c r="Y1793" s="207">
        <f t="shared" si="525"/>
        <v>97</v>
      </c>
      <c r="Z1793" s="139">
        <f t="shared" si="526"/>
        <v>97</v>
      </c>
      <c r="AA1793" s="139">
        <f t="shared" si="527"/>
        <v>0</v>
      </c>
      <c r="AC1793" s="47">
        <f t="shared" si="528"/>
        <v>49</v>
      </c>
      <c r="AD1793" s="47">
        <f t="shared" si="529"/>
        <v>49</v>
      </c>
      <c r="AE1793" s="47">
        <f t="shared" si="530"/>
        <v>0</v>
      </c>
      <c r="AG1793" s="47">
        <f t="shared" si="531"/>
        <v>48</v>
      </c>
      <c r="AH1793" s="47">
        <f t="shared" si="532"/>
        <v>48</v>
      </c>
      <c r="AI1793" s="208">
        <f t="shared" si="533"/>
        <v>0</v>
      </c>
    </row>
    <row r="1794" spans="1:35">
      <c r="A1794" t="s">
        <v>2143</v>
      </c>
      <c r="B1794" t="s">
        <v>3142</v>
      </c>
      <c r="C1794" t="s">
        <v>2192</v>
      </c>
      <c r="D1794" t="s">
        <v>5249</v>
      </c>
      <c r="F1794" t="s">
        <v>1341</v>
      </c>
      <c r="G1794" s="126">
        <f>SUMIFS('Support - Transition'!F:F,'Support - Transition'!B:B,'Step 2'!A1794,'Support - Transition'!C:C,'Step 2'!B1794,'Support - Transition'!D:D,'Step 2'!C1794,'Support - Transition'!E:E,"CIVIL")</f>
        <v>1.27E-4</v>
      </c>
      <c r="H1794" s="126">
        <f>SUMIFS('Support - Transition'!F:F,'Support - Transition'!B:B,'Step 2'!A1794,'Support - Transition'!C:C,'Step 2'!B1794,'Support - Transition'!D:D,'Step 2'!C1794,'Support - Transition'!E:E,"FIRE")</f>
        <v>0</v>
      </c>
      <c r="I1794" s="126">
        <f>IF(B1794="0",SUMIFS('Support - Transition'!F:F,'Support - Transition'!J:J,'Step 2'!D1794,'Support - Transition'!E:E,"STATE UNIT"),SUMIFS('Support - Transition'!F:F,'Support - Transition'!J:J,'Step 2'!D1794))</f>
        <v>1.27E-4</v>
      </c>
      <c r="J1794" s="126">
        <f>SUMIFS('Support - Unit Adjustments'!E:E,'Support - Unit Adjustments'!F:F,'Step 2'!D1794)</f>
        <v>0</v>
      </c>
      <c r="K1794" s="126">
        <f t="shared" ref="K1794:K1857" si="536">+I1794+J1794</f>
        <v>1.27E-4</v>
      </c>
      <c r="L1794" s="174">
        <f>VLOOKUP(A1794,'Step 1'!$A:$E,4,FALSE)</f>
        <v>352394</v>
      </c>
      <c r="M1794" s="47">
        <f t="shared" ref="M1794:M1857" si="537">ROUND(+K1794*L1794,0)</f>
        <v>45</v>
      </c>
      <c r="N1794" s="177">
        <f>SUMIFS('Support - Transition'!G:G,'Support - Transition'!J:J,'Step 2'!D1794,'Support - Transition'!E:E,"2009 WELFARE ALLOCATION FACTOR")</f>
        <v>0</v>
      </c>
      <c r="O1794" s="152">
        <f t="shared" si="523"/>
        <v>0</v>
      </c>
      <c r="P1794" s="126">
        <f>IF(E1794="Y",0,SUMIFS('Support - Transition'!G:G,'Support - Transition'!J:J,'Step 2'!D1794,'Support - Transition'!E:E,"2009 SCHOOL ALLOCATION FACTOR"))</f>
        <v>0</v>
      </c>
      <c r="Q1794" s="126">
        <f>IF(E1794="Y",VLOOKUP(D1794,'Support - Unit Adjustments'!F:G,2,FALSE),0)</f>
        <v>0</v>
      </c>
      <c r="R1794" s="155">
        <f t="shared" si="535"/>
        <v>0</v>
      </c>
      <c r="S1794" s="47">
        <f t="shared" si="534"/>
        <v>0</v>
      </c>
      <c r="T1794" s="151">
        <f t="shared" ref="T1794:T1857" si="538">ROUND(+M1794-O1794-S1794,2)</f>
        <v>45</v>
      </c>
      <c r="U1794" s="151">
        <f t="shared" ref="U1794:U1857" si="539">IF(B1794="0",SUMIFS(O:O,A:A,A1794)+SUMIFS(S:S,A:A,A1794)+SUMIFS(T:T,A:A,A1794),0)</f>
        <v>0</v>
      </c>
      <c r="V1794" s="139">
        <f t="shared" ref="V1794:V1857" si="540">IF(B1794="0",U1794-L1794,0)</f>
        <v>0</v>
      </c>
      <c r="W1794" s="152">
        <f t="shared" si="524"/>
        <v>45</v>
      </c>
      <c r="X1794" s="127" t="str">
        <f t="shared" ref="X1794:X1857" si="541">IF(B1794="0",SUMIFS(O:O,A:A,A1794)+SUMIFS(S:S,A:A,A1794)+SUMIFS(W:W,A:A,A1794)-L1794,"")</f>
        <v/>
      </c>
      <c r="Y1794" s="207">
        <f t="shared" si="525"/>
        <v>45</v>
      </c>
      <c r="Z1794" s="139">
        <f t="shared" si="526"/>
        <v>45</v>
      </c>
      <c r="AA1794" s="139">
        <f t="shared" si="527"/>
        <v>0</v>
      </c>
      <c r="AC1794" s="47">
        <f t="shared" si="528"/>
        <v>23</v>
      </c>
      <c r="AD1794" s="47">
        <f t="shared" si="529"/>
        <v>23</v>
      </c>
      <c r="AE1794" s="47">
        <f t="shared" si="530"/>
        <v>0</v>
      </c>
      <c r="AG1794" s="47">
        <f t="shared" si="531"/>
        <v>22</v>
      </c>
      <c r="AH1794" s="47">
        <f t="shared" si="532"/>
        <v>22</v>
      </c>
      <c r="AI1794" s="208">
        <f t="shared" si="533"/>
        <v>0</v>
      </c>
    </row>
    <row r="1795" spans="1:35">
      <c r="A1795" t="s">
        <v>2143</v>
      </c>
      <c r="B1795" t="s">
        <v>3142</v>
      </c>
      <c r="C1795" t="s">
        <v>2193</v>
      </c>
      <c r="D1795" t="s">
        <v>5250</v>
      </c>
      <c r="F1795" t="s">
        <v>1342</v>
      </c>
      <c r="G1795" s="126">
        <f>SUMIFS('Support - Transition'!F:F,'Support - Transition'!B:B,'Step 2'!A1795,'Support - Transition'!C:C,'Step 2'!B1795,'Support - Transition'!D:D,'Step 2'!C1795,'Support - Transition'!E:E,"CIVIL")</f>
        <v>5.2800000000000004E-4</v>
      </c>
      <c r="H1795" s="126">
        <f>SUMIFS('Support - Transition'!F:F,'Support - Transition'!B:B,'Step 2'!A1795,'Support - Transition'!C:C,'Step 2'!B1795,'Support - Transition'!D:D,'Step 2'!C1795,'Support - Transition'!E:E,"FIRE")</f>
        <v>0</v>
      </c>
      <c r="I1795" s="126">
        <f>IF(B1795="0",SUMIFS('Support - Transition'!F:F,'Support - Transition'!J:J,'Step 2'!D1795,'Support - Transition'!E:E,"STATE UNIT"),SUMIFS('Support - Transition'!F:F,'Support - Transition'!J:J,'Step 2'!D1795))</f>
        <v>5.2800000000000004E-4</v>
      </c>
      <c r="J1795" s="126">
        <f>SUMIFS('Support - Unit Adjustments'!E:E,'Support - Unit Adjustments'!F:F,'Step 2'!D1795)</f>
        <v>0</v>
      </c>
      <c r="K1795" s="126">
        <f t="shared" si="536"/>
        <v>5.2800000000000004E-4</v>
      </c>
      <c r="L1795" s="174">
        <f>VLOOKUP(A1795,'Step 1'!$A:$E,4,FALSE)</f>
        <v>352394</v>
      </c>
      <c r="M1795" s="47">
        <f t="shared" si="537"/>
        <v>186</v>
      </c>
      <c r="N1795" s="177">
        <f>SUMIFS('Support - Transition'!G:G,'Support - Transition'!J:J,'Step 2'!D1795,'Support - Transition'!E:E,"2009 WELFARE ALLOCATION FACTOR")</f>
        <v>0</v>
      </c>
      <c r="O1795" s="152">
        <f t="shared" ref="O1795:O1858" si="542">ROUND(+N1795*M1795,0)</f>
        <v>0</v>
      </c>
      <c r="P1795" s="126">
        <f>IF(E1795="Y",0,SUMIFS('Support - Transition'!G:G,'Support - Transition'!J:J,'Step 2'!D1795,'Support - Transition'!E:E,"2009 SCHOOL ALLOCATION FACTOR"))</f>
        <v>0</v>
      </c>
      <c r="Q1795" s="126">
        <f>IF(E1795="Y",VLOOKUP(D1795,'Support - Unit Adjustments'!F:G,2,FALSE),0)</f>
        <v>0</v>
      </c>
      <c r="R1795" s="155">
        <f t="shared" si="535"/>
        <v>0</v>
      </c>
      <c r="S1795" s="47">
        <f t="shared" si="534"/>
        <v>0</v>
      </c>
      <c r="T1795" s="151">
        <f t="shared" si="538"/>
        <v>186</v>
      </c>
      <c r="U1795" s="151">
        <f t="shared" si="539"/>
        <v>0</v>
      </c>
      <c r="V1795" s="139">
        <f t="shared" si="540"/>
        <v>0</v>
      </c>
      <c r="W1795" s="152">
        <f t="shared" ref="W1795:W1858" si="543">+T1795-V1795</f>
        <v>186</v>
      </c>
      <c r="X1795" s="127" t="str">
        <f t="shared" si="541"/>
        <v/>
      </c>
      <c r="Y1795" s="207">
        <f t="shared" ref="Y1795:Y1858" si="544">W1795</f>
        <v>186</v>
      </c>
      <c r="Z1795" s="139">
        <f t="shared" ref="Z1795:Z1858" si="545">IFERROR(IF(B1795="2",ROUND(Y1795*G1795/I1795,0),Y1795),0)</f>
        <v>186</v>
      </c>
      <c r="AA1795" s="139">
        <f t="shared" ref="AA1795:AA1858" si="546">+Y1795-Z1795</f>
        <v>0</v>
      </c>
      <c r="AC1795" s="47">
        <f t="shared" ref="AC1795:AC1858" si="547">ROUND(Y1795/2,0)</f>
        <v>93</v>
      </c>
      <c r="AD1795" s="47">
        <f t="shared" ref="AD1795:AD1858" si="548">ROUND(Z1795/2,0)</f>
        <v>93</v>
      </c>
      <c r="AE1795" s="47">
        <f t="shared" ref="AE1795:AE1858" si="549">ROUND(AA1795/2,0)</f>
        <v>0</v>
      </c>
      <c r="AG1795" s="47">
        <f t="shared" ref="AG1795:AG1858" si="550">+Y1795-AC1795</f>
        <v>93</v>
      </c>
      <c r="AH1795" s="47">
        <f t="shared" ref="AH1795:AH1858" si="551">+Z1795-AD1795</f>
        <v>93</v>
      </c>
      <c r="AI1795" s="208">
        <f t="shared" ref="AI1795:AI1858" si="552">+AA1795-AE1795</f>
        <v>0</v>
      </c>
    </row>
    <row r="1796" spans="1:35">
      <c r="A1796" t="s">
        <v>2143</v>
      </c>
      <c r="B1796" t="s">
        <v>3142</v>
      </c>
      <c r="C1796" t="s">
        <v>2194</v>
      </c>
      <c r="D1796" t="s">
        <v>5251</v>
      </c>
      <c r="F1796" t="s">
        <v>1343</v>
      </c>
      <c r="G1796" s="126">
        <f>SUMIFS('Support - Transition'!F:F,'Support - Transition'!B:B,'Step 2'!A1796,'Support - Transition'!C:C,'Step 2'!B1796,'Support - Transition'!D:D,'Step 2'!C1796,'Support - Transition'!E:E,"CIVIL")</f>
        <v>2.2009999999999998E-3</v>
      </c>
      <c r="H1796" s="126">
        <f>SUMIFS('Support - Transition'!F:F,'Support - Transition'!B:B,'Step 2'!A1796,'Support - Transition'!C:C,'Step 2'!B1796,'Support - Transition'!D:D,'Step 2'!C1796,'Support - Transition'!E:E,"FIRE")</f>
        <v>0</v>
      </c>
      <c r="I1796" s="126">
        <f>IF(B1796="0",SUMIFS('Support - Transition'!F:F,'Support - Transition'!J:J,'Step 2'!D1796,'Support - Transition'!E:E,"STATE UNIT"),SUMIFS('Support - Transition'!F:F,'Support - Transition'!J:J,'Step 2'!D1796))</f>
        <v>2.2009999999999998E-3</v>
      </c>
      <c r="J1796" s="126">
        <f>SUMIFS('Support - Unit Adjustments'!E:E,'Support - Unit Adjustments'!F:F,'Step 2'!D1796)</f>
        <v>0</v>
      </c>
      <c r="K1796" s="126">
        <f t="shared" si="536"/>
        <v>2.2009999999999998E-3</v>
      </c>
      <c r="L1796" s="174">
        <f>VLOOKUP(A1796,'Step 1'!$A:$E,4,FALSE)</f>
        <v>352394</v>
      </c>
      <c r="M1796" s="47">
        <f t="shared" si="537"/>
        <v>776</v>
      </c>
      <c r="N1796" s="177">
        <f>SUMIFS('Support - Transition'!G:G,'Support - Transition'!J:J,'Step 2'!D1796,'Support - Transition'!E:E,"2009 WELFARE ALLOCATION FACTOR")</f>
        <v>0</v>
      </c>
      <c r="O1796" s="152">
        <f t="shared" si="542"/>
        <v>0</v>
      </c>
      <c r="P1796" s="126">
        <f>IF(E1796="Y",0,SUMIFS('Support - Transition'!G:G,'Support - Transition'!J:J,'Step 2'!D1796,'Support - Transition'!E:E,"2009 SCHOOL ALLOCATION FACTOR"))</f>
        <v>0</v>
      </c>
      <c r="Q1796" s="126">
        <f>IF(E1796="Y",VLOOKUP(D1796,'Support - Unit Adjustments'!F:G,2,FALSE),0)</f>
        <v>0</v>
      </c>
      <c r="R1796" s="155">
        <f t="shared" si="535"/>
        <v>0</v>
      </c>
      <c r="S1796" s="47">
        <f t="shared" si="534"/>
        <v>0</v>
      </c>
      <c r="T1796" s="151">
        <f t="shared" si="538"/>
        <v>776</v>
      </c>
      <c r="U1796" s="151">
        <f t="shared" si="539"/>
        <v>0</v>
      </c>
      <c r="V1796" s="139">
        <f t="shared" si="540"/>
        <v>0</v>
      </c>
      <c r="W1796" s="152">
        <f t="shared" si="543"/>
        <v>776</v>
      </c>
      <c r="X1796" s="127" t="str">
        <f t="shared" si="541"/>
        <v/>
      </c>
      <c r="Y1796" s="207">
        <f t="shared" si="544"/>
        <v>776</v>
      </c>
      <c r="Z1796" s="139">
        <f t="shared" si="545"/>
        <v>776</v>
      </c>
      <c r="AA1796" s="139">
        <f t="shared" si="546"/>
        <v>0</v>
      </c>
      <c r="AC1796" s="47">
        <f t="shared" si="547"/>
        <v>388</v>
      </c>
      <c r="AD1796" s="47">
        <f t="shared" si="548"/>
        <v>388</v>
      </c>
      <c r="AE1796" s="47">
        <f t="shared" si="549"/>
        <v>0</v>
      </c>
      <c r="AG1796" s="47">
        <f t="shared" si="550"/>
        <v>388</v>
      </c>
      <c r="AH1796" s="47">
        <f t="shared" si="551"/>
        <v>388</v>
      </c>
      <c r="AI1796" s="208">
        <f t="shared" si="552"/>
        <v>0</v>
      </c>
    </row>
    <row r="1797" spans="1:35">
      <c r="A1797" t="s">
        <v>2143</v>
      </c>
      <c r="B1797" t="s">
        <v>3142</v>
      </c>
      <c r="C1797" t="s">
        <v>2195</v>
      </c>
      <c r="D1797" t="s">
        <v>5252</v>
      </c>
      <c r="F1797" t="s">
        <v>1344</v>
      </c>
      <c r="G1797" s="126">
        <f>SUMIFS('Support - Transition'!F:F,'Support - Transition'!B:B,'Step 2'!A1797,'Support - Transition'!C:C,'Step 2'!B1797,'Support - Transition'!D:D,'Step 2'!C1797,'Support - Transition'!E:E,"CIVIL")</f>
        <v>9.41E-4</v>
      </c>
      <c r="H1797" s="126">
        <f>SUMIFS('Support - Transition'!F:F,'Support - Transition'!B:B,'Step 2'!A1797,'Support - Transition'!C:C,'Step 2'!B1797,'Support - Transition'!D:D,'Step 2'!C1797,'Support - Transition'!E:E,"FIRE")</f>
        <v>0</v>
      </c>
      <c r="I1797" s="126">
        <f>IF(B1797="0",SUMIFS('Support - Transition'!F:F,'Support - Transition'!J:J,'Step 2'!D1797,'Support - Transition'!E:E,"STATE UNIT"),SUMIFS('Support - Transition'!F:F,'Support - Transition'!J:J,'Step 2'!D1797))</f>
        <v>9.41E-4</v>
      </c>
      <c r="J1797" s="126">
        <f>SUMIFS('Support - Unit Adjustments'!E:E,'Support - Unit Adjustments'!F:F,'Step 2'!D1797)</f>
        <v>0</v>
      </c>
      <c r="K1797" s="126">
        <f t="shared" si="536"/>
        <v>9.41E-4</v>
      </c>
      <c r="L1797" s="174">
        <f>VLOOKUP(A1797,'Step 1'!$A:$E,4,FALSE)</f>
        <v>352394</v>
      </c>
      <c r="M1797" s="47">
        <f t="shared" si="537"/>
        <v>332</v>
      </c>
      <c r="N1797" s="177">
        <f>SUMIFS('Support - Transition'!G:G,'Support - Transition'!J:J,'Step 2'!D1797,'Support - Transition'!E:E,"2009 WELFARE ALLOCATION FACTOR")</f>
        <v>0</v>
      </c>
      <c r="O1797" s="152">
        <f t="shared" si="542"/>
        <v>0</v>
      </c>
      <c r="P1797" s="126">
        <f>IF(E1797="Y",0,SUMIFS('Support - Transition'!G:G,'Support - Transition'!J:J,'Step 2'!D1797,'Support - Transition'!E:E,"2009 SCHOOL ALLOCATION FACTOR"))</f>
        <v>0</v>
      </c>
      <c r="Q1797" s="126">
        <f>IF(E1797="Y",VLOOKUP(D1797,'Support - Unit Adjustments'!F:G,2,FALSE),0)</f>
        <v>0</v>
      </c>
      <c r="R1797" s="155">
        <f t="shared" si="535"/>
        <v>0</v>
      </c>
      <c r="S1797" s="47">
        <f t="shared" si="534"/>
        <v>0</v>
      </c>
      <c r="T1797" s="151">
        <f t="shared" si="538"/>
        <v>332</v>
      </c>
      <c r="U1797" s="151">
        <f t="shared" si="539"/>
        <v>0</v>
      </c>
      <c r="V1797" s="139">
        <f t="shared" si="540"/>
        <v>0</v>
      </c>
      <c r="W1797" s="152">
        <f t="shared" si="543"/>
        <v>332</v>
      </c>
      <c r="X1797" s="127" t="str">
        <f t="shared" si="541"/>
        <v/>
      </c>
      <c r="Y1797" s="207">
        <f t="shared" si="544"/>
        <v>332</v>
      </c>
      <c r="Z1797" s="139">
        <f t="shared" si="545"/>
        <v>332</v>
      </c>
      <c r="AA1797" s="139">
        <f t="shared" si="546"/>
        <v>0</v>
      </c>
      <c r="AC1797" s="47">
        <f t="shared" si="547"/>
        <v>166</v>
      </c>
      <c r="AD1797" s="47">
        <f t="shared" si="548"/>
        <v>166</v>
      </c>
      <c r="AE1797" s="47">
        <f t="shared" si="549"/>
        <v>0</v>
      </c>
      <c r="AG1797" s="47">
        <f t="shared" si="550"/>
        <v>166</v>
      </c>
      <c r="AH1797" s="47">
        <f t="shared" si="551"/>
        <v>166</v>
      </c>
      <c r="AI1797" s="208">
        <f t="shared" si="552"/>
        <v>0</v>
      </c>
    </row>
    <row r="1798" spans="1:35">
      <c r="A1798" t="s">
        <v>2143</v>
      </c>
      <c r="B1798" t="s">
        <v>3142</v>
      </c>
      <c r="C1798" t="s">
        <v>2196</v>
      </c>
      <c r="D1798" t="s">
        <v>5253</v>
      </c>
      <c r="F1798" t="s">
        <v>1345</v>
      </c>
      <c r="G1798" s="126">
        <f>SUMIFS('Support - Transition'!F:F,'Support - Transition'!B:B,'Step 2'!A1798,'Support - Transition'!C:C,'Step 2'!B1798,'Support - Transition'!D:D,'Step 2'!C1798,'Support - Transition'!E:E,"CIVIL")</f>
        <v>3.0299999999999999E-4</v>
      </c>
      <c r="H1798" s="126">
        <f>SUMIFS('Support - Transition'!F:F,'Support - Transition'!B:B,'Step 2'!A1798,'Support - Transition'!C:C,'Step 2'!B1798,'Support - Transition'!D:D,'Step 2'!C1798,'Support - Transition'!E:E,"FIRE")</f>
        <v>0</v>
      </c>
      <c r="I1798" s="126">
        <f>IF(B1798="0",SUMIFS('Support - Transition'!F:F,'Support - Transition'!J:J,'Step 2'!D1798,'Support - Transition'!E:E,"STATE UNIT"),SUMIFS('Support - Transition'!F:F,'Support - Transition'!J:J,'Step 2'!D1798))</f>
        <v>3.0299999999999999E-4</v>
      </c>
      <c r="J1798" s="126">
        <f>SUMIFS('Support - Unit Adjustments'!E:E,'Support - Unit Adjustments'!F:F,'Step 2'!D1798)</f>
        <v>0</v>
      </c>
      <c r="K1798" s="126">
        <f t="shared" si="536"/>
        <v>3.0299999999999999E-4</v>
      </c>
      <c r="L1798" s="174">
        <f>VLOOKUP(A1798,'Step 1'!$A:$E,4,FALSE)</f>
        <v>352394</v>
      </c>
      <c r="M1798" s="47">
        <f t="shared" si="537"/>
        <v>107</v>
      </c>
      <c r="N1798" s="177">
        <f>SUMIFS('Support - Transition'!G:G,'Support - Transition'!J:J,'Step 2'!D1798,'Support - Transition'!E:E,"2009 WELFARE ALLOCATION FACTOR")</f>
        <v>0</v>
      </c>
      <c r="O1798" s="152">
        <f t="shared" si="542"/>
        <v>0</v>
      </c>
      <c r="P1798" s="126">
        <f>IF(E1798="Y",0,SUMIFS('Support - Transition'!G:G,'Support - Transition'!J:J,'Step 2'!D1798,'Support - Transition'!E:E,"2009 SCHOOL ALLOCATION FACTOR"))</f>
        <v>0</v>
      </c>
      <c r="Q1798" s="126">
        <f>IF(E1798="Y",VLOOKUP(D1798,'Support - Unit Adjustments'!F:G,2,FALSE),0)</f>
        <v>0</v>
      </c>
      <c r="R1798" s="155">
        <f t="shared" si="535"/>
        <v>0</v>
      </c>
      <c r="S1798" s="47">
        <f t="shared" si="534"/>
        <v>0</v>
      </c>
      <c r="T1798" s="151">
        <f t="shared" si="538"/>
        <v>107</v>
      </c>
      <c r="U1798" s="151">
        <f t="shared" si="539"/>
        <v>0</v>
      </c>
      <c r="V1798" s="139">
        <f t="shared" si="540"/>
        <v>0</v>
      </c>
      <c r="W1798" s="152">
        <f t="shared" si="543"/>
        <v>107</v>
      </c>
      <c r="X1798" s="127" t="str">
        <f t="shared" si="541"/>
        <v/>
      </c>
      <c r="Y1798" s="207">
        <f t="shared" si="544"/>
        <v>107</v>
      </c>
      <c r="Z1798" s="139">
        <f t="shared" si="545"/>
        <v>107</v>
      </c>
      <c r="AA1798" s="139">
        <f t="shared" si="546"/>
        <v>0</v>
      </c>
      <c r="AC1798" s="47">
        <f t="shared" si="547"/>
        <v>54</v>
      </c>
      <c r="AD1798" s="47">
        <f t="shared" si="548"/>
        <v>54</v>
      </c>
      <c r="AE1798" s="47">
        <f t="shared" si="549"/>
        <v>0</v>
      </c>
      <c r="AG1798" s="47">
        <f t="shared" si="550"/>
        <v>53</v>
      </c>
      <c r="AH1798" s="47">
        <f t="shared" si="551"/>
        <v>53</v>
      </c>
      <c r="AI1798" s="208">
        <f t="shared" si="552"/>
        <v>0</v>
      </c>
    </row>
    <row r="1799" spans="1:35">
      <c r="A1799" t="s">
        <v>2143</v>
      </c>
      <c r="B1799" t="s">
        <v>3142</v>
      </c>
      <c r="C1799" t="s">
        <v>2197</v>
      </c>
      <c r="D1799" t="s">
        <v>5254</v>
      </c>
      <c r="F1799" t="s">
        <v>1346</v>
      </c>
      <c r="G1799" s="126">
        <f>SUMIFS('Support - Transition'!F:F,'Support - Transition'!B:B,'Step 2'!A1799,'Support - Transition'!C:C,'Step 2'!B1799,'Support - Transition'!D:D,'Step 2'!C1799,'Support - Transition'!E:E,"CIVIL")</f>
        <v>4.2400000000000001E-4</v>
      </c>
      <c r="H1799" s="126">
        <f>SUMIFS('Support - Transition'!F:F,'Support - Transition'!B:B,'Step 2'!A1799,'Support - Transition'!C:C,'Step 2'!B1799,'Support - Transition'!D:D,'Step 2'!C1799,'Support - Transition'!E:E,"FIRE")</f>
        <v>0</v>
      </c>
      <c r="I1799" s="126">
        <f>IF(B1799="0",SUMIFS('Support - Transition'!F:F,'Support - Transition'!J:J,'Step 2'!D1799,'Support - Transition'!E:E,"STATE UNIT"),SUMIFS('Support - Transition'!F:F,'Support - Transition'!J:J,'Step 2'!D1799))</f>
        <v>4.2400000000000001E-4</v>
      </c>
      <c r="J1799" s="126">
        <f>SUMIFS('Support - Unit Adjustments'!E:E,'Support - Unit Adjustments'!F:F,'Step 2'!D1799)</f>
        <v>0</v>
      </c>
      <c r="K1799" s="126">
        <f t="shared" si="536"/>
        <v>4.2400000000000001E-4</v>
      </c>
      <c r="L1799" s="174">
        <f>VLOOKUP(A1799,'Step 1'!$A:$E,4,FALSE)</f>
        <v>352394</v>
      </c>
      <c r="M1799" s="47">
        <f t="shared" si="537"/>
        <v>149</v>
      </c>
      <c r="N1799" s="177">
        <f>SUMIFS('Support - Transition'!G:G,'Support - Transition'!J:J,'Step 2'!D1799,'Support - Transition'!E:E,"2009 WELFARE ALLOCATION FACTOR")</f>
        <v>0</v>
      </c>
      <c r="O1799" s="152">
        <f t="shared" si="542"/>
        <v>0</v>
      </c>
      <c r="P1799" s="126">
        <f>IF(E1799="Y",0,SUMIFS('Support - Transition'!G:G,'Support - Transition'!J:J,'Step 2'!D1799,'Support - Transition'!E:E,"2009 SCHOOL ALLOCATION FACTOR"))</f>
        <v>0</v>
      </c>
      <c r="Q1799" s="126">
        <f>IF(E1799="Y",VLOOKUP(D1799,'Support - Unit Adjustments'!F:G,2,FALSE),0)</f>
        <v>0</v>
      </c>
      <c r="R1799" s="155">
        <f t="shared" si="535"/>
        <v>0</v>
      </c>
      <c r="S1799" s="47">
        <f t="shared" si="534"/>
        <v>0</v>
      </c>
      <c r="T1799" s="151">
        <f t="shared" si="538"/>
        <v>149</v>
      </c>
      <c r="U1799" s="151">
        <f t="shared" si="539"/>
        <v>0</v>
      </c>
      <c r="V1799" s="139">
        <f t="shared" si="540"/>
        <v>0</v>
      </c>
      <c r="W1799" s="152">
        <f t="shared" si="543"/>
        <v>149</v>
      </c>
      <c r="X1799" s="127" t="str">
        <f t="shared" si="541"/>
        <v/>
      </c>
      <c r="Y1799" s="207">
        <f t="shared" si="544"/>
        <v>149</v>
      </c>
      <c r="Z1799" s="139">
        <f t="shared" si="545"/>
        <v>149</v>
      </c>
      <c r="AA1799" s="139">
        <f t="shared" si="546"/>
        <v>0</v>
      </c>
      <c r="AC1799" s="47">
        <f t="shared" si="547"/>
        <v>75</v>
      </c>
      <c r="AD1799" s="47">
        <f t="shared" si="548"/>
        <v>75</v>
      </c>
      <c r="AE1799" s="47">
        <f t="shared" si="549"/>
        <v>0</v>
      </c>
      <c r="AG1799" s="47">
        <f t="shared" si="550"/>
        <v>74</v>
      </c>
      <c r="AH1799" s="47">
        <f t="shared" si="551"/>
        <v>74</v>
      </c>
      <c r="AI1799" s="208">
        <f t="shared" si="552"/>
        <v>0</v>
      </c>
    </row>
    <row r="1800" spans="1:35">
      <c r="A1800" t="s">
        <v>2143</v>
      </c>
      <c r="B1800" t="s">
        <v>3155</v>
      </c>
      <c r="C1800" t="s">
        <v>2736</v>
      </c>
      <c r="D1800" t="s">
        <v>5255</v>
      </c>
      <c r="F1800" t="s">
        <v>1347</v>
      </c>
      <c r="G1800" s="126">
        <f>SUMIFS('Support - Transition'!F:F,'Support - Transition'!B:B,'Step 2'!A1800,'Support - Transition'!C:C,'Step 2'!B1800,'Support - Transition'!D:D,'Step 2'!C1800,'Support - Transition'!E:E,"CIVIL")</f>
        <v>0</v>
      </c>
      <c r="H1800" s="126">
        <f>SUMIFS('Support - Transition'!F:F,'Support - Transition'!B:B,'Step 2'!A1800,'Support - Transition'!C:C,'Step 2'!B1800,'Support - Transition'!D:D,'Step 2'!C1800,'Support - Transition'!E:E,"FIRE")</f>
        <v>0</v>
      </c>
      <c r="I1800" s="126">
        <f>IF(B1800="0",SUMIFS('Support - Transition'!F:F,'Support - Transition'!J:J,'Step 2'!D1800,'Support - Transition'!E:E,"STATE UNIT"),SUMIFS('Support - Transition'!F:F,'Support - Transition'!J:J,'Step 2'!D1800))</f>
        <v>3.264E-3</v>
      </c>
      <c r="J1800" s="126">
        <f>SUMIFS('Support - Unit Adjustments'!E:E,'Support - Unit Adjustments'!F:F,'Step 2'!D1800)</f>
        <v>0</v>
      </c>
      <c r="K1800" s="126">
        <f t="shared" si="536"/>
        <v>3.264E-3</v>
      </c>
      <c r="L1800" s="174">
        <f>VLOOKUP(A1800,'Step 1'!$A:$E,4,FALSE)</f>
        <v>352394</v>
      </c>
      <c r="M1800" s="47">
        <f t="shared" si="537"/>
        <v>1150</v>
      </c>
      <c r="N1800" s="177">
        <f>SUMIFS('Support - Transition'!G:G,'Support - Transition'!J:J,'Step 2'!D1800,'Support - Transition'!E:E,"2009 WELFARE ALLOCATION FACTOR")</f>
        <v>0</v>
      </c>
      <c r="O1800" s="152">
        <f t="shared" si="542"/>
        <v>0</v>
      </c>
      <c r="P1800" s="126">
        <f>IF(E1800="Y",0,SUMIFS('Support - Transition'!G:G,'Support - Transition'!J:J,'Step 2'!D1800,'Support - Transition'!E:E,"2009 SCHOOL ALLOCATION FACTOR"))</f>
        <v>0</v>
      </c>
      <c r="Q1800" s="126">
        <f>IF(E1800="Y",VLOOKUP(D1800,'Support - Unit Adjustments'!F:G,2,FALSE),0)</f>
        <v>0</v>
      </c>
      <c r="R1800" s="155">
        <f t="shared" si="535"/>
        <v>0</v>
      </c>
      <c r="S1800" s="47">
        <f t="shared" ref="S1800:S1863" si="553">ROUND(+R1800*M1800,0)</f>
        <v>0</v>
      </c>
      <c r="T1800" s="151">
        <f t="shared" si="538"/>
        <v>1150</v>
      </c>
      <c r="U1800" s="151">
        <f t="shared" si="539"/>
        <v>0</v>
      </c>
      <c r="V1800" s="139">
        <f t="shared" si="540"/>
        <v>0</v>
      </c>
      <c r="W1800" s="152">
        <f t="shared" si="543"/>
        <v>1150</v>
      </c>
      <c r="X1800" s="127" t="str">
        <f t="shared" si="541"/>
        <v/>
      </c>
      <c r="Y1800" s="207">
        <f t="shared" si="544"/>
        <v>1150</v>
      </c>
      <c r="Z1800" s="139">
        <f t="shared" si="545"/>
        <v>1150</v>
      </c>
      <c r="AA1800" s="139">
        <f t="shared" si="546"/>
        <v>0</v>
      </c>
      <c r="AC1800" s="47">
        <f t="shared" si="547"/>
        <v>575</v>
      </c>
      <c r="AD1800" s="47">
        <f t="shared" si="548"/>
        <v>575</v>
      </c>
      <c r="AE1800" s="47">
        <f t="shared" si="549"/>
        <v>0</v>
      </c>
      <c r="AG1800" s="47">
        <f t="shared" si="550"/>
        <v>575</v>
      </c>
      <c r="AH1800" s="47">
        <f t="shared" si="551"/>
        <v>575</v>
      </c>
      <c r="AI1800" s="208">
        <f t="shared" si="552"/>
        <v>0</v>
      </c>
    </row>
    <row r="1801" spans="1:35">
      <c r="A1801" t="s">
        <v>2143</v>
      </c>
      <c r="B1801" t="s">
        <v>3155</v>
      </c>
      <c r="C1801" t="s">
        <v>2737</v>
      </c>
      <c r="D1801" t="s">
        <v>5256</v>
      </c>
      <c r="F1801" t="s">
        <v>1348</v>
      </c>
      <c r="G1801" s="126">
        <f>SUMIFS('Support - Transition'!F:F,'Support - Transition'!B:B,'Step 2'!A1801,'Support - Transition'!C:C,'Step 2'!B1801,'Support - Transition'!D:D,'Step 2'!C1801,'Support - Transition'!E:E,"CIVIL")</f>
        <v>0</v>
      </c>
      <c r="H1801" s="126">
        <f>SUMIFS('Support - Transition'!F:F,'Support - Transition'!B:B,'Step 2'!A1801,'Support - Transition'!C:C,'Step 2'!B1801,'Support - Transition'!D:D,'Step 2'!C1801,'Support - Transition'!E:E,"FIRE")</f>
        <v>0</v>
      </c>
      <c r="I1801" s="126">
        <f>IF(B1801="0",SUMIFS('Support - Transition'!F:F,'Support - Transition'!J:J,'Step 2'!D1801,'Support - Transition'!E:E,"STATE UNIT"),SUMIFS('Support - Transition'!F:F,'Support - Transition'!J:J,'Step 2'!D1801))</f>
        <v>3.2008000000000002E-2</v>
      </c>
      <c r="J1801" s="126">
        <f>SUMIFS('Support - Unit Adjustments'!E:E,'Support - Unit Adjustments'!F:F,'Step 2'!D1801)</f>
        <v>0</v>
      </c>
      <c r="K1801" s="126">
        <f t="shared" si="536"/>
        <v>3.2008000000000002E-2</v>
      </c>
      <c r="L1801" s="174">
        <f>VLOOKUP(A1801,'Step 1'!$A:$E,4,FALSE)</f>
        <v>352394</v>
      </c>
      <c r="M1801" s="47">
        <f t="shared" si="537"/>
        <v>11279</v>
      </c>
      <c r="N1801" s="177">
        <f>SUMIFS('Support - Transition'!G:G,'Support - Transition'!J:J,'Step 2'!D1801,'Support - Transition'!E:E,"2009 WELFARE ALLOCATION FACTOR")</f>
        <v>0</v>
      </c>
      <c r="O1801" s="152">
        <f t="shared" si="542"/>
        <v>0</v>
      </c>
      <c r="P1801" s="126">
        <f>IF(E1801="Y",0,SUMIFS('Support - Transition'!G:G,'Support - Transition'!J:J,'Step 2'!D1801,'Support - Transition'!E:E,"2009 SCHOOL ALLOCATION FACTOR"))</f>
        <v>0</v>
      </c>
      <c r="Q1801" s="126">
        <f>IF(E1801="Y",VLOOKUP(D1801,'Support - Unit Adjustments'!F:G,2,FALSE),0)</f>
        <v>0</v>
      </c>
      <c r="R1801" s="155">
        <f t="shared" ref="R1801:R1864" si="554">+P1801+Q1801</f>
        <v>0</v>
      </c>
      <c r="S1801" s="47">
        <f t="shared" si="553"/>
        <v>0</v>
      </c>
      <c r="T1801" s="151">
        <f t="shared" si="538"/>
        <v>11279</v>
      </c>
      <c r="U1801" s="151">
        <f t="shared" si="539"/>
        <v>0</v>
      </c>
      <c r="V1801" s="139">
        <f t="shared" si="540"/>
        <v>0</v>
      </c>
      <c r="W1801" s="152">
        <f t="shared" si="543"/>
        <v>11279</v>
      </c>
      <c r="X1801" s="127" t="str">
        <f t="shared" si="541"/>
        <v/>
      </c>
      <c r="Y1801" s="207">
        <f t="shared" si="544"/>
        <v>11279</v>
      </c>
      <c r="Z1801" s="139">
        <f t="shared" si="545"/>
        <v>11279</v>
      </c>
      <c r="AA1801" s="139">
        <f t="shared" si="546"/>
        <v>0</v>
      </c>
      <c r="AC1801" s="47">
        <f t="shared" si="547"/>
        <v>5640</v>
      </c>
      <c r="AD1801" s="47">
        <f t="shared" si="548"/>
        <v>5640</v>
      </c>
      <c r="AE1801" s="47">
        <f t="shared" si="549"/>
        <v>0</v>
      </c>
      <c r="AG1801" s="47">
        <f t="shared" si="550"/>
        <v>5639</v>
      </c>
      <c r="AH1801" s="47">
        <f t="shared" si="551"/>
        <v>5639</v>
      </c>
      <c r="AI1801" s="208">
        <f t="shared" si="552"/>
        <v>0</v>
      </c>
    </row>
    <row r="1802" spans="1:35">
      <c r="A1802" t="s">
        <v>2143</v>
      </c>
      <c r="B1802" t="s">
        <v>3155</v>
      </c>
      <c r="C1802" t="s">
        <v>2738</v>
      </c>
      <c r="D1802" t="s">
        <v>5257</v>
      </c>
      <c r="F1802" t="s">
        <v>1349</v>
      </c>
      <c r="G1802" s="126">
        <f>SUMIFS('Support - Transition'!F:F,'Support - Transition'!B:B,'Step 2'!A1802,'Support - Transition'!C:C,'Step 2'!B1802,'Support - Transition'!D:D,'Step 2'!C1802,'Support - Transition'!E:E,"CIVIL")</f>
        <v>0</v>
      </c>
      <c r="H1802" s="126">
        <f>SUMIFS('Support - Transition'!F:F,'Support - Transition'!B:B,'Step 2'!A1802,'Support - Transition'!C:C,'Step 2'!B1802,'Support - Transition'!D:D,'Step 2'!C1802,'Support - Transition'!E:E,"FIRE")</f>
        <v>0</v>
      </c>
      <c r="I1802" s="126">
        <f>IF(B1802="0",SUMIFS('Support - Transition'!F:F,'Support - Transition'!J:J,'Step 2'!D1802,'Support - Transition'!E:E,"STATE UNIT"),SUMIFS('Support - Transition'!F:F,'Support - Transition'!J:J,'Step 2'!D1802))</f>
        <v>1.4107E-2</v>
      </c>
      <c r="J1802" s="126">
        <f>SUMIFS('Support - Unit Adjustments'!E:E,'Support - Unit Adjustments'!F:F,'Step 2'!D1802)</f>
        <v>0</v>
      </c>
      <c r="K1802" s="126">
        <f t="shared" si="536"/>
        <v>1.4107E-2</v>
      </c>
      <c r="L1802" s="174">
        <f>VLOOKUP(A1802,'Step 1'!$A:$E,4,FALSE)</f>
        <v>352394</v>
      </c>
      <c r="M1802" s="47">
        <f t="shared" si="537"/>
        <v>4971</v>
      </c>
      <c r="N1802" s="177">
        <f>SUMIFS('Support - Transition'!G:G,'Support - Transition'!J:J,'Step 2'!D1802,'Support - Transition'!E:E,"2009 WELFARE ALLOCATION FACTOR")</f>
        <v>0</v>
      </c>
      <c r="O1802" s="152">
        <f t="shared" si="542"/>
        <v>0</v>
      </c>
      <c r="P1802" s="126">
        <f>IF(E1802="Y",0,SUMIFS('Support - Transition'!G:G,'Support - Transition'!J:J,'Step 2'!D1802,'Support - Transition'!E:E,"2009 SCHOOL ALLOCATION FACTOR"))</f>
        <v>0</v>
      </c>
      <c r="Q1802" s="126">
        <f>IF(E1802="Y",VLOOKUP(D1802,'Support - Unit Adjustments'!F:G,2,FALSE),0)</f>
        <v>0</v>
      </c>
      <c r="R1802" s="155">
        <f t="shared" si="554"/>
        <v>0</v>
      </c>
      <c r="S1802" s="47">
        <f t="shared" si="553"/>
        <v>0</v>
      </c>
      <c r="T1802" s="151">
        <f t="shared" si="538"/>
        <v>4971</v>
      </c>
      <c r="U1802" s="151">
        <f t="shared" si="539"/>
        <v>0</v>
      </c>
      <c r="V1802" s="139">
        <f t="shared" si="540"/>
        <v>0</v>
      </c>
      <c r="W1802" s="152">
        <f t="shared" si="543"/>
        <v>4971</v>
      </c>
      <c r="X1802" s="127" t="str">
        <f t="shared" si="541"/>
        <v/>
      </c>
      <c r="Y1802" s="207">
        <f t="shared" si="544"/>
        <v>4971</v>
      </c>
      <c r="Z1802" s="139">
        <f t="shared" si="545"/>
        <v>4971</v>
      </c>
      <c r="AA1802" s="139">
        <f t="shared" si="546"/>
        <v>0</v>
      </c>
      <c r="AC1802" s="47">
        <f t="shared" si="547"/>
        <v>2486</v>
      </c>
      <c r="AD1802" s="47">
        <f t="shared" si="548"/>
        <v>2486</v>
      </c>
      <c r="AE1802" s="47">
        <f t="shared" si="549"/>
        <v>0</v>
      </c>
      <c r="AG1802" s="47">
        <f t="shared" si="550"/>
        <v>2485</v>
      </c>
      <c r="AH1802" s="47">
        <f t="shared" si="551"/>
        <v>2485</v>
      </c>
      <c r="AI1802" s="208">
        <f t="shared" si="552"/>
        <v>0</v>
      </c>
    </row>
    <row r="1803" spans="1:35">
      <c r="A1803" t="s">
        <v>2143</v>
      </c>
      <c r="B1803" t="s">
        <v>3155</v>
      </c>
      <c r="C1803" t="s">
        <v>2285</v>
      </c>
      <c r="D1803" t="s">
        <v>5258</v>
      </c>
      <c r="F1803" t="s">
        <v>1350</v>
      </c>
      <c r="G1803" s="126">
        <f>SUMIFS('Support - Transition'!F:F,'Support - Transition'!B:B,'Step 2'!A1803,'Support - Transition'!C:C,'Step 2'!B1803,'Support - Transition'!D:D,'Step 2'!C1803,'Support - Transition'!E:E,"CIVIL")</f>
        <v>0</v>
      </c>
      <c r="H1803" s="126">
        <f>SUMIFS('Support - Transition'!F:F,'Support - Transition'!B:B,'Step 2'!A1803,'Support - Transition'!C:C,'Step 2'!B1803,'Support - Transition'!D:D,'Step 2'!C1803,'Support - Transition'!E:E,"FIRE")</f>
        <v>0</v>
      </c>
      <c r="I1803" s="126">
        <f>IF(B1803="0",SUMIFS('Support - Transition'!F:F,'Support - Transition'!J:J,'Step 2'!D1803,'Support - Transition'!E:E,"STATE UNIT"),SUMIFS('Support - Transition'!F:F,'Support - Transition'!J:J,'Step 2'!D1803))</f>
        <v>3.8839999999999999E-3</v>
      </c>
      <c r="J1803" s="126">
        <f>SUMIFS('Support - Unit Adjustments'!E:E,'Support - Unit Adjustments'!F:F,'Step 2'!D1803)</f>
        <v>0</v>
      </c>
      <c r="K1803" s="126">
        <f t="shared" si="536"/>
        <v>3.8839999999999999E-3</v>
      </c>
      <c r="L1803" s="174">
        <f>VLOOKUP(A1803,'Step 1'!$A:$E,4,FALSE)</f>
        <v>352394</v>
      </c>
      <c r="M1803" s="47">
        <f t="shared" si="537"/>
        <v>1369</v>
      </c>
      <c r="N1803" s="177">
        <f>SUMIFS('Support - Transition'!G:G,'Support - Transition'!J:J,'Step 2'!D1803,'Support - Transition'!E:E,"2009 WELFARE ALLOCATION FACTOR")</f>
        <v>0</v>
      </c>
      <c r="O1803" s="152">
        <f t="shared" si="542"/>
        <v>0</v>
      </c>
      <c r="P1803" s="126">
        <f>IF(E1803="Y",0,SUMIFS('Support - Transition'!G:G,'Support - Transition'!J:J,'Step 2'!D1803,'Support - Transition'!E:E,"2009 SCHOOL ALLOCATION FACTOR"))</f>
        <v>0</v>
      </c>
      <c r="Q1803" s="126">
        <f>IF(E1803="Y",VLOOKUP(D1803,'Support - Unit Adjustments'!F:G,2,FALSE),0)</f>
        <v>0</v>
      </c>
      <c r="R1803" s="155">
        <f t="shared" si="554"/>
        <v>0</v>
      </c>
      <c r="S1803" s="47">
        <f t="shared" si="553"/>
        <v>0</v>
      </c>
      <c r="T1803" s="151">
        <f t="shared" si="538"/>
        <v>1369</v>
      </c>
      <c r="U1803" s="151">
        <f t="shared" si="539"/>
        <v>0</v>
      </c>
      <c r="V1803" s="139">
        <f t="shared" si="540"/>
        <v>0</v>
      </c>
      <c r="W1803" s="152">
        <f t="shared" si="543"/>
        <v>1369</v>
      </c>
      <c r="X1803" s="127" t="str">
        <f t="shared" si="541"/>
        <v/>
      </c>
      <c r="Y1803" s="207">
        <f t="shared" si="544"/>
        <v>1369</v>
      </c>
      <c r="Z1803" s="139">
        <f t="shared" si="545"/>
        <v>1369</v>
      </c>
      <c r="AA1803" s="139">
        <f t="shared" si="546"/>
        <v>0</v>
      </c>
      <c r="AC1803" s="47">
        <f t="shared" si="547"/>
        <v>685</v>
      </c>
      <c r="AD1803" s="47">
        <f t="shared" si="548"/>
        <v>685</v>
      </c>
      <c r="AE1803" s="47">
        <f t="shared" si="549"/>
        <v>0</v>
      </c>
      <c r="AG1803" s="47">
        <f t="shared" si="550"/>
        <v>684</v>
      </c>
      <c r="AH1803" s="47">
        <f t="shared" si="551"/>
        <v>684</v>
      </c>
      <c r="AI1803" s="208">
        <f t="shared" si="552"/>
        <v>0</v>
      </c>
    </row>
    <row r="1804" spans="1:35">
      <c r="A1804" t="s">
        <v>2143</v>
      </c>
      <c r="B1804" t="s">
        <v>3160</v>
      </c>
      <c r="C1804" t="s">
        <v>2897</v>
      </c>
      <c r="D1804" t="s">
        <v>5259</v>
      </c>
      <c r="F1804" t="s">
        <v>1351</v>
      </c>
      <c r="G1804" s="126">
        <f>SUMIFS('Support - Transition'!F:F,'Support - Transition'!B:B,'Step 2'!A1804,'Support - Transition'!C:C,'Step 2'!B1804,'Support - Transition'!D:D,'Step 2'!C1804,'Support - Transition'!E:E,"CIVIL")</f>
        <v>0</v>
      </c>
      <c r="H1804" s="126">
        <f>SUMIFS('Support - Transition'!F:F,'Support - Transition'!B:B,'Step 2'!A1804,'Support - Transition'!C:C,'Step 2'!B1804,'Support - Transition'!D:D,'Step 2'!C1804,'Support - Transition'!E:E,"FIRE")</f>
        <v>0</v>
      </c>
      <c r="I1804" s="126">
        <f>IF(B1804="0",SUMIFS('Support - Transition'!F:F,'Support - Transition'!J:J,'Step 2'!D1804,'Support - Transition'!E:E,"STATE UNIT"),SUMIFS('Support - Transition'!F:F,'Support - Transition'!J:J,'Step 2'!D1804))</f>
        <v>0.41665799999999997</v>
      </c>
      <c r="J1804" s="126">
        <f>SUMIFS('Support - Unit Adjustments'!E:E,'Support - Unit Adjustments'!F:F,'Step 2'!D1804)</f>
        <v>0</v>
      </c>
      <c r="K1804" s="126">
        <f t="shared" si="536"/>
        <v>0.41665799999999997</v>
      </c>
      <c r="L1804" s="174">
        <f>VLOOKUP(A1804,'Step 1'!$A:$E,4,FALSE)</f>
        <v>352394</v>
      </c>
      <c r="M1804" s="47">
        <f t="shared" si="537"/>
        <v>146828</v>
      </c>
      <c r="N1804" s="177">
        <f>SUMIFS('Support - Transition'!G:G,'Support - Transition'!J:J,'Step 2'!D1804,'Support - Transition'!E:E,"2009 WELFARE ALLOCATION FACTOR")</f>
        <v>0</v>
      </c>
      <c r="O1804" s="152">
        <f t="shared" si="542"/>
        <v>0</v>
      </c>
      <c r="P1804" s="126">
        <f>IF(E1804="Y",0,SUMIFS('Support - Transition'!G:G,'Support - Transition'!J:J,'Step 2'!D1804,'Support - Transition'!E:E,"2009 SCHOOL ALLOCATION FACTOR"))</f>
        <v>0.36108800000000002</v>
      </c>
      <c r="Q1804" s="126">
        <f>IF(E1804="Y",VLOOKUP(D1804,'Support - Unit Adjustments'!F:G,2,FALSE),0)</f>
        <v>0</v>
      </c>
      <c r="R1804" s="155">
        <f t="shared" si="554"/>
        <v>0.36108800000000002</v>
      </c>
      <c r="S1804" s="47">
        <f t="shared" si="553"/>
        <v>53018</v>
      </c>
      <c r="T1804" s="151">
        <f t="shared" si="538"/>
        <v>93810</v>
      </c>
      <c r="U1804" s="151">
        <f t="shared" si="539"/>
        <v>0</v>
      </c>
      <c r="V1804" s="139">
        <f t="shared" si="540"/>
        <v>0</v>
      </c>
      <c r="W1804" s="152">
        <f t="shared" si="543"/>
        <v>93810</v>
      </c>
      <c r="X1804" s="127" t="str">
        <f t="shared" si="541"/>
        <v/>
      </c>
      <c r="Y1804" s="207">
        <f t="shared" si="544"/>
        <v>93810</v>
      </c>
      <c r="Z1804" s="139">
        <f t="shared" si="545"/>
        <v>93810</v>
      </c>
      <c r="AA1804" s="139">
        <f t="shared" si="546"/>
        <v>0</v>
      </c>
      <c r="AC1804" s="47">
        <f t="shared" si="547"/>
        <v>46905</v>
      </c>
      <c r="AD1804" s="47">
        <f t="shared" si="548"/>
        <v>46905</v>
      </c>
      <c r="AE1804" s="47">
        <f t="shared" si="549"/>
        <v>0</v>
      </c>
      <c r="AG1804" s="47">
        <f t="shared" si="550"/>
        <v>46905</v>
      </c>
      <c r="AH1804" s="47">
        <f t="shared" si="551"/>
        <v>46905</v>
      </c>
      <c r="AI1804" s="208">
        <f t="shared" si="552"/>
        <v>0</v>
      </c>
    </row>
    <row r="1805" spans="1:35">
      <c r="A1805" t="s">
        <v>2143</v>
      </c>
      <c r="B1805" t="s">
        <v>3160</v>
      </c>
      <c r="C1805" t="s">
        <v>2898</v>
      </c>
      <c r="D1805" t="s">
        <v>5260</v>
      </c>
      <c r="F1805" t="s">
        <v>1352</v>
      </c>
      <c r="G1805" s="126">
        <f>SUMIFS('Support - Transition'!F:F,'Support - Transition'!B:B,'Step 2'!A1805,'Support - Transition'!C:C,'Step 2'!B1805,'Support - Transition'!D:D,'Step 2'!C1805,'Support - Transition'!E:E,"CIVIL")</f>
        <v>0</v>
      </c>
      <c r="H1805" s="126">
        <f>SUMIFS('Support - Transition'!F:F,'Support - Transition'!B:B,'Step 2'!A1805,'Support - Transition'!C:C,'Step 2'!B1805,'Support - Transition'!D:D,'Step 2'!C1805,'Support - Transition'!E:E,"FIRE")</f>
        <v>0</v>
      </c>
      <c r="I1805" s="126">
        <f>IF(B1805="0",SUMIFS('Support - Transition'!F:F,'Support - Transition'!J:J,'Step 2'!D1805,'Support - Transition'!E:E,"STATE UNIT"),SUMIFS('Support - Transition'!F:F,'Support - Transition'!J:J,'Step 2'!D1805))</f>
        <v>0.18687500000000001</v>
      </c>
      <c r="J1805" s="126">
        <f>SUMIFS('Support - Unit Adjustments'!E:E,'Support - Unit Adjustments'!F:F,'Step 2'!D1805)</f>
        <v>0</v>
      </c>
      <c r="K1805" s="126">
        <f t="shared" si="536"/>
        <v>0.18687500000000001</v>
      </c>
      <c r="L1805" s="174">
        <f>VLOOKUP(A1805,'Step 1'!$A:$E,4,FALSE)</f>
        <v>352394</v>
      </c>
      <c r="M1805" s="47">
        <f t="shared" si="537"/>
        <v>65854</v>
      </c>
      <c r="N1805" s="177">
        <f>SUMIFS('Support - Transition'!G:G,'Support - Transition'!J:J,'Step 2'!D1805,'Support - Transition'!E:E,"2009 WELFARE ALLOCATION FACTOR")</f>
        <v>0</v>
      </c>
      <c r="O1805" s="152">
        <f t="shared" si="542"/>
        <v>0</v>
      </c>
      <c r="P1805" s="126">
        <f>IF(E1805="Y",0,SUMIFS('Support - Transition'!G:G,'Support - Transition'!J:J,'Step 2'!D1805,'Support - Transition'!E:E,"2009 SCHOOL ALLOCATION FACTOR"))</f>
        <v>0.47829500000000003</v>
      </c>
      <c r="Q1805" s="126">
        <f>IF(E1805="Y",VLOOKUP(D1805,'Support - Unit Adjustments'!F:G,2,FALSE),0)</f>
        <v>0</v>
      </c>
      <c r="R1805" s="155">
        <f t="shared" si="554"/>
        <v>0.47829500000000003</v>
      </c>
      <c r="S1805" s="47">
        <f t="shared" si="553"/>
        <v>31498</v>
      </c>
      <c r="T1805" s="151">
        <f t="shared" si="538"/>
        <v>34356</v>
      </c>
      <c r="U1805" s="151">
        <f t="shared" si="539"/>
        <v>0</v>
      </c>
      <c r="V1805" s="139">
        <f t="shared" si="540"/>
        <v>0</v>
      </c>
      <c r="W1805" s="152">
        <f t="shared" si="543"/>
        <v>34356</v>
      </c>
      <c r="X1805" s="127" t="str">
        <f t="shared" si="541"/>
        <v/>
      </c>
      <c r="Y1805" s="207">
        <f t="shared" si="544"/>
        <v>34356</v>
      </c>
      <c r="Z1805" s="139">
        <f t="shared" si="545"/>
        <v>34356</v>
      </c>
      <c r="AA1805" s="139">
        <f t="shared" si="546"/>
        <v>0</v>
      </c>
      <c r="AC1805" s="47">
        <f t="shared" si="547"/>
        <v>17178</v>
      </c>
      <c r="AD1805" s="47">
        <f t="shared" si="548"/>
        <v>17178</v>
      </c>
      <c r="AE1805" s="47">
        <f t="shared" si="549"/>
        <v>0</v>
      </c>
      <c r="AG1805" s="47">
        <f t="shared" si="550"/>
        <v>17178</v>
      </c>
      <c r="AH1805" s="47">
        <f t="shared" si="551"/>
        <v>17178</v>
      </c>
      <c r="AI1805" s="208">
        <f t="shared" si="552"/>
        <v>0</v>
      </c>
    </row>
    <row r="1806" spans="1:35">
      <c r="A1806" t="s">
        <v>2143</v>
      </c>
      <c r="B1806" t="s">
        <v>3160</v>
      </c>
      <c r="C1806" t="s">
        <v>2899</v>
      </c>
      <c r="D1806" t="s">
        <v>5261</v>
      </c>
      <c r="F1806" t="s">
        <v>5262</v>
      </c>
      <c r="G1806" s="126">
        <f>SUMIFS('Support - Transition'!F:F,'Support - Transition'!B:B,'Step 2'!A1806,'Support - Transition'!C:C,'Step 2'!B1806,'Support - Transition'!D:D,'Step 2'!C1806,'Support - Transition'!E:E,"CIVIL")</f>
        <v>0</v>
      </c>
      <c r="H1806" s="126">
        <f>SUMIFS('Support - Transition'!F:F,'Support - Transition'!B:B,'Step 2'!A1806,'Support - Transition'!C:C,'Step 2'!B1806,'Support - Transition'!D:D,'Step 2'!C1806,'Support - Transition'!E:E,"FIRE")</f>
        <v>0</v>
      </c>
      <c r="I1806" s="126">
        <f>IF(B1806="0",SUMIFS('Support - Transition'!F:F,'Support - Transition'!J:J,'Step 2'!D1806,'Support - Transition'!E:E,"STATE UNIT"),SUMIFS('Support - Transition'!F:F,'Support - Transition'!J:J,'Step 2'!D1806))</f>
        <v>8.4295999999999996E-2</v>
      </c>
      <c r="J1806" s="126">
        <f>SUMIFS('Support - Unit Adjustments'!E:E,'Support - Unit Adjustments'!F:F,'Step 2'!D1806)</f>
        <v>0</v>
      </c>
      <c r="K1806" s="126">
        <f t="shared" si="536"/>
        <v>8.4295999999999996E-2</v>
      </c>
      <c r="L1806" s="174">
        <f>VLOOKUP(A1806,'Step 1'!$A:$E,4,FALSE)</f>
        <v>352394</v>
      </c>
      <c r="M1806" s="47">
        <f t="shared" si="537"/>
        <v>29705</v>
      </c>
      <c r="N1806" s="177">
        <f>SUMIFS('Support - Transition'!G:G,'Support - Transition'!J:J,'Step 2'!D1806,'Support - Transition'!E:E,"2009 WELFARE ALLOCATION FACTOR")</f>
        <v>0</v>
      </c>
      <c r="O1806" s="152">
        <f t="shared" si="542"/>
        <v>0</v>
      </c>
      <c r="P1806" s="126">
        <f>IF(E1806="Y",0,SUMIFS('Support - Transition'!G:G,'Support - Transition'!J:J,'Step 2'!D1806,'Support - Transition'!E:E,"2009 SCHOOL ALLOCATION FACTOR"))</f>
        <v>0.38762000000000002</v>
      </c>
      <c r="Q1806" s="126">
        <f>IF(E1806="Y",VLOOKUP(D1806,'Support - Unit Adjustments'!F:G,2,FALSE),0)</f>
        <v>0</v>
      </c>
      <c r="R1806" s="155">
        <f t="shared" si="554"/>
        <v>0.38762000000000002</v>
      </c>
      <c r="S1806" s="47">
        <f t="shared" si="553"/>
        <v>11514</v>
      </c>
      <c r="T1806" s="151">
        <f t="shared" si="538"/>
        <v>18191</v>
      </c>
      <c r="U1806" s="151">
        <f t="shared" si="539"/>
        <v>0</v>
      </c>
      <c r="V1806" s="139">
        <f t="shared" si="540"/>
        <v>0</v>
      </c>
      <c r="W1806" s="152">
        <f t="shared" si="543"/>
        <v>18191</v>
      </c>
      <c r="X1806" s="127" t="str">
        <f t="shared" si="541"/>
        <v/>
      </c>
      <c r="Y1806" s="207">
        <f t="shared" si="544"/>
        <v>18191</v>
      </c>
      <c r="Z1806" s="139">
        <f t="shared" si="545"/>
        <v>18191</v>
      </c>
      <c r="AA1806" s="139">
        <f t="shared" si="546"/>
        <v>0</v>
      </c>
      <c r="AC1806" s="47">
        <f t="shared" si="547"/>
        <v>9096</v>
      </c>
      <c r="AD1806" s="47">
        <f t="shared" si="548"/>
        <v>9096</v>
      </c>
      <c r="AE1806" s="47">
        <f t="shared" si="549"/>
        <v>0</v>
      </c>
      <c r="AG1806" s="47">
        <f t="shared" si="550"/>
        <v>9095</v>
      </c>
      <c r="AH1806" s="47">
        <f t="shared" si="551"/>
        <v>9095</v>
      </c>
      <c r="AI1806" s="208">
        <f t="shared" si="552"/>
        <v>0</v>
      </c>
    </row>
    <row r="1807" spans="1:35">
      <c r="A1807" t="s">
        <v>2143</v>
      </c>
      <c r="B1807" t="s">
        <v>3166</v>
      </c>
      <c r="C1807" t="s">
        <v>2900</v>
      </c>
      <c r="D1807" t="s">
        <v>5263</v>
      </c>
      <c r="F1807" t="s">
        <v>1355</v>
      </c>
      <c r="G1807" s="126">
        <f>SUMIFS('Support - Transition'!F:F,'Support - Transition'!B:B,'Step 2'!A1807,'Support - Transition'!C:C,'Step 2'!B1807,'Support - Transition'!D:D,'Step 2'!C1807,'Support - Transition'!E:E,"CIVIL")</f>
        <v>0</v>
      </c>
      <c r="H1807" s="126">
        <f>SUMIFS('Support - Transition'!F:F,'Support - Transition'!B:B,'Step 2'!A1807,'Support - Transition'!C:C,'Step 2'!B1807,'Support - Transition'!D:D,'Step 2'!C1807,'Support - Transition'!E:E,"FIRE")</f>
        <v>0</v>
      </c>
      <c r="I1807" s="126">
        <f>IF(B1807="0",SUMIFS('Support - Transition'!F:F,'Support - Transition'!J:J,'Step 2'!D1807,'Support - Transition'!E:E,"STATE UNIT"),SUMIFS('Support - Transition'!F:F,'Support - Transition'!J:J,'Step 2'!D1807))</f>
        <v>9.0720000000000002E-3</v>
      </c>
      <c r="J1807" s="126">
        <f>SUMIFS('Support - Unit Adjustments'!E:E,'Support - Unit Adjustments'!F:F,'Step 2'!D1807)</f>
        <v>0</v>
      </c>
      <c r="K1807" s="126">
        <f t="shared" si="536"/>
        <v>9.0720000000000002E-3</v>
      </c>
      <c r="L1807" s="174">
        <f>VLOOKUP(A1807,'Step 1'!$A:$E,4,FALSE)</f>
        <v>352394</v>
      </c>
      <c r="M1807" s="47">
        <f t="shared" si="537"/>
        <v>3197</v>
      </c>
      <c r="N1807" s="177">
        <f>SUMIFS('Support - Transition'!G:G,'Support - Transition'!J:J,'Step 2'!D1807,'Support - Transition'!E:E,"2009 WELFARE ALLOCATION FACTOR")</f>
        <v>0</v>
      </c>
      <c r="O1807" s="152">
        <f t="shared" si="542"/>
        <v>0</v>
      </c>
      <c r="P1807" s="126">
        <f>IF(E1807="Y",0,SUMIFS('Support - Transition'!G:G,'Support - Transition'!J:J,'Step 2'!D1807,'Support - Transition'!E:E,"2009 SCHOOL ALLOCATION FACTOR"))</f>
        <v>0</v>
      </c>
      <c r="Q1807" s="126">
        <f>IF(E1807="Y",VLOOKUP(D1807,'Support - Unit Adjustments'!F:G,2,FALSE),0)</f>
        <v>0</v>
      </c>
      <c r="R1807" s="155">
        <f t="shared" si="554"/>
        <v>0</v>
      </c>
      <c r="S1807" s="47">
        <f t="shared" si="553"/>
        <v>0</v>
      </c>
      <c r="T1807" s="151">
        <f t="shared" si="538"/>
        <v>3197</v>
      </c>
      <c r="U1807" s="151">
        <f t="shared" si="539"/>
        <v>0</v>
      </c>
      <c r="V1807" s="139">
        <f t="shared" si="540"/>
        <v>0</v>
      </c>
      <c r="W1807" s="152">
        <f t="shared" si="543"/>
        <v>3197</v>
      </c>
      <c r="X1807" s="127" t="str">
        <f t="shared" si="541"/>
        <v/>
      </c>
      <c r="Y1807" s="207">
        <f t="shared" si="544"/>
        <v>3197</v>
      </c>
      <c r="Z1807" s="139">
        <f t="shared" si="545"/>
        <v>3197</v>
      </c>
      <c r="AA1807" s="139">
        <f t="shared" si="546"/>
        <v>0</v>
      </c>
      <c r="AC1807" s="47">
        <f t="shared" si="547"/>
        <v>1599</v>
      </c>
      <c r="AD1807" s="47">
        <f t="shared" si="548"/>
        <v>1599</v>
      </c>
      <c r="AE1807" s="47">
        <f t="shared" si="549"/>
        <v>0</v>
      </c>
      <c r="AG1807" s="47">
        <f t="shared" si="550"/>
        <v>1598</v>
      </c>
      <c r="AH1807" s="47">
        <f t="shared" si="551"/>
        <v>1598</v>
      </c>
      <c r="AI1807" s="208">
        <f t="shared" si="552"/>
        <v>0</v>
      </c>
    </row>
    <row r="1808" spans="1:35">
      <c r="A1808" t="s">
        <v>2143</v>
      </c>
      <c r="B1808" t="s">
        <v>3166</v>
      </c>
      <c r="C1808" t="s">
        <v>2901</v>
      </c>
      <c r="D1808" t="s">
        <v>5264</v>
      </c>
      <c r="F1808" t="s">
        <v>1356</v>
      </c>
      <c r="G1808" s="126">
        <f>SUMIFS('Support - Transition'!F:F,'Support - Transition'!B:B,'Step 2'!A1808,'Support - Transition'!C:C,'Step 2'!B1808,'Support - Transition'!D:D,'Step 2'!C1808,'Support - Transition'!E:E,"CIVIL")</f>
        <v>0</v>
      </c>
      <c r="H1808" s="126">
        <f>SUMIFS('Support - Transition'!F:F,'Support - Transition'!B:B,'Step 2'!A1808,'Support - Transition'!C:C,'Step 2'!B1808,'Support - Transition'!D:D,'Step 2'!C1808,'Support - Transition'!E:E,"FIRE")</f>
        <v>0</v>
      </c>
      <c r="I1808" s="126">
        <f>IF(B1808="0",SUMIFS('Support - Transition'!F:F,'Support - Transition'!J:J,'Step 2'!D1808,'Support - Transition'!E:E,"STATE UNIT"),SUMIFS('Support - Transition'!F:F,'Support - Transition'!J:J,'Step 2'!D1808))</f>
        <v>3.039E-3</v>
      </c>
      <c r="J1808" s="126">
        <f>SUMIFS('Support - Unit Adjustments'!E:E,'Support - Unit Adjustments'!F:F,'Step 2'!D1808)</f>
        <v>0</v>
      </c>
      <c r="K1808" s="126">
        <f t="shared" si="536"/>
        <v>3.039E-3</v>
      </c>
      <c r="L1808" s="174">
        <f>VLOOKUP(A1808,'Step 1'!$A:$E,4,FALSE)</f>
        <v>352394</v>
      </c>
      <c r="M1808" s="47">
        <f t="shared" si="537"/>
        <v>1071</v>
      </c>
      <c r="N1808" s="177">
        <f>SUMIFS('Support - Transition'!G:G,'Support - Transition'!J:J,'Step 2'!D1808,'Support - Transition'!E:E,"2009 WELFARE ALLOCATION FACTOR")</f>
        <v>0</v>
      </c>
      <c r="O1808" s="152">
        <f t="shared" si="542"/>
        <v>0</v>
      </c>
      <c r="P1808" s="126">
        <f>IF(E1808="Y",0,SUMIFS('Support - Transition'!G:G,'Support - Transition'!J:J,'Step 2'!D1808,'Support - Transition'!E:E,"2009 SCHOOL ALLOCATION FACTOR"))</f>
        <v>0</v>
      </c>
      <c r="Q1808" s="126">
        <f>IF(E1808="Y",VLOOKUP(D1808,'Support - Unit Adjustments'!F:G,2,FALSE),0)</f>
        <v>0</v>
      </c>
      <c r="R1808" s="155">
        <f t="shared" si="554"/>
        <v>0</v>
      </c>
      <c r="S1808" s="47">
        <f t="shared" si="553"/>
        <v>0</v>
      </c>
      <c r="T1808" s="151">
        <f t="shared" si="538"/>
        <v>1071</v>
      </c>
      <c r="U1808" s="151">
        <f t="shared" si="539"/>
        <v>0</v>
      </c>
      <c r="V1808" s="139">
        <f t="shared" si="540"/>
        <v>0</v>
      </c>
      <c r="W1808" s="152">
        <f t="shared" si="543"/>
        <v>1071</v>
      </c>
      <c r="X1808" s="127" t="str">
        <f t="shared" si="541"/>
        <v/>
      </c>
      <c r="Y1808" s="207">
        <f t="shared" si="544"/>
        <v>1071</v>
      </c>
      <c r="Z1808" s="139">
        <f t="shared" si="545"/>
        <v>1071</v>
      </c>
      <c r="AA1808" s="139">
        <f t="shared" si="546"/>
        <v>0</v>
      </c>
      <c r="AC1808" s="47">
        <f t="shared" si="547"/>
        <v>536</v>
      </c>
      <c r="AD1808" s="47">
        <f t="shared" si="548"/>
        <v>536</v>
      </c>
      <c r="AE1808" s="47">
        <f t="shared" si="549"/>
        <v>0</v>
      </c>
      <c r="AG1808" s="47">
        <f t="shared" si="550"/>
        <v>535</v>
      </c>
      <c r="AH1808" s="47">
        <f t="shared" si="551"/>
        <v>535</v>
      </c>
      <c r="AI1808" s="208">
        <f t="shared" si="552"/>
        <v>0</v>
      </c>
    </row>
    <row r="1809" spans="1:35">
      <c r="A1809" t="s">
        <v>2143</v>
      </c>
      <c r="B1809" t="s">
        <v>3166</v>
      </c>
      <c r="C1809" t="s">
        <v>5265</v>
      </c>
      <c r="D1809" t="s">
        <v>5266</v>
      </c>
      <c r="F1809" t="s">
        <v>1354</v>
      </c>
      <c r="G1809" s="126">
        <f>SUMIFS('Support - Transition'!F:F,'Support - Transition'!B:B,'Step 2'!A1809,'Support - Transition'!C:C,'Step 2'!B1809,'Support - Transition'!D:D,'Step 2'!C1809,'Support - Transition'!E:E,"CIVIL")</f>
        <v>0</v>
      </c>
      <c r="H1809" s="126">
        <f>SUMIFS('Support - Transition'!F:F,'Support - Transition'!B:B,'Step 2'!A1809,'Support - Transition'!C:C,'Step 2'!B1809,'Support - Transition'!D:D,'Step 2'!C1809,'Support - Transition'!E:E,"FIRE")</f>
        <v>0</v>
      </c>
      <c r="I1809" s="126">
        <f>IF(B1809="0",SUMIFS('Support - Transition'!F:F,'Support - Transition'!J:J,'Step 2'!D1809,'Support - Transition'!E:E,"STATE UNIT"),SUMIFS('Support - Transition'!F:F,'Support - Transition'!J:J,'Step 2'!D1809))</f>
        <v>2.1259999999999999E-3</v>
      </c>
      <c r="J1809" s="126">
        <f>SUMIFS('Support - Unit Adjustments'!E:E,'Support - Unit Adjustments'!F:F,'Step 2'!D1809)</f>
        <v>0</v>
      </c>
      <c r="K1809" s="126">
        <f t="shared" si="536"/>
        <v>2.1259999999999999E-3</v>
      </c>
      <c r="L1809" s="174">
        <f>VLOOKUP(A1809,'Step 1'!$A:$E,4,FALSE)</f>
        <v>352394</v>
      </c>
      <c r="M1809" s="47">
        <f t="shared" si="537"/>
        <v>749</v>
      </c>
      <c r="N1809" s="177">
        <f>SUMIFS('Support - Transition'!G:G,'Support - Transition'!J:J,'Step 2'!D1809,'Support - Transition'!E:E,"2009 WELFARE ALLOCATION FACTOR")</f>
        <v>0</v>
      </c>
      <c r="O1809" s="152">
        <f t="shared" si="542"/>
        <v>0</v>
      </c>
      <c r="P1809" s="126">
        <f>IF(E1809="Y",0,SUMIFS('Support - Transition'!G:G,'Support - Transition'!J:J,'Step 2'!D1809,'Support - Transition'!E:E,"2009 SCHOOL ALLOCATION FACTOR"))</f>
        <v>0</v>
      </c>
      <c r="Q1809" s="126">
        <f>IF(E1809="Y",VLOOKUP(D1809,'Support - Unit Adjustments'!F:G,2,FALSE),0)</f>
        <v>0</v>
      </c>
      <c r="R1809" s="155">
        <f t="shared" si="554"/>
        <v>0</v>
      </c>
      <c r="S1809" s="47">
        <f t="shared" si="553"/>
        <v>0</v>
      </c>
      <c r="T1809" s="151">
        <f t="shared" si="538"/>
        <v>749</v>
      </c>
      <c r="U1809" s="151">
        <f t="shared" si="539"/>
        <v>0</v>
      </c>
      <c r="V1809" s="139">
        <f t="shared" si="540"/>
        <v>0</v>
      </c>
      <c r="W1809" s="152">
        <f t="shared" si="543"/>
        <v>749</v>
      </c>
      <c r="X1809" s="127" t="str">
        <f t="shared" si="541"/>
        <v/>
      </c>
      <c r="Y1809" s="207">
        <f t="shared" si="544"/>
        <v>749</v>
      </c>
      <c r="Z1809" s="139">
        <f t="shared" si="545"/>
        <v>749</v>
      </c>
      <c r="AA1809" s="139">
        <f t="shared" si="546"/>
        <v>0</v>
      </c>
      <c r="AC1809" s="47">
        <f t="shared" si="547"/>
        <v>375</v>
      </c>
      <c r="AD1809" s="47">
        <f t="shared" si="548"/>
        <v>375</v>
      </c>
      <c r="AE1809" s="47">
        <f t="shared" si="549"/>
        <v>0</v>
      </c>
      <c r="AG1809" s="47">
        <f t="shared" si="550"/>
        <v>374</v>
      </c>
      <c r="AH1809" s="47">
        <f t="shared" si="551"/>
        <v>374</v>
      </c>
      <c r="AI1809" s="208">
        <f t="shared" si="552"/>
        <v>0</v>
      </c>
    </row>
    <row r="1810" spans="1:35">
      <c r="A1810" t="s">
        <v>2143</v>
      </c>
      <c r="B1810" t="s">
        <v>3170</v>
      </c>
      <c r="C1810" t="s">
        <v>5267</v>
      </c>
      <c r="D1810" t="s">
        <v>5268</v>
      </c>
      <c r="F1810" t="s">
        <v>1357</v>
      </c>
      <c r="G1810" s="126">
        <f>SUMIFS('Support - Transition'!F:F,'Support - Transition'!B:B,'Step 2'!A1810,'Support - Transition'!C:C,'Step 2'!B1810,'Support - Transition'!D:D,'Step 2'!C1810,'Support - Transition'!E:E,"CIVIL")</f>
        <v>0</v>
      </c>
      <c r="H1810" s="126">
        <f>SUMIFS('Support - Transition'!F:F,'Support - Transition'!B:B,'Step 2'!A1810,'Support - Transition'!C:C,'Step 2'!B1810,'Support - Transition'!D:D,'Step 2'!C1810,'Support - Transition'!E:E,"FIRE")</f>
        <v>0</v>
      </c>
      <c r="I1810" s="126">
        <f>IF(B1810="0",SUMIFS('Support - Transition'!F:F,'Support - Transition'!J:J,'Step 2'!D1810,'Support - Transition'!E:E,"STATE UNIT"),SUMIFS('Support - Transition'!F:F,'Support - Transition'!J:J,'Step 2'!D1810))</f>
        <v>1.1257E-2</v>
      </c>
      <c r="J1810" s="126">
        <f>SUMIFS('Support - Unit Adjustments'!E:E,'Support - Unit Adjustments'!F:F,'Step 2'!D1810)</f>
        <v>0</v>
      </c>
      <c r="K1810" s="126">
        <f t="shared" si="536"/>
        <v>1.1257E-2</v>
      </c>
      <c r="L1810" s="174">
        <f>VLOOKUP(A1810,'Step 1'!$A:$E,4,FALSE)</f>
        <v>352394</v>
      </c>
      <c r="M1810" s="47">
        <f t="shared" si="537"/>
        <v>3967</v>
      </c>
      <c r="N1810" s="177">
        <f>SUMIFS('Support - Transition'!G:G,'Support - Transition'!J:J,'Step 2'!D1810,'Support - Transition'!E:E,"2009 WELFARE ALLOCATION FACTOR")</f>
        <v>0</v>
      </c>
      <c r="O1810" s="152">
        <f t="shared" si="542"/>
        <v>0</v>
      </c>
      <c r="P1810" s="126">
        <f>IF(E1810="Y",0,SUMIFS('Support - Transition'!G:G,'Support - Transition'!J:J,'Step 2'!D1810,'Support - Transition'!E:E,"2009 SCHOOL ALLOCATION FACTOR"))</f>
        <v>0</v>
      </c>
      <c r="Q1810" s="126">
        <f>IF(E1810="Y",VLOOKUP(D1810,'Support - Unit Adjustments'!F:G,2,FALSE),0)</f>
        <v>0</v>
      </c>
      <c r="R1810" s="155">
        <f t="shared" si="554"/>
        <v>0</v>
      </c>
      <c r="S1810" s="47">
        <f t="shared" si="553"/>
        <v>0</v>
      </c>
      <c r="T1810" s="151">
        <f t="shared" si="538"/>
        <v>3967</v>
      </c>
      <c r="U1810" s="151">
        <f t="shared" si="539"/>
        <v>0</v>
      </c>
      <c r="V1810" s="139">
        <f t="shared" si="540"/>
        <v>0</v>
      </c>
      <c r="W1810" s="152">
        <f t="shared" si="543"/>
        <v>3967</v>
      </c>
      <c r="X1810" s="127" t="str">
        <f t="shared" si="541"/>
        <v/>
      </c>
      <c r="Y1810" s="207">
        <f t="shared" si="544"/>
        <v>3967</v>
      </c>
      <c r="Z1810" s="139">
        <f t="shared" si="545"/>
        <v>3967</v>
      </c>
      <c r="AA1810" s="139">
        <f t="shared" si="546"/>
        <v>0</v>
      </c>
      <c r="AC1810" s="47">
        <f t="shared" si="547"/>
        <v>1984</v>
      </c>
      <c r="AD1810" s="47">
        <f t="shared" si="548"/>
        <v>1984</v>
      </c>
      <c r="AE1810" s="47">
        <f t="shared" si="549"/>
        <v>0</v>
      </c>
      <c r="AG1810" s="47">
        <f t="shared" si="550"/>
        <v>1983</v>
      </c>
      <c r="AH1810" s="47">
        <f t="shared" si="551"/>
        <v>1983</v>
      </c>
      <c r="AI1810" s="208">
        <f t="shared" si="552"/>
        <v>0</v>
      </c>
    </row>
    <row r="1811" spans="1:35">
      <c r="A1811" t="s">
        <v>2143</v>
      </c>
      <c r="B1811" t="s">
        <v>3170</v>
      </c>
      <c r="C1811" t="s">
        <v>5269</v>
      </c>
      <c r="D1811" t="s">
        <v>5270</v>
      </c>
      <c r="F1811" t="s">
        <v>5271</v>
      </c>
      <c r="G1811" s="126">
        <f>SUMIFS('Support - Transition'!F:F,'Support - Transition'!B:B,'Step 2'!A1811,'Support - Transition'!C:C,'Step 2'!B1811,'Support - Transition'!D:D,'Step 2'!C1811,'Support - Transition'!E:E,"CIVIL")</f>
        <v>0</v>
      </c>
      <c r="H1811" s="126">
        <f>SUMIFS('Support - Transition'!F:F,'Support - Transition'!B:B,'Step 2'!A1811,'Support - Transition'!C:C,'Step 2'!B1811,'Support - Transition'!D:D,'Step 2'!C1811,'Support - Transition'!E:E,"FIRE")</f>
        <v>0</v>
      </c>
      <c r="I1811" s="126">
        <f>IF(B1811="0",SUMIFS('Support - Transition'!F:F,'Support - Transition'!J:J,'Step 2'!D1811,'Support - Transition'!E:E,"STATE UNIT"),SUMIFS('Support - Transition'!F:F,'Support - Transition'!J:J,'Step 2'!D1811))</f>
        <v>1.2817000000000078E-2</v>
      </c>
      <c r="J1811" s="126">
        <f>SUMIFS('Support - Unit Adjustments'!E:E,'Support - Unit Adjustments'!F:F,'Step 2'!D1811)</f>
        <v>0</v>
      </c>
      <c r="K1811" s="126">
        <f t="shared" si="536"/>
        <v>1.2817000000000078E-2</v>
      </c>
      <c r="L1811" s="174">
        <f>VLOOKUP(A1811,'Step 1'!$A:$E,4,FALSE)</f>
        <v>352394</v>
      </c>
      <c r="M1811" s="47">
        <f t="shared" si="537"/>
        <v>4517</v>
      </c>
      <c r="N1811" s="177">
        <f>SUMIFS('Support - Transition'!G:G,'Support - Transition'!J:J,'Step 2'!D1811,'Support - Transition'!E:E,"2009 WELFARE ALLOCATION FACTOR")</f>
        <v>0</v>
      </c>
      <c r="O1811" s="152">
        <f t="shared" si="542"/>
        <v>0</v>
      </c>
      <c r="P1811" s="126">
        <f>IF(E1811="Y",0,SUMIFS('Support - Transition'!G:G,'Support - Transition'!J:J,'Step 2'!D1811,'Support - Transition'!E:E,"2009 SCHOOL ALLOCATION FACTOR"))</f>
        <v>0</v>
      </c>
      <c r="Q1811" s="126">
        <f>IF(E1811="Y",VLOOKUP(D1811,'Support - Unit Adjustments'!F:G,2,FALSE),0)</f>
        <v>0</v>
      </c>
      <c r="R1811" s="155">
        <f t="shared" si="554"/>
        <v>0</v>
      </c>
      <c r="S1811" s="47">
        <f t="shared" si="553"/>
        <v>0</v>
      </c>
      <c r="T1811" s="151">
        <f t="shared" si="538"/>
        <v>4517</v>
      </c>
      <c r="U1811" s="151">
        <f t="shared" si="539"/>
        <v>0</v>
      </c>
      <c r="V1811" s="139">
        <f t="shared" si="540"/>
        <v>0</v>
      </c>
      <c r="W1811" s="152">
        <f t="shared" si="543"/>
        <v>4517</v>
      </c>
      <c r="X1811" s="127" t="str">
        <f t="shared" si="541"/>
        <v/>
      </c>
      <c r="Y1811" s="207">
        <f t="shared" si="544"/>
        <v>4517</v>
      </c>
      <c r="Z1811" s="139">
        <f t="shared" si="545"/>
        <v>4517</v>
      </c>
      <c r="AA1811" s="139">
        <f t="shared" si="546"/>
        <v>0</v>
      </c>
      <c r="AC1811" s="47">
        <f t="shared" si="547"/>
        <v>2259</v>
      </c>
      <c r="AD1811" s="47">
        <f t="shared" si="548"/>
        <v>2259</v>
      </c>
      <c r="AE1811" s="47">
        <f t="shared" si="549"/>
        <v>0</v>
      </c>
      <c r="AG1811" s="47">
        <f t="shared" si="550"/>
        <v>2258</v>
      </c>
      <c r="AH1811" s="47">
        <f t="shared" si="551"/>
        <v>2258</v>
      </c>
      <c r="AI1811" s="208">
        <f t="shared" si="552"/>
        <v>0</v>
      </c>
    </row>
    <row r="1812" spans="1:35">
      <c r="A1812" t="s">
        <v>2143</v>
      </c>
      <c r="B1812" t="s">
        <v>3286</v>
      </c>
      <c r="C1812" t="s">
        <v>2288</v>
      </c>
      <c r="D1812" t="s">
        <v>5272</v>
      </c>
      <c r="F1812" t="s">
        <v>5273</v>
      </c>
      <c r="G1812" s="126">
        <f>SUMIFS('Support - Transition'!F:F,'Support - Transition'!B:B,'Step 2'!A1812,'Support - Transition'!C:C,'Step 2'!B1812,'Support - Transition'!D:D,'Step 2'!C1812,'Support - Transition'!E:E,"CIVIL")</f>
        <v>0</v>
      </c>
      <c r="H1812" s="126">
        <f>SUMIFS('Support - Transition'!F:F,'Support - Transition'!B:B,'Step 2'!A1812,'Support - Transition'!C:C,'Step 2'!B1812,'Support - Transition'!D:D,'Step 2'!C1812,'Support - Transition'!E:E,"FIRE")</f>
        <v>0</v>
      </c>
      <c r="I1812" s="126">
        <f>IF(B1812="0",SUMIFS('Support - Transition'!F:F,'Support - Transition'!J:J,'Step 2'!D1812,'Support - Transition'!E:E,"STATE UNIT"),SUMIFS('Support - Transition'!F:F,'Support - Transition'!J:J,'Step 2'!D1812))</f>
        <v>0</v>
      </c>
      <c r="J1812" s="126">
        <f>SUMIFS('Support - Unit Adjustments'!E:E,'Support - Unit Adjustments'!F:F,'Step 2'!D1812)</f>
        <v>0</v>
      </c>
      <c r="K1812" s="126">
        <f t="shared" si="536"/>
        <v>0</v>
      </c>
      <c r="L1812" s="174">
        <f>VLOOKUP(A1812,'Step 1'!$A:$E,4,FALSE)</f>
        <v>352394</v>
      </c>
      <c r="M1812" s="47">
        <f t="shared" si="537"/>
        <v>0</v>
      </c>
      <c r="N1812" s="177">
        <f>SUMIFS('Support - Transition'!G:G,'Support - Transition'!J:J,'Step 2'!D1812,'Support - Transition'!E:E,"2009 WELFARE ALLOCATION FACTOR")</f>
        <v>0</v>
      </c>
      <c r="O1812" s="152">
        <f t="shared" si="542"/>
        <v>0</v>
      </c>
      <c r="P1812" s="126">
        <f>IF(E1812="Y",0,SUMIFS('Support - Transition'!G:G,'Support - Transition'!J:J,'Step 2'!D1812,'Support - Transition'!E:E,"2009 SCHOOL ALLOCATION FACTOR"))</f>
        <v>0</v>
      </c>
      <c r="Q1812" s="126">
        <f>IF(E1812="Y",VLOOKUP(D1812,'Support - Unit Adjustments'!F:G,2,FALSE),0)</f>
        <v>0</v>
      </c>
      <c r="R1812" s="155">
        <f t="shared" si="554"/>
        <v>0</v>
      </c>
      <c r="S1812" s="47">
        <f t="shared" si="553"/>
        <v>0</v>
      </c>
      <c r="T1812" s="151">
        <f t="shared" si="538"/>
        <v>0</v>
      </c>
      <c r="U1812" s="151">
        <f t="shared" si="539"/>
        <v>0</v>
      </c>
      <c r="V1812" s="139">
        <f t="shared" si="540"/>
        <v>0</v>
      </c>
      <c r="W1812" s="152">
        <f t="shared" si="543"/>
        <v>0</v>
      </c>
      <c r="X1812" s="127" t="str">
        <f t="shared" si="541"/>
        <v/>
      </c>
      <c r="Y1812" s="207">
        <f t="shared" si="544"/>
        <v>0</v>
      </c>
      <c r="Z1812" s="139">
        <f t="shared" si="545"/>
        <v>0</v>
      </c>
      <c r="AA1812" s="139">
        <f t="shared" si="546"/>
        <v>0</v>
      </c>
      <c r="AC1812" s="47">
        <f t="shared" si="547"/>
        <v>0</v>
      </c>
      <c r="AD1812" s="47">
        <f t="shared" si="548"/>
        <v>0</v>
      </c>
      <c r="AE1812" s="47">
        <f t="shared" si="549"/>
        <v>0</v>
      </c>
      <c r="AG1812" s="47">
        <f t="shared" si="550"/>
        <v>0</v>
      </c>
      <c r="AH1812" s="47">
        <f t="shared" si="551"/>
        <v>0</v>
      </c>
      <c r="AI1812" s="208">
        <f t="shared" si="552"/>
        <v>0</v>
      </c>
    </row>
    <row r="1813" spans="1:35">
      <c r="A1813" t="s">
        <v>2144</v>
      </c>
      <c r="B1813" s="48" t="s">
        <v>6274</v>
      </c>
      <c r="C1813" t="s">
        <v>2187</v>
      </c>
      <c r="D1813" t="str">
        <f>A1813&amp;B1813&amp;C1813</f>
        <v>6000000</v>
      </c>
      <c r="F1813" t="s">
        <v>6334</v>
      </c>
      <c r="G1813" s="126">
        <f>SUMIFS('Support - Transition'!F:F,'Support - Transition'!B:B,'Step 2'!A1813,'Support - Transition'!C:C,'Step 2'!B1813,'Support - Transition'!D:D,'Step 2'!C1813,'Support - Transition'!E:E,"CIVIL")</f>
        <v>0</v>
      </c>
      <c r="H1813" s="126">
        <f>SUMIFS('Support - Transition'!F:F,'Support - Transition'!B:B,'Step 2'!A1813,'Support - Transition'!C:C,'Step 2'!B1813,'Support - Transition'!D:D,'Step 2'!C1813,'Support - Transition'!E:E,"FIRE")</f>
        <v>0</v>
      </c>
      <c r="I1813" s="126">
        <f>IF(B1813="0",SUMIFS('Support - Transition'!F:F,'Support - Transition'!J:J,'Step 2'!D1813,'Support - Transition'!E:E,"STATE UNIT"),SUMIFS('Support - Transition'!F:F,'Support - Transition'!J:J,'Step 2'!D1813))</f>
        <v>9.8200000000000002E-4</v>
      </c>
      <c r="J1813" s="126">
        <f>SUMIFS('Support - Unit Adjustments'!E:E,'Support - Unit Adjustments'!F:F,'Step 2'!D1813)</f>
        <v>0</v>
      </c>
      <c r="K1813" s="126">
        <f t="shared" si="536"/>
        <v>9.8200000000000002E-4</v>
      </c>
      <c r="L1813" s="174">
        <f>VLOOKUP(A1813,'Step 1'!$A:$E,4,FALSE)</f>
        <v>202322</v>
      </c>
      <c r="M1813" s="47">
        <f t="shared" si="537"/>
        <v>199</v>
      </c>
      <c r="N1813" s="177">
        <f>SUMIFS('Support - Transition'!G:G,'Support - Transition'!J:J,'Step 2'!D1813,'Support - Transition'!E:E,"2009 WELFARE ALLOCATION FACTOR")</f>
        <v>0</v>
      </c>
      <c r="O1813" s="152">
        <f t="shared" si="542"/>
        <v>0</v>
      </c>
      <c r="P1813" s="126">
        <f>IF(E1813="Y",0,SUMIFS('Support - Transition'!G:G,'Support - Transition'!J:J,'Step 2'!D1813,'Support - Transition'!E:E,"2009 SCHOOL ALLOCATION FACTOR"))</f>
        <v>0</v>
      </c>
      <c r="Q1813" s="126">
        <f>IF(E1813="Y",VLOOKUP(D1813,'Support - Unit Adjustments'!F:G,2,FALSE),0)</f>
        <v>0</v>
      </c>
      <c r="R1813" s="155">
        <f t="shared" si="554"/>
        <v>0</v>
      </c>
      <c r="S1813" s="47">
        <f t="shared" si="553"/>
        <v>0</v>
      </c>
      <c r="T1813" s="151">
        <f t="shared" si="538"/>
        <v>199</v>
      </c>
      <c r="U1813" s="151">
        <f t="shared" si="539"/>
        <v>202322</v>
      </c>
      <c r="V1813" s="139">
        <f t="shared" si="540"/>
        <v>0</v>
      </c>
      <c r="W1813" s="152">
        <f t="shared" si="543"/>
        <v>199</v>
      </c>
      <c r="X1813" s="127">
        <f t="shared" si="541"/>
        <v>0</v>
      </c>
      <c r="Y1813" s="207">
        <f t="shared" si="544"/>
        <v>199</v>
      </c>
      <c r="Z1813" s="139">
        <f t="shared" si="545"/>
        <v>199</v>
      </c>
      <c r="AA1813" s="139">
        <f t="shared" si="546"/>
        <v>0</v>
      </c>
      <c r="AC1813" s="47">
        <f t="shared" si="547"/>
        <v>100</v>
      </c>
      <c r="AD1813" s="47">
        <f t="shared" si="548"/>
        <v>100</v>
      </c>
      <c r="AE1813" s="47">
        <f t="shared" si="549"/>
        <v>0</v>
      </c>
      <c r="AG1813" s="47">
        <f t="shared" si="550"/>
        <v>99</v>
      </c>
      <c r="AH1813" s="47">
        <f t="shared" si="551"/>
        <v>99</v>
      </c>
      <c r="AI1813" s="208">
        <f t="shared" si="552"/>
        <v>0</v>
      </c>
    </row>
    <row r="1814" spans="1:35">
      <c r="A1814" t="s">
        <v>2144</v>
      </c>
      <c r="B1814" t="s">
        <v>3140</v>
      </c>
      <c r="C1814" t="s">
        <v>2187</v>
      </c>
      <c r="D1814" t="s">
        <v>5274</v>
      </c>
      <c r="F1814" t="s">
        <v>1359</v>
      </c>
      <c r="G1814" s="126">
        <f>SUMIFS('Support - Transition'!F:F,'Support - Transition'!B:B,'Step 2'!A1814,'Support - Transition'!C:C,'Step 2'!B1814,'Support - Transition'!D:D,'Step 2'!C1814,'Support - Transition'!E:E,"CIVIL")</f>
        <v>0</v>
      </c>
      <c r="H1814" s="126">
        <f>SUMIFS('Support - Transition'!F:F,'Support - Transition'!B:B,'Step 2'!A1814,'Support - Transition'!C:C,'Step 2'!B1814,'Support - Transition'!D:D,'Step 2'!C1814,'Support - Transition'!E:E,"FIRE")</f>
        <v>0</v>
      </c>
      <c r="I1814" s="126">
        <f>IF(B1814="0",SUMIFS('Support - Transition'!F:F,'Support - Transition'!J:J,'Step 2'!D1814,'Support - Transition'!E:E,"STATE UNIT"),SUMIFS('Support - Transition'!F:F,'Support - Transition'!J:J,'Step 2'!D1814))</f>
        <v>0.209061</v>
      </c>
      <c r="J1814" s="126">
        <f>SUMIFS('Support - Unit Adjustments'!E:E,'Support - Unit Adjustments'!F:F,'Step 2'!D1814)</f>
        <v>0</v>
      </c>
      <c r="K1814" s="126">
        <f t="shared" si="536"/>
        <v>0.209061</v>
      </c>
      <c r="L1814" s="174">
        <f>VLOOKUP(A1814,'Step 1'!$A:$E,4,FALSE)</f>
        <v>202322</v>
      </c>
      <c r="M1814" s="47">
        <f t="shared" si="537"/>
        <v>42298</v>
      </c>
      <c r="N1814" s="177">
        <f>SUMIFS('Support - Transition'!G:G,'Support - Transition'!J:J,'Step 2'!D1814,'Support - Transition'!E:E,"2009 WELFARE ALLOCATION FACTOR")</f>
        <v>0.133632</v>
      </c>
      <c r="O1814" s="152">
        <f t="shared" si="542"/>
        <v>5652</v>
      </c>
      <c r="P1814" s="126">
        <f>IF(E1814="Y",0,SUMIFS('Support - Transition'!G:G,'Support - Transition'!J:J,'Step 2'!D1814,'Support - Transition'!E:E,"2009 SCHOOL ALLOCATION FACTOR"))</f>
        <v>0</v>
      </c>
      <c r="Q1814" s="126">
        <f>IF(E1814="Y",VLOOKUP(D1814,'Support - Unit Adjustments'!F:G,2,FALSE),0)</f>
        <v>0</v>
      </c>
      <c r="R1814" s="155">
        <f t="shared" si="554"/>
        <v>0</v>
      </c>
      <c r="S1814" s="47">
        <f t="shared" si="553"/>
        <v>0</v>
      </c>
      <c r="T1814" s="151">
        <f t="shared" si="538"/>
        <v>36646</v>
      </c>
      <c r="U1814" s="151">
        <f t="shared" si="539"/>
        <v>0</v>
      </c>
      <c r="V1814" s="139">
        <f t="shared" si="540"/>
        <v>0</v>
      </c>
      <c r="W1814" s="152">
        <f t="shared" si="543"/>
        <v>36646</v>
      </c>
      <c r="X1814" s="127" t="str">
        <f t="shared" si="541"/>
        <v/>
      </c>
      <c r="Y1814" s="207">
        <f t="shared" si="544"/>
        <v>36646</v>
      </c>
      <c r="Z1814" s="139">
        <f t="shared" si="545"/>
        <v>36646</v>
      </c>
      <c r="AA1814" s="139">
        <f t="shared" si="546"/>
        <v>0</v>
      </c>
      <c r="AC1814" s="47">
        <f t="shared" si="547"/>
        <v>18323</v>
      </c>
      <c r="AD1814" s="47">
        <f t="shared" si="548"/>
        <v>18323</v>
      </c>
      <c r="AE1814" s="47">
        <f t="shared" si="549"/>
        <v>0</v>
      </c>
      <c r="AG1814" s="47">
        <f t="shared" si="550"/>
        <v>18323</v>
      </c>
      <c r="AH1814" s="47">
        <f t="shared" si="551"/>
        <v>18323</v>
      </c>
      <c r="AI1814" s="208">
        <f t="shared" si="552"/>
        <v>0</v>
      </c>
    </row>
    <row r="1815" spans="1:35">
      <c r="A1815" t="s">
        <v>2144</v>
      </c>
      <c r="B1815" t="s">
        <v>3142</v>
      </c>
      <c r="C1815" t="s">
        <v>2188</v>
      </c>
      <c r="D1815" t="s">
        <v>5275</v>
      </c>
      <c r="F1815" t="s">
        <v>81</v>
      </c>
      <c r="G1815" s="126">
        <f>SUMIFS('Support - Transition'!F:F,'Support - Transition'!B:B,'Step 2'!A1815,'Support - Transition'!C:C,'Step 2'!B1815,'Support - Transition'!D:D,'Step 2'!C1815,'Support - Transition'!E:E,"CIVIL")</f>
        <v>1.194E-3</v>
      </c>
      <c r="H1815" s="126">
        <f>SUMIFS('Support - Transition'!F:F,'Support - Transition'!B:B,'Step 2'!A1815,'Support - Transition'!C:C,'Step 2'!B1815,'Support - Transition'!D:D,'Step 2'!C1815,'Support - Transition'!E:E,"FIRE")</f>
        <v>8.5099999999999998E-4</v>
      </c>
      <c r="I1815" s="126">
        <f>IF(B1815="0",SUMIFS('Support - Transition'!F:F,'Support - Transition'!J:J,'Step 2'!D1815,'Support - Transition'!E:E,"STATE UNIT"),SUMIFS('Support - Transition'!F:F,'Support - Transition'!J:J,'Step 2'!D1815))</f>
        <v>2.0449999999999999E-3</v>
      </c>
      <c r="J1815" s="126">
        <f>SUMIFS('Support - Unit Adjustments'!E:E,'Support - Unit Adjustments'!F:F,'Step 2'!D1815)</f>
        <v>0</v>
      </c>
      <c r="K1815" s="126">
        <f t="shared" si="536"/>
        <v>2.0449999999999999E-3</v>
      </c>
      <c r="L1815" s="174">
        <f>VLOOKUP(A1815,'Step 1'!$A:$E,4,FALSE)</f>
        <v>202322</v>
      </c>
      <c r="M1815" s="47">
        <f t="shared" si="537"/>
        <v>414</v>
      </c>
      <c r="N1815" s="177">
        <f>SUMIFS('Support - Transition'!G:G,'Support - Transition'!J:J,'Step 2'!D1815,'Support - Transition'!E:E,"2009 WELFARE ALLOCATION FACTOR")</f>
        <v>0</v>
      </c>
      <c r="O1815" s="152">
        <f t="shared" si="542"/>
        <v>0</v>
      </c>
      <c r="P1815" s="126">
        <f>IF(E1815="Y",0,SUMIFS('Support - Transition'!G:G,'Support - Transition'!J:J,'Step 2'!D1815,'Support - Transition'!E:E,"2009 SCHOOL ALLOCATION FACTOR"))</f>
        <v>0</v>
      </c>
      <c r="Q1815" s="126">
        <f>IF(E1815="Y",VLOOKUP(D1815,'Support - Unit Adjustments'!F:G,2,FALSE),0)</f>
        <v>0</v>
      </c>
      <c r="R1815" s="155">
        <f t="shared" si="554"/>
        <v>0</v>
      </c>
      <c r="S1815" s="47">
        <f t="shared" si="553"/>
        <v>0</v>
      </c>
      <c r="T1815" s="151">
        <f t="shared" si="538"/>
        <v>414</v>
      </c>
      <c r="U1815" s="151">
        <f t="shared" si="539"/>
        <v>0</v>
      </c>
      <c r="V1815" s="139">
        <f t="shared" si="540"/>
        <v>0</v>
      </c>
      <c r="W1815" s="152">
        <f t="shared" si="543"/>
        <v>414</v>
      </c>
      <c r="X1815" s="127" t="str">
        <f t="shared" si="541"/>
        <v/>
      </c>
      <c r="Y1815" s="207">
        <f t="shared" si="544"/>
        <v>414</v>
      </c>
      <c r="Z1815" s="139">
        <f t="shared" si="545"/>
        <v>242</v>
      </c>
      <c r="AA1815" s="139">
        <f t="shared" si="546"/>
        <v>172</v>
      </c>
      <c r="AC1815" s="47">
        <f t="shared" si="547"/>
        <v>207</v>
      </c>
      <c r="AD1815" s="47">
        <f t="shared" si="548"/>
        <v>121</v>
      </c>
      <c r="AE1815" s="47">
        <f t="shared" si="549"/>
        <v>86</v>
      </c>
      <c r="AG1815" s="47">
        <f t="shared" si="550"/>
        <v>207</v>
      </c>
      <c r="AH1815" s="47">
        <f t="shared" si="551"/>
        <v>121</v>
      </c>
      <c r="AI1815" s="208">
        <f t="shared" si="552"/>
        <v>86</v>
      </c>
    </row>
    <row r="1816" spans="1:35">
      <c r="A1816" t="s">
        <v>2144</v>
      </c>
      <c r="B1816" t="s">
        <v>3142</v>
      </c>
      <c r="C1816" t="s">
        <v>2189</v>
      </c>
      <c r="D1816" t="s">
        <v>5276</v>
      </c>
      <c r="F1816" t="s">
        <v>372</v>
      </c>
      <c r="G1816" s="126">
        <f>SUMIFS('Support - Transition'!F:F,'Support - Transition'!B:B,'Step 2'!A1816,'Support - Transition'!C:C,'Step 2'!B1816,'Support - Transition'!D:D,'Step 2'!C1816,'Support - Transition'!E:E,"CIVIL")</f>
        <v>8.1000000000000004E-5</v>
      </c>
      <c r="H1816" s="126">
        <f>SUMIFS('Support - Transition'!F:F,'Support - Transition'!B:B,'Step 2'!A1816,'Support - Transition'!C:C,'Step 2'!B1816,'Support - Transition'!D:D,'Step 2'!C1816,'Support - Transition'!E:E,"FIRE")</f>
        <v>3.6000000000000001E-5</v>
      </c>
      <c r="I1816" s="126">
        <f>IF(B1816="0",SUMIFS('Support - Transition'!F:F,'Support - Transition'!J:J,'Step 2'!D1816,'Support - Transition'!E:E,"STATE UNIT"),SUMIFS('Support - Transition'!F:F,'Support - Transition'!J:J,'Step 2'!D1816))</f>
        <v>1.17E-4</v>
      </c>
      <c r="J1816" s="126">
        <f>SUMIFS('Support - Unit Adjustments'!E:E,'Support - Unit Adjustments'!F:F,'Step 2'!D1816)</f>
        <v>0</v>
      </c>
      <c r="K1816" s="126">
        <f t="shared" si="536"/>
        <v>1.17E-4</v>
      </c>
      <c r="L1816" s="174">
        <f>VLOOKUP(A1816,'Step 1'!$A:$E,4,FALSE)</f>
        <v>202322</v>
      </c>
      <c r="M1816" s="47">
        <f t="shared" si="537"/>
        <v>24</v>
      </c>
      <c r="N1816" s="177">
        <f>SUMIFS('Support - Transition'!G:G,'Support - Transition'!J:J,'Step 2'!D1816,'Support - Transition'!E:E,"2009 WELFARE ALLOCATION FACTOR")</f>
        <v>0</v>
      </c>
      <c r="O1816" s="152">
        <f t="shared" si="542"/>
        <v>0</v>
      </c>
      <c r="P1816" s="126">
        <f>IF(E1816="Y",0,SUMIFS('Support - Transition'!G:G,'Support - Transition'!J:J,'Step 2'!D1816,'Support - Transition'!E:E,"2009 SCHOOL ALLOCATION FACTOR"))</f>
        <v>0</v>
      </c>
      <c r="Q1816" s="126">
        <f>IF(E1816="Y",VLOOKUP(D1816,'Support - Unit Adjustments'!F:G,2,FALSE),0)</f>
        <v>0</v>
      </c>
      <c r="R1816" s="155">
        <f t="shared" si="554"/>
        <v>0</v>
      </c>
      <c r="S1816" s="47">
        <f t="shared" si="553"/>
        <v>0</v>
      </c>
      <c r="T1816" s="151">
        <f t="shared" si="538"/>
        <v>24</v>
      </c>
      <c r="U1816" s="151">
        <f t="shared" si="539"/>
        <v>0</v>
      </c>
      <c r="V1816" s="139">
        <f t="shared" si="540"/>
        <v>0</v>
      </c>
      <c r="W1816" s="152">
        <f t="shared" si="543"/>
        <v>24</v>
      </c>
      <c r="X1816" s="127" t="str">
        <f t="shared" si="541"/>
        <v/>
      </c>
      <c r="Y1816" s="207">
        <f t="shared" si="544"/>
        <v>24</v>
      </c>
      <c r="Z1816" s="139">
        <f t="shared" si="545"/>
        <v>17</v>
      </c>
      <c r="AA1816" s="139">
        <f t="shared" si="546"/>
        <v>7</v>
      </c>
      <c r="AC1816" s="47">
        <f t="shared" si="547"/>
        <v>12</v>
      </c>
      <c r="AD1816" s="47">
        <f t="shared" si="548"/>
        <v>9</v>
      </c>
      <c r="AE1816" s="47">
        <f t="shared" si="549"/>
        <v>4</v>
      </c>
      <c r="AG1816" s="47">
        <f t="shared" si="550"/>
        <v>12</v>
      </c>
      <c r="AH1816" s="47">
        <f t="shared" si="551"/>
        <v>8</v>
      </c>
      <c r="AI1816" s="208">
        <f t="shared" si="552"/>
        <v>3</v>
      </c>
    </row>
    <row r="1817" spans="1:35">
      <c r="A1817" t="s">
        <v>2144</v>
      </c>
      <c r="B1817" t="s">
        <v>3142</v>
      </c>
      <c r="C1817" t="s">
        <v>2190</v>
      </c>
      <c r="D1817" t="s">
        <v>5277</v>
      </c>
      <c r="F1817" t="s">
        <v>86</v>
      </c>
      <c r="G1817" s="126">
        <f>SUMIFS('Support - Transition'!F:F,'Support - Transition'!B:B,'Step 2'!A1817,'Support - Transition'!C:C,'Step 2'!B1817,'Support - Transition'!D:D,'Step 2'!C1817,'Support - Transition'!E:E,"CIVIL")</f>
        <v>8.1099999999999998E-4</v>
      </c>
      <c r="H1817" s="126">
        <f>SUMIFS('Support - Transition'!F:F,'Support - Transition'!B:B,'Step 2'!A1817,'Support - Transition'!C:C,'Step 2'!B1817,'Support - Transition'!D:D,'Step 2'!C1817,'Support - Transition'!E:E,"FIRE")</f>
        <v>1.35E-4</v>
      </c>
      <c r="I1817" s="126">
        <f>IF(B1817="0",SUMIFS('Support - Transition'!F:F,'Support - Transition'!J:J,'Step 2'!D1817,'Support - Transition'!E:E,"STATE UNIT"),SUMIFS('Support - Transition'!F:F,'Support - Transition'!J:J,'Step 2'!D1817))</f>
        <v>9.4600000000000001E-4</v>
      </c>
      <c r="J1817" s="126">
        <f>SUMIFS('Support - Unit Adjustments'!E:E,'Support - Unit Adjustments'!F:F,'Step 2'!D1817)</f>
        <v>0</v>
      </c>
      <c r="K1817" s="126">
        <f t="shared" si="536"/>
        <v>9.4600000000000001E-4</v>
      </c>
      <c r="L1817" s="174">
        <f>VLOOKUP(A1817,'Step 1'!$A:$E,4,FALSE)</f>
        <v>202322</v>
      </c>
      <c r="M1817" s="47">
        <f t="shared" si="537"/>
        <v>191</v>
      </c>
      <c r="N1817" s="177">
        <f>SUMIFS('Support - Transition'!G:G,'Support - Transition'!J:J,'Step 2'!D1817,'Support - Transition'!E:E,"2009 WELFARE ALLOCATION FACTOR")</f>
        <v>0</v>
      </c>
      <c r="O1817" s="152">
        <f t="shared" si="542"/>
        <v>0</v>
      </c>
      <c r="P1817" s="126">
        <f>IF(E1817="Y",0,SUMIFS('Support - Transition'!G:G,'Support - Transition'!J:J,'Step 2'!D1817,'Support - Transition'!E:E,"2009 SCHOOL ALLOCATION FACTOR"))</f>
        <v>0</v>
      </c>
      <c r="Q1817" s="126">
        <f>IF(E1817="Y",VLOOKUP(D1817,'Support - Unit Adjustments'!F:G,2,FALSE),0)</f>
        <v>0</v>
      </c>
      <c r="R1817" s="155">
        <f t="shared" si="554"/>
        <v>0</v>
      </c>
      <c r="S1817" s="47">
        <f t="shared" si="553"/>
        <v>0</v>
      </c>
      <c r="T1817" s="151">
        <f t="shared" si="538"/>
        <v>191</v>
      </c>
      <c r="U1817" s="151">
        <f t="shared" si="539"/>
        <v>0</v>
      </c>
      <c r="V1817" s="139">
        <f t="shared" si="540"/>
        <v>0</v>
      </c>
      <c r="W1817" s="152">
        <f t="shared" si="543"/>
        <v>191</v>
      </c>
      <c r="X1817" s="127" t="str">
        <f t="shared" si="541"/>
        <v/>
      </c>
      <c r="Y1817" s="207">
        <f t="shared" si="544"/>
        <v>191</v>
      </c>
      <c r="Z1817" s="139">
        <f t="shared" si="545"/>
        <v>164</v>
      </c>
      <c r="AA1817" s="139">
        <f t="shared" si="546"/>
        <v>27</v>
      </c>
      <c r="AC1817" s="47">
        <f t="shared" si="547"/>
        <v>96</v>
      </c>
      <c r="AD1817" s="47">
        <f t="shared" si="548"/>
        <v>82</v>
      </c>
      <c r="AE1817" s="47">
        <f t="shared" si="549"/>
        <v>14</v>
      </c>
      <c r="AG1817" s="47">
        <f t="shared" si="550"/>
        <v>95</v>
      </c>
      <c r="AH1817" s="47">
        <f t="shared" si="551"/>
        <v>82</v>
      </c>
      <c r="AI1817" s="208">
        <f t="shared" si="552"/>
        <v>13</v>
      </c>
    </row>
    <row r="1818" spans="1:35">
      <c r="A1818" t="s">
        <v>2144</v>
      </c>
      <c r="B1818" t="s">
        <v>3142</v>
      </c>
      <c r="C1818" t="s">
        <v>2191</v>
      </c>
      <c r="D1818" t="s">
        <v>5278</v>
      </c>
      <c r="F1818" t="s">
        <v>49</v>
      </c>
      <c r="G1818" s="126">
        <f>SUMIFS('Support - Transition'!F:F,'Support - Transition'!B:B,'Step 2'!A1818,'Support - Transition'!C:C,'Step 2'!B1818,'Support - Transition'!D:D,'Step 2'!C1818,'Support - Transition'!E:E,"CIVIL")</f>
        <v>1.22E-4</v>
      </c>
      <c r="H1818" s="126">
        <f>SUMIFS('Support - Transition'!F:F,'Support - Transition'!B:B,'Step 2'!A1818,'Support - Transition'!C:C,'Step 2'!B1818,'Support - Transition'!D:D,'Step 2'!C1818,'Support - Transition'!E:E,"FIRE")</f>
        <v>2.3E-5</v>
      </c>
      <c r="I1818" s="126">
        <f>IF(B1818="0",SUMIFS('Support - Transition'!F:F,'Support - Transition'!J:J,'Step 2'!D1818,'Support - Transition'!E:E,"STATE UNIT"),SUMIFS('Support - Transition'!F:F,'Support - Transition'!J:J,'Step 2'!D1818))</f>
        <v>1.45E-4</v>
      </c>
      <c r="J1818" s="126">
        <f>SUMIFS('Support - Unit Adjustments'!E:E,'Support - Unit Adjustments'!F:F,'Step 2'!D1818)</f>
        <v>0</v>
      </c>
      <c r="K1818" s="126">
        <f t="shared" si="536"/>
        <v>1.45E-4</v>
      </c>
      <c r="L1818" s="174">
        <f>VLOOKUP(A1818,'Step 1'!$A:$E,4,FALSE)</f>
        <v>202322</v>
      </c>
      <c r="M1818" s="47">
        <f t="shared" si="537"/>
        <v>29</v>
      </c>
      <c r="N1818" s="177">
        <f>SUMIFS('Support - Transition'!G:G,'Support - Transition'!J:J,'Step 2'!D1818,'Support - Transition'!E:E,"2009 WELFARE ALLOCATION FACTOR")</f>
        <v>0</v>
      </c>
      <c r="O1818" s="152">
        <f t="shared" si="542"/>
        <v>0</v>
      </c>
      <c r="P1818" s="126">
        <f>IF(E1818="Y",0,SUMIFS('Support - Transition'!G:G,'Support - Transition'!J:J,'Step 2'!D1818,'Support - Transition'!E:E,"2009 SCHOOL ALLOCATION FACTOR"))</f>
        <v>0</v>
      </c>
      <c r="Q1818" s="126">
        <f>IF(E1818="Y",VLOOKUP(D1818,'Support - Unit Adjustments'!F:G,2,FALSE),0)</f>
        <v>0</v>
      </c>
      <c r="R1818" s="155">
        <f t="shared" si="554"/>
        <v>0</v>
      </c>
      <c r="S1818" s="47">
        <f t="shared" si="553"/>
        <v>0</v>
      </c>
      <c r="T1818" s="151">
        <f t="shared" si="538"/>
        <v>29</v>
      </c>
      <c r="U1818" s="151">
        <f t="shared" si="539"/>
        <v>0</v>
      </c>
      <c r="V1818" s="139">
        <f t="shared" si="540"/>
        <v>0</v>
      </c>
      <c r="W1818" s="152">
        <f t="shared" si="543"/>
        <v>29</v>
      </c>
      <c r="X1818" s="127" t="str">
        <f t="shared" si="541"/>
        <v/>
      </c>
      <c r="Y1818" s="207">
        <f t="shared" si="544"/>
        <v>29</v>
      </c>
      <c r="Z1818" s="139">
        <f t="shared" si="545"/>
        <v>24</v>
      </c>
      <c r="AA1818" s="139">
        <f t="shared" si="546"/>
        <v>5</v>
      </c>
      <c r="AC1818" s="47">
        <f t="shared" si="547"/>
        <v>15</v>
      </c>
      <c r="AD1818" s="47">
        <f t="shared" si="548"/>
        <v>12</v>
      </c>
      <c r="AE1818" s="47">
        <f t="shared" si="549"/>
        <v>3</v>
      </c>
      <c r="AG1818" s="47">
        <f t="shared" si="550"/>
        <v>14</v>
      </c>
      <c r="AH1818" s="47">
        <f t="shared" si="551"/>
        <v>12</v>
      </c>
      <c r="AI1818" s="208">
        <f t="shared" si="552"/>
        <v>2</v>
      </c>
    </row>
    <row r="1819" spans="1:35">
      <c r="A1819" t="s">
        <v>2144</v>
      </c>
      <c r="B1819" t="s">
        <v>3142</v>
      </c>
      <c r="C1819" t="s">
        <v>2192</v>
      </c>
      <c r="D1819" t="s">
        <v>5279</v>
      </c>
      <c r="F1819" t="s">
        <v>14</v>
      </c>
      <c r="G1819" s="126">
        <f>SUMIFS('Support - Transition'!F:F,'Support - Transition'!B:B,'Step 2'!A1819,'Support - Transition'!C:C,'Step 2'!B1819,'Support - Transition'!D:D,'Step 2'!C1819,'Support - Transition'!E:E,"CIVIL")</f>
        <v>1.64E-3</v>
      </c>
      <c r="H1819" s="126">
        <f>SUMIFS('Support - Transition'!F:F,'Support - Transition'!B:B,'Step 2'!A1819,'Support - Transition'!C:C,'Step 2'!B1819,'Support - Transition'!D:D,'Step 2'!C1819,'Support - Transition'!E:E,"FIRE")</f>
        <v>7.3899999999999997E-4</v>
      </c>
      <c r="I1819" s="126">
        <f>IF(B1819="0",SUMIFS('Support - Transition'!F:F,'Support - Transition'!J:J,'Step 2'!D1819,'Support - Transition'!E:E,"STATE UNIT"),SUMIFS('Support - Transition'!F:F,'Support - Transition'!J:J,'Step 2'!D1819))</f>
        <v>2.379E-3</v>
      </c>
      <c r="J1819" s="126">
        <f>SUMIFS('Support - Unit Adjustments'!E:E,'Support - Unit Adjustments'!F:F,'Step 2'!D1819)</f>
        <v>0</v>
      </c>
      <c r="K1819" s="126">
        <f t="shared" si="536"/>
        <v>2.379E-3</v>
      </c>
      <c r="L1819" s="174">
        <f>VLOOKUP(A1819,'Step 1'!$A:$E,4,FALSE)</f>
        <v>202322</v>
      </c>
      <c r="M1819" s="47">
        <f t="shared" si="537"/>
        <v>481</v>
      </c>
      <c r="N1819" s="177">
        <f>SUMIFS('Support - Transition'!G:G,'Support - Transition'!J:J,'Step 2'!D1819,'Support - Transition'!E:E,"2009 WELFARE ALLOCATION FACTOR")</f>
        <v>0</v>
      </c>
      <c r="O1819" s="152">
        <f t="shared" si="542"/>
        <v>0</v>
      </c>
      <c r="P1819" s="126">
        <f>IF(E1819="Y",0,SUMIFS('Support - Transition'!G:G,'Support - Transition'!J:J,'Step 2'!D1819,'Support - Transition'!E:E,"2009 SCHOOL ALLOCATION FACTOR"))</f>
        <v>0</v>
      </c>
      <c r="Q1819" s="126">
        <f>IF(E1819="Y",VLOOKUP(D1819,'Support - Unit Adjustments'!F:G,2,FALSE),0)</f>
        <v>0</v>
      </c>
      <c r="R1819" s="155">
        <f t="shared" si="554"/>
        <v>0</v>
      </c>
      <c r="S1819" s="47">
        <f t="shared" si="553"/>
        <v>0</v>
      </c>
      <c r="T1819" s="151">
        <f t="shared" si="538"/>
        <v>481</v>
      </c>
      <c r="U1819" s="151">
        <f t="shared" si="539"/>
        <v>0</v>
      </c>
      <c r="V1819" s="139">
        <f t="shared" si="540"/>
        <v>0</v>
      </c>
      <c r="W1819" s="152">
        <f t="shared" si="543"/>
        <v>481</v>
      </c>
      <c r="X1819" s="127" t="str">
        <f t="shared" si="541"/>
        <v/>
      </c>
      <c r="Y1819" s="207">
        <f t="shared" si="544"/>
        <v>481</v>
      </c>
      <c r="Z1819" s="139">
        <f t="shared" si="545"/>
        <v>332</v>
      </c>
      <c r="AA1819" s="139">
        <f t="shared" si="546"/>
        <v>149</v>
      </c>
      <c r="AC1819" s="47">
        <f t="shared" si="547"/>
        <v>241</v>
      </c>
      <c r="AD1819" s="47">
        <f t="shared" si="548"/>
        <v>166</v>
      </c>
      <c r="AE1819" s="47">
        <f t="shared" si="549"/>
        <v>75</v>
      </c>
      <c r="AG1819" s="47">
        <f t="shared" si="550"/>
        <v>240</v>
      </c>
      <c r="AH1819" s="47">
        <f t="shared" si="551"/>
        <v>166</v>
      </c>
      <c r="AI1819" s="208">
        <f t="shared" si="552"/>
        <v>74</v>
      </c>
    </row>
    <row r="1820" spans="1:35">
      <c r="A1820" t="s">
        <v>2144</v>
      </c>
      <c r="B1820" t="s">
        <v>3142</v>
      </c>
      <c r="C1820" t="s">
        <v>2193</v>
      </c>
      <c r="D1820" t="s">
        <v>5280</v>
      </c>
      <c r="F1820" t="s">
        <v>291</v>
      </c>
      <c r="G1820" s="126">
        <f>SUMIFS('Support - Transition'!F:F,'Support - Transition'!B:B,'Step 2'!A1820,'Support - Transition'!C:C,'Step 2'!B1820,'Support - Transition'!D:D,'Step 2'!C1820,'Support - Transition'!E:E,"CIVIL")</f>
        <v>5.0000000000000004E-6</v>
      </c>
      <c r="H1820" s="126">
        <f>SUMIFS('Support - Transition'!F:F,'Support - Transition'!B:B,'Step 2'!A1820,'Support - Transition'!C:C,'Step 2'!B1820,'Support - Transition'!D:D,'Step 2'!C1820,'Support - Transition'!E:E,"FIRE")</f>
        <v>5.0000000000000004E-6</v>
      </c>
      <c r="I1820" s="126">
        <f>IF(B1820="0",SUMIFS('Support - Transition'!F:F,'Support - Transition'!J:J,'Step 2'!D1820,'Support - Transition'!E:E,"STATE UNIT"),SUMIFS('Support - Transition'!F:F,'Support - Transition'!J:J,'Step 2'!D1820))</f>
        <v>1.0000000000000001E-5</v>
      </c>
      <c r="J1820" s="126">
        <f>SUMIFS('Support - Unit Adjustments'!E:E,'Support - Unit Adjustments'!F:F,'Step 2'!D1820)</f>
        <v>0</v>
      </c>
      <c r="K1820" s="126">
        <f t="shared" si="536"/>
        <v>1.0000000000000001E-5</v>
      </c>
      <c r="L1820" s="174">
        <f>VLOOKUP(A1820,'Step 1'!$A:$E,4,FALSE)</f>
        <v>202322</v>
      </c>
      <c r="M1820" s="47">
        <f t="shared" si="537"/>
        <v>2</v>
      </c>
      <c r="N1820" s="177">
        <f>SUMIFS('Support - Transition'!G:G,'Support - Transition'!J:J,'Step 2'!D1820,'Support - Transition'!E:E,"2009 WELFARE ALLOCATION FACTOR")</f>
        <v>0</v>
      </c>
      <c r="O1820" s="152">
        <f t="shared" si="542"/>
        <v>0</v>
      </c>
      <c r="P1820" s="126">
        <f>IF(E1820="Y",0,SUMIFS('Support - Transition'!G:G,'Support - Transition'!J:J,'Step 2'!D1820,'Support - Transition'!E:E,"2009 SCHOOL ALLOCATION FACTOR"))</f>
        <v>0</v>
      </c>
      <c r="Q1820" s="126">
        <f>IF(E1820="Y",VLOOKUP(D1820,'Support - Unit Adjustments'!F:G,2,FALSE),0)</f>
        <v>0</v>
      </c>
      <c r="R1820" s="155">
        <f t="shared" si="554"/>
        <v>0</v>
      </c>
      <c r="S1820" s="47">
        <f t="shared" si="553"/>
        <v>0</v>
      </c>
      <c r="T1820" s="151">
        <f t="shared" si="538"/>
        <v>2</v>
      </c>
      <c r="U1820" s="151">
        <f t="shared" si="539"/>
        <v>0</v>
      </c>
      <c r="V1820" s="139">
        <f t="shared" si="540"/>
        <v>0</v>
      </c>
      <c r="W1820" s="152">
        <f t="shared" si="543"/>
        <v>2</v>
      </c>
      <c r="X1820" s="127" t="str">
        <f t="shared" si="541"/>
        <v/>
      </c>
      <c r="Y1820" s="207">
        <f t="shared" si="544"/>
        <v>2</v>
      </c>
      <c r="Z1820" s="139">
        <f t="shared" si="545"/>
        <v>1</v>
      </c>
      <c r="AA1820" s="139">
        <f t="shared" si="546"/>
        <v>1</v>
      </c>
      <c r="AC1820" s="47">
        <f t="shared" si="547"/>
        <v>1</v>
      </c>
      <c r="AD1820" s="47">
        <f t="shared" si="548"/>
        <v>1</v>
      </c>
      <c r="AE1820" s="47">
        <f t="shared" si="549"/>
        <v>1</v>
      </c>
      <c r="AG1820" s="47">
        <f t="shared" si="550"/>
        <v>1</v>
      </c>
      <c r="AH1820" s="47">
        <f t="shared" si="551"/>
        <v>0</v>
      </c>
      <c r="AI1820" s="208">
        <f t="shared" si="552"/>
        <v>0</v>
      </c>
    </row>
    <row r="1821" spans="1:35">
      <c r="A1821" t="s">
        <v>2144</v>
      </c>
      <c r="B1821" t="s">
        <v>3142</v>
      </c>
      <c r="C1821" t="s">
        <v>2194</v>
      </c>
      <c r="D1821" t="s">
        <v>5281</v>
      </c>
      <c r="F1821" t="s">
        <v>50</v>
      </c>
      <c r="G1821" s="126">
        <f>SUMIFS('Support - Transition'!F:F,'Support - Transition'!B:B,'Step 2'!A1821,'Support - Transition'!C:C,'Step 2'!B1821,'Support - Transition'!D:D,'Step 2'!C1821,'Support - Transition'!E:E,"CIVIL")</f>
        <v>2.6999999999999999E-5</v>
      </c>
      <c r="H1821" s="126">
        <f>SUMIFS('Support - Transition'!F:F,'Support - Transition'!B:B,'Step 2'!A1821,'Support - Transition'!C:C,'Step 2'!B1821,'Support - Transition'!D:D,'Step 2'!C1821,'Support - Transition'!E:E,"FIRE")</f>
        <v>9.0000000000000002E-6</v>
      </c>
      <c r="I1821" s="126">
        <f>IF(B1821="0",SUMIFS('Support - Transition'!F:F,'Support - Transition'!J:J,'Step 2'!D1821,'Support - Transition'!E:E,"STATE UNIT"),SUMIFS('Support - Transition'!F:F,'Support - Transition'!J:J,'Step 2'!D1821))</f>
        <v>3.6000000000000001E-5</v>
      </c>
      <c r="J1821" s="126">
        <f>SUMIFS('Support - Unit Adjustments'!E:E,'Support - Unit Adjustments'!F:F,'Step 2'!D1821)</f>
        <v>0</v>
      </c>
      <c r="K1821" s="126">
        <f t="shared" si="536"/>
        <v>3.6000000000000001E-5</v>
      </c>
      <c r="L1821" s="174">
        <f>VLOOKUP(A1821,'Step 1'!$A:$E,4,FALSE)</f>
        <v>202322</v>
      </c>
      <c r="M1821" s="47">
        <f t="shared" si="537"/>
        <v>7</v>
      </c>
      <c r="N1821" s="177">
        <f>SUMIFS('Support - Transition'!G:G,'Support - Transition'!J:J,'Step 2'!D1821,'Support - Transition'!E:E,"2009 WELFARE ALLOCATION FACTOR")</f>
        <v>0</v>
      </c>
      <c r="O1821" s="152">
        <f t="shared" si="542"/>
        <v>0</v>
      </c>
      <c r="P1821" s="126">
        <f>IF(E1821="Y",0,SUMIFS('Support - Transition'!G:G,'Support - Transition'!J:J,'Step 2'!D1821,'Support - Transition'!E:E,"2009 SCHOOL ALLOCATION FACTOR"))</f>
        <v>0</v>
      </c>
      <c r="Q1821" s="126">
        <f>IF(E1821="Y",VLOOKUP(D1821,'Support - Unit Adjustments'!F:G,2,FALSE),0)</f>
        <v>0</v>
      </c>
      <c r="R1821" s="155">
        <f t="shared" si="554"/>
        <v>0</v>
      </c>
      <c r="S1821" s="47">
        <f t="shared" si="553"/>
        <v>0</v>
      </c>
      <c r="T1821" s="151">
        <f t="shared" si="538"/>
        <v>7</v>
      </c>
      <c r="U1821" s="151">
        <f t="shared" si="539"/>
        <v>0</v>
      </c>
      <c r="V1821" s="139">
        <f t="shared" si="540"/>
        <v>0</v>
      </c>
      <c r="W1821" s="152">
        <f t="shared" si="543"/>
        <v>7</v>
      </c>
      <c r="X1821" s="127" t="str">
        <f t="shared" si="541"/>
        <v/>
      </c>
      <c r="Y1821" s="207">
        <f t="shared" si="544"/>
        <v>7</v>
      </c>
      <c r="Z1821" s="139">
        <f t="shared" si="545"/>
        <v>5</v>
      </c>
      <c r="AA1821" s="139">
        <f t="shared" si="546"/>
        <v>2</v>
      </c>
      <c r="AC1821" s="47">
        <f t="shared" si="547"/>
        <v>4</v>
      </c>
      <c r="AD1821" s="47">
        <f t="shared" si="548"/>
        <v>3</v>
      </c>
      <c r="AE1821" s="47">
        <f t="shared" si="549"/>
        <v>1</v>
      </c>
      <c r="AG1821" s="47">
        <f t="shared" si="550"/>
        <v>3</v>
      </c>
      <c r="AH1821" s="47">
        <f t="shared" si="551"/>
        <v>2</v>
      </c>
      <c r="AI1821" s="208">
        <f t="shared" si="552"/>
        <v>1</v>
      </c>
    </row>
    <row r="1822" spans="1:35">
      <c r="A1822" t="s">
        <v>2144</v>
      </c>
      <c r="B1822" t="s">
        <v>3142</v>
      </c>
      <c r="C1822" t="s">
        <v>2195</v>
      </c>
      <c r="D1822" t="s">
        <v>5282</v>
      </c>
      <c r="F1822" t="s">
        <v>53</v>
      </c>
      <c r="G1822" s="126">
        <f>SUMIFS('Support - Transition'!F:F,'Support - Transition'!B:B,'Step 2'!A1822,'Support - Transition'!C:C,'Step 2'!B1822,'Support - Transition'!D:D,'Step 2'!C1822,'Support - Transition'!E:E,"CIVIL")</f>
        <v>1.41E-3</v>
      </c>
      <c r="H1822" s="126">
        <f>SUMIFS('Support - Transition'!F:F,'Support - Transition'!B:B,'Step 2'!A1822,'Support - Transition'!C:C,'Step 2'!B1822,'Support - Transition'!D:D,'Step 2'!C1822,'Support - Transition'!E:E,"FIRE")</f>
        <v>5.5400000000000002E-4</v>
      </c>
      <c r="I1822" s="126">
        <f>IF(B1822="0",SUMIFS('Support - Transition'!F:F,'Support - Transition'!J:J,'Step 2'!D1822,'Support - Transition'!E:E,"STATE UNIT"),SUMIFS('Support - Transition'!F:F,'Support - Transition'!J:J,'Step 2'!D1822))</f>
        <v>1.964E-3</v>
      </c>
      <c r="J1822" s="126">
        <f>SUMIFS('Support - Unit Adjustments'!E:E,'Support - Unit Adjustments'!F:F,'Step 2'!D1822)</f>
        <v>0</v>
      </c>
      <c r="K1822" s="126">
        <f t="shared" si="536"/>
        <v>1.964E-3</v>
      </c>
      <c r="L1822" s="174">
        <f>VLOOKUP(A1822,'Step 1'!$A:$E,4,FALSE)</f>
        <v>202322</v>
      </c>
      <c r="M1822" s="47">
        <f t="shared" si="537"/>
        <v>397</v>
      </c>
      <c r="N1822" s="177">
        <f>SUMIFS('Support - Transition'!G:G,'Support - Transition'!J:J,'Step 2'!D1822,'Support - Transition'!E:E,"2009 WELFARE ALLOCATION FACTOR")</f>
        <v>0</v>
      </c>
      <c r="O1822" s="152">
        <f t="shared" si="542"/>
        <v>0</v>
      </c>
      <c r="P1822" s="126">
        <f>IF(E1822="Y",0,SUMIFS('Support - Transition'!G:G,'Support - Transition'!J:J,'Step 2'!D1822,'Support - Transition'!E:E,"2009 SCHOOL ALLOCATION FACTOR"))</f>
        <v>0</v>
      </c>
      <c r="Q1822" s="126">
        <f>IF(E1822="Y",VLOOKUP(D1822,'Support - Unit Adjustments'!F:G,2,FALSE),0)</f>
        <v>0</v>
      </c>
      <c r="R1822" s="155">
        <f t="shared" si="554"/>
        <v>0</v>
      </c>
      <c r="S1822" s="47">
        <f t="shared" si="553"/>
        <v>0</v>
      </c>
      <c r="T1822" s="151">
        <f t="shared" si="538"/>
        <v>397</v>
      </c>
      <c r="U1822" s="151">
        <f t="shared" si="539"/>
        <v>0</v>
      </c>
      <c r="V1822" s="139">
        <f t="shared" si="540"/>
        <v>0</v>
      </c>
      <c r="W1822" s="152">
        <f t="shared" si="543"/>
        <v>397</v>
      </c>
      <c r="X1822" s="127" t="str">
        <f t="shared" si="541"/>
        <v/>
      </c>
      <c r="Y1822" s="207">
        <f t="shared" si="544"/>
        <v>397</v>
      </c>
      <c r="Z1822" s="139">
        <f t="shared" si="545"/>
        <v>285</v>
      </c>
      <c r="AA1822" s="139">
        <f t="shared" si="546"/>
        <v>112</v>
      </c>
      <c r="AC1822" s="47">
        <f t="shared" si="547"/>
        <v>199</v>
      </c>
      <c r="AD1822" s="47">
        <f t="shared" si="548"/>
        <v>143</v>
      </c>
      <c r="AE1822" s="47">
        <f t="shared" si="549"/>
        <v>56</v>
      </c>
      <c r="AG1822" s="47">
        <f t="shared" si="550"/>
        <v>198</v>
      </c>
      <c r="AH1822" s="47">
        <f t="shared" si="551"/>
        <v>142</v>
      </c>
      <c r="AI1822" s="208">
        <f t="shared" si="552"/>
        <v>56</v>
      </c>
    </row>
    <row r="1823" spans="1:35">
      <c r="A1823" t="s">
        <v>2144</v>
      </c>
      <c r="B1823" t="s">
        <v>3142</v>
      </c>
      <c r="C1823" t="s">
        <v>2196</v>
      </c>
      <c r="D1823" t="s">
        <v>5283</v>
      </c>
      <c r="F1823" t="s">
        <v>568</v>
      </c>
      <c r="G1823" s="126">
        <f>SUMIFS('Support - Transition'!F:F,'Support - Transition'!B:B,'Step 2'!A1823,'Support - Transition'!C:C,'Step 2'!B1823,'Support - Transition'!D:D,'Step 2'!C1823,'Support - Transition'!E:E,"CIVIL")</f>
        <v>2.1599999999999999E-4</v>
      </c>
      <c r="H1823" s="126">
        <f>SUMIFS('Support - Transition'!F:F,'Support - Transition'!B:B,'Step 2'!A1823,'Support - Transition'!C:C,'Step 2'!B1823,'Support - Transition'!D:D,'Step 2'!C1823,'Support - Transition'!E:E,"FIRE")</f>
        <v>4.1E-5</v>
      </c>
      <c r="I1823" s="126">
        <f>IF(B1823="0",SUMIFS('Support - Transition'!F:F,'Support - Transition'!J:J,'Step 2'!D1823,'Support - Transition'!E:E,"STATE UNIT"),SUMIFS('Support - Transition'!F:F,'Support - Transition'!J:J,'Step 2'!D1823))</f>
        <v>2.5700000000000001E-4</v>
      </c>
      <c r="J1823" s="126">
        <f>SUMIFS('Support - Unit Adjustments'!E:E,'Support - Unit Adjustments'!F:F,'Step 2'!D1823)</f>
        <v>0</v>
      </c>
      <c r="K1823" s="126">
        <f t="shared" si="536"/>
        <v>2.5700000000000001E-4</v>
      </c>
      <c r="L1823" s="174">
        <f>VLOOKUP(A1823,'Step 1'!$A:$E,4,FALSE)</f>
        <v>202322</v>
      </c>
      <c r="M1823" s="47">
        <f t="shared" si="537"/>
        <v>52</v>
      </c>
      <c r="N1823" s="177">
        <f>SUMIFS('Support - Transition'!G:G,'Support - Transition'!J:J,'Step 2'!D1823,'Support - Transition'!E:E,"2009 WELFARE ALLOCATION FACTOR")</f>
        <v>0</v>
      </c>
      <c r="O1823" s="152">
        <f t="shared" si="542"/>
        <v>0</v>
      </c>
      <c r="P1823" s="126">
        <f>IF(E1823="Y",0,SUMIFS('Support - Transition'!G:G,'Support - Transition'!J:J,'Step 2'!D1823,'Support - Transition'!E:E,"2009 SCHOOL ALLOCATION FACTOR"))</f>
        <v>0</v>
      </c>
      <c r="Q1823" s="126">
        <f>IF(E1823="Y",VLOOKUP(D1823,'Support - Unit Adjustments'!F:G,2,FALSE),0)</f>
        <v>0</v>
      </c>
      <c r="R1823" s="155">
        <f t="shared" si="554"/>
        <v>0</v>
      </c>
      <c r="S1823" s="47">
        <f t="shared" si="553"/>
        <v>0</v>
      </c>
      <c r="T1823" s="151">
        <f t="shared" si="538"/>
        <v>52</v>
      </c>
      <c r="U1823" s="151">
        <f t="shared" si="539"/>
        <v>0</v>
      </c>
      <c r="V1823" s="139">
        <f t="shared" si="540"/>
        <v>0</v>
      </c>
      <c r="W1823" s="152">
        <f t="shared" si="543"/>
        <v>52</v>
      </c>
      <c r="X1823" s="127" t="str">
        <f t="shared" si="541"/>
        <v/>
      </c>
      <c r="Y1823" s="207">
        <f t="shared" si="544"/>
        <v>52</v>
      </c>
      <c r="Z1823" s="139">
        <f t="shared" si="545"/>
        <v>44</v>
      </c>
      <c r="AA1823" s="139">
        <f t="shared" si="546"/>
        <v>8</v>
      </c>
      <c r="AC1823" s="47">
        <f t="shared" si="547"/>
        <v>26</v>
      </c>
      <c r="AD1823" s="47">
        <f t="shared" si="548"/>
        <v>22</v>
      </c>
      <c r="AE1823" s="47">
        <f t="shared" si="549"/>
        <v>4</v>
      </c>
      <c r="AG1823" s="47">
        <f t="shared" si="550"/>
        <v>26</v>
      </c>
      <c r="AH1823" s="47">
        <f t="shared" si="551"/>
        <v>22</v>
      </c>
      <c r="AI1823" s="208">
        <f t="shared" si="552"/>
        <v>4</v>
      </c>
    </row>
    <row r="1824" spans="1:35">
      <c r="A1824" t="s">
        <v>2144</v>
      </c>
      <c r="B1824" t="s">
        <v>3142</v>
      </c>
      <c r="C1824" t="s">
        <v>2197</v>
      </c>
      <c r="D1824" t="s">
        <v>5284</v>
      </c>
      <c r="F1824" t="s">
        <v>691</v>
      </c>
      <c r="G1824" s="126">
        <f>SUMIFS('Support - Transition'!F:F,'Support - Transition'!B:B,'Step 2'!A1824,'Support - Transition'!C:C,'Step 2'!B1824,'Support - Transition'!D:D,'Step 2'!C1824,'Support - Transition'!E:E,"CIVIL")</f>
        <v>1.8000000000000001E-4</v>
      </c>
      <c r="H1824" s="126">
        <f>SUMIFS('Support - Transition'!F:F,'Support - Transition'!B:B,'Step 2'!A1824,'Support - Transition'!C:C,'Step 2'!B1824,'Support - Transition'!D:D,'Step 2'!C1824,'Support - Transition'!E:E,"FIRE")</f>
        <v>3.1999999999999999E-5</v>
      </c>
      <c r="I1824" s="126">
        <f>IF(B1824="0",SUMIFS('Support - Transition'!F:F,'Support - Transition'!J:J,'Step 2'!D1824,'Support - Transition'!E:E,"STATE UNIT"),SUMIFS('Support - Transition'!F:F,'Support - Transition'!J:J,'Step 2'!D1824))</f>
        <v>2.12E-4</v>
      </c>
      <c r="J1824" s="126">
        <f>SUMIFS('Support - Unit Adjustments'!E:E,'Support - Unit Adjustments'!F:F,'Step 2'!D1824)</f>
        <v>0</v>
      </c>
      <c r="K1824" s="126">
        <f t="shared" si="536"/>
        <v>2.12E-4</v>
      </c>
      <c r="L1824" s="174">
        <f>VLOOKUP(A1824,'Step 1'!$A:$E,4,FALSE)</f>
        <v>202322</v>
      </c>
      <c r="M1824" s="47">
        <f t="shared" si="537"/>
        <v>43</v>
      </c>
      <c r="N1824" s="177">
        <f>SUMIFS('Support - Transition'!G:G,'Support - Transition'!J:J,'Step 2'!D1824,'Support - Transition'!E:E,"2009 WELFARE ALLOCATION FACTOR")</f>
        <v>0</v>
      </c>
      <c r="O1824" s="152">
        <f t="shared" si="542"/>
        <v>0</v>
      </c>
      <c r="P1824" s="126">
        <f>IF(E1824="Y",0,SUMIFS('Support - Transition'!G:G,'Support - Transition'!J:J,'Step 2'!D1824,'Support - Transition'!E:E,"2009 SCHOOL ALLOCATION FACTOR"))</f>
        <v>0</v>
      </c>
      <c r="Q1824" s="126">
        <f>IF(E1824="Y",VLOOKUP(D1824,'Support - Unit Adjustments'!F:G,2,FALSE),0)</f>
        <v>0</v>
      </c>
      <c r="R1824" s="155">
        <f t="shared" si="554"/>
        <v>0</v>
      </c>
      <c r="S1824" s="47">
        <f t="shared" si="553"/>
        <v>0</v>
      </c>
      <c r="T1824" s="151">
        <f t="shared" si="538"/>
        <v>43</v>
      </c>
      <c r="U1824" s="151">
        <f t="shared" si="539"/>
        <v>0</v>
      </c>
      <c r="V1824" s="139">
        <f t="shared" si="540"/>
        <v>0</v>
      </c>
      <c r="W1824" s="152">
        <f t="shared" si="543"/>
        <v>43</v>
      </c>
      <c r="X1824" s="127" t="str">
        <f t="shared" si="541"/>
        <v/>
      </c>
      <c r="Y1824" s="207">
        <f t="shared" si="544"/>
        <v>43</v>
      </c>
      <c r="Z1824" s="139">
        <f t="shared" si="545"/>
        <v>37</v>
      </c>
      <c r="AA1824" s="139">
        <f t="shared" si="546"/>
        <v>6</v>
      </c>
      <c r="AC1824" s="47">
        <f t="shared" si="547"/>
        <v>22</v>
      </c>
      <c r="AD1824" s="47">
        <f t="shared" si="548"/>
        <v>19</v>
      </c>
      <c r="AE1824" s="47">
        <f t="shared" si="549"/>
        <v>3</v>
      </c>
      <c r="AG1824" s="47">
        <f t="shared" si="550"/>
        <v>21</v>
      </c>
      <c r="AH1824" s="47">
        <f t="shared" si="551"/>
        <v>18</v>
      </c>
      <c r="AI1824" s="208">
        <f t="shared" si="552"/>
        <v>3</v>
      </c>
    </row>
    <row r="1825" spans="1:35">
      <c r="A1825" t="s">
        <v>2144</v>
      </c>
      <c r="B1825" t="s">
        <v>3142</v>
      </c>
      <c r="C1825" t="s">
        <v>2198</v>
      </c>
      <c r="D1825" t="s">
        <v>5285</v>
      </c>
      <c r="F1825" t="s">
        <v>627</v>
      </c>
      <c r="G1825" s="126">
        <f>SUMIFS('Support - Transition'!F:F,'Support - Transition'!B:B,'Step 2'!A1825,'Support - Transition'!C:C,'Step 2'!B1825,'Support - Transition'!D:D,'Step 2'!C1825,'Support - Transition'!E:E,"CIVIL")</f>
        <v>4.3199999999999998E-4</v>
      </c>
      <c r="H1825" s="126">
        <f>SUMIFS('Support - Transition'!F:F,'Support - Transition'!B:B,'Step 2'!A1825,'Support - Transition'!C:C,'Step 2'!B1825,'Support - Transition'!D:D,'Step 2'!C1825,'Support - Transition'!E:E,"FIRE")</f>
        <v>1.9799999999999999E-4</v>
      </c>
      <c r="I1825" s="126">
        <f>IF(B1825="0",SUMIFS('Support - Transition'!F:F,'Support - Transition'!J:J,'Step 2'!D1825,'Support - Transition'!E:E,"STATE UNIT"),SUMIFS('Support - Transition'!F:F,'Support - Transition'!J:J,'Step 2'!D1825))</f>
        <v>6.2999999999999992E-4</v>
      </c>
      <c r="J1825" s="126">
        <f>SUMIFS('Support - Unit Adjustments'!E:E,'Support - Unit Adjustments'!F:F,'Step 2'!D1825)</f>
        <v>0</v>
      </c>
      <c r="K1825" s="126">
        <f t="shared" si="536"/>
        <v>6.2999999999999992E-4</v>
      </c>
      <c r="L1825" s="174">
        <f>VLOOKUP(A1825,'Step 1'!$A:$E,4,FALSE)</f>
        <v>202322</v>
      </c>
      <c r="M1825" s="47">
        <f t="shared" si="537"/>
        <v>127</v>
      </c>
      <c r="N1825" s="177">
        <f>SUMIFS('Support - Transition'!G:G,'Support - Transition'!J:J,'Step 2'!D1825,'Support - Transition'!E:E,"2009 WELFARE ALLOCATION FACTOR")</f>
        <v>0</v>
      </c>
      <c r="O1825" s="152">
        <f t="shared" si="542"/>
        <v>0</v>
      </c>
      <c r="P1825" s="126">
        <f>IF(E1825="Y",0,SUMIFS('Support - Transition'!G:G,'Support - Transition'!J:J,'Step 2'!D1825,'Support - Transition'!E:E,"2009 SCHOOL ALLOCATION FACTOR"))</f>
        <v>0</v>
      </c>
      <c r="Q1825" s="126">
        <f>IF(E1825="Y",VLOOKUP(D1825,'Support - Unit Adjustments'!F:G,2,FALSE),0)</f>
        <v>0</v>
      </c>
      <c r="R1825" s="155">
        <f t="shared" si="554"/>
        <v>0</v>
      </c>
      <c r="S1825" s="47">
        <f t="shared" si="553"/>
        <v>0</v>
      </c>
      <c r="T1825" s="151">
        <f t="shared" si="538"/>
        <v>127</v>
      </c>
      <c r="U1825" s="151">
        <f t="shared" si="539"/>
        <v>0</v>
      </c>
      <c r="V1825" s="139">
        <f t="shared" si="540"/>
        <v>0</v>
      </c>
      <c r="W1825" s="152">
        <f t="shared" si="543"/>
        <v>127</v>
      </c>
      <c r="X1825" s="127" t="str">
        <f t="shared" si="541"/>
        <v/>
      </c>
      <c r="Y1825" s="207">
        <f t="shared" si="544"/>
        <v>127</v>
      </c>
      <c r="Z1825" s="139">
        <f t="shared" si="545"/>
        <v>87</v>
      </c>
      <c r="AA1825" s="139">
        <f t="shared" si="546"/>
        <v>40</v>
      </c>
      <c r="AC1825" s="47">
        <f t="shared" si="547"/>
        <v>64</v>
      </c>
      <c r="AD1825" s="47">
        <f t="shared" si="548"/>
        <v>44</v>
      </c>
      <c r="AE1825" s="47">
        <f t="shared" si="549"/>
        <v>20</v>
      </c>
      <c r="AG1825" s="47">
        <f t="shared" si="550"/>
        <v>63</v>
      </c>
      <c r="AH1825" s="47">
        <f t="shared" si="551"/>
        <v>43</v>
      </c>
      <c r="AI1825" s="208">
        <f t="shared" si="552"/>
        <v>20</v>
      </c>
    </row>
    <row r="1826" spans="1:35">
      <c r="A1826" t="s">
        <v>2144</v>
      </c>
      <c r="B1826" t="s">
        <v>3142</v>
      </c>
      <c r="C1826" t="s">
        <v>2199</v>
      </c>
      <c r="D1826" t="s">
        <v>5286</v>
      </c>
      <c r="F1826" t="s">
        <v>22</v>
      </c>
      <c r="G1826" s="126">
        <f>SUMIFS('Support - Transition'!F:F,'Support - Transition'!B:B,'Step 2'!A1826,'Support - Transition'!C:C,'Step 2'!B1826,'Support - Transition'!D:D,'Step 2'!C1826,'Support - Transition'!E:E,"CIVIL")</f>
        <v>1.9661999999999999E-2</v>
      </c>
      <c r="H1826" s="126">
        <f>SUMIFS('Support - Transition'!F:F,'Support - Transition'!B:B,'Step 2'!A1826,'Support - Transition'!C:C,'Step 2'!B1826,'Support - Transition'!D:D,'Step 2'!C1826,'Support - Transition'!E:E,"FIRE")</f>
        <v>1.0130999999999999E-2</v>
      </c>
      <c r="I1826" s="126">
        <f>IF(B1826="0",SUMIFS('Support - Transition'!F:F,'Support - Transition'!J:J,'Step 2'!D1826,'Support - Transition'!E:E,"STATE UNIT"),SUMIFS('Support - Transition'!F:F,'Support - Transition'!J:J,'Step 2'!D1826))</f>
        <v>2.9793E-2</v>
      </c>
      <c r="J1826" s="126">
        <f>SUMIFS('Support - Unit Adjustments'!E:E,'Support - Unit Adjustments'!F:F,'Step 2'!D1826)</f>
        <v>0</v>
      </c>
      <c r="K1826" s="126">
        <f t="shared" si="536"/>
        <v>2.9793E-2</v>
      </c>
      <c r="L1826" s="174">
        <f>VLOOKUP(A1826,'Step 1'!$A:$E,4,FALSE)</f>
        <v>202322</v>
      </c>
      <c r="M1826" s="47">
        <f t="shared" si="537"/>
        <v>6028</v>
      </c>
      <c r="N1826" s="177">
        <f>SUMIFS('Support - Transition'!G:G,'Support - Transition'!J:J,'Step 2'!D1826,'Support - Transition'!E:E,"2009 WELFARE ALLOCATION FACTOR")</f>
        <v>0</v>
      </c>
      <c r="O1826" s="152">
        <f t="shared" si="542"/>
        <v>0</v>
      </c>
      <c r="P1826" s="126">
        <f>IF(E1826="Y",0,SUMIFS('Support - Transition'!G:G,'Support - Transition'!J:J,'Step 2'!D1826,'Support - Transition'!E:E,"2009 SCHOOL ALLOCATION FACTOR"))</f>
        <v>0</v>
      </c>
      <c r="Q1826" s="126">
        <f>IF(E1826="Y",VLOOKUP(D1826,'Support - Unit Adjustments'!F:G,2,FALSE),0)</f>
        <v>0</v>
      </c>
      <c r="R1826" s="155">
        <f t="shared" si="554"/>
        <v>0</v>
      </c>
      <c r="S1826" s="47">
        <f t="shared" si="553"/>
        <v>0</v>
      </c>
      <c r="T1826" s="151">
        <f t="shared" si="538"/>
        <v>6028</v>
      </c>
      <c r="U1826" s="151">
        <f t="shared" si="539"/>
        <v>0</v>
      </c>
      <c r="V1826" s="139">
        <f t="shared" si="540"/>
        <v>0</v>
      </c>
      <c r="W1826" s="152">
        <f t="shared" si="543"/>
        <v>6028</v>
      </c>
      <c r="X1826" s="127" t="str">
        <f t="shared" si="541"/>
        <v/>
      </c>
      <c r="Y1826" s="207">
        <f t="shared" si="544"/>
        <v>6028</v>
      </c>
      <c r="Z1826" s="139">
        <f t="shared" si="545"/>
        <v>3978</v>
      </c>
      <c r="AA1826" s="139">
        <f t="shared" si="546"/>
        <v>2050</v>
      </c>
      <c r="AC1826" s="47">
        <f t="shared" si="547"/>
        <v>3014</v>
      </c>
      <c r="AD1826" s="47">
        <f t="shared" si="548"/>
        <v>1989</v>
      </c>
      <c r="AE1826" s="47">
        <f t="shared" si="549"/>
        <v>1025</v>
      </c>
      <c r="AG1826" s="47">
        <f t="shared" si="550"/>
        <v>3014</v>
      </c>
      <c r="AH1826" s="47">
        <f t="shared" si="551"/>
        <v>1989</v>
      </c>
      <c r="AI1826" s="208">
        <f t="shared" si="552"/>
        <v>1025</v>
      </c>
    </row>
    <row r="1827" spans="1:35">
      <c r="A1827" t="s">
        <v>2144</v>
      </c>
      <c r="B1827" t="s">
        <v>3142</v>
      </c>
      <c r="C1827" t="s">
        <v>2208</v>
      </c>
      <c r="D1827" t="s">
        <v>5287</v>
      </c>
      <c r="F1827" t="s">
        <v>61</v>
      </c>
      <c r="G1827" s="126">
        <f>SUMIFS('Support - Transition'!F:F,'Support - Transition'!B:B,'Step 2'!A1827,'Support - Transition'!C:C,'Step 2'!B1827,'Support - Transition'!D:D,'Step 2'!C1827,'Support - Transition'!E:E,"CIVIL")</f>
        <v>1.26E-4</v>
      </c>
      <c r="H1827" s="126">
        <f>SUMIFS('Support - Transition'!F:F,'Support - Transition'!B:B,'Step 2'!A1827,'Support - Transition'!C:C,'Step 2'!B1827,'Support - Transition'!D:D,'Step 2'!C1827,'Support - Transition'!E:E,"FIRE")</f>
        <v>8.1000000000000004E-5</v>
      </c>
      <c r="I1827" s="126">
        <f>IF(B1827="0",SUMIFS('Support - Transition'!F:F,'Support - Transition'!J:J,'Step 2'!D1827,'Support - Transition'!E:E,"STATE UNIT"),SUMIFS('Support - Transition'!F:F,'Support - Transition'!J:J,'Step 2'!D1827))</f>
        <v>2.0699999999999999E-4</v>
      </c>
      <c r="J1827" s="126">
        <f>SUMIFS('Support - Unit Adjustments'!E:E,'Support - Unit Adjustments'!F:F,'Step 2'!D1827)</f>
        <v>0</v>
      </c>
      <c r="K1827" s="126">
        <f t="shared" si="536"/>
        <v>2.0699999999999999E-4</v>
      </c>
      <c r="L1827" s="174">
        <f>VLOOKUP(A1827,'Step 1'!$A:$E,4,FALSE)</f>
        <v>202322</v>
      </c>
      <c r="M1827" s="47">
        <f t="shared" si="537"/>
        <v>42</v>
      </c>
      <c r="N1827" s="177">
        <f>SUMIFS('Support - Transition'!G:G,'Support - Transition'!J:J,'Step 2'!D1827,'Support - Transition'!E:E,"2009 WELFARE ALLOCATION FACTOR")</f>
        <v>0</v>
      </c>
      <c r="O1827" s="152">
        <f t="shared" si="542"/>
        <v>0</v>
      </c>
      <c r="P1827" s="126">
        <f>IF(E1827="Y",0,SUMIFS('Support - Transition'!G:G,'Support - Transition'!J:J,'Step 2'!D1827,'Support - Transition'!E:E,"2009 SCHOOL ALLOCATION FACTOR"))</f>
        <v>0</v>
      </c>
      <c r="Q1827" s="126">
        <f>IF(E1827="Y",VLOOKUP(D1827,'Support - Unit Adjustments'!F:G,2,FALSE),0)</f>
        <v>0</v>
      </c>
      <c r="R1827" s="155">
        <f t="shared" si="554"/>
        <v>0</v>
      </c>
      <c r="S1827" s="47">
        <f t="shared" si="553"/>
        <v>0</v>
      </c>
      <c r="T1827" s="151">
        <f t="shared" si="538"/>
        <v>42</v>
      </c>
      <c r="U1827" s="151">
        <f t="shared" si="539"/>
        <v>0</v>
      </c>
      <c r="V1827" s="139">
        <f t="shared" si="540"/>
        <v>0</v>
      </c>
      <c r="W1827" s="152">
        <f t="shared" si="543"/>
        <v>42</v>
      </c>
      <c r="X1827" s="127" t="str">
        <f t="shared" si="541"/>
        <v/>
      </c>
      <c r="Y1827" s="207">
        <f t="shared" si="544"/>
        <v>42</v>
      </c>
      <c r="Z1827" s="139">
        <f t="shared" si="545"/>
        <v>26</v>
      </c>
      <c r="AA1827" s="139">
        <f t="shared" si="546"/>
        <v>16</v>
      </c>
      <c r="AC1827" s="47">
        <f t="shared" si="547"/>
        <v>21</v>
      </c>
      <c r="AD1827" s="47">
        <f t="shared" si="548"/>
        <v>13</v>
      </c>
      <c r="AE1827" s="47">
        <f t="shared" si="549"/>
        <v>8</v>
      </c>
      <c r="AG1827" s="47">
        <f t="shared" si="550"/>
        <v>21</v>
      </c>
      <c r="AH1827" s="47">
        <f t="shared" si="551"/>
        <v>13</v>
      </c>
      <c r="AI1827" s="208">
        <f t="shared" si="552"/>
        <v>8</v>
      </c>
    </row>
    <row r="1828" spans="1:35">
      <c r="A1828" t="s">
        <v>2144</v>
      </c>
      <c r="B1828" t="s">
        <v>3155</v>
      </c>
      <c r="C1828" t="s">
        <v>2739</v>
      </c>
      <c r="D1828" t="s">
        <v>5288</v>
      </c>
      <c r="F1828" t="s">
        <v>1364</v>
      </c>
      <c r="G1828" s="126">
        <f>SUMIFS('Support - Transition'!F:F,'Support - Transition'!B:B,'Step 2'!A1828,'Support - Transition'!C:C,'Step 2'!B1828,'Support - Transition'!D:D,'Step 2'!C1828,'Support - Transition'!E:E,"CIVIL")</f>
        <v>0</v>
      </c>
      <c r="H1828" s="126">
        <f>SUMIFS('Support - Transition'!F:F,'Support - Transition'!B:B,'Step 2'!A1828,'Support - Transition'!C:C,'Step 2'!B1828,'Support - Transition'!D:D,'Step 2'!C1828,'Support - Transition'!E:E,"FIRE")</f>
        <v>0</v>
      </c>
      <c r="I1828" s="126">
        <f>IF(B1828="0",SUMIFS('Support - Transition'!F:F,'Support - Transition'!J:J,'Step 2'!D1828,'Support - Transition'!E:E,"STATE UNIT"),SUMIFS('Support - Transition'!F:F,'Support - Transition'!J:J,'Step 2'!D1828))</f>
        <v>0</v>
      </c>
      <c r="J1828" s="126">
        <f>SUMIFS('Support - Unit Adjustments'!E:E,'Support - Unit Adjustments'!F:F,'Step 2'!D1828)</f>
        <v>0</v>
      </c>
      <c r="K1828" s="126">
        <f t="shared" si="536"/>
        <v>0</v>
      </c>
      <c r="L1828" s="174">
        <f>VLOOKUP(A1828,'Step 1'!$A:$E,4,FALSE)</f>
        <v>202322</v>
      </c>
      <c r="M1828" s="47">
        <f t="shared" si="537"/>
        <v>0</v>
      </c>
      <c r="N1828" s="177">
        <f>SUMIFS('Support - Transition'!G:G,'Support - Transition'!J:J,'Step 2'!D1828,'Support - Transition'!E:E,"2009 WELFARE ALLOCATION FACTOR")</f>
        <v>0</v>
      </c>
      <c r="O1828" s="152">
        <f t="shared" si="542"/>
        <v>0</v>
      </c>
      <c r="P1828" s="126">
        <f>IF(E1828="Y",0,SUMIFS('Support - Transition'!G:G,'Support - Transition'!J:J,'Step 2'!D1828,'Support - Transition'!E:E,"2009 SCHOOL ALLOCATION FACTOR"))</f>
        <v>0</v>
      </c>
      <c r="Q1828" s="126">
        <f>IF(E1828="Y",VLOOKUP(D1828,'Support - Unit Adjustments'!F:G,2,FALSE),0)</f>
        <v>0</v>
      </c>
      <c r="R1828" s="155">
        <f t="shared" si="554"/>
        <v>0</v>
      </c>
      <c r="S1828" s="47">
        <f t="shared" si="553"/>
        <v>0</v>
      </c>
      <c r="T1828" s="151">
        <f t="shared" si="538"/>
        <v>0</v>
      </c>
      <c r="U1828" s="151">
        <f t="shared" si="539"/>
        <v>0</v>
      </c>
      <c r="V1828" s="139">
        <f t="shared" si="540"/>
        <v>0</v>
      </c>
      <c r="W1828" s="152">
        <f t="shared" si="543"/>
        <v>0</v>
      </c>
      <c r="X1828" s="127" t="str">
        <f t="shared" si="541"/>
        <v/>
      </c>
      <c r="Y1828" s="207">
        <f t="shared" si="544"/>
        <v>0</v>
      </c>
      <c r="Z1828" s="139">
        <f t="shared" si="545"/>
        <v>0</v>
      </c>
      <c r="AA1828" s="139">
        <f t="shared" si="546"/>
        <v>0</v>
      </c>
      <c r="AC1828" s="47">
        <f t="shared" si="547"/>
        <v>0</v>
      </c>
      <c r="AD1828" s="47">
        <f t="shared" si="548"/>
        <v>0</v>
      </c>
      <c r="AE1828" s="47">
        <f t="shared" si="549"/>
        <v>0</v>
      </c>
      <c r="AG1828" s="47">
        <f t="shared" si="550"/>
        <v>0</v>
      </c>
      <c r="AH1828" s="47">
        <f t="shared" si="551"/>
        <v>0</v>
      </c>
      <c r="AI1828" s="208">
        <f t="shared" si="552"/>
        <v>0</v>
      </c>
    </row>
    <row r="1829" spans="1:35">
      <c r="A1829" t="s">
        <v>2144</v>
      </c>
      <c r="B1829" t="s">
        <v>3155</v>
      </c>
      <c r="C1829" t="s">
        <v>2763</v>
      </c>
      <c r="D1829" t="s">
        <v>5289</v>
      </c>
      <c r="F1829" t="s">
        <v>1363</v>
      </c>
      <c r="G1829" s="126">
        <f>SUMIFS('Support - Transition'!F:F,'Support - Transition'!B:B,'Step 2'!A1829,'Support - Transition'!C:C,'Step 2'!B1829,'Support - Transition'!D:D,'Step 2'!C1829,'Support - Transition'!E:E,"CIVIL")</f>
        <v>0</v>
      </c>
      <c r="H1829" s="126">
        <f>SUMIFS('Support - Transition'!F:F,'Support - Transition'!B:B,'Step 2'!A1829,'Support - Transition'!C:C,'Step 2'!B1829,'Support - Transition'!D:D,'Step 2'!C1829,'Support - Transition'!E:E,"FIRE")</f>
        <v>0</v>
      </c>
      <c r="I1829" s="126">
        <f>IF(B1829="0",SUMIFS('Support - Transition'!F:F,'Support - Transition'!J:J,'Step 2'!D1829,'Support - Transition'!E:E,"STATE UNIT"),SUMIFS('Support - Transition'!F:F,'Support - Transition'!J:J,'Step 2'!D1829))</f>
        <v>6.2480000000000001E-3</v>
      </c>
      <c r="J1829" s="126">
        <f>SUMIFS('Support - Unit Adjustments'!E:E,'Support - Unit Adjustments'!F:F,'Step 2'!D1829)</f>
        <v>0</v>
      </c>
      <c r="K1829" s="126">
        <f t="shared" si="536"/>
        <v>6.2480000000000001E-3</v>
      </c>
      <c r="L1829" s="174">
        <f>VLOOKUP(A1829,'Step 1'!$A:$E,4,FALSE)</f>
        <v>202322</v>
      </c>
      <c r="M1829" s="47">
        <f t="shared" si="537"/>
        <v>1264</v>
      </c>
      <c r="N1829" s="177">
        <f>SUMIFS('Support - Transition'!G:G,'Support - Transition'!J:J,'Step 2'!D1829,'Support - Transition'!E:E,"2009 WELFARE ALLOCATION FACTOR")</f>
        <v>0</v>
      </c>
      <c r="O1829" s="152">
        <f t="shared" si="542"/>
        <v>0</v>
      </c>
      <c r="P1829" s="126">
        <f>IF(E1829="Y",0,SUMIFS('Support - Transition'!G:G,'Support - Transition'!J:J,'Step 2'!D1829,'Support - Transition'!E:E,"2009 SCHOOL ALLOCATION FACTOR"))</f>
        <v>0</v>
      </c>
      <c r="Q1829" s="126">
        <f>IF(E1829="Y",VLOOKUP(D1829,'Support - Unit Adjustments'!F:G,2,FALSE),0)</f>
        <v>0</v>
      </c>
      <c r="R1829" s="155">
        <f t="shared" si="554"/>
        <v>0</v>
      </c>
      <c r="S1829" s="47">
        <f t="shared" si="553"/>
        <v>0</v>
      </c>
      <c r="T1829" s="151">
        <f t="shared" si="538"/>
        <v>1264</v>
      </c>
      <c r="U1829" s="151">
        <f t="shared" si="539"/>
        <v>0</v>
      </c>
      <c r="V1829" s="139">
        <f t="shared" si="540"/>
        <v>0</v>
      </c>
      <c r="W1829" s="152">
        <f t="shared" si="543"/>
        <v>1264</v>
      </c>
      <c r="X1829" s="127" t="str">
        <f t="shared" si="541"/>
        <v/>
      </c>
      <c r="Y1829" s="207">
        <f t="shared" si="544"/>
        <v>1264</v>
      </c>
      <c r="Z1829" s="139">
        <f t="shared" si="545"/>
        <v>1264</v>
      </c>
      <c r="AA1829" s="139">
        <f t="shared" si="546"/>
        <v>0</v>
      </c>
      <c r="AC1829" s="47">
        <f t="shared" si="547"/>
        <v>632</v>
      </c>
      <c r="AD1829" s="47">
        <f t="shared" si="548"/>
        <v>632</v>
      </c>
      <c r="AE1829" s="47">
        <f t="shared" si="549"/>
        <v>0</v>
      </c>
      <c r="AG1829" s="47">
        <f t="shared" si="550"/>
        <v>632</v>
      </c>
      <c r="AH1829" s="47">
        <f t="shared" si="551"/>
        <v>632</v>
      </c>
      <c r="AI1829" s="208">
        <f t="shared" si="552"/>
        <v>0</v>
      </c>
    </row>
    <row r="1830" spans="1:35">
      <c r="A1830" t="s">
        <v>2144</v>
      </c>
      <c r="B1830" t="s">
        <v>3160</v>
      </c>
      <c r="C1830" t="s">
        <v>2902</v>
      </c>
      <c r="D1830" t="s">
        <v>5290</v>
      </c>
      <c r="F1830" t="s">
        <v>5291</v>
      </c>
      <c r="G1830" s="126">
        <f>SUMIFS('Support - Transition'!F:F,'Support - Transition'!B:B,'Step 2'!A1830,'Support - Transition'!C:C,'Step 2'!B1830,'Support - Transition'!D:D,'Step 2'!C1830,'Support - Transition'!E:E,"CIVIL")</f>
        <v>0</v>
      </c>
      <c r="H1830" s="126">
        <f>SUMIFS('Support - Transition'!F:F,'Support - Transition'!B:B,'Step 2'!A1830,'Support - Transition'!C:C,'Step 2'!B1830,'Support - Transition'!D:D,'Step 2'!C1830,'Support - Transition'!E:E,"FIRE")</f>
        <v>0</v>
      </c>
      <c r="I1830" s="126">
        <f>IF(B1830="0",SUMIFS('Support - Transition'!F:F,'Support - Transition'!J:J,'Step 2'!D1830,'Support - Transition'!E:E,"STATE UNIT"),SUMIFS('Support - Transition'!F:F,'Support - Transition'!J:J,'Step 2'!D1830))</f>
        <v>0.67374599999999996</v>
      </c>
      <c r="J1830" s="126">
        <f>SUMIFS('Support - Unit Adjustments'!E:E,'Support - Unit Adjustments'!F:F,'Step 2'!D1830)</f>
        <v>0</v>
      </c>
      <c r="K1830" s="126">
        <f t="shared" si="536"/>
        <v>0.67374599999999996</v>
      </c>
      <c r="L1830" s="174">
        <f>VLOOKUP(A1830,'Step 1'!$A:$E,4,FALSE)</f>
        <v>202322</v>
      </c>
      <c r="M1830" s="47">
        <f t="shared" si="537"/>
        <v>136314</v>
      </c>
      <c r="N1830" s="177">
        <f>SUMIFS('Support - Transition'!G:G,'Support - Transition'!J:J,'Step 2'!D1830,'Support - Transition'!E:E,"2009 WELFARE ALLOCATION FACTOR")</f>
        <v>0</v>
      </c>
      <c r="O1830" s="152">
        <f t="shared" si="542"/>
        <v>0</v>
      </c>
      <c r="P1830" s="126">
        <f>IF(E1830="Y",0,SUMIFS('Support - Transition'!G:G,'Support - Transition'!J:J,'Step 2'!D1830,'Support - Transition'!E:E,"2009 SCHOOL ALLOCATION FACTOR"))</f>
        <v>0.38364799999999999</v>
      </c>
      <c r="Q1830" s="126">
        <f>IF(E1830="Y",VLOOKUP(D1830,'Support - Unit Adjustments'!F:G,2,FALSE),0)</f>
        <v>0</v>
      </c>
      <c r="R1830" s="155">
        <f t="shared" si="554"/>
        <v>0.38364799999999999</v>
      </c>
      <c r="S1830" s="47">
        <f t="shared" si="553"/>
        <v>52297</v>
      </c>
      <c r="T1830" s="151">
        <f t="shared" si="538"/>
        <v>84017</v>
      </c>
      <c r="U1830" s="151">
        <f t="shared" si="539"/>
        <v>0</v>
      </c>
      <c r="V1830" s="139">
        <f t="shared" si="540"/>
        <v>0</v>
      </c>
      <c r="W1830" s="152">
        <f t="shared" si="543"/>
        <v>84017</v>
      </c>
      <c r="X1830" s="127" t="str">
        <f t="shared" si="541"/>
        <v/>
      </c>
      <c r="Y1830" s="207">
        <f t="shared" si="544"/>
        <v>84017</v>
      </c>
      <c r="Z1830" s="139">
        <f t="shared" si="545"/>
        <v>84017</v>
      </c>
      <c r="AA1830" s="139">
        <f t="shared" si="546"/>
        <v>0</v>
      </c>
      <c r="AC1830" s="47">
        <f t="shared" si="547"/>
        <v>42009</v>
      </c>
      <c r="AD1830" s="47">
        <f t="shared" si="548"/>
        <v>42009</v>
      </c>
      <c r="AE1830" s="47">
        <f t="shared" si="549"/>
        <v>0</v>
      </c>
      <c r="AG1830" s="47">
        <f t="shared" si="550"/>
        <v>42008</v>
      </c>
      <c r="AH1830" s="47">
        <f t="shared" si="551"/>
        <v>42008</v>
      </c>
      <c r="AI1830" s="208">
        <f t="shared" si="552"/>
        <v>0</v>
      </c>
    </row>
    <row r="1831" spans="1:35">
      <c r="A1831" t="s">
        <v>2144</v>
      </c>
      <c r="B1831" t="s">
        <v>3160</v>
      </c>
      <c r="C1831" t="s">
        <v>2903</v>
      </c>
      <c r="D1831" t="s">
        <v>5292</v>
      </c>
      <c r="F1831" t="s">
        <v>1362</v>
      </c>
      <c r="G1831" s="126">
        <f>SUMIFS('Support - Transition'!F:F,'Support - Transition'!B:B,'Step 2'!A1831,'Support - Transition'!C:C,'Step 2'!B1831,'Support - Transition'!D:D,'Step 2'!C1831,'Support - Transition'!E:E,"CIVIL")</f>
        <v>0</v>
      </c>
      <c r="H1831" s="126">
        <f>SUMIFS('Support - Transition'!F:F,'Support - Transition'!B:B,'Step 2'!A1831,'Support - Transition'!C:C,'Step 2'!B1831,'Support - Transition'!D:D,'Step 2'!C1831,'Support - Transition'!E:E,"FIRE")</f>
        <v>0</v>
      </c>
      <c r="I1831" s="126">
        <f>IF(B1831="0",SUMIFS('Support - Transition'!F:F,'Support - Transition'!J:J,'Step 2'!D1831,'Support - Transition'!E:E,"STATE UNIT"),SUMIFS('Support - Transition'!F:F,'Support - Transition'!J:J,'Step 2'!D1831))</f>
        <v>3.4800999999999999E-2</v>
      </c>
      <c r="J1831" s="126">
        <f>SUMIFS('Support - Unit Adjustments'!E:E,'Support - Unit Adjustments'!F:F,'Step 2'!D1831)</f>
        <v>0</v>
      </c>
      <c r="K1831" s="126">
        <f t="shared" si="536"/>
        <v>3.4800999999999999E-2</v>
      </c>
      <c r="L1831" s="174">
        <f>VLOOKUP(A1831,'Step 1'!$A:$E,4,FALSE)</f>
        <v>202322</v>
      </c>
      <c r="M1831" s="47">
        <f t="shared" si="537"/>
        <v>7041</v>
      </c>
      <c r="N1831" s="177">
        <f>SUMIFS('Support - Transition'!G:G,'Support - Transition'!J:J,'Step 2'!D1831,'Support - Transition'!E:E,"2009 WELFARE ALLOCATION FACTOR")</f>
        <v>0</v>
      </c>
      <c r="O1831" s="152">
        <f t="shared" si="542"/>
        <v>0</v>
      </c>
      <c r="P1831" s="126">
        <f>IF(E1831="Y",0,SUMIFS('Support - Transition'!G:G,'Support - Transition'!J:J,'Step 2'!D1831,'Support - Transition'!E:E,"2009 SCHOOL ALLOCATION FACTOR"))</f>
        <v>0.333783</v>
      </c>
      <c r="Q1831" s="126">
        <f>IF(E1831="Y",VLOOKUP(D1831,'Support - Unit Adjustments'!F:G,2,FALSE),0)</f>
        <v>0</v>
      </c>
      <c r="R1831" s="155">
        <f t="shared" si="554"/>
        <v>0.333783</v>
      </c>
      <c r="S1831" s="47">
        <f t="shared" si="553"/>
        <v>2350</v>
      </c>
      <c r="T1831" s="151">
        <f t="shared" si="538"/>
        <v>4691</v>
      </c>
      <c r="U1831" s="151">
        <f t="shared" si="539"/>
        <v>0</v>
      </c>
      <c r="V1831" s="139">
        <f t="shared" si="540"/>
        <v>0</v>
      </c>
      <c r="W1831" s="152">
        <f t="shared" si="543"/>
        <v>4691</v>
      </c>
      <c r="X1831" s="127" t="str">
        <f t="shared" si="541"/>
        <v/>
      </c>
      <c r="Y1831" s="207">
        <f t="shared" si="544"/>
        <v>4691</v>
      </c>
      <c r="Z1831" s="139">
        <f t="shared" si="545"/>
        <v>4691</v>
      </c>
      <c r="AA1831" s="139">
        <f t="shared" si="546"/>
        <v>0</v>
      </c>
      <c r="AC1831" s="47">
        <f t="shared" si="547"/>
        <v>2346</v>
      </c>
      <c r="AD1831" s="47">
        <f t="shared" si="548"/>
        <v>2346</v>
      </c>
      <c r="AE1831" s="47">
        <f t="shared" si="549"/>
        <v>0</v>
      </c>
      <c r="AG1831" s="47">
        <f t="shared" si="550"/>
        <v>2345</v>
      </c>
      <c r="AH1831" s="47">
        <f t="shared" si="551"/>
        <v>2345</v>
      </c>
      <c r="AI1831" s="208">
        <f t="shared" si="552"/>
        <v>0</v>
      </c>
    </row>
    <row r="1832" spans="1:35">
      <c r="A1832" t="s">
        <v>2144</v>
      </c>
      <c r="B1832" t="s">
        <v>3166</v>
      </c>
      <c r="C1832" t="s">
        <v>5293</v>
      </c>
      <c r="D1832" t="s">
        <v>5294</v>
      </c>
      <c r="F1832" t="s">
        <v>1361</v>
      </c>
      <c r="G1832" s="126">
        <f>SUMIFS('Support - Transition'!F:F,'Support - Transition'!B:B,'Step 2'!A1832,'Support - Transition'!C:C,'Step 2'!B1832,'Support - Transition'!D:D,'Step 2'!C1832,'Support - Transition'!E:E,"CIVIL")</f>
        <v>0</v>
      </c>
      <c r="H1832" s="126">
        <f>SUMIFS('Support - Transition'!F:F,'Support - Transition'!B:B,'Step 2'!A1832,'Support - Transition'!C:C,'Step 2'!B1832,'Support - Transition'!D:D,'Step 2'!C1832,'Support - Transition'!E:E,"FIRE")</f>
        <v>0</v>
      </c>
      <c r="I1832" s="126">
        <f>IF(B1832="0",SUMIFS('Support - Transition'!F:F,'Support - Transition'!J:J,'Step 2'!D1832,'Support - Transition'!E:E,"STATE UNIT"),SUMIFS('Support - Transition'!F:F,'Support - Transition'!J:J,'Step 2'!D1832))</f>
        <v>3.6421000000000037E-2</v>
      </c>
      <c r="J1832" s="126">
        <f>SUMIFS('Support - Unit Adjustments'!E:E,'Support - Unit Adjustments'!F:F,'Step 2'!D1832)</f>
        <v>0</v>
      </c>
      <c r="K1832" s="126">
        <f t="shared" si="536"/>
        <v>3.6421000000000037E-2</v>
      </c>
      <c r="L1832" s="174">
        <f>VLOOKUP(A1832,'Step 1'!$A:$E,4,FALSE)</f>
        <v>202322</v>
      </c>
      <c r="M1832" s="47">
        <f t="shared" si="537"/>
        <v>7369</v>
      </c>
      <c r="N1832" s="177">
        <f>SUMIFS('Support - Transition'!G:G,'Support - Transition'!J:J,'Step 2'!D1832,'Support - Transition'!E:E,"2009 WELFARE ALLOCATION FACTOR")</f>
        <v>0</v>
      </c>
      <c r="O1832" s="152">
        <f t="shared" si="542"/>
        <v>0</v>
      </c>
      <c r="P1832" s="126">
        <f>IF(E1832="Y",0,SUMIFS('Support - Transition'!G:G,'Support - Transition'!J:J,'Step 2'!D1832,'Support - Transition'!E:E,"2009 SCHOOL ALLOCATION FACTOR"))</f>
        <v>0</v>
      </c>
      <c r="Q1832" s="126">
        <f>IF(E1832="Y",VLOOKUP(D1832,'Support - Unit Adjustments'!F:G,2,FALSE),0)</f>
        <v>0</v>
      </c>
      <c r="R1832" s="155">
        <f t="shared" si="554"/>
        <v>0</v>
      </c>
      <c r="S1832" s="47">
        <f t="shared" si="553"/>
        <v>0</v>
      </c>
      <c r="T1832" s="151">
        <f t="shared" si="538"/>
        <v>7369</v>
      </c>
      <c r="U1832" s="151">
        <f t="shared" si="539"/>
        <v>0</v>
      </c>
      <c r="V1832" s="139">
        <f t="shared" si="540"/>
        <v>0</v>
      </c>
      <c r="W1832" s="152">
        <f t="shared" si="543"/>
        <v>7369</v>
      </c>
      <c r="X1832" s="127" t="str">
        <f t="shared" si="541"/>
        <v/>
      </c>
      <c r="Y1832" s="207">
        <f t="shared" si="544"/>
        <v>7369</v>
      </c>
      <c r="Z1832" s="139">
        <f t="shared" si="545"/>
        <v>7369</v>
      </c>
      <c r="AA1832" s="139">
        <f t="shared" si="546"/>
        <v>0</v>
      </c>
      <c r="AC1832" s="47">
        <f t="shared" si="547"/>
        <v>3685</v>
      </c>
      <c r="AD1832" s="47">
        <f t="shared" si="548"/>
        <v>3685</v>
      </c>
      <c r="AE1832" s="47">
        <f t="shared" si="549"/>
        <v>0</v>
      </c>
      <c r="AG1832" s="47">
        <f t="shared" si="550"/>
        <v>3684</v>
      </c>
      <c r="AH1832" s="47">
        <f t="shared" si="551"/>
        <v>3684</v>
      </c>
      <c r="AI1832" s="208">
        <f t="shared" si="552"/>
        <v>0</v>
      </c>
    </row>
    <row r="1833" spans="1:35">
      <c r="A1833" t="s">
        <v>2144</v>
      </c>
      <c r="B1833" t="s">
        <v>3170</v>
      </c>
      <c r="C1833" t="s">
        <v>3498</v>
      </c>
      <c r="D1833" t="s">
        <v>5295</v>
      </c>
      <c r="F1833" t="s">
        <v>3500</v>
      </c>
      <c r="G1833" s="126">
        <f>SUMIFS('Support - Transition'!F:F,'Support - Transition'!B:B,'Step 2'!A1833,'Support - Transition'!C:C,'Step 2'!B1833,'Support - Transition'!D:D,'Step 2'!C1833,'Support - Transition'!E:E,"CIVIL")</f>
        <v>0</v>
      </c>
      <c r="H1833" s="126">
        <f>SUMIFS('Support - Transition'!F:F,'Support - Transition'!B:B,'Step 2'!A1833,'Support - Transition'!C:C,'Step 2'!B1833,'Support - Transition'!D:D,'Step 2'!C1833,'Support - Transition'!E:E,"FIRE")</f>
        <v>0</v>
      </c>
      <c r="I1833" s="126">
        <f>IF(B1833="0",SUMIFS('Support - Transition'!F:F,'Support - Transition'!J:J,'Step 2'!D1833,'Support - Transition'!E:E,"STATE UNIT"),SUMIFS('Support - Transition'!F:F,'Support - Transition'!J:J,'Step 2'!D1833))</f>
        <v>0</v>
      </c>
      <c r="J1833" s="126">
        <f>SUMIFS('Support - Unit Adjustments'!E:E,'Support - Unit Adjustments'!F:F,'Step 2'!D1833)</f>
        <v>0</v>
      </c>
      <c r="K1833" s="126">
        <f t="shared" si="536"/>
        <v>0</v>
      </c>
      <c r="L1833" s="174">
        <f>VLOOKUP(A1833,'Step 1'!$A:$E,4,FALSE)</f>
        <v>202322</v>
      </c>
      <c r="M1833" s="47">
        <f t="shared" si="537"/>
        <v>0</v>
      </c>
      <c r="N1833" s="177">
        <f>SUMIFS('Support - Transition'!G:G,'Support - Transition'!J:J,'Step 2'!D1833,'Support - Transition'!E:E,"2009 WELFARE ALLOCATION FACTOR")</f>
        <v>0</v>
      </c>
      <c r="O1833" s="152">
        <f t="shared" si="542"/>
        <v>0</v>
      </c>
      <c r="P1833" s="126">
        <f>IF(E1833="Y",0,SUMIFS('Support - Transition'!G:G,'Support - Transition'!J:J,'Step 2'!D1833,'Support - Transition'!E:E,"2009 SCHOOL ALLOCATION FACTOR"))</f>
        <v>0</v>
      </c>
      <c r="Q1833" s="126">
        <f>IF(E1833="Y",VLOOKUP(D1833,'Support - Unit Adjustments'!F:G,2,FALSE),0)</f>
        <v>0</v>
      </c>
      <c r="R1833" s="155">
        <f t="shared" si="554"/>
        <v>0</v>
      </c>
      <c r="S1833" s="47">
        <f t="shared" si="553"/>
        <v>0</v>
      </c>
      <c r="T1833" s="151">
        <f t="shared" si="538"/>
        <v>0</v>
      </c>
      <c r="U1833" s="151">
        <f t="shared" si="539"/>
        <v>0</v>
      </c>
      <c r="V1833" s="139">
        <f t="shared" si="540"/>
        <v>0</v>
      </c>
      <c r="W1833" s="152">
        <f t="shared" si="543"/>
        <v>0</v>
      </c>
      <c r="X1833" s="127" t="str">
        <f t="shared" si="541"/>
        <v/>
      </c>
      <c r="Y1833" s="207">
        <f t="shared" si="544"/>
        <v>0</v>
      </c>
      <c r="Z1833" s="139">
        <f t="shared" si="545"/>
        <v>0</v>
      </c>
      <c r="AA1833" s="139">
        <f t="shared" si="546"/>
        <v>0</v>
      </c>
      <c r="AC1833" s="47">
        <f t="shared" si="547"/>
        <v>0</v>
      </c>
      <c r="AD1833" s="47">
        <f t="shared" si="548"/>
        <v>0</v>
      </c>
      <c r="AE1833" s="47">
        <f t="shared" si="549"/>
        <v>0</v>
      </c>
      <c r="AG1833" s="47">
        <f t="shared" si="550"/>
        <v>0</v>
      </c>
      <c r="AH1833" s="47">
        <f t="shared" si="551"/>
        <v>0</v>
      </c>
      <c r="AI1833" s="208">
        <f t="shared" si="552"/>
        <v>0</v>
      </c>
    </row>
    <row r="1834" spans="1:35">
      <c r="A1834" t="s">
        <v>2144</v>
      </c>
      <c r="B1834" t="s">
        <v>3170</v>
      </c>
      <c r="C1834" t="s">
        <v>3507</v>
      </c>
      <c r="D1834" t="s">
        <v>5296</v>
      </c>
      <c r="F1834" t="s">
        <v>3509</v>
      </c>
      <c r="G1834" s="126">
        <f>SUMIFS('Support - Transition'!F:F,'Support - Transition'!B:B,'Step 2'!A1834,'Support - Transition'!C:C,'Step 2'!B1834,'Support - Transition'!D:D,'Step 2'!C1834,'Support - Transition'!E:E,"CIVIL")</f>
        <v>0</v>
      </c>
      <c r="H1834" s="126">
        <f>SUMIFS('Support - Transition'!F:F,'Support - Transition'!B:B,'Step 2'!A1834,'Support - Transition'!C:C,'Step 2'!B1834,'Support - Transition'!D:D,'Step 2'!C1834,'Support - Transition'!E:E,"FIRE")</f>
        <v>0</v>
      </c>
      <c r="I1834" s="126">
        <f>IF(B1834="0",SUMIFS('Support - Transition'!F:F,'Support - Transition'!J:J,'Step 2'!D1834,'Support - Transition'!E:E,"STATE UNIT"),SUMIFS('Support - Transition'!F:F,'Support - Transition'!J:J,'Step 2'!D1834))</f>
        <v>0</v>
      </c>
      <c r="J1834" s="126">
        <f>SUMIFS('Support - Unit Adjustments'!E:E,'Support - Unit Adjustments'!F:F,'Step 2'!D1834)</f>
        <v>0</v>
      </c>
      <c r="K1834" s="126">
        <f t="shared" si="536"/>
        <v>0</v>
      </c>
      <c r="L1834" s="174">
        <f>VLOOKUP(A1834,'Step 1'!$A:$E,4,FALSE)</f>
        <v>202322</v>
      </c>
      <c r="M1834" s="47">
        <f t="shared" si="537"/>
        <v>0</v>
      </c>
      <c r="N1834" s="177">
        <f>SUMIFS('Support - Transition'!G:G,'Support - Transition'!J:J,'Step 2'!D1834,'Support - Transition'!E:E,"2009 WELFARE ALLOCATION FACTOR")</f>
        <v>0</v>
      </c>
      <c r="O1834" s="152">
        <f t="shared" si="542"/>
        <v>0</v>
      </c>
      <c r="P1834" s="126">
        <f>IF(E1834="Y",0,SUMIFS('Support - Transition'!G:G,'Support - Transition'!J:J,'Step 2'!D1834,'Support - Transition'!E:E,"2009 SCHOOL ALLOCATION FACTOR"))</f>
        <v>0</v>
      </c>
      <c r="Q1834" s="126">
        <f>IF(E1834="Y",VLOOKUP(D1834,'Support - Unit Adjustments'!F:G,2,FALSE),0)</f>
        <v>0</v>
      </c>
      <c r="R1834" s="155">
        <f t="shared" si="554"/>
        <v>0</v>
      </c>
      <c r="S1834" s="47">
        <f t="shared" si="553"/>
        <v>0</v>
      </c>
      <c r="T1834" s="151">
        <f t="shared" si="538"/>
        <v>0</v>
      </c>
      <c r="U1834" s="151">
        <f t="shared" si="539"/>
        <v>0</v>
      </c>
      <c r="V1834" s="139">
        <f t="shared" si="540"/>
        <v>0</v>
      </c>
      <c r="W1834" s="152">
        <f t="shared" si="543"/>
        <v>0</v>
      </c>
      <c r="X1834" s="127" t="str">
        <f t="shared" si="541"/>
        <v/>
      </c>
      <c r="Y1834" s="207">
        <f t="shared" si="544"/>
        <v>0</v>
      </c>
      <c r="Z1834" s="139">
        <f t="shared" si="545"/>
        <v>0</v>
      </c>
      <c r="AA1834" s="139">
        <f t="shared" si="546"/>
        <v>0</v>
      </c>
      <c r="AC1834" s="47">
        <f t="shared" si="547"/>
        <v>0</v>
      </c>
      <c r="AD1834" s="47">
        <f t="shared" si="548"/>
        <v>0</v>
      </c>
      <c r="AE1834" s="47">
        <f t="shared" si="549"/>
        <v>0</v>
      </c>
      <c r="AG1834" s="47">
        <f t="shared" si="550"/>
        <v>0</v>
      </c>
      <c r="AH1834" s="47">
        <f t="shared" si="551"/>
        <v>0</v>
      </c>
      <c r="AI1834" s="208">
        <f t="shared" si="552"/>
        <v>0</v>
      </c>
    </row>
    <row r="1835" spans="1:35">
      <c r="A1835" t="s">
        <v>2144</v>
      </c>
      <c r="B1835" t="s">
        <v>3286</v>
      </c>
      <c r="C1835" t="s">
        <v>2904</v>
      </c>
      <c r="D1835" t="s">
        <v>5297</v>
      </c>
      <c r="F1835" t="s">
        <v>5298</v>
      </c>
      <c r="G1835" s="126">
        <f>SUMIFS('Support - Transition'!F:F,'Support - Transition'!B:B,'Step 2'!A1835,'Support - Transition'!C:C,'Step 2'!B1835,'Support - Transition'!D:D,'Step 2'!C1835,'Support - Transition'!E:E,"CIVIL")</f>
        <v>0</v>
      </c>
      <c r="H1835" s="126">
        <f>SUMIFS('Support - Transition'!F:F,'Support - Transition'!B:B,'Step 2'!A1835,'Support - Transition'!C:C,'Step 2'!B1835,'Support - Transition'!D:D,'Step 2'!C1835,'Support - Transition'!E:E,"FIRE")</f>
        <v>0</v>
      </c>
      <c r="I1835" s="126">
        <f>IF(B1835="0",SUMIFS('Support - Transition'!F:F,'Support - Transition'!J:J,'Step 2'!D1835,'Support - Transition'!E:E,"STATE UNIT"),SUMIFS('Support - Transition'!F:F,'Support - Transition'!J:J,'Step 2'!D1835))</f>
        <v>0</v>
      </c>
      <c r="J1835" s="126">
        <f>SUMIFS('Support - Unit Adjustments'!E:E,'Support - Unit Adjustments'!F:F,'Step 2'!D1835)</f>
        <v>0</v>
      </c>
      <c r="K1835" s="126">
        <f t="shared" si="536"/>
        <v>0</v>
      </c>
      <c r="L1835" s="174">
        <f>VLOOKUP(A1835,'Step 1'!$A:$E,4,FALSE)</f>
        <v>202322</v>
      </c>
      <c r="M1835" s="47">
        <f t="shared" si="537"/>
        <v>0</v>
      </c>
      <c r="N1835" s="177">
        <f>SUMIFS('Support - Transition'!G:G,'Support - Transition'!J:J,'Step 2'!D1835,'Support - Transition'!E:E,"2009 WELFARE ALLOCATION FACTOR")</f>
        <v>0</v>
      </c>
      <c r="O1835" s="152">
        <f t="shared" si="542"/>
        <v>0</v>
      </c>
      <c r="P1835" s="126">
        <f>IF(E1835="Y",0,SUMIFS('Support - Transition'!G:G,'Support - Transition'!J:J,'Step 2'!D1835,'Support - Transition'!E:E,"2009 SCHOOL ALLOCATION FACTOR"))</f>
        <v>0</v>
      </c>
      <c r="Q1835" s="126">
        <f>IF(E1835="Y",VLOOKUP(D1835,'Support - Unit Adjustments'!F:G,2,FALSE),0)</f>
        <v>0</v>
      </c>
      <c r="R1835" s="155">
        <f t="shared" si="554"/>
        <v>0</v>
      </c>
      <c r="S1835" s="47">
        <f t="shared" si="553"/>
        <v>0</v>
      </c>
      <c r="T1835" s="151">
        <f t="shared" si="538"/>
        <v>0</v>
      </c>
      <c r="U1835" s="151">
        <f t="shared" si="539"/>
        <v>0</v>
      </c>
      <c r="V1835" s="139">
        <f t="shared" si="540"/>
        <v>0</v>
      </c>
      <c r="W1835" s="152">
        <f t="shared" si="543"/>
        <v>0</v>
      </c>
      <c r="X1835" s="127" t="str">
        <f t="shared" si="541"/>
        <v/>
      </c>
      <c r="Y1835" s="207">
        <f t="shared" si="544"/>
        <v>0</v>
      </c>
      <c r="Z1835" s="139">
        <f t="shared" si="545"/>
        <v>0</v>
      </c>
      <c r="AA1835" s="139">
        <f t="shared" si="546"/>
        <v>0</v>
      </c>
      <c r="AC1835" s="47">
        <f t="shared" si="547"/>
        <v>0</v>
      </c>
      <c r="AD1835" s="47">
        <f t="shared" si="548"/>
        <v>0</v>
      </c>
      <c r="AE1835" s="47">
        <f t="shared" si="549"/>
        <v>0</v>
      </c>
      <c r="AG1835" s="47">
        <f t="shared" si="550"/>
        <v>0</v>
      </c>
      <c r="AH1835" s="47">
        <f t="shared" si="551"/>
        <v>0</v>
      </c>
      <c r="AI1835" s="208">
        <f t="shared" si="552"/>
        <v>0</v>
      </c>
    </row>
    <row r="1836" spans="1:35">
      <c r="A1836" t="s">
        <v>2145</v>
      </c>
      <c r="B1836" s="48" t="s">
        <v>6274</v>
      </c>
      <c r="C1836" t="s">
        <v>2187</v>
      </c>
      <c r="D1836" t="str">
        <f>A1836&amp;B1836&amp;C1836</f>
        <v>6100000</v>
      </c>
      <c r="F1836" t="s">
        <v>6335</v>
      </c>
      <c r="G1836" s="126">
        <f>SUMIFS('Support - Transition'!F:F,'Support - Transition'!B:B,'Step 2'!A1836,'Support - Transition'!C:C,'Step 2'!B1836,'Support - Transition'!D:D,'Step 2'!C1836,'Support - Transition'!E:E,"CIVIL")</f>
        <v>0</v>
      </c>
      <c r="H1836" s="126">
        <f>SUMIFS('Support - Transition'!F:F,'Support - Transition'!B:B,'Step 2'!A1836,'Support - Transition'!C:C,'Step 2'!B1836,'Support - Transition'!D:D,'Step 2'!C1836,'Support - Transition'!E:E,"FIRE")</f>
        <v>0</v>
      </c>
      <c r="I1836" s="126">
        <f>IF(B1836="0",SUMIFS('Support - Transition'!F:F,'Support - Transition'!J:J,'Step 2'!D1836,'Support - Transition'!E:E,"STATE UNIT"),SUMIFS('Support - Transition'!F:F,'Support - Transition'!J:J,'Step 2'!D1836))</f>
        <v>1.178E-3</v>
      </c>
      <c r="J1836" s="126">
        <f>SUMIFS('Support - Unit Adjustments'!E:E,'Support - Unit Adjustments'!F:F,'Step 2'!D1836)</f>
        <v>0</v>
      </c>
      <c r="K1836" s="126">
        <f t="shared" si="536"/>
        <v>1.178E-3</v>
      </c>
      <c r="L1836" s="174">
        <f>VLOOKUP(A1836,'Step 1'!$A:$E,4,FALSE)</f>
        <v>87404</v>
      </c>
      <c r="M1836" s="47">
        <f t="shared" si="537"/>
        <v>103</v>
      </c>
      <c r="N1836" s="177">
        <f>SUMIFS('Support - Transition'!G:G,'Support - Transition'!J:J,'Step 2'!D1836,'Support - Transition'!E:E,"2009 WELFARE ALLOCATION FACTOR")</f>
        <v>0</v>
      </c>
      <c r="O1836" s="152">
        <f t="shared" si="542"/>
        <v>0</v>
      </c>
      <c r="P1836" s="126">
        <f>IF(E1836="Y",0,SUMIFS('Support - Transition'!G:G,'Support - Transition'!J:J,'Step 2'!D1836,'Support - Transition'!E:E,"2009 SCHOOL ALLOCATION FACTOR"))</f>
        <v>0</v>
      </c>
      <c r="Q1836" s="126">
        <f>IF(E1836="Y",VLOOKUP(D1836,'Support - Unit Adjustments'!F:G,2,FALSE),0)</f>
        <v>0</v>
      </c>
      <c r="R1836" s="155">
        <f t="shared" si="554"/>
        <v>0</v>
      </c>
      <c r="S1836" s="47">
        <f t="shared" si="553"/>
        <v>0</v>
      </c>
      <c r="T1836" s="151">
        <f t="shared" si="538"/>
        <v>103</v>
      </c>
      <c r="U1836" s="151">
        <f t="shared" si="539"/>
        <v>87405</v>
      </c>
      <c r="V1836" s="139">
        <f t="shared" si="540"/>
        <v>1</v>
      </c>
      <c r="W1836" s="152">
        <f t="shared" si="543"/>
        <v>102</v>
      </c>
      <c r="X1836" s="127">
        <f t="shared" si="541"/>
        <v>0</v>
      </c>
      <c r="Y1836" s="207">
        <f t="shared" si="544"/>
        <v>102</v>
      </c>
      <c r="Z1836" s="139">
        <f t="shared" si="545"/>
        <v>102</v>
      </c>
      <c r="AA1836" s="139">
        <f t="shared" si="546"/>
        <v>0</v>
      </c>
      <c r="AC1836" s="47">
        <f t="shared" si="547"/>
        <v>51</v>
      </c>
      <c r="AD1836" s="47">
        <f t="shared" si="548"/>
        <v>51</v>
      </c>
      <c r="AE1836" s="47">
        <f t="shared" si="549"/>
        <v>0</v>
      </c>
      <c r="AG1836" s="47">
        <f t="shared" si="550"/>
        <v>51</v>
      </c>
      <c r="AH1836" s="47">
        <f t="shared" si="551"/>
        <v>51</v>
      </c>
      <c r="AI1836" s="208">
        <f t="shared" si="552"/>
        <v>0</v>
      </c>
    </row>
    <row r="1837" spans="1:35">
      <c r="A1837" t="s">
        <v>2145</v>
      </c>
      <c r="B1837" t="s">
        <v>3140</v>
      </c>
      <c r="C1837" t="s">
        <v>2187</v>
      </c>
      <c r="D1837" t="s">
        <v>5299</v>
      </c>
      <c r="F1837" t="s">
        <v>1366</v>
      </c>
      <c r="G1837" s="126">
        <f>SUMIFS('Support - Transition'!F:F,'Support - Transition'!B:B,'Step 2'!A1837,'Support - Transition'!C:C,'Step 2'!B1837,'Support - Transition'!D:D,'Step 2'!C1837,'Support - Transition'!E:E,"CIVIL")</f>
        <v>0</v>
      </c>
      <c r="H1837" s="126">
        <f>SUMIFS('Support - Transition'!F:F,'Support - Transition'!B:B,'Step 2'!A1837,'Support - Transition'!C:C,'Step 2'!B1837,'Support - Transition'!D:D,'Step 2'!C1837,'Support - Transition'!E:E,"FIRE")</f>
        <v>0</v>
      </c>
      <c r="I1837" s="126">
        <f>IF(B1837="0",SUMIFS('Support - Transition'!F:F,'Support - Transition'!J:J,'Step 2'!D1837,'Support - Transition'!E:E,"STATE UNIT"),SUMIFS('Support - Transition'!F:F,'Support - Transition'!J:J,'Step 2'!D1837))</f>
        <v>0.239431</v>
      </c>
      <c r="J1837" s="126">
        <f>SUMIFS('Support - Unit Adjustments'!E:E,'Support - Unit Adjustments'!F:F,'Step 2'!D1837)</f>
        <v>0</v>
      </c>
      <c r="K1837" s="126">
        <f t="shared" si="536"/>
        <v>0.239431</v>
      </c>
      <c r="L1837" s="174">
        <f>VLOOKUP(A1837,'Step 1'!$A:$E,4,FALSE)</f>
        <v>87404</v>
      </c>
      <c r="M1837" s="47">
        <f t="shared" si="537"/>
        <v>20927</v>
      </c>
      <c r="N1837" s="177">
        <f>SUMIFS('Support - Transition'!G:G,'Support - Transition'!J:J,'Step 2'!D1837,'Support - Transition'!E:E,"2009 WELFARE ALLOCATION FACTOR")</f>
        <v>0.12388299999999999</v>
      </c>
      <c r="O1837" s="152">
        <f t="shared" si="542"/>
        <v>2592</v>
      </c>
      <c r="P1837" s="126">
        <f>IF(E1837="Y",0,SUMIFS('Support - Transition'!G:G,'Support - Transition'!J:J,'Step 2'!D1837,'Support - Transition'!E:E,"2009 SCHOOL ALLOCATION FACTOR"))</f>
        <v>0</v>
      </c>
      <c r="Q1837" s="126">
        <f>IF(E1837="Y",VLOOKUP(D1837,'Support - Unit Adjustments'!F:G,2,FALSE),0)</f>
        <v>0</v>
      </c>
      <c r="R1837" s="155">
        <f t="shared" si="554"/>
        <v>0</v>
      </c>
      <c r="S1837" s="47">
        <f t="shared" si="553"/>
        <v>0</v>
      </c>
      <c r="T1837" s="151">
        <f t="shared" si="538"/>
        <v>18335</v>
      </c>
      <c r="U1837" s="151">
        <f t="shared" si="539"/>
        <v>0</v>
      </c>
      <c r="V1837" s="139">
        <f t="shared" si="540"/>
        <v>0</v>
      </c>
      <c r="W1837" s="152">
        <f t="shared" si="543"/>
        <v>18335</v>
      </c>
      <c r="X1837" s="127" t="str">
        <f t="shared" si="541"/>
        <v/>
      </c>
      <c r="Y1837" s="207">
        <f t="shared" si="544"/>
        <v>18335</v>
      </c>
      <c r="Z1837" s="139">
        <f t="shared" si="545"/>
        <v>18335</v>
      </c>
      <c r="AA1837" s="139">
        <f t="shared" si="546"/>
        <v>0</v>
      </c>
      <c r="AC1837" s="47">
        <f t="shared" si="547"/>
        <v>9168</v>
      </c>
      <c r="AD1837" s="47">
        <f t="shared" si="548"/>
        <v>9168</v>
      </c>
      <c r="AE1837" s="47">
        <f t="shared" si="549"/>
        <v>0</v>
      </c>
      <c r="AG1837" s="47">
        <f t="shared" si="550"/>
        <v>9167</v>
      </c>
      <c r="AH1837" s="47">
        <f t="shared" si="551"/>
        <v>9167</v>
      </c>
      <c r="AI1837" s="208">
        <f t="shared" si="552"/>
        <v>0</v>
      </c>
    </row>
    <row r="1838" spans="1:35">
      <c r="A1838" t="s">
        <v>2145</v>
      </c>
      <c r="B1838" t="s">
        <v>3142</v>
      </c>
      <c r="C1838" t="s">
        <v>2188</v>
      </c>
      <c r="D1838" t="s">
        <v>5300</v>
      </c>
      <c r="F1838" t="s">
        <v>46</v>
      </c>
      <c r="G1838" s="126">
        <f>SUMIFS('Support - Transition'!F:F,'Support - Transition'!B:B,'Step 2'!A1838,'Support - Transition'!C:C,'Step 2'!B1838,'Support - Transition'!D:D,'Step 2'!C1838,'Support - Transition'!E:E,"CIVIL")</f>
        <v>1.1471E-2</v>
      </c>
      <c r="H1838" s="126">
        <f>SUMIFS('Support - Transition'!F:F,'Support - Transition'!B:B,'Step 2'!A1838,'Support - Transition'!C:C,'Step 2'!B1838,'Support - Transition'!D:D,'Step 2'!C1838,'Support - Transition'!E:E,"FIRE")</f>
        <v>5.3810000000000004E-3</v>
      </c>
      <c r="I1838" s="126">
        <f>IF(B1838="0",SUMIFS('Support - Transition'!F:F,'Support - Transition'!J:J,'Step 2'!D1838,'Support - Transition'!E:E,"STATE UNIT"),SUMIFS('Support - Transition'!F:F,'Support - Transition'!J:J,'Step 2'!D1838))</f>
        <v>1.6851999999999999E-2</v>
      </c>
      <c r="J1838" s="126">
        <f>SUMIFS('Support - Unit Adjustments'!E:E,'Support - Unit Adjustments'!F:F,'Step 2'!D1838)</f>
        <v>0</v>
      </c>
      <c r="K1838" s="126">
        <f t="shared" si="536"/>
        <v>1.6851999999999999E-2</v>
      </c>
      <c r="L1838" s="174">
        <f>VLOOKUP(A1838,'Step 1'!$A:$E,4,FALSE)</f>
        <v>87404</v>
      </c>
      <c r="M1838" s="47">
        <f t="shared" si="537"/>
        <v>1473</v>
      </c>
      <c r="N1838" s="177">
        <f>SUMIFS('Support - Transition'!G:G,'Support - Transition'!J:J,'Step 2'!D1838,'Support - Transition'!E:E,"2009 WELFARE ALLOCATION FACTOR")</f>
        <v>0</v>
      </c>
      <c r="O1838" s="152">
        <f t="shared" si="542"/>
        <v>0</v>
      </c>
      <c r="P1838" s="126">
        <f>IF(E1838="Y",0,SUMIFS('Support - Transition'!G:G,'Support - Transition'!J:J,'Step 2'!D1838,'Support - Transition'!E:E,"2009 SCHOOL ALLOCATION FACTOR"))</f>
        <v>0</v>
      </c>
      <c r="Q1838" s="126">
        <f>IF(E1838="Y",VLOOKUP(D1838,'Support - Unit Adjustments'!F:G,2,FALSE),0)</f>
        <v>0</v>
      </c>
      <c r="R1838" s="155">
        <f t="shared" si="554"/>
        <v>0</v>
      </c>
      <c r="S1838" s="47">
        <f t="shared" si="553"/>
        <v>0</v>
      </c>
      <c r="T1838" s="151">
        <f t="shared" si="538"/>
        <v>1473</v>
      </c>
      <c r="U1838" s="151">
        <f t="shared" si="539"/>
        <v>0</v>
      </c>
      <c r="V1838" s="139">
        <f t="shared" si="540"/>
        <v>0</v>
      </c>
      <c r="W1838" s="152">
        <f t="shared" si="543"/>
        <v>1473</v>
      </c>
      <c r="X1838" s="127" t="str">
        <f t="shared" si="541"/>
        <v/>
      </c>
      <c r="Y1838" s="207">
        <f t="shared" si="544"/>
        <v>1473</v>
      </c>
      <c r="Z1838" s="139">
        <f t="shared" si="545"/>
        <v>1003</v>
      </c>
      <c r="AA1838" s="139">
        <f t="shared" si="546"/>
        <v>470</v>
      </c>
      <c r="AC1838" s="47">
        <f t="shared" si="547"/>
        <v>737</v>
      </c>
      <c r="AD1838" s="47">
        <f t="shared" si="548"/>
        <v>502</v>
      </c>
      <c r="AE1838" s="47">
        <f t="shared" si="549"/>
        <v>235</v>
      </c>
      <c r="AG1838" s="47">
        <f t="shared" si="550"/>
        <v>736</v>
      </c>
      <c r="AH1838" s="47">
        <f t="shared" si="551"/>
        <v>501</v>
      </c>
      <c r="AI1838" s="208">
        <f t="shared" si="552"/>
        <v>235</v>
      </c>
    </row>
    <row r="1839" spans="1:35">
      <c r="A1839" t="s">
        <v>2145</v>
      </c>
      <c r="B1839" t="s">
        <v>3142</v>
      </c>
      <c r="C1839" t="s">
        <v>2189</v>
      </c>
      <c r="D1839" t="s">
        <v>5301</v>
      </c>
      <c r="F1839" t="s">
        <v>1367</v>
      </c>
      <c r="G1839" s="126">
        <f>SUMIFS('Support - Transition'!F:F,'Support - Transition'!B:B,'Step 2'!A1839,'Support - Transition'!C:C,'Step 2'!B1839,'Support - Transition'!D:D,'Step 2'!C1839,'Support - Transition'!E:E,"CIVIL")</f>
        <v>1.0640000000000001E-3</v>
      </c>
      <c r="H1839" s="126">
        <f>SUMIFS('Support - Transition'!F:F,'Support - Transition'!B:B,'Step 2'!A1839,'Support - Transition'!C:C,'Step 2'!B1839,'Support - Transition'!D:D,'Step 2'!C1839,'Support - Transition'!E:E,"FIRE")</f>
        <v>8.7600000000000004E-4</v>
      </c>
      <c r="I1839" s="126">
        <f>IF(B1839="0",SUMIFS('Support - Transition'!F:F,'Support - Transition'!J:J,'Step 2'!D1839,'Support - Transition'!E:E,"STATE UNIT"),SUMIFS('Support - Transition'!F:F,'Support - Transition'!J:J,'Step 2'!D1839))</f>
        <v>1.9400000000000001E-3</v>
      </c>
      <c r="J1839" s="126">
        <f>SUMIFS('Support - Unit Adjustments'!E:E,'Support - Unit Adjustments'!F:F,'Step 2'!D1839)</f>
        <v>0</v>
      </c>
      <c r="K1839" s="126">
        <f t="shared" si="536"/>
        <v>1.9400000000000001E-3</v>
      </c>
      <c r="L1839" s="174">
        <f>VLOOKUP(A1839,'Step 1'!$A:$E,4,FALSE)</f>
        <v>87404</v>
      </c>
      <c r="M1839" s="47">
        <f t="shared" si="537"/>
        <v>170</v>
      </c>
      <c r="N1839" s="177">
        <f>SUMIFS('Support - Transition'!G:G,'Support - Transition'!J:J,'Step 2'!D1839,'Support - Transition'!E:E,"2009 WELFARE ALLOCATION FACTOR")</f>
        <v>0</v>
      </c>
      <c r="O1839" s="152">
        <f t="shared" si="542"/>
        <v>0</v>
      </c>
      <c r="P1839" s="126">
        <f>IF(E1839="Y",0,SUMIFS('Support - Transition'!G:G,'Support - Transition'!J:J,'Step 2'!D1839,'Support - Transition'!E:E,"2009 SCHOOL ALLOCATION FACTOR"))</f>
        <v>0</v>
      </c>
      <c r="Q1839" s="126">
        <f>IF(E1839="Y",VLOOKUP(D1839,'Support - Unit Adjustments'!F:G,2,FALSE),0)</f>
        <v>0</v>
      </c>
      <c r="R1839" s="155">
        <f t="shared" si="554"/>
        <v>0</v>
      </c>
      <c r="S1839" s="47">
        <f t="shared" si="553"/>
        <v>0</v>
      </c>
      <c r="T1839" s="151">
        <f t="shared" si="538"/>
        <v>170</v>
      </c>
      <c r="U1839" s="151">
        <f t="shared" si="539"/>
        <v>0</v>
      </c>
      <c r="V1839" s="139">
        <f t="shared" si="540"/>
        <v>0</v>
      </c>
      <c r="W1839" s="152">
        <f t="shared" si="543"/>
        <v>170</v>
      </c>
      <c r="X1839" s="127" t="str">
        <f t="shared" si="541"/>
        <v/>
      </c>
      <c r="Y1839" s="207">
        <f t="shared" si="544"/>
        <v>170</v>
      </c>
      <c r="Z1839" s="139">
        <f t="shared" si="545"/>
        <v>93</v>
      </c>
      <c r="AA1839" s="139">
        <f t="shared" si="546"/>
        <v>77</v>
      </c>
      <c r="AC1839" s="47">
        <f t="shared" si="547"/>
        <v>85</v>
      </c>
      <c r="AD1839" s="47">
        <f t="shared" si="548"/>
        <v>47</v>
      </c>
      <c r="AE1839" s="47">
        <f t="shared" si="549"/>
        <v>39</v>
      </c>
      <c r="AG1839" s="47">
        <f t="shared" si="550"/>
        <v>85</v>
      </c>
      <c r="AH1839" s="47">
        <f t="shared" si="551"/>
        <v>46</v>
      </c>
      <c r="AI1839" s="208">
        <f t="shared" si="552"/>
        <v>38</v>
      </c>
    </row>
    <row r="1840" spans="1:35">
      <c r="A1840" t="s">
        <v>2145</v>
      </c>
      <c r="B1840" t="s">
        <v>3142</v>
      </c>
      <c r="C1840" t="s">
        <v>2190</v>
      </c>
      <c r="D1840" t="s">
        <v>5302</v>
      </c>
      <c r="F1840" t="s">
        <v>855</v>
      </c>
      <c r="G1840" s="126">
        <f>SUMIFS('Support - Transition'!F:F,'Support - Transition'!B:B,'Step 2'!A1840,'Support - Transition'!C:C,'Step 2'!B1840,'Support - Transition'!D:D,'Step 2'!C1840,'Support - Transition'!E:E,"CIVIL")</f>
        <v>1.0640000000000001E-3</v>
      </c>
      <c r="H1840" s="126">
        <f>SUMIFS('Support - Transition'!F:F,'Support - Transition'!B:B,'Step 2'!A1840,'Support - Transition'!C:C,'Step 2'!B1840,'Support - Transition'!D:D,'Step 2'!C1840,'Support - Transition'!E:E,"FIRE")</f>
        <v>7.3999999999999999E-4</v>
      </c>
      <c r="I1840" s="126">
        <f>IF(B1840="0",SUMIFS('Support - Transition'!F:F,'Support - Transition'!J:J,'Step 2'!D1840,'Support - Transition'!E:E,"STATE UNIT"),SUMIFS('Support - Transition'!F:F,'Support - Transition'!J:J,'Step 2'!D1840))</f>
        <v>1.804E-3</v>
      </c>
      <c r="J1840" s="126">
        <f>SUMIFS('Support - Unit Adjustments'!E:E,'Support - Unit Adjustments'!F:F,'Step 2'!D1840)</f>
        <v>0</v>
      </c>
      <c r="K1840" s="126">
        <f t="shared" si="536"/>
        <v>1.804E-3</v>
      </c>
      <c r="L1840" s="174">
        <f>VLOOKUP(A1840,'Step 1'!$A:$E,4,FALSE)</f>
        <v>87404</v>
      </c>
      <c r="M1840" s="47">
        <f t="shared" si="537"/>
        <v>158</v>
      </c>
      <c r="N1840" s="177">
        <f>SUMIFS('Support - Transition'!G:G,'Support - Transition'!J:J,'Step 2'!D1840,'Support - Transition'!E:E,"2009 WELFARE ALLOCATION FACTOR")</f>
        <v>0</v>
      </c>
      <c r="O1840" s="152">
        <f t="shared" si="542"/>
        <v>0</v>
      </c>
      <c r="P1840" s="126">
        <f>IF(E1840="Y",0,SUMIFS('Support - Transition'!G:G,'Support - Transition'!J:J,'Step 2'!D1840,'Support - Transition'!E:E,"2009 SCHOOL ALLOCATION FACTOR"))</f>
        <v>0</v>
      </c>
      <c r="Q1840" s="126">
        <f>IF(E1840="Y",VLOOKUP(D1840,'Support - Unit Adjustments'!F:G,2,FALSE),0)</f>
        <v>0</v>
      </c>
      <c r="R1840" s="155">
        <f t="shared" si="554"/>
        <v>0</v>
      </c>
      <c r="S1840" s="47">
        <f t="shared" si="553"/>
        <v>0</v>
      </c>
      <c r="T1840" s="151">
        <f t="shared" si="538"/>
        <v>158</v>
      </c>
      <c r="U1840" s="151">
        <f t="shared" si="539"/>
        <v>0</v>
      </c>
      <c r="V1840" s="139">
        <f t="shared" si="540"/>
        <v>0</v>
      </c>
      <c r="W1840" s="152">
        <f t="shared" si="543"/>
        <v>158</v>
      </c>
      <c r="X1840" s="127" t="str">
        <f t="shared" si="541"/>
        <v/>
      </c>
      <c r="Y1840" s="207">
        <f t="shared" si="544"/>
        <v>158</v>
      </c>
      <c r="Z1840" s="139">
        <f t="shared" si="545"/>
        <v>93</v>
      </c>
      <c r="AA1840" s="139">
        <f t="shared" si="546"/>
        <v>65</v>
      </c>
      <c r="AC1840" s="47">
        <f t="shared" si="547"/>
        <v>79</v>
      </c>
      <c r="AD1840" s="47">
        <f t="shared" si="548"/>
        <v>47</v>
      </c>
      <c r="AE1840" s="47">
        <f t="shared" si="549"/>
        <v>33</v>
      </c>
      <c r="AG1840" s="47">
        <f t="shared" si="550"/>
        <v>79</v>
      </c>
      <c r="AH1840" s="47">
        <f t="shared" si="551"/>
        <v>46</v>
      </c>
      <c r="AI1840" s="208">
        <f t="shared" si="552"/>
        <v>32</v>
      </c>
    </row>
    <row r="1841" spans="1:35">
      <c r="A1841" t="s">
        <v>2145</v>
      </c>
      <c r="B1841" t="s">
        <v>3142</v>
      </c>
      <c r="C1841" t="s">
        <v>2191</v>
      </c>
      <c r="D1841" t="s">
        <v>5303</v>
      </c>
      <c r="F1841" t="s">
        <v>777</v>
      </c>
      <c r="G1841" s="126">
        <f>SUMIFS('Support - Transition'!F:F,'Support - Transition'!B:B,'Step 2'!A1841,'Support - Transition'!C:C,'Step 2'!B1841,'Support - Transition'!D:D,'Step 2'!C1841,'Support - Transition'!E:E,"CIVIL")</f>
        <v>3.1000000000000001E-5</v>
      </c>
      <c r="H1841" s="126">
        <f>SUMIFS('Support - Transition'!F:F,'Support - Transition'!B:B,'Step 2'!A1841,'Support - Transition'!C:C,'Step 2'!B1841,'Support - Transition'!D:D,'Step 2'!C1841,'Support - Transition'!E:E,"FIRE")</f>
        <v>1.0000000000000001E-5</v>
      </c>
      <c r="I1841" s="126">
        <f>IF(B1841="0",SUMIFS('Support - Transition'!F:F,'Support - Transition'!J:J,'Step 2'!D1841,'Support - Transition'!E:E,"STATE UNIT"),SUMIFS('Support - Transition'!F:F,'Support - Transition'!J:J,'Step 2'!D1841))</f>
        <v>4.1E-5</v>
      </c>
      <c r="J1841" s="126">
        <f>SUMIFS('Support - Unit Adjustments'!E:E,'Support - Unit Adjustments'!F:F,'Step 2'!D1841)</f>
        <v>0</v>
      </c>
      <c r="K1841" s="126">
        <f t="shared" si="536"/>
        <v>4.1E-5</v>
      </c>
      <c r="L1841" s="174">
        <f>VLOOKUP(A1841,'Step 1'!$A:$E,4,FALSE)</f>
        <v>87404</v>
      </c>
      <c r="M1841" s="47">
        <f t="shared" si="537"/>
        <v>4</v>
      </c>
      <c r="N1841" s="177">
        <f>SUMIFS('Support - Transition'!G:G,'Support - Transition'!J:J,'Step 2'!D1841,'Support - Transition'!E:E,"2009 WELFARE ALLOCATION FACTOR")</f>
        <v>0</v>
      </c>
      <c r="O1841" s="152">
        <f t="shared" si="542"/>
        <v>0</v>
      </c>
      <c r="P1841" s="126">
        <f>IF(E1841="Y",0,SUMIFS('Support - Transition'!G:G,'Support - Transition'!J:J,'Step 2'!D1841,'Support - Transition'!E:E,"2009 SCHOOL ALLOCATION FACTOR"))</f>
        <v>0</v>
      </c>
      <c r="Q1841" s="126">
        <f>IF(E1841="Y",VLOOKUP(D1841,'Support - Unit Adjustments'!F:G,2,FALSE),0)</f>
        <v>0</v>
      </c>
      <c r="R1841" s="155">
        <f t="shared" si="554"/>
        <v>0</v>
      </c>
      <c r="S1841" s="47">
        <f t="shared" si="553"/>
        <v>0</v>
      </c>
      <c r="T1841" s="151">
        <f t="shared" si="538"/>
        <v>4</v>
      </c>
      <c r="U1841" s="151">
        <f t="shared" si="539"/>
        <v>0</v>
      </c>
      <c r="V1841" s="139">
        <f t="shared" si="540"/>
        <v>0</v>
      </c>
      <c r="W1841" s="152">
        <f t="shared" si="543"/>
        <v>4</v>
      </c>
      <c r="X1841" s="127" t="str">
        <f t="shared" si="541"/>
        <v/>
      </c>
      <c r="Y1841" s="207">
        <f t="shared" si="544"/>
        <v>4</v>
      </c>
      <c r="Z1841" s="139">
        <f t="shared" si="545"/>
        <v>3</v>
      </c>
      <c r="AA1841" s="139">
        <f t="shared" si="546"/>
        <v>1</v>
      </c>
      <c r="AC1841" s="47">
        <f t="shared" si="547"/>
        <v>2</v>
      </c>
      <c r="AD1841" s="47">
        <f t="shared" si="548"/>
        <v>2</v>
      </c>
      <c r="AE1841" s="47">
        <f t="shared" si="549"/>
        <v>1</v>
      </c>
      <c r="AG1841" s="47">
        <f t="shared" si="550"/>
        <v>2</v>
      </c>
      <c r="AH1841" s="47">
        <f t="shared" si="551"/>
        <v>1</v>
      </c>
      <c r="AI1841" s="208">
        <f t="shared" si="552"/>
        <v>0</v>
      </c>
    </row>
    <row r="1842" spans="1:35">
      <c r="A1842" t="s">
        <v>2145</v>
      </c>
      <c r="B1842" t="s">
        <v>3142</v>
      </c>
      <c r="C1842" t="s">
        <v>2192</v>
      </c>
      <c r="D1842" t="s">
        <v>5304</v>
      </c>
      <c r="F1842" t="s">
        <v>49</v>
      </c>
      <c r="G1842" s="126">
        <f>SUMIFS('Support - Transition'!F:F,'Support - Transition'!B:B,'Step 2'!A1842,'Support - Transition'!C:C,'Step 2'!B1842,'Support - Transition'!D:D,'Step 2'!C1842,'Support - Transition'!E:E,"CIVIL")</f>
        <v>0</v>
      </c>
      <c r="H1842" s="126">
        <f>SUMIFS('Support - Transition'!F:F,'Support - Transition'!B:B,'Step 2'!A1842,'Support - Transition'!C:C,'Step 2'!B1842,'Support - Transition'!D:D,'Step 2'!C1842,'Support - Transition'!E:E,"FIRE")</f>
        <v>0</v>
      </c>
      <c r="I1842" s="126">
        <f>IF(B1842="0",SUMIFS('Support - Transition'!F:F,'Support - Transition'!J:J,'Step 2'!D1842,'Support - Transition'!E:E,"STATE UNIT"),SUMIFS('Support - Transition'!F:F,'Support - Transition'!J:J,'Step 2'!D1842))</f>
        <v>0</v>
      </c>
      <c r="J1842" s="126">
        <f>SUMIFS('Support - Unit Adjustments'!E:E,'Support - Unit Adjustments'!F:F,'Step 2'!D1842)</f>
        <v>0</v>
      </c>
      <c r="K1842" s="126">
        <f t="shared" si="536"/>
        <v>0</v>
      </c>
      <c r="L1842" s="174">
        <f>VLOOKUP(A1842,'Step 1'!$A:$E,4,FALSE)</f>
        <v>87404</v>
      </c>
      <c r="M1842" s="47">
        <f t="shared" si="537"/>
        <v>0</v>
      </c>
      <c r="N1842" s="177">
        <f>SUMIFS('Support - Transition'!G:G,'Support - Transition'!J:J,'Step 2'!D1842,'Support - Transition'!E:E,"2009 WELFARE ALLOCATION FACTOR")</f>
        <v>0</v>
      </c>
      <c r="O1842" s="152">
        <f t="shared" si="542"/>
        <v>0</v>
      </c>
      <c r="P1842" s="126">
        <f>IF(E1842="Y",0,SUMIFS('Support - Transition'!G:G,'Support - Transition'!J:J,'Step 2'!D1842,'Support - Transition'!E:E,"2009 SCHOOL ALLOCATION FACTOR"))</f>
        <v>0</v>
      </c>
      <c r="Q1842" s="126">
        <f>IF(E1842="Y",VLOOKUP(D1842,'Support - Unit Adjustments'!F:G,2,FALSE),0)</f>
        <v>0</v>
      </c>
      <c r="R1842" s="155">
        <f t="shared" si="554"/>
        <v>0</v>
      </c>
      <c r="S1842" s="47">
        <f t="shared" si="553"/>
        <v>0</v>
      </c>
      <c r="T1842" s="151">
        <f t="shared" si="538"/>
        <v>0</v>
      </c>
      <c r="U1842" s="151">
        <f t="shared" si="539"/>
        <v>0</v>
      </c>
      <c r="V1842" s="139">
        <f t="shared" si="540"/>
        <v>0</v>
      </c>
      <c r="W1842" s="152">
        <f t="shared" si="543"/>
        <v>0</v>
      </c>
      <c r="X1842" s="127" t="str">
        <f t="shared" si="541"/>
        <v/>
      </c>
      <c r="Y1842" s="207">
        <f t="shared" si="544"/>
        <v>0</v>
      </c>
      <c r="Z1842" s="139">
        <f t="shared" si="545"/>
        <v>0</v>
      </c>
      <c r="AA1842" s="139">
        <f t="shared" si="546"/>
        <v>0</v>
      </c>
      <c r="AC1842" s="47">
        <f t="shared" si="547"/>
        <v>0</v>
      </c>
      <c r="AD1842" s="47">
        <f t="shared" si="548"/>
        <v>0</v>
      </c>
      <c r="AE1842" s="47">
        <f t="shared" si="549"/>
        <v>0</v>
      </c>
      <c r="AG1842" s="47">
        <f t="shared" si="550"/>
        <v>0</v>
      </c>
      <c r="AH1842" s="47">
        <f t="shared" si="551"/>
        <v>0</v>
      </c>
      <c r="AI1842" s="208">
        <f t="shared" si="552"/>
        <v>0</v>
      </c>
    </row>
    <row r="1843" spans="1:35">
      <c r="A1843" t="s">
        <v>2145</v>
      </c>
      <c r="B1843" t="s">
        <v>3142</v>
      </c>
      <c r="C1843" t="s">
        <v>2193</v>
      </c>
      <c r="D1843" t="s">
        <v>5305</v>
      </c>
      <c r="F1843" t="s">
        <v>181</v>
      </c>
      <c r="G1843" s="126">
        <f>SUMIFS('Support - Transition'!F:F,'Support - Transition'!B:B,'Step 2'!A1843,'Support - Transition'!C:C,'Step 2'!B1843,'Support - Transition'!D:D,'Step 2'!C1843,'Support - Transition'!E:E,"CIVIL")</f>
        <v>3.5500000000000001E-4</v>
      </c>
      <c r="H1843" s="126">
        <f>SUMIFS('Support - Transition'!F:F,'Support - Transition'!B:B,'Step 2'!A1843,'Support - Transition'!C:C,'Step 2'!B1843,'Support - Transition'!D:D,'Step 2'!C1843,'Support - Transition'!E:E,"FIRE")</f>
        <v>2.0900000000000001E-4</v>
      </c>
      <c r="I1843" s="126">
        <f>IF(B1843="0",SUMIFS('Support - Transition'!F:F,'Support - Transition'!J:J,'Step 2'!D1843,'Support - Transition'!E:E,"STATE UNIT"),SUMIFS('Support - Transition'!F:F,'Support - Transition'!J:J,'Step 2'!D1843))</f>
        <v>5.6400000000000005E-4</v>
      </c>
      <c r="J1843" s="126">
        <f>SUMIFS('Support - Unit Adjustments'!E:E,'Support - Unit Adjustments'!F:F,'Step 2'!D1843)</f>
        <v>0</v>
      </c>
      <c r="K1843" s="126">
        <f t="shared" si="536"/>
        <v>5.6400000000000005E-4</v>
      </c>
      <c r="L1843" s="174">
        <f>VLOOKUP(A1843,'Step 1'!$A:$E,4,FALSE)</f>
        <v>87404</v>
      </c>
      <c r="M1843" s="47">
        <f t="shared" si="537"/>
        <v>49</v>
      </c>
      <c r="N1843" s="177">
        <f>SUMIFS('Support - Transition'!G:G,'Support - Transition'!J:J,'Step 2'!D1843,'Support - Transition'!E:E,"2009 WELFARE ALLOCATION FACTOR")</f>
        <v>0</v>
      </c>
      <c r="O1843" s="152">
        <f t="shared" si="542"/>
        <v>0</v>
      </c>
      <c r="P1843" s="126">
        <f>IF(E1843="Y",0,SUMIFS('Support - Transition'!G:G,'Support - Transition'!J:J,'Step 2'!D1843,'Support - Transition'!E:E,"2009 SCHOOL ALLOCATION FACTOR"))</f>
        <v>0</v>
      </c>
      <c r="Q1843" s="126">
        <f>IF(E1843="Y",VLOOKUP(D1843,'Support - Unit Adjustments'!F:G,2,FALSE),0)</f>
        <v>0</v>
      </c>
      <c r="R1843" s="155">
        <f t="shared" si="554"/>
        <v>0</v>
      </c>
      <c r="S1843" s="47">
        <f t="shared" si="553"/>
        <v>0</v>
      </c>
      <c r="T1843" s="151">
        <f t="shared" si="538"/>
        <v>49</v>
      </c>
      <c r="U1843" s="151">
        <f t="shared" si="539"/>
        <v>0</v>
      </c>
      <c r="V1843" s="139">
        <f t="shared" si="540"/>
        <v>0</v>
      </c>
      <c r="W1843" s="152">
        <f t="shared" si="543"/>
        <v>49</v>
      </c>
      <c r="X1843" s="127" t="str">
        <f t="shared" si="541"/>
        <v/>
      </c>
      <c r="Y1843" s="207">
        <f t="shared" si="544"/>
        <v>49</v>
      </c>
      <c r="Z1843" s="139">
        <f t="shared" si="545"/>
        <v>31</v>
      </c>
      <c r="AA1843" s="139">
        <f t="shared" si="546"/>
        <v>18</v>
      </c>
      <c r="AC1843" s="47">
        <f t="shared" si="547"/>
        <v>25</v>
      </c>
      <c r="AD1843" s="47">
        <f t="shared" si="548"/>
        <v>16</v>
      </c>
      <c r="AE1843" s="47">
        <f t="shared" si="549"/>
        <v>9</v>
      </c>
      <c r="AG1843" s="47">
        <f t="shared" si="550"/>
        <v>24</v>
      </c>
      <c r="AH1843" s="47">
        <f t="shared" si="551"/>
        <v>15</v>
      </c>
      <c r="AI1843" s="208">
        <f t="shared" si="552"/>
        <v>9</v>
      </c>
    </row>
    <row r="1844" spans="1:35">
      <c r="A1844" t="s">
        <v>2145</v>
      </c>
      <c r="B1844" t="s">
        <v>3142</v>
      </c>
      <c r="C1844" t="s">
        <v>2194</v>
      </c>
      <c r="D1844" t="s">
        <v>5306</v>
      </c>
      <c r="F1844" t="s">
        <v>857</v>
      </c>
      <c r="G1844" s="126">
        <f>SUMIFS('Support - Transition'!F:F,'Support - Transition'!B:B,'Step 2'!A1844,'Support - Transition'!C:C,'Step 2'!B1844,'Support - Transition'!D:D,'Step 2'!C1844,'Support - Transition'!E:E,"CIVIL")</f>
        <v>5.8399999999999999E-4</v>
      </c>
      <c r="H1844" s="126">
        <f>SUMIFS('Support - Transition'!F:F,'Support - Transition'!B:B,'Step 2'!A1844,'Support - Transition'!C:C,'Step 2'!B1844,'Support - Transition'!D:D,'Step 2'!C1844,'Support - Transition'!E:E,"FIRE")</f>
        <v>2.61E-4</v>
      </c>
      <c r="I1844" s="126">
        <f>IF(B1844="0",SUMIFS('Support - Transition'!F:F,'Support - Transition'!J:J,'Step 2'!D1844,'Support - Transition'!E:E,"STATE UNIT"),SUMIFS('Support - Transition'!F:F,'Support - Transition'!J:J,'Step 2'!D1844))</f>
        <v>8.4500000000000005E-4</v>
      </c>
      <c r="J1844" s="126">
        <f>SUMIFS('Support - Unit Adjustments'!E:E,'Support - Unit Adjustments'!F:F,'Step 2'!D1844)</f>
        <v>0</v>
      </c>
      <c r="K1844" s="126">
        <f t="shared" si="536"/>
        <v>8.4500000000000005E-4</v>
      </c>
      <c r="L1844" s="174">
        <f>VLOOKUP(A1844,'Step 1'!$A:$E,4,FALSE)</f>
        <v>87404</v>
      </c>
      <c r="M1844" s="47">
        <f t="shared" si="537"/>
        <v>74</v>
      </c>
      <c r="N1844" s="177">
        <f>SUMIFS('Support - Transition'!G:G,'Support - Transition'!J:J,'Step 2'!D1844,'Support - Transition'!E:E,"2009 WELFARE ALLOCATION FACTOR")</f>
        <v>0</v>
      </c>
      <c r="O1844" s="152">
        <f t="shared" si="542"/>
        <v>0</v>
      </c>
      <c r="P1844" s="126">
        <f>IF(E1844="Y",0,SUMIFS('Support - Transition'!G:G,'Support - Transition'!J:J,'Step 2'!D1844,'Support - Transition'!E:E,"2009 SCHOOL ALLOCATION FACTOR"))</f>
        <v>0</v>
      </c>
      <c r="Q1844" s="126">
        <f>IF(E1844="Y",VLOOKUP(D1844,'Support - Unit Adjustments'!F:G,2,FALSE),0)</f>
        <v>0</v>
      </c>
      <c r="R1844" s="155">
        <f t="shared" si="554"/>
        <v>0</v>
      </c>
      <c r="S1844" s="47">
        <f t="shared" si="553"/>
        <v>0</v>
      </c>
      <c r="T1844" s="151">
        <f t="shared" si="538"/>
        <v>74</v>
      </c>
      <c r="U1844" s="151">
        <f t="shared" si="539"/>
        <v>0</v>
      </c>
      <c r="V1844" s="139">
        <f t="shared" si="540"/>
        <v>0</v>
      </c>
      <c r="W1844" s="152">
        <f t="shared" si="543"/>
        <v>74</v>
      </c>
      <c r="X1844" s="127" t="str">
        <f t="shared" si="541"/>
        <v/>
      </c>
      <c r="Y1844" s="207">
        <f t="shared" si="544"/>
        <v>74</v>
      </c>
      <c r="Z1844" s="139">
        <f t="shared" si="545"/>
        <v>51</v>
      </c>
      <c r="AA1844" s="139">
        <f t="shared" si="546"/>
        <v>23</v>
      </c>
      <c r="AC1844" s="47">
        <f t="shared" si="547"/>
        <v>37</v>
      </c>
      <c r="AD1844" s="47">
        <f t="shared" si="548"/>
        <v>26</v>
      </c>
      <c r="AE1844" s="47">
        <f t="shared" si="549"/>
        <v>12</v>
      </c>
      <c r="AG1844" s="47">
        <f t="shared" si="550"/>
        <v>37</v>
      </c>
      <c r="AH1844" s="47">
        <f t="shared" si="551"/>
        <v>25</v>
      </c>
      <c r="AI1844" s="208">
        <f t="shared" si="552"/>
        <v>11</v>
      </c>
    </row>
    <row r="1845" spans="1:35">
      <c r="A1845" t="s">
        <v>2145</v>
      </c>
      <c r="B1845" t="s">
        <v>3142</v>
      </c>
      <c r="C1845" t="s">
        <v>2195</v>
      </c>
      <c r="D1845" t="s">
        <v>5307</v>
      </c>
      <c r="F1845" t="s">
        <v>1368</v>
      </c>
      <c r="G1845" s="126">
        <f>SUMIFS('Support - Transition'!F:F,'Support - Transition'!B:B,'Step 2'!A1845,'Support - Transition'!C:C,'Step 2'!B1845,'Support - Transition'!D:D,'Step 2'!C1845,'Support - Transition'!E:E,"CIVIL")</f>
        <v>5.2099999999999998E-4</v>
      </c>
      <c r="H1845" s="126">
        <f>SUMIFS('Support - Transition'!F:F,'Support - Transition'!B:B,'Step 2'!A1845,'Support - Transition'!C:C,'Step 2'!B1845,'Support - Transition'!D:D,'Step 2'!C1845,'Support - Transition'!E:E,"FIRE")</f>
        <v>2.5000000000000001E-4</v>
      </c>
      <c r="I1845" s="126">
        <f>IF(B1845="0",SUMIFS('Support - Transition'!F:F,'Support - Transition'!J:J,'Step 2'!D1845,'Support - Transition'!E:E,"STATE UNIT"),SUMIFS('Support - Transition'!F:F,'Support - Transition'!J:J,'Step 2'!D1845))</f>
        <v>7.7099999999999998E-4</v>
      </c>
      <c r="J1845" s="126">
        <f>SUMIFS('Support - Unit Adjustments'!E:E,'Support - Unit Adjustments'!F:F,'Step 2'!D1845)</f>
        <v>0</v>
      </c>
      <c r="K1845" s="126">
        <f t="shared" si="536"/>
        <v>7.7099999999999998E-4</v>
      </c>
      <c r="L1845" s="174">
        <f>VLOOKUP(A1845,'Step 1'!$A:$E,4,FALSE)</f>
        <v>87404</v>
      </c>
      <c r="M1845" s="47">
        <f t="shared" si="537"/>
        <v>67</v>
      </c>
      <c r="N1845" s="177">
        <f>SUMIFS('Support - Transition'!G:G,'Support - Transition'!J:J,'Step 2'!D1845,'Support - Transition'!E:E,"2009 WELFARE ALLOCATION FACTOR")</f>
        <v>0</v>
      </c>
      <c r="O1845" s="152">
        <f t="shared" si="542"/>
        <v>0</v>
      </c>
      <c r="P1845" s="126">
        <f>IF(E1845="Y",0,SUMIFS('Support - Transition'!G:G,'Support - Transition'!J:J,'Step 2'!D1845,'Support - Transition'!E:E,"2009 SCHOOL ALLOCATION FACTOR"))</f>
        <v>0</v>
      </c>
      <c r="Q1845" s="126">
        <f>IF(E1845="Y",VLOOKUP(D1845,'Support - Unit Adjustments'!F:G,2,FALSE),0)</f>
        <v>0</v>
      </c>
      <c r="R1845" s="155">
        <f t="shared" si="554"/>
        <v>0</v>
      </c>
      <c r="S1845" s="47">
        <f t="shared" si="553"/>
        <v>0</v>
      </c>
      <c r="T1845" s="151">
        <f t="shared" si="538"/>
        <v>67</v>
      </c>
      <c r="U1845" s="151">
        <f t="shared" si="539"/>
        <v>0</v>
      </c>
      <c r="V1845" s="139">
        <f t="shared" si="540"/>
        <v>0</v>
      </c>
      <c r="W1845" s="152">
        <f t="shared" si="543"/>
        <v>67</v>
      </c>
      <c r="X1845" s="127" t="str">
        <f t="shared" si="541"/>
        <v/>
      </c>
      <c r="Y1845" s="207">
        <f t="shared" si="544"/>
        <v>67</v>
      </c>
      <c r="Z1845" s="139">
        <f t="shared" si="545"/>
        <v>45</v>
      </c>
      <c r="AA1845" s="139">
        <f t="shared" si="546"/>
        <v>22</v>
      </c>
      <c r="AC1845" s="47">
        <f t="shared" si="547"/>
        <v>34</v>
      </c>
      <c r="AD1845" s="47">
        <f t="shared" si="548"/>
        <v>23</v>
      </c>
      <c r="AE1845" s="47">
        <f t="shared" si="549"/>
        <v>11</v>
      </c>
      <c r="AG1845" s="47">
        <f t="shared" si="550"/>
        <v>33</v>
      </c>
      <c r="AH1845" s="47">
        <f t="shared" si="551"/>
        <v>22</v>
      </c>
      <c r="AI1845" s="208">
        <f t="shared" si="552"/>
        <v>11</v>
      </c>
    </row>
    <row r="1846" spans="1:35">
      <c r="A1846" t="s">
        <v>2145</v>
      </c>
      <c r="B1846" t="s">
        <v>3142</v>
      </c>
      <c r="C1846" t="s">
        <v>2196</v>
      </c>
      <c r="D1846" t="s">
        <v>5308</v>
      </c>
      <c r="F1846" t="s">
        <v>1369</v>
      </c>
      <c r="G1846" s="126">
        <f>SUMIFS('Support - Transition'!F:F,'Support - Transition'!B:B,'Step 2'!A1846,'Support - Transition'!C:C,'Step 2'!B1846,'Support - Transition'!D:D,'Step 2'!C1846,'Support - Transition'!E:E,"CIVIL")</f>
        <v>0</v>
      </c>
      <c r="H1846" s="126">
        <f>SUMIFS('Support - Transition'!F:F,'Support - Transition'!B:B,'Step 2'!A1846,'Support - Transition'!C:C,'Step 2'!B1846,'Support - Transition'!D:D,'Step 2'!C1846,'Support - Transition'!E:E,"FIRE")</f>
        <v>0</v>
      </c>
      <c r="I1846" s="126">
        <f>IF(B1846="0",SUMIFS('Support - Transition'!F:F,'Support - Transition'!J:J,'Step 2'!D1846,'Support - Transition'!E:E,"STATE UNIT"),SUMIFS('Support - Transition'!F:F,'Support - Transition'!J:J,'Step 2'!D1846))</f>
        <v>0</v>
      </c>
      <c r="J1846" s="126">
        <f>SUMIFS('Support - Unit Adjustments'!E:E,'Support - Unit Adjustments'!F:F,'Step 2'!D1846)</f>
        <v>0</v>
      </c>
      <c r="K1846" s="126">
        <f t="shared" si="536"/>
        <v>0</v>
      </c>
      <c r="L1846" s="174">
        <f>VLOOKUP(A1846,'Step 1'!$A:$E,4,FALSE)</f>
        <v>87404</v>
      </c>
      <c r="M1846" s="47">
        <f t="shared" si="537"/>
        <v>0</v>
      </c>
      <c r="N1846" s="177">
        <f>SUMIFS('Support - Transition'!G:G,'Support - Transition'!J:J,'Step 2'!D1846,'Support - Transition'!E:E,"2009 WELFARE ALLOCATION FACTOR")</f>
        <v>0</v>
      </c>
      <c r="O1846" s="152">
        <f t="shared" si="542"/>
        <v>0</v>
      </c>
      <c r="P1846" s="126">
        <f>IF(E1846="Y",0,SUMIFS('Support - Transition'!G:G,'Support - Transition'!J:J,'Step 2'!D1846,'Support - Transition'!E:E,"2009 SCHOOL ALLOCATION FACTOR"))</f>
        <v>0</v>
      </c>
      <c r="Q1846" s="126">
        <f>IF(E1846="Y",VLOOKUP(D1846,'Support - Unit Adjustments'!F:G,2,FALSE),0)</f>
        <v>0</v>
      </c>
      <c r="R1846" s="155">
        <f t="shared" si="554"/>
        <v>0</v>
      </c>
      <c r="S1846" s="47">
        <f t="shared" si="553"/>
        <v>0</v>
      </c>
      <c r="T1846" s="151">
        <f t="shared" si="538"/>
        <v>0</v>
      </c>
      <c r="U1846" s="151">
        <f t="shared" si="539"/>
        <v>0</v>
      </c>
      <c r="V1846" s="139">
        <f t="shared" si="540"/>
        <v>0</v>
      </c>
      <c r="W1846" s="152">
        <f t="shared" si="543"/>
        <v>0</v>
      </c>
      <c r="X1846" s="127" t="str">
        <f t="shared" si="541"/>
        <v/>
      </c>
      <c r="Y1846" s="207">
        <f t="shared" si="544"/>
        <v>0</v>
      </c>
      <c r="Z1846" s="139">
        <f t="shared" si="545"/>
        <v>0</v>
      </c>
      <c r="AA1846" s="139">
        <f t="shared" si="546"/>
        <v>0</v>
      </c>
      <c r="AC1846" s="47">
        <f t="shared" si="547"/>
        <v>0</v>
      </c>
      <c r="AD1846" s="47">
        <f t="shared" si="548"/>
        <v>0</v>
      </c>
      <c r="AE1846" s="47">
        <f t="shared" si="549"/>
        <v>0</v>
      </c>
      <c r="AG1846" s="47">
        <f t="shared" si="550"/>
        <v>0</v>
      </c>
      <c r="AH1846" s="47">
        <f t="shared" si="551"/>
        <v>0</v>
      </c>
      <c r="AI1846" s="208">
        <f t="shared" si="552"/>
        <v>0</v>
      </c>
    </row>
    <row r="1847" spans="1:35">
      <c r="A1847" t="s">
        <v>2145</v>
      </c>
      <c r="B1847" t="s">
        <v>3142</v>
      </c>
      <c r="C1847" t="s">
        <v>2197</v>
      </c>
      <c r="D1847" t="s">
        <v>5309</v>
      </c>
      <c r="F1847" t="s">
        <v>149</v>
      </c>
      <c r="G1847" s="126">
        <f>SUMIFS('Support - Transition'!F:F,'Support - Transition'!B:B,'Step 2'!A1847,'Support - Transition'!C:C,'Step 2'!B1847,'Support - Transition'!D:D,'Step 2'!C1847,'Support - Transition'!E:E,"CIVIL")</f>
        <v>0</v>
      </c>
      <c r="H1847" s="126">
        <f>SUMIFS('Support - Transition'!F:F,'Support - Transition'!B:B,'Step 2'!A1847,'Support - Transition'!C:C,'Step 2'!B1847,'Support - Transition'!D:D,'Step 2'!C1847,'Support - Transition'!E:E,"FIRE")</f>
        <v>0</v>
      </c>
      <c r="I1847" s="126">
        <f>IF(B1847="0",SUMIFS('Support - Transition'!F:F,'Support - Transition'!J:J,'Step 2'!D1847,'Support - Transition'!E:E,"STATE UNIT"),SUMIFS('Support - Transition'!F:F,'Support - Transition'!J:J,'Step 2'!D1847))</f>
        <v>0</v>
      </c>
      <c r="J1847" s="126">
        <f>SUMIFS('Support - Unit Adjustments'!E:E,'Support - Unit Adjustments'!F:F,'Step 2'!D1847)</f>
        <v>0</v>
      </c>
      <c r="K1847" s="126">
        <f t="shared" si="536"/>
        <v>0</v>
      </c>
      <c r="L1847" s="174">
        <f>VLOOKUP(A1847,'Step 1'!$A:$E,4,FALSE)</f>
        <v>87404</v>
      </c>
      <c r="M1847" s="47">
        <f t="shared" si="537"/>
        <v>0</v>
      </c>
      <c r="N1847" s="177">
        <f>SUMIFS('Support - Transition'!G:G,'Support - Transition'!J:J,'Step 2'!D1847,'Support - Transition'!E:E,"2009 WELFARE ALLOCATION FACTOR")</f>
        <v>0</v>
      </c>
      <c r="O1847" s="152">
        <f t="shared" si="542"/>
        <v>0</v>
      </c>
      <c r="P1847" s="126">
        <f>IF(E1847="Y",0,SUMIFS('Support - Transition'!G:G,'Support - Transition'!J:J,'Step 2'!D1847,'Support - Transition'!E:E,"2009 SCHOOL ALLOCATION FACTOR"))</f>
        <v>0</v>
      </c>
      <c r="Q1847" s="126">
        <f>IF(E1847="Y",VLOOKUP(D1847,'Support - Unit Adjustments'!F:G,2,FALSE),0)</f>
        <v>0</v>
      </c>
      <c r="R1847" s="155">
        <f t="shared" si="554"/>
        <v>0</v>
      </c>
      <c r="S1847" s="47">
        <f t="shared" si="553"/>
        <v>0</v>
      </c>
      <c r="T1847" s="151">
        <f t="shared" si="538"/>
        <v>0</v>
      </c>
      <c r="U1847" s="151">
        <f t="shared" si="539"/>
        <v>0</v>
      </c>
      <c r="V1847" s="139">
        <f t="shared" si="540"/>
        <v>0</v>
      </c>
      <c r="W1847" s="152">
        <f t="shared" si="543"/>
        <v>0</v>
      </c>
      <c r="X1847" s="127" t="str">
        <f t="shared" si="541"/>
        <v/>
      </c>
      <c r="Y1847" s="207">
        <f t="shared" si="544"/>
        <v>0</v>
      </c>
      <c r="Z1847" s="139">
        <f t="shared" si="545"/>
        <v>0</v>
      </c>
      <c r="AA1847" s="139">
        <f t="shared" si="546"/>
        <v>0</v>
      </c>
      <c r="AC1847" s="47">
        <f t="shared" si="547"/>
        <v>0</v>
      </c>
      <c r="AD1847" s="47">
        <f t="shared" si="548"/>
        <v>0</v>
      </c>
      <c r="AE1847" s="47">
        <f t="shared" si="549"/>
        <v>0</v>
      </c>
      <c r="AG1847" s="47">
        <f t="shared" si="550"/>
        <v>0</v>
      </c>
      <c r="AH1847" s="47">
        <f t="shared" si="551"/>
        <v>0</v>
      </c>
      <c r="AI1847" s="208">
        <f t="shared" si="552"/>
        <v>0</v>
      </c>
    </row>
    <row r="1848" spans="1:35">
      <c r="A1848" t="s">
        <v>2145</v>
      </c>
      <c r="B1848" t="s">
        <v>3142</v>
      </c>
      <c r="C1848" t="s">
        <v>2198</v>
      </c>
      <c r="D1848" t="s">
        <v>5310</v>
      </c>
      <c r="F1848" t="s">
        <v>20</v>
      </c>
      <c r="G1848" s="126">
        <f>SUMIFS('Support - Transition'!F:F,'Support - Transition'!B:B,'Step 2'!A1848,'Support - Transition'!C:C,'Step 2'!B1848,'Support - Transition'!D:D,'Step 2'!C1848,'Support - Transition'!E:E,"CIVIL")</f>
        <v>0</v>
      </c>
      <c r="H1848" s="126">
        <f>SUMIFS('Support - Transition'!F:F,'Support - Transition'!B:B,'Step 2'!A1848,'Support - Transition'!C:C,'Step 2'!B1848,'Support - Transition'!D:D,'Step 2'!C1848,'Support - Transition'!E:E,"FIRE")</f>
        <v>0</v>
      </c>
      <c r="I1848" s="126">
        <f>IF(B1848="0",SUMIFS('Support - Transition'!F:F,'Support - Transition'!J:J,'Step 2'!D1848,'Support - Transition'!E:E,"STATE UNIT"),SUMIFS('Support - Transition'!F:F,'Support - Transition'!J:J,'Step 2'!D1848))</f>
        <v>0</v>
      </c>
      <c r="J1848" s="126">
        <f>SUMIFS('Support - Unit Adjustments'!E:E,'Support - Unit Adjustments'!F:F,'Step 2'!D1848)</f>
        <v>0</v>
      </c>
      <c r="K1848" s="126">
        <f t="shared" si="536"/>
        <v>0</v>
      </c>
      <c r="L1848" s="174">
        <f>VLOOKUP(A1848,'Step 1'!$A:$E,4,FALSE)</f>
        <v>87404</v>
      </c>
      <c r="M1848" s="47">
        <f t="shared" si="537"/>
        <v>0</v>
      </c>
      <c r="N1848" s="177">
        <f>SUMIFS('Support - Transition'!G:G,'Support - Transition'!J:J,'Step 2'!D1848,'Support - Transition'!E:E,"2009 WELFARE ALLOCATION FACTOR")</f>
        <v>0</v>
      </c>
      <c r="O1848" s="152">
        <f t="shared" si="542"/>
        <v>0</v>
      </c>
      <c r="P1848" s="126">
        <f>IF(E1848="Y",0,SUMIFS('Support - Transition'!G:G,'Support - Transition'!J:J,'Step 2'!D1848,'Support - Transition'!E:E,"2009 SCHOOL ALLOCATION FACTOR"))</f>
        <v>0</v>
      </c>
      <c r="Q1848" s="126">
        <f>IF(E1848="Y",VLOOKUP(D1848,'Support - Unit Adjustments'!F:G,2,FALSE),0)</f>
        <v>0</v>
      </c>
      <c r="R1848" s="155">
        <f t="shared" si="554"/>
        <v>0</v>
      </c>
      <c r="S1848" s="47">
        <f t="shared" si="553"/>
        <v>0</v>
      </c>
      <c r="T1848" s="151">
        <f t="shared" si="538"/>
        <v>0</v>
      </c>
      <c r="U1848" s="151">
        <f t="shared" si="539"/>
        <v>0</v>
      </c>
      <c r="V1848" s="139">
        <f t="shared" si="540"/>
        <v>0</v>
      </c>
      <c r="W1848" s="152">
        <f t="shared" si="543"/>
        <v>0</v>
      </c>
      <c r="X1848" s="127" t="str">
        <f t="shared" si="541"/>
        <v/>
      </c>
      <c r="Y1848" s="207">
        <f t="shared" si="544"/>
        <v>0</v>
      </c>
      <c r="Z1848" s="139">
        <f t="shared" si="545"/>
        <v>0</v>
      </c>
      <c r="AA1848" s="139">
        <f t="shared" si="546"/>
        <v>0</v>
      </c>
      <c r="AC1848" s="47">
        <f t="shared" si="547"/>
        <v>0</v>
      </c>
      <c r="AD1848" s="47">
        <f t="shared" si="548"/>
        <v>0</v>
      </c>
      <c r="AE1848" s="47">
        <f t="shared" si="549"/>
        <v>0</v>
      </c>
      <c r="AG1848" s="47">
        <f t="shared" si="550"/>
        <v>0</v>
      </c>
      <c r="AH1848" s="47">
        <f t="shared" si="551"/>
        <v>0</v>
      </c>
      <c r="AI1848" s="208">
        <f t="shared" si="552"/>
        <v>0</v>
      </c>
    </row>
    <row r="1849" spans="1:35">
      <c r="A1849" t="s">
        <v>2145</v>
      </c>
      <c r="B1849" t="s">
        <v>3142</v>
      </c>
      <c r="C1849" t="s">
        <v>2199</v>
      </c>
      <c r="D1849" t="s">
        <v>5311</v>
      </c>
      <c r="F1849" t="s">
        <v>21</v>
      </c>
      <c r="G1849" s="126">
        <f>SUMIFS('Support - Transition'!F:F,'Support - Transition'!B:B,'Step 2'!A1849,'Support - Transition'!C:C,'Step 2'!B1849,'Support - Transition'!D:D,'Step 2'!C1849,'Support - Transition'!E:E,"CIVIL")</f>
        <v>2.92E-4</v>
      </c>
      <c r="H1849" s="126">
        <f>SUMIFS('Support - Transition'!F:F,'Support - Transition'!B:B,'Step 2'!A1849,'Support - Transition'!C:C,'Step 2'!B1849,'Support - Transition'!D:D,'Step 2'!C1849,'Support - Transition'!E:E,"FIRE")</f>
        <v>4.6900000000000002E-4</v>
      </c>
      <c r="I1849" s="126">
        <f>IF(B1849="0",SUMIFS('Support - Transition'!F:F,'Support - Transition'!J:J,'Step 2'!D1849,'Support - Transition'!E:E,"STATE UNIT"),SUMIFS('Support - Transition'!F:F,'Support - Transition'!J:J,'Step 2'!D1849))</f>
        <v>7.6099999999999996E-4</v>
      </c>
      <c r="J1849" s="126">
        <f>SUMIFS('Support - Unit Adjustments'!E:E,'Support - Unit Adjustments'!F:F,'Step 2'!D1849)</f>
        <v>0</v>
      </c>
      <c r="K1849" s="126">
        <f t="shared" si="536"/>
        <v>7.6099999999999996E-4</v>
      </c>
      <c r="L1849" s="174">
        <f>VLOOKUP(A1849,'Step 1'!$A:$E,4,FALSE)</f>
        <v>87404</v>
      </c>
      <c r="M1849" s="47">
        <f t="shared" si="537"/>
        <v>67</v>
      </c>
      <c r="N1849" s="177">
        <f>SUMIFS('Support - Transition'!G:G,'Support - Transition'!J:J,'Step 2'!D1849,'Support - Transition'!E:E,"2009 WELFARE ALLOCATION FACTOR")</f>
        <v>0</v>
      </c>
      <c r="O1849" s="152">
        <f t="shared" si="542"/>
        <v>0</v>
      </c>
      <c r="P1849" s="126">
        <f>IF(E1849="Y",0,SUMIFS('Support - Transition'!G:G,'Support - Transition'!J:J,'Step 2'!D1849,'Support - Transition'!E:E,"2009 SCHOOL ALLOCATION FACTOR"))</f>
        <v>0</v>
      </c>
      <c r="Q1849" s="126">
        <f>IF(E1849="Y",VLOOKUP(D1849,'Support - Unit Adjustments'!F:G,2,FALSE),0)</f>
        <v>0</v>
      </c>
      <c r="R1849" s="155">
        <f t="shared" si="554"/>
        <v>0</v>
      </c>
      <c r="S1849" s="47">
        <f t="shared" si="553"/>
        <v>0</v>
      </c>
      <c r="T1849" s="151">
        <f t="shared" si="538"/>
        <v>67</v>
      </c>
      <c r="U1849" s="151">
        <f t="shared" si="539"/>
        <v>0</v>
      </c>
      <c r="V1849" s="139">
        <f t="shared" si="540"/>
        <v>0</v>
      </c>
      <c r="W1849" s="152">
        <f t="shared" si="543"/>
        <v>67</v>
      </c>
      <c r="X1849" s="127" t="str">
        <f t="shared" si="541"/>
        <v/>
      </c>
      <c r="Y1849" s="207">
        <f t="shared" si="544"/>
        <v>67</v>
      </c>
      <c r="Z1849" s="139">
        <f t="shared" si="545"/>
        <v>26</v>
      </c>
      <c r="AA1849" s="139">
        <f t="shared" si="546"/>
        <v>41</v>
      </c>
      <c r="AC1849" s="47">
        <f t="shared" si="547"/>
        <v>34</v>
      </c>
      <c r="AD1849" s="47">
        <f t="shared" si="548"/>
        <v>13</v>
      </c>
      <c r="AE1849" s="47">
        <f t="shared" si="549"/>
        <v>21</v>
      </c>
      <c r="AG1849" s="47">
        <f t="shared" si="550"/>
        <v>33</v>
      </c>
      <c r="AH1849" s="47">
        <f t="shared" si="551"/>
        <v>13</v>
      </c>
      <c r="AI1849" s="208">
        <f t="shared" si="552"/>
        <v>20</v>
      </c>
    </row>
    <row r="1850" spans="1:35">
      <c r="A1850" t="s">
        <v>2145</v>
      </c>
      <c r="B1850" t="s">
        <v>3142</v>
      </c>
      <c r="C1850" t="s">
        <v>2208</v>
      </c>
      <c r="D1850" t="s">
        <v>5312</v>
      </c>
      <c r="F1850" t="s">
        <v>22</v>
      </c>
      <c r="G1850" s="126">
        <f>SUMIFS('Support - Transition'!F:F,'Support - Transition'!B:B,'Step 2'!A1850,'Support - Transition'!C:C,'Step 2'!B1850,'Support - Transition'!D:D,'Step 2'!C1850,'Support - Transition'!E:E,"CIVIL")</f>
        <v>1.5430000000000001E-3</v>
      </c>
      <c r="H1850" s="126">
        <f>SUMIFS('Support - Transition'!F:F,'Support - Transition'!B:B,'Step 2'!A1850,'Support - Transition'!C:C,'Step 2'!B1850,'Support - Transition'!D:D,'Step 2'!C1850,'Support - Transition'!E:E,"FIRE")</f>
        <v>9.3800000000000003E-4</v>
      </c>
      <c r="I1850" s="126">
        <f>IF(B1850="0",SUMIFS('Support - Transition'!F:F,'Support - Transition'!J:J,'Step 2'!D1850,'Support - Transition'!E:E,"STATE UNIT"),SUMIFS('Support - Transition'!F:F,'Support - Transition'!J:J,'Step 2'!D1850))</f>
        <v>2.4810000000000001E-3</v>
      </c>
      <c r="J1850" s="126">
        <f>SUMIFS('Support - Unit Adjustments'!E:E,'Support - Unit Adjustments'!F:F,'Step 2'!D1850)</f>
        <v>0</v>
      </c>
      <c r="K1850" s="126">
        <f t="shared" si="536"/>
        <v>2.4810000000000001E-3</v>
      </c>
      <c r="L1850" s="174">
        <f>VLOOKUP(A1850,'Step 1'!$A:$E,4,FALSE)</f>
        <v>87404</v>
      </c>
      <c r="M1850" s="47">
        <f t="shared" si="537"/>
        <v>217</v>
      </c>
      <c r="N1850" s="177">
        <f>SUMIFS('Support - Transition'!G:G,'Support - Transition'!J:J,'Step 2'!D1850,'Support - Transition'!E:E,"2009 WELFARE ALLOCATION FACTOR")</f>
        <v>0</v>
      </c>
      <c r="O1850" s="152">
        <f t="shared" si="542"/>
        <v>0</v>
      </c>
      <c r="P1850" s="126">
        <f>IF(E1850="Y",0,SUMIFS('Support - Transition'!G:G,'Support - Transition'!J:J,'Step 2'!D1850,'Support - Transition'!E:E,"2009 SCHOOL ALLOCATION FACTOR"))</f>
        <v>0</v>
      </c>
      <c r="Q1850" s="126">
        <f>IF(E1850="Y",VLOOKUP(D1850,'Support - Unit Adjustments'!F:G,2,FALSE),0)</f>
        <v>0</v>
      </c>
      <c r="R1850" s="155">
        <f t="shared" si="554"/>
        <v>0</v>
      </c>
      <c r="S1850" s="47">
        <f t="shared" si="553"/>
        <v>0</v>
      </c>
      <c r="T1850" s="151">
        <f t="shared" si="538"/>
        <v>217</v>
      </c>
      <c r="U1850" s="151">
        <f t="shared" si="539"/>
        <v>0</v>
      </c>
      <c r="V1850" s="139">
        <f t="shared" si="540"/>
        <v>0</v>
      </c>
      <c r="W1850" s="152">
        <f t="shared" si="543"/>
        <v>217</v>
      </c>
      <c r="X1850" s="127" t="str">
        <f t="shared" si="541"/>
        <v/>
      </c>
      <c r="Y1850" s="207">
        <f t="shared" si="544"/>
        <v>217</v>
      </c>
      <c r="Z1850" s="139">
        <f t="shared" si="545"/>
        <v>135</v>
      </c>
      <c r="AA1850" s="139">
        <f t="shared" si="546"/>
        <v>82</v>
      </c>
      <c r="AC1850" s="47">
        <f t="shared" si="547"/>
        <v>109</v>
      </c>
      <c r="AD1850" s="47">
        <f t="shared" si="548"/>
        <v>68</v>
      </c>
      <c r="AE1850" s="47">
        <f t="shared" si="549"/>
        <v>41</v>
      </c>
      <c r="AG1850" s="47">
        <f t="shared" si="550"/>
        <v>108</v>
      </c>
      <c r="AH1850" s="47">
        <f t="shared" si="551"/>
        <v>67</v>
      </c>
      <c r="AI1850" s="208">
        <f t="shared" si="552"/>
        <v>41</v>
      </c>
    </row>
    <row r="1851" spans="1:35">
      <c r="A1851" t="s">
        <v>2145</v>
      </c>
      <c r="B1851" t="s">
        <v>3155</v>
      </c>
      <c r="C1851" t="s">
        <v>2905</v>
      </c>
      <c r="D1851" t="s">
        <v>5313</v>
      </c>
      <c r="F1851" t="s">
        <v>1370</v>
      </c>
      <c r="G1851" s="126">
        <f>SUMIFS('Support - Transition'!F:F,'Support - Transition'!B:B,'Step 2'!A1851,'Support - Transition'!C:C,'Step 2'!B1851,'Support - Transition'!D:D,'Step 2'!C1851,'Support - Transition'!E:E,"CIVIL")</f>
        <v>0</v>
      </c>
      <c r="H1851" s="126">
        <f>SUMIFS('Support - Transition'!F:F,'Support - Transition'!B:B,'Step 2'!A1851,'Support - Transition'!C:C,'Step 2'!B1851,'Support - Transition'!D:D,'Step 2'!C1851,'Support - Transition'!E:E,"FIRE")</f>
        <v>0</v>
      </c>
      <c r="I1851" s="126">
        <f>IF(B1851="0",SUMIFS('Support - Transition'!F:F,'Support - Transition'!J:J,'Step 2'!D1851,'Support - Transition'!E:E,"STATE UNIT"),SUMIFS('Support - Transition'!F:F,'Support - Transition'!J:J,'Step 2'!D1851))</f>
        <v>7.5100000000000004E-4</v>
      </c>
      <c r="J1851" s="126">
        <f>SUMIFS('Support - Unit Adjustments'!E:E,'Support - Unit Adjustments'!F:F,'Step 2'!D1851)</f>
        <v>0</v>
      </c>
      <c r="K1851" s="126">
        <f t="shared" si="536"/>
        <v>7.5100000000000004E-4</v>
      </c>
      <c r="L1851" s="174">
        <f>VLOOKUP(A1851,'Step 1'!$A:$E,4,FALSE)</f>
        <v>87404</v>
      </c>
      <c r="M1851" s="47">
        <f t="shared" si="537"/>
        <v>66</v>
      </c>
      <c r="N1851" s="177">
        <f>SUMIFS('Support - Transition'!G:G,'Support - Transition'!J:J,'Step 2'!D1851,'Support - Transition'!E:E,"2009 WELFARE ALLOCATION FACTOR")</f>
        <v>0</v>
      </c>
      <c r="O1851" s="152">
        <f t="shared" si="542"/>
        <v>0</v>
      </c>
      <c r="P1851" s="126">
        <f>IF(E1851="Y",0,SUMIFS('Support - Transition'!G:G,'Support - Transition'!J:J,'Step 2'!D1851,'Support - Transition'!E:E,"2009 SCHOOL ALLOCATION FACTOR"))</f>
        <v>0</v>
      </c>
      <c r="Q1851" s="126">
        <f>IF(E1851="Y",VLOOKUP(D1851,'Support - Unit Adjustments'!F:G,2,FALSE),0)</f>
        <v>0</v>
      </c>
      <c r="R1851" s="155">
        <f t="shared" si="554"/>
        <v>0</v>
      </c>
      <c r="S1851" s="47">
        <f t="shared" si="553"/>
        <v>0</v>
      </c>
      <c r="T1851" s="151">
        <f t="shared" si="538"/>
        <v>66</v>
      </c>
      <c r="U1851" s="151">
        <f t="shared" si="539"/>
        <v>0</v>
      </c>
      <c r="V1851" s="139">
        <f t="shared" si="540"/>
        <v>0</v>
      </c>
      <c r="W1851" s="152">
        <f t="shared" si="543"/>
        <v>66</v>
      </c>
      <c r="X1851" s="127" t="str">
        <f t="shared" si="541"/>
        <v/>
      </c>
      <c r="Y1851" s="207">
        <f t="shared" si="544"/>
        <v>66</v>
      </c>
      <c r="Z1851" s="139">
        <f t="shared" si="545"/>
        <v>66</v>
      </c>
      <c r="AA1851" s="139">
        <f t="shared" si="546"/>
        <v>0</v>
      </c>
      <c r="AC1851" s="47">
        <f t="shared" si="547"/>
        <v>33</v>
      </c>
      <c r="AD1851" s="47">
        <f t="shared" si="548"/>
        <v>33</v>
      </c>
      <c r="AE1851" s="47">
        <f t="shared" si="549"/>
        <v>0</v>
      </c>
      <c r="AG1851" s="47">
        <f t="shared" si="550"/>
        <v>33</v>
      </c>
      <c r="AH1851" s="47">
        <f t="shared" si="551"/>
        <v>33</v>
      </c>
      <c r="AI1851" s="208">
        <f t="shared" si="552"/>
        <v>0</v>
      </c>
    </row>
    <row r="1852" spans="1:35">
      <c r="A1852" t="s">
        <v>2145</v>
      </c>
      <c r="B1852" t="s">
        <v>3155</v>
      </c>
      <c r="C1852" t="s">
        <v>2813</v>
      </c>
      <c r="D1852" t="s">
        <v>5314</v>
      </c>
      <c r="F1852" t="s">
        <v>1371</v>
      </c>
      <c r="G1852" s="126">
        <f>SUMIFS('Support - Transition'!F:F,'Support - Transition'!B:B,'Step 2'!A1852,'Support - Transition'!C:C,'Step 2'!B1852,'Support - Transition'!D:D,'Step 2'!C1852,'Support - Transition'!E:E,"CIVIL")</f>
        <v>0</v>
      </c>
      <c r="H1852" s="126">
        <f>SUMIFS('Support - Transition'!F:F,'Support - Transition'!B:B,'Step 2'!A1852,'Support - Transition'!C:C,'Step 2'!B1852,'Support - Transition'!D:D,'Step 2'!C1852,'Support - Transition'!E:E,"FIRE")</f>
        <v>0</v>
      </c>
      <c r="I1852" s="126">
        <f>IF(B1852="0",SUMIFS('Support - Transition'!F:F,'Support - Transition'!J:J,'Step 2'!D1852,'Support - Transition'!E:E,"STATE UNIT"),SUMIFS('Support - Transition'!F:F,'Support - Transition'!J:J,'Step 2'!D1852))</f>
        <v>0</v>
      </c>
      <c r="J1852" s="126">
        <f>SUMIFS('Support - Unit Adjustments'!E:E,'Support - Unit Adjustments'!F:F,'Step 2'!D1852)</f>
        <v>0</v>
      </c>
      <c r="K1852" s="126">
        <f t="shared" si="536"/>
        <v>0</v>
      </c>
      <c r="L1852" s="174">
        <f>VLOOKUP(A1852,'Step 1'!$A:$E,4,FALSE)</f>
        <v>87404</v>
      </c>
      <c r="M1852" s="47">
        <f t="shared" si="537"/>
        <v>0</v>
      </c>
      <c r="N1852" s="177">
        <f>SUMIFS('Support - Transition'!G:G,'Support - Transition'!J:J,'Step 2'!D1852,'Support - Transition'!E:E,"2009 WELFARE ALLOCATION FACTOR")</f>
        <v>0</v>
      </c>
      <c r="O1852" s="152">
        <f t="shared" si="542"/>
        <v>0</v>
      </c>
      <c r="P1852" s="126">
        <f>IF(E1852="Y",0,SUMIFS('Support - Transition'!G:G,'Support - Transition'!J:J,'Step 2'!D1852,'Support - Transition'!E:E,"2009 SCHOOL ALLOCATION FACTOR"))</f>
        <v>0</v>
      </c>
      <c r="Q1852" s="126">
        <f>IF(E1852="Y",VLOOKUP(D1852,'Support - Unit Adjustments'!F:G,2,FALSE),0)</f>
        <v>0</v>
      </c>
      <c r="R1852" s="155">
        <f t="shared" si="554"/>
        <v>0</v>
      </c>
      <c r="S1852" s="47">
        <f t="shared" si="553"/>
        <v>0</v>
      </c>
      <c r="T1852" s="151">
        <f t="shared" si="538"/>
        <v>0</v>
      </c>
      <c r="U1852" s="151">
        <f t="shared" si="539"/>
        <v>0</v>
      </c>
      <c r="V1852" s="139">
        <f t="shared" si="540"/>
        <v>0</v>
      </c>
      <c r="W1852" s="152">
        <f t="shared" si="543"/>
        <v>0</v>
      </c>
      <c r="X1852" s="127" t="str">
        <f t="shared" si="541"/>
        <v/>
      </c>
      <c r="Y1852" s="207">
        <f t="shared" si="544"/>
        <v>0</v>
      </c>
      <c r="Z1852" s="139">
        <f t="shared" si="545"/>
        <v>0</v>
      </c>
      <c r="AA1852" s="139">
        <f t="shared" si="546"/>
        <v>0</v>
      </c>
      <c r="AC1852" s="47">
        <f t="shared" si="547"/>
        <v>0</v>
      </c>
      <c r="AD1852" s="47">
        <f t="shared" si="548"/>
        <v>0</v>
      </c>
      <c r="AE1852" s="47">
        <f t="shared" si="549"/>
        <v>0</v>
      </c>
      <c r="AG1852" s="47">
        <f t="shared" si="550"/>
        <v>0</v>
      </c>
      <c r="AH1852" s="47">
        <f t="shared" si="551"/>
        <v>0</v>
      </c>
      <c r="AI1852" s="208">
        <f t="shared" si="552"/>
        <v>0</v>
      </c>
    </row>
    <row r="1853" spans="1:35">
      <c r="A1853" t="s">
        <v>2145</v>
      </c>
      <c r="B1853" t="s">
        <v>3155</v>
      </c>
      <c r="C1853" t="s">
        <v>2814</v>
      </c>
      <c r="D1853" t="s">
        <v>5315</v>
      </c>
      <c r="F1853" t="s">
        <v>1373</v>
      </c>
      <c r="G1853" s="126">
        <f>SUMIFS('Support - Transition'!F:F,'Support - Transition'!B:B,'Step 2'!A1853,'Support - Transition'!C:C,'Step 2'!B1853,'Support - Transition'!D:D,'Step 2'!C1853,'Support - Transition'!E:E,"CIVIL")</f>
        <v>0</v>
      </c>
      <c r="H1853" s="126">
        <f>SUMIFS('Support - Transition'!F:F,'Support - Transition'!B:B,'Step 2'!A1853,'Support - Transition'!C:C,'Step 2'!B1853,'Support - Transition'!D:D,'Step 2'!C1853,'Support - Transition'!E:E,"FIRE")</f>
        <v>0</v>
      </c>
      <c r="I1853" s="126">
        <f>IF(B1853="0",SUMIFS('Support - Transition'!F:F,'Support - Transition'!J:J,'Step 2'!D1853,'Support - Transition'!E:E,"STATE UNIT"),SUMIFS('Support - Transition'!F:F,'Support - Transition'!J:J,'Step 2'!D1853))</f>
        <v>0</v>
      </c>
      <c r="J1853" s="126">
        <f>SUMIFS('Support - Unit Adjustments'!E:E,'Support - Unit Adjustments'!F:F,'Step 2'!D1853)</f>
        <v>0</v>
      </c>
      <c r="K1853" s="126">
        <f t="shared" si="536"/>
        <v>0</v>
      </c>
      <c r="L1853" s="174">
        <f>VLOOKUP(A1853,'Step 1'!$A:$E,4,FALSE)</f>
        <v>87404</v>
      </c>
      <c r="M1853" s="47">
        <f t="shared" si="537"/>
        <v>0</v>
      </c>
      <c r="N1853" s="177">
        <f>SUMIFS('Support - Transition'!G:G,'Support - Transition'!J:J,'Step 2'!D1853,'Support - Transition'!E:E,"2009 WELFARE ALLOCATION FACTOR")</f>
        <v>0</v>
      </c>
      <c r="O1853" s="152">
        <f t="shared" si="542"/>
        <v>0</v>
      </c>
      <c r="P1853" s="126">
        <f>IF(E1853="Y",0,SUMIFS('Support - Transition'!G:G,'Support - Transition'!J:J,'Step 2'!D1853,'Support - Transition'!E:E,"2009 SCHOOL ALLOCATION FACTOR"))</f>
        <v>0</v>
      </c>
      <c r="Q1853" s="126">
        <f>IF(E1853="Y",VLOOKUP(D1853,'Support - Unit Adjustments'!F:G,2,FALSE),0)</f>
        <v>0</v>
      </c>
      <c r="R1853" s="155">
        <f t="shared" si="554"/>
        <v>0</v>
      </c>
      <c r="S1853" s="47">
        <f t="shared" si="553"/>
        <v>0</v>
      </c>
      <c r="T1853" s="151">
        <f t="shared" si="538"/>
        <v>0</v>
      </c>
      <c r="U1853" s="151">
        <f t="shared" si="539"/>
        <v>0</v>
      </c>
      <c r="V1853" s="139">
        <f t="shared" si="540"/>
        <v>0</v>
      </c>
      <c r="W1853" s="152">
        <f t="shared" si="543"/>
        <v>0</v>
      </c>
      <c r="X1853" s="127" t="str">
        <f t="shared" si="541"/>
        <v/>
      </c>
      <c r="Y1853" s="207">
        <f t="shared" si="544"/>
        <v>0</v>
      </c>
      <c r="Z1853" s="139">
        <f t="shared" si="545"/>
        <v>0</v>
      </c>
      <c r="AA1853" s="139">
        <f t="shared" si="546"/>
        <v>0</v>
      </c>
      <c r="AC1853" s="47">
        <f t="shared" si="547"/>
        <v>0</v>
      </c>
      <c r="AD1853" s="47">
        <f t="shared" si="548"/>
        <v>0</v>
      </c>
      <c r="AE1853" s="47">
        <f t="shared" si="549"/>
        <v>0</v>
      </c>
      <c r="AG1853" s="47">
        <f t="shared" si="550"/>
        <v>0</v>
      </c>
      <c r="AH1853" s="47">
        <f t="shared" si="551"/>
        <v>0</v>
      </c>
      <c r="AI1853" s="208">
        <f t="shared" si="552"/>
        <v>0</v>
      </c>
    </row>
    <row r="1854" spans="1:35">
      <c r="A1854" t="s">
        <v>2145</v>
      </c>
      <c r="B1854" t="s">
        <v>3155</v>
      </c>
      <c r="C1854" t="s">
        <v>2815</v>
      </c>
      <c r="D1854" t="s">
        <v>5316</v>
      </c>
      <c r="F1854" t="s">
        <v>1374</v>
      </c>
      <c r="G1854" s="126">
        <f>SUMIFS('Support - Transition'!F:F,'Support - Transition'!B:B,'Step 2'!A1854,'Support - Transition'!C:C,'Step 2'!B1854,'Support - Transition'!D:D,'Step 2'!C1854,'Support - Transition'!E:E,"CIVIL")</f>
        <v>0</v>
      </c>
      <c r="H1854" s="126">
        <f>SUMIFS('Support - Transition'!F:F,'Support - Transition'!B:B,'Step 2'!A1854,'Support - Transition'!C:C,'Step 2'!B1854,'Support - Transition'!D:D,'Step 2'!C1854,'Support - Transition'!E:E,"FIRE")</f>
        <v>0</v>
      </c>
      <c r="I1854" s="126">
        <f>IF(B1854="0",SUMIFS('Support - Transition'!F:F,'Support - Transition'!J:J,'Step 2'!D1854,'Support - Transition'!E:E,"STATE UNIT"),SUMIFS('Support - Transition'!F:F,'Support - Transition'!J:J,'Step 2'!D1854))</f>
        <v>4.5997000000000003E-2</v>
      </c>
      <c r="J1854" s="126">
        <f>SUMIFS('Support - Unit Adjustments'!E:E,'Support - Unit Adjustments'!F:F,'Step 2'!D1854)</f>
        <v>0</v>
      </c>
      <c r="K1854" s="126">
        <f t="shared" si="536"/>
        <v>4.5997000000000003E-2</v>
      </c>
      <c r="L1854" s="174">
        <f>VLOOKUP(A1854,'Step 1'!$A:$E,4,FALSE)</f>
        <v>87404</v>
      </c>
      <c r="M1854" s="47">
        <f t="shared" si="537"/>
        <v>4020</v>
      </c>
      <c r="N1854" s="177">
        <f>SUMIFS('Support - Transition'!G:G,'Support - Transition'!J:J,'Step 2'!D1854,'Support - Transition'!E:E,"2009 WELFARE ALLOCATION FACTOR")</f>
        <v>0</v>
      </c>
      <c r="O1854" s="152">
        <f t="shared" si="542"/>
        <v>0</v>
      </c>
      <c r="P1854" s="126">
        <f>IF(E1854="Y",0,SUMIFS('Support - Transition'!G:G,'Support - Transition'!J:J,'Step 2'!D1854,'Support - Transition'!E:E,"2009 SCHOOL ALLOCATION FACTOR"))</f>
        <v>0</v>
      </c>
      <c r="Q1854" s="126">
        <f>IF(E1854="Y",VLOOKUP(D1854,'Support - Unit Adjustments'!F:G,2,FALSE),0)</f>
        <v>0</v>
      </c>
      <c r="R1854" s="155">
        <f t="shared" si="554"/>
        <v>0</v>
      </c>
      <c r="S1854" s="47">
        <f t="shared" si="553"/>
        <v>0</v>
      </c>
      <c r="T1854" s="151">
        <f t="shared" si="538"/>
        <v>4020</v>
      </c>
      <c r="U1854" s="151">
        <f t="shared" si="539"/>
        <v>0</v>
      </c>
      <c r="V1854" s="139">
        <f t="shared" si="540"/>
        <v>0</v>
      </c>
      <c r="W1854" s="152">
        <f t="shared" si="543"/>
        <v>4020</v>
      </c>
      <c r="X1854" s="127" t="str">
        <f t="shared" si="541"/>
        <v/>
      </c>
      <c r="Y1854" s="207">
        <f t="shared" si="544"/>
        <v>4020</v>
      </c>
      <c r="Z1854" s="139">
        <f t="shared" si="545"/>
        <v>4020</v>
      </c>
      <c r="AA1854" s="139">
        <f t="shared" si="546"/>
        <v>0</v>
      </c>
      <c r="AC1854" s="47">
        <f t="shared" si="547"/>
        <v>2010</v>
      </c>
      <c r="AD1854" s="47">
        <f t="shared" si="548"/>
        <v>2010</v>
      </c>
      <c r="AE1854" s="47">
        <f t="shared" si="549"/>
        <v>0</v>
      </c>
      <c r="AG1854" s="47">
        <f t="shared" si="550"/>
        <v>2010</v>
      </c>
      <c r="AH1854" s="47">
        <f t="shared" si="551"/>
        <v>2010</v>
      </c>
      <c r="AI1854" s="208">
        <f t="shared" si="552"/>
        <v>0</v>
      </c>
    </row>
    <row r="1855" spans="1:35">
      <c r="A1855" t="s">
        <v>2145</v>
      </c>
      <c r="B1855" t="s">
        <v>3155</v>
      </c>
      <c r="C1855" t="s">
        <v>2906</v>
      </c>
      <c r="D1855" t="s">
        <v>5317</v>
      </c>
      <c r="F1855" t="s">
        <v>1375</v>
      </c>
      <c r="G1855" s="126">
        <f>SUMIFS('Support - Transition'!F:F,'Support - Transition'!B:B,'Step 2'!A1855,'Support - Transition'!C:C,'Step 2'!B1855,'Support - Transition'!D:D,'Step 2'!C1855,'Support - Transition'!E:E,"CIVIL")</f>
        <v>0</v>
      </c>
      <c r="H1855" s="126">
        <f>SUMIFS('Support - Transition'!F:F,'Support - Transition'!B:B,'Step 2'!A1855,'Support - Transition'!C:C,'Step 2'!B1855,'Support - Transition'!D:D,'Step 2'!C1855,'Support - Transition'!E:E,"FIRE")</f>
        <v>0</v>
      </c>
      <c r="I1855" s="126">
        <f>IF(B1855="0",SUMIFS('Support - Transition'!F:F,'Support - Transition'!J:J,'Step 2'!D1855,'Support - Transition'!E:E,"STATE UNIT"),SUMIFS('Support - Transition'!F:F,'Support - Transition'!J:J,'Step 2'!D1855))</f>
        <v>2.555E-3</v>
      </c>
      <c r="J1855" s="126">
        <f>SUMIFS('Support - Unit Adjustments'!E:E,'Support - Unit Adjustments'!F:F,'Step 2'!D1855)</f>
        <v>0</v>
      </c>
      <c r="K1855" s="126">
        <f t="shared" si="536"/>
        <v>2.555E-3</v>
      </c>
      <c r="L1855" s="174">
        <f>VLOOKUP(A1855,'Step 1'!$A:$E,4,FALSE)</f>
        <v>87404</v>
      </c>
      <c r="M1855" s="47">
        <f t="shared" si="537"/>
        <v>223</v>
      </c>
      <c r="N1855" s="177">
        <f>SUMIFS('Support - Transition'!G:G,'Support - Transition'!J:J,'Step 2'!D1855,'Support - Transition'!E:E,"2009 WELFARE ALLOCATION FACTOR")</f>
        <v>0</v>
      </c>
      <c r="O1855" s="152">
        <f t="shared" si="542"/>
        <v>0</v>
      </c>
      <c r="P1855" s="126">
        <f>IF(E1855="Y",0,SUMIFS('Support - Transition'!G:G,'Support - Transition'!J:J,'Step 2'!D1855,'Support - Transition'!E:E,"2009 SCHOOL ALLOCATION FACTOR"))</f>
        <v>0</v>
      </c>
      <c r="Q1855" s="126">
        <f>IF(E1855="Y",VLOOKUP(D1855,'Support - Unit Adjustments'!F:G,2,FALSE),0)</f>
        <v>0</v>
      </c>
      <c r="R1855" s="155">
        <f t="shared" si="554"/>
        <v>0</v>
      </c>
      <c r="S1855" s="47">
        <f t="shared" si="553"/>
        <v>0</v>
      </c>
      <c r="T1855" s="151">
        <f t="shared" si="538"/>
        <v>223</v>
      </c>
      <c r="U1855" s="151">
        <f t="shared" si="539"/>
        <v>0</v>
      </c>
      <c r="V1855" s="139">
        <f t="shared" si="540"/>
        <v>0</v>
      </c>
      <c r="W1855" s="152">
        <f t="shared" si="543"/>
        <v>223</v>
      </c>
      <c r="X1855" s="127" t="str">
        <f t="shared" si="541"/>
        <v/>
      </c>
      <c r="Y1855" s="207">
        <f t="shared" si="544"/>
        <v>223</v>
      </c>
      <c r="Z1855" s="139">
        <f t="shared" si="545"/>
        <v>223</v>
      </c>
      <c r="AA1855" s="139">
        <f t="shared" si="546"/>
        <v>0</v>
      </c>
      <c r="AC1855" s="47">
        <f t="shared" si="547"/>
        <v>112</v>
      </c>
      <c r="AD1855" s="47">
        <f t="shared" si="548"/>
        <v>112</v>
      </c>
      <c r="AE1855" s="47">
        <f t="shared" si="549"/>
        <v>0</v>
      </c>
      <c r="AG1855" s="47">
        <f t="shared" si="550"/>
        <v>111</v>
      </c>
      <c r="AH1855" s="47">
        <f t="shared" si="551"/>
        <v>111</v>
      </c>
      <c r="AI1855" s="208">
        <f t="shared" si="552"/>
        <v>0</v>
      </c>
    </row>
    <row r="1856" spans="1:35">
      <c r="A1856" t="s">
        <v>2145</v>
      </c>
      <c r="B1856" t="s">
        <v>3155</v>
      </c>
      <c r="C1856" t="s">
        <v>2668</v>
      </c>
      <c r="D1856" t="s">
        <v>5318</v>
      </c>
      <c r="F1856" t="s">
        <v>1372</v>
      </c>
      <c r="G1856" s="126">
        <f>SUMIFS('Support - Transition'!F:F,'Support - Transition'!B:B,'Step 2'!A1856,'Support - Transition'!C:C,'Step 2'!B1856,'Support - Transition'!D:D,'Step 2'!C1856,'Support - Transition'!E:E,"CIVIL")</f>
        <v>0</v>
      </c>
      <c r="H1856" s="126">
        <f>SUMIFS('Support - Transition'!F:F,'Support - Transition'!B:B,'Step 2'!A1856,'Support - Transition'!C:C,'Step 2'!B1856,'Support - Transition'!D:D,'Step 2'!C1856,'Support - Transition'!E:E,"FIRE")</f>
        <v>0</v>
      </c>
      <c r="I1856" s="126">
        <f>IF(B1856="0",SUMIFS('Support - Transition'!F:F,'Support - Transition'!J:J,'Step 2'!D1856,'Support - Transition'!E:E,"STATE UNIT"),SUMIFS('Support - Transition'!F:F,'Support - Transition'!J:J,'Step 2'!D1856))</f>
        <v>3.1000000000000001E-5</v>
      </c>
      <c r="J1856" s="126">
        <f>SUMIFS('Support - Unit Adjustments'!E:E,'Support - Unit Adjustments'!F:F,'Step 2'!D1856)</f>
        <v>0</v>
      </c>
      <c r="K1856" s="126">
        <f t="shared" si="536"/>
        <v>3.1000000000000001E-5</v>
      </c>
      <c r="L1856" s="174">
        <f>VLOOKUP(A1856,'Step 1'!$A:$E,4,FALSE)</f>
        <v>87404</v>
      </c>
      <c r="M1856" s="47">
        <f t="shared" si="537"/>
        <v>3</v>
      </c>
      <c r="N1856" s="177">
        <f>SUMIFS('Support - Transition'!G:G,'Support - Transition'!J:J,'Step 2'!D1856,'Support - Transition'!E:E,"2009 WELFARE ALLOCATION FACTOR")</f>
        <v>0</v>
      </c>
      <c r="O1856" s="152">
        <f t="shared" si="542"/>
        <v>0</v>
      </c>
      <c r="P1856" s="126">
        <f>IF(E1856="Y",0,SUMIFS('Support - Transition'!G:G,'Support - Transition'!J:J,'Step 2'!D1856,'Support - Transition'!E:E,"2009 SCHOOL ALLOCATION FACTOR"))</f>
        <v>0</v>
      </c>
      <c r="Q1856" s="126">
        <f>IF(E1856="Y",VLOOKUP(D1856,'Support - Unit Adjustments'!F:G,2,FALSE),0)</f>
        <v>0</v>
      </c>
      <c r="R1856" s="155">
        <f t="shared" si="554"/>
        <v>0</v>
      </c>
      <c r="S1856" s="47">
        <f t="shared" si="553"/>
        <v>0</v>
      </c>
      <c r="T1856" s="151">
        <f t="shared" si="538"/>
        <v>3</v>
      </c>
      <c r="U1856" s="151">
        <f t="shared" si="539"/>
        <v>0</v>
      </c>
      <c r="V1856" s="139">
        <f t="shared" si="540"/>
        <v>0</v>
      </c>
      <c r="W1856" s="152">
        <f t="shared" si="543"/>
        <v>3</v>
      </c>
      <c r="X1856" s="127" t="str">
        <f t="shared" si="541"/>
        <v/>
      </c>
      <c r="Y1856" s="207">
        <f t="shared" si="544"/>
        <v>3</v>
      </c>
      <c r="Z1856" s="139">
        <f t="shared" si="545"/>
        <v>3</v>
      </c>
      <c r="AA1856" s="139">
        <f t="shared" si="546"/>
        <v>0</v>
      </c>
      <c r="AC1856" s="47">
        <f t="shared" si="547"/>
        <v>2</v>
      </c>
      <c r="AD1856" s="47">
        <f t="shared" si="548"/>
        <v>2</v>
      </c>
      <c r="AE1856" s="47">
        <f t="shared" si="549"/>
        <v>0</v>
      </c>
      <c r="AG1856" s="47">
        <f t="shared" si="550"/>
        <v>1</v>
      </c>
      <c r="AH1856" s="47">
        <f t="shared" si="551"/>
        <v>1</v>
      </c>
      <c r="AI1856" s="208">
        <f t="shared" si="552"/>
        <v>0</v>
      </c>
    </row>
    <row r="1857" spans="1:35">
      <c r="A1857" t="s">
        <v>2145</v>
      </c>
      <c r="B1857" t="s">
        <v>3160</v>
      </c>
      <c r="C1857" t="s">
        <v>2309</v>
      </c>
      <c r="D1857" t="s">
        <v>5319</v>
      </c>
      <c r="F1857" t="s">
        <v>261</v>
      </c>
      <c r="G1857" s="126">
        <f>SUMIFS('Support - Transition'!F:F,'Support - Transition'!B:B,'Step 2'!A1857,'Support - Transition'!C:C,'Step 2'!B1857,'Support - Transition'!D:D,'Step 2'!C1857,'Support - Transition'!E:E,"CIVIL")</f>
        <v>0</v>
      </c>
      <c r="H1857" s="126">
        <f>SUMIFS('Support - Transition'!F:F,'Support - Transition'!B:B,'Step 2'!A1857,'Support - Transition'!C:C,'Step 2'!B1857,'Support - Transition'!D:D,'Step 2'!C1857,'Support - Transition'!E:E,"FIRE")</f>
        <v>0</v>
      </c>
      <c r="I1857" s="126">
        <f>IF(B1857="0",SUMIFS('Support - Transition'!F:F,'Support - Transition'!J:J,'Step 2'!D1857,'Support - Transition'!E:E,"STATE UNIT"),SUMIFS('Support - Transition'!F:F,'Support - Transition'!J:J,'Step 2'!D1857))</f>
        <v>0</v>
      </c>
      <c r="J1857" s="126">
        <f>SUMIFS('Support - Unit Adjustments'!E:E,'Support - Unit Adjustments'!F:F,'Step 2'!D1857)</f>
        <v>0</v>
      </c>
      <c r="K1857" s="126">
        <f t="shared" si="536"/>
        <v>0</v>
      </c>
      <c r="L1857" s="174">
        <f>VLOOKUP(A1857,'Step 1'!$A:$E,4,FALSE)</f>
        <v>87404</v>
      </c>
      <c r="M1857" s="47">
        <f t="shared" si="537"/>
        <v>0</v>
      </c>
      <c r="N1857" s="177">
        <f>SUMIFS('Support - Transition'!G:G,'Support - Transition'!J:J,'Step 2'!D1857,'Support - Transition'!E:E,"2009 WELFARE ALLOCATION FACTOR")</f>
        <v>0</v>
      </c>
      <c r="O1857" s="152">
        <f t="shared" si="542"/>
        <v>0</v>
      </c>
      <c r="P1857" s="126">
        <f>IF(E1857="Y",0,SUMIFS('Support - Transition'!G:G,'Support - Transition'!J:J,'Step 2'!D1857,'Support - Transition'!E:E,"2009 SCHOOL ALLOCATION FACTOR"))</f>
        <v>0.37726100000000001</v>
      </c>
      <c r="Q1857" s="126">
        <f>IF(E1857="Y",VLOOKUP(D1857,'Support - Unit Adjustments'!F:G,2,FALSE),0)</f>
        <v>0</v>
      </c>
      <c r="R1857" s="155">
        <f t="shared" si="554"/>
        <v>0.37726100000000001</v>
      </c>
      <c r="S1857" s="47">
        <f t="shared" si="553"/>
        <v>0</v>
      </c>
      <c r="T1857" s="151">
        <f t="shared" si="538"/>
        <v>0</v>
      </c>
      <c r="U1857" s="151">
        <f t="shared" si="539"/>
        <v>0</v>
      </c>
      <c r="V1857" s="139">
        <f t="shared" si="540"/>
        <v>0</v>
      </c>
      <c r="W1857" s="152">
        <f t="shared" si="543"/>
        <v>0</v>
      </c>
      <c r="X1857" s="127" t="str">
        <f t="shared" si="541"/>
        <v/>
      </c>
      <c r="Y1857" s="207">
        <f t="shared" si="544"/>
        <v>0</v>
      </c>
      <c r="Z1857" s="139">
        <f t="shared" si="545"/>
        <v>0</v>
      </c>
      <c r="AA1857" s="139">
        <f t="shared" si="546"/>
        <v>0</v>
      </c>
      <c r="AC1857" s="47">
        <f t="shared" si="547"/>
        <v>0</v>
      </c>
      <c r="AD1857" s="47">
        <f t="shared" si="548"/>
        <v>0</v>
      </c>
      <c r="AE1857" s="47">
        <f t="shared" si="549"/>
        <v>0</v>
      </c>
      <c r="AG1857" s="47">
        <f t="shared" si="550"/>
        <v>0</v>
      </c>
      <c r="AH1857" s="47">
        <f t="shared" si="551"/>
        <v>0</v>
      </c>
      <c r="AI1857" s="208">
        <f t="shared" si="552"/>
        <v>0</v>
      </c>
    </row>
    <row r="1858" spans="1:35">
      <c r="A1858" t="s">
        <v>2145</v>
      </c>
      <c r="B1858" t="s">
        <v>3160</v>
      </c>
      <c r="C1858" t="s">
        <v>2907</v>
      </c>
      <c r="D1858" t="s">
        <v>5320</v>
      </c>
      <c r="F1858" t="s">
        <v>5321</v>
      </c>
      <c r="G1858" s="126">
        <f>SUMIFS('Support - Transition'!F:F,'Support - Transition'!B:B,'Step 2'!A1858,'Support - Transition'!C:C,'Step 2'!B1858,'Support - Transition'!D:D,'Step 2'!C1858,'Support - Transition'!E:E,"CIVIL")</f>
        <v>0</v>
      </c>
      <c r="H1858" s="126">
        <f>SUMIFS('Support - Transition'!F:F,'Support - Transition'!B:B,'Step 2'!A1858,'Support - Transition'!C:C,'Step 2'!B1858,'Support - Transition'!D:D,'Step 2'!C1858,'Support - Transition'!E:E,"FIRE")</f>
        <v>0</v>
      </c>
      <c r="I1858" s="126">
        <f>IF(B1858="0",SUMIFS('Support - Transition'!F:F,'Support - Transition'!J:J,'Step 2'!D1858,'Support - Transition'!E:E,"STATE UNIT"),SUMIFS('Support - Transition'!F:F,'Support - Transition'!J:J,'Step 2'!D1858))</f>
        <v>0.123683</v>
      </c>
      <c r="J1858" s="126">
        <f>SUMIFS('Support - Unit Adjustments'!E:E,'Support - Unit Adjustments'!F:F,'Step 2'!D1858)</f>
        <v>0</v>
      </c>
      <c r="K1858" s="126">
        <f t="shared" ref="K1858:K1921" si="555">+I1858+J1858</f>
        <v>0.123683</v>
      </c>
      <c r="L1858" s="174">
        <f>VLOOKUP(A1858,'Step 1'!$A:$E,4,FALSE)</f>
        <v>87404</v>
      </c>
      <c r="M1858" s="47">
        <f t="shared" ref="M1858:M1921" si="556">ROUND(+K1858*L1858,0)</f>
        <v>10810</v>
      </c>
      <c r="N1858" s="177">
        <f>SUMIFS('Support - Transition'!G:G,'Support - Transition'!J:J,'Step 2'!D1858,'Support - Transition'!E:E,"2009 WELFARE ALLOCATION FACTOR")</f>
        <v>0</v>
      </c>
      <c r="O1858" s="152">
        <f t="shared" si="542"/>
        <v>0</v>
      </c>
      <c r="P1858" s="126">
        <f>IF(E1858="Y",0,SUMIFS('Support - Transition'!G:G,'Support - Transition'!J:J,'Step 2'!D1858,'Support - Transition'!E:E,"2009 SCHOOL ALLOCATION FACTOR"))</f>
        <v>0.34189399999999998</v>
      </c>
      <c r="Q1858" s="126">
        <f>IF(E1858="Y",VLOOKUP(D1858,'Support - Unit Adjustments'!F:G,2,FALSE),0)</f>
        <v>0</v>
      </c>
      <c r="R1858" s="155">
        <f t="shared" si="554"/>
        <v>0.34189399999999998</v>
      </c>
      <c r="S1858" s="47">
        <f t="shared" si="553"/>
        <v>3696</v>
      </c>
      <c r="T1858" s="151">
        <f t="shared" ref="T1858:T1921" si="557">ROUND(+M1858-O1858-S1858,2)</f>
        <v>7114</v>
      </c>
      <c r="U1858" s="151">
        <f t="shared" ref="U1858:U1921" si="558">IF(B1858="0",SUMIFS(O:O,A:A,A1858)+SUMIFS(S:S,A:A,A1858)+SUMIFS(T:T,A:A,A1858),0)</f>
        <v>0</v>
      </c>
      <c r="V1858" s="139">
        <f t="shared" ref="V1858:V1921" si="559">IF(B1858="0",U1858-L1858,0)</f>
        <v>0</v>
      </c>
      <c r="W1858" s="152">
        <f t="shared" si="543"/>
        <v>7114</v>
      </c>
      <c r="X1858" s="127" t="str">
        <f t="shared" ref="X1858:X1921" si="560">IF(B1858="0",SUMIFS(O:O,A:A,A1858)+SUMIFS(S:S,A:A,A1858)+SUMIFS(W:W,A:A,A1858)-L1858,"")</f>
        <v/>
      </c>
      <c r="Y1858" s="207">
        <f t="shared" si="544"/>
        <v>7114</v>
      </c>
      <c r="Z1858" s="139">
        <f t="shared" si="545"/>
        <v>7114</v>
      </c>
      <c r="AA1858" s="139">
        <f t="shared" si="546"/>
        <v>0</v>
      </c>
      <c r="AC1858" s="47">
        <f t="shared" si="547"/>
        <v>3557</v>
      </c>
      <c r="AD1858" s="47">
        <f t="shared" si="548"/>
        <v>3557</v>
      </c>
      <c r="AE1858" s="47">
        <f t="shared" si="549"/>
        <v>0</v>
      </c>
      <c r="AG1858" s="47">
        <f t="shared" si="550"/>
        <v>3557</v>
      </c>
      <c r="AH1858" s="47">
        <f t="shared" si="551"/>
        <v>3557</v>
      </c>
      <c r="AI1858" s="208">
        <f t="shared" si="552"/>
        <v>0</v>
      </c>
    </row>
    <row r="1859" spans="1:35">
      <c r="A1859" t="s">
        <v>2145</v>
      </c>
      <c r="B1859" t="s">
        <v>3160</v>
      </c>
      <c r="C1859" t="s">
        <v>5322</v>
      </c>
      <c r="D1859" t="s">
        <v>5323</v>
      </c>
      <c r="E1859" t="s">
        <v>6384</v>
      </c>
      <c r="F1859" t="s">
        <v>5324</v>
      </c>
      <c r="G1859" s="126">
        <f>SUMIFS('Support - Transition'!F:F,'Support - Transition'!B:B,'Step 2'!A1859,'Support - Transition'!C:C,'Step 2'!B1859,'Support - Transition'!D:D,'Step 2'!C1859,'Support - Transition'!E:E,"CIVIL")</f>
        <v>0</v>
      </c>
      <c r="H1859" s="126">
        <f>SUMIFS('Support - Transition'!F:F,'Support - Transition'!B:B,'Step 2'!A1859,'Support - Transition'!C:C,'Step 2'!B1859,'Support - Transition'!D:D,'Step 2'!C1859,'Support - Transition'!E:E,"FIRE")</f>
        <v>0</v>
      </c>
      <c r="I1859" s="155">
        <f>IF(B1859="0",SUMIFS('Support - Transition'!F:F,'Support - Transition'!J:J,'Step 2'!D1859,'Support - Transition'!E:E,"STATE UNIT"),SUMIFS('Support - Transition'!F:F,'Support - Transition'!J:J,'Step 2'!D1859))</f>
        <v>0</v>
      </c>
      <c r="J1859" s="155">
        <f>SUMIFS('Support - Unit Adjustments'!E:E,'Support - Unit Adjustments'!F:F,'Step 2'!D1859)</f>
        <v>0.53654899999999994</v>
      </c>
      <c r="K1859" s="155">
        <f t="shared" si="555"/>
        <v>0.53654899999999994</v>
      </c>
      <c r="L1859" s="175">
        <f>VLOOKUP(A1859,'Step 1'!$A:$E,4,FALSE)</f>
        <v>87404</v>
      </c>
      <c r="M1859" s="47">
        <f t="shared" si="556"/>
        <v>46897</v>
      </c>
      <c r="N1859" s="178">
        <f>SUMIFS('Support - Transition'!G:G,'Support - Transition'!J:J,'Step 2'!D1859,'Support - Transition'!E:E,"2009 WELFARE ALLOCATION FACTOR")</f>
        <v>0</v>
      </c>
      <c r="O1859" s="158">
        <f t="shared" ref="O1859:O1922" si="561">ROUND(+N1859*M1859,0)</f>
        <v>0</v>
      </c>
      <c r="P1859" s="155">
        <f>IF(E1859="Y",0,SUMIFS('Support - Transition'!G:G,'Support - Transition'!J:J,'Step 2'!D1859,'Support - Transition'!E:E,"2009 SCHOOL ALLOCATION FACTOR"))</f>
        <v>0</v>
      </c>
      <c r="Q1859" s="155">
        <f>IF(E1859="Y",VLOOKUP(D1859,'Support - Unit Adjustments'!F:G,2,FALSE),0)</f>
        <v>0.40348200000000001</v>
      </c>
      <c r="R1859" s="155">
        <f t="shared" si="554"/>
        <v>0.40348200000000001</v>
      </c>
      <c r="S1859" s="47">
        <f t="shared" si="553"/>
        <v>18922</v>
      </c>
      <c r="T1859" s="156">
        <f t="shared" si="557"/>
        <v>27975</v>
      </c>
      <c r="U1859" s="156">
        <f t="shared" si="558"/>
        <v>0</v>
      </c>
      <c r="V1859" s="157">
        <f t="shared" si="559"/>
        <v>0</v>
      </c>
      <c r="W1859" s="158">
        <f t="shared" ref="W1859:W1922" si="562">+T1859-V1859</f>
        <v>27975</v>
      </c>
      <c r="X1859" s="127" t="str">
        <f t="shared" si="560"/>
        <v/>
      </c>
      <c r="Y1859" s="207">
        <f t="shared" ref="Y1859:Y1922" si="563">W1859</f>
        <v>27975</v>
      </c>
      <c r="Z1859" s="139">
        <f t="shared" ref="Z1859:Z1922" si="564">IFERROR(IF(B1859="2",ROUND(Y1859*G1859/I1859,0),Y1859),0)</f>
        <v>27975</v>
      </c>
      <c r="AA1859" s="139">
        <f t="shared" ref="AA1859:AA1922" si="565">+Y1859-Z1859</f>
        <v>0</v>
      </c>
      <c r="AC1859" s="47">
        <f t="shared" ref="AC1859:AC1922" si="566">ROUND(Y1859/2,0)</f>
        <v>13988</v>
      </c>
      <c r="AD1859" s="47">
        <f t="shared" ref="AD1859:AD1922" si="567">ROUND(Z1859/2,0)</f>
        <v>13988</v>
      </c>
      <c r="AE1859" s="47">
        <f t="shared" ref="AE1859:AE1922" si="568">ROUND(AA1859/2,0)</f>
        <v>0</v>
      </c>
      <c r="AG1859" s="47">
        <f t="shared" ref="AG1859:AG1922" si="569">+Y1859-AC1859</f>
        <v>13987</v>
      </c>
      <c r="AH1859" s="47">
        <f t="shared" ref="AH1859:AH1922" si="570">+Z1859-AD1859</f>
        <v>13987</v>
      </c>
      <c r="AI1859" s="208">
        <f t="shared" ref="AI1859:AI1922" si="571">+AA1859-AE1859</f>
        <v>0</v>
      </c>
    </row>
    <row r="1860" spans="1:35">
      <c r="A1860" t="s">
        <v>2145</v>
      </c>
      <c r="B1860" t="s">
        <v>3166</v>
      </c>
      <c r="C1860" t="s">
        <v>2908</v>
      </c>
      <c r="D1860" t="s">
        <v>5325</v>
      </c>
      <c r="F1860" t="s">
        <v>1379</v>
      </c>
      <c r="G1860" s="126">
        <f>SUMIFS('Support - Transition'!F:F,'Support - Transition'!B:B,'Step 2'!A1860,'Support - Transition'!C:C,'Step 2'!B1860,'Support - Transition'!D:D,'Step 2'!C1860,'Support - Transition'!E:E,"CIVIL")</f>
        <v>0</v>
      </c>
      <c r="H1860" s="126">
        <f>SUMIFS('Support - Transition'!F:F,'Support - Transition'!B:B,'Step 2'!A1860,'Support - Transition'!C:C,'Step 2'!B1860,'Support - Transition'!D:D,'Step 2'!C1860,'Support - Transition'!E:E,"FIRE")</f>
        <v>0</v>
      </c>
      <c r="I1860" s="126">
        <f>IF(B1860="0",SUMIFS('Support - Transition'!F:F,'Support - Transition'!J:J,'Step 2'!D1860,'Support - Transition'!E:E,"STATE UNIT"),SUMIFS('Support - Transition'!F:F,'Support - Transition'!J:J,'Step 2'!D1860))</f>
        <v>0</v>
      </c>
      <c r="J1860" s="126">
        <f>SUMIFS('Support - Unit Adjustments'!E:E,'Support - Unit Adjustments'!F:F,'Step 2'!D1860)</f>
        <v>0</v>
      </c>
      <c r="K1860" s="126">
        <f t="shared" si="555"/>
        <v>0</v>
      </c>
      <c r="L1860" s="174">
        <f>VLOOKUP(A1860,'Step 1'!$A:$E,4,FALSE)</f>
        <v>87404</v>
      </c>
      <c r="M1860" s="47">
        <f t="shared" si="556"/>
        <v>0</v>
      </c>
      <c r="N1860" s="177">
        <f>SUMIFS('Support - Transition'!G:G,'Support - Transition'!J:J,'Step 2'!D1860,'Support - Transition'!E:E,"2009 WELFARE ALLOCATION FACTOR")</f>
        <v>0</v>
      </c>
      <c r="O1860" s="152">
        <f t="shared" si="561"/>
        <v>0</v>
      </c>
      <c r="P1860" s="126">
        <f>IF(E1860="Y",0,SUMIFS('Support - Transition'!G:G,'Support - Transition'!J:J,'Step 2'!D1860,'Support - Transition'!E:E,"2009 SCHOOL ALLOCATION FACTOR"))</f>
        <v>0</v>
      </c>
      <c r="Q1860" s="126">
        <f>IF(E1860="Y",VLOOKUP(D1860,'Support - Unit Adjustments'!F:G,2,FALSE),0)</f>
        <v>0</v>
      </c>
      <c r="R1860" s="155">
        <f t="shared" si="554"/>
        <v>0</v>
      </c>
      <c r="S1860" s="47">
        <f t="shared" si="553"/>
        <v>0</v>
      </c>
      <c r="T1860" s="151">
        <f t="shared" si="557"/>
        <v>0</v>
      </c>
      <c r="U1860" s="151">
        <f t="shared" si="558"/>
        <v>0</v>
      </c>
      <c r="V1860" s="139">
        <f t="shared" si="559"/>
        <v>0</v>
      </c>
      <c r="W1860" s="152">
        <f t="shared" si="562"/>
        <v>0</v>
      </c>
      <c r="X1860" s="127" t="str">
        <f t="shared" si="560"/>
        <v/>
      </c>
      <c r="Y1860" s="207">
        <f t="shared" si="563"/>
        <v>0</v>
      </c>
      <c r="Z1860" s="139">
        <f t="shared" si="564"/>
        <v>0</v>
      </c>
      <c r="AA1860" s="139">
        <f t="shared" si="565"/>
        <v>0</v>
      </c>
      <c r="AC1860" s="47">
        <f t="shared" si="566"/>
        <v>0</v>
      </c>
      <c r="AD1860" s="47">
        <f t="shared" si="567"/>
        <v>0</v>
      </c>
      <c r="AE1860" s="47">
        <f t="shared" si="568"/>
        <v>0</v>
      </c>
      <c r="AG1860" s="47">
        <f t="shared" si="569"/>
        <v>0</v>
      </c>
      <c r="AH1860" s="47">
        <f t="shared" si="570"/>
        <v>0</v>
      </c>
      <c r="AI1860" s="208">
        <f t="shared" si="571"/>
        <v>0</v>
      </c>
    </row>
    <row r="1861" spans="1:35">
      <c r="A1861" t="s">
        <v>2145</v>
      </c>
      <c r="B1861" t="s">
        <v>3166</v>
      </c>
      <c r="C1861" t="s">
        <v>5326</v>
      </c>
      <c r="D1861" t="s">
        <v>5327</v>
      </c>
      <c r="F1861" t="s">
        <v>5328</v>
      </c>
      <c r="G1861" s="126">
        <f>SUMIFS('Support - Transition'!F:F,'Support - Transition'!B:B,'Step 2'!A1861,'Support - Transition'!C:C,'Step 2'!B1861,'Support - Transition'!D:D,'Step 2'!C1861,'Support - Transition'!E:E,"CIVIL")</f>
        <v>0</v>
      </c>
      <c r="H1861" s="126">
        <f>SUMIFS('Support - Transition'!F:F,'Support - Transition'!B:B,'Step 2'!A1861,'Support - Transition'!C:C,'Step 2'!B1861,'Support - Transition'!D:D,'Step 2'!C1861,'Support - Transition'!E:E,"FIRE")</f>
        <v>0</v>
      </c>
      <c r="I1861" s="126">
        <f>IF(B1861="0",SUMIFS('Support - Transition'!F:F,'Support - Transition'!J:J,'Step 2'!D1861,'Support - Transition'!E:E,"STATE UNIT"),SUMIFS('Support - Transition'!F:F,'Support - Transition'!J:J,'Step 2'!D1861))</f>
        <v>0</v>
      </c>
      <c r="J1861" s="126">
        <f>SUMIFS('Support - Unit Adjustments'!E:E,'Support - Unit Adjustments'!F:F,'Step 2'!D1861)</f>
        <v>2.3765999999999954E-2</v>
      </c>
      <c r="K1861" s="126">
        <f t="shared" si="555"/>
        <v>2.3765999999999954E-2</v>
      </c>
      <c r="L1861" s="174">
        <f>VLOOKUP(A1861,'Step 1'!$A:$E,4,FALSE)</f>
        <v>87404</v>
      </c>
      <c r="M1861" s="47">
        <f t="shared" si="556"/>
        <v>2077</v>
      </c>
      <c r="N1861" s="177">
        <f>SUMIFS('Support - Transition'!G:G,'Support - Transition'!J:J,'Step 2'!D1861,'Support - Transition'!E:E,"2009 WELFARE ALLOCATION FACTOR")</f>
        <v>0</v>
      </c>
      <c r="O1861" s="152">
        <f t="shared" si="561"/>
        <v>0</v>
      </c>
      <c r="P1861" s="126">
        <f>IF(E1861="Y",0,SUMIFS('Support - Transition'!G:G,'Support - Transition'!J:J,'Step 2'!D1861,'Support - Transition'!E:E,"2009 SCHOOL ALLOCATION FACTOR"))</f>
        <v>0</v>
      </c>
      <c r="Q1861" s="126">
        <f>IF(E1861="Y",VLOOKUP(D1861,'Support - Unit Adjustments'!F:G,2,FALSE),0)</f>
        <v>0</v>
      </c>
      <c r="R1861" s="155">
        <f t="shared" si="554"/>
        <v>0</v>
      </c>
      <c r="S1861" s="47">
        <f t="shared" si="553"/>
        <v>0</v>
      </c>
      <c r="T1861" s="151">
        <f t="shared" si="557"/>
        <v>2077</v>
      </c>
      <c r="U1861" s="151">
        <f t="shared" si="558"/>
        <v>0</v>
      </c>
      <c r="V1861" s="139">
        <f t="shared" si="559"/>
        <v>0</v>
      </c>
      <c r="W1861" s="152">
        <f t="shared" si="562"/>
        <v>2077</v>
      </c>
      <c r="X1861" s="127" t="str">
        <f t="shared" si="560"/>
        <v/>
      </c>
      <c r="Y1861" s="207">
        <f t="shared" si="563"/>
        <v>2077</v>
      </c>
      <c r="Z1861" s="139">
        <f t="shared" si="564"/>
        <v>2077</v>
      </c>
      <c r="AA1861" s="139">
        <f t="shared" si="565"/>
        <v>0</v>
      </c>
      <c r="AC1861" s="47">
        <f t="shared" si="566"/>
        <v>1039</v>
      </c>
      <c r="AD1861" s="47">
        <f t="shared" si="567"/>
        <v>1039</v>
      </c>
      <c r="AE1861" s="47">
        <f t="shared" si="568"/>
        <v>0</v>
      </c>
      <c r="AG1861" s="47">
        <f t="shared" si="569"/>
        <v>1038</v>
      </c>
      <c r="AH1861" s="47">
        <f t="shared" si="570"/>
        <v>1038</v>
      </c>
      <c r="AI1861" s="208">
        <f t="shared" si="571"/>
        <v>0</v>
      </c>
    </row>
    <row r="1862" spans="1:35">
      <c r="A1862" t="s">
        <v>2145</v>
      </c>
      <c r="B1862" t="s">
        <v>3170</v>
      </c>
      <c r="C1862" t="s">
        <v>5329</v>
      </c>
      <c r="D1862" t="s">
        <v>5330</v>
      </c>
      <c r="F1862" t="s">
        <v>1381</v>
      </c>
      <c r="G1862" s="126">
        <f>SUMIFS('Support - Transition'!F:F,'Support - Transition'!B:B,'Step 2'!A1862,'Support - Transition'!C:C,'Step 2'!B1862,'Support - Transition'!D:D,'Step 2'!C1862,'Support - Transition'!E:E,"CIVIL")</f>
        <v>0</v>
      </c>
      <c r="H1862" s="126">
        <f>SUMIFS('Support - Transition'!F:F,'Support - Transition'!B:B,'Step 2'!A1862,'Support - Transition'!C:C,'Step 2'!B1862,'Support - Transition'!D:D,'Step 2'!C1862,'Support - Transition'!E:E,"FIRE")</f>
        <v>0</v>
      </c>
      <c r="I1862" s="126">
        <f>IF(B1862="0",SUMIFS('Support - Transition'!F:F,'Support - Transition'!J:J,'Step 2'!D1862,'Support - Transition'!E:E,"STATE UNIT"),SUMIFS('Support - Transition'!F:F,'Support - Transition'!J:J,'Step 2'!D1862))</f>
        <v>0</v>
      </c>
      <c r="J1862" s="126">
        <f>SUMIFS('Support - Unit Adjustments'!E:E,'Support - Unit Adjustments'!F:F,'Step 2'!D1862)</f>
        <v>0</v>
      </c>
      <c r="K1862" s="126">
        <f t="shared" si="555"/>
        <v>0</v>
      </c>
      <c r="L1862" s="174">
        <f>VLOOKUP(A1862,'Step 1'!$A:$E,4,FALSE)</f>
        <v>87404</v>
      </c>
      <c r="M1862" s="47">
        <f t="shared" si="556"/>
        <v>0</v>
      </c>
      <c r="N1862" s="177">
        <f>SUMIFS('Support - Transition'!G:G,'Support - Transition'!J:J,'Step 2'!D1862,'Support - Transition'!E:E,"2009 WELFARE ALLOCATION FACTOR")</f>
        <v>0</v>
      </c>
      <c r="O1862" s="152">
        <f t="shared" si="561"/>
        <v>0</v>
      </c>
      <c r="P1862" s="126">
        <f>IF(E1862="Y",0,SUMIFS('Support - Transition'!G:G,'Support - Transition'!J:J,'Step 2'!D1862,'Support - Transition'!E:E,"2009 SCHOOL ALLOCATION FACTOR"))</f>
        <v>0</v>
      </c>
      <c r="Q1862" s="126">
        <f>IF(E1862="Y",VLOOKUP(D1862,'Support - Unit Adjustments'!F:G,2,FALSE),0)</f>
        <v>0</v>
      </c>
      <c r="R1862" s="155">
        <f t="shared" si="554"/>
        <v>0</v>
      </c>
      <c r="S1862" s="47">
        <f t="shared" si="553"/>
        <v>0</v>
      </c>
      <c r="T1862" s="151">
        <f t="shared" si="557"/>
        <v>0</v>
      </c>
      <c r="U1862" s="151">
        <f t="shared" si="558"/>
        <v>0</v>
      </c>
      <c r="V1862" s="139">
        <f t="shared" si="559"/>
        <v>0</v>
      </c>
      <c r="W1862" s="152">
        <f t="shared" si="562"/>
        <v>0</v>
      </c>
      <c r="X1862" s="127" t="str">
        <f t="shared" si="560"/>
        <v/>
      </c>
      <c r="Y1862" s="207">
        <f t="shared" si="563"/>
        <v>0</v>
      </c>
      <c r="Z1862" s="139">
        <f t="shared" si="564"/>
        <v>0</v>
      </c>
      <c r="AA1862" s="139">
        <f t="shared" si="565"/>
        <v>0</v>
      </c>
      <c r="AC1862" s="47">
        <f t="shared" si="566"/>
        <v>0</v>
      </c>
      <c r="AD1862" s="47">
        <f t="shared" si="567"/>
        <v>0</v>
      </c>
      <c r="AE1862" s="47">
        <f t="shared" si="568"/>
        <v>0</v>
      </c>
      <c r="AG1862" s="47">
        <f t="shared" si="569"/>
        <v>0</v>
      </c>
      <c r="AH1862" s="47">
        <f t="shared" si="570"/>
        <v>0</v>
      </c>
      <c r="AI1862" s="208">
        <f t="shared" si="571"/>
        <v>0</v>
      </c>
    </row>
    <row r="1863" spans="1:35">
      <c r="A1863" t="s">
        <v>2145</v>
      </c>
      <c r="B1863" t="s">
        <v>3170</v>
      </c>
      <c r="C1863" t="s">
        <v>3905</v>
      </c>
      <c r="D1863" t="s">
        <v>5331</v>
      </c>
      <c r="F1863" t="s">
        <v>3907</v>
      </c>
      <c r="G1863" s="126">
        <f>SUMIFS('Support - Transition'!F:F,'Support - Transition'!B:B,'Step 2'!A1863,'Support - Transition'!C:C,'Step 2'!B1863,'Support - Transition'!D:D,'Step 2'!C1863,'Support - Transition'!E:E,"CIVIL")</f>
        <v>0</v>
      </c>
      <c r="H1863" s="126">
        <f>SUMIFS('Support - Transition'!F:F,'Support - Transition'!B:B,'Step 2'!A1863,'Support - Transition'!C:C,'Step 2'!B1863,'Support - Transition'!D:D,'Step 2'!C1863,'Support - Transition'!E:E,"FIRE")</f>
        <v>0</v>
      </c>
      <c r="I1863" s="126">
        <f>IF(B1863="0",SUMIFS('Support - Transition'!F:F,'Support - Transition'!J:J,'Step 2'!D1863,'Support - Transition'!E:E,"STATE UNIT"),SUMIFS('Support - Transition'!F:F,'Support - Transition'!J:J,'Step 2'!D1863))</f>
        <v>0</v>
      </c>
      <c r="J1863" s="126">
        <f>SUMIFS('Support - Unit Adjustments'!E:E,'Support - Unit Adjustments'!F:F,'Step 2'!D1863)</f>
        <v>0</v>
      </c>
      <c r="K1863" s="126">
        <f t="shared" si="555"/>
        <v>0</v>
      </c>
      <c r="L1863" s="174">
        <f>VLOOKUP(A1863,'Step 1'!$A:$E,4,FALSE)</f>
        <v>87404</v>
      </c>
      <c r="M1863" s="47">
        <f t="shared" si="556"/>
        <v>0</v>
      </c>
      <c r="N1863" s="177">
        <f>SUMIFS('Support - Transition'!G:G,'Support - Transition'!J:J,'Step 2'!D1863,'Support - Transition'!E:E,"2009 WELFARE ALLOCATION FACTOR")</f>
        <v>0</v>
      </c>
      <c r="O1863" s="152">
        <f t="shared" si="561"/>
        <v>0</v>
      </c>
      <c r="P1863" s="126">
        <f>IF(E1863="Y",0,SUMIFS('Support - Transition'!G:G,'Support - Transition'!J:J,'Step 2'!D1863,'Support - Transition'!E:E,"2009 SCHOOL ALLOCATION FACTOR"))</f>
        <v>0</v>
      </c>
      <c r="Q1863" s="126">
        <f>IF(E1863="Y",VLOOKUP(D1863,'Support - Unit Adjustments'!F:G,2,FALSE),0)</f>
        <v>0</v>
      </c>
      <c r="R1863" s="155">
        <f t="shared" si="554"/>
        <v>0</v>
      </c>
      <c r="S1863" s="47">
        <f t="shared" si="553"/>
        <v>0</v>
      </c>
      <c r="T1863" s="151">
        <f t="shared" si="557"/>
        <v>0</v>
      </c>
      <c r="U1863" s="151">
        <f t="shared" si="558"/>
        <v>0</v>
      </c>
      <c r="V1863" s="139">
        <f t="shared" si="559"/>
        <v>0</v>
      </c>
      <c r="W1863" s="152">
        <f t="shared" si="562"/>
        <v>0</v>
      </c>
      <c r="X1863" s="127" t="str">
        <f t="shared" si="560"/>
        <v/>
      </c>
      <c r="Y1863" s="207">
        <f t="shared" si="563"/>
        <v>0</v>
      </c>
      <c r="Z1863" s="139">
        <f t="shared" si="564"/>
        <v>0</v>
      </c>
      <c r="AA1863" s="139">
        <f t="shared" si="565"/>
        <v>0</v>
      </c>
      <c r="AC1863" s="47">
        <f t="shared" si="566"/>
        <v>0</v>
      </c>
      <c r="AD1863" s="47">
        <f t="shared" si="567"/>
        <v>0</v>
      </c>
      <c r="AE1863" s="47">
        <f t="shared" si="568"/>
        <v>0</v>
      </c>
      <c r="AG1863" s="47">
        <f t="shared" si="569"/>
        <v>0</v>
      </c>
      <c r="AH1863" s="47">
        <f t="shared" si="570"/>
        <v>0</v>
      </c>
      <c r="AI1863" s="208">
        <f t="shared" si="571"/>
        <v>0</v>
      </c>
    </row>
    <row r="1864" spans="1:35">
      <c r="A1864" t="s">
        <v>2145</v>
      </c>
      <c r="B1864" t="s">
        <v>3286</v>
      </c>
      <c r="C1864" t="s">
        <v>3415</v>
      </c>
      <c r="D1864" t="s">
        <v>5332</v>
      </c>
      <c r="F1864" t="s">
        <v>5115</v>
      </c>
      <c r="G1864" s="126">
        <f>SUMIFS('Support - Transition'!F:F,'Support - Transition'!B:B,'Step 2'!A1864,'Support - Transition'!C:C,'Step 2'!B1864,'Support - Transition'!D:D,'Step 2'!C1864,'Support - Transition'!E:E,"CIVIL")</f>
        <v>0</v>
      </c>
      <c r="H1864" s="126">
        <f>SUMIFS('Support - Transition'!F:F,'Support - Transition'!B:B,'Step 2'!A1864,'Support - Transition'!C:C,'Step 2'!B1864,'Support - Transition'!D:D,'Step 2'!C1864,'Support - Transition'!E:E,"FIRE")</f>
        <v>0</v>
      </c>
      <c r="I1864" s="126">
        <f>IF(B1864="0",SUMIFS('Support - Transition'!F:F,'Support - Transition'!J:J,'Step 2'!D1864,'Support - Transition'!E:E,"STATE UNIT"),SUMIFS('Support - Transition'!F:F,'Support - Transition'!J:J,'Step 2'!D1864))</f>
        <v>0</v>
      </c>
      <c r="J1864" s="126">
        <f>SUMIFS('Support - Unit Adjustments'!E:E,'Support - Unit Adjustments'!F:F,'Step 2'!D1864)</f>
        <v>0</v>
      </c>
      <c r="K1864" s="126">
        <f t="shared" si="555"/>
        <v>0</v>
      </c>
      <c r="L1864" s="174">
        <f>VLOOKUP(A1864,'Step 1'!$A:$E,4,FALSE)</f>
        <v>87404</v>
      </c>
      <c r="M1864" s="47">
        <f t="shared" si="556"/>
        <v>0</v>
      </c>
      <c r="N1864" s="177">
        <f>SUMIFS('Support - Transition'!G:G,'Support - Transition'!J:J,'Step 2'!D1864,'Support - Transition'!E:E,"2009 WELFARE ALLOCATION FACTOR")</f>
        <v>0</v>
      </c>
      <c r="O1864" s="152">
        <f t="shared" si="561"/>
        <v>0</v>
      </c>
      <c r="P1864" s="126">
        <f>IF(E1864="Y",0,SUMIFS('Support - Transition'!G:G,'Support - Transition'!J:J,'Step 2'!D1864,'Support - Transition'!E:E,"2009 SCHOOL ALLOCATION FACTOR"))</f>
        <v>0</v>
      </c>
      <c r="Q1864" s="126">
        <f>IF(E1864="Y",VLOOKUP(D1864,'Support - Unit Adjustments'!F:G,2,FALSE),0)</f>
        <v>0</v>
      </c>
      <c r="R1864" s="155">
        <f t="shared" si="554"/>
        <v>0</v>
      </c>
      <c r="S1864" s="47">
        <f t="shared" ref="S1864:S1927" si="572">ROUND(+R1864*M1864,0)</f>
        <v>0</v>
      </c>
      <c r="T1864" s="151">
        <f t="shared" si="557"/>
        <v>0</v>
      </c>
      <c r="U1864" s="151">
        <f t="shared" si="558"/>
        <v>0</v>
      </c>
      <c r="V1864" s="139">
        <f t="shared" si="559"/>
        <v>0</v>
      </c>
      <c r="W1864" s="152">
        <f t="shared" si="562"/>
        <v>0</v>
      </c>
      <c r="X1864" s="127" t="str">
        <f t="shared" si="560"/>
        <v/>
      </c>
      <c r="Y1864" s="207">
        <f t="shared" si="563"/>
        <v>0</v>
      </c>
      <c r="Z1864" s="139">
        <f t="shared" si="564"/>
        <v>0</v>
      </c>
      <c r="AA1864" s="139">
        <f t="shared" si="565"/>
        <v>0</v>
      </c>
      <c r="AC1864" s="47">
        <f t="shared" si="566"/>
        <v>0</v>
      </c>
      <c r="AD1864" s="47">
        <f t="shared" si="567"/>
        <v>0</v>
      </c>
      <c r="AE1864" s="47">
        <f t="shared" si="568"/>
        <v>0</v>
      </c>
      <c r="AG1864" s="47">
        <f t="shared" si="569"/>
        <v>0</v>
      </c>
      <c r="AH1864" s="47">
        <f t="shared" si="570"/>
        <v>0</v>
      </c>
      <c r="AI1864" s="208">
        <f t="shared" si="571"/>
        <v>0</v>
      </c>
    </row>
    <row r="1865" spans="1:35">
      <c r="A1865" t="s">
        <v>2146</v>
      </c>
      <c r="B1865" s="48" t="s">
        <v>6274</v>
      </c>
      <c r="C1865" t="s">
        <v>2187</v>
      </c>
      <c r="D1865" t="str">
        <f>A1865&amp;B1865&amp;C1865</f>
        <v>6200000</v>
      </c>
      <c r="F1865" t="s">
        <v>6336</v>
      </c>
      <c r="G1865" s="126">
        <f>SUMIFS('Support - Transition'!F:F,'Support - Transition'!B:B,'Step 2'!A1865,'Support - Transition'!C:C,'Step 2'!B1865,'Support - Transition'!D:D,'Step 2'!C1865,'Support - Transition'!E:E,"CIVIL")</f>
        <v>0</v>
      </c>
      <c r="H1865" s="126">
        <f>SUMIFS('Support - Transition'!F:F,'Support - Transition'!B:B,'Step 2'!A1865,'Support - Transition'!C:C,'Step 2'!B1865,'Support - Transition'!D:D,'Step 2'!C1865,'Support - Transition'!E:E,"FIRE")</f>
        <v>0</v>
      </c>
      <c r="I1865" s="126">
        <f>IF(B1865="0",SUMIFS('Support - Transition'!F:F,'Support - Transition'!J:J,'Step 2'!D1865,'Support - Transition'!E:E,"STATE UNIT"),SUMIFS('Support - Transition'!F:F,'Support - Transition'!J:J,'Step 2'!D1865))</f>
        <v>1.034E-3</v>
      </c>
      <c r="J1865" s="126">
        <f>SUMIFS('Support - Unit Adjustments'!E:E,'Support - Unit Adjustments'!F:F,'Step 2'!D1865)</f>
        <v>0</v>
      </c>
      <c r="K1865" s="126">
        <f t="shared" si="555"/>
        <v>1.034E-3</v>
      </c>
      <c r="L1865" s="174">
        <f>VLOOKUP(A1865,'Step 1'!$A:$E,4,FALSE)</f>
        <v>156077</v>
      </c>
      <c r="M1865" s="47">
        <f t="shared" si="556"/>
        <v>161</v>
      </c>
      <c r="N1865" s="177">
        <f>SUMIFS('Support - Transition'!G:G,'Support - Transition'!J:J,'Step 2'!D1865,'Support - Transition'!E:E,"2009 WELFARE ALLOCATION FACTOR")</f>
        <v>0</v>
      </c>
      <c r="O1865" s="152">
        <f t="shared" si="561"/>
        <v>0</v>
      </c>
      <c r="P1865" s="126">
        <f>IF(E1865="Y",0,SUMIFS('Support - Transition'!G:G,'Support - Transition'!J:J,'Step 2'!D1865,'Support - Transition'!E:E,"2009 SCHOOL ALLOCATION FACTOR"))</f>
        <v>0</v>
      </c>
      <c r="Q1865" s="126">
        <f>IF(E1865="Y",VLOOKUP(D1865,'Support - Unit Adjustments'!F:G,2,FALSE),0)</f>
        <v>0</v>
      </c>
      <c r="R1865" s="155">
        <f t="shared" ref="R1865:R1928" si="573">+P1865+Q1865</f>
        <v>0</v>
      </c>
      <c r="S1865" s="47">
        <f t="shared" si="572"/>
        <v>0</v>
      </c>
      <c r="T1865" s="151">
        <f t="shared" si="557"/>
        <v>161</v>
      </c>
      <c r="U1865" s="151">
        <f t="shared" si="558"/>
        <v>156078</v>
      </c>
      <c r="V1865" s="139">
        <f t="shared" si="559"/>
        <v>1</v>
      </c>
      <c r="W1865" s="152">
        <f t="shared" si="562"/>
        <v>160</v>
      </c>
      <c r="X1865" s="127">
        <f t="shared" si="560"/>
        <v>0</v>
      </c>
      <c r="Y1865" s="207">
        <f t="shared" si="563"/>
        <v>160</v>
      </c>
      <c r="Z1865" s="139">
        <f t="shared" si="564"/>
        <v>160</v>
      </c>
      <c r="AA1865" s="139">
        <f t="shared" si="565"/>
        <v>0</v>
      </c>
      <c r="AC1865" s="47">
        <f t="shared" si="566"/>
        <v>80</v>
      </c>
      <c r="AD1865" s="47">
        <f t="shared" si="567"/>
        <v>80</v>
      </c>
      <c r="AE1865" s="47">
        <f t="shared" si="568"/>
        <v>0</v>
      </c>
      <c r="AG1865" s="47">
        <f t="shared" si="569"/>
        <v>80</v>
      </c>
      <c r="AH1865" s="47">
        <f t="shared" si="570"/>
        <v>80</v>
      </c>
      <c r="AI1865" s="208">
        <f t="shared" si="571"/>
        <v>0</v>
      </c>
    </row>
    <row r="1866" spans="1:35">
      <c r="A1866" t="s">
        <v>2146</v>
      </c>
      <c r="B1866" t="s">
        <v>3140</v>
      </c>
      <c r="C1866" t="s">
        <v>2187</v>
      </c>
      <c r="D1866" t="s">
        <v>5333</v>
      </c>
      <c r="F1866" t="s">
        <v>1383</v>
      </c>
      <c r="G1866" s="126">
        <f>SUMIFS('Support - Transition'!F:F,'Support - Transition'!B:B,'Step 2'!A1866,'Support - Transition'!C:C,'Step 2'!B1866,'Support - Transition'!D:D,'Step 2'!C1866,'Support - Transition'!E:E,"CIVIL")</f>
        <v>0</v>
      </c>
      <c r="H1866" s="126">
        <f>SUMIFS('Support - Transition'!F:F,'Support - Transition'!B:B,'Step 2'!A1866,'Support - Transition'!C:C,'Step 2'!B1866,'Support - Transition'!D:D,'Step 2'!C1866,'Support - Transition'!E:E,"FIRE")</f>
        <v>0</v>
      </c>
      <c r="I1866" s="126">
        <f>IF(B1866="0",SUMIFS('Support - Transition'!F:F,'Support - Transition'!J:J,'Step 2'!D1866,'Support - Transition'!E:E,"STATE UNIT"),SUMIFS('Support - Transition'!F:F,'Support - Transition'!J:J,'Step 2'!D1866))</f>
        <v>0.2021</v>
      </c>
      <c r="J1866" s="126">
        <f>SUMIFS('Support - Unit Adjustments'!E:E,'Support - Unit Adjustments'!F:F,'Step 2'!D1866)</f>
        <v>0</v>
      </c>
      <c r="K1866" s="126">
        <f t="shared" si="555"/>
        <v>0.2021</v>
      </c>
      <c r="L1866" s="174">
        <f>VLOOKUP(A1866,'Step 1'!$A:$E,4,FALSE)</f>
        <v>156077</v>
      </c>
      <c r="M1866" s="47">
        <f t="shared" si="556"/>
        <v>31543</v>
      </c>
      <c r="N1866" s="177">
        <f>SUMIFS('Support - Transition'!G:G,'Support - Transition'!J:J,'Step 2'!D1866,'Support - Transition'!E:E,"2009 WELFARE ALLOCATION FACTOR")</f>
        <v>0.16716900000000001</v>
      </c>
      <c r="O1866" s="152">
        <f t="shared" si="561"/>
        <v>5273</v>
      </c>
      <c r="P1866" s="126">
        <f>IF(E1866="Y",0,SUMIFS('Support - Transition'!G:G,'Support - Transition'!J:J,'Step 2'!D1866,'Support - Transition'!E:E,"2009 SCHOOL ALLOCATION FACTOR"))</f>
        <v>0</v>
      </c>
      <c r="Q1866" s="126">
        <f>IF(E1866="Y",VLOOKUP(D1866,'Support - Unit Adjustments'!F:G,2,FALSE),0)</f>
        <v>0</v>
      </c>
      <c r="R1866" s="155">
        <f t="shared" si="573"/>
        <v>0</v>
      </c>
      <c r="S1866" s="47">
        <f t="shared" si="572"/>
        <v>0</v>
      </c>
      <c r="T1866" s="151">
        <f t="shared" si="557"/>
        <v>26270</v>
      </c>
      <c r="U1866" s="151">
        <f t="shared" si="558"/>
        <v>0</v>
      </c>
      <c r="V1866" s="139">
        <f t="shared" si="559"/>
        <v>0</v>
      </c>
      <c r="W1866" s="152">
        <f t="shared" si="562"/>
        <v>26270</v>
      </c>
      <c r="X1866" s="127" t="str">
        <f t="shared" si="560"/>
        <v/>
      </c>
      <c r="Y1866" s="207">
        <f t="shared" si="563"/>
        <v>26270</v>
      </c>
      <c r="Z1866" s="139">
        <f t="shared" si="564"/>
        <v>26270</v>
      </c>
      <c r="AA1866" s="139">
        <f t="shared" si="565"/>
        <v>0</v>
      </c>
      <c r="AC1866" s="47">
        <f t="shared" si="566"/>
        <v>13135</v>
      </c>
      <c r="AD1866" s="47">
        <f t="shared" si="567"/>
        <v>13135</v>
      </c>
      <c r="AE1866" s="47">
        <f t="shared" si="568"/>
        <v>0</v>
      </c>
      <c r="AG1866" s="47">
        <f t="shared" si="569"/>
        <v>13135</v>
      </c>
      <c r="AH1866" s="47">
        <f t="shared" si="570"/>
        <v>13135</v>
      </c>
      <c r="AI1866" s="208">
        <f t="shared" si="571"/>
        <v>0</v>
      </c>
    </row>
    <row r="1867" spans="1:35">
      <c r="A1867" t="s">
        <v>2146</v>
      </c>
      <c r="B1867" t="s">
        <v>3142</v>
      </c>
      <c r="C1867" t="s">
        <v>2188</v>
      </c>
      <c r="D1867" t="s">
        <v>5334</v>
      </c>
      <c r="F1867" t="s">
        <v>1122</v>
      </c>
      <c r="G1867" s="126">
        <f>SUMIFS('Support - Transition'!F:F,'Support - Transition'!B:B,'Step 2'!A1867,'Support - Transition'!C:C,'Step 2'!B1867,'Support - Transition'!D:D,'Step 2'!C1867,'Support - Transition'!E:E,"CIVIL")</f>
        <v>5.6099999999999998E-4</v>
      </c>
      <c r="H1867" s="126">
        <f>SUMIFS('Support - Transition'!F:F,'Support - Transition'!B:B,'Step 2'!A1867,'Support - Transition'!C:C,'Step 2'!B1867,'Support - Transition'!D:D,'Step 2'!C1867,'Support - Transition'!E:E,"FIRE")</f>
        <v>0</v>
      </c>
      <c r="I1867" s="126">
        <f>IF(B1867="0",SUMIFS('Support - Transition'!F:F,'Support - Transition'!J:J,'Step 2'!D1867,'Support - Transition'!E:E,"STATE UNIT"),SUMIFS('Support - Transition'!F:F,'Support - Transition'!J:J,'Step 2'!D1867))</f>
        <v>5.6099999999999998E-4</v>
      </c>
      <c r="J1867" s="126">
        <f>SUMIFS('Support - Unit Adjustments'!E:E,'Support - Unit Adjustments'!F:F,'Step 2'!D1867)</f>
        <v>0</v>
      </c>
      <c r="K1867" s="126">
        <f t="shared" si="555"/>
        <v>5.6099999999999998E-4</v>
      </c>
      <c r="L1867" s="174">
        <f>VLOOKUP(A1867,'Step 1'!$A:$E,4,FALSE)</f>
        <v>156077</v>
      </c>
      <c r="M1867" s="47">
        <f t="shared" si="556"/>
        <v>88</v>
      </c>
      <c r="N1867" s="177">
        <f>SUMIFS('Support - Transition'!G:G,'Support - Transition'!J:J,'Step 2'!D1867,'Support - Transition'!E:E,"2009 WELFARE ALLOCATION FACTOR")</f>
        <v>0</v>
      </c>
      <c r="O1867" s="152">
        <f t="shared" si="561"/>
        <v>0</v>
      </c>
      <c r="P1867" s="126">
        <f>IF(E1867="Y",0,SUMIFS('Support - Transition'!G:G,'Support - Transition'!J:J,'Step 2'!D1867,'Support - Transition'!E:E,"2009 SCHOOL ALLOCATION FACTOR"))</f>
        <v>0</v>
      </c>
      <c r="Q1867" s="126">
        <f>IF(E1867="Y",VLOOKUP(D1867,'Support - Unit Adjustments'!F:G,2,FALSE),0)</f>
        <v>0</v>
      </c>
      <c r="R1867" s="155">
        <f t="shared" si="573"/>
        <v>0</v>
      </c>
      <c r="S1867" s="47">
        <f t="shared" si="572"/>
        <v>0</v>
      </c>
      <c r="T1867" s="151">
        <f t="shared" si="557"/>
        <v>88</v>
      </c>
      <c r="U1867" s="151">
        <f t="shared" si="558"/>
        <v>0</v>
      </c>
      <c r="V1867" s="139">
        <f t="shared" si="559"/>
        <v>0</v>
      </c>
      <c r="W1867" s="152">
        <f t="shared" si="562"/>
        <v>88</v>
      </c>
      <c r="X1867" s="127" t="str">
        <f t="shared" si="560"/>
        <v/>
      </c>
      <c r="Y1867" s="207">
        <f t="shared" si="563"/>
        <v>88</v>
      </c>
      <c r="Z1867" s="139">
        <f t="shared" si="564"/>
        <v>88</v>
      </c>
      <c r="AA1867" s="139">
        <f t="shared" si="565"/>
        <v>0</v>
      </c>
      <c r="AC1867" s="47">
        <f t="shared" si="566"/>
        <v>44</v>
      </c>
      <c r="AD1867" s="47">
        <f t="shared" si="567"/>
        <v>44</v>
      </c>
      <c r="AE1867" s="47">
        <f t="shared" si="568"/>
        <v>0</v>
      </c>
      <c r="AG1867" s="47">
        <f t="shared" si="569"/>
        <v>44</v>
      </c>
      <c r="AH1867" s="47">
        <f t="shared" si="570"/>
        <v>44</v>
      </c>
      <c r="AI1867" s="208">
        <f t="shared" si="571"/>
        <v>0</v>
      </c>
    </row>
    <row r="1868" spans="1:35">
      <c r="A1868" t="s">
        <v>2146</v>
      </c>
      <c r="B1868" t="s">
        <v>3142</v>
      </c>
      <c r="C1868" t="s">
        <v>2189</v>
      </c>
      <c r="D1868" t="s">
        <v>5335</v>
      </c>
      <c r="F1868" t="s">
        <v>895</v>
      </c>
      <c r="G1868" s="126">
        <f>SUMIFS('Support - Transition'!F:F,'Support - Transition'!B:B,'Step 2'!A1868,'Support - Transition'!C:C,'Step 2'!B1868,'Support - Transition'!D:D,'Step 2'!C1868,'Support - Transition'!E:E,"CIVIL")</f>
        <v>3.3300000000000002E-4</v>
      </c>
      <c r="H1868" s="126">
        <f>SUMIFS('Support - Transition'!F:F,'Support - Transition'!B:B,'Step 2'!A1868,'Support - Transition'!C:C,'Step 2'!B1868,'Support - Transition'!D:D,'Step 2'!C1868,'Support - Transition'!E:E,"FIRE")</f>
        <v>0</v>
      </c>
      <c r="I1868" s="126">
        <f>IF(B1868="0",SUMIFS('Support - Transition'!F:F,'Support - Transition'!J:J,'Step 2'!D1868,'Support - Transition'!E:E,"STATE UNIT"),SUMIFS('Support - Transition'!F:F,'Support - Transition'!J:J,'Step 2'!D1868))</f>
        <v>3.3300000000000002E-4</v>
      </c>
      <c r="J1868" s="126">
        <f>SUMIFS('Support - Unit Adjustments'!E:E,'Support - Unit Adjustments'!F:F,'Step 2'!D1868)</f>
        <v>0</v>
      </c>
      <c r="K1868" s="126">
        <f t="shared" si="555"/>
        <v>3.3300000000000002E-4</v>
      </c>
      <c r="L1868" s="174">
        <f>VLOOKUP(A1868,'Step 1'!$A:$E,4,FALSE)</f>
        <v>156077</v>
      </c>
      <c r="M1868" s="47">
        <f t="shared" si="556"/>
        <v>52</v>
      </c>
      <c r="N1868" s="177">
        <f>SUMIFS('Support - Transition'!G:G,'Support - Transition'!J:J,'Step 2'!D1868,'Support - Transition'!E:E,"2009 WELFARE ALLOCATION FACTOR")</f>
        <v>0</v>
      </c>
      <c r="O1868" s="152">
        <f t="shared" si="561"/>
        <v>0</v>
      </c>
      <c r="P1868" s="126">
        <f>IF(E1868="Y",0,SUMIFS('Support - Transition'!G:G,'Support - Transition'!J:J,'Step 2'!D1868,'Support - Transition'!E:E,"2009 SCHOOL ALLOCATION FACTOR"))</f>
        <v>0</v>
      </c>
      <c r="Q1868" s="126">
        <f>IF(E1868="Y",VLOOKUP(D1868,'Support - Unit Adjustments'!F:G,2,FALSE),0)</f>
        <v>0</v>
      </c>
      <c r="R1868" s="155">
        <f t="shared" si="573"/>
        <v>0</v>
      </c>
      <c r="S1868" s="47">
        <f t="shared" si="572"/>
        <v>0</v>
      </c>
      <c r="T1868" s="151">
        <f t="shared" si="557"/>
        <v>52</v>
      </c>
      <c r="U1868" s="151">
        <f t="shared" si="558"/>
        <v>0</v>
      </c>
      <c r="V1868" s="139">
        <f t="shared" si="559"/>
        <v>0</v>
      </c>
      <c r="W1868" s="152">
        <f t="shared" si="562"/>
        <v>52</v>
      </c>
      <c r="X1868" s="127" t="str">
        <f t="shared" si="560"/>
        <v/>
      </c>
      <c r="Y1868" s="207">
        <f t="shared" si="563"/>
        <v>52</v>
      </c>
      <c r="Z1868" s="139">
        <f t="shared" si="564"/>
        <v>52</v>
      </c>
      <c r="AA1868" s="139">
        <f t="shared" si="565"/>
        <v>0</v>
      </c>
      <c r="AC1868" s="47">
        <f t="shared" si="566"/>
        <v>26</v>
      </c>
      <c r="AD1868" s="47">
        <f t="shared" si="567"/>
        <v>26</v>
      </c>
      <c r="AE1868" s="47">
        <f t="shared" si="568"/>
        <v>0</v>
      </c>
      <c r="AG1868" s="47">
        <f t="shared" si="569"/>
        <v>26</v>
      </c>
      <c r="AH1868" s="47">
        <f t="shared" si="570"/>
        <v>26</v>
      </c>
      <c r="AI1868" s="208">
        <f t="shared" si="571"/>
        <v>0</v>
      </c>
    </row>
    <row r="1869" spans="1:35">
      <c r="A1869" t="s">
        <v>2146</v>
      </c>
      <c r="B1869" t="s">
        <v>3142</v>
      </c>
      <c r="C1869" t="s">
        <v>2190</v>
      </c>
      <c r="D1869" t="s">
        <v>5336</v>
      </c>
      <c r="F1869" t="s">
        <v>1384</v>
      </c>
      <c r="G1869" s="126">
        <f>SUMIFS('Support - Transition'!F:F,'Support - Transition'!B:B,'Step 2'!A1869,'Support - Transition'!C:C,'Step 2'!B1869,'Support - Transition'!D:D,'Step 2'!C1869,'Support - Transition'!E:E,"CIVIL")</f>
        <v>6.7699999999999998E-4</v>
      </c>
      <c r="H1869" s="126">
        <f>SUMIFS('Support - Transition'!F:F,'Support - Transition'!B:B,'Step 2'!A1869,'Support - Transition'!C:C,'Step 2'!B1869,'Support - Transition'!D:D,'Step 2'!C1869,'Support - Transition'!E:E,"FIRE")</f>
        <v>1.9900000000000001E-4</v>
      </c>
      <c r="I1869" s="126">
        <f>IF(B1869="0",SUMIFS('Support - Transition'!F:F,'Support - Transition'!J:J,'Step 2'!D1869,'Support - Transition'!E:E,"STATE UNIT"),SUMIFS('Support - Transition'!F:F,'Support - Transition'!J:J,'Step 2'!D1869))</f>
        <v>8.7600000000000004E-4</v>
      </c>
      <c r="J1869" s="126">
        <f>SUMIFS('Support - Unit Adjustments'!E:E,'Support - Unit Adjustments'!F:F,'Step 2'!D1869)</f>
        <v>0</v>
      </c>
      <c r="K1869" s="126">
        <f t="shared" si="555"/>
        <v>8.7600000000000004E-4</v>
      </c>
      <c r="L1869" s="174">
        <f>VLOOKUP(A1869,'Step 1'!$A:$E,4,FALSE)</f>
        <v>156077</v>
      </c>
      <c r="M1869" s="47">
        <f t="shared" si="556"/>
        <v>137</v>
      </c>
      <c r="N1869" s="177">
        <f>SUMIFS('Support - Transition'!G:G,'Support - Transition'!J:J,'Step 2'!D1869,'Support - Transition'!E:E,"2009 WELFARE ALLOCATION FACTOR")</f>
        <v>0</v>
      </c>
      <c r="O1869" s="152">
        <f t="shared" si="561"/>
        <v>0</v>
      </c>
      <c r="P1869" s="126">
        <f>IF(E1869="Y",0,SUMIFS('Support - Transition'!G:G,'Support - Transition'!J:J,'Step 2'!D1869,'Support - Transition'!E:E,"2009 SCHOOL ALLOCATION FACTOR"))</f>
        <v>0</v>
      </c>
      <c r="Q1869" s="126">
        <f>IF(E1869="Y",VLOOKUP(D1869,'Support - Unit Adjustments'!F:G,2,FALSE),0)</f>
        <v>0</v>
      </c>
      <c r="R1869" s="155">
        <f t="shared" si="573"/>
        <v>0</v>
      </c>
      <c r="S1869" s="47">
        <f t="shared" si="572"/>
        <v>0</v>
      </c>
      <c r="T1869" s="151">
        <f t="shared" si="557"/>
        <v>137</v>
      </c>
      <c r="U1869" s="151">
        <f t="shared" si="558"/>
        <v>0</v>
      </c>
      <c r="V1869" s="139">
        <f t="shared" si="559"/>
        <v>0</v>
      </c>
      <c r="W1869" s="152">
        <f t="shared" si="562"/>
        <v>137</v>
      </c>
      <c r="X1869" s="127" t="str">
        <f t="shared" si="560"/>
        <v/>
      </c>
      <c r="Y1869" s="207">
        <f t="shared" si="563"/>
        <v>137</v>
      </c>
      <c r="Z1869" s="139">
        <f t="shared" si="564"/>
        <v>106</v>
      </c>
      <c r="AA1869" s="139">
        <f t="shared" si="565"/>
        <v>31</v>
      </c>
      <c r="AC1869" s="47">
        <f t="shared" si="566"/>
        <v>69</v>
      </c>
      <c r="AD1869" s="47">
        <f t="shared" si="567"/>
        <v>53</v>
      </c>
      <c r="AE1869" s="47">
        <f t="shared" si="568"/>
        <v>16</v>
      </c>
      <c r="AG1869" s="47">
        <f t="shared" si="569"/>
        <v>68</v>
      </c>
      <c r="AH1869" s="47">
        <f t="shared" si="570"/>
        <v>53</v>
      </c>
      <c r="AI1869" s="208">
        <f t="shared" si="571"/>
        <v>15</v>
      </c>
    </row>
    <row r="1870" spans="1:35">
      <c r="A1870" t="s">
        <v>2146</v>
      </c>
      <c r="B1870" t="s">
        <v>3142</v>
      </c>
      <c r="C1870" t="s">
        <v>2191</v>
      </c>
      <c r="D1870" t="s">
        <v>5337</v>
      </c>
      <c r="F1870" t="s">
        <v>1385</v>
      </c>
      <c r="G1870" s="126">
        <f>SUMIFS('Support - Transition'!F:F,'Support - Transition'!B:B,'Step 2'!A1870,'Support - Transition'!C:C,'Step 2'!B1870,'Support - Transition'!D:D,'Step 2'!C1870,'Support - Transition'!E:E,"CIVIL")</f>
        <v>6.1899999999999998E-4</v>
      </c>
      <c r="H1870" s="126">
        <f>SUMIFS('Support - Transition'!F:F,'Support - Transition'!B:B,'Step 2'!A1870,'Support - Transition'!C:C,'Step 2'!B1870,'Support - Transition'!D:D,'Step 2'!C1870,'Support - Transition'!E:E,"FIRE")</f>
        <v>0</v>
      </c>
      <c r="I1870" s="126">
        <f>IF(B1870="0",SUMIFS('Support - Transition'!F:F,'Support - Transition'!J:J,'Step 2'!D1870,'Support - Transition'!E:E,"STATE UNIT"),SUMIFS('Support - Transition'!F:F,'Support - Transition'!J:J,'Step 2'!D1870))</f>
        <v>6.1899999999999998E-4</v>
      </c>
      <c r="J1870" s="126">
        <f>SUMIFS('Support - Unit Adjustments'!E:E,'Support - Unit Adjustments'!F:F,'Step 2'!D1870)</f>
        <v>0</v>
      </c>
      <c r="K1870" s="126">
        <f t="shared" si="555"/>
        <v>6.1899999999999998E-4</v>
      </c>
      <c r="L1870" s="174">
        <f>VLOOKUP(A1870,'Step 1'!$A:$E,4,FALSE)</f>
        <v>156077</v>
      </c>
      <c r="M1870" s="47">
        <f t="shared" si="556"/>
        <v>97</v>
      </c>
      <c r="N1870" s="177">
        <f>SUMIFS('Support - Transition'!G:G,'Support - Transition'!J:J,'Step 2'!D1870,'Support - Transition'!E:E,"2009 WELFARE ALLOCATION FACTOR")</f>
        <v>0</v>
      </c>
      <c r="O1870" s="152">
        <f t="shared" si="561"/>
        <v>0</v>
      </c>
      <c r="P1870" s="126">
        <f>IF(E1870="Y",0,SUMIFS('Support - Transition'!G:G,'Support - Transition'!J:J,'Step 2'!D1870,'Support - Transition'!E:E,"2009 SCHOOL ALLOCATION FACTOR"))</f>
        <v>0</v>
      </c>
      <c r="Q1870" s="126">
        <f>IF(E1870="Y",VLOOKUP(D1870,'Support - Unit Adjustments'!F:G,2,FALSE),0)</f>
        <v>0</v>
      </c>
      <c r="R1870" s="155">
        <f t="shared" si="573"/>
        <v>0</v>
      </c>
      <c r="S1870" s="47">
        <f t="shared" si="572"/>
        <v>0</v>
      </c>
      <c r="T1870" s="151">
        <f t="shared" si="557"/>
        <v>97</v>
      </c>
      <c r="U1870" s="151">
        <f t="shared" si="558"/>
        <v>0</v>
      </c>
      <c r="V1870" s="139">
        <f t="shared" si="559"/>
        <v>0</v>
      </c>
      <c r="W1870" s="152">
        <f t="shared" si="562"/>
        <v>97</v>
      </c>
      <c r="X1870" s="127" t="str">
        <f t="shared" si="560"/>
        <v/>
      </c>
      <c r="Y1870" s="207">
        <f t="shared" si="563"/>
        <v>97</v>
      </c>
      <c r="Z1870" s="139">
        <f t="shared" si="564"/>
        <v>97</v>
      </c>
      <c r="AA1870" s="139">
        <f t="shared" si="565"/>
        <v>0</v>
      </c>
      <c r="AC1870" s="47">
        <f t="shared" si="566"/>
        <v>49</v>
      </c>
      <c r="AD1870" s="47">
        <f t="shared" si="567"/>
        <v>49</v>
      </c>
      <c r="AE1870" s="47">
        <f t="shared" si="568"/>
        <v>0</v>
      </c>
      <c r="AG1870" s="47">
        <f t="shared" si="569"/>
        <v>48</v>
      </c>
      <c r="AH1870" s="47">
        <f t="shared" si="570"/>
        <v>48</v>
      </c>
      <c r="AI1870" s="208">
        <f t="shared" si="571"/>
        <v>0</v>
      </c>
    </row>
    <row r="1871" spans="1:35">
      <c r="A1871" t="s">
        <v>2146</v>
      </c>
      <c r="B1871" t="s">
        <v>3142</v>
      </c>
      <c r="C1871" t="s">
        <v>2192</v>
      </c>
      <c r="D1871" t="s">
        <v>5338</v>
      </c>
      <c r="F1871" t="s">
        <v>1386</v>
      </c>
      <c r="G1871" s="126">
        <f>SUMIFS('Support - Transition'!F:F,'Support - Transition'!B:B,'Step 2'!A1871,'Support - Transition'!C:C,'Step 2'!B1871,'Support - Transition'!D:D,'Step 2'!C1871,'Support - Transition'!E:E,"CIVIL")</f>
        <v>2.92E-4</v>
      </c>
      <c r="H1871" s="126">
        <f>SUMIFS('Support - Transition'!F:F,'Support - Transition'!B:B,'Step 2'!A1871,'Support - Transition'!C:C,'Step 2'!B1871,'Support - Transition'!D:D,'Step 2'!C1871,'Support - Transition'!E:E,"FIRE")</f>
        <v>0</v>
      </c>
      <c r="I1871" s="126">
        <f>IF(B1871="0",SUMIFS('Support - Transition'!F:F,'Support - Transition'!J:J,'Step 2'!D1871,'Support - Transition'!E:E,"STATE UNIT"),SUMIFS('Support - Transition'!F:F,'Support - Transition'!J:J,'Step 2'!D1871))</f>
        <v>2.92E-4</v>
      </c>
      <c r="J1871" s="126">
        <f>SUMIFS('Support - Unit Adjustments'!E:E,'Support - Unit Adjustments'!F:F,'Step 2'!D1871)</f>
        <v>0</v>
      </c>
      <c r="K1871" s="126">
        <f t="shared" si="555"/>
        <v>2.92E-4</v>
      </c>
      <c r="L1871" s="174">
        <f>VLOOKUP(A1871,'Step 1'!$A:$E,4,FALSE)</f>
        <v>156077</v>
      </c>
      <c r="M1871" s="47">
        <f t="shared" si="556"/>
        <v>46</v>
      </c>
      <c r="N1871" s="177">
        <f>SUMIFS('Support - Transition'!G:G,'Support - Transition'!J:J,'Step 2'!D1871,'Support - Transition'!E:E,"2009 WELFARE ALLOCATION FACTOR")</f>
        <v>0</v>
      </c>
      <c r="O1871" s="152">
        <f t="shared" si="561"/>
        <v>0</v>
      </c>
      <c r="P1871" s="126">
        <f>IF(E1871="Y",0,SUMIFS('Support - Transition'!G:G,'Support - Transition'!J:J,'Step 2'!D1871,'Support - Transition'!E:E,"2009 SCHOOL ALLOCATION FACTOR"))</f>
        <v>0</v>
      </c>
      <c r="Q1871" s="126">
        <f>IF(E1871="Y",VLOOKUP(D1871,'Support - Unit Adjustments'!F:G,2,FALSE),0)</f>
        <v>0</v>
      </c>
      <c r="R1871" s="155">
        <f t="shared" si="573"/>
        <v>0</v>
      </c>
      <c r="S1871" s="47">
        <f t="shared" si="572"/>
        <v>0</v>
      </c>
      <c r="T1871" s="151">
        <f t="shared" si="557"/>
        <v>46</v>
      </c>
      <c r="U1871" s="151">
        <f t="shared" si="558"/>
        <v>0</v>
      </c>
      <c r="V1871" s="139">
        <f t="shared" si="559"/>
        <v>0</v>
      </c>
      <c r="W1871" s="152">
        <f t="shared" si="562"/>
        <v>46</v>
      </c>
      <c r="X1871" s="127" t="str">
        <f t="shared" si="560"/>
        <v/>
      </c>
      <c r="Y1871" s="207">
        <f t="shared" si="563"/>
        <v>46</v>
      </c>
      <c r="Z1871" s="139">
        <f t="shared" si="564"/>
        <v>46</v>
      </c>
      <c r="AA1871" s="139">
        <f t="shared" si="565"/>
        <v>0</v>
      </c>
      <c r="AC1871" s="47">
        <f t="shared" si="566"/>
        <v>23</v>
      </c>
      <c r="AD1871" s="47">
        <f t="shared" si="567"/>
        <v>23</v>
      </c>
      <c r="AE1871" s="47">
        <f t="shared" si="568"/>
        <v>0</v>
      </c>
      <c r="AG1871" s="47">
        <f t="shared" si="569"/>
        <v>23</v>
      </c>
      <c r="AH1871" s="47">
        <f t="shared" si="570"/>
        <v>23</v>
      </c>
      <c r="AI1871" s="208">
        <f t="shared" si="571"/>
        <v>0</v>
      </c>
    </row>
    <row r="1872" spans="1:35">
      <c r="A1872" t="s">
        <v>2146</v>
      </c>
      <c r="B1872" t="s">
        <v>3142</v>
      </c>
      <c r="C1872" t="s">
        <v>2193</v>
      </c>
      <c r="D1872" t="s">
        <v>5339</v>
      </c>
      <c r="F1872" t="s">
        <v>378</v>
      </c>
      <c r="G1872" s="126">
        <f>SUMIFS('Support - Transition'!F:F,'Support - Transition'!B:B,'Step 2'!A1872,'Support - Transition'!C:C,'Step 2'!B1872,'Support - Transition'!D:D,'Step 2'!C1872,'Support - Transition'!E:E,"CIVIL")</f>
        <v>4.7239999999999999E-3</v>
      </c>
      <c r="H1872" s="126">
        <f>SUMIFS('Support - Transition'!F:F,'Support - Transition'!B:B,'Step 2'!A1872,'Support - Transition'!C:C,'Step 2'!B1872,'Support - Transition'!D:D,'Step 2'!C1872,'Support - Transition'!E:E,"FIRE")</f>
        <v>2.9799999999999998E-4</v>
      </c>
      <c r="I1872" s="126">
        <f>IF(B1872="0",SUMIFS('Support - Transition'!F:F,'Support - Transition'!J:J,'Step 2'!D1872,'Support - Transition'!E:E,"STATE UNIT"),SUMIFS('Support - Transition'!F:F,'Support - Transition'!J:J,'Step 2'!D1872))</f>
        <v>5.0219999999999996E-3</v>
      </c>
      <c r="J1872" s="126">
        <f>SUMIFS('Support - Unit Adjustments'!E:E,'Support - Unit Adjustments'!F:F,'Step 2'!D1872)</f>
        <v>0</v>
      </c>
      <c r="K1872" s="126">
        <f t="shared" si="555"/>
        <v>5.0219999999999996E-3</v>
      </c>
      <c r="L1872" s="174">
        <f>VLOOKUP(A1872,'Step 1'!$A:$E,4,FALSE)</f>
        <v>156077</v>
      </c>
      <c r="M1872" s="47">
        <f t="shared" si="556"/>
        <v>784</v>
      </c>
      <c r="N1872" s="177">
        <f>SUMIFS('Support - Transition'!G:G,'Support - Transition'!J:J,'Step 2'!D1872,'Support - Transition'!E:E,"2009 WELFARE ALLOCATION FACTOR")</f>
        <v>0</v>
      </c>
      <c r="O1872" s="152">
        <f t="shared" si="561"/>
        <v>0</v>
      </c>
      <c r="P1872" s="126">
        <f>IF(E1872="Y",0,SUMIFS('Support - Transition'!G:G,'Support - Transition'!J:J,'Step 2'!D1872,'Support - Transition'!E:E,"2009 SCHOOL ALLOCATION FACTOR"))</f>
        <v>0</v>
      </c>
      <c r="Q1872" s="126">
        <f>IF(E1872="Y",VLOOKUP(D1872,'Support - Unit Adjustments'!F:G,2,FALSE),0)</f>
        <v>0</v>
      </c>
      <c r="R1872" s="155">
        <f t="shared" si="573"/>
        <v>0</v>
      </c>
      <c r="S1872" s="47">
        <f t="shared" si="572"/>
        <v>0</v>
      </c>
      <c r="T1872" s="151">
        <f t="shared" si="557"/>
        <v>784</v>
      </c>
      <c r="U1872" s="151">
        <f t="shared" si="558"/>
        <v>0</v>
      </c>
      <c r="V1872" s="139">
        <f t="shared" si="559"/>
        <v>0</v>
      </c>
      <c r="W1872" s="152">
        <f t="shared" si="562"/>
        <v>784</v>
      </c>
      <c r="X1872" s="127" t="str">
        <f t="shared" si="560"/>
        <v/>
      </c>
      <c r="Y1872" s="207">
        <f t="shared" si="563"/>
        <v>784</v>
      </c>
      <c r="Z1872" s="139">
        <f t="shared" si="564"/>
        <v>737</v>
      </c>
      <c r="AA1872" s="139">
        <f t="shared" si="565"/>
        <v>47</v>
      </c>
      <c r="AC1872" s="47">
        <f t="shared" si="566"/>
        <v>392</v>
      </c>
      <c r="AD1872" s="47">
        <f t="shared" si="567"/>
        <v>369</v>
      </c>
      <c r="AE1872" s="47">
        <f t="shared" si="568"/>
        <v>24</v>
      </c>
      <c r="AG1872" s="47">
        <f t="shared" si="569"/>
        <v>392</v>
      </c>
      <c r="AH1872" s="47">
        <f t="shared" si="570"/>
        <v>368</v>
      </c>
      <c r="AI1872" s="208">
        <f t="shared" si="571"/>
        <v>23</v>
      </c>
    </row>
    <row r="1873" spans="1:35">
      <c r="A1873" t="s">
        <v>2146</v>
      </c>
      <c r="B1873" t="s">
        <v>3142</v>
      </c>
      <c r="C1873" t="s">
        <v>2194</v>
      </c>
      <c r="D1873" t="s">
        <v>5340</v>
      </c>
      <c r="F1873" t="s">
        <v>20</v>
      </c>
      <c r="G1873" s="126">
        <f>SUMIFS('Support - Transition'!F:F,'Support - Transition'!B:B,'Step 2'!A1873,'Support - Transition'!C:C,'Step 2'!B1873,'Support - Transition'!D:D,'Step 2'!C1873,'Support - Transition'!E:E,"CIVIL")</f>
        <v>6.3100000000000005E-4</v>
      </c>
      <c r="H1873" s="126">
        <f>SUMIFS('Support - Transition'!F:F,'Support - Transition'!B:B,'Step 2'!A1873,'Support - Transition'!C:C,'Step 2'!B1873,'Support - Transition'!D:D,'Step 2'!C1873,'Support - Transition'!E:E,"FIRE")</f>
        <v>1.46E-4</v>
      </c>
      <c r="I1873" s="126">
        <f>IF(B1873="0",SUMIFS('Support - Transition'!F:F,'Support - Transition'!J:J,'Step 2'!D1873,'Support - Transition'!E:E,"STATE UNIT"),SUMIFS('Support - Transition'!F:F,'Support - Transition'!J:J,'Step 2'!D1873))</f>
        <v>7.7700000000000002E-4</v>
      </c>
      <c r="J1873" s="126">
        <f>SUMIFS('Support - Unit Adjustments'!E:E,'Support - Unit Adjustments'!F:F,'Step 2'!D1873)</f>
        <v>0</v>
      </c>
      <c r="K1873" s="126">
        <f t="shared" si="555"/>
        <v>7.7700000000000002E-4</v>
      </c>
      <c r="L1873" s="174">
        <f>VLOOKUP(A1873,'Step 1'!$A:$E,4,FALSE)</f>
        <v>156077</v>
      </c>
      <c r="M1873" s="47">
        <f t="shared" si="556"/>
        <v>121</v>
      </c>
      <c r="N1873" s="177">
        <f>SUMIFS('Support - Transition'!G:G,'Support - Transition'!J:J,'Step 2'!D1873,'Support - Transition'!E:E,"2009 WELFARE ALLOCATION FACTOR")</f>
        <v>0</v>
      </c>
      <c r="O1873" s="152">
        <f t="shared" si="561"/>
        <v>0</v>
      </c>
      <c r="P1873" s="126">
        <f>IF(E1873="Y",0,SUMIFS('Support - Transition'!G:G,'Support - Transition'!J:J,'Step 2'!D1873,'Support - Transition'!E:E,"2009 SCHOOL ALLOCATION FACTOR"))</f>
        <v>0</v>
      </c>
      <c r="Q1873" s="126">
        <f>IF(E1873="Y",VLOOKUP(D1873,'Support - Unit Adjustments'!F:G,2,FALSE),0)</f>
        <v>0</v>
      </c>
      <c r="R1873" s="155">
        <f t="shared" si="573"/>
        <v>0</v>
      </c>
      <c r="S1873" s="47">
        <f t="shared" si="572"/>
        <v>0</v>
      </c>
      <c r="T1873" s="151">
        <f t="shared" si="557"/>
        <v>121</v>
      </c>
      <c r="U1873" s="151">
        <f t="shared" si="558"/>
        <v>0</v>
      </c>
      <c r="V1873" s="139">
        <f t="shared" si="559"/>
        <v>0</v>
      </c>
      <c r="W1873" s="152">
        <f t="shared" si="562"/>
        <v>121</v>
      </c>
      <c r="X1873" s="127" t="str">
        <f t="shared" si="560"/>
        <v/>
      </c>
      <c r="Y1873" s="207">
        <f t="shared" si="563"/>
        <v>121</v>
      </c>
      <c r="Z1873" s="139">
        <f t="shared" si="564"/>
        <v>98</v>
      </c>
      <c r="AA1873" s="139">
        <f t="shared" si="565"/>
        <v>23</v>
      </c>
      <c r="AC1873" s="47">
        <f t="shared" si="566"/>
        <v>61</v>
      </c>
      <c r="AD1873" s="47">
        <f t="shared" si="567"/>
        <v>49</v>
      </c>
      <c r="AE1873" s="47">
        <f t="shared" si="568"/>
        <v>12</v>
      </c>
      <c r="AG1873" s="47">
        <f t="shared" si="569"/>
        <v>60</v>
      </c>
      <c r="AH1873" s="47">
        <f t="shared" si="570"/>
        <v>49</v>
      </c>
      <c r="AI1873" s="208">
        <f t="shared" si="571"/>
        <v>11</v>
      </c>
    </row>
    <row r="1874" spans="1:35">
      <c r="A1874" t="s">
        <v>2146</v>
      </c>
      <c r="B1874" t="s">
        <v>3155</v>
      </c>
      <c r="C1874" t="s">
        <v>2909</v>
      </c>
      <c r="D1874" t="s">
        <v>5341</v>
      </c>
      <c r="F1874" t="s">
        <v>1388</v>
      </c>
      <c r="G1874" s="126">
        <f>SUMIFS('Support - Transition'!F:F,'Support - Transition'!B:B,'Step 2'!A1874,'Support - Transition'!C:C,'Step 2'!B1874,'Support - Transition'!D:D,'Step 2'!C1874,'Support - Transition'!E:E,"CIVIL")</f>
        <v>0</v>
      </c>
      <c r="H1874" s="126">
        <f>SUMIFS('Support - Transition'!F:F,'Support - Transition'!B:B,'Step 2'!A1874,'Support - Transition'!C:C,'Step 2'!B1874,'Support - Transition'!D:D,'Step 2'!C1874,'Support - Transition'!E:E,"FIRE")</f>
        <v>0</v>
      </c>
      <c r="I1874" s="126">
        <f>IF(B1874="0",SUMIFS('Support - Transition'!F:F,'Support - Transition'!J:J,'Step 2'!D1874,'Support - Transition'!E:E,"STATE UNIT"),SUMIFS('Support - Transition'!F:F,'Support - Transition'!J:J,'Step 2'!D1874))</f>
        <v>8.1789000000000001E-2</v>
      </c>
      <c r="J1874" s="126">
        <f>SUMIFS('Support - Unit Adjustments'!E:E,'Support - Unit Adjustments'!F:F,'Step 2'!D1874)</f>
        <v>0</v>
      </c>
      <c r="K1874" s="126">
        <f t="shared" si="555"/>
        <v>8.1789000000000001E-2</v>
      </c>
      <c r="L1874" s="174">
        <f>VLOOKUP(A1874,'Step 1'!$A:$E,4,FALSE)</f>
        <v>156077</v>
      </c>
      <c r="M1874" s="47">
        <f t="shared" si="556"/>
        <v>12765</v>
      </c>
      <c r="N1874" s="177">
        <f>SUMIFS('Support - Transition'!G:G,'Support - Transition'!J:J,'Step 2'!D1874,'Support - Transition'!E:E,"2009 WELFARE ALLOCATION FACTOR")</f>
        <v>0</v>
      </c>
      <c r="O1874" s="152">
        <f t="shared" si="561"/>
        <v>0</v>
      </c>
      <c r="P1874" s="126">
        <f>IF(E1874="Y",0,SUMIFS('Support - Transition'!G:G,'Support - Transition'!J:J,'Step 2'!D1874,'Support - Transition'!E:E,"2009 SCHOOL ALLOCATION FACTOR"))</f>
        <v>0</v>
      </c>
      <c r="Q1874" s="126">
        <f>IF(E1874="Y",VLOOKUP(D1874,'Support - Unit Adjustments'!F:G,2,FALSE),0)</f>
        <v>0</v>
      </c>
      <c r="R1874" s="155">
        <f t="shared" si="573"/>
        <v>0</v>
      </c>
      <c r="S1874" s="47">
        <f t="shared" si="572"/>
        <v>0</v>
      </c>
      <c r="T1874" s="151">
        <f t="shared" si="557"/>
        <v>12765</v>
      </c>
      <c r="U1874" s="151">
        <f t="shared" si="558"/>
        <v>0</v>
      </c>
      <c r="V1874" s="139">
        <f t="shared" si="559"/>
        <v>0</v>
      </c>
      <c r="W1874" s="152">
        <f t="shared" si="562"/>
        <v>12765</v>
      </c>
      <c r="X1874" s="127" t="str">
        <f t="shared" si="560"/>
        <v/>
      </c>
      <c r="Y1874" s="207">
        <f t="shared" si="563"/>
        <v>12765</v>
      </c>
      <c r="Z1874" s="139">
        <f t="shared" si="564"/>
        <v>12765</v>
      </c>
      <c r="AA1874" s="139">
        <f t="shared" si="565"/>
        <v>0</v>
      </c>
      <c r="AC1874" s="47">
        <f t="shared" si="566"/>
        <v>6383</v>
      </c>
      <c r="AD1874" s="47">
        <f t="shared" si="567"/>
        <v>6383</v>
      </c>
      <c r="AE1874" s="47">
        <f t="shared" si="568"/>
        <v>0</v>
      </c>
      <c r="AG1874" s="47">
        <f t="shared" si="569"/>
        <v>6382</v>
      </c>
      <c r="AH1874" s="47">
        <f t="shared" si="570"/>
        <v>6382</v>
      </c>
      <c r="AI1874" s="208">
        <f t="shared" si="571"/>
        <v>0</v>
      </c>
    </row>
    <row r="1875" spans="1:35">
      <c r="A1875" t="s">
        <v>2146</v>
      </c>
      <c r="B1875" t="s">
        <v>3155</v>
      </c>
      <c r="C1875" t="s">
        <v>2910</v>
      </c>
      <c r="D1875" t="s">
        <v>5342</v>
      </c>
      <c r="F1875" t="s">
        <v>1387</v>
      </c>
      <c r="G1875" s="126">
        <f>SUMIFS('Support - Transition'!F:F,'Support - Transition'!B:B,'Step 2'!A1875,'Support - Transition'!C:C,'Step 2'!B1875,'Support - Transition'!D:D,'Step 2'!C1875,'Support - Transition'!E:E,"CIVIL")</f>
        <v>0</v>
      </c>
      <c r="H1875" s="126">
        <f>SUMIFS('Support - Transition'!F:F,'Support - Transition'!B:B,'Step 2'!A1875,'Support - Transition'!C:C,'Step 2'!B1875,'Support - Transition'!D:D,'Step 2'!C1875,'Support - Transition'!E:E,"FIRE")</f>
        <v>0</v>
      </c>
      <c r="I1875" s="126">
        <f>IF(B1875="0",SUMIFS('Support - Transition'!F:F,'Support - Transition'!J:J,'Step 2'!D1875,'Support - Transition'!E:E,"STATE UNIT"),SUMIFS('Support - Transition'!F:F,'Support - Transition'!J:J,'Step 2'!D1875))</f>
        <v>2.6655999999999999E-2</v>
      </c>
      <c r="J1875" s="126">
        <f>SUMIFS('Support - Unit Adjustments'!E:E,'Support - Unit Adjustments'!F:F,'Step 2'!D1875)</f>
        <v>0</v>
      </c>
      <c r="K1875" s="126">
        <f t="shared" si="555"/>
        <v>2.6655999999999999E-2</v>
      </c>
      <c r="L1875" s="174">
        <f>VLOOKUP(A1875,'Step 1'!$A:$E,4,FALSE)</f>
        <v>156077</v>
      </c>
      <c r="M1875" s="47">
        <f t="shared" si="556"/>
        <v>4160</v>
      </c>
      <c r="N1875" s="177">
        <f>SUMIFS('Support - Transition'!G:G,'Support - Transition'!J:J,'Step 2'!D1875,'Support - Transition'!E:E,"2009 WELFARE ALLOCATION FACTOR")</f>
        <v>0</v>
      </c>
      <c r="O1875" s="152">
        <f t="shared" si="561"/>
        <v>0</v>
      </c>
      <c r="P1875" s="126">
        <f>IF(E1875="Y",0,SUMIFS('Support - Transition'!G:G,'Support - Transition'!J:J,'Step 2'!D1875,'Support - Transition'!E:E,"2009 SCHOOL ALLOCATION FACTOR"))</f>
        <v>0</v>
      </c>
      <c r="Q1875" s="126">
        <f>IF(E1875="Y",VLOOKUP(D1875,'Support - Unit Adjustments'!F:G,2,FALSE),0)</f>
        <v>0</v>
      </c>
      <c r="R1875" s="155">
        <f t="shared" si="573"/>
        <v>0</v>
      </c>
      <c r="S1875" s="47">
        <f t="shared" si="572"/>
        <v>0</v>
      </c>
      <c r="T1875" s="151">
        <f t="shared" si="557"/>
        <v>4160</v>
      </c>
      <c r="U1875" s="151">
        <f t="shared" si="558"/>
        <v>0</v>
      </c>
      <c r="V1875" s="139">
        <f t="shared" si="559"/>
        <v>0</v>
      </c>
      <c r="W1875" s="152">
        <f t="shared" si="562"/>
        <v>4160</v>
      </c>
      <c r="X1875" s="127" t="str">
        <f t="shared" si="560"/>
        <v/>
      </c>
      <c r="Y1875" s="207">
        <f t="shared" si="563"/>
        <v>4160</v>
      </c>
      <c r="Z1875" s="139">
        <f t="shared" si="564"/>
        <v>4160</v>
      </c>
      <c r="AA1875" s="139">
        <f t="shared" si="565"/>
        <v>0</v>
      </c>
      <c r="AC1875" s="47">
        <f t="shared" si="566"/>
        <v>2080</v>
      </c>
      <c r="AD1875" s="47">
        <f t="shared" si="567"/>
        <v>2080</v>
      </c>
      <c r="AE1875" s="47">
        <f t="shared" si="568"/>
        <v>0</v>
      </c>
      <c r="AG1875" s="47">
        <f t="shared" si="569"/>
        <v>2080</v>
      </c>
      <c r="AH1875" s="47">
        <f t="shared" si="570"/>
        <v>2080</v>
      </c>
      <c r="AI1875" s="208">
        <f t="shared" si="571"/>
        <v>0</v>
      </c>
    </row>
    <row r="1876" spans="1:35">
      <c r="A1876" t="s">
        <v>2146</v>
      </c>
      <c r="B1876" t="s">
        <v>3155</v>
      </c>
      <c r="C1876" t="s">
        <v>2911</v>
      </c>
      <c r="D1876" t="s">
        <v>5343</v>
      </c>
      <c r="F1876" t="s">
        <v>1389</v>
      </c>
      <c r="G1876" s="126">
        <f>SUMIFS('Support - Transition'!F:F,'Support - Transition'!B:B,'Step 2'!A1876,'Support - Transition'!C:C,'Step 2'!B1876,'Support - Transition'!D:D,'Step 2'!C1876,'Support - Transition'!E:E,"CIVIL")</f>
        <v>0</v>
      </c>
      <c r="H1876" s="126">
        <f>SUMIFS('Support - Transition'!F:F,'Support - Transition'!B:B,'Step 2'!A1876,'Support - Transition'!C:C,'Step 2'!B1876,'Support - Transition'!D:D,'Step 2'!C1876,'Support - Transition'!E:E,"FIRE")</f>
        <v>0</v>
      </c>
      <c r="I1876" s="126">
        <f>IF(B1876="0",SUMIFS('Support - Transition'!F:F,'Support - Transition'!J:J,'Step 2'!D1876,'Support - Transition'!E:E,"STATE UNIT"),SUMIFS('Support - Transition'!F:F,'Support - Transition'!J:J,'Step 2'!D1876))</f>
        <v>6.1370000000000001E-3</v>
      </c>
      <c r="J1876" s="126">
        <f>SUMIFS('Support - Unit Adjustments'!E:E,'Support - Unit Adjustments'!F:F,'Step 2'!D1876)</f>
        <v>0</v>
      </c>
      <c r="K1876" s="126">
        <f t="shared" si="555"/>
        <v>6.1370000000000001E-3</v>
      </c>
      <c r="L1876" s="174">
        <f>VLOOKUP(A1876,'Step 1'!$A:$E,4,FALSE)</f>
        <v>156077</v>
      </c>
      <c r="M1876" s="47">
        <f t="shared" si="556"/>
        <v>958</v>
      </c>
      <c r="N1876" s="177">
        <f>SUMIFS('Support - Transition'!G:G,'Support - Transition'!J:J,'Step 2'!D1876,'Support - Transition'!E:E,"2009 WELFARE ALLOCATION FACTOR")</f>
        <v>0</v>
      </c>
      <c r="O1876" s="152">
        <f t="shared" si="561"/>
        <v>0</v>
      </c>
      <c r="P1876" s="126">
        <f>IF(E1876="Y",0,SUMIFS('Support - Transition'!G:G,'Support - Transition'!J:J,'Step 2'!D1876,'Support - Transition'!E:E,"2009 SCHOOL ALLOCATION FACTOR"))</f>
        <v>0</v>
      </c>
      <c r="Q1876" s="126">
        <f>IF(E1876="Y",VLOOKUP(D1876,'Support - Unit Adjustments'!F:G,2,FALSE),0)</f>
        <v>0</v>
      </c>
      <c r="R1876" s="155">
        <f t="shared" si="573"/>
        <v>0</v>
      </c>
      <c r="S1876" s="47">
        <f t="shared" si="572"/>
        <v>0</v>
      </c>
      <c r="T1876" s="151">
        <f t="shared" si="557"/>
        <v>958</v>
      </c>
      <c r="U1876" s="151">
        <f t="shared" si="558"/>
        <v>0</v>
      </c>
      <c r="V1876" s="139">
        <f t="shared" si="559"/>
        <v>0</v>
      </c>
      <c r="W1876" s="152">
        <f t="shared" si="562"/>
        <v>958</v>
      </c>
      <c r="X1876" s="127" t="str">
        <f t="shared" si="560"/>
        <v/>
      </c>
      <c r="Y1876" s="207">
        <f t="shared" si="563"/>
        <v>958</v>
      </c>
      <c r="Z1876" s="139">
        <f t="shared" si="564"/>
        <v>958</v>
      </c>
      <c r="AA1876" s="139">
        <f t="shared" si="565"/>
        <v>0</v>
      </c>
      <c r="AC1876" s="47">
        <f t="shared" si="566"/>
        <v>479</v>
      </c>
      <c r="AD1876" s="47">
        <f t="shared" si="567"/>
        <v>479</v>
      </c>
      <c r="AE1876" s="47">
        <f t="shared" si="568"/>
        <v>0</v>
      </c>
      <c r="AG1876" s="47">
        <f t="shared" si="569"/>
        <v>479</v>
      </c>
      <c r="AH1876" s="47">
        <f t="shared" si="570"/>
        <v>479</v>
      </c>
      <c r="AI1876" s="208">
        <f t="shared" si="571"/>
        <v>0</v>
      </c>
    </row>
    <row r="1877" spans="1:35">
      <c r="A1877" t="s">
        <v>2146</v>
      </c>
      <c r="B1877" t="s">
        <v>3160</v>
      </c>
      <c r="C1877" t="s">
        <v>2912</v>
      </c>
      <c r="D1877" t="s">
        <v>5344</v>
      </c>
      <c r="F1877" t="s">
        <v>5345</v>
      </c>
      <c r="G1877" s="126">
        <f>SUMIFS('Support - Transition'!F:F,'Support - Transition'!B:B,'Step 2'!A1877,'Support - Transition'!C:C,'Step 2'!B1877,'Support - Transition'!D:D,'Step 2'!C1877,'Support - Transition'!E:E,"CIVIL")</f>
        <v>0</v>
      </c>
      <c r="H1877" s="126">
        <f>SUMIFS('Support - Transition'!F:F,'Support - Transition'!B:B,'Step 2'!A1877,'Support - Transition'!C:C,'Step 2'!B1877,'Support - Transition'!D:D,'Step 2'!C1877,'Support - Transition'!E:E,"FIRE")</f>
        <v>0</v>
      </c>
      <c r="I1877" s="126">
        <f>IF(B1877="0",SUMIFS('Support - Transition'!F:F,'Support - Transition'!J:J,'Step 2'!D1877,'Support - Transition'!E:E,"STATE UNIT"),SUMIFS('Support - Transition'!F:F,'Support - Transition'!J:J,'Step 2'!D1877))</f>
        <v>0.239482</v>
      </c>
      <c r="J1877" s="126">
        <f>SUMIFS('Support - Unit Adjustments'!E:E,'Support - Unit Adjustments'!F:F,'Step 2'!D1877)</f>
        <v>0</v>
      </c>
      <c r="K1877" s="126">
        <f t="shared" si="555"/>
        <v>0.239482</v>
      </c>
      <c r="L1877" s="174">
        <f>VLOOKUP(A1877,'Step 1'!$A:$E,4,FALSE)</f>
        <v>156077</v>
      </c>
      <c r="M1877" s="47">
        <f t="shared" si="556"/>
        <v>37378</v>
      </c>
      <c r="N1877" s="177">
        <f>SUMIFS('Support - Transition'!G:G,'Support - Transition'!J:J,'Step 2'!D1877,'Support - Transition'!E:E,"2009 WELFARE ALLOCATION FACTOR")</f>
        <v>0</v>
      </c>
      <c r="O1877" s="152">
        <f t="shared" si="561"/>
        <v>0</v>
      </c>
      <c r="P1877" s="126">
        <f>IF(E1877="Y",0,SUMIFS('Support - Transition'!G:G,'Support - Transition'!J:J,'Step 2'!D1877,'Support - Transition'!E:E,"2009 SCHOOL ALLOCATION FACTOR"))</f>
        <v>0.430176</v>
      </c>
      <c r="Q1877" s="126">
        <f>IF(E1877="Y",VLOOKUP(D1877,'Support - Unit Adjustments'!F:G,2,FALSE),0)</f>
        <v>0</v>
      </c>
      <c r="R1877" s="155">
        <f t="shared" si="573"/>
        <v>0.430176</v>
      </c>
      <c r="S1877" s="47">
        <f t="shared" si="572"/>
        <v>16079</v>
      </c>
      <c r="T1877" s="151">
        <f t="shared" si="557"/>
        <v>21299</v>
      </c>
      <c r="U1877" s="151">
        <f t="shared" si="558"/>
        <v>0</v>
      </c>
      <c r="V1877" s="139">
        <f t="shared" si="559"/>
        <v>0</v>
      </c>
      <c r="W1877" s="152">
        <f t="shared" si="562"/>
        <v>21299</v>
      </c>
      <c r="X1877" s="127" t="str">
        <f t="shared" si="560"/>
        <v/>
      </c>
      <c r="Y1877" s="207">
        <f t="shared" si="563"/>
        <v>21299</v>
      </c>
      <c r="Z1877" s="139">
        <f t="shared" si="564"/>
        <v>21299</v>
      </c>
      <c r="AA1877" s="139">
        <f t="shared" si="565"/>
        <v>0</v>
      </c>
      <c r="AC1877" s="47">
        <f t="shared" si="566"/>
        <v>10650</v>
      </c>
      <c r="AD1877" s="47">
        <f t="shared" si="567"/>
        <v>10650</v>
      </c>
      <c r="AE1877" s="47">
        <f t="shared" si="568"/>
        <v>0</v>
      </c>
      <c r="AG1877" s="47">
        <f t="shared" si="569"/>
        <v>10649</v>
      </c>
      <c r="AH1877" s="47">
        <f t="shared" si="570"/>
        <v>10649</v>
      </c>
      <c r="AI1877" s="208">
        <f t="shared" si="571"/>
        <v>0</v>
      </c>
    </row>
    <row r="1878" spans="1:35">
      <c r="A1878" t="s">
        <v>2146</v>
      </c>
      <c r="B1878" t="s">
        <v>3160</v>
      </c>
      <c r="C1878" t="s">
        <v>2913</v>
      </c>
      <c r="D1878" t="s">
        <v>5346</v>
      </c>
      <c r="F1878" t="s">
        <v>1390</v>
      </c>
      <c r="G1878" s="126">
        <f>SUMIFS('Support - Transition'!F:F,'Support - Transition'!B:B,'Step 2'!A1878,'Support - Transition'!C:C,'Step 2'!B1878,'Support - Transition'!D:D,'Step 2'!C1878,'Support - Transition'!E:E,"CIVIL")</f>
        <v>0</v>
      </c>
      <c r="H1878" s="126">
        <f>SUMIFS('Support - Transition'!F:F,'Support - Transition'!B:B,'Step 2'!A1878,'Support - Transition'!C:C,'Step 2'!B1878,'Support - Transition'!D:D,'Step 2'!C1878,'Support - Transition'!E:E,"FIRE")</f>
        <v>0</v>
      </c>
      <c r="I1878" s="126">
        <f>IF(B1878="0",SUMIFS('Support - Transition'!F:F,'Support - Transition'!J:J,'Step 2'!D1878,'Support - Transition'!E:E,"STATE UNIT"),SUMIFS('Support - Transition'!F:F,'Support - Transition'!J:J,'Step 2'!D1878))</f>
        <v>4.3041000000000003E-2</v>
      </c>
      <c r="J1878" s="126">
        <f>SUMIFS('Support - Unit Adjustments'!E:E,'Support - Unit Adjustments'!F:F,'Step 2'!D1878)</f>
        <v>0</v>
      </c>
      <c r="K1878" s="126">
        <f t="shared" si="555"/>
        <v>4.3041000000000003E-2</v>
      </c>
      <c r="L1878" s="174">
        <f>VLOOKUP(A1878,'Step 1'!$A:$E,4,FALSE)</f>
        <v>156077</v>
      </c>
      <c r="M1878" s="47">
        <f t="shared" si="556"/>
        <v>6718</v>
      </c>
      <c r="N1878" s="177">
        <f>SUMIFS('Support - Transition'!G:G,'Support - Transition'!J:J,'Step 2'!D1878,'Support - Transition'!E:E,"2009 WELFARE ALLOCATION FACTOR")</f>
        <v>0</v>
      </c>
      <c r="O1878" s="152">
        <f t="shared" si="561"/>
        <v>0</v>
      </c>
      <c r="P1878" s="126">
        <f>IF(E1878="Y",0,SUMIFS('Support - Transition'!G:G,'Support - Transition'!J:J,'Step 2'!D1878,'Support - Transition'!E:E,"2009 SCHOOL ALLOCATION FACTOR"))</f>
        <v>0.75700199999999995</v>
      </c>
      <c r="Q1878" s="126">
        <f>IF(E1878="Y",VLOOKUP(D1878,'Support - Unit Adjustments'!F:G,2,FALSE),0)</f>
        <v>0</v>
      </c>
      <c r="R1878" s="155">
        <f t="shared" si="573"/>
        <v>0.75700199999999995</v>
      </c>
      <c r="S1878" s="47">
        <f t="shared" si="572"/>
        <v>5086</v>
      </c>
      <c r="T1878" s="151">
        <f t="shared" si="557"/>
        <v>1632</v>
      </c>
      <c r="U1878" s="151">
        <f t="shared" si="558"/>
        <v>0</v>
      </c>
      <c r="V1878" s="139">
        <f t="shared" si="559"/>
        <v>0</v>
      </c>
      <c r="W1878" s="152">
        <f t="shared" si="562"/>
        <v>1632</v>
      </c>
      <c r="X1878" s="127" t="str">
        <f t="shared" si="560"/>
        <v/>
      </c>
      <c r="Y1878" s="207">
        <f t="shared" si="563"/>
        <v>1632</v>
      </c>
      <c r="Z1878" s="139">
        <f t="shared" si="564"/>
        <v>1632</v>
      </c>
      <c r="AA1878" s="139">
        <f t="shared" si="565"/>
        <v>0</v>
      </c>
      <c r="AC1878" s="47">
        <f t="shared" si="566"/>
        <v>816</v>
      </c>
      <c r="AD1878" s="47">
        <f t="shared" si="567"/>
        <v>816</v>
      </c>
      <c r="AE1878" s="47">
        <f t="shared" si="568"/>
        <v>0</v>
      </c>
      <c r="AG1878" s="47">
        <f t="shared" si="569"/>
        <v>816</v>
      </c>
      <c r="AH1878" s="47">
        <f t="shared" si="570"/>
        <v>816</v>
      </c>
      <c r="AI1878" s="208">
        <f t="shared" si="571"/>
        <v>0</v>
      </c>
    </row>
    <row r="1879" spans="1:35">
      <c r="A1879" t="s">
        <v>2146</v>
      </c>
      <c r="B1879" t="s">
        <v>3160</v>
      </c>
      <c r="C1879" t="s">
        <v>2914</v>
      </c>
      <c r="D1879" t="s">
        <v>5347</v>
      </c>
      <c r="F1879" t="s">
        <v>5348</v>
      </c>
      <c r="G1879" s="126">
        <f>SUMIFS('Support - Transition'!F:F,'Support - Transition'!B:B,'Step 2'!A1879,'Support - Transition'!C:C,'Step 2'!B1879,'Support - Transition'!D:D,'Step 2'!C1879,'Support - Transition'!E:E,"CIVIL")</f>
        <v>0</v>
      </c>
      <c r="H1879" s="126">
        <f>SUMIFS('Support - Transition'!F:F,'Support - Transition'!B:B,'Step 2'!A1879,'Support - Transition'!C:C,'Step 2'!B1879,'Support - Transition'!D:D,'Step 2'!C1879,'Support - Transition'!E:E,"FIRE")</f>
        <v>0</v>
      </c>
      <c r="I1879" s="126">
        <f>IF(B1879="0",SUMIFS('Support - Transition'!F:F,'Support - Transition'!J:J,'Step 2'!D1879,'Support - Transition'!E:E,"STATE UNIT"),SUMIFS('Support - Transition'!F:F,'Support - Transition'!J:J,'Step 2'!D1879))</f>
        <v>0.35776599999999997</v>
      </c>
      <c r="J1879" s="126">
        <f>SUMIFS('Support - Unit Adjustments'!E:E,'Support - Unit Adjustments'!F:F,'Step 2'!D1879)</f>
        <v>0</v>
      </c>
      <c r="K1879" s="126">
        <f t="shared" si="555"/>
        <v>0.35776599999999997</v>
      </c>
      <c r="L1879" s="174">
        <f>VLOOKUP(A1879,'Step 1'!$A:$E,4,FALSE)</f>
        <v>156077</v>
      </c>
      <c r="M1879" s="47">
        <f t="shared" si="556"/>
        <v>55839</v>
      </c>
      <c r="N1879" s="177">
        <f>SUMIFS('Support - Transition'!G:G,'Support - Transition'!J:J,'Step 2'!D1879,'Support - Transition'!E:E,"2009 WELFARE ALLOCATION FACTOR")</f>
        <v>0</v>
      </c>
      <c r="O1879" s="152">
        <f t="shared" si="561"/>
        <v>0</v>
      </c>
      <c r="P1879" s="126">
        <f>IF(E1879="Y",0,SUMIFS('Support - Transition'!G:G,'Support - Transition'!J:J,'Step 2'!D1879,'Support - Transition'!E:E,"2009 SCHOOL ALLOCATION FACTOR"))</f>
        <v>0.39270100000000002</v>
      </c>
      <c r="Q1879" s="126">
        <f>IF(E1879="Y",VLOOKUP(D1879,'Support - Unit Adjustments'!F:G,2,FALSE),0)</f>
        <v>0</v>
      </c>
      <c r="R1879" s="155">
        <f t="shared" si="573"/>
        <v>0.39270100000000002</v>
      </c>
      <c r="S1879" s="47">
        <f t="shared" si="572"/>
        <v>21928</v>
      </c>
      <c r="T1879" s="151">
        <f t="shared" si="557"/>
        <v>33911</v>
      </c>
      <c r="U1879" s="151">
        <f t="shared" si="558"/>
        <v>0</v>
      </c>
      <c r="V1879" s="139">
        <f t="shared" si="559"/>
        <v>0</v>
      </c>
      <c r="W1879" s="152">
        <f t="shared" si="562"/>
        <v>33911</v>
      </c>
      <c r="X1879" s="127" t="str">
        <f t="shared" si="560"/>
        <v/>
      </c>
      <c r="Y1879" s="207">
        <f t="shared" si="563"/>
        <v>33911</v>
      </c>
      <c r="Z1879" s="139">
        <f t="shared" si="564"/>
        <v>33911</v>
      </c>
      <c r="AA1879" s="139">
        <f t="shared" si="565"/>
        <v>0</v>
      </c>
      <c r="AC1879" s="47">
        <f t="shared" si="566"/>
        <v>16956</v>
      </c>
      <c r="AD1879" s="47">
        <f t="shared" si="567"/>
        <v>16956</v>
      </c>
      <c r="AE1879" s="47">
        <f t="shared" si="568"/>
        <v>0</v>
      </c>
      <c r="AG1879" s="47">
        <f t="shared" si="569"/>
        <v>16955</v>
      </c>
      <c r="AH1879" s="47">
        <f t="shared" si="570"/>
        <v>16955</v>
      </c>
      <c r="AI1879" s="208">
        <f t="shared" si="571"/>
        <v>0</v>
      </c>
    </row>
    <row r="1880" spans="1:35">
      <c r="A1880" t="s">
        <v>2146</v>
      </c>
      <c r="B1880" t="s">
        <v>3166</v>
      </c>
      <c r="C1880" t="s">
        <v>5349</v>
      </c>
      <c r="D1880" t="s">
        <v>5350</v>
      </c>
      <c r="F1880" t="s">
        <v>5351</v>
      </c>
      <c r="G1880" s="126">
        <f>SUMIFS('Support - Transition'!F:F,'Support - Transition'!B:B,'Step 2'!A1880,'Support - Transition'!C:C,'Step 2'!B1880,'Support - Transition'!D:D,'Step 2'!C1880,'Support - Transition'!E:E,"CIVIL")</f>
        <v>0</v>
      </c>
      <c r="H1880" s="126">
        <f>SUMIFS('Support - Transition'!F:F,'Support - Transition'!B:B,'Step 2'!A1880,'Support - Transition'!C:C,'Step 2'!B1880,'Support - Transition'!D:D,'Step 2'!C1880,'Support - Transition'!E:E,"FIRE")</f>
        <v>0</v>
      </c>
      <c r="I1880" s="126">
        <f>IF(B1880="0",SUMIFS('Support - Transition'!F:F,'Support - Transition'!J:J,'Step 2'!D1880,'Support - Transition'!E:E,"STATE UNIT"),SUMIFS('Support - Transition'!F:F,'Support - Transition'!J:J,'Step 2'!D1880))</f>
        <v>0</v>
      </c>
      <c r="J1880" s="126">
        <f>SUMIFS('Support - Unit Adjustments'!E:E,'Support - Unit Adjustments'!F:F,'Step 2'!D1880)</f>
        <v>2.9628000000000002E-2</v>
      </c>
      <c r="K1880" s="126">
        <f t="shared" si="555"/>
        <v>2.9628000000000002E-2</v>
      </c>
      <c r="L1880" s="174">
        <f>VLOOKUP(A1880,'Step 1'!$A:$E,4,FALSE)</f>
        <v>156077</v>
      </c>
      <c r="M1880" s="47">
        <f t="shared" si="556"/>
        <v>4624</v>
      </c>
      <c r="N1880" s="177">
        <f>SUMIFS('Support - Transition'!G:G,'Support - Transition'!J:J,'Step 2'!D1880,'Support - Transition'!E:E,"2009 WELFARE ALLOCATION FACTOR")</f>
        <v>0</v>
      </c>
      <c r="O1880" s="152">
        <f t="shared" si="561"/>
        <v>0</v>
      </c>
      <c r="P1880" s="126">
        <f>IF(E1880="Y",0,SUMIFS('Support - Transition'!G:G,'Support - Transition'!J:J,'Step 2'!D1880,'Support - Transition'!E:E,"2009 SCHOOL ALLOCATION FACTOR"))</f>
        <v>0</v>
      </c>
      <c r="Q1880" s="126">
        <f>IF(E1880="Y",VLOOKUP(D1880,'Support - Unit Adjustments'!F:G,2,FALSE),0)</f>
        <v>0</v>
      </c>
      <c r="R1880" s="155">
        <f t="shared" si="573"/>
        <v>0</v>
      </c>
      <c r="S1880" s="47">
        <f t="shared" si="572"/>
        <v>0</v>
      </c>
      <c r="T1880" s="151">
        <f t="shared" si="557"/>
        <v>4624</v>
      </c>
      <c r="U1880" s="151">
        <f t="shared" si="558"/>
        <v>0</v>
      </c>
      <c r="V1880" s="139">
        <f t="shared" si="559"/>
        <v>0</v>
      </c>
      <c r="W1880" s="152">
        <f t="shared" si="562"/>
        <v>4624</v>
      </c>
      <c r="X1880" s="127" t="str">
        <f t="shared" si="560"/>
        <v/>
      </c>
      <c r="Y1880" s="207">
        <f t="shared" si="563"/>
        <v>4624</v>
      </c>
      <c r="Z1880" s="139">
        <f t="shared" si="564"/>
        <v>4624</v>
      </c>
      <c r="AA1880" s="139">
        <f t="shared" si="565"/>
        <v>0</v>
      </c>
      <c r="AC1880" s="47">
        <f t="shared" si="566"/>
        <v>2312</v>
      </c>
      <c r="AD1880" s="47">
        <f t="shared" si="567"/>
        <v>2312</v>
      </c>
      <c r="AE1880" s="47">
        <f t="shared" si="568"/>
        <v>0</v>
      </c>
      <c r="AG1880" s="47">
        <f t="shared" si="569"/>
        <v>2312</v>
      </c>
      <c r="AH1880" s="47">
        <f t="shared" si="570"/>
        <v>2312</v>
      </c>
      <c r="AI1880" s="208">
        <f t="shared" si="571"/>
        <v>0</v>
      </c>
    </row>
    <row r="1881" spans="1:35">
      <c r="A1881" t="s">
        <v>2146</v>
      </c>
      <c r="B1881" t="s">
        <v>3170</v>
      </c>
      <c r="C1881" t="s">
        <v>5352</v>
      </c>
      <c r="D1881" t="s">
        <v>5353</v>
      </c>
      <c r="F1881" t="s">
        <v>1395</v>
      </c>
      <c r="G1881" s="126">
        <f>SUMIFS('Support - Transition'!F:F,'Support - Transition'!B:B,'Step 2'!A1881,'Support - Transition'!C:C,'Step 2'!B1881,'Support - Transition'!D:D,'Step 2'!C1881,'Support - Transition'!E:E,"CIVIL")</f>
        <v>0</v>
      </c>
      <c r="H1881" s="126">
        <f>SUMIFS('Support - Transition'!F:F,'Support - Transition'!B:B,'Step 2'!A1881,'Support - Transition'!C:C,'Step 2'!B1881,'Support - Transition'!D:D,'Step 2'!C1881,'Support - Transition'!E:E,"FIRE")</f>
        <v>0</v>
      </c>
      <c r="I1881" s="126">
        <f>IF(B1881="0",SUMIFS('Support - Transition'!F:F,'Support - Transition'!J:J,'Step 2'!D1881,'Support - Transition'!E:E,"STATE UNIT"),SUMIFS('Support - Transition'!F:F,'Support - Transition'!J:J,'Step 2'!D1881))</f>
        <v>3.8869999999999738E-3</v>
      </c>
      <c r="J1881" s="126">
        <f>SUMIFS('Support - Unit Adjustments'!E:E,'Support - Unit Adjustments'!F:F,'Step 2'!D1881)</f>
        <v>0</v>
      </c>
      <c r="K1881" s="126">
        <f t="shared" si="555"/>
        <v>3.8869999999999738E-3</v>
      </c>
      <c r="L1881" s="174">
        <f>VLOOKUP(A1881,'Step 1'!$A:$E,4,FALSE)</f>
        <v>156077</v>
      </c>
      <c r="M1881" s="47">
        <f t="shared" si="556"/>
        <v>607</v>
      </c>
      <c r="N1881" s="177">
        <f>SUMIFS('Support - Transition'!G:G,'Support - Transition'!J:J,'Step 2'!D1881,'Support - Transition'!E:E,"2009 WELFARE ALLOCATION FACTOR")</f>
        <v>0</v>
      </c>
      <c r="O1881" s="152">
        <f t="shared" si="561"/>
        <v>0</v>
      </c>
      <c r="P1881" s="126">
        <f>IF(E1881="Y",0,SUMIFS('Support - Transition'!G:G,'Support - Transition'!J:J,'Step 2'!D1881,'Support - Transition'!E:E,"2009 SCHOOL ALLOCATION FACTOR"))</f>
        <v>0</v>
      </c>
      <c r="Q1881" s="126">
        <f>IF(E1881="Y",VLOOKUP(D1881,'Support - Unit Adjustments'!F:G,2,FALSE),0)</f>
        <v>0</v>
      </c>
      <c r="R1881" s="155">
        <f t="shared" si="573"/>
        <v>0</v>
      </c>
      <c r="S1881" s="47">
        <f t="shared" si="572"/>
        <v>0</v>
      </c>
      <c r="T1881" s="151">
        <f t="shared" si="557"/>
        <v>607</v>
      </c>
      <c r="U1881" s="151">
        <f t="shared" si="558"/>
        <v>0</v>
      </c>
      <c r="V1881" s="139">
        <f t="shared" si="559"/>
        <v>0</v>
      </c>
      <c r="W1881" s="152">
        <f t="shared" si="562"/>
        <v>607</v>
      </c>
      <c r="X1881" s="127" t="str">
        <f t="shared" si="560"/>
        <v/>
      </c>
      <c r="Y1881" s="207">
        <f t="shared" si="563"/>
        <v>607</v>
      </c>
      <c r="Z1881" s="139">
        <f t="shared" si="564"/>
        <v>607</v>
      </c>
      <c r="AA1881" s="139">
        <f t="shared" si="565"/>
        <v>0</v>
      </c>
      <c r="AC1881" s="47">
        <f t="shared" si="566"/>
        <v>304</v>
      </c>
      <c r="AD1881" s="47">
        <f t="shared" si="567"/>
        <v>304</v>
      </c>
      <c r="AE1881" s="47">
        <f t="shared" si="568"/>
        <v>0</v>
      </c>
      <c r="AG1881" s="47">
        <f t="shared" si="569"/>
        <v>303</v>
      </c>
      <c r="AH1881" s="47">
        <f t="shared" si="570"/>
        <v>303</v>
      </c>
      <c r="AI1881" s="208">
        <f t="shared" si="571"/>
        <v>0</v>
      </c>
    </row>
    <row r="1882" spans="1:35">
      <c r="A1882" t="s">
        <v>2146</v>
      </c>
      <c r="B1882" t="s">
        <v>3170</v>
      </c>
      <c r="C1882" t="s">
        <v>5354</v>
      </c>
      <c r="D1882" t="s">
        <v>5355</v>
      </c>
      <c r="F1882" t="s">
        <v>1396</v>
      </c>
      <c r="G1882" s="126">
        <f>SUMIFS('Support - Transition'!F:F,'Support - Transition'!B:B,'Step 2'!A1882,'Support - Transition'!C:C,'Step 2'!B1882,'Support - Transition'!D:D,'Step 2'!C1882,'Support - Transition'!E:E,"CIVIL")</f>
        <v>0</v>
      </c>
      <c r="H1882" s="126">
        <f>SUMIFS('Support - Transition'!F:F,'Support - Transition'!B:B,'Step 2'!A1882,'Support - Transition'!C:C,'Step 2'!B1882,'Support - Transition'!D:D,'Step 2'!C1882,'Support - Transition'!E:E,"FIRE")</f>
        <v>0</v>
      </c>
      <c r="I1882" s="126">
        <f>IF(B1882="0",SUMIFS('Support - Transition'!F:F,'Support - Transition'!J:J,'Step 2'!D1882,'Support - Transition'!E:E,"STATE UNIT"),SUMIFS('Support - Transition'!F:F,'Support - Transition'!J:J,'Step 2'!D1882))</f>
        <v>0</v>
      </c>
      <c r="J1882" s="126">
        <f>SUMIFS('Support - Unit Adjustments'!E:E,'Support - Unit Adjustments'!F:F,'Step 2'!D1882)</f>
        <v>0</v>
      </c>
      <c r="K1882" s="126">
        <f t="shared" si="555"/>
        <v>0</v>
      </c>
      <c r="L1882" s="174">
        <f>VLOOKUP(A1882,'Step 1'!$A:$E,4,FALSE)</f>
        <v>156077</v>
      </c>
      <c r="M1882" s="47">
        <f t="shared" si="556"/>
        <v>0</v>
      </c>
      <c r="N1882" s="177">
        <f>SUMIFS('Support - Transition'!G:G,'Support - Transition'!J:J,'Step 2'!D1882,'Support - Transition'!E:E,"2009 WELFARE ALLOCATION FACTOR")</f>
        <v>0</v>
      </c>
      <c r="O1882" s="152">
        <f t="shared" si="561"/>
        <v>0</v>
      </c>
      <c r="P1882" s="126">
        <f>IF(E1882="Y",0,SUMIFS('Support - Transition'!G:G,'Support - Transition'!J:J,'Step 2'!D1882,'Support - Transition'!E:E,"2009 SCHOOL ALLOCATION FACTOR"))</f>
        <v>0</v>
      </c>
      <c r="Q1882" s="126">
        <f>IF(E1882="Y",VLOOKUP(D1882,'Support - Unit Adjustments'!F:G,2,FALSE),0)</f>
        <v>0</v>
      </c>
      <c r="R1882" s="155">
        <f t="shared" si="573"/>
        <v>0</v>
      </c>
      <c r="S1882" s="47">
        <f t="shared" si="572"/>
        <v>0</v>
      </c>
      <c r="T1882" s="151">
        <f t="shared" si="557"/>
        <v>0</v>
      </c>
      <c r="U1882" s="151">
        <f t="shared" si="558"/>
        <v>0</v>
      </c>
      <c r="V1882" s="139">
        <f t="shared" si="559"/>
        <v>0</v>
      </c>
      <c r="W1882" s="152">
        <f t="shared" si="562"/>
        <v>0</v>
      </c>
      <c r="X1882" s="127" t="str">
        <f t="shared" si="560"/>
        <v/>
      </c>
      <c r="Y1882" s="207">
        <f t="shared" si="563"/>
        <v>0</v>
      </c>
      <c r="Z1882" s="139">
        <f t="shared" si="564"/>
        <v>0</v>
      </c>
      <c r="AA1882" s="139">
        <f t="shared" si="565"/>
        <v>0</v>
      </c>
      <c r="AC1882" s="47">
        <f t="shared" si="566"/>
        <v>0</v>
      </c>
      <c r="AD1882" s="47">
        <f t="shared" si="567"/>
        <v>0</v>
      </c>
      <c r="AE1882" s="47">
        <f t="shared" si="568"/>
        <v>0</v>
      </c>
      <c r="AG1882" s="47">
        <f t="shared" si="569"/>
        <v>0</v>
      </c>
      <c r="AH1882" s="47">
        <f t="shared" si="570"/>
        <v>0</v>
      </c>
      <c r="AI1882" s="208">
        <f t="shared" si="571"/>
        <v>0</v>
      </c>
    </row>
    <row r="1883" spans="1:35">
      <c r="A1883" t="s">
        <v>2146</v>
      </c>
      <c r="B1883" t="s">
        <v>3286</v>
      </c>
      <c r="C1883" t="s">
        <v>2289</v>
      </c>
      <c r="D1883" t="s">
        <v>5356</v>
      </c>
      <c r="F1883" t="s">
        <v>5357</v>
      </c>
      <c r="G1883" s="126">
        <f>SUMIFS('Support - Transition'!F:F,'Support - Transition'!B:B,'Step 2'!A1883,'Support - Transition'!C:C,'Step 2'!B1883,'Support - Transition'!D:D,'Step 2'!C1883,'Support - Transition'!E:E,"CIVIL")</f>
        <v>0</v>
      </c>
      <c r="H1883" s="126">
        <f>SUMIFS('Support - Transition'!F:F,'Support - Transition'!B:B,'Step 2'!A1883,'Support - Transition'!C:C,'Step 2'!B1883,'Support - Transition'!D:D,'Step 2'!C1883,'Support - Transition'!E:E,"FIRE")</f>
        <v>0</v>
      </c>
      <c r="I1883" s="126">
        <f>IF(B1883="0",SUMIFS('Support - Transition'!F:F,'Support - Transition'!J:J,'Step 2'!D1883,'Support - Transition'!E:E,"STATE UNIT"),SUMIFS('Support - Transition'!F:F,'Support - Transition'!J:J,'Step 2'!D1883))</f>
        <v>0</v>
      </c>
      <c r="J1883" s="126">
        <f>SUMIFS('Support - Unit Adjustments'!E:E,'Support - Unit Adjustments'!F:F,'Step 2'!D1883)</f>
        <v>0</v>
      </c>
      <c r="K1883" s="126">
        <f t="shared" si="555"/>
        <v>0</v>
      </c>
      <c r="L1883" s="174">
        <f>VLOOKUP(A1883,'Step 1'!$A:$E,4,FALSE)</f>
        <v>156077</v>
      </c>
      <c r="M1883" s="47">
        <f t="shared" si="556"/>
        <v>0</v>
      </c>
      <c r="N1883" s="177">
        <f>SUMIFS('Support - Transition'!G:G,'Support - Transition'!J:J,'Step 2'!D1883,'Support - Transition'!E:E,"2009 WELFARE ALLOCATION FACTOR")</f>
        <v>0</v>
      </c>
      <c r="O1883" s="152">
        <f t="shared" si="561"/>
        <v>0</v>
      </c>
      <c r="P1883" s="126">
        <f>IF(E1883="Y",0,SUMIFS('Support - Transition'!G:G,'Support - Transition'!J:J,'Step 2'!D1883,'Support - Transition'!E:E,"2009 SCHOOL ALLOCATION FACTOR"))</f>
        <v>0</v>
      </c>
      <c r="Q1883" s="126">
        <f>IF(E1883="Y",VLOOKUP(D1883,'Support - Unit Adjustments'!F:G,2,FALSE),0)</f>
        <v>0</v>
      </c>
      <c r="R1883" s="155">
        <f t="shared" si="573"/>
        <v>0</v>
      </c>
      <c r="S1883" s="47">
        <f t="shared" si="572"/>
        <v>0</v>
      </c>
      <c r="T1883" s="151">
        <f t="shared" si="557"/>
        <v>0</v>
      </c>
      <c r="U1883" s="151">
        <f t="shared" si="558"/>
        <v>0</v>
      </c>
      <c r="V1883" s="139">
        <f t="shared" si="559"/>
        <v>0</v>
      </c>
      <c r="W1883" s="152">
        <f t="shared" si="562"/>
        <v>0</v>
      </c>
      <c r="X1883" s="127" t="str">
        <f t="shared" si="560"/>
        <v/>
      </c>
      <c r="Y1883" s="207">
        <f t="shared" si="563"/>
        <v>0</v>
      </c>
      <c r="Z1883" s="139">
        <f t="shared" si="564"/>
        <v>0</v>
      </c>
      <c r="AA1883" s="139">
        <f t="shared" si="565"/>
        <v>0</v>
      </c>
      <c r="AC1883" s="47">
        <f t="shared" si="566"/>
        <v>0</v>
      </c>
      <c r="AD1883" s="47">
        <f t="shared" si="567"/>
        <v>0</v>
      </c>
      <c r="AE1883" s="47">
        <f t="shared" si="568"/>
        <v>0</v>
      </c>
      <c r="AG1883" s="47">
        <f t="shared" si="569"/>
        <v>0</v>
      </c>
      <c r="AH1883" s="47">
        <f t="shared" si="570"/>
        <v>0</v>
      </c>
      <c r="AI1883" s="208">
        <f t="shared" si="571"/>
        <v>0</v>
      </c>
    </row>
    <row r="1884" spans="1:35">
      <c r="A1884" t="s">
        <v>2147</v>
      </c>
      <c r="B1884" s="48" t="s">
        <v>6274</v>
      </c>
      <c r="C1884" t="s">
        <v>2187</v>
      </c>
      <c r="D1884" t="str">
        <f>A1884&amp;B1884&amp;C1884</f>
        <v>6300000</v>
      </c>
      <c r="F1884" t="s">
        <v>6337</v>
      </c>
      <c r="G1884" s="126">
        <f>SUMIFS('Support - Transition'!F:F,'Support - Transition'!B:B,'Step 2'!A1884,'Support - Transition'!C:C,'Step 2'!B1884,'Support - Transition'!D:D,'Step 2'!C1884,'Support - Transition'!E:E,"CIVIL")</f>
        <v>0</v>
      </c>
      <c r="H1884" s="126">
        <f>SUMIFS('Support - Transition'!F:F,'Support - Transition'!B:B,'Step 2'!A1884,'Support - Transition'!C:C,'Step 2'!B1884,'Support - Transition'!D:D,'Step 2'!C1884,'Support - Transition'!E:E,"FIRE")</f>
        <v>0</v>
      </c>
      <c r="I1884" s="126">
        <f>IF(B1884="0",SUMIFS('Support - Transition'!F:F,'Support - Transition'!J:J,'Step 2'!D1884,'Support - Transition'!E:E,"STATE UNIT"),SUMIFS('Support - Transition'!F:F,'Support - Transition'!J:J,'Step 2'!D1884))</f>
        <v>1.3320000000000001E-3</v>
      </c>
      <c r="J1884" s="126">
        <f>SUMIFS('Support - Unit Adjustments'!E:E,'Support - Unit Adjustments'!F:F,'Step 2'!D1884)</f>
        <v>0</v>
      </c>
      <c r="K1884" s="126">
        <f t="shared" si="555"/>
        <v>1.3320000000000001E-3</v>
      </c>
      <c r="L1884" s="174">
        <f>VLOOKUP(A1884,'Step 1'!$A:$E,4,FALSE)</f>
        <v>170346</v>
      </c>
      <c r="M1884" s="47">
        <f t="shared" si="556"/>
        <v>227</v>
      </c>
      <c r="N1884" s="177">
        <f>SUMIFS('Support - Transition'!G:G,'Support - Transition'!J:J,'Step 2'!D1884,'Support - Transition'!E:E,"2009 WELFARE ALLOCATION FACTOR")</f>
        <v>0</v>
      </c>
      <c r="O1884" s="152">
        <f t="shared" si="561"/>
        <v>0</v>
      </c>
      <c r="P1884" s="126">
        <f>IF(E1884="Y",0,SUMIFS('Support - Transition'!G:G,'Support - Transition'!J:J,'Step 2'!D1884,'Support - Transition'!E:E,"2009 SCHOOL ALLOCATION FACTOR"))</f>
        <v>0</v>
      </c>
      <c r="Q1884" s="126">
        <f>IF(E1884="Y",VLOOKUP(D1884,'Support - Unit Adjustments'!F:G,2,FALSE),0)</f>
        <v>0</v>
      </c>
      <c r="R1884" s="155">
        <f t="shared" si="573"/>
        <v>0</v>
      </c>
      <c r="S1884" s="47">
        <f t="shared" si="572"/>
        <v>0</v>
      </c>
      <c r="T1884" s="151">
        <f t="shared" si="557"/>
        <v>227</v>
      </c>
      <c r="U1884" s="151">
        <f t="shared" si="558"/>
        <v>170346</v>
      </c>
      <c r="V1884" s="139">
        <f t="shared" si="559"/>
        <v>0</v>
      </c>
      <c r="W1884" s="152">
        <f t="shared" si="562"/>
        <v>227</v>
      </c>
      <c r="X1884" s="127">
        <f t="shared" si="560"/>
        <v>0</v>
      </c>
      <c r="Y1884" s="207">
        <f t="shared" si="563"/>
        <v>227</v>
      </c>
      <c r="Z1884" s="139">
        <f t="shared" si="564"/>
        <v>227</v>
      </c>
      <c r="AA1884" s="139">
        <f t="shared" si="565"/>
        <v>0</v>
      </c>
      <c r="AC1884" s="47">
        <f t="shared" si="566"/>
        <v>114</v>
      </c>
      <c r="AD1884" s="47">
        <f t="shared" si="567"/>
        <v>114</v>
      </c>
      <c r="AE1884" s="47">
        <f t="shared" si="568"/>
        <v>0</v>
      </c>
      <c r="AG1884" s="47">
        <f t="shared" si="569"/>
        <v>113</v>
      </c>
      <c r="AH1884" s="47">
        <f t="shared" si="570"/>
        <v>113</v>
      </c>
      <c r="AI1884" s="208">
        <f t="shared" si="571"/>
        <v>0</v>
      </c>
    </row>
    <row r="1885" spans="1:35">
      <c r="A1885" t="s">
        <v>2147</v>
      </c>
      <c r="B1885" t="s">
        <v>3140</v>
      </c>
      <c r="C1885" t="s">
        <v>2187</v>
      </c>
      <c r="D1885" t="s">
        <v>5358</v>
      </c>
      <c r="F1885" t="s">
        <v>1398</v>
      </c>
      <c r="G1885" s="126">
        <f>SUMIFS('Support - Transition'!F:F,'Support - Transition'!B:B,'Step 2'!A1885,'Support - Transition'!C:C,'Step 2'!B1885,'Support - Transition'!D:D,'Step 2'!C1885,'Support - Transition'!E:E,"CIVIL")</f>
        <v>0</v>
      </c>
      <c r="H1885" s="126">
        <f>SUMIFS('Support - Transition'!F:F,'Support - Transition'!B:B,'Step 2'!A1885,'Support - Transition'!C:C,'Step 2'!B1885,'Support - Transition'!D:D,'Step 2'!C1885,'Support - Transition'!E:E,"FIRE")</f>
        <v>0</v>
      </c>
      <c r="I1885" s="126">
        <f>IF(B1885="0",SUMIFS('Support - Transition'!F:F,'Support - Transition'!J:J,'Step 2'!D1885,'Support - Transition'!E:E,"STATE UNIT"),SUMIFS('Support - Transition'!F:F,'Support - Transition'!J:J,'Step 2'!D1885))</f>
        <v>0.33315</v>
      </c>
      <c r="J1885" s="126">
        <f>SUMIFS('Support - Unit Adjustments'!E:E,'Support - Unit Adjustments'!F:F,'Step 2'!D1885)</f>
        <v>0</v>
      </c>
      <c r="K1885" s="126">
        <f t="shared" si="555"/>
        <v>0.33315</v>
      </c>
      <c r="L1885" s="174">
        <f>VLOOKUP(A1885,'Step 1'!$A:$E,4,FALSE)</f>
        <v>170346</v>
      </c>
      <c r="M1885" s="47">
        <f t="shared" si="556"/>
        <v>56751</v>
      </c>
      <c r="N1885" s="177">
        <f>SUMIFS('Support - Transition'!G:G,'Support - Transition'!J:J,'Step 2'!D1885,'Support - Transition'!E:E,"2009 WELFARE ALLOCATION FACTOR")</f>
        <v>0.16600999999999999</v>
      </c>
      <c r="O1885" s="152">
        <f t="shared" si="561"/>
        <v>9421</v>
      </c>
      <c r="P1885" s="126">
        <f>IF(E1885="Y",0,SUMIFS('Support - Transition'!G:G,'Support - Transition'!J:J,'Step 2'!D1885,'Support - Transition'!E:E,"2009 SCHOOL ALLOCATION FACTOR"))</f>
        <v>0</v>
      </c>
      <c r="Q1885" s="126">
        <f>IF(E1885="Y",VLOOKUP(D1885,'Support - Unit Adjustments'!F:G,2,FALSE),0)</f>
        <v>0</v>
      </c>
      <c r="R1885" s="155">
        <f t="shared" si="573"/>
        <v>0</v>
      </c>
      <c r="S1885" s="47">
        <f t="shared" si="572"/>
        <v>0</v>
      </c>
      <c r="T1885" s="151">
        <f t="shared" si="557"/>
        <v>47330</v>
      </c>
      <c r="U1885" s="151">
        <f t="shared" si="558"/>
        <v>0</v>
      </c>
      <c r="V1885" s="139">
        <f t="shared" si="559"/>
        <v>0</v>
      </c>
      <c r="W1885" s="152">
        <f t="shared" si="562"/>
        <v>47330</v>
      </c>
      <c r="X1885" s="127" t="str">
        <f t="shared" si="560"/>
        <v/>
      </c>
      <c r="Y1885" s="207">
        <f t="shared" si="563"/>
        <v>47330</v>
      </c>
      <c r="Z1885" s="139">
        <f t="shared" si="564"/>
        <v>47330</v>
      </c>
      <c r="AA1885" s="139">
        <f t="shared" si="565"/>
        <v>0</v>
      </c>
      <c r="AC1885" s="47">
        <f t="shared" si="566"/>
        <v>23665</v>
      </c>
      <c r="AD1885" s="47">
        <f t="shared" si="567"/>
        <v>23665</v>
      </c>
      <c r="AE1885" s="47">
        <f t="shared" si="568"/>
        <v>0</v>
      </c>
      <c r="AG1885" s="47">
        <f t="shared" si="569"/>
        <v>23665</v>
      </c>
      <c r="AH1885" s="47">
        <f t="shared" si="570"/>
        <v>23665</v>
      </c>
      <c r="AI1885" s="208">
        <f t="shared" si="571"/>
        <v>0</v>
      </c>
    </row>
    <row r="1886" spans="1:35">
      <c r="A1886" t="s">
        <v>2147</v>
      </c>
      <c r="B1886" t="s">
        <v>3142</v>
      </c>
      <c r="C1886" t="s">
        <v>2188</v>
      </c>
      <c r="D1886" t="s">
        <v>5359</v>
      </c>
      <c r="F1886" t="s">
        <v>81</v>
      </c>
      <c r="G1886" s="126">
        <f>SUMIFS('Support - Transition'!F:F,'Support - Transition'!B:B,'Step 2'!A1886,'Support - Transition'!C:C,'Step 2'!B1886,'Support - Transition'!D:D,'Step 2'!C1886,'Support - Transition'!E:E,"CIVIL")</f>
        <v>7.9699999999999997E-4</v>
      </c>
      <c r="H1886" s="126">
        <f>SUMIFS('Support - Transition'!F:F,'Support - Transition'!B:B,'Step 2'!A1886,'Support - Transition'!C:C,'Step 2'!B1886,'Support - Transition'!D:D,'Step 2'!C1886,'Support - Transition'!E:E,"FIRE")</f>
        <v>0</v>
      </c>
      <c r="I1886" s="126">
        <f>IF(B1886="0",SUMIFS('Support - Transition'!F:F,'Support - Transition'!J:J,'Step 2'!D1886,'Support - Transition'!E:E,"STATE UNIT"),SUMIFS('Support - Transition'!F:F,'Support - Transition'!J:J,'Step 2'!D1886))</f>
        <v>7.9699999999999997E-4</v>
      </c>
      <c r="J1886" s="126">
        <f>SUMIFS('Support - Unit Adjustments'!E:E,'Support - Unit Adjustments'!F:F,'Step 2'!D1886)</f>
        <v>0</v>
      </c>
      <c r="K1886" s="126">
        <f t="shared" si="555"/>
        <v>7.9699999999999997E-4</v>
      </c>
      <c r="L1886" s="174">
        <f>VLOOKUP(A1886,'Step 1'!$A:$E,4,FALSE)</f>
        <v>170346</v>
      </c>
      <c r="M1886" s="47">
        <f t="shared" si="556"/>
        <v>136</v>
      </c>
      <c r="N1886" s="177">
        <f>SUMIFS('Support - Transition'!G:G,'Support - Transition'!J:J,'Step 2'!D1886,'Support - Transition'!E:E,"2009 WELFARE ALLOCATION FACTOR")</f>
        <v>0</v>
      </c>
      <c r="O1886" s="152">
        <f t="shared" si="561"/>
        <v>0</v>
      </c>
      <c r="P1886" s="126">
        <f>IF(E1886="Y",0,SUMIFS('Support - Transition'!G:G,'Support - Transition'!J:J,'Step 2'!D1886,'Support - Transition'!E:E,"2009 SCHOOL ALLOCATION FACTOR"))</f>
        <v>0</v>
      </c>
      <c r="Q1886" s="126">
        <f>IF(E1886="Y",VLOOKUP(D1886,'Support - Unit Adjustments'!F:G,2,FALSE),0)</f>
        <v>0</v>
      </c>
      <c r="R1886" s="155">
        <f t="shared" si="573"/>
        <v>0</v>
      </c>
      <c r="S1886" s="47">
        <f t="shared" si="572"/>
        <v>0</v>
      </c>
      <c r="T1886" s="151">
        <f t="shared" si="557"/>
        <v>136</v>
      </c>
      <c r="U1886" s="151">
        <f t="shared" si="558"/>
        <v>0</v>
      </c>
      <c r="V1886" s="139">
        <f t="shared" si="559"/>
        <v>0</v>
      </c>
      <c r="W1886" s="152">
        <f t="shared" si="562"/>
        <v>136</v>
      </c>
      <c r="X1886" s="127" t="str">
        <f t="shared" si="560"/>
        <v/>
      </c>
      <c r="Y1886" s="207">
        <f t="shared" si="563"/>
        <v>136</v>
      </c>
      <c r="Z1886" s="139">
        <f t="shared" si="564"/>
        <v>136</v>
      </c>
      <c r="AA1886" s="139">
        <f t="shared" si="565"/>
        <v>0</v>
      </c>
      <c r="AC1886" s="47">
        <f t="shared" si="566"/>
        <v>68</v>
      </c>
      <c r="AD1886" s="47">
        <f t="shared" si="567"/>
        <v>68</v>
      </c>
      <c r="AE1886" s="47">
        <f t="shared" si="568"/>
        <v>0</v>
      </c>
      <c r="AG1886" s="47">
        <f t="shared" si="569"/>
        <v>68</v>
      </c>
      <c r="AH1886" s="47">
        <f t="shared" si="570"/>
        <v>68</v>
      </c>
      <c r="AI1886" s="208">
        <f t="shared" si="571"/>
        <v>0</v>
      </c>
    </row>
    <row r="1887" spans="1:35">
      <c r="A1887" t="s">
        <v>2147</v>
      </c>
      <c r="B1887" t="s">
        <v>3142</v>
      </c>
      <c r="C1887" t="s">
        <v>2189</v>
      </c>
      <c r="D1887" t="s">
        <v>5360</v>
      </c>
      <c r="F1887" t="s">
        <v>14</v>
      </c>
      <c r="G1887" s="126">
        <f>SUMIFS('Support - Transition'!F:F,'Support - Transition'!B:B,'Step 2'!A1887,'Support - Transition'!C:C,'Step 2'!B1887,'Support - Transition'!D:D,'Step 2'!C1887,'Support - Transition'!E:E,"CIVIL")</f>
        <v>5.5960000000000003E-3</v>
      </c>
      <c r="H1887" s="126">
        <f>SUMIFS('Support - Transition'!F:F,'Support - Transition'!B:B,'Step 2'!A1887,'Support - Transition'!C:C,'Step 2'!B1887,'Support - Transition'!D:D,'Step 2'!C1887,'Support - Transition'!E:E,"FIRE")</f>
        <v>0</v>
      </c>
      <c r="I1887" s="126">
        <f>IF(B1887="0",SUMIFS('Support - Transition'!F:F,'Support - Transition'!J:J,'Step 2'!D1887,'Support - Transition'!E:E,"STATE UNIT"),SUMIFS('Support - Transition'!F:F,'Support - Transition'!J:J,'Step 2'!D1887))</f>
        <v>5.5960000000000003E-3</v>
      </c>
      <c r="J1887" s="126">
        <f>SUMIFS('Support - Unit Adjustments'!E:E,'Support - Unit Adjustments'!F:F,'Step 2'!D1887)</f>
        <v>0</v>
      </c>
      <c r="K1887" s="126">
        <f t="shared" si="555"/>
        <v>5.5960000000000003E-3</v>
      </c>
      <c r="L1887" s="174">
        <f>VLOOKUP(A1887,'Step 1'!$A:$E,4,FALSE)</f>
        <v>170346</v>
      </c>
      <c r="M1887" s="47">
        <f t="shared" si="556"/>
        <v>953</v>
      </c>
      <c r="N1887" s="177">
        <f>SUMIFS('Support - Transition'!G:G,'Support - Transition'!J:J,'Step 2'!D1887,'Support - Transition'!E:E,"2009 WELFARE ALLOCATION FACTOR")</f>
        <v>0</v>
      </c>
      <c r="O1887" s="152">
        <f t="shared" si="561"/>
        <v>0</v>
      </c>
      <c r="P1887" s="126">
        <f>IF(E1887="Y",0,SUMIFS('Support - Transition'!G:G,'Support - Transition'!J:J,'Step 2'!D1887,'Support - Transition'!E:E,"2009 SCHOOL ALLOCATION FACTOR"))</f>
        <v>0</v>
      </c>
      <c r="Q1887" s="126">
        <f>IF(E1887="Y",VLOOKUP(D1887,'Support - Unit Adjustments'!F:G,2,FALSE),0)</f>
        <v>0</v>
      </c>
      <c r="R1887" s="155">
        <f t="shared" si="573"/>
        <v>0</v>
      </c>
      <c r="S1887" s="47">
        <f t="shared" si="572"/>
        <v>0</v>
      </c>
      <c r="T1887" s="151">
        <f t="shared" si="557"/>
        <v>953</v>
      </c>
      <c r="U1887" s="151">
        <f t="shared" si="558"/>
        <v>0</v>
      </c>
      <c r="V1887" s="139">
        <f t="shared" si="559"/>
        <v>0</v>
      </c>
      <c r="W1887" s="152">
        <f t="shared" si="562"/>
        <v>953</v>
      </c>
      <c r="X1887" s="127" t="str">
        <f t="shared" si="560"/>
        <v/>
      </c>
      <c r="Y1887" s="207">
        <f t="shared" si="563"/>
        <v>953</v>
      </c>
      <c r="Z1887" s="139">
        <f t="shared" si="564"/>
        <v>953</v>
      </c>
      <c r="AA1887" s="139">
        <f t="shared" si="565"/>
        <v>0</v>
      </c>
      <c r="AC1887" s="47">
        <f t="shared" si="566"/>
        <v>477</v>
      </c>
      <c r="AD1887" s="47">
        <f t="shared" si="567"/>
        <v>477</v>
      </c>
      <c r="AE1887" s="47">
        <f t="shared" si="568"/>
        <v>0</v>
      </c>
      <c r="AG1887" s="47">
        <f t="shared" si="569"/>
        <v>476</v>
      </c>
      <c r="AH1887" s="47">
        <f t="shared" si="570"/>
        <v>476</v>
      </c>
      <c r="AI1887" s="208">
        <f t="shared" si="571"/>
        <v>0</v>
      </c>
    </row>
    <row r="1888" spans="1:35">
      <c r="A1888" t="s">
        <v>2147</v>
      </c>
      <c r="B1888" t="s">
        <v>3142</v>
      </c>
      <c r="C1888" t="s">
        <v>2190</v>
      </c>
      <c r="D1888" t="s">
        <v>5361</v>
      </c>
      <c r="F1888" t="s">
        <v>1399</v>
      </c>
      <c r="G1888" s="126">
        <f>SUMIFS('Support - Transition'!F:F,'Support - Transition'!B:B,'Step 2'!A1888,'Support - Transition'!C:C,'Step 2'!B1888,'Support - Transition'!D:D,'Step 2'!C1888,'Support - Transition'!E:E,"CIVIL")</f>
        <v>2.41E-4</v>
      </c>
      <c r="H1888" s="126">
        <f>SUMIFS('Support - Transition'!F:F,'Support - Transition'!B:B,'Step 2'!A1888,'Support - Transition'!C:C,'Step 2'!B1888,'Support - Transition'!D:D,'Step 2'!C1888,'Support - Transition'!E:E,"FIRE")</f>
        <v>1.07E-4</v>
      </c>
      <c r="I1888" s="126">
        <f>IF(B1888="0",SUMIFS('Support - Transition'!F:F,'Support - Transition'!J:J,'Step 2'!D1888,'Support - Transition'!E:E,"STATE UNIT"),SUMIFS('Support - Transition'!F:F,'Support - Transition'!J:J,'Step 2'!D1888))</f>
        <v>3.48E-4</v>
      </c>
      <c r="J1888" s="126">
        <f>SUMIFS('Support - Unit Adjustments'!E:E,'Support - Unit Adjustments'!F:F,'Step 2'!D1888)</f>
        <v>0</v>
      </c>
      <c r="K1888" s="126">
        <f t="shared" si="555"/>
        <v>3.48E-4</v>
      </c>
      <c r="L1888" s="174">
        <f>VLOOKUP(A1888,'Step 1'!$A:$E,4,FALSE)</f>
        <v>170346</v>
      </c>
      <c r="M1888" s="47">
        <f t="shared" si="556"/>
        <v>59</v>
      </c>
      <c r="N1888" s="177">
        <f>SUMIFS('Support - Transition'!G:G,'Support - Transition'!J:J,'Step 2'!D1888,'Support - Transition'!E:E,"2009 WELFARE ALLOCATION FACTOR")</f>
        <v>0</v>
      </c>
      <c r="O1888" s="152">
        <f t="shared" si="561"/>
        <v>0</v>
      </c>
      <c r="P1888" s="126">
        <f>IF(E1888="Y",0,SUMIFS('Support - Transition'!G:G,'Support - Transition'!J:J,'Step 2'!D1888,'Support - Transition'!E:E,"2009 SCHOOL ALLOCATION FACTOR"))</f>
        <v>0</v>
      </c>
      <c r="Q1888" s="126">
        <f>IF(E1888="Y",VLOOKUP(D1888,'Support - Unit Adjustments'!F:G,2,FALSE),0)</f>
        <v>0</v>
      </c>
      <c r="R1888" s="155">
        <f t="shared" si="573"/>
        <v>0</v>
      </c>
      <c r="S1888" s="47">
        <f t="shared" si="572"/>
        <v>0</v>
      </c>
      <c r="T1888" s="151">
        <f t="shared" si="557"/>
        <v>59</v>
      </c>
      <c r="U1888" s="151">
        <f t="shared" si="558"/>
        <v>0</v>
      </c>
      <c r="V1888" s="139">
        <f t="shared" si="559"/>
        <v>0</v>
      </c>
      <c r="W1888" s="152">
        <f t="shared" si="562"/>
        <v>59</v>
      </c>
      <c r="X1888" s="127" t="str">
        <f t="shared" si="560"/>
        <v/>
      </c>
      <c r="Y1888" s="207">
        <f t="shared" si="563"/>
        <v>59</v>
      </c>
      <c r="Z1888" s="139">
        <f t="shared" si="564"/>
        <v>41</v>
      </c>
      <c r="AA1888" s="139">
        <f t="shared" si="565"/>
        <v>18</v>
      </c>
      <c r="AC1888" s="47">
        <f t="shared" si="566"/>
        <v>30</v>
      </c>
      <c r="AD1888" s="47">
        <f t="shared" si="567"/>
        <v>21</v>
      </c>
      <c r="AE1888" s="47">
        <f t="shared" si="568"/>
        <v>9</v>
      </c>
      <c r="AG1888" s="47">
        <f t="shared" si="569"/>
        <v>29</v>
      </c>
      <c r="AH1888" s="47">
        <f t="shared" si="570"/>
        <v>20</v>
      </c>
      <c r="AI1888" s="208">
        <f t="shared" si="571"/>
        <v>9</v>
      </c>
    </row>
    <row r="1889" spans="1:35">
      <c r="A1889" t="s">
        <v>2147</v>
      </c>
      <c r="B1889" t="s">
        <v>3142</v>
      </c>
      <c r="C1889" t="s">
        <v>2191</v>
      </c>
      <c r="D1889" t="s">
        <v>5362</v>
      </c>
      <c r="F1889" t="s">
        <v>335</v>
      </c>
      <c r="G1889" s="126">
        <f>SUMIFS('Support - Transition'!F:F,'Support - Transition'!B:B,'Step 2'!A1889,'Support - Transition'!C:C,'Step 2'!B1889,'Support - Transition'!D:D,'Step 2'!C1889,'Support - Transition'!E:E,"CIVIL")</f>
        <v>8.3500000000000002E-4</v>
      </c>
      <c r="H1889" s="126">
        <f>SUMIFS('Support - Transition'!F:F,'Support - Transition'!B:B,'Step 2'!A1889,'Support - Transition'!C:C,'Step 2'!B1889,'Support - Transition'!D:D,'Step 2'!C1889,'Support - Transition'!E:E,"FIRE")</f>
        <v>0</v>
      </c>
      <c r="I1889" s="126">
        <f>IF(B1889="0",SUMIFS('Support - Transition'!F:F,'Support - Transition'!J:J,'Step 2'!D1889,'Support - Transition'!E:E,"STATE UNIT"),SUMIFS('Support - Transition'!F:F,'Support - Transition'!J:J,'Step 2'!D1889))</f>
        <v>8.3500000000000002E-4</v>
      </c>
      <c r="J1889" s="126">
        <f>SUMIFS('Support - Unit Adjustments'!E:E,'Support - Unit Adjustments'!F:F,'Step 2'!D1889)</f>
        <v>0</v>
      </c>
      <c r="K1889" s="126">
        <f t="shared" si="555"/>
        <v>8.3500000000000002E-4</v>
      </c>
      <c r="L1889" s="174">
        <f>VLOOKUP(A1889,'Step 1'!$A:$E,4,FALSE)</f>
        <v>170346</v>
      </c>
      <c r="M1889" s="47">
        <f t="shared" si="556"/>
        <v>142</v>
      </c>
      <c r="N1889" s="177">
        <f>SUMIFS('Support - Transition'!G:G,'Support - Transition'!J:J,'Step 2'!D1889,'Support - Transition'!E:E,"2009 WELFARE ALLOCATION FACTOR")</f>
        <v>0</v>
      </c>
      <c r="O1889" s="152">
        <f t="shared" si="561"/>
        <v>0</v>
      </c>
      <c r="P1889" s="126">
        <f>IF(E1889="Y",0,SUMIFS('Support - Transition'!G:G,'Support - Transition'!J:J,'Step 2'!D1889,'Support - Transition'!E:E,"2009 SCHOOL ALLOCATION FACTOR"))</f>
        <v>0</v>
      </c>
      <c r="Q1889" s="126">
        <f>IF(E1889="Y",VLOOKUP(D1889,'Support - Unit Adjustments'!F:G,2,FALSE),0)</f>
        <v>0</v>
      </c>
      <c r="R1889" s="155">
        <f t="shared" si="573"/>
        <v>0</v>
      </c>
      <c r="S1889" s="47">
        <f t="shared" si="572"/>
        <v>0</v>
      </c>
      <c r="T1889" s="151">
        <f t="shared" si="557"/>
        <v>142</v>
      </c>
      <c r="U1889" s="151">
        <f t="shared" si="558"/>
        <v>0</v>
      </c>
      <c r="V1889" s="139">
        <f t="shared" si="559"/>
        <v>0</v>
      </c>
      <c r="W1889" s="152">
        <f t="shared" si="562"/>
        <v>142</v>
      </c>
      <c r="X1889" s="127" t="str">
        <f t="shared" si="560"/>
        <v/>
      </c>
      <c r="Y1889" s="207">
        <f t="shared" si="563"/>
        <v>142</v>
      </c>
      <c r="Z1889" s="139">
        <f t="shared" si="564"/>
        <v>142</v>
      </c>
      <c r="AA1889" s="139">
        <f t="shared" si="565"/>
        <v>0</v>
      </c>
      <c r="AC1889" s="47">
        <f t="shared" si="566"/>
        <v>71</v>
      </c>
      <c r="AD1889" s="47">
        <f t="shared" si="567"/>
        <v>71</v>
      </c>
      <c r="AE1889" s="47">
        <f t="shared" si="568"/>
        <v>0</v>
      </c>
      <c r="AG1889" s="47">
        <f t="shared" si="569"/>
        <v>71</v>
      </c>
      <c r="AH1889" s="47">
        <f t="shared" si="570"/>
        <v>71</v>
      </c>
      <c r="AI1889" s="208">
        <f t="shared" si="571"/>
        <v>0</v>
      </c>
    </row>
    <row r="1890" spans="1:35">
      <c r="A1890" t="s">
        <v>2147</v>
      </c>
      <c r="B1890" t="s">
        <v>3142</v>
      </c>
      <c r="C1890" t="s">
        <v>2192</v>
      </c>
      <c r="D1890" t="s">
        <v>5363</v>
      </c>
      <c r="F1890" t="s">
        <v>52</v>
      </c>
      <c r="G1890" s="126">
        <f>SUMIFS('Support - Transition'!F:F,'Support - Transition'!B:B,'Step 2'!A1890,'Support - Transition'!C:C,'Step 2'!B1890,'Support - Transition'!D:D,'Step 2'!C1890,'Support - Transition'!E:E,"CIVIL")</f>
        <v>1.268E-3</v>
      </c>
      <c r="H1890" s="126">
        <f>SUMIFS('Support - Transition'!F:F,'Support - Transition'!B:B,'Step 2'!A1890,'Support - Transition'!C:C,'Step 2'!B1890,'Support - Transition'!D:D,'Step 2'!C1890,'Support - Transition'!E:E,"FIRE")</f>
        <v>0</v>
      </c>
      <c r="I1890" s="126">
        <f>IF(B1890="0",SUMIFS('Support - Transition'!F:F,'Support - Transition'!J:J,'Step 2'!D1890,'Support - Transition'!E:E,"STATE UNIT"),SUMIFS('Support - Transition'!F:F,'Support - Transition'!J:J,'Step 2'!D1890))</f>
        <v>1.268E-3</v>
      </c>
      <c r="J1890" s="126">
        <f>SUMIFS('Support - Unit Adjustments'!E:E,'Support - Unit Adjustments'!F:F,'Step 2'!D1890)</f>
        <v>0</v>
      </c>
      <c r="K1890" s="126">
        <f t="shared" si="555"/>
        <v>1.268E-3</v>
      </c>
      <c r="L1890" s="174">
        <f>VLOOKUP(A1890,'Step 1'!$A:$E,4,FALSE)</f>
        <v>170346</v>
      </c>
      <c r="M1890" s="47">
        <f t="shared" si="556"/>
        <v>216</v>
      </c>
      <c r="N1890" s="177">
        <f>SUMIFS('Support - Transition'!G:G,'Support - Transition'!J:J,'Step 2'!D1890,'Support - Transition'!E:E,"2009 WELFARE ALLOCATION FACTOR")</f>
        <v>0</v>
      </c>
      <c r="O1890" s="152">
        <f t="shared" si="561"/>
        <v>0</v>
      </c>
      <c r="P1890" s="126">
        <f>IF(E1890="Y",0,SUMIFS('Support - Transition'!G:G,'Support - Transition'!J:J,'Step 2'!D1890,'Support - Transition'!E:E,"2009 SCHOOL ALLOCATION FACTOR"))</f>
        <v>0</v>
      </c>
      <c r="Q1890" s="126">
        <f>IF(E1890="Y",VLOOKUP(D1890,'Support - Unit Adjustments'!F:G,2,FALSE),0)</f>
        <v>0</v>
      </c>
      <c r="R1890" s="155">
        <f t="shared" si="573"/>
        <v>0</v>
      </c>
      <c r="S1890" s="47">
        <f t="shared" si="572"/>
        <v>0</v>
      </c>
      <c r="T1890" s="151">
        <f t="shared" si="557"/>
        <v>216</v>
      </c>
      <c r="U1890" s="151">
        <f t="shared" si="558"/>
        <v>0</v>
      </c>
      <c r="V1890" s="139">
        <f t="shared" si="559"/>
        <v>0</v>
      </c>
      <c r="W1890" s="152">
        <f t="shared" si="562"/>
        <v>216</v>
      </c>
      <c r="X1890" s="127" t="str">
        <f t="shared" si="560"/>
        <v/>
      </c>
      <c r="Y1890" s="207">
        <f t="shared" si="563"/>
        <v>216</v>
      </c>
      <c r="Z1890" s="139">
        <f t="shared" si="564"/>
        <v>216</v>
      </c>
      <c r="AA1890" s="139">
        <f t="shared" si="565"/>
        <v>0</v>
      </c>
      <c r="AC1890" s="47">
        <f t="shared" si="566"/>
        <v>108</v>
      </c>
      <c r="AD1890" s="47">
        <f t="shared" si="567"/>
        <v>108</v>
      </c>
      <c r="AE1890" s="47">
        <f t="shared" si="568"/>
        <v>0</v>
      </c>
      <c r="AG1890" s="47">
        <f t="shared" si="569"/>
        <v>108</v>
      </c>
      <c r="AH1890" s="47">
        <f t="shared" si="570"/>
        <v>108</v>
      </c>
      <c r="AI1890" s="208">
        <f t="shared" si="571"/>
        <v>0</v>
      </c>
    </row>
    <row r="1891" spans="1:35">
      <c r="A1891" t="s">
        <v>2147</v>
      </c>
      <c r="B1891" t="s">
        <v>3142</v>
      </c>
      <c r="C1891" t="s">
        <v>2193</v>
      </c>
      <c r="D1891" t="s">
        <v>5364</v>
      </c>
      <c r="F1891" t="s">
        <v>53</v>
      </c>
      <c r="G1891" s="126">
        <f>SUMIFS('Support - Transition'!F:F,'Support - Transition'!B:B,'Step 2'!A1891,'Support - Transition'!C:C,'Step 2'!B1891,'Support - Transition'!D:D,'Step 2'!C1891,'Support - Transition'!E:E,"CIVIL")</f>
        <v>1.145E-3</v>
      </c>
      <c r="H1891" s="126">
        <f>SUMIFS('Support - Transition'!F:F,'Support - Transition'!B:B,'Step 2'!A1891,'Support - Transition'!C:C,'Step 2'!B1891,'Support - Transition'!D:D,'Step 2'!C1891,'Support - Transition'!E:E,"FIRE")</f>
        <v>0</v>
      </c>
      <c r="I1891" s="126">
        <f>IF(B1891="0",SUMIFS('Support - Transition'!F:F,'Support - Transition'!J:J,'Step 2'!D1891,'Support - Transition'!E:E,"STATE UNIT"),SUMIFS('Support - Transition'!F:F,'Support - Transition'!J:J,'Step 2'!D1891))</f>
        <v>1.145E-3</v>
      </c>
      <c r="J1891" s="126">
        <f>SUMIFS('Support - Unit Adjustments'!E:E,'Support - Unit Adjustments'!F:F,'Step 2'!D1891)</f>
        <v>0</v>
      </c>
      <c r="K1891" s="126">
        <f t="shared" si="555"/>
        <v>1.145E-3</v>
      </c>
      <c r="L1891" s="174">
        <f>VLOOKUP(A1891,'Step 1'!$A:$E,4,FALSE)</f>
        <v>170346</v>
      </c>
      <c r="M1891" s="47">
        <f t="shared" si="556"/>
        <v>195</v>
      </c>
      <c r="N1891" s="177">
        <f>SUMIFS('Support - Transition'!G:G,'Support - Transition'!J:J,'Step 2'!D1891,'Support - Transition'!E:E,"2009 WELFARE ALLOCATION FACTOR")</f>
        <v>0</v>
      </c>
      <c r="O1891" s="152">
        <f t="shared" si="561"/>
        <v>0</v>
      </c>
      <c r="P1891" s="126">
        <f>IF(E1891="Y",0,SUMIFS('Support - Transition'!G:G,'Support - Transition'!J:J,'Step 2'!D1891,'Support - Transition'!E:E,"2009 SCHOOL ALLOCATION FACTOR"))</f>
        <v>0</v>
      </c>
      <c r="Q1891" s="126">
        <f>IF(E1891="Y",VLOOKUP(D1891,'Support - Unit Adjustments'!F:G,2,FALSE),0)</f>
        <v>0</v>
      </c>
      <c r="R1891" s="155">
        <f t="shared" si="573"/>
        <v>0</v>
      </c>
      <c r="S1891" s="47">
        <f t="shared" si="572"/>
        <v>0</v>
      </c>
      <c r="T1891" s="151">
        <f t="shared" si="557"/>
        <v>195</v>
      </c>
      <c r="U1891" s="151">
        <f t="shared" si="558"/>
        <v>0</v>
      </c>
      <c r="V1891" s="139">
        <f t="shared" si="559"/>
        <v>0</v>
      </c>
      <c r="W1891" s="152">
        <f t="shared" si="562"/>
        <v>195</v>
      </c>
      <c r="X1891" s="127" t="str">
        <f t="shared" si="560"/>
        <v/>
      </c>
      <c r="Y1891" s="207">
        <f t="shared" si="563"/>
        <v>195</v>
      </c>
      <c r="Z1891" s="139">
        <f t="shared" si="564"/>
        <v>195</v>
      </c>
      <c r="AA1891" s="139">
        <f t="shared" si="565"/>
        <v>0</v>
      </c>
      <c r="AC1891" s="47">
        <f t="shared" si="566"/>
        <v>98</v>
      </c>
      <c r="AD1891" s="47">
        <f t="shared" si="567"/>
        <v>98</v>
      </c>
      <c r="AE1891" s="47">
        <f t="shared" si="568"/>
        <v>0</v>
      </c>
      <c r="AG1891" s="47">
        <f t="shared" si="569"/>
        <v>97</v>
      </c>
      <c r="AH1891" s="47">
        <f t="shared" si="570"/>
        <v>97</v>
      </c>
      <c r="AI1891" s="208">
        <f t="shared" si="571"/>
        <v>0</v>
      </c>
    </row>
    <row r="1892" spans="1:35">
      <c r="A1892" t="s">
        <v>2147</v>
      </c>
      <c r="B1892" t="s">
        <v>3142</v>
      </c>
      <c r="C1892" t="s">
        <v>2194</v>
      </c>
      <c r="D1892" t="s">
        <v>5365</v>
      </c>
      <c r="F1892" t="s">
        <v>16</v>
      </c>
      <c r="G1892" s="126">
        <f>SUMIFS('Support - Transition'!F:F,'Support - Transition'!B:B,'Step 2'!A1892,'Support - Transition'!C:C,'Step 2'!B1892,'Support - Transition'!D:D,'Step 2'!C1892,'Support - Transition'!E:E,"CIVIL")</f>
        <v>1.6850000000000001E-3</v>
      </c>
      <c r="H1892" s="126">
        <f>SUMIFS('Support - Transition'!F:F,'Support - Transition'!B:B,'Step 2'!A1892,'Support - Transition'!C:C,'Step 2'!B1892,'Support - Transition'!D:D,'Step 2'!C1892,'Support - Transition'!E:E,"FIRE")</f>
        <v>1.1659999999999999E-3</v>
      </c>
      <c r="I1892" s="126">
        <f>IF(B1892="0",SUMIFS('Support - Transition'!F:F,'Support - Transition'!J:J,'Step 2'!D1892,'Support - Transition'!E:E,"STATE UNIT"),SUMIFS('Support - Transition'!F:F,'Support - Transition'!J:J,'Step 2'!D1892))</f>
        <v>2.8510000000000002E-3</v>
      </c>
      <c r="J1892" s="126">
        <f>SUMIFS('Support - Unit Adjustments'!E:E,'Support - Unit Adjustments'!F:F,'Step 2'!D1892)</f>
        <v>0</v>
      </c>
      <c r="K1892" s="126">
        <f t="shared" si="555"/>
        <v>2.8510000000000002E-3</v>
      </c>
      <c r="L1892" s="174">
        <f>VLOOKUP(A1892,'Step 1'!$A:$E,4,FALSE)</f>
        <v>170346</v>
      </c>
      <c r="M1892" s="47">
        <f t="shared" si="556"/>
        <v>486</v>
      </c>
      <c r="N1892" s="177">
        <f>SUMIFS('Support - Transition'!G:G,'Support - Transition'!J:J,'Step 2'!D1892,'Support - Transition'!E:E,"2009 WELFARE ALLOCATION FACTOR")</f>
        <v>0</v>
      </c>
      <c r="O1892" s="152">
        <f t="shared" si="561"/>
        <v>0</v>
      </c>
      <c r="P1892" s="126">
        <f>IF(E1892="Y",0,SUMIFS('Support - Transition'!G:G,'Support - Transition'!J:J,'Step 2'!D1892,'Support - Transition'!E:E,"2009 SCHOOL ALLOCATION FACTOR"))</f>
        <v>0</v>
      </c>
      <c r="Q1892" s="126">
        <f>IF(E1892="Y",VLOOKUP(D1892,'Support - Unit Adjustments'!F:G,2,FALSE),0)</f>
        <v>0</v>
      </c>
      <c r="R1892" s="155">
        <f t="shared" si="573"/>
        <v>0</v>
      </c>
      <c r="S1892" s="47">
        <f t="shared" si="572"/>
        <v>0</v>
      </c>
      <c r="T1892" s="151">
        <f t="shared" si="557"/>
        <v>486</v>
      </c>
      <c r="U1892" s="151">
        <f t="shared" si="558"/>
        <v>0</v>
      </c>
      <c r="V1892" s="139">
        <f t="shared" si="559"/>
        <v>0</v>
      </c>
      <c r="W1892" s="152">
        <f t="shared" si="562"/>
        <v>486</v>
      </c>
      <c r="X1892" s="127" t="str">
        <f t="shared" si="560"/>
        <v/>
      </c>
      <c r="Y1892" s="207">
        <f t="shared" si="563"/>
        <v>486</v>
      </c>
      <c r="Z1892" s="139">
        <f t="shared" si="564"/>
        <v>287</v>
      </c>
      <c r="AA1892" s="139">
        <f t="shared" si="565"/>
        <v>199</v>
      </c>
      <c r="AC1892" s="47">
        <f t="shared" si="566"/>
        <v>243</v>
      </c>
      <c r="AD1892" s="47">
        <f t="shared" si="567"/>
        <v>144</v>
      </c>
      <c r="AE1892" s="47">
        <f t="shared" si="568"/>
        <v>100</v>
      </c>
      <c r="AG1892" s="47">
        <f t="shared" si="569"/>
        <v>243</v>
      </c>
      <c r="AH1892" s="47">
        <f t="shared" si="570"/>
        <v>143</v>
      </c>
      <c r="AI1892" s="208">
        <f t="shared" si="571"/>
        <v>99</v>
      </c>
    </row>
    <row r="1893" spans="1:35">
      <c r="A1893" t="s">
        <v>2147</v>
      </c>
      <c r="B1893" t="s">
        <v>3142</v>
      </c>
      <c r="C1893" t="s">
        <v>2195</v>
      </c>
      <c r="D1893" t="s">
        <v>5366</v>
      </c>
      <c r="F1893" t="s">
        <v>292</v>
      </c>
      <c r="G1893" s="126">
        <f>SUMIFS('Support - Transition'!F:F,'Support - Transition'!B:B,'Step 2'!A1893,'Support - Transition'!C:C,'Step 2'!B1893,'Support - Transition'!D:D,'Step 2'!C1893,'Support - Transition'!E:E,"CIVIL")</f>
        <v>7.1699999999999997E-4</v>
      </c>
      <c r="H1893" s="126">
        <f>SUMIFS('Support - Transition'!F:F,'Support - Transition'!B:B,'Step 2'!A1893,'Support - Transition'!C:C,'Step 2'!B1893,'Support - Transition'!D:D,'Step 2'!C1893,'Support - Transition'!E:E,"FIRE")</f>
        <v>0</v>
      </c>
      <c r="I1893" s="126">
        <f>IF(B1893="0",SUMIFS('Support - Transition'!F:F,'Support - Transition'!J:J,'Step 2'!D1893,'Support - Transition'!E:E,"STATE UNIT"),SUMIFS('Support - Transition'!F:F,'Support - Transition'!J:J,'Step 2'!D1893))</f>
        <v>7.1699999999999997E-4</v>
      </c>
      <c r="J1893" s="126">
        <f>SUMIFS('Support - Unit Adjustments'!E:E,'Support - Unit Adjustments'!F:F,'Step 2'!D1893)</f>
        <v>0</v>
      </c>
      <c r="K1893" s="126">
        <f t="shared" si="555"/>
        <v>7.1699999999999997E-4</v>
      </c>
      <c r="L1893" s="174">
        <f>VLOOKUP(A1893,'Step 1'!$A:$E,4,FALSE)</f>
        <v>170346</v>
      </c>
      <c r="M1893" s="47">
        <f t="shared" si="556"/>
        <v>122</v>
      </c>
      <c r="N1893" s="177">
        <f>SUMIFS('Support - Transition'!G:G,'Support - Transition'!J:J,'Step 2'!D1893,'Support - Transition'!E:E,"2009 WELFARE ALLOCATION FACTOR")</f>
        <v>0</v>
      </c>
      <c r="O1893" s="152">
        <f t="shared" si="561"/>
        <v>0</v>
      </c>
      <c r="P1893" s="126">
        <f>IF(E1893="Y",0,SUMIFS('Support - Transition'!G:G,'Support - Transition'!J:J,'Step 2'!D1893,'Support - Transition'!E:E,"2009 SCHOOL ALLOCATION FACTOR"))</f>
        <v>0</v>
      </c>
      <c r="Q1893" s="126">
        <f>IF(E1893="Y",VLOOKUP(D1893,'Support - Unit Adjustments'!F:G,2,FALSE),0)</f>
        <v>0</v>
      </c>
      <c r="R1893" s="155">
        <f t="shared" si="573"/>
        <v>0</v>
      </c>
      <c r="S1893" s="47">
        <f t="shared" si="572"/>
        <v>0</v>
      </c>
      <c r="T1893" s="151">
        <f t="shared" si="557"/>
        <v>122</v>
      </c>
      <c r="U1893" s="151">
        <f t="shared" si="558"/>
        <v>0</v>
      </c>
      <c r="V1893" s="139">
        <f t="shared" si="559"/>
        <v>0</v>
      </c>
      <c r="W1893" s="152">
        <f t="shared" si="562"/>
        <v>122</v>
      </c>
      <c r="X1893" s="127" t="str">
        <f t="shared" si="560"/>
        <v/>
      </c>
      <c r="Y1893" s="207">
        <f t="shared" si="563"/>
        <v>122</v>
      </c>
      <c r="Z1893" s="139">
        <f t="shared" si="564"/>
        <v>122</v>
      </c>
      <c r="AA1893" s="139">
        <f t="shared" si="565"/>
        <v>0</v>
      </c>
      <c r="AC1893" s="47">
        <f t="shared" si="566"/>
        <v>61</v>
      </c>
      <c r="AD1893" s="47">
        <f t="shared" si="567"/>
        <v>61</v>
      </c>
      <c r="AE1893" s="47">
        <f t="shared" si="568"/>
        <v>0</v>
      </c>
      <c r="AG1893" s="47">
        <f t="shared" si="569"/>
        <v>61</v>
      </c>
      <c r="AH1893" s="47">
        <f t="shared" si="570"/>
        <v>61</v>
      </c>
      <c r="AI1893" s="208">
        <f t="shared" si="571"/>
        <v>0</v>
      </c>
    </row>
    <row r="1894" spans="1:35">
      <c r="A1894" t="s">
        <v>2147</v>
      </c>
      <c r="B1894" t="s">
        <v>3142</v>
      </c>
      <c r="C1894" t="s">
        <v>2196</v>
      </c>
      <c r="D1894" t="s">
        <v>5367</v>
      </c>
      <c r="F1894" t="s">
        <v>22</v>
      </c>
      <c r="G1894" s="126">
        <f>SUMIFS('Support - Transition'!F:F,'Support - Transition'!B:B,'Step 2'!A1894,'Support - Transition'!C:C,'Step 2'!B1894,'Support - Transition'!D:D,'Step 2'!C1894,'Support - Transition'!E:E,"CIVIL")</f>
        <v>2.3700000000000001E-3</v>
      </c>
      <c r="H1894" s="126">
        <f>SUMIFS('Support - Transition'!F:F,'Support - Transition'!B:B,'Step 2'!A1894,'Support - Transition'!C:C,'Step 2'!B1894,'Support - Transition'!D:D,'Step 2'!C1894,'Support - Transition'!E:E,"FIRE")</f>
        <v>1.5299999999999999E-3</v>
      </c>
      <c r="I1894" s="126">
        <f>IF(B1894="0",SUMIFS('Support - Transition'!F:F,'Support - Transition'!J:J,'Step 2'!D1894,'Support - Transition'!E:E,"STATE UNIT"),SUMIFS('Support - Transition'!F:F,'Support - Transition'!J:J,'Step 2'!D1894))</f>
        <v>3.8999999999999998E-3</v>
      </c>
      <c r="J1894" s="126">
        <f>SUMIFS('Support - Unit Adjustments'!E:E,'Support - Unit Adjustments'!F:F,'Step 2'!D1894)</f>
        <v>0</v>
      </c>
      <c r="K1894" s="126">
        <f t="shared" si="555"/>
        <v>3.8999999999999998E-3</v>
      </c>
      <c r="L1894" s="174">
        <f>VLOOKUP(A1894,'Step 1'!$A:$E,4,FALSE)</f>
        <v>170346</v>
      </c>
      <c r="M1894" s="47">
        <f t="shared" si="556"/>
        <v>664</v>
      </c>
      <c r="N1894" s="177">
        <f>SUMIFS('Support - Transition'!G:G,'Support - Transition'!J:J,'Step 2'!D1894,'Support - Transition'!E:E,"2009 WELFARE ALLOCATION FACTOR")</f>
        <v>0</v>
      </c>
      <c r="O1894" s="152">
        <f t="shared" si="561"/>
        <v>0</v>
      </c>
      <c r="P1894" s="126">
        <f>IF(E1894="Y",0,SUMIFS('Support - Transition'!G:G,'Support - Transition'!J:J,'Step 2'!D1894,'Support - Transition'!E:E,"2009 SCHOOL ALLOCATION FACTOR"))</f>
        <v>0</v>
      </c>
      <c r="Q1894" s="126">
        <f>IF(E1894="Y",VLOOKUP(D1894,'Support - Unit Adjustments'!F:G,2,FALSE),0)</f>
        <v>0</v>
      </c>
      <c r="R1894" s="155">
        <f t="shared" si="573"/>
        <v>0</v>
      </c>
      <c r="S1894" s="47">
        <f t="shared" si="572"/>
        <v>0</v>
      </c>
      <c r="T1894" s="151">
        <f t="shared" si="557"/>
        <v>664</v>
      </c>
      <c r="U1894" s="151">
        <f t="shared" si="558"/>
        <v>0</v>
      </c>
      <c r="V1894" s="139">
        <f t="shared" si="559"/>
        <v>0</v>
      </c>
      <c r="W1894" s="152">
        <f t="shared" si="562"/>
        <v>664</v>
      </c>
      <c r="X1894" s="127" t="str">
        <f t="shared" si="560"/>
        <v/>
      </c>
      <c r="Y1894" s="207">
        <f t="shared" si="563"/>
        <v>664</v>
      </c>
      <c r="Z1894" s="139">
        <f t="shared" si="564"/>
        <v>404</v>
      </c>
      <c r="AA1894" s="139">
        <f t="shared" si="565"/>
        <v>260</v>
      </c>
      <c r="AC1894" s="47">
        <f t="shared" si="566"/>
        <v>332</v>
      </c>
      <c r="AD1894" s="47">
        <f t="shared" si="567"/>
        <v>202</v>
      </c>
      <c r="AE1894" s="47">
        <f t="shared" si="568"/>
        <v>130</v>
      </c>
      <c r="AG1894" s="47">
        <f t="shared" si="569"/>
        <v>332</v>
      </c>
      <c r="AH1894" s="47">
        <f t="shared" si="570"/>
        <v>202</v>
      </c>
      <c r="AI1894" s="208">
        <f t="shared" si="571"/>
        <v>130</v>
      </c>
    </row>
    <row r="1895" spans="1:35">
      <c r="A1895" t="s">
        <v>2147</v>
      </c>
      <c r="B1895" t="s">
        <v>3155</v>
      </c>
      <c r="C1895" t="s">
        <v>2915</v>
      </c>
      <c r="D1895" t="s">
        <v>5368</v>
      </c>
      <c r="F1895" t="s">
        <v>1400</v>
      </c>
      <c r="G1895" s="126">
        <f>SUMIFS('Support - Transition'!F:F,'Support - Transition'!B:B,'Step 2'!A1895,'Support - Transition'!C:C,'Step 2'!B1895,'Support - Transition'!D:D,'Step 2'!C1895,'Support - Transition'!E:E,"CIVIL")</f>
        <v>0</v>
      </c>
      <c r="H1895" s="126">
        <f>SUMIFS('Support - Transition'!F:F,'Support - Transition'!B:B,'Step 2'!A1895,'Support - Transition'!C:C,'Step 2'!B1895,'Support - Transition'!D:D,'Step 2'!C1895,'Support - Transition'!E:E,"FIRE")</f>
        <v>0</v>
      </c>
      <c r="I1895" s="126">
        <f>IF(B1895="0",SUMIFS('Support - Transition'!F:F,'Support - Transition'!J:J,'Step 2'!D1895,'Support - Transition'!E:E,"STATE UNIT"),SUMIFS('Support - Transition'!F:F,'Support - Transition'!J:J,'Step 2'!D1895))</f>
        <v>1.7259E-2</v>
      </c>
      <c r="J1895" s="126">
        <f>SUMIFS('Support - Unit Adjustments'!E:E,'Support - Unit Adjustments'!F:F,'Step 2'!D1895)</f>
        <v>0</v>
      </c>
      <c r="K1895" s="126">
        <f t="shared" si="555"/>
        <v>1.7259E-2</v>
      </c>
      <c r="L1895" s="174">
        <f>VLOOKUP(A1895,'Step 1'!$A:$E,4,FALSE)</f>
        <v>170346</v>
      </c>
      <c r="M1895" s="47">
        <f t="shared" si="556"/>
        <v>2940</v>
      </c>
      <c r="N1895" s="177">
        <f>SUMIFS('Support - Transition'!G:G,'Support - Transition'!J:J,'Step 2'!D1895,'Support - Transition'!E:E,"2009 WELFARE ALLOCATION FACTOR")</f>
        <v>0</v>
      </c>
      <c r="O1895" s="152">
        <f t="shared" si="561"/>
        <v>0</v>
      </c>
      <c r="P1895" s="126">
        <f>IF(E1895="Y",0,SUMIFS('Support - Transition'!G:G,'Support - Transition'!J:J,'Step 2'!D1895,'Support - Transition'!E:E,"2009 SCHOOL ALLOCATION FACTOR"))</f>
        <v>0</v>
      </c>
      <c r="Q1895" s="126">
        <f>IF(E1895="Y",VLOOKUP(D1895,'Support - Unit Adjustments'!F:G,2,FALSE),0)</f>
        <v>0</v>
      </c>
      <c r="R1895" s="155">
        <f t="shared" si="573"/>
        <v>0</v>
      </c>
      <c r="S1895" s="47">
        <f t="shared" si="572"/>
        <v>0</v>
      </c>
      <c r="T1895" s="151">
        <f t="shared" si="557"/>
        <v>2940</v>
      </c>
      <c r="U1895" s="151">
        <f t="shared" si="558"/>
        <v>0</v>
      </c>
      <c r="V1895" s="139">
        <f t="shared" si="559"/>
        <v>0</v>
      </c>
      <c r="W1895" s="152">
        <f t="shared" si="562"/>
        <v>2940</v>
      </c>
      <c r="X1895" s="127" t="str">
        <f t="shared" si="560"/>
        <v/>
      </c>
      <c r="Y1895" s="207">
        <f t="shared" si="563"/>
        <v>2940</v>
      </c>
      <c r="Z1895" s="139">
        <f t="shared" si="564"/>
        <v>2940</v>
      </c>
      <c r="AA1895" s="139">
        <f t="shared" si="565"/>
        <v>0</v>
      </c>
      <c r="AC1895" s="47">
        <f t="shared" si="566"/>
        <v>1470</v>
      </c>
      <c r="AD1895" s="47">
        <f t="shared" si="567"/>
        <v>1470</v>
      </c>
      <c r="AE1895" s="47">
        <f t="shared" si="568"/>
        <v>0</v>
      </c>
      <c r="AG1895" s="47">
        <f t="shared" si="569"/>
        <v>1470</v>
      </c>
      <c r="AH1895" s="47">
        <f t="shared" si="570"/>
        <v>1470</v>
      </c>
      <c r="AI1895" s="208">
        <f t="shared" si="571"/>
        <v>0</v>
      </c>
    </row>
    <row r="1896" spans="1:35">
      <c r="A1896" t="s">
        <v>2147</v>
      </c>
      <c r="B1896" t="s">
        <v>3155</v>
      </c>
      <c r="C1896" t="s">
        <v>2916</v>
      </c>
      <c r="D1896" t="s">
        <v>5369</v>
      </c>
      <c r="F1896" t="s">
        <v>1401</v>
      </c>
      <c r="G1896" s="126">
        <f>SUMIFS('Support - Transition'!F:F,'Support - Transition'!B:B,'Step 2'!A1896,'Support - Transition'!C:C,'Step 2'!B1896,'Support - Transition'!D:D,'Step 2'!C1896,'Support - Transition'!E:E,"CIVIL")</f>
        <v>0</v>
      </c>
      <c r="H1896" s="126">
        <f>SUMIFS('Support - Transition'!F:F,'Support - Transition'!B:B,'Step 2'!A1896,'Support - Transition'!C:C,'Step 2'!B1896,'Support - Transition'!D:D,'Step 2'!C1896,'Support - Transition'!E:E,"FIRE")</f>
        <v>0</v>
      </c>
      <c r="I1896" s="126">
        <f>IF(B1896="0",SUMIFS('Support - Transition'!F:F,'Support - Transition'!J:J,'Step 2'!D1896,'Support - Transition'!E:E,"STATE UNIT"),SUMIFS('Support - Transition'!F:F,'Support - Transition'!J:J,'Step 2'!D1896))</f>
        <v>0</v>
      </c>
      <c r="J1896" s="126">
        <f>SUMIFS('Support - Unit Adjustments'!E:E,'Support - Unit Adjustments'!F:F,'Step 2'!D1896)</f>
        <v>0</v>
      </c>
      <c r="K1896" s="126">
        <f t="shared" si="555"/>
        <v>0</v>
      </c>
      <c r="L1896" s="174">
        <f>VLOOKUP(A1896,'Step 1'!$A:$E,4,FALSE)</f>
        <v>170346</v>
      </c>
      <c r="M1896" s="47">
        <f t="shared" si="556"/>
        <v>0</v>
      </c>
      <c r="N1896" s="177">
        <f>SUMIFS('Support - Transition'!G:G,'Support - Transition'!J:J,'Step 2'!D1896,'Support - Transition'!E:E,"2009 WELFARE ALLOCATION FACTOR")</f>
        <v>0</v>
      </c>
      <c r="O1896" s="152">
        <f t="shared" si="561"/>
        <v>0</v>
      </c>
      <c r="P1896" s="126">
        <f>IF(E1896="Y",0,SUMIFS('Support - Transition'!G:G,'Support - Transition'!J:J,'Step 2'!D1896,'Support - Transition'!E:E,"2009 SCHOOL ALLOCATION FACTOR"))</f>
        <v>0</v>
      </c>
      <c r="Q1896" s="126">
        <f>IF(E1896="Y",VLOOKUP(D1896,'Support - Unit Adjustments'!F:G,2,FALSE),0)</f>
        <v>0</v>
      </c>
      <c r="R1896" s="155">
        <f t="shared" si="573"/>
        <v>0</v>
      </c>
      <c r="S1896" s="47">
        <f t="shared" si="572"/>
        <v>0</v>
      </c>
      <c r="T1896" s="151">
        <f t="shared" si="557"/>
        <v>0</v>
      </c>
      <c r="U1896" s="151">
        <f t="shared" si="558"/>
        <v>0</v>
      </c>
      <c r="V1896" s="139">
        <f t="shared" si="559"/>
        <v>0</v>
      </c>
      <c r="W1896" s="152">
        <f t="shared" si="562"/>
        <v>0</v>
      </c>
      <c r="X1896" s="127" t="str">
        <f t="shared" si="560"/>
        <v/>
      </c>
      <c r="Y1896" s="207">
        <f t="shared" si="563"/>
        <v>0</v>
      </c>
      <c r="Z1896" s="139">
        <f t="shared" si="564"/>
        <v>0</v>
      </c>
      <c r="AA1896" s="139">
        <f t="shared" si="565"/>
        <v>0</v>
      </c>
      <c r="AC1896" s="47">
        <f t="shared" si="566"/>
        <v>0</v>
      </c>
      <c r="AD1896" s="47">
        <f t="shared" si="567"/>
        <v>0</v>
      </c>
      <c r="AE1896" s="47">
        <f t="shared" si="568"/>
        <v>0</v>
      </c>
      <c r="AG1896" s="47">
        <f t="shared" si="569"/>
        <v>0</v>
      </c>
      <c r="AH1896" s="47">
        <f t="shared" si="570"/>
        <v>0</v>
      </c>
      <c r="AI1896" s="208">
        <f t="shared" si="571"/>
        <v>0</v>
      </c>
    </row>
    <row r="1897" spans="1:35">
      <c r="A1897" t="s">
        <v>2147</v>
      </c>
      <c r="B1897" t="s">
        <v>3155</v>
      </c>
      <c r="C1897" t="s">
        <v>2917</v>
      </c>
      <c r="D1897" t="s">
        <v>5370</v>
      </c>
      <c r="F1897" t="s">
        <v>1402</v>
      </c>
      <c r="G1897" s="126">
        <f>SUMIFS('Support - Transition'!F:F,'Support - Transition'!B:B,'Step 2'!A1897,'Support - Transition'!C:C,'Step 2'!B1897,'Support - Transition'!D:D,'Step 2'!C1897,'Support - Transition'!E:E,"CIVIL")</f>
        <v>0</v>
      </c>
      <c r="H1897" s="126">
        <f>SUMIFS('Support - Transition'!F:F,'Support - Transition'!B:B,'Step 2'!A1897,'Support - Transition'!C:C,'Step 2'!B1897,'Support - Transition'!D:D,'Step 2'!C1897,'Support - Transition'!E:E,"FIRE")</f>
        <v>0</v>
      </c>
      <c r="I1897" s="126">
        <f>IF(B1897="0",SUMIFS('Support - Transition'!F:F,'Support - Transition'!J:J,'Step 2'!D1897,'Support - Transition'!E:E,"STATE UNIT"),SUMIFS('Support - Transition'!F:F,'Support - Transition'!J:J,'Step 2'!D1897))</f>
        <v>0</v>
      </c>
      <c r="J1897" s="126">
        <f>SUMIFS('Support - Unit Adjustments'!E:E,'Support - Unit Adjustments'!F:F,'Step 2'!D1897)</f>
        <v>0</v>
      </c>
      <c r="K1897" s="126">
        <f t="shared" si="555"/>
        <v>0</v>
      </c>
      <c r="L1897" s="174">
        <f>VLOOKUP(A1897,'Step 1'!$A:$E,4,FALSE)</f>
        <v>170346</v>
      </c>
      <c r="M1897" s="47">
        <f t="shared" si="556"/>
        <v>0</v>
      </c>
      <c r="N1897" s="177">
        <f>SUMIFS('Support - Transition'!G:G,'Support - Transition'!J:J,'Step 2'!D1897,'Support - Transition'!E:E,"2009 WELFARE ALLOCATION FACTOR")</f>
        <v>0</v>
      </c>
      <c r="O1897" s="152">
        <f t="shared" si="561"/>
        <v>0</v>
      </c>
      <c r="P1897" s="126">
        <f>IF(E1897="Y",0,SUMIFS('Support - Transition'!G:G,'Support - Transition'!J:J,'Step 2'!D1897,'Support - Transition'!E:E,"2009 SCHOOL ALLOCATION FACTOR"))</f>
        <v>0</v>
      </c>
      <c r="Q1897" s="126">
        <f>IF(E1897="Y",VLOOKUP(D1897,'Support - Unit Adjustments'!F:G,2,FALSE),0)</f>
        <v>0</v>
      </c>
      <c r="R1897" s="155">
        <f t="shared" si="573"/>
        <v>0</v>
      </c>
      <c r="S1897" s="47">
        <f t="shared" si="572"/>
        <v>0</v>
      </c>
      <c r="T1897" s="151">
        <f t="shared" si="557"/>
        <v>0</v>
      </c>
      <c r="U1897" s="151">
        <f t="shared" si="558"/>
        <v>0</v>
      </c>
      <c r="V1897" s="139">
        <f t="shared" si="559"/>
        <v>0</v>
      </c>
      <c r="W1897" s="152">
        <f t="shared" si="562"/>
        <v>0</v>
      </c>
      <c r="X1897" s="127" t="str">
        <f t="shared" si="560"/>
        <v/>
      </c>
      <c r="Y1897" s="207">
        <f t="shared" si="563"/>
        <v>0</v>
      </c>
      <c r="Z1897" s="139">
        <f t="shared" si="564"/>
        <v>0</v>
      </c>
      <c r="AA1897" s="139">
        <f t="shared" si="565"/>
        <v>0</v>
      </c>
      <c r="AC1897" s="47">
        <f t="shared" si="566"/>
        <v>0</v>
      </c>
      <c r="AD1897" s="47">
        <f t="shared" si="567"/>
        <v>0</v>
      </c>
      <c r="AE1897" s="47">
        <f t="shared" si="568"/>
        <v>0</v>
      </c>
      <c r="AG1897" s="47">
        <f t="shared" si="569"/>
        <v>0</v>
      </c>
      <c r="AH1897" s="47">
        <f t="shared" si="570"/>
        <v>0</v>
      </c>
      <c r="AI1897" s="208">
        <f t="shared" si="571"/>
        <v>0</v>
      </c>
    </row>
    <row r="1898" spans="1:35">
      <c r="A1898" t="s">
        <v>2147</v>
      </c>
      <c r="B1898" t="s">
        <v>3160</v>
      </c>
      <c r="C1898" t="s">
        <v>2918</v>
      </c>
      <c r="D1898" t="s">
        <v>5371</v>
      </c>
      <c r="F1898" t="s">
        <v>1403</v>
      </c>
      <c r="G1898" s="126">
        <f>SUMIFS('Support - Transition'!F:F,'Support - Transition'!B:B,'Step 2'!A1898,'Support - Transition'!C:C,'Step 2'!B1898,'Support - Transition'!D:D,'Step 2'!C1898,'Support - Transition'!E:E,"CIVIL")</f>
        <v>0</v>
      </c>
      <c r="H1898" s="126">
        <f>SUMIFS('Support - Transition'!F:F,'Support - Transition'!B:B,'Step 2'!A1898,'Support - Transition'!C:C,'Step 2'!B1898,'Support - Transition'!D:D,'Step 2'!C1898,'Support - Transition'!E:E,"FIRE")</f>
        <v>0</v>
      </c>
      <c r="I1898" s="126">
        <f>IF(B1898="0",SUMIFS('Support - Transition'!F:F,'Support - Transition'!J:J,'Step 2'!D1898,'Support - Transition'!E:E,"STATE UNIT"),SUMIFS('Support - Transition'!F:F,'Support - Transition'!J:J,'Step 2'!D1898))</f>
        <v>0.58847400000000005</v>
      </c>
      <c r="J1898" s="126">
        <f>SUMIFS('Support - Unit Adjustments'!E:E,'Support - Unit Adjustments'!F:F,'Step 2'!D1898)</f>
        <v>0</v>
      </c>
      <c r="K1898" s="126">
        <f t="shared" si="555"/>
        <v>0.58847400000000005</v>
      </c>
      <c r="L1898" s="174">
        <f>VLOOKUP(A1898,'Step 1'!$A:$E,4,FALSE)</f>
        <v>170346</v>
      </c>
      <c r="M1898" s="47">
        <f t="shared" si="556"/>
        <v>100244</v>
      </c>
      <c r="N1898" s="177">
        <f>SUMIFS('Support - Transition'!G:G,'Support - Transition'!J:J,'Step 2'!D1898,'Support - Transition'!E:E,"2009 WELFARE ALLOCATION FACTOR")</f>
        <v>0</v>
      </c>
      <c r="O1898" s="152">
        <f t="shared" si="561"/>
        <v>0</v>
      </c>
      <c r="P1898" s="126">
        <f>IF(E1898="Y",0,SUMIFS('Support - Transition'!G:G,'Support - Transition'!J:J,'Step 2'!D1898,'Support - Transition'!E:E,"2009 SCHOOL ALLOCATION FACTOR"))</f>
        <v>0.42811399999999999</v>
      </c>
      <c r="Q1898" s="126">
        <f>IF(E1898="Y",VLOOKUP(D1898,'Support - Unit Adjustments'!F:G,2,FALSE),0)</f>
        <v>0</v>
      </c>
      <c r="R1898" s="155">
        <f t="shared" si="573"/>
        <v>0.42811399999999999</v>
      </c>
      <c r="S1898" s="47">
        <f t="shared" si="572"/>
        <v>42916</v>
      </c>
      <c r="T1898" s="151">
        <f t="shared" si="557"/>
        <v>57328</v>
      </c>
      <c r="U1898" s="151">
        <f t="shared" si="558"/>
        <v>0</v>
      </c>
      <c r="V1898" s="139">
        <f t="shared" si="559"/>
        <v>0</v>
      </c>
      <c r="W1898" s="152">
        <f t="shared" si="562"/>
        <v>57328</v>
      </c>
      <c r="X1898" s="127" t="str">
        <f t="shared" si="560"/>
        <v/>
      </c>
      <c r="Y1898" s="207">
        <f t="shared" si="563"/>
        <v>57328</v>
      </c>
      <c r="Z1898" s="139">
        <f t="shared" si="564"/>
        <v>57328</v>
      </c>
      <c r="AA1898" s="139">
        <f t="shared" si="565"/>
        <v>0</v>
      </c>
      <c r="AC1898" s="47">
        <f t="shared" si="566"/>
        <v>28664</v>
      </c>
      <c r="AD1898" s="47">
        <f t="shared" si="567"/>
        <v>28664</v>
      </c>
      <c r="AE1898" s="47">
        <f t="shared" si="568"/>
        <v>0</v>
      </c>
      <c r="AG1898" s="47">
        <f t="shared" si="569"/>
        <v>28664</v>
      </c>
      <c r="AH1898" s="47">
        <f t="shared" si="570"/>
        <v>28664</v>
      </c>
      <c r="AI1898" s="208">
        <f t="shared" si="571"/>
        <v>0</v>
      </c>
    </row>
    <row r="1899" spans="1:35">
      <c r="A1899" t="s">
        <v>2147</v>
      </c>
      <c r="B1899" t="s">
        <v>3166</v>
      </c>
      <c r="C1899" t="s">
        <v>5372</v>
      </c>
      <c r="D1899" t="s">
        <v>5373</v>
      </c>
      <c r="F1899" t="s">
        <v>1404</v>
      </c>
      <c r="G1899" s="126">
        <f>SUMIFS('Support - Transition'!F:F,'Support - Transition'!B:B,'Step 2'!A1899,'Support - Transition'!C:C,'Step 2'!B1899,'Support - Transition'!D:D,'Step 2'!C1899,'Support - Transition'!E:E,"CIVIL")</f>
        <v>0</v>
      </c>
      <c r="H1899" s="126">
        <f>SUMIFS('Support - Transition'!F:F,'Support - Transition'!B:B,'Step 2'!A1899,'Support - Transition'!C:C,'Step 2'!B1899,'Support - Transition'!D:D,'Step 2'!C1899,'Support - Transition'!E:E,"FIRE")</f>
        <v>0</v>
      </c>
      <c r="I1899" s="126">
        <f>IF(B1899="0",SUMIFS('Support - Transition'!F:F,'Support - Transition'!J:J,'Step 2'!D1899,'Support - Transition'!E:E,"STATE UNIT"),SUMIFS('Support - Transition'!F:F,'Support - Transition'!J:J,'Step 2'!D1899))</f>
        <v>2.5353000000000001E-2</v>
      </c>
      <c r="J1899" s="126">
        <f>SUMIFS('Support - Unit Adjustments'!E:E,'Support - Unit Adjustments'!F:F,'Step 2'!D1899)</f>
        <v>0</v>
      </c>
      <c r="K1899" s="126">
        <f t="shared" si="555"/>
        <v>2.5353000000000001E-2</v>
      </c>
      <c r="L1899" s="174">
        <f>VLOOKUP(A1899,'Step 1'!$A:$E,4,FALSE)</f>
        <v>170346</v>
      </c>
      <c r="M1899" s="47">
        <f t="shared" si="556"/>
        <v>4319</v>
      </c>
      <c r="N1899" s="177">
        <f>SUMIFS('Support - Transition'!G:G,'Support - Transition'!J:J,'Step 2'!D1899,'Support - Transition'!E:E,"2009 WELFARE ALLOCATION FACTOR")</f>
        <v>0</v>
      </c>
      <c r="O1899" s="152">
        <f t="shared" si="561"/>
        <v>0</v>
      </c>
      <c r="P1899" s="126">
        <f>IF(E1899="Y",0,SUMIFS('Support - Transition'!G:G,'Support - Transition'!J:J,'Step 2'!D1899,'Support - Transition'!E:E,"2009 SCHOOL ALLOCATION FACTOR"))</f>
        <v>0</v>
      </c>
      <c r="Q1899" s="126">
        <f>IF(E1899="Y",VLOOKUP(D1899,'Support - Unit Adjustments'!F:G,2,FALSE),0)</f>
        <v>0</v>
      </c>
      <c r="R1899" s="155">
        <f t="shared" si="573"/>
        <v>0</v>
      </c>
      <c r="S1899" s="47">
        <f t="shared" si="572"/>
        <v>0</v>
      </c>
      <c r="T1899" s="151">
        <f t="shared" si="557"/>
        <v>4319</v>
      </c>
      <c r="U1899" s="151">
        <f t="shared" si="558"/>
        <v>0</v>
      </c>
      <c r="V1899" s="139">
        <f t="shared" si="559"/>
        <v>0</v>
      </c>
      <c r="W1899" s="152">
        <f t="shared" si="562"/>
        <v>4319</v>
      </c>
      <c r="X1899" s="127" t="str">
        <f t="shared" si="560"/>
        <v/>
      </c>
      <c r="Y1899" s="207">
        <f t="shared" si="563"/>
        <v>4319</v>
      </c>
      <c r="Z1899" s="139">
        <f t="shared" si="564"/>
        <v>4319</v>
      </c>
      <c r="AA1899" s="139">
        <f t="shared" si="565"/>
        <v>0</v>
      </c>
      <c r="AC1899" s="47">
        <f t="shared" si="566"/>
        <v>2160</v>
      </c>
      <c r="AD1899" s="47">
        <f t="shared" si="567"/>
        <v>2160</v>
      </c>
      <c r="AE1899" s="47">
        <f t="shared" si="568"/>
        <v>0</v>
      </c>
      <c r="AG1899" s="47">
        <f t="shared" si="569"/>
        <v>2159</v>
      </c>
      <c r="AH1899" s="47">
        <f t="shared" si="570"/>
        <v>2159</v>
      </c>
      <c r="AI1899" s="208">
        <f t="shared" si="571"/>
        <v>0</v>
      </c>
    </row>
    <row r="1900" spans="1:35">
      <c r="A1900" t="s">
        <v>2147</v>
      </c>
      <c r="B1900" t="s">
        <v>3170</v>
      </c>
      <c r="C1900" t="s">
        <v>2919</v>
      </c>
      <c r="D1900" t="s">
        <v>5374</v>
      </c>
      <c r="F1900" t="s">
        <v>1406</v>
      </c>
      <c r="G1900" s="126">
        <f>SUMIFS('Support - Transition'!F:F,'Support - Transition'!B:B,'Step 2'!A1900,'Support - Transition'!C:C,'Step 2'!B1900,'Support - Transition'!D:D,'Step 2'!C1900,'Support - Transition'!E:E,"CIVIL")</f>
        <v>0</v>
      </c>
      <c r="H1900" s="126">
        <f>SUMIFS('Support - Transition'!F:F,'Support - Transition'!B:B,'Step 2'!A1900,'Support - Transition'!C:C,'Step 2'!B1900,'Support - Transition'!D:D,'Step 2'!C1900,'Support - Transition'!E:E,"FIRE")</f>
        <v>0</v>
      </c>
      <c r="I1900" s="126">
        <f>IF(B1900="0",SUMIFS('Support - Transition'!F:F,'Support - Transition'!J:J,'Step 2'!D1900,'Support - Transition'!E:E,"STATE UNIT"),SUMIFS('Support - Transition'!F:F,'Support - Transition'!J:J,'Step 2'!D1900))</f>
        <v>3.8140000000000001E-3</v>
      </c>
      <c r="J1900" s="126">
        <f>SUMIFS('Support - Unit Adjustments'!E:E,'Support - Unit Adjustments'!F:F,'Step 2'!D1900)</f>
        <v>0</v>
      </c>
      <c r="K1900" s="126">
        <f t="shared" si="555"/>
        <v>3.8140000000000001E-3</v>
      </c>
      <c r="L1900" s="174">
        <f>VLOOKUP(A1900,'Step 1'!$A:$E,4,FALSE)</f>
        <v>170346</v>
      </c>
      <c r="M1900" s="47">
        <f t="shared" si="556"/>
        <v>650</v>
      </c>
      <c r="N1900" s="177">
        <f>SUMIFS('Support - Transition'!G:G,'Support - Transition'!J:J,'Step 2'!D1900,'Support - Transition'!E:E,"2009 WELFARE ALLOCATION FACTOR")</f>
        <v>0</v>
      </c>
      <c r="O1900" s="152">
        <f t="shared" si="561"/>
        <v>0</v>
      </c>
      <c r="P1900" s="126">
        <f>IF(E1900="Y",0,SUMIFS('Support - Transition'!G:G,'Support - Transition'!J:J,'Step 2'!D1900,'Support - Transition'!E:E,"2009 SCHOOL ALLOCATION FACTOR"))</f>
        <v>0</v>
      </c>
      <c r="Q1900" s="126">
        <f>IF(E1900="Y",VLOOKUP(D1900,'Support - Unit Adjustments'!F:G,2,FALSE),0)</f>
        <v>0</v>
      </c>
      <c r="R1900" s="155">
        <f t="shared" si="573"/>
        <v>0</v>
      </c>
      <c r="S1900" s="47">
        <f t="shared" si="572"/>
        <v>0</v>
      </c>
      <c r="T1900" s="151">
        <f t="shared" si="557"/>
        <v>650</v>
      </c>
      <c r="U1900" s="151">
        <f t="shared" si="558"/>
        <v>0</v>
      </c>
      <c r="V1900" s="139">
        <f t="shared" si="559"/>
        <v>0</v>
      </c>
      <c r="W1900" s="152">
        <f t="shared" si="562"/>
        <v>650</v>
      </c>
      <c r="X1900" s="127" t="str">
        <f t="shared" si="560"/>
        <v/>
      </c>
      <c r="Y1900" s="207">
        <f t="shared" si="563"/>
        <v>650</v>
      </c>
      <c r="Z1900" s="139">
        <f t="shared" si="564"/>
        <v>650</v>
      </c>
      <c r="AA1900" s="139">
        <f t="shared" si="565"/>
        <v>0</v>
      </c>
      <c r="AC1900" s="47">
        <f t="shared" si="566"/>
        <v>325</v>
      </c>
      <c r="AD1900" s="47">
        <f t="shared" si="567"/>
        <v>325</v>
      </c>
      <c r="AE1900" s="47">
        <f t="shared" si="568"/>
        <v>0</v>
      </c>
      <c r="AG1900" s="47">
        <f t="shared" si="569"/>
        <v>325</v>
      </c>
      <c r="AH1900" s="47">
        <f t="shared" si="570"/>
        <v>325</v>
      </c>
      <c r="AI1900" s="208">
        <f t="shared" si="571"/>
        <v>0</v>
      </c>
    </row>
    <row r="1901" spans="1:35">
      <c r="A1901" t="s">
        <v>2147</v>
      </c>
      <c r="B1901" t="s">
        <v>3170</v>
      </c>
      <c r="C1901" t="s">
        <v>2221</v>
      </c>
      <c r="D1901" t="s">
        <v>5375</v>
      </c>
      <c r="F1901" t="s">
        <v>1405</v>
      </c>
      <c r="G1901" s="126">
        <f>SUMIFS('Support - Transition'!F:F,'Support - Transition'!B:B,'Step 2'!A1901,'Support - Transition'!C:C,'Step 2'!B1901,'Support - Transition'!D:D,'Step 2'!C1901,'Support - Transition'!E:E,"CIVIL")</f>
        <v>0</v>
      </c>
      <c r="H1901" s="126">
        <f>SUMIFS('Support - Transition'!F:F,'Support - Transition'!B:B,'Step 2'!A1901,'Support - Transition'!C:C,'Step 2'!B1901,'Support - Transition'!D:D,'Step 2'!C1901,'Support - Transition'!E:E,"FIRE")</f>
        <v>0</v>
      </c>
      <c r="I1901" s="126">
        <f>IF(B1901="0",SUMIFS('Support - Transition'!F:F,'Support - Transition'!J:J,'Step 2'!D1901,'Support - Transition'!E:E,"STATE UNIT"),SUMIFS('Support - Transition'!F:F,'Support - Transition'!J:J,'Step 2'!D1901))</f>
        <v>1.3161000000000001E-2</v>
      </c>
      <c r="J1901" s="126">
        <f>SUMIFS('Support - Unit Adjustments'!E:E,'Support - Unit Adjustments'!F:F,'Step 2'!D1901)</f>
        <v>0</v>
      </c>
      <c r="K1901" s="126">
        <f t="shared" si="555"/>
        <v>1.3161000000000001E-2</v>
      </c>
      <c r="L1901" s="174">
        <f>VLOOKUP(A1901,'Step 1'!$A:$E,4,FALSE)</f>
        <v>170346</v>
      </c>
      <c r="M1901" s="47">
        <f t="shared" si="556"/>
        <v>2242</v>
      </c>
      <c r="N1901" s="177">
        <f>SUMIFS('Support - Transition'!G:G,'Support - Transition'!J:J,'Step 2'!D1901,'Support - Transition'!E:E,"2009 WELFARE ALLOCATION FACTOR")</f>
        <v>0</v>
      </c>
      <c r="O1901" s="152">
        <f t="shared" si="561"/>
        <v>0</v>
      </c>
      <c r="P1901" s="126">
        <f>IF(E1901="Y",0,SUMIFS('Support - Transition'!G:G,'Support - Transition'!J:J,'Step 2'!D1901,'Support - Transition'!E:E,"2009 SCHOOL ALLOCATION FACTOR"))</f>
        <v>0</v>
      </c>
      <c r="Q1901" s="126">
        <f>IF(E1901="Y",VLOOKUP(D1901,'Support - Unit Adjustments'!F:G,2,FALSE),0)</f>
        <v>0</v>
      </c>
      <c r="R1901" s="155">
        <f t="shared" si="573"/>
        <v>0</v>
      </c>
      <c r="S1901" s="47">
        <f t="shared" si="572"/>
        <v>0</v>
      </c>
      <c r="T1901" s="151">
        <f t="shared" si="557"/>
        <v>2242</v>
      </c>
      <c r="U1901" s="151">
        <f t="shared" si="558"/>
        <v>0</v>
      </c>
      <c r="V1901" s="139">
        <f t="shared" si="559"/>
        <v>0</v>
      </c>
      <c r="W1901" s="152">
        <f t="shared" si="562"/>
        <v>2242</v>
      </c>
      <c r="X1901" s="127" t="str">
        <f t="shared" si="560"/>
        <v/>
      </c>
      <c r="Y1901" s="207">
        <f t="shared" si="563"/>
        <v>2242</v>
      </c>
      <c r="Z1901" s="139">
        <f t="shared" si="564"/>
        <v>2242</v>
      </c>
      <c r="AA1901" s="139">
        <f t="shared" si="565"/>
        <v>0</v>
      </c>
      <c r="AC1901" s="47">
        <f t="shared" si="566"/>
        <v>1121</v>
      </c>
      <c r="AD1901" s="47">
        <f t="shared" si="567"/>
        <v>1121</v>
      </c>
      <c r="AE1901" s="47">
        <f t="shared" si="568"/>
        <v>0</v>
      </c>
      <c r="AG1901" s="47">
        <f t="shared" si="569"/>
        <v>1121</v>
      </c>
      <c r="AH1901" s="47">
        <f t="shared" si="570"/>
        <v>1121</v>
      </c>
      <c r="AI1901" s="208">
        <f t="shared" si="571"/>
        <v>0</v>
      </c>
    </row>
    <row r="1902" spans="1:35">
      <c r="A1902" t="s">
        <v>2147</v>
      </c>
      <c r="B1902" t="s">
        <v>3170</v>
      </c>
      <c r="C1902" t="s">
        <v>5376</v>
      </c>
      <c r="D1902" t="s">
        <v>5377</v>
      </c>
      <c r="F1902" t="s">
        <v>1407</v>
      </c>
      <c r="G1902" s="126">
        <f>SUMIFS('Support - Transition'!F:F,'Support - Transition'!B:B,'Step 2'!A1902,'Support - Transition'!C:C,'Step 2'!B1902,'Support - Transition'!D:D,'Step 2'!C1902,'Support - Transition'!E:E,"CIVIL")</f>
        <v>0</v>
      </c>
      <c r="H1902" s="126">
        <f>SUMIFS('Support - Transition'!F:F,'Support - Transition'!B:B,'Step 2'!A1902,'Support - Transition'!C:C,'Step 2'!B1902,'Support - Transition'!D:D,'Step 2'!C1902,'Support - Transition'!E:E,"FIRE")</f>
        <v>0</v>
      </c>
      <c r="I1902" s="126">
        <f>IF(B1902="0",SUMIFS('Support - Transition'!F:F,'Support - Transition'!J:J,'Step 2'!D1902,'Support - Transition'!E:E,"STATE UNIT"),SUMIFS('Support - Transition'!F:F,'Support - Transition'!J:J,'Step 2'!D1902))</f>
        <v>0</v>
      </c>
      <c r="J1902" s="126">
        <f>SUMIFS('Support - Unit Adjustments'!E:E,'Support - Unit Adjustments'!F:F,'Step 2'!D1902)</f>
        <v>0</v>
      </c>
      <c r="K1902" s="126">
        <f t="shared" si="555"/>
        <v>0</v>
      </c>
      <c r="L1902" s="174">
        <f>VLOOKUP(A1902,'Step 1'!$A:$E,4,FALSE)</f>
        <v>170346</v>
      </c>
      <c r="M1902" s="47">
        <f t="shared" si="556"/>
        <v>0</v>
      </c>
      <c r="N1902" s="177">
        <f>SUMIFS('Support - Transition'!G:G,'Support - Transition'!J:J,'Step 2'!D1902,'Support - Transition'!E:E,"2009 WELFARE ALLOCATION FACTOR")</f>
        <v>0</v>
      </c>
      <c r="O1902" s="152">
        <f t="shared" si="561"/>
        <v>0</v>
      </c>
      <c r="P1902" s="126">
        <f>IF(E1902="Y",0,SUMIFS('Support - Transition'!G:G,'Support - Transition'!J:J,'Step 2'!D1902,'Support - Transition'!E:E,"2009 SCHOOL ALLOCATION FACTOR"))</f>
        <v>0</v>
      </c>
      <c r="Q1902" s="126">
        <f>IF(E1902="Y",VLOOKUP(D1902,'Support - Unit Adjustments'!F:G,2,FALSE),0)</f>
        <v>0</v>
      </c>
      <c r="R1902" s="155">
        <f t="shared" si="573"/>
        <v>0</v>
      </c>
      <c r="S1902" s="47">
        <f t="shared" si="572"/>
        <v>0</v>
      </c>
      <c r="T1902" s="151">
        <f t="shared" si="557"/>
        <v>0</v>
      </c>
      <c r="U1902" s="151">
        <f t="shared" si="558"/>
        <v>0</v>
      </c>
      <c r="V1902" s="139">
        <f t="shared" si="559"/>
        <v>0</v>
      </c>
      <c r="W1902" s="152">
        <f t="shared" si="562"/>
        <v>0</v>
      </c>
      <c r="X1902" s="127" t="str">
        <f t="shared" si="560"/>
        <v/>
      </c>
      <c r="Y1902" s="207">
        <f t="shared" si="563"/>
        <v>0</v>
      </c>
      <c r="Z1902" s="139">
        <f t="shared" si="564"/>
        <v>0</v>
      </c>
      <c r="AA1902" s="139">
        <f t="shared" si="565"/>
        <v>0</v>
      </c>
      <c r="AC1902" s="47">
        <f t="shared" si="566"/>
        <v>0</v>
      </c>
      <c r="AD1902" s="47">
        <f t="shared" si="567"/>
        <v>0</v>
      </c>
      <c r="AE1902" s="47">
        <f t="shared" si="568"/>
        <v>0</v>
      </c>
      <c r="AG1902" s="47">
        <f t="shared" si="569"/>
        <v>0</v>
      </c>
      <c r="AH1902" s="47">
        <f t="shared" si="570"/>
        <v>0</v>
      </c>
      <c r="AI1902" s="208">
        <f t="shared" si="571"/>
        <v>0</v>
      </c>
    </row>
    <row r="1903" spans="1:35">
      <c r="A1903" t="s">
        <v>2147</v>
      </c>
      <c r="B1903" t="s">
        <v>3286</v>
      </c>
      <c r="C1903" t="s">
        <v>2194</v>
      </c>
      <c r="D1903" t="s">
        <v>5378</v>
      </c>
      <c r="F1903" t="s">
        <v>3790</v>
      </c>
      <c r="G1903" s="126">
        <f>SUMIFS('Support - Transition'!F:F,'Support - Transition'!B:B,'Step 2'!A1903,'Support - Transition'!C:C,'Step 2'!B1903,'Support - Transition'!D:D,'Step 2'!C1903,'Support - Transition'!E:E,"CIVIL")</f>
        <v>0</v>
      </c>
      <c r="H1903" s="126">
        <f>SUMIFS('Support - Transition'!F:F,'Support - Transition'!B:B,'Step 2'!A1903,'Support - Transition'!C:C,'Step 2'!B1903,'Support - Transition'!D:D,'Step 2'!C1903,'Support - Transition'!E:E,"FIRE")</f>
        <v>0</v>
      </c>
      <c r="I1903" s="126">
        <f>IF(B1903="0",SUMIFS('Support - Transition'!F:F,'Support - Transition'!J:J,'Step 2'!D1903,'Support - Transition'!E:E,"STATE UNIT"),SUMIFS('Support - Transition'!F:F,'Support - Transition'!J:J,'Step 2'!D1903))</f>
        <v>0</v>
      </c>
      <c r="J1903" s="126">
        <f>SUMIFS('Support - Unit Adjustments'!E:E,'Support - Unit Adjustments'!F:F,'Step 2'!D1903)</f>
        <v>0</v>
      </c>
      <c r="K1903" s="126">
        <f t="shared" si="555"/>
        <v>0</v>
      </c>
      <c r="L1903" s="174">
        <f>VLOOKUP(A1903,'Step 1'!$A:$E,4,FALSE)</f>
        <v>170346</v>
      </c>
      <c r="M1903" s="47">
        <f t="shared" si="556"/>
        <v>0</v>
      </c>
      <c r="N1903" s="177">
        <f>SUMIFS('Support - Transition'!G:G,'Support - Transition'!J:J,'Step 2'!D1903,'Support - Transition'!E:E,"2009 WELFARE ALLOCATION FACTOR")</f>
        <v>0</v>
      </c>
      <c r="O1903" s="152">
        <f t="shared" si="561"/>
        <v>0</v>
      </c>
      <c r="P1903" s="126">
        <f>IF(E1903="Y",0,SUMIFS('Support - Transition'!G:G,'Support - Transition'!J:J,'Step 2'!D1903,'Support - Transition'!E:E,"2009 SCHOOL ALLOCATION FACTOR"))</f>
        <v>0</v>
      </c>
      <c r="Q1903" s="126">
        <f>IF(E1903="Y",VLOOKUP(D1903,'Support - Unit Adjustments'!F:G,2,FALSE),0)</f>
        <v>0</v>
      </c>
      <c r="R1903" s="155">
        <f t="shared" si="573"/>
        <v>0</v>
      </c>
      <c r="S1903" s="47">
        <f t="shared" si="572"/>
        <v>0</v>
      </c>
      <c r="T1903" s="151">
        <f t="shared" si="557"/>
        <v>0</v>
      </c>
      <c r="U1903" s="151">
        <f t="shared" si="558"/>
        <v>0</v>
      </c>
      <c r="V1903" s="139">
        <f t="shared" si="559"/>
        <v>0</v>
      </c>
      <c r="W1903" s="152">
        <f t="shared" si="562"/>
        <v>0</v>
      </c>
      <c r="X1903" s="127" t="str">
        <f t="shared" si="560"/>
        <v/>
      </c>
      <c r="Y1903" s="207">
        <f t="shared" si="563"/>
        <v>0</v>
      </c>
      <c r="Z1903" s="139">
        <f t="shared" si="564"/>
        <v>0</v>
      </c>
      <c r="AA1903" s="139">
        <f t="shared" si="565"/>
        <v>0</v>
      </c>
      <c r="AC1903" s="47">
        <f t="shared" si="566"/>
        <v>0</v>
      </c>
      <c r="AD1903" s="47">
        <f t="shared" si="567"/>
        <v>0</v>
      </c>
      <c r="AE1903" s="47">
        <f t="shared" si="568"/>
        <v>0</v>
      </c>
      <c r="AG1903" s="47">
        <f t="shared" si="569"/>
        <v>0</v>
      </c>
      <c r="AH1903" s="47">
        <f t="shared" si="570"/>
        <v>0</v>
      </c>
      <c r="AI1903" s="208">
        <f t="shared" si="571"/>
        <v>0</v>
      </c>
    </row>
    <row r="1904" spans="1:35">
      <c r="A1904" t="s">
        <v>2147</v>
      </c>
      <c r="B1904" t="s">
        <v>3286</v>
      </c>
      <c r="C1904" t="s">
        <v>2196</v>
      </c>
      <c r="D1904" t="s">
        <v>5379</v>
      </c>
      <c r="F1904" t="s">
        <v>4009</v>
      </c>
      <c r="G1904" s="126">
        <f>SUMIFS('Support - Transition'!F:F,'Support - Transition'!B:B,'Step 2'!A1904,'Support - Transition'!C:C,'Step 2'!B1904,'Support - Transition'!D:D,'Step 2'!C1904,'Support - Transition'!E:E,"CIVIL")</f>
        <v>0</v>
      </c>
      <c r="H1904" s="126">
        <f>SUMIFS('Support - Transition'!F:F,'Support - Transition'!B:B,'Step 2'!A1904,'Support - Transition'!C:C,'Step 2'!B1904,'Support - Transition'!D:D,'Step 2'!C1904,'Support - Transition'!E:E,"FIRE")</f>
        <v>0</v>
      </c>
      <c r="I1904" s="126">
        <f>IF(B1904="0",SUMIFS('Support - Transition'!F:F,'Support - Transition'!J:J,'Step 2'!D1904,'Support - Transition'!E:E,"STATE UNIT"),SUMIFS('Support - Transition'!F:F,'Support - Transition'!J:J,'Step 2'!D1904))</f>
        <v>0</v>
      </c>
      <c r="J1904" s="126">
        <f>SUMIFS('Support - Unit Adjustments'!E:E,'Support - Unit Adjustments'!F:F,'Step 2'!D1904)</f>
        <v>0</v>
      </c>
      <c r="K1904" s="126">
        <f t="shared" si="555"/>
        <v>0</v>
      </c>
      <c r="L1904" s="174">
        <f>VLOOKUP(A1904,'Step 1'!$A:$E,4,FALSE)</f>
        <v>170346</v>
      </c>
      <c r="M1904" s="47">
        <f t="shared" si="556"/>
        <v>0</v>
      </c>
      <c r="N1904" s="177">
        <f>SUMIFS('Support - Transition'!G:G,'Support - Transition'!J:J,'Step 2'!D1904,'Support - Transition'!E:E,"2009 WELFARE ALLOCATION FACTOR")</f>
        <v>0</v>
      </c>
      <c r="O1904" s="152">
        <f t="shared" si="561"/>
        <v>0</v>
      </c>
      <c r="P1904" s="126">
        <f>IF(E1904="Y",0,SUMIFS('Support - Transition'!G:G,'Support - Transition'!J:J,'Step 2'!D1904,'Support - Transition'!E:E,"2009 SCHOOL ALLOCATION FACTOR"))</f>
        <v>0</v>
      </c>
      <c r="Q1904" s="126">
        <f>IF(E1904="Y",VLOOKUP(D1904,'Support - Unit Adjustments'!F:G,2,FALSE),0)</f>
        <v>0</v>
      </c>
      <c r="R1904" s="155">
        <f t="shared" si="573"/>
        <v>0</v>
      </c>
      <c r="S1904" s="47">
        <f t="shared" si="572"/>
        <v>0</v>
      </c>
      <c r="T1904" s="151">
        <f t="shared" si="557"/>
        <v>0</v>
      </c>
      <c r="U1904" s="151">
        <f t="shared" si="558"/>
        <v>0</v>
      </c>
      <c r="V1904" s="139">
        <f t="shared" si="559"/>
        <v>0</v>
      </c>
      <c r="W1904" s="152">
        <f t="shared" si="562"/>
        <v>0</v>
      </c>
      <c r="X1904" s="127" t="str">
        <f t="shared" si="560"/>
        <v/>
      </c>
      <c r="Y1904" s="207">
        <f t="shared" si="563"/>
        <v>0</v>
      </c>
      <c r="Z1904" s="139">
        <f t="shared" si="564"/>
        <v>0</v>
      </c>
      <c r="AA1904" s="139">
        <f t="shared" si="565"/>
        <v>0</v>
      </c>
      <c r="AC1904" s="47">
        <f t="shared" si="566"/>
        <v>0</v>
      </c>
      <c r="AD1904" s="47">
        <f t="shared" si="567"/>
        <v>0</v>
      </c>
      <c r="AE1904" s="47">
        <f t="shared" si="568"/>
        <v>0</v>
      </c>
      <c r="AG1904" s="47">
        <f t="shared" si="569"/>
        <v>0</v>
      </c>
      <c r="AH1904" s="47">
        <f t="shared" si="570"/>
        <v>0</v>
      </c>
      <c r="AI1904" s="208">
        <f t="shared" si="571"/>
        <v>0</v>
      </c>
    </row>
    <row r="1905" spans="1:35">
      <c r="A1905" t="s">
        <v>2147</v>
      </c>
      <c r="B1905" t="s">
        <v>3286</v>
      </c>
      <c r="C1905" t="s">
        <v>5380</v>
      </c>
      <c r="D1905" t="s">
        <v>5381</v>
      </c>
      <c r="F1905" t="s">
        <v>5382</v>
      </c>
      <c r="G1905" s="126">
        <f>SUMIFS('Support - Transition'!F:F,'Support - Transition'!B:B,'Step 2'!A1905,'Support - Transition'!C:C,'Step 2'!B1905,'Support - Transition'!D:D,'Step 2'!C1905,'Support - Transition'!E:E,"CIVIL")</f>
        <v>0</v>
      </c>
      <c r="H1905" s="126">
        <f>SUMIFS('Support - Transition'!F:F,'Support - Transition'!B:B,'Step 2'!A1905,'Support - Transition'!C:C,'Step 2'!B1905,'Support - Transition'!D:D,'Step 2'!C1905,'Support - Transition'!E:E,"FIRE")</f>
        <v>0</v>
      </c>
      <c r="I1905" s="126">
        <f>IF(B1905="0",SUMIFS('Support - Transition'!F:F,'Support - Transition'!J:J,'Step 2'!D1905,'Support - Transition'!E:E,"STATE UNIT"),SUMIFS('Support - Transition'!F:F,'Support - Transition'!J:J,'Step 2'!D1905))</f>
        <v>0</v>
      </c>
      <c r="J1905" s="126">
        <f>SUMIFS('Support - Unit Adjustments'!E:E,'Support - Unit Adjustments'!F:F,'Step 2'!D1905)</f>
        <v>0</v>
      </c>
      <c r="K1905" s="126">
        <f t="shared" si="555"/>
        <v>0</v>
      </c>
      <c r="L1905" s="174">
        <f>VLOOKUP(A1905,'Step 1'!$A:$E,4,FALSE)</f>
        <v>170346</v>
      </c>
      <c r="M1905" s="47">
        <f t="shared" si="556"/>
        <v>0</v>
      </c>
      <c r="N1905" s="177">
        <f>SUMIFS('Support - Transition'!G:G,'Support - Transition'!J:J,'Step 2'!D1905,'Support - Transition'!E:E,"2009 WELFARE ALLOCATION FACTOR")</f>
        <v>0</v>
      </c>
      <c r="O1905" s="152">
        <f t="shared" si="561"/>
        <v>0</v>
      </c>
      <c r="P1905" s="126">
        <f>IF(E1905="Y",0,SUMIFS('Support - Transition'!G:G,'Support - Transition'!J:J,'Step 2'!D1905,'Support - Transition'!E:E,"2009 SCHOOL ALLOCATION FACTOR"))</f>
        <v>0</v>
      </c>
      <c r="Q1905" s="126">
        <f>IF(E1905="Y",VLOOKUP(D1905,'Support - Unit Adjustments'!F:G,2,FALSE),0)</f>
        <v>0</v>
      </c>
      <c r="R1905" s="155">
        <f t="shared" si="573"/>
        <v>0</v>
      </c>
      <c r="S1905" s="47">
        <f t="shared" si="572"/>
        <v>0</v>
      </c>
      <c r="T1905" s="151">
        <f t="shared" si="557"/>
        <v>0</v>
      </c>
      <c r="U1905" s="151">
        <f t="shared" si="558"/>
        <v>0</v>
      </c>
      <c r="V1905" s="139">
        <f t="shared" si="559"/>
        <v>0</v>
      </c>
      <c r="W1905" s="152">
        <f t="shared" si="562"/>
        <v>0</v>
      </c>
      <c r="X1905" s="127" t="str">
        <f t="shared" si="560"/>
        <v/>
      </c>
      <c r="Y1905" s="207">
        <f t="shared" si="563"/>
        <v>0</v>
      </c>
      <c r="Z1905" s="139">
        <f t="shared" si="564"/>
        <v>0</v>
      </c>
      <c r="AA1905" s="139">
        <f t="shared" si="565"/>
        <v>0</v>
      </c>
      <c r="AC1905" s="47">
        <f t="shared" si="566"/>
        <v>0</v>
      </c>
      <c r="AD1905" s="47">
        <f t="shared" si="567"/>
        <v>0</v>
      </c>
      <c r="AE1905" s="47">
        <f t="shared" si="568"/>
        <v>0</v>
      </c>
      <c r="AG1905" s="47">
        <f t="shared" si="569"/>
        <v>0</v>
      </c>
      <c r="AH1905" s="47">
        <f t="shared" si="570"/>
        <v>0</v>
      </c>
      <c r="AI1905" s="208">
        <f t="shared" si="571"/>
        <v>0</v>
      </c>
    </row>
    <row r="1906" spans="1:35">
      <c r="A1906" t="s">
        <v>2148</v>
      </c>
      <c r="B1906" s="48" t="s">
        <v>6274</v>
      </c>
      <c r="C1906" t="s">
        <v>2187</v>
      </c>
      <c r="D1906" t="str">
        <f>A1906&amp;B1906&amp;C1906</f>
        <v>6400000</v>
      </c>
      <c r="F1906" t="s">
        <v>6338</v>
      </c>
      <c r="G1906" s="126">
        <f>SUMIFS('Support - Transition'!F:F,'Support - Transition'!B:B,'Step 2'!A1906,'Support - Transition'!C:C,'Step 2'!B1906,'Support - Transition'!D:D,'Step 2'!C1906,'Support - Transition'!E:E,"CIVIL")</f>
        <v>0</v>
      </c>
      <c r="H1906" s="126">
        <f>SUMIFS('Support - Transition'!F:F,'Support - Transition'!B:B,'Step 2'!A1906,'Support - Transition'!C:C,'Step 2'!B1906,'Support - Transition'!D:D,'Step 2'!C1906,'Support - Transition'!E:E,"FIRE")</f>
        <v>0</v>
      </c>
      <c r="I1906" s="126">
        <f>IF(B1906="0",SUMIFS('Support - Transition'!F:F,'Support - Transition'!J:J,'Step 2'!D1906,'Support - Transition'!E:E,"STATE UNIT"),SUMIFS('Support - Transition'!F:F,'Support - Transition'!J:J,'Step 2'!D1906))</f>
        <v>1.005E-3</v>
      </c>
      <c r="J1906" s="126">
        <f>SUMIFS('Support - Unit Adjustments'!E:E,'Support - Unit Adjustments'!F:F,'Step 2'!D1906)</f>
        <v>0</v>
      </c>
      <c r="K1906" s="126">
        <f t="shared" si="555"/>
        <v>1.005E-3</v>
      </c>
      <c r="L1906" s="174">
        <f>VLOOKUP(A1906,'Step 1'!$A:$E,4,FALSE)</f>
        <v>1875386</v>
      </c>
      <c r="M1906" s="47">
        <f t="shared" si="556"/>
        <v>1885</v>
      </c>
      <c r="N1906" s="177">
        <f>SUMIFS('Support - Transition'!G:G,'Support - Transition'!J:J,'Step 2'!D1906,'Support - Transition'!E:E,"2009 WELFARE ALLOCATION FACTOR")</f>
        <v>0</v>
      </c>
      <c r="O1906" s="152">
        <f t="shared" si="561"/>
        <v>0</v>
      </c>
      <c r="P1906" s="126">
        <f>IF(E1906="Y",0,SUMIFS('Support - Transition'!G:G,'Support - Transition'!J:J,'Step 2'!D1906,'Support - Transition'!E:E,"2009 SCHOOL ALLOCATION FACTOR"))</f>
        <v>0</v>
      </c>
      <c r="Q1906" s="126">
        <f>IF(E1906="Y",VLOOKUP(D1906,'Support - Unit Adjustments'!F:G,2,FALSE),0)</f>
        <v>0</v>
      </c>
      <c r="R1906" s="155">
        <f t="shared" si="573"/>
        <v>0</v>
      </c>
      <c r="S1906" s="47">
        <f t="shared" si="572"/>
        <v>0</v>
      </c>
      <c r="T1906" s="151">
        <f t="shared" si="557"/>
        <v>1885</v>
      </c>
      <c r="U1906" s="151">
        <f t="shared" si="558"/>
        <v>1875384</v>
      </c>
      <c r="V1906" s="139">
        <f t="shared" si="559"/>
        <v>-2</v>
      </c>
      <c r="W1906" s="152">
        <f t="shared" si="562"/>
        <v>1887</v>
      </c>
      <c r="X1906" s="127">
        <f t="shared" si="560"/>
        <v>0</v>
      </c>
      <c r="Y1906" s="207">
        <f t="shared" si="563"/>
        <v>1887</v>
      </c>
      <c r="Z1906" s="139">
        <f t="shared" si="564"/>
        <v>1887</v>
      </c>
      <c r="AA1906" s="139">
        <f t="shared" si="565"/>
        <v>0</v>
      </c>
      <c r="AC1906" s="47">
        <f t="shared" si="566"/>
        <v>944</v>
      </c>
      <c r="AD1906" s="47">
        <f t="shared" si="567"/>
        <v>944</v>
      </c>
      <c r="AE1906" s="47">
        <f t="shared" si="568"/>
        <v>0</v>
      </c>
      <c r="AG1906" s="47">
        <f t="shared" si="569"/>
        <v>943</v>
      </c>
      <c r="AH1906" s="47">
        <f t="shared" si="570"/>
        <v>943</v>
      </c>
      <c r="AI1906" s="208">
        <f t="shared" si="571"/>
        <v>0</v>
      </c>
    </row>
    <row r="1907" spans="1:35">
      <c r="A1907" t="s">
        <v>2148</v>
      </c>
      <c r="B1907" t="s">
        <v>3140</v>
      </c>
      <c r="C1907" t="s">
        <v>2187</v>
      </c>
      <c r="D1907" t="s">
        <v>5383</v>
      </c>
      <c r="F1907" t="s">
        <v>1409</v>
      </c>
      <c r="G1907" s="126">
        <f>SUMIFS('Support - Transition'!F:F,'Support - Transition'!B:B,'Step 2'!A1907,'Support - Transition'!C:C,'Step 2'!B1907,'Support - Transition'!D:D,'Step 2'!C1907,'Support - Transition'!E:E,"CIVIL")</f>
        <v>0</v>
      </c>
      <c r="H1907" s="126">
        <f>SUMIFS('Support - Transition'!F:F,'Support - Transition'!B:B,'Step 2'!A1907,'Support - Transition'!C:C,'Step 2'!B1907,'Support - Transition'!D:D,'Step 2'!C1907,'Support - Transition'!E:E,"FIRE")</f>
        <v>0</v>
      </c>
      <c r="I1907" s="126">
        <f>IF(B1907="0",SUMIFS('Support - Transition'!F:F,'Support - Transition'!J:J,'Step 2'!D1907,'Support - Transition'!E:E,"STATE UNIT"),SUMIFS('Support - Transition'!F:F,'Support - Transition'!J:J,'Step 2'!D1907))</f>
        <v>0.14858399999999999</v>
      </c>
      <c r="J1907" s="126">
        <f>SUMIFS('Support - Unit Adjustments'!E:E,'Support - Unit Adjustments'!F:F,'Step 2'!D1907)</f>
        <v>0</v>
      </c>
      <c r="K1907" s="126">
        <f t="shared" si="555"/>
        <v>0.14858399999999999</v>
      </c>
      <c r="L1907" s="174">
        <f>VLOOKUP(A1907,'Step 1'!$A:$E,4,FALSE)</f>
        <v>1875386</v>
      </c>
      <c r="M1907" s="47">
        <f t="shared" si="556"/>
        <v>278652</v>
      </c>
      <c r="N1907" s="177">
        <f>SUMIFS('Support - Transition'!G:G,'Support - Transition'!J:J,'Step 2'!D1907,'Support - Transition'!E:E,"2009 WELFARE ALLOCATION FACTOR")</f>
        <v>0.20021600000000001</v>
      </c>
      <c r="O1907" s="152">
        <f t="shared" si="561"/>
        <v>55791</v>
      </c>
      <c r="P1907" s="126">
        <f>IF(E1907="Y",0,SUMIFS('Support - Transition'!G:G,'Support - Transition'!J:J,'Step 2'!D1907,'Support - Transition'!E:E,"2009 SCHOOL ALLOCATION FACTOR"))</f>
        <v>0</v>
      </c>
      <c r="Q1907" s="126">
        <f>IF(E1907="Y",VLOOKUP(D1907,'Support - Unit Adjustments'!F:G,2,FALSE),0)</f>
        <v>0</v>
      </c>
      <c r="R1907" s="155">
        <f t="shared" si="573"/>
        <v>0</v>
      </c>
      <c r="S1907" s="47">
        <f t="shared" si="572"/>
        <v>0</v>
      </c>
      <c r="T1907" s="151">
        <f t="shared" si="557"/>
        <v>222861</v>
      </c>
      <c r="U1907" s="151">
        <f t="shared" si="558"/>
        <v>0</v>
      </c>
      <c r="V1907" s="139">
        <f t="shared" si="559"/>
        <v>0</v>
      </c>
      <c r="W1907" s="152">
        <f t="shared" si="562"/>
        <v>222861</v>
      </c>
      <c r="X1907" s="127" t="str">
        <f t="shared" si="560"/>
        <v/>
      </c>
      <c r="Y1907" s="207">
        <f t="shared" si="563"/>
        <v>222861</v>
      </c>
      <c r="Z1907" s="139">
        <f t="shared" si="564"/>
        <v>222861</v>
      </c>
      <c r="AA1907" s="139">
        <f t="shared" si="565"/>
        <v>0</v>
      </c>
      <c r="AC1907" s="47">
        <f t="shared" si="566"/>
        <v>111431</v>
      </c>
      <c r="AD1907" s="47">
        <f t="shared" si="567"/>
        <v>111431</v>
      </c>
      <c r="AE1907" s="47">
        <f t="shared" si="568"/>
        <v>0</v>
      </c>
      <c r="AG1907" s="47">
        <f t="shared" si="569"/>
        <v>111430</v>
      </c>
      <c r="AH1907" s="47">
        <f t="shared" si="570"/>
        <v>111430</v>
      </c>
      <c r="AI1907" s="208">
        <f t="shared" si="571"/>
        <v>0</v>
      </c>
    </row>
    <row r="1908" spans="1:35">
      <c r="A1908" t="s">
        <v>2148</v>
      </c>
      <c r="B1908" t="s">
        <v>3142</v>
      </c>
      <c r="C1908" t="s">
        <v>2188</v>
      </c>
      <c r="D1908" t="s">
        <v>5384</v>
      </c>
      <c r="F1908" t="s">
        <v>200</v>
      </c>
      <c r="G1908" s="126">
        <f>SUMIFS('Support - Transition'!F:F,'Support - Transition'!B:B,'Step 2'!A1908,'Support - Transition'!C:C,'Step 2'!B1908,'Support - Transition'!D:D,'Step 2'!C1908,'Support - Transition'!E:E,"CIVIL")</f>
        <v>5.7399999999999997E-4</v>
      </c>
      <c r="H1908" s="126">
        <f>SUMIFS('Support - Transition'!F:F,'Support - Transition'!B:B,'Step 2'!A1908,'Support - Transition'!C:C,'Step 2'!B1908,'Support - Transition'!D:D,'Step 2'!C1908,'Support - Transition'!E:E,"FIRE")</f>
        <v>9.5000000000000005E-5</v>
      </c>
      <c r="I1908" s="126">
        <f>IF(B1908="0",SUMIFS('Support - Transition'!F:F,'Support - Transition'!J:J,'Step 2'!D1908,'Support - Transition'!E:E,"STATE UNIT"),SUMIFS('Support - Transition'!F:F,'Support - Transition'!J:J,'Step 2'!D1908))</f>
        <v>6.69E-4</v>
      </c>
      <c r="J1908" s="126">
        <f>SUMIFS('Support - Unit Adjustments'!E:E,'Support - Unit Adjustments'!F:F,'Step 2'!D1908)</f>
        <v>0</v>
      </c>
      <c r="K1908" s="126">
        <f t="shared" si="555"/>
        <v>6.69E-4</v>
      </c>
      <c r="L1908" s="174">
        <f>VLOOKUP(A1908,'Step 1'!$A:$E,4,FALSE)</f>
        <v>1875386</v>
      </c>
      <c r="M1908" s="47">
        <f t="shared" si="556"/>
        <v>1255</v>
      </c>
      <c r="N1908" s="177">
        <f>SUMIFS('Support - Transition'!G:G,'Support - Transition'!J:J,'Step 2'!D1908,'Support - Transition'!E:E,"2009 WELFARE ALLOCATION FACTOR")</f>
        <v>0</v>
      </c>
      <c r="O1908" s="152">
        <f t="shared" si="561"/>
        <v>0</v>
      </c>
      <c r="P1908" s="126">
        <f>IF(E1908="Y",0,SUMIFS('Support - Transition'!G:G,'Support - Transition'!J:J,'Step 2'!D1908,'Support - Transition'!E:E,"2009 SCHOOL ALLOCATION FACTOR"))</f>
        <v>0</v>
      </c>
      <c r="Q1908" s="126">
        <f>IF(E1908="Y",VLOOKUP(D1908,'Support - Unit Adjustments'!F:G,2,FALSE),0)</f>
        <v>0</v>
      </c>
      <c r="R1908" s="155">
        <f t="shared" si="573"/>
        <v>0</v>
      </c>
      <c r="S1908" s="47">
        <f t="shared" si="572"/>
        <v>0</v>
      </c>
      <c r="T1908" s="151">
        <f t="shared" si="557"/>
        <v>1255</v>
      </c>
      <c r="U1908" s="151">
        <f t="shared" si="558"/>
        <v>0</v>
      </c>
      <c r="V1908" s="139">
        <f t="shared" si="559"/>
        <v>0</v>
      </c>
      <c r="W1908" s="152">
        <f t="shared" si="562"/>
        <v>1255</v>
      </c>
      <c r="X1908" s="127" t="str">
        <f t="shared" si="560"/>
        <v/>
      </c>
      <c r="Y1908" s="207">
        <f t="shared" si="563"/>
        <v>1255</v>
      </c>
      <c r="Z1908" s="139">
        <f t="shared" si="564"/>
        <v>1077</v>
      </c>
      <c r="AA1908" s="139">
        <f t="shared" si="565"/>
        <v>178</v>
      </c>
      <c r="AC1908" s="47">
        <f t="shared" si="566"/>
        <v>628</v>
      </c>
      <c r="AD1908" s="47">
        <f t="shared" si="567"/>
        <v>539</v>
      </c>
      <c r="AE1908" s="47">
        <f t="shared" si="568"/>
        <v>89</v>
      </c>
      <c r="AG1908" s="47">
        <f t="shared" si="569"/>
        <v>627</v>
      </c>
      <c r="AH1908" s="47">
        <f t="shared" si="570"/>
        <v>538</v>
      </c>
      <c r="AI1908" s="208">
        <f t="shared" si="571"/>
        <v>89</v>
      </c>
    </row>
    <row r="1909" spans="1:35">
      <c r="A1909" t="s">
        <v>2148</v>
      </c>
      <c r="B1909" t="s">
        <v>3142</v>
      </c>
      <c r="C1909" t="s">
        <v>2189</v>
      </c>
      <c r="D1909" t="s">
        <v>5385</v>
      </c>
      <c r="F1909" t="s">
        <v>107</v>
      </c>
      <c r="G1909" s="126">
        <f>SUMIFS('Support - Transition'!F:F,'Support - Transition'!B:B,'Step 2'!A1909,'Support - Transition'!C:C,'Step 2'!B1909,'Support - Transition'!D:D,'Step 2'!C1909,'Support - Transition'!E:E,"CIVIL")</f>
        <v>1.9959999999999999E-3</v>
      </c>
      <c r="H1909" s="126">
        <f>SUMIFS('Support - Transition'!F:F,'Support - Transition'!B:B,'Step 2'!A1909,'Support - Transition'!C:C,'Step 2'!B1909,'Support - Transition'!D:D,'Step 2'!C1909,'Support - Transition'!E:E,"FIRE")</f>
        <v>8.0599999999999997E-4</v>
      </c>
      <c r="I1909" s="126">
        <f>IF(B1909="0",SUMIFS('Support - Transition'!F:F,'Support - Transition'!J:J,'Step 2'!D1909,'Support - Transition'!E:E,"STATE UNIT"),SUMIFS('Support - Transition'!F:F,'Support - Transition'!J:J,'Step 2'!D1909))</f>
        <v>2.8019999999999998E-3</v>
      </c>
      <c r="J1909" s="126">
        <f>SUMIFS('Support - Unit Adjustments'!E:E,'Support - Unit Adjustments'!F:F,'Step 2'!D1909)</f>
        <v>0</v>
      </c>
      <c r="K1909" s="126">
        <f t="shared" si="555"/>
        <v>2.8019999999999998E-3</v>
      </c>
      <c r="L1909" s="174">
        <f>VLOOKUP(A1909,'Step 1'!$A:$E,4,FALSE)</f>
        <v>1875386</v>
      </c>
      <c r="M1909" s="47">
        <f t="shared" si="556"/>
        <v>5255</v>
      </c>
      <c r="N1909" s="177">
        <f>SUMIFS('Support - Transition'!G:G,'Support - Transition'!J:J,'Step 2'!D1909,'Support - Transition'!E:E,"2009 WELFARE ALLOCATION FACTOR")</f>
        <v>0</v>
      </c>
      <c r="O1909" s="152">
        <f t="shared" si="561"/>
        <v>0</v>
      </c>
      <c r="P1909" s="126">
        <f>IF(E1909="Y",0,SUMIFS('Support - Transition'!G:G,'Support - Transition'!J:J,'Step 2'!D1909,'Support - Transition'!E:E,"2009 SCHOOL ALLOCATION FACTOR"))</f>
        <v>0</v>
      </c>
      <c r="Q1909" s="126">
        <f>IF(E1909="Y",VLOOKUP(D1909,'Support - Unit Adjustments'!F:G,2,FALSE),0)</f>
        <v>0</v>
      </c>
      <c r="R1909" s="155">
        <f t="shared" si="573"/>
        <v>0</v>
      </c>
      <c r="S1909" s="47">
        <f t="shared" si="572"/>
        <v>0</v>
      </c>
      <c r="T1909" s="151">
        <f t="shared" si="557"/>
        <v>5255</v>
      </c>
      <c r="U1909" s="151">
        <f t="shared" si="558"/>
        <v>0</v>
      </c>
      <c r="V1909" s="139">
        <f t="shared" si="559"/>
        <v>0</v>
      </c>
      <c r="W1909" s="152">
        <f t="shared" si="562"/>
        <v>5255</v>
      </c>
      <c r="X1909" s="127" t="str">
        <f t="shared" si="560"/>
        <v/>
      </c>
      <c r="Y1909" s="207">
        <f t="shared" si="563"/>
        <v>5255</v>
      </c>
      <c r="Z1909" s="139">
        <f t="shared" si="564"/>
        <v>3743</v>
      </c>
      <c r="AA1909" s="139">
        <f t="shared" si="565"/>
        <v>1512</v>
      </c>
      <c r="AC1909" s="47">
        <f t="shared" si="566"/>
        <v>2628</v>
      </c>
      <c r="AD1909" s="47">
        <f t="shared" si="567"/>
        <v>1872</v>
      </c>
      <c r="AE1909" s="47">
        <f t="shared" si="568"/>
        <v>756</v>
      </c>
      <c r="AG1909" s="47">
        <f t="shared" si="569"/>
        <v>2627</v>
      </c>
      <c r="AH1909" s="47">
        <f t="shared" si="570"/>
        <v>1871</v>
      </c>
      <c r="AI1909" s="208">
        <f t="shared" si="571"/>
        <v>756</v>
      </c>
    </row>
    <row r="1910" spans="1:35">
      <c r="A1910" t="s">
        <v>2148</v>
      </c>
      <c r="B1910" t="s">
        <v>3142</v>
      </c>
      <c r="C1910" t="s">
        <v>2190</v>
      </c>
      <c r="D1910" t="s">
        <v>5386</v>
      </c>
      <c r="F1910" t="s">
        <v>49</v>
      </c>
      <c r="G1910" s="126">
        <f>SUMIFS('Support - Transition'!F:F,'Support - Transition'!B:B,'Step 2'!A1910,'Support - Transition'!C:C,'Step 2'!B1910,'Support - Transition'!D:D,'Step 2'!C1910,'Support - Transition'!E:E,"CIVIL")</f>
        <v>1.4300000000000001E-4</v>
      </c>
      <c r="H1910" s="126">
        <f>SUMIFS('Support - Transition'!F:F,'Support - Transition'!B:B,'Step 2'!A1910,'Support - Transition'!C:C,'Step 2'!B1910,'Support - Transition'!D:D,'Step 2'!C1910,'Support - Transition'!E:E,"FIRE")</f>
        <v>2.13E-4</v>
      </c>
      <c r="I1910" s="126">
        <f>IF(B1910="0",SUMIFS('Support - Transition'!F:F,'Support - Transition'!J:J,'Step 2'!D1910,'Support - Transition'!E:E,"STATE UNIT"),SUMIFS('Support - Transition'!F:F,'Support - Transition'!J:J,'Step 2'!D1910))</f>
        <v>3.5599999999999998E-4</v>
      </c>
      <c r="J1910" s="126">
        <f>SUMIFS('Support - Unit Adjustments'!E:E,'Support - Unit Adjustments'!F:F,'Step 2'!D1910)</f>
        <v>0</v>
      </c>
      <c r="K1910" s="126">
        <f t="shared" si="555"/>
        <v>3.5599999999999998E-4</v>
      </c>
      <c r="L1910" s="174">
        <f>VLOOKUP(A1910,'Step 1'!$A:$E,4,FALSE)</f>
        <v>1875386</v>
      </c>
      <c r="M1910" s="47">
        <f t="shared" si="556"/>
        <v>668</v>
      </c>
      <c r="N1910" s="177">
        <f>SUMIFS('Support - Transition'!G:G,'Support - Transition'!J:J,'Step 2'!D1910,'Support - Transition'!E:E,"2009 WELFARE ALLOCATION FACTOR")</f>
        <v>0</v>
      </c>
      <c r="O1910" s="152">
        <f t="shared" si="561"/>
        <v>0</v>
      </c>
      <c r="P1910" s="126">
        <f>IF(E1910="Y",0,SUMIFS('Support - Transition'!G:G,'Support - Transition'!J:J,'Step 2'!D1910,'Support - Transition'!E:E,"2009 SCHOOL ALLOCATION FACTOR"))</f>
        <v>0</v>
      </c>
      <c r="Q1910" s="126">
        <f>IF(E1910="Y",VLOOKUP(D1910,'Support - Unit Adjustments'!F:G,2,FALSE),0)</f>
        <v>0</v>
      </c>
      <c r="R1910" s="155">
        <f t="shared" si="573"/>
        <v>0</v>
      </c>
      <c r="S1910" s="47">
        <f t="shared" si="572"/>
        <v>0</v>
      </c>
      <c r="T1910" s="151">
        <f t="shared" si="557"/>
        <v>668</v>
      </c>
      <c r="U1910" s="151">
        <f t="shared" si="558"/>
        <v>0</v>
      </c>
      <c r="V1910" s="139">
        <f t="shared" si="559"/>
        <v>0</v>
      </c>
      <c r="W1910" s="152">
        <f t="shared" si="562"/>
        <v>668</v>
      </c>
      <c r="X1910" s="127" t="str">
        <f t="shared" si="560"/>
        <v/>
      </c>
      <c r="Y1910" s="207">
        <f t="shared" si="563"/>
        <v>668</v>
      </c>
      <c r="Z1910" s="139">
        <f t="shared" si="564"/>
        <v>268</v>
      </c>
      <c r="AA1910" s="139">
        <f t="shared" si="565"/>
        <v>400</v>
      </c>
      <c r="AC1910" s="47">
        <f t="shared" si="566"/>
        <v>334</v>
      </c>
      <c r="AD1910" s="47">
        <f t="shared" si="567"/>
        <v>134</v>
      </c>
      <c r="AE1910" s="47">
        <f t="shared" si="568"/>
        <v>200</v>
      </c>
      <c r="AG1910" s="47">
        <f t="shared" si="569"/>
        <v>334</v>
      </c>
      <c r="AH1910" s="47">
        <f t="shared" si="570"/>
        <v>134</v>
      </c>
      <c r="AI1910" s="208">
        <f t="shared" si="571"/>
        <v>200</v>
      </c>
    </row>
    <row r="1911" spans="1:35">
      <c r="A1911" t="s">
        <v>2148</v>
      </c>
      <c r="B1911" t="s">
        <v>3142</v>
      </c>
      <c r="C1911" t="s">
        <v>2191</v>
      </c>
      <c r="D1911" t="s">
        <v>5387</v>
      </c>
      <c r="F1911" t="s">
        <v>181</v>
      </c>
      <c r="G1911" s="126">
        <f>SUMIFS('Support - Transition'!F:F,'Support - Transition'!B:B,'Step 2'!A1911,'Support - Transition'!C:C,'Step 2'!B1911,'Support - Transition'!D:D,'Step 2'!C1911,'Support - Transition'!E:E,"CIVIL")</f>
        <v>6.5499999999999998E-4</v>
      </c>
      <c r="H1911" s="126">
        <f>SUMIFS('Support - Transition'!F:F,'Support - Transition'!B:B,'Step 2'!A1911,'Support - Transition'!C:C,'Step 2'!B1911,'Support - Transition'!D:D,'Step 2'!C1911,'Support - Transition'!E:E,"FIRE")</f>
        <v>1.4710000000000001E-3</v>
      </c>
      <c r="I1911" s="126">
        <f>IF(B1911="0",SUMIFS('Support - Transition'!F:F,'Support - Transition'!J:J,'Step 2'!D1911,'Support - Transition'!E:E,"STATE UNIT"),SUMIFS('Support - Transition'!F:F,'Support - Transition'!J:J,'Step 2'!D1911))</f>
        <v>2.1260000000000003E-3</v>
      </c>
      <c r="J1911" s="126">
        <f>SUMIFS('Support - Unit Adjustments'!E:E,'Support - Unit Adjustments'!F:F,'Step 2'!D1911)</f>
        <v>0</v>
      </c>
      <c r="K1911" s="126">
        <f t="shared" si="555"/>
        <v>2.1260000000000003E-3</v>
      </c>
      <c r="L1911" s="174">
        <f>VLOOKUP(A1911,'Step 1'!$A:$E,4,FALSE)</f>
        <v>1875386</v>
      </c>
      <c r="M1911" s="47">
        <f t="shared" si="556"/>
        <v>3987</v>
      </c>
      <c r="N1911" s="177">
        <f>SUMIFS('Support - Transition'!G:G,'Support - Transition'!J:J,'Step 2'!D1911,'Support - Transition'!E:E,"2009 WELFARE ALLOCATION FACTOR")</f>
        <v>0</v>
      </c>
      <c r="O1911" s="152">
        <f t="shared" si="561"/>
        <v>0</v>
      </c>
      <c r="P1911" s="126">
        <f>IF(E1911="Y",0,SUMIFS('Support - Transition'!G:G,'Support - Transition'!J:J,'Step 2'!D1911,'Support - Transition'!E:E,"2009 SCHOOL ALLOCATION FACTOR"))</f>
        <v>0</v>
      </c>
      <c r="Q1911" s="126">
        <f>IF(E1911="Y",VLOOKUP(D1911,'Support - Unit Adjustments'!F:G,2,FALSE),0)</f>
        <v>0</v>
      </c>
      <c r="R1911" s="155">
        <f t="shared" si="573"/>
        <v>0</v>
      </c>
      <c r="S1911" s="47">
        <f t="shared" si="572"/>
        <v>0</v>
      </c>
      <c r="T1911" s="151">
        <f t="shared" si="557"/>
        <v>3987</v>
      </c>
      <c r="U1911" s="151">
        <f t="shared" si="558"/>
        <v>0</v>
      </c>
      <c r="V1911" s="139">
        <f t="shared" si="559"/>
        <v>0</v>
      </c>
      <c r="W1911" s="152">
        <f t="shared" si="562"/>
        <v>3987</v>
      </c>
      <c r="X1911" s="127" t="str">
        <f t="shared" si="560"/>
        <v/>
      </c>
      <c r="Y1911" s="207">
        <f t="shared" si="563"/>
        <v>3987</v>
      </c>
      <c r="Z1911" s="139">
        <f t="shared" si="564"/>
        <v>1228</v>
      </c>
      <c r="AA1911" s="139">
        <f t="shared" si="565"/>
        <v>2759</v>
      </c>
      <c r="AC1911" s="47">
        <f t="shared" si="566"/>
        <v>1994</v>
      </c>
      <c r="AD1911" s="47">
        <f t="shared" si="567"/>
        <v>614</v>
      </c>
      <c r="AE1911" s="47">
        <f t="shared" si="568"/>
        <v>1380</v>
      </c>
      <c r="AG1911" s="47">
        <f t="shared" si="569"/>
        <v>1993</v>
      </c>
      <c r="AH1911" s="47">
        <f t="shared" si="570"/>
        <v>614</v>
      </c>
      <c r="AI1911" s="208">
        <f t="shared" si="571"/>
        <v>1379</v>
      </c>
    </row>
    <row r="1912" spans="1:35">
      <c r="A1912" t="s">
        <v>2148</v>
      </c>
      <c r="B1912" t="s">
        <v>3142</v>
      </c>
      <c r="C1912" t="s">
        <v>2192</v>
      </c>
      <c r="D1912" t="s">
        <v>5388</v>
      </c>
      <c r="F1912" t="s">
        <v>691</v>
      </c>
      <c r="G1912" s="126">
        <f>SUMIFS('Support - Transition'!F:F,'Support - Transition'!B:B,'Step 2'!A1912,'Support - Transition'!C:C,'Step 2'!B1912,'Support - Transition'!D:D,'Step 2'!C1912,'Support - Transition'!E:E,"CIVIL")</f>
        <v>2.1499999999999999E-4</v>
      </c>
      <c r="H1912" s="126">
        <f>SUMIFS('Support - Transition'!F:F,'Support - Transition'!B:B,'Step 2'!A1912,'Support - Transition'!C:C,'Step 2'!B1912,'Support - Transition'!D:D,'Step 2'!C1912,'Support - Transition'!E:E,"FIRE")</f>
        <v>9.7999999999999997E-5</v>
      </c>
      <c r="I1912" s="126">
        <f>IF(B1912="0",SUMIFS('Support - Transition'!F:F,'Support - Transition'!J:J,'Step 2'!D1912,'Support - Transition'!E:E,"STATE UNIT"),SUMIFS('Support - Transition'!F:F,'Support - Transition'!J:J,'Step 2'!D1912))</f>
        <v>3.1300000000000002E-4</v>
      </c>
      <c r="J1912" s="126">
        <f>SUMIFS('Support - Unit Adjustments'!E:E,'Support - Unit Adjustments'!F:F,'Step 2'!D1912)</f>
        <v>0</v>
      </c>
      <c r="K1912" s="126">
        <f t="shared" si="555"/>
        <v>3.1300000000000002E-4</v>
      </c>
      <c r="L1912" s="174">
        <f>VLOOKUP(A1912,'Step 1'!$A:$E,4,FALSE)</f>
        <v>1875386</v>
      </c>
      <c r="M1912" s="47">
        <f t="shared" si="556"/>
        <v>587</v>
      </c>
      <c r="N1912" s="177">
        <f>SUMIFS('Support - Transition'!G:G,'Support - Transition'!J:J,'Step 2'!D1912,'Support - Transition'!E:E,"2009 WELFARE ALLOCATION FACTOR")</f>
        <v>0</v>
      </c>
      <c r="O1912" s="152">
        <f t="shared" si="561"/>
        <v>0</v>
      </c>
      <c r="P1912" s="126">
        <f>IF(E1912="Y",0,SUMIFS('Support - Transition'!G:G,'Support - Transition'!J:J,'Step 2'!D1912,'Support - Transition'!E:E,"2009 SCHOOL ALLOCATION FACTOR"))</f>
        <v>0</v>
      </c>
      <c r="Q1912" s="126">
        <f>IF(E1912="Y",VLOOKUP(D1912,'Support - Unit Adjustments'!F:G,2,FALSE),0)</f>
        <v>0</v>
      </c>
      <c r="R1912" s="155">
        <f t="shared" si="573"/>
        <v>0</v>
      </c>
      <c r="S1912" s="47">
        <f t="shared" si="572"/>
        <v>0</v>
      </c>
      <c r="T1912" s="151">
        <f t="shared" si="557"/>
        <v>587</v>
      </c>
      <c r="U1912" s="151">
        <f t="shared" si="558"/>
        <v>0</v>
      </c>
      <c r="V1912" s="139">
        <f t="shared" si="559"/>
        <v>0</v>
      </c>
      <c r="W1912" s="152">
        <f t="shared" si="562"/>
        <v>587</v>
      </c>
      <c r="X1912" s="127" t="str">
        <f t="shared" si="560"/>
        <v/>
      </c>
      <c r="Y1912" s="207">
        <f t="shared" si="563"/>
        <v>587</v>
      </c>
      <c r="Z1912" s="139">
        <f t="shared" si="564"/>
        <v>403</v>
      </c>
      <c r="AA1912" s="139">
        <f t="shared" si="565"/>
        <v>184</v>
      </c>
      <c r="AC1912" s="47">
        <f t="shared" si="566"/>
        <v>294</v>
      </c>
      <c r="AD1912" s="47">
        <f t="shared" si="567"/>
        <v>202</v>
      </c>
      <c r="AE1912" s="47">
        <f t="shared" si="568"/>
        <v>92</v>
      </c>
      <c r="AG1912" s="47">
        <f t="shared" si="569"/>
        <v>293</v>
      </c>
      <c r="AH1912" s="47">
        <f t="shared" si="570"/>
        <v>201</v>
      </c>
      <c r="AI1912" s="208">
        <f t="shared" si="571"/>
        <v>92</v>
      </c>
    </row>
    <row r="1913" spans="1:35">
      <c r="A1913" t="s">
        <v>2148</v>
      </c>
      <c r="B1913" t="s">
        <v>3142</v>
      </c>
      <c r="C1913" t="s">
        <v>2193</v>
      </c>
      <c r="D1913" t="s">
        <v>5389</v>
      </c>
      <c r="F1913" t="s">
        <v>113</v>
      </c>
      <c r="G1913" s="126">
        <f>SUMIFS('Support - Transition'!F:F,'Support - Transition'!B:B,'Step 2'!A1913,'Support - Transition'!C:C,'Step 2'!B1913,'Support - Transition'!D:D,'Step 2'!C1913,'Support - Transition'!E:E,"CIVIL")</f>
        <v>2.4699999999999999E-4</v>
      </c>
      <c r="H1913" s="126">
        <f>SUMIFS('Support - Transition'!F:F,'Support - Transition'!B:B,'Step 2'!A1913,'Support - Transition'!C:C,'Step 2'!B1913,'Support - Transition'!D:D,'Step 2'!C1913,'Support - Transition'!E:E,"FIRE")</f>
        <v>7.8999999999999996E-5</v>
      </c>
      <c r="I1913" s="126">
        <f>IF(B1913="0",SUMIFS('Support - Transition'!F:F,'Support - Transition'!J:J,'Step 2'!D1913,'Support - Transition'!E:E,"STATE UNIT"),SUMIFS('Support - Transition'!F:F,'Support - Transition'!J:J,'Step 2'!D1913))</f>
        <v>3.2600000000000001E-4</v>
      </c>
      <c r="J1913" s="126">
        <f>SUMIFS('Support - Unit Adjustments'!E:E,'Support - Unit Adjustments'!F:F,'Step 2'!D1913)</f>
        <v>0</v>
      </c>
      <c r="K1913" s="126">
        <f t="shared" si="555"/>
        <v>3.2600000000000001E-4</v>
      </c>
      <c r="L1913" s="174">
        <f>VLOOKUP(A1913,'Step 1'!$A:$E,4,FALSE)</f>
        <v>1875386</v>
      </c>
      <c r="M1913" s="47">
        <f t="shared" si="556"/>
        <v>611</v>
      </c>
      <c r="N1913" s="177">
        <f>SUMIFS('Support - Transition'!G:G,'Support - Transition'!J:J,'Step 2'!D1913,'Support - Transition'!E:E,"2009 WELFARE ALLOCATION FACTOR")</f>
        <v>0</v>
      </c>
      <c r="O1913" s="152">
        <f t="shared" si="561"/>
        <v>0</v>
      </c>
      <c r="P1913" s="126">
        <f>IF(E1913="Y",0,SUMIFS('Support - Transition'!G:G,'Support - Transition'!J:J,'Step 2'!D1913,'Support - Transition'!E:E,"2009 SCHOOL ALLOCATION FACTOR"))</f>
        <v>0</v>
      </c>
      <c r="Q1913" s="126">
        <f>IF(E1913="Y",VLOOKUP(D1913,'Support - Unit Adjustments'!F:G,2,FALSE),0)</f>
        <v>0</v>
      </c>
      <c r="R1913" s="155">
        <f t="shared" si="573"/>
        <v>0</v>
      </c>
      <c r="S1913" s="47">
        <f t="shared" si="572"/>
        <v>0</v>
      </c>
      <c r="T1913" s="151">
        <f t="shared" si="557"/>
        <v>611</v>
      </c>
      <c r="U1913" s="151">
        <f t="shared" si="558"/>
        <v>0</v>
      </c>
      <c r="V1913" s="139">
        <f t="shared" si="559"/>
        <v>0</v>
      </c>
      <c r="W1913" s="152">
        <f t="shared" si="562"/>
        <v>611</v>
      </c>
      <c r="X1913" s="127" t="str">
        <f t="shared" si="560"/>
        <v/>
      </c>
      <c r="Y1913" s="207">
        <f t="shared" si="563"/>
        <v>611</v>
      </c>
      <c r="Z1913" s="139">
        <f t="shared" si="564"/>
        <v>463</v>
      </c>
      <c r="AA1913" s="139">
        <f t="shared" si="565"/>
        <v>148</v>
      </c>
      <c r="AC1913" s="47">
        <f t="shared" si="566"/>
        <v>306</v>
      </c>
      <c r="AD1913" s="47">
        <f t="shared" si="567"/>
        <v>232</v>
      </c>
      <c r="AE1913" s="47">
        <f t="shared" si="568"/>
        <v>74</v>
      </c>
      <c r="AG1913" s="47">
        <f t="shared" si="569"/>
        <v>305</v>
      </c>
      <c r="AH1913" s="47">
        <f t="shared" si="570"/>
        <v>231</v>
      </c>
      <c r="AI1913" s="208">
        <f t="shared" si="571"/>
        <v>74</v>
      </c>
    </row>
    <row r="1914" spans="1:35">
      <c r="A1914" t="s">
        <v>2148</v>
      </c>
      <c r="B1914" t="s">
        <v>3142</v>
      </c>
      <c r="C1914" t="s">
        <v>2194</v>
      </c>
      <c r="D1914" t="s">
        <v>5390</v>
      </c>
      <c r="F1914" t="s">
        <v>57</v>
      </c>
      <c r="G1914" s="126">
        <f>SUMIFS('Support - Transition'!F:F,'Support - Transition'!B:B,'Step 2'!A1914,'Support - Transition'!C:C,'Step 2'!B1914,'Support - Transition'!D:D,'Step 2'!C1914,'Support - Transition'!E:E,"CIVIL")</f>
        <v>1.304E-3</v>
      </c>
      <c r="H1914" s="126">
        <f>SUMIFS('Support - Transition'!F:F,'Support - Transition'!B:B,'Step 2'!A1914,'Support - Transition'!C:C,'Step 2'!B1914,'Support - Transition'!D:D,'Step 2'!C1914,'Support - Transition'!E:E,"FIRE")</f>
        <v>3.2400000000000001E-4</v>
      </c>
      <c r="I1914" s="126">
        <f>IF(B1914="0",SUMIFS('Support - Transition'!F:F,'Support - Transition'!J:J,'Step 2'!D1914,'Support - Transition'!E:E,"STATE UNIT"),SUMIFS('Support - Transition'!F:F,'Support - Transition'!J:J,'Step 2'!D1914))</f>
        <v>1.6280000000000001E-3</v>
      </c>
      <c r="J1914" s="126">
        <f>SUMIFS('Support - Unit Adjustments'!E:E,'Support - Unit Adjustments'!F:F,'Step 2'!D1914)</f>
        <v>0</v>
      </c>
      <c r="K1914" s="126">
        <f t="shared" si="555"/>
        <v>1.6280000000000001E-3</v>
      </c>
      <c r="L1914" s="174">
        <f>VLOOKUP(A1914,'Step 1'!$A:$E,4,FALSE)</f>
        <v>1875386</v>
      </c>
      <c r="M1914" s="47">
        <f t="shared" si="556"/>
        <v>3053</v>
      </c>
      <c r="N1914" s="177">
        <f>SUMIFS('Support - Transition'!G:G,'Support - Transition'!J:J,'Step 2'!D1914,'Support - Transition'!E:E,"2009 WELFARE ALLOCATION FACTOR")</f>
        <v>0</v>
      </c>
      <c r="O1914" s="152">
        <f t="shared" si="561"/>
        <v>0</v>
      </c>
      <c r="P1914" s="126">
        <f>IF(E1914="Y",0,SUMIFS('Support - Transition'!G:G,'Support - Transition'!J:J,'Step 2'!D1914,'Support - Transition'!E:E,"2009 SCHOOL ALLOCATION FACTOR"))</f>
        <v>0</v>
      </c>
      <c r="Q1914" s="126">
        <f>IF(E1914="Y",VLOOKUP(D1914,'Support - Unit Adjustments'!F:G,2,FALSE),0)</f>
        <v>0</v>
      </c>
      <c r="R1914" s="155">
        <f t="shared" si="573"/>
        <v>0</v>
      </c>
      <c r="S1914" s="47">
        <f t="shared" si="572"/>
        <v>0</v>
      </c>
      <c r="T1914" s="151">
        <f t="shared" si="557"/>
        <v>3053</v>
      </c>
      <c r="U1914" s="151">
        <f t="shared" si="558"/>
        <v>0</v>
      </c>
      <c r="V1914" s="139">
        <f t="shared" si="559"/>
        <v>0</v>
      </c>
      <c r="W1914" s="152">
        <f t="shared" si="562"/>
        <v>3053</v>
      </c>
      <c r="X1914" s="127" t="str">
        <f t="shared" si="560"/>
        <v/>
      </c>
      <c r="Y1914" s="207">
        <f t="shared" si="563"/>
        <v>3053</v>
      </c>
      <c r="Z1914" s="139">
        <f t="shared" si="564"/>
        <v>2445</v>
      </c>
      <c r="AA1914" s="139">
        <f t="shared" si="565"/>
        <v>608</v>
      </c>
      <c r="AC1914" s="47">
        <f t="shared" si="566"/>
        <v>1527</v>
      </c>
      <c r="AD1914" s="47">
        <f t="shared" si="567"/>
        <v>1223</v>
      </c>
      <c r="AE1914" s="47">
        <f t="shared" si="568"/>
        <v>304</v>
      </c>
      <c r="AG1914" s="47">
        <f t="shared" si="569"/>
        <v>1526</v>
      </c>
      <c r="AH1914" s="47">
        <f t="shared" si="570"/>
        <v>1222</v>
      </c>
      <c r="AI1914" s="208">
        <f t="shared" si="571"/>
        <v>304</v>
      </c>
    </row>
    <row r="1915" spans="1:35">
      <c r="A1915" t="s">
        <v>2148</v>
      </c>
      <c r="B1915" t="s">
        <v>3142</v>
      </c>
      <c r="C1915" t="s">
        <v>2195</v>
      </c>
      <c r="D1915" t="s">
        <v>5391</v>
      </c>
      <c r="F1915" t="s">
        <v>1410</v>
      </c>
      <c r="G1915" s="126">
        <f>SUMIFS('Support - Transition'!F:F,'Support - Transition'!B:B,'Step 2'!A1915,'Support - Transition'!C:C,'Step 2'!B1915,'Support - Transition'!D:D,'Step 2'!C1915,'Support - Transition'!E:E,"CIVIL")</f>
        <v>1.0451E-2</v>
      </c>
      <c r="H1915" s="126">
        <f>SUMIFS('Support - Transition'!F:F,'Support - Transition'!B:B,'Step 2'!A1915,'Support - Transition'!C:C,'Step 2'!B1915,'Support - Transition'!D:D,'Step 2'!C1915,'Support - Transition'!E:E,"FIRE")</f>
        <v>4.37E-4</v>
      </c>
      <c r="I1915" s="126">
        <f>IF(B1915="0",SUMIFS('Support - Transition'!F:F,'Support - Transition'!J:J,'Step 2'!D1915,'Support - Transition'!E:E,"STATE UNIT"),SUMIFS('Support - Transition'!F:F,'Support - Transition'!J:J,'Step 2'!D1915))</f>
        <v>1.0888E-2</v>
      </c>
      <c r="J1915" s="126">
        <f>SUMIFS('Support - Unit Adjustments'!E:E,'Support - Unit Adjustments'!F:F,'Step 2'!D1915)</f>
        <v>0</v>
      </c>
      <c r="K1915" s="126">
        <f t="shared" si="555"/>
        <v>1.0888E-2</v>
      </c>
      <c r="L1915" s="174">
        <f>VLOOKUP(A1915,'Step 1'!$A:$E,4,FALSE)</f>
        <v>1875386</v>
      </c>
      <c r="M1915" s="47">
        <f t="shared" si="556"/>
        <v>20419</v>
      </c>
      <c r="N1915" s="177">
        <f>SUMIFS('Support - Transition'!G:G,'Support - Transition'!J:J,'Step 2'!D1915,'Support - Transition'!E:E,"2009 WELFARE ALLOCATION FACTOR")</f>
        <v>0</v>
      </c>
      <c r="O1915" s="152">
        <f t="shared" si="561"/>
        <v>0</v>
      </c>
      <c r="P1915" s="126">
        <f>IF(E1915="Y",0,SUMIFS('Support - Transition'!G:G,'Support - Transition'!J:J,'Step 2'!D1915,'Support - Transition'!E:E,"2009 SCHOOL ALLOCATION FACTOR"))</f>
        <v>0</v>
      </c>
      <c r="Q1915" s="126">
        <f>IF(E1915="Y",VLOOKUP(D1915,'Support - Unit Adjustments'!F:G,2,FALSE),0)</f>
        <v>0</v>
      </c>
      <c r="R1915" s="155">
        <f t="shared" si="573"/>
        <v>0</v>
      </c>
      <c r="S1915" s="47">
        <f t="shared" si="572"/>
        <v>0</v>
      </c>
      <c r="T1915" s="151">
        <f t="shared" si="557"/>
        <v>20419</v>
      </c>
      <c r="U1915" s="151">
        <f t="shared" si="558"/>
        <v>0</v>
      </c>
      <c r="V1915" s="139">
        <f t="shared" si="559"/>
        <v>0</v>
      </c>
      <c r="W1915" s="152">
        <f t="shared" si="562"/>
        <v>20419</v>
      </c>
      <c r="X1915" s="127" t="str">
        <f t="shared" si="560"/>
        <v/>
      </c>
      <c r="Y1915" s="207">
        <f t="shared" si="563"/>
        <v>20419</v>
      </c>
      <c r="Z1915" s="139">
        <f t="shared" si="564"/>
        <v>19599</v>
      </c>
      <c r="AA1915" s="139">
        <f t="shared" si="565"/>
        <v>820</v>
      </c>
      <c r="AC1915" s="47">
        <f t="shared" si="566"/>
        <v>10210</v>
      </c>
      <c r="AD1915" s="47">
        <f t="shared" si="567"/>
        <v>9800</v>
      </c>
      <c r="AE1915" s="47">
        <f t="shared" si="568"/>
        <v>410</v>
      </c>
      <c r="AG1915" s="47">
        <f t="shared" si="569"/>
        <v>10209</v>
      </c>
      <c r="AH1915" s="47">
        <f t="shared" si="570"/>
        <v>9799</v>
      </c>
      <c r="AI1915" s="208">
        <f t="shared" si="571"/>
        <v>410</v>
      </c>
    </row>
    <row r="1916" spans="1:35">
      <c r="A1916" t="s">
        <v>2148</v>
      </c>
      <c r="B1916" t="s">
        <v>3142</v>
      </c>
      <c r="C1916" t="s">
        <v>2196</v>
      </c>
      <c r="D1916" t="s">
        <v>5392</v>
      </c>
      <c r="F1916" t="s">
        <v>1411</v>
      </c>
      <c r="G1916" s="126">
        <f>SUMIFS('Support - Transition'!F:F,'Support - Transition'!B:B,'Step 2'!A1916,'Support - Transition'!C:C,'Step 2'!B1916,'Support - Transition'!D:D,'Step 2'!C1916,'Support - Transition'!E:E,"CIVIL")</f>
        <v>5.6300000000000002E-4</v>
      </c>
      <c r="H1916" s="126">
        <f>SUMIFS('Support - Transition'!F:F,'Support - Transition'!B:B,'Step 2'!A1916,'Support - Transition'!C:C,'Step 2'!B1916,'Support - Transition'!D:D,'Step 2'!C1916,'Support - Transition'!E:E,"FIRE")</f>
        <v>4.0200000000000001E-4</v>
      </c>
      <c r="I1916" s="126">
        <f>IF(B1916="0",SUMIFS('Support - Transition'!F:F,'Support - Transition'!J:J,'Step 2'!D1916,'Support - Transition'!E:E,"STATE UNIT"),SUMIFS('Support - Transition'!F:F,'Support - Transition'!J:J,'Step 2'!D1916))</f>
        <v>9.6500000000000004E-4</v>
      </c>
      <c r="J1916" s="126">
        <f>SUMIFS('Support - Unit Adjustments'!E:E,'Support - Unit Adjustments'!F:F,'Step 2'!D1916)</f>
        <v>0</v>
      </c>
      <c r="K1916" s="126">
        <f t="shared" si="555"/>
        <v>9.6500000000000004E-4</v>
      </c>
      <c r="L1916" s="174">
        <f>VLOOKUP(A1916,'Step 1'!$A:$E,4,FALSE)</f>
        <v>1875386</v>
      </c>
      <c r="M1916" s="47">
        <f t="shared" si="556"/>
        <v>1810</v>
      </c>
      <c r="N1916" s="177">
        <f>SUMIFS('Support - Transition'!G:G,'Support - Transition'!J:J,'Step 2'!D1916,'Support - Transition'!E:E,"2009 WELFARE ALLOCATION FACTOR")</f>
        <v>0</v>
      </c>
      <c r="O1916" s="152">
        <f t="shared" si="561"/>
        <v>0</v>
      </c>
      <c r="P1916" s="126">
        <f>IF(E1916="Y",0,SUMIFS('Support - Transition'!G:G,'Support - Transition'!J:J,'Step 2'!D1916,'Support - Transition'!E:E,"2009 SCHOOL ALLOCATION FACTOR"))</f>
        <v>0</v>
      </c>
      <c r="Q1916" s="126">
        <f>IF(E1916="Y",VLOOKUP(D1916,'Support - Unit Adjustments'!F:G,2,FALSE),0)</f>
        <v>0</v>
      </c>
      <c r="R1916" s="155">
        <f t="shared" si="573"/>
        <v>0</v>
      </c>
      <c r="S1916" s="47">
        <f t="shared" si="572"/>
        <v>0</v>
      </c>
      <c r="T1916" s="151">
        <f t="shared" si="557"/>
        <v>1810</v>
      </c>
      <c r="U1916" s="151">
        <f t="shared" si="558"/>
        <v>0</v>
      </c>
      <c r="V1916" s="139">
        <f t="shared" si="559"/>
        <v>0</v>
      </c>
      <c r="W1916" s="152">
        <f t="shared" si="562"/>
        <v>1810</v>
      </c>
      <c r="X1916" s="127" t="str">
        <f t="shared" si="560"/>
        <v/>
      </c>
      <c r="Y1916" s="207">
        <f t="shared" si="563"/>
        <v>1810</v>
      </c>
      <c r="Z1916" s="139">
        <f t="shared" si="564"/>
        <v>1056</v>
      </c>
      <c r="AA1916" s="139">
        <f t="shared" si="565"/>
        <v>754</v>
      </c>
      <c r="AC1916" s="47">
        <f t="shared" si="566"/>
        <v>905</v>
      </c>
      <c r="AD1916" s="47">
        <f t="shared" si="567"/>
        <v>528</v>
      </c>
      <c r="AE1916" s="47">
        <f t="shared" si="568"/>
        <v>377</v>
      </c>
      <c r="AG1916" s="47">
        <f t="shared" si="569"/>
        <v>905</v>
      </c>
      <c r="AH1916" s="47">
        <f t="shared" si="570"/>
        <v>528</v>
      </c>
      <c r="AI1916" s="208">
        <f t="shared" si="571"/>
        <v>377</v>
      </c>
    </row>
    <row r="1917" spans="1:35">
      <c r="A1917" t="s">
        <v>2148</v>
      </c>
      <c r="B1917" t="s">
        <v>3142</v>
      </c>
      <c r="C1917" t="s">
        <v>2197</v>
      </c>
      <c r="D1917" t="s">
        <v>5393</v>
      </c>
      <c r="F1917" t="s">
        <v>20</v>
      </c>
      <c r="G1917" s="126">
        <f>SUMIFS('Support - Transition'!F:F,'Support - Transition'!B:B,'Step 2'!A1917,'Support - Transition'!C:C,'Step 2'!B1917,'Support - Transition'!D:D,'Step 2'!C1917,'Support - Transition'!E:E,"CIVIL")</f>
        <v>5.3300000000000005E-4</v>
      </c>
      <c r="H1917" s="126">
        <f>SUMIFS('Support - Transition'!F:F,'Support - Transition'!B:B,'Step 2'!A1917,'Support - Transition'!C:C,'Step 2'!B1917,'Support - Transition'!D:D,'Step 2'!C1917,'Support - Transition'!E:E,"FIRE")</f>
        <v>4.1800000000000002E-4</v>
      </c>
      <c r="I1917" s="126">
        <f>IF(B1917="0",SUMIFS('Support - Transition'!F:F,'Support - Transition'!J:J,'Step 2'!D1917,'Support - Transition'!E:E,"STATE UNIT"),SUMIFS('Support - Transition'!F:F,'Support - Transition'!J:J,'Step 2'!D1917))</f>
        <v>9.5100000000000002E-4</v>
      </c>
      <c r="J1917" s="126">
        <f>SUMIFS('Support - Unit Adjustments'!E:E,'Support - Unit Adjustments'!F:F,'Step 2'!D1917)</f>
        <v>0</v>
      </c>
      <c r="K1917" s="126">
        <f t="shared" si="555"/>
        <v>9.5100000000000002E-4</v>
      </c>
      <c r="L1917" s="174">
        <f>VLOOKUP(A1917,'Step 1'!$A:$E,4,FALSE)</f>
        <v>1875386</v>
      </c>
      <c r="M1917" s="47">
        <f t="shared" si="556"/>
        <v>1783</v>
      </c>
      <c r="N1917" s="177">
        <f>SUMIFS('Support - Transition'!G:G,'Support - Transition'!J:J,'Step 2'!D1917,'Support - Transition'!E:E,"2009 WELFARE ALLOCATION FACTOR")</f>
        <v>0</v>
      </c>
      <c r="O1917" s="152">
        <f t="shared" si="561"/>
        <v>0</v>
      </c>
      <c r="P1917" s="126">
        <f>IF(E1917="Y",0,SUMIFS('Support - Transition'!G:G,'Support - Transition'!J:J,'Step 2'!D1917,'Support - Transition'!E:E,"2009 SCHOOL ALLOCATION FACTOR"))</f>
        <v>0</v>
      </c>
      <c r="Q1917" s="126">
        <f>IF(E1917="Y",VLOOKUP(D1917,'Support - Unit Adjustments'!F:G,2,FALSE),0)</f>
        <v>0</v>
      </c>
      <c r="R1917" s="155">
        <f t="shared" si="573"/>
        <v>0</v>
      </c>
      <c r="S1917" s="47">
        <f t="shared" si="572"/>
        <v>0</v>
      </c>
      <c r="T1917" s="151">
        <f t="shared" si="557"/>
        <v>1783</v>
      </c>
      <c r="U1917" s="151">
        <f t="shared" si="558"/>
        <v>0</v>
      </c>
      <c r="V1917" s="139">
        <f t="shared" si="559"/>
        <v>0</v>
      </c>
      <c r="W1917" s="152">
        <f t="shared" si="562"/>
        <v>1783</v>
      </c>
      <c r="X1917" s="127" t="str">
        <f t="shared" si="560"/>
        <v/>
      </c>
      <c r="Y1917" s="207">
        <f t="shared" si="563"/>
        <v>1783</v>
      </c>
      <c r="Z1917" s="139">
        <f t="shared" si="564"/>
        <v>999</v>
      </c>
      <c r="AA1917" s="139">
        <f t="shared" si="565"/>
        <v>784</v>
      </c>
      <c r="AC1917" s="47">
        <f t="shared" si="566"/>
        <v>892</v>
      </c>
      <c r="AD1917" s="47">
        <f t="shared" si="567"/>
        <v>500</v>
      </c>
      <c r="AE1917" s="47">
        <f t="shared" si="568"/>
        <v>392</v>
      </c>
      <c r="AG1917" s="47">
        <f t="shared" si="569"/>
        <v>891</v>
      </c>
      <c r="AH1917" s="47">
        <f t="shared" si="570"/>
        <v>499</v>
      </c>
      <c r="AI1917" s="208">
        <f t="shared" si="571"/>
        <v>392</v>
      </c>
    </row>
    <row r="1918" spans="1:35">
      <c r="A1918" t="s">
        <v>2148</v>
      </c>
      <c r="B1918" t="s">
        <v>3142</v>
      </c>
      <c r="C1918" t="s">
        <v>2198</v>
      </c>
      <c r="D1918" t="s">
        <v>5394</v>
      </c>
      <c r="F1918" t="s">
        <v>22</v>
      </c>
      <c r="G1918" s="126">
        <f>SUMIFS('Support - Transition'!F:F,'Support - Transition'!B:B,'Step 2'!A1918,'Support - Transition'!C:C,'Step 2'!B1918,'Support - Transition'!D:D,'Step 2'!C1918,'Support - Transition'!E:E,"CIVIL")</f>
        <v>9.2599999999999996E-4</v>
      </c>
      <c r="H1918" s="126">
        <f>SUMIFS('Support - Transition'!F:F,'Support - Transition'!B:B,'Step 2'!A1918,'Support - Transition'!C:C,'Step 2'!B1918,'Support - Transition'!D:D,'Step 2'!C1918,'Support - Transition'!E:E,"FIRE")</f>
        <v>6.1600000000000001E-4</v>
      </c>
      <c r="I1918" s="126">
        <f>IF(B1918="0",SUMIFS('Support - Transition'!F:F,'Support - Transition'!J:J,'Step 2'!D1918,'Support - Transition'!E:E,"STATE UNIT"),SUMIFS('Support - Transition'!F:F,'Support - Transition'!J:J,'Step 2'!D1918))</f>
        <v>1.542E-3</v>
      </c>
      <c r="J1918" s="126">
        <f>SUMIFS('Support - Unit Adjustments'!E:E,'Support - Unit Adjustments'!F:F,'Step 2'!D1918)</f>
        <v>0</v>
      </c>
      <c r="K1918" s="126">
        <f t="shared" si="555"/>
        <v>1.542E-3</v>
      </c>
      <c r="L1918" s="174">
        <f>VLOOKUP(A1918,'Step 1'!$A:$E,4,FALSE)</f>
        <v>1875386</v>
      </c>
      <c r="M1918" s="47">
        <f t="shared" si="556"/>
        <v>2892</v>
      </c>
      <c r="N1918" s="177">
        <f>SUMIFS('Support - Transition'!G:G,'Support - Transition'!J:J,'Step 2'!D1918,'Support - Transition'!E:E,"2009 WELFARE ALLOCATION FACTOR")</f>
        <v>0</v>
      </c>
      <c r="O1918" s="152">
        <f t="shared" si="561"/>
        <v>0</v>
      </c>
      <c r="P1918" s="126">
        <f>IF(E1918="Y",0,SUMIFS('Support - Transition'!G:G,'Support - Transition'!J:J,'Step 2'!D1918,'Support - Transition'!E:E,"2009 SCHOOL ALLOCATION FACTOR"))</f>
        <v>0</v>
      </c>
      <c r="Q1918" s="126">
        <f>IF(E1918="Y",VLOOKUP(D1918,'Support - Unit Adjustments'!F:G,2,FALSE),0)</f>
        <v>0</v>
      </c>
      <c r="R1918" s="155">
        <f t="shared" si="573"/>
        <v>0</v>
      </c>
      <c r="S1918" s="47">
        <f t="shared" si="572"/>
        <v>0</v>
      </c>
      <c r="T1918" s="151">
        <f t="shared" si="557"/>
        <v>2892</v>
      </c>
      <c r="U1918" s="151">
        <f t="shared" si="558"/>
        <v>0</v>
      </c>
      <c r="V1918" s="139">
        <f t="shared" si="559"/>
        <v>0</v>
      </c>
      <c r="W1918" s="152">
        <f t="shared" si="562"/>
        <v>2892</v>
      </c>
      <c r="X1918" s="127" t="str">
        <f t="shared" si="560"/>
        <v/>
      </c>
      <c r="Y1918" s="207">
        <f t="shared" si="563"/>
        <v>2892</v>
      </c>
      <c r="Z1918" s="139">
        <f t="shared" si="564"/>
        <v>1737</v>
      </c>
      <c r="AA1918" s="139">
        <f t="shared" si="565"/>
        <v>1155</v>
      </c>
      <c r="AC1918" s="47">
        <f t="shared" si="566"/>
        <v>1446</v>
      </c>
      <c r="AD1918" s="47">
        <f t="shared" si="567"/>
        <v>869</v>
      </c>
      <c r="AE1918" s="47">
        <f t="shared" si="568"/>
        <v>578</v>
      </c>
      <c r="AG1918" s="47">
        <f t="shared" si="569"/>
        <v>1446</v>
      </c>
      <c r="AH1918" s="47">
        <f t="shared" si="570"/>
        <v>868</v>
      </c>
      <c r="AI1918" s="208">
        <f t="shared" si="571"/>
        <v>577</v>
      </c>
    </row>
    <row r="1919" spans="1:35">
      <c r="A1919" t="s">
        <v>2148</v>
      </c>
      <c r="B1919" t="s">
        <v>3142</v>
      </c>
      <c r="C1919" t="s">
        <v>2199</v>
      </c>
      <c r="D1919" t="s">
        <v>5395</v>
      </c>
      <c r="F1919" t="s">
        <v>1412</v>
      </c>
      <c r="G1919" s="126">
        <f>SUMIFS('Support - Transition'!F:F,'Support - Transition'!B:B,'Step 2'!A1919,'Support - Transition'!C:C,'Step 2'!B1919,'Support - Transition'!D:D,'Step 2'!C1919,'Support - Transition'!E:E,"CIVIL")</f>
        <v>3.0699999999999998E-4</v>
      </c>
      <c r="H1919" s="126">
        <f>SUMIFS('Support - Transition'!F:F,'Support - Transition'!B:B,'Step 2'!A1919,'Support - Transition'!C:C,'Step 2'!B1919,'Support - Transition'!D:D,'Step 2'!C1919,'Support - Transition'!E:E,"FIRE")</f>
        <v>2.1999999999999999E-5</v>
      </c>
      <c r="I1919" s="126">
        <f>IF(B1919="0",SUMIFS('Support - Transition'!F:F,'Support - Transition'!J:J,'Step 2'!D1919,'Support - Transition'!E:E,"STATE UNIT"),SUMIFS('Support - Transition'!F:F,'Support - Transition'!J:J,'Step 2'!D1919))</f>
        <v>3.2899999999999997E-4</v>
      </c>
      <c r="J1919" s="126">
        <f>SUMIFS('Support - Unit Adjustments'!E:E,'Support - Unit Adjustments'!F:F,'Step 2'!D1919)</f>
        <v>0</v>
      </c>
      <c r="K1919" s="126">
        <f t="shared" si="555"/>
        <v>3.2899999999999997E-4</v>
      </c>
      <c r="L1919" s="174">
        <f>VLOOKUP(A1919,'Step 1'!$A:$E,4,FALSE)</f>
        <v>1875386</v>
      </c>
      <c r="M1919" s="47">
        <f t="shared" si="556"/>
        <v>617</v>
      </c>
      <c r="N1919" s="177">
        <f>SUMIFS('Support - Transition'!G:G,'Support - Transition'!J:J,'Step 2'!D1919,'Support - Transition'!E:E,"2009 WELFARE ALLOCATION FACTOR")</f>
        <v>0</v>
      </c>
      <c r="O1919" s="152">
        <f t="shared" si="561"/>
        <v>0</v>
      </c>
      <c r="P1919" s="126">
        <f>IF(E1919="Y",0,SUMIFS('Support - Transition'!G:G,'Support - Transition'!J:J,'Step 2'!D1919,'Support - Transition'!E:E,"2009 SCHOOL ALLOCATION FACTOR"))</f>
        <v>0</v>
      </c>
      <c r="Q1919" s="126">
        <f>IF(E1919="Y",VLOOKUP(D1919,'Support - Unit Adjustments'!F:G,2,FALSE),0)</f>
        <v>0</v>
      </c>
      <c r="R1919" s="155">
        <f t="shared" si="573"/>
        <v>0</v>
      </c>
      <c r="S1919" s="47">
        <f t="shared" si="572"/>
        <v>0</v>
      </c>
      <c r="T1919" s="151">
        <f t="shared" si="557"/>
        <v>617</v>
      </c>
      <c r="U1919" s="151">
        <f t="shared" si="558"/>
        <v>0</v>
      </c>
      <c r="V1919" s="139">
        <f t="shared" si="559"/>
        <v>0</v>
      </c>
      <c r="W1919" s="152">
        <f t="shared" si="562"/>
        <v>617</v>
      </c>
      <c r="X1919" s="127" t="str">
        <f t="shared" si="560"/>
        <v/>
      </c>
      <c r="Y1919" s="207">
        <f t="shared" si="563"/>
        <v>617</v>
      </c>
      <c r="Z1919" s="139">
        <f t="shared" si="564"/>
        <v>576</v>
      </c>
      <c r="AA1919" s="139">
        <f t="shared" si="565"/>
        <v>41</v>
      </c>
      <c r="AC1919" s="47">
        <f t="shared" si="566"/>
        <v>309</v>
      </c>
      <c r="AD1919" s="47">
        <f t="shared" si="567"/>
        <v>288</v>
      </c>
      <c r="AE1919" s="47">
        <f t="shared" si="568"/>
        <v>21</v>
      </c>
      <c r="AG1919" s="47">
        <f t="shared" si="569"/>
        <v>308</v>
      </c>
      <c r="AH1919" s="47">
        <f t="shared" si="570"/>
        <v>288</v>
      </c>
      <c r="AI1919" s="208">
        <f t="shared" si="571"/>
        <v>20</v>
      </c>
    </row>
    <row r="1920" spans="1:35">
      <c r="A1920" t="s">
        <v>2148</v>
      </c>
      <c r="B1920" t="s">
        <v>3155</v>
      </c>
      <c r="C1920" t="s">
        <v>2920</v>
      </c>
      <c r="D1920" t="s">
        <v>5396</v>
      </c>
      <c r="F1920" t="s">
        <v>1423</v>
      </c>
      <c r="G1920" s="126">
        <f>SUMIFS('Support - Transition'!F:F,'Support - Transition'!B:B,'Step 2'!A1920,'Support - Transition'!C:C,'Step 2'!B1920,'Support - Transition'!D:D,'Step 2'!C1920,'Support - Transition'!E:E,"CIVIL")</f>
        <v>0</v>
      </c>
      <c r="H1920" s="126">
        <f>SUMIFS('Support - Transition'!F:F,'Support - Transition'!B:B,'Step 2'!A1920,'Support - Transition'!C:C,'Step 2'!B1920,'Support - Transition'!D:D,'Step 2'!C1920,'Support - Transition'!E:E,"FIRE")</f>
        <v>0</v>
      </c>
      <c r="I1920" s="126">
        <f>IF(B1920="0",SUMIFS('Support - Transition'!F:F,'Support - Transition'!J:J,'Step 2'!D1920,'Support - Transition'!E:E,"STATE UNIT"),SUMIFS('Support - Transition'!F:F,'Support - Transition'!J:J,'Step 2'!D1920))</f>
        <v>6.8657999999999997E-2</v>
      </c>
      <c r="J1920" s="126">
        <f>SUMIFS('Support - Unit Adjustments'!E:E,'Support - Unit Adjustments'!F:F,'Step 2'!D1920)</f>
        <v>0</v>
      </c>
      <c r="K1920" s="126">
        <f t="shared" si="555"/>
        <v>6.8657999999999997E-2</v>
      </c>
      <c r="L1920" s="174">
        <f>VLOOKUP(A1920,'Step 1'!$A:$E,4,FALSE)</f>
        <v>1875386</v>
      </c>
      <c r="M1920" s="47">
        <f t="shared" si="556"/>
        <v>128760</v>
      </c>
      <c r="N1920" s="177">
        <f>SUMIFS('Support - Transition'!G:G,'Support - Transition'!J:J,'Step 2'!D1920,'Support - Transition'!E:E,"2009 WELFARE ALLOCATION FACTOR")</f>
        <v>0</v>
      </c>
      <c r="O1920" s="152">
        <f t="shared" si="561"/>
        <v>0</v>
      </c>
      <c r="P1920" s="126">
        <f>IF(E1920="Y",0,SUMIFS('Support - Transition'!G:G,'Support - Transition'!J:J,'Step 2'!D1920,'Support - Transition'!E:E,"2009 SCHOOL ALLOCATION FACTOR"))</f>
        <v>0</v>
      </c>
      <c r="Q1920" s="126">
        <f>IF(E1920="Y",VLOOKUP(D1920,'Support - Unit Adjustments'!F:G,2,FALSE),0)</f>
        <v>0</v>
      </c>
      <c r="R1920" s="155">
        <f t="shared" si="573"/>
        <v>0</v>
      </c>
      <c r="S1920" s="47">
        <f t="shared" si="572"/>
        <v>0</v>
      </c>
      <c r="T1920" s="151">
        <f t="shared" si="557"/>
        <v>128760</v>
      </c>
      <c r="U1920" s="151">
        <f t="shared" si="558"/>
        <v>0</v>
      </c>
      <c r="V1920" s="139">
        <f t="shared" si="559"/>
        <v>0</v>
      </c>
      <c r="W1920" s="152">
        <f t="shared" si="562"/>
        <v>128760</v>
      </c>
      <c r="X1920" s="127" t="str">
        <f t="shared" si="560"/>
        <v/>
      </c>
      <c r="Y1920" s="207">
        <f t="shared" si="563"/>
        <v>128760</v>
      </c>
      <c r="Z1920" s="139">
        <f t="shared" si="564"/>
        <v>128760</v>
      </c>
      <c r="AA1920" s="139">
        <f t="shared" si="565"/>
        <v>0</v>
      </c>
      <c r="AC1920" s="47">
        <f t="shared" si="566"/>
        <v>64380</v>
      </c>
      <c r="AD1920" s="47">
        <f t="shared" si="567"/>
        <v>64380</v>
      </c>
      <c r="AE1920" s="47">
        <f t="shared" si="568"/>
        <v>0</v>
      </c>
      <c r="AG1920" s="47">
        <f t="shared" si="569"/>
        <v>64380</v>
      </c>
      <c r="AH1920" s="47">
        <f t="shared" si="570"/>
        <v>64380</v>
      </c>
      <c r="AI1920" s="208">
        <f t="shared" si="571"/>
        <v>0</v>
      </c>
    </row>
    <row r="1921" spans="1:35">
      <c r="A1921" t="s">
        <v>2148</v>
      </c>
      <c r="B1921" t="s">
        <v>3155</v>
      </c>
      <c r="C1921" t="s">
        <v>2688</v>
      </c>
      <c r="D1921" t="s">
        <v>5397</v>
      </c>
      <c r="F1921" t="s">
        <v>1421</v>
      </c>
      <c r="G1921" s="126">
        <f>SUMIFS('Support - Transition'!F:F,'Support - Transition'!B:B,'Step 2'!A1921,'Support - Transition'!C:C,'Step 2'!B1921,'Support - Transition'!D:D,'Step 2'!C1921,'Support - Transition'!E:E,"CIVIL")</f>
        <v>0</v>
      </c>
      <c r="H1921" s="126">
        <f>SUMIFS('Support - Transition'!F:F,'Support - Transition'!B:B,'Step 2'!A1921,'Support - Transition'!C:C,'Step 2'!B1921,'Support - Transition'!D:D,'Step 2'!C1921,'Support - Transition'!E:E,"FIRE")</f>
        <v>0</v>
      </c>
      <c r="I1921" s="126">
        <f>IF(B1921="0",SUMIFS('Support - Transition'!F:F,'Support - Transition'!J:J,'Step 2'!D1921,'Support - Transition'!E:E,"STATE UNIT"),SUMIFS('Support - Transition'!F:F,'Support - Transition'!J:J,'Step 2'!D1921))</f>
        <v>0.102383</v>
      </c>
      <c r="J1921" s="126">
        <f>SUMIFS('Support - Unit Adjustments'!E:E,'Support - Unit Adjustments'!F:F,'Step 2'!D1921)</f>
        <v>0</v>
      </c>
      <c r="K1921" s="126">
        <f t="shared" si="555"/>
        <v>0.102383</v>
      </c>
      <c r="L1921" s="174">
        <f>VLOOKUP(A1921,'Step 1'!$A:$E,4,FALSE)</f>
        <v>1875386</v>
      </c>
      <c r="M1921" s="47">
        <f t="shared" si="556"/>
        <v>192008</v>
      </c>
      <c r="N1921" s="177">
        <f>SUMIFS('Support - Transition'!G:G,'Support - Transition'!J:J,'Step 2'!D1921,'Support - Transition'!E:E,"2009 WELFARE ALLOCATION FACTOR")</f>
        <v>0</v>
      </c>
      <c r="O1921" s="152">
        <f t="shared" si="561"/>
        <v>0</v>
      </c>
      <c r="P1921" s="126">
        <f>IF(E1921="Y",0,SUMIFS('Support - Transition'!G:G,'Support - Transition'!J:J,'Step 2'!D1921,'Support - Transition'!E:E,"2009 SCHOOL ALLOCATION FACTOR"))</f>
        <v>0</v>
      </c>
      <c r="Q1921" s="126">
        <f>IF(E1921="Y",VLOOKUP(D1921,'Support - Unit Adjustments'!F:G,2,FALSE),0)</f>
        <v>0</v>
      </c>
      <c r="R1921" s="155">
        <f t="shared" si="573"/>
        <v>0</v>
      </c>
      <c r="S1921" s="47">
        <f t="shared" si="572"/>
        <v>0</v>
      </c>
      <c r="T1921" s="151">
        <f t="shared" si="557"/>
        <v>192008</v>
      </c>
      <c r="U1921" s="151">
        <f t="shared" si="558"/>
        <v>0</v>
      </c>
      <c r="V1921" s="139">
        <f t="shared" si="559"/>
        <v>0</v>
      </c>
      <c r="W1921" s="152">
        <f t="shared" si="562"/>
        <v>192008</v>
      </c>
      <c r="X1921" s="127" t="str">
        <f t="shared" si="560"/>
        <v/>
      </c>
      <c r="Y1921" s="207">
        <f t="shared" si="563"/>
        <v>192008</v>
      </c>
      <c r="Z1921" s="139">
        <f t="shared" si="564"/>
        <v>192008</v>
      </c>
      <c r="AA1921" s="139">
        <f t="shared" si="565"/>
        <v>0</v>
      </c>
      <c r="AC1921" s="47">
        <f t="shared" si="566"/>
        <v>96004</v>
      </c>
      <c r="AD1921" s="47">
        <f t="shared" si="567"/>
        <v>96004</v>
      </c>
      <c r="AE1921" s="47">
        <f t="shared" si="568"/>
        <v>0</v>
      </c>
      <c r="AG1921" s="47">
        <f t="shared" si="569"/>
        <v>96004</v>
      </c>
      <c r="AH1921" s="47">
        <f t="shared" si="570"/>
        <v>96004</v>
      </c>
      <c r="AI1921" s="208">
        <f t="shared" si="571"/>
        <v>0</v>
      </c>
    </row>
    <row r="1922" spans="1:35">
      <c r="A1922" t="s">
        <v>2148</v>
      </c>
      <c r="B1922" t="s">
        <v>3155</v>
      </c>
      <c r="C1922" t="s">
        <v>2921</v>
      </c>
      <c r="D1922" t="s">
        <v>5398</v>
      </c>
      <c r="F1922" t="s">
        <v>1415</v>
      </c>
      <c r="G1922" s="126">
        <f>SUMIFS('Support - Transition'!F:F,'Support - Transition'!B:B,'Step 2'!A1922,'Support - Transition'!C:C,'Step 2'!B1922,'Support - Transition'!D:D,'Step 2'!C1922,'Support - Transition'!E:E,"CIVIL")</f>
        <v>0</v>
      </c>
      <c r="H1922" s="126">
        <f>SUMIFS('Support - Transition'!F:F,'Support - Transition'!B:B,'Step 2'!A1922,'Support - Transition'!C:C,'Step 2'!B1922,'Support - Transition'!D:D,'Step 2'!C1922,'Support - Transition'!E:E,"FIRE")</f>
        <v>0</v>
      </c>
      <c r="I1922" s="126">
        <f>IF(B1922="0",SUMIFS('Support - Transition'!F:F,'Support - Transition'!J:J,'Step 2'!D1922,'Support - Transition'!E:E,"STATE UNIT"),SUMIFS('Support - Transition'!F:F,'Support - Transition'!J:J,'Step 2'!D1922))</f>
        <v>3.1342000000000002E-2</v>
      </c>
      <c r="J1922" s="126">
        <f>SUMIFS('Support - Unit Adjustments'!E:E,'Support - Unit Adjustments'!F:F,'Step 2'!D1922)</f>
        <v>0</v>
      </c>
      <c r="K1922" s="126">
        <f t="shared" ref="K1922:K1985" si="574">+I1922+J1922</f>
        <v>3.1342000000000002E-2</v>
      </c>
      <c r="L1922" s="174">
        <f>VLOOKUP(A1922,'Step 1'!$A:$E,4,FALSE)</f>
        <v>1875386</v>
      </c>
      <c r="M1922" s="47">
        <f t="shared" ref="M1922:M1985" si="575">ROUND(+K1922*L1922,0)</f>
        <v>58778</v>
      </c>
      <c r="N1922" s="177">
        <f>SUMIFS('Support - Transition'!G:G,'Support - Transition'!J:J,'Step 2'!D1922,'Support - Transition'!E:E,"2009 WELFARE ALLOCATION FACTOR")</f>
        <v>0</v>
      </c>
      <c r="O1922" s="152">
        <f t="shared" si="561"/>
        <v>0</v>
      </c>
      <c r="P1922" s="126">
        <f>IF(E1922="Y",0,SUMIFS('Support - Transition'!G:G,'Support - Transition'!J:J,'Step 2'!D1922,'Support - Transition'!E:E,"2009 SCHOOL ALLOCATION FACTOR"))</f>
        <v>0</v>
      </c>
      <c r="Q1922" s="126">
        <f>IF(E1922="Y",VLOOKUP(D1922,'Support - Unit Adjustments'!F:G,2,FALSE),0)</f>
        <v>0</v>
      </c>
      <c r="R1922" s="155">
        <f t="shared" si="573"/>
        <v>0</v>
      </c>
      <c r="S1922" s="47">
        <f t="shared" si="572"/>
        <v>0</v>
      </c>
      <c r="T1922" s="151">
        <f t="shared" ref="T1922:T1985" si="576">ROUND(+M1922-O1922-S1922,2)</f>
        <v>58778</v>
      </c>
      <c r="U1922" s="151">
        <f t="shared" ref="U1922:U1985" si="577">IF(B1922="0",SUMIFS(O:O,A:A,A1922)+SUMIFS(S:S,A:A,A1922)+SUMIFS(T:T,A:A,A1922),0)</f>
        <v>0</v>
      </c>
      <c r="V1922" s="139">
        <f t="shared" ref="V1922:V1985" si="578">IF(B1922="0",U1922-L1922,0)</f>
        <v>0</v>
      </c>
      <c r="W1922" s="152">
        <f t="shared" si="562"/>
        <v>58778</v>
      </c>
      <c r="X1922" s="127" t="str">
        <f t="shared" ref="X1922:X1985" si="579">IF(B1922="0",SUMIFS(O:O,A:A,A1922)+SUMIFS(S:S,A:A,A1922)+SUMIFS(W:W,A:A,A1922)-L1922,"")</f>
        <v/>
      </c>
      <c r="Y1922" s="207">
        <f t="shared" si="563"/>
        <v>58778</v>
      </c>
      <c r="Z1922" s="139">
        <f t="shared" si="564"/>
        <v>58778</v>
      </c>
      <c r="AA1922" s="139">
        <f t="shared" si="565"/>
        <v>0</v>
      </c>
      <c r="AC1922" s="47">
        <f t="shared" si="566"/>
        <v>29389</v>
      </c>
      <c r="AD1922" s="47">
        <f t="shared" si="567"/>
        <v>29389</v>
      </c>
      <c r="AE1922" s="47">
        <f t="shared" si="568"/>
        <v>0</v>
      </c>
      <c r="AG1922" s="47">
        <f t="shared" si="569"/>
        <v>29389</v>
      </c>
      <c r="AH1922" s="47">
        <f t="shared" si="570"/>
        <v>29389</v>
      </c>
      <c r="AI1922" s="208">
        <f t="shared" si="571"/>
        <v>0</v>
      </c>
    </row>
    <row r="1923" spans="1:35">
      <c r="A1923" t="s">
        <v>2148</v>
      </c>
      <c r="B1923" t="s">
        <v>3155</v>
      </c>
      <c r="C1923" t="s">
        <v>2922</v>
      </c>
      <c r="D1923" t="s">
        <v>5399</v>
      </c>
      <c r="F1923" t="s">
        <v>1413</v>
      </c>
      <c r="G1923" s="126">
        <f>SUMIFS('Support - Transition'!F:F,'Support - Transition'!B:B,'Step 2'!A1923,'Support - Transition'!C:C,'Step 2'!B1923,'Support - Transition'!D:D,'Step 2'!C1923,'Support - Transition'!E:E,"CIVIL")</f>
        <v>0</v>
      </c>
      <c r="H1923" s="126">
        <f>SUMIFS('Support - Transition'!F:F,'Support - Transition'!B:B,'Step 2'!A1923,'Support - Transition'!C:C,'Step 2'!B1923,'Support - Transition'!D:D,'Step 2'!C1923,'Support - Transition'!E:E,"FIRE")</f>
        <v>0</v>
      </c>
      <c r="I1923" s="126">
        <f>IF(B1923="0",SUMIFS('Support - Transition'!F:F,'Support - Transition'!J:J,'Step 2'!D1923,'Support - Transition'!E:E,"STATE UNIT"),SUMIFS('Support - Transition'!F:F,'Support - Transition'!J:J,'Step 2'!D1923))</f>
        <v>7.2000000000000002E-5</v>
      </c>
      <c r="J1923" s="126">
        <f>SUMIFS('Support - Unit Adjustments'!E:E,'Support - Unit Adjustments'!F:F,'Step 2'!D1923)</f>
        <v>0</v>
      </c>
      <c r="K1923" s="126">
        <f t="shared" si="574"/>
        <v>7.2000000000000002E-5</v>
      </c>
      <c r="L1923" s="174">
        <f>VLOOKUP(A1923,'Step 1'!$A:$E,4,FALSE)</f>
        <v>1875386</v>
      </c>
      <c r="M1923" s="47">
        <f t="shared" si="575"/>
        <v>135</v>
      </c>
      <c r="N1923" s="177">
        <f>SUMIFS('Support - Transition'!G:G,'Support - Transition'!J:J,'Step 2'!D1923,'Support - Transition'!E:E,"2009 WELFARE ALLOCATION FACTOR")</f>
        <v>0</v>
      </c>
      <c r="O1923" s="152">
        <f t="shared" ref="O1923:O1986" si="580">ROUND(+N1923*M1923,0)</f>
        <v>0</v>
      </c>
      <c r="P1923" s="126">
        <f>IF(E1923="Y",0,SUMIFS('Support - Transition'!G:G,'Support - Transition'!J:J,'Step 2'!D1923,'Support - Transition'!E:E,"2009 SCHOOL ALLOCATION FACTOR"))</f>
        <v>0</v>
      </c>
      <c r="Q1923" s="126">
        <f>IF(E1923="Y",VLOOKUP(D1923,'Support - Unit Adjustments'!F:G,2,FALSE),0)</f>
        <v>0</v>
      </c>
      <c r="R1923" s="155">
        <f t="shared" si="573"/>
        <v>0</v>
      </c>
      <c r="S1923" s="47">
        <f t="shared" si="572"/>
        <v>0</v>
      </c>
      <c r="T1923" s="151">
        <f t="shared" si="576"/>
        <v>135</v>
      </c>
      <c r="U1923" s="151">
        <f t="shared" si="577"/>
        <v>0</v>
      </c>
      <c r="V1923" s="139">
        <f t="shared" si="578"/>
        <v>0</v>
      </c>
      <c r="W1923" s="152">
        <f t="shared" ref="W1923:W1986" si="581">+T1923-V1923</f>
        <v>135</v>
      </c>
      <c r="X1923" s="127" t="str">
        <f t="shared" si="579"/>
        <v/>
      </c>
      <c r="Y1923" s="207">
        <f t="shared" ref="Y1923:Y1986" si="582">W1923</f>
        <v>135</v>
      </c>
      <c r="Z1923" s="139">
        <f t="shared" ref="Z1923:Z1986" si="583">IFERROR(IF(B1923="2",ROUND(Y1923*G1923/I1923,0),Y1923),0)</f>
        <v>135</v>
      </c>
      <c r="AA1923" s="139">
        <f t="shared" ref="AA1923:AA1986" si="584">+Y1923-Z1923</f>
        <v>0</v>
      </c>
      <c r="AC1923" s="47">
        <f t="shared" ref="AC1923:AC1986" si="585">ROUND(Y1923/2,0)</f>
        <v>68</v>
      </c>
      <c r="AD1923" s="47">
        <f t="shared" ref="AD1923:AD1986" si="586">ROUND(Z1923/2,0)</f>
        <v>68</v>
      </c>
      <c r="AE1923" s="47">
        <f t="shared" ref="AE1923:AE1986" si="587">ROUND(AA1923/2,0)</f>
        <v>0</v>
      </c>
      <c r="AG1923" s="47">
        <f t="shared" ref="AG1923:AG1986" si="588">+Y1923-AC1923</f>
        <v>67</v>
      </c>
      <c r="AH1923" s="47">
        <f t="shared" ref="AH1923:AH1986" si="589">+Z1923-AD1923</f>
        <v>67</v>
      </c>
      <c r="AI1923" s="208">
        <f t="shared" ref="AI1923:AI1986" si="590">+AA1923-AE1923</f>
        <v>0</v>
      </c>
    </row>
    <row r="1924" spans="1:35">
      <c r="A1924" t="s">
        <v>2148</v>
      </c>
      <c r="B1924" t="s">
        <v>3155</v>
      </c>
      <c r="C1924" t="s">
        <v>2923</v>
      </c>
      <c r="D1924" t="s">
        <v>5400</v>
      </c>
      <c r="F1924" t="s">
        <v>1414</v>
      </c>
      <c r="G1924" s="126">
        <f>SUMIFS('Support - Transition'!F:F,'Support - Transition'!B:B,'Step 2'!A1924,'Support - Transition'!C:C,'Step 2'!B1924,'Support - Transition'!D:D,'Step 2'!C1924,'Support - Transition'!E:E,"CIVIL")</f>
        <v>0</v>
      </c>
      <c r="H1924" s="126">
        <f>SUMIFS('Support - Transition'!F:F,'Support - Transition'!B:B,'Step 2'!A1924,'Support - Transition'!C:C,'Step 2'!B1924,'Support - Transition'!D:D,'Step 2'!C1924,'Support - Transition'!E:E,"FIRE")</f>
        <v>0</v>
      </c>
      <c r="I1924" s="126">
        <f>IF(B1924="0",SUMIFS('Support - Transition'!F:F,'Support - Transition'!J:J,'Step 2'!D1924,'Support - Transition'!E:E,"STATE UNIT"),SUMIFS('Support - Transition'!F:F,'Support - Transition'!J:J,'Step 2'!D1924))</f>
        <v>4.5199999999999998E-4</v>
      </c>
      <c r="J1924" s="126">
        <f>SUMIFS('Support - Unit Adjustments'!E:E,'Support - Unit Adjustments'!F:F,'Step 2'!D1924)</f>
        <v>0</v>
      </c>
      <c r="K1924" s="126">
        <f t="shared" si="574"/>
        <v>4.5199999999999998E-4</v>
      </c>
      <c r="L1924" s="174">
        <f>VLOOKUP(A1924,'Step 1'!$A:$E,4,FALSE)</f>
        <v>1875386</v>
      </c>
      <c r="M1924" s="47">
        <f t="shared" si="575"/>
        <v>848</v>
      </c>
      <c r="N1924" s="177">
        <f>SUMIFS('Support - Transition'!G:G,'Support - Transition'!J:J,'Step 2'!D1924,'Support - Transition'!E:E,"2009 WELFARE ALLOCATION FACTOR")</f>
        <v>0</v>
      </c>
      <c r="O1924" s="152">
        <f t="shared" si="580"/>
        <v>0</v>
      </c>
      <c r="P1924" s="126">
        <f>IF(E1924="Y",0,SUMIFS('Support - Transition'!G:G,'Support - Transition'!J:J,'Step 2'!D1924,'Support - Transition'!E:E,"2009 SCHOOL ALLOCATION FACTOR"))</f>
        <v>0</v>
      </c>
      <c r="Q1924" s="126">
        <f>IF(E1924="Y",VLOOKUP(D1924,'Support - Unit Adjustments'!F:G,2,FALSE),0)</f>
        <v>0</v>
      </c>
      <c r="R1924" s="155">
        <f t="shared" si="573"/>
        <v>0</v>
      </c>
      <c r="S1924" s="47">
        <f t="shared" si="572"/>
        <v>0</v>
      </c>
      <c r="T1924" s="151">
        <f t="shared" si="576"/>
        <v>848</v>
      </c>
      <c r="U1924" s="151">
        <f t="shared" si="577"/>
        <v>0</v>
      </c>
      <c r="V1924" s="139">
        <f t="shared" si="578"/>
        <v>0</v>
      </c>
      <c r="W1924" s="152">
        <f t="shared" si="581"/>
        <v>848</v>
      </c>
      <c r="X1924" s="127" t="str">
        <f t="shared" si="579"/>
        <v/>
      </c>
      <c r="Y1924" s="207">
        <f t="shared" si="582"/>
        <v>848</v>
      </c>
      <c r="Z1924" s="139">
        <f t="shared" si="583"/>
        <v>848</v>
      </c>
      <c r="AA1924" s="139">
        <f t="shared" si="584"/>
        <v>0</v>
      </c>
      <c r="AC1924" s="47">
        <f t="shared" si="585"/>
        <v>424</v>
      </c>
      <c r="AD1924" s="47">
        <f t="shared" si="586"/>
        <v>424</v>
      </c>
      <c r="AE1924" s="47">
        <f t="shared" si="587"/>
        <v>0</v>
      </c>
      <c r="AG1924" s="47">
        <f t="shared" si="588"/>
        <v>424</v>
      </c>
      <c r="AH1924" s="47">
        <f t="shared" si="589"/>
        <v>424</v>
      </c>
      <c r="AI1924" s="208">
        <f t="shared" si="590"/>
        <v>0</v>
      </c>
    </row>
    <row r="1925" spans="1:35">
      <c r="A1925" t="s">
        <v>2148</v>
      </c>
      <c r="B1925" t="s">
        <v>3155</v>
      </c>
      <c r="C1925" t="s">
        <v>2924</v>
      </c>
      <c r="D1925" t="s">
        <v>5401</v>
      </c>
      <c r="F1925" t="s">
        <v>1416</v>
      </c>
      <c r="G1925" s="126">
        <f>SUMIFS('Support - Transition'!F:F,'Support - Transition'!B:B,'Step 2'!A1925,'Support - Transition'!C:C,'Step 2'!B1925,'Support - Transition'!D:D,'Step 2'!C1925,'Support - Transition'!E:E,"CIVIL")</f>
        <v>0</v>
      </c>
      <c r="H1925" s="126">
        <f>SUMIFS('Support - Transition'!F:F,'Support - Transition'!B:B,'Step 2'!A1925,'Support - Transition'!C:C,'Step 2'!B1925,'Support - Transition'!D:D,'Step 2'!C1925,'Support - Transition'!E:E,"FIRE")</f>
        <v>0</v>
      </c>
      <c r="I1925" s="126">
        <f>IF(B1925="0",SUMIFS('Support - Transition'!F:F,'Support - Transition'!J:J,'Step 2'!D1925,'Support - Transition'!E:E,"STATE UNIT"),SUMIFS('Support - Transition'!F:F,'Support - Transition'!J:J,'Step 2'!D1925))</f>
        <v>0</v>
      </c>
      <c r="J1925" s="126">
        <f>SUMIFS('Support - Unit Adjustments'!E:E,'Support - Unit Adjustments'!F:F,'Step 2'!D1925)</f>
        <v>0</v>
      </c>
      <c r="K1925" s="126">
        <f t="shared" si="574"/>
        <v>0</v>
      </c>
      <c r="L1925" s="174">
        <f>VLOOKUP(A1925,'Step 1'!$A:$E,4,FALSE)</f>
        <v>1875386</v>
      </c>
      <c r="M1925" s="47">
        <f t="shared" si="575"/>
        <v>0</v>
      </c>
      <c r="N1925" s="177">
        <f>SUMIFS('Support - Transition'!G:G,'Support - Transition'!J:J,'Step 2'!D1925,'Support - Transition'!E:E,"2009 WELFARE ALLOCATION FACTOR")</f>
        <v>0</v>
      </c>
      <c r="O1925" s="152">
        <f t="shared" si="580"/>
        <v>0</v>
      </c>
      <c r="P1925" s="126">
        <f>IF(E1925="Y",0,SUMIFS('Support - Transition'!G:G,'Support - Transition'!J:J,'Step 2'!D1925,'Support - Transition'!E:E,"2009 SCHOOL ALLOCATION FACTOR"))</f>
        <v>0</v>
      </c>
      <c r="Q1925" s="126">
        <f>IF(E1925="Y",VLOOKUP(D1925,'Support - Unit Adjustments'!F:G,2,FALSE),0)</f>
        <v>0</v>
      </c>
      <c r="R1925" s="155">
        <f t="shared" si="573"/>
        <v>0</v>
      </c>
      <c r="S1925" s="47">
        <f t="shared" si="572"/>
        <v>0</v>
      </c>
      <c r="T1925" s="151">
        <f t="shared" si="576"/>
        <v>0</v>
      </c>
      <c r="U1925" s="151">
        <f t="shared" si="577"/>
        <v>0</v>
      </c>
      <c r="V1925" s="139">
        <f t="shared" si="578"/>
        <v>0</v>
      </c>
      <c r="W1925" s="152">
        <f t="shared" si="581"/>
        <v>0</v>
      </c>
      <c r="X1925" s="127" t="str">
        <f t="shared" si="579"/>
        <v/>
      </c>
      <c r="Y1925" s="207">
        <f t="shared" si="582"/>
        <v>0</v>
      </c>
      <c r="Z1925" s="139">
        <f t="shared" si="583"/>
        <v>0</v>
      </c>
      <c r="AA1925" s="139">
        <f t="shared" si="584"/>
        <v>0</v>
      </c>
      <c r="AC1925" s="47">
        <f t="shared" si="585"/>
        <v>0</v>
      </c>
      <c r="AD1925" s="47">
        <f t="shared" si="586"/>
        <v>0</v>
      </c>
      <c r="AE1925" s="47">
        <f t="shared" si="587"/>
        <v>0</v>
      </c>
      <c r="AG1925" s="47">
        <f t="shared" si="588"/>
        <v>0</v>
      </c>
      <c r="AH1925" s="47">
        <f t="shared" si="589"/>
        <v>0</v>
      </c>
      <c r="AI1925" s="208">
        <f t="shared" si="590"/>
        <v>0</v>
      </c>
    </row>
    <row r="1926" spans="1:35">
      <c r="A1926" t="s">
        <v>2148</v>
      </c>
      <c r="B1926" t="s">
        <v>3155</v>
      </c>
      <c r="C1926" t="s">
        <v>2925</v>
      </c>
      <c r="D1926" t="s">
        <v>5402</v>
      </c>
      <c r="F1926" t="s">
        <v>1417</v>
      </c>
      <c r="G1926" s="126">
        <f>SUMIFS('Support - Transition'!F:F,'Support - Transition'!B:B,'Step 2'!A1926,'Support - Transition'!C:C,'Step 2'!B1926,'Support - Transition'!D:D,'Step 2'!C1926,'Support - Transition'!E:E,"CIVIL")</f>
        <v>0</v>
      </c>
      <c r="H1926" s="126">
        <f>SUMIFS('Support - Transition'!F:F,'Support - Transition'!B:B,'Step 2'!A1926,'Support - Transition'!C:C,'Step 2'!B1926,'Support - Transition'!D:D,'Step 2'!C1926,'Support - Transition'!E:E,"FIRE")</f>
        <v>0</v>
      </c>
      <c r="I1926" s="126">
        <f>IF(B1926="0",SUMIFS('Support - Transition'!F:F,'Support - Transition'!J:J,'Step 2'!D1926,'Support - Transition'!E:E,"STATE UNIT"),SUMIFS('Support - Transition'!F:F,'Support - Transition'!J:J,'Step 2'!D1926))</f>
        <v>3.5929999999999998E-3</v>
      </c>
      <c r="J1926" s="126">
        <f>SUMIFS('Support - Unit Adjustments'!E:E,'Support - Unit Adjustments'!F:F,'Step 2'!D1926)</f>
        <v>0</v>
      </c>
      <c r="K1926" s="126">
        <f t="shared" si="574"/>
        <v>3.5929999999999998E-3</v>
      </c>
      <c r="L1926" s="174">
        <f>VLOOKUP(A1926,'Step 1'!$A:$E,4,FALSE)</f>
        <v>1875386</v>
      </c>
      <c r="M1926" s="47">
        <f t="shared" si="575"/>
        <v>6738</v>
      </c>
      <c r="N1926" s="177">
        <f>SUMIFS('Support - Transition'!G:G,'Support - Transition'!J:J,'Step 2'!D1926,'Support - Transition'!E:E,"2009 WELFARE ALLOCATION FACTOR")</f>
        <v>0</v>
      </c>
      <c r="O1926" s="152">
        <f t="shared" si="580"/>
        <v>0</v>
      </c>
      <c r="P1926" s="126">
        <f>IF(E1926="Y",0,SUMIFS('Support - Transition'!G:G,'Support - Transition'!J:J,'Step 2'!D1926,'Support - Transition'!E:E,"2009 SCHOOL ALLOCATION FACTOR"))</f>
        <v>0</v>
      </c>
      <c r="Q1926" s="126">
        <f>IF(E1926="Y",VLOOKUP(D1926,'Support - Unit Adjustments'!F:G,2,FALSE),0)</f>
        <v>0</v>
      </c>
      <c r="R1926" s="155">
        <f t="shared" si="573"/>
        <v>0</v>
      </c>
      <c r="S1926" s="47">
        <f t="shared" si="572"/>
        <v>0</v>
      </c>
      <c r="T1926" s="151">
        <f t="shared" si="576"/>
        <v>6738</v>
      </c>
      <c r="U1926" s="151">
        <f t="shared" si="577"/>
        <v>0</v>
      </c>
      <c r="V1926" s="139">
        <f t="shared" si="578"/>
        <v>0</v>
      </c>
      <c r="W1926" s="152">
        <f t="shared" si="581"/>
        <v>6738</v>
      </c>
      <c r="X1926" s="127" t="str">
        <f t="shared" si="579"/>
        <v/>
      </c>
      <c r="Y1926" s="207">
        <f t="shared" si="582"/>
        <v>6738</v>
      </c>
      <c r="Z1926" s="139">
        <f t="shared" si="583"/>
        <v>6738</v>
      </c>
      <c r="AA1926" s="139">
        <f t="shared" si="584"/>
        <v>0</v>
      </c>
      <c r="AC1926" s="47">
        <f t="shared" si="585"/>
        <v>3369</v>
      </c>
      <c r="AD1926" s="47">
        <f t="shared" si="586"/>
        <v>3369</v>
      </c>
      <c r="AE1926" s="47">
        <f t="shared" si="587"/>
        <v>0</v>
      </c>
      <c r="AG1926" s="47">
        <f t="shared" si="588"/>
        <v>3369</v>
      </c>
      <c r="AH1926" s="47">
        <f t="shared" si="589"/>
        <v>3369</v>
      </c>
      <c r="AI1926" s="208">
        <f t="shared" si="590"/>
        <v>0</v>
      </c>
    </row>
    <row r="1927" spans="1:35">
      <c r="A1927" t="s">
        <v>2148</v>
      </c>
      <c r="B1927" t="s">
        <v>3155</v>
      </c>
      <c r="C1927" t="s">
        <v>2926</v>
      </c>
      <c r="D1927" t="s">
        <v>5403</v>
      </c>
      <c r="F1927" t="s">
        <v>1418</v>
      </c>
      <c r="G1927" s="126">
        <f>SUMIFS('Support - Transition'!F:F,'Support - Transition'!B:B,'Step 2'!A1927,'Support - Transition'!C:C,'Step 2'!B1927,'Support - Transition'!D:D,'Step 2'!C1927,'Support - Transition'!E:E,"CIVIL")</f>
        <v>0</v>
      </c>
      <c r="H1927" s="126">
        <f>SUMIFS('Support - Transition'!F:F,'Support - Transition'!B:B,'Step 2'!A1927,'Support - Transition'!C:C,'Step 2'!B1927,'Support - Transition'!D:D,'Step 2'!C1927,'Support - Transition'!E:E,"FIRE")</f>
        <v>0</v>
      </c>
      <c r="I1927" s="126">
        <f>IF(B1927="0",SUMIFS('Support - Transition'!F:F,'Support - Transition'!J:J,'Step 2'!D1927,'Support - Transition'!E:E,"STATE UNIT"),SUMIFS('Support - Transition'!F:F,'Support - Transition'!J:J,'Step 2'!D1927))</f>
        <v>4.3509999999999998E-3</v>
      </c>
      <c r="J1927" s="126">
        <f>SUMIFS('Support - Unit Adjustments'!E:E,'Support - Unit Adjustments'!F:F,'Step 2'!D1927)</f>
        <v>0</v>
      </c>
      <c r="K1927" s="126">
        <f t="shared" si="574"/>
        <v>4.3509999999999998E-3</v>
      </c>
      <c r="L1927" s="174">
        <f>VLOOKUP(A1927,'Step 1'!$A:$E,4,FALSE)</f>
        <v>1875386</v>
      </c>
      <c r="M1927" s="47">
        <f t="shared" si="575"/>
        <v>8160</v>
      </c>
      <c r="N1927" s="177">
        <f>SUMIFS('Support - Transition'!G:G,'Support - Transition'!J:J,'Step 2'!D1927,'Support - Transition'!E:E,"2009 WELFARE ALLOCATION FACTOR")</f>
        <v>0</v>
      </c>
      <c r="O1927" s="152">
        <f t="shared" si="580"/>
        <v>0</v>
      </c>
      <c r="P1927" s="126">
        <f>IF(E1927="Y",0,SUMIFS('Support - Transition'!G:G,'Support - Transition'!J:J,'Step 2'!D1927,'Support - Transition'!E:E,"2009 SCHOOL ALLOCATION FACTOR"))</f>
        <v>0</v>
      </c>
      <c r="Q1927" s="126">
        <f>IF(E1927="Y",VLOOKUP(D1927,'Support - Unit Adjustments'!F:G,2,FALSE),0)</f>
        <v>0</v>
      </c>
      <c r="R1927" s="155">
        <f t="shared" si="573"/>
        <v>0</v>
      </c>
      <c r="S1927" s="47">
        <f t="shared" si="572"/>
        <v>0</v>
      </c>
      <c r="T1927" s="151">
        <f t="shared" si="576"/>
        <v>8160</v>
      </c>
      <c r="U1927" s="151">
        <f t="shared" si="577"/>
        <v>0</v>
      </c>
      <c r="V1927" s="139">
        <f t="shared" si="578"/>
        <v>0</v>
      </c>
      <c r="W1927" s="152">
        <f t="shared" si="581"/>
        <v>8160</v>
      </c>
      <c r="X1927" s="127" t="str">
        <f t="shared" si="579"/>
        <v/>
      </c>
      <c r="Y1927" s="207">
        <f t="shared" si="582"/>
        <v>8160</v>
      </c>
      <c r="Z1927" s="139">
        <f t="shared" si="583"/>
        <v>8160</v>
      </c>
      <c r="AA1927" s="139">
        <f t="shared" si="584"/>
        <v>0</v>
      </c>
      <c r="AC1927" s="47">
        <f t="shared" si="585"/>
        <v>4080</v>
      </c>
      <c r="AD1927" s="47">
        <f t="shared" si="586"/>
        <v>4080</v>
      </c>
      <c r="AE1927" s="47">
        <f t="shared" si="587"/>
        <v>0</v>
      </c>
      <c r="AG1927" s="47">
        <f t="shared" si="588"/>
        <v>4080</v>
      </c>
      <c r="AH1927" s="47">
        <f t="shared" si="589"/>
        <v>4080</v>
      </c>
      <c r="AI1927" s="208">
        <f t="shared" si="590"/>
        <v>0</v>
      </c>
    </row>
    <row r="1928" spans="1:35">
      <c r="A1928" t="s">
        <v>2148</v>
      </c>
      <c r="B1928" t="s">
        <v>3155</v>
      </c>
      <c r="C1928" t="s">
        <v>2927</v>
      </c>
      <c r="D1928" t="s">
        <v>5404</v>
      </c>
      <c r="F1928" t="s">
        <v>1419</v>
      </c>
      <c r="G1928" s="126">
        <f>SUMIFS('Support - Transition'!F:F,'Support - Transition'!B:B,'Step 2'!A1928,'Support - Transition'!C:C,'Step 2'!B1928,'Support - Transition'!D:D,'Step 2'!C1928,'Support - Transition'!E:E,"CIVIL")</f>
        <v>0</v>
      </c>
      <c r="H1928" s="126">
        <f>SUMIFS('Support - Transition'!F:F,'Support - Transition'!B:B,'Step 2'!A1928,'Support - Transition'!C:C,'Step 2'!B1928,'Support - Transition'!D:D,'Step 2'!C1928,'Support - Transition'!E:E,"FIRE")</f>
        <v>0</v>
      </c>
      <c r="I1928" s="126">
        <f>IF(B1928="0",SUMIFS('Support - Transition'!F:F,'Support - Transition'!J:J,'Step 2'!D1928,'Support - Transition'!E:E,"STATE UNIT"),SUMIFS('Support - Transition'!F:F,'Support - Transition'!J:J,'Step 2'!D1928))</f>
        <v>5.0000000000000002E-5</v>
      </c>
      <c r="J1928" s="126">
        <f>SUMIFS('Support - Unit Adjustments'!E:E,'Support - Unit Adjustments'!F:F,'Step 2'!D1928)</f>
        <v>0</v>
      </c>
      <c r="K1928" s="126">
        <f t="shared" si="574"/>
        <v>5.0000000000000002E-5</v>
      </c>
      <c r="L1928" s="174">
        <f>VLOOKUP(A1928,'Step 1'!$A:$E,4,FALSE)</f>
        <v>1875386</v>
      </c>
      <c r="M1928" s="47">
        <f t="shared" si="575"/>
        <v>94</v>
      </c>
      <c r="N1928" s="177">
        <f>SUMIFS('Support - Transition'!G:G,'Support - Transition'!J:J,'Step 2'!D1928,'Support - Transition'!E:E,"2009 WELFARE ALLOCATION FACTOR")</f>
        <v>0</v>
      </c>
      <c r="O1928" s="152">
        <f t="shared" si="580"/>
        <v>0</v>
      </c>
      <c r="P1928" s="126">
        <f>IF(E1928="Y",0,SUMIFS('Support - Transition'!G:G,'Support - Transition'!J:J,'Step 2'!D1928,'Support - Transition'!E:E,"2009 SCHOOL ALLOCATION FACTOR"))</f>
        <v>0</v>
      </c>
      <c r="Q1928" s="126">
        <f>IF(E1928="Y",VLOOKUP(D1928,'Support - Unit Adjustments'!F:G,2,FALSE),0)</f>
        <v>0</v>
      </c>
      <c r="R1928" s="155">
        <f t="shared" si="573"/>
        <v>0</v>
      </c>
      <c r="S1928" s="47">
        <f t="shared" ref="S1928:S1991" si="591">ROUND(+R1928*M1928,0)</f>
        <v>0</v>
      </c>
      <c r="T1928" s="151">
        <f t="shared" si="576"/>
        <v>94</v>
      </c>
      <c r="U1928" s="151">
        <f t="shared" si="577"/>
        <v>0</v>
      </c>
      <c r="V1928" s="139">
        <f t="shared" si="578"/>
        <v>0</v>
      </c>
      <c r="W1928" s="152">
        <f t="shared" si="581"/>
        <v>94</v>
      </c>
      <c r="X1928" s="127" t="str">
        <f t="shared" si="579"/>
        <v/>
      </c>
      <c r="Y1928" s="207">
        <f t="shared" si="582"/>
        <v>94</v>
      </c>
      <c r="Z1928" s="139">
        <f t="shared" si="583"/>
        <v>94</v>
      </c>
      <c r="AA1928" s="139">
        <f t="shared" si="584"/>
        <v>0</v>
      </c>
      <c r="AC1928" s="47">
        <f t="shared" si="585"/>
        <v>47</v>
      </c>
      <c r="AD1928" s="47">
        <f t="shared" si="586"/>
        <v>47</v>
      </c>
      <c r="AE1928" s="47">
        <f t="shared" si="587"/>
        <v>0</v>
      </c>
      <c r="AG1928" s="47">
        <f t="shared" si="588"/>
        <v>47</v>
      </c>
      <c r="AH1928" s="47">
        <f t="shared" si="589"/>
        <v>47</v>
      </c>
      <c r="AI1928" s="208">
        <f t="shared" si="590"/>
        <v>0</v>
      </c>
    </row>
    <row r="1929" spans="1:35">
      <c r="A1929" t="s">
        <v>2148</v>
      </c>
      <c r="B1929" t="s">
        <v>3155</v>
      </c>
      <c r="C1929" t="s">
        <v>2928</v>
      </c>
      <c r="D1929" t="s">
        <v>5405</v>
      </c>
      <c r="F1929" t="s">
        <v>1422</v>
      </c>
      <c r="G1929" s="126">
        <f>SUMIFS('Support - Transition'!F:F,'Support - Transition'!B:B,'Step 2'!A1929,'Support - Transition'!C:C,'Step 2'!B1929,'Support - Transition'!D:D,'Step 2'!C1929,'Support - Transition'!E:E,"CIVIL")</f>
        <v>0</v>
      </c>
      <c r="H1929" s="126">
        <f>SUMIFS('Support - Transition'!F:F,'Support - Transition'!B:B,'Step 2'!A1929,'Support - Transition'!C:C,'Step 2'!B1929,'Support - Transition'!D:D,'Step 2'!C1929,'Support - Transition'!E:E,"FIRE")</f>
        <v>0</v>
      </c>
      <c r="I1929" s="126">
        <f>IF(B1929="0",SUMIFS('Support - Transition'!F:F,'Support - Transition'!J:J,'Step 2'!D1929,'Support - Transition'!E:E,"STATE UNIT"),SUMIFS('Support - Transition'!F:F,'Support - Transition'!J:J,'Step 2'!D1929))</f>
        <v>7.3049999999999999E-3</v>
      </c>
      <c r="J1929" s="126">
        <f>SUMIFS('Support - Unit Adjustments'!E:E,'Support - Unit Adjustments'!F:F,'Step 2'!D1929)</f>
        <v>0</v>
      </c>
      <c r="K1929" s="126">
        <f t="shared" si="574"/>
        <v>7.3049999999999999E-3</v>
      </c>
      <c r="L1929" s="174">
        <f>VLOOKUP(A1929,'Step 1'!$A:$E,4,FALSE)</f>
        <v>1875386</v>
      </c>
      <c r="M1929" s="47">
        <f t="shared" si="575"/>
        <v>13700</v>
      </c>
      <c r="N1929" s="177">
        <f>SUMIFS('Support - Transition'!G:G,'Support - Transition'!J:J,'Step 2'!D1929,'Support - Transition'!E:E,"2009 WELFARE ALLOCATION FACTOR")</f>
        <v>0</v>
      </c>
      <c r="O1929" s="152">
        <f t="shared" si="580"/>
        <v>0</v>
      </c>
      <c r="P1929" s="126">
        <f>IF(E1929="Y",0,SUMIFS('Support - Transition'!G:G,'Support - Transition'!J:J,'Step 2'!D1929,'Support - Transition'!E:E,"2009 SCHOOL ALLOCATION FACTOR"))</f>
        <v>0</v>
      </c>
      <c r="Q1929" s="126">
        <f>IF(E1929="Y",VLOOKUP(D1929,'Support - Unit Adjustments'!F:G,2,FALSE),0)</f>
        <v>0</v>
      </c>
      <c r="R1929" s="155">
        <f t="shared" ref="R1929:R1992" si="592">+P1929+Q1929</f>
        <v>0</v>
      </c>
      <c r="S1929" s="47">
        <f t="shared" si="591"/>
        <v>0</v>
      </c>
      <c r="T1929" s="151">
        <f t="shared" si="576"/>
        <v>13700</v>
      </c>
      <c r="U1929" s="151">
        <f t="shared" si="577"/>
        <v>0</v>
      </c>
      <c r="V1929" s="139">
        <f t="shared" si="578"/>
        <v>0</v>
      </c>
      <c r="W1929" s="152">
        <f t="shared" si="581"/>
        <v>13700</v>
      </c>
      <c r="X1929" s="127" t="str">
        <f t="shared" si="579"/>
        <v/>
      </c>
      <c r="Y1929" s="207">
        <f t="shared" si="582"/>
        <v>13700</v>
      </c>
      <c r="Z1929" s="139">
        <f t="shared" si="583"/>
        <v>13700</v>
      </c>
      <c r="AA1929" s="139">
        <f t="shared" si="584"/>
        <v>0</v>
      </c>
      <c r="AC1929" s="47">
        <f t="shared" si="585"/>
        <v>6850</v>
      </c>
      <c r="AD1929" s="47">
        <f t="shared" si="586"/>
        <v>6850</v>
      </c>
      <c r="AE1929" s="47">
        <f t="shared" si="587"/>
        <v>0</v>
      </c>
      <c r="AG1929" s="47">
        <f t="shared" si="588"/>
        <v>6850</v>
      </c>
      <c r="AH1929" s="47">
        <f t="shared" si="589"/>
        <v>6850</v>
      </c>
      <c r="AI1929" s="208">
        <f t="shared" si="590"/>
        <v>0</v>
      </c>
    </row>
    <row r="1930" spans="1:35">
      <c r="A1930" t="s">
        <v>2148</v>
      </c>
      <c r="B1930" t="s">
        <v>3155</v>
      </c>
      <c r="C1930" t="s">
        <v>2929</v>
      </c>
      <c r="D1930" t="s">
        <v>5406</v>
      </c>
      <c r="F1930" t="s">
        <v>1420</v>
      </c>
      <c r="G1930" s="126">
        <f>SUMIFS('Support - Transition'!F:F,'Support - Transition'!B:B,'Step 2'!A1930,'Support - Transition'!C:C,'Step 2'!B1930,'Support - Transition'!D:D,'Step 2'!C1930,'Support - Transition'!E:E,"CIVIL")</f>
        <v>0</v>
      </c>
      <c r="H1930" s="126">
        <f>SUMIFS('Support - Transition'!F:F,'Support - Transition'!B:B,'Step 2'!A1930,'Support - Transition'!C:C,'Step 2'!B1930,'Support - Transition'!D:D,'Step 2'!C1930,'Support - Transition'!E:E,"FIRE")</f>
        <v>0</v>
      </c>
      <c r="I1930" s="126">
        <f>IF(B1930="0",SUMIFS('Support - Transition'!F:F,'Support - Transition'!J:J,'Step 2'!D1930,'Support - Transition'!E:E,"STATE UNIT"),SUMIFS('Support - Transition'!F:F,'Support - Transition'!J:J,'Step 2'!D1930))</f>
        <v>8.2200000000000003E-4</v>
      </c>
      <c r="J1930" s="126">
        <f>SUMIFS('Support - Unit Adjustments'!E:E,'Support - Unit Adjustments'!F:F,'Step 2'!D1930)</f>
        <v>0</v>
      </c>
      <c r="K1930" s="126">
        <f t="shared" si="574"/>
        <v>8.2200000000000003E-4</v>
      </c>
      <c r="L1930" s="174">
        <f>VLOOKUP(A1930,'Step 1'!$A:$E,4,FALSE)</f>
        <v>1875386</v>
      </c>
      <c r="M1930" s="47">
        <f t="shared" si="575"/>
        <v>1542</v>
      </c>
      <c r="N1930" s="177">
        <f>SUMIFS('Support - Transition'!G:G,'Support - Transition'!J:J,'Step 2'!D1930,'Support - Transition'!E:E,"2009 WELFARE ALLOCATION FACTOR")</f>
        <v>0</v>
      </c>
      <c r="O1930" s="152">
        <f t="shared" si="580"/>
        <v>0</v>
      </c>
      <c r="P1930" s="126">
        <f>IF(E1930="Y",0,SUMIFS('Support - Transition'!G:G,'Support - Transition'!J:J,'Step 2'!D1930,'Support - Transition'!E:E,"2009 SCHOOL ALLOCATION FACTOR"))</f>
        <v>0</v>
      </c>
      <c r="Q1930" s="126">
        <f>IF(E1930="Y",VLOOKUP(D1930,'Support - Unit Adjustments'!F:G,2,FALSE),0)</f>
        <v>0</v>
      </c>
      <c r="R1930" s="155">
        <f t="shared" si="592"/>
        <v>0</v>
      </c>
      <c r="S1930" s="47">
        <f t="shared" si="591"/>
        <v>0</v>
      </c>
      <c r="T1930" s="151">
        <f t="shared" si="576"/>
        <v>1542</v>
      </c>
      <c r="U1930" s="151">
        <f t="shared" si="577"/>
        <v>0</v>
      </c>
      <c r="V1930" s="139">
        <f t="shared" si="578"/>
        <v>0</v>
      </c>
      <c r="W1930" s="152">
        <f t="shared" si="581"/>
        <v>1542</v>
      </c>
      <c r="X1930" s="127" t="str">
        <f t="shared" si="579"/>
        <v/>
      </c>
      <c r="Y1930" s="207">
        <f t="shared" si="582"/>
        <v>1542</v>
      </c>
      <c r="Z1930" s="139">
        <f t="shared" si="583"/>
        <v>1542</v>
      </c>
      <c r="AA1930" s="139">
        <f t="shared" si="584"/>
        <v>0</v>
      </c>
      <c r="AC1930" s="47">
        <f t="shared" si="585"/>
        <v>771</v>
      </c>
      <c r="AD1930" s="47">
        <f t="shared" si="586"/>
        <v>771</v>
      </c>
      <c r="AE1930" s="47">
        <f t="shared" si="587"/>
        <v>0</v>
      </c>
      <c r="AG1930" s="47">
        <f t="shared" si="588"/>
        <v>771</v>
      </c>
      <c r="AH1930" s="47">
        <f t="shared" si="589"/>
        <v>771</v>
      </c>
      <c r="AI1930" s="208">
        <f t="shared" si="590"/>
        <v>0</v>
      </c>
    </row>
    <row r="1931" spans="1:35">
      <c r="A1931" t="s">
        <v>2148</v>
      </c>
      <c r="B1931" t="s">
        <v>3160</v>
      </c>
      <c r="C1931" t="s">
        <v>2756</v>
      </c>
      <c r="D1931" t="s">
        <v>5407</v>
      </c>
      <c r="F1931" t="s">
        <v>1089</v>
      </c>
      <c r="G1931" s="126">
        <f>SUMIFS('Support - Transition'!F:F,'Support - Transition'!B:B,'Step 2'!A1931,'Support - Transition'!C:C,'Step 2'!B1931,'Support - Transition'!D:D,'Step 2'!C1931,'Support - Transition'!E:E,"CIVIL")</f>
        <v>0</v>
      </c>
      <c r="H1931" s="126">
        <f>SUMIFS('Support - Transition'!F:F,'Support - Transition'!B:B,'Step 2'!A1931,'Support - Transition'!C:C,'Step 2'!B1931,'Support - Transition'!D:D,'Step 2'!C1931,'Support - Transition'!E:E,"FIRE")</f>
        <v>0</v>
      </c>
      <c r="I1931" s="126">
        <f>IF(B1931="0",SUMIFS('Support - Transition'!F:F,'Support - Transition'!J:J,'Step 2'!D1931,'Support - Transition'!E:E,"STATE UNIT"),SUMIFS('Support - Transition'!F:F,'Support - Transition'!J:J,'Step 2'!D1931))</f>
        <v>5.7470000000000004E-3</v>
      </c>
      <c r="J1931" s="126">
        <f>SUMIFS('Support - Unit Adjustments'!E:E,'Support - Unit Adjustments'!F:F,'Step 2'!D1931)</f>
        <v>0</v>
      </c>
      <c r="K1931" s="126">
        <f t="shared" si="574"/>
        <v>5.7470000000000004E-3</v>
      </c>
      <c r="L1931" s="174">
        <f>VLOOKUP(A1931,'Step 1'!$A:$E,4,FALSE)</f>
        <v>1875386</v>
      </c>
      <c r="M1931" s="47">
        <f t="shared" si="575"/>
        <v>10778</v>
      </c>
      <c r="N1931" s="177">
        <f>SUMIFS('Support - Transition'!G:G,'Support - Transition'!J:J,'Step 2'!D1931,'Support - Transition'!E:E,"2009 WELFARE ALLOCATION FACTOR")</f>
        <v>0</v>
      </c>
      <c r="O1931" s="152">
        <f t="shared" si="580"/>
        <v>0</v>
      </c>
      <c r="P1931" s="126">
        <f>IF(E1931="Y",0,SUMIFS('Support - Transition'!G:G,'Support - Transition'!J:J,'Step 2'!D1931,'Support - Transition'!E:E,"2009 SCHOOL ALLOCATION FACTOR"))</f>
        <v>0.524814</v>
      </c>
      <c r="Q1931" s="126">
        <f>IF(E1931="Y",VLOOKUP(D1931,'Support - Unit Adjustments'!F:G,2,FALSE),0)</f>
        <v>0</v>
      </c>
      <c r="R1931" s="155">
        <f t="shared" si="592"/>
        <v>0.524814</v>
      </c>
      <c r="S1931" s="47">
        <f t="shared" si="591"/>
        <v>5656</v>
      </c>
      <c r="T1931" s="151">
        <f t="shared" si="576"/>
        <v>5122</v>
      </c>
      <c r="U1931" s="151">
        <f t="shared" si="577"/>
        <v>0</v>
      </c>
      <c r="V1931" s="139">
        <f t="shared" si="578"/>
        <v>0</v>
      </c>
      <c r="W1931" s="152">
        <f t="shared" si="581"/>
        <v>5122</v>
      </c>
      <c r="X1931" s="127" t="str">
        <f t="shared" si="579"/>
        <v/>
      </c>
      <c r="Y1931" s="207">
        <f t="shared" si="582"/>
        <v>5122</v>
      </c>
      <c r="Z1931" s="139">
        <f t="shared" si="583"/>
        <v>5122</v>
      </c>
      <c r="AA1931" s="139">
        <f t="shared" si="584"/>
        <v>0</v>
      </c>
      <c r="AC1931" s="47">
        <f t="shared" si="585"/>
        <v>2561</v>
      </c>
      <c r="AD1931" s="47">
        <f t="shared" si="586"/>
        <v>2561</v>
      </c>
      <c r="AE1931" s="47">
        <f t="shared" si="587"/>
        <v>0</v>
      </c>
      <c r="AG1931" s="47">
        <f t="shared" si="588"/>
        <v>2561</v>
      </c>
      <c r="AH1931" s="47">
        <f t="shared" si="589"/>
        <v>2561</v>
      </c>
      <c r="AI1931" s="208">
        <f t="shared" si="590"/>
        <v>0</v>
      </c>
    </row>
    <row r="1932" spans="1:35">
      <c r="A1932" t="s">
        <v>2148</v>
      </c>
      <c r="B1932" t="s">
        <v>3160</v>
      </c>
      <c r="C1932" t="s">
        <v>2930</v>
      </c>
      <c r="D1932" t="s">
        <v>5408</v>
      </c>
      <c r="F1932" t="s">
        <v>1424</v>
      </c>
      <c r="G1932" s="126">
        <f>SUMIFS('Support - Transition'!F:F,'Support - Transition'!B:B,'Step 2'!A1932,'Support - Transition'!C:C,'Step 2'!B1932,'Support - Transition'!D:D,'Step 2'!C1932,'Support - Transition'!E:E,"CIVIL")</f>
        <v>0</v>
      </c>
      <c r="H1932" s="126">
        <f>SUMIFS('Support - Transition'!F:F,'Support - Transition'!B:B,'Step 2'!A1932,'Support - Transition'!C:C,'Step 2'!B1932,'Support - Transition'!D:D,'Step 2'!C1932,'Support - Transition'!E:E,"FIRE")</f>
        <v>0</v>
      </c>
      <c r="I1932" s="126">
        <f>IF(B1932="0",SUMIFS('Support - Transition'!F:F,'Support - Transition'!J:J,'Step 2'!D1932,'Support - Transition'!E:E,"STATE UNIT"),SUMIFS('Support - Transition'!F:F,'Support - Transition'!J:J,'Step 2'!D1932))</f>
        <v>1.9955000000000001E-2</v>
      </c>
      <c r="J1932" s="126">
        <f>SUMIFS('Support - Unit Adjustments'!E:E,'Support - Unit Adjustments'!F:F,'Step 2'!D1932)</f>
        <v>0</v>
      </c>
      <c r="K1932" s="126">
        <f t="shared" si="574"/>
        <v>1.9955000000000001E-2</v>
      </c>
      <c r="L1932" s="174">
        <f>VLOOKUP(A1932,'Step 1'!$A:$E,4,FALSE)</f>
        <v>1875386</v>
      </c>
      <c r="M1932" s="47">
        <f t="shared" si="575"/>
        <v>37423</v>
      </c>
      <c r="N1932" s="177">
        <f>SUMIFS('Support - Transition'!G:G,'Support - Transition'!J:J,'Step 2'!D1932,'Support - Transition'!E:E,"2009 WELFARE ALLOCATION FACTOR")</f>
        <v>0</v>
      </c>
      <c r="O1932" s="152">
        <f t="shared" si="580"/>
        <v>0</v>
      </c>
      <c r="P1932" s="126">
        <f>IF(E1932="Y",0,SUMIFS('Support - Transition'!G:G,'Support - Transition'!J:J,'Step 2'!D1932,'Support - Transition'!E:E,"2009 SCHOOL ALLOCATION FACTOR"))</f>
        <v>0.35018500000000002</v>
      </c>
      <c r="Q1932" s="126">
        <f>IF(E1932="Y",VLOOKUP(D1932,'Support - Unit Adjustments'!F:G,2,FALSE),0)</f>
        <v>0</v>
      </c>
      <c r="R1932" s="155">
        <f t="shared" si="592"/>
        <v>0.35018500000000002</v>
      </c>
      <c r="S1932" s="47">
        <f t="shared" si="591"/>
        <v>13105</v>
      </c>
      <c r="T1932" s="151">
        <f t="shared" si="576"/>
        <v>24318</v>
      </c>
      <c r="U1932" s="151">
        <f t="shared" si="577"/>
        <v>0</v>
      </c>
      <c r="V1932" s="139">
        <f t="shared" si="578"/>
        <v>0</v>
      </c>
      <c r="W1932" s="152">
        <f t="shared" si="581"/>
        <v>24318</v>
      </c>
      <c r="X1932" s="127" t="str">
        <f t="shared" si="579"/>
        <v/>
      </c>
      <c r="Y1932" s="207">
        <f t="shared" si="582"/>
        <v>24318</v>
      </c>
      <c r="Z1932" s="139">
        <f t="shared" si="583"/>
        <v>24318</v>
      </c>
      <c r="AA1932" s="139">
        <f t="shared" si="584"/>
        <v>0</v>
      </c>
      <c r="AC1932" s="47">
        <f t="shared" si="585"/>
        <v>12159</v>
      </c>
      <c r="AD1932" s="47">
        <f t="shared" si="586"/>
        <v>12159</v>
      </c>
      <c r="AE1932" s="47">
        <f t="shared" si="587"/>
        <v>0</v>
      </c>
      <c r="AG1932" s="47">
        <f t="shared" si="588"/>
        <v>12159</v>
      </c>
      <c r="AH1932" s="47">
        <f t="shared" si="589"/>
        <v>12159</v>
      </c>
      <c r="AI1932" s="208">
        <f t="shared" si="590"/>
        <v>0</v>
      </c>
    </row>
    <row r="1933" spans="1:35">
      <c r="A1933" t="s">
        <v>2148</v>
      </c>
      <c r="B1933" t="s">
        <v>3160</v>
      </c>
      <c r="C1933" t="s">
        <v>2931</v>
      </c>
      <c r="D1933" t="s">
        <v>5409</v>
      </c>
      <c r="F1933" t="s">
        <v>1425</v>
      </c>
      <c r="G1933" s="126">
        <f>SUMIFS('Support - Transition'!F:F,'Support - Transition'!B:B,'Step 2'!A1933,'Support - Transition'!C:C,'Step 2'!B1933,'Support - Transition'!D:D,'Step 2'!C1933,'Support - Transition'!E:E,"CIVIL")</f>
        <v>0</v>
      </c>
      <c r="H1933" s="126">
        <f>SUMIFS('Support - Transition'!F:F,'Support - Transition'!B:B,'Step 2'!A1933,'Support - Transition'!C:C,'Step 2'!B1933,'Support - Transition'!D:D,'Step 2'!C1933,'Support - Transition'!E:E,"FIRE")</f>
        <v>0</v>
      </c>
      <c r="I1933" s="126">
        <f>IF(B1933="0",SUMIFS('Support - Transition'!F:F,'Support - Transition'!J:J,'Step 2'!D1933,'Support - Transition'!E:E,"STATE UNIT"),SUMIFS('Support - Transition'!F:F,'Support - Transition'!J:J,'Step 2'!D1933))</f>
        <v>0.113042</v>
      </c>
      <c r="J1933" s="126">
        <f>SUMIFS('Support - Unit Adjustments'!E:E,'Support - Unit Adjustments'!F:F,'Step 2'!D1933)</f>
        <v>0</v>
      </c>
      <c r="K1933" s="126">
        <f t="shared" si="574"/>
        <v>0.113042</v>
      </c>
      <c r="L1933" s="174">
        <f>VLOOKUP(A1933,'Step 1'!$A:$E,4,FALSE)</f>
        <v>1875386</v>
      </c>
      <c r="M1933" s="47">
        <f t="shared" si="575"/>
        <v>211997</v>
      </c>
      <c r="N1933" s="177">
        <f>SUMIFS('Support - Transition'!G:G,'Support - Transition'!J:J,'Step 2'!D1933,'Support - Transition'!E:E,"2009 WELFARE ALLOCATION FACTOR")</f>
        <v>0</v>
      </c>
      <c r="O1933" s="152">
        <f t="shared" si="580"/>
        <v>0</v>
      </c>
      <c r="P1933" s="126">
        <f>IF(E1933="Y",0,SUMIFS('Support - Transition'!G:G,'Support - Transition'!J:J,'Step 2'!D1933,'Support - Transition'!E:E,"2009 SCHOOL ALLOCATION FACTOR"))</f>
        <v>0.49673299999999998</v>
      </c>
      <c r="Q1933" s="126">
        <f>IF(E1933="Y",VLOOKUP(D1933,'Support - Unit Adjustments'!F:G,2,FALSE),0)</f>
        <v>0</v>
      </c>
      <c r="R1933" s="155">
        <f t="shared" si="592"/>
        <v>0.49673299999999998</v>
      </c>
      <c r="S1933" s="47">
        <f t="shared" si="591"/>
        <v>105306</v>
      </c>
      <c r="T1933" s="151">
        <f t="shared" si="576"/>
        <v>106691</v>
      </c>
      <c r="U1933" s="151">
        <f t="shared" si="577"/>
        <v>0</v>
      </c>
      <c r="V1933" s="139">
        <f t="shared" si="578"/>
        <v>0</v>
      </c>
      <c r="W1933" s="152">
        <f t="shared" si="581"/>
        <v>106691</v>
      </c>
      <c r="X1933" s="127" t="str">
        <f t="shared" si="579"/>
        <v/>
      </c>
      <c r="Y1933" s="207">
        <f t="shared" si="582"/>
        <v>106691</v>
      </c>
      <c r="Z1933" s="139">
        <f t="shared" si="583"/>
        <v>106691</v>
      </c>
      <c r="AA1933" s="139">
        <f t="shared" si="584"/>
        <v>0</v>
      </c>
      <c r="AC1933" s="47">
        <f t="shared" si="585"/>
        <v>53346</v>
      </c>
      <c r="AD1933" s="47">
        <f t="shared" si="586"/>
        <v>53346</v>
      </c>
      <c r="AE1933" s="47">
        <f t="shared" si="587"/>
        <v>0</v>
      </c>
      <c r="AG1933" s="47">
        <f t="shared" si="588"/>
        <v>53345</v>
      </c>
      <c r="AH1933" s="47">
        <f t="shared" si="589"/>
        <v>53345</v>
      </c>
      <c r="AI1933" s="208">
        <f t="shared" si="590"/>
        <v>0</v>
      </c>
    </row>
    <row r="1934" spans="1:35">
      <c r="A1934" t="s">
        <v>2148</v>
      </c>
      <c r="B1934" t="s">
        <v>3160</v>
      </c>
      <c r="C1934" t="s">
        <v>2932</v>
      </c>
      <c r="D1934" t="s">
        <v>5410</v>
      </c>
      <c r="F1934" t="s">
        <v>1426</v>
      </c>
      <c r="G1934" s="126">
        <f>SUMIFS('Support - Transition'!F:F,'Support - Transition'!B:B,'Step 2'!A1934,'Support - Transition'!C:C,'Step 2'!B1934,'Support - Transition'!D:D,'Step 2'!C1934,'Support - Transition'!E:E,"CIVIL")</f>
        <v>0</v>
      </c>
      <c r="H1934" s="126">
        <f>SUMIFS('Support - Transition'!F:F,'Support - Transition'!B:B,'Step 2'!A1934,'Support - Transition'!C:C,'Step 2'!B1934,'Support - Transition'!D:D,'Step 2'!C1934,'Support - Transition'!E:E,"FIRE")</f>
        <v>0</v>
      </c>
      <c r="I1934" s="126">
        <f>IF(B1934="0",SUMIFS('Support - Transition'!F:F,'Support - Transition'!J:J,'Step 2'!D1934,'Support - Transition'!E:E,"STATE UNIT"),SUMIFS('Support - Transition'!F:F,'Support - Transition'!J:J,'Step 2'!D1934))</f>
        <v>9.3906000000000003E-2</v>
      </c>
      <c r="J1934" s="126">
        <f>SUMIFS('Support - Unit Adjustments'!E:E,'Support - Unit Adjustments'!F:F,'Step 2'!D1934)</f>
        <v>0</v>
      </c>
      <c r="K1934" s="126">
        <f t="shared" si="574"/>
        <v>9.3906000000000003E-2</v>
      </c>
      <c r="L1934" s="174">
        <f>VLOOKUP(A1934,'Step 1'!$A:$E,4,FALSE)</f>
        <v>1875386</v>
      </c>
      <c r="M1934" s="47">
        <f t="shared" si="575"/>
        <v>176110</v>
      </c>
      <c r="N1934" s="177">
        <f>SUMIFS('Support - Transition'!G:G,'Support - Transition'!J:J,'Step 2'!D1934,'Support - Transition'!E:E,"2009 WELFARE ALLOCATION FACTOR")</f>
        <v>0</v>
      </c>
      <c r="O1934" s="152">
        <f t="shared" si="580"/>
        <v>0</v>
      </c>
      <c r="P1934" s="126">
        <f>IF(E1934="Y",0,SUMIFS('Support - Transition'!G:G,'Support - Transition'!J:J,'Step 2'!D1934,'Support - Transition'!E:E,"2009 SCHOOL ALLOCATION FACTOR"))</f>
        <v>0.46632099999999999</v>
      </c>
      <c r="Q1934" s="126">
        <f>IF(E1934="Y",VLOOKUP(D1934,'Support - Unit Adjustments'!F:G,2,FALSE),0)</f>
        <v>0</v>
      </c>
      <c r="R1934" s="155">
        <f t="shared" si="592"/>
        <v>0.46632099999999999</v>
      </c>
      <c r="S1934" s="47">
        <f t="shared" si="591"/>
        <v>82124</v>
      </c>
      <c r="T1934" s="151">
        <f t="shared" si="576"/>
        <v>93986</v>
      </c>
      <c r="U1934" s="151">
        <f t="shared" si="577"/>
        <v>0</v>
      </c>
      <c r="V1934" s="139">
        <f t="shared" si="578"/>
        <v>0</v>
      </c>
      <c r="W1934" s="152">
        <f t="shared" si="581"/>
        <v>93986</v>
      </c>
      <c r="X1934" s="127" t="str">
        <f t="shared" si="579"/>
        <v/>
      </c>
      <c r="Y1934" s="207">
        <f t="shared" si="582"/>
        <v>93986</v>
      </c>
      <c r="Z1934" s="139">
        <f t="shared" si="583"/>
        <v>93986</v>
      </c>
      <c r="AA1934" s="139">
        <f t="shared" si="584"/>
        <v>0</v>
      </c>
      <c r="AC1934" s="47">
        <f t="shared" si="585"/>
        <v>46993</v>
      </c>
      <c r="AD1934" s="47">
        <f t="shared" si="586"/>
        <v>46993</v>
      </c>
      <c r="AE1934" s="47">
        <f t="shared" si="587"/>
        <v>0</v>
      </c>
      <c r="AG1934" s="47">
        <f t="shared" si="588"/>
        <v>46993</v>
      </c>
      <c r="AH1934" s="47">
        <f t="shared" si="589"/>
        <v>46993</v>
      </c>
      <c r="AI1934" s="208">
        <f t="shared" si="590"/>
        <v>0</v>
      </c>
    </row>
    <row r="1935" spans="1:35">
      <c r="A1935" t="s">
        <v>2148</v>
      </c>
      <c r="B1935" t="s">
        <v>3160</v>
      </c>
      <c r="C1935" t="s">
        <v>2933</v>
      </c>
      <c r="D1935" t="s">
        <v>5411</v>
      </c>
      <c r="F1935" t="s">
        <v>1428</v>
      </c>
      <c r="G1935" s="126">
        <f>SUMIFS('Support - Transition'!F:F,'Support - Transition'!B:B,'Step 2'!A1935,'Support - Transition'!C:C,'Step 2'!B1935,'Support - Transition'!D:D,'Step 2'!C1935,'Support - Transition'!E:E,"CIVIL")</f>
        <v>0</v>
      </c>
      <c r="H1935" s="126">
        <f>SUMIFS('Support - Transition'!F:F,'Support - Transition'!B:B,'Step 2'!A1935,'Support - Transition'!C:C,'Step 2'!B1935,'Support - Transition'!D:D,'Step 2'!C1935,'Support - Transition'!E:E,"FIRE")</f>
        <v>0</v>
      </c>
      <c r="I1935" s="126">
        <f>IF(B1935="0",SUMIFS('Support - Transition'!F:F,'Support - Transition'!J:J,'Step 2'!D1935,'Support - Transition'!E:E,"STATE UNIT"),SUMIFS('Support - Transition'!F:F,'Support - Transition'!J:J,'Step 2'!D1935))</f>
        <v>1.5051E-2</v>
      </c>
      <c r="J1935" s="126">
        <f>SUMIFS('Support - Unit Adjustments'!E:E,'Support - Unit Adjustments'!F:F,'Step 2'!D1935)</f>
        <v>0</v>
      </c>
      <c r="K1935" s="126">
        <f t="shared" si="574"/>
        <v>1.5051E-2</v>
      </c>
      <c r="L1935" s="174">
        <f>VLOOKUP(A1935,'Step 1'!$A:$E,4,FALSE)</f>
        <v>1875386</v>
      </c>
      <c r="M1935" s="47">
        <f t="shared" si="575"/>
        <v>28226</v>
      </c>
      <c r="N1935" s="177">
        <f>SUMIFS('Support - Transition'!G:G,'Support - Transition'!J:J,'Step 2'!D1935,'Support - Transition'!E:E,"2009 WELFARE ALLOCATION FACTOR")</f>
        <v>0</v>
      </c>
      <c r="O1935" s="152">
        <f t="shared" si="580"/>
        <v>0</v>
      </c>
      <c r="P1935" s="126">
        <f>IF(E1935="Y",0,SUMIFS('Support - Transition'!G:G,'Support - Transition'!J:J,'Step 2'!D1935,'Support - Transition'!E:E,"2009 SCHOOL ALLOCATION FACTOR"))</f>
        <v>0.42299100000000001</v>
      </c>
      <c r="Q1935" s="126">
        <f>IF(E1935="Y",VLOOKUP(D1935,'Support - Unit Adjustments'!F:G,2,FALSE),0)</f>
        <v>0</v>
      </c>
      <c r="R1935" s="155">
        <f t="shared" si="592"/>
        <v>0.42299100000000001</v>
      </c>
      <c r="S1935" s="47">
        <f t="shared" si="591"/>
        <v>11939</v>
      </c>
      <c r="T1935" s="151">
        <f t="shared" si="576"/>
        <v>16287</v>
      </c>
      <c r="U1935" s="151">
        <f t="shared" si="577"/>
        <v>0</v>
      </c>
      <c r="V1935" s="139">
        <f t="shared" si="578"/>
        <v>0</v>
      </c>
      <c r="W1935" s="152">
        <f t="shared" si="581"/>
        <v>16287</v>
      </c>
      <c r="X1935" s="127" t="str">
        <f t="shared" si="579"/>
        <v/>
      </c>
      <c r="Y1935" s="207">
        <f t="shared" si="582"/>
        <v>16287</v>
      </c>
      <c r="Z1935" s="139">
        <f t="shared" si="583"/>
        <v>16287</v>
      </c>
      <c r="AA1935" s="139">
        <f t="shared" si="584"/>
        <v>0</v>
      </c>
      <c r="AC1935" s="47">
        <f t="shared" si="585"/>
        <v>8144</v>
      </c>
      <c r="AD1935" s="47">
        <f t="shared" si="586"/>
        <v>8144</v>
      </c>
      <c r="AE1935" s="47">
        <f t="shared" si="587"/>
        <v>0</v>
      </c>
      <c r="AG1935" s="47">
        <f t="shared" si="588"/>
        <v>8143</v>
      </c>
      <c r="AH1935" s="47">
        <f t="shared" si="589"/>
        <v>8143</v>
      </c>
      <c r="AI1935" s="208">
        <f t="shared" si="590"/>
        <v>0</v>
      </c>
    </row>
    <row r="1936" spans="1:35">
      <c r="A1936" t="s">
        <v>2148</v>
      </c>
      <c r="B1936" t="s">
        <v>3160</v>
      </c>
      <c r="C1936" t="s">
        <v>2934</v>
      </c>
      <c r="D1936" t="s">
        <v>5412</v>
      </c>
      <c r="F1936" t="s">
        <v>560</v>
      </c>
      <c r="G1936" s="126">
        <f>SUMIFS('Support - Transition'!F:F,'Support - Transition'!B:B,'Step 2'!A1936,'Support - Transition'!C:C,'Step 2'!B1936,'Support - Transition'!D:D,'Step 2'!C1936,'Support - Transition'!E:E,"CIVIL")</f>
        <v>0</v>
      </c>
      <c r="H1936" s="126">
        <f>SUMIFS('Support - Transition'!F:F,'Support - Transition'!B:B,'Step 2'!A1936,'Support - Transition'!C:C,'Step 2'!B1936,'Support - Transition'!D:D,'Step 2'!C1936,'Support - Transition'!E:E,"FIRE")</f>
        <v>0</v>
      </c>
      <c r="I1936" s="126">
        <f>IF(B1936="0",SUMIFS('Support - Transition'!F:F,'Support - Transition'!J:J,'Step 2'!D1936,'Support - Transition'!E:E,"STATE UNIT"),SUMIFS('Support - Transition'!F:F,'Support - Transition'!J:J,'Step 2'!D1936))</f>
        <v>2.4167999999999999E-2</v>
      </c>
      <c r="J1936" s="126">
        <f>SUMIFS('Support - Unit Adjustments'!E:E,'Support - Unit Adjustments'!F:F,'Step 2'!D1936)</f>
        <v>0</v>
      </c>
      <c r="K1936" s="126">
        <f t="shared" si="574"/>
        <v>2.4167999999999999E-2</v>
      </c>
      <c r="L1936" s="174">
        <f>VLOOKUP(A1936,'Step 1'!$A:$E,4,FALSE)</f>
        <v>1875386</v>
      </c>
      <c r="M1936" s="47">
        <f t="shared" si="575"/>
        <v>45324</v>
      </c>
      <c r="N1936" s="177">
        <f>SUMIFS('Support - Transition'!G:G,'Support - Transition'!J:J,'Step 2'!D1936,'Support - Transition'!E:E,"2009 WELFARE ALLOCATION FACTOR")</f>
        <v>0</v>
      </c>
      <c r="O1936" s="152">
        <f t="shared" si="580"/>
        <v>0</v>
      </c>
      <c r="P1936" s="126">
        <f>IF(E1936="Y",0,SUMIFS('Support - Transition'!G:G,'Support - Transition'!J:J,'Step 2'!D1936,'Support - Transition'!E:E,"2009 SCHOOL ALLOCATION FACTOR"))</f>
        <v>0.46884199999999998</v>
      </c>
      <c r="Q1936" s="126">
        <f>IF(E1936="Y",VLOOKUP(D1936,'Support - Unit Adjustments'!F:G,2,FALSE),0)</f>
        <v>0</v>
      </c>
      <c r="R1936" s="155">
        <f t="shared" si="592"/>
        <v>0.46884199999999998</v>
      </c>
      <c r="S1936" s="47">
        <f t="shared" si="591"/>
        <v>21250</v>
      </c>
      <c r="T1936" s="151">
        <f t="shared" si="576"/>
        <v>24074</v>
      </c>
      <c r="U1936" s="151">
        <f t="shared" si="577"/>
        <v>0</v>
      </c>
      <c r="V1936" s="139">
        <f t="shared" si="578"/>
        <v>0</v>
      </c>
      <c r="W1936" s="152">
        <f t="shared" si="581"/>
        <v>24074</v>
      </c>
      <c r="X1936" s="127" t="str">
        <f t="shared" si="579"/>
        <v/>
      </c>
      <c r="Y1936" s="207">
        <f t="shared" si="582"/>
        <v>24074</v>
      </c>
      <c r="Z1936" s="139">
        <f t="shared" si="583"/>
        <v>24074</v>
      </c>
      <c r="AA1936" s="139">
        <f t="shared" si="584"/>
        <v>0</v>
      </c>
      <c r="AC1936" s="47">
        <f t="shared" si="585"/>
        <v>12037</v>
      </c>
      <c r="AD1936" s="47">
        <f t="shared" si="586"/>
        <v>12037</v>
      </c>
      <c r="AE1936" s="47">
        <f t="shared" si="587"/>
        <v>0</v>
      </c>
      <c r="AG1936" s="47">
        <f t="shared" si="588"/>
        <v>12037</v>
      </c>
      <c r="AH1936" s="47">
        <f t="shared" si="589"/>
        <v>12037</v>
      </c>
      <c r="AI1936" s="208">
        <f t="shared" si="590"/>
        <v>0</v>
      </c>
    </row>
    <row r="1937" spans="1:35">
      <c r="A1937" t="s">
        <v>2148</v>
      </c>
      <c r="B1937" t="s">
        <v>3160</v>
      </c>
      <c r="C1937" t="s">
        <v>2935</v>
      </c>
      <c r="D1937" t="s">
        <v>5413</v>
      </c>
      <c r="F1937" t="s">
        <v>1427</v>
      </c>
      <c r="G1937" s="126">
        <f>SUMIFS('Support - Transition'!F:F,'Support - Transition'!B:B,'Step 2'!A1937,'Support - Transition'!C:C,'Step 2'!B1937,'Support - Transition'!D:D,'Step 2'!C1937,'Support - Transition'!E:E,"CIVIL")</f>
        <v>0</v>
      </c>
      <c r="H1937" s="126">
        <f>SUMIFS('Support - Transition'!F:F,'Support - Transition'!B:B,'Step 2'!A1937,'Support - Transition'!C:C,'Step 2'!B1937,'Support - Transition'!D:D,'Step 2'!C1937,'Support - Transition'!E:E,"FIRE")</f>
        <v>0</v>
      </c>
      <c r="I1937" s="126">
        <f>IF(B1937="0",SUMIFS('Support - Transition'!F:F,'Support - Transition'!J:J,'Step 2'!D1937,'Support - Transition'!E:E,"STATE UNIT"),SUMIFS('Support - Transition'!F:F,'Support - Transition'!J:J,'Step 2'!D1937))</f>
        <v>0.18590100000000001</v>
      </c>
      <c r="J1937" s="126">
        <f>SUMIFS('Support - Unit Adjustments'!E:E,'Support - Unit Adjustments'!F:F,'Step 2'!D1937)</f>
        <v>0</v>
      </c>
      <c r="K1937" s="126">
        <f t="shared" si="574"/>
        <v>0.18590100000000001</v>
      </c>
      <c r="L1937" s="174">
        <f>VLOOKUP(A1937,'Step 1'!$A:$E,4,FALSE)</f>
        <v>1875386</v>
      </c>
      <c r="M1937" s="47">
        <f t="shared" si="575"/>
        <v>348636</v>
      </c>
      <c r="N1937" s="177">
        <f>SUMIFS('Support - Transition'!G:G,'Support - Transition'!J:J,'Step 2'!D1937,'Support - Transition'!E:E,"2009 WELFARE ALLOCATION FACTOR")</f>
        <v>0</v>
      </c>
      <c r="O1937" s="152">
        <f t="shared" si="580"/>
        <v>0</v>
      </c>
      <c r="P1937" s="126">
        <f>IF(E1937="Y",0,SUMIFS('Support - Transition'!G:G,'Support - Transition'!J:J,'Step 2'!D1937,'Support - Transition'!E:E,"2009 SCHOOL ALLOCATION FACTOR"))</f>
        <v>0.43910700000000003</v>
      </c>
      <c r="Q1937" s="126">
        <f>IF(E1937="Y",VLOOKUP(D1937,'Support - Unit Adjustments'!F:G,2,FALSE),0)</f>
        <v>0</v>
      </c>
      <c r="R1937" s="155">
        <f t="shared" si="592"/>
        <v>0.43910700000000003</v>
      </c>
      <c r="S1937" s="47">
        <f t="shared" si="591"/>
        <v>153089</v>
      </c>
      <c r="T1937" s="151">
        <f t="shared" si="576"/>
        <v>195547</v>
      </c>
      <c r="U1937" s="151">
        <f t="shared" si="577"/>
        <v>0</v>
      </c>
      <c r="V1937" s="139">
        <f t="shared" si="578"/>
        <v>0</v>
      </c>
      <c r="W1937" s="152">
        <f t="shared" si="581"/>
        <v>195547</v>
      </c>
      <c r="X1937" s="127" t="str">
        <f t="shared" si="579"/>
        <v/>
      </c>
      <c r="Y1937" s="207">
        <f t="shared" si="582"/>
        <v>195547</v>
      </c>
      <c r="Z1937" s="139">
        <f t="shared" si="583"/>
        <v>195547</v>
      </c>
      <c r="AA1937" s="139">
        <f t="shared" si="584"/>
        <v>0</v>
      </c>
      <c r="AC1937" s="47">
        <f t="shared" si="585"/>
        <v>97774</v>
      </c>
      <c r="AD1937" s="47">
        <f t="shared" si="586"/>
        <v>97774</v>
      </c>
      <c r="AE1937" s="47">
        <f t="shared" si="587"/>
        <v>0</v>
      </c>
      <c r="AG1937" s="47">
        <f t="shared" si="588"/>
        <v>97773</v>
      </c>
      <c r="AH1937" s="47">
        <f t="shared" si="589"/>
        <v>97773</v>
      </c>
      <c r="AI1937" s="208">
        <f t="shared" si="590"/>
        <v>0</v>
      </c>
    </row>
    <row r="1938" spans="1:35">
      <c r="A1938" t="s">
        <v>2148</v>
      </c>
      <c r="B1938" t="s">
        <v>3160</v>
      </c>
      <c r="C1938" t="s">
        <v>2936</v>
      </c>
      <c r="D1938" t="s">
        <v>5414</v>
      </c>
      <c r="F1938" t="s">
        <v>1429</v>
      </c>
      <c r="G1938" s="126">
        <f>SUMIFS('Support - Transition'!F:F,'Support - Transition'!B:B,'Step 2'!A1938,'Support - Transition'!C:C,'Step 2'!B1938,'Support - Transition'!D:D,'Step 2'!C1938,'Support - Transition'!E:E,"CIVIL")</f>
        <v>0</v>
      </c>
      <c r="H1938" s="126">
        <f>SUMIFS('Support - Transition'!F:F,'Support - Transition'!B:B,'Step 2'!A1938,'Support - Transition'!C:C,'Step 2'!B1938,'Support - Transition'!D:D,'Step 2'!C1938,'Support - Transition'!E:E,"FIRE")</f>
        <v>0</v>
      </c>
      <c r="I1938" s="126">
        <f>IF(B1938="0",SUMIFS('Support - Transition'!F:F,'Support - Transition'!J:J,'Step 2'!D1938,'Support - Transition'!E:E,"STATE UNIT"),SUMIFS('Support - Transition'!F:F,'Support - Transition'!J:J,'Step 2'!D1938))</f>
        <v>0.113556</v>
      </c>
      <c r="J1938" s="126">
        <f>SUMIFS('Support - Unit Adjustments'!E:E,'Support - Unit Adjustments'!F:F,'Step 2'!D1938)</f>
        <v>0</v>
      </c>
      <c r="K1938" s="126">
        <f t="shared" si="574"/>
        <v>0.113556</v>
      </c>
      <c r="L1938" s="174">
        <f>VLOOKUP(A1938,'Step 1'!$A:$E,4,FALSE)</f>
        <v>1875386</v>
      </c>
      <c r="M1938" s="47">
        <f t="shared" si="575"/>
        <v>212961</v>
      </c>
      <c r="N1938" s="177">
        <f>SUMIFS('Support - Transition'!G:G,'Support - Transition'!J:J,'Step 2'!D1938,'Support - Transition'!E:E,"2009 WELFARE ALLOCATION FACTOR")</f>
        <v>0</v>
      </c>
      <c r="O1938" s="152">
        <f t="shared" si="580"/>
        <v>0</v>
      </c>
      <c r="P1938" s="126">
        <f>IF(E1938="Y",0,SUMIFS('Support - Transition'!G:G,'Support - Transition'!J:J,'Step 2'!D1938,'Support - Transition'!E:E,"2009 SCHOOL ALLOCATION FACTOR"))</f>
        <v>0.44247300000000001</v>
      </c>
      <c r="Q1938" s="126">
        <f>IF(E1938="Y",VLOOKUP(D1938,'Support - Unit Adjustments'!F:G,2,FALSE),0)</f>
        <v>0</v>
      </c>
      <c r="R1938" s="155">
        <f t="shared" si="592"/>
        <v>0.44247300000000001</v>
      </c>
      <c r="S1938" s="47">
        <f t="shared" si="591"/>
        <v>94229</v>
      </c>
      <c r="T1938" s="151">
        <f t="shared" si="576"/>
        <v>118732</v>
      </c>
      <c r="U1938" s="151">
        <f t="shared" si="577"/>
        <v>0</v>
      </c>
      <c r="V1938" s="139">
        <f t="shared" si="578"/>
        <v>0</v>
      </c>
      <c r="W1938" s="152">
        <f t="shared" si="581"/>
        <v>118732</v>
      </c>
      <c r="X1938" s="127" t="str">
        <f t="shared" si="579"/>
        <v/>
      </c>
      <c r="Y1938" s="207">
        <f t="shared" si="582"/>
        <v>118732</v>
      </c>
      <c r="Z1938" s="139">
        <f t="shared" si="583"/>
        <v>118732</v>
      </c>
      <c r="AA1938" s="139">
        <f t="shared" si="584"/>
        <v>0</v>
      </c>
      <c r="AC1938" s="47">
        <f t="shared" si="585"/>
        <v>59366</v>
      </c>
      <c r="AD1938" s="47">
        <f t="shared" si="586"/>
        <v>59366</v>
      </c>
      <c r="AE1938" s="47">
        <f t="shared" si="587"/>
        <v>0</v>
      </c>
      <c r="AG1938" s="47">
        <f t="shared" si="588"/>
        <v>59366</v>
      </c>
      <c r="AH1938" s="47">
        <f t="shared" si="589"/>
        <v>59366</v>
      </c>
      <c r="AI1938" s="208">
        <f t="shared" si="590"/>
        <v>0</v>
      </c>
    </row>
    <row r="1939" spans="1:35">
      <c r="A1939" t="s">
        <v>2148</v>
      </c>
      <c r="B1939" t="s">
        <v>3166</v>
      </c>
      <c r="C1939" t="s">
        <v>5415</v>
      </c>
      <c r="D1939" t="s">
        <v>5416</v>
      </c>
      <c r="F1939" t="s">
        <v>1431</v>
      </c>
      <c r="G1939" s="126">
        <f>SUMIFS('Support - Transition'!F:F,'Support - Transition'!B:B,'Step 2'!A1939,'Support - Transition'!C:C,'Step 2'!B1939,'Support - Transition'!D:D,'Step 2'!C1939,'Support - Transition'!E:E,"CIVIL")</f>
        <v>0</v>
      </c>
      <c r="H1939" s="126">
        <f>SUMIFS('Support - Transition'!F:F,'Support - Transition'!B:B,'Step 2'!A1939,'Support - Transition'!C:C,'Step 2'!B1939,'Support - Transition'!D:D,'Step 2'!C1939,'Support - Transition'!E:E,"FIRE")</f>
        <v>0</v>
      </c>
      <c r="I1939" s="126">
        <f>IF(B1939="0",SUMIFS('Support - Transition'!F:F,'Support - Transition'!J:J,'Step 2'!D1939,'Support - Transition'!E:E,"STATE UNIT"),SUMIFS('Support - Transition'!F:F,'Support - Transition'!J:J,'Step 2'!D1939))</f>
        <v>4.084E-3</v>
      </c>
      <c r="J1939" s="126">
        <f>SUMIFS('Support - Unit Adjustments'!E:E,'Support - Unit Adjustments'!F:F,'Step 2'!D1939)</f>
        <v>0</v>
      </c>
      <c r="K1939" s="126">
        <f t="shared" si="574"/>
        <v>4.084E-3</v>
      </c>
      <c r="L1939" s="174">
        <f>VLOOKUP(A1939,'Step 1'!$A:$E,4,FALSE)</f>
        <v>1875386</v>
      </c>
      <c r="M1939" s="47">
        <f t="shared" si="575"/>
        <v>7659</v>
      </c>
      <c r="N1939" s="177">
        <f>SUMIFS('Support - Transition'!G:G,'Support - Transition'!J:J,'Step 2'!D1939,'Support - Transition'!E:E,"2009 WELFARE ALLOCATION FACTOR")</f>
        <v>0</v>
      </c>
      <c r="O1939" s="152">
        <f t="shared" si="580"/>
        <v>0</v>
      </c>
      <c r="P1939" s="126">
        <f>IF(E1939="Y",0,SUMIFS('Support - Transition'!G:G,'Support - Transition'!J:J,'Step 2'!D1939,'Support - Transition'!E:E,"2009 SCHOOL ALLOCATION FACTOR"))</f>
        <v>0</v>
      </c>
      <c r="Q1939" s="126">
        <f>IF(E1939="Y",VLOOKUP(D1939,'Support - Unit Adjustments'!F:G,2,FALSE),0)</f>
        <v>0</v>
      </c>
      <c r="R1939" s="155">
        <f t="shared" si="592"/>
        <v>0</v>
      </c>
      <c r="S1939" s="47">
        <f t="shared" si="591"/>
        <v>0</v>
      </c>
      <c r="T1939" s="151">
        <f t="shared" si="576"/>
        <v>7659</v>
      </c>
      <c r="U1939" s="151">
        <f t="shared" si="577"/>
        <v>0</v>
      </c>
      <c r="V1939" s="139">
        <f t="shared" si="578"/>
        <v>0</v>
      </c>
      <c r="W1939" s="152">
        <f t="shared" si="581"/>
        <v>7659</v>
      </c>
      <c r="X1939" s="127" t="str">
        <f t="shared" si="579"/>
        <v/>
      </c>
      <c r="Y1939" s="207">
        <f t="shared" si="582"/>
        <v>7659</v>
      </c>
      <c r="Z1939" s="139">
        <f t="shared" si="583"/>
        <v>7659</v>
      </c>
      <c r="AA1939" s="139">
        <f t="shared" si="584"/>
        <v>0</v>
      </c>
      <c r="AC1939" s="47">
        <f t="shared" si="585"/>
        <v>3830</v>
      </c>
      <c r="AD1939" s="47">
        <f t="shared" si="586"/>
        <v>3830</v>
      </c>
      <c r="AE1939" s="47">
        <f t="shared" si="587"/>
        <v>0</v>
      </c>
      <c r="AG1939" s="47">
        <f t="shared" si="588"/>
        <v>3829</v>
      </c>
      <c r="AH1939" s="47">
        <f t="shared" si="589"/>
        <v>3829</v>
      </c>
      <c r="AI1939" s="208">
        <f t="shared" si="590"/>
        <v>0</v>
      </c>
    </row>
    <row r="1940" spans="1:35">
      <c r="A1940" t="s">
        <v>2148</v>
      </c>
      <c r="B1940" t="s">
        <v>3166</v>
      </c>
      <c r="C1940" t="s">
        <v>5417</v>
      </c>
      <c r="D1940" t="s">
        <v>5418</v>
      </c>
      <c r="F1940" t="s">
        <v>1430</v>
      </c>
      <c r="G1940" s="126">
        <f>SUMIFS('Support - Transition'!F:F,'Support - Transition'!B:B,'Step 2'!A1940,'Support - Transition'!C:C,'Step 2'!B1940,'Support - Transition'!D:D,'Step 2'!C1940,'Support - Transition'!E:E,"CIVIL")</f>
        <v>0</v>
      </c>
      <c r="H1940" s="126">
        <f>SUMIFS('Support - Transition'!F:F,'Support - Transition'!B:B,'Step 2'!A1940,'Support - Transition'!C:C,'Step 2'!B1940,'Support - Transition'!D:D,'Step 2'!C1940,'Support - Transition'!E:E,"FIRE")</f>
        <v>0</v>
      </c>
      <c r="I1940" s="126">
        <f>IF(B1940="0",SUMIFS('Support - Transition'!F:F,'Support - Transition'!J:J,'Step 2'!D1940,'Support - Transition'!E:E,"STATE UNIT"),SUMIFS('Support - Transition'!F:F,'Support - Transition'!J:J,'Step 2'!D1940))</f>
        <v>2.9888999999999999E-2</v>
      </c>
      <c r="J1940" s="126">
        <f>SUMIFS('Support - Unit Adjustments'!E:E,'Support - Unit Adjustments'!F:F,'Step 2'!D1940)</f>
        <v>0</v>
      </c>
      <c r="K1940" s="126">
        <f t="shared" si="574"/>
        <v>2.9888999999999999E-2</v>
      </c>
      <c r="L1940" s="174">
        <f>VLOOKUP(A1940,'Step 1'!$A:$E,4,FALSE)</f>
        <v>1875386</v>
      </c>
      <c r="M1940" s="47">
        <f t="shared" si="575"/>
        <v>56053</v>
      </c>
      <c r="N1940" s="177">
        <f>SUMIFS('Support - Transition'!G:G,'Support - Transition'!J:J,'Step 2'!D1940,'Support - Transition'!E:E,"2009 WELFARE ALLOCATION FACTOR")</f>
        <v>0</v>
      </c>
      <c r="O1940" s="152">
        <f t="shared" si="580"/>
        <v>0</v>
      </c>
      <c r="P1940" s="126">
        <f>IF(E1940="Y",0,SUMIFS('Support - Transition'!G:G,'Support - Transition'!J:J,'Step 2'!D1940,'Support - Transition'!E:E,"2009 SCHOOL ALLOCATION FACTOR"))</f>
        <v>0</v>
      </c>
      <c r="Q1940" s="126">
        <f>IF(E1940="Y",VLOOKUP(D1940,'Support - Unit Adjustments'!F:G,2,FALSE),0)</f>
        <v>0</v>
      </c>
      <c r="R1940" s="155">
        <f t="shared" si="592"/>
        <v>0</v>
      </c>
      <c r="S1940" s="47">
        <f t="shared" si="591"/>
        <v>0</v>
      </c>
      <c r="T1940" s="151">
        <f t="shared" si="576"/>
        <v>56053</v>
      </c>
      <c r="U1940" s="151">
        <f t="shared" si="577"/>
        <v>0</v>
      </c>
      <c r="V1940" s="139">
        <f t="shared" si="578"/>
        <v>0</v>
      </c>
      <c r="W1940" s="152">
        <f t="shared" si="581"/>
        <v>56053</v>
      </c>
      <c r="X1940" s="127" t="str">
        <f t="shared" si="579"/>
        <v/>
      </c>
      <c r="Y1940" s="207">
        <f t="shared" si="582"/>
        <v>56053</v>
      </c>
      <c r="Z1940" s="139">
        <f t="shared" si="583"/>
        <v>56053</v>
      </c>
      <c r="AA1940" s="139">
        <f t="shared" si="584"/>
        <v>0</v>
      </c>
      <c r="AC1940" s="47">
        <f t="shared" si="585"/>
        <v>28027</v>
      </c>
      <c r="AD1940" s="47">
        <f t="shared" si="586"/>
        <v>28027</v>
      </c>
      <c r="AE1940" s="47">
        <f t="shared" si="587"/>
        <v>0</v>
      </c>
      <c r="AG1940" s="47">
        <f t="shared" si="588"/>
        <v>28026</v>
      </c>
      <c r="AH1940" s="47">
        <f t="shared" si="589"/>
        <v>28026</v>
      </c>
      <c r="AI1940" s="208">
        <f t="shared" si="590"/>
        <v>0</v>
      </c>
    </row>
    <row r="1941" spans="1:35">
      <c r="A1941" t="s">
        <v>2148</v>
      </c>
      <c r="B1941" t="s">
        <v>3170</v>
      </c>
      <c r="C1941" t="s">
        <v>5419</v>
      </c>
      <c r="D1941" t="s">
        <v>5420</v>
      </c>
      <c r="F1941" t="s">
        <v>1434</v>
      </c>
      <c r="G1941" s="126">
        <f>SUMIFS('Support - Transition'!F:F,'Support - Transition'!B:B,'Step 2'!A1941,'Support - Transition'!C:C,'Step 2'!B1941,'Support - Transition'!D:D,'Step 2'!C1941,'Support - Transition'!E:E,"CIVIL")</f>
        <v>0</v>
      </c>
      <c r="H1941" s="126">
        <f>SUMIFS('Support - Transition'!F:F,'Support - Transition'!B:B,'Step 2'!A1941,'Support - Transition'!C:C,'Step 2'!B1941,'Support - Transition'!D:D,'Step 2'!C1941,'Support - Transition'!E:E,"FIRE")</f>
        <v>0</v>
      </c>
      <c r="I1941" s="126">
        <f>IF(B1941="0",SUMIFS('Support - Transition'!F:F,'Support - Transition'!J:J,'Step 2'!D1941,'Support - Transition'!E:E,"STATE UNIT"),SUMIFS('Support - Transition'!F:F,'Support - Transition'!J:J,'Step 2'!D1941))</f>
        <v>9.3999999999999994E-5</v>
      </c>
      <c r="J1941" s="126">
        <f>SUMIFS('Support - Unit Adjustments'!E:E,'Support - Unit Adjustments'!F:F,'Step 2'!D1941)</f>
        <v>0</v>
      </c>
      <c r="K1941" s="126">
        <f t="shared" si="574"/>
        <v>9.3999999999999994E-5</v>
      </c>
      <c r="L1941" s="174">
        <f>VLOOKUP(A1941,'Step 1'!$A:$E,4,FALSE)</f>
        <v>1875386</v>
      </c>
      <c r="M1941" s="47">
        <f t="shared" si="575"/>
        <v>176</v>
      </c>
      <c r="N1941" s="177">
        <f>SUMIFS('Support - Transition'!G:G,'Support - Transition'!J:J,'Step 2'!D1941,'Support - Transition'!E:E,"2009 WELFARE ALLOCATION FACTOR")</f>
        <v>0</v>
      </c>
      <c r="O1941" s="152">
        <f t="shared" si="580"/>
        <v>0</v>
      </c>
      <c r="P1941" s="126">
        <f>IF(E1941="Y",0,SUMIFS('Support - Transition'!G:G,'Support - Transition'!J:J,'Step 2'!D1941,'Support - Transition'!E:E,"2009 SCHOOL ALLOCATION FACTOR"))</f>
        <v>0</v>
      </c>
      <c r="Q1941" s="126">
        <f>IF(E1941="Y",VLOOKUP(D1941,'Support - Unit Adjustments'!F:G,2,FALSE),0)</f>
        <v>0</v>
      </c>
      <c r="R1941" s="155">
        <f t="shared" si="592"/>
        <v>0</v>
      </c>
      <c r="S1941" s="47">
        <f t="shared" si="591"/>
        <v>0</v>
      </c>
      <c r="T1941" s="151">
        <f t="shared" si="576"/>
        <v>176</v>
      </c>
      <c r="U1941" s="151">
        <f t="shared" si="577"/>
        <v>0</v>
      </c>
      <c r="V1941" s="139">
        <f t="shared" si="578"/>
        <v>0</v>
      </c>
      <c r="W1941" s="152">
        <f t="shared" si="581"/>
        <v>176</v>
      </c>
      <c r="X1941" s="127" t="str">
        <f t="shared" si="579"/>
        <v/>
      </c>
      <c r="Y1941" s="207">
        <f t="shared" si="582"/>
        <v>176</v>
      </c>
      <c r="Z1941" s="139">
        <f t="shared" si="583"/>
        <v>176</v>
      </c>
      <c r="AA1941" s="139">
        <f t="shared" si="584"/>
        <v>0</v>
      </c>
      <c r="AC1941" s="47">
        <f t="shared" si="585"/>
        <v>88</v>
      </c>
      <c r="AD1941" s="47">
        <f t="shared" si="586"/>
        <v>88</v>
      </c>
      <c r="AE1941" s="47">
        <f t="shared" si="587"/>
        <v>0</v>
      </c>
      <c r="AG1941" s="47">
        <f t="shared" si="588"/>
        <v>88</v>
      </c>
      <c r="AH1941" s="47">
        <f t="shared" si="589"/>
        <v>88</v>
      </c>
      <c r="AI1941" s="208">
        <f t="shared" si="590"/>
        <v>0</v>
      </c>
    </row>
    <row r="1942" spans="1:35">
      <c r="A1942" t="s">
        <v>2148</v>
      </c>
      <c r="B1942" t="s">
        <v>3170</v>
      </c>
      <c r="C1942" t="s">
        <v>2937</v>
      </c>
      <c r="D1942" t="s">
        <v>5421</v>
      </c>
      <c r="F1942" t="s">
        <v>5422</v>
      </c>
      <c r="G1942" s="126">
        <f>SUMIFS('Support - Transition'!F:F,'Support - Transition'!B:B,'Step 2'!A1942,'Support - Transition'!C:C,'Step 2'!B1942,'Support - Transition'!D:D,'Step 2'!C1942,'Support - Transition'!E:E,"CIVIL")</f>
        <v>0</v>
      </c>
      <c r="H1942" s="126">
        <f>SUMIFS('Support - Transition'!F:F,'Support - Transition'!B:B,'Step 2'!A1942,'Support - Transition'!C:C,'Step 2'!B1942,'Support - Transition'!D:D,'Step 2'!C1942,'Support - Transition'!E:E,"FIRE")</f>
        <v>0</v>
      </c>
      <c r="I1942" s="126">
        <f>IF(B1942="0",SUMIFS('Support - Transition'!F:F,'Support - Transition'!J:J,'Step 2'!D1942,'Support - Transition'!E:E,"STATE UNIT"),SUMIFS('Support - Transition'!F:F,'Support - Transition'!J:J,'Step 2'!D1942))</f>
        <v>0</v>
      </c>
      <c r="J1942" s="126">
        <f>SUMIFS('Support - Unit Adjustments'!E:E,'Support - Unit Adjustments'!F:F,'Step 2'!D1942)</f>
        <v>0</v>
      </c>
      <c r="K1942" s="126">
        <f t="shared" si="574"/>
        <v>0</v>
      </c>
      <c r="L1942" s="174">
        <f>VLOOKUP(A1942,'Step 1'!$A:$E,4,FALSE)</f>
        <v>1875386</v>
      </c>
      <c r="M1942" s="47">
        <f t="shared" si="575"/>
        <v>0</v>
      </c>
      <c r="N1942" s="177">
        <f>SUMIFS('Support - Transition'!G:G,'Support - Transition'!J:J,'Step 2'!D1942,'Support - Transition'!E:E,"2009 WELFARE ALLOCATION FACTOR")</f>
        <v>0</v>
      </c>
      <c r="O1942" s="152">
        <f t="shared" si="580"/>
        <v>0</v>
      </c>
      <c r="P1942" s="126">
        <f>IF(E1942="Y",0,SUMIFS('Support - Transition'!G:G,'Support - Transition'!J:J,'Step 2'!D1942,'Support - Transition'!E:E,"2009 SCHOOL ALLOCATION FACTOR"))</f>
        <v>0</v>
      </c>
      <c r="Q1942" s="126">
        <f>IF(E1942="Y",VLOOKUP(D1942,'Support - Unit Adjustments'!F:G,2,FALSE),0)</f>
        <v>0</v>
      </c>
      <c r="R1942" s="155">
        <f t="shared" si="592"/>
        <v>0</v>
      </c>
      <c r="S1942" s="47">
        <f t="shared" si="591"/>
        <v>0</v>
      </c>
      <c r="T1942" s="151">
        <f t="shared" si="576"/>
        <v>0</v>
      </c>
      <c r="U1942" s="151">
        <f t="shared" si="577"/>
        <v>0</v>
      </c>
      <c r="V1942" s="139">
        <f t="shared" si="578"/>
        <v>0</v>
      </c>
      <c r="W1942" s="152">
        <f t="shared" si="581"/>
        <v>0</v>
      </c>
      <c r="X1942" s="127" t="str">
        <f t="shared" si="579"/>
        <v/>
      </c>
      <c r="Y1942" s="207">
        <f t="shared" si="582"/>
        <v>0</v>
      </c>
      <c r="Z1942" s="139">
        <f t="shared" si="583"/>
        <v>0</v>
      </c>
      <c r="AA1942" s="139">
        <f t="shared" si="584"/>
        <v>0</v>
      </c>
      <c r="AC1942" s="47">
        <f t="shared" si="585"/>
        <v>0</v>
      </c>
      <c r="AD1942" s="47">
        <f t="shared" si="586"/>
        <v>0</v>
      </c>
      <c r="AE1942" s="47">
        <f t="shared" si="587"/>
        <v>0</v>
      </c>
      <c r="AG1942" s="47">
        <f t="shared" si="588"/>
        <v>0</v>
      </c>
      <c r="AH1942" s="47">
        <f t="shared" si="589"/>
        <v>0</v>
      </c>
      <c r="AI1942" s="208">
        <f t="shared" si="590"/>
        <v>0</v>
      </c>
    </row>
    <row r="1943" spans="1:35">
      <c r="A1943" t="s">
        <v>2148</v>
      </c>
      <c r="B1943" t="s">
        <v>3170</v>
      </c>
      <c r="C1943" t="s">
        <v>4415</v>
      </c>
      <c r="D1943" t="s">
        <v>5423</v>
      </c>
      <c r="F1943" t="s">
        <v>1432</v>
      </c>
      <c r="G1943" s="126">
        <f>SUMIFS('Support - Transition'!F:F,'Support - Transition'!B:B,'Step 2'!A1943,'Support - Transition'!C:C,'Step 2'!B1943,'Support - Transition'!D:D,'Step 2'!C1943,'Support - Transition'!E:E,"CIVIL")</f>
        <v>0</v>
      </c>
      <c r="H1943" s="126">
        <f>SUMIFS('Support - Transition'!F:F,'Support - Transition'!B:B,'Step 2'!A1943,'Support - Transition'!C:C,'Step 2'!B1943,'Support - Transition'!D:D,'Step 2'!C1943,'Support - Transition'!E:E,"FIRE")</f>
        <v>0</v>
      </c>
      <c r="I1943" s="126">
        <f>IF(B1943="0",SUMIFS('Support - Transition'!F:F,'Support - Transition'!J:J,'Step 2'!D1943,'Support - Transition'!E:E,"STATE UNIT"),SUMIFS('Support - Transition'!F:F,'Support - Transition'!J:J,'Step 2'!D1943))</f>
        <v>3.0950000000000001E-3</v>
      </c>
      <c r="J1943" s="126">
        <f>SUMIFS('Support - Unit Adjustments'!E:E,'Support - Unit Adjustments'!F:F,'Step 2'!D1943)</f>
        <v>0</v>
      </c>
      <c r="K1943" s="126">
        <f t="shared" si="574"/>
        <v>3.0950000000000001E-3</v>
      </c>
      <c r="L1943" s="174">
        <f>VLOOKUP(A1943,'Step 1'!$A:$E,4,FALSE)</f>
        <v>1875386</v>
      </c>
      <c r="M1943" s="47">
        <f t="shared" si="575"/>
        <v>5804</v>
      </c>
      <c r="N1943" s="177">
        <f>SUMIFS('Support - Transition'!G:G,'Support - Transition'!J:J,'Step 2'!D1943,'Support - Transition'!E:E,"2009 WELFARE ALLOCATION FACTOR")</f>
        <v>0</v>
      </c>
      <c r="O1943" s="152">
        <f t="shared" si="580"/>
        <v>0</v>
      </c>
      <c r="P1943" s="126">
        <f>IF(E1943="Y",0,SUMIFS('Support - Transition'!G:G,'Support - Transition'!J:J,'Step 2'!D1943,'Support - Transition'!E:E,"2009 SCHOOL ALLOCATION FACTOR"))</f>
        <v>0</v>
      </c>
      <c r="Q1943" s="126">
        <f>IF(E1943="Y",VLOOKUP(D1943,'Support - Unit Adjustments'!F:G,2,FALSE),0)</f>
        <v>0</v>
      </c>
      <c r="R1943" s="155">
        <f t="shared" si="592"/>
        <v>0</v>
      </c>
      <c r="S1943" s="47">
        <f t="shared" si="591"/>
        <v>0</v>
      </c>
      <c r="T1943" s="151">
        <f t="shared" si="576"/>
        <v>5804</v>
      </c>
      <c r="U1943" s="151">
        <f t="shared" si="577"/>
        <v>0</v>
      </c>
      <c r="V1943" s="139">
        <f t="shared" si="578"/>
        <v>0</v>
      </c>
      <c r="W1943" s="152">
        <f t="shared" si="581"/>
        <v>5804</v>
      </c>
      <c r="X1943" s="127" t="str">
        <f t="shared" si="579"/>
        <v/>
      </c>
      <c r="Y1943" s="207">
        <f t="shared" si="582"/>
        <v>5804</v>
      </c>
      <c r="Z1943" s="139">
        <f t="shared" si="583"/>
        <v>5804</v>
      </c>
      <c r="AA1943" s="139">
        <f t="shared" si="584"/>
        <v>0</v>
      </c>
      <c r="AC1943" s="47">
        <f t="shared" si="585"/>
        <v>2902</v>
      </c>
      <c r="AD1943" s="47">
        <f t="shared" si="586"/>
        <v>2902</v>
      </c>
      <c r="AE1943" s="47">
        <f t="shared" si="587"/>
        <v>0</v>
      </c>
      <c r="AG1943" s="47">
        <f t="shared" si="588"/>
        <v>2902</v>
      </c>
      <c r="AH1943" s="47">
        <f t="shared" si="589"/>
        <v>2902</v>
      </c>
      <c r="AI1943" s="208">
        <f t="shared" si="590"/>
        <v>0</v>
      </c>
    </row>
    <row r="1944" spans="1:35">
      <c r="A1944" t="s">
        <v>2148</v>
      </c>
      <c r="B1944" t="s">
        <v>3286</v>
      </c>
      <c r="C1944" t="s">
        <v>2205</v>
      </c>
      <c r="D1944" t="s">
        <v>5424</v>
      </c>
      <c r="F1944" t="s">
        <v>5425</v>
      </c>
      <c r="G1944" s="126">
        <f>SUMIFS('Support - Transition'!F:F,'Support - Transition'!B:B,'Step 2'!A1944,'Support - Transition'!C:C,'Step 2'!B1944,'Support - Transition'!D:D,'Step 2'!C1944,'Support - Transition'!E:E,"CIVIL")</f>
        <v>0</v>
      </c>
      <c r="H1944" s="126">
        <f>SUMIFS('Support - Transition'!F:F,'Support - Transition'!B:B,'Step 2'!A1944,'Support - Transition'!C:C,'Step 2'!B1944,'Support - Transition'!D:D,'Step 2'!C1944,'Support - Transition'!E:E,"FIRE")</f>
        <v>0</v>
      </c>
      <c r="I1944" s="126">
        <f>IF(B1944="0",SUMIFS('Support - Transition'!F:F,'Support - Transition'!J:J,'Step 2'!D1944,'Support - Transition'!E:E,"STATE UNIT"),SUMIFS('Support - Transition'!F:F,'Support - Transition'!J:J,'Step 2'!D1944))</f>
        <v>0</v>
      </c>
      <c r="J1944" s="126">
        <f>SUMIFS('Support - Unit Adjustments'!E:E,'Support - Unit Adjustments'!F:F,'Step 2'!D1944)</f>
        <v>0</v>
      </c>
      <c r="K1944" s="126">
        <f t="shared" si="574"/>
        <v>0</v>
      </c>
      <c r="L1944" s="174">
        <f>VLOOKUP(A1944,'Step 1'!$A:$E,4,FALSE)</f>
        <v>1875386</v>
      </c>
      <c r="M1944" s="47">
        <f t="shared" si="575"/>
        <v>0</v>
      </c>
      <c r="N1944" s="177">
        <f>SUMIFS('Support - Transition'!G:G,'Support - Transition'!J:J,'Step 2'!D1944,'Support - Transition'!E:E,"2009 WELFARE ALLOCATION FACTOR")</f>
        <v>0</v>
      </c>
      <c r="O1944" s="152">
        <f t="shared" si="580"/>
        <v>0</v>
      </c>
      <c r="P1944" s="126">
        <f>IF(E1944="Y",0,SUMIFS('Support - Transition'!G:G,'Support - Transition'!J:J,'Step 2'!D1944,'Support - Transition'!E:E,"2009 SCHOOL ALLOCATION FACTOR"))</f>
        <v>0</v>
      </c>
      <c r="Q1944" s="126">
        <f>IF(E1944="Y",VLOOKUP(D1944,'Support - Unit Adjustments'!F:G,2,FALSE),0)</f>
        <v>0</v>
      </c>
      <c r="R1944" s="155">
        <f t="shared" si="592"/>
        <v>0</v>
      </c>
      <c r="S1944" s="47">
        <f t="shared" si="591"/>
        <v>0</v>
      </c>
      <c r="T1944" s="151">
        <f t="shared" si="576"/>
        <v>0</v>
      </c>
      <c r="U1944" s="151">
        <f t="shared" si="577"/>
        <v>0</v>
      </c>
      <c r="V1944" s="139">
        <f t="shared" si="578"/>
        <v>0</v>
      </c>
      <c r="W1944" s="152">
        <f t="shared" si="581"/>
        <v>0</v>
      </c>
      <c r="X1944" s="127" t="str">
        <f t="shared" si="579"/>
        <v/>
      </c>
      <c r="Y1944" s="207">
        <f t="shared" si="582"/>
        <v>0</v>
      </c>
      <c r="Z1944" s="139">
        <f t="shared" si="583"/>
        <v>0</v>
      </c>
      <c r="AA1944" s="139">
        <f t="shared" si="584"/>
        <v>0</v>
      </c>
      <c r="AC1944" s="47">
        <f t="shared" si="585"/>
        <v>0</v>
      </c>
      <c r="AD1944" s="47">
        <f t="shared" si="586"/>
        <v>0</v>
      </c>
      <c r="AE1944" s="47">
        <f t="shared" si="587"/>
        <v>0</v>
      </c>
      <c r="AG1944" s="47">
        <f t="shared" si="588"/>
        <v>0</v>
      </c>
      <c r="AH1944" s="47">
        <f t="shared" si="589"/>
        <v>0</v>
      </c>
      <c r="AI1944" s="208">
        <f t="shared" si="590"/>
        <v>0</v>
      </c>
    </row>
    <row r="1945" spans="1:35">
      <c r="A1945" t="s">
        <v>2148</v>
      </c>
      <c r="B1945" t="s">
        <v>3286</v>
      </c>
      <c r="C1945" t="s">
        <v>2311</v>
      </c>
      <c r="D1945" t="s">
        <v>5426</v>
      </c>
      <c r="F1945" t="s">
        <v>5427</v>
      </c>
      <c r="G1945" s="126">
        <f>SUMIFS('Support - Transition'!F:F,'Support - Transition'!B:B,'Step 2'!A1945,'Support - Transition'!C:C,'Step 2'!B1945,'Support - Transition'!D:D,'Step 2'!C1945,'Support - Transition'!E:E,"CIVIL")</f>
        <v>0</v>
      </c>
      <c r="H1945" s="126">
        <f>SUMIFS('Support - Transition'!F:F,'Support - Transition'!B:B,'Step 2'!A1945,'Support - Transition'!C:C,'Step 2'!B1945,'Support - Transition'!D:D,'Step 2'!C1945,'Support - Transition'!E:E,"FIRE")</f>
        <v>0</v>
      </c>
      <c r="I1945" s="126">
        <f>IF(B1945="0",SUMIFS('Support - Transition'!F:F,'Support - Transition'!J:J,'Step 2'!D1945,'Support - Transition'!E:E,"STATE UNIT"),SUMIFS('Support - Transition'!F:F,'Support - Transition'!J:J,'Step 2'!D1945))</f>
        <v>0</v>
      </c>
      <c r="J1945" s="126">
        <f>SUMIFS('Support - Unit Adjustments'!E:E,'Support - Unit Adjustments'!F:F,'Step 2'!D1945)</f>
        <v>0</v>
      </c>
      <c r="K1945" s="126">
        <f t="shared" si="574"/>
        <v>0</v>
      </c>
      <c r="L1945" s="174">
        <f>VLOOKUP(A1945,'Step 1'!$A:$E,4,FALSE)</f>
        <v>1875386</v>
      </c>
      <c r="M1945" s="47">
        <f t="shared" si="575"/>
        <v>0</v>
      </c>
      <c r="N1945" s="177">
        <f>SUMIFS('Support - Transition'!G:G,'Support - Transition'!J:J,'Step 2'!D1945,'Support - Transition'!E:E,"2009 WELFARE ALLOCATION FACTOR")</f>
        <v>0</v>
      </c>
      <c r="O1945" s="152">
        <f t="shared" si="580"/>
        <v>0</v>
      </c>
      <c r="P1945" s="126">
        <f>IF(E1945="Y",0,SUMIFS('Support - Transition'!G:G,'Support - Transition'!J:J,'Step 2'!D1945,'Support - Transition'!E:E,"2009 SCHOOL ALLOCATION FACTOR"))</f>
        <v>0</v>
      </c>
      <c r="Q1945" s="126">
        <f>IF(E1945="Y",VLOOKUP(D1945,'Support - Unit Adjustments'!F:G,2,FALSE),0)</f>
        <v>0</v>
      </c>
      <c r="R1945" s="155">
        <f t="shared" si="592"/>
        <v>0</v>
      </c>
      <c r="S1945" s="47">
        <f t="shared" si="591"/>
        <v>0</v>
      </c>
      <c r="T1945" s="151">
        <f t="shared" si="576"/>
        <v>0</v>
      </c>
      <c r="U1945" s="151">
        <f t="shared" si="577"/>
        <v>0</v>
      </c>
      <c r="V1945" s="139">
        <f t="shared" si="578"/>
        <v>0</v>
      </c>
      <c r="W1945" s="152">
        <f t="shared" si="581"/>
        <v>0</v>
      </c>
      <c r="X1945" s="127" t="str">
        <f t="shared" si="579"/>
        <v/>
      </c>
      <c r="Y1945" s="207">
        <f t="shared" si="582"/>
        <v>0</v>
      </c>
      <c r="Z1945" s="139">
        <f t="shared" si="583"/>
        <v>0</v>
      </c>
      <c r="AA1945" s="139">
        <f t="shared" si="584"/>
        <v>0</v>
      </c>
      <c r="AC1945" s="47">
        <f t="shared" si="585"/>
        <v>0</v>
      </c>
      <c r="AD1945" s="47">
        <f t="shared" si="586"/>
        <v>0</v>
      </c>
      <c r="AE1945" s="47">
        <f t="shared" si="587"/>
        <v>0</v>
      </c>
      <c r="AG1945" s="47">
        <f t="shared" si="588"/>
        <v>0</v>
      </c>
      <c r="AH1945" s="47">
        <f t="shared" si="589"/>
        <v>0</v>
      </c>
      <c r="AI1945" s="208">
        <f t="shared" si="590"/>
        <v>0</v>
      </c>
    </row>
    <row r="1946" spans="1:35">
      <c r="A1946" t="s">
        <v>2148</v>
      </c>
      <c r="B1946" t="s">
        <v>3286</v>
      </c>
      <c r="C1946" t="s">
        <v>2321</v>
      </c>
      <c r="D1946" t="s">
        <v>5428</v>
      </c>
      <c r="F1946" t="s">
        <v>5429</v>
      </c>
      <c r="G1946" s="126">
        <f>SUMIFS('Support - Transition'!F:F,'Support - Transition'!B:B,'Step 2'!A1946,'Support - Transition'!C:C,'Step 2'!B1946,'Support - Transition'!D:D,'Step 2'!C1946,'Support - Transition'!E:E,"CIVIL")</f>
        <v>0</v>
      </c>
      <c r="H1946" s="126">
        <f>SUMIFS('Support - Transition'!F:F,'Support - Transition'!B:B,'Step 2'!A1946,'Support - Transition'!C:C,'Step 2'!B1946,'Support - Transition'!D:D,'Step 2'!C1946,'Support - Transition'!E:E,"FIRE")</f>
        <v>0</v>
      </c>
      <c r="I1946" s="126">
        <f>IF(B1946="0",SUMIFS('Support - Transition'!F:F,'Support - Transition'!J:J,'Step 2'!D1946,'Support - Transition'!E:E,"STATE UNIT"),SUMIFS('Support - Transition'!F:F,'Support - Transition'!J:J,'Step 2'!D1946))</f>
        <v>0</v>
      </c>
      <c r="J1946" s="126">
        <f>SUMIFS('Support - Unit Adjustments'!E:E,'Support - Unit Adjustments'!F:F,'Step 2'!D1946)</f>
        <v>0</v>
      </c>
      <c r="K1946" s="126">
        <f t="shared" si="574"/>
        <v>0</v>
      </c>
      <c r="L1946" s="174">
        <f>VLOOKUP(A1946,'Step 1'!$A:$E,4,FALSE)</f>
        <v>1875386</v>
      </c>
      <c r="M1946" s="47">
        <f t="shared" si="575"/>
        <v>0</v>
      </c>
      <c r="N1946" s="177">
        <f>SUMIFS('Support - Transition'!G:G,'Support - Transition'!J:J,'Step 2'!D1946,'Support - Transition'!E:E,"2009 WELFARE ALLOCATION FACTOR")</f>
        <v>0</v>
      </c>
      <c r="O1946" s="152">
        <f t="shared" si="580"/>
        <v>0</v>
      </c>
      <c r="P1946" s="126">
        <f>IF(E1946="Y",0,SUMIFS('Support - Transition'!G:G,'Support - Transition'!J:J,'Step 2'!D1946,'Support - Transition'!E:E,"2009 SCHOOL ALLOCATION FACTOR"))</f>
        <v>0</v>
      </c>
      <c r="Q1946" s="126">
        <f>IF(E1946="Y",VLOOKUP(D1946,'Support - Unit Adjustments'!F:G,2,FALSE),0)</f>
        <v>0</v>
      </c>
      <c r="R1946" s="155">
        <f t="shared" si="592"/>
        <v>0</v>
      </c>
      <c r="S1946" s="47">
        <f t="shared" si="591"/>
        <v>0</v>
      </c>
      <c r="T1946" s="151">
        <f t="shared" si="576"/>
        <v>0</v>
      </c>
      <c r="U1946" s="151">
        <f t="shared" si="577"/>
        <v>0</v>
      </c>
      <c r="V1946" s="139">
        <f t="shared" si="578"/>
        <v>0</v>
      </c>
      <c r="W1946" s="152">
        <f t="shared" si="581"/>
        <v>0</v>
      </c>
      <c r="X1946" s="127" t="str">
        <f t="shared" si="579"/>
        <v/>
      </c>
      <c r="Y1946" s="207">
        <f t="shared" si="582"/>
        <v>0</v>
      </c>
      <c r="Z1946" s="139">
        <f t="shared" si="583"/>
        <v>0</v>
      </c>
      <c r="AA1946" s="139">
        <f t="shared" si="584"/>
        <v>0</v>
      </c>
      <c r="AC1946" s="47">
        <f t="shared" si="585"/>
        <v>0</v>
      </c>
      <c r="AD1946" s="47">
        <f t="shared" si="586"/>
        <v>0</v>
      </c>
      <c r="AE1946" s="47">
        <f t="shared" si="587"/>
        <v>0</v>
      </c>
      <c r="AG1946" s="47">
        <f t="shared" si="588"/>
        <v>0</v>
      </c>
      <c r="AH1946" s="47">
        <f t="shared" si="589"/>
        <v>0</v>
      </c>
      <c r="AI1946" s="208">
        <f t="shared" si="590"/>
        <v>0</v>
      </c>
    </row>
    <row r="1947" spans="1:35">
      <c r="A1947" t="s">
        <v>2148</v>
      </c>
      <c r="B1947" t="s">
        <v>3286</v>
      </c>
      <c r="C1947" t="s">
        <v>3537</v>
      </c>
      <c r="D1947" t="s">
        <v>5430</v>
      </c>
      <c r="F1947" t="s">
        <v>5431</v>
      </c>
      <c r="G1947" s="126">
        <f>SUMIFS('Support - Transition'!F:F,'Support - Transition'!B:B,'Step 2'!A1947,'Support - Transition'!C:C,'Step 2'!B1947,'Support - Transition'!D:D,'Step 2'!C1947,'Support - Transition'!E:E,"CIVIL")</f>
        <v>0</v>
      </c>
      <c r="H1947" s="126">
        <f>SUMIFS('Support - Transition'!F:F,'Support - Transition'!B:B,'Step 2'!A1947,'Support - Transition'!C:C,'Step 2'!B1947,'Support - Transition'!D:D,'Step 2'!C1947,'Support - Transition'!E:E,"FIRE")</f>
        <v>0</v>
      </c>
      <c r="I1947" s="126">
        <f>IF(B1947="0",SUMIFS('Support - Transition'!F:F,'Support - Transition'!J:J,'Step 2'!D1947,'Support - Transition'!E:E,"STATE UNIT"),SUMIFS('Support - Transition'!F:F,'Support - Transition'!J:J,'Step 2'!D1947))</f>
        <v>0</v>
      </c>
      <c r="J1947" s="126">
        <f>SUMIFS('Support - Unit Adjustments'!E:E,'Support - Unit Adjustments'!F:F,'Step 2'!D1947)</f>
        <v>0</v>
      </c>
      <c r="K1947" s="126">
        <f t="shared" si="574"/>
        <v>0</v>
      </c>
      <c r="L1947" s="174">
        <f>VLOOKUP(A1947,'Step 1'!$A:$E,4,FALSE)</f>
        <v>1875386</v>
      </c>
      <c r="M1947" s="47">
        <f t="shared" si="575"/>
        <v>0</v>
      </c>
      <c r="N1947" s="177">
        <f>SUMIFS('Support - Transition'!G:G,'Support - Transition'!J:J,'Step 2'!D1947,'Support - Transition'!E:E,"2009 WELFARE ALLOCATION FACTOR")</f>
        <v>0</v>
      </c>
      <c r="O1947" s="152">
        <f t="shared" si="580"/>
        <v>0</v>
      </c>
      <c r="P1947" s="126">
        <f>IF(E1947="Y",0,SUMIFS('Support - Transition'!G:G,'Support - Transition'!J:J,'Step 2'!D1947,'Support - Transition'!E:E,"2009 SCHOOL ALLOCATION FACTOR"))</f>
        <v>0</v>
      </c>
      <c r="Q1947" s="126">
        <f>IF(E1947="Y",VLOOKUP(D1947,'Support - Unit Adjustments'!F:G,2,FALSE),0)</f>
        <v>0</v>
      </c>
      <c r="R1947" s="155">
        <f t="shared" si="592"/>
        <v>0</v>
      </c>
      <c r="S1947" s="47">
        <f t="shared" si="591"/>
        <v>0</v>
      </c>
      <c r="T1947" s="151">
        <f t="shared" si="576"/>
        <v>0</v>
      </c>
      <c r="U1947" s="151">
        <f t="shared" si="577"/>
        <v>0</v>
      </c>
      <c r="V1947" s="139">
        <f t="shared" si="578"/>
        <v>0</v>
      </c>
      <c r="W1947" s="152">
        <f t="shared" si="581"/>
        <v>0</v>
      </c>
      <c r="X1947" s="127" t="str">
        <f t="shared" si="579"/>
        <v/>
      </c>
      <c r="Y1947" s="207">
        <f t="shared" si="582"/>
        <v>0</v>
      </c>
      <c r="Z1947" s="139">
        <f t="shared" si="583"/>
        <v>0</v>
      </c>
      <c r="AA1947" s="139">
        <f t="shared" si="584"/>
        <v>0</v>
      </c>
      <c r="AC1947" s="47">
        <f t="shared" si="585"/>
        <v>0</v>
      </c>
      <c r="AD1947" s="47">
        <f t="shared" si="586"/>
        <v>0</v>
      </c>
      <c r="AE1947" s="47">
        <f t="shared" si="587"/>
        <v>0</v>
      </c>
      <c r="AG1947" s="47">
        <f t="shared" si="588"/>
        <v>0</v>
      </c>
      <c r="AH1947" s="47">
        <f t="shared" si="589"/>
        <v>0</v>
      </c>
      <c r="AI1947" s="208">
        <f t="shared" si="590"/>
        <v>0</v>
      </c>
    </row>
    <row r="1948" spans="1:35">
      <c r="A1948" t="s">
        <v>2148</v>
      </c>
      <c r="B1948" t="s">
        <v>3286</v>
      </c>
      <c r="C1948" t="s">
        <v>3998</v>
      </c>
      <c r="D1948" t="s">
        <v>5432</v>
      </c>
      <c r="F1948" t="s">
        <v>5433</v>
      </c>
      <c r="G1948" s="126">
        <f>SUMIFS('Support - Transition'!F:F,'Support - Transition'!B:B,'Step 2'!A1948,'Support - Transition'!C:C,'Step 2'!B1948,'Support - Transition'!D:D,'Step 2'!C1948,'Support - Transition'!E:E,"CIVIL")</f>
        <v>0</v>
      </c>
      <c r="H1948" s="126">
        <f>SUMIFS('Support - Transition'!F:F,'Support - Transition'!B:B,'Step 2'!A1948,'Support - Transition'!C:C,'Step 2'!B1948,'Support - Transition'!D:D,'Step 2'!C1948,'Support - Transition'!E:E,"FIRE")</f>
        <v>0</v>
      </c>
      <c r="I1948" s="126">
        <f>IF(B1948="0",SUMIFS('Support - Transition'!F:F,'Support - Transition'!J:J,'Step 2'!D1948,'Support - Transition'!E:E,"STATE UNIT"),SUMIFS('Support - Transition'!F:F,'Support - Transition'!J:J,'Step 2'!D1948))</f>
        <v>0</v>
      </c>
      <c r="J1948" s="126">
        <f>SUMIFS('Support - Unit Adjustments'!E:E,'Support - Unit Adjustments'!F:F,'Step 2'!D1948)</f>
        <v>0</v>
      </c>
      <c r="K1948" s="126">
        <f t="shared" si="574"/>
        <v>0</v>
      </c>
      <c r="L1948" s="174">
        <f>VLOOKUP(A1948,'Step 1'!$A:$E,4,FALSE)</f>
        <v>1875386</v>
      </c>
      <c r="M1948" s="47">
        <f t="shared" si="575"/>
        <v>0</v>
      </c>
      <c r="N1948" s="177">
        <f>SUMIFS('Support - Transition'!G:G,'Support - Transition'!J:J,'Step 2'!D1948,'Support - Transition'!E:E,"2009 WELFARE ALLOCATION FACTOR")</f>
        <v>0</v>
      </c>
      <c r="O1948" s="152">
        <f t="shared" si="580"/>
        <v>0</v>
      </c>
      <c r="P1948" s="126">
        <f>IF(E1948="Y",0,SUMIFS('Support - Transition'!G:G,'Support - Transition'!J:J,'Step 2'!D1948,'Support - Transition'!E:E,"2009 SCHOOL ALLOCATION FACTOR"))</f>
        <v>0</v>
      </c>
      <c r="Q1948" s="126">
        <f>IF(E1948="Y",VLOOKUP(D1948,'Support - Unit Adjustments'!F:G,2,FALSE),0)</f>
        <v>0</v>
      </c>
      <c r="R1948" s="155">
        <f t="shared" si="592"/>
        <v>0</v>
      </c>
      <c r="S1948" s="47">
        <f t="shared" si="591"/>
        <v>0</v>
      </c>
      <c r="T1948" s="151">
        <f t="shared" si="576"/>
        <v>0</v>
      </c>
      <c r="U1948" s="151">
        <f t="shared" si="577"/>
        <v>0</v>
      </c>
      <c r="V1948" s="139">
        <f t="shared" si="578"/>
        <v>0</v>
      </c>
      <c r="W1948" s="152">
        <f t="shared" si="581"/>
        <v>0</v>
      </c>
      <c r="X1948" s="127" t="str">
        <f t="shared" si="579"/>
        <v/>
      </c>
      <c r="Y1948" s="207">
        <f t="shared" si="582"/>
        <v>0</v>
      </c>
      <c r="Z1948" s="139">
        <f t="shared" si="583"/>
        <v>0</v>
      </c>
      <c r="AA1948" s="139">
        <f t="shared" si="584"/>
        <v>0</v>
      </c>
      <c r="AC1948" s="47">
        <f t="shared" si="585"/>
        <v>0</v>
      </c>
      <c r="AD1948" s="47">
        <f t="shared" si="586"/>
        <v>0</v>
      </c>
      <c r="AE1948" s="47">
        <f t="shared" si="587"/>
        <v>0</v>
      </c>
      <c r="AG1948" s="47">
        <f t="shared" si="588"/>
        <v>0</v>
      </c>
      <c r="AH1948" s="47">
        <f t="shared" si="589"/>
        <v>0</v>
      </c>
      <c r="AI1948" s="208">
        <f t="shared" si="590"/>
        <v>0</v>
      </c>
    </row>
    <row r="1949" spans="1:35">
      <c r="A1949" t="s">
        <v>2148</v>
      </c>
      <c r="B1949" t="s">
        <v>3286</v>
      </c>
      <c r="C1949" t="s">
        <v>2607</v>
      </c>
      <c r="D1949" t="s">
        <v>5434</v>
      </c>
      <c r="F1949" t="s">
        <v>5435</v>
      </c>
      <c r="G1949" s="126">
        <f>SUMIFS('Support - Transition'!F:F,'Support - Transition'!B:B,'Step 2'!A1949,'Support - Transition'!C:C,'Step 2'!B1949,'Support - Transition'!D:D,'Step 2'!C1949,'Support - Transition'!E:E,"CIVIL")</f>
        <v>0</v>
      </c>
      <c r="H1949" s="126">
        <f>SUMIFS('Support - Transition'!F:F,'Support - Transition'!B:B,'Step 2'!A1949,'Support - Transition'!C:C,'Step 2'!B1949,'Support - Transition'!D:D,'Step 2'!C1949,'Support - Transition'!E:E,"FIRE")</f>
        <v>0</v>
      </c>
      <c r="I1949" s="126">
        <f>IF(B1949="0",SUMIFS('Support - Transition'!F:F,'Support - Transition'!J:J,'Step 2'!D1949,'Support - Transition'!E:E,"STATE UNIT"),SUMIFS('Support - Transition'!F:F,'Support - Transition'!J:J,'Step 2'!D1949))</f>
        <v>0</v>
      </c>
      <c r="J1949" s="126">
        <f>SUMIFS('Support - Unit Adjustments'!E:E,'Support - Unit Adjustments'!F:F,'Step 2'!D1949)</f>
        <v>0</v>
      </c>
      <c r="K1949" s="126">
        <f t="shared" si="574"/>
        <v>0</v>
      </c>
      <c r="L1949" s="174">
        <f>VLOOKUP(A1949,'Step 1'!$A:$E,4,FALSE)</f>
        <v>1875386</v>
      </c>
      <c r="M1949" s="47">
        <f t="shared" si="575"/>
        <v>0</v>
      </c>
      <c r="N1949" s="177">
        <f>SUMIFS('Support - Transition'!G:G,'Support - Transition'!J:J,'Step 2'!D1949,'Support - Transition'!E:E,"2009 WELFARE ALLOCATION FACTOR")</f>
        <v>0</v>
      </c>
      <c r="O1949" s="152">
        <f t="shared" si="580"/>
        <v>0</v>
      </c>
      <c r="P1949" s="126">
        <f>IF(E1949="Y",0,SUMIFS('Support - Transition'!G:G,'Support - Transition'!J:J,'Step 2'!D1949,'Support - Transition'!E:E,"2009 SCHOOL ALLOCATION FACTOR"))</f>
        <v>0</v>
      </c>
      <c r="Q1949" s="126">
        <f>IF(E1949="Y",VLOOKUP(D1949,'Support - Unit Adjustments'!F:G,2,FALSE),0)</f>
        <v>0</v>
      </c>
      <c r="R1949" s="155">
        <f t="shared" si="592"/>
        <v>0</v>
      </c>
      <c r="S1949" s="47">
        <f t="shared" si="591"/>
        <v>0</v>
      </c>
      <c r="T1949" s="151">
        <f t="shared" si="576"/>
        <v>0</v>
      </c>
      <c r="U1949" s="151">
        <f t="shared" si="577"/>
        <v>0</v>
      </c>
      <c r="V1949" s="139">
        <f t="shared" si="578"/>
        <v>0</v>
      </c>
      <c r="W1949" s="152">
        <f t="shared" si="581"/>
        <v>0</v>
      </c>
      <c r="X1949" s="127" t="str">
        <f t="shared" si="579"/>
        <v/>
      </c>
      <c r="Y1949" s="207">
        <f t="shared" si="582"/>
        <v>0</v>
      </c>
      <c r="Z1949" s="139">
        <f t="shared" si="583"/>
        <v>0</v>
      </c>
      <c r="AA1949" s="139">
        <f t="shared" si="584"/>
        <v>0</v>
      </c>
      <c r="AC1949" s="47">
        <f t="shared" si="585"/>
        <v>0</v>
      </c>
      <c r="AD1949" s="47">
        <f t="shared" si="586"/>
        <v>0</v>
      </c>
      <c r="AE1949" s="47">
        <f t="shared" si="587"/>
        <v>0</v>
      </c>
      <c r="AG1949" s="47">
        <f t="shared" si="588"/>
        <v>0</v>
      </c>
      <c r="AH1949" s="47">
        <f t="shared" si="589"/>
        <v>0</v>
      </c>
      <c r="AI1949" s="208">
        <f t="shared" si="590"/>
        <v>0</v>
      </c>
    </row>
    <row r="1950" spans="1:35">
      <c r="A1950" t="s">
        <v>2149</v>
      </c>
      <c r="B1950" s="48" t="s">
        <v>6274</v>
      </c>
      <c r="C1950" t="s">
        <v>2187</v>
      </c>
      <c r="D1950" t="str">
        <f>A1950&amp;B1950&amp;C1950</f>
        <v>6500000</v>
      </c>
      <c r="F1950" t="s">
        <v>6339</v>
      </c>
      <c r="G1950" s="126">
        <f>SUMIFS('Support - Transition'!F:F,'Support - Transition'!B:B,'Step 2'!A1950,'Support - Transition'!C:C,'Step 2'!B1950,'Support - Transition'!D:D,'Step 2'!C1950,'Support - Transition'!E:E,"CIVIL")</f>
        <v>0</v>
      </c>
      <c r="H1950" s="126">
        <f>SUMIFS('Support - Transition'!F:F,'Support - Transition'!B:B,'Step 2'!A1950,'Support - Transition'!C:C,'Step 2'!B1950,'Support - Transition'!D:D,'Step 2'!C1950,'Support - Transition'!E:E,"FIRE")</f>
        <v>0</v>
      </c>
      <c r="I1950" s="126">
        <f>IF(B1950="0",SUMIFS('Support - Transition'!F:F,'Support - Transition'!J:J,'Step 2'!D1950,'Support - Transition'!E:E,"STATE UNIT"),SUMIFS('Support - Transition'!F:F,'Support - Transition'!J:J,'Step 2'!D1950))</f>
        <v>1.3270000000000001E-3</v>
      </c>
      <c r="J1950" s="126">
        <f>SUMIFS('Support - Unit Adjustments'!E:E,'Support - Unit Adjustments'!F:F,'Step 2'!D1950)</f>
        <v>0</v>
      </c>
      <c r="K1950" s="126">
        <f t="shared" si="574"/>
        <v>1.3270000000000001E-3</v>
      </c>
      <c r="L1950" s="174">
        <f>VLOOKUP(A1950,'Step 1'!$A:$E,4,FALSE)</f>
        <v>301385</v>
      </c>
      <c r="M1950" s="47">
        <f t="shared" si="575"/>
        <v>400</v>
      </c>
      <c r="N1950" s="177">
        <f>SUMIFS('Support - Transition'!G:G,'Support - Transition'!J:J,'Step 2'!D1950,'Support - Transition'!E:E,"2009 WELFARE ALLOCATION FACTOR")</f>
        <v>0</v>
      </c>
      <c r="O1950" s="152">
        <f t="shared" si="580"/>
        <v>0</v>
      </c>
      <c r="P1950" s="126">
        <f>IF(E1950="Y",0,SUMIFS('Support - Transition'!G:G,'Support - Transition'!J:J,'Step 2'!D1950,'Support - Transition'!E:E,"2009 SCHOOL ALLOCATION FACTOR"))</f>
        <v>0</v>
      </c>
      <c r="Q1950" s="126">
        <f>IF(E1950="Y",VLOOKUP(D1950,'Support - Unit Adjustments'!F:G,2,FALSE),0)</f>
        <v>0</v>
      </c>
      <c r="R1950" s="155">
        <f t="shared" si="592"/>
        <v>0</v>
      </c>
      <c r="S1950" s="47">
        <f t="shared" si="591"/>
        <v>0</v>
      </c>
      <c r="T1950" s="151">
        <f t="shared" si="576"/>
        <v>400</v>
      </c>
      <c r="U1950" s="151">
        <f t="shared" si="577"/>
        <v>301384</v>
      </c>
      <c r="V1950" s="139">
        <f t="shared" si="578"/>
        <v>-1</v>
      </c>
      <c r="W1950" s="152">
        <f t="shared" si="581"/>
        <v>401</v>
      </c>
      <c r="X1950" s="127">
        <f t="shared" si="579"/>
        <v>0</v>
      </c>
      <c r="Y1950" s="207">
        <f t="shared" si="582"/>
        <v>401</v>
      </c>
      <c r="Z1950" s="139">
        <f t="shared" si="583"/>
        <v>401</v>
      </c>
      <c r="AA1950" s="139">
        <f t="shared" si="584"/>
        <v>0</v>
      </c>
      <c r="AC1950" s="47">
        <f t="shared" si="585"/>
        <v>201</v>
      </c>
      <c r="AD1950" s="47">
        <f t="shared" si="586"/>
        <v>201</v>
      </c>
      <c r="AE1950" s="47">
        <f t="shared" si="587"/>
        <v>0</v>
      </c>
      <c r="AG1950" s="47">
        <f t="shared" si="588"/>
        <v>200</v>
      </c>
      <c r="AH1950" s="47">
        <f t="shared" si="589"/>
        <v>200</v>
      </c>
      <c r="AI1950" s="208">
        <f t="shared" si="590"/>
        <v>0</v>
      </c>
    </row>
    <row r="1951" spans="1:35">
      <c r="A1951" t="s">
        <v>2149</v>
      </c>
      <c r="B1951" t="s">
        <v>3140</v>
      </c>
      <c r="C1951" t="s">
        <v>2187</v>
      </c>
      <c r="D1951" t="s">
        <v>5436</v>
      </c>
      <c r="F1951" t="s">
        <v>1437</v>
      </c>
      <c r="G1951" s="126">
        <f>SUMIFS('Support - Transition'!F:F,'Support - Transition'!B:B,'Step 2'!A1951,'Support - Transition'!C:C,'Step 2'!B1951,'Support - Transition'!D:D,'Step 2'!C1951,'Support - Transition'!E:E,"CIVIL")</f>
        <v>0</v>
      </c>
      <c r="H1951" s="126">
        <f>SUMIFS('Support - Transition'!F:F,'Support - Transition'!B:B,'Step 2'!A1951,'Support - Transition'!C:C,'Step 2'!B1951,'Support - Transition'!D:D,'Step 2'!C1951,'Support - Transition'!E:E,"FIRE")</f>
        <v>0</v>
      </c>
      <c r="I1951" s="126">
        <f>IF(B1951="0",SUMIFS('Support - Transition'!F:F,'Support - Transition'!J:J,'Step 2'!D1951,'Support - Transition'!E:E,"STATE UNIT"),SUMIFS('Support - Transition'!F:F,'Support - Transition'!J:J,'Step 2'!D1951))</f>
        <v>0.19985700000000001</v>
      </c>
      <c r="J1951" s="126">
        <f>SUMIFS('Support - Unit Adjustments'!E:E,'Support - Unit Adjustments'!F:F,'Step 2'!D1951)</f>
        <v>0</v>
      </c>
      <c r="K1951" s="126">
        <f t="shared" si="574"/>
        <v>0.19985700000000001</v>
      </c>
      <c r="L1951" s="174">
        <f>VLOOKUP(A1951,'Step 1'!$A:$E,4,FALSE)</f>
        <v>301385</v>
      </c>
      <c r="M1951" s="47">
        <f t="shared" si="575"/>
        <v>60234</v>
      </c>
      <c r="N1951" s="177">
        <f>SUMIFS('Support - Transition'!G:G,'Support - Transition'!J:J,'Step 2'!D1951,'Support - Transition'!E:E,"2009 WELFARE ALLOCATION FACTOR")</f>
        <v>7.0982000000000003E-2</v>
      </c>
      <c r="O1951" s="152">
        <f t="shared" si="580"/>
        <v>4276</v>
      </c>
      <c r="P1951" s="126">
        <f>IF(E1951="Y",0,SUMIFS('Support - Transition'!G:G,'Support - Transition'!J:J,'Step 2'!D1951,'Support - Transition'!E:E,"2009 SCHOOL ALLOCATION FACTOR"))</f>
        <v>0</v>
      </c>
      <c r="Q1951" s="126">
        <f>IF(E1951="Y",VLOOKUP(D1951,'Support - Unit Adjustments'!F:G,2,FALSE),0)</f>
        <v>0</v>
      </c>
      <c r="R1951" s="155">
        <f t="shared" si="592"/>
        <v>0</v>
      </c>
      <c r="S1951" s="47">
        <f t="shared" si="591"/>
        <v>0</v>
      </c>
      <c r="T1951" s="151">
        <f t="shared" si="576"/>
        <v>55958</v>
      </c>
      <c r="U1951" s="151">
        <f t="shared" si="577"/>
        <v>0</v>
      </c>
      <c r="V1951" s="139">
        <f t="shared" si="578"/>
        <v>0</v>
      </c>
      <c r="W1951" s="152">
        <f t="shared" si="581"/>
        <v>55958</v>
      </c>
      <c r="X1951" s="127" t="str">
        <f t="shared" si="579"/>
        <v/>
      </c>
      <c r="Y1951" s="207">
        <f t="shared" si="582"/>
        <v>55958</v>
      </c>
      <c r="Z1951" s="139">
        <f t="shared" si="583"/>
        <v>55958</v>
      </c>
      <c r="AA1951" s="139">
        <f t="shared" si="584"/>
        <v>0</v>
      </c>
      <c r="AC1951" s="47">
        <f t="shared" si="585"/>
        <v>27979</v>
      </c>
      <c r="AD1951" s="47">
        <f t="shared" si="586"/>
        <v>27979</v>
      </c>
      <c r="AE1951" s="47">
        <f t="shared" si="587"/>
        <v>0</v>
      </c>
      <c r="AG1951" s="47">
        <f t="shared" si="588"/>
        <v>27979</v>
      </c>
      <c r="AH1951" s="47">
        <f t="shared" si="589"/>
        <v>27979</v>
      </c>
      <c r="AI1951" s="208">
        <f t="shared" si="590"/>
        <v>0</v>
      </c>
    </row>
    <row r="1952" spans="1:35">
      <c r="A1952" t="s">
        <v>2149</v>
      </c>
      <c r="B1952" t="s">
        <v>3142</v>
      </c>
      <c r="C1952" t="s">
        <v>2188</v>
      </c>
      <c r="D1952" t="s">
        <v>5437</v>
      </c>
      <c r="F1952" t="s">
        <v>1438</v>
      </c>
      <c r="G1952" s="126">
        <f>SUMIFS('Support - Transition'!F:F,'Support - Transition'!B:B,'Step 2'!A1952,'Support - Transition'!C:C,'Step 2'!B1952,'Support - Transition'!D:D,'Step 2'!C1952,'Support - Transition'!E:E,"CIVIL")</f>
        <v>5.9900000000000003E-4</v>
      </c>
      <c r="H1952" s="126">
        <f>SUMIFS('Support - Transition'!F:F,'Support - Transition'!B:B,'Step 2'!A1952,'Support - Transition'!C:C,'Step 2'!B1952,'Support - Transition'!D:D,'Step 2'!C1952,'Support - Transition'!E:E,"FIRE")</f>
        <v>0</v>
      </c>
      <c r="I1952" s="126">
        <f>IF(B1952="0",SUMIFS('Support - Transition'!F:F,'Support - Transition'!J:J,'Step 2'!D1952,'Support - Transition'!E:E,"STATE UNIT"),SUMIFS('Support - Transition'!F:F,'Support - Transition'!J:J,'Step 2'!D1952))</f>
        <v>5.9900000000000003E-4</v>
      </c>
      <c r="J1952" s="126">
        <f>SUMIFS('Support - Unit Adjustments'!E:E,'Support - Unit Adjustments'!F:F,'Step 2'!D1952)</f>
        <v>0</v>
      </c>
      <c r="K1952" s="126">
        <f t="shared" si="574"/>
        <v>5.9900000000000003E-4</v>
      </c>
      <c r="L1952" s="174">
        <f>VLOOKUP(A1952,'Step 1'!$A:$E,4,FALSE)</f>
        <v>301385</v>
      </c>
      <c r="M1952" s="47">
        <f t="shared" si="575"/>
        <v>181</v>
      </c>
      <c r="N1952" s="177">
        <f>SUMIFS('Support - Transition'!G:G,'Support - Transition'!J:J,'Step 2'!D1952,'Support - Transition'!E:E,"2009 WELFARE ALLOCATION FACTOR")</f>
        <v>0</v>
      </c>
      <c r="O1952" s="152">
        <f t="shared" si="580"/>
        <v>0</v>
      </c>
      <c r="P1952" s="126">
        <f>IF(E1952="Y",0,SUMIFS('Support - Transition'!G:G,'Support - Transition'!J:J,'Step 2'!D1952,'Support - Transition'!E:E,"2009 SCHOOL ALLOCATION FACTOR"))</f>
        <v>0</v>
      </c>
      <c r="Q1952" s="126">
        <f>IF(E1952="Y",VLOOKUP(D1952,'Support - Unit Adjustments'!F:G,2,FALSE),0)</f>
        <v>0</v>
      </c>
      <c r="R1952" s="155">
        <f t="shared" si="592"/>
        <v>0</v>
      </c>
      <c r="S1952" s="47">
        <f t="shared" si="591"/>
        <v>0</v>
      </c>
      <c r="T1952" s="151">
        <f t="shared" si="576"/>
        <v>181</v>
      </c>
      <c r="U1952" s="151">
        <f t="shared" si="577"/>
        <v>0</v>
      </c>
      <c r="V1952" s="139">
        <f t="shared" si="578"/>
        <v>0</v>
      </c>
      <c r="W1952" s="152">
        <f t="shared" si="581"/>
        <v>181</v>
      </c>
      <c r="X1952" s="127" t="str">
        <f t="shared" si="579"/>
        <v/>
      </c>
      <c r="Y1952" s="207">
        <f t="shared" si="582"/>
        <v>181</v>
      </c>
      <c r="Z1952" s="139">
        <f t="shared" si="583"/>
        <v>181</v>
      </c>
      <c r="AA1952" s="139">
        <f t="shared" si="584"/>
        <v>0</v>
      </c>
      <c r="AC1952" s="47">
        <f t="shared" si="585"/>
        <v>91</v>
      </c>
      <c r="AD1952" s="47">
        <f t="shared" si="586"/>
        <v>91</v>
      </c>
      <c r="AE1952" s="47">
        <f t="shared" si="587"/>
        <v>0</v>
      </c>
      <c r="AG1952" s="47">
        <f t="shared" si="588"/>
        <v>90</v>
      </c>
      <c r="AH1952" s="47">
        <f t="shared" si="589"/>
        <v>90</v>
      </c>
      <c r="AI1952" s="208">
        <f t="shared" si="590"/>
        <v>0</v>
      </c>
    </row>
    <row r="1953" spans="1:35">
      <c r="A1953" t="s">
        <v>2149</v>
      </c>
      <c r="B1953" t="s">
        <v>3142</v>
      </c>
      <c r="C1953" t="s">
        <v>2189</v>
      </c>
      <c r="D1953" t="s">
        <v>5438</v>
      </c>
      <c r="F1953" t="s">
        <v>1439</v>
      </c>
      <c r="G1953" s="126">
        <f>SUMIFS('Support - Transition'!F:F,'Support - Transition'!B:B,'Step 2'!A1953,'Support - Transition'!C:C,'Step 2'!B1953,'Support - Transition'!D:D,'Step 2'!C1953,'Support - Transition'!E:E,"CIVIL")</f>
        <v>2.8700000000000002E-3</v>
      </c>
      <c r="H1953" s="126">
        <f>SUMIFS('Support - Transition'!F:F,'Support - Transition'!B:B,'Step 2'!A1953,'Support - Transition'!C:C,'Step 2'!B1953,'Support - Transition'!D:D,'Step 2'!C1953,'Support - Transition'!E:E,"FIRE")</f>
        <v>3.2929999999999999E-3</v>
      </c>
      <c r="I1953" s="126">
        <f>IF(B1953="0",SUMIFS('Support - Transition'!F:F,'Support - Transition'!J:J,'Step 2'!D1953,'Support - Transition'!E:E,"STATE UNIT"),SUMIFS('Support - Transition'!F:F,'Support - Transition'!J:J,'Step 2'!D1953))</f>
        <v>6.1630000000000001E-3</v>
      </c>
      <c r="J1953" s="126">
        <f>SUMIFS('Support - Unit Adjustments'!E:E,'Support - Unit Adjustments'!F:F,'Step 2'!D1953)</f>
        <v>0</v>
      </c>
      <c r="K1953" s="126">
        <f t="shared" si="574"/>
        <v>6.1630000000000001E-3</v>
      </c>
      <c r="L1953" s="174">
        <f>VLOOKUP(A1953,'Step 1'!$A:$E,4,FALSE)</f>
        <v>301385</v>
      </c>
      <c r="M1953" s="47">
        <f t="shared" si="575"/>
        <v>1857</v>
      </c>
      <c r="N1953" s="177">
        <f>SUMIFS('Support - Transition'!G:G,'Support - Transition'!J:J,'Step 2'!D1953,'Support - Transition'!E:E,"2009 WELFARE ALLOCATION FACTOR")</f>
        <v>0</v>
      </c>
      <c r="O1953" s="152">
        <f t="shared" si="580"/>
        <v>0</v>
      </c>
      <c r="P1953" s="126">
        <f>IF(E1953="Y",0,SUMIFS('Support - Transition'!G:G,'Support - Transition'!J:J,'Step 2'!D1953,'Support - Transition'!E:E,"2009 SCHOOL ALLOCATION FACTOR"))</f>
        <v>0</v>
      </c>
      <c r="Q1953" s="126">
        <f>IF(E1953="Y",VLOOKUP(D1953,'Support - Unit Adjustments'!F:G,2,FALSE),0)</f>
        <v>0</v>
      </c>
      <c r="R1953" s="155">
        <f t="shared" si="592"/>
        <v>0</v>
      </c>
      <c r="S1953" s="47">
        <f t="shared" si="591"/>
        <v>0</v>
      </c>
      <c r="T1953" s="151">
        <f t="shared" si="576"/>
        <v>1857</v>
      </c>
      <c r="U1953" s="151">
        <f t="shared" si="577"/>
        <v>0</v>
      </c>
      <c r="V1953" s="139">
        <f t="shared" si="578"/>
        <v>0</v>
      </c>
      <c r="W1953" s="152">
        <f t="shared" si="581"/>
        <v>1857</v>
      </c>
      <c r="X1953" s="127" t="str">
        <f t="shared" si="579"/>
        <v/>
      </c>
      <c r="Y1953" s="207">
        <f t="shared" si="582"/>
        <v>1857</v>
      </c>
      <c r="Z1953" s="139">
        <f t="shared" si="583"/>
        <v>865</v>
      </c>
      <c r="AA1953" s="139">
        <f t="shared" si="584"/>
        <v>992</v>
      </c>
      <c r="AC1953" s="47">
        <f t="shared" si="585"/>
        <v>929</v>
      </c>
      <c r="AD1953" s="47">
        <f t="shared" si="586"/>
        <v>433</v>
      </c>
      <c r="AE1953" s="47">
        <f t="shared" si="587"/>
        <v>496</v>
      </c>
      <c r="AG1953" s="47">
        <f t="shared" si="588"/>
        <v>928</v>
      </c>
      <c r="AH1953" s="47">
        <f t="shared" si="589"/>
        <v>432</v>
      </c>
      <c r="AI1953" s="208">
        <f t="shared" si="590"/>
        <v>496</v>
      </c>
    </row>
    <row r="1954" spans="1:35">
      <c r="A1954" t="s">
        <v>2149</v>
      </c>
      <c r="B1954" t="s">
        <v>3142</v>
      </c>
      <c r="C1954" t="s">
        <v>2190</v>
      </c>
      <c r="D1954" t="s">
        <v>5439</v>
      </c>
      <c r="F1954" t="s">
        <v>107</v>
      </c>
      <c r="G1954" s="126">
        <f>SUMIFS('Support - Transition'!F:F,'Support - Transition'!B:B,'Step 2'!A1954,'Support - Transition'!C:C,'Step 2'!B1954,'Support - Transition'!D:D,'Step 2'!C1954,'Support - Transition'!E:E,"CIVIL")</f>
        <v>8.8000000000000003E-4</v>
      </c>
      <c r="H1954" s="126">
        <f>SUMIFS('Support - Transition'!F:F,'Support - Transition'!B:B,'Step 2'!A1954,'Support - Transition'!C:C,'Step 2'!B1954,'Support - Transition'!D:D,'Step 2'!C1954,'Support - Transition'!E:E,"FIRE")</f>
        <v>0</v>
      </c>
      <c r="I1954" s="126">
        <f>IF(B1954="0",SUMIFS('Support - Transition'!F:F,'Support - Transition'!J:J,'Step 2'!D1954,'Support - Transition'!E:E,"STATE UNIT"),SUMIFS('Support - Transition'!F:F,'Support - Transition'!J:J,'Step 2'!D1954))</f>
        <v>8.8000000000000003E-4</v>
      </c>
      <c r="J1954" s="126">
        <f>SUMIFS('Support - Unit Adjustments'!E:E,'Support - Unit Adjustments'!F:F,'Step 2'!D1954)</f>
        <v>0</v>
      </c>
      <c r="K1954" s="126">
        <f t="shared" si="574"/>
        <v>8.8000000000000003E-4</v>
      </c>
      <c r="L1954" s="174">
        <f>VLOOKUP(A1954,'Step 1'!$A:$E,4,FALSE)</f>
        <v>301385</v>
      </c>
      <c r="M1954" s="47">
        <f t="shared" si="575"/>
        <v>265</v>
      </c>
      <c r="N1954" s="177">
        <f>SUMIFS('Support - Transition'!G:G,'Support - Transition'!J:J,'Step 2'!D1954,'Support - Transition'!E:E,"2009 WELFARE ALLOCATION FACTOR")</f>
        <v>0</v>
      </c>
      <c r="O1954" s="152">
        <f t="shared" si="580"/>
        <v>0</v>
      </c>
      <c r="P1954" s="126">
        <f>IF(E1954="Y",0,SUMIFS('Support - Transition'!G:G,'Support - Transition'!J:J,'Step 2'!D1954,'Support - Transition'!E:E,"2009 SCHOOL ALLOCATION FACTOR"))</f>
        <v>0</v>
      </c>
      <c r="Q1954" s="126">
        <f>IF(E1954="Y",VLOOKUP(D1954,'Support - Unit Adjustments'!F:G,2,FALSE),0)</f>
        <v>0</v>
      </c>
      <c r="R1954" s="155">
        <f t="shared" si="592"/>
        <v>0</v>
      </c>
      <c r="S1954" s="47">
        <f t="shared" si="591"/>
        <v>0</v>
      </c>
      <c r="T1954" s="151">
        <f t="shared" si="576"/>
        <v>265</v>
      </c>
      <c r="U1954" s="151">
        <f t="shared" si="577"/>
        <v>0</v>
      </c>
      <c r="V1954" s="139">
        <f t="shared" si="578"/>
        <v>0</v>
      </c>
      <c r="W1954" s="152">
        <f t="shared" si="581"/>
        <v>265</v>
      </c>
      <c r="X1954" s="127" t="str">
        <f t="shared" si="579"/>
        <v/>
      </c>
      <c r="Y1954" s="207">
        <f t="shared" si="582"/>
        <v>265</v>
      </c>
      <c r="Z1954" s="139">
        <f t="shared" si="583"/>
        <v>265</v>
      </c>
      <c r="AA1954" s="139">
        <f t="shared" si="584"/>
        <v>0</v>
      </c>
      <c r="AC1954" s="47">
        <f t="shared" si="585"/>
        <v>133</v>
      </c>
      <c r="AD1954" s="47">
        <f t="shared" si="586"/>
        <v>133</v>
      </c>
      <c r="AE1954" s="47">
        <f t="shared" si="587"/>
        <v>0</v>
      </c>
      <c r="AG1954" s="47">
        <f t="shared" si="588"/>
        <v>132</v>
      </c>
      <c r="AH1954" s="47">
        <f t="shared" si="589"/>
        <v>132</v>
      </c>
      <c r="AI1954" s="208">
        <f t="shared" si="590"/>
        <v>0</v>
      </c>
    </row>
    <row r="1955" spans="1:35">
      <c r="A1955" t="s">
        <v>2149</v>
      </c>
      <c r="B1955" t="s">
        <v>3142</v>
      </c>
      <c r="C1955" t="s">
        <v>2191</v>
      </c>
      <c r="D1955" t="s">
        <v>5440</v>
      </c>
      <c r="F1955" t="s">
        <v>1440</v>
      </c>
      <c r="G1955" s="126">
        <f>SUMIFS('Support - Transition'!F:F,'Support - Transition'!B:B,'Step 2'!A1955,'Support - Transition'!C:C,'Step 2'!B1955,'Support - Transition'!D:D,'Step 2'!C1955,'Support - Transition'!E:E,"CIVIL")</f>
        <v>7.1100000000000004E-4</v>
      </c>
      <c r="H1955" s="126">
        <f>SUMIFS('Support - Transition'!F:F,'Support - Transition'!B:B,'Step 2'!A1955,'Support - Transition'!C:C,'Step 2'!B1955,'Support - Transition'!D:D,'Step 2'!C1955,'Support - Transition'!E:E,"FIRE")</f>
        <v>7.6000000000000004E-5</v>
      </c>
      <c r="I1955" s="126">
        <f>IF(B1955="0",SUMIFS('Support - Transition'!F:F,'Support - Transition'!J:J,'Step 2'!D1955,'Support - Transition'!E:E,"STATE UNIT"),SUMIFS('Support - Transition'!F:F,'Support - Transition'!J:J,'Step 2'!D1955))</f>
        <v>7.8700000000000005E-4</v>
      </c>
      <c r="J1955" s="126">
        <f>SUMIFS('Support - Unit Adjustments'!E:E,'Support - Unit Adjustments'!F:F,'Step 2'!D1955)</f>
        <v>0</v>
      </c>
      <c r="K1955" s="126">
        <f t="shared" si="574"/>
        <v>7.8700000000000005E-4</v>
      </c>
      <c r="L1955" s="174">
        <f>VLOOKUP(A1955,'Step 1'!$A:$E,4,FALSE)</f>
        <v>301385</v>
      </c>
      <c r="M1955" s="47">
        <f t="shared" si="575"/>
        <v>237</v>
      </c>
      <c r="N1955" s="177">
        <f>SUMIFS('Support - Transition'!G:G,'Support - Transition'!J:J,'Step 2'!D1955,'Support - Transition'!E:E,"2009 WELFARE ALLOCATION FACTOR")</f>
        <v>0</v>
      </c>
      <c r="O1955" s="152">
        <f t="shared" si="580"/>
        <v>0</v>
      </c>
      <c r="P1955" s="126">
        <f>IF(E1955="Y",0,SUMIFS('Support - Transition'!G:G,'Support - Transition'!J:J,'Step 2'!D1955,'Support - Transition'!E:E,"2009 SCHOOL ALLOCATION FACTOR"))</f>
        <v>0</v>
      </c>
      <c r="Q1955" s="126">
        <f>IF(E1955="Y",VLOOKUP(D1955,'Support - Unit Adjustments'!F:G,2,FALSE),0)</f>
        <v>0</v>
      </c>
      <c r="R1955" s="155">
        <f t="shared" si="592"/>
        <v>0</v>
      </c>
      <c r="S1955" s="47">
        <f t="shared" si="591"/>
        <v>0</v>
      </c>
      <c r="T1955" s="151">
        <f t="shared" si="576"/>
        <v>237</v>
      </c>
      <c r="U1955" s="151">
        <f t="shared" si="577"/>
        <v>0</v>
      </c>
      <c r="V1955" s="139">
        <f t="shared" si="578"/>
        <v>0</v>
      </c>
      <c r="W1955" s="152">
        <f t="shared" si="581"/>
        <v>237</v>
      </c>
      <c r="X1955" s="127" t="str">
        <f t="shared" si="579"/>
        <v/>
      </c>
      <c r="Y1955" s="207">
        <f t="shared" si="582"/>
        <v>237</v>
      </c>
      <c r="Z1955" s="139">
        <f t="shared" si="583"/>
        <v>214</v>
      </c>
      <c r="AA1955" s="139">
        <f t="shared" si="584"/>
        <v>23</v>
      </c>
      <c r="AC1955" s="47">
        <f t="shared" si="585"/>
        <v>119</v>
      </c>
      <c r="AD1955" s="47">
        <f t="shared" si="586"/>
        <v>107</v>
      </c>
      <c r="AE1955" s="47">
        <f t="shared" si="587"/>
        <v>12</v>
      </c>
      <c r="AG1955" s="47">
        <f t="shared" si="588"/>
        <v>118</v>
      </c>
      <c r="AH1955" s="47">
        <f t="shared" si="589"/>
        <v>107</v>
      </c>
      <c r="AI1955" s="208">
        <f t="shared" si="590"/>
        <v>11</v>
      </c>
    </row>
    <row r="1956" spans="1:35">
      <c r="A1956" t="s">
        <v>2149</v>
      </c>
      <c r="B1956" t="s">
        <v>3142</v>
      </c>
      <c r="C1956" t="s">
        <v>2192</v>
      </c>
      <c r="D1956" t="s">
        <v>5441</v>
      </c>
      <c r="F1956" t="s">
        <v>1441</v>
      </c>
      <c r="G1956" s="126">
        <f>SUMIFS('Support - Transition'!F:F,'Support - Transition'!B:B,'Step 2'!A1956,'Support - Transition'!C:C,'Step 2'!B1956,'Support - Transition'!D:D,'Step 2'!C1956,'Support - Transition'!E:E,"CIVIL")</f>
        <v>6.2E-4</v>
      </c>
      <c r="H1956" s="126">
        <f>SUMIFS('Support - Transition'!F:F,'Support - Transition'!B:B,'Step 2'!A1956,'Support - Transition'!C:C,'Step 2'!B1956,'Support - Transition'!D:D,'Step 2'!C1956,'Support - Transition'!E:E,"FIRE")</f>
        <v>2.63E-4</v>
      </c>
      <c r="I1956" s="126">
        <f>IF(B1956="0",SUMIFS('Support - Transition'!F:F,'Support - Transition'!J:J,'Step 2'!D1956,'Support - Transition'!E:E,"STATE UNIT"),SUMIFS('Support - Transition'!F:F,'Support - Transition'!J:J,'Step 2'!D1956))</f>
        <v>8.83E-4</v>
      </c>
      <c r="J1956" s="126">
        <f>SUMIFS('Support - Unit Adjustments'!E:E,'Support - Unit Adjustments'!F:F,'Step 2'!D1956)</f>
        <v>0</v>
      </c>
      <c r="K1956" s="126">
        <f t="shared" si="574"/>
        <v>8.83E-4</v>
      </c>
      <c r="L1956" s="174">
        <f>VLOOKUP(A1956,'Step 1'!$A:$E,4,FALSE)</f>
        <v>301385</v>
      </c>
      <c r="M1956" s="47">
        <f t="shared" si="575"/>
        <v>266</v>
      </c>
      <c r="N1956" s="177">
        <f>SUMIFS('Support - Transition'!G:G,'Support - Transition'!J:J,'Step 2'!D1956,'Support - Transition'!E:E,"2009 WELFARE ALLOCATION FACTOR")</f>
        <v>0</v>
      </c>
      <c r="O1956" s="152">
        <f t="shared" si="580"/>
        <v>0</v>
      </c>
      <c r="P1956" s="126">
        <f>IF(E1956="Y",0,SUMIFS('Support - Transition'!G:G,'Support - Transition'!J:J,'Step 2'!D1956,'Support - Transition'!E:E,"2009 SCHOOL ALLOCATION FACTOR"))</f>
        <v>0</v>
      </c>
      <c r="Q1956" s="126">
        <f>IF(E1956="Y",VLOOKUP(D1956,'Support - Unit Adjustments'!F:G,2,FALSE),0)</f>
        <v>0</v>
      </c>
      <c r="R1956" s="155">
        <f t="shared" si="592"/>
        <v>0</v>
      </c>
      <c r="S1956" s="47">
        <f t="shared" si="591"/>
        <v>0</v>
      </c>
      <c r="T1956" s="151">
        <f t="shared" si="576"/>
        <v>266</v>
      </c>
      <c r="U1956" s="151">
        <f t="shared" si="577"/>
        <v>0</v>
      </c>
      <c r="V1956" s="139">
        <f t="shared" si="578"/>
        <v>0</v>
      </c>
      <c r="W1956" s="152">
        <f t="shared" si="581"/>
        <v>266</v>
      </c>
      <c r="X1956" s="127" t="str">
        <f t="shared" si="579"/>
        <v/>
      </c>
      <c r="Y1956" s="207">
        <f t="shared" si="582"/>
        <v>266</v>
      </c>
      <c r="Z1956" s="139">
        <f t="shared" si="583"/>
        <v>187</v>
      </c>
      <c r="AA1956" s="139">
        <f t="shared" si="584"/>
        <v>79</v>
      </c>
      <c r="AC1956" s="47">
        <f t="shared" si="585"/>
        <v>133</v>
      </c>
      <c r="AD1956" s="47">
        <f t="shared" si="586"/>
        <v>94</v>
      </c>
      <c r="AE1956" s="47">
        <f t="shared" si="587"/>
        <v>40</v>
      </c>
      <c r="AG1956" s="47">
        <f t="shared" si="588"/>
        <v>133</v>
      </c>
      <c r="AH1956" s="47">
        <f t="shared" si="589"/>
        <v>93</v>
      </c>
      <c r="AI1956" s="208">
        <f t="shared" si="590"/>
        <v>39</v>
      </c>
    </row>
    <row r="1957" spans="1:35">
      <c r="A1957" t="s">
        <v>2149</v>
      </c>
      <c r="B1957" t="s">
        <v>3142</v>
      </c>
      <c r="C1957" t="s">
        <v>2193</v>
      </c>
      <c r="D1957" t="s">
        <v>5442</v>
      </c>
      <c r="F1957" t="s">
        <v>1442</v>
      </c>
      <c r="G1957" s="126">
        <f>SUMIFS('Support - Transition'!F:F,'Support - Transition'!B:B,'Step 2'!A1957,'Support - Transition'!C:C,'Step 2'!B1957,'Support - Transition'!D:D,'Step 2'!C1957,'Support - Transition'!E:E,"CIVIL")</f>
        <v>2.0379999999999999E-3</v>
      </c>
      <c r="H1957" s="126">
        <f>SUMIFS('Support - Transition'!F:F,'Support - Transition'!B:B,'Step 2'!A1957,'Support - Transition'!C:C,'Step 2'!B1957,'Support - Transition'!D:D,'Step 2'!C1957,'Support - Transition'!E:E,"FIRE")</f>
        <v>1.6479999999999999E-3</v>
      </c>
      <c r="I1957" s="126">
        <f>IF(B1957="0",SUMIFS('Support - Transition'!F:F,'Support - Transition'!J:J,'Step 2'!D1957,'Support - Transition'!E:E,"STATE UNIT"),SUMIFS('Support - Transition'!F:F,'Support - Transition'!J:J,'Step 2'!D1957))</f>
        <v>3.686E-3</v>
      </c>
      <c r="J1957" s="126">
        <f>SUMIFS('Support - Unit Adjustments'!E:E,'Support - Unit Adjustments'!F:F,'Step 2'!D1957)</f>
        <v>0</v>
      </c>
      <c r="K1957" s="126">
        <f t="shared" si="574"/>
        <v>3.686E-3</v>
      </c>
      <c r="L1957" s="174">
        <f>VLOOKUP(A1957,'Step 1'!$A:$E,4,FALSE)</f>
        <v>301385</v>
      </c>
      <c r="M1957" s="47">
        <f t="shared" si="575"/>
        <v>1111</v>
      </c>
      <c r="N1957" s="177">
        <f>SUMIFS('Support - Transition'!G:G,'Support - Transition'!J:J,'Step 2'!D1957,'Support - Transition'!E:E,"2009 WELFARE ALLOCATION FACTOR")</f>
        <v>0</v>
      </c>
      <c r="O1957" s="152">
        <f t="shared" si="580"/>
        <v>0</v>
      </c>
      <c r="P1957" s="126">
        <f>IF(E1957="Y",0,SUMIFS('Support - Transition'!G:G,'Support - Transition'!J:J,'Step 2'!D1957,'Support - Transition'!E:E,"2009 SCHOOL ALLOCATION FACTOR"))</f>
        <v>0</v>
      </c>
      <c r="Q1957" s="126">
        <f>IF(E1957="Y",VLOOKUP(D1957,'Support - Unit Adjustments'!F:G,2,FALSE),0)</f>
        <v>0</v>
      </c>
      <c r="R1957" s="155">
        <f t="shared" si="592"/>
        <v>0</v>
      </c>
      <c r="S1957" s="47">
        <f t="shared" si="591"/>
        <v>0</v>
      </c>
      <c r="T1957" s="151">
        <f t="shared" si="576"/>
        <v>1111</v>
      </c>
      <c r="U1957" s="151">
        <f t="shared" si="577"/>
        <v>0</v>
      </c>
      <c r="V1957" s="139">
        <f t="shared" si="578"/>
        <v>0</v>
      </c>
      <c r="W1957" s="152">
        <f t="shared" si="581"/>
        <v>1111</v>
      </c>
      <c r="X1957" s="127" t="str">
        <f t="shared" si="579"/>
        <v/>
      </c>
      <c r="Y1957" s="207">
        <f t="shared" si="582"/>
        <v>1111</v>
      </c>
      <c r="Z1957" s="139">
        <f t="shared" si="583"/>
        <v>614</v>
      </c>
      <c r="AA1957" s="139">
        <f t="shared" si="584"/>
        <v>497</v>
      </c>
      <c r="AC1957" s="47">
        <f t="shared" si="585"/>
        <v>556</v>
      </c>
      <c r="AD1957" s="47">
        <f t="shared" si="586"/>
        <v>307</v>
      </c>
      <c r="AE1957" s="47">
        <f t="shared" si="587"/>
        <v>249</v>
      </c>
      <c r="AG1957" s="47">
        <f t="shared" si="588"/>
        <v>555</v>
      </c>
      <c r="AH1957" s="47">
        <f t="shared" si="589"/>
        <v>307</v>
      </c>
      <c r="AI1957" s="208">
        <f t="shared" si="590"/>
        <v>248</v>
      </c>
    </row>
    <row r="1958" spans="1:35">
      <c r="A1958" t="s">
        <v>2149</v>
      </c>
      <c r="B1958" t="s">
        <v>3142</v>
      </c>
      <c r="C1958" t="s">
        <v>2194</v>
      </c>
      <c r="D1958" t="s">
        <v>5443</v>
      </c>
      <c r="F1958" t="s">
        <v>1443</v>
      </c>
      <c r="G1958" s="126">
        <f>SUMIFS('Support - Transition'!F:F,'Support - Transition'!B:B,'Step 2'!A1958,'Support - Transition'!C:C,'Step 2'!B1958,'Support - Transition'!D:D,'Step 2'!C1958,'Support - Transition'!E:E,"CIVIL")</f>
        <v>4.35E-4</v>
      </c>
      <c r="H1958" s="126">
        <f>SUMIFS('Support - Transition'!F:F,'Support - Transition'!B:B,'Step 2'!A1958,'Support - Transition'!C:C,'Step 2'!B1958,'Support - Transition'!D:D,'Step 2'!C1958,'Support - Transition'!E:E,"FIRE")</f>
        <v>2.2699999999999999E-4</v>
      </c>
      <c r="I1958" s="126">
        <f>IF(B1958="0",SUMIFS('Support - Transition'!F:F,'Support - Transition'!J:J,'Step 2'!D1958,'Support - Transition'!E:E,"STATE UNIT"),SUMIFS('Support - Transition'!F:F,'Support - Transition'!J:J,'Step 2'!D1958))</f>
        <v>6.6200000000000005E-4</v>
      </c>
      <c r="J1958" s="126">
        <f>SUMIFS('Support - Unit Adjustments'!E:E,'Support - Unit Adjustments'!F:F,'Step 2'!D1958)</f>
        <v>0</v>
      </c>
      <c r="K1958" s="126">
        <f t="shared" si="574"/>
        <v>6.6200000000000005E-4</v>
      </c>
      <c r="L1958" s="174">
        <f>VLOOKUP(A1958,'Step 1'!$A:$E,4,FALSE)</f>
        <v>301385</v>
      </c>
      <c r="M1958" s="47">
        <f t="shared" si="575"/>
        <v>200</v>
      </c>
      <c r="N1958" s="177">
        <f>SUMIFS('Support - Transition'!G:G,'Support - Transition'!J:J,'Step 2'!D1958,'Support - Transition'!E:E,"2009 WELFARE ALLOCATION FACTOR")</f>
        <v>0</v>
      </c>
      <c r="O1958" s="152">
        <f t="shared" si="580"/>
        <v>0</v>
      </c>
      <c r="P1958" s="126">
        <f>IF(E1958="Y",0,SUMIFS('Support - Transition'!G:G,'Support - Transition'!J:J,'Step 2'!D1958,'Support - Transition'!E:E,"2009 SCHOOL ALLOCATION FACTOR"))</f>
        <v>0</v>
      </c>
      <c r="Q1958" s="126">
        <f>IF(E1958="Y",VLOOKUP(D1958,'Support - Unit Adjustments'!F:G,2,FALSE),0)</f>
        <v>0</v>
      </c>
      <c r="R1958" s="155">
        <f t="shared" si="592"/>
        <v>0</v>
      </c>
      <c r="S1958" s="47">
        <f t="shared" si="591"/>
        <v>0</v>
      </c>
      <c r="T1958" s="151">
        <f t="shared" si="576"/>
        <v>200</v>
      </c>
      <c r="U1958" s="151">
        <f t="shared" si="577"/>
        <v>0</v>
      </c>
      <c r="V1958" s="139">
        <f t="shared" si="578"/>
        <v>0</v>
      </c>
      <c r="W1958" s="152">
        <f t="shared" si="581"/>
        <v>200</v>
      </c>
      <c r="X1958" s="127" t="str">
        <f t="shared" si="579"/>
        <v/>
      </c>
      <c r="Y1958" s="207">
        <f t="shared" si="582"/>
        <v>200</v>
      </c>
      <c r="Z1958" s="139">
        <f t="shared" si="583"/>
        <v>131</v>
      </c>
      <c r="AA1958" s="139">
        <f t="shared" si="584"/>
        <v>69</v>
      </c>
      <c r="AC1958" s="47">
        <f t="shared" si="585"/>
        <v>100</v>
      </c>
      <c r="AD1958" s="47">
        <f t="shared" si="586"/>
        <v>66</v>
      </c>
      <c r="AE1958" s="47">
        <f t="shared" si="587"/>
        <v>35</v>
      </c>
      <c r="AG1958" s="47">
        <f t="shared" si="588"/>
        <v>100</v>
      </c>
      <c r="AH1958" s="47">
        <f t="shared" si="589"/>
        <v>65</v>
      </c>
      <c r="AI1958" s="208">
        <f t="shared" si="590"/>
        <v>34</v>
      </c>
    </row>
    <row r="1959" spans="1:35">
      <c r="A1959" t="s">
        <v>2149</v>
      </c>
      <c r="B1959" t="s">
        <v>3142</v>
      </c>
      <c r="C1959" t="s">
        <v>2195</v>
      </c>
      <c r="D1959" t="s">
        <v>5444</v>
      </c>
      <c r="F1959" t="s">
        <v>1444</v>
      </c>
      <c r="G1959" s="126">
        <f>SUMIFS('Support - Transition'!F:F,'Support - Transition'!B:B,'Step 2'!A1959,'Support - Transition'!C:C,'Step 2'!B1959,'Support - Transition'!D:D,'Step 2'!C1959,'Support - Transition'!E:E,"CIVIL")</f>
        <v>1.2849999999999999E-3</v>
      </c>
      <c r="H1959" s="126">
        <f>SUMIFS('Support - Transition'!F:F,'Support - Transition'!B:B,'Step 2'!A1959,'Support - Transition'!C:C,'Step 2'!B1959,'Support - Transition'!D:D,'Step 2'!C1959,'Support - Transition'!E:E,"FIRE")</f>
        <v>6.4700000000000001E-4</v>
      </c>
      <c r="I1959" s="126">
        <f>IF(B1959="0",SUMIFS('Support - Transition'!F:F,'Support - Transition'!J:J,'Step 2'!D1959,'Support - Transition'!E:E,"STATE UNIT"),SUMIFS('Support - Transition'!F:F,'Support - Transition'!J:J,'Step 2'!D1959))</f>
        <v>1.9319999999999999E-3</v>
      </c>
      <c r="J1959" s="126">
        <f>SUMIFS('Support - Unit Adjustments'!E:E,'Support - Unit Adjustments'!F:F,'Step 2'!D1959)</f>
        <v>0</v>
      </c>
      <c r="K1959" s="126">
        <f t="shared" si="574"/>
        <v>1.9319999999999999E-3</v>
      </c>
      <c r="L1959" s="174">
        <f>VLOOKUP(A1959,'Step 1'!$A:$E,4,FALSE)</f>
        <v>301385</v>
      </c>
      <c r="M1959" s="47">
        <f t="shared" si="575"/>
        <v>582</v>
      </c>
      <c r="N1959" s="177">
        <f>SUMIFS('Support - Transition'!G:G,'Support - Transition'!J:J,'Step 2'!D1959,'Support - Transition'!E:E,"2009 WELFARE ALLOCATION FACTOR")</f>
        <v>0</v>
      </c>
      <c r="O1959" s="152">
        <f t="shared" si="580"/>
        <v>0</v>
      </c>
      <c r="P1959" s="126">
        <f>IF(E1959="Y",0,SUMIFS('Support - Transition'!G:G,'Support - Transition'!J:J,'Step 2'!D1959,'Support - Transition'!E:E,"2009 SCHOOL ALLOCATION FACTOR"))</f>
        <v>0</v>
      </c>
      <c r="Q1959" s="126">
        <f>IF(E1959="Y",VLOOKUP(D1959,'Support - Unit Adjustments'!F:G,2,FALSE),0)</f>
        <v>0</v>
      </c>
      <c r="R1959" s="155">
        <f t="shared" si="592"/>
        <v>0</v>
      </c>
      <c r="S1959" s="47">
        <f t="shared" si="591"/>
        <v>0</v>
      </c>
      <c r="T1959" s="151">
        <f t="shared" si="576"/>
        <v>582</v>
      </c>
      <c r="U1959" s="151">
        <f t="shared" si="577"/>
        <v>0</v>
      </c>
      <c r="V1959" s="139">
        <f t="shared" si="578"/>
        <v>0</v>
      </c>
      <c r="W1959" s="152">
        <f t="shared" si="581"/>
        <v>582</v>
      </c>
      <c r="X1959" s="127" t="str">
        <f t="shared" si="579"/>
        <v/>
      </c>
      <c r="Y1959" s="207">
        <f t="shared" si="582"/>
        <v>582</v>
      </c>
      <c r="Z1959" s="139">
        <f t="shared" si="583"/>
        <v>387</v>
      </c>
      <c r="AA1959" s="139">
        <f t="shared" si="584"/>
        <v>195</v>
      </c>
      <c r="AC1959" s="47">
        <f t="shared" si="585"/>
        <v>291</v>
      </c>
      <c r="AD1959" s="47">
        <f t="shared" si="586"/>
        <v>194</v>
      </c>
      <c r="AE1959" s="47">
        <f t="shared" si="587"/>
        <v>98</v>
      </c>
      <c r="AG1959" s="47">
        <f t="shared" si="588"/>
        <v>291</v>
      </c>
      <c r="AH1959" s="47">
        <f t="shared" si="589"/>
        <v>193</v>
      </c>
      <c r="AI1959" s="208">
        <f t="shared" si="590"/>
        <v>97</v>
      </c>
    </row>
    <row r="1960" spans="1:35">
      <c r="A1960" t="s">
        <v>2149</v>
      </c>
      <c r="B1960" t="s">
        <v>3142</v>
      </c>
      <c r="C1960" t="s">
        <v>2196</v>
      </c>
      <c r="D1960" t="s">
        <v>5445</v>
      </c>
      <c r="F1960" t="s">
        <v>1445</v>
      </c>
      <c r="G1960" s="126">
        <f>SUMIFS('Support - Transition'!F:F,'Support - Transition'!B:B,'Step 2'!A1960,'Support - Transition'!C:C,'Step 2'!B1960,'Support - Transition'!D:D,'Step 2'!C1960,'Support - Transition'!E:E,"CIVIL")</f>
        <v>3.5049999999999999E-3</v>
      </c>
      <c r="H1960" s="126">
        <f>SUMIFS('Support - Transition'!F:F,'Support - Transition'!B:B,'Step 2'!A1960,'Support - Transition'!C:C,'Step 2'!B1960,'Support - Transition'!D:D,'Step 2'!C1960,'Support - Transition'!E:E,"FIRE")</f>
        <v>2.3310000000000002E-3</v>
      </c>
      <c r="I1960" s="126">
        <f>IF(B1960="0",SUMIFS('Support - Transition'!F:F,'Support - Transition'!J:J,'Step 2'!D1960,'Support - Transition'!E:E,"STATE UNIT"),SUMIFS('Support - Transition'!F:F,'Support - Transition'!J:J,'Step 2'!D1960))</f>
        <v>5.836E-3</v>
      </c>
      <c r="J1960" s="126">
        <f>SUMIFS('Support - Unit Adjustments'!E:E,'Support - Unit Adjustments'!F:F,'Step 2'!D1960)</f>
        <v>0</v>
      </c>
      <c r="K1960" s="126">
        <f t="shared" si="574"/>
        <v>5.836E-3</v>
      </c>
      <c r="L1960" s="174">
        <f>VLOOKUP(A1960,'Step 1'!$A:$E,4,FALSE)</f>
        <v>301385</v>
      </c>
      <c r="M1960" s="47">
        <f t="shared" si="575"/>
        <v>1759</v>
      </c>
      <c r="N1960" s="177">
        <f>SUMIFS('Support - Transition'!G:G,'Support - Transition'!J:J,'Step 2'!D1960,'Support - Transition'!E:E,"2009 WELFARE ALLOCATION FACTOR")</f>
        <v>0</v>
      </c>
      <c r="O1960" s="152">
        <f t="shared" si="580"/>
        <v>0</v>
      </c>
      <c r="P1960" s="126">
        <f>IF(E1960="Y",0,SUMIFS('Support - Transition'!G:G,'Support - Transition'!J:J,'Step 2'!D1960,'Support - Transition'!E:E,"2009 SCHOOL ALLOCATION FACTOR"))</f>
        <v>0</v>
      </c>
      <c r="Q1960" s="126">
        <f>IF(E1960="Y",VLOOKUP(D1960,'Support - Unit Adjustments'!F:G,2,FALSE),0)</f>
        <v>0</v>
      </c>
      <c r="R1960" s="155">
        <f t="shared" si="592"/>
        <v>0</v>
      </c>
      <c r="S1960" s="47">
        <f t="shared" si="591"/>
        <v>0</v>
      </c>
      <c r="T1960" s="151">
        <f t="shared" si="576"/>
        <v>1759</v>
      </c>
      <c r="U1960" s="151">
        <f t="shared" si="577"/>
        <v>0</v>
      </c>
      <c r="V1960" s="139">
        <f t="shared" si="578"/>
        <v>0</v>
      </c>
      <c r="W1960" s="152">
        <f t="shared" si="581"/>
        <v>1759</v>
      </c>
      <c r="X1960" s="127" t="str">
        <f t="shared" si="579"/>
        <v/>
      </c>
      <c r="Y1960" s="207">
        <f t="shared" si="582"/>
        <v>1759</v>
      </c>
      <c r="Z1960" s="139">
        <f t="shared" si="583"/>
        <v>1056</v>
      </c>
      <c r="AA1960" s="139">
        <f t="shared" si="584"/>
        <v>703</v>
      </c>
      <c r="AC1960" s="47">
        <f t="shared" si="585"/>
        <v>880</v>
      </c>
      <c r="AD1960" s="47">
        <f t="shared" si="586"/>
        <v>528</v>
      </c>
      <c r="AE1960" s="47">
        <f t="shared" si="587"/>
        <v>352</v>
      </c>
      <c r="AG1960" s="47">
        <f t="shared" si="588"/>
        <v>879</v>
      </c>
      <c r="AH1960" s="47">
        <f t="shared" si="589"/>
        <v>528</v>
      </c>
      <c r="AI1960" s="208">
        <f t="shared" si="590"/>
        <v>351</v>
      </c>
    </row>
    <row r="1961" spans="1:35">
      <c r="A1961" t="s">
        <v>2149</v>
      </c>
      <c r="B1961" t="s">
        <v>3142</v>
      </c>
      <c r="C1961" t="s">
        <v>2197</v>
      </c>
      <c r="D1961" t="s">
        <v>5446</v>
      </c>
      <c r="F1961" t="s">
        <v>625</v>
      </c>
      <c r="G1961" s="126">
        <f>SUMIFS('Support - Transition'!F:F,'Support - Transition'!B:B,'Step 2'!A1961,'Support - Transition'!C:C,'Step 2'!B1961,'Support - Transition'!D:D,'Step 2'!C1961,'Support - Transition'!E:E,"CIVIL")</f>
        <v>9.0700000000000004E-4</v>
      </c>
      <c r="H1961" s="126">
        <f>SUMIFS('Support - Transition'!F:F,'Support - Transition'!B:B,'Step 2'!A1961,'Support - Transition'!C:C,'Step 2'!B1961,'Support - Transition'!D:D,'Step 2'!C1961,'Support - Transition'!E:E,"FIRE")</f>
        <v>7.1699999999999997E-4</v>
      </c>
      <c r="I1961" s="126">
        <f>IF(B1961="0",SUMIFS('Support - Transition'!F:F,'Support - Transition'!J:J,'Step 2'!D1961,'Support - Transition'!E:E,"STATE UNIT"),SUMIFS('Support - Transition'!F:F,'Support - Transition'!J:J,'Step 2'!D1961))</f>
        <v>1.624E-3</v>
      </c>
      <c r="J1961" s="126">
        <f>SUMIFS('Support - Unit Adjustments'!E:E,'Support - Unit Adjustments'!F:F,'Step 2'!D1961)</f>
        <v>0</v>
      </c>
      <c r="K1961" s="126">
        <f t="shared" si="574"/>
        <v>1.624E-3</v>
      </c>
      <c r="L1961" s="174">
        <f>VLOOKUP(A1961,'Step 1'!$A:$E,4,FALSE)</f>
        <v>301385</v>
      </c>
      <c r="M1961" s="47">
        <f t="shared" si="575"/>
        <v>489</v>
      </c>
      <c r="N1961" s="177">
        <f>SUMIFS('Support - Transition'!G:G,'Support - Transition'!J:J,'Step 2'!D1961,'Support - Transition'!E:E,"2009 WELFARE ALLOCATION FACTOR")</f>
        <v>0</v>
      </c>
      <c r="O1961" s="152">
        <f t="shared" si="580"/>
        <v>0</v>
      </c>
      <c r="P1961" s="126">
        <f>IF(E1961="Y",0,SUMIFS('Support - Transition'!G:G,'Support - Transition'!J:J,'Step 2'!D1961,'Support - Transition'!E:E,"2009 SCHOOL ALLOCATION FACTOR"))</f>
        <v>0</v>
      </c>
      <c r="Q1961" s="126">
        <f>IF(E1961="Y",VLOOKUP(D1961,'Support - Unit Adjustments'!F:G,2,FALSE),0)</f>
        <v>0</v>
      </c>
      <c r="R1961" s="155">
        <f t="shared" si="592"/>
        <v>0</v>
      </c>
      <c r="S1961" s="47">
        <f t="shared" si="591"/>
        <v>0</v>
      </c>
      <c r="T1961" s="151">
        <f t="shared" si="576"/>
        <v>489</v>
      </c>
      <c r="U1961" s="151">
        <f t="shared" si="577"/>
        <v>0</v>
      </c>
      <c r="V1961" s="139">
        <f t="shared" si="578"/>
        <v>0</v>
      </c>
      <c r="W1961" s="152">
        <f t="shared" si="581"/>
        <v>489</v>
      </c>
      <c r="X1961" s="127" t="str">
        <f t="shared" si="579"/>
        <v/>
      </c>
      <c r="Y1961" s="207">
        <f t="shared" si="582"/>
        <v>489</v>
      </c>
      <c r="Z1961" s="139">
        <f t="shared" si="583"/>
        <v>273</v>
      </c>
      <c r="AA1961" s="139">
        <f t="shared" si="584"/>
        <v>216</v>
      </c>
      <c r="AC1961" s="47">
        <f t="shared" si="585"/>
        <v>245</v>
      </c>
      <c r="AD1961" s="47">
        <f t="shared" si="586"/>
        <v>137</v>
      </c>
      <c r="AE1961" s="47">
        <f t="shared" si="587"/>
        <v>108</v>
      </c>
      <c r="AG1961" s="47">
        <f t="shared" si="588"/>
        <v>244</v>
      </c>
      <c r="AH1961" s="47">
        <f t="shared" si="589"/>
        <v>136</v>
      </c>
      <c r="AI1961" s="208">
        <f t="shared" si="590"/>
        <v>108</v>
      </c>
    </row>
    <row r="1962" spans="1:35">
      <c r="A1962" t="s">
        <v>2149</v>
      </c>
      <c r="B1962" t="s">
        <v>3155</v>
      </c>
      <c r="C1962" t="s">
        <v>2938</v>
      </c>
      <c r="D1962" t="s">
        <v>5447</v>
      </c>
      <c r="F1962" t="s">
        <v>1448</v>
      </c>
      <c r="G1962" s="126">
        <f>SUMIFS('Support - Transition'!F:F,'Support - Transition'!B:B,'Step 2'!A1962,'Support - Transition'!C:C,'Step 2'!B1962,'Support - Transition'!D:D,'Step 2'!C1962,'Support - Transition'!E:E,"CIVIL")</f>
        <v>0</v>
      </c>
      <c r="H1962" s="126">
        <f>SUMIFS('Support - Transition'!F:F,'Support - Transition'!B:B,'Step 2'!A1962,'Support - Transition'!C:C,'Step 2'!B1962,'Support - Transition'!D:D,'Step 2'!C1962,'Support - Transition'!E:E,"FIRE")</f>
        <v>0</v>
      </c>
      <c r="I1962" s="126">
        <f>IF(B1962="0",SUMIFS('Support - Transition'!F:F,'Support - Transition'!J:J,'Step 2'!D1962,'Support - Transition'!E:E,"STATE UNIT"),SUMIFS('Support - Transition'!F:F,'Support - Transition'!J:J,'Step 2'!D1962))</f>
        <v>4.4551E-2</v>
      </c>
      <c r="J1962" s="126">
        <f>SUMIFS('Support - Unit Adjustments'!E:E,'Support - Unit Adjustments'!F:F,'Step 2'!D1962)</f>
        <v>0</v>
      </c>
      <c r="K1962" s="126">
        <f t="shared" si="574"/>
        <v>4.4551E-2</v>
      </c>
      <c r="L1962" s="174">
        <f>VLOOKUP(A1962,'Step 1'!$A:$E,4,FALSE)</f>
        <v>301385</v>
      </c>
      <c r="M1962" s="47">
        <f t="shared" si="575"/>
        <v>13427</v>
      </c>
      <c r="N1962" s="177">
        <f>SUMIFS('Support - Transition'!G:G,'Support - Transition'!J:J,'Step 2'!D1962,'Support - Transition'!E:E,"2009 WELFARE ALLOCATION FACTOR")</f>
        <v>0</v>
      </c>
      <c r="O1962" s="152">
        <f t="shared" si="580"/>
        <v>0</v>
      </c>
      <c r="P1962" s="126">
        <f>IF(E1962="Y",0,SUMIFS('Support - Transition'!G:G,'Support - Transition'!J:J,'Step 2'!D1962,'Support - Transition'!E:E,"2009 SCHOOL ALLOCATION FACTOR"))</f>
        <v>0</v>
      </c>
      <c r="Q1962" s="126">
        <f>IF(E1962="Y",VLOOKUP(D1962,'Support - Unit Adjustments'!F:G,2,FALSE),0)</f>
        <v>0</v>
      </c>
      <c r="R1962" s="155">
        <f t="shared" si="592"/>
        <v>0</v>
      </c>
      <c r="S1962" s="47">
        <f t="shared" si="591"/>
        <v>0</v>
      </c>
      <c r="T1962" s="151">
        <f t="shared" si="576"/>
        <v>13427</v>
      </c>
      <c r="U1962" s="151">
        <f t="shared" si="577"/>
        <v>0</v>
      </c>
      <c r="V1962" s="139">
        <f t="shared" si="578"/>
        <v>0</v>
      </c>
      <c r="W1962" s="152">
        <f t="shared" si="581"/>
        <v>13427</v>
      </c>
      <c r="X1962" s="127" t="str">
        <f t="shared" si="579"/>
        <v/>
      </c>
      <c r="Y1962" s="207">
        <f t="shared" si="582"/>
        <v>13427</v>
      </c>
      <c r="Z1962" s="139">
        <f t="shared" si="583"/>
        <v>13427</v>
      </c>
      <c r="AA1962" s="139">
        <f t="shared" si="584"/>
        <v>0</v>
      </c>
      <c r="AC1962" s="47">
        <f t="shared" si="585"/>
        <v>6714</v>
      </c>
      <c r="AD1962" s="47">
        <f t="shared" si="586"/>
        <v>6714</v>
      </c>
      <c r="AE1962" s="47">
        <f t="shared" si="587"/>
        <v>0</v>
      </c>
      <c r="AG1962" s="47">
        <f t="shared" si="588"/>
        <v>6713</v>
      </c>
      <c r="AH1962" s="47">
        <f t="shared" si="589"/>
        <v>6713</v>
      </c>
      <c r="AI1962" s="208">
        <f t="shared" si="590"/>
        <v>0</v>
      </c>
    </row>
    <row r="1963" spans="1:35">
      <c r="A1963" t="s">
        <v>2149</v>
      </c>
      <c r="B1963" t="s">
        <v>3155</v>
      </c>
      <c r="C1963" t="s">
        <v>2939</v>
      </c>
      <c r="D1963" t="s">
        <v>5448</v>
      </c>
      <c r="F1963" t="s">
        <v>1446</v>
      </c>
      <c r="G1963" s="126">
        <f>SUMIFS('Support - Transition'!F:F,'Support - Transition'!B:B,'Step 2'!A1963,'Support - Transition'!C:C,'Step 2'!B1963,'Support - Transition'!D:D,'Step 2'!C1963,'Support - Transition'!E:E,"CIVIL")</f>
        <v>0</v>
      </c>
      <c r="H1963" s="126">
        <f>SUMIFS('Support - Transition'!F:F,'Support - Transition'!B:B,'Step 2'!A1963,'Support - Transition'!C:C,'Step 2'!B1963,'Support - Transition'!D:D,'Step 2'!C1963,'Support - Transition'!E:E,"FIRE")</f>
        <v>0</v>
      </c>
      <c r="I1963" s="126">
        <f>IF(B1963="0",SUMIFS('Support - Transition'!F:F,'Support - Transition'!J:J,'Step 2'!D1963,'Support - Transition'!E:E,"STATE UNIT"),SUMIFS('Support - Transition'!F:F,'Support - Transition'!J:J,'Step 2'!D1963))</f>
        <v>5.3200000000000003E-4</v>
      </c>
      <c r="J1963" s="126">
        <f>SUMIFS('Support - Unit Adjustments'!E:E,'Support - Unit Adjustments'!F:F,'Step 2'!D1963)</f>
        <v>0</v>
      </c>
      <c r="K1963" s="126">
        <f t="shared" si="574"/>
        <v>5.3200000000000003E-4</v>
      </c>
      <c r="L1963" s="174">
        <f>VLOOKUP(A1963,'Step 1'!$A:$E,4,FALSE)</f>
        <v>301385</v>
      </c>
      <c r="M1963" s="47">
        <f t="shared" si="575"/>
        <v>160</v>
      </c>
      <c r="N1963" s="177">
        <f>SUMIFS('Support - Transition'!G:G,'Support - Transition'!J:J,'Step 2'!D1963,'Support - Transition'!E:E,"2009 WELFARE ALLOCATION FACTOR")</f>
        <v>0</v>
      </c>
      <c r="O1963" s="152">
        <f t="shared" si="580"/>
        <v>0</v>
      </c>
      <c r="P1963" s="126">
        <f>IF(E1963="Y",0,SUMIFS('Support - Transition'!G:G,'Support - Transition'!J:J,'Step 2'!D1963,'Support - Transition'!E:E,"2009 SCHOOL ALLOCATION FACTOR"))</f>
        <v>0</v>
      </c>
      <c r="Q1963" s="126">
        <f>IF(E1963="Y",VLOOKUP(D1963,'Support - Unit Adjustments'!F:G,2,FALSE),0)</f>
        <v>0</v>
      </c>
      <c r="R1963" s="155">
        <f t="shared" si="592"/>
        <v>0</v>
      </c>
      <c r="S1963" s="47">
        <f t="shared" si="591"/>
        <v>0</v>
      </c>
      <c r="T1963" s="151">
        <f t="shared" si="576"/>
        <v>160</v>
      </c>
      <c r="U1963" s="151">
        <f t="shared" si="577"/>
        <v>0</v>
      </c>
      <c r="V1963" s="139">
        <f t="shared" si="578"/>
        <v>0</v>
      </c>
      <c r="W1963" s="152">
        <f t="shared" si="581"/>
        <v>160</v>
      </c>
      <c r="X1963" s="127" t="str">
        <f t="shared" si="579"/>
        <v/>
      </c>
      <c r="Y1963" s="207">
        <f t="shared" si="582"/>
        <v>160</v>
      </c>
      <c r="Z1963" s="139">
        <f t="shared" si="583"/>
        <v>160</v>
      </c>
      <c r="AA1963" s="139">
        <f t="shared" si="584"/>
        <v>0</v>
      </c>
      <c r="AC1963" s="47">
        <f t="shared" si="585"/>
        <v>80</v>
      </c>
      <c r="AD1963" s="47">
        <f t="shared" si="586"/>
        <v>80</v>
      </c>
      <c r="AE1963" s="47">
        <f t="shared" si="587"/>
        <v>0</v>
      </c>
      <c r="AG1963" s="47">
        <f t="shared" si="588"/>
        <v>80</v>
      </c>
      <c r="AH1963" s="47">
        <f t="shared" si="589"/>
        <v>80</v>
      </c>
      <c r="AI1963" s="208">
        <f t="shared" si="590"/>
        <v>0</v>
      </c>
    </row>
    <row r="1964" spans="1:35">
      <c r="A1964" t="s">
        <v>2149</v>
      </c>
      <c r="B1964" t="s">
        <v>3155</v>
      </c>
      <c r="C1964" t="s">
        <v>2940</v>
      </c>
      <c r="D1964" t="s">
        <v>5449</v>
      </c>
      <c r="F1964" t="s">
        <v>1447</v>
      </c>
      <c r="G1964" s="126">
        <f>SUMIFS('Support - Transition'!F:F,'Support - Transition'!B:B,'Step 2'!A1964,'Support - Transition'!C:C,'Step 2'!B1964,'Support - Transition'!D:D,'Step 2'!C1964,'Support - Transition'!E:E,"CIVIL")</f>
        <v>0</v>
      </c>
      <c r="H1964" s="126">
        <f>SUMIFS('Support - Transition'!F:F,'Support - Transition'!B:B,'Step 2'!A1964,'Support - Transition'!C:C,'Step 2'!B1964,'Support - Transition'!D:D,'Step 2'!C1964,'Support - Transition'!E:E,"FIRE")</f>
        <v>0</v>
      </c>
      <c r="I1964" s="126">
        <f>IF(B1964="0",SUMIFS('Support - Transition'!F:F,'Support - Transition'!J:J,'Step 2'!D1964,'Support - Transition'!E:E,"STATE UNIT"),SUMIFS('Support - Transition'!F:F,'Support - Transition'!J:J,'Step 2'!D1964))</f>
        <v>0</v>
      </c>
      <c r="J1964" s="126">
        <f>SUMIFS('Support - Unit Adjustments'!E:E,'Support - Unit Adjustments'!F:F,'Step 2'!D1964)</f>
        <v>0</v>
      </c>
      <c r="K1964" s="126">
        <f t="shared" si="574"/>
        <v>0</v>
      </c>
      <c r="L1964" s="174">
        <f>VLOOKUP(A1964,'Step 1'!$A:$E,4,FALSE)</f>
        <v>301385</v>
      </c>
      <c r="M1964" s="47">
        <f t="shared" si="575"/>
        <v>0</v>
      </c>
      <c r="N1964" s="177">
        <f>SUMIFS('Support - Transition'!G:G,'Support - Transition'!J:J,'Step 2'!D1964,'Support - Transition'!E:E,"2009 WELFARE ALLOCATION FACTOR")</f>
        <v>0</v>
      </c>
      <c r="O1964" s="152">
        <f t="shared" si="580"/>
        <v>0</v>
      </c>
      <c r="P1964" s="126">
        <f>IF(E1964="Y",0,SUMIFS('Support - Transition'!G:G,'Support - Transition'!J:J,'Step 2'!D1964,'Support - Transition'!E:E,"2009 SCHOOL ALLOCATION FACTOR"))</f>
        <v>0</v>
      </c>
      <c r="Q1964" s="126">
        <f>IF(E1964="Y",VLOOKUP(D1964,'Support - Unit Adjustments'!F:G,2,FALSE),0)</f>
        <v>0</v>
      </c>
      <c r="R1964" s="155">
        <f t="shared" si="592"/>
        <v>0</v>
      </c>
      <c r="S1964" s="47">
        <f t="shared" si="591"/>
        <v>0</v>
      </c>
      <c r="T1964" s="151">
        <f t="shared" si="576"/>
        <v>0</v>
      </c>
      <c r="U1964" s="151">
        <f t="shared" si="577"/>
        <v>0</v>
      </c>
      <c r="V1964" s="139">
        <f t="shared" si="578"/>
        <v>0</v>
      </c>
      <c r="W1964" s="152">
        <f t="shared" si="581"/>
        <v>0</v>
      </c>
      <c r="X1964" s="127" t="str">
        <f t="shared" si="579"/>
        <v/>
      </c>
      <c r="Y1964" s="207">
        <f t="shared" si="582"/>
        <v>0</v>
      </c>
      <c r="Z1964" s="139">
        <f t="shared" si="583"/>
        <v>0</v>
      </c>
      <c r="AA1964" s="139">
        <f t="shared" si="584"/>
        <v>0</v>
      </c>
      <c r="AC1964" s="47">
        <f t="shared" si="585"/>
        <v>0</v>
      </c>
      <c r="AD1964" s="47">
        <f t="shared" si="586"/>
        <v>0</v>
      </c>
      <c r="AE1964" s="47">
        <f t="shared" si="587"/>
        <v>0</v>
      </c>
      <c r="AG1964" s="47">
        <f t="shared" si="588"/>
        <v>0</v>
      </c>
      <c r="AH1964" s="47">
        <f t="shared" si="589"/>
        <v>0</v>
      </c>
      <c r="AI1964" s="208">
        <f t="shared" si="590"/>
        <v>0</v>
      </c>
    </row>
    <row r="1965" spans="1:35">
      <c r="A1965" t="s">
        <v>2149</v>
      </c>
      <c r="B1965" t="s">
        <v>3155</v>
      </c>
      <c r="C1965" t="s">
        <v>2941</v>
      </c>
      <c r="D1965" t="s">
        <v>5450</v>
      </c>
      <c r="F1965" t="s">
        <v>1449</v>
      </c>
      <c r="G1965" s="126">
        <f>SUMIFS('Support - Transition'!F:F,'Support - Transition'!B:B,'Step 2'!A1965,'Support - Transition'!C:C,'Step 2'!B1965,'Support - Transition'!D:D,'Step 2'!C1965,'Support - Transition'!E:E,"CIVIL")</f>
        <v>0</v>
      </c>
      <c r="H1965" s="126">
        <f>SUMIFS('Support - Transition'!F:F,'Support - Transition'!B:B,'Step 2'!A1965,'Support - Transition'!C:C,'Step 2'!B1965,'Support - Transition'!D:D,'Step 2'!C1965,'Support - Transition'!E:E,"FIRE")</f>
        <v>0</v>
      </c>
      <c r="I1965" s="126">
        <f>IF(B1965="0",SUMIFS('Support - Transition'!F:F,'Support - Transition'!J:J,'Step 2'!D1965,'Support - Transition'!E:E,"STATE UNIT"),SUMIFS('Support - Transition'!F:F,'Support - Transition'!J:J,'Step 2'!D1965))</f>
        <v>1.73E-3</v>
      </c>
      <c r="J1965" s="126">
        <f>SUMIFS('Support - Unit Adjustments'!E:E,'Support - Unit Adjustments'!F:F,'Step 2'!D1965)</f>
        <v>0</v>
      </c>
      <c r="K1965" s="126">
        <f t="shared" si="574"/>
        <v>1.73E-3</v>
      </c>
      <c r="L1965" s="174">
        <f>VLOOKUP(A1965,'Step 1'!$A:$E,4,FALSE)</f>
        <v>301385</v>
      </c>
      <c r="M1965" s="47">
        <f t="shared" si="575"/>
        <v>521</v>
      </c>
      <c r="N1965" s="177">
        <f>SUMIFS('Support - Transition'!G:G,'Support - Transition'!J:J,'Step 2'!D1965,'Support - Transition'!E:E,"2009 WELFARE ALLOCATION FACTOR")</f>
        <v>0</v>
      </c>
      <c r="O1965" s="152">
        <f t="shared" si="580"/>
        <v>0</v>
      </c>
      <c r="P1965" s="126">
        <f>IF(E1965="Y",0,SUMIFS('Support - Transition'!G:G,'Support - Transition'!J:J,'Step 2'!D1965,'Support - Transition'!E:E,"2009 SCHOOL ALLOCATION FACTOR"))</f>
        <v>0</v>
      </c>
      <c r="Q1965" s="126">
        <f>IF(E1965="Y",VLOOKUP(D1965,'Support - Unit Adjustments'!F:G,2,FALSE),0)</f>
        <v>0</v>
      </c>
      <c r="R1965" s="155">
        <f t="shared" si="592"/>
        <v>0</v>
      </c>
      <c r="S1965" s="47">
        <f t="shared" si="591"/>
        <v>0</v>
      </c>
      <c r="T1965" s="151">
        <f t="shared" si="576"/>
        <v>521</v>
      </c>
      <c r="U1965" s="151">
        <f t="shared" si="577"/>
        <v>0</v>
      </c>
      <c r="V1965" s="139">
        <f t="shared" si="578"/>
        <v>0</v>
      </c>
      <c r="W1965" s="152">
        <f t="shared" si="581"/>
        <v>521</v>
      </c>
      <c r="X1965" s="127" t="str">
        <f t="shared" si="579"/>
        <v/>
      </c>
      <c r="Y1965" s="207">
        <f t="shared" si="582"/>
        <v>521</v>
      </c>
      <c r="Z1965" s="139">
        <f t="shared" si="583"/>
        <v>521</v>
      </c>
      <c r="AA1965" s="139">
        <f t="shared" si="584"/>
        <v>0</v>
      </c>
      <c r="AC1965" s="47">
        <f t="shared" si="585"/>
        <v>261</v>
      </c>
      <c r="AD1965" s="47">
        <f t="shared" si="586"/>
        <v>261</v>
      </c>
      <c r="AE1965" s="47">
        <f t="shared" si="587"/>
        <v>0</v>
      </c>
      <c r="AG1965" s="47">
        <f t="shared" si="588"/>
        <v>260</v>
      </c>
      <c r="AH1965" s="47">
        <f t="shared" si="589"/>
        <v>260</v>
      </c>
      <c r="AI1965" s="208">
        <f t="shared" si="590"/>
        <v>0</v>
      </c>
    </row>
    <row r="1966" spans="1:35">
      <c r="A1966" t="s">
        <v>2149</v>
      </c>
      <c r="B1966" t="s">
        <v>3155</v>
      </c>
      <c r="C1966" t="s">
        <v>2942</v>
      </c>
      <c r="D1966" t="s">
        <v>5451</v>
      </c>
      <c r="F1966" t="s">
        <v>1450</v>
      </c>
      <c r="G1966" s="126">
        <f>SUMIFS('Support - Transition'!F:F,'Support - Transition'!B:B,'Step 2'!A1966,'Support - Transition'!C:C,'Step 2'!B1966,'Support - Transition'!D:D,'Step 2'!C1966,'Support - Transition'!E:E,"CIVIL")</f>
        <v>0</v>
      </c>
      <c r="H1966" s="126">
        <f>SUMIFS('Support - Transition'!F:F,'Support - Transition'!B:B,'Step 2'!A1966,'Support - Transition'!C:C,'Step 2'!B1966,'Support - Transition'!D:D,'Step 2'!C1966,'Support - Transition'!E:E,"FIRE")</f>
        <v>0</v>
      </c>
      <c r="I1966" s="126">
        <f>IF(B1966="0",SUMIFS('Support - Transition'!F:F,'Support - Transition'!J:J,'Step 2'!D1966,'Support - Transition'!E:E,"STATE UNIT"),SUMIFS('Support - Transition'!F:F,'Support - Transition'!J:J,'Step 2'!D1966))</f>
        <v>1.8669000000000002E-2</v>
      </c>
      <c r="J1966" s="126">
        <f>SUMIFS('Support - Unit Adjustments'!E:E,'Support - Unit Adjustments'!F:F,'Step 2'!D1966)</f>
        <v>0</v>
      </c>
      <c r="K1966" s="126">
        <f t="shared" si="574"/>
        <v>1.8669000000000002E-2</v>
      </c>
      <c r="L1966" s="174">
        <f>VLOOKUP(A1966,'Step 1'!$A:$E,4,FALSE)</f>
        <v>301385</v>
      </c>
      <c r="M1966" s="47">
        <f t="shared" si="575"/>
        <v>5627</v>
      </c>
      <c r="N1966" s="177">
        <f>SUMIFS('Support - Transition'!G:G,'Support - Transition'!J:J,'Step 2'!D1966,'Support - Transition'!E:E,"2009 WELFARE ALLOCATION FACTOR")</f>
        <v>0</v>
      </c>
      <c r="O1966" s="152">
        <f t="shared" si="580"/>
        <v>0</v>
      </c>
      <c r="P1966" s="126">
        <f>IF(E1966="Y",0,SUMIFS('Support - Transition'!G:G,'Support - Transition'!J:J,'Step 2'!D1966,'Support - Transition'!E:E,"2009 SCHOOL ALLOCATION FACTOR"))</f>
        <v>0</v>
      </c>
      <c r="Q1966" s="126">
        <f>IF(E1966="Y",VLOOKUP(D1966,'Support - Unit Adjustments'!F:G,2,FALSE),0)</f>
        <v>0</v>
      </c>
      <c r="R1966" s="155">
        <f t="shared" si="592"/>
        <v>0</v>
      </c>
      <c r="S1966" s="47">
        <f t="shared" si="591"/>
        <v>0</v>
      </c>
      <c r="T1966" s="151">
        <f t="shared" si="576"/>
        <v>5627</v>
      </c>
      <c r="U1966" s="151">
        <f t="shared" si="577"/>
        <v>0</v>
      </c>
      <c r="V1966" s="139">
        <f t="shared" si="578"/>
        <v>0</v>
      </c>
      <c r="W1966" s="152">
        <f t="shared" si="581"/>
        <v>5627</v>
      </c>
      <c r="X1966" s="127" t="str">
        <f t="shared" si="579"/>
        <v/>
      </c>
      <c r="Y1966" s="207">
        <f t="shared" si="582"/>
        <v>5627</v>
      </c>
      <c r="Z1966" s="139">
        <f t="shared" si="583"/>
        <v>5627</v>
      </c>
      <c r="AA1966" s="139">
        <f t="shared" si="584"/>
        <v>0</v>
      </c>
      <c r="AC1966" s="47">
        <f t="shared" si="585"/>
        <v>2814</v>
      </c>
      <c r="AD1966" s="47">
        <f t="shared" si="586"/>
        <v>2814</v>
      </c>
      <c r="AE1966" s="47">
        <f t="shared" si="587"/>
        <v>0</v>
      </c>
      <c r="AG1966" s="47">
        <f t="shared" si="588"/>
        <v>2813</v>
      </c>
      <c r="AH1966" s="47">
        <f t="shared" si="589"/>
        <v>2813</v>
      </c>
      <c r="AI1966" s="208">
        <f t="shared" si="590"/>
        <v>0</v>
      </c>
    </row>
    <row r="1967" spans="1:35">
      <c r="A1967" t="s">
        <v>2149</v>
      </c>
      <c r="B1967" t="s">
        <v>3160</v>
      </c>
      <c r="C1967" t="s">
        <v>2943</v>
      </c>
      <c r="D1967" t="s">
        <v>5452</v>
      </c>
      <c r="F1967" t="s">
        <v>1451</v>
      </c>
      <c r="G1967" s="126">
        <f>SUMIFS('Support - Transition'!F:F,'Support - Transition'!B:B,'Step 2'!A1967,'Support - Transition'!C:C,'Step 2'!B1967,'Support - Transition'!D:D,'Step 2'!C1967,'Support - Transition'!E:E,"CIVIL")</f>
        <v>0</v>
      </c>
      <c r="H1967" s="126">
        <f>SUMIFS('Support - Transition'!F:F,'Support - Transition'!B:B,'Step 2'!A1967,'Support - Transition'!C:C,'Step 2'!B1967,'Support - Transition'!D:D,'Step 2'!C1967,'Support - Transition'!E:E,"FIRE")</f>
        <v>0</v>
      </c>
      <c r="I1967" s="126">
        <f>IF(B1967="0",SUMIFS('Support - Transition'!F:F,'Support - Transition'!J:J,'Step 2'!D1967,'Support - Transition'!E:E,"STATE UNIT"),SUMIFS('Support - Transition'!F:F,'Support - Transition'!J:J,'Step 2'!D1967))</f>
        <v>0.44004100000000002</v>
      </c>
      <c r="J1967" s="126">
        <f>SUMIFS('Support - Unit Adjustments'!E:E,'Support - Unit Adjustments'!F:F,'Step 2'!D1967)</f>
        <v>0</v>
      </c>
      <c r="K1967" s="126">
        <f t="shared" si="574"/>
        <v>0.44004100000000002</v>
      </c>
      <c r="L1967" s="174">
        <f>VLOOKUP(A1967,'Step 1'!$A:$E,4,FALSE)</f>
        <v>301385</v>
      </c>
      <c r="M1967" s="47">
        <f t="shared" si="575"/>
        <v>132622</v>
      </c>
      <c r="N1967" s="177">
        <f>SUMIFS('Support - Transition'!G:G,'Support - Transition'!J:J,'Step 2'!D1967,'Support - Transition'!E:E,"2009 WELFARE ALLOCATION FACTOR")</f>
        <v>0</v>
      </c>
      <c r="O1967" s="152">
        <f t="shared" si="580"/>
        <v>0</v>
      </c>
      <c r="P1967" s="126">
        <f>IF(E1967="Y",0,SUMIFS('Support - Transition'!G:G,'Support - Transition'!J:J,'Step 2'!D1967,'Support - Transition'!E:E,"2009 SCHOOL ALLOCATION FACTOR"))</f>
        <v>0.57789000000000001</v>
      </c>
      <c r="Q1967" s="126">
        <f>IF(E1967="Y",VLOOKUP(D1967,'Support - Unit Adjustments'!F:G,2,FALSE),0)</f>
        <v>0</v>
      </c>
      <c r="R1967" s="155">
        <f t="shared" si="592"/>
        <v>0.57789000000000001</v>
      </c>
      <c r="S1967" s="47">
        <f t="shared" si="591"/>
        <v>76641</v>
      </c>
      <c r="T1967" s="151">
        <f t="shared" si="576"/>
        <v>55981</v>
      </c>
      <c r="U1967" s="151">
        <f t="shared" si="577"/>
        <v>0</v>
      </c>
      <c r="V1967" s="139">
        <f t="shared" si="578"/>
        <v>0</v>
      </c>
      <c r="W1967" s="152">
        <f t="shared" si="581"/>
        <v>55981</v>
      </c>
      <c r="X1967" s="127" t="str">
        <f t="shared" si="579"/>
        <v/>
      </c>
      <c r="Y1967" s="207">
        <f t="shared" si="582"/>
        <v>55981</v>
      </c>
      <c r="Z1967" s="139">
        <f t="shared" si="583"/>
        <v>55981</v>
      </c>
      <c r="AA1967" s="139">
        <f t="shared" si="584"/>
        <v>0</v>
      </c>
      <c r="AC1967" s="47">
        <f t="shared" si="585"/>
        <v>27991</v>
      </c>
      <c r="AD1967" s="47">
        <f t="shared" si="586"/>
        <v>27991</v>
      </c>
      <c r="AE1967" s="47">
        <f t="shared" si="587"/>
        <v>0</v>
      </c>
      <c r="AG1967" s="47">
        <f t="shared" si="588"/>
        <v>27990</v>
      </c>
      <c r="AH1967" s="47">
        <f t="shared" si="589"/>
        <v>27990</v>
      </c>
      <c r="AI1967" s="208">
        <f t="shared" si="590"/>
        <v>0</v>
      </c>
    </row>
    <row r="1968" spans="1:35" s="154" customFormat="1">
      <c r="A1968" t="s">
        <v>2149</v>
      </c>
      <c r="B1968" t="s">
        <v>3160</v>
      </c>
      <c r="C1968" t="s">
        <v>2944</v>
      </c>
      <c r="D1968" t="s">
        <v>5453</v>
      </c>
      <c r="E1968" t="s">
        <v>6384</v>
      </c>
      <c r="F1968" t="s">
        <v>5454</v>
      </c>
      <c r="G1968" s="126">
        <f>SUMIFS('Support - Transition'!F:F,'Support - Transition'!B:B,'Step 2'!A1968,'Support - Transition'!C:C,'Step 2'!B1968,'Support - Transition'!D:D,'Step 2'!C1968,'Support - Transition'!E:E,"CIVIL")</f>
        <v>0</v>
      </c>
      <c r="H1968" s="126">
        <f>SUMIFS('Support - Transition'!F:F,'Support - Transition'!B:B,'Step 2'!A1968,'Support - Transition'!C:C,'Step 2'!B1968,'Support - Transition'!D:D,'Step 2'!C1968,'Support - Transition'!E:E,"FIRE")</f>
        <v>0</v>
      </c>
      <c r="I1968" s="155">
        <f>IF(B1968="0",SUMIFS('Support - Transition'!F:F,'Support - Transition'!J:J,'Step 2'!D1968,'Support - Transition'!E:E,"STATE UNIT"),SUMIFS('Support - Transition'!F:F,'Support - Transition'!J:J,'Step 2'!D1968))</f>
        <v>0.20847199999999999</v>
      </c>
      <c r="J1968" s="155">
        <f>SUMIFS('Support - Unit Adjustments'!E:E,'Support - Unit Adjustments'!F:F,'Step 2'!D1968)</f>
        <v>2.3511000000000001E-2</v>
      </c>
      <c r="K1968" s="155">
        <f t="shared" si="574"/>
        <v>0.23198299999999999</v>
      </c>
      <c r="L1968" s="175">
        <f>VLOOKUP(A1968,'Step 1'!$A:$E,4,FALSE)</f>
        <v>301385</v>
      </c>
      <c r="M1968" s="47">
        <f t="shared" si="575"/>
        <v>69916</v>
      </c>
      <c r="N1968" s="178">
        <f>SUMIFS('Support - Transition'!G:G,'Support - Transition'!J:J,'Step 2'!D1968,'Support - Transition'!E:E,"2009 WELFARE ALLOCATION FACTOR")</f>
        <v>0</v>
      </c>
      <c r="O1968" s="158">
        <f t="shared" si="580"/>
        <v>0</v>
      </c>
      <c r="P1968" s="155">
        <f>IF(E1968="Y",0,SUMIFS('Support - Transition'!G:G,'Support - Transition'!J:J,'Step 2'!D1968,'Support - Transition'!E:E,"2009 SCHOOL ALLOCATION FACTOR"))</f>
        <v>0</v>
      </c>
      <c r="Q1968" s="155">
        <f>IF(E1968="Y",VLOOKUP(D1968,'Support - Unit Adjustments'!F:G,2,FALSE),0)</f>
        <v>0.484738</v>
      </c>
      <c r="R1968" s="155">
        <f t="shared" si="592"/>
        <v>0.484738</v>
      </c>
      <c r="S1968" s="47">
        <f t="shared" si="591"/>
        <v>33891</v>
      </c>
      <c r="T1968" s="156">
        <f t="shared" si="576"/>
        <v>36025</v>
      </c>
      <c r="U1968" s="156">
        <f t="shared" si="577"/>
        <v>0</v>
      </c>
      <c r="V1968" s="157">
        <f t="shared" si="578"/>
        <v>0</v>
      </c>
      <c r="W1968" s="158">
        <f t="shared" si="581"/>
        <v>36025</v>
      </c>
      <c r="X1968" s="127" t="str">
        <f t="shared" si="579"/>
        <v/>
      </c>
      <c r="Y1968" s="207">
        <f t="shared" si="582"/>
        <v>36025</v>
      </c>
      <c r="Z1968" s="139">
        <f t="shared" si="583"/>
        <v>36025</v>
      </c>
      <c r="AA1968" s="139">
        <f t="shared" si="584"/>
        <v>0</v>
      </c>
      <c r="AC1968" s="47">
        <f t="shared" si="585"/>
        <v>18013</v>
      </c>
      <c r="AD1968" s="47">
        <f t="shared" si="586"/>
        <v>18013</v>
      </c>
      <c r="AE1968" s="47">
        <f t="shared" si="587"/>
        <v>0</v>
      </c>
      <c r="AF1968"/>
      <c r="AG1968" s="47">
        <f t="shared" si="588"/>
        <v>18012</v>
      </c>
      <c r="AH1968" s="47">
        <f t="shared" si="589"/>
        <v>18012</v>
      </c>
      <c r="AI1968" s="208">
        <f t="shared" si="590"/>
        <v>0</v>
      </c>
    </row>
    <row r="1969" spans="1:35">
      <c r="A1969" t="s">
        <v>2149</v>
      </c>
      <c r="B1969" t="s">
        <v>3166</v>
      </c>
      <c r="C1969" t="s">
        <v>5455</v>
      </c>
      <c r="D1969" t="s">
        <v>5456</v>
      </c>
      <c r="F1969" t="s">
        <v>1455</v>
      </c>
      <c r="G1969" s="126">
        <f>SUMIFS('Support - Transition'!F:F,'Support - Transition'!B:B,'Step 2'!A1969,'Support - Transition'!C:C,'Step 2'!B1969,'Support - Transition'!D:D,'Step 2'!C1969,'Support - Transition'!E:E,"CIVIL")</f>
        <v>0</v>
      </c>
      <c r="H1969" s="126">
        <f>SUMIFS('Support - Transition'!F:F,'Support - Transition'!B:B,'Step 2'!A1969,'Support - Transition'!C:C,'Step 2'!B1969,'Support - Transition'!D:D,'Step 2'!C1969,'Support - Transition'!E:E,"FIRE")</f>
        <v>0</v>
      </c>
      <c r="I1969" s="126">
        <f>IF(B1969="0",SUMIFS('Support - Transition'!F:F,'Support - Transition'!J:J,'Step 2'!D1969,'Support - Transition'!E:E,"STATE UNIT"),SUMIFS('Support - Transition'!F:F,'Support - Transition'!J:J,'Step 2'!D1969))</f>
        <v>7.4100000000000001E-4</v>
      </c>
      <c r="J1969" s="126">
        <f>SUMIFS('Support - Unit Adjustments'!E:E,'Support - Unit Adjustments'!F:F,'Step 2'!D1969)</f>
        <v>0</v>
      </c>
      <c r="K1969" s="126">
        <f t="shared" si="574"/>
        <v>7.4100000000000001E-4</v>
      </c>
      <c r="L1969" s="174">
        <f>VLOOKUP(A1969,'Step 1'!$A:$E,4,FALSE)</f>
        <v>301385</v>
      </c>
      <c r="M1969" s="47">
        <f t="shared" si="575"/>
        <v>223</v>
      </c>
      <c r="N1969" s="177">
        <f>SUMIFS('Support - Transition'!G:G,'Support - Transition'!J:J,'Step 2'!D1969,'Support - Transition'!E:E,"2009 WELFARE ALLOCATION FACTOR")</f>
        <v>0</v>
      </c>
      <c r="O1969" s="152">
        <f t="shared" si="580"/>
        <v>0</v>
      </c>
      <c r="P1969" s="126">
        <f>IF(E1969="Y",0,SUMIFS('Support - Transition'!G:G,'Support - Transition'!J:J,'Step 2'!D1969,'Support - Transition'!E:E,"2009 SCHOOL ALLOCATION FACTOR"))</f>
        <v>0</v>
      </c>
      <c r="Q1969" s="126">
        <f>IF(E1969="Y",VLOOKUP(D1969,'Support - Unit Adjustments'!F:G,2,FALSE),0)</f>
        <v>0</v>
      </c>
      <c r="R1969" s="155">
        <f t="shared" si="592"/>
        <v>0</v>
      </c>
      <c r="S1969" s="47">
        <f t="shared" si="591"/>
        <v>0</v>
      </c>
      <c r="T1969" s="151">
        <f t="shared" si="576"/>
        <v>223</v>
      </c>
      <c r="U1969" s="151">
        <f t="shared" si="577"/>
        <v>0</v>
      </c>
      <c r="V1969" s="139">
        <f t="shared" si="578"/>
        <v>0</v>
      </c>
      <c r="W1969" s="152">
        <f t="shared" si="581"/>
        <v>223</v>
      </c>
      <c r="X1969" s="127" t="str">
        <f t="shared" si="579"/>
        <v/>
      </c>
      <c r="Y1969" s="207">
        <f t="shared" si="582"/>
        <v>223</v>
      </c>
      <c r="Z1969" s="139">
        <f t="shared" si="583"/>
        <v>223</v>
      </c>
      <c r="AA1969" s="139">
        <f t="shared" si="584"/>
        <v>0</v>
      </c>
      <c r="AC1969" s="47">
        <f t="shared" si="585"/>
        <v>112</v>
      </c>
      <c r="AD1969" s="47">
        <f t="shared" si="586"/>
        <v>112</v>
      </c>
      <c r="AE1969" s="47">
        <f t="shared" si="587"/>
        <v>0</v>
      </c>
      <c r="AG1969" s="47">
        <f t="shared" si="588"/>
        <v>111</v>
      </c>
      <c r="AH1969" s="47">
        <f t="shared" si="589"/>
        <v>111</v>
      </c>
      <c r="AI1969" s="208">
        <f t="shared" si="590"/>
        <v>0</v>
      </c>
    </row>
    <row r="1970" spans="1:35">
      <c r="A1970" t="s">
        <v>2149</v>
      </c>
      <c r="B1970" t="s">
        <v>3166</v>
      </c>
      <c r="C1970" t="s">
        <v>5457</v>
      </c>
      <c r="D1970" t="s">
        <v>5458</v>
      </c>
      <c r="F1970" t="s">
        <v>1456</v>
      </c>
      <c r="G1970" s="126">
        <f>SUMIFS('Support - Transition'!F:F,'Support - Transition'!B:B,'Step 2'!A1970,'Support - Transition'!C:C,'Step 2'!B1970,'Support - Transition'!D:D,'Step 2'!C1970,'Support - Transition'!E:E,"CIVIL")</f>
        <v>0</v>
      </c>
      <c r="H1970" s="126">
        <f>SUMIFS('Support - Transition'!F:F,'Support - Transition'!B:B,'Step 2'!A1970,'Support - Transition'!C:C,'Step 2'!B1970,'Support - Transition'!D:D,'Step 2'!C1970,'Support - Transition'!E:E,"FIRE")</f>
        <v>0</v>
      </c>
      <c r="I1970" s="126">
        <f>IF(B1970="0",SUMIFS('Support - Transition'!F:F,'Support - Transition'!J:J,'Step 2'!D1970,'Support - Transition'!E:E,"STATE UNIT"),SUMIFS('Support - Transition'!F:F,'Support - Transition'!J:J,'Step 2'!D1970))</f>
        <v>3.0959999999999998E-3</v>
      </c>
      <c r="J1970" s="126">
        <f>SUMIFS('Support - Unit Adjustments'!E:E,'Support - Unit Adjustments'!F:F,'Step 2'!D1970)</f>
        <v>0</v>
      </c>
      <c r="K1970" s="126">
        <f t="shared" si="574"/>
        <v>3.0959999999999998E-3</v>
      </c>
      <c r="L1970" s="174">
        <f>VLOOKUP(A1970,'Step 1'!$A:$E,4,FALSE)</f>
        <v>301385</v>
      </c>
      <c r="M1970" s="47">
        <f t="shared" si="575"/>
        <v>933</v>
      </c>
      <c r="N1970" s="177">
        <f>SUMIFS('Support - Transition'!G:G,'Support - Transition'!J:J,'Step 2'!D1970,'Support - Transition'!E:E,"2009 WELFARE ALLOCATION FACTOR")</f>
        <v>0</v>
      </c>
      <c r="O1970" s="152">
        <f t="shared" si="580"/>
        <v>0</v>
      </c>
      <c r="P1970" s="126">
        <f>IF(E1970="Y",0,SUMIFS('Support - Transition'!G:G,'Support - Transition'!J:J,'Step 2'!D1970,'Support - Transition'!E:E,"2009 SCHOOL ALLOCATION FACTOR"))</f>
        <v>0</v>
      </c>
      <c r="Q1970" s="126">
        <f>IF(E1970="Y",VLOOKUP(D1970,'Support - Unit Adjustments'!F:G,2,FALSE),0)</f>
        <v>0</v>
      </c>
      <c r="R1970" s="155">
        <f t="shared" si="592"/>
        <v>0</v>
      </c>
      <c r="S1970" s="47">
        <f t="shared" si="591"/>
        <v>0</v>
      </c>
      <c r="T1970" s="151">
        <f t="shared" si="576"/>
        <v>933</v>
      </c>
      <c r="U1970" s="151">
        <f t="shared" si="577"/>
        <v>0</v>
      </c>
      <c r="V1970" s="139">
        <f t="shared" si="578"/>
        <v>0</v>
      </c>
      <c r="W1970" s="152">
        <f t="shared" si="581"/>
        <v>933</v>
      </c>
      <c r="X1970" s="127" t="str">
        <f t="shared" si="579"/>
        <v/>
      </c>
      <c r="Y1970" s="207">
        <f t="shared" si="582"/>
        <v>933</v>
      </c>
      <c r="Z1970" s="139">
        <f t="shared" si="583"/>
        <v>933</v>
      </c>
      <c r="AA1970" s="139">
        <f t="shared" si="584"/>
        <v>0</v>
      </c>
      <c r="AC1970" s="47">
        <f t="shared" si="585"/>
        <v>467</v>
      </c>
      <c r="AD1970" s="47">
        <f t="shared" si="586"/>
        <v>467</v>
      </c>
      <c r="AE1970" s="47">
        <f t="shared" si="587"/>
        <v>0</v>
      </c>
      <c r="AG1970" s="47">
        <f t="shared" si="588"/>
        <v>466</v>
      </c>
      <c r="AH1970" s="47">
        <f t="shared" si="589"/>
        <v>466</v>
      </c>
      <c r="AI1970" s="208">
        <f t="shared" si="590"/>
        <v>0</v>
      </c>
    </row>
    <row r="1971" spans="1:35">
      <c r="A1971" t="s">
        <v>2149</v>
      </c>
      <c r="B1971" t="s">
        <v>3166</v>
      </c>
      <c r="C1971" t="s">
        <v>5459</v>
      </c>
      <c r="D1971" t="s">
        <v>5460</v>
      </c>
      <c r="F1971" t="s">
        <v>1454</v>
      </c>
      <c r="G1971" s="126">
        <f>SUMIFS('Support - Transition'!F:F,'Support - Transition'!B:B,'Step 2'!A1971,'Support - Transition'!C:C,'Step 2'!B1971,'Support - Transition'!D:D,'Step 2'!C1971,'Support - Transition'!E:E,"CIVIL")</f>
        <v>0</v>
      </c>
      <c r="H1971" s="126">
        <f>SUMIFS('Support - Transition'!F:F,'Support - Transition'!B:B,'Step 2'!A1971,'Support - Transition'!C:C,'Step 2'!B1971,'Support - Transition'!D:D,'Step 2'!C1971,'Support - Transition'!E:E,"FIRE")</f>
        <v>0</v>
      </c>
      <c r="I1971" s="126">
        <f>IF(B1971="0",SUMIFS('Support - Transition'!F:F,'Support - Transition'!J:J,'Step 2'!D1971,'Support - Transition'!E:E,"STATE UNIT"),SUMIFS('Support - Transition'!F:F,'Support - Transition'!J:J,'Step 2'!D1971))</f>
        <v>1.7475000000000001E-2</v>
      </c>
      <c r="J1971" s="126">
        <f>SUMIFS('Support - Unit Adjustments'!E:E,'Support - Unit Adjustments'!F:F,'Step 2'!D1971)</f>
        <v>0</v>
      </c>
      <c r="K1971" s="126">
        <f t="shared" si="574"/>
        <v>1.7475000000000001E-2</v>
      </c>
      <c r="L1971" s="174">
        <f>VLOOKUP(A1971,'Step 1'!$A:$E,4,FALSE)</f>
        <v>301385</v>
      </c>
      <c r="M1971" s="47">
        <f t="shared" si="575"/>
        <v>5267</v>
      </c>
      <c r="N1971" s="177">
        <f>SUMIFS('Support - Transition'!G:G,'Support - Transition'!J:J,'Step 2'!D1971,'Support - Transition'!E:E,"2009 WELFARE ALLOCATION FACTOR")</f>
        <v>0</v>
      </c>
      <c r="O1971" s="152">
        <f t="shared" si="580"/>
        <v>0</v>
      </c>
      <c r="P1971" s="126">
        <f>IF(E1971="Y",0,SUMIFS('Support - Transition'!G:G,'Support - Transition'!J:J,'Step 2'!D1971,'Support - Transition'!E:E,"2009 SCHOOL ALLOCATION FACTOR"))</f>
        <v>0</v>
      </c>
      <c r="Q1971" s="126">
        <f>IF(E1971="Y",VLOOKUP(D1971,'Support - Unit Adjustments'!F:G,2,FALSE),0)</f>
        <v>0</v>
      </c>
      <c r="R1971" s="155">
        <f t="shared" si="592"/>
        <v>0</v>
      </c>
      <c r="S1971" s="47">
        <f t="shared" si="591"/>
        <v>0</v>
      </c>
      <c r="T1971" s="151">
        <f t="shared" si="576"/>
        <v>5267</v>
      </c>
      <c r="U1971" s="151">
        <f t="shared" si="577"/>
        <v>0</v>
      </c>
      <c r="V1971" s="139">
        <f t="shared" si="578"/>
        <v>0</v>
      </c>
      <c r="W1971" s="152">
        <f t="shared" si="581"/>
        <v>5267</v>
      </c>
      <c r="X1971" s="127" t="str">
        <f t="shared" si="579"/>
        <v/>
      </c>
      <c r="Y1971" s="207">
        <f t="shared" si="582"/>
        <v>5267</v>
      </c>
      <c r="Z1971" s="139">
        <f t="shared" si="583"/>
        <v>5267</v>
      </c>
      <c r="AA1971" s="139">
        <f t="shared" si="584"/>
        <v>0</v>
      </c>
      <c r="AC1971" s="47">
        <f t="shared" si="585"/>
        <v>2634</v>
      </c>
      <c r="AD1971" s="47">
        <f t="shared" si="586"/>
        <v>2634</v>
      </c>
      <c r="AE1971" s="47">
        <f t="shared" si="587"/>
        <v>0</v>
      </c>
      <c r="AG1971" s="47">
        <f t="shared" si="588"/>
        <v>2633</v>
      </c>
      <c r="AH1971" s="47">
        <f t="shared" si="589"/>
        <v>2633</v>
      </c>
      <c r="AI1971" s="208">
        <f t="shared" si="590"/>
        <v>0</v>
      </c>
    </row>
    <row r="1972" spans="1:35">
      <c r="A1972" t="s">
        <v>2149</v>
      </c>
      <c r="B1972" t="s">
        <v>3170</v>
      </c>
      <c r="C1972" t="s">
        <v>5461</v>
      </c>
      <c r="D1972" t="s">
        <v>5462</v>
      </c>
      <c r="F1972" t="s">
        <v>1457</v>
      </c>
      <c r="G1972" s="126">
        <f>SUMIFS('Support - Transition'!F:F,'Support - Transition'!B:B,'Step 2'!A1972,'Support - Transition'!C:C,'Step 2'!B1972,'Support - Transition'!D:D,'Step 2'!C1972,'Support - Transition'!E:E,"CIVIL")</f>
        <v>0</v>
      </c>
      <c r="H1972" s="126">
        <f>SUMIFS('Support - Transition'!F:F,'Support - Transition'!B:B,'Step 2'!A1972,'Support - Transition'!C:C,'Step 2'!B1972,'Support - Transition'!D:D,'Step 2'!C1972,'Support - Transition'!E:E,"FIRE")</f>
        <v>0</v>
      </c>
      <c r="I1972" s="126">
        <f>IF(B1972="0",SUMIFS('Support - Transition'!F:F,'Support - Transition'!J:J,'Step 2'!D1972,'Support - Transition'!E:E,"STATE UNIT"),SUMIFS('Support - Transition'!F:F,'Support - Transition'!J:J,'Step 2'!D1972))</f>
        <v>2.6879999999999999E-3</v>
      </c>
      <c r="J1972" s="126">
        <f>SUMIFS('Support - Unit Adjustments'!E:E,'Support - Unit Adjustments'!F:F,'Step 2'!D1972)</f>
        <v>0</v>
      </c>
      <c r="K1972" s="126">
        <f t="shared" si="574"/>
        <v>2.6879999999999999E-3</v>
      </c>
      <c r="L1972" s="174">
        <f>VLOOKUP(A1972,'Step 1'!$A:$E,4,FALSE)</f>
        <v>301385</v>
      </c>
      <c r="M1972" s="47">
        <f t="shared" si="575"/>
        <v>810</v>
      </c>
      <c r="N1972" s="177">
        <f>SUMIFS('Support - Transition'!G:G,'Support - Transition'!J:J,'Step 2'!D1972,'Support - Transition'!E:E,"2009 WELFARE ALLOCATION FACTOR")</f>
        <v>0</v>
      </c>
      <c r="O1972" s="152">
        <f t="shared" si="580"/>
        <v>0</v>
      </c>
      <c r="P1972" s="126">
        <f>IF(E1972="Y",0,SUMIFS('Support - Transition'!G:G,'Support - Transition'!J:J,'Step 2'!D1972,'Support - Transition'!E:E,"2009 SCHOOL ALLOCATION FACTOR"))</f>
        <v>0</v>
      </c>
      <c r="Q1972" s="126">
        <f>IF(E1972="Y",VLOOKUP(D1972,'Support - Unit Adjustments'!F:G,2,FALSE),0)</f>
        <v>0</v>
      </c>
      <c r="R1972" s="155">
        <f t="shared" si="592"/>
        <v>0</v>
      </c>
      <c r="S1972" s="47">
        <f t="shared" si="591"/>
        <v>0</v>
      </c>
      <c r="T1972" s="151">
        <f t="shared" si="576"/>
        <v>810</v>
      </c>
      <c r="U1972" s="151">
        <f t="shared" si="577"/>
        <v>0</v>
      </c>
      <c r="V1972" s="139">
        <f t="shared" si="578"/>
        <v>0</v>
      </c>
      <c r="W1972" s="152">
        <f t="shared" si="581"/>
        <v>810</v>
      </c>
      <c r="X1972" s="127" t="str">
        <f t="shared" si="579"/>
        <v/>
      </c>
      <c r="Y1972" s="207">
        <f t="shared" si="582"/>
        <v>810</v>
      </c>
      <c r="Z1972" s="139">
        <f t="shared" si="583"/>
        <v>810</v>
      </c>
      <c r="AA1972" s="139">
        <f t="shared" si="584"/>
        <v>0</v>
      </c>
      <c r="AC1972" s="47">
        <f t="shared" si="585"/>
        <v>405</v>
      </c>
      <c r="AD1972" s="47">
        <f t="shared" si="586"/>
        <v>405</v>
      </c>
      <c r="AE1972" s="47">
        <f t="shared" si="587"/>
        <v>0</v>
      </c>
      <c r="AG1972" s="47">
        <f t="shared" si="588"/>
        <v>405</v>
      </c>
      <c r="AH1972" s="47">
        <f t="shared" si="589"/>
        <v>405</v>
      </c>
      <c r="AI1972" s="208">
        <f t="shared" si="590"/>
        <v>0</v>
      </c>
    </row>
    <row r="1973" spans="1:35">
      <c r="A1973" t="s">
        <v>2149</v>
      </c>
      <c r="B1973" t="s">
        <v>3170</v>
      </c>
      <c r="C1973" t="s">
        <v>2945</v>
      </c>
      <c r="D1973" t="s">
        <v>5463</v>
      </c>
      <c r="F1973" t="s">
        <v>1459</v>
      </c>
      <c r="G1973" s="126">
        <f>SUMIFS('Support - Transition'!F:F,'Support - Transition'!B:B,'Step 2'!A1973,'Support - Transition'!C:C,'Step 2'!B1973,'Support - Transition'!D:D,'Step 2'!C1973,'Support - Transition'!E:E,"CIVIL")</f>
        <v>0</v>
      </c>
      <c r="H1973" s="126">
        <f>SUMIFS('Support - Transition'!F:F,'Support - Transition'!B:B,'Step 2'!A1973,'Support - Transition'!C:C,'Step 2'!B1973,'Support - Transition'!D:D,'Step 2'!C1973,'Support - Transition'!E:E,"FIRE")</f>
        <v>0</v>
      </c>
      <c r="I1973" s="126">
        <f>IF(B1973="0",SUMIFS('Support - Transition'!F:F,'Support - Transition'!J:J,'Step 2'!D1973,'Support - Transition'!E:E,"STATE UNIT"),SUMIFS('Support - Transition'!F:F,'Support - Transition'!J:J,'Step 2'!D1973))</f>
        <v>2.3259999999999392E-3</v>
      </c>
      <c r="J1973" s="126">
        <f>SUMIFS('Support - Unit Adjustments'!E:E,'Support - Unit Adjustments'!F:F,'Step 2'!D1973)</f>
        <v>0</v>
      </c>
      <c r="K1973" s="126">
        <f t="shared" si="574"/>
        <v>2.3259999999999392E-3</v>
      </c>
      <c r="L1973" s="174">
        <f>VLOOKUP(A1973,'Step 1'!$A:$E,4,FALSE)</f>
        <v>301385</v>
      </c>
      <c r="M1973" s="47">
        <f t="shared" si="575"/>
        <v>701</v>
      </c>
      <c r="N1973" s="177">
        <f>SUMIFS('Support - Transition'!G:G,'Support - Transition'!J:J,'Step 2'!D1973,'Support - Transition'!E:E,"2009 WELFARE ALLOCATION FACTOR")</f>
        <v>0</v>
      </c>
      <c r="O1973" s="152">
        <f t="shared" si="580"/>
        <v>0</v>
      </c>
      <c r="P1973" s="126">
        <f>IF(E1973="Y",0,SUMIFS('Support - Transition'!G:G,'Support - Transition'!J:J,'Step 2'!D1973,'Support - Transition'!E:E,"2009 SCHOOL ALLOCATION FACTOR"))</f>
        <v>0</v>
      </c>
      <c r="Q1973" s="126">
        <f>IF(E1973="Y",VLOOKUP(D1973,'Support - Unit Adjustments'!F:G,2,FALSE),0)</f>
        <v>0</v>
      </c>
      <c r="R1973" s="155">
        <f t="shared" si="592"/>
        <v>0</v>
      </c>
      <c r="S1973" s="47">
        <f t="shared" si="591"/>
        <v>0</v>
      </c>
      <c r="T1973" s="151">
        <f t="shared" si="576"/>
        <v>701</v>
      </c>
      <c r="U1973" s="151">
        <f t="shared" si="577"/>
        <v>0</v>
      </c>
      <c r="V1973" s="139">
        <f t="shared" si="578"/>
        <v>0</v>
      </c>
      <c r="W1973" s="152">
        <f t="shared" si="581"/>
        <v>701</v>
      </c>
      <c r="X1973" s="127" t="str">
        <f t="shared" si="579"/>
        <v/>
      </c>
      <c r="Y1973" s="207">
        <f t="shared" si="582"/>
        <v>701</v>
      </c>
      <c r="Z1973" s="139">
        <f t="shared" si="583"/>
        <v>701</v>
      </c>
      <c r="AA1973" s="139">
        <f t="shared" si="584"/>
        <v>0</v>
      </c>
      <c r="AC1973" s="47">
        <f t="shared" si="585"/>
        <v>351</v>
      </c>
      <c r="AD1973" s="47">
        <f t="shared" si="586"/>
        <v>351</v>
      </c>
      <c r="AE1973" s="47">
        <f t="shared" si="587"/>
        <v>0</v>
      </c>
      <c r="AG1973" s="47">
        <f t="shared" si="588"/>
        <v>350</v>
      </c>
      <c r="AH1973" s="47">
        <f t="shared" si="589"/>
        <v>350</v>
      </c>
      <c r="AI1973" s="208">
        <f t="shared" si="590"/>
        <v>0</v>
      </c>
    </row>
    <row r="1974" spans="1:35">
      <c r="A1974" t="s">
        <v>2149</v>
      </c>
      <c r="B1974" t="s">
        <v>3170</v>
      </c>
      <c r="C1974" t="s">
        <v>5464</v>
      </c>
      <c r="D1974" t="s">
        <v>5465</v>
      </c>
      <c r="F1974" t="s">
        <v>1458</v>
      </c>
      <c r="G1974" s="126">
        <f>SUMIFS('Support - Transition'!F:F,'Support - Transition'!B:B,'Step 2'!A1974,'Support - Transition'!C:C,'Step 2'!B1974,'Support - Transition'!D:D,'Step 2'!C1974,'Support - Transition'!E:E,"CIVIL")</f>
        <v>0</v>
      </c>
      <c r="H1974" s="126">
        <f>SUMIFS('Support - Transition'!F:F,'Support - Transition'!B:B,'Step 2'!A1974,'Support - Transition'!C:C,'Step 2'!B1974,'Support - Transition'!D:D,'Step 2'!C1974,'Support - Transition'!E:E,"FIRE")</f>
        <v>0</v>
      </c>
      <c r="I1974" s="126">
        <f>IF(B1974="0",SUMIFS('Support - Transition'!F:F,'Support - Transition'!J:J,'Step 2'!D1974,'Support - Transition'!E:E,"STATE UNIT"),SUMIFS('Support - Transition'!F:F,'Support - Transition'!J:J,'Step 2'!D1974))</f>
        <v>1.1932E-2</v>
      </c>
      <c r="J1974" s="126">
        <f>SUMIFS('Support - Unit Adjustments'!E:E,'Support - Unit Adjustments'!F:F,'Step 2'!D1974)</f>
        <v>0</v>
      </c>
      <c r="K1974" s="126">
        <f t="shared" si="574"/>
        <v>1.1932E-2</v>
      </c>
      <c r="L1974" s="174">
        <f>VLOOKUP(A1974,'Step 1'!$A:$E,4,FALSE)</f>
        <v>301385</v>
      </c>
      <c r="M1974" s="47">
        <f t="shared" si="575"/>
        <v>3596</v>
      </c>
      <c r="N1974" s="177">
        <f>SUMIFS('Support - Transition'!G:G,'Support - Transition'!J:J,'Step 2'!D1974,'Support - Transition'!E:E,"2009 WELFARE ALLOCATION FACTOR")</f>
        <v>0</v>
      </c>
      <c r="O1974" s="152">
        <f t="shared" si="580"/>
        <v>0</v>
      </c>
      <c r="P1974" s="126">
        <f>IF(E1974="Y",0,SUMIFS('Support - Transition'!G:G,'Support - Transition'!J:J,'Step 2'!D1974,'Support - Transition'!E:E,"2009 SCHOOL ALLOCATION FACTOR"))</f>
        <v>0</v>
      </c>
      <c r="Q1974" s="126">
        <f>IF(E1974="Y",VLOOKUP(D1974,'Support - Unit Adjustments'!F:G,2,FALSE),0)</f>
        <v>0</v>
      </c>
      <c r="R1974" s="155">
        <f t="shared" si="592"/>
        <v>0</v>
      </c>
      <c r="S1974" s="47">
        <f t="shared" si="591"/>
        <v>0</v>
      </c>
      <c r="T1974" s="151">
        <f t="shared" si="576"/>
        <v>3596</v>
      </c>
      <c r="U1974" s="151">
        <f t="shared" si="577"/>
        <v>0</v>
      </c>
      <c r="V1974" s="139">
        <f t="shared" si="578"/>
        <v>0</v>
      </c>
      <c r="W1974" s="152">
        <f t="shared" si="581"/>
        <v>3596</v>
      </c>
      <c r="X1974" s="127" t="str">
        <f t="shared" si="579"/>
        <v/>
      </c>
      <c r="Y1974" s="207">
        <f t="shared" si="582"/>
        <v>3596</v>
      </c>
      <c r="Z1974" s="139">
        <f t="shared" si="583"/>
        <v>3596</v>
      </c>
      <c r="AA1974" s="139">
        <f t="shared" si="584"/>
        <v>0</v>
      </c>
      <c r="AC1974" s="47">
        <f t="shared" si="585"/>
        <v>1798</v>
      </c>
      <c r="AD1974" s="47">
        <f t="shared" si="586"/>
        <v>1798</v>
      </c>
      <c r="AE1974" s="47">
        <f t="shared" si="587"/>
        <v>0</v>
      </c>
      <c r="AG1974" s="47">
        <f t="shared" si="588"/>
        <v>1798</v>
      </c>
      <c r="AH1974" s="47">
        <f t="shared" si="589"/>
        <v>1798</v>
      </c>
      <c r="AI1974" s="208">
        <f t="shared" si="590"/>
        <v>0</v>
      </c>
    </row>
    <row r="1975" spans="1:35">
      <c r="A1975" t="s">
        <v>2150</v>
      </c>
      <c r="B1975" s="48" t="s">
        <v>6274</v>
      </c>
      <c r="C1975" t="s">
        <v>2187</v>
      </c>
      <c r="D1975" t="str">
        <f>A1975&amp;B1975&amp;C1975</f>
        <v>6600000</v>
      </c>
      <c r="F1975" t="s">
        <v>6340</v>
      </c>
      <c r="G1975" s="126">
        <f>SUMIFS('Support - Transition'!F:F,'Support - Transition'!B:B,'Step 2'!A1975,'Support - Transition'!C:C,'Step 2'!B1975,'Support - Transition'!D:D,'Step 2'!C1975,'Support - Transition'!E:E,"CIVIL")</f>
        <v>0</v>
      </c>
      <c r="H1975" s="126">
        <f>SUMIFS('Support - Transition'!F:F,'Support - Transition'!B:B,'Step 2'!A1975,'Support - Transition'!C:C,'Step 2'!B1975,'Support - Transition'!D:D,'Step 2'!C1975,'Support - Transition'!E:E,"FIRE")</f>
        <v>0</v>
      </c>
      <c r="I1975" s="126">
        <f>IF(B1975="0",SUMIFS('Support - Transition'!F:F,'Support - Transition'!J:J,'Step 2'!D1975,'Support - Transition'!E:E,"STATE UNIT"),SUMIFS('Support - Transition'!F:F,'Support - Transition'!J:J,'Step 2'!D1975))</f>
        <v>1.2019999999999999E-3</v>
      </c>
      <c r="J1975" s="126">
        <f>SUMIFS('Support - Unit Adjustments'!E:E,'Support - Unit Adjustments'!F:F,'Step 2'!D1975)</f>
        <v>0</v>
      </c>
      <c r="K1975" s="126">
        <f t="shared" si="574"/>
        <v>1.2019999999999999E-3</v>
      </c>
      <c r="L1975" s="174">
        <f>VLOOKUP(A1975,'Step 1'!$A:$E,4,FALSE)</f>
        <v>235770</v>
      </c>
      <c r="M1975" s="47">
        <f t="shared" si="575"/>
        <v>283</v>
      </c>
      <c r="N1975" s="177">
        <f>SUMIFS('Support - Transition'!G:G,'Support - Transition'!J:J,'Step 2'!D1975,'Support - Transition'!E:E,"2009 WELFARE ALLOCATION FACTOR")</f>
        <v>0</v>
      </c>
      <c r="O1975" s="152">
        <f t="shared" si="580"/>
        <v>0</v>
      </c>
      <c r="P1975" s="126">
        <f>IF(E1975="Y",0,SUMIFS('Support - Transition'!G:G,'Support - Transition'!J:J,'Step 2'!D1975,'Support - Transition'!E:E,"2009 SCHOOL ALLOCATION FACTOR"))</f>
        <v>0</v>
      </c>
      <c r="Q1975" s="126">
        <f>IF(E1975="Y",VLOOKUP(D1975,'Support - Unit Adjustments'!F:G,2,FALSE),0)</f>
        <v>0</v>
      </c>
      <c r="R1975" s="155">
        <f t="shared" si="592"/>
        <v>0</v>
      </c>
      <c r="S1975" s="47">
        <f t="shared" si="591"/>
        <v>0</v>
      </c>
      <c r="T1975" s="151">
        <f t="shared" si="576"/>
        <v>283</v>
      </c>
      <c r="U1975" s="151">
        <f t="shared" si="577"/>
        <v>235771</v>
      </c>
      <c r="V1975" s="139">
        <f t="shared" si="578"/>
        <v>1</v>
      </c>
      <c r="W1975" s="152">
        <f t="shared" si="581"/>
        <v>282</v>
      </c>
      <c r="X1975" s="127">
        <f t="shared" si="579"/>
        <v>0</v>
      </c>
      <c r="Y1975" s="207">
        <f t="shared" si="582"/>
        <v>282</v>
      </c>
      <c r="Z1975" s="139">
        <f t="shared" si="583"/>
        <v>282</v>
      </c>
      <c r="AA1975" s="139">
        <f t="shared" si="584"/>
        <v>0</v>
      </c>
      <c r="AC1975" s="47">
        <f t="shared" si="585"/>
        <v>141</v>
      </c>
      <c r="AD1975" s="47">
        <f t="shared" si="586"/>
        <v>141</v>
      </c>
      <c r="AE1975" s="47">
        <f t="shared" si="587"/>
        <v>0</v>
      </c>
      <c r="AG1975" s="47">
        <f t="shared" si="588"/>
        <v>141</v>
      </c>
      <c r="AH1975" s="47">
        <f t="shared" si="589"/>
        <v>141</v>
      </c>
      <c r="AI1975" s="208">
        <f t="shared" si="590"/>
        <v>0</v>
      </c>
    </row>
    <row r="1976" spans="1:35">
      <c r="A1976" t="s">
        <v>2150</v>
      </c>
      <c r="B1976" t="s">
        <v>3140</v>
      </c>
      <c r="C1976" t="s">
        <v>2187</v>
      </c>
      <c r="D1976" t="s">
        <v>5466</v>
      </c>
      <c r="F1976" t="s">
        <v>1461</v>
      </c>
      <c r="G1976" s="126">
        <f>SUMIFS('Support - Transition'!F:F,'Support - Transition'!B:B,'Step 2'!A1976,'Support - Transition'!C:C,'Step 2'!B1976,'Support - Transition'!D:D,'Step 2'!C1976,'Support - Transition'!E:E,"CIVIL")</f>
        <v>0</v>
      </c>
      <c r="H1976" s="126">
        <f>SUMIFS('Support - Transition'!F:F,'Support - Transition'!B:B,'Step 2'!A1976,'Support - Transition'!C:C,'Step 2'!B1976,'Support - Transition'!D:D,'Step 2'!C1976,'Support - Transition'!E:E,"FIRE")</f>
        <v>0</v>
      </c>
      <c r="I1976" s="126">
        <f>IF(B1976="0",SUMIFS('Support - Transition'!F:F,'Support - Transition'!J:J,'Step 2'!D1976,'Support - Transition'!E:E,"STATE UNIT"),SUMIFS('Support - Transition'!F:F,'Support - Transition'!J:J,'Step 2'!D1976))</f>
        <v>0.30420799999999998</v>
      </c>
      <c r="J1976" s="126">
        <f>SUMIFS('Support - Unit Adjustments'!E:E,'Support - Unit Adjustments'!F:F,'Step 2'!D1976)</f>
        <v>0</v>
      </c>
      <c r="K1976" s="126">
        <f t="shared" si="574"/>
        <v>0.30420799999999998</v>
      </c>
      <c r="L1976" s="174">
        <f>VLOOKUP(A1976,'Step 1'!$A:$E,4,FALSE)</f>
        <v>235770</v>
      </c>
      <c r="M1976" s="47">
        <f t="shared" si="575"/>
        <v>71723</v>
      </c>
      <c r="N1976" s="177">
        <f>SUMIFS('Support - Transition'!G:G,'Support - Transition'!J:J,'Step 2'!D1976,'Support - Transition'!E:E,"2009 WELFARE ALLOCATION FACTOR")</f>
        <v>0.25436599999999998</v>
      </c>
      <c r="O1976" s="152">
        <f t="shared" si="580"/>
        <v>18244</v>
      </c>
      <c r="P1976" s="126">
        <f>IF(E1976="Y",0,SUMIFS('Support - Transition'!G:G,'Support - Transition'!J:J,'Step 2'!D1976,'Support - Transition'!E:E,"2009 SCHOOL ALLOCATION FACTOR"))</f>
        <v>0</v>
      </c>
      <c r="Q1976" s="126">
        <f>IF(E1976="Y",VLOOKUP(D1976,'Support - Unit Adjustments'!F:G,2,FALSE),0)</f>
        <v>0</v>
      </c>
      <c r="R1976" s="155">
        <f t="shared" si="592"/>
        <v>0</v>
      </c>
      <c r="S1976" s="47">
        <f t="shared" si="591"/>
        <v>0</v>
      </c>
      <c r="T1976" s="151">
        <f t="shared" si="576"/>
        <v>53479</v>
      </c>
      <c r="U1976" s="151">
        <f t="shared" si="577"/>
        <v>0</v>
      </c>
      <c r="V1976" s="139">
        <f t="shared" si="578"/>
        <v>0</v>
      </c>
      <c r="W1976" s="152">
        <f t="shared" si="581"/>
        <v>53479</v>
      </c>
      <c r="X1976" s="127" t="str">
        <f t="shared" si="579"/>
        <v/>
      </c>
      <c r="Y1976" s="207">
        <f t="shared" si="582"/>
        <v>53479</v>
      </c>
      <c r="Z1976" s="139">
        <f t="shared" si="583"/>
        <v>53479</v>
      </c>
      <c r="AA1976" s="139">
        <f t="shared" si="584"/>
        <v>0</v>
      </c>
      <c r="AC1976" s="47">
        <f t="shared" si="585"/>
        <v>26740</v>
      </c>
      <c r="AD1976" s="47">
        <f t="shared" si="586"/>
        <v>26740</v>
      </c>
      <c r="AE1976" s="47">
        <f t="shared" si="587"/>
        <v>0</v>
      </c>
      <c r="AG1976" s="47">
        <f t="shared" si="588"/>
        <v>26739</v>
      </c>
      <c r="AH1976" s="47">
        <f t="shared" si="589"/>
        <v>26739</v>
      </c>
      <c r="AI1976" s="208">
        <f t="shared" si="590"/>
        <v>0</v>
      </c>
    </row>
    <row r="1977" spans="1:35">
      <c r="A1977" t="s">
        <v>2150</v>
      </c>
      <c r="B1977" t="s">
        <v>3142</v>
      </c>
      <c r="C1977" t="s">
        <v>2188</v>
      </c>
      <c r="D1977" t="s">
        <v>5467</v>
      </c>
      <c r="F1977" t="s">
        <v>1299</v>
      </c>
      <c r="G1977" s="126">
        <f>SUMIFS('Support - Transition'!F:F,'Support - Transition'!B:B,'Step 2'!A1977,'Support - Transition'!C:C,'Step 2'!B1977,'Support - Transition'!D:D,'Step 2'!C1977,'Support - Transition'!E:E,"CIVIL")</f>
        <v>4.95E-4</v>
      </c>
      <c r="H1977" s="126">
        <f>SUMIFS('Support - Transition'!F:F,'Support - Transition'!B:B,'Step 2'!A1977,'Support - Transition'!C:C,'Step 2'!B1977,'Support - Transition'!D:D,'Step 2'!C1977,'Support - Transition'!E:E,"FIRE")</f>
        <v>2.2000000000000001E-4</v>
      </c>
      <c r="I1977" s="126">
        <f>IF(B1977="0",SUMIFS('Support - Transition'!F:F,'Support - Transition'!J:J,'Step 2'!D1977,'Support - Transition'!E:E,"STATE UNIT"),SUMIFS('Support - Transition'!F:F,'Support - Transition'!J:J,'Step 2'!D1977))</f>
        <v>7.1500000000000003E-4</v>
      </c>
      <c r="J1977" s="126">
        <f>SUMIFS('Support - Unit Adjustments'!E:E,'Support - Unit Adjustments'!F:F,'Step 2'!D1977)</f>
        <v>0</v>
      </c>
      <c r="K1977" s="126">
        <f t="shared" si="574"/>
        <v>7.1500000000000003E-4</v>
      </c>
      <c r="L1977" s="174">
        <f>VLOOKUP(A1977,'Step 1'!$A:$E,4,FALSE)</f>
        <v>235770</v>
      </c>
      <c r="M1977" s="47">
        <f t="shared" si="575"/>
        <v>169</v>
      </c>
      <c r="N1977" s="177">
        <f>SUMIFS('Support - Transition'!G:G,'Support - Transition'!J:J,'Step 2'!D1977,'Support - Transition'!E:E,"2009 WELFARE ALLOCATION FACTOR")</f>
        <v>0</v>
      </c>
      <c r="O1977" s="152">
        <f t="shared" si="580"/>
        <v>0</v>
      </c>
      <c r="P1977" s="126">
        <f>IF(E1977="Y",0,SUMIFS('Support - Transition'!G:G,'Support - Transition'!J:J,'Step 2'!D1977,'Support - Transition'!E:E,"2009 SCHOOL ALLOCATION FACTOR"))</f>
        <v>0</v>
      </c>
      <c r="Q1977" s="126">
        <f>IF(E1977="Y",VLOOKUP(D1977,'Support - Unit Adjustments'!F:G,2,FALSE),0)</f>
        <v>0</v>
      </c>
      <c r="R1977" s="155">
        <f t="shared" si="592"/>
        <v>0</v>
      </c>
      <c r="S1977" s="47">
        <f t="shared" si="591"/>
        <v>0</v>
      </c>
      <c r="T1977" s="151">
        <f t="shared" si="576"/>
        <v>169</v>
      </c>
      <c r="U1977" s="151">
        <f t="shared" si="577"/>
        <v>0</v>
      </c>
      <c r="V1977" s="139">
        <f t="shared" si="578"/>
        <v>0</v>
      </c>
      <c r="W1977" s="152">
        <f t="shared" si="581"/>
        <v>169</v>
      </c>
      <c r="X1977" s="127" t="str">
        <f t="shared" si="579"/>
        <v/>
      </c>
      <c r="Y1977" s="207">
        <f t="shared" si="582"/>
        <v>169</v>
      </c>
      <c r="Z1977" s="139">
        <f t="shared" si="583"/>
        <v>117</v>
      </c>
      <c r="AA1977" s="139">
        <f t="shared" si="584"/>
        <v>52</v>
      </c>
      <c r="AC1977" s="47">
        <f t="shared" si="585"/>
        <v>85</v>
      </c>
      <c r="AD1977" s="47">
        <f t="shared" si="586"/>
        <v>59</v>
      </c>
      <c r="AE1977" s="47">
        <f t="shared" si="587"/>
        <v>26</v>
      </c>
      <c r="AG1977" s="47">
        <f t="shared" si="588"/>
        <v>84</v>
      </c>
      <c r="AH1977" s="47">
        <f t="shared" si="589"/>
        <v>58</v>
      </c>
      <c r="AI1977" s="208">
        <f t="shared" si="590"/>
        <v>26</v>
      </c>
    </row>
    <row r="1978" spans="1:35">
      <c r="A1978" t="s">
        <v>2150</v>
      </c>
      <c r="B1978" t="s">
        <v>3142</v>
      </c>
      <c r="C1978" t="s">
        <v>2189</v>
      </c>
      <c r="D1978" t="s">
        <v>5468</v>
      </c>
      <c r="F1978" t="s">
        <v>249</v>
      </c>
      <c r="G1978" s="126">
        <f>SUMIFS('Support - Transition'!F:F,'Support - Transition'!B:B,'Step 2'!A1978,'Support - Transition'!C:C,'Step 2'!B1978,'Support - Transition'!D:D,'Step 2'!C1978,'Support - Transition'!E:E,"CIVIL")</f>
        <v>8.1899999999999996E-4</v>
      </c>
      <c r="H1978" s="126">
        <f>SUMIFS('Support - Transition'!F:F,'Support - Transition'!B:B,'Step 2'!A1978,'Support - Transition'!C:C,'Step 2'!B1978,'Support - Transition'!D:D,'Step 2'!C1978,'Support - Transition'!E:E,"FIRE")</f>
        <v>5.6400000000000005E-4</v>
      </c>
      <c r="I1978" s="126">
        <f>IF(B1978="0",SUMIFS('Support - Transition'!F:F,'Support - Transition'!J:J,'Step 2'!D1978,'Support - Transition'!E:E,"STATE UNIT"),SUMIFS('Support - Transition'!F:F,'Support - Transition'!J:J,'Step 2'!D1978))</f>
        <v>1.3830000000000001E-3</v>
      </c>
      <c r="J1978" s="126">
        <f>SUMIFS('Support - Unit Adjustments'!E:E,'Support - Unit Adjustments'!F:F,'Step 2'!D1978)</f>
        <v>0</v>
      </c>
      <c r="K1978" s="126">
        <f t="shared" si="574"/>
        <v>1.3830000000000001E-3</v>
      </c>
      <c r="L1978" s="174">
        <f>VLOOKUP(A1978,'Step 1'!$A:$E,4,FALSE)</f>
        <v>235770</v>
      </c>
      <c r="M1978" s="47">
        <f t="shared" si="575"/>
        <v>326</v>
      </c>
      <c r="N1978" s="177">
        <f>SUMIFS('Support - Transition'!G:G,'Support - Transition'!J:J,'Step 2'!D1978,'Support - Transition'!E:E,"2009 WELFARE ALLOCATION FACTOR")</f>
        <v>0</v>
      </c>
      <c r="O1978" s="152">
        <f t="shared" si="580"/>
        <v>0</v>
      </c>
      <c r="P1978" s="126">
        <f>IF(E1978="Y",0,SUMIFS('Support - Transition'!G:G,'Support - Transition'!J:J,'Step 2'!D1978,'Support - Transition'!E:E,"2009 SCHOOL ALLOCATION FACTOR"))</f>
        <v>0</v>
      </c>
      <c r="Q1978" s="126">
        <f>IF(E1978="Y",VLOOKUP(D1978,'Support - Unit Adjustments'!F:G,2,FALSE),0)</f>
        <v>0</v>
      </c>
      <c r="R1978" s="155">
        <f t="shared" si="592"/>
        <v>0</v>
      </c>
      <c r="S1978" s="47">
        <f t="shared" si="591"/>
        <v>0</v>
      </c>
      <c r="T1978" s="151">
        <f t="shared" si="576"/>
        <v>326</v>
      </c>
      <c r="U1978" s="151">
        <f t="shared" si="577"/>
        <v>0</v>
      </c>
      <c r="V1978" s="139">
        <f t="shared" si="578"/>
        <v>0</v>
      </c>
      <c r="W1978" s="152">
        <f t="shared" si="581"/>
        <v>326</v>
      </c>
      <c r="X1978" s="127" t="str">
        <f t="shared" si="579"/>
        <v/>
      </c>
      <c r="Y1978" s="207">
        <f t="shared" si="582"/>
        <v>326</v>
      </c>
      <c r="Z1978" s="139">
        <f t="shared" si="583"/>
        <v>193</v>
      </c>
      <c r="AA1978" s="139">
        <f t="shared" si="584"/>
        <v>133</v>
      </c>
      <c r="AC1978" s="47">
        <f t="shared" si="585"/>
        <v>163</v>
      </c>
      <c r="AD1978" s="47">
        <f t="shared" si="586"/>
        <v>97</v>
      </c>
      <c r="AE1978" s="47">
        <f t="shared" si="587"/>
        <v>67</v>
      </c>
      <c r="AG1978" s="47">
        <f t="shared" si="588"/>
        <v>163</v>
      </c>
      <c r="AH1978" s="47">
        <f t="shared" si="589"/>
        <v>96</v>
      </c>
      <c r="AI1978" s="208">
        <f t="shared" si="590"/>
        <v>66</v>
      </c>
    </row>
    <row r="1979" spans="1:35">
      <c r="A1979" t="s">
        <v>2150</v>
      </c>
      <c r="B1979" t="s">
        <v>3142</v>
      </c>
      <c r="C1979" t="s">
        <v>2190</v>
      </c>
      <c r="D1979" t="s">
        <v>5469</v>
      </c>
      <c r="F1979" t="s">
        <v>372</v>
      </c>
      <c r="G1979" s="126">
        <f>SUMIFS('Support - Transition'!F:F,'Support - Transition'!B:B,'Step 2'!A1979,'Support - Transition'!C:C,'Step 2'!B1979,'Support - Transition'!D:D,'Step 2'!C1979,'Support - Transition'!E:E,"CIVIL")</f>
        <v>5.7600000000000001E-4</v>
      </c>
      <c r="H1979" s="126">
        <f>SUMIFS('Support - Transition'!F:F,'Support - Transition'!B:B,'Step 2'!A1979,'Support - Transition'!C:C,'Step 2'!B1979,'Support - Transition'!D:D,'Step 2'!C1979,'Support - Transition'!E:E,"FIRE")</f>
        <v>4.2900000000000002E-4</v>
      </c>
      <c r="I1979" s="126">
        <f>IF(B1979="0",SUMIFS('Support - Transition'!F:F,'Support - Transition'!J:J,'Step 2'!D1979,'Support - Transition'!E:E,"STATE UNIT"),SUMIFS('Support - Transition'!F:F,'Support - Transition'!J:J,'Step 2'!D1979))</f>
        <v>1.005E-3</v>
      </c>
      <c r="J1979" s="126">
        <f>SUMIFS('Support - Unit Adjustments'!E:E,'Support - Unit Adjustments'!F:F,'Step 2'!D1979)</f>
        <v>0</v>
      </c>
      <c r="K1979" s="126">
        <f t="shared" si="574"/>
        <v>1.005E-3</v>
      </c>
      <c r="L1979" s="174">
        <f>VLOOKUP(A1979,'Step 1'!$A:$E,4,FALSE)</f>
        <v>235770</v>
      </c>
      <c r="M1979" s="47">
        <f t="shared" si="575"/>
        <v>237</v>
      </c>
      <c r="N1979" s="177">
        <f>SUMIFS('Support - Transition'!G:G,'Support - Transition'!J:J,'Step 2'!D1979,'Support - Transition'!E:E,"2009 WELFARE ALLOCATION FACTOR")</f>
        <v>0</v>
      </c>
      <c r="O1979" s="152">
        <f t="shared" si="580"/>
        <v>0</v>
      </c>
      <c r="P1979" s="126">
        <f>IF(E1979="Y",0,SUMIFS('Support - Transition'!G:G,'Support - Transition'!J:J,'Step 2'!D1979,'Support - Transition'!E:E,"2009 SCHOOL ALLOCATION FACTOR"))</f>
        <v>0</v>
      </c>
      <c r="Q1979" s="126">
        <f>IF(E1979="Y",VLOOKUP(D1979,'Support - Unit Adjustments'!F:G,2,FALSE),0)</f>
        <v>0</v>
      </c>
      <c r="R1979" s="155">
        <f t="shared" si="592"/>
        <v>0</v>
      </c>
      <c r="S1979" s="47">
        <f t="shared" si="591"/>
        <v>0</v>
      </c>
      <c r="T1979" s="151">
        <f t="shared" si="576"/>
        <v>237</v>
      </c>
      <c r="U1979" s="151">
        <f t="shared" si="577"/>
        <v>0</v>
      </c>
      <c r="V1979" s="139">
        <f t="shared" si="578"/>
        <v>0</v>
      </c>
      <c r="W1979" s="152">
        <f t="shared" si="581"/>
        <v>237</v>
      </c>
      <c r="X1979" s="127" t="str">
        <f t="shared" si="579"/>
        <v/>
      </c>
      <c r="Y1979" s="207">
        <f t="shared" si="582"/>
        <v>237</v>
      </c>
      <c r="Z1979" s="139">
        <f t="shared" si="583"/>
        <v>136</v>
      </c>
      <c r="AA1979" s="139">
        <f t="shared" si="584"/>
        <v>101</v>
      </c>
      <c r="AC1979" s="47">
        <f t="shared" si="585"/>
        <v>119</v>
      </c>
      <c r="AD1979" s="47">
        <f t="shared" si="586"/>
        <v>68</v>
      </c>
      <c r="AE1979" s="47">
        <f t="shared" si="587"/>
        <v>51</v>
      </c>
      <c r="AG1979" s="47">
        <f t="shared" si="588"/>
        <v>118</v>
      </c>
      <c r="AH1979" s="47">
        <f t="shared" si="589"/>
        <v>68</v>
      </c>
      <c r="AI1979" s="208">
        <f t="shared" si="590"/>
        <v>50</v>
      </c>
    </row>
    <row r="1980" spans="1:35">
      <c r="A1980" t="s">
        <v>2150</v>
      </c>
      <c r="B1980" t="s">
        <v>3142</v>
      </c>
      <c r="C1980" t="s">
        <v>2191</v>
      </c>
      <c r="D1980" t="s">
        <v>5470</v>
      </c>
      <c r="F1980" t="s">
        <v>86</v>
      </c>
      <c r="G1980" s="126">
        <f>SUMIFS('Support - Transition'!F:F,'Support - Transition'!B:B,'Step 2'!A1980,'Support - Transition'!C:C,'Step 2'!B1980,'Support - Transition'!D:D,'Step 2'!C1980,'Support - Transition'!E:E,"CIVIL")</f>
        <v>3.3599999999999998E-4</v>
      </c>
      <c r="H1980" s="126">
        <f>SUMIFS('Support - Transition'!F:F,'Support - Transition'!B:B,'Step 2'!A1980,'Support - Transition'!C:C,'Step 2'!B1980,'Support - Transition'!D:D,'Step 2'!C1980,'Support - Transition'!E:E,"FIRE")</f>
        <v>2.0900000000000001E-4</v>
      </c>
      <c r="I1980" s="126">
        <f>IF(B1980="0",SUMIFS('Support - Transition'!F:F,'Support - Transition'!J:J,'Step 2'!D1980,'Support - Transition'!E:E,"STATE UNIT"),SUMIFS('Support - Transition'!F:F,'Support - Transition'!J:J,'Step 2'!D1980))</f>
        <v>5.4500000000000002E-4</v>
      </c>
      <c r="J1980" s="126">
        <f>SUMIFS('Support - Unit Adjustments'!E:E,'Support - Unit Adjustments'!F:F,'Step 2'!D1980)</f>
        <v>0</v>
      </c>
      <c r="K1980" s="126">
        <f t="shared" si="574"/>
        <v>5.4500000000000002E-4</v>
      </c>
      <c r="L1980" s="174">
        <f>VLOOKUP(A1980,'Step 1'!$A:$E,4,FALSE)</f>
        <v>235770</v>
      </c>
      <c r="M1980" s="47">
        <f t="shared" si="575"/>
        <v>128</v>
      </c>
      <c r="N1980" s="177">
        <f>SUMIFS('Support - Transition'!G:G,'Support - Transition'!J:J,'Step 2'!D1980,'Support - Transition'!E:E,"2009 WELFARE ALLOCATION FACTOR")</f>
        <v>0</v>
      </c>
      <c r="O1980" s="152">
        <f t="shared" si="580"/>
        <v>0</v>
      </c>
      <c r="P1980" s="126">
        <f>IF(E1980="Y",0,SUMIFS('Support - Transition'!G:G,'Support - Transition'!J:J,'Step 2'!D1980,'Support - Transition'!E:E,"2009 SCHOOL ALLOCATION FACTOR"))</f>
        <v>0</v>
      </c>
      <c r="Q1980" s="126">
        <f>IF(E1980="Y",VLOOKUP(D1980,'Support - Unit Adjustments'!F:G,2,FALSE),0)</f>
        <v>0</v>
      </c>
      <c r="R1980" s="155">
        <f t="shared" si="592"/>
        <v>0</v>
      </c>
      <c r="S1980" s="47">
        <f t="shared" si="591"/>
        <v>0</v>
      </c>
      <c r="T1980" s="151">
        <f t="shared" si="576"/>
        <v>128</v>
      </c>
      <c r="U1980" s="151">
        <f t="shared" si="577"/>
        <v>0</v>
      </c>
      <c r="V1980" s="139">
        <f t="shared" si="578"/>
        <v>0</v>
      </c>
      <c r="W1980" s="152">
        <f t="shared" si="581"/>
        <v>128</v>
      </c>
      <c r="X1980" s="127" t="str">
        <f t="shared" si="579"/>
        <v/>
      </c>
      <c r="Y1980" s="207">
        <f t="shared" si="582"/>
        <v>128</v>
      </c>
      <c r="Z1980" s="139">
        <f t="shared" si="583"/>
        <v>79</v>
      </c>
      <c r="AA1980" s="139">
        <f t="shared" si="584"/>
        <v>49</v>
      </c>
      <c r="AC1980" s="47">
        <f t="shared" si="585"/>
        <v>64</v>
      </c>
      <c r="AD1980" s="47">
        <f t="shared" si="586"/>
        <v>40</v>
      </c>
      <c r="AE1980" s="47">
        <f t="shared" si="587"/>
        <v>25</v>
      </c>
      <c r="AG1980" s="47">
        <f t="shared" si="588"/>
        <v>64</v>
      </c>
      <c r="AH1980" s="47">
        <f t="shared" si="589"/>
        <v>39</v>
      </c>
      <c r="AI1980" s="208">
        <f t="shared" si="590"/>
        <v>24</v>
      </c>
    </row>
    <row r="1981" spans="1:35">
      <c r="A1981" t="s">
        <v>2150</v>
      </c>
      <c r="B1981" t="s">
        <v>3142</v>
      </c>
      <c r="C1981" t="s">
        <v>2192</v>
      </c>
      <c r="D1981" t="s">
        <v>5471</v>
      </c>
      <c r="F1981" t="s">
        <v>1107</v>
      </c>
      <c r="G1981" s="126">
        <f>SUMIFS('Support - Transition'!F:F,'Support - Transition'!B:B,'Step 2'!A1981,'Support - Transition'!C:C,'Step 2'!B1981,'Support - Transition'!D:D,'Step 2'!C1981,'Support - Transition'!E:E,"CIVIL")</f>
        <v>2.5099999999999998E-4</v>
      </c>
      <c r="H1981" s="126">
        <f>SUMIFS('Support - Transition'!F:F,'Support - Transition'!B:B,'Step 2'!A1981,'Support - Transition'!C:C,'Step 2'!B1981,'Support - Transition'!D:D,'Step 2'!C1981,'Support - Transition'!E:E,"FIRE")</f>
        <v>1.7799999999999999E-4</v>
      </c>
      <c r="I1981" s="126">
        <f>IF(B1981="0",SUMIFS('Support - Transition'!F:F,'Support - Transition'!J:J,'Step 2'!D1981,'Support - Transition'!E:E,"STATE UNIT"),SUMIFS('Support - Transition'!F:F,'Support - Transition'!J:J,'Step 2'!D1981))</f>
        <v>4.2899999999999997E-4</v>
      </c>
      <c r="J1981" s="126">
        <f>SUMIFS('Support - Unit Adjustments'!E:E,'Support - Unit Adjustments'!F:F,'Step 2'!D1981)</f>
        <v>0</v>
      </c>
      <c r="K1981" s="126">
        <f t="shared" si="574"/>
        <v>4.2899999999999997E-4</v>
      </c>
      <c r="L1981" s="174">
        <f>VLOOKUP(A1981,'Step 1'!$A:$E,4,FALSE)</f>
        <v>235770</v>
      </c>
      <c r="M1981" s="47">
        <f t="shared" si="575"/>
        <v>101</v>
      </c>
      <c r="N1981" s="177">
        <f>SUMIFS('Support - Transition'!G:G,'Support - Transition'!J:J,'Step 2'!D1981,'Support - Transition'!E:E,"2009 WELFARE ALLOCATION FACTOR")</f>
        <v>0</v>
      </c>
      <c r="O1981" s="152">
        <f t="shared" si="580"/>
        <v>0</v>
      </c>
      <c r="P1981" s="126">
        <f>IF(E1981="Y",0,SUMIFS('Support - Transition'!G:G,'Support - Transition'!J:J,'Step 2'!D1981,'Support - Transition'!E:E,"2009 SCHOOL ALLOCATION FACTOR"))</f>
        <v>0</v>
      </c>
      <c r="Q1981" s="126">
        <f>IF(E1981="Y",VLOOKUP(D1981,'Support - Unit Adjustments'!F:G,2,FALSE),0)</f>
        <v>0</v>
      </c>
      <c r="R1981" s="155">
        <f t="shared" si="592"/>
        <v>0</v>
      </c>
      <c r="S1981" s="47">
        <f t="shared" si="591"/>
        <v>0</v>
      </c>
      <c r="T1981" s="151">
        <f t="shared" si="576"/>
        <v>101</v>
      </c>
      <c r="U1981" s="151">
        <f t="shared" si="577"/>
        <v>0</v>
      </c>
      <c r="V1981" s="139">
        <f t="shared" si="578"/>
        <v>0</v>
      </c>
      <c r="W1981" s="152">
        <f t="shared" si="581"/>
        <v>101</v>
      </c>
      <c r="X1981" s="127" t="str">
        <f t="shared" si="579"/>
        <v/>
      </c>
      <c r="Y1981" s="207">
        <f t="shared" si="582"/>
        <v>101</v>
      </c>
      <c r="Z1981" s="139">
        <f t="shared" si="583"/>
        <v>59</v>
      </c>
      <c r="AA1981" s="139">
        <f t="shared" si="584"/>
        <v>42</v>
      </c>
      <c r="AC1981" s="47">
        <f t="shared" si="585"/>
        <v>51</v>
      </c>
      <c r="AD1981" s="47">
        <f t="shared" si="586"/>
        <v>30</v>
      </c>
      <c r="AE1981" s="47">
        <f t="shared" si="587"/>
        <v>21</v>
      </c>
      <c r="AG1981" s="47">
        <f t="shared" si="588"/>
        <v>50</v>
      </c>
      <c r="AH1981" s="47">
        <f t="shared" si="589"/>
        <v>29</v>
      </c>
      <c r="AI1981" s="208">
        <f t="shared" si="590"/>
        <v>21</v>
      </c>
    </row>
    <row r="1982" spans="1:35">
      <c r="A1982" t="s">
        <v>2150</v>
      </c>
      <c r="B1982" t="s">
        <v>3142</v>
      </c>
      <c r="C1982" t="s">
        <v>2193</v>
      </c>
      <c r="D1982" t="s">
        <v>5472</v>
      </c>
      <c r="F1982" t="s">
        <v>14</v>
      </c>
      <c r="G1982" s="126">
        <f>SUMIFS('Support - Transition'!F:F,'Support - Transition'!B:B,'Step 2'!A1982,'Support - Transition'!C:C,'Step 2'!B1982,'Support - Transition'!D:D,'Step 2'!C1982,'Support - Transition'!E:E,"CIVIL")</f>
        <v>6.9999999999999999E-4</v>
      </c>
      <c r="H1982" s="126">
        <f>SUMIFS('Support - Transition'!F:F,'Support - Transition'!B:B,'Step 2'!A1982,'Support - Transition'!C:C,'Step 2'!B1982,'Support - Transition'!D:D,'Step 2'!C1982,'Support - Transition'!E:E,"FIRE")</f>
        <v>4.0999999999999999E-4</v>
      </c>
      <c r="I1982" s="126">
        <f>IF(B1982="0",SUMIFS('Support - Transition'!F:F,'Support - Transition'!J:J,'Step 2'!D1982,'Support - Transition'!E:E,"STATE UNIT"),SUMIFS('Support - Transition'!F:F,'Support - Transition'!J:J,'Step 2'!D1982))</f>
        <v>1.1099999999999999E-3</v>
      </c>
      <c r="J1982" s="126">
        <f>SUMIFS('Support - Unit Adjustments'!E:E,'Support - Unit Adjustments'!F:F,'Step 2'!D1982)</f>
        <v>0</v>
      </c>
      <c r="K1982" s="126">
        <f t="shared" si="574"/>
        <v>1.1099999999999999E-3</v>
      </c>
      <c r="L1982" s="174">
        <f>VLOOKUP(A1982,'Step 1'!$A:$E,4,FALSE)</f>
        <v>235770</v>
      </c>
      <c r="M1982" s="47">
        <f t="shared" si="575"/>
        <v>262</v>
      </c>
      <c r="N1982" s="177">
        <f>SUMIFS('Support - Transition'!G:G,'Support - Transition'!J:J,'Step 2'!D1982,'Support - Transition'!E:E,"2009 WELFARE ALLOCATION FACTOR")</f>
        <v>0</v>
      </c>
      <c r="O1982" s="152">
        <f t="shared" si="580"/>
        <v>0</v>
      </c>
      <c r="P1982" s="126">
        <f>IF(E1982="Y",0,SUMIFS('Support - Transition'!G:G,'Support - Transition'!J:J,'Step 2'!D1982,'Support - Transition'!E:E,"2009 SCHOOL ALLOCATION FACTOR"))</f>
        <v>0</v>
      </c>
      <c r="Q1982" s="126">
        <f>IF(E1982="Y",VLOOKUP(D1982,'Support - Unit Adjustments'!F:G,2,FALSE),0)</f>
        <v>0</v>
      </c>
      <c r="R1982" s="155">
        <f t="shared" si="592"/>
        <v>0</v>
      </c>
      <c r="S1982" s="47">
        <f t="shared" si="591"/>
        <v>0</v>
      </c>
      <c r="T1982" s="151">
        <f t="shared" si="576"/>
        <v>262</v>
      </c>
      <c r="U1982" s="151">
        <f t="shared" si="577"/>
        <v>0</v>
      </c>
      <c r="V1982" s="139">
        <f t="shared" si="578"/>
        <v>0</v>
      </c>
      <c r="W1982" s="152">
        <f t="shared" si="581"/>
        <v>262</v>
      </c>
      <c r="X1982" s="127" t="str">
        <f t="shared" si="579"/>
        <v/>
      </c>
      <c r="Y1982" s="207">
        <f t="shared" si="582"/>
        <v>262</v>
      </c>
      <c r="Z1982" s="139">
        <f t="shared" si="583"/>
        <v>165</v>
      </c>
      <c r="AA1982" s="139">
        <f t="shared" si="584"/>
        <v>97</v>
      </c>
      <c r="AC1982" s="47">
        <f t="shared" si="585"/>
        <v>131</v>
      </c>
      <c r="AD1982" s="47">
        <f t="shared" si="586"/>
        <v>83</v>
      </c>
      <c r="AE1982" s="47">
        <f t="shared" si="587"/>
        <v>49</v>
      </c>
      <c r="AG1982" s="47">
        <f t="shared" si="588"/>
        <v>131</v>
      </c>
      <c r="AH1982" s="47">
        <f t="shared" si="589"/>
        <v>82</v>
      </c>
      <c r="AI1982" s="208">
        <f t="shared" si="590"/>
        <v>48</v>
      </c>
    </row>
    <row r="1983" spans="1:35">
      <c r="A1983" t="s">
        <v>2150</v>
      </c>
      <c r="B1983" t="s">
        <v>3142</v>
      </c>
      <c r="C1983" t="s">
        <v>2194</v>
      </c>
      <c r="D1983" t="s">
        <v>5473</v>
      </c>
      <c r="F1983" t="s">
        <v>16</v>
      </c>
      <c r="G1983" s="126">
        <f>SUMIFS('Support - Transition'!F:F,'Support - Transition'!B:B,'Step 2'!A1983,'Support - Transition'!C:C,'Step 2'!B1983,'Support - Transition'!D:D,'Step 2'!C1983,'Support - Transition'!E:E,"CIVIL")</f>
        <v>1.523E-3</v>
      </c>
      <c r="H1983" s="126">
        <f>SUMIFS('Support - Transition'!F:F,'Support - Transition'!B:B,'Step 2'!A1983,'Support - Transition'!C:C,'Step 2'!B1983,'Support - Transition'!D:D,'Step 2'!C1983,'Support - Transition'!E:E,"FIRE")</f>
        <v>1.627E-3</v>
      </c>
      <c r="I1983" s="126">
        <f>IF(B1983="0",SUMIFS('Support - Transition'!F:F,'Support - Transition'!J:J,'Step 2'!D1983,'Support - Transition'!E:E,"STATE UNIT"),SUMIFS('Support - Transition'!F:F,'Support - Transition'!J:J,'Step 2'!D1983))</f>
        <v>3.15E-3</v>
      </c>
      <c r="J1983" s="126">
        <f>SUMIFS('Support - Unit Adjustments'!E:E,'Support - Unit Adjustments'!F:F,'Step 2'!D1983)</f>
        <v>0</v>
      </c>
      <c r="K1983" s="126">
        <f t="shared" si="574"/>
        <v>3.15E-3</v>
      </c>
      <c r="L1983" s="174">
        <f>VLOOKUP(A1983,'Step 1'!$A:$E,4,FALSE)</f>
        <v>235770</v>
      </c>
      <c r="M1983" s="47">
        <f t="shared" si="575"/>
        <v>743</v>
      </c>
      <c r="N1983" s="177">
        <f>SUMIFS('Support - Transition'!G:G,'Support - Transition'!J:J,'Step 2'!D1983,'Support - Transition'!E:E,"2009 WELFARE ALLOCATION FACTOR")</f>
        <v>0</v>
      </c>
      <c r="O1983" s="152">
        <f t="shared" si="580"/>
        <v>0</v>
      </c>
      <c r="P1983" s="126">
        <f>IF(E1983="Y",0,SUMIFS('Support - Transition'!G:G,'Support - Transition'!J:J,'Step 2'!D1983,'Support - Transition'!E:E,"2009 SCHOOL ALLOCATION FACTOR"))</f>
        <v>0</v>
      </c>
      <c r="Q1983" s="126">
        <f>IF(E1983="Y",VLOOKUP(D1983,'Support - Unit Adjustments'!F:G,2,FALSE),0)</f>
        <v>0</v>
      </c>
      <c r="R1983" s="155">
        <f t="shared" si="592"/>
        <v>0</v>
      </c>
      <c r="S1983" s="47">
        <f t="shared" si="591"/>
        <v>0</v>
      </c>
      <c r="T1983" s="151">
        <f t="shared" si="576"/>
        <v>743</v>
      </c>
      <c r="U1983" s="151">
        <f t="shared" si="577"/>
        <v>0</v>
      </c>
      <c r="V1983" s="139">
        <f t="shared" si="578"/>
        <v>0</v>
      </c>
      <c r="W1983" s="152">
        <f t="shared" si="581"/>
        <v>743</v>
      </c>
      <c r="X1983" s="127" t="str">
        <f t="shared" si="579"/>
        <v/>
      </c>
      <c r="Y1983" s="207">
        <f t="shared" si="582"/>
        <v>743</v>
      </c>
      <c r="Z1983" s="139">
        <f t="shared" si="583"/>
        <v>359</v>
      </c>
      <c r="AA1983" s="139">
        <f t="shared" si="584"/>
        <v>384</v>
      </c>
      <c r="AC1983" s="47">
        <f t="shared" si="585"/>
        <v>372</v>
      </c>
      <c r="AD1983" s="47">
        <f t="shared" si="586"/>
        <v>180</v>
      </c>
      <c r="AE1983" s="47">
        <f t="shared" si="587"/>
        <v>192</v>
      </c>
      <c r="AG1983" s="47">
        <f t="shared" si="588"/>
        <v>371</v>
      </c>
      <c r="AH1983" s="47">
        <f t="shared" si="589"/>
        <v>179</v>
      </c>
      <c r="AI1983" s="208">
        <f t="shared" si="590"/>
        <v>192</v>
      </c>
    </row>
    <row r="1984" spans="1:35">
      <c r="A1984" t="s">
        <v>2150</v>
      </c>
      <c r="B1984" t="s">
        <v>3142</v>
      </c>
      <c r="C1984" t="s">
        <v>2195</v>
      </c>
      <c r="D1984" t="s">
        <v>5474</v>
      </c>
      <c r="F1984" t="s">
        <v>1462</v>
      </c>
      <c r="G1984" s="126">
        <f>SUMIFS('Support - Transition'!F:F,'Support - Transition'!B:B,'Step 2'!A1984,'Support - Transition'!C:C,'Step 2'!B1984,'Support - Transition'!D:D,'Step 2'!C1984,'Support - Transition'!E:E,"CIVIL")</f>
        <v>2.1599999999999999E-4</v>
      </c>
      <c r="H1984" s="126">
        <f>SUMIFS('Support - Transition'!F:F,'Support - Transition'!B:B,'Step 2'!A1984,'Support - Transition'!C:C,'Step 2'!B1984,'Support - Transition'!D:D,'Step 2'!C1984,'Support - Transition'!E:E,"FIRE")</f>
        <v>1.0399999999999999E-4</v>
      </c>
      <c r="I1984" s="126">
        <f>IF(B1984="0",SUMIFS('Support - Transition'!F:F,'Support - Transition'!J:J,'Step 2'!D1984,'Support - Transition'!E:E,"STATE UNIT"),SUMIFS('Support - Transition'!F:F,'Support - Transition'!J:J,'Step 2'!D1984))</f>
        <v>3.1999999999999997E-4</v>
      </c>
      <c r="J1984" s="126">
        <f>SUMIFS('Support - Unit Adjustments'!E:E,'Support - Unit Adjustments'!F:F,'Step 2'!D1984)</f>
        <v>0</v>
      </c>
      <c r="K1984" s="126">
        <f t="shared" si="574"/>
        <v>3.1999999999999997E-4</v>
      </c>
      <c r="L1984" s="174">
        <f>VLOOKUP(A1984,'Step 1'!$A:$E,4,FALSE)</f>
        <v>235770</v>
      </c>
      <c r="M1984" s="47">
        <f t="shared" si="575"/>
        <v>75</v>
      </c>
      <c r="N1984" s="177">
        <f>SUMIFS('Support - Transition'!G:G,'Support - Transition'!J:J,'Step 2'!D1984,'Support - Transition'!E:E,"2009 WELFARE ALLOCATION FACTOR")</f>
        <v>0</v>
      </c>
      <c r="O1984" s="152">
        <f t="shared" si="580"/>
        <v>0</v>
      </c>
      <c r="P1984" s="126">
        <f>IF(E1984="Y",0,SUMIFS('Support - Transition'!G:G,'Support - Transition'!J:J,'Step 2'!D1984,'Support - Transition'!E:E,"2009 SCHOOL ALLOCATION FACTOR"))</f>
        <v>0</v>
      </c>
      <c r="Q1984" s="126">
        <f>IF(E1984="Y",VLOOKUP(D1984,'Support - Unit Adjustments'!F:G,2,FALSE),0)</f>
        <v>0</v>
      </c>
      <c r="R1984" s="155">
        <f t="shared" si="592"/>
        <v>0</v>
      </c>
      <c r="S1984" s="47">
        <f t="shared" si="591"/>
        <v>0</v>
      </c>
      <c r="T1984" s="151">
        <f t="shared" si="576"/>
        <v>75</v>
      </c>
      <c r="U1984" s="151">
        <f t="shared" si="577"/>
        <v>0</v>
      </c>
      <c r="V1984" s="139">
        <f t="shared" si="578"/>
        <v>0</v>
      </c>
      <c r="W1984" s="152">
        <f t="shared" si="581"/>
        <v>75</v>
      </c>
      <c r="X1984" s="127" t="str">
        <f t="shared" si="579"/>
        <v/>
      </c>
      <c r="Y1984" s="207">
        <f t="shared" si="582"/>
        <v>75</v>
      </c>
      <c r="Z1984" s="139">
        <f t="shared" si="583"/>
        <v>51</v>
      </c>
      <c r="AA1984" s="139">
        <f t="shared" si="584"/>
        <v>24</v>
      </c>
      <c r="AC1984" s="47">
        <f t="shared" si="585"/>
        <v>38</v>
      </c>
      <c r="AD1984" s="47">
        <f t="shared" si="586"/>
        <v>26</v>
      </c>
      <c r="AE1984" s="47">
        <f t="shared" si="587"/>
        <v>12</v>
      </c>
      <c r="AG1984" s="47">
        <f t="shared" si="588"/>
        <v>37</v>
      </c>
      <c r="AH1984" s="47">
        <f t="shared" si="589"/>
        <v>25</v>
      </c>
      <c r="AI1984" s="208">
        <f t="shared" si="590"/>
        <v>12</v>
      </c>
    </row>
    <row r="1985" spans="1:35">
      <c r="A1985" t="s">
        <v>2150</v>
      </c>
      <c r="B1985" t="s">
        <v>3142</v>
      </c>
      <c r="C1985" t="s">
        <v>2196</v>
      </c>
      <c r="D1985" t="s">
        <v>5475</v>
      </c>
      <c r="F1985" t="s">
        <v>404</v>
      </c>
      <c r="G1985" s="126">
        <f>SUMIFS('Support - Transition'!F:F,'Support - Transition'!B:B,'Step 2'!A1985,'Support - Transition'!C:C,'Step 2'!B1985,'Support - Transition'!D:D,'Step 2'!C1985,'Support - Transition'!E:E,"CIVIL")</f>
        <v>5.2379999999999996E-3</v>
      </c>
      <c r="H1985" s="126">
        <f>SUMIFS('Support - Transition'!F:F,'Support - Transition'!B:B,'Step 2'!A1985,'Support - Transition'!C:C,'Step 2'!B1985,'Support - Transition'!D:D,'Step 2'!C1985,'Support - Transition'!E:E,"FIRE")</f>
        <v>2.1570000000000001E-3</v>
      </c>
      <c r="I1985" s="126">
        <f>IF(B1985="0",SUMIFS('Support - Transition'!F:F,'Support - Transition'!J:J,'Step 2'!D1985,'Support - Transition'!E:E,"STATE UNIT"),SUMIFS('Support - Transition'!F:F,'Support - Transition'!J:J,'Step 2'!D1985))</f>
        <v>7.3949999999999997E-3</v>
      </c>
      <c r="J1985" s="126">
        <f>SUMIFS('Support - Unit Adjustments'!E:E,'Support - Unit Adjustments'!F:F,'Step 2'!D1985)</f>
        <v>0</v>
      </c>
      <c r="K1985" s="126">
        <f t="shared" si="574"/>
        <v>7.3949999999999997E-3</v>
      </c>
      <c r="L1985" s="174">
        <f>VLOOKUP(A1985,'Step 1'!$A:$E,4,FALSE)</f>
        <v>235770</v>
      </c>
      <c r="M1985" s="47">
        <f t="shared" si="575"/>
        <v>1744</v>
      </c>
      <c r="N1985" s="177">
        <f>SUMIFS('Support - Transition'!G:G,'Support - Transition'!J:J,'Step 2'!D1985,'Support - Transition'!E:E,"2009 WELFARE ALLOCATION FACTOR")</f>
        <v>0</v>
      </c>
      <c r="O1985" s="152">
        <f t="shared" si="580"/>
        <v>0</v>
      </c>
      <c r="P1985" s="126">
        <f>IF(E1985="Y",0,SUMIFS('Support - Transition'!G:G,'Support - Transition'!J:J,'Step 2'!D1985,'Support - Transition'!E:E,"2009 SCHOOL ALLOCATION FACTOR"))</f>
        <v>0</v>
      </c>
      <c r="Q1985" s="126">
        <f>IF(E1985="Y",VLOOKUP(D1985,'Support - Unit Adjustments'!F:G,2,FALSE),0)</f>
        <v>0</v>
      </c>
      <c r="R1985" s="155">
        <f t="shared" si="592"/>
        <v>0</v>
      </c>
      <c r="S1985" s="47">
        <f t="shared" si="591"/>
        <v>0</v>
      </c>
      <c r="T1985" s="151">
        <f t="shared" si="576"/>
        <v>1744</v>
      </c>
      <c r="U1985" s="151">
        <f t="shared" si="577"/>
        <v>0</v>
      </c>
      <c r="V1985" s="139">
        <f t="shared" si="578"/>
        <v>0</v>
      </c>
      <c r="W1985" s="152">
        <f t="shared" si="581"/>
        <v>1744</v>
      </c>
      <c r="X1985" s="127" t="str">
        <f t="shared" si="579"/>
        <v/>
      </c>
      <c r="Y1985" s="207">
        <f t="shared" si="582"/>
        <v>1744</v>
      </c>
      <c r="Z1985" s="139">
        <f t="shared" si="583"/>
        <v>1235</v>
      </c>
      <c r="AA1985" s="139">
        <f t="shared" si="584"/>
        <v>509</v>
      </c>
      <c r="AC1985" s="47">
        <f t="shared" si="585"/>
        <v>872</v>
      </c>
      <c r="AD1985" s="47">
        <f t="shared" si="586"/>
        <v>618</v>
      </c>
      <c r="AE1985" s="47">
        <f t="shared" si="587"/>
        <v>255</v>
      </c>
      <c r="AG1985" s="47">
        <f t="shared" si="588"/>
        <v>872</v>
      </c>
      <c r="AH1985" s="47">
        <f t="shared" si="589"/>
        <v>617</v>
      </c>
      <c r="AI1985" s="208">
        <f t="shared" si="590"/>
        <v>254</v>
      </c>
    </row>
    <row r="1986" spans="1:35">
      <c r="A1986" t="s">
        <v>2150</v>
      </c>
      <c r="B1986" t="s">
        <v>3142</v>
      </c>
      <c r="C1986" t="s">
        <v>2197</v>
      </c>
      <c r="D1986" t="s">
        <v>5476</v>
      </c>
      <c r="F1986" t="s">
        <v>183</v>
      </c>
      <c r="G1986" s="126">
        <f>SUMIFS('Support - Transition'!F:F,'Support - Transition'!B:B,'Step 2'!A1986,'Support - Transition'!C:C,'Step 2'!B1986,'Support - Transition'!D:D,'Step 2'!C1986,'Support - Transition'!E:E,"CIVIL")</f>
        <v>1.225E-3</v>
      </c>
      <c r="H1986" s="126">
        <f>SUMIFS('Support - Transition'!F:F,'Support - Transition'!B:B,'Step 2'!A1986,'Support - Transition'!C:C,'Step 2'!B1986,'Support - Transition'!D:D,'Step 2'!C1986,'Support - Transition'!E:E,"FIRE")</f>
        <v>1.0820000000000001E-3</v>
      </c>
      <c r="I1986" s="126">
        <f>IF(B1986="0",SUMIFS('Support - Transition'!F:F,'Support - Transition'!J:J,'Step 2'!D1986,'Support - Transition'!E:E,"STATE UNIT"),SUMIFS('Support - Transition'!F:F,'Support - Transition'!J:J,'Step 2'!D1986))</f>
        <v>2.307E-3</v>
      </c>
      <c r="J1986" s="126">
        <f>SUMIFS('Support - Unit Adjustments'!E:E,'Support - Unit Adjustments'!F:F,'Step 2'!D1986)</f>
        <v>0</v>
      </c>
      <c r="K1986" s="126">
        <f t="shared" ref="K1986:K2049" si="593">+I1986+J1986</f>
        <v>2.307E-3</v>
      </c>
      <c r="L1986" s="174">
        <f>VLOOKUP(A1986,'Step 1'!$A:$E,4,FALSE)</f>
        <v>235770</v>
      </c>
      <c r="M1986" s="47">
        <f t="shared" ref="M1986:M2049" si="594">ROUND(+K1986*L1986,0)</f>
        <v>544</v>
      </c>
      <c r="N1986" s="177">
        <f>SUMIFS('Support - Transition'!G:G,'Support - Transition'!J:J,'Step 2'!D1986,'Support - Transition'!E:E,"2009 WELFARE ALLOCATION FACTOR")</f>
        <v>0</v>
      </c>
      <c r="O1986" s="152">
        <f t="shared" si="580"/>
        <v>0</v>
      </c>
      <c r="P1986" s="126">
        <f>IF(E1986="Y",0,SUMIFS('Support - Transition'!G:G,'Support - Transition'!J:J,'Step 2'!D1986,'Support - Transition'!E:E,"2009 SCHOOL ALLOCATION FACTOR"))</f>
        <v>0</v>
      </c>
      <c r="Q1986" s="126">
        <f>IF(E1986="Y",VLOOKUP(D1986,'Support - Unit Adjustments'!F:G,2,FALSE),0)</f>
        <v>0</v>
      </c>
      <c r="R1986" s="155">
        <f t="shared" si="592"/>
        <v>0</v>
      </c>
      <c r="S1986" s="47">
        <f t="shared" si="591"/>
        <v>0</v>
      </c>
      <c r="T1986" s="151">
        <f t="shared" ref="T1986:T2049" si="595">ROUND(+M1986-O1986-S1986,2)</f>
        <v>544</v>
      </c>
      <c r="U1986" s="151">
        <f t="shared" ref="U1986:U2049" si="596">IF(B1986="0",SUMIFS(O:O,A:A,A1986)+SUMIFS(S:S,A:A,A1986)+SUMIFS(T:T,A:A,A1986),0)</f>
        <v>0</v>
      </c>
      <c r="V1986" s="139">
        <f t="shared" ref="V1986:V2049" si="597">IF(B1986="0",U1986-L1986,0)</f>
        <v>0</v>
      </c>
      <c r="W1986" s="152">
        <f t="shared" si="581"/>
        <v>544</v>
      </c>
      <c r="X1986" s="127" t="str">
        <f t="shared" ref="X1986:X2049" si="598">IF(B1986="0",SUMIFS(O:O,A:A,A1986)+SUMIFS(S:S,A:A,A1986)+SUMIFS(W:W,A:A,A1986)-L1986,"")</f>
        <v/>
      </c>
      <c r="Y1986" s="207">
        <f t="shared" si="582"/>
        <v>544</v>
      </c>
      <c r="Z1986" s="139">
        <f t="shared" si="583"/>
        <v>289</v>
      </c>
      <c r="AA1986" s="139">
        <f t="shared" si="584"/>
        <v>255</v>
      </c>
      <c r="AC1986" s="47">
        <f t="shared" si="585"/>
        <v>272</v>
      </c>
      <c r="AD1986" s="47">
        <f t="shared" si="586"/>
        <v>145</v>
      </c>
      <c r="AE1986" s="47">
        <f t="shared" si="587"/>
        <v>128</v>
      </c>
      <c r="AG1986" s="47">
        <f t="shared" si="588"/>
        <v>272</v>
      </c>
      <c r="AH1986" s="47">
        <f t="shared" si="589"/>
        <v>144</v>
      </c>
      <c r="AI1986" s="208">
        <f t="shared" si="590"/>
        <v>127</v>
      </c>
    </row>
    <row r="1987" spans="1:35">
      <c r="A1987" t="s">
        <v>2150</v>
      </c>
      <c r="B1987" t="s">
        <v>3142</v>
      </c>
      <c r="C1987" t="s">
        <v>2198</v>
      </c>
      <c r="D1987" t="s">
        <v>5477</v>
      </c>
      <c r="F1987" t="s">
        <v>169</v>
      </c>
      <c r="G1987" s="126">
        <f>SUMIFS('Support - Transition'!F:F,'Support - Transition'!B:B,'Step 2'!A1987,'Support - Transition'!C:C,'Step 2'!B1987,'Support - Transition'!D:D,'Step 2'!C1987,'Support - Transition'!E:E,"CIVIL")</f>
        <v>2.4970000000000001E-3</v>
      </c>
      <c r="H1987" s="126">
        <f>SUMIFS('Support - Transition'!F:F,'Support - Transition'!B:B,'Step 2'!A1987,'Support - Transition'!C:C,'Step 2'!B1987,'Support - Transition'!D:D,'Step 2'!C1987,'Support - Transition'!E:E,"FIRE")</f>
        <v>1.8400000000000001E-3</v>
      </c>
      <c r="I1987" s="126">
        <f>IF(B1987="0",SUMIFS('Support - Transition'!F:F,'Support - Transition'!J:J,'Step 2'!D1987,'Support - Transition'!E:E,"STATE UNIT"),SUMIFS('Support - Transition'!F:F,'Support - Transition'!J:J,'Step 2'!D1987))</f>
        <v>4.3370000000000006E-3</v>
      </c>
      <c r="J1987" s="126">
        <f>SUMIFS('Support - Unit Adjustments'!E:E,'Support - Unit Adjustments'!F:F,'Step 2'!D1987)</f>
        <v>0</v>
      </c>
      <c r="K1987" s="126">
        <f t="shared" si="593"/>
        <v>4.3370000000000006E-3</v>
      </c>
      <c r="L1987" s="174">
        <f>VLOOKUP(A1987,'Step 1'!$A:$E,4,FALSE)</f>
        <v>235770</v>
      </c>
      <c r="M1987" s="47">
        <f t="shared" si="594"/>
        <v>1023</v>
      </c>
      <c r="N1987" s="177">
        <f>SUMIFS('Support - Transition'!G:G,'Support - Transition'!J:J,'Step 2'!D1987,'Support - Transition'!E:E,"2009 WELFARE ALLOCATION FACTOR")</f>
        <v>0</v>
      </c>
      <c r="O1987" s="152">
        <f t="shared" ref="O1987:O2050" si="599">ROUND(+N1987*M1987,0)</f>
        <v>0</v>
      </c>
      <c r="P1987" s="126">
        <f>IF(E1987="Y",0,SUMIFS('Support - Transition'!G:G,'Support - Transition'!J:J,'Step 2'!D1987,'Support - Transition'!E:E,"2009 SCHOOL ALLOCATION FACTOR"))</f>
        <v>0</v>
      </c>
      <c r="Q1987" s="126">
        <f>IF(E1987="Y",VLOOKUP(D1987,'Support - Unit Adjustments'!F:G,2,FALSE),0)</f>
        <v>0</v>
      </c>
      <c r="R1987" s="155">
        <f t="shared" si="592"/>
        <v>0</v>
      </c>
      <c r="S1987" s="47">
        <f t="shared" si="591"/>
        <v>0</v>
      </c>
      <c r="T1987" s="151">
        <f t="shared" si="595"/>
        <v>1023</v>
      </c>
      <c r="U1987" s="151">
        <f t="shared" si="596"/>
        <v>0</v>
      </c>
      <c r="V1987" s="139">
        <f t="shared" si="597"/>
        <v>0</v>
      </c>
      <c r="W1987" s="152">
        <f t="shared" ref="W1987:W2050" si="600">+T1987-V1987</f>
        <v>1023</v>
      </c>
      <c r="X1987" s="127" t="str">
        <f t="shared" si="598"/>
        <v/>
      </c>
      <c r="Y1987" s="207">
        <f t="shared" ref="Y1987:Y2050" si="601">W1987</f>
        <v>1023</v>
      </c>
      <c r="Z1987" s="139">
        <f t="shared" ref="Z1987:Z2050" si="602">IFERROR(IF(B1987="2",ROUND(Y1987*G1987/I1987,0),Y1987),0)</f>
        <v>589</v>
      </c>
      <c r="AA1987" s="139">
        <f t="shared" ref="AA1987:AA2050" si="603">+Y1987-Z1987</f>
        <v>434</v>
      </c>
      <c r="AC1987" s="47">
        <f t="shared" ref="AC1987:AC2050" si="604">ROUND(Y1987/2,0)</f>
        <v>512</v>
      </c>
      <c r="AD1987" s="47">
        <f t="shared" ref="AD1987:AD2050" si="605">ROUND(Z1987/2,0)</f>
        <v>295</v>
      </c>
      <c r="AE1987" s="47">
        <f t="shared" ref="AE1987:AE2050" si="606">ROUND(AA1987/2,0)</f>
        <v>217</v>
      </c>
      <c r="AG1987" s="47">
        <f t="shared" ref="AG1987:AG2050" si="607">+Y1987-AC1987</f>
        <v>511</v>
      </c>
      <c r="AH1987" s="47">
        <f t="shared" ref="AH1987:AH2050" si="608">+Z1987-AD1987</f>
        <v>294</v>
      </c>
      <c r="AI1987" s="208">
        <f t="shared" ref="AI1987:AI2050" si="609">+AA1987-AE1987</f>
        <v>217</v>
      </c>
    </row>
    <row r="1988" spans="1:35">
      <c r="A1988" t="s">
        <v>2150</v>
      </c>
      <c r="B1988" t="s">
        <v>3142</v>
      </c>
      <c r="C1988" t="s">
        <v>2199</v>
      </c>
      <c r="D1988" t="s">
        <v>5478</v>
      </c>
      <c r="F1988" t="s">
        <v>1463</v>
      </c>
      <c r="G1988" s="126">
        <f>SUMIFS('Support - Transition'!F:F,'Support - Transition'!B:B,'Step 2'!A1988,'Support - Transition'!C:C,'Step 2'!B1988,'Support - Transition'!D:D,'Step 2'!C1988,'Support - Transition'!E:E,"CIVIL")</f>
        <v>2.6940000000000002E-3</v>
      </c>
      <c r="H1988" s="126">
        <f>SUMIFS('Support - Transition'!F:F,'Support - Transition'!B:B,'Step 2'!A1988,'Support - Transition'!C:C,'Step 2'!B1988,'Support - Transition'!D:D,'Step 2'!C1988,'Support - Transition'!E:E,"FIRE")</f>
        <v>1.701E-3</v>
      </c>
      <c r="I1988" s="126">
        <f>IF(B1988="0",SUMIFS('Support - Transition'!F:F,'Support - Transition'!J:J,'Step 2'!D1988,'Support - Transition'!E:E,"STATE UNIT"),SUMIFS('Support - Transition'!F:F,'Support - Transition'!J:J,'Step 2'!D1988))</f>
        <v>4.3950000000000005E-3</v>
      </c>
      <c r="J1988" s="126">
        <f>SUMIFS('Support - Unit Adjustments'!E:E,'Support - Unit Adjustments'!F:F,'Step 2'!D1988)</f>
        <v>0</v>
      </c>
      <c r="K1988" s="126">
        <f t="shared" si="593"/>
        <v>4.3950000000000005E-3</v>
      </c>
      <c r="L1988" s="174">
        <f>VLOOKUP(A1988,'Step 1'!$A:$E,4,FALSE)</f>
        <v>235770</v>
      </c>
      <c r="M1988" s="47">
        <f t="shared" si="594"/>
        <v>1036</v>
      </c>
      <c r="N1988" s="177">
        <f>SUMIFS('Support - Transition'!G:G,'Support - Transition'!J:J,'Step 2'!D1988,'Support - Transition'!E:E,"2009 WELFARE ALLOCATION FACTOR")</f>
        <v>0</v>
      </c>
      <c r="O1988" s="152">
        <f t="shared" si="599"/>
        <v>0</v>
      </c>
      <c r="P1988" s="126">
        <f>IF(E1988="Y",0,SUMIFS('Support - Transition'!G:G,'Support - Transition'!J:J,'Step 2'!D1988,'Support - Transition'!E:E,"2009 SCHOOL ALLOCATION FACTOR"))</f>
        <v>0</v>
      </c>
      <c r="Q1988" s="126">
        <f>IF(E1988="Y",VLOOKUP(D1988,'Support - Unit Adjustments'!F:G,2,FALSE),0)</f>
        <v>0</v>
      </c>
      <c r="R1988" s="155">
        <f t="shared" si="592"/>
        <v>0</v>
      </c>
      <c r="S1988" s="47">
        <f t="shared" si="591"/>
        <v>0</v>
      </c>
      <c r="T1988" s="151">
        <f t="shared" si="595"/>
        <v>1036</v>
      </c>
      <c r="U1988" s="151">
        <f t="shared" si="596"/>
        <v>0</v>
      </c>
      <c r="V1988" s="139">
        <f t="shared" si="597"/>
        <v>0</v>
      </c>
      <c r="W1988" s="152">
        <f t="shared" si="600"/>
        <v>1036</v>
      </c>
      <c r="X1988" s="127" t="str">
        <f t="shared" si="598"/>
        <v/>
      </c>
      <c r="Y1988" s="207">
        <f t="shared" si="601"/>
        <v>1036</v>
      </c>
      <c r="Z1988" s="139">
        <f t="shared" si="602"/>
        <v>635</v>
      </c>
      <c r="AA1988" s="139">
        <f t="shared" si="603"/>
        <v>401</v>
      </c>
      <c r="AC1988" s="47">
        <f t="shared" si="604"/>
        <v>518</v>
      </c>
      <c r="AD1988" s="47">
        <f t="shared" si="605"/>
        <v>318</v>
      </c>
      <c r="AE1988" s="47">
        <f t="shared" si="606"/>
        <v>201</v>
      </c>
      <c r="AG1988" s="47">
        <f t="shared" si="607"/>
        <v>518</v>
      </c>
      <c r="AH1988" s="47">
        <f t="shared" si="608"/>
        <v>317</v>
      </c>
      <c r="AI1988" s="208">
        <f t="shared" si="609"/>
        <v>200</v>
      </c>
    </row>
    <row r="1989" spans="1:35">
      <c r="A1989" t="s">
        <v>2150</v>
      </c>
      <c r="B1989" t="s">
        <v>3155</v>
      </c>
      <c r="C1989" t="s">
        <v>2946</v>
      </c>
      <c r="D1989" t="s">
        <v>5479</v>
      </c>
      <c r="F1989" t="s">
        <v>1464</v>
      </c>
      <c r="G1989" s="126">
        <f>SUMIFS('Support - Transition'!F:F,'Support - Transition'!B:B,'Step 2'!A1989,'Support - Transition'!C:C,'Step 2'!B1989,'Support - Transition'!D:D,'Step 2'!C1989,'Support - Transition'!E:E,"CIVIL")</f>
        <v>0</v>
      </c>
      <c r="H1989" s="126">
        <f>SUMIFS('Support - Transition'!F:F,'Support - Transition'!B:B,'Step 2'!A1989,'Support - Transition'!C:C,'Step 2'!B1989,'Support - Transition'!D:D,'Step 2'!C1989,'Support - Transition'!E:E,"FIRE")</f>
        <v>0</v>
      </c>
      <c r="I1989" s="126">
        <f>IF(B1989="0",SUMIFS('Support - Transition'!F:F,'Support - Transition'!J:J,'Step 2'!D1989,'Support - Transition'!E:E,"STATE UNIT"),SUMIFS('Support - Transition'!F:F,'Support - Transition'!J:J,'Step 2'!D1989))</f>
        <v>1.3664000000000001E-2</v>
      </c>
      <c r="J1989" s="126">
        <f>SUMIFS('Support - Unit Adjustments'!E:E,'Support - Unit Adjustments'!F:F,'Step 2'!D1989)</f>
        <v>0</v>
      </c>
      <c r="K1989" s="126">
        <f t="shared" si="593"/>
        <v>1.3664000000000001E-2</v>
      </c>
      <c r="L1989" s="174">
        <f>VLOOKUP(A1989,'Step 1'!$A:$E,4,FALSE)</f>
        <v>235770</v>
      </c>
      <c r="M1989" s="47">
        <f t="shared" si="594"/>
        <v>3222</v>
      </c>
      <c r="N1989" s="177">
        <f>SUMIFS('Support - Transition'!G:G,'Support - Transition'!J:J,'Step 2'!D1989,'Support - Transition'!E:E,"2009 WELFARE ALLOCATION FACTOR")</f>
        <v>0</v>
      </c>
      <c r="O1989" s="152">
        <f t="shared" si="599"/>
        <v>0</v>
      </c>
      <c r="P1989" s="126">
        <f>IF(E1989="Y",0,SUMIFS('Support - Transition'!G:G,'Support - Transition'!J:J,'Step 2'!D1989,'Support - Transition'!E:E,"2009 SCHOOL ALLOCATION FACTOR"))</f>
        <v>0</v>
      </c>
      <c r="Q1989" s="126">
        <f>IF(E1989="Y",VLOOKUP(D1989,'Support - Unit Adjustments'!F:G,2,FALSE),0)</f>
        <v>0</v>
      </c>
      <c r="R1989" s="155">
        <f t="shared" si="592"/>
        <v>0</v>
      </c>
      <c r="S1989" s="47">
        <f t="shared" si="591"/>
        <v>0</v>
      </c>
      <c r="T1989" s="151">
        <f t="shared" si="595"/>
        <v>3222</v>
      </c>
      <c r="U1989" s="151">
        <f t="shared" si="596"/>
        <v>0</v>
      </c>
      <c r="V1989" s="139">
        <f t="shared" si="597"/>
        <v>0</v>
      </c>
      <c r="W1989" s="152">
        <f t="shared" si="600"/>
        <v>3222</v>
      </c>
      <c r="X1989" s="127" t="str">
        <f t="shared" si="598"/>
        <v/>
      </c>
      <c r="Y1989" s="207">
        <f t="shared" si="601"/>
        <v>3222</v>
      </c>
      <c r="Z1989" s="139">
        <f t="shared" si="602"/>
        <v>3222</v>
      </c>
      <c r="AA1989" s="139">
        <f t="shared" si="603"/>
        <v>0</v>
      </c>
      <c r="AC1989" s="47">
        <f t="shared" si="604"/>
        <v>1611</v>
      </c>
      <c r="AD1989" s="47">
        <f t="shared" si="605"/>
        <v>1611</v>
      </c>
      <c r="AE1989" s="47">
        <f t="shared" si="606"/>
        <v>0</v>
      </c>
      <c r="AG1989" s="47">
        <f t="shared" si="607"/>
        <v>1611</v>
      </c>
      <c r="AH1989" s="47">
        <f t="shared" si="608"/>
        <v>1611</v>
      </c>
      <c r="AI1989" s="208">
        <f t="shared" si="609"/>
        <v>0</v>
      </c>
    </row>
    <row r="1990" spans="1:35">
      <c r="A1990" t="s">
        <v>2150</v>
      </c>
      <c r="B1990" t="s">
        <v>3155</v>
      </c>
      <c r="C1990" t="s">
        <v>2947</v>
      </c>
      <c r="D1990" t="s">
        <v>5480</v>
      </c>
      <c r="F1990" t="s">
        <v>1465</v>
      </c>
      <c r="G1990" s="126">
        <f>SUMIFS('Support - Transition'!F:F,'Support - Transition'!B:B,'Step 2'!A1990,'Support - Transition'!C:C,'Step 2'!B1990,'Support - Transition'!D:D,'Step 2'!C1990,'Support - Transition'!E:E,"CIVIL")</f>
        <v>0</v>
      </c>
      <c r="H1990" s="126">
        <f>SUMIFS('Support - Transition'!F:F,'Support - Transition'!B:B,'Step 2'!A1990,'Support - Transition'!C:C,'Step 2'!B1990,'Support - Transition'!D:D,'Step 2'!C1990,'Support - Transition'!E:E,"FIRE")</f>
        <v>0</v>
      </c>
      <c r="I1990" s="126">
        <f>IF(B1990="0",SUMIFS('Support - Transition'!F:F,'Support - Transition'!J:J,'Step 2'!D1990,'Support - Transition'!E:E,"STATE UNIT"),SUMIFS('Support - Transition'!F:F,'Support - Transition'!J:J,'Step 2'!D1990))</f>
        <v>7.0619999999999997E-3</v>
      </c>
      <c r="J1990" s="126">
        <f>SUMIFS('Support - Unit Adjustments'!E:E,'Support - Unit Adjustments'!F:F,'Step 2'!D1990)</f>
        <v>0</v>
      </c>
      <c r="K1990" s="126">
        <f t="shared" si="593"/>
        <v>7.0619999999999997E-3</v>
      </c>
      <c r="L1990" s="174">
        <f>VLOOKUP(A1990,'Step 1'!$A:$E,4,FALSE)</f>
        <v>235770</v>
      </c>
      <c r="M1990" s="47">
        <f t="shared" si="594"/>
        <v>1665</v>
      </c>
      <c r="N1990" s="177">
        <f>SUMIFS('Support - Transition'!G:G,'Support - Transition'!J:J,'Step 2'!D1990,'Support - Transition'!E:E,"2009 WELFARE ALLOCATION FACTOR")</f>
        <v>0</v>
      </c>
      <c r="O1990" s="152">
        <f t="shared" si="599"/>
        <v>0</v>
      </c>
      <c r="P1990" s="126">
        <f>IF(E1990="Y",0,SUMIFS('Support - Transition'!G:G,'Support - Transition'!J:J,'Step 2'!D1990,'Support - Transition'!E:E,"2009 SCHOOL ALLOCATION FACTOR"))</f>
        <v>0</v>
      </c>
      <c r="Q1990" s="126">
        <f>IF(E1990="Y",VLOOKUP(D1990,'Support - Unit Adjustments'!F:G,2,FALSE),0)</f>
        <v>0</v>
      </c>
      <c r="R1990" s="155">
        <f t="shared" si="592"/>
        <v>0</v>
      </c>
      <c r="S1990" s="47">
        <f t="shared" si="591"/>
        <v>0</v>
      </c>
      <c r="T1990" s="151">
        <f t="shared" si="595"/>
        <v>1665</v>
      </c>
      <c r="U1990" s="151">
        <f t="shared" si="596"/>
        <v>0</v>
      </c>
      <c r="V1990" s="139">
        <f t="shared" si="597"/>
        <v>0</v>
      </c>
      <c r="W1990" s="152">
        <f t="shared" si="600"/>
        <v>1665</v>
      </c>
      <c r="X1990" s="127" t="str">
        <f t="shared" si="598"/>
        <v/>
      </c>
      <c r="Y1990" s="207">
        <f t="shared" si="601"/>
        <v>1665</v>
      </c>
      <c r="Z1990" s="139">
        <f t="shared" si="602"/>
        <v>1665</v>
      </c>
      <c r="AA1990" s="139">
        <f t="shared" si="603"/>
        <v>0</v>
      </c>
      <c r="AC1990" s="47">
        <f t="shared" si="604"/>
        <v>833</v>
      </c>
      <c r="AD1990" s="47">
        <f t="shared" si="605"/>
        <v>833</v>
      </c>
      <c r="AE1990" s="47">
        <f t="shared" si="606"/>
        <v>0</v>
      </c>
      <c r="AG1990" s="47">
        <f t="shared" si="607"/>
        <v>832</v>
      </c>
      <c r="AH1990" s="47">
        <f t="shared" si="608"/>
        <v>832</v>
      </c>
      <c r="AI1990" s="208">
        <f t="shared" si="609"/>
        <v>0</v>
      </c>
    </row>
    <row r="1991" spans="1:35">
      <c r="A1991" t="s">
        <v>2150</v>
      </c>
      <c r="B1991" t="s">
        <v>3155</v>
      </c>
      <c r="C1991" t="s">
        <v>2948</v>
      </c>
      <c r="D1991" t="s">
        <v>5481</v>
      </c>
      <c r="F1991" t="s">
        <v>1466</v>
      </c>
      <c r="G1991" s="126">
        <f>SUMIFS('Support - Transition'!F:F,'Support - Transition'!B:B,'Step 2'!A1991,'Support - Transition'!C:C,'Step 2'!B1991,'Support - Transition'!D:D,'Step 2'!C1991,'Support - Transition'!E:E,"CIVIL")</f>
        <v>0</v>
      </c>
      <c r="H1991" s="126">
        <f>SUMIFS('Support - Transition'!F:F,'Support - Transition'!B:B,'Step 2'!A1991,'Support - Transition'!C:C,'Step 2'!B1991,'Support - Transition'!D:D,'Step 2'!C1991,'Support - Transition'!E:E,"FIRE")</f>
        <v>0</v>
      </c>
      <c r="I1991" s="126">
        <f>IF(B1991="0",SUMIFS('Support - Transition'!F:F,'Support - Transition'!J:J,'Step 2'!D1991,'Support - Transition'!E:E,"STATE UNIT"),SUMIFS('Support - Transition'!F:F,'Support - Transition'!J:J,'Step 2'!D1991))</f>
        <v>1.307E-3</v>
      </c>
      <c r="J1991" s="126">
        <f>SUMIFS('Support - Unit Adjustments'!E:E,'Support - Unit Adjustments'!F:F,'Step 2'!D1991)</f>
        <v>0</v>
      </c>
      <c r="K1991" s="126">
        <f t="shared" si="593"/>
        <v>1.307E-3</v>
      </c>
      <c r="L1991" s="174">
        <f>VLOOKUP(A1991,'Step 1'!$A:$E,4,FALSE)</f>
        <v>235770</v>
      </c>
      <c r="M1991" s="47">
        <f t="shared" si="594"/>
        <v>308</v>
      </c>
      <c r="N1991" s="177">
        <f>SUMIFS('Support - Transition'!G:G,'Support - Transition'!J:J,'Step 2'!D1991,'Support - Transition'!E:E,"2009 WELFARE ALLOCATION FACTOR")</f>
        <v>0</v>
      </c>
      <c r="O1991" s="152">
        <f t="shared" si="599"/>
        <v>0</v>
      </c>
      <c r="P1991" s="126">
        <f>IF(E1991="Y",0,SUMIFS('Support - Transition'!G:G,'Support - Transition'!J:J,'Step 2'!D1991,'Support - Transition'!E:E,"2009 SCHOOL ALLOCATION FACTOR"))</f>
        <v>0</v>
      </c>
      <c r="Q1991" s="126">
        <f>IF(E1991="Y",VLOOKUP(D1991,'Support - Unit Adjustments'!F:G,2,FALSE),0)</f>
        <v>0</v>
      </c>
      <c r="R1991" s="155">
        <f t="shared" si="592"/>
        <v>0</v>
      </c>
      <c r="S1991" s="47">
        <f t="shared" si="591"/>
        <v>0</v>
      </c>
      <c r="T1991" s="151">
        <f t="shared" si="595"/>
        <v>308</v>
      </c>
      <c r="U1991" s="151">
        <f t="shared" si="596"/>
        <v>0</v>
      </c>
      <c r="V1991" s="139">
        <f t="shared" si="597"/>
        <v>0</v>
      </c>
      <c r="W1991" s="152">
        <f t="shared" si="600"/>
        <v>308</v>
      </c>
      <c r="X1991" s="127" t="str">
        <f t="shared" si="598"/>
        <v/>
      </c>
      <c r="Y1991" s="207">
        <f t="shared" si="601"/>
        <v>308</v>
      </c>
      <c r="Z1991" s="139">
        <f t="shared" si="602"/>
        <v>308</v>
      </c>
      <c r="AA1991" s="139">
        <f t="shared" si="603"/>
        <v>0</v>
      </c>
      <c r="AC1991" s="47">
        <f t="shared" si="604"/>
        <v>154</v>
      </c>
      <c r="AD1991" s="47">
        <f t="shared" si="605"/>
        <v>154</v>
      </c>
      <c r="AE1991" s="47">
        <f t="shared" si="606"/>
        <v>0</v>
      </c>
      <c r="AG1991" s="47">
        <f t="shared" si="607"/>
        <v>154</v>
      </c>
      <c r="AH1991" s="47">
        <f t="shared" si="608"/>
        <v>154</v>
      </c>
      <c r="AI1991" s="208">
        <f t="shared" si="609"/>
        <v>0</v>
      </c>
    </row>
    <row r="1992" spans="1:35">
      <c r="A1992" t="s">
        <v>2150</v>
      </c>
      <c r="B1992" t="s">
        <v>3155</v>
      </c>
      <c r="C1992" t="s">
        <v>2949</v>
      </c>
      <c r="D1992" t="s">
        <v>5482</v>
      </c>
      <c r="F1992" t="s">
        <v>1467</v>
      </c>
      <c r="G1992" s="126">
        <f>SUMIFS('Support - Transition'!F:F,'Support - Transition'!B:B,'Step 2'!A1992,'Support - Transition'!C:C,'Step 2'!B1992,'Support - Transition'!D:D,'Step 2'!C1992,'Support - Transition'!E:E,"CIVIL")</f>
        <v>0</v>
      </c>
      <c r="H1992" s="126">
        <f>SUMIFS('Support - Transition'!F:F,'Support - Transition'!B:B,'Step 2'!A1992,'Support - Transition'!C:C,'Step 2'!B1992,'Support - Transition'!D:D,'Step 2'!C1992,'Support - Transition'!E:E,"FIRE")</f>
        <v>0</v>
      </c>
      <c r="I1992" s="126">
        <f>IF(B1992="0",SUMIFS('Support - Transition'!F:F,'Support - Transition'!J:J,'Step 2'!D1992,'Support - Transition'!E:E,"STATE UNIT"),SUMIFS('Support - Transition'!F:F,'Support - Transition'!J:J,'Step 2'!D1992))</f>
        <v>3.4708000000000003E-2</v>
      </c>
      <c r="J1992" s="126">
        <f>SUMIFS('Support - Unit Adjustments'!E:E,'Support - Unit Adjustments'!F:F,'Step 2'!D1992)</f>
        <v>0</v>
      </c>
      <c r="K1992" s="126">
        <f t="shared" si="593"/>
        <v>3.4708000000000003E-2</v>
      </c>
      <c r="L1992" s="174">
        <f>VLOOKUP(A1992,'Step 1'!$A:$E,4,FALSE)</f>
        <v>235770</v>
      </c>
      <c r="M1992" s="47">
        <f t="shared" si="594"/>
        <v>8183</v>
      </c>
      <c r="N1992" s="177">
        <f>SUMIFS('Support - Transition'!G:G,'Support - Transition'!J:J,'Step 2'!D1992,'Support - Transition'!E:E,"2009 WELFARE ALLOCATION FACTOR")</f>
        <v>0</v>
      </c>
      <c r="O1992" s="152">
        <f t="shared" si="599"/>
        <v>0</v>
      </c>
      <c r="P1992" s="126">
        <f>IF(E1992="Y",0,SUMIFS('Support - Transition'!G:G,'Support - Transition'!J:J,'Step 2'!D1992,'Support - Transition'!E:E,"2009 SCHOOL ALLOCATION FACTOR"))</f>
        <v>0</v>
      </c>
      <c r="Q1992" s="126">
        <f>IF(E1992="Y",VLOOKUP(D1992,'Support - Unit Adjustments'!F:G,2,FALSE),0)</f>
        <v>0</v>
      </c>
      <c r="R1992" s="155">
        <f t="shared" si="592"/>
        <v>0</v>
      </c>
      <c r="S1992" s="47">
        <f t="shared" ref="S1992:S2055" si="610">ROUND(+R1992*M1992,0)</f>
        <v>0</v>
      </c>
      <c r="T1992" s="151">
        <f t="shared" si="595"/>
        <v>8183</v>
      </c>
      <c r="U1992" s="151">
        <f t="shared" si="596"/>
        <v>0</v>
      </c>
      <c r="V1992" s="139">
        <f t="shared" si="597"/>
        <v>0</v>
      </c>
      <c r="W1992" s="152">
        <f t="shared" si="600"/>
        <v>8183</v>
      </c>
      <c r="X1992" s="127" t="str">
        <f t="shared" si="598"/>
        <v/>
      </c>
      <c r="Y1992" s="207">
        <f t="shared" si="601"/>
        <v>8183</v>
      </c>
      <c r="Z1992" s="139">
        <f t="shared" si="602"/>
        <v>8183</v>
      </c>
      <c r="AA1992" s="139">
        <f t="shared" si="603"/>
        <v>0</v>
      </c>
      <c r="AC1992" s="47">
        <f t="shared" si="604"/>
        <v>4092</v>
      </c>
      <c r="AD1992" s="47">
        <f t="shared" si="605"/>
        <v>4092</v>
      </c>
      <c r="AE1992" s="47">
        <f t="shared" si="606"/>
        <v>0</v>
      </c>
      <c r="AG1992" s="47">
        <f t="shared" si="607"/>
        <v>4091</v>
      </c>
      <c r="AH1992" s="47">
        <f t="shared" si="608"/>
        <v>4091</v>
      </c>
      <c r="AI1992" s="208">
        <f t="shared" si="609"/>
        <v>0</v>
      </c>
    </row>
    <row r="1993" spans="1:35">
      <c r="A1993" t="s">
        <v>2150</v>
      </c>
      <c r="B1993" t="s">
        <v>3160</v>
      </c>
      <c r="C1993" t="s">
        <v>2458</v>
      </c>
      <c r="D1993" t="s">
        <v>5483</v>
      </c>
      <c r="F1993" t="s">
        <v>557</v>
      </c>
      <c r="G1993" s="126">
        <f>SUMIFS('Support - Transition'!F:F,'Support - Transition'!B:B,'Step 2'!A1993,'Support - Transition'!C:C,'Step 2'!B1993,'Support - Transition'!D:D,'Step 2'!C1993,'Support - Transition'!E:E,"CIVIL")</f>
        <v>0</v>
      </c>
      <c r="H1993" s="126">
        <f>SUMIFS('Support - Transition'!F:F,'Support - Transition'!B:B,'Step 2'!A1993,'Support - Transition'!C:C,'Step 2'!B1993,'Support - Transition'!D:D,'Step 2'!C1993,'Support - Transition'!E:E,"FIRE")</f>
        <v>0</v>
      </c>
      <c r="I1993" s="126">
        <f>IF(B1993="0",SUMIFS('Support - Transition'!F:F,'Support - Transition'!J:J,'Step 2'!D1993,'Support - Transition'!E:E,"STATE UNIT"),SUMIFS('Support - Transition'!F:F,'Support - Transition'!J:J,'Step 2'!D1993))</f>
        <v>3.3286000000000003E-2</v>
      </c>
      <c r="J1993" s="126">
        <f>SUMIFS('Support - Unit Adjustments'!E:E,'Support - Unit Adjustments'!F:F,'Step 2'!D1993)</f>
        <v>0</v>
      </c>
      <c r="K1993" s="126">
        <f t="shared" si="593"/>
        <v>3.3286000000000003E-2</v>
      </c>
      <c r="L1993" s="174">
        <f>VLOOKUP(A1993,'Step 1'!$A:$E,4,FALSE)</f>
        <v>235770</v>
      </c>
      <c r="M1993" s="47">
        <f t="shared" si="594"/>
        <v>7848</v>
      </c>
      <c r="N1993" s="177">
        <f>SUMIFS('Support - Transition'!G:G,'Support - Transition'!J:J,'Step 2'!D1993,'Support - Transition'!E:E,"2009 WELFARE ALLOCATION FACTOR")</f>
        <v>0</v>
      </c>
      <c r="O1993" s="152">
        <f t="shared" si="599"/>
        <v>0</v>
      </c>
      <c r="P1993" s="126">
        <f>IF(E1993="Y",0,SUMIFS('Support - Transition'!G:G,'Support - Transition'!J:J,'Step 2'!D1993,'Support - Transition'!E:E,"2009 SCHOOL ALLOCATION FACTOR"))</f>
        <v>0.485238</v>
      </c>
      <c r="Q1993" s="126">
        <f>IF(E1993="Y",VLOOKUP(D1993,'Support - Unit Adjustments'!F:G,2,FALSE),0)</f>
        <v>0</v>
      </c>
      <c r="R1993" s="155">
        <f t="shared" ref="R1993:R2056" si="611">+P1993+Q1993</f>
        <v>0.485238</v>
      </c>
      <c r="S1993" s="47">
        <f t="shared" si="610"/>
        <v>3808</v>
      </c>
      <c r="T1993" s="151">
        <f t="shared" si="595"/>
        <v>4040</v>
      </c>
      <c r="U1993" s="151">
        <f t="shared" si="596"/>
        <v>0</v>
      </c>
      <c r="V1993" s="139">
        <f t="shared" si="597"/>
        <v>0</v>
      </c>
      <c r="W1993" s="152">
        <f t="shared" si="600"/>
        <v>4040</v>
      </c>
      <c r="X1993" s="127" t="str">
        <f t="shared" si="598"/>
        <v/>
      </c>
      <c r="Y1993" s="207">
        <f t="shared" si="601"/>
        <v>4040</v>
      </c>
      <c r="Z1993" s="139">
        <f t="shared" si="602"/>
        <v>4040</v>
      </c>
      <c r="AA1993" s="139">
        <f t="shared" si="603"/>
        <v>0</v>
      </c>
      <c r="AC1993" s="47">
        <f t="shared" si="604"/>
        <v>2020</v>
      </c>
      <c r="AD1993" s="47">
        <f t="shared" si="605"/>
        <v>2020</v>
      </c>
      <c r="AE1993" s="47">
        <f t="shared" si="606"/>
        <v>0</v>
      </c>
      <c r="AG1993" s="47">
        <f t="shared" si="607"/>
        <v>2020</v>
      </c>
      <c r="AH1993" s="47">
        <f t="shared" si="608"/>
        <v>2020</v>
      </c>
      <c r="AI1993" s="208">
        <f t="shared" si="609"/>
        <v>0</v>
      </c>
    </row>
    <row r="1994" spans="1:35">
      <c r="A1994" t="s">
        <v>2150</v>
      </c>
      <c r="B1994" t="s">
        <v>3160</v>
      </c>
      <c r="C1994" t="s">
        <v>2459</v>
      </c>
      <c r="D1994" t="s">
        <v>5484</v>
      </c>
      <c r="F1994" t="s">
        <v>3957</v>
      </c>
      <c r="G1994" s="126">
        <f>SUMIFS('Support - Transition'!F:F,'Support - Transition'!B:B,'Step 2'!A1994,'Support - Transition'!C:C,'Step 2'!B1994,'Support - Transition'!D:D,'Step 2'!C1994,'Support - Transition'!E:E,"CIVIL")</f>
        <v>0</v>
      </c>
      <c r="H1994" s="126">
        <f>SUMIFS('Support - Transition'!F:F,'Support - Transition'!B:B,'Step 2'!A1994,'Support - Transition'!C:C,'Step 2'!B1994,'Support - Transition'!D:D,'Step 2'!C1994,'Support - Transition'!E:E,"FIRE")</f>
        <v>0</v>
      </c>
      <c r="I1994" s="126">
        <f>IF(B1994="0",SUMIFS('Support - Transition'!F:F,'Support - Transition'!J:J,'Step 2'!D1994,'Support - Transition'!E:E,"STATE UNIT"),SUMIFS('Support - Transition'!F:F,'Support - Transition'!J:J,'Step 2'!D1994))</f>
        <v>0.30989100000000003</v>
      </c>
      <c r="J1994" s="126">
        <f>SUMIFS('Support - Unit Adjustments'!E:E,'Support - Unit Adjustments'!F:F,'Step 2'!D1994)</f>
        <v>0</v>
      </c>
      <c r="K1994" s="126">
        <f t="shared" si="593"/>
        <v>0.30989100000000003</v>
      </c>
      <c r="L1994" s="174">
        <f>VLOOKUP(A1994,'Step 1'!$A:$E,4,FALSE)</f>
        <v>235770</v>
      </c>
      <c r="M1994" s="47">
        <f t="shared" si="594"/>
        <v>73063</v>
      </c>
      <c r="N1994" s="177">
        <f>SUMIFS('Support - Transition'!G:G,'Support - Transition'!J:J,'Step 2'!D1994,'Support - Transition'!E:E,"2009 WELFARE ALLOCATION FACTOR")</f>
        <v>0</v>
      </c>
      <c r="O1994" s="152">
        <f t="shared" si="599"/>
        <v>0</v>
      </c>
      <c r="P1994" s="126">
        <f>IF(E1994="Y",0,SUMIFS('Support - Transition'!G:G,'Support - Transition'!J:J,'Step 2'!D1994,'Support - Transition'!E:E,"2009 SCHOOL ALLOCATION FACTOR"))</f>
        <v>0.50509400000000004</v>
      </c>
      <c r="Q1994" s="126">
        <f>IF(E1994="Y",VLOOKUP(D1994,'Support - Unit Adjustments'!F:G,2,FALSE),0)</f>
        <v>0</v>
      </c>
      <c r="R1994" s="155">
        <f t="shared" si="611"/>
        <v>0.50509400000000004</v>
      </c>
      <c r="S1994" s="47">
        <f t="shared" si="610"/>
        <v>36904</v>
      </c>
      <c r="T1994" s="151">
        <f t="shared" si="595"/>
        <v>36159</v>
      </c>
      <c r="U1994" s="151">
        <f t="shared" si="596"/>
        <v>0</v>
      </c>
      <c r="V1994" s="139">
        <f t="shared" si="597"/>
        <v>0</v>
      </c>
      <c r="W1994" s="152">
        <f t="shared" si="600"/>
        <v>36159</v>
      </c>
      <c r="X1994" s="127" t="str">
        <f t="shared" si="598"/>
        <v/>
      </c>
      <c r="Y1994" s="207">
        <f t="shared" si="601"/>
        <v>36159</v>
      </c>
      <c r="Z1994" s="139">
        <f t="shared" si="602"/>
        <v>36159</v>
      </c>
      <c r="AA1994" s="139">
        <f t="shared" si="603"/>
        <v>0</v>
      </c>
      <c r="AC1994" s="47">
        <f t="shared" si="604"/>
        <v>18080</v>
      </c>
      <c r="AD1994" s="47">
        <f t="shared" si="605"/>
        <v>18080</v>
      </c>
      <c r="AE1994" s="47">
        <f t="shared" si="606"/>
        <v>0</v>
      </c>
      <c r="AG1994" s="47">
        <f t="shared" si="607"/>
        <v>18079</v>
      </c>
      <c r="AH1994" s="47">
        <f t="shared" si="608"/>
        <v>18079</v>
      </c>
      <c r="AI1994" s="208">
        <f t="shared" si="609"/>
        <v>0</v>
      </c>
    </row>
    <row r="1995" spans="1:35">
      <c r="A1995" t="s">
        <v>2150</v>
      </c>
      <c r="B1995" t="s">
        <v>3160</v>
      </c>
      <c r="C1995" t="s">
        <v>2625</v>
      </c>
      <c r="D1995" t="s">
        <v>5485</v>
      </c>
      <c r="F1995" t="s">
        <v>849</v>
      </c>
      <c r="G1995" s="126">
        <f>SUMIFS('Support - Transition'!F:F,'Support - Transition'!B:B,'Step 2'!A1995,'Support - Transition'!C:C,'Step 2'!B1995,'Support - Transition'!D:D,'Step 2'!C1995,'Support - Transition'!E:E,"CIVIL")</f>
        <v>0</v>
      </c>
      <c r="H1995" s="126">
        <f>SUMIFS('Support - Transition'!F:F,'Support - Transition'!B:B,'Step 2'!A1995,'Support - Transition'!C:C,'Step 2'!B1995,'Support - Transition'!D:D,'Step 2'!C1995,'Support - Transition'!E:E,"FIRE")</f>
        <v>0</v>
      </c>
      <c r="I1995" s="126">
        <f>IF(B1995="0",SUMIFS('Support - Transition'!F:F,'Support - Transition'!J:J,'Step 2'!D1995,'Support - Transition'!E:E,"STATE UNIT"),SUMIFS('Support - Transition'!F:F,'Support - Transition'!J:J,'Step 2'!D1995))</f>
        <v>0.18894</v>
      </c>
      <c r="J1995" s="126">
        <f>SUMIFS('Support - Unit Adjustments'!E:E,'Support - Unit Adjustments'!F:F,'Step 2'!D1995)</f>
        <v>0</v>
      </c>
      <c r="K1995" s="126">
        <f t="shared" si="593"/>
        <v>0.18894</v>
      </c>
      <c r="L1995" s="174">
        <f>VLOOKUP(A1995,'Step 1'!$A:$E,4,FALSE)</f>
        <v>235770</v>
      </c>
      <c r="M1995" s="47">
        <f t="shared" si="594"/>
        <v>44546</v>
      </c>
      <c r="N1995" s="177">
        <f>SUMIFS('Support - Transition'!G:G,'Support - Transition'!J:J,'Step 2'!D1995,'Support - Transition'!E:E,"2009 WELFARE ALLOCATION FACTOR")</f>
        <v>0</v>
      </c>
      <c r="O1995" s="152">
        <f t="shared" si="599"/>
        <v>0</v>
      </c>
      <c r="P1995" s="126">
        <f>IF(E1995="Y",0,SUMIFS('Support - Transition'!G:G,'Support - Transition'!J:J,'Step 2'!D1995,'Support - Transition'!E:E,"2009 SCHOOL ALLOCATION FACTOR"))</f>
        <v>0.57200099999999998</v>
      </c>
      <c r="Q1995" s="126">
        <f>IF(E1995="Y",VLOOKUP(D1995,'Support - Unit Adjustments'!F:G,2,FALSE),0)</f>
        <v>0</v>
      </c>
      <c r="R1995" s="155">
        <f t="shared" si="611"/>
        <v>0.57200099999999998</v>
      </c>
      <c r="S1995" s="47">
        <f t="shared" si="610"/>
        <v>25480</v>
      </c>
      <c r="T1995" s="151">
        <f t="shared" si="595"/>
        <v>19066</v>
      </c>
      <c r="U1995" s="151">
        <f t="shared" si="596"/>
        <v>0</v>
      </c>
      <c r="V1995" s="139">
        <f t="shared" si="597"/>
        <v>0</v>
      </c>
      <c r="W1995" s="152">
        <f t="shared" si="600"/>
        <v>19066</v>
      </c>
      <c r="X1995" s="127" t="str">
        <f t="shared" si="598"/>
        <v/>
      </c>
      <c r="Y1995" s="207">
        <f t="shared" si="601"/>
        <v>19066</v>
      </c>
      <c r="Z1995" s="139">
        <f t="shared" si="602"/>
        <v>19066</v>
      </c>
      <c r="AA1995" s="139">
        <f t="shared" si="603"/>
        <v>0</v>
      </c>
      <c r="AC1995" s="47">
        <f t="shared" si="604"/>
        <v>9533</v>
      </c>
      <c r="AD1995" s="47">
        <f t="shared" si="605"/>
        <v>9533</v>
      </c>
      <c r="AE1995" s="47">
        <f t="shared" si="606"/>
        <v>0</v>
      </c>
      <c r="AG1995" s="47">
        <f t="shared" si="607"/>
        <v>9533</v>
      </c>
      <c r="AH1995" s="47">
        <f t="shared" si="608"/>
        <v>9533</v>
      </c>
      <c r="AI1995" s="208">
        <f t="shared" si="609"/>
        <v>0</v>
      </c>
    </row>
    <row r="1996" spans="1:35">
      <c r="A1996" t="s">
        <v>2150</v>
      </c>
      <c r="B1996" t="s">
        <v>3160</v>
      </c>
      <c r="C1996" t="s">
        <v>2950</v>
      </c>
      <c r="D1996" t="s">
        <v>5486</v>
      </c>
      <c r="F1996" t="s">
        <v>5487</v>
      </c>
      <c r="G1996" s="126">
        <f>SUMIFS('Support - Transition'!F:F,'Support - Transition'!B:B,'Step 2'!A1996,'Support - Transition'!C:C,'Step 2'!B1996,'Support - Transition'!D:D,'Step 2'!C1996,'Support - Transition'!E:E,"CIVIL")</f>
        <v>0</v>
      </c>
      <c r="H1996" s="126">
        <f>SUMIFS('Support - Transition'!F:F,'Support - Transition'!B:B,'Step 2'!A1996,'Support - Transition'!C:C,'Step 2'!B1996,'Support - Transition'!D:D,'Step 2'!C1996,'Support - Transition'!E:E,"FIRE")</f>
        <v>0</v>
      </c>
      <c r="I1996" s="126">
        <f>IF(B1996="0",SUMIFS('Support - Transition'!F:F,'Support - Transition'!J:J,'Step 2'!D1996,'Support - Transition'!E:E,"STATE UNIT"),SUMIFS('Support - Transition'!F:F,'Support - Transition'!J:J,'Step 2'!D1996))</f>
        <v>3.6088000000000002E-2</v>
      </c>
      <c r="J1996" s="126">
        <f>SUMIFS('Support - Unit Adjustments'!E:E,'Support - Unit Adjustments'!F:F,'Step 2'!D1996)</f>
        <v>0</v>
      </c>
      <c r="K1996" s="126">
        <f t="shared" si="593"/>
        <v>3.6088000000000002E-2</v>
      </c>
      <c r="L1996" s="174">
        <f>VLOOKUP(A1996,'Step 1'!$A:$E,4,FALSE)</f>
        <v>235770</v>
      </c>
      <c r="M1996" s="47">
        <f t="shared" si="594"/>
        <v>8508</v>
      </c>
      <c r="N1996" s="177">
        <f>SUMIFS('Support - Transition'!G:G,'Support - Transition'!J:J,'Step 2'!D1996,'Support - Transition'!E:E,"2009 WELFARE ALLOCATION FACTOR")</f>
        <v>0</v>
      </c>
      <c r="O1996" s="152">
        <f t="shared" si="599"/>
        <v>0</v>
      </c>
      <c r="P1996" s="126">
        <f>IF(E1996="Y",0,SUMIFS('Support - Transition'!G:G,'Support - Transition'!J:J,'Step 2'!D1996,'Support - Transition'!E:E,"2009 SCHOOL ALLOCATION FACTOR"))</f>
        <v>0.35514899999999999</v>
      </c>
      <c r="Q1996" s="126">
        <f>IF(E1996="Y",VLOOKUP(D1996,'Support - Unit Adjustments'!F:G,2,FALSE),0)</f>
        <v>0</v>
      </c>
      <c r="R1996" s="155">
        <f t="shared" si="611"/>
        <v>0.35514899999999999</v>
      </c>
      <c r="S1996" s="47">
        <f t="shared" si="610"/>
        <v>3022</v>
      </c>
      <c r="T1996" s="151">
        <f t="shared" si="595"/>
        <v>5486</v>
      </c>
      <c r="U1996" s="151">
        <f t="shared" si="596"/>
        <v>0</v>
      </c>
      <c r="V1996" s="139">
        <f t="shared" si="597"/>
        <v>0</v>
      </c>
      <c r="W1996" s="152">
        <f t="shared" si="600"/>
        <v>5486</v>
      </c>
      <c r="X1996" s="127" t="str">
        <f t="shared" si="598"/>
        <v/>
      </c>
      <c r="Y1996" s="207">
        <f t="shared" si="601"/>
        <v>5486</v>
      </c>
      <c r="Z1996" s="139">
        <f t="shared" si="602"/>
        <v>5486</v>
      </c>
      <c r="AA1996" s="139">
        <f t="shared" si="603"/>
        <v>0</v>
      </c>
      <c r="AC1996" s="47">
        <f t="shared" si="604"/>
        <v>2743</v>
      </c>
      <c r="AD1996" s="47">
        <f t="shared" si="605"/>
        <v>2743</v>
      </c>
      <c r="AE1996" s="47">
        <f t="shared" si="606"/>
        <v>0</v>
      </c>
      <c r="AG1996" s="47">
        <f t="shared" si="607"/>
        <v>2743</v>
      </c>
      <c r="AH1996" s="47">
        <f t="shared" si="608"/>
        <v>2743</v>
      </c>
      <c r="AI1996" s="208">
        <f t="shared" si="609"/>
        <v>0</v>
      </c>
    </row>
    <row r="1997" spans="1:35">
      <c r="A1997" t="s">
        <v>2150</v>
      </c>
      <c r="B1997" t="s">
        <v>3166</v>
      </c>
      <c r="C1997" t="s">
        <v>5488</v>
      </c>
      <c r="D1997" t="s">
        <v>5489</v>
      </c>
      <c r="F1997" t="s">
        <v>1470</v>
      </c>
      <c r="G1997" s="126">
        <f>SUMIFS('Support - Transition'!F:F,'Support - Transition'!B:B,'Step 2'!A1997,'Support - Transition'!C:C,'Step 2'!B1997,'Support - Transition'!D:D,'Step 2'!C1997,'Support - Transition'!E:E,"CIVIL")</f>
        <v>0</v>
      </c>
      <c r="H1997" s="126">
        <f>SUMIFS('Support - Transition'!F:F,'Support - Transition'!B:B,'Step 2'!A1997,'Support - Transition'!C:C,'Step 2'!B1997,'Support - Transition'!D:D,'Step 2'!C1997,'Support - Transition'!E:E,"FIRE")</f>
        <v>0</v>
      </c>
      <c r="I1997" s="126">
        <f>IF(B1997="0",SUMIFS('Support - Transition'!F:F,'Support - Transition'!J:J,'Step 2'!D1997,'Support - Transition'!E:E,"STATE UNIT"),SUMIFS('Support - Transition'!F:F,'Support - Transition'!J:J,'Step 2'!D1997))</f>
        <v>1.5886999999999998E-2</v>
      </c>
      <c r="J1997" s="126">
        <f>SUMIFS('Support - Unit Adjustments'!E:E,'Support - Unit Adjustments'!F:F,'Step 2'!D1997)</f>
        <v>0</v>
      </c>
      <c r="K1997" s="126">
        <f t="shared" si="593"/>
        <v>1.5886999999999998E-2</v>
      </c>
      <c r="L1997" s="174">
        <f>VLOOKUP(A1997,'Step 1'!$A:$E,4,FALSE)</f>
        <v>235770</v>
      </c>
      <c r="M1997" s="47">
        <f t="shared" si="594"/>
        <v>3746</v>
      </c>
      <c r="N1997" s="177">
        <f>SUMIFS('Support - Transition'!G:G,'Support - Transition'!J:J,'Step 2'!D1997,'Support - Transition'!E:E,"2009 WELFARE ALLOCATION FACTOR")</f>
        <v>0</v>
      </c>
      <c r="O1997" s="152">
        <f t="shared" si="599"/>
        <v>0</v>
      </c>
      <c r="P1997" s="126">
        <f>IF(E1997="Y",0,SUMIFS('Support - Transition'!G:G,'Support - Transition'!J:J,'Step 2'!D1997,'Support - Transition'!E:E,"2009 SCHOOL ALLOCATION FACTOR"))</f>
        <v>0</v>
      </c>
      <c r="Q1997" s="126">
        <f>IF(E1997="Y",VLOOKUP(D1997,'Support - Unit Adjustments'!F:G,2,FALSE),0)</f>
        <v>0</v>
      </c>
      <c r="R1997" s="155">
        <f t="shared" si="611"/>
        <v>0</v>
      </c>
      <c r="S1997" s="47">
        <f t="shared" si="610"/>
        <v>0</v>
      </c>
      <c r="T1997" s="151">
        <f t="shared" si="595"/>
        <v>3746</v>
      </c>
      <c r="U1997" s="151">
        <f t="shared" si="596"/>
        <v>0</v>
      </c>
      <c r="V1997" s="139">
        <f t="shared" si="597"/>
        <v>0</v>
      </c>
      <c r="W1997" s="152">
        <f t="shared" si="600"/>
        <v>3746</v>
      </c>
      <c r="X1997" s="127" t="str">
        <f t="shared" si="598"/>
        <v/>
      </c>
      <c r="Y1997" s="207">
        <f t="shared" si="601"/>
        <v>3746</v>
      </c>
      <c r="Z1997" s="139">
        <f t="shared" si="602"/>
        <v>3746</v>
      </c>
      <c r="AA1997" s="139">
        <f t="shared" si="603"/>
        <v>0</v>
      </c>
      <c r="AC1997" s="47">
        <f t="shared" si="604"/>
        <v>1873</v>
      </c>
      <c r="AD1997" s="47">
        <f t="shared" si="605"/>
        <v>1873</v>
      </c>
      <c r="AE1997" s="47">
        <f t="shared" si="606"/>
        <v>0</v>
      </c>
      <c r="AG1997" s="47">
        <f t="shared" si="607"/>
        <v>1873</v>
      </c>
      <c r="AH1997" s="47">
        <f t="shared" si="608"/>
        <v>1873</v>
      </c>
      <c r="AI1997" s="208">
        <f t="shared" si="609"/>
        <v>0</v>
      </c>
    </row>
    <row r="1998" spans="1:35">
      <c r="A1998" t="s">
        <v>2150</v>
      </c>
      <c r="B1998" t="s">
        <v>3166</v>
      </c>
      <c r="C1998" t="s">
        <v>2951</v>
      </c>
      <c r="D1998" t="s">
        <v>5490</v>
      </c>
      <c r="F1998" t="s">
        <v>1471</v>
      </c>
      <c r="G1998" s="126">
        <f>SUMIFS('Support - Transition'!F:F,'Support - Transition'!B:B,'Step 2'!A1998,'Support - Transition'!C:C,'Step 2'!B1998,'Support - Transition'!D:D,'Step 2'!C1998,'Support - Transition'!E:E,"CIVIL")</f>
        <v>0</v>
      </c>
      <c r="H1998" s="126">
        <f>SUMIFS('Support - Transition'!F:F,'Support - Transition'!B:B,'Step 2'!A1998,'Support - Transition'!C:C,'Step 2'!B1998,'Support - Transition'!D:D,'Step 2'!C1998,'Support - Transition'!E:E,"FIRE")</f>
        <v>0</v>
      </c>
      <c r="I1998" s="126">
        <f>IF(B1998="0",SUMIFS('Support - Transition'!F:F,'Support - Transition'!J:J,'Step 2'!D1998,'Support - Transition'!E:E,"STATE UNIT"),SUMIFS('Support - Transition'!F:F,'Support - Transition'!J:J,'Step 2'!D1998))</f>
        <v>5.0410000000000003E-3</v>
      </c>
      <c r="J1998" s="126">
        <f>SUMIFS('Support - Unit Adjustments'!E:E,'Support - Unit Adjustments'!F:F,'Step 2'!D1998)</f>
        <v>0</v>
      </c>
      <c r="K1998" s="126">
        <f t="shared" si="593"/>
        <v>5.0410000000000003E-3</v>
      </c>
      <c r="L1998" s="174">
        <f>VLOOKUP(A1998,'Step 1'!$A:$E,4,FALSE)</f>
        <v>235770</v>
      </c>
      <c r="M1998" s="47">
        <f t="shared" si="594"/>
        <v>1189</v>
      </c>
      <c r="N1998" s="177">
        <f>SUMIFS('Support - Transition'!G:G,'Support - Transition'!J:J,'Step 2'!D1998,'Support - Transition'!E:E,"2009 WELFARE ALLOCATION FACTOR")</f>
        <v>0</v>
      </c>
      <c r="O1998" s="152">
        <f t="shared" si="599"/>
        <v>0</v>
      </c>
      <c r="P1998" s="126">
        <f>IF(E1998="Y",0,SUMIFS('Support - Transition'!G:G,'Support - Transition'!J:J,'Step 2'!D1998,'Support - Transition'!E:E,"2009 SCHOOL ALLOCATION FACTOR"))</f>
        <v>0</v>
      </c>
      <c r="Q1998" s="126">
        <f>IF(E1998="Y",VLOOKUP(D1998,'Support - Unit Adjustments'!F:G,2,FALSE),0)</f>
        <v>0</v>
      </c>
      <c r="R1998" s="155">
        <f t="shared" si="611"/>
        <v>0</v>
      </c>
      <c r="S1998" s="47">
        <f t="shared" si="610"/>
        <v>0</v>
      </c>
      <c r="T1998" s="151">
        <f t="shared" si="595"/>
        <v>1189</v>
      </c>
      <c r="U1998" s="151">
        <f t="shared" si="596"/>
        <v>0</v>
      </c>
      <c r="V1998" s="139">
        <f t="shared" si="597"/>
        <v>0</v>
      </c>
      <c r="W1998" s="152">
        <f t="shared" si="600"/>
        <v>1189</v>
      </c>
      <c r="X1998" s="127" t="str">
        <f t="shared" si="598"/>
        <v/>
      </c>
      <c r="Y1998" s="207">
        <f t="shared" si="601"/>
        <v>1189</v>
      </c>
      <c r="Z1998" s="139">
        <f t="shared" si="602"/>
        <v>1189</v>
      </c>
      <c r="AA1998" s="139">
        <f t="shared" si="603"/>
        <v>0</v>
      </c>
      <c r="AC1998" s="47">
        <f t="shared" si="604"/>
        <v>595</v>
      </c>
      <c r="AD1998" s="47">
        <f t="shared" si="605"/>
        <v>595</v>
      </c>
      <c r="AE1998" s="47">
        <f t="shared" si="606"/>
        <v>0</v>
      </c>
      <c r="AG1998" s="47">
        <f t="shared" si="607"/>
        <v>594</v>
      </c>
      <c r="AH1998" s="47">
        <f t="shared" si="608"/>
        <v>594</v>
      </c>
      <c r="AI1998" s="208">
        <f t="shared" si="609"/>
        <v>0</v>
      </c>
    </row>
    <row r="1999" spans="1:35">
      <c r="A1999" t="s">
        <v>2150</v>
      </c>
      <c r="B1999" t="s">
        <v>3166</v>
      </c>
      <c r="C1999" t="s">
        <v>5491</v>
      </c>
      <c r="D1999" t="s">
        <v>5492</v>
      </c>
      <c r="F1999" t="s">
        <v>1472</v>
      </c>
      <c r="G1999" s="126">
        <f>SUMIFS('Support - Transition'!F:F,'Support - Transition'!B:B,'Step 2'!A1999,'Support - Transition'!C:C,'Step 2'!B1999,'Support - Transition'!D:D,'Step 2'!C1999,'Support - Transition'!E:E,"CIVIL")</f>
        <v>0</v>
      </c>
      <c r="H1999" s="126">
        <f>SUMIFS('Support - Transition'!F:F,'Support - Transition'!B:B,'Step 2'!A1999,'Support - Transition'!C:C,'Step 2'!B1999,'Support - Transition'!D:D,'Step 2'!C1999,'Support - Transition'!E:E,"FIRE")</f>
        <v>0</v>
      </c>
      <c r="I1999" s="126">
        <f>IF(B1999="0",SUMIFS('Support - Transition'!F:F,'Support - Transition'!J:J,'Step 2'!D1999,'Support - Transition'!E:E,"STATE UNIT"),SUMIFS('Support - Transition'!F:F,'Support - Transition'!J:J,'Step 2'!D1999))</f>
        <v>2.1624999999999894E-2</v>
      </c>
      <c r="J1999" s="126">
        <f>SUMIFS('Support - Unit Adjustments'!E:E,'Support - Unit Adjustments'!F:F,'Step 2'!D1999)</f>
        <v>0</v>
      </c>
      <c r="K1999" s="126">
        <f t="shared" si="593"/>
        <v>2.1624999999999894E-2</v>
      </c>
      <c r="L1999" s="174">
        <f>VLOOKUP(A1999,'Step 1'!$A:$E,4,FALSE)</f>
        <v>235770</v>
      </c>
      <c r="M1999" s="47">
        <f t="shared" si="594"/>
        <v>5099</v>
      </c>
      <c r="N1999" s="177">
        <f>SUMIFS('Support - Transition'!G:G,'Support - Transition'!J:J,'Step 2'!D1999,'Support - Transition'!E:E,"2009 WELFARE ALLOCATION FACTOR")</f>
        <v>0</v>
      </c>
      <c r="O1999" s="152">
        <f t="shared" si="599"/>
        <v>0</v>
      </c>
      <c r="P1999" s="126">
        <f>IF(E1999="Y",0,SUMIFS('Support - Transition'!G:G,'Support - Transition'!J:J,'Step 2'!D1999,'Support - Transition'!E:E,"2009 SCHOOL ALLOCATION FACTOR"))</f>
        <v>0</v>
      </c>
      <c r="Q1999" s="126">
        <f>IF(E1999="Y",VLOOKUP(D1999,'Support - Unit Adjustments'!F:G,2,FALSE),0)</f>
        <v>0</v>
      </c>
      <c r="R1999" s="155">
        <f t="shared" si="611"/>
        <v>0</v>
      </c>
      <c r="S1999" s="47">
        <f t="shared" si="610"/>
        <v>0</v>
      </c>
      <c r="T1999" s="151">
        <f t="shared" si="595"/>
        <v>5099</v>
      </c>
      <c r="U1999" s="151">
        <f t="shared" si="596"/>
        <v>0</v>
      </c>
      <c r="V1999" s="139">
        <f t="shared" si="597"/>
        <v>0</v>
      </c>
      <c r="W1999" s="152">
        <f t="shared" si="600"/>
        <v>5099</v>
      </c>
      <c r="X1999" s="127" t="str">
        <f t="shared" si="598"/>
        <v/>
      </c>
      <c r="Y1999" s="207">
        <f t="shared" si="601"/>
        <v>5099</v>
      </c>
      <c r="Z1999" s="139">
        <f t="shared" si="602"/>
        <v>5099</v>
      </c>
      <c r="AA1999" s="139">
        <f t="shared" si="603"/>
        <v>0</v>
      </c>
      <c r="AC1999" s="47">
        <f t="shared" si="604"/>
        <v>2550</v>
      </c>
      <c r="AD1999" s="47">
        <f t="shared" si="605"/>
        <v>2550</v>
      </c>
      <c r="AE1999" s="47">
        <f t="shared" si="606"/>
        <v>0</v>
      </c>
      <c r="AG1999" s="47">
        <f t="shared" si="607"/>
        <v>2549</v>
      </c>
      <c r="AH1999" s="47">
        <f t="shared" si="608"/>
        <v>2549</v>
      </c>
      <c r="AI1999" s="208">
        <f t="shared" si="609"/>
        <v>0</v>
      </c>
    </row>
    <row r="2000" spans="1:35">
      <c r="A2000" t="s">
        <v>2150</v>
      </c>
      <c r="B2000" t="s">
        <v>3170</v>
      </c>
      <c r="C2000" t="s">
        <v>3281</v>
      </c>
      <c r="D2000" t="s">
        <v>5493</v>
      </c>
      <c r="F2000" t="s">
        <v>131</v>
      </c>
      <c r="G2000" s="126">
        <f>SUMIFS('Support - Transition'!F:F,'Support - Transition'!B:B,'Step 2'!A2000,'Support - Transition'!C:C,'Step 2'!B2000,'Support - Transition'!D:D,'Step 2'!C2000,'Support - Transition'!E:E,"CIVIL")</f>
        <v>0</v>
      </c>
      <c r="H2000" s="126">
        <f>SUMIFS('Support - Transition'!F:F,'Support - Transition'!B:B,'Step 2'!A2000,'Support - Transition'!C:C,'Step 2'!B2000,'Support - Transition'!D:D,'Step 2'!C2000,'Support - Transition'!E:E,"FIRE")</f>
        <v>0</v>
      </c>
      <c r="I2000" s="126">
        <f>IF(B2000="0",SUMIFS('Support - Transition'!F:F,'Support - Transition'!J:J,'Step 2'!D2000,'Support - Transition'!E:E,"STATE UNIT"),SUMIFS('Support - Transition'!F:F,'Support - Transition'!J:J,'Step 2'!D2000))</f>
        <v>0</v>
      </c>
      <c r="J2000" s="126">
        <f>SUMIFS('Support - Unit Adjustments'!E:E,'Support - Unit Adjustments'!F:F,'Step 2'!D2000)</f>
        <v>0</v>
      </c>
      <c r="K2000" s="126">
        <f t="shared" si="593"/>
        <v>0</v>
      </c>
      <c r="L2000" s="174">
        <f>VLOOKUP(A2000,'Step 1'!$A:$E,4,FALSE)</f>
        <v>235770</v>
      </c>
      <c r="M2000" s="47">
        <f t="shared" si="594"/>
        <v>0</v>
      </c>
      <c r="N2000" s="177">
        <f>SUMIFS('Support - Transition'!G:G,'Support - Transition'!J:J,'Step 2'!D2000,'Support - Transition'!E:E,"2009 WELFARE ALLOCATION FACTOR")</f>
        <v>0</v>
      </c>
      <c r="O2000" s="152">
        <f t="shared" si="599"/>
        <v>0</v>
      </c>
      <c r="P2000" s="126">
        <f>IF(E2000="Y",0,SUMIFS('Support - Transition'!G:G,'Support - Transition'!J:J,'Step 2'!D2000,'Support - Transition'!E:E,"2009 SCHOOL ALLOCATION FACTOR"))</f>
        <v>0</v>
      </c>
      <c r="Q2000" s="126">
        <f>IF(E2000="Y",VLOOKUP(D2000,'Support - Unit Adjustments'!F:G,2,FALSE),0)</f>
        <v>0</v>
      </c>
      <c r="R2000" s="155">
        <f t="shared" si="611"/>
        <v>0</v>
      </c>
      <c r="S2000" s="47">
        <f t="shared" si="610"/>
        <v>0</v>
      </c>
      <c r="T2000" s="151">
        <f t="shared" si="595"/>
        <v>0</v>
      </c>
      <c r="U2000" s="151">
        <f t="shared" si="596"/>
        <v>0</v>
      </c>
      <c r="V2000" s="139">
        <f t="shared" si="597"/>
        <v>0</v>
      </c>
      <c r="W2000" s="152">
        <f t="shared" si="600"/>
        <v>0</v>
      </c>
      <c r="X2000" s="127" t="str">
        <f t="shared" si="598"/>
        <v/>
      </c>
      <c r="Y2000" s="207">
        <f t="shared" si="601"/>
        <v>0</v>
      </c>
      <c r="Z2000" s="139">
        <f t="shared" si="602"/>
        <v>0</v>
      </c>
      <c r="AA2000" s="139">
        <f t="shared" si="603"/>
        <v>0</v>
      </c>
      <c r="AC2000" s="47">
        <f t="shared" si="604"/>
        <v>0</v>
      </c>
      <c r="AD2000" s="47">
        <f t="shared" si="605"/>
        <v>0</v>
      </c>
      <c r="AE2000" s="47">
        <f t="shared" si="606"/>
        <v>0</v>
      </c>
      <c r="AG2000" s="47">
        <f t="shared" si="607"/>
        <v>0</v>
      </c>
      <c r="AH2000" s="47">
        <f t="shared" si="608"/>
        <v>0</v>
      </c>
      <c r="AI2000" s="208">
        <f t="shared" si="609"/>
        <v>0</v>
      </c>
    </row>
    <row r="2001" spans="1:35">
      <c r="A2001" t="s">
        <v>2150</v>
      </c>
      <c r="B2001" t="s">
        <v>3286</v>
      </c>
      <c r="C2001" t="s">
        <v>2195</v>
      </c>
      <c r="D2001" t="s">
        <v>5494</v>
      </c>
      <c r="F2001" t="s">
        <v>3969</v>
      </c>
      <c r="G2001" s="126">
        <f>SUMIFS('Support - Transition'!F:F,'Support - Transition'!B:B,'Step 2'!A2001,'Support - Transition'!C:C,'Step 2'!B2001,'Support - Transition'!D:D,'Step 2'!C2001,'Support - Transition'!E:E,"CIVIL")</f>
        <v>0</v>
      </c>
      <c r="H2001" s="126">
        <f>SUMIFS('Support - Transition'!F:F,'Support - Transition'!B:B,'Step 2'!A2001,'Support - Transition'!C:C,'Step 2'!B2001,'Support - Transition'!D:D,'Step 2'!C2001,'Support - Transition'!E:E,"FIRE")</f>
        <v>0</v>
      </c>
      <c r="I2001" s="126">
        <f>IF(B2001="0",SUMIFS('Support - Transition'!F:F,'Support - Transition'!J:J,'Step 2'!D2001,'Support - Transition'!E:E,"STATE UNIT"),SUMIFS('Support - Transition'!F:F,'Support - Transition'!J:J,'Step 2'!D2001))</f>
        <v>0</v>
      </c>
      <c r="J2001" s="126">
        <f>SUMIFS('Support - Unit Adjustments'!E:E,'Support - Unit Adjustments'!F:F,'Step 2'!D2001)</f>
        <v>0</v>
      </c>
      <c r="K2001" s="126">
        <f t="shared" si="593"/>
        <v>0</v>
      </c>
      <c r="L2001" s="174">
        <f>VLOOKUP(A2001,'Step 1'!$A:$E,4,FALSE)</f>
        <v>235770</v>
      </c>
      <c r="M2001" s="47">
        <f t="shared" si="594"/>
        <v>0</v>
      </c>
      <c r="N2001" s="177">
        <f>SUMIFS('Support - Transition'!G:G,'Support - Transition'!J:J,'Step 2'!D2001,'Support - Transition'!E:E,"2009 WELFARE ALLOCATION FACTOR")</f>
        <v>0</v>
      </c>
      <c r="O2001" s="152">
        <f t="shared" si="599"/>
        <v>0</v>
      </c>
      <c r="P2001" s="126">
        <f>IF(E2001="Y",0,SUMIFS('Support - Transition'!G:G,'Support - Transition'!J:J,'Step 2'!D2001,'Support - Transition'!E:E,"2009 SCHOOL ALLOCATION FACTOR"))</f>
        <v>0</v>
      </c>
      <c r="Q2001" s="126">
        <f>IF(E2001="Y",VLOOKUP(D2001,'Support - Unit Adjustments'!F:G,2,FALSE),0)</f>
        <v>0</v>
      </c>
      <c r="R2001" s="155">
        <f t="shared" si="611"/>
        <v>0</v>
      </c>
      <c r="S2001" s="47">
        <f t="shared" si="610"/>
        <v>0</v>
      </c>
      <c r="T2001" s="151">
        <f t="shared" si="595"/>
        <v>0</v>
      </c>
      <c r="U2001" s="151">
        <f t="shared" si="596"/>
        <v>0</v>
      </c>
      <c r="V2001" s="139">
        <f t="shared" si="597"/>
        <v>0</v>
      </c>
      <c r="W2001" s="152">
        <f t="shared" si="600"/>
        <v>0</v>
      </c>
      <c r="X2001" s="127" t="str">
        <f t="shared" si="598"/>
        <v/>
      </c>
      <c r="Y2001" s="207">
        <f t="shared" si="601"/>
        <v>0</v>
      </c>
      <c r="Z2001" s="139">
        <f t="shared" si="602"/>
        <v>0</v>
      </c>
      <c r="AA2001" s="139">
        <f t="shared" si="603"/>
        <v>0</v>
      </c>
      <c r="AC2001" s="47">
        <f t="shared" si="604"/>
        <v>0</v>
      </c>
      <c r="AD2001" s="47">
        <f t="shared" si="605"/>
        <v>0</v>
      </c>
      <c r="AE2001" s="47">
        <f t="shared" si="606"/>
        <v>0</v>
      </c>
      <c r="AG2001" s="47">
        <f t="shared" si="607"/>
        <v>0</v>
      </c>
      <c r="AH2001" s="47">
        <f t="shared" si="608"/>
        <v>0</v>
      </c>
      <c r="AI2001" s="208">
        <f t="shared" si="609"/>
        <v>0</v>
      </c>
    </row>
    <row r="2002" spans="1:35">
      <c r="A2002" t="s">
        <v>2150</v>
      </c>
      <c r="B2002" t="s">
        <v>3286</v>
      </c>
      <c r="C2002" t="s">
        <v>3970</v>
      </c>
      <c r="D2002" t="s">
        <v>5495</v>
      </c>
      <c r="F2002" t="s">
        <v>3972</v>
      </c>
      <c r="G2002" s="126">
        <f>SUMIFS('Support - Transition'!F:F,'Support - Transition'!B:B,'Step 2'!A2002,'Support - Transition'!C:C,'Step 2'!B2002,'Support - Transition'!D:D,'Step 2'!C2002,'Support - Transition'!E:E,"CIVIL")</f>
        <v>0</v>
      </c>
      <c r="H2002" s="126">
        <f>SUMIFS('Support - Transition'!F:F,'Support - Transition'!B:B,'Step 2'!A2002,'Support - Transition'!C:C,'Step 2'!B2002,'Support - Transition'!D:D,'Step 2'!C2002,'Support - Transition'!E:E,"FIRE")</f>
        <v>0</v>
      </c>
      <c r="I2002" s="126">
        <f>IF(B2002="0",SUMIFS('Support - Transition'!F:F,'Support - Transition'!J:J,'Step 2'!D2002,'Support - Transition'!E:E,"STATE UNIT"),SUMIFS('Support - Transition'!F:F,'Support - Transition'!J:J,'Step 2'!D2002))</f>
        <v>0</v>
      </c>
      <c r="J2002" s="126">
        <f>SUMIFS('Support - Unit Adjustments'!E:E,'Support - Unit Adjustments'!F:F,'Step 2'!D2002)</f>
        <v>0</v>
      </c>
      <c r="K2002" s="126">
        <f t="shared" si="593"/>
        <v>0</v>
      </c>
      <c r="L2002" s="174">
        <f>VLOOKUP(A2002,'Step 1'!$A:$E,4,FALSE)</f>
        <v>235770</v>
      </c>
      <c r="M2002" s="47">
        <f t="shared" si="594"/>
        <v>0</v>
      </c>
      <c r="N2002" s="177">
        <f>SUMIFS('Support - Transition'!G:G,'Support - Transition'!J:J,'Step 2'!D2002,'Support - Transition'!E:E,"2009 WELFARE ALLOCATION FACTOR")</f>
        <v>0</v>
      </c>
      <c r="O2002" s="152">
        <f t="shared" si="599"/>
        <v>0</v>
      </c>
      <c r="P2002" s="126">
        <f>IF(E2002="Y",0,SUMIFS('Support - Transition'!G:G,'Support - Transition'!J:J,'Step 2'!D2002,'Support - Transition'!E:E,"2009 SCHOOL ALLOCATION FACTOR"))</f>
        <v>0</v>
      </c>
      <c r="Q2002" s="126">
        <f>IF(E2002="Y",VLOOKUP(D2002,'Support - Unit Adjustments'!F:G,2,FALSE),0)</f>
        <v>0</v>
      </c>
      <c r="R2002" s="155">
        <f t="shared" si="611"/>
        <v>0</v>
      </c>
      <c r="S2002" s="47">
        <f t="shared" si="610"/>
        <v>0</v>
      </c>
      <c r="T2002" s="151">
        <f t="shared" si="595"/>
        <v>0</v>
      </c>
      <c r="U2002" s="151">
        <f t="shared" si="596"/>
        <v>0</v>
      </c>
      <c r="V2002" s="139">
        <f t="shared" si="597"/>
        <v>0</v>
      </c>
      <c r="W2002" s="152">
        <f t="shared" si="600"/>
        <v>0</v>
      </c>
      <c r="X2002" s="127" t="str">
        <f t="shared" si="598"/>
        <v/>
      </c>
      <c r="Y2002" s="207">
        <f t="shared" si="601"/>
        <v>0</v>
      </c>
      <c r="Z2002" s="139">
        <f t="shared" si="602"/>
        <v>0</v>
      </c>
      <c r="AA2002" s="139">
        <f t="shared" si="603"/>
        <v>0</v>
      </c>
      <c r="AC2002" s="47">
        <f t="shared" si="604"/>
        <v>0</v>
      </c>
      <c r="AD2002" s="47">
        <f t="shared" si="605"/>
        <v>0</v>
      </c>
      <c r="AE2002" s="47">
        <f t="shared" si="606"/>
        <v>0</v>
      </c>
      <c r="AG2002" s="47">
        <f t="shared" si="607"/>
        <v>0</v>
      </c>
      <c r="AH2002" s="47">
        <f t="shared" si="608"/>
        <v>0</v>
      </c>
      <c r="AI2002" s="208">
        <f t="shared" si="609"/>
        <v>0</v>
      </c>
    </row>
    <row r="2003" spans="1:35">
      <c r="A2003" t="s">
        <v>2151</v>
      </c>
      <c r="B2003" s="48" t="s">
        <v>6274</v>
      </c>
      <c r="C2003" t="s">
        <v>2187</v>
      </c>
      <c r="D2003" t="str">
        <f>A2003&amp;B2003&amp;C2003</f>
        <v>6700000</v>
      </c>
      <c r="F2003" t="s">
        <v>6341</v>
      </c>
      <c r="G2003" s="126">
        <f>SUMIFS('Support - Transition'!F:F,'Support - Transition'!B:B,'Step 2'!A2003,'Support - Transition'!C:C,'Step 2'!B2003,'Support - Transition'!D:D,'Step 2'!C2003,'Support - Transition'!E:E,"CIVIL")</f>
        <v>0</v>
      </c>
      <c r="H2003" s="126">
        <f>SUMIFS('Support - Transition'!F:F,'Support - Transition'!B:B,'Step 2'!A2003,'Support - Transition'!C:C,'Step 2'!B2003,'Support - Transition'!D:D,'Step 2'!C2003,'Support - Transition'!E:E,"FIRE")</f>
        <v>0</v>
      </c>
      <c r="I2003" s="126">
        <f>IF(B2003="0",SUMIFS('Support - Transition'!F:F,'Support - Transition'!J:J,'Step 2'!D2003,'Support - Transition'!E:E,"STATE UNIT"),SUMIFS('Support - Transition'!F:F,'Support - Transition'!J:J,'Step 2'!D2003))</f>
        <v>1.3810000000000001E-3</v>
      </c>
      <c r="J2003" s="126">
        <f>SUMIFS('Support - Unit Adjustments'!E:E,'Support - Unit Adjustments'!F:F,'Step 2'!D2003)</f>
        <v>0</v>
      </c>
      <c r="K2003" s="126">
        <f t="shared" si="593"/>
        <v>1.3810000000000001E-3</v>
      </c>
      <c r="L2003" s="174">
        <f>VLOOKUP(A2003,'Step 1'!$A:$E,4,FALSE)</f>
        <v>234199</v>
      </c>
      <c r="M2003" s="47">
        <f t="shared" si="594"/>
        <v>323</v>
      </c>
      <c r="N2003" s="177">
        <f>SUMIFS('Support - Transition'!G:G,'Support - Transition'!J:J,'Step 2'!D2003,'Support - Transition'!E:E,"2009 WELFARE ALLOCATION FACTOR")</f>
        <v>0</v>
      </c>
      <c r="O2003" s="152">
        <f t="shared" si="599"/>
        <v>0</v>
      </c>
      <c r="P2003" s="126">
        <f>IF(E2003="Y",0,SUMIFS('Support - Transition'!G:G,'Support - Transition'!J:J,'Step 2'!D2003,'Support - Transition'!E:E,"2009 SCHOOL ALLOCATION FACTOR"))</f>
        <v>0</v>
      </c>
      <c r="Q2003" s="126">
        <f>IF(E2003="Y",VLOOKUP(D2003,'Support - Unit Adjustments'!F:G,2,FALSE),0)</f>
        <v>0</v>
      </c>
      <c r="R2003" s="155">
        <f t="shared" si="611"/>
        <v>0</v>
      </c>
      <c r="S2003" s="47">
        <f t="shared" si="610"/>
        <v>0</v>
      </c>
      <c r="T2003" s="151">
        <f t="shared" si="595"/>
        <v>323</v>
      </c>
      <c r="U2003" s="151">
        <f t="shared" si="596"/>
        <v>234198</v>
      </c>
      <c r="V2003" s="139">
        <f t="shared" si="597"/>
        <v>-1</v>
      </c>
      <c r="W2003" s="152">
        <f t="shared" si="600"/>
        <v>324</v>
      </c>
      <c r="X2003" s="127">
        <f t="shared" si="598"/>
        <v>0</v>
      </c>
      <c r="Y2003" s="207">
        <f t="shared" si="601"/>
        <v>324</v>
      </c>
      <c r="Z2003" s="139">
        <f t="shared" si="602"/>
        <v>324</v>
      </c>
      <c r="AA2003" s="139">
        <f t="shared" si="603"/>
        <v>0</v>
      </c>
      <c r="AC2003" s="47">
        <f t="shared" si="604"/>
        <v>162</v>
      </c>
      <c r="AD2003" s="47">
        <f t="shared" si="605"/>
        <v>162</v>
      </c>
      <c r="AE2003" s="47">
        <f t="shared" si="606"/>
        <v>0</v>
      </c>
      <c r="AG2003" s="47">
        <f t="shared" si="607"/>
        <v>162</v>
      </c>
      <c r="AH2003" s="47">
        <f t="shared" si="608"/>
        <v>162</v>
      </c>
      <c r="AI2003" s="208">
        <f t="shared" si="609"/>
        <v>0</v>
      </c>
    </row>
    <row r="2004" spans="1:35">
      <c r="A2004" t="s">
        <v>2151</v>
      </c>
      <c r="B2004" t="s">
        <v>3140</v>
      </c>
      <c r="C2004" t="s">
        <v>2187</v>
      </c>
      <c r="D2004" t="s">
        <v>5496</v>
      </c>
      <c r="F2004" t="s">
        <v>1474</v>
      </c>
      <c r="G2004" s="126">
        <f>SUMIFS('Support - Transition'!F:F,'Support - Transition'!B:B,'Step 2'!A2004,'Support - Transition'!C:C,'Step 2'!B2004,'Support - Transition'!D:D,'Step 2'!C2004,'Support - Transition'!E:E,"CIVIL")</f>
        <v>0</v>
      </c>
      <c r="H2004" s="126">
        <f>SUMIFS('Support - Transition'!F:F,'Support - Transition'!B:B,'Step 2'!A2004,'Support - Transition'!C:C,'Step 2'!B2004,'Support - Transition'!D:D,'Step 2'!C2004,'Support - Transition'!E:E,"FIRE")</f>
        <v>0</v>
      </c>
      <c r="I2004" s="126">
        <f>IF(B2004="0",SUMIFS('Support - Transition'!F:F,'Support - Transition'!J:J,'Step 2'!D2004,'Support - Transition'!E:E,"STATE UNIT"),SUMIFS('Support - Transition'!F:F,'Support - Transition'!J:J,'Step 2'!D2004))</f>
        <v>0.17558399999999999</v>
      </c>
      <c r="J2004" s="126">
        <f>SUMIFS('Support - Unit Adjustments'!E:E,'Support - Unit Adjustments'!F:F,'Step 2'!D2004)</f>
        <v>0</v>
      </c>
      <c r="K2004" s="126">
        <f t="shared" si="593"/>
        <v>0.17558399999999999</v>
      </c>
      <c r="L2004" s="174">
        <f>VLOOKUP(A2004,'Step 1'!$A:$E,4,FALSE)</f>
        <v>234199</v>
      </c>
      <c r="M2004" s="47">
        <f t="shared" si="594"/>
        <v>41122</v>
      </c>
      <c r="N2004" s="177">
        <f>SUMIFS('Support - Transition'!G:G,'Support - Transition'!J:J,'Step 2'!D2004,'Support - Transition'!E:E,"2009 WELFARE ALLOCATION FACTOR")</f>
        <v>0.25581399999999999</v>
      </c>
      <c r="O2004" s="152">
        <f t="shared" si="599"/>
        <v>10520</v>
      </c>
      <c r="P2004" s="126">
        <f>IF(E2004="Y",0,SUMIFS('Support - Transition'!G:G,'Support - Transition'!J:J,'Step 2'!D2004,'Support - Transition'!E:E,"2009 SCHOOL ALLOCATION FACTOR"))</f>
        <v>0</v>
      </c>
      <c r="Q2004" s="126">
        <f>IF(E2004="Y",VLOOKUP(D2004,'Support - Unit Adjustments'!F:G,2,FALSE),0)</f>
        <v>0</v>
      </c>
      <c r="R2004" s="155">
        <f t="shared" si="611"/>
        <v>0</v>
      </c>
      <c r="S2004" s="47">
        <f t="shared" si="610"/>
        <v>0</v>
      </c>
      <c r="T2004" s="151">
        <f t="shared" si="595"/>
        <v>30602</v>
      </c>
      <c r="U2004" s="151">
        <f t="shared" si="596"/>
        <v>0</v>
      </c>
      <c r="V2004" s="139">
        <f t="shared" si="597"/>
        <v>0</v>
      </c>
      <c r="W2004" s="152">
        <f t="shared" si="600"/>
        <v>30602</v>
      </c>
      <c r="X2004" s="127" t="str">
        <f t="shared" si="598"/>
        <v/>
      </c>
      <c r="Y2004" s="207">
        <f t="shared" si="601"/>
        <v>30602</v>
      </c>
      <c r="Z2004" s="139">
        <f t="shared" si="602"/>
        <v>30602</v>
      </c>
      <c r="AA2004" s="139">
        <f t="shared" si="603"/>
        <v>0</v>
      </c>
      <c r="AC2004" s="47">
        <f t="shared" si="604"/>
        <v>15301</v>
      </c>
      <c r="AD2004" s="47">
        <f t="shared" si="605"/>
        <v>15301</v>
      </c>
      <c r="AE2004" s="47">
        <f t="shared" si="606"/>
        <v>0</v>
      </c>
      <c r="AG2004" s="47">
        <f t="shared" si="607"/>
        <v>15301</v>
      </c>
      <c r="AH2004" s="47">
        <f t="shared" si="608"/>
        <v>15301</v>
      </c>
      <c r="AI2004" s="208">
        <f t="shared" si="609"/>
        <v>0</v>
      </c>
    </row>
    <row r="2005" spans="1:35">
      <c r="A2005" t="s">
        <v>2151</v>
      </c>
      <c r="B2005" t="s">
        <v>3142</v>
      </c>
      <c r="C2005" t="s">
        <v>2188</v>
      </c>
      <c r="D2005" t="s">
        <v>5497</v>
      </c>
      <c r="F2005" t="s">
        <v>147</v>
      </c>
      <c r="G2005" s="126">
        <f>SUMIFS('Support - Transition'!F:F,'Support - Transition'!B:B,'Step 2'!A2005,'Support - Transition'!C:C,'Step 2'!B2005,'Support - Transition'!D:D,'Step 2'!C2005,'Support - Transition'!E:E,"CIVIL")</f>
        <v>1.17E-4</v>
      </c>
      <c r="H2005" s="126">
        <f>SUMIFS('Support - Transition'!F:F,'Support - Transition'!B:B,'Step 2'!A2005,'Support - Transition'!C:C,'Step 2'!B2005,'Support - Transition'!D:D,'Step 2'!C2005,'Support - Transition'!E:E,"FIRE")</f>
        <v>0</v>
      </c>
      <c r="I2005" s="126">
        <f>IF(B2005="0",SUMIFS('Support - Transition'!F:F,'Support - Transition'!J:J,'Step 2'!D2005,'Support - Transition'!E:E,"STATE UNIT"),SUMIFS('Support - Transition'!F:F,'Support - Transition'!J:J,'Step 2'!D2005))</f>
        <v>1.17E-4</v>
      </c>
      <c r="J2005" s="126">
        <f>SUMIFS('Support - Unit Adjustments'!E:E,'Support - Unit Adjustments'!F:F,'Step 2'!D2005)</f>
        <v>0</v>
      </c>
      <c r="K2005" s="126">
        <f t="shared" si="593"/>
        <v>1.17E-4</v>
      </c>
      <c r="L2005" s="174">
        <f>VLOOKUP(A2005,'Step 1'!$A:$E,4,FALSE)</f>
        <v>234199</v>
      </c>
      <c r="M2005" s="47">
        <f t="shared" si="594"/>
        <v>27</v>
      </c>
      <c r="N2005" s="177">
        <f>SUMIFS('Support - Transition'!G:G,'Support - Transition'!J:J,'Step 2'!D2005,'Support - Transition'!E:E,"2009 WELFARE ALLOCATION FACTOR")</f>
        <v>0</v>
      </c>
      <c r="O2005" s="152">
        <f t="shared" si="599"/>
        <v>0</v>
      </c>
      <c r="P2005" s="126">
        <f>IF(E2005="Y",0,SUMIFS('Support - Transition'!G:G,'Support - Transition'!J:J,'Step 2'!D2005,'Support - Transition'!E:E,"2009 SCHOOL ALLOCATION FACTOR"))</f>
        <v>0</v>
      </c>
      <c r="Q2005" s="126">
        <f>IF(E2005="Y",VLOOKUP(D2005,'Support - Unit Adjustments'!F:G,2,FALSE),0)</f>
        <v>0</v>
      </c>
      <c r="R2005" s="155">
        <f t="shared" si="611"/>
        <v>0</v>
      </c>
      <c r="S2005" s="47">
        <f t="shared" si="610"/>
        <v>0</v>
      </c>
      <c r="T2005" s="151">
        <f t="shared" si="595"/>
        <v>27</v>
      </c>
      <c r="U2005" s="151">
        <f t="shared" si="596"/>
        <v>0</v>
      </c>
      <c r="V2005" s="139">
        <f t="shared" si="597"/>
        <v>0</v>
      </c>
      <c r="W2005" s="152">
        <f t="shared" si="600"/>
        <v>27</v>
      </c>
      <c r="X2005" s="127" t="str">
        <f t="shared" si="598"/>
        <v/>
      </c>
      <c r="Y2005" s="207">
        <f t="shared" si="601"/>
        <v>27</v>
      </c>
      <c r="Z2005" s="139">
        <f t="shared" si="602"/>
        <v>27</v>
      </c>
      <c r="AA2005" s="139">
        <f t="shared" si="603"/>
        <v>0</v>
      </c>
      <c r="AC2005" s="47">
        <f t="shared" si="604"/>
        <v>14</v>
      </c>
      <c r="AD2005" s="47">
        <f t="shared" si="605"/>
        <v>14</v>
      </c>
      <c r="AE2005" s="47">
        <f t="shared" si="606"/>
        <v>0</v>
      </c>
      <c r="AG2005" s="47">
        <f t="shared" si="607"/>
        <v>13</v>
      </c>
      <c r="AH2005" s="47">
        <f t="shared" si="608"/>
        <v>13</v>
      </c>
      <c r="AI2005" s="208">
        <f t="shared" si="609"/>
        <v>0</v>
      </c>
    </row>
    <row r="2006" spans="1:35">
      <c r="A2006" t="s">
        <v>2151</v>
      </c>
      <c r="B2006" t="s">
        <v>3142</v>
      </c>
      <c r="C2006" t="s">
        <v>2189</v>
      </c>
      <c r="D2006" t="s">
        <v>5498</v>
      </c>
      <c r="F2006" t="s">
        <v>1475</v>
      </c>
      <c r="G2006" s="126">
        <f>SUMIFS('Support - Transition'!F:F,'Support - Transition'!B:B,'Step 2'!A2006,'Support - Transition'!C:C,'Step 2'!B2006,'Support - Transition'!D:D,'Step 2'!C2006,'Support - Transition'!E:E,"CIVIL")</f>
        <v>2.2100000000000002E-3</v>
      </c>
      <c r="H2006" s="126">
        <f>SUMIFS('Support - Transition'!F:F,'Support - Transition'!B:B,'Step 2'!A2006,'Support - Transition'!C:C,'Step 2'!B2006,'Support - Transition'!D:D,'Step 2'!C2006,'Support - Transition'!E:E,"FIRE")</f>
        <v>4.75E-4</v>
      </c>
      <c r="I2006" s="126">
        <f>IF(B2006="0",SUMIFS('Support - Transition'!F:F,'Support - Transition'!J:J,'Step 2'!D2006,'Support - Transition'!E:E,"STATE UNIT"),SUMIFS('Support - Transition'!F:F,'Support - Transition'!J:J,'Step 2'!D2006))</f>
        <v>2.6850000000000003E-3</v>
      </c>
      <c r="J2006" s="126">
        <f>SUMIFS('Support - Unit Adjustments'!E:E,'Support - Unit Adjustments'!F:F,'Step 2'!D2006)</f>
        <v>0</v>
      </c>
      <c r="K2006" s="126">
        <f t="shared" si="593"/>
        <v>2.6850000000000003E-3</v>
      </c>
      <c r="L2006" s="174">
        <f>VLOOKUP(A2006,'Step 1'!$A:$E,4,FALSE)</f>
        <v>234199</v>
      </c>
      <c r="M2006" s="47">
        <f t="shared" si="594"/>
        <v>629</v>
      </c>
      <c r="N2006" s="177">
        <f>SUMIFS('Support - Transition'!G:G,'Support - Transition'!J:J,'Step 2'!D2006,'Support - Transition'!E:E,"2009 WELFARE ALLOCATION FACTOR")</f>
        <v>0</v>
      </c>
      <c r="O2006" s="152">
        <f t="shared" si="599"/>
        <v>0</v>
      </c>
      <c r="P2006" s="126">
        <f>IF(E2006="Y",0,SUMIFS('Support - Transition'!G:G,'Support - Transition'!J:J,'Step 2'!D2006,'Support - Transition'!E:E,"2009 SCHOOL ALLOCATION FACTOR"))</f>
        <v>0</v>
      </c>
      <c r="Q2006" s="126">
        <f>IF(E2006="Y",VLOOKUP(D2006,'Support - Unit Adjustments'!F:G,2,FALSE),0)</f>
        <v>0</v>
      </c>
      <c r="R2006" s="155">
        <f t="shared" si="611"/>
        <v>0</v>
      </c>
      <c r="S2006" s="47">
        <f t="shared" si="610"/>
        <v>0</v>
      </c>
      <c r="T2006" s="151">
        <f t="shared" si="595"/>
        <v>629</v>
      </c>
      <c r="U2006" s="151">
        <f t="shared" si="596"/>
        <v>0</v>
      </c>
      <c r="V2006" s="139">
        <f t="shared" si="597"/>
        <v>0</v>
      </c>
      <c r="W2006" s="152">
        <f t="shared" si="600"/>
        <v>629</v>
      </c>
      <c r="X2006" s="127" t="str">
        <f t="shared" si="598"/>
        <v/>
      </c>
      <c r="Y2006" s="207">
        <f t="shared" si="601"/>
        <v>629</v>
      </c>
      <c r="Z2006" s="139">
        <f t="shared" si="602"/>
        <v>518</v>
      </c>
      <c r="AA2006" s="139">
        <f t="shared" si="603"/>
        <v>111</v>
      </c>
      <c r="AC2006" s="47">
        <f t="shared" si="604"/>
        <v>315</v>
      </c>
      <c r="AD2006" s="47">
        <f t="shared" si="605"/>
        <v>259</v>
      </c>
      <c r="AE2006" s="47">
        <f t="shared" si="606"/>
        <v>56</v>
      </c>
      <c r="AG2006" s="47">
        <f t="shared" si="607"/>
        <v>314</v>
      </c>
      <c r="AH2006" s="47">
        <f t="shared" si="608"/>
        <v>259</v>
      </c>
      <c r="AI2006" s="208">
        <f t="shared" si="609"/>
        <v>55</v>
      </c>
    </row>
    <row r="2007" spans="1:35">
      <c r="A2007" t="s">
        <v>2151</v>
      </c>
      <c r="B2007" t="s">
        <v>3142</v>
      </c>
      <c r="C2007" t="s">
        <v>2190</v>
      </c>
      <c r="D2007" t="s">
        <v>5499</v>
      </c>
      <c r="F2007" t="s">
        <v>1476</v>
      </c>
      <c r="G2007" s="126">
        <f>SUMIFS('Support - Transition'!F:F,'Support - Transition'!B:B,'Step 2'!A2007,'Support - Transition'!C:C,'Step 2'!B2007,'Support - Transition'!D:D,'Step 2'!C2007,'Support - Transition'!E:E,"CIVIL")</f>
        <v>6.8499999999999995E-4</v>
      </c>
      <c r="H2007" s="126">
        <f>SUMIFS('Support - Transition'!F:F,'Support - Transition'!B:B,'Step 2'!A2007,'Support - Transition'!C:C,'Step 2'!B2007,'Support - Transition'!D:D,'Step 2'!C2007,'Support - Transition'!E:E,"FIRE")</f>
        <v>0</v>
      </c>
      <c r="I2007" s="126">
        <f>IF(B2007="0",SUMIFS('Support - Transition'!F:F,'Support - Transition'!J:J,'Step 2'!D2007,'Support - Transition'!E:E,"STATE UNIT"),SUMIFS('Support - Transition'!F:F,'Support - Transition'!J:J,'Step 2'!D2007))</f>
        <v>6.8499999999999995E-4</v>
      </c>
      <c r="J2007" s="126">
        <f>SUMIFS('Support - Unit Adjustments'!E:E,'Support - Unit Adjustments'!F:F,'Step 2'!D2007)</f>
        <v>0</v>
      </c>
      <c r="K2007" s="126">
        <f t="shared" si="593"/>
        <v>6.8499999999999995E-4</v>
      </c>
      <c r="L2007" s="174">
        <f>VLOOKUP(A2007,'Step 1'!$A:$E,4,FALSE)</f>
        <v>234199</v>
      </c>
      <c r="M2007" s="47">
        <f t="shared" si="594"/>
        <v>160</v>
      </c>
      <c r="N2007" s="177">
        <f>SUMIFS('Support - Transition'!G:G,'Support - Transition'!J:J,'Step 2'!D2007,'Support - Transition'!E:E,"2009 WELFARE ALLOCATION FACTOR")</f>
        <v>0</v>
      </c>
      <c r="O2007" s="152">
        <f t="shared" si="599"/>
        <v>0</v>
      </c>
      <c r="P2007" s="126">
        <f>IF(E2007="Y",0,SUMIFS('Support - Transition'!G:G,'Support - Transition'!J:J,'Step 2'!D2007,'Support - Transition'!E:E,"2009 SCHOOL ALLOCATION FACTOR"))</f>
        <v>0</v>
      </c>
      <c r="Q2007" s="126">
        <f>IF(E2007="Y",VLOOKUP(D2007,'Support - Unit Adjustments'!F:G,2,FALSE),0)</f>
        <v>0</v>
      </c>
      <c r="R2007" s="155">
        <f t="shared" si="611"/>
        <v>0</v>
      </c>
      <c r="S2007" s="47">
        <f t="shared" si="610"/>
        <v>0</v>
      </c>
      <c r="T2007" s="151">
        <f t="shared" si="595"/>
        <v>160</v>
      </c>
      <c r="U2007" s="151">
        <f t="shared" si="596"/>
        <v>0</v>
      </c>
      <c r="V2007" s="139">
        <f t="shared" si="597"/>
        <v>0</v>
      </c>
      <c r="W2007" s="152">
        <f t="shared" si="600"/>
        <v>160</v>
      </c>
      <c r="X2007" s="127" t="str">
        <f t="shared" si="598"/>
        <v/>
      </c>
      <c r="Y2007" s="207">
        <f t="shared" si="601"/>
        <v>160</v>
      </c>
      <c r="Z2007" s="139">
        <f t="shared" si="602"/>
        <v>160</v>
      </c>
      <c r="AA2007" s="139">
        <f t="shared" si="603"/>
        <v>0</v>
      </c>
      <c r="AC2007" s="47">
        <f t="shared" si="604"/>
        <v>80</v>
      </c>
      <c r="AD2007" s="47">
        <f t="shared" si="605"/>
        <v>80</v>
      </c>
      <c r="AE2007" s="47">
        <f t="shared" si="606"/>
        <v>0</v>
      </c>
      <c r="AG2007" s="47">
        <f t="shared" si="607"/>
        <v>80</v>
      </c>
      <c r="AH2007" s="47">
        <f t="shared" si="608"/>
        <v>80</v>
      </c>
      <c r="AI2007" s="208">
        <f t="shared" si="609"/>
        <v>0</v>
      </c>
    </row>
    <row r="2008" spans="1:35">
      <c r="A2008" t="s">
        <v>2151</v>
      </c>
      <c r="B2008" t="s">
        <v>3142</v>
      </c>
      <c r="C2008" t="s">
        <v>2191</v>
      </c>
      <c r="D2008" t="s">
        <v>5500</v>
      </c>
      <c r="F2008" t="s">
        <v>372</v>
      </c>
      <c r="G2008" s="126">
        <f>SUMIFS('Support - Transition'!F:F,'Support - Transition'!B:B,'Step 2'!A2008,'Support - Transition'!C:C,'Step 2'!B2008,'Support - Transition'!D:D,'Step 2'!C2008,'Support - Transition'!E:E,"CIVIL")</f>
        <v>6.6200000000000005E-4</v>
      </c>
      <c r="H2008" s="126">
        <f>SUMIFS('Support - Transition'!F:F,'Support - Transition'!B:B,'Step 2'!A2008,'Support - Transition'!C:C,'Step 2'!B2008,'Support - Transition'!D:D,'Step 2'!C2008,'Support - Transition'!E:E,"FIRE")</f>
        <v>0</v>
      </c>
      <c r="I2008" s="126">
        <f>IF(B2008="0",SUMIFS('Support - Transition'!F:F,'Support - Transition'!J:J,'Step 2'!D2008,'Support - Transition'!E:E,"STATE UNIT"),SUMIFS('Support - Transition'!F:F,'Support - Transition'!J:J,'Step 2'!D2008))</f>
        <v>6.6200000000000005E-4</v>
      </c>
      <c r="J2008" s="126">
        <f>SUMIFS('Support - Unit Adjustments'!E:E,'Support - Unit Adjustments'!F:F,'Step 2'!D2008)</f>
        <v>0</v>
      </c>
      <c r="K2008" s="126">
        <f t="shared" si="593"/>
        <v>6.6200000000000005E-4</v>
      </c>
      <c r="L2008" s="174">
        <f>VLOOKUP(A2008,'Step 1'!$A:$E,4,FALSE)</f>
        <v>234199</v>
      </c>
      <c r="M2008" s="47">
        <f t="shared" si="594"/>
        <v>155</v>
      </c>
      <c r="N2008" s="177">
        <f>SUMIFS('Support - Transition'!G:G,'Support - Transition'!J:J,'Step 2'!D2008,'Support - Transition'!E:E,"2009 WELFARE ALLOCATION FACTOR")</f>
        <v>0</v>
      </c>
      <c r="O2008" s="152">
        <f t="shared" si="599"/>
        <v>0</v>
      </c>
      <c r="P2008" s="126">
        <f>IF(E2008="Y",0,SUMIFS('Support - Transition'!G:G,'Support - Transition'!J:J,'Step 2'!D2008,'Support - Transition'!E:E,"2009 SCHOOL ALLOCATION FACTOR"))</f>
        <v>0</v>
      </c>
      <c r="Q2008" s="126">
        <f>IF(E2008="Y",VLOOKUP(D2008,'Support - Unit Adjustments'!F:G,2,FALSE),0)</f>
        <v>0</v>
      </c>
      <c r="R2008" s="155">
        <f t="shared" si="611"/>
        <v>0</v>
      </c>
      <c r="S2008" s="47">
        <f t="shared" si="610"/>
        <v>0</v>
      </c>
      <c r="T2008" s="151">
        <f t="shared" si="595"/>
        <v>155</v>
      </c>
      <c r="U2008" s="151">
        <f t="shared" si="596"/>
        <v>0</v>
      </c>
      <c r="V2008" s="139">
        <f t="shared" si="597"/>
        <v>0</v>
      </c>
      <c r="W2008" s="152">
        <f t="shared" si="600"/>
        <v>155</v>
      </c>
      <c r="X2008" s="127" t="str">
        <f t="shared" si="598"/>
        <v/>
      </c>
      <c r="Y2008" s="207">
        <f t="shared" si="601"/>
        <v>155</v>
      </c>
      <c r="Z2008" s="139">
        <f t="shared" si="602"/>
        <v>155</v>
      </c>
      <c r="AA2008" s="139">
        <f t="shared" si="603"/>
        <v>0</v>
      </c>
      <c r="AC2008" s="47">
        <f t="shared" si="604"/>
        <v>78</v>
      </c>
      <c r="AD2008" s="47">
        <f t="shared" si="605"/>
        <v>78</v>
      </c>
      <c r="AE2008" s="47">
        <f t="shared" si="606"/>
        <v>0</v>
      </c>
      <c r="AG2008" s="47">
        <f t="shared" si="607"/>
        <v>77</v>
      </c>
      <c r="AH2008" s="47">
        <f t="shared" si="608"/>
        <v>77</v>
      </c>
      <c r="AI2008" s="208">
        <f t="shared" si="609"/>
        <v>0</v>
      </c>
    </row>
    <row r="2009" spans="1:35">
      <c r="A2009" t="s">
        <v>2151</v>
      </c>
      <c r="B2009" t="s">
        <v>3142</v>
      </c>
      <c r="C2009" t="s">
        <v>2192</v>
      </c>
      <c r="D2009" t="s">
        <v>5501</v>
      </c>
      <c r="F2009" t="s">
        <v>1477</v>
      </c>
      <c r="G2009" s="126">
        <f>SUMIFS('Support - Transition'!F:F,'Support - Transition'!B:B,'Step 2'!A2009,'Support - Transition'!C:C,'Step 2'!B2009,'Support - Transition'!D:D,'Step 2'!C2009,'Support - Transition'!E:E,"CIVIL")</f>
        <v>3.156E-3</v>
      </c>
      <c r="H2009" s="126">
        <f>SUMIFS('Support - Transition'!F:F,'Support - Transition'!B:B,'Step 2'!A2009,'Support - Transition'!C:C,'Step 2'!B2009,'Support - Transition'!D:D,'Step 2'!C2009,'Support - Transition'!E:E,"FIRE")</f>
        <v>8.5999999999999998E-4</v>
      </c>
      <c r="I2009" s="126">
        <f>IF(B2009="0",SUMIFS('Support - Transition'!F:F,'Support - Transition'!J:J,'Step 2'!D2009,'Support - Transition'!E:E,"STATE UNIT"),SUMIFS('Support - Transition'!F:F,'Support - Transition'!J:J,'Step 2'!D2009))</f>
        <v>4.0159999999999996E-3</v>
      </c>
      <c r="J2009" s="126">
        <f>SUMIFS('Support - Unit Adjustments'!E:E,'Support - Unit Adjustments'!F:F,'Step 2'!D2009)</f>
        <v>0</v>
      </c>
      <c r="K2009" s="126">
        <f t="shared" si="593"/>
        <v>4.0159999999999996E-3</v>
      </c>
      <c r="L2009" s="174">
        <f>VLOOKUP(A2009,'Step 1'!$A:$E,4,FALSE)</f>
        <v>234199</v>
      </c>
      <c r="M2009" s="47">
        <f t="shared" si="594"/>
        <v>941</v>
      </c>
      <c r="N2009" s="177">
        <f>SUMIFS('Support - Transition'!G:G,'Support - Transition'!J:J,'Step 2'!D2009,'Support - Transition'!E:E,"2009 WELFARE ALLOCATION FACTOR")</f>
        <v>0</v>
      </c>
      <c r="O2009" s="152">
        <f t="shared" si="599"/>
        <v>0</v>
      </c>
      <c r="P2009" s="126">
        <f>IF(E2009="Y",0,SUMIFS('Support - Transition'!G:G,'Support - Transition'!J:J,'Step 2'!D2009,'Support - Transition'!E:E,"2009 SCHOOL ALLOCATION FACTOR"))</f>
        <v>0</v>
      </c>
      <c r="Q2009" s="126">
        <f>IF(E2009="Y",VLOOKUP(D2009,'Support - Unit Adjustments'!F:G,2,FALSE),0)</f>
        <v>0</v>
      </c>
      <c r="R2009" s="155">
        <f t="shared" si="611"/>
        <v>0</v>
      </c>
      <c r="S2009" s="47">
        <f t="shared" si="610"/>
        <v>0</v>
      </c>
      <c r="T2009" s="151">
        <f t="shared" si="595"/>
        <v>941</v>
      </c>
      <c r="U2009" s="151">
        <f t="shared" si="596"/>
        <v>0</v>
      </c>
      <c r="V2009" s="139">
        <f t="shared" si="597"/>
        <v>0</v>
      </c>
      <c r="W2009" s="152">
        <f t="shared" si="600"/>
        <v>941</v>
      </c>
      <c r="X2009" s="127" t="str">
        <f t="shared" si="598"/>
        <v/>
      </c>
      <c r="Y2009" s="207">
        <f t="shared" si="601"/>
        <v>941</v>
      </c>
      <c r="Z2009" s="139">
        <f t="shared" si="602"/>
        <v>739</v>
      </c>
      <c r="AA2009" s="139">
        <f t="shared" si="603"/>
        <v>202</v>
      </c>
      <c r="AC2009" s="47">
        <f t="shared" si="604"/>
        <v>471</v>
      </c>
      <c r="AD2009" s="47">
        <f t="shared" si="605"/>
        <v>370</v>
      </c>
      <c r="AE2009" s="47">
        <f t="shared" si="606"/>
        <v>101</v>
      </c>
      <c r="AG2009" s="47">
        <f t="shared" si="607"/>
        <v>470</v>
      </c>
      <c r="AH2009" s="47">
        <f t="shared" si="608"/>
        <v>369</v>
      </c>
      <c r="AI2009" s="208">
        <f t="shared" si="609"/>
        <v>101</v>
      </c>
    </row>
    <row r="2010" spans="1:35">
      <c r="A2010" t="s">
        <v>2151</v>
      </c>
      <c r="B2010" t="s">
        <v>3142</v>
      </c>
      <c r="C2010" t="s">
        <v>2193</v>
      </c>
      <c r="D2010" t="s">
        <v>5502</v>
      </c>
      <c r="F2010" t="s">
        <v>49</v>
      </c>
      <c r="G2010" s="126">
        <f>SUMIFS('Support - Transition'!F:F,'Support - Transition'!B:B,'Step 2'!A2010,'Support - Transition'!C:C,'Step 2'!B2010,'Support - Transition'!D:D,'Step 2'!C2010,'Support - Transition'!E:E,"CIVIL")</f>
        <v>1.63E-4</v>
      </c>
      <c r="H2010" s="126">
        <f>SUMIFS('Support - Transition'!F:F,'Support - Transition'!B:B,'Step 2'!A2010,'Support - Transition'!C:C,'Step 2'!B2010,'Support - Transition'!D:D,'Step 2'!C2010,'Support - Transition'!E:E,"FIRE")</f>
        <v>0</v>
      </c>
      <c r="I2010" s="126">
        <f>IF(B2010="0",SUMIFS('Support - Transition'!F:F,'Support - Transition'!J:J,'Step 2'!D2010,'Support - Transition'!E:E,"STATE UNIT"),SUMIFS('Support - Transition'!F:F,'Support - Transition'!J:J,'Step 2'!D2010))</f>
        <v>1.63E-4</v>
      </c>
      <c r="J2010" s="126">
        <f>SUMIFS('Support - Unit Adjustments'!E:E,'Support - Unit Adjustments'!F:F,'Step 2'!D2010)</f>
        <v>0</v>
      </c>
      <c r="K2010" s="126">
        <f t="shared" si="593"/>
        <v>1.63E-4</v>
      </c>
      <c r="L2010" s="174">
        <f>VLOOKUP(A2010,'Step 1'!$A:$E,4,FALSE)</f>
        <v>234199</v>
      </c>
      <c r="M2010" s="47">
        <f t="shared" si="594"/>
        <v>38</v>
      </c>
      <c r="N2010" s="177">
        <f>SUMIFS('Support - Transition'!G:G,'Support - Transition'!J:J,'Step 2'!D2010,'Support - Transition'!E:E,"2009 WELFARE ALLOCATION FACTOR")</f>
        <v>0</v>
      </c>
      <c r="O2010" s="152">
        <f t="shared" si="599"/>
        <v>0</v>
      </c>
      <c r="P2010" s="126">
        <f>IF(E2010="Y",0,SUMIFS('Support - Transition'!G:G,'Support - Transition'!J:J,'Step 2'!D2010,'Support - Transition'!E:E,"2009 SCHOOL ALLOCATION FACTOR"))</f>
        <v>0</v>
      </c>
      <c r="Q2010" s="126">
        <f>IF(E2010="Y",VLOOKUP(D2010,'Support - Unit Adjustments'!F:G,2,FALSE),0)</f>
        <v>0</v>
      </c>
      <c r="R2010" s="155">
        <f t="shared" si="611"/>
        <v>0</v>
      </c>
      <c r="S2010" s="47">
        <f t="shared" si="610"/>
        <v>0</v>
      </c>
      <c r="T2010" s="151">
        <f t="shared" si="595"/>
        <v>38</v>
      </c>
      <c r="U2010" s="151">
        <f t="shared" si="596"/>
        <v>0</v>
      </c>
      <c r="V2010" s="139">
        <f t="shared" si="597"/>
        <v>0</v>
      </c>
      <c r="W2010" s="152">
        <f t="shared" si="600"/>
        <v>38</v>
      </c>
      <c r="X2010" s="127" t="str">
        <f t="shared" si="598"/>
        <v/>
      </c>
      <c r="Y2010" s="207">
        <f t="shared" si="601"/>
        <v>38</v>
      </c>
      <c r="Z2010" s="139">
        <f t="shared" si="602"/>
        <v>38</v>
      </c>
      <c r="AA2010" s="139">
        <f t="shared" si="603"/>
        <v>0</v>
      </c>
      <c r="AC2010" s="47">
        <f t="shared" si="604"/>
        <v>19</v>
      </c>
      <c r="AD2010" s="47">
        <f t="shared" si="605"/>
        <v>19</v>
      </c>
      <c r="AE2010" s="47">
        <f t="shared" si="606"/>
        <v>0</v>
      </c>
      <c r="AG2010" s="47">
        <f t="shared" si="607"/>
        <v>19</v>
      </c>
      <c r="AH2010" s="47">
        <f t="shared" si="608"/>
        <v>19</v>
      </c>
      <c r="AI2010" s="208">
        <f t="shared" si="609"/>
        <v>0</v>
      </c>
    </row>
    <row r="2011" spans="1:35">
      <c r="A2011" t="s">
        <v>2151</v>
      </c>
      <c r="B2011" t="s">
        <v>3142</v>
      </c>
      <c r="C2011" t="s">
        <v>2194</v>
      </c>
      <c r="D2011" t="s">
        <v>5503</v>
      </c>
      <c r="F2011" t="s">
        <v>14</v>
      </c>
      <c r="G2011" s="126">
        <f>SUMIFS('Support - Transition'!F:F,'Support - Transition'!B:B,'Step 2'!A2011,'Support - Transition'!C:C,'Step 2'!B2011,'Support - Transition'!D:D,'Step 2'!C2011,'Support - Transition'!E:E,"CIVIL")</f>
        <v>3.3500000000000001E-4</v>
      </c>
      <c r="H2011" s="126">
        <f>SUMIFS('Support - Transition'!F:F,'Support - Transition'!B:B,'Step 2'!A2011,'Support - Transition'!C:C,'Step 2'!B2011,'Support - Transition'!D:D,'Step 2'!C2011,'Support - Transition'!E:E,"FIRE")</f>
        <v>1.7899999999999999E-4</v>
      </c>
      <c r="I2011" s="126">
        <f>IF(B2011="0",SUMIFS('Support - Transition'!F:F,'Support - Transition'!J:J,'Step 2'!D2011,'Support - Transition'!E:E,"STATE UNIT"),SUMIFS('Support - Transition'!F:F,'Support - Transition'!J:J,'Step 2'!D2011))</f>
        <v>5.1400000000000003E-4</v>
      </c>
      <c r="J2011" s="126">
        <f>SUMIFS('Support - Unit Adjustments'!E:E,'Support - Unit Adjustments'!F:F,'Step 2'!D2011)</f>
        <v>0</v>
      </c>
      <c r="K2011" s="126">
        <f t="shared" si="593"/>
        <v>5.1400000000000003E-4</v>
      </c>
      <c r="L2011" s="174">
        <f>VLOOKUP(A2011,'Step 1'!$A:$E,4,FALSE)</f>
        <v>234199</v>
      </c>
      <c r="M2011" s="47">
        <f t="shared" si="594"/>
        <v>120</v>
      </c>
      <c r="N2011" s="177">
        <f>SUMIFS('Support - Transition'!G:G,'Support - Transition'!J:J,'Step 2'!D2011,'Support - Transition'!E:E,"2009 WELFARE ALLOCATION FACTOR")</f>
        <v>0</v>
      </c>
      <c r="O2011" s="152">
        <f t="shared" si="599"/>
        <v>0</v>
      </c>
      <c r="P2011" s="126">
        <f>IF(E2011="Y",0,SUMIFS('Support - Transition'!G:G,'Support - Transition'!J:J,'Step 2'!D2011,'Support - Transition'!E:E,"2009 SCHOOL ALLOCATION FACTOR"))</f>
        <v>0</v>
      </c>
      <c r="Q2011" s="126">
        <f>IF(E2011="Y",VLOOKUP(D2011,'Support - Unit Adjustments'!F:G,2,FALSE),0)</f>
        <v>0</v>
      </c>
      <c r="R2011" s="155">
        <f t="shared" si="611"/>
        <v>0</v>
      </c>
      <c r="S2011" s="47">
        <f t="shared" si="610"/>
        <v>0</v>
      </c>
      <c r="T2011" s="151">
        <f t="shared" si="595"/>
        <v>120</v>
      </c>
      <c r="U2011" s="151">
        <f t="shared" si="596"/>
        <v>0</v>
      </c>
      <c r="V2011" s="139">
        <f t="shared" si="597"/>
        <v>0</v>
      </c>
      <c r="W2011" s="152">
        <f t="shared" si="600"/>
        <v>120</v>
      </c>
      <c r="X2011" s="127" t="str">
        <f t="shared" si="598"/>
        <v/>
      </c>
      <c r="Y2011" s="207">
        <f t="shared" si="601"/>
        <v>120</v>
      </c>
      <c r="Z2011" s="139">
        <f t="shared" si="602"/>
        <v>78</v>
      </c>
      <c r="AA2011" s="139">
        <f t="shared" si="603"/>
        <v>42</v>
      </c>
      <c r="AC2011" s="47">
        <f t="shared" si="604"/>
        <v>60</v>
      </c>
      <c r="AD2011" s="47">
        <f t="shared" si="605"/>
        <v>39</v>
      </c>
      <c r="AE2011" s="47">
        <f t="shared" si="606"/>
        <v>21</v>
      </c>
      <c r="AG2011" s="47">
        <f t="shared" si="607"/>
        <v>60</v>
      </c>
      <c r="AH2011" s="47">
        <f t="shared" si="608"/>
        <v>39</v>
      </c>
      <c r="AI2011" s="208">
        <f t="shared" si="609"/>
        <v>21</v>
      </c>
    </row>
    <row r="2012" spans="1:35">
      <c r="A2012" t="s">
        <v>2151</v>
      </c>
      <c r="B2012" t="s">
        <v>3142</v>
      </c>
      <c r="C2012" t="s">
        <v>2195</v>
      </c>
      <c r="D2012" t="s">
        <v>5504</v>
      </c>
      <c r="F2012" t="s">
        <v>52</v>
      </c>
      <c r="G2012" s="126">
        <f>SUMIFS('Support - Transition'!F:F,'Support - Transition'!B:B,'Step 2'!A2012,'Support - Transition'!C:C,'Step 2'!B2012,'Support - Transition'!D:D,'Step 2'!C2012,'Support - Transition'!E:E,"CIVIL")</f>
        <v>2.078E-3</v>
      </c>
      <c r="H2012" s="126">
        <f>SUMIFS('Support - Transition'!F:F,'Support - Transition'!B:B,'Step 2'!A2012,'Support - Transition'!C:C,'Step 2'!B2012,'Support - Transition'!D:D,'Step 2'!C2012,'Support - Transition'!E:E,"FIRE")</f>
        <v>4.5100000000000001E-4</v>
      </c>
      <c r="I2012" s="126">
        <f>IF(B2012="0",SUMIFS('Support - Transition'!F:F,'Support - Transition'!J:J,'Step 2'!D2012,'Support - Transition'!E:E,"STATE UNIT"),SUMIFS('Support - Transition'!F:F,'Support - Transition'!J:J,'Step 2'!D2012))</f>
        <v>2.529E-3</v>
      </c>
      <c r="J2012" s="126">
        <f>SUMIFS('Support - Unit Adjustments'!E:E,'Support - Unit Adjustments'!F:F,'Step 2'!D2012)</f>
        <v>0</v>
      </c>
      <c r="K2012" s="126">
        <f t="shared" si="593"/>
        <v>2.529E-3</v>
      </c>
      <c r="L2012" s="174">
        <f>VLOOKUP(A2012,'Step 1'!$A:$E,4,FALSE)</f>
        <v>234199</v>
      </c>
      <c r="M2012" s="47">
        <f t="shared" si="594"/>
        <v>592</v>
      </c>
      <c r="N2012" s="177">
        <f>SUMIFS('Support - Transition'!G:G,'Support - Transition'!J:J,'Step 2'!D2012,'Support - Transition'!E:E,"2009 WELFARE ALLOCATION FACTOR")</f>
        <v>0</v>
      </c>
      <c r="O2012" s="152">
        <f t="shared" si="599"/>
        <v>0</v>
      </c>
      <c r="P2012" s="126">
        <f>IF(E2012="Y",0,SUMIFS('Support - Transition'!G:G,'Support - Transition'!J:J,'Step 2'!D2012,'Support - Transition'!E:E,"2009 SCHOOL ALLOCATION FACTOR"))</f>
        <v>0</v>
      </c>
      <c r="Q2012" s="126">
        <f>IF(E2012="Y",VLOOKUP(D2012,'Support - Unit Adjustments'!F:G,2,FALSE),0)</f>
        <v>0</v>
      </c>
      <c r="R2012" s="155">
        <f t="shared" si="611"/>
        <v>0</v>
      </c>
      <c r="S2012" s="47">
        <f t="shared" si="610"/>
        <v>0</v>
      </c>
      <c r="T2012" s="151">
        <f t="shared" si="595"/>
        <v>592</v>
      </c>
      <c r="U2012" s="151">
        <f t="shared" si="596"/>
        <v>0</v>
      </c>
      <c r="V2012" s="139">
        <f t="shared" si="597"/>
        <v>0</v>
      </c>
      <c r="W2012" s="152">
        <f t="shared" si="600"/>
        <v>592</v>
      </c>
      <c r="X2012" s="127" t="str">
        <f t="shared" si="598"/>
        <v/>
      </c>
      <c r="Y2012" s="207">
        <f t="shared" si="601"/>
        <v>592</v>
      </c>
      <c r="Z2012" s="139">
        <f t="shared" si="602"/>
        <v>486</v>
      </c>
      <c r="AA2012" s="139">
        <f t="shared" si="603"/>
        <v>106</v>
      </c>
      <c r="AC2012" s="47">
        <f t="shared" si="604"/>
        <v>296</v>
      </c>
      <c r="AD2012" s="47">
        <f t="shared" si="605"/>
        <v>243</v>
      </c>
      <c r="AE2012" s="47">
        <f t="shared" si="606"/>
        <v>53</v>
      </c>
      <c r="AG2012" s="47">
        <f t="shared" si="607"/>
        <v>296</v>
      </c>
      <c r="AH2012" s="47">
        <f t="shared" si="608"/>
        <v>243</v>
      </c>
      <c r="AI2012" s="208">
        <f t="shared" si="609"/>
        <v>53</v>
      </c>
    </row>
    <row r="2013" spans="1:35">
      <c r="A2013" t="s">
        <v>2151</v>
      </c>
      <c r="B2013" t="s">
        <v>3142</v>
      </c>
      <c r="C2013" t="s">
        <v>2196</v>
      </c>
      <c r="D2013" t="s">
        <v>5505</v>
      </c>
      <c r="F2013" t="s">
        <v>53</v>
      </c>
      <c r="G2013" s="126">
        <f>SUMIFS('Support - Transition'!F:F,'Support - Transition'!B:B,'Step 2'!A2013,'Support - Transition'!C:C,'Step 2'!B2013,'Support - Transition'!D:D,'Step 2'!C2013,'Support - Transition'!E:E,"CIVIL")</f>
        <v>4.1199999999999999E-4</v>
      </c>
      <c r="H2013" s="126">
        <f>SUMIFS('Support - Transition'!F:F,'Support - Transition'!B:B,'Step 2'!A2013,'Support - Transition'!C:C,'Step 2'!B2013,'Support - Transition'!D:D,'Step 2'!C2013,'Support - Transition'!E:E,"FIRE")</f>
        <v>5.9500000000000004E-4</v>
      </c>
      <c r="I2013" s="126">
        <f>IF(B2013="0",SUMIFS('Support - Transition'!F:F,'Support - Transition'!J:J,'Step 2'!D2013,'Support - Transition'!E:E,"STATE UNIT"),SUMIFS('Support - Transition'!F:F,'Support - Transition'!J:J,'Step 2'!D2013))</f>
        <v>1.0070000000000001E-3</v>
      </c>
      <c r="J2013" s="126">
        <f>SUMIFS('Support - Unit Adjustments'!E:E,'Support - Unit Adjustments'!F:F,'Step 2'!D2013)</f>
        <v>0</v>
      </c>
      <c r="K2013" s="126">
        <f t="shared" si="593"/>
        <v>1.0070000000000001E-3</v>
      </c>
      <c r="L2013" s="174">
        <f>VLOOKUP(A2013,'Step 1'!$A:$E,4,FALSE)</f>
        <v>234199</v>
      </c>
      <c r="M2013" s="47">
        <f t="shared" si="594"/>
        <v>236</v>
      </c>
      <c r="N2013" s="177">
        <f>SUMIFS('Support - Transition'!G:G,'Support - Transition'!J:J,'Step 2'!D2013,'Support - Transition'!E:E,"2009 WELFARE ALLOCATION FACTOR")</f>
        <v>0</v>
      </c>
      <c r="O2013" s="152">
        <f t="shared" si="599"/>
        <v>0</v>
      </c>
      <c r="P2013" s="126">
        <f>IF(E2013="Y",0,SUMIFS('Support - Transition'!G:G,'Support - Transition'!J:J,'Step 2'!D2013,'Support - Transition'!E:E,"2009 SCHOOL ALLOCATION FACTOR"))</f>
        <v>0</v>
      </c>
      <c r="Q2013" s="126">
        <f>IF(E2013="Y",VLOOKUP(D2013,'Support - Unit Adjustments'!F:G,2,FALSE),0)</f>
        <v>0</v>
      </c>
      <c r="R2013" s="155">
        <f t="shared" si="611"/>
        <v>0</v>
      </c>
      <c r="S2013" s="47">
        <f t="shared" si="610"/>
        <v>0</v>
      </c>
      <c r="T2013" s="151">
        <f t="shared" si="595"/>
        <v>236</v>
      </c>
      <c r="U2013" s="151">
        <f t="shared" si="596"/>
        <v>0</v>
      </c>
      <c r="V2013" s="139">
        <f t="shared" si="597"/>
        <v>0</v>
      </c>
      <c r="W2013" s="152">
        <f t="shared" si="600"/>
        <v>236</v>
      </c>
      <c r="X2013" s="127" t="str">
        <f t="shared" si="598"/>
        <v/>
      </c>
      <c r="Y2013" s="207">
        <f t="shared" si="601"/>
        <v>236</v>
      </c>
      <c r="Z2013" s="139">
        <f t="shared" si="602"/>
        <v>97</v>
      </c>
      <c r="AA2013" s="139">
        <f t="shared" si="603"/>
        <v>139</v>
      </c>
      <c r="AC2013" s="47">
        <f t="shared" si="604"/>
        <v>118</v>
      </c>
      <c r="AD2013" s="47">
        <f t="shared" si="605"/>
        <v>49</v>
      </c>
      <c r="AE2013" s="47">
        <f t="shared" si="606"/>
        <v>70</v>
      </c>
      <c r="AG2013" s="47">
        <f t="shared" si="607"/>
        <v>118</v>
      </c>
      <c r="AH2013" s="47">
        <f t="shared" si="608"/>
        <v>48</v>
      </c>
      <c r="AI2013" s="208">
        <f t="shared" si="609"/>
        <v>69</v>
      </c>
    </row>
    <row r="2014" spans="1:35">
      <c r="A2014" t="s">
        <v>2151</v>
      </c>
      <c r="B2014" t="s">
        <v>3142</v>
      </c>
      <c r="C2014" t="s">
        <v>2197</v>
      </c>
      <c r="D2014" t="s">
        <v>5506</v>
      </c>
      <c r="F2014" t="s">
        <v>16</v>
      </c>
      <c r="G2014" s="126">
        <f>SUMIFS('Support - Transition'!F:F,'Support - Transition'!B:B,'Step 2'!A2014,'Support - Transition'!C:C,'Step 2'!B2014,'Support - Transition'!D:D,'Step 2'!C2014,'Support - Transition'!E:E,"CIVIL")</f>
        <v>3.77E-4</v>
      </c>
      <c r="H2014" s="126">
        <f>SUMIFS('Support - Transition'!F:F,'Support - Transition'!B:B,'Step 2'!A2014,'Support - Transition'!C:C,'Step 2'!B2014,'Support - Transition'!D:D,'Step 2'!C2014,'Support - Transition'!E:E,"FIRE")</f>
        <v>0</v>
      </c>
      <c r="I2014" s="126">
        <f>IF(B2014="0",SUMIFS('Support - Transition'!F:F,'Support - Transition'!J:J,'Step 2'!D2014,'Support - Transition'!E:E,"STATE UNIT"),SUMIFS('Support - Transition'!F:F,'Support - Transition'!J:J,'Step 2'!D2014))</f>
        <v>3.77E-4</v>
      </c>
      <c r="J2014" s="126">
        <f>SUMIFS('Support - Unit Adjustments'!E:E,'Support - Unit Adjustments'!F:F,'Step 2'!D2014)</f>
        <v>0</v>
      </c>
      <c r="K2014" s="126">
        <f t="shared" si="593"/>
        <v>3.77E-4</v>
      </c>
      <c r="L2014" s="174">
        <f>VLOOKUP(A2014,'Step 1'!$A:$E,4,FALSE)</f>
        <v>234199</v>
      </c>
      <c r="M2014" s="47">
        <f t="shared" si="594"/>
        <v>88</v>
      </c>
      <c r="N2014" s="177">
        <f>SUMIFS('Support - Transition'!G:G,'Support - Transition'!J:J,'Step 2'!D2014,'Support - Transition'!E:E,"2009 WELFARE ALLOCATION FACTOR")</f>
        <v>0</v>
      </c>
      <c r="O2014" s="152">
        <f t="shared" si="599"/>
        <v>0</v>
      </c>
      <c r="P2014" s="126">
        <f>IF(E2014="Y",0,SUMIFS('Support - Transition'!G:G,'Support - Transition'!J:J,'Step 2'!D2014,'Support - Transition'!E:E,"2009 SCHOOL ALLOCATION FACTOR"))</f>
        <v>0</v>
      </c>
      <c r="Q2014" s="126">
        <f>IF(E2014="Y",VLOOKUP(D2014,'Support - Unit Adjustments'!F:G,2,FALSE),0)</f>
        <v>0</v>
      </c>
      <c r="R2014" s="155">
        <f t="shared" si="611"/>
        <v>0</v>
      </c>
      <c r="S2014" s="47">
        <f t="shared" si="610"/>
        <v>0</v>
      </c>
      <c r="T2014" s="151">
        <f t="shared" si="595"/>
        <v>88</v>
      </c>
      <c r="U2014" s="151">
        <f t="shared" si="596"/>
        <v>0</v>
      </c>
      <c r="V2014" s="139">
        <f t="shared" si="597"/>
        <v>0</v>
      </c>
      <c r="W2014" s="152">
        <f t="shared" si="600"/>
        <v>88</v>
      </c>
      <c r="X2014" s="127" t="str">
        <f t="shared" si="598"/>
        <v/>
      </c>
      <c r="Y2014" s="207">
        <f t="shared" si="601"/>
        <v>88</v>
      </c>
      <c r="Z2014" s="139">
        <f t="shared" si="602"/>
        <v>88</v>
      </c>
      <c r="AA2014" s="139">
        <f t="shared" si="603"/>
        <v>0</v>
      </c>
      <c r="AC2014" s="47">
        <f t="shared" si="604"/>
        <v>44</v>
      </c>
      <c r="AD2014" s="47">
        <f t="shared" si="605"/>
        <v>44</v>
      </c>
      <c r="AE2014" s="47">
        <f t="shared" si="606"/>
        <v>0</v>
      </c>
      <c r="AG2014" s="47">
        <f t="shared" si="607"/>
        <v>44</v>
      </c>
      <c r="AH2014" s="47">
        <f t="shared" si="608"/>
        <v>44</v>
      </c>
      <c r="AI2014" s="208">
        <f t="shared" si="609"/>
        <v>0</v>
      </c>
    </row>
    <row r="2015" spans="1:35">
      <c r="A2015" t="s">
        <v>2151</v>
      </c>
      <c r="B2015" t="s">
        <v>3142</v>
      </c>
      <c r="C2015" t="s">
        <v>2198</v>
      </c>
      <c r="D2015" t="s">
        <v>5507</v>
      </c>
      <c r="F2015" t="s">
        <v>1478</v>
      </c>
      <c r="G2015" s="126">
        <f>SUMIFS('Support - Transition'!F:F,'Support - Transition'!B:B,'Step 2'!A2015,'Support - Transition'!C:C,'Step 2'!B2015,'Support - Transition'!D:D,'Step 2'!C2015,'Support - Transition'!E:E,"CIVIL")</f>
        <v>4.0099999999999999E-4</v>
      </c>
      <c r="H2015" s="126">
        <f>SUMIFS('Support - Transition'!F:F,'Support - Transition'!B:B,'Step 2'!A2015,'Support - Transition'!C:C,'Step 2'!B2015,'Support - Transition'!D:D,'Step 2'!C2015,'Support - Transition'!E:E,"FIRE")</f>
        <v>5.4100000000000003E-4</v>
      </c>
      <c r="I2015" s="126">
        <f>IF(B2015="0",SUMIFS('Support - Transition'!F:F,'Support - Transition'!J:J,'Step 2'!D2015,'Support - Transition'!E:E,"STATE UNIT"),SUMIFS('Support - Transition'!F:F,'Support - Transition'!J:J,'Step 2'!D2015))</f>
        <v>9.4200000000000002E-4</v>
      </c>
      <c r="J2015" s="126">
        <f>SUMIFS('Support - Unit Adjustments'!E:E,'Support - Unit Adjustments'!F:F,'Step 2'!D2015)</f>
        <v>0</v>
      </c>
      <c r="K2015" s="126">
        <f t="shared" si="593"/>
        <v>9.4200000000000002E-4</v>
      </c>
      <c r="L2015" s="174">
        <f>VLOOKUP(A2015,'Step 1'!$A:$E,4,FALSE)</f>
        <v>234199</v>
      </c>
      <c r="M2015" s="47">
        <f t="shared" si="594"/>
        <v>221</v>
      </c>
      <c r="N2015" s="177">
        <f>SUMIFS('Support - Transition'!G:G,'Support - Transition'!J:J,'Step 2'!D2015,'Support - Transition'!E:E,"2009 WELFARE ALLOCATION FACTOR")</f>
        <v>0</v>
      </c>
      <c r="O2015" s="152">
        <f t="shared" si="599"/>
        <v>0</v>
      </c>
      <c r="P2015" s="126">
        <f>IF(E2015="Y",0,SUMIFS('Support - Transition'!G:G,'Support - Transition'!J:J,'Step 2'!D2015,'Support - Transition'!E:E,"2009 SCHOOL ALLOCATION FACTOR"))</f>
        <v>0</v>
      </c>
      <c r="Q2015" s="126">
        <f>IF(E2015="Y",VLOOKUP(D2015,'Support - Unit Adjustments'!F:G,2,FALSE),0)</f>
        <v>0</v>
      </c>
      <c r="R2015" s="155">
        <f t="shared" si="611"/>
        <v>0</v>
      </c>
      <c r="S2015" s="47">
        <f t="shared" si="610"/>
        <v>0</v>
      </c>
      <c r="T2015" s="151">
        <f t="shared" si="595"/>
        <v>221</v>
      </c>
      <c r="U2015" s="151">
        <f t="shared" si="596"/>
        <v>0</v>
      </c>
      <c r="V2015" s="139">
        <f t="shared" si="597"/>
        <v>0</v>
      </c>
      <c r="W2015" s="152">
        <f t="shared" si="600"/>
        <v>221</v>
      </c>
      <c r="X2015" s="127" t="str">
        <f t="shared" si="598"/>
        <v/>
      </c>
      <c r="Y2015" s="207">
        <f t="shared" si="601"/>
        <v>221</v>
      </c>
      <c r="Z2015" s="139">
        <f t="shared" si="602"/>
        <v>94</v>
      </c>
      <c r="AA2015" s="139">
        <f t="shared" si="603"/>
        <v>127</v>
      </c>
      <c r="AC2015" s="47">
        <f t="shared" si="604"/>
        <v>111</v>
      </c>
      <c r="AD2015" s="47">
        <f t="shared" si="605"/>
        <v>47</v>
      </c>
      <c r="AE2015" s="47">
        <f t="shared" si="606"/>
        <v>64</v>
      </c>
      <c r="AG2015" s="47">
        <f t="shared" si="607"/>
        <v>110</v>
      </c>
      <c r="AH2015" s="47">
        <f t="shared" si="608"/>
        <v>47</v>
      </c>
      <c r="AI2015" s="208">
        <f t="shared" si="609"/>
        <v>63</v>
      </c>
    </row>
    <row r="2016" spans="1:35">
      <c r="A2016" t="s">
        <v>2151</v>
      </c>
      <c r="B2016" t="s">
        <v>3142</v>
      </c>
      <c r="C2016" t="s">
        <v>2199</v>
      </c>
      <c r="D2016" t="s">
        <v>5508</v>
      </c>
      <c r="F2016" t="s">
        <v>272</v>
      </c>
      <c r="G2016" s="126">
        <f>SUMIFS('Support - Transition'!F:F,'Support - Transition'!B:B,'Step 2'!A2016,'Support - Transition'!C:C,'Step 2'!B2016,'Support - Transition'!D:D,'Step 2'!C2016,'Support - Transition'!E:E,"CIVIL")</f>
        <v>2.5700000000000001E-4</v>
      </c>
      <c r="H2016" s="126">
        <f>SUMIFS('Support - Transition'!F:F,'Support - Transition'!B:B,'Step 2'!A2016,'Support - Transition'!C:C,'Step 2'!B2016,'Support - Transition'!D:D,'Step 2'!C2016,'Support - Transition'!E:E,"FIRE")</f>
        <v>2.33E-4</v>
      </c>
      <c r="I2016" s="126">
        <f>IF(B2016="0",SUMIFS('Support - Transition'!F:F,'Support - Transition'!J:J,'Step 2'!D2016,'Support - Transition'!E:E,"STATE UNIT"),SUMIFS('Support - Transition'!F:F,'Support - Transition'!J:J,'Step 2'!D2016))</f>
        <v>4.8999999999999998E-4</v>
      </c>
      <c r="J2016" s="126">
        <f>SUMIFS('Support - Unit Adjustments'!E:E,'Support - Unit Adjustments'!F:F,'Step 2'!D2016)</f>
        <v>0</v>
      </c>
      <c r="K2016" s="126">
        <f t="shared" si="593"/>
        <v>4.8999999999999998E-4</v>
      </c>
      <c r="L2016" s="174">
        <f>VLOOKUP(A2016,'Step 1'!$A:$E,4,FALSE)</f>
        <v>234199</v>
      </c>
      <c r="M2016" s="47">
        <f t="shared" si="594"/>
        <v>115</v>
      </c>
      <c r="N2016" s="177">
        <f>SUMIFS('Support - Transition'!G:G,'Support - Transition'!J:J,'Step 2'!D2016,'Support - Transition'!E:E,"2009 WELFARE ALLOCATION FACTOR")</f>
        <v>0</v>
      </c>
      <c r="O2016" s="152">
        <f t="shared" si="599"/>
        <v>0</v>
      </c>
      <c r="P2016" s="126">
        <f>IF(E2016="Y",0,SUMIFS('Support - Transition'!G:G,'Support - Transition'!J:J,'Step 2'!D2016,'Support - Transition'!E:E,"2009 SCHOOL ALLOCATION FACTOR"))</f>
        <v>0</v>
      </c>
      <c r="Q2016" s="126">
        <f>IF(E2016="Y",VLOOKUP(D2016,'Support - Unit Adjustments'!F:G,2,FALSE),0)</f>
        <v>0</v>
      </c>
      <c r="R2016" s="155">
        <f t="shared" si="611"/>
        <v>0</v>
      </c>
      <c r="S2016" s="47">
        <f t="shared" si="610"/>
        <v>0</v>
      </c>
      <c r="T2016" s="151">
        <f t="shared" si="595"/>
        <v>115</v>
      </c>
      <c r="U2016" s="151">
        <f t="shared" si="596"/>
        <v>0</v>
      </c>
      <c r="V2016" s="139">
        <f t="shared" si="597"/>
        <v>0</v>
      </c>
      <c r="W2016" s="152">
        <f t="shared" si="600"/>
        <v>115</v>
      </c>
      <c r="X2016" s="127" t="str">
        <f t="shared" si="598"/>
        <v/>
      </c>
      <c r="Y2016" s="207">
        <f t="shared" si="601"/>
        <v>115</v>
      </c>
      <c r="Z2016" s="139">
        <f t="shared" si="602"/>
        <v>60</v>
      </c>
      <c r="AA2016" s="139">
        <f t="shared" si="603"/>
        <v>55</v>
      </c>
      <c r="AC2016" s="47">
        <f t="shared" si="604"/>
        <v>58</v>
      </c>
      <c r="AD2016" s="47">
        <f t="shared" si="605"/>
        <v>30</v>
      </c>
      <c r="AE2016" s="47">
        <f t="shared" si="606"/>
        <v>28</v>
      </c>
      <c r="AG2016" s="47">
        <f t="shared" si="607"/>
        <v>57</v>
      </c>
      <c r="AH2016" s="47">
        <f t="shared" si="608"/>
        <v>30</v>
      </c>
      <c r="AI2016" s="208">
        <f t="shared" si="609"/>
        <v>27</v>
      </c>
    </row>
    <row r="2017" spans="1:35">
      <c r="A2017" t="s">
        <v>2151</v>
      </c>
      <c r="B2017" t="s">
        <v>3142</v>
      </c>
      <c r="C2017" t="s">
        <v>2208</v>
      </c>
      <c r="D2017" t="s">
        <v>5509</v>
      </c>
      <c r="F2017" t="s">
        <v>22</v>
      </c>
      <c r="G2017" s="126">
        <f>SUMIFS('Support - Transition'!F:F,'Support - Transition'!B:B,'Step 2'!A2017,'Support - Transition'!C:C,'Step 2'!B2017,'Support - Transition'!D:D,'Step 2'!C2017,'Support - Transition'!E:E,"CIVIL")</f>
        <v>1.2340000000000001E-3</v>
      </c>
      <c r="H2017" s="126">
        <f>SUMIFS('Support - Transition'!F:F,'Support - Transition'!B:B,'Step 2'!A2017,'Support - Transition'!C:C,'Step 2'!B2017,'Support - Transition'!D:D,'Step 2'!C2017,'Support - Transition'!E:E,"FIRE")</f>
        <v>5.1000000000000004E-4</v>
      </c>
      <c r="I2017" s="126">
        <f>IF(B2017="0",SUMIFS('Support - Transition'!F:F,'Support - Transition'!J:J,'Step 2'!D2017,'Support - Transition'!E:E,"STATE UNIT"),SUMIFS('Support - Transition'!F:F,'Support - Transition'!J:J,'Step 2'!D2017))</f>
        <v>1.7440000000000001E-3</v>
      </c>
      <c r="J2017" s="126">
        <f>SUMIFS('Support - Unit Adjustments'!E:E,'Support - Unit Adjustments'!F:F,'Step 2'!D2017)</f>
        <v>0</v>
      </c>
      <c r="K2017" s="126">
        <f t="shared" si="593"/>
        <v>1.7440000000000001E-3</v>
      </c>
      <c r="L2017" s="174">
        <f>VLOOKUP(A2017,'Step 1'!$A:$E,4,FALSE)</f>
        <v>234199</v>
      </c>
      <c r="M2017" s="47">
        <f t="shared" si="594"/>
        <v>408</v>
      </c>
      <c r="N2017" s="177">
        <f>SUMIFS('Support - Transition'!G:G,'Support - Transition'!J:J,'Step 2'!D2017,'Support - Transition'!E:E,"2009 WELFARE ALLOCATION FACTOR")</f>
        <v>0</v>
      </c>
      <c r="O2017" s="152">
        <f t="shared" si="599"/>
        <v>0</v>
      </c>
      <c r="P2017" s="126">
        <f>IF(E2017="Y",0,SUMIFS('Support - Transition'!G:G,'Support - Transition'!J:J,'Step 2'!D2017,'Support - Transition'!E:E,"2009 SCHOOL ALLOCATION FACTOR"))</f>
        <v>0</v>
      </c>
      <c r="Q2017" s="126">
        <f>IF(E2017="Y",VLOOKUP(D2017,'Support - Unit Adjustments'!F:G,2,FALSE),0)</f>
        <v>0</v>
      </c>
      <c r="R2017" s="155">
        <f t="shared" si="611"/>
        <v>0</v>
      </c>
      <c r="S2017" s="47">
        <f t="shared" si="610"/>
        <v>0</v>
      </c>
      <c r="T2017" s="151">
        <f t="shared" si="595"/>
        <v>408</v>
      </c>
      <c r="U2017" s="151">
        <f t="shared" si="596"/>
        <v>0</v>
      </c>
      <c r="V2017" s="139">
        <f t="shared" si="597"/>
        <v>0</v>
      </c>
      <c r="W2017" s="152">
        <f t="shared" si="600"/>
        <v>408</v>
      </c>
      <c r="X2017" s="127" t="str">
        <f t="shared" si="598"/>
        <v/>
      </c>
      <c r="Y2017" s="207">
        <f t="shared" si="601"/>
        <v>408</v>
      </c>
      <c r="Z2017" s="139">
        <f t="shared" si="602"/>
        <v>289</v>
      </c>
      <c r="AA2017" s="139">
        <f t="shared" si="603"/>
        <v>119</v>
      </c>
      <c r="AC2017" s="47">
        <f t="shared" si="604"/>
        <v>204</v>
      </c>
      <c r="AD2017" s="47">
        <f t="shared" si="605"/>
        <v>145</v>
      </c>
      <c r="AE2017" s="47">
        <f t="shared" si="606"/>
        <v>60</v>
      </c>
      <c r="AG2017" s="47">
        <f t="shared" si="607"/>
        <v>204</v>
      </c>
      <c r="AH2017" s="47">
        <f t="shared" si="608"/>
        <v>144</v>
      </c>
      <c r="AI2017" s="208">
        <f t="shared" si="609"/>
        <v>59</v>
      </c>
    </row>
    <row r="2018" spans="1:35">
      <c r="A2018" t="s">
        <v>2151</v>
      </c>
      <c r="B2018" t="s">
        <v>3155</v>
      </c>
      <c r="C2018" t="s">
        <v>2952</v>
      </c>
      <c r="D2018" t="s">
        <v>5510</v>
      </c>
      <c r="F2018" t="s">
        <v>1482</v>
      </c>
      <c r="G2018" s="126">
        <f>SUMIFS('Support - Transition'!F:F,'Support - Transition'!B:B,'Step 2'!A2018,'Support - Transition'!C:C,'Step 2'!B2018,'Support - Transition'!D:D,'Step 2'!C2018,'Support - Transition'!E:E,"CIVIL")</f>
        <v>0</v>
      </c>
      <c r="H2018" s="126">
        <f>SUMIFS('Support - Transition'!F:F,'Support - Transition'!B:B,'Step 2'!A2018,'Support - Transition'!C:C,'Step 2'!B2018,'Support - Transition'!D:D,'Step 2'!C2018,'Support - Transition'!E:E,"FIRE")</f>
        <v>0</v>
      </c>
      <c r="I2018" s="126">
        <f>IF(B2018="0",SUMIFS('Support - Transition'!F:F,'Support - Transition'!J:J,'Step 2'!D2018,'Support - Transition'!E:E,"STATE UNIT"),SUMIFS('Support - Transition'!F:F,'Support - Transition'!J:J,'Step 2'!D2018))</f>
        <v>3.5372000000000001E-2</v>
      </c>
      <c r="J2018" s="126">
        <f>SUMIFS('Support - Unit Adjustments'!E:E,'Support - Unit Adjustments'!F:F,'Step 2'!D2018)</f>
        <v>0</v>
      </c>
      <c r="K2018" s="126">
        <f t="shared" si="593"/>
        <v>3.5372000000000001E-2</v>
      </c>
      <c r="L2018" s="174">
        <f>VLOOKUP(A2018,'Step 1'!$A:$E,4,FALSE)</f>
        <v>234199</v>
      </c>
      <c r="M2018" s="47">
        <f t="shared" si="594"/>
        <v>8284</v>
      </c>
      <c r="N2018" s="177">
        <f>SUMIFS('Support - Transition'!G:G,'Support - Transition'!J:J,'Step 2'!D2018,'Support - Transition'!E:E,"2009 WELFARE ALLOCATION FACTOR")</f>
        <v>0</v>
      </c>
      <c r="O2018" s="152">
        <f t="shared" si="599"/>
        <v>0</v>
      </c>
      <c r="P2018" s="126">
        <f>IF(E2018="Y",0,SUMIFS('Support - Transition'!G:G,'Support - Transition'!J:J,'Step 2'!D2018,'Support - Transition'!E:E,"2009 SCHOOL ALLOCATION FACTOR"))</f>
        <v>0</v>
      </c>
      <c r="Q2018" s="126">
        <f>IF(E2018="Y",VLOOKUP(D2018,'Support - Unit Adjustments'!F:G,2,FALSE),0)</f>
        <v>0</v>
      </c>
      <c r="R2018" s="155">
        <f t="shared" si="611"/>
        <v>0</v>
      </c>
      <c r="S2018" s="47">
        <f t="shared" si="610"/>
        <v>0</v>
      </c>
      <c r="T2018" s="151">
        <f t="shared" si="595"/>
        <v>8284</v>
      </c>
      <c r="U2018" s="151">
        <f t="shared" si="596"/>
        <v>0</v>
      </c>
      <c r="V2018" s="139">
        <f t="shared" si="597"/>
        <v>0</v>
      </c>
      <c r="W2018" s="152">
        <f t="shared" si="600"/>
        <v>8284</v>
      </c>
      <c r="X2018" s="127" t="str">
        <f t="shared" si="598"/>
        <v/>
      </c>
      <c r="Y2018" s="207">
        <f t="shared" si="601"/>
        <v>8284</v>
      </c>
      <c r="Z2018" s="139">
        <f t="shared" si="602"/>
        <v>8284</v>
      </c>
      <c r="AA2018" s="139">
        <f t="shared" si="603"/>
        <v>0</v>
      </c>
      <c r="AC2018" s="47">
        <f t="shared" si="604"/>
        <v>4142</v>
      </c>
      <c r="AD2018" s="47">
        <f t="shared" si="605"/>
        <v>4142</v>
      </c>
      <c r="AE2018" s="47">
        <f t="shared" si="606"/>
        <v>0</v>
      </c>
      <c r="AG2018" s="47">
        <f t="shared" si="607"/>
        <v>4142</v>
      </c>
      <c r="AH2018" s="47">
        <f t="shared" si="608"/>
        <v>4142</v>
      </c>
      <c r="AI2018" s="208">
        <f t="shared" si="609"/>
        <v>0</v>
      </c>
    </row>
    <row r="2019" spans="1:35">
      <c r="A2019" t="s">
        <v>2151</v>
      </c>
      <c r="B2019" t="s">
        <v>3155</v>
      </c>
      <c r="C2019" t="s">
        <v>2953</v>
      </c>
      <c r="D2019" t="s">
        <v>5511</v>
      </c>
      <c r="F2019" t="s">
        <v>1479</v>
      </c>
      <c r="G2019" s="126">
        <f>SUMIFS('Support - Transition'!F:F,'Support - Transition'!B:B,'Step 2'!A2019,'Support - Transition'!C:C,'Step 2'!B2019,'Support - Transition'!D:D,'Step 2'!C2019,'Support - Transition'!E:E,"CIVIL")</f>
        <v>0</v>
      </c>
      <c r="H2019" s="126">
        <f>SUMIFS('Support - Transition'!F:F,'Support - Transition'!B:B,'Step 2'!A2019,'Support - Transition'!C:C,'Step 2'!B2019,'Support - Transition'!D:D,'Step 2'!C2019,'Support - Transition'!E:E,"FIRE")</f>
        <v>0</v>
      </c>
      <c r="I2019" s="126">
        <f>IF(B2019="0",SUMIFS('Support - Transition'!F:F,'Support - Transition'!J:J,'Step 2'!D2019,'Support - Transition'!E:E,"STATE UNIT"),SUMIFS('Support - Transition'!F:F,'Support - Transition'!J:J,'Step 2'!D2019))</f>
        <v>1.681E-3</v>
      </c>
      <c r="J2019" s="126">
        <f>SUMIFS('Support - Unit Adjustments'!E:E,'Support - Unit Adjustments'!F:F,'Step 2'!D2019)</f>
        <v>0</v>
      </c>
      <c r="K2019" s="126">
        <f t="shared" si="593"/>
        <v>1.681E-3</v>
      </c>
      <c r="L2019" s="174">
        <f>VLOOKUP(A2019,'Step 1'!$A:$E,4,FALSE)</f>
        <v>234199</v>
      </c>
      <c r="M2019" s="47">
        <f t="shared" si="594"/>
        <v>394</v>
      </c>
      <c r="N2019" s="177">
        <f>SUMIFS('Support - Transition'!G:G,'Support - Transition'!J:J,'Step 2'!D2019,'Support - Transition'!E:E,"2009 WELFARE ALLOCATION FACTOR")</f>
        <v>0</v>
      </c>
      <c r="O2019" s="152">
        <f t="shared" si="599"/>
        <v>0</v>
      </c>
      <c r="P2019" s="126">
        <f>IF(E2019="Y",0,SUMIFS('Support - Transition'!G:G,'Support - Transition'!J:J,'Step 2'!D2019,'Support - Transition'!E:E,"2009 SCHOOL ALLOCATION FACTOR"))</f>
        <v>0</v>
      </c>
      <c r="Q2019" s="126">
        <f>IF(E2019="Y",VLOOKUP(D2019,'Support - Unit Adjustments'!F:G,2,FALSE),0)</f>
        <v>0</v>
      </c>
      <c r="R2019" s="155">
        <f t="shared" si="611"/>
        <v>0</v>
      </c>
      <c r="S2019" s="47">
        <f t="shared" si="610"/>
        <v>0</v>
      </c>
      <c r="T2019" s="151">
        <f t="shared" si="595"/>
        <v>394</v>
      </c>
      <c r="U2019" s="151">
        <f t="shared" si="596"/>
        <v>0</v>
      </c>
      <c r="V2019" s="139">
        <f t="shared" si="597"/>
        <v>0</v>
      </c>
      <c r="W2019" s="152">
        <f t="shared" si="600"/>
        <v>394</v>
      </c>
      <c r="X2019" s="127" t="str">
        <f t="shared" si="598"/>
        <v/>
      </c>
      <c r="Y2019" s="207">
        <f t="shared" si="601"/>
        <v>394</v>
      </c>
      <c r="Z2019" s="139">
        <f t="shared" si="602"/>
        <v>394</v>
      </c>
      <c r="AA2019" s="139">
        <f t="shared" si="603"/>
        <v>0</v>
      </c>
      <c r="AC2019" s="47">
        <f t="shared" si="604"/>
        <v>197</v>
      </c>
      <c r="AD2019" s="47">
        <f t="shared" si="605"/>
        <v>197</v>
      </c>
      <c r="AE2019" s="47">
        <f t="shared" si="606"/>
        <v>0</v>
      </c>
      <c r="AG2019" s="47">
        <f t="shared" si="607"/>
        <v>197</v>
      </c>
      <c r="AH2019" s="47">
        <f t="shared" si="608"/>
        <v>197</v>
      </c>
      <c r="AI2019" s="208">
        <f t="shared" si="609"/>
        <v>0</v>
      </c>
    </row>
    <row r="2020" spans="1:35">
      <c r="A2020" t="s">
        <v>2151</v>
      </c>
      <c r="B2020" t="s">
        <v>3155</v>
      </c>
      <c r="C2020" t="s">
        <v>2954</v>
      </c>
      <c r="D2020" t="s">
        <v>5512</v>
      </c>
      <c r="F2020" t="s">
        <v>1480</v>
      </c>
      <c r="G2020" s="126">
        <f>SUMIFS('Support - Transition'!F:F,'Support - Transition'!B:B,'Step 2'!A2020,'Support - Transition'!C:C,'Step 2'!B2020,'Support - Transition'!D:D,'Step 2'!C2020,'Support - Transition'!E:E,"CIVIL")</f>
        <v>0</v>
      </c>
      <c r="H2020" s="126">
        <f>SUMIFS('Support - Transition'!F:F,'Support - Transition'!B:B,'Step 2'!A2020,'Support - Transition'!C:C,'Step 2'!B2020,'Support - Transition'!D:D,'Step 2'!C2020,'Support - Transition'!E:E,"FIRE")</f>
        <v>0</v>
      </c>
      <c r="I2020" s="126">
        <f>IF(B2020="0",SUMIFS('Support - Transition'!F:F,'Support - Transition'!J:J,'Step 2'!D2020,'Support - Transition'!E:E,"STATE UNIT"),SUMIFS('Support - Transition'!F:F,'Support - Transition'!J:J,'Step 2'!D2020))</f>
        <v>3.1519999999999999E-3</v>
      </c>
      <c r="J2020" s="126">
        <f>SUMIFS('Support - Unit Adjustments'!E:E,'Support - Unit Adjustments'!F:F,'Step 2'!D2020)</f>
        <v>0</v>
      </c>
      <c r="K2020" s="126">
        <f t="shared" si="593"/>
        <v>3.1519999999999999E-3</v>
      </c>
      <c r="L2020" s="174">
        <f>VLOOKUP(A2020,'Step 1'!$A:$E,4,FALSE)</f>
        <v>234199</v>
      </c>
      <c r="M2020" s="47">
        <f t="shared" si="594"/>
        <v>738</v>
      </c>
      <c r="N2020" s="177">
        <f>SUMIFS('Support - Transition'!G:G,'Support - Transition'!J:J,'Step 2'!D2020,'Support - Transition'!E:E,"2009 WELFARE ALLOCATION FACTOR")</f>
        <v>0</v>
      </c>
      <c r="O2020" s="152">
        <f t="shared" si="599"/>
        <v>0</v>
      </c>
      <c r="P2020" s="126">
        <f>IF(E2020="Y",0,SUMIFS('Support - Transition'!G:G,'Support - Transition'!J:J,'Step 2'!D2020,'Support - Transition'!E:E,"2009 SCHOOL ALLOCATION FACTOR"))</f>
        <v>0</v>
      </c>
      <c r="Q2020" s="126">
        <f>IF(E2020="Y",VLOOKUP(D2020,'Support - Unit Adjustments'!F:G,2,FALSE),0)</f>
        <v>0</v>
      </c>
      <c r="R2020" s="155">
        <f t="shared" si="611"/>
        <v>0</v>
      </c>
      <c r="S2020" s="47">
        <f t="shared" si="610"/>
        <v>0</v>
      </c>
      <c r="T2020" s="151">
        <f t="shared" si="595"/>
        <v>738</v>
      </c>
      <c r="U2020" s="151">
        <f t="shared" si="596"/>
        <v>0</v>
      </c>
      <c r="V2020" s="139">
        <f t="shared" si="597"/>
        <v>0</v>
      </c>
      <c r="W2020" s="152">
        <f t="shared" si="600"/>
        <v>738</v>
      </c>
      <c r="X2020" s="127" t="str">
        <f t="shared" si="598"/>
        <v/>
      </c>
      <c r="Y2020" s="207">
        <f t="shared" si="601"/>
        <v>738</v>
      </c>
      <c r="Z2020" s="139">
        <f t="shared" si="602"/>
        <v>738</v>
      </c>
      <c r="AA2020" s="139">
        <f t="shared" si="603"/>
        <v>0</v>
      </c>
      <c r="AC2020" s="47">
        <f t="shared" si="604"/>
        <v>369</v>
      </c>
      <c r="AD2020" s="47">
        <f t="shared" si="605"/>
        <v>369</v>
      </c>
      <c r="AE2020" s="47">
        <f t="shared" si="606"/>
        <v>0</v>
      </c>
      <c r="AG2020" s="47">
        <f t="shared" si="607"/>
        <v>369</v>
      </c>
      <c r="AH2020" s="47">
        <f t="shared" si="608"/>
        <v>369</v>
      </c>
      <c r="AI2020" s="208">
        <f t="shared" si="609"/>
        <v>0</v>
      </c>
    </row>
    <row r="2021" spans="1:35">
      <c r="A2021" t="s">
        <v>2151</v>
      </c>
      <c r="B2021" t="s">
        <v>3155</v>
      </c>
      <c r="C2021" t="s">
        <v>2955</v>
      </c>
      <c r="D2021" t="s">
        <v>5513</v>
      </c>
      <c r="F2021" t="s">
        <v>1483</v>
      </c>
      <c r="G2021" s="126">
        <f>SUMIFS('Support - Transition'!F:F,'Support - Transition'!B:B,'Step 2'!A2021,'Support - Transition'!C:C,'Step 2'!B2021,'Support - Transition'!D:D,'Step 2'!C2021,'Support - Transition'!E:E,"CIVIL")</f>
        <v>0</v>
      </c>
      <c r="H2021" s="126">
        <f>SUMIFS('Support - Transition'!F:F,'Support - Transition'!B:B,'Step 2'!A2021,'Support - Transition'!C:C,'Step 2'!B2021,'Support - Transition'!D:D,'Step 2'!C2021,'Support - Transition'!E:E,"FIRE")</f>
        <v>0</v>
      </c>
      <c r="I2021" s="126">
        <f>IF(B2021="0",SUMIFS('Support - Transition'!F:F,'Support - Transition'!J:J,'Step 2'!D2021,'Support - Transition'!E:E,"STATE UNIT"),SUMIFS('Support - Transition'!F:F,'Support - Transition'!J:J,'Step 2'!D2021))</f>
        <v>2.3310000000000002E-3</v>
      </c>
      <c r="J2021" s="126">
        <f>SUMIFS('Support - Unit Adjustments'!E:E,'Support - Unit Adjustments'!F:F,'Step 2'!D2021)</f>
        <v>0</v>
      </c>
      <c r="K2021" s="126">
        <f t="shared" si="593"/>
        <v>2.3310000000000002E-3</v>
      </c>
      <c r="L2021" s="174">
        <f>VLOOKUP(A2021,'Step 1'!$A:$E,4,FALSE)</f>
        <v>234199</v>
      </c>
      <c r="M2021" s="47">
        <f t="shared" si="594"/>
        <v>546</v>
      </c>
      <c r="N2021" s="177">
        <f>SUMIFS('Support - Transition'!G:G,'Support - Transition'!J:J,'Step 2'!D2021,'Support - Transition'!E:E,"2009 WELFARE ALLOCATION FACTOR")</f>
        <v>0</v>
      </c>
      <c r="O2021" s="152">
        <f t="shared" si="599"/>
        <v>0</v>
      </c>
      <c r="P2021" s="126">
        <f>IF(E2021="Y",0,SUMIFS('Support - Transition'!G:G,'Support - Transition'!J:J,'Step 2'!D2021,'Support - Transition'!E:E,"2009 SCHOOL ALLOCATION FACTOR"))</f>
        <v>0</v>
      </c>
      <c r="Q2021" s="126">
        <f>IF(E2021="Y",VLOOKUP(D2021,'Support - Unit Adjustments'!F:G,2,FALSE),0)</f>
        <v>0</v>
      </c>
      <c r="R2021" s="155">
        <f t="shared" si="611"/>
        <v>0</v>
      </c>
      <c r="S2021" s="47">
        <f t="shared" si="610"/>
        <v>0</v>
      </c>
      <c r="T2021" s="151">
        <f t="shared" si="595"/>
        <v>546</v>
      </c>
      <c r="U2021" s="151">
        <f t="shared" si="596"/>
        <v>0</v>
      </c>
      <c r="V2021" s="139">
        <f t="shared" si="597"/>
        <v>0</v>
      </c>
      <c r="W2021" s="152">
        <f t="shared" si="600"/>
        <v>546</v>
      </c>
      <c r="X2021" s="127" t="str">
        <f t="shared" si="598"/>
        <v/>
      </c>
      <c r="Y2021" s="207">
        <f t="shared" si="601"/>
        <v>546</v>
      </c>
      <c r="Z2021" s="139">
        <f t="shared" si="602"/>
        <v>546</v>
      </c>
      <c r="AA2021" s="139">
        <f t="shared" si="603"/>
        <v>0</v>
      </c>
      <c r="AC2021" s="47">
        <f t="shared" si="604"/>
        <v>273</v>
      </c>
      <c r="AD2021" s="47">
        <f t="shared" si="605"/>
        <v>273</v>
      </c>
      <c r="AE2021" s="47">
        <f t="shared" si="606"/>
        <v>0</v>
      </c>
      <c r="AG2021" s="47">
        <f t="shared" si="607"/>
        <v>273</v>
      </c>
      <c r="AH2021" s="47">
        <f t="shared" si="608"/>
        <v>273</v>
      </c>
      <c r="AI2021" s="208">
        <f t="shared" si="609"/>
        <v>0</v>
      </c>
    </row>
    <row r="2022" spans="1:35">
      <c r="A2022" t="s">
        <v>2151</v>
      </c>
      <c r="B2022" t="s">
        <v>3155</v>
      </c>
      <c r="C2022" t="s">
        <v>2956</v>
      </c>
      <c r="D2022" t="s">
        <v>5514</v>
      </c>
      <c r="F2022" t="s">
        <v>1484</v>
      </c>
      <c r="G2022" s="126">
        <f>SUMIFS('Support - Transition'!F:F,'Support - Transition'!B:B,'Step 2'!A2022,'Support - Transition'!C:C,'Step 2'!B2022,'Support - Transition'!D:D,'Step 2'!C2022,'Support - Transition'!E:E,"CIVIL")</f>
        <v>0</v>
      </c>
      <c r="H2022" s="126">
        <f>SUMIFS('Support - Transition'!F:F,'Support - Transition'!B:B,'Step 2'!A2022,'Support - Transition'!C:C,'Step 2'!B2022,'Support - Transition'!D:D,'Step 2'!C2022,'Support - Transition'!E:E,"FIRE")</f>
        <v>0</v>
      </c>
      <c r="I2022" s="126">
        <f>IF(B2022="0",SUMIFS('Support - Transition'!F:F,'Support - Transition'!J:J,'Step 2'!D2022,'Support - Transition'!E:E,"STATE UNIT"),SUMIFS('Support - Transition'!F:F,'Support - Transition'!J:J,'Step 2'!D2022))</f>
        <v>1.7669999999999999E-3</v>
      </c>
      <c r="J2022" s="126">
        <f>SUMIFS('Support - Unit Adjustments'!E:E,'Support - Unit Adjustments'!F:F,'Step 2'!D2022)</f>
        <v>0</v>
      </c>
      <c r="K2022" s="126">
        <f t="shared" si="593"/>
        <v>1.7669999999999999E-3</v>
      </c>
      <c r="L2022" s="174">
        <f>VLOOKUP(A2022,'Step 1'!$A:$E,4,FALSE)</f>
        <v>234199</v>
      </c>
      <c r="M2022" s="47">
        <f t="shared" si="594"/>
        <v>414</v>
      </c>
      <c r="N2022" s="177">
        <f>SUMIFS('Support - Transition'!G:G,'Support - Transition'!J:J,'Step 2'!D2022,'Support - Transition'!E:E,"2009 WELFARE ALLOCATION FACTOR")</f>
        <v>0</v>
      </c>
      <c r="O2022" s="152">
        <f t="shared" si="599"/>
        <v>0</v>
      </c>
      <c r="P2022" s="126">
        <f>IF(E2022="Y",0,SUMIFS('Support - Transition'!G:G,'Support - Transition'!J:J,'Step 2'!D2022,'Support - Transition'!E:E,"2009 SCHOOL ALLOCATION FACTOR"))</f>
        <v>0</v>
      </c>
      <c r="Q2022" s="126">
        <f>IF(E2022="Y",VLOOKUP(D2022,'Support - Unit Adjustments'!F:G,2,FALSE),0)</f>
        <v>0</v>
      </c>
      <c r="R2022" s="155">
        <f t="shared" si="611"/>
        <v>0</v>
      </c>
      <c r="S2022" s="47">
        <f t="shared" si="610"/>
        <v>0</v>
      </c>
      <c r="T2022" s="151">
        <f t="shared" si="595"/>
        <v>414</v>
      </c>
      <c r="U2022" s="151">
        <f t="shared" si="596"/>
        <v>0</v>
      </c>
      <c r="V2022" s="139">
        <f t="shared" si="597"/>
        <v>0</v>
      </c>
      <c r="W2022" s="152">
        <f t="shared" si="600"/>
        <v>414</v>
      </c>
      <c r="X2022" s="127" t="str">
        <f t="shared" si="598"/>
        <v/>
      </c>
      <c r="Y2022" s="207">
        <f t="shared" si="601"/>
        <v>414</v>
      </c>
      <c r="Z2022" s="139">
        <f t="shared" si="602"/>
        <v>414</v>
      </c>
      <c r="AA2022" s="139">
        <f t="shared" si="603"/>
        <v>0</v>
      </c>
      <c r="AC2022" s="47">
        <f t="shared" si="604"/>
        <v>207</v>
      </c>
      <c r="AD2022" s="47">
        <f t="shared" si="605"/>
        <v>207</v>
      </c>
      <c r="AE2022" s="47">
        <f t="shared" si="606"/>
        <v>0</v>
      </c>
      <c r="AG2022" s="47">
        <f t="shared" si="607"/>
        <v>207</v>
      </c>
      <c r="AH2022" s="47">
        <f t="shared" si="608"/>
        <v>207</v>
      </c>
      <c r="AI2022" s="208">
        <f t="shared" si="609"/>
        <v>0</v>
      </c>
    </row>
    <row r="2023" spans="1:35">
      <c r="A2023" t="s">
        <v>2151</v>
      </c>
      <c r="B2023" t="s">
        <v>3155</v>
      </c>
      <c r="C2023" t="s">
        <v>2330</v>
      </c>
      <c r="D2023" t="s">
        <v>5515</v>
      </c>
      <c r="F2023" t="s">
        <v>1481</v>
      </c>
      <c r="G2023" s="126">
        <f>SUMIFS('Support - Transition'!F:F,'Support - Transition'!B:B,'Step 2'!A2023,'Support - Transition'!C:C,'Step 2'!B2023,'Support - Transition'!D:D,'Step 2'!C2023,'Support - Transition'!E:E,"CIVIL")</f>
        <v>0</v>
      </c>
      <c r="H2023" s="126">
        <f>SUMIFS('Support - Transition'!F:F,'Support - Transition'!B:B,'Step 2'!A2023,'Support - Transition'!C:C,'Step 2'!B2023,'Support - Transition'!D:D,'Step 2'!C2023,'Support - Transition'!E:E,"FIRE")</f>
        <v>0</v>
      </c>
      <c r="I2023" s="126">
        <f>IF(B2023="0",SUMIFS('Support - Transition'!F:F,'Support - Transition'!J:J,'Step 2'!D2023,'Support - Transition'!E:E,"STATE UNIT"),SUMIFS('Support - Transition'!F:F,'Support - Transition'!J:J,'Step 2'!D2023))</f>
        <v>0</v>
      </c>
      <c r="J2023" s="126">
        <f>SUMIFS('Support - Unit Adjustments'!E:E,'Support - Unit Adjustments'!F:F,'Step 2'!D2023)</f>
        <v>0</v>
      </c>
      <c r="K2023" s="126">
        <f t="shared" si="593"/>
        <v>0</v>
      </c>
      <c r="L2023" s="174">
        <f>VLOOKUP(A2023,'Step 1'!$A:$E,4,FALSE)</f>
        <v>234199</v>
      </c>
      <c r="M2023" s="47">
        <f t="shared" si="594"/>
        <v>0</v>
      </c>
      <c r="N2023" s="177">
        <f>SUMIFS('Support - Transition'!G:G,'Support - Transition'!J:J,'Step 2'!D2023,'Support - Transition'!E:E,"2009 WELFARE ALLOCATION FACTOR")</f>
        <v>0</v>
      </c>
      <c r="O2023" s="152">
        <f t="shared" si="599"/>
        <v>0</v>
      </c>
      <c r="P2023" s="126">
        <f>IF(E2023="Y",0,SUMIFS('Support - Transition'!G:G,'Support - Transition'!J:J,'Step 2'!D2023,'Support - Transition'!E:E,"2009 SCHOOL ALLOCATION FACTOR"))</f>
        <v>0</v>
      </c>
      <c r="Q2023" s="126">
        <f>IF(E2023="Y",VLOOKUP(D2023,'Support - Unit Adjustments'!F:G,2,FALSE),0)</f>
        <v>0</v>
      </c>
      <c r="R2023" s="155">
        <f t="shared" si="611"/>
        <v>0</v>
      </c>
      <c r="S2023" s="47">
        <f t="shared" si="610"/>
        <v>0</v>
      </c>
      <c r="T2023" s="151">
        <f t="shared" si="595"/>
        <v>0</v>
      </c>
      <c r="U2023" s="151">
        <f t="shared" si="596"/>
        <v>0</v>
      </c>
      <c r="V2023" s="139">
        <f t="shared" si="597"/>
        <v>0</v>
      </c>
      <c r="W2023" s="152">
        <f t="shared" si="600"/>
        <v>0</v>
      </c>
      <c r="X2023" s="127" t="str">
        <f t="shared" si="598"/>
        <v/>
      </c>
      <c r="Y2023" s="207">
        <f t="shared" si="601"/>
        <v>0</v>
      </c>
      <c r="Z2023" s="139">
        <f t="shared" si="602"/>
        <v>0</v>
      </c>
      <c r="AA2023" s="139">
        <f t="shared" si="603"/>
        <v>0</v>
      </c>
      <c r="AC2023" s="47">
        <f t="shared" si="604"/>
        <v>0</v>
      </c>
      <c r="AD2023" s="47">
        <f t="shared" si="605"/>
        <v>0</v>
      </c>
      <c r="AE2023" s="47">
        <f t="shared" si="606"/>
        <v>0</v>
      </c>
      <c r="AG2023" s="47">
        <f t="shared" si="607"/>
        <v>0</v>
      </c>
      <c r="AH2023" s="47">
        <f t="shared" si="608"/>
        <v>0</v>
      </c>
      <c r="AI2023" s="208">
        <f t="shared" si="609"/>
        <v>0</v>
      </c>
    </row>
    <row r="2024" spans="1:35">
      <c r="A2024" t="s">
        <v>2151</v>
      </c>
      <c r="B2024" t="s">
        <v>3160</v>
      </c>
      <c r="C2024" t="s">
        <v>2957</v>
      </c>
      <c r="D2024" t="s">
        <v>5516</v>
      </c>
      <c r="F2024" t="s">
        <v>5517</v>
      </c>
      <c r="G2024" s="126">
        <f>SUMIFS('Support - Transition'!F:F,'Support - Transition'!B:B,'Step 2'!A2024,'Support - Transition'!C:C,'Step 2'!B2024,'Support - Transition'!D:D,'Step 2'!C2024,'Support - Transition'!E:E,"CIVIL")</f>
        <v>0</v>
      </c>
      <c r="H2024" s="126">
        <f>SUMIFS('Support - Transition'!F:F,'Support - Transition'!B:B,'Step 2'!A2024,'Support - Transition'!C:C,'Step 2'!B2024,'Support - Transition'!D:D,'Step 2'!C2024,'Support - Transition'!E:E,"FIRE")</f>
        <v>0</v>
      </c>
      <c r="I2024" s="126">
        <f>IF(B2024="0",SUMIFS('Support - Transition'!F:F,'Support - Transition'!J:J,'Step 2'!D2024,'Support - Transition'!E:E,"STATE UNIT"),SUMIFS('Support - Transition'!F:F,'Support - Transition'!J:J,'Step 2'!D2024))</f>
        <v>0.112354</v>
      </c>
      <c r="J2024" s="126">
        <f>SUMIFS('Support - Unit Adjustments'!E:E,'Support - Unit Adjustments'!F:F,'Step 2'!D2024)</f>
        <v>0</v>
      </c>
      <c r="K2024" s="126">
        <f t="shared" si="593"/>
        <v>0.112354</v>
      </c>
      <c r="L2024" s="174">
        <f>VLOOKUP(A2024,'Step 1'!$A:$E,4,FALSE)</f>
        <v>234199</v>
      </c>
      <c r="M2024" s="47">
        <f t="shared" si="594"/>
        <v>26313</v>
      </c>
      <c r="N2024" s="177">
        <f>SUMIFS('Support - Transition'!G:G,'Support - Transition'!J:J,'Step 2'!D2024,'Support - Transition'!E:E,"2009 WELFARE ALLOCATION FACTOR")</f>
        <v>0</v>
      </c>
      <c r="O2024" s="152">
        <f t="shared" si="599"/>
        <v>0</v>
      </c>
      <c r="P2024" s="126">
        <f>IF(E2024="Y",0,SUMIFS('Support - Transition'!G:G,'Support - Transition'!J:J,'Step 2'!D2024,'Support - Transition'!E:E,"2009 SCHOOL ALLOCATION FACTOR"))</f>
        <v>0.306564</v>
      </c>
      <c r="Q2024" s="126">
        <f>IF(E2024="Y",VLOOKUP(D2024,'Support - Unit Adjustments'!F:G,2,FALSE),0)</f>
        <v>0</v>
      </c>
      <c r="R2024" s="155">
        <f t="shared" si="611"/>
        <v>0.306564</v>
      </c>
      <c r="S2024" s="47">
        <f t="shared" si="610"/>
        <v>8067</v>
      </c>
      <c r="T2024" s="151">
        <f t="shared" si="595"/>
        <v>18246</v>
      </c>
      <c r="U2024" s="151">
        <f t="shared" si="596"/>
        <v>0</v>
      </c>
      <c r="V2024" s="139">
        <f t="shared" si="597"/>
        <v>0</v>
      </c>
      <c r="W2024" s="152">
        <f t="shared" si="600"/>
        <v>18246</v>
      </c>
      <c r="X2024" s="127" t="str">
        <f t="shared" si="598"/>
        <v/>
      </c>
      <c r="Y2024" s="207">
        <f t="shared" si="601"/>
        <v>18246</v>
      </c>
      <c r="Z2024" s="139">
        <f t="shared" si="602"/>
        <v>18246</v>
      </c>
      <c r="AA2024" s="139">
        <f t="shared" si="603"/>
        <v>0</v>
      </c>
      <c r="AC2024" s="47">
        <f t="shared" si="604"/>
        <v>9123</v>
      </c>
      <c r="AD2024" s="47">
        <f t="shared" si="605"/>
        <v>9123</v>
      </c>
      <c r="AE2024" s="47">
        <f t="shared" si="606"/>
        <v>0</v>
      </c>
      <c r="AG2024" s="47">
        <f t="shared" si="607"/>
        <v>9123</v>
      </c>
      <c r="AH2024" s="47">
        <f t="shared" si="608"/>
        <v>9123</v>
      </c>
      <c r="AI2024" s="208">
        <f t="shared" si="609"/>
        <v>0</v>
      </c>
    </row>
    <row r="2025" spans="1:35">
      <c r="A2025" t="s">
        <v>2151</v>
      </c>
      <c r="B2025" t="s">
        <v>3160</v>
      </c>
      <c r="C2025" t="s">
        <v>2958</v>
      </c>
      <c r="D2025" t="s">
        <v>5518</v>
      </c>
      <c r="F2025" t="s">
        <v>5519</v>
      </c>
      <c r="G2025" s="126">
        <f>SUMIFS('Support - Transition'!F:F,'Support - Transition'!B:B,'Step 2'!A2025,'Support - Transition'!C:C,'Step 2'!B2025,'Support - Transition'!D:D,'Step 2'!C2025,'Support - Transition'!E:E,"CIVIL")</f>
        <v>0</v>
      </c>
      <c r="H2025" s="126">
        <f>SUMIFS('Support - Transition'!F:F,'Support - Transition'!B:B,'Step 2'!A2025,'Support - Transition'!C:C,'Step 2'!B2025,'Support - Transition'!D:D,'Step 2'!C2025,'Support - Transition'!E:E,"FIRE")</f>
        <v>0</v>
      </c>
      <c r="I2025" s="126">
        <f>IF(B2025="0",SUMIFS('Support - Transition'!F:F,'Support - Transition'!J:J,'Step 2'!D2025,'Support - Transition'!E:E,"STATE UNIT"),SUMIFS('Support - Transition'!F:F,'Support - Transition'!J:J,'Step 2'!D2025))</f>
        <v>0.26794499999999999</v>
      </c>
      <c r="J2025" s="126">
        <f>SUMIFS('Support - Unit Adjustments'!E:E,'Support - Unit Adjustments'!F:F,'Step 2'!D2025)</f>
        <v>0</v>
      </c>
      <c r="K2025" s="126">
        <f t="shared" si="593"/>
        <v>0.26794499999999999</v>
      </c>
      <c r="L2025" s="174">
        <f>VLOOKUP(A2025,'Step 1'!$A:$E,4,FALSE)</f>
        <v>234199</v>
      </c>
      <c r="M2025" s="47">
        <f t="shared" si="594"/>
        <v>62752</v>
      </c>
      <c r="N2025" s="177">
        <f>SUMIFS('Support - Transition'!G:G,'Support - Transition'!J:J,'Step 2'!D2025,'Support - Transition'!E:E,"2009 WELFARE ALLOCATION FACTOR")</f>
        <v>0</v>
      </c>
      <c r="O2025" s="152">
        <f t="shared" si="599"/>
        <v>0</v>
      </c>
      <c r="P2025" s="126">
        <f>IF(E2025="Y",0,SUMIFS('Support - Transition'!G:G,'Support - Transition'!J:J,'Step 2'!D2025,'Support - Transition'!E:E,"2009 SCHOOL ALLOCATION FACTOR"))</f>
        <v>0.47979300000000003</v>
      </c>
      <c r="Q2025" s="126">
        <f>IF(E2025="Y",VLOOKUP(D2025,'Support - Unit Adjustments'!F:G,2,FALSE),0)</f>
        <v>0</v>
      </c>
      <c r="R2025" s="155">
        <f t="shared" si="611"/>
        <v>0.47979300000000003</v>
      </c>
      <c r="S2025" s="47">
        <f t="shared" si="610"/>
        <v>30108</v>
      </c>
      <c r="T2025" s="151">
        <f t="shared" si="595"/>
        <v>32644</v>
      </c>
      <c r="U2025" s="151">
        <f t="shared" si="596"/>
        <v>0</v>
      </c>
      <c r="V2025" s="139">
        <f t="shared" si="597"/>
        <v>0</v>
      </c>
      <c r="W2025" s="152">
        <f t="shared" si="600"/>
        <v>32644</v>
      </c>
      <c r="X2025" s="127" t="str">
        <f t="shared" si="598"/>
        <v/>
      </c>
      <c r="Y2025" s="207">
        <f t="shared" si="601"/>
        <v>32644</v>
      </c>
      <c r="Z2025" s="139">
        <f t="shared" si="602"/>
        <v>32644</v>
      </c>
      <c r="AA2025" s="139">
        <f t="shared" si="603"/>
        <v>0</v>
      </c>
      <c r="AC2025" s="47">
        <f t="shared" si="604"/>
        <v>16322</v>
      </c>
      <c r="AD2025" s="47">
        <f t="shared" si="605"/>
        <v>16322</v>
      </c>
      <c r="AE2025" s="47">
        <f t="shared" si="606"/>
        <v>0</v>
      </c>
      <c r="AG2025" s="47">
        <f t="shared" si="607"/>
        <v>16322</v>
      </c>
      <c r="AH2025" s="47">
        <f t="shared" si="608"/>
        <v>16322</v>
      </c>
      <c r="AI2025" s="208">
        <f t="shared" si="609"/>
        <v>0</v>
      </c>
    </row>
    <row r="2026" spans="1:35">
      <c r="A2026" t="s">
        <v>2151</v>
      </c>
      <c r="B2026" t="s">
        <v>3160</v>
      </c>
      <c r="C2026" t="s">
        <v>2903</v>
      </c>
      <c r="D2026" t="s">
        <v>5520</v>
      </c>
      <c r="F2026" t="s">
        <v>1362</v>
      </c>
      <c r="G2026" s="126">
        <f>SUMIFS('Support - Transition'!F:F,'Support - Transition'!B:B,'Step 2'!A2026,'Support - Transition'!C:C,'Step 2'!B2026,'Support - Transition'!D:D,'Step 2'!C2026,'Support - Transition'!E:E,"CIVIL")</f>
        <v>0</v>
      </c>
      <c r="H2026" s="126">
        <f>SUMIFS('Support - Transition'!F:F,'Support - Transition'!B:B,'Step 2'!A2026,'Support - Transition'!C:C,'Step 2'!B2026,'Support - Transition'!D:D,'Step 2'!C2026,'Support - Transition'!E:E,"FIRE")</f>
        <v>0</v>
      </c>
      <c r="I2026" s="126">
        <f>IF(B2026="0",SUMIFS('Support - Transition'!F:F,'Support - Transition'!J:J,'Step 2'!D2026,'Support - Transition'!E:E,"STATE UNIT"),SUMIFS('Support - Transition'!F:F,'Support - Transition'!J:J,'Step 2'!D2026))</f>
        <v>6.2392999999999997E-2</v>
      </c>
      <c r="J2026" s="126">
        <f>SUMIFS('Support - Unit Adjustments'!E:E,'Support - Unit Adjustments'!F:F,'Step 2'!D2026)</f>
        <v>0</v>
      </c>
      <c r="K2026" s="126">
        <f t="shared" si="593"/>
        <v>6.2392999999999997E-2</v>
      </c>
      <c r="L2026" s="174">
        <f>VLOOKUP(A2026,'Step 1'!$A:$E,4,FALSE)</f>
        <v>234199</v>
      </c>
      <c r="M2026" s="47">
        <f t="shared" si="594"/>
        <v>14612</v>
      </c>
      <c r="N2026" s="177">
        <f>SUMIFS('Support - Transition'!G:G,'Support - Transition'!J:J,'Step 2'!D2026,'Support - Transition'!E:E,"2009 WELFARE ALLOCATION FACTOR")</f>
        <v>0</v>
      </c>
      <c r="O2026" s="152">
        <f t="shared" si="599"/>
        <v>0</v>
      </c>
      <c r="P2026" s="126">
        <f>IF(E2026="Y",0,SUMIFS('Support - Transition'!G:G,'Support - Transition'!J:J,'Step 2'!D2026,'Support - Transition'!E:E,"2009 SCHOOL ALLOCATION FACTOR"))</f>
        <v>0.33385799999999999</v>
      </c>
      <c r="Q2026" s="126">
        <f>IF(E2026="Y",VLOOKUP(D2026,'Support - Unit Adjustments'!F:G,2,FALSE),0)</f>
        <v>0</v>
      </c>
      <c r="R2026" s="155">
        <f t="shared" si="611"/>
        <v>0.33385799999999999</v>
      </c>
      <c r="S2026" s="47">
        <f t="shared" si="610"/>
        <v>4878</v>
      </c>
      <c r="T2026" s="151">
        <f t="shared" si="595"/>
        <v>9734</v>
      </c>
      <c r="U2026" s="151">
        <f t="shared" si="596"/>
        <v>0</v>
      </c>
      <c r="V2026" s="139">
        <f t="shared" si="597"/>
        <v>0</v>
      </c>
      <c r="W2026" s="152">
        <f t="shared" si="600"/>
        <v>9734</v>
      </c>
      <c r="X2026" s="127" t="str">
        <f t="shared" si="598"/>
        <v/>
      </c>
      <c r="Y2026" s="207">
        <f t="shared" si="601"/>
        <v>9734</v>
      </c>
      <c r="Z2026" s="139">
        <f t="shared" si="602"/>
        <v>9734</v>
      </c>
      <c r="AA2026" s="139">
        <f t="shared" si="603"/>
        <v>0</v>
      </c>
      <c r="AC2026" s="47">
        <f t="shared" si="604"/>
        <v>4867</v>
      </c>
      <c r="AD2026" s="47">
        <f t="shared" si="605"/>
        <v>4867</v>
      </c>
      <c r="AE2026" s="47">
        <f t="shared" si="606"/>
        <v>0</v>
      </c>
      <c r="AG2026" s="47">
        <f t="shared" si="607"/>
        <v>4867</v>
      </c>
      <c r="AH2026" s="47">
        <f t="shared" si="608"/>
        <v>4867</v>
      </c>
      <c r="AI2026" s="208">
        <f t="shared" si="609"/>
        <v>0</v>
      </c>
    </row>
    <row r="2027" spans="1:35">
      <c r="A2027" t="s">
        <v>2151</v>
      </c>
      <c r="B2027" t="s">
        <v>3160</v>
      </c>
      <c r="C2027" t="s">
        <v>2959</v>
      </c>
      <c r="D2027" t="s">
        <v>5521</v>
      </c>
      <c r="F2027" t="s">
        <v>1485</v>
      </c>
      <c r="G2027" s="126">
        <f>SUMIFS('Support - Transition'!F:F,'Support - Transition'!B:B,'Step 2'!A2027,'Support - Transition'!C:C,'Step 2'!B2027,'Support - Transition'!D:D,'Step 2'!C2027,'Support - Transition'!E:E,"CIVIL")</f>
        <v>0</v>
      </c>
      <c r="H2027" s="126">
        <f>SUMIFS('Support - Transition'!F:F,'Support - Transition'!B:B,'Step 2'!A2027,'Support - Transition'!C:C,'Step 2'!B2027,'Support - Transition'!D:D,'Step 2'!C2027,'Support - Transition'!E:E,"FIRE")</f>
        <v>0</v>
      </c>
      <c r="I2027" s="126">
        <f>IF(B2027="0",SUMIFS('Support - Transition'!F:F,'Support - Transition'!J:J,'Step 2'!D2027,'Support - Transition'!E:E,"STATE UNIT"),SUMIFS('Support - Transition'!F:F,'Support - Transition'!J:J,'Step 2'!D2027))</f>
        <v>0.284611</v>
      </c>
      <c r="J2027" s="126">
        <f>SUMIFS('Support - Unit Adjustments'!E:E,'Support - Unit Adjustments'!F:F,'Step 2'!D2027)</f>
        <v>0</v>
      </c>
      <c r="K2027" s="126">
        <f t="shared" si="593"/>
        <v>0.284611</v>
      </c>
      <c r="L2027" s="174">
        <f>VLOOKUP(A2027,'Step 1'!$A:$E,4,FALSE)</f>
        <v>234199</v>
      </c>
      <c r="M2027" s="47">
        <f t="shared" si="594"/>
        <v>66656</v>
      </c>
      <c r="N2027" s="177">
        <f>SUMIFS('Support - Transition'!G:G,'Support - Transition'!J:J,'Step 2'!D2027,'Support - Transition'!E:E,"2009 WELFARE ALLOCATION FACTOR")</f>
        <v>0</v>
      </c>
      <c r="O2027" s="152">
        <f t="shared" si="599"/>
        <v>0</v>
      </c>
      <c r="P2027" s="126">
        <f>IF(E2027="Y",0,SUMIFS('Support - Transition'!G:G,'Support - Transition'!J:J,'Step 2'!D2027,'Support - Transition'!E:E,"2009 SCHOOL ALLOCATION FACTOR"))</f>
        <v>0.430477</v>
      </c>
      <c r="Q2027" s="126">
        <f>IF(E2027="Y",VLOOKUP(D2027,'Support - Unit Adjustments'!F:G,2,FALSE),0)</f>
        <v>0</v>
      </c>
      <c r="R2027" s="155">
        <f t="shared" si="611"/>
        <v>0.430477</v>
      </c>
      <c r="S2027" s="47">
        <f t="shared" si="610"/>
        <v>28694</v>
      </c>
      <c r="T2027" s="151">
        <f t="shared" si="595"/>
        <v>37962</v>
      </c>
      <c r="U2027" s="151">
        <f t="shared" si="596"/>
        <v>0</v>
      </c>
      <c r="V2027" s="139">
        <f t="shared" si="597"/>
        <v>0</v>
      </c>
      <c r="W2027" s="152">
        <f t="shared" si="600"/>
        <v>37962</v>
      </c>
      <c r="X2027" s="127" t="str">
        <f t="shared" si="598"/>
        <v/>
      </c>
      <c r="Y2027" s="207">
        <f t="shared" si="601"/>
        <v>37962</v>
      </c>
      <c r="Z2027" s="139">
        <f t="shared" si="602"/>
        <v>37962</v>
      </c>
      <c r="AA2027" s="139">
        <f t="shared" si="603"/>
        <v>0</v>
      </c>
      <c r="AC2027" s="47">
        <f t="shared" si="604"/>
        <v>18981</v>
      </c>
      <c r="AD2027" s="47">
        <f t="shared" si="605"/>
        <v>18981</v>
      </c>
      <c r="AE2027" s="47">
        <f t="shared" si="606"/>
        <v>0</v>
      </c>
      <c r="AG2027" s="47">
        <f t="shared" si="607"/>
        <v>18981</v>
      </c>
      <c r="AH2027" s="47">
        <f t="shared" si="608"/>
        <v>18981</v>
      </c>
      <c r="AI2027" s="208">
        <f t="shared" si="609"/>
        <v>0</v>
      </c>
    </row>
    <row r="2028" spans="1:35">
      <c r="A2028" t="s">
        <v>2151</v>
      </c>
      <c r="B2028" t="s">
        <v>3166</v>
      </c>
      <c r="C2028" t="s">
        <v>5522</v>
      </c>
      <c r="D2028" t="s">
        <v>5523</v>
      </c>
      <c r="F2028" t="s">
        <v>1489</v>
      </c>
      <c r="G2028" s="126">
        <f>SUMIFS('Support - Transition'!F:F,'Support - Transition'!B:B,'Step 2'!A2028,'Support - Transition'!C:C,'Step 2'!B2028,'Support - Transition'!D:D,'Step 2'!C2028,'Support - Transition'!E:E,"CIVIL")</f>
        <v>0</v>
      </c>
      <c r="H2028" s="126">
        <f>SUMIFS('Support - Transition'!F:F,'Support - Transition'!B:B,'Step 2'!A2028,'Support - Transition'!C:C,'Step 2'!B2028,'Support - Transition'!D:D,'Step 2'!C2028,'Support - Transition'!E:E,"FIRE")</f>
        <v>0</v>
      </c>
      <c r="I2028" s="126">
        <f>IF(B2028="0",SUMIFS('Support - Transition'!F:F,'Support - Transition'!J:J,'Step 2'!D2028,'Support - Transition'!E:E,"STATE UNIT"),SUMIFS('Support - Transition'!F:F,'Support - Transition'!J:J,'Step 2'!D2028))</f>
        <v>1.5020000000000001E-3</v>
      </c>
      <c r="J2028" s="126">
        <f>SUMIFS('Support - Unit Adjustments'!E:E,'Support - Unit Adjustments'!F:F,'Step 2'!D2028)</f>
        <v>0</v>
      </c>
      <c r="K2028" s="126">
        <f t="shared" si="593"/>
        <v>1.5020000000000001E-3</v>
      </c>
      <c r="L2028" s="174">
        <f>VLOOKUP(A2028,'Step 1'!$A:$E,4,FALSE)</f>
        <v>234199</v>
      </c>
      <c r="M2028" s="47">
        <f t="shared" si="594"/>
        <v>352</v>
      </c>
      <c r="N2028" s="177">
        <f>SUMIFS('Support - Transition'!G:G,'Support - Transition'!J:J,'Step 2'!D2028,'Support - Transition'!E:E,"2009 WELFARE ALLOCATION FACTOR")</f>
        <v>0</v>
      </c>
      <c r="O2028" s="152">
        <f t="shared" si="599"/>
        <v>0</v>
      </c>
      <c r="P2028" s="126">
        <f>IF(E2028="Y",0,SUMIFS('Support - Transition'!G:G,'Support - Transition'!J:J,'Step 2'!D2028,'Support - Transition'!E:E,"2009 SCHOOL ALLOCATION FACTOR"))</f>
        <v>0</v>
      </c>
      <c r="Q2028" s="126">
        <f>IF(E2028="Y",VLOOKUP(D2028,'Support - Unit Adjustments'!F:G,2,FALSE),0)</f>
        <v>0</v>
      </c>
      <c r="R2028" s="155">
        <f t="shared" si="611"/>
        <v>0</v>
      </c>
      <c r="S2028" s="47">
        <f t="shared" si="610"/>
        <v>0</v>
      </c>
      <c r="T2028" s="151">
        <f t="shared" si="595"/>
        <v>352</v>
      </c>
      <c r="U2028" s="151">
        <f t="shared" si="596"/>
        <v>0</v>
      </c>
      <c r="V2028" s="139">
        <f t="shared" si="597"/>
        <v>0</v>
      </c>
      <c r="W2028" s="152">
        <f t="shared" si="600"/>
        <v>352</v>
      </c>
      <c r="X2028" s="127" t="str">
        <f t="shared" si="598"/>
        <v/>
      </c>
      <c r="Y2028" s="207">
        <f t="shared" si="601"/>
        <v>352</v>
      </c>
      <c r="Z2028" s="139">
        <f t="shared" si="602"/>
        <v>352</v>
      </c>
      <c r="AA2028" s="139">
        <f t="shared" si="603"/>
        <v>0</v>
      </c>
      <c r="AC2028" s="47">
        <f t="shared" si="604"/>
        <v>176</v>
      </c>
      <c r="AD2028" s="47">
        <f t="shared" si="605"/>
        <v>176</v>
      </c>
      <c r="AE2028" s="47">
        <f t="shared" si="606"/>
        <v>0</v>
      </c>
      <c r="AG2028" s="47">
        <f t="shared" si="607"/>
        <v>176</v>
      </c>
      <c r="AH2028" s="47">
        <f t="shared" si="608"/>
        <v>176</v>
      </c>
      <c r="AI2028" s="208">
        <f t="shared" si="609"/>
        <v>0</v>
      </c>
    </row>
    <row r="2029" spans="1:35">
      <c r="A2029" t="s">
        <v>2151</v>
      </c>
      <c r="B2029" t="s">
        <v>3166</v>
      </c>
      <c r="C2029" t="s">
        <v>5524</v>
      </c>
      <c r="D2029" t="s">
        <v>5525</v>
      </c>
      <c r="F2029" t="s">
        <v>1488</v>
      </c>
      <c r="G2029" s="126">
        <f>SUMIFS('Support - Transition'!F:F,'Support - Transition'!B:B,'Step 2'!A2029,'Support - Transition'!C:C,'Step 2'!B2029,'Support - Transition'!D:D,'Step 2'!C2029,'Support - Transition'!E:E,"CIVIL")</f>
        <v>0</v>
      </c>
      <c r="H2029" s="126">
        <f>SUMIFS('Support - Transition'!F:F,'Support - Transition'!B:B,'Step 2'!A2029,'Support - Transition'!C:C,'Step 2'!B2029,'Support - Transition'!D:D,'Step 2'!C2029,'Support - Transition'!E:E,"FIRE")</f>
        <v>0</v>
      </c>
      <c r="I2029" s="126">
        <f>IF(B2029="0",SUMIFS('Support - Transition'!F:F,'Support - Transition'!J:J,'Step 2'!D2029,'Support - Transition'!E:E,"STATE UNIT"),SUMIFS('Support - Transition'!F:F,'Support - Transition'!J:J,'Step 2'!D2029))</f>
        <v>2.2932000000000001E-2</v>
      </c>
      <c r="J2029" s="126">
        <f>SUMIFS('Support - Unit Adjustments'!E:E,'Support - Unit Adjustments'!F:F,'Step 2'!D2029)</f>
        <v>0</v>
      </c>
      <c r="K2029" s="126">
        <f t="shared" si="593"/>
        <v>2.2932000000000001E-2</v>
      </c>
      <c r="L2029" s="174">
        <f>VLOOKUP(A2029,'Step 1'!$A:$E,4,FALSE)</f>
        <v>234199</v>
      </c>
      <c r="M2029" s="47">
        <f t="shared" si="594"/>
        <v>5371</v>
      </c>
      <c r="N2029" s="177">
        <f>SUMIFS('Support - Transition'!G:G,'Support - Transition'!J:J,'Step 2'!D2029,'Support - Transition'!E:E,"2009 WELFARE ALLOCATION FACTOR")</f>
        <v>0</v>
      </c>
      <c r="O2029" s="152">
        <f t="shared" si="599"/>
        <v>0</v>
      </c>
      <c r="P2029" s="126">
        <f>IF(E2029="Y",0,SUMIFS('Support - Transition'!G:G,'Support - Transition'!J:J,'Step 2'!D2029,'Support - Transition'!E:E,"2009 SCHOOL ALLOCATION FACTOR"))</f>
        <v>0</v>
      </c>
      <c r="Q2029" s="126">
        <f>IF(E2029="Y",VLOOKUP(D2029,'Support - Unit Adjustments'!F:G,2,FALSE),0)</f>
        <v>0</v>
      </c>
      <c r="R2029" s="155">
        <f t="shared" si="611"/>
        <v>0</v>
      </c>
      <c r="S2029" s="47">
        <f t="shared" si="610"/>
        <v>0</v>
      </c>
      <c r="T2029" s="151">
        <f t="shared" si="595"/>
        <v>5371</v>
      </c>
      <c r="U2029" s="151">
        <f t="shared" si="596"/>
        <v>0</v>
      </c>
      <c r="V2029" s="139">
        <f t="shared" si="597"/>
        <v>0</v>
      </c>
      <c r="W2029" s="152">
        <f t="shared" si="600"/>
        <v>5371</v>
      </c>
      <c r="X2029" s="127" t="str">
        <f t="shared" si="598"/>
        <v/>
      </c>
      <c r="Y2029" s="207">
        <f t="shared" si="601"/>
        <v>5371</v>
      </c>
      <c r="Z2029" s="139">
        <f t="shared" si="602"/>
        <v>5371</v>
      </c>
      <c r="AA2029" s="139">
        <f t="shared" si="603"/>
        <v>0</v>
      </c>
      <c r="AC2029" s="47">
        <f t="shared" si="604"/>
        <v>2686</v>
      </c>
      <c r="AD2029" s="47">
        <f t="shared" si="605"/>
        <v>2686</v>
      </c>
      <c r="AE2029" s="47">
        <f t="shared" si="606"/>
        <v>0</v>
      </c>
      <c r="AG2029" s="47">
        <f t="shared" si="607"/>
        <v>2685</v>
      </c>
      <c r="AH2029" s="47">
        <f t="shared" si="608"/>
        <v>2685</v>
      </c>
      <c r="AI2029" s="208">
        <f t="shared" si="609"/>
        <v>0</v>
      </c>
    </row>
    <row r="2030" spans="1:35">
      <c r="A2030" t="s">
        <v>2151</v>
      </c>
      <c r="B2030" t="s">
        <v>3170</v>
      </c>
      <c r="C2030" t="s">
        <v>5526</v>
      </c>
      <c r="D2030" t="s">
        <v>5527</v>
      </c>
      <c r="F2030" t="s">
        <v>5528</v>
      </c>
      <c r="G2030" s="126">
        <f>SUMIFS('Support - Transition'!F:F,'Support - Transition'!B:B,'Step 2'!A2030,'Support - Transition'!C:C,'Step 2'!B2030,'Support - Transition'!D:D,'Step 2'!C2030,'Support - Transition'!E:E,"CIVIL")</f>
        <v>0</v>
      </c>
      <c r="H2030" s="126">
        <f>SUMIFS('Support - Transition'!F:F,'Support - Transition'!B:B,'Step 2'!A2030,'Support - Transition'!C:C,'Step 2'!B2030,'Support - Transition'!D:D,'Step 2'!C2030,'Support - Transition'!E:E,"FIRE")</f>
        <v>0</v>
      </c>
      <c r="I2030" s="126">
        <f>IF(B2030="0",SUMIFS('Support - Transition'!F:F,'Support - Transition'!J:J,'Step 2'!D2030,'Support - Transition'!E:E,"STATE UNIT"),SUMIFS('Support - Transition'!F:F,'Support - Transition'!J:J,'Step 2'!D2030))</f>
        <v>0</v>
      </c>
      <c r="J2030" s="126">
        <f>SUMIFS('Support - Unit Adjustments'!E:E,'Support - Unit Adjustments'!F:F,'Step 2'!D2030)</f>
        <v>0</v>
      </c>
      <c r="K2030" s="126">
        <f t="shared" si="593"/>
        <v>0</v>
      </c>
      <c r="L2030" s="174">
        <f>VLOOKUP(A2030,'Step 1'!$A:$E,4,FALSE)</f>
        <v>234199</v>
      </c>
      <c r="M2030" s="47">
        <f t="shared" si="594"/>
        <v>0</v>
      </c>
      <c r="N2030" s="177">
        <f>SUMIFS('Support - Transition'!G:G,'Support - Transition'!J:J,'Step 2'!D2030,'Support - Transition'!E:E,"2009 WELFARE ALLOCATION FACTOR")</f>
        <v>0</v>
      </c>
      <c r="O2030" s="152">
        <f t="shared" si="599"/>
        <v>0</v>
      </c>
      <c r="P2030" s="126">
        <f>IF(E2030="Y",0,SUMIFS('Support - Transition'!G:G,'Support - Transition'!J:J,'Step 2'!D2030,'Support - Transition'!E:E,"2009 SCHOOL ALLOCATION FACTOR"))</f>
        <v>0</v>
      </c>
      <c r="Q2030" s="126">
        <f>IF(E2030="Y",VLOOKUP(D2030,'Support - Unit Adjustments'!F:G,2,FALSE),0)</f>
        <v>0</v>
      </c>
      <c r="R2030" s="155">
        <f t="shared" si="611"/>
        <v>0</v>
      </c>
      <c r="S2030" s="47">
        <f t="shared" si="610"/>
        <v>0</v>
      </c>
      <c r="T2030" s="151">
        <f t="shared" si="595"/>
        <v>0</v>
      </c>
      <c r="U2030" s="151">
        <f t="shared" si="596"/>
        <v>0</v>
      </c>
      <c r="V2030" s="139">
        <f t="shared" si="597"/>
        <v>0</v>
      </c>
      <c r="W2030" s="152">
        <f t="shared" si="600"/>
        <v>0</v>
      </c>
      <c r="X2030" s="127" t="str">
        <f t="shared" si="598"/>
        <v/>
      </c>
      <c r="Y2030" s="207">
        <f t="shared" si="601"/>
        <v>0</v>
      </c>
      <c r="Z2030" s="139">
        <f t="shared" si="602"/>
        <v>0</v>
      </c>
      <c r="AA2030" s="139">
        <f t="shared" si="603"/>
        <v>0</v>
      </c>
      <c r="AC2030" s="47">
        <f t="shared" si="604"/>
        <v>0</v>
      </c>
      <c r="AD2030" s="47">
        <f t="shared" si="605"/>
        <v>0</v>
      </c>
      <c r="AE2030" s="47">
        <f t="shared" si="606"/>
        <v>0</v>
      </c>
      <c r="AG2030" s="47">
        <f t="shared" si="607"/>
        <v>0</v>
      </c>
      <c r="AH2030" s="47">
        <f t="shared" si="608"/>
        <v>0</v>
      </c>
      <c r="AI2030" s="208">
        <f t="shared" si="609"/>
        <v>0</v>
      </c>
    </row>
    <row r="2031" spans="1:35">
      <c r="A2031" t="s">
        <v>2151</v>
      </c>
      <c r="B2031" t="s">
        <v>3170</v>
      </c>
      <c r="C2031" t="s">
        <v>2960</v>
      </c>
      <c r="D2031" t="s">
        <v>5529</v>
      </c>
      <c r="F2031" t="s">
        <v>1491</v>
      </c>
      <c r="G2031" s="126">
        <f>SUMIFS('Support - Transition'!F:F,'Support - Transition'!B:B,'Step 2'!A2031,'Support - Transition'!C:C,'Step 2'!B2031,'Support - Transition'!D:D,'Step 2'!C2031,'Support - Transition'!E:E,"CIVIL")</f>
        <v>0</v>
      </c>
      <c r="H2031" s="126">
        <f>SUMIFS('Support - Transition'!F:F,'Support - Transition'!B:B,'Step 2'!A2031,'Support - Transition'!C:C,'Step 2'!B2031,'Support - Transition'!D:D,'Step 2'!C2031,'Support - Transition'!E:E,"FIRE")</f>
        <v>0</v>
      </c>
      <c r="I2031" s="126">
        <f>IF(B2031="0",SUMIFS('Support - Transition'!F:F,'Support - Transition'!J:J,'Step 2'!D2031,'Support - Transition'!E:E,"STATE UNIT"),SUMIFS('Support - Transition'!F:F,'Support - Transition'!J:J,'Step 2'!D2031))</f>
        <v>2.183E-3</v>
      </c>
      <c r="J2031" s="126">
        <f>SUMIFS('Support - Unit Adjustments'!E:E,'Support - Unit Adjustments'!F:F,'Step 2'!D2031)</f>
        <v>0</v>
      </c>
      <c r="K2031" s="126">
        <f t="shared" si="593"/>
        <v>2.183E-3</v>
      </c>
      <c r="L2031" s="174">
        <f>VLOOKUP(A2031,'Step 1'!$A:$E,4,FALSE)</f>
        <v>234199</v>
      </c>
      <c r="M2031" s="47">
        <f t="shared" si="594"/>
        <v>511</v>
      </c>
      <c r="N2031" s="177">
        <f>SUMIFS('Support - Transition'!G:G,'Support - Transition'!J:J,'Step 2'!D2031,'Support - Transition'!E:E,"2009 WELFARE ALLOCATION FACTOR")</f>
        <v>0</v>
      </c>
      <c r="O2031" s="152">
        <f t="shared" si="599"/>
        <v>0</v>
      </c>
      <c r="P2031" s="126">
        <f>IF(E2031="Y",0,SUMIFS('Support - Transition'!G:G,'Support - Transition'!J:J,'Step 2'!D2031,'Support - Transition'!E:E,"2009 SCHOOL ALLOCATION FACTOR"))</f>
        <v>0</v>
      </c>
      <c r="Q2031" s="126">
        <f>IF(E2031="Y",VLOOKUP(D2031,'Support - Unit Adjustments'!F:G,2,FALSE),0)</f>
        <v>0</v>
      </c>
      <c r="R2031" s="155">
        <f t="shared" si="611"/>
        <v>0</v>
      </c>
      <c r="S2031" s="47">
        <f t="shared" si="610"/>
        <v>0</v>
      </c>
      <c r="T2031" s="151">
        <f t="shared" si="595"/>
        <v>511</v>
      </c>
      <c r="U2031" s="151">
        <f t="shared" si="596"/>
        <v>0</v>
      </c>
      <c r="V2031" s="139">
        <f t="shared" si="597"/>
        <v>0</v>
      </c>
      <c r="W2031" s="152">
        <f t="shared" si="600"/>
        <v>511</v>
      </c>
      <c r="X2031" s="127" t="str">
        <f t="shared" si="598"/>
        <v/>
      </c>
      <c r="Y2031" s="207">
        <f t="shared" si="601"/>
        <v>511</v>
      </c>
      <c r="Z2031" s="139">
        <f t="shared" si="602"/>
        <v>511</v>
      </c>
      <c r="AA2031" s="139">
        <f t="shared" si="603"/>
        <v>0</v>
      </c>
      <c r="AC2031" s="47">
        <f t="shared" si="604"/>
        <v>256</v>
      </c>
      <c r="AD2031" s="47">
        <f t="shared" si="605"/>
        <v>256</v>
      </c>
      <c r="AE2031" s="47">
        <f t="shared" si="606"/>
        <v>0</v>
      </c>
      <c r="AG2031" s="47">
        <f t="shared" si="607"/>
        <v>255</v>
      </c>
      <c r="AH2031" s="47">
        <f t="shared" si="608"/>
        <v>255</v>
      </c>
      <c r="AI2031" s="208">
        <f t="shared" si="609"/>
        <v>0</v>
      </c>
    </row>
    <row r="2032" spans="1:35">
      <c r="A2032" t="s">
        <v>2151</v>
      </c>
      <c r="B2032" t="s">
        <v>3170</v>
      </c>
      <c r="C2032" t="s">
        <v>5530</v>
      </c>
      <c r="D2032" t="s">
        <v>5531</v>
      </c>
      <c r="F2032" t="s">
        <v>1492</v>
      </c>
      <c r="G2032" s="126">
        <f>SUMIFS('Support - Transition'!F:F,'Support - Transition'!B:B,'Step 2'!A2032,'Support - Transition'!C:C,'Step 2'!B2032,'Support - Transition'!D:D,'Step 2'!C2032,'Support - Transition'!E:E,"CIVIL")</f>
        <v>0</v>
      </c>
      <c r="H2032" s="126">
        <f>SUMIFS('Support - Transition'!F:F,'Support - Transition'!B:B,'Step 2'!A2032,'Support - Transition'!C:C,'Step 2'!B2032,'Support - Transition'!D:D,'Step 2'!C2032,'Support - Transition'!E:E,"FIRE")</f>
        <v>0</v>
      </c>
      <c r="I2032" s="126">
        <f>IF(B2032="0",SUMIFS('Support - Transition'!F:F,'Support - Transition'!J:J,'Step 2'!D2032,'Support - Transition'!E:E,"STATE UNIT"),SUMIFS('Support - Transition'!F:F,'Support - Transition'!J:J,'Step 2'!D2032))</f>
        <v>1.8839999999999968E-3</v>
      </c>
      <c r="J2032" s="126">
        <f>SUMIFS('Support - Unit Adjustments'!E:E,'Support - Unit Adjustments'!F:F,'Step 2'!D2032)</f>
        <v>0</v>
      </c>
      <c r="K2032" s="126">
        <f t="shared" si="593"/>
        <v>1.8839999999999968E-3</v>
      </c>
      <c r="L2032" s="174">
        <f>VLOOKUP(A2032,'Step 1'!$A:$E,4,FALSE)</f>
        <v>234199</v>
      </c>
      <c r="M2032" s="47">
        <f t="shared" si="594"/>
        <v>441</v>
      </c>
      <c r="N2032" s="177">
        <f>SUMIFS('Support - Transition'!G:G,'Support - Transition'!J:J,'Step 2'!D2032,'Support - Transition'!E:E,"2009 WELFARE ALLOCATION FACTOR")</f>
        <v>0</v>
      </c>
      <c r="O2032" s="152">
        <f t="shared" si="599"/>
        <v>0</v>
      </c>
      <c r="P2032" s="126">
        <f>IF(E2032="Y",0,SUMIFS('Support - Transition'!G:G,'Support - Transition'!J:J,'Step 2'!D2032,'Support - Transition'!E:E,"2009 SCHOOL ALLOCATION FACTOR"))</f>
        <v>0</v>
      </c>
      <c r="Q2032" s="126">
        <f>IF(E2032="Y",VLOOKUP(D2032,'Support - Unit Adjustments'!F:G,2,FALSE),0)</f>
        <v>0</v>
      </c>
      <c r="R2032" s="155">
        <f t="shared" si="611"/>
        <v>0</v>
      </c>
      <c r="S2032" s="47">
        <f t="shared" si="610"/>
        <v>0</v>
      </c>
      <c r="T2032" s="151">
        <f t="shared" si="595"/>
        <v>441</v>
      </c>
      <c r="U2032" s="151">
        <f t="shared" si="596"/>
        <v>0</v>
      </c>
      <c r="V2032" s="139">
        <f t="shared" si="597"/>
        <v>0</v>
      </c>
      <c r="W2032" s="152">
        <f t="shared" si="600"/>
        <v>441</v>
      </c>
      <c r="X2032" s="127" t="str">
        <f t="shared" si="598"/>
        <v/>
      </c>
      <c r="Y2032" s="207">
        <f t="shared" si="601"/>
        <v>441</v>
      </c>
      <c r="Z2032" s="139">
        <f t="shared" si="602"/>
        <v>441</v>
      </c>
      <c r="AA2032" s="139">
        <f t="shared" si="603"/>
        <v>0</v>
      </c>
      <c r="AC2032" s="47">
        <f t="shared" si="604"/>
        <v>221</v>
      </c>
      <c r="AD2032" s="47">
        <f t="shared" si="605"/>
        <v>221</v>
      </c>
      <c r="AE2032" s="47">
        <f t="shared" si="606"/>
        <v>0</v>
      </c>
      <c r="AG2032" s="47">
        <f t="shared" si="607"/>
        <v>220</v>
      </c>
      <c r="AH2032" s="47">
        <f t="shared" si="608"/>
        <v>220</v>
      </c>
      <c r="AI2032" s="208">
        <f t="shared" si="609"/>
        <v>0</v>
      </c>
    </row>
    <row r="2033" spans="1:35">
      <c r="A2033" t="s">
        <v>2151</v>
      </c>
      <c r="B2033" t="s">
        <v>3170</v>
      </c>
      <c r="C2033" t="s">
        <v>2764</v>
      </c>
      <c r="D2033" t="s">
        <v>5532</v>
      </c>
      <c r="F2033" t="s">
        <v>1490</v>
      </c>
      <c r="G2033" s="126">
        <f>SUMIFS('Support - Transition'!F:F,'Support - Transition'!B:B,'Step 2'!A2033,'Support - Transition'!C:C,'Step 2'!B2033,'Support - Transition'!D:D,'Step 2'!C2033,'Support - Transition'!E:E,"CIVIL")</f>
        <v>0</v>
      </c>
      <c r="H2033" s="126">
        <f>SUMIFS('Support - Transition'!F:F,'Support - Transition'!B:B,'Step 2'!A2033,'Support - Transition'!C:C,'Step 2'!B2033,'Support - Transition'!D:D,'Step 2'!C2033,'Support - Transition'!E:E,"FIRE")</f>
        <v>0</v>
      </c>
      <c r="I2033" s="126">
        <f>IF(B2033="0",SUMIFS('Support - Transition'!F:F,'Support - Transition'!J:J,'Step 2'!D2033,'Support - Transition'!E:E,"STATE UNIT"),SUMIFS('Support - Transition'!F:F,'Support - Transition'!J:J,'Step 2'!D2033))</f>
        <v>6.9969999999999997E-3</v>
      </c>
      <c r="J2033" s="126">
        <f>SUMIFS('Support - Unit Adjustments'!E:E,'Support - Unit Adjustments'!F:F,'Step 2'!D2033)</f>
        <v>0</v>
      </c>
      <c r="K2033" s="126">
        <f t="shared" si="593"/>
        <v>6.9969999999999997E-3</v>
      </c>
      <c r="L2033" s="174">
        <f>VLOOKUP(A2033,'Step 1'!$A:$E,4,FALSE)</f>
        <v>234199</v>
      </c>
      <c r="M2033" s="47">
        <f t="shared" si="594"/>
        <v>1639</v>
      </c>
      <c r="N2033" s="177">
        <f>SUMIFS('Support - Transition'!G:G,'Support - Transition'!J:J,'Step 2'!D2033,'Support - Transition'!E:E,"2009 WELFARE ALLOCATION FACTOR")</f>
        <v>0</v>
      </c>
      <c r="O2033" s="152">
        <f t="shared" si="599"/>
        <v>0</v>
      </c>
      <c r="P2033" s="126">
        <f>IF(E2033="Y",0,SUMIFS('Support - Transition'!G:G,'Support - Transition'!J:J,'Step 2'!D2033,'Support - Transition'!E:E,"2009 SCHOOL ALLOCATION FACTOR"))</f>
        <v>0</v>
      </c>
      <c r="Q2033" s="126">
        <f>IF(E2033="Y",VLOOKUP(D2033,'Support - Unit Adjustments'!F:G,2,FALSE),0)</f>
        <v>0</v>
      </c>
      <c r="R2033" s="155">
        <f t="shared" si="611"/>
        <v>0</v>
      </c>
      <c r="S2033" s="47">
        <f t="shared" si="610"/>
        <v>0</v>
      </c>
      <c r="T2033" s="151">
        <f t="shared" si="595"/>
        <v>1639</v>
      </c>
      <c r="U2033" s="151">
        <f t="shared" si="596"/>
        <v>0</v>
      </c>
      <c r="V2033" s="139">
        <f t="shared" si="597"/>
        <v>0</v>
      </c>
      <c r="W2033" s="152">
        <f t="shared" si="600"/>
        <v>1639</v>
      </c>
      <c r="X2033" s="127" t="str">
        <f t="shared" si="598"/>
        <v/>
      </c>
      <c r="Y2033" s="207">
        <f t="shared" si="601"/>
        <v>1639</v>
      </c>
      <c r="Z2033" s="139">
        <f t="shared" si="602"/>
        <v>1639</v>
      </c>
      <c r="AA2033" s="139">
        <f t="shared" si="603"/>
        <v>0</v>
      </c>
      <c r="AC2033" s="47">
        <f t="shared" si="604"/>
        <v>820</v>
      </c>
      <c r="AD2033" s="47">
        <f t="shared" si="605"/>
        <v>820</v>
      </c>
      <c r="AE2033" s="47">
        <f t="shared" si="606"/>
        <v>0</v>
      </c>
      <c r="AG2033" s="47">
        <f t="shared" si="607"/>
        <v>819</v>
      </c>
      <c r="AH2033" s="47">
        <f t="shared" si="608"/>
        <v>819</v>
      </c>
      <c r="AI2033" s="208">
        <f t="shared" si="609"/>
        <v>0</v>
      </c>
    </row>
    <row r="2034" spans="1:35">
      <c r="A2034" t="s">
        <v>2151</v>
      </c>
      <c r="B2034" t="s">
        <v>3170</v>
      </c>
      <c r="C2034" t="s">
        <v>5329</v>
      </c>
      <c r="D2034" t="s">
        <v>5533</v>
      </c>
      <c r="F2034" t="s">
        <v>1381</v>
      </c>
      <c r="G2034" s="126">
        <f>SUMIFS('Support - Transition'!F:F,'Support - Transition'!B:B,'Step 2'!A2034,'Support - Transition'!C:C,'Step 2'!B2034,'Support - Transition'!D:D,'Step 2'!C2034,'Support - Transition'!E:E,"CIVIL")</f>
        <v>0</v>
      </c>
      <c r="H2034" s="126">
        <f>SUMIFS('Support - Transition'!F:F,'Support - Transition'!B:B,'Step 2'!A2034,'Support - Transition'!C:C,'Step 2'!B2034,'Support - Transition'!D:D,'Step 2'!C2034,'Support - Transition'!E:E,"FIRE")</f>
        <v>0</v>
      </c>
      <c r="I2034" s="126">
        <f>IF(B2034="0",SUMIFS('Support - Transition'!F:F,'Support - Transition'!J:J,'Step 2'!D2034,'Support - Transition'!E:E,"STATE UNIT"),SUMIFS('Support - Transition'!F:F,'Support - Transition'!J:J,'Step 2'!D2034))</f>
        <v>0</v>
      </c>
      <c r="J2034" s="126">
        <f>SUMIFS('Support - Unit Adjustments'!E:E,'Support - Unit Adjustments'!F:F,'Step 2'!D2034)</f>
        <v>0</v>
      </c>
      <c r="K2034" s="126">
        <f t="shared" si="593"/>
        <v>0</v>
      </c>
      <c r="L2034" s="174">
        <f>VLOOKUP(A2034,'Step 1'!$A:$E,4,FALSE)</f>
        <v>234199</v>
      </c>
      <c r="M2034" s="47">
        <f t="shared" si="594"/>
        <v>0</v>
      </c>
      <c r="N2034" s="177">
        <f>SUMIFS('Support - Transition'!G:G,'Support - Transition'!J:J,'Step 2'!D2034,'Support - Transition'!E:E,"2009 WELFARE ALLOCATION FACTOR")</f>
        <v>0</v>
      </c>
      <c r="O2034" s="152">
        <f t="shared" si="599"/>
        <v>0</v>
      </c>
      <c r="P2034" s="126">
        <f>IF(E2034="Y",0,SUMIFS('Support - Transition'!G:G,'Support - Transition'!J:J,'Step 2'!D2034,'Support - Transition'!E:E,"2009 SCHOOL ALLOCATION FACTOR"))</f>
        <v>0</v>
      </c>
      <c r="Q2034" s="126">
        <f>IF(E2034="Y",VLOOKUP(D2034,'Support - Unit Adjustments'!F:G,2,FALSE),0)</f>
        <v>0</v>
      </c>
      <c r="R2034" s="155">
        <f t="shared" si="611"/>
        <v>0</v>
      </c>
      <c r="S2034" s="47">
        <f t="shared" si="610"/>
        <v>0</v>
      </c>
      <c r="T2034" s="151">
        <f t="shared" si="595"/>
        <v>0</v>
      </c>
      <c r="U2034" s="151">
        <f t="shared" si="596"/>
        <v>0</v>
      </c>
      <c r="V2034" s="139">
        <f t="shared" si="597"/>
        <v>0</v>
      </c>
      <c r="W2034" s="152">
        <f t="shared" si="600"/>
        <v>0</v>
      </c>
      <c r="X2034" s="127" t="str">
        <f t="shared" si="598"/>
        <v/>
      </c>
      <c r="Y2034" s="207">
        <f t="shared" si="601"/>
        <v>0</v>
      </c>
      <c r="Z2034" s="139">
        <f t="shared" si="602"/>
        <v>0</v>
      </c>
      <c r="AA2034" s="139">
        <f t="shared" si="603"/>
        <v>0</v>
      </c>
      <c r="AC2034" s="47">
        <f t="shared" si="604"/>
        <v>0</v>
      </c>
      <c r="AD2034" s="47">
        <f t="shared" si="605"/>
        <v>0</v>
      </c>
      <c r="AE2034" s="47">
        <f t="shared" si="606"/>
        <v>0</v>
      </c>
      <c r="AG2034" s="47">
        <f t="shared" si="607"/>
        <v>0</v>
      </c>
      <c r="AH2034" s="47">
        <f t="shared" si="608"/>
        <v>0</v>
      </c>
      <c r="AI2034" s="208">
        <f t="shared" si="609"/>
        <v>0</v>
      </c>
    </row>
    <row r="2035" spans="1:35">
      <c r="A2035" t="s">
        <v>2151</v>
      </c>
      <c r="B2035" t="s">
        <v>3286</v>
      </c>
      <c r="C2035" t="s">
        <v>3565</v>
      </c>
      <c r="D2035" t="s">
        <v>5534</v>
      </c>
      <c r="F2035" t="s">
        <v>5535</v>
      </c>
      <c r="G2035" s="126">
        <f>SUMIFS('Support - Transition'!F:F,'Support - Transition'!B:B,'Step 2'!A2035,'Support - Transition'!C:C,'Step 2'!B2035,'Support - Transition'!D:D,'Step 2'!C2035,'Support - Transition'!E:E,"CIVIL")</f>
        <v>0</v>
      </c>
      <c r="H2035" s="126">
        <f>SUMIFS('Support - Transition'!F:F,'Support - Transition'!B:B,'Step 2'!A2035,'Support - Transition'!C:C,'Step 2'!B2035,'Support - Transition'!D:D,'Step 2'!C2035,'Support - Transition'!E:E,"FIRE")</f>
        <v>0</v>
      </c>
      <c r="I2035" s="126">
        <f>IF(B2035="0",SUMIFS('Support - Transition'!F:F,'Support - Transition'!J:J,'Step 2'!D2035,'Support - Transition'!E:E,"STATE UNIT"),SUMIFS('Support - Transition'!F:F,'Support - Transition'!J:J,'Step 2'!D2035))</f>
        <v>0</v>
      </c>
      <c r="J2035" s="126">
        <f>SUMIFS('Support - Unit Adjustments'!E:E,'Support - Unit Adjustments'!F:F,'Step 2'!D2035)</f>
        <v>0</v>
      </c>
      <c r="K2035" s="126">
        <f t="shared" si="593"/>
        <v>0</v>
      </c>
      <c r="L2035" s="174">
        <f>VLOOKUP(A2035,'Step 1'!$A:$E,4,FALSE)</f>
        <v>234199</v>
      </c>
      <c r="M2035" s="47">
        <f t="shared" si="594"/>
        <v>0</v>
      </c>
      <c r="N2035" s="177">
        <f>SUMIFS('Support - Transition'!G:G,'Support - Transition'!J:J,'Step 2'!D2035,'Support - Transition'!E:E,"2009 WELFARE ALLOCATION FACTOR")</f>
        <v>0</v>
      </c>
      <c r="O2035" s="152">
        <f t="shared" si="599"/>
        <v>0</v>
      </c>
      <c r="P2035" s="126">
        <f>IF(E2035="Y",0,SUMIFS('Support - Transition'!G:G,'Support - Transition'!J:J,'Step 2'!D2035,'Support - Transition'!E:E,"2009 SCHOOL ALLOCATION FACTOR"))</f>
        <v>0</v>
      </c>
      <c r="Q2035" s="126">
        <f>IF(E2035="Y",VLOOKUP(D2035,'Support - Unit Adjustments'!F:G,2,FALSE),0)</f>
        <v>0</v>
      </c>
      <c r="R2035" s="155">
        <f t="shared" si="611"/>
        <v>0</v>
      </c>
      <c r="S2035" s="47">
        <f t="shared" si="610"/>
        <v>0</v>
      </c>
      <c r="T2035" s="151">
        <f t="shared" si="595"/>
        <v>0</v>
      </c>
      <c r="U2035" s="151">
        <f t="shared" si="596"/>
        <v>0</v>
      </c>
      <c r="V2035" s="139">
        <f t="shared" si="597"/>
        <v>0</v>
      </c>
      <c r="W2035" s="152">
        <f t="shared" si="600"/>
        <v>0</v>
      </c>
      <c r="X2035" s="127" t="str">
        <f t="shared" si="598"/>
        <v/>
      </c>
      <c r="Y2035" s="207">
        <f t="shared" si="601"/>
        <v>0</v>
      </c>
      <c r="Z2035" s="139">
        <f t="shared" si="602"/>
        <v>0</v>
      </c>
      <c r="AA2035" s="139">
        <f t="shared" si="603"/>
        <v>0</v>
      </c>
      <c r="AC2035" s="47">
        <f t="shared" si="604"/>
        <v>0</v>
      </c>
      <c r="AD2035" s="47">
        <f t="shared" si="605"/>
        <v>0</v>
      </c>
      <c r="AE2035" s="47">
        <f t="shared" si="606"/>
        <v>0</v>
      </c>
      <c r="AG2035" s="47">
        <f t="shared" si="607"/>
        <v>0</v>
      </c>
      <c r="AH2035" s="47">
        <f t="shared" si="608"/>
        <v>0</v>
      </c>
      <c r="AI2035" s="208">
        <f t="shared" si="609"/>
        <v>0</v>
      </c>
    </row>
    <row r="2036" spans="1:35">
      <c r="A2036" t="s">
        <v>2151</v>
      </c>
      <c r="B2036" t="s">
        <v>3286</v>
      </c>
      <c r="C2036" t="s">
        <v>3596</v>
      </c>
      <c r="D2036" t="s">
        <v>5536</v>
      </c>
      <c r="F2036" t="s">
        <v>5537</v>
      </c>
      <c r="G2036" s="126">
        <f>SUMIFS('Support - Transition'!F:F,'Support - Transition'!B:B,'Step 2'!A2036,'Support - Transition'!C:C,'Step 2'!B2036,'Support - Transition'!D:D,'Step 2'!C2036,'Support - Transition'!E:E,"CIVIL")</f>
        <v>0</v>
      </c>
      <c r="H2036" s="126">
        <f>SUMIFS('Support - Transition'!F:F,'Support - Transition'!B:B,'Step 2'!A2036,'Support - Transition'!C:C,'Step 2'!B2036,'Support - Transition'!D:D,'Step 2'!C2036,'Support - Transition'!E:E,"FIRE")</f>
        <v>0</v>
      </c>
      <c r="I2036" s="126">
        <f>IF(B2036="0",SUMIFS('Support - Transition'!F:F,'Support - Transition'!J:J,'Step 2'!D2036,'Support - Transition'!E:E,"STATE UNIT"),SUMIFS('Support - Transition'!F:F,'Support - Transition'!J:J,'Step 2'!D2036))</f>
        <v>0</v>
      </c>
      <c r="J2036" s="126">
        <f>SUMIFS('Support - Unit Adjustments'!E:E,'Support - Unit Adjustments'!F:F,'Step 2'!D2036)</f>
        <v>0</v>
      </c>
      <c r="K2036" s="126">
        <f t="shared" si="593"/>
        <v>0</v>
      </c>
      <c r="L2036" s="174">
        <f>VLOOKUP(A2036,'Step 1'!$A:$E,4,FALSE)</f>
        <v>234199</v>
      </c>
      <c r="M2036" s="47">
        <f t="shared" si="594"/>
        <v>0</v>
      </c>
      <c r="N2036" s="177">
        <f>SUMIFS('Support - Transition'!G:G,'Support - Transition'!J:J,'Step 2'!D2036,'Support - Transition'!E:E,"2009 WELFARE ALLOCATION FACTOR")</f>
        <v>0</v>
      </c>
      <c r="O2036" s="152">
        <f t="shared" si="599"/>
        <v>0</v>
      </c>
      <c r="P2036" s="126">
        <f>IF(E2036="Y",0,SUMIFS('Support - Transition'!G:G,'Support - Transition'!J:J,'Step 2'!D2036,'Support - Transition'!E:E,"2009 SCHOOL ALLOCATION FACTOR"))</f>
        <v>0</v>
      </c>
      <c r="Q2036" s="126">
        <f>IF(E2036="Y",VLOOKUP(D2036,'Support - Unit Adjustments'!F:G,2,FALSE),0)</f>
        <v>0</v>
      </c>
      <c r="R2036" s="155">
        <f t="shared" si="611"/>
        <v>0</v>
      </c>
      <c r="S2036" s="47">
        <f t="shared" si="610"/>
        <v>0</v>
      </c>
      <c r="T2036" s="151">
        <f t="shared" si="595"/>
        <v>0</v>
      </c>
      <c r="U2036" s="151">
        <f t="shared" si="596"/>
        <v>0</v>
      </c>
      <c r="V2036" s="139">
        <f t="shared" si="597"/>
        <v>0</v>
      </c>
      <c r="W2036" s="152">
        <f t="shared" si="600"/>
        <v>0</v>
      </c>
      <c r="X2036" s="127" t="str">
        <f t="shared" si="598"/>
        <v/>
      </c>
      <c r="Y2036" s="207">
        <f t="shared" si="601"/>
        <v>0</v>
      </c>
      <c r="Z2036" s="139">
        <f t="shared" si="602"/>
        <v>0</v>
      </c>
      <c r="AA2036" s="139">
        <f t="shared" si="603"/>
        <v>0</v>
      </c>
      <c r="AC2036" s="47">
        <f t="shared" si="604"/>
        <v>0</v>
      </c>
      <c r="AD2036" s="47">
        <f t="shared" si="605"/>
        <v>0</v>
      </c>
      <c r="AE2036" s="47">
        <f t="shared" si="606"/>
        <v>0</v>
      </c>
      <c r="AG2036" s="47">
        <f t="shared" si="607"/>
        <v>0</v>
      </c>
      <c r="AH2036" s="47">
        <f t="shared" si="608"/>
        <v>0</v>
      </c>
      <c r="AI2036" s="208">
        <f t="shared" si="609"/>
        <v>0</v>
      </c>
    </row>
    <row r="2037" spans="1:35">
      <c r="A2037" t="s">
        <v>2151</v>
      </c>
      <c r="B2037" t="s">
        <v>3286</v>
      </c>
      <c r="C2037" t="s">
        <v>5538</v>
      </c>
      <c r="D2037" t="s">
        <v>5539</v>
      </c>
      <c r="F2037" t="s">
        <v>5540</v>
      </c>
      <c r="G2037" s="126">
        <f>SUMIFS('Support - Transition'!F:F,'Support - Transition'!B:B,'Step 2'!A2037,'Support - Transition'!C:C,'Step 2'!B2037,'Support - Transition'!D:D,'Step 2'!C2037,'Support - Transition'!E:E,"CIVIL")</f>
        <v>0</v>
      </c>
      <c r="H2037" s="126">
        <f>SUMIFS('Support - Transition'!F:F,'Support - Transition'!B:B,'Step 2'!A2037,'Support - Transition'!C:C,'Step 2'!B2037,'Support - Transition'!D:D,'Step 2'!C2037,'Support - Transition'!E:E,"FIRE")</f>
        <v>0</v>
      </c>
      <c r="I2037" s="126">
        <f>IF(B2037="0",SUMIFS('Support - Transition'!F:F,'Support - Transition'!J:J,'Step 2'!D2037,'Support - Transition'!E:E,"STATE UNIT"),SUMIFS('Support - Transition'!F:F,'Support - Transition'!J:J,'Step 2'!D2037))</f>
        <v>0</v>
      </c>
      <c r="J2037" s="126">
        <f>SUMIFS('Support - Unit Adjustments'!E:E,'Support - Unit Adjustments'!F:F,'Step 2'!D2037)</f>
        <v>0</v>
      </c>
      <c r="K2037" s="126">
        <f t="shared" si="593"/>
        <v>0</v>
      </c>
      <c r="L2037" s="174">
        <f>VLOOKUP(A2037,'Step 1'!$A:$E,4,FALSE)</f>
        <v>234199</v>
      </c>
      <c r="M2037" s="47">
        <f t="shared" si="594"/>
        <v>0</v>
      </c>
      <c r="N2037" s="177">
        <f>SUMIFS('Support - Transition'!G:G,'Support - Transition'!J:J,'Step 2'!D2037,'Support - Transition'!E:E,"2009 WELFARE ALLOCATION FACTOR")</f>
        <v>0</v>
      </c>
      <c r="O2037" s="152">
        <f t="shared" si="599"/>
        <v>0</v>
      </c>
      <c r="P2037" s="126">
        <f>IF(E2037="Y",0,SUMIFS('Support - Transition'!G:G,'Support - Transition'!J:J,'Step 2'!D2037,'Support - Transition'!E:E,"2009 SCHOOL ALLOCATION FACTOR"))</f>
        <v>0</v>
      </c>
      <c r="Q2037" s="126">
        <f>IF(E2037="Y",VLOOKUP(D2037,'Support - Unit Adjustments'!F:G,2,FALSE),0)</f>
        <v>0</v>
      </c>
      <c r="R2037" s="155">
        <f t="shared" si="611"/>
        <v>0</v>
      </c>
      <c r="S2037" s="47">
        <f t="shared" si="610"/>
        <v>0</v>
      </c>
      <c r="T2037" s="151">
        <f t="shared" si="595"/>
        <v>0</v>
      </c>
      <c r="U2037" s="151">
        <f t="shared" si="596"/>
        <v>0</v>
      </c>
      <c r="V2037" s="139">
        <f t="shared" si="597"/>
        <v>0</v>
      </c>
      <c r="W2037" s="152">
        <f t="shared" si="600"/>
        <v>0</v>
      </c>
      <c r="X2037" s="127" t="str">
        <f t="shared" si="598"/>
        <v/>
      </c>
      <c r="Y2037" s="207">
        <f t="shared" si="601"/>
        <v>0</v>
      </c>
      <c r="Z2037" s="139">
        <f t="shared" si="602"/>
        <v>0</v>
      </c>
      <c r="AA2037" s="139">
        <f t="shared" si="603"/>
        <v>0</v>
      </c>
      <c r="AC2037" s="47">
        <f t="shared" si="604"/>
        <v>0</v>
      </c>
      <c r="AD2037" s="47">
        <f t="shared" si="605"/>
        <v>0</v>
      </c>
      <c r="AE2037" s="47">
        <f t="shared" si="606"/>
        <v>0</v>
      </c>
      <c r="AG2037" s="47">
        <f t="shared" si="607"/>
        <v>0</v>
      </c>
      <c r="AH2037" s="47">
        <f t="shared" si="608"/>
        <v>0</v>
      </c>
      <c r="AI2037" s="208">
        <f t="shared" si="609"/>
        <v>0</v>
      </c>
    </row>
    <row r="2038" spans="1:35">
      <c r="A2038" t="s">
        <v>2152</v>
      </c>
      <c r="B2038" s="48" t="s">
        <v>6274</v>
      </c>
      <c r="C2038" t="s">
        <v>2187</v>
      </c>
      <c r="D2038" t="str">
        <f>A2038&amp;B2038&amp;C2038</f>
        <v>6800000</v>
      </c>
      <c r="F2038" t="s">
        <v>6342</v>
      </c>
      <c r="G2038" s="126">
        <f>SUMIFS('Support - Transition'!F:F,'Support - Transition'!B:B,'Step 2'!A2038,'Support - Transition'!C:C,'Step 2'!B2038,'Support - Transition'!D:D,'Step 2'!C2038,'Support - Transition'!E:E,"CIVIL")</f>
        <v>0</v>
      </c>
      <c r="H2038" s="126">
        <f>SUMIFS('Support - Transition'!F:F,'Support - Transition'!B:B,'Step 2'!A2038,'Support - Transition'!C:C,'Step 2'!B2038,'Support - Transition'!D:D,'Step 2'!C2038,'Support - Transition'!E:E,"FIRE")</f>
        <v>0</v>
      </c>
      <c r="I2038" s="126">
        <f>IF(B2038="0",SUMIFS('Support - Transition'!F:F,'Support - Transition'!J:J,'Step 2'!D2038,'Support - Transition'!E:E,"STATE UNIT"),SUMIFS('Support - Transition'!F:F,'Support - Transition'!J:J,'Step 2'!D2038))</f>
        <v>1.2130000000000001E-3</v>
      </c>
      <c r="J2038" s="126">
        <f>SUMIFS('Support - Unit Adjustments'!E:E,'Support - Unit Adjustments'!F:F,'Step 2'!D2038)</f>
        <v>0</v>
      </c>
      <c r="K2038" s="126">
        <f t="shared" si="593"/>
        <v>1.2130000000000001E-3</v>
      </c>
      <c r="L2038" s="174">
        <f>VLOOKUP(A2038,'Step 1'!$A:$E,4,FALSE)</f>
        <v>268161</v>
      </c>
      <c r="M2038" s="47">
        <f t="shared" si="594"/>
        <v>325</v>
      </c>
      <c r="N2038" s="177">
        <f>SUMIFS('Support - Transition'!G:G,'Support - Transition'!J:J,'Step 2'!D2038,'Support - Transition'!E:E,"2009 WELFARE ALLOCATION FACTOR")</f>
        <v>0</v>
      </c>
      <c r="O2038" s="152">
        <f t="shared" si="599"/>
        <v>0</v>
      </c>
      <c r="P2038" s="126">
        <f>IF(E2038="Y",0,SUMIFS('Support - Transition'!G:G,'Support - Transition'!J:J,'Step 2'!D2038,'Support - Transition'!E:E,"2009 SCHOOL ALLOCATION FACTOR"))</f>
        <v>0</v>
      </c>
      <c r="Q2038" s="126">
        <f>IF(E2038="Y",VLOOKUP(D2038,'Support - Unit Adjustments'!F:G,2,FALSE),0)</f>
        <v>0</v>
      </c>
      <c r="R2038" s="155">
        <f t="shared" si="611"/>
        <v>0</v>
      </c>
      <c r="S2038" s="47">
        <f t="shared" si="610"/>
        <v>0</v>
      </c>
      <c r="T2038" s="151">
        <f t="shared" si="595"/>
        <v>325</v>
      </c>
      <c r="U2038" s="151">
        <f t="shared" si="596"/>
        <v>268162</v>
      </c>
      <c r="V2038" s="139">
        <f t="shared" si="597"/>
        <v>1</v>
      </c>
      <c r="W2038" s="152">
        <f t="shared" si="600"/>
        <v>324</v>
      </c>
      <c r="X2038" s="127">
        <f t="shared" si="598"/>
        <v>0</v>
      </c>
      <c r="Y2038" s="207">
        <f t="shared" si="601"/>
        <v>324</v>
      </c>
      <c r="Z2038" s="139">
        <f t="shared" si="602"/>
        <v>324</v>
      </c>
      <c r="AA2038" s="139">
        <f t="shared" si="603"/>
        <v>0</v>
      </c>
      <c r="AC2038" s="47">
        <f t="shared" si="604"/>
        <v>162</v>
      </c>
      <c r="AD2038" s="47">
        <f t="shared" si="605"/>
        <v>162</v>
      </c>
      <c r="AE2038" s="47">
        <f t="shared" si="606"/>
        <v>0</v>
      </c>
      <c r="AG2038" s="47">
        <f t="shared" si="607"/>
        <v>162</v>
      </c>
      <c r="AH2038" s="47">
        <f t="shared" si="608"/>
        <v>162</v>
      </c>
      <c r="AI2038" s="208">
        <f t="shared" si="609"/>
        <v>0</v>
      </c>
    </row>
    <row r="2039" spans="1:35">
      <c r="A2039" t="s">
        <v>2152</v>
      </c>
      <c r="B2039" t="s">
        <v>3140</v>
      </c>
      <c r="C2039" t="s">
        <v>2187</v>
      </c>
      <c r="D2039" t="s">
        <v>5541</v>
      </c>
      <c r="F2039" t="s">
        <v>1494</v>
      </c>
      <c r="G2039" s="126">
        <f>SUMIFS('Support - Transition'!F:F,'Support - Transition'!B:B,'Step 2'!A2039,'Support - Transition'!C:C,'Step 2'!B2039,'Support - Transition'!D:D,'Step 2'!C2039,'Support - Transition'!E:E,"CIVIL")</f>
        <v>0</v>
      </c>
      <c r="H2039" s="126">
        <f>SUMIFS('Support - Transition'!F:F,'Support - Transition'!B:B,'Step 2'!A2039,'Support - Transition'!C:C,'Step 2'!B2039,'Support - Transition'!D:D,'Step 2'!C2039,'Support - Transition'!E:E,"FIRE")</f>
        <v>0</v>
      </c>
      <c r="I2039" s="126">
        <f>IF(B2039="0",SUMIFS('Support - Transition'!F:F,'Support - Transition'!J:J,'Step 2'!D2039,'Support - Transition'!E:E,"STATE UNIT"),SUMIFS('Support - Transition'!F:F,'Support - Transition'!J:J,'Step 2'!D2039))</f>
        <v>0.28320000000000001</v>
      </c>
      <c r="J2039" s="126">
        <f>SUMIFS('Support - Unit Adjustments'!E:E,'Support - Unit Adjustments'!F:F,'Step 2'!D2039)</f>
        <v>0</v>
      </c>
      <c r="K2039" s="126">
        <f t="shared" si="593"/>
        <v>0.28320000000000001</v>
      </c>
      <c r="L2039" s="174">
        <f>VLOOKUP(A2039,'Step 1'!$A:$E,4,FALSE)</f>
        <v>268161</v>
      </c>
      <c r="M2039" s="47">
        <f t="shared" si="594"/>
        <v>75943</v>
      </c>
      <c r="N2039" s="177">
        <f>SUMIFS('Support - Transition'!G:G,'Support - Transition'!J:J,'Step 2'!D2039,'Support - Transition'!E:E,"2009 WELFARE ALLOCATION FACTOR")</f>
        <v>0.34431499999999998</v>
      </c>
      <c r="O2039" s="152">
        <f t="shared" si="599"/>
        <v>26148</v>
      </c>
      <c r="P2039" s="126">
        <f>IF(E2039="Y",0,SUMIFS('Support - Transition'!G:G,'Support - Transition'!J:J,'Step 2'!D2039,'Support - Transition'!E:E,"2009 SCHOOL ALLOCATION FACTOR"))</f>
        <v>0</v>
      </c>
      <c r="Q2039" s="126">
        <f>IF(E2039="Y",VLOOKUP(D2039,'Support - Unit Adjustments'!F:G,2,FALSE),0)</f>
        <v>0</v>
      </c>
      <c r="R2039" s="155">
        <f t="shared" si="611"/>
        <v>0</v>
      </c>
      <c r="S2039" s="47">
        <f t="shared" si="610"/>
        <v>0</v>
      </c>
      <c r="T2039" s="151">
        <f t="shared" si="595"/>
        <v>49795</v>
      </c>
      <c r="U2039" s="151">
        <f t="shared" si="596"/>
        <v>0</v>
      </c>
      <c r="V2039" s="139">
        <f t="shared" si="597"/>
        <v>0</v>
      </c>
      <c r="W2039" s="152">
        <f t="shared" si="600"/>
        <v>49795</v>
      </c>
      <c r="X2039" s="127" t="str">
        <f t="shared" si="598"/>
        <v/>
      </c>
      <c r="Y2039" s="207">
        <f t="shared" si="601"/>
        <v>49795</v>
      </c>
      <c r="Z2039" s="139">
        <f t="shared" si="602"/>
        <v>49795</v>
      </c>
      <c r="AA2039" s="139">
        <f t="shared" si="603"/>
        <v>0</v>
      </c>
      <c r="AC2039" s="47">
        <f t="shared" si="604"/>
        <v>24898</v>
      </c>
      <c r="AD2039" s="47">
        <f t="shared" si="605"/>
        <v>24898</v>
      </c>
      <c r="AE2039" s="47">
        <f t="shared" si="606"/>
        <v>0</v>
      </c>
      <c r="AG2039" s="47">
        <f t="shared" si="607"/>
        <v>24897</v>
      </c>
      <c r="AH2039" s="47">
        <f t="shared" si="608"/>
        <v>24897</v>
      </c>
      <c r="AI2039" s="208">
        <f t="shared" si="609"/>
        <v>0</v>
      </c>
    </row>
    <row r="2040" spans="1:35">
      <c r="A2040" t="s">
        <v>2152</v>
      </c>
      <c r="B2040" t="s">
        <v>3142</v>
      </c>
      <c r="C2040" t="s">
        <v>2188</v>
      </c>
      <c r="D2040" t="s">
        <v>5542</v>
      </c>
      <c r="F2040" t="s">
        <v>372</v>
      </c>
      <c r="G2040" s="126">
        <f>SUMIFS('Support - Transition'!F:F,'Support - Transition'!B:B,'Step 2'!A2040,'Support - Transition'!C:C,'Step 2'!B2040,'Support - Transition'!D:D,'Step 2'!C2040,'Support - Transition'!E:E,"CIVIL")</f>
        <v>1.2199999999999999E-3</v>
      </c>
      <c r="H2040" s="126">
        <f>SUMIFS('Support - Transition'!F:F,'Support - Transition'!B:B,'Step 2'!A2040,'Support - Transition'!C:C,'Step 2'!B2040,'Support - Transition'!D:D,'Step 2'!C2040,'Support - Transition'!E:E,"FIRE")</f>
        <v>9.5000000000000005E-5</v>
      </c>
      <c r="I2040" s="126">
        <f>IF(B2040="0",SUMIFS('Support - Transition'!F:F,'Support - Transition'!J:J,'Step 2'!D2040,'Support - Transition'!E:E,"STATE UNIT"),SUMIFS('Support - Transition'!F:F,'Support - Transition'!J:J,'Step 2'!D2040))</f>
        <v>1.315E-3</v>
      </c>
      <c r="J2040" s="126">
        <f>SUMIFS('Support - Unit Adjustments'!E:E,'Support - Unit Adjustments'!F:F,'Step 2'!D2040)</f>
        <v>0</v>
      </c>
      <c r="K2040" s="126">
        <f t="shared" si="593"/>
        <v>1.315E-3</v>
      </c>
      <c r="L2040" s="174">
        <f>VLOOKUP(A2040,'Step 1'!$A:$E,4,FALSE)</f>
        <v>268161</v>
      </c>
      <c r="M2040" s="47">
        <f t="shared" si="594"/>
        <v>353</v>
      </c>
      <c r="N2040" s="177">
        <f>SUMIFS('Support - Transition'!G:G,'Support - Transition'!J:J,'Step 2'!D2040,'Support - Transition'!E:E,"2009 WELFARE ALLOCATION FACTOR")</f>
        <v>0</v>
      </c>
      <c r="O2040" s="152">
        <f t="shared" si="599"/>
        <v>0</v>
      </c>
      <c r="P2040" s="126">
        <f>IF(E2040="Y",0,SUMIFS('Support - Transition'!G:G,'Support - Transition'!J:J,'Step 2'!D2040,'Support - Transition'!E:E,"2009 SCHOOL ALLOCATION FACTOR"))</f>
        <v>0</v>
      </c>
      <c r="Q2040" s="126">
        <f>IF(E2040="Y",VLOOKUP(D2040,'Support - Unit Adjustments'!F:G,2,FALSE),0)</f>
        <v>0</v>
      </c>
      <c r="R2040" s="155">
        <f t="shared" si="611"/>
        <v>0</v>
      </c>
      <c r="S2040" s="47">
        <f t="shared" si="610"/>
        <v>0</v>
      </c>
      <c r="T2040" s="151">
        <f t="shared" si="595"/>
        <v>353</v>
      </c>
      <c r="U2040" s="151">
        <f t="shared" si="596"/>
        <v>0</v>
      </c>
      <c r="V2040" s="139">
        <f t="shared" si="597"/>
        <v>0</v>
      </c>
      <c r="W2040" s="152">
        <f t="shared" si="600"/>
        <v>353</v>
      </c>
      <c r="X2040" s="127" t="str">
        <f t="shared" si="598"/>
        <v/>
      </c>
      <c r="Y2040" s="207">
        <f t="shared" si="601"/>
        <v>353</v>
      </c>
      <c r="Z2040" s="139">
        <f t="shared" si="602"/>
        <v>327</v>
      </c>
      <c r="AA2040" s="139">
        <f t="shared" si="603"/>
        <v>26</v>
      </c>
      <c r="AC2040" s="47">
        <f t="shared" si="604"/>
        <v>177</v>
      </c>
      <c r="AD2040" s="47">
        <f t="shared" si="605"/>
        <v>164</v>
      </c>
      <c r="AE2040" s="47">
        <f t="shared" si="606"/>
        <v>13</v>
      </c>
      <c r="AG2040" s="47">
        <f t="shared" si="607"/>
        <v>176</v>
      </c>
      <c r="AH2040" s="47">
        <f t="shared" si="608"/>
        <v>163</v>
      </c>
      <c r="AI2040" s="208">
        <f t="shared" si="609"/>
        <v>13</v>
      </c>
    </row>
    <row r="2041" spans="1:35">
      <c r="A2041" t="s">
        <v>2152</v>
      </c>
      <c r="B2041" t="s">
        <v>3142</v>
      </c>
      <c r="C2041" t="s">
        <v>2189</v>
      </c>
      <c r="D2041" t="s">
        <v>5543</v>
      </c>
      <c r="F2041" t="s">
        <v>593</v>
      </c>
      <c r="G2041" s="126">
        <f>SUMIFS('Support - Transition'!F:F,'Support - Transition'!B:B,'Step 2'!A2041,'Support - Transition'!C:C,'Step 2'!B2041,'Support - Transition'!D:D,'Step 2'!C2041,'Support - Transition'!E:E,"CIVIL")</f>
        <v>3.0600000000000001E-4</v>
      </c>
      <c r="H2041" s="126">
        <f>SUMIFS('Support - Transition'!F:F,'Support - Transition'!B:B,'Step 2'!A2041,'Support - Transition'!C:C,'Step 2'!B2041,'Support - Transition'!D:D,'Step 2'!C2041,'Support - Transition'!E:E,"FIRE")</f>
        <v>1.94E-4</v>
      </c>
      <c r="I2041" s="126">
        <f>IF(B2041="0",SUMIFS('Support - Transition'!F:F,'Support - Transition'!J:J,'Step 2'!D2041,'Support - Transition'!E:E,"STATE UNIT"),SUMIFS('Support - Transition'!F:F,'Support - Transition'!J:J,'Step 2'!D2041))</f>
        <v>5.0000000000000001E-4</v>
      </c>
      <c r="J2041" s="126">
        <f>SUMIFS('Support - Unit Adjustments'!E:E,'Support - Unit Adjustments'!F:F,'Step 2'!D2041)</f>
        <v>0</v>
      </c>
      <c r="K2041" s="126">
        <f t="shared" si="593"/>
        <v>5.0000000000000001E-4</v>
      </c>
      <c r="L2041" s="174">
        <f>VLOOKUP(A2041,'Step 1'!$A:$E,4,FALSE)</f>
        <v>268161</v>
      </c>
      <c r="M2041" s="47">
        <f t="shared" si="594"/>
        <v>134</v>
      </c>
      <c r="N2041" s="177">
        <f>SUMIFS('Support - Transition'!G:G,'Support - Transition'!J:J,'Step 2'!D2041,'Support - Transition'!E:E,"2009 WELFARE ALLOCATION FACTOR")</f>
        <v>0</v>
      </c>
      <c r="O2041" s="152">
        <f t="shared" si="599"/>
        <v>0</v>
      </c>
      <c r="P2041" s="126">
        <f>IF(E2041="Y",0,SUMIFS('Support - Transition'!G:G,'Support - Transition'!J:J,'Step 2'!D2041,'Support - Transition'!E:E,"2009 SCHOOL ALLOCATION FACTOR"))</f>
        <v>0</v>
      </c>
      <c r="Q2041" s="126">
        <f>IF(E2041="Y",VLOOKUP(D2041,'Support - Unit Adjustments'!F:G,2,FALSE),0)</f>
        <v>0</v>
      </c>
      <c r="R2041" s="155">
        <f t="shared" si="611"/>
        <v>0</v>
      </c>
      <c r="S2041" s="47">
        <f t="shared" si="610"/>
        <v>0</v>
      </c>
      <c r="T2041" s="151">
        <f t="shared" si="595"/>
        <v>134</v>
      </c>
      <c r="U2041" s="151">
        <f t="shared" si="596"/>
        <v>0</v>
      </c>
      <c r="V2041" s="139">
        <f t="shared" si="597"/>
        <v>0</v>
      </c>
      <c r="W2041" s="152">
        <f t="shared" si="600"/>
        <v>134</v>
      </c>
      <c r="X2041" s="127" t="str">
        <f t="shared" si="598"/>
        <v/>
      </c>
      <c r="Y2041" s="207">
        <f t="shared" si="601"/>
        <v>134</v>
      </c>
      <c r="Z2041" s="139">
        <f t="shared" si="602"/>
        <v>82</v>
      </c>
      <c r="AA2041" s="139">
        <f t="shared" si="603"/>
        <v>52</v>
      </c>
      <c r="AC2041" s="47">
        <f t="shared" si="604"/>
        <v>67</v>
      </c>
      <c r="AD2041" s="47">
        <f t="shared" si="605"/>
        <v>41</v>
      </c>
      <c r="AE2041" s="47">
        <f t="shared" si="606"/>
        <v>26</v>
      </c>
      <c r="AG2041" s="47">
        <f t="shared" si="607"/>
        <v>67</v>
      </c>
      <c r="AH2041" s="47">
        <f t="shared" si="608"/>
        <v>41</v>
      </c>
      <c r="AI2041" s="208">
        <f t="shared" si="609"/>
        <v>26</v>
      </c>
    </row>
    <row r="2042" spans="1:35">
      <c r="A2042" t="s">
        <v>2152</v>
      </c>
      <c r="B2042" t="s">
        <v>3142</v>
      </c>
      <c r="C2042" t="s">
        <v>2190</v>
      </c>
      <c r="D2042" t="s">
        <v>5544</v>
      </c>
      <c r="F2042" t="s">
        <v>1495</v>
      </c>
      <c r="G2042" s="126">
        <f>SUMIFS('Support - Transition'!F:F,'Support - Transition'!B:B,'Step 2'!A2042,'Support - Transition'!C:C,'Step 2'!B2042,'Support - Transition'!D:D,'Step 2'!C2042,'Support - Transition'!E:E,"CIVIL")</f>
        <v>6.87E-4</v>
      </c>
      <c r="H2042" s="126">
        <f>SUMIFS('Support - Transition'!F:F,'Support - Transition'!B:B,'Step 2'!A2042,'Support - Transition'!C:C,'Step 2'!B2042,'Support - Transition'!D:D,'Step 2'!C2042,'Support - Transition'!E:E,"FIRE")</f>
        <v>3.4299999999999999E-4</v>
      </c>
      <c r="I2042" s="126">
        <f>IF(B2042="0",SUMIFS('Support - Transition'!F:F,'Support - Transition'!J:J,'Step 2'!D2042,'Support - Transition'!E:E,"STATE UNIT"),SUMIFS('Support - Transition'!F:F,'Support - Transition'!J:J,'Step 2'!D2042))</f>
        <v>1.0300000000000001E-3</v>
      </c>
      <c r="J2042" s="126">
        <f>SUMIFS('Support - Unit Adjustments'!E:E,'Support - Unit Adjustments'!F:F,'Step 2'!D2042)</f>
        <v>0</v>
      </c>
      <c r="K2042" s="126">
        <f t="shared" si="593"/>
        <v>1.0300000000000001E-3</v>
      </c>
      <c r="L2042" s="174">
        <f>VLOOKUP(A2042,'Step 1'!$A:$E,4,FALSE)</f>
        <v>268161</v>
      </c>
      <c r="M2042" s="47">
        <f t="shared" si="594"/>
        <v>276</v>
      </c>
      <c r="N2042" s="177">
        <f>SUMIFS('Support - Transition'!G:G,'Support - Transition'!J:J,'Step 2'!D2042,'Support - Transition'!E:E,"2009 WELFARE ALLOCATION FACTOR")</f>
        <v>0</v>
      </c>
      <c r="O2042" s="152">
        <f t="shared" si="599"/>
        <v>0</v>
      </c>
      <c r="P2042" s="126">
        <f>IF(E2042="Y",0,SUMIFS('Support - Transition'!G:G,'Support - Transition'!J:J,'Step 2'!D2042,'Support - Transition'!E:E,"2009 SCHOOL ALLOCATION FACTOR"))</f>
        <v>0</v>
      </c>
      <c r="Q2042" s="126">
        <f>IF(E2042="Y",VLOOKUP(D2042,'Support - Unit Adjustments'!F:G,2,FALSE),0)</f>
        <v>0</v>
      </c>
      <c r="R2042" s="155">
        <f t="shared" si="611"/>
        <v>0</v>
      </c>
      <c r="S2042" s="47">
        <f t="shared" si="610"/>
        <v>0</v>
      </c>
      <c r="T2042" s="151">
        <f t="shared" si="595"/>
        <v>276</v>
      </c>
      <c r="U2042" s="151">
        <f t="shared" si="596"/>
        <v>0</v>
      </c>
      <c r="V2042" s="139">
        <f t="shared" si="597"/>
        <v>0</v>
      </c>
      <c r="W2042" s="152">
        <f t="shared" si="600"/>
        <v>276</v>
      </c>
      <c r="X2042" s="127" t="str">
        <f t="shared" si="598"/>
        <v/>
      </c>
      <c r="Y2042" s="207">
        <f t="shared" si="601"/>
        <v>276</v>
      </c>
      <c r="Z2042" s="139">
        <f t="shared" si="602"/>
        <v>184</v>
      </c>
      <c r="AA2042" s="139">
        <f t="shared" si="603"/>
        <v>92</v>
      </c>
      <c r="AC2042" s="47">
        <f t="shared" si="604"/>
        <v>138</v>
      </c>
      <c r="AD2042" s="47">
        <f t="shared" si="605"/>
        <v>92</v>
      </c>
      <c r="AE2042" s="47">
        <f t="shared" si="606"/>
        <v>46</v>
      </c>
      <c r="AG2042" s="47">
        <f t="shared" si="607"/>
        <v>138</v>
      </c>
      <c r="AH2042" s="47">
        <f t="shared" si="608"/>
        <v>92</v>
      </c>
      <c r="AI2042" s="208">
        <f t="shared" si="609"/>
        <v>46</v>
      </c>
    </row>
    <row r="2043" spans="1:35">
      <c r="A2043" t="s">
        <v>2152</v>
      </c>
      <c r="B2043" t="s">
        <v>3142</v>
      </c>
      <c r="C2043" t="s">
        <v>2191</v>
      </c>
      <c r="D2043" t="s">
        <v>5545</v>
      </c>
      <c r="F2043" t="s">
        <v>49</v>
      </c>
      <c r="G2043" s="126">
        <f>SUMIFS('Support - Transition'!F:F,'Support - Transition'!B:B,'Step 2'!A2043,'Support - Transition'!C:C,'Step 2'!B2043,'Support - Transition'!D:D,'Step 2'!C2043,'Support - Transition'!E:E,"CIVIL")</f>
        <v>1.108E-3</v>
      </c>
      <c r="H2043" s="126">
        <f>SUMIFS('Support - Transition'!F:F,'Support - Transition'!B:B,'Step 2'!A2043,'Support - Transition'!C:C,'Step 2'!B2043,'Support - Transition'!D:D,'Step 2'!C2043,'Support - Transition'!E:E,"FIRE")</f>
        <v>3.0600000000000001E-4</v>
      </c>
      <c r="I2043" s="126">
        <f>IF(B2043="0",SUMIFS('Support - Transition'!F:F,'Support - Transition'!J:J,'Step 2'!D2043,'Support - Transition'!E:E,"STATE UNIT"),SUMIFS('Support - Transition'!F:F,'Support - Transition'!J:J,'Step 2'!D2043))</f>
        <v>1.4140000000000001E-3</v>
      </c>
      <c r="J2043" s="126">
        <f>SUMIFS('Support - Unit Adjustments'!E:E,'Support - Unit Adjustments'!F:F,'Step 2'!D2043)</f>
        <v>0</v>
      </c>
      <c r="K2043" s="126">
        <f t="shared" si="593"/>
        <v>1.4140000000000001E-3</v>
      </c>
      <c r="L2043" s="174">
        <f>VLOOKUP(A2043,'Step 1'!$A:$E,4,FALSE)</f>
        <v>268161</v>
      </c>
      <c r="M2043" s="47">
        <f t="shared" si="594"/>
        <v>379</v>
      </c>
      <c r="N2043" s="177">
        <f>SUMIFS('Support - Transition'!G:G,'Support - Transition'!J:J,'Step 2'!D2043,'Support - Transition'!E:E,"2009 WELFARE ALLOCATION FACTOR")</f>
        <v>0</v>
      </c>
      <c r="O2043" s="152">
        <f t="shared" si="599"/>
        <v>0</v>
      </c>
      <c r="P2043" s="126">
        <f>IF(E2043="Y",0,SUMIFS('Support - Transition'!G:G,'Support - Transition'!J:J,'Step 2'!D2043,'Support - Transition'!E:E,"2009 SCHOOL ALLOCATION FACTOR"))</f>
        <v>0</v>
      </c>
      <c r="Q2043" s="126">
        <f>IF(E2043="Y",VLOOKUP(D2043,'Support - Unit Adjustments'!F:G,2,FALSE),0)</f>
        <v>0</v>
      </c>
      <c r="R2043" s="155">
        <f t="shared" si="611"/>
        <v>0</v>
      </c>
      <c r="S2043" s="47">
        <f t="shared" si="610"/>
        <v>0</v>
      </c>
      <c r="T2043" s="151">
        <f t="shared" si="595"/>
        <v>379</v>
      </c>
      <c r="U2043" s="151">
        <f t="shared" si="596"/>
        <v>0</v>
      </c>
      <c r="V2043" s="139">
        <f t="shared" si="597"/>
        <v>0</v>
      </c>
      <c r="W2043" s="152">
        <f t="shared" si="600"/>
        <v>379</v>
      </c>
      <c r="X2043" s="127" t="str">
        <f t="shared" si="598"/>
        <v/>
      </c>
      <c r="Y2043" s="207">
        <f t="shared" si="601"/>
        <v>379</v>
      </c>
      <c r="Z2043" s="139">
        <f t="shared" si="602"/>
        <v>297</v>
      </c>
      <c r="AA2043" s="139">
        <f t="shared" si="603"/>
        <v>82</v>
      </c>
      <c r="AC2043" s="47">
        <f t="shared" si="604"/>
        <v>190</v>
      </c>
      <c r="AD2043" s="47">
        <f t="shared" si="605"/>
        <v>149</v>
      </c>
      <c r="AE2043" s="47">
        <f t="shared" si="606"/>
        <v>41</v>
      </c>
      <c r="AG2043" s="47">
        <f t="shared" si="607"/>
        <v>189</v>
      </c>
      <c r="AH2043" s="47">
        <f t="shared" si="608"/>
        <v>148</v>
      </c>
      <c r="AI2043" s="208">
        <f t="shared" si="609"/>
        <v>41</v>
      </c>
    </row>
    <row r="2044" spans="1:35">
      <c r="A2044" t="s">
        <v>2152</v>
      </c>
      <c r="B2044" t="s">
        <v>3142</v>
      </c>
      <c r="C2044" t="s">
        <v>2192</v>
      </c>
      <c r="D2044" t="s">
        <v>5546</v>
      </c>
      <c r="F2044" t="s">
        <v>16</v>
      </c>
      <c r="G2044" s="126">
        <f>SUMIFS('Support - Transition'!F:F,'Support - Transition'!B:B,'Step 2'!A2044,'Support - Transition'!C:C,'Step 2'!B2044,'Support - Transition'!D:D,'Step 2'!C2044,'Support - Transition'!E:E,"CIVIL")</f>
        <v>3.7889999999999998E-3</v>
      </c>
      <c r="H2044" s="126">
        <f>SUMIFS('Support - Transition'!F:F,'Support - Transition'!B:B,'Step 2'!A2044,'Support - Transition'!C:C,'Step 2'!B2044,'Support - Transition'!D:D,'Step 2'!C2044,'Support - Transition'!E:E,"FIRE")</f>
        <v>1.091E-3</v>
      </c>
      <c r="I2044" s="126">
        <f>IF(B2044="0",SUMIFS('Support - Transition'!F:F,'Support - Transition'!J:J,'Step 2'!D2044,'Support - Transition'!E:E,"STATE UNIT"),SUMIFS('Support - Transition'!F:F,'Support - Transition'!J:J,'Step 2'!D2044))</f>
        <v>4.8799999999999998E-3</v>
      </c>
      <c r="J2044" s="126">
        <f>SUMIFS('Support - Unit Adjustments'!E:E,'Support - Unit Adjustments'!F:F,'Step 2'!D2044)</f>
        <v>0</v>
      </c>
      <c r="K2044" s="126">
        <f t="shared" si="593"/>
        <v>4.8799999999999998E-3</v>
      </c>
      <c r="L2044" s="174">
        <f>VLOOKUP(A2044,'Step 1'!$A:$E,4,FALSE)</f>
        <v>268161</v>
      </c>
      <c r="M2044" s="47">
        <f t="shared" si="594"/>
        <v>1309</v>
      </c>
      <c r="N2044" s="177">
        <f>SUMIFS('Support - Transition'!G:G,'Support - Transition'!J:J,'Step 2'!D2044,'Support - Transition'!E:E,"2009 WELFARE ALLOCATION FACTOR")</f>
        <v>0</v>
      </c>
      <c r="O2044" s="152">
        <f t="shared" si="599"/>
        <v>0</v>
      </c>
      <c r="P2044" s="126">
        <f>IF(E2044="Y",0,SUMIFS('Support - Transition'!G:G,'Support - Transition'!J:J,'Step 2'!D2044,'Support - Transition'!E:E,"2009 SCHOOL ALLOCATION FACTOR"))</f>
        <v>0</v>
      </c>
      <c r="Q2044" s="126">
        <f>IF(E2044="Y",VLOOKUP(D2044,'Support - Unit Adjustments'!F:G,2,FALSE),0)</f>
        <v>0</v>
      </c>
      <c r="R2044" s="155">
        <f t="shared" si="611"/>
        <v>0</v>
      </c>
      <c r="S2044" s="47">
        <f t="shared" si="610"/>
        <v>0</v>
      </c>
      <c r="T2044" s="151">
        <f t="shared" si="595"/>
        <v>1309</v>
      </c>
      <c r="U2044" s="151">
        <f t="shared" si="596"/>
        <v>0</v>
      </c>
      <c r="V2044" s="139">
        <f t="shared" si="597"/>
        <v>0</v>
      </c>
      <c r="W2044" s="152">
        <f t="shared" si="600"/>
        <v>1309</v>
      </c>
      <c r="X2044" s="127" t="str">
        <f t="shared" si="598"/>
        <v/>
      </c>
      <c r="Y2044" s="207">
        <f t="shared" si="601"/>
        <v>1309</v>
      </c>
      <c r="Z2044" s="139">
        <f t="shared" si="602"/>
        <v>1016</v>
      </c>
      <c r="AA2044" s="139">
        <f t="shared" si="603"/>
        <v>293</v>
      </c>
      <c r="AC2044" s="47">
        <f t="shared" si="604"/>
        <v>655</v>
      </c>
      <c r="AD2044" s="47">
        <f t="shared" si="605"/>
        <v>508</v>
      </c>
      <c r="AE2044" s="47">
        <f t="shared" si="606"/>
        <v>147</v>
      </c>
      <c r="AG2044" s="47">
        <f t="shared" si="607"/>
        <v>654</v>
      </c>
      <c r="AH2044" s="47">
        <f t="shared" si="608"/>
        <v>508</v>
      </c>
      <c r="AI2044" s="208">
        <f t="shared" si="609"/>
        <v>146</v>
      </c>
    </row>
    <row r="2045" spans="1:35">
      <c r="A2045" t="s">
        <v>2152</v>
      </c>
      <c r="B2045" t="s">
        <v>3142</v>
      </c>
      <c r="C2045" t="s">
        <v>2193</v>
      </c>
      <c r="D2045" t="s">
        <v>5547</v>
      </c>
      <c r="F2045" t="s">
        <v>746</v>
      </c>
      <c r="G2045" s="126">
        <f>SUMIFS('Support - Transition'!F:F,'Support - Transition'!B:B,'Step 2'!A2045,'Support - Transition'!C:C,'Step 2'!B2045,'Support - Transition'!D:D,'Step 2'!C2045,'Support - Transition'!E:E,"CIVIL")</f>
        <v>1.4170000000000001E-3</v>
      </c>
      <c r="H2045" s="126">
        <f>SUMIFS('Support - Transition'!F:F,'Support - Transition'!B:B,'Step 2'!A2045,'Support - Transition'!C:C,'Step 2'!B2045,'Support - Transition'!D:D,'Step 2'!C2045,'Support - Transition'!E:E,"FIRE")</f>
        <v>6.7299999999999999E-4</v>
      </c>
      <c r="I2045" s="126">
        <f>IF(B2045="0",SUMIFS('Support - Transition'!F:F,'Support - Transition'!J:J,'Step 2'!D2045,'Support - Transition'!E:E,"STATE UNIT"),SUMIFS('Support - Transition'!F:F,'Support - Transition'!J:J,'Step 2'!D2045))</f>
        <v>2.0899999999999998E-3</v>
      </c>
      <c r="J2045" s="126">
        <f>SUMIFS('Support - Unit Adjustments'!E:E,'Support - Unit Adjustments'!F:F,'Step 2'!D2045)</f>
        <v>0</v>
      </c>
      <c r="K2045" s="126">
        <f t="shared" si="593"/>
        <v>2.0899999999999998E-3</v>
      </c>
      <c r="L2045" s="174">
        <f>VLOOKUP(A2045,'Step 1'!$A:$E,4,FALSE)</f>
        <v>268161</v>
      </c>
      <c r="M2045" s="47">
        <f t="shared" si="594"/>
        <v>560</v>
      </c>
      <c r="N2045" s="177">
        <f>SUMIFS('Support - Transition'!G:G,'Support - Transition'!J:J,'Step 2'!D2045,'Support - Transition'!E:E,"2009 WELFARE ALLOCATION FACTOR")</f>
        <v>0</v>
      </c>
      <c r="O2045" s="152">
        <f t="shared" si="599"/>
        <v>0</v>
      </c>
      <c r="P2045" s="126">
        <f>IF(E2045="Y",0,SUMIFS('Support - Transition'!G:G,'Support - Transition'!J:J,'Step 2'!D2045,'Support - Transition'!E:E,"2009 SCHOOL ALLOCATION FACTOR"))</f>
        <v>0</v>
      </c>
      <c r="Q2045" s="126">
        <f>IF(E2045="Y",VLOOKUP(D2045,'Support - Unit Adjustments'!F:G,2,FALSE),0)</f>
        <v>0</v>
      </c>
      <c r="R2045" s="155">
        <f t="shared" si="611"/>
        <v>0</v>
      </c>
      <c r="S2045" s="47">
        <f t="shared" si="610"/>
        <v>0</v>
      </c>
      <c r="T2045" s="151">
        <f t="shared" si="595"/>
        <v>560</v>
      </c>
      <c r="U2045" s="151">
        <f t="shared" si="596"/>
        <v>0</v>
      </c>
      <c r="V2045" s="139">
        <f t="shared" si="597"/>
        <v>0</v>
      </c>
      <c r="W2045" s="152">
        <f t="shared" si="600"/>
        <v>560</v>
      </c>
      <c r="X2045" s="127" t="str">
        <f t="shared" si="598"/>
        <v/>
      </c>
      <c r="Y2045" s="207">
        <f t="shared" si="601"/>
        <v>560</v>
      </c>
      <c r="Z2045" s="139">
        <f t="shared" si="602"/>
        <v>380</v>
      </c>
      <c r="AA2045" s="139">
        <f t="shared" si="603"/>
        <v>180</v>
      </c>
      <c r="AC2045" s="47">
        <f t="shared" si="604"/>
        <v>280</v>
      </c>
      <c r="AD2045" s="47">
        <f t="shared" si="605"/>
        <v>190</v>
      </c>
      <c r="AE2045" s="47">
        <f t="shared" si="606"/>
        <v>90</v>
      </c>
      <c r="AG2045" s="47">
        <f t="shared" si="607"/>
        <v>280</v>
      </c>
      <c r="AH2045" s="47">
        <f t="shared" si="608"/>
        <v>190</v>
      </c>
      <c r="AI2045" s="208">
        <f t="shared" si="609"/>
        <v>90</v>
      </c>
    </row>
    <row r="2046" spans="1:35">
      <c r="A2046" t="s">
        <v>2152</v>
      </c>
      <c r="B2046" t="s">
        <v>3142</v>
      </c>
      <c r="C2046" t="s">
        <v>2194</v>
      </c>
      <c r="D2046" t="s">
        <v>5548</v>
      </c>
      <c r="F2046" t="s">
        <v>20</v>
      </c>
      <c r="G2046" s="126">
        <f>SUMIFS('Support - Transition'!F:F,'Support - Transition'!B:B,'Step 2'!A2046,'Support - Transition'!C:C,'Step 2'!B2046,'Support - Transition'!D:D,'Step 2'!C2046,'Support - Transition'!E:E,"CIVIL")</f>
        <v>2.5119999999999999E-3</v>
      </c>
      <c r="H2046" s="126">
        <f>SUMIFS('Support - Transition'!F:F,'Support - Transition'!B:B,'Step 2'!A2046,'Support - Transition'!C:C,'Step 2'!B2046,'Support - Transition'!D:D,'Step 2'!C2046,'Support - Transition'!E:E,"FIRE")</f>
        <v>1.7880000000000001E-3</v>
      </c>
      <c r="I2046" s="126">
        <f>IF(B2046="0",SUMIFS('Support - Transition'!F:F,'Support - Transition'!J:J,'Step 2'!D2046,'Support - Transition'!E:E,"STATE UNIT"),SUMIFS('Support - Transition'!F:F,'Support - Transition'!J:J,'Step 2'!D2046))</f>
        <v>4.3E-3</v>
      </c>
      <c r="J2046" s="126">
        <f>SUMIFS('Support - Unit Adjustments'!E:E,'Support - Unit Adjustments'!F:F,'Step 2'!D2046)</f>
        <v>0</v>
      </c>
      <c r="K2046" s="126">
        <f t="shared" si="593"/>
        <v>4.3E-3</v>
      </c>
      <c r="L2046" s="174">
        <f>VLOOKUP(A2046,'Step 1'!$A:$E,4,FALSE)</f>
        <v>268161</v>
      </c>
      <c r="M2046" s="47">
        <f t="shared" si="594"/>
        <v>1153</v>
      </c>
      <c r="N2046" s="177">
        <f>SUMIFS('Support - Transition'!G:G,'Support - Transition'!J:J,'Step 2'!D2046,'Support - Transition'!E:E,"2009 WELFARE ALLOCATION FACTOR")</f>
        <v>0</v>
      </c>
      <c r="O2046" s="152">
        <f t="shared" si="599"/>
        <v>0</v>
      </c>
      <c r="P2046" s="126">
        <f>IF(E2046="Y",0,SUMIFS('Support - Transition'!G:G,'Support - Transition'!J:J,'Step 2'!D2046,'Support - Transition'!E:E,"2009 SCHOOL ALLOCATION FACTOR"))</f>
        <v>0</v>
      </c>
      <c r="Q2046" s="126">
        <f>IF(E2046="Y",VLOOKUP(D2046,'Support - Unit Adjustments'!F:G,2,FALSE),0)</f>
        <v>0</v>
      </c>
      <c r="R2046" s="155">
        <f t="shared" si="611"/>
        <v>0</v>
      </c>
      <c r="S2046" s="47">
        <f t="shared" si="610"/>
        <v>0</v>
      </c>
      <c r="T2046" s="151">
        <f t="shared" si="595"/>
        <v>1153</v>
      </c>
      <c r="U2046" s="151">
        <f t="shared" si="596"/>
        <v>0</v>
      </c>
      <c r="V2046" s="139">
        <f t="shared" si="597"/>
        <v>0</v>
      </c>
      <c r="W2046" s="152">
        <f t="shared" si="600"/>
        <v>1153</v>
      </c>
      <c r="X2046" s="127" t="str">
        <f t="shared" si="598"/>
        <v/>
      </c>
      <c r="Y2046" s="207">
        <f t="shared" si="601"/>
        <v>1153</v>
      </c>
      <c r="Z2046" s="139">
        <f t="shared" si="602"/>
        <v>674</v>
      </c>
      <c r="AA2046" s="139">
        <f t="shared" si="603"/>
        <v>479</v>
      </c>
      <c r="AC2046" s="47">
        <f t="shared" si="604"/>
        <v>577</v>
      </c>
      <c r="AD2046" s="47">
        <f t="shared" si="605"/>
        <v>337</v>
      </c>
      <c r="AE2046" s="47">
        <f t="shared" si="606"/>
        <v>240</v>
      </c>
      <c r="AG2046" s="47">
        <f t="shared" si="607"/>
        <v>576</v>
      </c>
      <c r="AH2046" s="47">
        <f t="shared" si="608"/>
        <v>337</v>
      </c>
      <c r="AI2046" s="208">
        <f t="shared" si="609"/>
        <v>239</v>
      </c>
    </row>
    <row r="2047" spans="1:35">
      <c r="A2047" t="s">
        <v>2152</v>
      </c>
      <c r="B2047" t="s">
        <v>3142</v>
      </c>
      <c r="C2047" t="s">
        <v>2195</v>
      </c>
      <c r="D2047" t="s">
        <v>5549</v>
      </c>
      <c r="F2047" t="s">
        <v>1496</v>
      </c>
      <c r="G2047" s="126">
        <f>SUMIFS('Support - Transition'!F:F,'Support - Transition'!B:B,'Step 2'!A2047,'Support - Transition'!C:C,'Step 2'!B2047,'Support - Transition'!D:D,'Step 2'!C2047,'Support - Transition'!E:E,"CIVIL")</f>
        <v>9.7900000000000005E-4</v>
      </c>
      <c r="H2047" s="126">
        <f>SUMIFS('Support - Transition'!F:F,'Support - Transition'!B:B,'Step 2'!A2047,'Support - Transition'!C:C,'Step 2'!B2047,'Support - Transition'!D:D,'Step 2'!C2047,'Support - Transition'!E:E,"FIRE")</f>
        <v>8.8400000000000002E-4</v>
      </c>
      <c r="I2047" s="126">
        <f>IF(B2047="0",SUMIFS('Support - Transition'!F:F,'Support - Transition'!J:J,'Step 2'!D2047,'Support - Transition'!E:E,"STATE UNIT"),SUMIFS('Support - Transition'!F:F,'Support - Transition'!J:J,'Step 2'!D2047))</f>
        <v>1.8630000000000001E-3</v>
      </c>
      <c r="J2047" s="126">
        <f>SUMIFS('Support - Unit Adjustments'!E:E,'Support - Unit Adjustments'!F:F,'Step 2'!D2047)</f>
        <v>0</v>
      </c>
      <c r="K2047" s="126">
        <f t="shared" si="593"/>
        <v>1.8630000000000001E-3</v>
      </c>
      <c r="L2047" s="174">
        <f>VLOOKUP(A2047,'Step 1'!$A:$E,4,FALSE)</f>
        <v>268161</v>
      </c>
      <c r="M2047" s="47">
        <f t="shared" si="594"/>
        <v>500</v>
      </c>
      <c r="N2047" s="177">
        <f>SUMIFS('Support - Transition'!G:G,'Support - Transition'!J:J,'Step 2'!D2047,'Support - Transition'!E:E,"2009 WELFARE ALLOCATION FACTOR")</f>
        <v>0</v>
      </c>
      <c r="O2047" s="152">
        <f t="shared" si="599"/>
        <v>0</v>
      </c>
      <c r="P2047" s="126">
        <f>IF(E2047="Y",0,SUMIFS('Support - Transition'!G:G,'Support - Transition'!J:J,'Step 2'!D2047,'Support - Transition'!E:E,"2009 SCHOOL ALLOCATION FACTOR"))</f>
        <v>0</v>
      </c>
      <c r="Q2047" s="126">
        <f>IF(E2047="Y",VLOOKUP(D2047,'Support - Unit Adjustments'!F:G,2,FALSE),0)</f>
        <v>0</v>
      </c>
      <c r="R2047" s="155">
        <f t="shared" si="611"/>
        <v>0</v>
      </c>
      <c r="S2047" s="47">
        <f t="shared" si="610"/>
        <v>0</v>
      </c>
      <c r="T2047" s="151">
        <f t="shared" si="595"/>
        <v>500</v>
      </c>
      <c r="U2047" s="151">
        <f t="shared" si="596"/>
        <v>0</v>
      </c>
      <c r="V2047" s="139">
        <f t="shared" si="597"/>
        <v>0</v>
      </c>
      <c r="W2047" s="152">
        <f t="shared" si="600"/>
        <v>500</v>
      </c>
      <c r="X2047" s="127" t="str">
        <f t="shared" si="598"/>
        <v/>
      </c>
      <c r="Y2047" s="207">
        <f t="shared" si="601"/>
        <v>500</v>
      </c>
      <c r="Z2047" s="139">
        <f t="shared" si="602"/>
        <v>263</v>
      </c>
      <c r="AA2047" s="139">
        <f t="shared" si="603"/>
        <v>237</v>
      </c>
      <c r="AC2047" s="47">
        <f t="shared" si="604"/>
        <v>250</v>
      </c>
      <c r="AD2047" s="47">
        <f t="shared" si="605"/>
        <v>132</v>
      </c>
      <c r="AE2047" s="47">
        <f t="shared" si="606"/>
        <v>119</v>
      </c>
      <c r="AG2047" s="47">
        <f t="shared" si="607"/>
        <v>250</v>
      </c>
      <c r="AH2047" s="47">
        <f t="shared" si="608"/>
        <v>131</v>
      </c>
      <c r="AI2047" s="208">
        <f t="shared" si="609"/>
        <v>118</v>
      </c>
    </row>
    <row r="2048" spans="1:35">
      <c r="A2048" t="s">
        <v>2152</v>
      </c>
      <c r="B2048" t="s">
        <v>3142</v>
      </c>
      <c r="C2048" t="s">
        <v>2196</v>
      </c>
      <c r="D2048" t="s">
        <v>5550</v>
      </c>
      <c r="F2048" t="s">
        <v>22</v>
      </c>
      <c r="G2048" s="126">
        <f>SUMIFS('Support - Transition'!F:F,'Support - Transition'!B:B,'Step 2'!A2048,'Support - Transition'!C:C,'Step 2'!B2048,'Support - Transition'!D:D,'Step 2'!C2048,'Support - Transition'!E:E,"CIVIL")</f>
        <v>1.9919999999999998E-3</v>
      </c>
      <c r="H2048" s="126">
        <f>SUMIFS('Support - Transition'!F:F,'Support - Transition'!B:B,'Step 2'!A2048,'Support - Transition'!C:C,'Step 2'!B2048,'Support - Transition'!D:D,'Step 2'!C2048,'Support - Transition'!E:E,"FIRE")</f>
        <v>5.8100000000000003E-4</v>
      </c>
      <c r="I2048" s="126">
        <f>IF(B2048="0",SUMIFS('Support - Transition'!F:F,'Support - Transition'!J:J,'Step 2'!D2048,'Support - Transition'!E:E,"STATE UNIT"),SUMIFS('Support - Transition'!F:F,'Support - Transition'!J:J,'Step 2'!D2048))</f>
        <v>2.5729999999999998E-3</v>
      </c>
      <c r="J2048" s="126">
        <f>SUMIFS('Support - Unit Adjustments'!E:E,'Support - Unit Adjustments'!F:F,'Step 2'!D2048)</f>
        <v>0</v>
      </c>
      <c r="K2048" s="126">
        <f t="shared" si="593"/>
        <v>2.5729999999999998E-3</v>
      </c>
      <c r="L2048" s="174">
        <f>VLOOKUP(A2048,'Step 1'!$A:$E,4,FALSE)</f>
        <v>268161</v>
      </c>
      <c r="M2048" s="47">
        <f t="shared" si="594"/>
        <v>690</v>
      </c>
      <c r="N2048" s="177">
        <f>SUMIFS('Support - Transition'!G:G,'Support - Transition'!J:J,'Step 2'!D2048,'Support - Transition'!E:E,"2009 WELFARE ALLOCATION FACTOR")</f>
        <v>0</v>
      </c>
      <c r="O2048" s="152">
        <f t="shared" si="599"/>
        <v>0</v>
      </c>
      <c r="P2048" s="126">
        <f>IF(E2048="Y",0,SUMIFS('Support - Transition'!G:G,'Support - Transition'!J:J,'Step 2'!D2048,'Support - Transition'!E:E,"2009 SCHOOL ALLOCATION FACTOR"))</f>
        <v>0</v>
      </c>
      <c r="Q2048" s="126">
        <f>IF(E2048="Y",VLOOKUP(D2048,'Support - Unit Adjustments'!F:G,2,FALSE),0)</f>
        <v>0</v>
      </c>
      <c r="R2048" s="155">
        <f t="shared" si="611"/>
        <v>0</v>
      </c>
      <c r="S2048" s="47">
        <f t="shared" si="610"/>
        <v>0</v>
      </c>
      <c r="T2048" s="151">
        <f t="shared" si="595"/>
        <v>690</v>
      </c>
      <c r="U2048" s="151">
        <f t="shared" si="596"/>
        <v>0</v>
      </c>
      <c r="V2048" s="139">
        <f t="shared" si="597"/>
        <v>0</v>
      </c>
      <c r="W2048" s="152">
        <f t="shared" si="600"/>
        <v>690</v>
      </c>
      <c r="X2048" s="127" t="str">
        <f t="shared" si="598"/>
        <v/>
      </c>
      <c r="Y2048" s="207">
        <f t="shared" si="601"/>
        <v>690</v>
      </c>
      <c r="Z2048" s="139">
        <f t="shared" si="602"/>
        <v>534</v>
      </c>
      <c r="AA2048" s="139">
        <f t="shared" si="603"/>
        <v>156</v>
      </c>
      <c r="AC2048" s="47">
        <f t="shared" si="604"/>
        <v>345</v>
      </c>
      <c r="AD2048" s="47">
        <f t="shared" si="605"/>
        <v>267</v>
      </c>
      <c r="AE2048" s="47">
        <f t="shared" si="606"/>
        <v>78</v>
      </c>
      <c r="AG2048" s="47">
        <f t="shared" si="607"/>
        <v>345</v>
      </c>
      <c r="AH2048" s="47">
        <f t="shared" si="608"/>
        <v>267</v>
      </c>
      <c r="AI2048" s="208">
        <f t="shared" si="609"/>
        <v>78</v>
      </c>
    </row>
    <row r="2049" spans="1:35">
      <c r="A2049" t="s">
        <v>2152</v>
      </c>
      <c r="B2049" t="s">
        <v>3142</v>
      </c>
      <c r="C2049" t="s">
        <v>2197</v>
      </c>
      <c r="D2049" t="s">
        <v>5551</v>
      </c>
      <c r="F2049" t="s">
        <v>61</v>
      </c>
      <c r="G2049" s="126">
        <f>SUMIFS('Support - Transition'!F:F,'Support - Transition'!B:B,'Step 2'!A2049,'Support - Transition'!C:C,'Step 2'!B2049,'Support - Transition'!D:D,'Step 2'!C2049,'Support - Transition'!E:E,"CIVIL")</f>
        <v>6.1200000000000002E-4</v>
      </c>
      <c r="H2049" s="126">
        <f>SUMIFS('Support - Transition'!F:F,'Support - Transition'!B:B,'Step 2'!A2049,'Support - Transition'!C:C,'Step 2'!B2049,'Support - Transition'!D:D,'Step 2'!C2049,'Support - Transition'!E:E,"FIRE")</f>
        <v>6.4999999999999994E-5</v>
      </c>
      <c r="I2049" s="126">
        <f>IF(B2049="0",SUMIFS('Support - Transition'!F:F,'Support - Transition'!J:J,'Step 2'!D2049,'Support - Transition'!E:E,"STATE UNIT"),SUMIFS('Support - Transition'!F:F,'Support - Transition'!J:J,'Step 2'!D2049))</f>
        <v>6.7699999999999998E-4</v>
      </c>
      <c r="J2049" s="126">
        <f>SUMIFS('Support - Unit Adjustments'!E:E,'Support - Unit Adjustments'!F:F,'Step 2'!D2049)</f>
        <v>0</v>
      </c>
      <c r="K2049" s="126">
        <f t="shared" si="593"/>
        <v>6.7699999999999998E-4</v>
      </c>
      <c r="L2049" s="174">
        <f>VLOOKUP(A2049,'Step 1'!$A:$E,4,FALSE)</f>
        <v>268161</v>
      </c>
      <c r="M2049" s="47">
        <f t="shared" si="594"/>
        <v>182</v>
      </c>
      <c r="N2049" s="177">
        <f>SUMIFS('Support - Transition'!G:G,'Support - Transition'!J:J,'Step 2'!D2049,'Support - Transition'!E:E,"2009 WELFARE ALLOCATION FACTOR")</f>
        <v>0</v>
      </c>
      <c r="O2049" s="152">
        <f t="shared" si="599"/>
        <v>0</v>
      </c>
      <c r="P2049" s="126">
        <f>IF(E2049="Y",0,SUMIFS('Support - Transition'!G:G,'Support - Transition'!J:J,'Step 2'!D2049,'Support - Transition'!E:E,"2009 SCHOOL ALLOCATION FACTOR"))</f>
        <v>0</v>
      </c>
      <c r="Q2049" s="126">
        <f>IF(E2049="Y",VLOOKUP(D2049,'Support - Unit Adjustments'!F:G,2,FALSE),0)</f>
        <v>0</v>
      </c>
      <c r="R2049" s="155">
        <f t="shared" si="611"/>
        <v>0</v>
      </c>
      <c r="S2049" s="47">
        <f t="shared" si="610"/>
        <v>0</v>
      </c>
      <c r="T2049" s="151">
        <f t="shared" si="595"/>
        <v>182</v>
      </c>
      <c r="U2049" s="151">
        <f t="shared" si="596"/>
        <v>0</v>
      </c>
      <c r="V2049" s="139">
        <f t="shared" si="597"/>
        <v>0</v>
      </c>
      <c r="W2049" s="152">
        <f t="shared" si="600"/>
        <v>182</v>
      </c>
      <c r="X2049" s="127" t="str">
        <f t="shared" si="598"/>
        <v/>
      </c>
      <c r="Y2049" s="207">
        <f t="shared" si="601"/>
        <v>182</v>
      </c>
      <c r="Z2049" s="139">
        <f t="shared" si="602"/>
        <v>165</v>
      </c>
      <c r="AA2049" s="139">
        <f t="shared" si="603"/>
        <v>17</v>
      </c>
      <c r="AC2049" s="47">
        <f t="shared" si="604"/>
        <v>91</v>
      </c>
      <c r="AD2049" s="47">
        <f t="shared" si="605"/>
        <v>83</v>
      </c>
      <c r="AE2049" s="47">
        <f t="shared" si="606"/>
        <v>9</v>
      </c>
      <c r="AG2049" s="47">
        <f t="shared" si="607"/>
        <v>91</v>
      </c>
      <c r="AH2049" s="47">
        <f t="shared" si="608"/>
        <v>82</v>
      </c>
      <c r="AI2049" s="208">
        <f t="shared" si="609"/>
        <v>8</v>
      </c>
    </row>
    <row r="2050" spans="1:35">
      <c r="A2050" t="s">
        <v>2152</v>
      </c>
      <c r="B2050" t="s">
        <v>3142</v>
      </c>
      <c r="C2050" t="s">
        <v>2198</v>
      </c>
      <c r="D2050" t="s">
        <v>5552</v>
      </c>
      <c r="F2050" t="s">
        <v>569</v>
      </c>
      <c r="G2050" s="126">
        <f>SUMIFS('Support - Transition'!F:F,'Support - Transition'!B:B,'Step 2'!A2050,'Support - Transition'!C:C,'Step 2'!B2050,'Support - Transition'!D:D,'Step 2'!C2050,'Support - Transition'!E:E,"CIVIL")</f>
        <v>2.0999999999999999E-3</v>
      </c>
      <c r="H2050" s="126">
        <f>SUMIFS('Support - Transition'!F:F,'Support - Transition'!B:B,'Step 2'!A2050,'Support - Transition'!C:C,'Step 2'!B2050,'Support - Transition'!D:D,'Step 2'!C2050,'Support - Transition'!E:E,"FIRE")</f>
        <v>9.6900000000000003E-4</v>
      </c>
      <c r="I2050" s="126">
        <f>IF(B2050="0",SUMIFS('Support - Transition'!F:F,'Support - Transition'!J:J,'Step 2'!D2050,'Support - Transition'!E:E,"STATE UNIT"),SUMIFS('Support - Transition'!F:F,'Support - Transition'!J:J,'Step 2'!D2050))</f>
        <v>3.0689999999999997E-3</v>
      </c>
      <c r="J2050" s="126">
        <f>SUMIFS('Support - Unit Adjustments'!E:E,'Support - Unit Adjustments'!F:F,'Step 2'!D2050)</f>
        <v>0</v>
      </c>
      <c r="K2050" s="126">
        <f t="shared" ref="K2050:K2113" si="612">+I2050+J2050</f>
        <v>3.0689999999999997E-3</v>
      </c>
      <c r="L2050" s="174">
        <f>VLOOKUP(A2050,'Step 1'!$A:$E,4,FALSE)</f>
        <v>268161</v>
      </c>
      <c r="M2050" s="47">
        <f t="shared" ref="M2050:M2113" si="613">ROUND(+K2050*L2050,0)</f>
        <v>823</v>
      </c>
      <c r="N2050" s="177">
        <f>SUMIFS('Support - Transition'!G:G,'Support - Transition'!J:J,'Step 2'!D2050,'Support - Transition'!E:E,"2009 WELFARE ALLOCATION FACTOR")</f>
        <v>0</v>
      </c>
      <c r="O2050" s="152">
        <f t="shared" si="599"/>
        <v>0</v>
      </c>
      <c r="P2050" s="126">
        <f>IF(E2050="Y",0,SUMIFS('Support - Transition'!G:G,'Support - Transition'!J:J,'Step 2'!D2050,'Support - Transition'!E:E,"2009 SCHOOL ALLOCATION FACTOR"))</f>
        <v>0</v>
      </c>
      <c r="Q2050" s="126">
        <f>IF(E2050="Y",VLOOKUP(D2050,'Support - Unit Adjustments'!F:G,2,FALSE),0)</f>
        <v>0</v>
      </c>
      <c r="R2050" s="155">
        <f t="shared" si="611"/>
        <v>0</v>
      </c>
      <c r="S2050" s="47">
        <f t="shared" si="610"/>
        <v>0</v>
      </c>
      <c r="T2050" s="151">
        <f t="shared" ref="T2050:T2113" si="614">ROUND(+M2050-O2050-S2050,2)</f>
        <v>823</v>
      </c>
      <c r="U2050" s="151">
        <f t="shared" ref="U2050:U2113" si="615">IF(B2050="0",SUMIFS(O:O,A:A,A2050)+SUMIFS(S:S,A:A,A2050)+SUMIFS(T:T,A:A,A2050),0)</f>
        <v>0</v>
      </c>
      <c r="V2050" s="139">
        <f t="shared" ref="V2050:V2113" si="616">IF(B2050="0",U2050-L2050,0)</f>
        <v>0</v>
      </c>
      <c r="W2050" s="152">
        <f t="shared" si="600"/>
        <v>823</v>
      </c>
      <c r="X2050" s="127" t="str">
        <f t="shared" ref="X2050:X2113" si="617">IF(B2050="0",SUMIFS(O:O,A:A,A2050)+SUMIFS(S:S,A:A,A2050)+SUMIFS(W:W,A:A,A2050)-L2050,"")</f>
        <v/>
      </c>
      <c r="Y2050" s="207">
        <f t="shared" si="601"/>
        <v>823</v>
      </c>
      <c r="Z2050" s="139">
        <f t="shared" si="602"/>
        <v>563</v>
      </c>
      <c r="AA2050" s="139">
        <f t="shared" si="603"/>
        <v>260</v>
      </c>
      <c r="AC2050" s="47">
        <f t="shared" si="604"/>
        <v>412</v>
      </c>
      <c r="AD2050" s="47">
        <f t="shared" si="605"/>
        <v>282</v>
      </c>
      <c r="AE2050" s="47">
        <f t="shared" si="606"/>
        <v>130</v>
      </c>
      <c r="AG2050" s="47">
        <f t="shared" si="607"/>
        <v>411</v>
      </c>
      <c r="AH2050" s="47">
        <f t="shared" si="608"/>
        <v>281</v>
      </c>
      <c r="AI2050" s="208">
        <f t="shared" si="609"/>
        <v>130</v>
      </c>
    </row>
    <row r="2051" spans="1:35">
      <c r="A2051" t="s">
        <v>2152</v>
      </c>
      <c r="B2051" t="s">
        <v>3155</v>
      </c>
      <c r="C2051" t="s">
        <v>2961</v>
      </c>
      <c r="D2051" t="s">
        <v>5553</v>
      </c>
      <c r="F2051" t="s">
        <v>1505</v>
      </c>
      <c r="G2051" s="126">
        <f>SUMIFS('Support - Transition'!F:F,'Support - Transition'!B:B,'Step 2'!A2051,'Support - Transition'!C:C,'Step 2'!B2051,'Support - Transition'!D:D,'Step 2'!C2051,'Support - Transition'!E:E,"CIVIL")</f>
        <v>0</v>
      </c>
      <c r="H2051" s="126">
        <f>SUMIFS('Support - Transition'!F:F,'Support - Transition'!B:B,'Step 2'!A2051,'Support - Transition'!C:C,'Step 2'!B2051,'Support - Transition'!D:D,'Step 2'!C2051,'Support - Transition'!E:E,"FIRE")</f>
        <v>0</v>
      </c>
      <c r="I2051" s="126">
        <f>IF(B2051="0",SUMIFS('Support - Transition'!F:F,'Support - Transition'!J:J,'Step 2'!D2051,'Support - Transition'!E:E,"STATE UNIT"),SUMIFS('Support - Transition'!F:F,'Support - Transition'!J:J,'Step 2'!D2051))</f>
        <v>1.3396999999999999E-2</v>
      </c>
      <c r="J2051" s="126">
        <f>SUMIFS('Support - Unit Adjustments'!E:E,'Support - Unit Adjustments'!F:F,'Step 2'!D2051)</f>
        <v>0</v>
      </c>
      <c r="K2051" s="126">
        <f t="shared" si="612"/>
        <v>1.3396999999999999E-2</v>
      </c>
      <c r="L2051" s="174">
        <f>VLOOKUP(A2051,'Step 1'!$A:$E,4,FALSE)</f>
        <v>268161</v>
      </c>
      <c r="M2051" s="47">
        <f t="shared" si="613"/>
        <v>3593</v>
      </c>
      <c r="N2051" s="177">
        <f>SUMIFS('Support - Transition'!G:G,'Support - Transition'!J:J,'Step 2'!D2051,'Support - Transition'!E:E,"2009 WELFARE ALLOCATION FACTOR")</f>
        <v>0</v>
      </c>
      <c r="O2051" s="152">
        <f t="shared" ref="O2051:O2114" si="618">ROUND(+N2051*M2051,0)</f>
        <v>0</v>
      </c>
      <c r="P2051" s="126">
        <f>IF(E2051="Y",0,SUMIFS('Support - Transition'!G:G,'Support - Transition'!J:J,'Step 2'!D2051,'Support - Transition'!E:E,"2009 SCHOOL ALLOCATION FACTOR"))</f>
        <v>0</v>
      </c>
      <c r="Q2051" s="126">
        <f>IF(E2051="Y",VLOOKUP(D2051,'Support - Unit Adjustments'!F:G,2,FALSE),0)</f>
        <v>0</v>
      </c>
      <c r="R2051" s="155">
        <f t="shared" si="611"/>
        <v>0</v>
      </c>
      <c r="S2051" s="47">
        <f t="shared" si="610"/>
        <v>0</v>
      </c>
      <c r="T2051" s="151">
        <f t="shared" si="614"/>
        <v>3593</v>
      </c>
      <c r="U2051" s="151">
        <f t="shared" si="615"/>
        <v>0</v>
      </c>
      <c r="V2051" s="139">
        <f t="shared" si="616"/>
        <v>0</v>
      </c>
      <c r="W2051" s="152">
        <f t="shared" ref="W2051:W2114" si="619">+T2051-V2051</f>
        <v>3593</v>
      </c>
      <c r="X2051" s="127" t="str">
        <f t="shared" si="617"/>
        <v/>
      </c>
      <c r="Y2051" s="207">
        <f t="shared" ref="Y2051:Y2114" si="620">W2051</f>
        <v>3593</v>
      </c>
      <c r="Z2051" s="139">
        <f t="shared" ref="Z2051:Z2114" si="621">IFERROR(IF(B2051="2",ROUND(Y2051*G2051/I2051,0),Y2051),0)</f>
        <v>3593</v>
      </c>
      <c r="AA2051" s="139">
        <f t="shared" ref="AA2051:AA2114" si="622">+Y2051-Z2051</f>
        <v>0</v>
      </c>
      <c r="AC2051" s="47">
        <f t="shared" ref="AC2051:AC2114" si="623">ROUND(Y2051/2,0)</f>
        <v>1797</v>
      </c>
      <c r="AD2051" s="47">
        <f t="shared" ref="AD2051:AD2114" si="624">ROUND(Z2051/2,0)</f>
        <v>1797</v>
      </c>
      <c r="AE2051" s="47">
        <f t="shared" ref="AE2051:AE2114" si="625">ROUND(AA2051/2,0)</f>
        <v>0</v>
      </c>
      <c r="AG2051" s="47">
        <f t="shared" ref="AG2051:AG2114" si="626">+Y2051-AC2051</f>
        <v>1796</v>
      </c>
      <c r="AH2051" s="47">
        <f t="shared" ref="AH2051:AH2114" si="627">+Z2051-AD2051</f>
        <v>1796</v>
      </c>
      <c r="AI2051" s="208">
        <f t="shared" ref="AI2051:AI2114" si="628">+AA2051-AE2051</f>
        <v>0</v>
      </c>
    </row>
    <row r="2052" spans="1:35">
      <c r="A2052" t="s">
        <v>2152</v>
      </c>
      <c r="B2052" t="s">
        <v>3155</v>
      </c>
      <c r="C2052" t="s">
        <v>2962</v>
      </c>
      <c r="D2052" t="s">
        <v>5554</v>
      </c>
      <c r="F2052" t="s">
        <v>1504</v>
      </c>
      <c r="G2052" s="126">
        <f>SUMIFS('Support - Transition'!F:F,'Support - Transition'!B:B,'Step 2'!A2052,'Support - Transition'!C:C,'Step 2'!B2052,'Support - Transition'!D:D,'Step 2'!C2052,'Support - Transition'!E:E,"CIVIL")</f>
        <v>0</v>
      </c>
      <c r="H2052" s="126">
        <f>SUMIFS('Support - Transition'!F:F,'Support - Transition'!B:B,'Step 2'!A2052,'Support - Transition'!C:C,'Step 2'!B2052,'Support - Transition'!D:D,'Step 2'!C2052,'Support - Transition'!E:E,"FIRE")</f>
        <v>0</v>
      </c>
      <c r="I2052" s="126">
        <f>IF(B2052="0",SUMIFS('Support - Transition'!F:F,'Support - Transition'!J:J,'Step 2'!D2052,'Support - Transition'!E:E,"STATE UNIT"),SUMIFS('Support - Transition'!F:F,'Support - Transition'!J:J,'Step 2'!D2052))</f>
        <v>2.0098999999999999E-2</v>
      </c>
      <c r="J2052" s="126">
        <f>SUMIFS('Support - Unit Adjustments'!E:E,'Support - Unit Adjustments'!F:F,'Step 2'!D2052)</f>
        <v>0</v>
      </c>
      <c r="K2052" s="126">
        <f t="shared" si="612"/>
        <v>2.0098999999999999E-2</v>
      </c>
      <c r="L2052" s="174">
        <f>VLOOKUP(A2052,'Step 1'!$A:$E,4,FALSE)</f>
        <v>268161</v>
      </c>
      <c r="M2052" s="47">
        <f t="shared" si="613"/>
        <v>5390</v>
      </c>
      <c r="N2052" s="177">
        <f>SUMIFS('Support - Transition'!G:G,'Support - Transition'!J:J,'Step 2'!D2052,'Support - Transition'!E:E,"2009 WELFARE ALLOCATION FACTOR")</f>
        <v>0</v>
      </c>
      <c r="O2052" s="152">
        <f t="shared" si="618"/>
        <v>0</v>
      </c>
      <c r="P2052" s="126">
        <f>IF(E2052="Y",0,SUMIFS('Support - Transition'!G:G,'Support - Transition'!J:J,'Step 2'!D2052,'Support - Transition'!E:E,"2009 SCHOOL ALLOCATION FACTOR"))</f>
        <v>0</v>
      </c>
      <c r="Q2052" s="126">
        <f>IF(E2052="Y",VLOOKUP(D2052,'Support - Unit Adjustments'!F:G,2,FALSE),0)</f>
        <v>0</v>
      </c>
      <c r="R2052" s="155">
        <f t="shared" si="611"/>
        <v>0</v>
      </c>
      <c r="S2052" s="47">
        <f t="shared" si="610"/>
        <v>0</v>
      </c>
      <c r="T2052" s="151">
        <f t="shared" si="614"/>
        <v>5390</v>
      </c>
      <c r="U2052" s="151">
        <f t="shared" si="615"/>
        <v>0</v>
      </c>
      <c r="V2052" s="139">
        <f t="shared" si="616"/>
        <v>0</v>
      </c>
      <c r="W2052" s="152">
        <f t="shared" si="619"/>
        <v>5390</v>
      </c>
      <c r="X2052" s="127" t="str">
        <f t="shared" si="617"/>
        <v/>
      </c>
      <c r="Y2052" s="207">
        <f t="shared" si="620"/>
        <v>5390</v>
      </c>
      <c r="Z2052" s="139">
        <f t="shared" si="621"/>
        <v>5390</v>
      </c>
      <c r="AA2052" s="139">
        <f t="shared" si="622"/>
        <v>0</v>
      </c>
      <c r="AC2052" s="47">
        <f t="shared" si="623"/>
        <v>2695</v>
      </c>
      <c r="AD2052" s="47">
        <f t="shared" si="624"/>
        <v>2695</v>
      </c>
      <c r="AE2052" s="47">
        <f t="shared" si="625"/>
        <v>0</v>
      </c>
      <c r="AG2052" s="47">
        <f t="shared" si="626"/>
        <v>2695</v>
      </c>
      <c r="AH2052" s="47">
        <f t="shared" si="627"/>
        <v>2695</v>
      </c>
      <c r="AI2052" s="208">
        <f t="shared" si="628"/>
        <v>0</v>
      </c>
    </row>
    <row r="2053" spans="1:35">
      <c r="A2053" t="s">
        <v>2152</v>
      </c>
      <c r="B2053" t="s">
        <v>3155</v>
      </c>
      <c r="C2053" t="s">
        <v>2376</v>
      </c>
      <c r="D2053" t="s">
        <v>5555</v>
      </c>
      <c r="F2053" t="s">
        <v>405</v>
      </c>
      <c r="G2053" s="126">
        <f>SUMIFS('Support - Transition'!F:F,'Support - Transition'!B:B,'Step 2'!A2053,'Support - Transition'!C:C,'Step 2'!B2053,'Support - Transition'!D:D,'Step 2'!C2053,'Support - Transition'!E:E,"CIVIL")</f>
        <v>0</v>
      </c>
      <c r="H2053" s="126">
        <f>SUMIFS('Support - Transition'!F:F,'Support - Transition'!B:B,'Step 2'!A2053,'Support - Transition'!C:C,'Step 2'!B2053,'Support - Transition'!D:D,'Step 2'!C2053,'Support - Transition'!E:E,"FIRE")</f>
        <v>0</v>
      </c>
      <c r="I2053" s="126">
        <f>IF(B2053="0",SUMIFS('Support - Transition'!F:F,'Support - Transition'!J:J,'Step 2'!D2053,'Support - Transition'!E:E,"STATE UNIT"),SUMIFS('Support - Transition'!F:F,'Support - Transition'!J:J,'Step 2'!D2053))</f>
        <v>0</v>
      </c>
      <c r="J2053" s="126">
        <f>SUMIFS('Support - Unit Adjustments'!E:E,'Support - Unit Adjustments'!F:F,'Step 2'!D2053)</f>
        <v>0</v>
      </c>
      <c r="K2053" s="126">
        <f t="shared" si="612"/>
        <v>0</v>
      </c>
      <c r="L2053" s="174">
        <f>VLOOKUP(A2053,'Step 1'!$A:$E,4,FALSE)</f>
        <v>268161</v>
      </c>
      <c r="M2053" s="47">
        <f t="shared" si="613"/>
        <v>0</v>
      </c>
      <c r="N2053" s="177">
        <f>SUMIFS('Support - Transition'!G:G,'Support - Transition'!J:J,'Step 2'!D2053,'Support - Transition'!E:E,"2009 WELFARE ALLOCATION FACTOR")</f>
        <v>0</v>
      </c>
      <c r="O2053" s="152">
        <f t="shared" si="618"/>
        <v>0</v>
      </c>
      <c r="P2053" s="126">
        <f>IF(E2053="Y",0,SUMIFS('Support - Transition'!G:G,'Support - Transition'!J:J,'Step 2'!D2053,'Support - Transition'!E:E,"2009 SCHOOL ALLOCATION FACTOR"))</f>
        <v>0</v>
      </c>
      <c r="Q2053" s="126">
        <f>IF(E2053="Y",VLOOKUP(D2053,'Support - Unit Adjustments'!F:G,2,FALSE),0)</f>
        <v>0</v>
      </c>
      <c r="R2053" s="155">
        <f t="shared" si="611"/>
        <v>0</v>
      </c>
      <c r="S2053" s="47">
        <f t="shared" si="610"/>
        <v>0</v>
      </c>
      <c r="T2053" s="151">
        <f t="shared" si="614"/>
        <v>0</v>
      </c>
      <c r="U2053" s="151">
        <f t="shared" si="615"/>
        <v>0</v>
      </c>
      <c r="V2053" s="139">
        <f t="shared" si="616"/>
        <v>0</v>
      </c>
      <c r="W2053" s="152">
        <f t="shared" si="619"/>
        <v>0</v>
      </c>
      <c r="X2053" s="127" t="str">
        <f t="shared" si="617"/>
        <v/>
      </c>
      <c r="Y2053" s="207">
        <f t="shared" si="620"/>
        <v>0</v>
      </c>
      <c r="Z2053" s="139">
        <f t="shared" si="621"/>
        <v>0</v>
      </c>
      <c r="AA2053" s="139">
        <f t="shared" si="622"/>
        <v>0</v>
      </c>
      <c r="AC2053" s="47">
        <f t="shared" si="623"/>
        <v>0</v>
      </c>
      <c r="AD2053" s="47">
        <f t="shared" si="624"/>
        <v>0</v>
      </c>
      <c r="AE2053" s="47">
        <f t="shared" si="625"/>
        <v>0</v>
      </c>
      <c r="AG2053" s="47">
        <f t="shared" si="626"/>
        <v>0</v>
      </c>
      <c r="AH2053" s="47">
        <f t="shared" si="627"/>
        <v>0</v>
      </c>
      <c r="AI2053" s="208">
        <f t="shared" si="628"/>
        <v>0</v>
      </c>
    </row>
    <row r="2054" spans="1:35">
      <c r="A2054" t="s">
        <v>2152</v>
      </c>
      <c r="B2054" t="s">
        <v>3155</v>
      </c>
      <c r="C2054" t="s">
        <v>2963</v>
      </c>
      <c r="D2054" t="s">
        <v>5556</v>
      </c>
      <c r="F2054" t="s">
        <v>1497</v>
      </c>
      <c r="G2054" s="126">
        <f>SUMIFS('Support - Transition'!F:F,'Support - Transition'!B:B,'Step 2'!A2054,'Support - Transition'!C:C,'Step 2'!B2054,'Support - Transition'!D:D,'Step 2'!C2054,'Support - Transition'!E:E,"CIVIL")</f>
        <v>0</v>
      </c>
      <c r="H2054" s="126">
        <f>SUMIFS('Support - Transition'!F:F,'Support - Transition'!B:B,'Step 2'!A2054,'Support - Transition'!C:C,'Step 2'!B2054,'Support - Transition'!D:D,'Step 2'!C2054,'Support - Transition'!E:E,"FIRE")</f>
        <v>0</v>
      </c>
      <c r="I2054" s="126">
        <f>IF(B2054="0",SUMIFS('Support - Transition'!F:F,'Support - Transition'!J:J,'Step 2'!D2054,'Support - Transition'!E:E,"STATE UNIT"),SUMIFS('Support - Transition'!F:F,'Support - Transition'!J:J,'Step 2'!D2054))</f>
        <v>6.0999999999999999E-5</v>
      </c>
      <c r="J2054" s="126">
        <f>SUMIFS('Support - Unit Adjustments'!E:E,'Support - Unit Adjustments'!F:F,'Step 2'!D2054)</f>
        <v>0</v>
      </c>
      <c r="K2054" s="126">
        <f t="shared" si="612"/>
        <v>6.0999999999999999E-5</v>
      </c>
      <c r="L2054" s="174">
        <f>VLOOKUP(A2054,'Step 1'!$A:$E,4,FALSE)</f>
        <v>268161</v>
      </c>
      <c r="M2054" s="47">
        <f t="shared" si="613"/>
        <v>16</v>
      </c>
      <c r="N2054" s="177">
        <f>SUMIFS('Support - Transition'!G:G,'Support - Transition'!J:J,'Step 2'!D2054,'Support - Transition'!E:E,"2009 WELFARE ALLOCATION FACTOR")</f>
        <v>0</v>
      </c>
      <c r="O2054" s="152">
        <f t="shared" si="618"/>
        <v>0</v>
      </c>
      <c r="P2054" s="126">
        <f>IF(E2054="Y",0,SUMIFS('Support - Transition'!G:G,'Support - Transition'!J:J,'Step 2'!D2054,'Support - Transition'!E:E,"2009 SCHOOL ALLOCATION FACTOR"))</f>
        <v>0</v>
      </c>
      <c r="Q2054" s="126">
        <f>IF(E2054="Y",VLOOKUP(D2054,'Support - Unit Adjustments'!F:G,2,FALSE),0)</f>
        <v>0</v>
      </c>
      <c r="R2054" s="155">
        <f t="shared" si="611"/>
        <v>0</v>
      </c>
      <c r="S2054" s="47">
        <f t="shared" si="610"/>
        <v>0</v>
      </c>
      <c r="T2054" s="151">
        <f t="shared" si="614"/>
        <v>16</v>
      </c>
      <c r="U2054" s="151">
        <f t="shared" si="615"/>
        <v>0</v>
      </c>
      <c r="V2054" s="139">
        <f t="shared" si="616"/>
        <v>0</v>
      </c>
      <c r="W2054" s="152">
        <f t="shared" si="619"/>
        <v>16</v>
      </c>
      <c r="X2054" s="127" t="str">
        <f t="shared" si="617"/>
        <v/>
      </c>
      <c r="Y2054" s="207">
        <f t="shared" si="620"/>
        <v>16</v>
      </c>
      <c r="Z2054" s="139">
        <f t="shared" si="621"/>
        <v>16</v>
      </c>
      <c r="AA2054" s="139">
        <f t="shared" si="622"/>
        <v>0</v>
      </c>
      <c r="AC2054" s="47">
        <f t="shared" si="623"/>
        <v>8</v>
      </c>
      <c r="AD2054" s="47">
        <f t="shared" si="624"/>
        <v>8</v>
      </c>
      <c r="AE2054" s="47">
        <f t="shared" si="625"/>
        <v>0</v>
      </c>
      <c r="AG2054" s="47">
        <f t="shared" si="626"/>
        <v>8</v>
      </c>
      <c r="AH2054" s="47">
        <f t="shared" si="627"/>
        <v>8</v>
      </c>
      <c r="AI2054" s="208">
        <f t="shared" si="628"/>
        <v>0</v>
      </c>
    </row>
    <row r="2055" spans="1:35">
      <c r="A2055" t="s">
        <v>2152</v>
      </c>
      <c r="B2055" t="s">
        <v>3155</v>
      </c>
      <c r="C2055" t="s">
        <v>2964</v>
      </c>
      <c r="D2055" t="s">
        <v>5557</v>
      </c>
      <c r="F2055" t="s">
        <v>1498</v>
      </c>
      <c r="G2055" s="126">
        <f>SUMIFS('Support - Transition'!F:F,'Support - Transition'!B:B,'Step 2'!A2055,'Support - Transition'!C:C,'Step 2'!B2055,'Support - Transition'!D:D,'Step 2'!C2055,'Support - Transition'!E:E,"CIVIL")</f>
        <v>0</v>
      </c>
      <c r="H2055" s="126">
        <f>SUMIFS('Support - Transition'!F:F,'Support - Transition'!B:B,'Step 2'!A2055,'Support - Transition'!C:C,'Step 2'!B2055,'Support - Transition'!D:D,'Step 2'!C2055,'Support - Transition'!E:E,"FIRE")</f>
        <v>0</v>
      </c>
      <c r="I2055" s="126">
        <f>IF(B2055="0",SUMIFS('Support - Transition'!F:F,'Support - Transition'!J:J,'Step 2'!D2055,'Support - Transition'!E:E,"STATE UNIT"),SUMIFS('Support - Transition'!F:F,'Support - Transition'!J:J,'Step 2'!D2055))</f>
        <v>7.2400000000000003E-4</v>
      </c>
      <c r="J2055" s="126">
        <f>SUMIFS('Support - Unit Adjustments'!E:E,'Support - Unit Adjustments'!F:F,'Step 2'!D2055)</f>
        <v>0</v>
      </c>
      <c r="K2055" s="126">
        <f t="shared" si="612"/>
        <v>7.2400000000000003E-4</v>
      </c>
      <c r="L2055" s="174">
        <f>VLOOKUP(A2055,'Step 1'!$A:$E,4,FALSE)</f>
        <v>268161</v>
      </c>
      <c r="M2055" s="47">
        <f t="shared" si="613"/>
        <v>194</v>
      </c>
      <c r="N2055" s="177">
        <f>SUMIFS('Support - Transition'!G:G,'Support - Transition'!J:J,'Step 2'!D2055,'Support - Transition'!E:E,"2009 WELFARE ALLOCATION FACTOR")</f>
        <v>0</v>
      </c>
      <c r="O2055" s="152">
        <f t="shared" si="618"/>
        <v>0</v>
      </c>
      <c r="P2055" s="126">
        <f>IF(E2055="Y",0,SUMIFS('Support - Transition'!G:G,'Support - Transition'!J:J,'Step 2'!D2055,'Support - Transition'!E:E,"2009 SCHOOL ALLOCATION FACTOR"))</f>
        <v>0</v>
      </c>
      <c r="Q2055" s="126">
        <f>IF(E2055="Y",VLOOKUP(D2055,'Support - Unit Adjustments'!F:G,2,FALSE),0)</f>
        <v>0</v>
      </c>
      <c r="R2055" s="155">
        <f t="shared" si="611"/>
        <v>0</v>
      </c>
      <c r="S2055" s="47">
        <f t="shared" si="610"/>
        <v>0</v>
      </c>
      <c r="T2055" s="151">
        <f t="shared" si="614"/>
        <v>194</v>
      </c>
      <c r="U2055" s="151">
        <f t="shared" si="615"/>
        <v>0</v>
      </c>
      <c r="V2055" s="139">
        <f t="shared" si="616"/>
        <v>0</v>
      </c>
      <c r="W2055" s="152">
        <f t="shared" si="619"/>
        <v>194</v>
      </c>
      <c r="X2055" s="127" t="str">
        <f t="shared" si="617"/>
        <v/>
      </c>
      <c r="Y2055" s="207">
        <f t="shared" si="620"/>
        <v>194</v>
      </c>
      <c r="Z2055" s="139">
        <f t="shared" si="621"/>
        <v>194</v>
      </c>
      <c r="AA2055" s="139">
        <f t="shared" si="622"/>
        <v>0</v>
      </c>
      <c r="AC2055" s="47">
        <f t="shared" si="623"/>
        <v>97</v>
      </c>
      <c r="AD2055" s="47">
        <f t="shared" si="624"/>
        <v>97</v>
      </c>
      <c r="AE2055" s="47">
        <f t="shared" si="625"/>
        <v>0</v>
      </c>
      <c r="AG2055" s="47">
        <f t="shared" si="626"/>
        <v>97</v>
      </c>
      <c r="AH2055" s="47">
        <f t="shared" si="627"/>
        <v>97</v>
      </c>
      <c r="AI2055" s="208">
        <f t="shared" si="628"/>
        <v>0</v>
      </c>
    </row>
    <row r="2056" spans="1:35">
      <c r="A2056" t="s">
        <v>2152</v>
      </c>
      <c r="B2056" t="s">
        <v>3155</v>
      </c>
      <c r="C2056" t="s">
        <v>2965</v>
      </c>
      <c r="D2056" t="s">
        <v>5558</v>
      </c>
      <c r="F2056" t="s">
        <v>1499</v>
      </c>
      <c r="G2056" s="126">
        <f>SUMIFS('Support - Transition'!F:F,'Support - Transition'!B:B,'Step 2'!A2056,'Support - Transition'!C:C,'Step 2'!B2056,'Support - Transition'!D:D,'Step 2'!C2056,'Support - Transition'!E:E,"CIVIL")</f>
        <v>0</v>
      </c>
      <c r="H2056" s="126">
        <f>SUMIFS('Support - Transition'!F:F,'Support - Transition'!B:B,'Step 2'!A2056,'Support - Transition'!C:C,'Step 2'!B2056,'Support - Transition'!D:D,'Step 2'!C2056,'Support - Transition'!E:E,"FIRE")</f>
        <v>0</v>
      </c>
      <c r="I2056" s="126">
        <f>IF(B2056="0",SUMIFS('Support - Transition'!F:F,'Support - Transition'!J:J,'Step 2'!D2056,'Support - Transition'!E:E,"STATE UNIT"),SUMIFS('Support - Transition'!F:F,'Support - Transition'!J:J,'Step 2'!D2056))</f>
        <v>3.7782000000000003E-2</v>
      </c>
      <c r="J2056" s="126">
        <f>SUMIFS('Support - Unit Adjustments'!E:E,'Support - Unit Adjustments'!F:F,'Step 2'!D2056)</f>
        <v>0</v>
      </c>
      <c r="K2056" s="126">
        <f t="shared" si="612"/>
        <v>3.7782000000000003E-2</v>
      </c>
      <c r="L2056" s="174">
        <f>VLOOKUP(A2056,'Step 1'!$A:$E,4,FALSE)</f>
        <v>268161</v>
      </c>
      <c r="M2056" s="47">
        <f t="shared" si="613"/>
        <v>10132</v>
      </c>
      <c r="N2056" s="177">
        <f>SUMIFS('Support - Transition'!G:G,'Support - Transition'!J:J,'Step 2'!D2056,'Support - Transition'!E:E,"2009 WELFARE ALLOCATION FACTOR")</f>
        <v>0</v>
      </c>
      <c r="O2056" s="152">
        <f t="shared" si="618"/>
        <v>0</v>
      </c>
      <c r="P2056" s="126">
        <f>IF(E2056="Y",0,SUMIFS('Support - Transition'!G:G,'Support - Transition'!J:J,'Step 2'!D2056,'Support - Transition'!E:E,"2009 SCHOOL ALLOCATION FACTOR"))</f>
        <v>0</v>
      </c>
      <c r="Q2056" s="126">
        <f>IF(E2056="Y",VLOOKUP(D2056,'Support - Unit Adjustments'!F:G,2,FALSE),0)</f>
        <v>0</v>
      </c>
      <c r="R2056" s="155">
        <f t="shared" si="611"/>
        <v>0</v>
      </c>
      <c r="S2056" s="47">
        <f t="shared" ref="S2056:S2119" si="629">ROUND(+R2056*M2056,0)</f>
        <v>0</v>
      </c>
      <c r="T2056" s="151">
        <f t="shared" si="614"/>
        <v>10132</v>
      </c>
      <c r="U2056" s="151">
        <f t="shared" si="615"/>
        <v>0</v>
      </c>
      <c r="V2056" s="139">
        <f t="shared" si="616"/>
        <v>0</v>
      </c>
      <c r="W2056" s="152">
        <f t="shared" si="619"/>
        <v>10132</v>
      </c>
      <c r="X2056" s="127" t="str">
        <f t="shared" si="617"/>
        <v/>
      </c>
      <c r="Y2056" s="207">
        <f t="shared" si="620"/>
        <v>10132</v>
      </c>
      <c r="Z2056" s="139">
        <f t="shared" si="621"/>
        <v>10132</v>
      </c>
      <c r="AA2056" s="139">
        <f t="shared" si="622"/>
        <v>0</v>
      </c>
      <c r="AC2056" s="47">
        <f t="shared" si="623"/>
        <v>5066</v>
      </c>
      <c r="AD2056" s="47">
        <f t="shared" si="624"/>
        <v>5066</v>
      </c>
      <c r="AE2056" s="47">
        <f t="shared" si="625"/>
        <v>0</v>
      </c>
      <c r="AG2056" s="47">
        <f t="shared" si="626"/>
        <v>5066</v>
      </c>
      <c r="AH2056" s="47">
        <f t="shared" si="627"/>
        <v>5066</v>
      </c>
      <c r="AI2056" s="208">
        <f t="shared" si="628"/>
        <v>0</v>
      </c>
    </row>
    <row r="2057" spans="1:35">
      <c r="A2057" t="s">
        <v>2152</v>
      </c>
      <c r="B2057" t="s">
        <v>3155</v>
      </c>
      <c r="C2057" t="s">
        <v>2966</v>
      </c>
      <c r="D2057" t="s">
        <v>5559</v>
      </c>
      <c r="F2057" t="s">
        <v>1500</v>
      </c>
      <c r="G2057" s="126">
        <f>SUMIFS('Support - Transition'!F:F,'Support - Transition'!B:B,'Step 2'!A2057,'Support - Transition'!C:C,'Step 2'!B2057,'Support - Transition'!D:D,'Step 2'!C2057,'Support - Transition'!E:E,"CIVIL")</f>
        <v>0</v>
      </c>
      <c r="H2057" s="126">
        <f>SUMIFS('Support - Transition'!F:F,'Support - Transition'!B:B,'Step 2'!A2057,'Support - Transition'!C:C,'Step 2'!B2057,'Support - Transition'!D:D,'Step 2'!C2057,'Support - Transition'!E:E,"FIRE")</f>
        <v>0</v>
      </c>
      <c r="I2057" s="126">
        <f>IF(B2057="0",SUMIFS('Support - Transition'!F:F,'Support - Transition'!J:J,'Step 2'!D2057,'Support - Transition'!E:E,"STATE UNIT"),SUMIFS('Support - Transition'!F:F,'Support - Transition'!J:J,'Step 2'!D2057))</f>
        <v>3.2600000000000001E-4</v>
      </c>
      <c r="J2057" s="126">
        <f>SUMIFS('Support - Unit Adjustments'!E:E,'Support - Unit Adjustments'!F:F,'Step 2'!D2057)</f>
        <v>0</v>
      </c>
      <c r="K2057" s="126">
        <f t="shared" si="612"/>
        <v>3.2600000000000001E-4</v>
      </c>
      <c r="L2057" s="174">
        <f>VLOOKUP(A2057,'Step 1'!$A:$E,4,FALSE)</f>
        <v>268161</v>
      </c>
      <c r="M2057" s="47">
        <f t="shared" si="613"/>
        <v>87</v>
      </c>
      <c r="N2057" s="177">
        <f>SUMIFS('Support - Transition'!G:G,'Support - Transition'!J:J,'Step 2'!D2057,'Support - Transition'!E:E,"2009 WELFARE ALLOCATION FACTOR")</f>
        <v>0</v>
      </c>
      <c r="O2057" s="152">
        <f t="shared" si="618"/>
        <v>0</v>
      </c>
      <c r="P2057" s="126">
        <f>IF(E2057="Y",0,SUMIFS('Support - Transition'!G:G,'Support - Transition'!J:J,'Step 2'!D2057,'Support - Transition'!E:E,"2009 SCHOOL ALLOCATION FACTOR"))</f>
        <v>0</v>
      </c>
      <c r="Q2057" s="126">
        <f>IF(E2057="Y",VLOOKUP(D2057,'Support - Unit Adjustments'!F:G,2,FALSE),0)</f>
        <v>0</v>
      </c>
      <c r="R2057" s="155">
        <f t="shared" ref="R2057:R2120" si="630">+P2057+Q2057</f>
        <v>0</v>
      </c>
      <c r="S2057" s="47">
        <f t="shared" si="629"/>
        <v>0</v>
      </c>
      <c r="T2057" s="151">
        <f t="shared" si="614"/>
        <v>87</v>
      </c>
      <c r="U2057" s="151">
        <f t="shared" si="615"/>
        <v>0</v>
      </c>
      <c r="V2057" s="139">
        <f t="shared" si="616"/>
        <v>0</v>
      </c>
      <c r="W2057" s="152">
        <f t="shared" si="619"/>
        <v>87</v>
      </c>
      <c r="X2057" s="127" t="str">
        <f t="shared" si="617"/>
        <v/>
      </c>
      <c r="Y2057" s="207">
        <f t="shared" si="620"/>
        <v>87</v>
      </c>
      <c r="Z2057" s="139">
        <f t="shared" si="621"/>
        <v>87</v>
      </c>
      <c r="AA2057" s="139">
        <f t="shared" si="622"/>
        <v>0</v>
      </c>
      <c r="AC2057" s="47">
        <f t="shared" si="623"/>
        <v>44</v>
      </c>
      <c r="AD2057" s="47">
        <f t="shared" si="624"/>
        <v>44</v>
      </c>
      <c r="AE2057" s="47">
        <f t="shared" si="625"/>
        <v>0</v>
      </c>
      <c r="AG2057" s="47">
        <f t="shared" si="626"/>
        <v>43</v>
      </c>
      <c r="AH2057" s="47">
        <f t="shared" si="627"/>
        <v>43</v>
      </c>
      <c r="AI2057" s="208">
        <f t="shared" si="628"/>
        <v>0</v>
      </c>
    </row>
    <row r="2058" spans="1:35">
      <c r="A2058" t="s">
        <v>2152</v>
      </c>
      <c r="B2058" t="s">
        <v>3155</v>
      </c>
      <c r="C2058" t="s">
        <v>2967</v>
      </c>
      <c r="D2058" t="s">
        <v>5560</v>
      </c>
      <c r="F2058" t="s">
        <v>1501</v>
      </c>
      <c r="G2058" s="126">
        <f>SUMIFS('Support - Transition'!F:F,'Support - Transition'!B:B,'Step 2'!A2058,'Support - Transition'!C:C,'Step 2'!B2058,'Support - Transition'!D:D,'Step 2'!C2058,'Support - Transition'!E:E,"CIVIL")</f>
        <v>0</v>
      </c>
      <c r="H2058" s="126">
        <f>SUMIFS('Support - Transition'!F:F,'Support - Transition'!B:B,'Step 2'!A2058,'Support - Transition'!C:C,'Step 2'!B2058,'Support - Transition'!D:D,'Step 2'!C2058,'Support - Transition'!E:E,"FIRE")</f>
        <v>0</v>
      </c>
      <c r="I2058" s="126">
        <f>IF(B2058="0",SUMIFS('Support - Transition'!F:F,'Support - Transition'!J:J,'Step 2'!D2058,'Support - Transition'!E:E,"STATE UNIT"),SUMIFS('Support - Transition'!F:F,'Support - Transition'!J:J,'Step 2'!D2058))</f>
        <v>1.3356E-2</v>
      </c>
      <c r="J2058" s="126">
        <f>SUMIFS('Support - Unit Adjustments'!E:E,'Support - Unit Adjustments'!F:F,'Step 2'!D2058)</f>
        <v>0</v>
      </c>
      <c r="K2058" s="126">
        <f t="shared" si="612"/>
        <v>1.3356E-2</v>
      </c>
      <c r="L2058" s="174">
        <f>VLOOKUP(A2058,'Step 1'!$A:$E,4,FALSE)</f>
        <v>268161</v>
      </c>
      <c r="M2058" s="47">
        <f t="shared" si="613"/>
        <v>3582</v>
      </c>
      <c r="N2058" s="177">
        <f>SUMIFS('Support - Transition'!G:G,'Support - Transition'!J:J,'Step 2'!D2058,'Support - Transition'!E:E,"2009 WELFARE ALLOCATION FACTOR")</f>
        <v>0</v>
      </c>
      <c r="O2058" s="152">
        <f t="shared" si="618"/>
        <v>0</v>
      </c>
      <c r="P2058" s="126">
        <f>IF(E2058="Y",0,SUMIFS('Support - Transition'!G:G,'Support - Transition'!J:J,'Step 2'!D2058,'Support - Transition'!E:E,"2009 SCHOOL ALLOCATION FACTOR"))</f>
        <v>0</v>
      </c>
      <c r="Q2058" s="126">
        <f>IF(E2058="Y",VLOOKUP(D2058,'Support - Unit Adjustments'!F:G,2,FALSE),0)</f>
        <v>0</v>
      </c>
      <c r="R2058" s="155">
        <f t="shared" si="630"/>
        <v>0</v>
      </c>
      <c r="S2058" s="47">
        <f t="shared" si="629"/>
        <v>0</v>
      </c>
      <c r="T2058" s="151">
        <f t="shared" si="614"/>
        <v>3582</v>
      </c>
      <c r="U2058" s="151">
        <f t="shared" si="615"/>
        <v>0</v>
      </c>
      <c r="V2058" s="139">
        <f t="shared" si="616"/>
        <v>0</v>
      </c>
      <c r="W2058" s="152">
        <f t="shared" si="619"/>
        <v>3582</v>
      </c>
      <c r="X2058" s="127" t="str">
        <f t="shared" si="617"/>
        <v/>
      </c>
      <c r="Y2058" s="207">
        <f t="shared" si="620"/>
        <v>3582</v>
      </c>
      <c r="Z2058" s="139">
        <f t="shared" si="621"/>
        <v>3582</v>
      </c>
      <c r="AA2058" s="139">
        <f t="shared" si="622"/>
        <v>0</v>
      </c>
      <c r="AC2058" s="47">
        <f t="shared" si="623"/>
        <v>1791</v>
      </c>
      <c r="AD2058" s="47">
        <f t="shared" si="624"/>
        <v>1791</v>
      </c>
      <c r="AE2058" s="47">
        <f t="shared" si="625"/>
        <v>0</v>
      </c>
      <c r="AG2058" s="47">
        <f t="shared" si="626"/>
        <v>1791</v>
      </c>
      <c r="AH2058" s="47">
        <f t="shared" si="627"/>
        <v>1791</v>
      </c>
      <c r="AI2058" s="208">
        <f t="shared" si="628"/>
        <v>0</v>
      </c>
    </row>
    <row r="2059" spans="1:35">
      <c r="A2059" t="s">
        <v>2152</v>
      </c>
      <c r="B2059" t="s">
        <v>3155</v>
      </c>
      <c r="C2059" t="s">
        <v>2968</v>
      </c>
      <c r="D2059" t="s">
        <v>5561</v>
      </c>
      <c r="F2059" t="s">
        <v>1502</v>
      </c>
      <c r="G2059" s="126">
        <f>SUMIFS('Support - Transition'!F:F,'Support - Transition'!B:B,'Step 2'!A2059,'Support - Transition'!C:C,'Step 2'!B2059,'Support - Transition'!D:D,'Step 2'!C2059,'Support - Transition'!E:E,"CIVIL")</f>
        <v>0</v>
      </c>
      <c r="H2059" s="126">
        <f>SUMIFS('Support - Transition'!F:F,'Support - Transition'!B:B,'Step 2'!A2059,'Support - Transition'!C:C,'Step 2'!B2059,'Support - Transition'!D:D,'Step 2'!C2059,'Support - Transition'!E:E,"FIRE")</f>
        <v>0</v>
      </c>
      <c r="I2059" s="126">
        <f>IF(B2059="0",SUMIFS('Support - Transition'!F:F,'Support - Transition'!J:J,'Step 2'!D2059,'Support - Transition'!E:E,"STATE UNIT"),SUMIFS('Support - Transition'!F:F,'Support - Transition'!J:J,'Step 2'!D2059))</f>
        <v>7.5960000000000003E-3</v>
      </c>
      <c r="J2059" s="126">
        <f>SUMIFS('Support - Unit Adjustments'!E:E,'Support - Unit Adjustments'!F:F,'Step 2'!D2059)</f>
        <v>0</v>
      </c>
      <c r="K2059" s="126">
        <f t="shared" si="612"/>
        <v>7.5960000000000003E-3</v>
      </c>
      <c r="L2059" s="174">
        <f>VLOOKUP(A2059,'Step 1'!$A:$E,4,FALSE)</f>
        <v>268161</v>
      </c>
      <c r="M2059" s="47">
        <f t="shared" si="613"/>
        <v>2037</v>
      </c>
      <c r="N2059" s="177">
        <f>SUMIFS('Support - Transition'!G:G,'Support - Transition'!J:J,'Step 2'!D2059,'Support - Transition'!E:E,"2009 WELFARE ALLOCATION FACTOR")</f>
        <v>0</v>
      </c>
      <c r="O2059" s="152">
        <f t="shared" si="618"/>
        <v>0</v>
      </c>
      <c r="P2059" s="126">
        <f>IF(E2059="Y",0,SUMIFS('Support - Transition'!G:G,'Support - Transition'!J:J,'Step 2'!D2059,'Support - Transition'!E:E,"2009 SCHOOL ALLOCATION FACTOR"))</f>
        <v>0</v>
      </c>
      <c r="Q2059" s="126">
        <f>IF(E2059="Y",VLOOKUP(D2059,'Support - Unit Adjustments'!F:G,2,FALSE),0)</f>
        <v>0</v>
      </c>
      <c r="R2059" s="155">
        <f t="shared" si="630"/>
        <v>0</v>
      </c>
      <c r="S2059" s="47">
        <f t="shared" si="629"/>
        <v>0</v>
      </c>
      <c r="T2059" s="151">
        <f t="shared" si="614"/>
        <v>2037</v>
      </c>
      <c r="U2059" s="151">
        <f t="shared" si="615"/>
        <v>0</v>
      </c>
      <c r="V2059" s="139">
        <f t="shared" si="616"/>
        <v>0</v>
      </c>
      <c r="W2059" s="152">
        <f t="shared" si="619"/>
        <v>2037</v>
      </c>
      <c r="X2059" s="127" t="str">
        <f t="shared" si="617"/>
        <v/>
      </c>
      <c r="Y2059" s="207">
        <f t="shared" si="620"/>
        <v>2037</v>
      </c>
      <c r="Z2059" s="139">
        <f t="shared" si="621"/>
        <v>2037</v>
      </c>
      <c r="AA2059" s="139">
        <f t="shared" si="622"/>
        <v>0</v>
      </c>
      <c r="AC2059" s="47">
        <f t="shared" si="623"/>
        <v>1019</v>
      </c>
      <c r="AD2059" s="47">
        <f t="shared" si="624"/>
        <v>1019</v>
      </c>
      <c r="AE2059" s="47">
        <f t="shared" si="625"/>
        <v>0</v>
      </c>
      <c r="AG2059" s="47">
        <f t="shared" si="626"/>
        <v>1018</v>
      </c>
      <c r="AH2059" s="47">
        <f t="shared" si="627"/>
        <v>1018</v>
      </c>
      <c r="AI2059" s="208">
        <f t="shared" si="628"/>
        <v>0</v>
      </c>
    </row>
    <row r="2060" spans="1:35">
      <c r="A2060" t="s">
        <v>2152</v>
      </c>
      <c r="B2060" t="s">
        <v>3155</v>
      </c>
      <c r="C2060" t="s">
        <v>2969</v>
      </c>
      <c r="D2060" t="s">
        <v>5562</v>
      </c>
      <c r="F2060" t="s">
        <v>1503</v>
      </c>
      <c r="G2060" s="126">
        <f>SUMIFS('Support - Transition'!F:F,'Support - Transition'!B:B,'Step 2'!A2060,'Support - Transition'!C:C,'Step 2'!B2060,'Support - Transition'!D:D,'Step 2'!C2060,'Support - Transition'!E:E,"CIVIL")</f>
        <v>0</v>
      </c>
      <c r="H2060" s="126">
        <f>SUMIFS('Support - Transition'!F:F,'Support - Transition'!B:B,'Step 2'!A2060,'Support - Transition'!C:C,'Step 2'!B2060,'Support - Transition'!D:D,'Step 2'!C2060,'Support - Transition'!E:E,"FIRE")</f>
        <v>0</v>
      </c>
      <c r="I2060" s="126">
        <f>IF(B2060="0",SUMIFS('Support - Transition'!F:F,'Support - Transition'!J:J,'Step 2'!D2060,'Support - Transition'!E:E,"STATE UNIT"),SUMIFS('Support - Transition'!F:F,'Support - Transition'!J:J,'Step 2'!D2060))</f>
        <v>8.9929999999999993E-3</v>
      </c>
      <c r="J2060" s="126">
        <f>SUMIFS('Support - Unit Adjustments'!E:E,'Support - Unit Adjustments'!F:F,'Step 2'!D2060)</f>
        <v>0</v>
      </c>
      <c r="K2060" s="126">
        <f t="shared" si="612"/>
        <v>8.9929999999999993E-3</v>
      </c>
      <c r="L2060" s="174">
        <f>VLOOKUP(A2060,'Step 1'!$A:$E,4,FALSE)</f>
        <v>268161</v>
      </c>
      <c r="M2060" s="47">
        <f t="shared" si="613"/>
        <v>2412</v>
      </c>
      <c r="N2060" s="177">
        <f>SUMIFS('Support - Transition'!G:G,'Support - Transition'!J:J,'Step 2'!D2060,'Support - Transition'!E:E,"2009 WELFARE ALLOCATION FACTOR")</f>
        <v>0</v>
      </c>
      <c r="O2060" s="152">
        <f t="shared" si="618"/>
        <v>0</v>
      </c>
      <c r="P2060" s="126">
        <f>IF(E2060="Y",0,SUMIFS('Support - Transition'!G:G,'Support - Transition'!J:J,'Step 2'!D2060,'Support - Transition'!E:E,"2009 SCHOOL ALLOCATION FACTOR"))</f>
        <v>0</v>
      </c>
      <c r="Q2060" s="126">
        <f>IF(E2060="Y",VLOOKUP(D2060,'Support - Unit Adjustments'!F:G,2,FALSE),0)</f>
        <v>0</v>
      </c>
      <c r="R2060" s="155">
        <f t="shared" si="630"/>
        <v>0</v>
      </c>
      <c r="S2060" s="47">
        <f t="shared" si="629"/>
        <v>0</v>
      </c>
      <c r="T2060" s="151">
        <f t="shared" si="614"/>
        <v>2412</v>
      </c>
      <c r="U2060" s="151">
        <f t="shared" si="615"/>
        <v>0</v>
      </c>
      <c r="V2060" s="139">
        <f t="shared" si="616"/>
        <v>0</v>
      </c>
      <c r="W2060" s="152">
        <f t="shared" si="619"/>
        <v>2412</v>
      </c>
      <c r="X2060" s="127" t="str">
        <f t="shared" si="617"/>
        <v/>
      </c>
      <c r="Y2060" s="207">
        <f t="shared" si="620"/>
        <v>2412</v>
      </c>
      <c r="Z2060" s="139">
        <f t="shared" si="621"/>
        <v>2412</v>
      </c>
      <c r="AA2060" s="139">
        <f t="shared" si="622"/>
        <v>0</v>
      </c>
      <c r="AC2060" s="47">
        <f t="shared" si="623"/>
        <v>1206</v>
      </c>
      <c r="AD2060" s="47">
        <f t="shared" si="624"/>
        <v>1206</v>
      </c>
      <c r="AE2060" s="47">
        <f t="shared" si="625"/>
        <v>0</v>
      </c>
      <c r="AG2060" s="47">
        <f t="shared" si="626"/>
        <v>1206</v>
      </c>
      <c r="AH2060" s="47">
        <f t="shared" si="627"/>
        <v>1206</v>
      </c>
      <c r="AI2060" s="208">
        <f t="shared" si="628"/>
        <v>0</v>
      </c>
    </row>
    <row r="2061" spans="1:35">
      <c r="A2061" t="s">
        <v>2152</v>
      </c>
      <c r="B2061" t="s">
        <v>3160</v>
      </c>
      <c r="C2061" t="s">
        <v>2587</v>
      </c>
      <c r="D2061" t="s">
        <v>5563</v>
      </c>
      <c r="F2061" t="s">
        <v>768</v>
      </c>
      <c r="G2061" s="126">
        <f>SUMIFS('Support - Transition'!F:F,'Support - Transition'!B:B,'Step 2'!A2061,'Support - Transition'!C:C,'Step 2'!B2061,'Support - Transition'!D:D,'Step 2'!C2061,'Support - Transition'!E:E,"CIVIL")</f>
        <v>0</v>
      </c>
      <c r="H2061" s="126">
        <f>SUMIFS('Support - Transition'!F:F,'Support - Transition'!B:B,'Step 2'!A2061,'Support - Transition'!C:C,'Step 2'!B2061,'Support - Transition'!D:D,'Step 2'!C2061,'Support - Transition'!E:E,"FIRE")</f>
        <v>0</v>
      </c>
      <c r="I2061" s="126">
        <f>IF(B2061="0",SUMIFS('Support - Transition'!F:F,'Support - Transition'!J:J,'Step 2'!D2061,'Support - Transition'!E:E,"STATE UNIT"),SUMIFS('Support - Transition'!F:F,'Support - Transition'!J:J,'Step 2'!D2061))</f>
        <v>0.108417</v>
      </c>
      <c r="J2061" s="126">
        <f>SUMIFS('Support - Unit Adjustments'!E:E,'Support - Unit Adjustments'!F:F,'Step 2'!D2061)</f>
        <v>0</v>
      </c>
      <c r="K2061" s="126">
        <f t="shared" si="612"/>
        <v>0.108417</v>
      </c>
      <c r="L2061" s="174">
        <f>VLOOKUP(A2061,'Step 1'!$A:$E,4,FALSE)</f>
        <v>268161</v>
      </c>
      <c r="M2061" s="47">
        <f t="shared" si="613"/>
        <v>29073</v>
      </c>
      <c r="N2061" s="177">
        <f>SUMIFS('Support - Transition'!G:G,'Support - Transition'!J:J,'Step 2'!D2061,'Support - Transition'!E:E,"2009 WELFARE ALLOCATION FACTOR")</f>
        <v>0</v>
      </c>
      <c r="O2061" s="152">
        <f t="shared" si="618"/>
        <v>0</v>
      </c>
      <c r="P2061" s="126">
        <f>IF(E2061="Y",0,SUMIFS('Support - Transition'!G:G,'Support - Transition'!J:J,'Step 2'!D2061,'Support - Transition'!E:E,"2009 SCHOOL ALLOCATION FACTOR"))</f>
        <v>0.497116</v>
      </c>
      <c r="Q2061" s="126">
        <f>IF(E2061="Y",VLOOKUP(D2061,'Support - Unit Adjustments'!F:G,2,FALSE),0)</f>
        <v>0</v>
      </c>
      <c r="R2061" s="155">
        <f t="shared" si="630"/>
        <v>0.497116</v>
      </c>
      <c r="S2061" s="47">
        <f t="shared" si="629"/>
        <v>14453</v>
      </c>
      <c r="T2061" s="151">
        <f t="shared" si="614"/>
        <v>14620</v>
      </c>
      <c r="U2061" s="151">
        <f t="shared" si="615"/>
        <v>0</v>
      </c>
      <c r="V2061" s="139">
        <f t="shared" si="616"/>
        <v>0</v>
      </c>
      <c r="W2061" s="152">
        <f t="shared" si="619"/>
        <v>14620</v>
      </c>
      <c r="X2061" s="127" t="str">
        <f t="shared" si="617"/>
        <v/>
      </c>
      <c r="Y2061" s="207">
        <f t="shared" si="620"/>
        <v>14620</v>
      </c>
      <c r="Z2061" s="139">
        <f t="shared" si="621"/>
        <v>14620</v>
      </c>
      <c r="AA2061" s="139">
        <f t="shared" si="622"/>
        <v>0</v>
      </c>
      <c r="AC2061" s="47">
        <f t="shared" si="623"/>
        <v>7310</v>
      </c>
      <c r="AD2061" s="47">
        <f t="shared" si="624"/>
        <v>7310</v>
      </c>
      <c r="AE2061" s="47">
        <f t="shared" si="625"/>
        <v>0</v>
      </c>
      <c r="AG2061" s="47">
        <f t="shared" si="626"/>
        <v>7310</v>
      </c>
      <c r="AH2061" s="47">
        <f t="shared" si="627"/>
        <v>7310</v>
      </c>
      <c r="AI2061" s="208">
        <f t="shared" si="628"/>
        <v>0</v>
      </c>
    </row>
    <row r="2062" spans="1:35">
      <c r="A2062" t="s">
        <v>2152</v>
      </c>
      <c r="B2062" t="s">
        <v>3160</v>
      </c>
      <c r="C2062" t="s">
        <v>2970</v>
      </c>
      <c r="D2062" t="s">
        <v>5564</v>
      </c>
      <c r="F2062" t="s">
        <v>1509</v>
      </c>
      <c r="G2062" s="126">
        <f>SUMIFS('Support - Transition'!F:F,'Support - Transition'!B:B,'Step 2'!A2062,'Support - Transition'!C:C,'Step 2'!B2062,'Support - Transition'!D:D,'Step 2'!C2062,'Support - Transition'!E:E,"CIVIL")</f>
        <v>0</v>
      </c>
      <c r="H2062" s="126">
        <f>SUMIFS('Support - Transition'!F:F,'Support - Transition'!B:B,'Step 2'!A2062,'Support - Transition'!C:C,'Step 2'!B2062,'Support - Transition'!D:D,'Step 2'!C2062,'Support - Transition'!E:E,"FIRE")</f>
        <v>0</v>
      </c>
      <c r="I2062" s="126">
        <f>IF(B2062="0",SUMIFS('Support - Transition'!F:F,'Support - Transition'!J:J,'Step 2'!D2062,'Support - Transition'!E:E,"STATE UNIT"),SUMIFS('Support - Transition'!F:F,'Support - Transition'!J:J,'Step 2'!D2062))</f>
        <v>0.11809600000000001</v>
      </c>
      <c r="J2062" s="126">
        <f>SUMIFS('Support - Unit Adjustments'!E:E,'Support - Unit Adjustments'!F:F,'Step 2'!D2062)</f>
        <v>0</v>
      </c>
      <c r="K2062" s="126">
        <f t="shared" si="612"/>
        <v>0.11809600000000001</v>
      </c>
      <c r="L2062" s="174">
        <f>VLOOKUP(A2062,'Step 1'!$A:$E,4,FALSE)</f>
        <v>268161</v>
      </c>
      <c r="M2062" s="47">
        <f t="shared" si="613"/>
        <v>31669</v>
      </c>
      <c r="N2062" s="177">
        <f>SUMIFS('Support - Transition'!G:G,'Support - Transition'!J:J,'Step 2'!D2062,'Support - Transition'!E:E,"2009 WELFARE ALLOCATION FACTOR")</f>
        <v>0</v>
      </c>
      <c r="O2062" s="152">
        <f t="shared" si="618"/>
        <v>0</v>
      </c>
      <c r="P2062" s="126">
        <f>IF(E2062="Y",0,SUMIFS('Support - Transition'!G:G,'Support - Transition'!J:J,'Step 2'!D2062,'Support - Transition'!E:E,"2009 SCHOOL ALLOCATION FACTOR"))</f>
        <v>0.492172</v>
      </c>
      <c r="Q2062" s="126">
        <f>IF(E2062="Y",VLOOKUP(D2062,'Support - Unit Adjustments'!F:G,2,FALSE),0)</f>
        <v>0</v>
      </c>
      <c r="R2062" s="155">
        <f t="shared" si="630"/>
        <v>0.492172</v>
      </c>
      <c r="S2062" s="47">
        <f t="shared" si="629"/>
        <v>15587</v>
      </c>
      <c r="T2062" s="151">
        <f t="shared" si="614"/>
        <v>16082</v>
      </c>
      <c r="U2062" s="151">
        <f t="shared" si="615"/>
        <v>0</v>
      </c>
      <c r="V2062" s="139">
        <f t="shared" si="616"/>
        <v>0</v>
      </c>
      <c r="W2062" s="152">
        <f t="shared" si="619"/>
        <v>16082</v>
      </c>
      <c r="X2062" s="127" t="str">
        <f t="shared" si="617"/>
        <v/>
      </c>
      <c r="Y2062" s="207">
        <f t="shared" si="620"/>
        <v>16082</v>
      </c>
      <c r="Z2062" s="139">
        <f t="shared" si="621"/>
        <v>16082</v>
      </c>
      <c r="AA2062" s="139">
        <f t="shared" si="622"/>
        <v>0</v>
      </c>
      <c r="AC2062" s="47">
        <f t="shared" si="623"/>
        <v>8041</v>
      </c>
      <c r="AD2062" s="47">
        <f t="shared" si="624"/>
        <v>8041</v>
      </c>
      <c r="AE2062" s="47">
        <f t="shared" si="625"/>
        <v>0</v>
      </c>
      <c r="AG2062" s="47">
        <f t="shared" si="626"/>
        <v>8041</v>
      </c>
      <c r="AH2062" s="47">
        <f t="shared" si="627"/>
        <v>8041</v>
      </c>
      <c r="AI2062" s="208">
        <f t="shared" si="628"/>
        <v>0</v>
      </c>
    </row>
    <row r="2063" spans="1:35">
      <c r="A2063" t="s">
        <v>2152</v>
      </c>
      <c r="B2063" t="s">
        <v>3160</v>
      </c>
      <c r="C2063" t="s">
        <v>2971</v>
      </c>
      <c r="D2063" t="s">
        <v>5565</v>
      </c>
      <c r="F2063" t="s">
        <v>1506</v>
      </c>
      <c r="G2063" s="126">
        <f>SUMIFS('Support - Transition'!F:F,'Support - Transition'!B:B,'Step 2'!A2063,'Support - Transition'!C:C,'Step 2'!B2063,'Support - Transition'!D:D,'Step 2'!C2063,'Support - Transition'!E:E,"CIVIL")</f>
        <v>0</v>
      </c>
      <c r="H2063" s="126">
        <f>SUMIFS('Support - Transition'!F:F,'Support - Transition'!B:B,'Step 2'!A2063,'Support - Transition'!C:C,'Step 2'!B2063,'Support - Transition'!D:D,'Step 2'!C2063,'Support - Transition'!E:E,"FIRE")</f>
        <v>0</v>
      </c>
      <c r="I2063" s="126">
        <f>IF(B2063="0",SUMIFS('Support - Transition'!F:F,'Support - Transition'!J:J,'Step 2'!D2063,'Support - Transition'!E:E,"STATE UNIT"),SUMIFS('Support - Transition'!F:F,'Support - Transition'!J:J,'Step 2'!D2063))</f>
        <v>0.16986899999999999</v>
      </c>
      <c r="J2063" s="126">
        <f>SUMIFS('Support - Unit Adjustments'!E:E,'Support - Unit Adjustments'!F:F,'Step 2'!D2063)</f>
        <v>0</v>
      </c>
      <c r="K2063" s="126">
        <f t="shared" si="612"/>
        <v>0.16986899999999999</v>
      </c>
      <c r="L2063" s="174">
        <f>VLOOKUP(A2063,'Step 1'!$A:$E,4,FALSE)</f>
        <v>268161</v>
      </c>
      <c r="M2063" s="47">
        <f t="shared" si="613"/>
        <v>45552</v>
      </c>
      <c r="N2063" s="177">
        <f>SUMIFS('Support - Transition'!G:G,'Support - Transition'!J:J,'Step 2'!D2063,'Support - Transition'!E:E,"2009 WELFARE ALLOCATION FACTOR")</f>
        <v>0</v>
      </c>
      <c r="O2063" s="152">
        <f t="shared" si="618"/>
        <v>0</v>
      </c>
      <c r="P2063" s="126">
        <f>IF(E2063="Y",0,SUMIFS('Support - Transition'!G:G,'Support - Transition'!J:J,'Step 2'!D2063,'Support - Transition'!E:E,"2009 SCHOOL ALLOCATION FACTOR"))</f>
        <v>0.41183599999999998</v>
      </c>
      <c r="Q2063" s="126">
        <f>IF(E2063="Y",VLOOKUP(D2063,'Support - Unit Adjustments'!F:G,2,FALSE),0)</f>
        <v>0</v>
      </c>
      <c r="R2063" s="155">
        <f t="shared" si="630"/>
        <v>0.41183599999999998</v>
      </c>
      <c r="S2063" s="47">
        <f t="shared" si="629"/>
        <v>18760</v>
      </c>
      <c r="T2063" s="151">
        <f t="shared" si="614"/>
        <v>26792</v>
      </c>
      <c r="U2063" s="151">
        <f t="shared" si="615"/>
        <v>0</v>
      </c>
      <c r="V2063" s="139">
        <f t="shared" si="616"/>
        <v>0</v>
      </c>
      <c r="W2063" s="152">
        <f t="shared" si="619"/>
        <v>26792</v>
      </c>
      <c r="X2063" s="127" t="str">
        <f t="shared" si="617"/>
        <v/>
      </c>
      <c r="Y2063" s="207">
        <f t="shared" si="620"/>
        <v>26792</v>
      </c>
      <c r="Z2063" s="139">
        <f t="shared" si="621"/>
        <v>26792</v>
      </c>
      <c r="AA2063" s="139">
        <f t="shared" si="622"/>
        <v>0</v>
      </c>
      <c r="AC2063" s="47">
        <f t="shared" si="623"/>
        <v>13396</v>
      </c>
      <c r="AD2063" s="47">
        <f t="shared" si="624"/>
        <v>13396</v>
      </c>
      <c r="AE2063" s="47">
        <f t="shared" si="625"/>
        <v>0</v>
      </c>
      <c r="AG2063" s="47">
        <f t="shared" si="626"/>
        <v>13396</v>
      </c>
      <c r="AH2063" s="47">
        <f t="shared" si="627"/>
        <v>13396</v>
      </c>
      <c r="AI2063" s="208">
        <f t="shared" si="628"/>
        <v>0</v>
      </c>
    </row>
    <row r="2064" spans="1:35">
      <c r="A2064" t="s">
        <v>2152</v>
      </c>
      <c r="B2064" t="s">
        <v>3160</v>
      </c>
      <c r="C2064" t="s">
        <v>2972</v>
      </c>
      <c r="D2064" t="s">
        <v>5566</v>
      </c>
      <c r="F2064" t="s">
        <v>1507</v>
      </c>
      <c r="G2064" s="126">
        <f>SUMIFS('Support - Transition'!F:F,'Support - Transition'!B:B,'Step 2'!A2064,'Support - Transition'!C:C,'Step 2'!B2064,'Support - Transition'!D:D,'Step 2'!C2064,'Support - Transition'!E:E,"CIVIL")</f>
        <v>0</v>
      </c>
      <c r="H2064" s="126">
        <f>SUMIFS('Support - Transition'!F:F,'Support - Transition'!B:B,'Step 2'!A2064,'Support - Transition'!C:C,'Step 2'!B2064,'Support - Transition'!D:D,'Step 2'!C2064,'Support - Transition'!E:E,"FIRE")</f>
        <v>0</v>
      </c>
      <c r="I2064" s="126">
        <f>IF(B2064="0",SUMIFS('Support - Transition'!F:F,'Support - Transition'!J:J,'Step 2'!D2064,'Support - Transition'!E:E,"STATE UNIT"),SUMIFS('Support - Transition'!F:F,'Support - Transition'!J:J,'Step 2'!D2064))</f>
        <v>0.11630799999999999</v>
      </c>
      <c r="J2064" s="126">
        <f>SUMIFS('Support - Unit Adjustments'!E:E,'Support - Unit Adjustments'!F:F,'Step 2'!D2064)</f>
        <v>0</v>
      </c>
      <c r="K2064" s="126">
        <f t="shared" si="612"/>
        <v>0.11630799999999999</v>
      </c>
      <c r="L2064" s="174">
        <f>VLOOKUP(A2064,'Step 1'!$A:$E,4,FALSE)</f>
        <v>268161</v>
      </c>
      <c r="M2064" s="47">
        <f t="shared" si="613"/>
        <v>31189</v>
      </c>
      <c r="N2064" s="177">
        <f>SUMIFS('Support - Transition'!G:G,'Support - Transition'!J:J,'Step 2'!D2064,'Support - Transition'!E:E,"2009 WELFARE ALLOCATION FACTOR")</f>
        <v>0</v>
      </c>
      <c r="O2064" s="152">
        <f t="shared" si="618"/>
        <v>0</v>
      </c>
      <c r="P2064" s="126">
        <f>IF(E2064="Y",0,SUMIFS('Support - Transition'!G:G,'Support - Transition'!J:J,'Step 2'!D2064,'Support - Transition'!E:E,"2009 SCHOOL ALLOCATION FACTOR"))</f>
        <v>0.48951800000000001</v>
      </c>
      <c r="Q2064" s="126">
        <f>IF(E2064="Y",VLOOKUP(D2064,'Support - Unit Adjustments'!F:G,2,FALSE),0)</f>
        <v>0</v>
      </c>
      <c r="R2064" s="155">
        <f t="shared" si="630"/>
        <v>0.48951800000000001</v>
      </c>
      <c r="S2064" s="47">
        <f t="shared" si="629"/>
        <v>15268</v>
      </c>
      <c r="T2064" s="151">
        <f t="shared" si="614"/>
        <v>15921</v>
      </c>
      <c r="U2064" s="151">
        <f t="shared" si="615"/>
        <v>0</v>
      </c>
      <c r="V2064" s="139">
        <f t="shared" si="616"/>
        <v>0</v>
      </c>
      <c r="W2064" s="152">
        <f t="shared" si="619"/>
        <v>15921</v>
      </c>
      <c r="X2064" s="127" t="str">
        <f t="shared" si="617"/>
        <v/>
      </c>
      <c r="Y2064" s="207">
        <f t="shared" si="620"/>
        <v>15921</v>
      </c>
      <c r="Z2064" s="139">
        <f t="shared" si="621"/>
        <v>15921</v>
      </c>
      <c r="AA2064" s="139">
        <f t="shared" si="622"/>
        <v>0</v>
      </c>
      <c r="AC2064" s="47">
        <f t="shared" si="623"/>
        <v>7961</v>
      </c>
      <c r="AD2064" s="47">
        <f t="shared" si="624"/>
        <v>7961</v>
      </c>
      <c r="AE2064" s="47">
        <f t="shared" si="625"/>
        <v>0</v>
      </c>
      <c r="AG2064" s="47">
        <f t="shared" si="626"/>
        <v>7960</v>
      </c>
      <c r="AH2064" s="47">
        <f t="shared" si="627"/>
        <v>7960</v>
      </c>
      <c r="AI2064" s="208">
        <f t="shared" si="628"/>
        <v>0</v>
      </c>
    </row>
    <row r="2065" spans="1:35">
      <c r="A2065" t="s">
        <v>2152</v>
      </c>
      <c r="B2065" t="s">
        <v>3160</v>
      </c>
      <c r="C2065" t="s">
        <v>2973</v>
      </c>
      <c r="D2065" t="s">
        <v>5567</v>
      </c>
      <c r="F2065" t="s">
        <v>1508</v>
      </c>
      <c r="G2065" s="126">
        <f>SUMIFS('Support - Transition'!F:F,'Support - Transition'!B:B,'Step 2'!A2065,'Support - Transition'!C:C,'Step 2'!B2065,'Support - Transition'!D:D,'Step 2'!C2065,'Support - Transition'!E:E,"CIVIL")</f>
        <v>0</v>
      </c>
      <c r="H2065" s="126">
        <f>SUMIFS('Support - Transition'!F:F,'Support - Transition'!B:B,'Step 2'!A2065,'Support - Transition'!C:C,'Step 2'!B2065,'Support - Transition'!D:D,'Step 2'!C2065,'Support - Transition'!E:E,"FIRE")</f>
        <v>0</v>
      </c>
      <c r="I2065" s="126">
        <f>IF(B2065="0",SUMIFS('Support - Transition'!F:F,'Support - Transition'!J:J,'Step 2'!D2065,'Support - Transition'!E:E,"STATE UNIT"),SUMIFS('Support - Transition'!F:F,'Support - Transition'!J:J,'Step 2'!D2065))</f>
        <v>6.3436999999999993E-2</v>
      </c>
      <c r="J2065" s="126">
        <f>SUMIFS('Support - Unit Adjustments'!E:E,'Support - Unit Adjustments'!F:F,'Step 2'!D2065)</f>
        <v>0</v>
      </c>
      <c r="K2065" s="126">
        <f t="shared" si="612"/>
        <v>6.3436999999999993E-2</v>
      </c>
      <c r="L2065" s="174">
        <f>VLOOKUP(A2065,'Step 1'!$A:$E,4,FALSE)</f>
        <v>268161</v>
      </c>
      <c r="M2065" s="47">
        <f t="shared" si="613"/>
        <v>17011</v>
      </c>
      <c r="N2065" s="177">
        <f>SUMIFS('Support - Transition'!G:G,'Support - Transition'!J:J,'Step 2'!D2065,'Support - Transition'!E:E,"2009 WELFARE ALLOCATION FACTOR")</f>
        <v>0</v>
      </c>
      <c r="O2065" s="152">
        <f t="shared" si="618"/>
        <v>0</v>
      </c>
      <c r="P2065" s="126">
        <f>IF(E2065="Y",0,SUMIFS('Support - Transition'!G:G,'Support - Transition'!J:J,'Step 2'!D2065,'Support - Transition'!E:E,"2009 SCHOOL ALLOCATION FACTOR"))</f>
        <v>0.44630300000000001</v>
      </c>
      <c r="Q2065" s="126">
        <f>IF(E2065="Y",VLOOKUP(D2065,'Support - Unit Adjustments'!F:G,2,FALSE),0)</f>
        <v>0</v>
      </c>
      <c r="R2065" s="155">
        <f t="shared" si="630"/>
        <v>0.44630300000000001</v>
      </c>
      <c r="S2065" s="47">
        <f t="shared" si="629"/>
        <v>7592</v>
      </c>
      <c r="T2065" s="151">
        <f t="shared" si="614"/>
        <v>9419</v>
      </c>
      <c r="U2065" s="151">
        <f t="shared" si="615"/>
        <v>0</v>
      </c>
      <c r="V2065" s="139">
        <f t="shared" si="616"/>
        <v>0</v>
      </c>
      <c r="W2065" s="152">
        <f t="shared" si="619"/>
        <v>9419</v>
      </c>
      <c r="X2065" s="127" t="str">
        <f t="shared" si="617"/>
        <v/>
      </c>
      <c r="Y2065" s="207">
        <f t="shared" si="620"/>
        <v>9419</v>
      </c>
      <c r="Z2065" s="139">
        <f t="shared" si="621"/>
        <v>9419</v>
      </c>
      <c r="AA2065" s="139">
        <f t="shared" si="622"/>
        <v>0</v>
      </c>
      <c r="AC2065" s="47">
        <f t="shared" si="623"/>
        <v>4710</v>
      </c>
      <c r="AD2065" s="47">
        <f t="shared" si="624"/>
        <v>4710</v>
      </c>
      <c r="AE2065" s="47">
        <f t="shared" si="625"/>
        <v>0</v>
      </c>
      <c r="AG2065" s="47">
        <f t="shared" si="626"/>
        <v>4709</v>
      </c>
      <c r="AH2065" s="47">
        <f t="shared" si="627"/>
        <v>4709</v>
      </c>
      <c r="AI2065" s="208">
        <f t="shared" si="628"/>
        <v>0</v>
      </c>
    </row>
    <row r="2066" spans="1:35">
      <c r="A2066" t="s">
        <v>2152</v>
      </c>
      <c r="B2066" t="s">
        <v>3166</v>
      </c>
      <c r="C2066" t="s">
        <v>2974</v>
      </c>
      <c r="D2066" t="s">
        <v>5568</v>
      </c>
      <c r="F2066" t="s">
        <v>1510</v>
      </c>
      <c r="G2066" s="126">
        <f>SUMIFS('Support - Transition'!F:F,'Support - Transition'!B:B,'Step 2'!A2066,'Support - Transition'!C:C,'Step 2'!B2066,'Support - Transition'!D:D,'Step 2'!C2066,'Support - Transition'!E:E,"CIVIL")</f>
        <v>0</v>
      </c>
      <c r="H2066" s="126">
        <f>SUMIFS('Support - Transition'!F:F,'Support - Transition'!B:B,'Step 2'!A2066,'Support - Transition'!C:C,'Step 2'!B2066,'Support - Transition'!D:D,'Step 2'!C2066,'Support - Transition'!E:E,"FIRE")</f>
        <v>0</v>
      </c>
      <c r="I2066" s="126">
        <f>IF(B2066="0",SUMIFS('Support - Transition'!F:F,'Support - Transition'!J:J,'Step 2'!D2066,'Support - Transition'!E:E,"STATE UNIT"),SUMIFS('Support - Transition'!F:F,'Support - Transition'!J:J,'Step 2'!D2066))</f>
        <v>3.0000000000000001E-6</v>
      </c>
      <c r="J2066" s="126">
        <f>SUMIFS('Support - Unit Adjustments'!E:E,'Support - Unit Adjustments'!F:F,'Step 2'!D2066)</f>
        <v>0</v>
      </c>
      <c r="K2066" s="126">
        <f t="shared" si="612"/>
        <v>3.0000000000000001E-6</v>
      </c>
      <c r="L2066" s="174">
        <f>VLOOKUP(A2066,'Step 1'!$A:$E,4,FALSE)</f>
        <v>268161</v>
      </c>
      <c r="M2066" s="47">
        <f t="shared" si="613"/>
        <v>1</v>
      </c>
      <c r="N2066" s="177">
        <f>SUMIFS('Support - Transition'!G:G,'Support - Transition'!J:J,'Step 2'!D2066,'Support - Transition'!E:E,"2009 WELFARE ALLOCATION FACTOR")</f>
        <v>0</v>
      </c>
      <c r="O2066" s="152">
        <f t="shared" si="618"/>
        <v>0</v>
      </c>
      <c r="P2066" s="126">
        <f>IF(E2066="Y",0,SUMIFS('Support - Transition'!G:G,'Support - Transition'!J:J,'Step 2'!D2066,'Support - Transition'!E:E,"2009 SCHOOL ALLOCATION FACTOR"))</f>
        <v>0</v>
      </c>
      <c r="Q2066" s="126">
        <f>IF(E2066="Y",VLOOKUP(D2066,'Support - Unit Adjustments'!F:G,2,FALSE),0)</f>
        <v>0</v>
      </c>
      <c r="R2066" s="155">
        <f t="shared" si="630"/>
        <v>0</v>
      </c>
      <c r="S2066" s="47">
        <f t="shared" si="629"/>
        <v>0</v>
      </c>
      <c r="T2066" s="151">
        <f t="shared" si="614"/>
        <v>1</v>
      </c>
      <c r="U2066" s="151">
        <f t="shared" si="615"/>
        <v>0</v>
      </c>
      <c r="V2066" s="139">
        <f t="shared" si="616"/>
        <v>0</v>
      </c>
      <c r="W2066" s="152">
        <f t="shared" si="619"/>
        <v>1</v>
      </c>
      <c r="X2066" s="127" t="str">
        <f t="shared" si="617"/>
        <v/>
      </c>
      <c r="Y2066" s="207">
        <f t="shared" si="620"/>
        <v>1</v>
      </c>
      <c r="Z2066" s="139">
        <f t="shared" si="621"/>
        <v>1</v>
      </c>
      <c r="AA2066" s="139">
        <f t="shared" si="622"/>
        <v>0</v>
      </c>
      <c r="AC2066" s="47">
        <f t="shared" si="623"/>
        <v>1</v>
      </c>
      <c r="AD2066" s="47">
        <f t="shared" si="624"/>
        <v>1</v>
      </c>
      <c r="AE2066" s="47">
        <f t="shared" si="625"/>
        <v>0</v>
      </c>
      <c r="AG2066" s="47">
        <f t="shared" si="626"/>
        <v>0</v>
      </c>
      <c r="AH2066" s="47">
        <f t="shared" si="627"/>
        <v>0</v>
      </c>
      <c r="AI2066" s="208">
        <f t="shared" si="628"/>
        <v>0</v>
      </c>
    </row>
    <row r="2067" spans="1:35">
      <c r="A2067" t="s">
        <v>2152</v>
      </c>
      <c r="B2067" t="s">
        <v>3166</v>
      </c>
      <c r="C2067" t="s">
        <v>2975</v>
      </c>
      <c r="D2067" t="s">
        <v>5569</v>
      </c>
      <c r="F2067" t="s">
        <v>1511</v>
      </c>
      <c r="G2067" s="126">
        <f>SUMIFS('Support - Transition'!F:F,'Support - Transition'!B:B,'Step 2'!A2067,'Support - Transition'!C:C,'Step 2'!B2067,'Support - Transition'!D:D,'Step 2'!C2067,'Support - Transition'!E:E,"CIVIL")</f>
        <v>0</v>
      </c>
      <c r="H2067" s="126">
        <f>SUMIFS('Support - Transition'!F:F,'Support - Transition'!B:B,'Step 2'!A2067,'Support - Transition'!C:C,'Step 2'!B2067,'Support - Transition'!D:D,'Step 2'!C2067,'Support - Transition'!E:E,"FIRE")</f>
        <v>0</v>
      </c>
      <c r="I2067" s="126">
        <f>IF(B2067="0",SUMIFS('Support - Transition'!F:F,'Support - Transition'!J:J,'Step 2'!D2067,'Support - Transition'!E:E,"STATE UNIT"),SUMIFS('Support - Transition'!F:F,'Support - Transition'!J:J,'Step 2'!D2067))</f>
        <v>8.0199999999999998E-4</v>
      </c>
      <c r="J2067" s="126">
        <f>SUMIFS('Support - Unit Adjustments'!E:E,'Support - Unit Adjustments'!F:F,'Step 2'!D2067)</f>
        <v>0</v>
      </c>
      <c r="K2067" s="126">
        <f t="shared" si="612"/>
        <v>8.0199999999999998E-4</v>
      </c>
      <c r="L2067" s="174">
        <f>VLOOKUP(A2067,'Step 1'!$A:$E,4,FALSE)</f>
        <v>268161</v>
      </c>
      <c r="M2067" s="47">
        <f t="shared" si="613"/>
        <v>215</v>
      </c>
      <c r="N2067" s="177">
        <f>SUMIFS('Support - Transition'!G:G,'Support - Transition'!J:J,'Step 2'!D2067,'Support - Transition'!E:E,"2009 WELFARE ALLOCATION FACTOR")</f>
        <v>0</v>
      </c>
      <c r="O2067" s="152">
        <f t="shared" si="618"/>
        <v>0</v>
      </c>
      <c r="P2067" s="126">
        <f>IF(E2067="Y",0,SUMIFS('Support - Transition'!G:G,'Support - Transition'!J:J,'Step 2'!D2067,'Support - Transition'!E:E,"2009 SCHOOL ALLOCATION FACTOR"))</f>
        <v>0</v>
      </c>
      <c r="Q2067" s="126">
        <f>IF(E2067="Y",VLOOKUP(D2067,'Support - Unit Adjustments'!F:G,2,FALSE),0)</f>
        <v>0</v>
      </c>
      <c r="R2067" s="155">
        <f t="shared" si="630"/>
        <v>0</v>
      </c>
      <c r="S2067" s="47">
        <f t="shared" si="629"/>
        <v>0</v>
      </c>
      <c r="T2067" s="151">
        <f t="shared" si="614"/>
        <v>215</v>
      </c>
      <c r="U2067" s="151">
        <f t="shared" si="615"/>
        <v>0</v>
      </c>
      <c r="V2067" s="139">
        <f t="shared" si="616"/>
        <v>0</v>
      </c>
      <c r="W2067" s="152">
        <f t="shared" si="619"/>
        <v>215</v>
      </c>
      <c r="X2067" s="127" t="str">
        <f t="shared" si="617"/>
        <v/>
      </c>
      <c r="Y2067" s="207">
        <f t="shared" si="620"/>
        <v>215</v>
      </c>
      <c r="Z2067" s="139">
        <f t="shared" si="621"/>
        <v>215</v>
      </c>
      <c r="AA2067" s="139">
        <f t="shared" si="622"/>
        <v>0</v>
      </c>
      <c r="AC2067" s="47">
        <f t="shared" si="623"/>
        <v>108</v>
      </c>
      <c r="AD2067" s="47">
        <f t="shared" si="624"/>
        <v>108</v>
      </c>
      <c r="AE2067" s="47">
        <f t="shared" si="625"/>
        <v>0</v>
      </c>
      <c r="AG2067" s="47">
        <f t="shared" si="626"/>
        <v>107</v>
      </c>
      <c r="AH2067" s="47">
        <f t="shared" si="627"/>
        <v>107</v>
      </c>
      <c r="AI2067" s="208">
        <f t="shared" si="628"/>
        <v>0</v>
      </c>
    </row>
    <row r="2068" spans="1:35">
      <c r="A2068" t="s">
        <v>2152</v>
      </c>
      <c r="B2068" t="s">
        <v>3166</v>
      </c>
      <c r="C2068" t="s">
        <v>2976</v>
      </c>
      <c r="D2068" t="s">
        <v>5570</v>
      </c>
      <c r="F2068" t="s">
        <v>1512</v>
      </c>
      <c r="G2068" s="126">
        <f>SUMIFS('Support - Transition'!F:F,'Support - Transition'!B:B,'Step 2'!A2068,'Support - Transition'!C:C,'Step 2'!B2068,'Support - Transition'!D:D,'Step 2'!C2068,'Support - Transition'!E:E,"CIVIL")</f>
        <v>0</v>
      </c>
      <c r="H2068" s="126">
        <f>SUMIFS('Support - Transition'!F:F,'Support - Transition'!B:B,'Step 2'!A2068,'Support - Transition'!C:C,'Step 2'!B2068,'Support - Transition'!D:D,'Step 2'!C2068,'Support - Transition'!E:E,"FIRE")</f>
        <v>0</v>
      </c>
      <c r="I2068" s="126">
        <f>IF(B2068="0",SUMIFS('Support - Transition'!F:F,'Support - Transition'!J:J,'Step 2'!D2068,'Support - Transition'!E:E,"STATE UNIT"),SUMIFS('Support - Transition'!F:F,'Support - Transition'!J:J,'Step 2'!D2068))</f>
        <v>1.7570000000000001E-3</v>
      </c>
      <c r="J2068" s="126">
        <f>SUMIFS('Support - Unit Adjustments'!E:E,'Support - Unit Adjustments'!F:F,'Step 2'!D2068)</f>
        <v>0</v>
      </c>
      <c r="K2068" s="126">
        <f t="shared" si="612"/>
        <v>1.7570000000000001E-3</v>
      </c>
      <c r="L2068" s="174">
        <f>VLOOKUP(A2068,'Step 1'!$A:$E,4,FALSE)</f>
        <v>268161</v>
      </c>
      <c r="M2068" s="47">
        <f t="shared" si="613"/>
        <v>471</v>
      </c>
      <c r="N2068" s="177">
        <f>SUMIFS('Support - Transition'!G:G,'Support - Transition'!J:J,'Step 2'!D2068,'Support - Transition'!E:E,"2009 WELFARE ALLOCATION FACTOR")</f>
        <v>0</v>
      </c>
      <c r="O2068" s="152">
        <f t="shared" si="618"/>
        <v>0</v>
      </c>
      <c r="P2068" s="126">
        <f>IF(E2068="Y",0,SUMIFS('Support - Transition'!G:G,'Support - Transition'!J:J,'Step 2'!D2068,'Support - Transition'!E:E,"2009 SCHOOL ALLOCATION FACTOR"))</f>
        <v>0</v>
      </c>
      <c r="Q2068" s="126">
        <f>IF(E2068="Y",VLOOKUP(D2068,'Support - Unit Adjustments'!F:G,2,FALSE),0)</f>
        <v>0</v>
      </c>
      <c r="R2068" s="155">
        <f t="shared" si="630"/>
        <v>0</v>
      </c>
      <c r="S2068" s="47">
        <f t="shared" si="629"/>
        <v>0</v>
      </c>
      <c r="T2068" s="151">
        <f t="shared" si="614"/>
        <v>471</v>
      </c>
      <c r="U2068" s="151">
        <f t="shared" si="615"/>
        <v>0</v>
      </c>
      <c r="V2068" s="139">
        <f t="shared" si="616"/>
        <v>0</v>
      </c>
      <c r="W2068" s="152">
        <f t="shared" si="619"/>
        <v>471</v>
      </c>
      <c r="X2068" s="127" t="str">
        <f t="shared" si="617"/>
        <v/>
      </c>
      <c r="Y2068" s="207">
        <f t="shared" si="620"/>
        <v>471</v>
      </c>
      <c r="Z2068" s="139">
        <f t="shared" si="621"/>
        <v>471</v>
      </c>
      <c r="AA2068" s="139">
        <f t="shared" si="622"/>
        <v>0</v>
      </c>
      <c r="AC2068" s="47">
        <f t="shared" si="623"/>
        <v>236</v>
      </c>
      <c r="AD2068" s="47">
        <f t="shared" si="624"/>
        <v>236</v>
      </c>
      <c r="AE2068" s="47">
        <f t="shared" si="625"/>
        <v>0</v>
      </c>
      <c r="AG2068" s="47">
        <f t="shared" si="626"/>
        <v>235</v>
      </c>
      <c r="AH2068" s="47">
        <f t="shared" si="627"/>
        <v>235</v>
      </c>
      <c r="AI2068" s="208">
        <f t="shared" si="628"/>
        <v>0</v>
      </c>
    </row>
    <row r="2069" spans="1:35">
      <c r="A2069" t="s">
        <v>2152</v>
      </c>
      <c r="B2069" t="s">
        <v>3166</v>
      </c>
      <c r="C2069" t="s">
        <v>2977</v>
      </c>
      <c r="D2069" t="s">
        <v>5571</v>
      </c>
      <c r="F2069" t="s">
        <v>1513</v>
      </c>
      <c r="G2069" s="126">
        <f>SUMIFS('Support - Transition'!F:F,'Support - Transition'!B:B,'Step 2'!A2069,'Support - Transition'!C:C,'Step 2'!B2069,'Support - Transition'!D:D,'Step 2'!C2069,'Support - Transition'!E:E,"CIVIL")</f>
        <v>0</v>
      </c>
      <c r="H2069" s="126">
        <f>SUMIFS('Support - Transition'!F:F,'Support - Transition'!B:B,'Step 2'!A2069,'Support - Transition'!C:C,'Step 2'!B2069,'Support - Transition'!D:D,'Step 2'!C2069,'Support - Transition'!E:E,"FIRE")</f>
        <v>0</v>
      </c>
      <c r="I2069" s="126">
        <f>IF(B2069="0",SUMIFS('Support - Transition'!F:F,'Support - Transition'!J:J,'Step 2'!D2069,'Support - Transition'!E:E,"STATE UNIT"),SUMIFS('Support - Transition'!F:F,'Support - Transition'!J:J,'Step 2'!D2069))</f>
        <v>6.9720000000003113E-3</v>
      </c>
      <c r="J2069" s="126">
        <f>SUMIFS('Support - Unit Adjustments'!E:E,'Support - Unit Adjustments'!F:F,'Step 2'!D2069)</f>
        <v>0</v>
      </c>
      <c r="K2069" s="126">
        <f t="shared" si="612"/>
        <v>6.9720000000003113E-3</v>
      </c>
      <c r="L2069" s="174">
        <f>VLOOKUP(A2069,'Step 1'!$A:$E,4,FALSE)</f>
        <v>268161</v>
      </c>
      <c r="M2069" s="47">
        <f t="shared" si="613"/>
        <v>1870</v>
      </c>
      <c r="N2069" s="177">
        <f>SUMIFS('Support - Transition'!G:G,'Support - Transition'!J:J,'Step 2'!D2069,'Support - Transition'!E:E,"2009 WELFARE ALLOCATION FACTOR")</f>
        <v>0</v>
      </c>
      <c r="O2069" s="152">
        <f t="shared" si="618"/>
        <v>0</v>
      </c>
      <c r="P2069" s="126">
        <f>IF(E2069="Y",0,SUMIFS('Support - Transition'!G:G,'Support - Transition'!J:J,'Step 2'!D2069,'Support - Transition'!E:E,"2009 SCHOOL ALLOCATION FACTOR"))</f>
        <v>0</v>
      </c>
      <c r="Q2069" s="126">
        <f>IF(E2069="Y",VLOOKUP(D2069,'Support - Unit Adjustments'!F:G,2,FALSE),0)</f>
        <v>0</v>
      </c>
      <c r="R2069" s="155">
        <f t="shared" si="630"/>
        <v>0</v>
      </c>
      <c r="S2069" s="47">
        <f t="shared" si="629"/>
        <v>0</v>
      </c>
      <c r="T2069" s="151">
        <f t="shared" si="614"/>
        <v>1870</v>
      </c>
      <c r="U2069" s="151">
        <f t="shared" si="615"/>
        <v>0</v>
      </c>
      <c r="V2069" s="139">
        <f t="shared" si="616"/>
        <v>0</v>
      </c>
      <c r="W2069" s="152">
        <f t="shared" si="619"/>
        <v>1870</v>
      </c>
      <c r="X2069" s="127" t="str">
        <f t="shared" si="617"/>
        <v/>
      </c>
      <c r="Y2069" s="207">
        <f t="shared" si="620"/>
        <v>1870</v>
      </c>
      <c r="Z2069" s="139">
        <f t="shared" si="621"/>
        <v>1870</v>
      </c>
      <c r="AA2069" s="139">
        <f t="shared" si="622"/>
        <v>0</v>
      </c>
      <c r="AC2069" s="47">
        <f t="shared" si="623"/>
        <v>935</v>
      </c>
      <c r="AD2069" s="47">
        <f t="shared" si="624"/>
        <v>935</v>
      </c>
      <c r="AE2069" s="47">
        <f t="shared" si="625"/>
        <v>0</v>
      </c>
      <c r="AG2069" s="47">
        <f t="shared" si="626"/>
        <v>935</v>
      </c>
      <c r="AH2069" s="47">
        <f t="shared" si="627"/>
        <v>935</v>
      </c>
      <c r="AI2069" s="208">
        <f t="shared" si="628"/>
        <v>0</v>
      </c>
    </row>
    <row r="2070" spans="1:35">
      <c r="A2070" t="s">
        <v>2152</v>
      </c>
      <c r="B2070" t="s">
        <v>3166</v>
      </c>
      <c r="C2070" t="s">
        <v>5572</v>
      </c>
      <c r="D2070" t="s">
        <v>5573</v>
      </c>
      <c r="F2070" t="s">
        <v>738</v>
      </c>
      <c r="G2070" s="126">
        <f>SUMIFS('Support - Transition'!F:F,'Support - Transition'!B:B,'Step 2'!A2070,'Support - Transition'!C:C,'Step 2'!B2070,'Support - Transition'!D:D,'Step 2'!C2070,'Support - Transition'!E:E,"CIVIL")</f>
        <v>0</v>
      </c>
      <c r="H2070" s="126">
        <f>SUMIFS('Support - Transition'!F:F,'Support - Transition'!B:B,'Step 2'!A2070,'Support - Transition'!C:C,'Step 2'!B2070,'Support - Transition'!D:D,'Step 2'!C2070,'Support - Transition'!E:E,"FIRE")</f>
        <v>0</v>
      </c>
      <c r="I2070" s="126">
        <f>IF(B2070="0",SUMIFS('Support - Transition'!F:F,'Support - Transition'!J:J,'Step 2'!D2070,'Support - Transition'!E:E,"STATE UNIT"),SUMIFS('Support - Transition'!F:F,'Support - Transition'!J:J,'Step 2'!D2070))</f>
        <v>3.8809999999999999E-3</v>
      </c>
      <c r="J2070" s="126">
        <f>SUMIFS('Support - Unit Adjustments'!E:E,'Support - Unit Adjustments'!F:F,'Step 2'!D2070)</f>
        <v>0</v>
      </c>
      <c r="K2070" s="126">
        <f t="shared" si="612"/>
        <v>3.8809999999999999E-3</v>
      </c>
      <c r="L2070" s="174">
        <f>VLOOKUP(A2070,'Step 1'!$A:$E,4,FALSE)</f>
        <v>268161</v>
      </c>
      <c r="M2070" s="47">
        <f t="shared" si="613"/>
        <v>1041</v>
      </c>
      <c r="N2070" s="177">
        <f>SUMIFS('Support - Transition'!G:G,'Support - Transition'!J:J,'Step 2'!D2070,'Support - Transition'!E:E,"2009 WELFARE ALLOCATION FACTOR")</f>
        <v>0</v>
      </c>
      <c r="O2070" s="152">
        <f t="shared" si="618"/>
        <v>0</v>
      </c>
      <c r="P2070" s="126">
        <f>IF(E2070="Y",0,SUMIFS('Support - Transition'!G:G,'Support - Transition'!J:J,'Step 2'!D2070,'Support - Transition'!E:E,"2009 SCHOOL ALLOCATION FACTOR"))</f>
        <v>0</v>
      </c>
      <c r="Q2070" s="126">
        <f>IF(E2070="Y",VLOOKUP(D2070,'Support - Unit Adjustments'!F:G,2,FALSE),0)</f>
        <v>0</v>
      </c>
      <c r="R2070" s="155">
        <f t="shared" si="630"/>
        <v>0</v>
      </c>
      <c r="S2070" s="47">
        <f t="shared" si="629"/>
        <v>0</v>
      </c>
      <c r="T2070" s="151">
        <f t="shared" si="614"/>
        <v>1041</v>
      </c>
      <c r="U2070" s="151">
        <f t="shared" si="615"/>
        <v>0</v>
      </c>
      <c r="V2070" s="139">
        <f t="shared" si="616"/>
        <v>0</v>
      </c>
      <c r="W2070" s="152">
        <f t="shared" si="619"/>
        <v>1041</v>
      </c>
      <c r="X2070" s="127" t="str">
        <f t="shared" si="617"/>
        <v/>
      </c>
      <c r="Y2070" s="207">
        <f t="shared" si="620"/>
        <v>1041</v>
      </c>
      <c r="Z2070" s="139">
        <f t="shared" si="621"/>
        <v>1041</v>
      </c>
      <c r="AA2070" s="139">
        <f t="shared" si="622"/>
        <v>0</v>
      </c>
      <c r="AC2070" s="47">
        <f t="shared" si="623"/>
        <v>521</v>
      </c>
      <c r="AD2070" s="47">
        <f t="shared" si="624"/>
        <v>521</v>
      </c>
      <c r="AE2070" s="47">
        <f t="shared" si="625"/>
        <v>0</v>
      </c>
      <c r="AG2070" s="47">
        <f t="shared" si="626"/>
        <v>520</v>
      </c>
      <c r="AH2070" s="47">
        <f t="shared" si="627"/>
        <v>520</v>
      </c>
      <c r="AI2070" s="208">
        <f t="shared" si="628"/>
        <v>0</v>
      </c>
    </row>
    <row r="2071" spans="1:35">
      <c r="A2071" t="s">
        <v>2152</v>
      </c>
      <c r="B2071" t="s">
        <v>3170</v>
      </c>
      <c r="C2071" t="s">
        <v>2978</v>
      </c>
      <c r="D2071" t="s">
        <v>5574</v>
      </c>
      <c r="F2071" t="s">
        <v>1514</v>
      </c>
      <c r="G2071" s="126">
        <f>SUMIFS('Support - Transition'!F:F,'Support - Transition'!B:B,'Step 2'!A2071,'Support - Transition'!C:C,'Step 2'!B2071,'Support - Transition'!D:D,'Step 2'!C2071,'Support - Transition'!E:E,"CIVIL")</f>
        <v>0</v>
      </c>
      <c r="H2071" s="126">
        <f>SUMIFS('Support - Transition'!F:F,'Support - Transition'!B:B,'Step 2'!A2071,'Support - Transition'!C:C,'Step 2'!B2071,'Support - Transition'!D:D,'Step 2'!C2071,'Support - Transition'!E:E,"FIRE")</f>
        <v>0</v>
      </c>
      <c r="I2071" s="126">
        <f>IF(B2071="0",SUMIFS('Support - Transition'!F:F,'Support - Transition'!J:J,'Step 2'!D2071,'Support - Transition'!E:E,"STATE UNIT"),SUMIFS('Support - Transition'!F:F,'Support - Transition'!J:J,'Step 2'!D2071))</f>
        <v>0</v>
      </c>
      <c r="J2071" s="126">
        <f>SUMIFS('Support - Unit Adjustments'!E:E,'Support - Unit Adjustments'!F:F,'Step 2'!D2071)</f>
        <v>0</v>
      </c>
      <c r="K2071" s="126">
        <f t="shared" si="612"/>
        <v>0</v>
      </c>
      <c r="L2071" s="174">
        <f>VLOOKUP(A2071,'Step 1'!$A:$E,4,FALSE)</f>
        <v>268161</v>
      </c>
      <c r="M2071" s="47">
        <f t="shared" si="613"/>
        <v>0</v>
      </c>
      <c r="N2071" s="177">
        <f>SUMIFS('Support - Transition'!G:G,'Support - Transition'!J:J,'Step 2'!D2071,'Support - Transition'!E:E,"2009 WELFARE ALLOCATION FACTOR")</f>
        <v>0</v>
      </c>
      <c r="O2071" s="152">
        <f t="shared" si="618"/>
        <v>0</v>
      </c>
      <c r="P2071" s="126">
        <f>IF(E2071="Y",0,SUMIFS('Support - Transition'!G:G,'Support - Transition'!J:J,'Step 2'!D2071,'Support - Transition'!E:E,"2009 SCHOOL ALLOCATION FACTOR"))</f>
        <v>0</v>
      </c>
      <c r="Q2071" s="126">
        <f>IF(E2071="Y",VLOOKUP(D2071,'Support - Unit Adjustments'!F:G,2,FALSE),0)</f>
        <v>0</v>
      </c>
      <c r="R2071" s="155">
        <f t="shared" si="630"/>
        <v>0</v>
      </c>
      <c r="S2071" s="47">
        <f t="shared" si="629"/>
        <v>0</v>
      </c>
      <c r="T2071" s="151">
        <f t="shared" si="614"/>
        <v>0</v>
      </c>
      <c r="U2071" s="151">
        <f t="shared" si="615"/>
        <v>0</v>
      </c>
      <c r="V2071" s="139">
        <f t="shared" si="616"/>
        <v>0</v>
      </c>
      <c r="W2071" s="152">
        <f t="shared" si="619"/>
        <v>0</v>
      </c>
      <c r="X2071" s="127" t="str">
        <f t="shared" si="617"/>
        <v/>
      </c>
      <c r="Y2071" s="207">
        <f t="shared" si="620"/>
        <v>0</v>
      </c>
      <c r="Z2071" s="139">
        <f t="shared" si="621"/>
        <v>0</v>
      </c>
      <c r="AA2071" s="139">
        <f t="shared" si="622"/>
        <v>0</v>
      </c>
      <c r="AC2071" s="47">
        <f t="shared" si="623"/>
        <v>0</v>
      </c>
      <c r="AD2071" s="47">
        <f t="shared" si="624"/>
        <v>0</v>
      </c>
      <c r="AE2071" s="47">
        <f t="shared" si="625"/>
        <v>0</v>
      </c>
      <c r="AG2071" s="47">
        <f t="shared" si="626"/>
        <v>0</v>
      </c>
      <c r="AH2071" s="47">
        <f t="shared" si="627"/>
        <v>0</v>
      </c>
      <c r="AI2071" s="208">
        <f t="shared" si="628"/>
        <v>0</v>
      </c>
    </row>
    <row r="2072" spans="1:35">
      <c r="A2072" t="s">
        <v>2153</v>
      </c>
      <c r="B2072" s="48" t="s">
        <v>6274</v>
      </c>
      <c r="C2072" t="s">
        <v>2187</v>
      </c>
      <c r="D2072" t="str">
        <f>A2072&amp;B2072&amp;C2072</f>
        <v>6900000</v>
      </c>
      <c r="F2072" t="s">
        <v>6343</v>
      </c>
      <c r="G2072" s="126">
        <f>SUMIFS('Support - Transition'!F:F,'Support - Transition'!B:B,'Step 2'!A2072,'Support - Transition'!C:C,'Step 2'!B2072,'Support - Transition'!D:D,'Step 2'!C2072,'Support - Transition'!E:E,"CIVIL")</f>
        <v>0</v>
      </c>
      <c r="H2072" s="126">
        <f>SUMIFS('Support - Transition'!F:F,'Support - Transition'!B:B,'Step 2'!A2072,'Support - Transition'!C:C,'Step 2'!B2072,'Support - Transition'!D:D,'Step 2'!C2072,'Support - Transition'!E:E,"FIRE")</f>
        <v>0</v>
      </c>
      <c r="I2072" s="126">
        <f>IF(B2072="0",SUMIFS('Support - Transition'!F:F,'Support - Transition'!J:J,'Step 2'!D2072,'Support - Transition'!E:E,"STATE UNIT"),SUMIFS('Support - Transition'!F:F,'Support - Transition'!J:J,'Step 2'!D2072))</f>
        <v>1.382E-3</v>
      </c>
      <c r="J2072" s="126">
        <f>SUMIFS('Support - Unit Adjustments'!E:E,'Support - Unit Adjustments'!F:F,'Step 2'!D2072)</f>
        <v>0</v>
      </c>
      <c r="K2072" s="126">
        <f t="shared" si="612"/>
        <v>1.382E-3</v>
      </c>
      <c r="L2072" s="174">
        <f>VLOOKUP(A2072,'Step 1'!$A:$E,4,FALSE)</f>
        <v>157577</v>
      </c>
      <c r="M2072" s="47">
        <f t="shared" si="613"/>
        <v>218</v>
      </c>
      <c r="N2072" s="177">
        <f>SUMIFS('Support - Transition'!G:G,'Support - Transition'!J:J,'Step 2'!D2072,'Support - Transition'!E:E,"2009 WELFARE ALLOCATION FACTOR")</f>
        <v>0</v>
      </c>
      <c r="O2072" s="152">
        <f t="shared" si="618"/>
        <v>0</v>
      </c>
      <c r="P2072" s="126">
        <f>IF(E2072="Y",0,SUMIFS('Support - Transition'!G:G,'Support - Transition'!J:J,'Step 2'!D2072,'Support - Transition'!E:E,"2009 SCHOOL ALLOCATION FACTOR"))</f>
        <v>0</v>
      </c>
      <c r="Q2072" s="126">
        <f>IF(E2072="Y",VLOOKUP(D2072,'Support - Unit Adjustments'!F:G,2,FALSE),0)</f>
        <v>0</v>
      </c>
      <c r="R2072" s="155">
        <f t="shared" si="630"/>
        <v>0</v>
      </c>
      <c r="S2072" s="47">
        <f t="shared" si="629"/>
        <v>0</v>
      </c>
      <c r="T2072" s="151">
        <f t="shared" si="614"/>
        <v>218</v>
      </c>
      <c r="U2072" s="151">
        <f t="shared" si="615"/>
        <v>157575</v>
      </c>
      <c r="V2072" s="139">
        <f t="shared" si="616"/>
        <v>-2</v>
      </c>
      <c r="W2072" s="152">
        <f t="shared" si="619"/>
        <v>220</v>
      </c>
      <c r="X2072" s="127">
        <f t="shared" si="617"/>
        <v>0</v>
      </c>
      <c r="Y2072" s="207">
        <f t="shared" si="620"/>
        <v>220</v>
      </c>
      <c r="Z2072" s="139">
        <f t="shared" si="621"/>
        <v>220</v>
      </c>
      <c r="AA2072" s="139">
        <f t="shared" si="622"/>
        <v>0</v>
      </c>
      <c r="AC2072" s="47">
        <f t="shared" si="623"/>
        <v>110</v>
      </c>
      <c r="AD2072" s="47">
        <f t="shared" si="624"/>
        <v>110</v>
      </c>
      <c r="AE2072" s="47">
        <f t="shared" si="625"/>
        <v>0</v>
      </c>
      <c r="AG2072" s="47">
        <f t="shared" si="626"/>
        <v>110</v>
      </c>
      <c r="AH2072" s="47">
        <f t="shared" si="627"/>
        <v>110</v>
      </c>
      <c r="AI2072" s="208">
        <f t="shared" si="628"/>
        <v>0</v>
      </c>
    </row>
    <row r="2073" spans="1:35">
      <c r="A2073" t="s">
        <v>2153</v>
      </c>
      <c r="B2073" t="s">
        <v>3140</v>
      </c>
      <c r="C2073" t="s">
        <v>2187</v>
      </c>
      <c r="D2073" t="s">
        <v>5575</v>
      </c>
      <c r="F2073" t="s">
        <v>1515</v>
      </c>
      <c r="G2073" s="126">
        <f>SUMIFS('Support - Transition'!F:F,'Support - Transition'!B:B,'Step 2'!A2073,'Support - Transition'!C:C,'Step 2'!B2073,'Support - Transition'!D:D,'Step 2'!C2073,'Support - Transition'!E:E,"CIVIL")</f>
        <v>0</v>
      </c>
      <c r="H2073" s="126">
        <f>SUMIFS('Support - Transition'!F:F,'Support - Transition'!B:B,'Step 2'!A2073,'Support - Transition'!C:C,'Step 2'!B2073,'Support - Transition'!D:D,'Step 2'!C2073,'Support - Transition'!E:E,"FIRE")</f>
        <v>0</v>
      </c>
      <c r="I2073" s="126">
        <f>IF(B2073="0",SUMIFS('Support - Transition'!F:F,'Support - Transition'!J:J,'Step 2'!D2073,'Support - Transition'!E:E,"STATE UNIT"),SUMIFS('Support - Transition'!F:F,'Support - Transition'!J:J,'Step 2'!D2073))</f>
        <v>0.192269</v>
      </c>
      <c r="J2073" s="126">
        <f>SUMIFS('Support - Unit Adjustments'!E:E,'Support - Unit Adjustments'!F:F,'Step 2'!D2073)</f>
        <v>0</v>
      </c>
      <c r="K2073" s="126">
        <f t="shared" si="612"/>
        <v>0.192269</v>
      </c>
      <c r="L2073" s="174">
        <f>VLOOKUP(A2073,'Step 1'!$A:$E,4,FALSE)</f>
        <v>157577</v>
      </c>
      <c r="M2073" s="47">
        <f t="shared" si="613"/>
        <v>30297</v>
      </c>
      <c r="N2073" s="177">
        <f>SUMIFS('Support - Transition'!G:G,'Support - Transition'!J:J,'Step 2'!D2073,'Support - Transition'!E:E,"2009 WELFARE ALLOCATION FACTOR")</f>
        <v>0.40797099999999997</v>
      </c>
      <c r="O2073" s="152">
        <f t="shared" si="618"/>
        <v>12360</v>
      </c>
      <c r="P2073" s="126">
        <f>IF(E2073="Y",0,SUMIFS('Support - Transition'!G:G,'Support - Transition'!J:J,'Step 2'!D2073,'Support - Transition'!E:E,"2009 SCHOOL ALLOCATION FACTOR"))</f>
        <v>0</v>
      </c>
      <c r="Q2073" s="126">
        <f>IF(E2073="Y",VLOOKUP(D2073,'Support - Unit Adjustments'!F:G,2,FALSE),0)</f>
        <v>0</v>
      </c>
      <c r="R2073" s="155">
        <f t="shared" si="630"/>
        <v>0</v>
      </c>
      <c r="S2073" s="47">
        <f t="shared" si="629"/>
        <v>0</v>
      </c>
      <c r="T2073" s="151">
        <f t="shared" si="614"/>
        <v>17937</v>
      </c>
      <c r="U2073" s="151">
        <f t="shared" si="615"/>
        <v>0</v>
      </c>
      <c r="V2073" s="139">
        <f t="shared" si="616"/>
        <v>0</v>
      </c>
      <c r="W2073" s="152">
        <f t="shared" si="619"/>
        <v>17937</v>
      </c>
      <c r="X2073" s="127" t="str">
        <f t="shared" si="617"/>
        <v/>
      </c>
      <c r="Y2073" s="207">
        <f t="shared" si="620"/>
        <v>17937</v>
      </c>
      <c r="Z2073" s="139">
        <f t="shared" si="621"/>
        <v>17937</v>
      </c>
      <c r="AA2073" s="139">
        <f t="shared" si="622"/>
        <v>0</v>
      </c>
      <c r="AC2073" s="47">
        <f t="shared" si="623"/>
        <v>8969</v>
      </c>
      <c r="AD2073" s="47">
        <f t="shared" si="624"/>
        <v>8969</v>
      </c>
      <c r="AE2073" s="47">
        <f t="shared" si="625"/>
        <v>0</v>
      </c>
      <c r="AG2073" s="47">
        <f t="shared" si="626"/>
        <v>8968</v>
      </c>
      <c r="AH2073" s="47">
        <f t="shared" si="627"/>
        <v>8968</v>
      </c>
      <c r="AI2073" s="208">
        <f t="shared" si="628"/>
        <v>0</v>
      </c>
    </row>
    <row r="2074" spans="1:35">
      <c r="A2074" t="s">
        <v>2153</v>
      </c>
      <c r="B2074" t="s">
        <v>3142</v>
      </c>
      <c r="C2074" t="s">
        <v>2188</v>
      </c>
      <c r="D2074" t="s">
        <v>5576</v>
      </c>
      <c r="F2074" t="s">
        <v>46</v>
      </c>
      <c r="G2074" s="126">
        <f>SUMIFS('Support - Transition'!F:F,'Support - Transition'!B:B,'Step 2'!A2074,'Support - Transition'!C:C,'Step 2'!B2074,'Support - Transition'!D:D,'Step 2'!C2074,'Support - Transition'!E:E,"CIVIL")</f>
        <v>1.7409999999999999E-3</v>
      </c>
      <c r="H2074" s="126">
        <f>SUMIFS('Support - Transition'!F:F,'Support - Transition'!B:B,'Step 2'!A2074,'Support - Transition'!C:C,'Step 2'!B2074,'Support - Transition'!D:D,'Step 2'!C2074,'Support - Transition'!E:E,"FIRE")</f>
        <v>1.9699999999999999E-4</v>
      </c>
      <c r="I2074" s="126">
        <f>IF(B2074="0",SUMIFS('Support - Transition'!F:F,'Support - Transition'!J:J,'Step 2'!D2074,'Support - Transition'!E:E,"STATE UNIT"),SUMIFS('Support - Transition'!F:F,'Support - Transition'!J:J,'Step 2'!D2074))</f>
        <v>1.9379999999999998E-3</v>
      </c>
      <c r="J2074" s="126">
        <f>SUMIFS('Support - Unit Adjustments'!E:E,'Support - Unit Adjustments'!F:F,'Step 2'!D2074)</f>
        <v>0</v>
      </c>
      <c r="K2074" s="126">
        <f t="shared" si="612"/>
        <v>1.9379999999999998E-3</v>
      </c>
      <c r="L2074" s="174">
        <f>VLOOKUP(A2074,'Step 1'!$A:$E,4,FALSE)</f>
        <v>157577</v>
      </c>
      <c r="M2074" s="47">
        <f t="shared" si="613"/>
        <v>305</v>
      </c>
      <c r="N2074" s="177">
        <f>SUMIFS('Support - Transition'!G:G,'Support - Transition'!J:J,'Step 2'!D2074,'Support - Transition'!E:E,"2009 WELFARE ALLOCATION FACTOR")</f>
        <v>0</v>
      </c>
      <c r="O2074" s="152">
        <f t="shared" si="618"/>
        <v>0</v>
      </c>
      <c r="P2074" s="126">
        <f>IF(E2074="Y",0,SUMIFS('Support - Transition'!G:G,'Support - Transition'!J:J,'Step 2'!D2074,'Support - Transition'!E:E,"2009 SCHOOL ALLOCATION FACTOR"))</f>
        <v>0</v>
      </c>
      <c r="Q2074" s="126">
        <f>IF(E2074="Y",VLOOKUP(D2074,'Support - Unit Adjustments'!F:G,2,FALSE),0)</f>
        <v>0</v>
      </c>
      <c r="R2074" s="155">
        <f t="shared" si="630"/>
        <v>0</v>
      </c>
      <c r="S2074" s="47">
        <f t="shared" si="629"/>
        <v>0</v>
      </c>
      <c r="T2074" s="151">
        <f t="shared" si="614"/>
        <v>305</v>
      </c>
      <c r="U2074" s="151">
        <f t="shared" si="615"/>
        <v>0</v>
      </c>
      <c r="V2074" s="139">
        <f t="shared" si="616"/>
        <v>0</v>
      </c>
      <c r="W2074" s="152">
        <f t="shared" si="619"/>
        <v>305</v>
      </c>
      <c r="X2074" s="127" t="str">
        <f t="shared" si="617"/>
        <v/>
      </c>
      <c r="Y2074" s="207">
        <f t="shared" si="620"/>
        <v>305</v>
      </c>
      <c r="Z2074" s="139">
        <f t="shared" si="621"/>
        <v>274</v>
      </c>
      <c r="AA2074" s="139">
        <f t="shared" si="622"/>
        <v>31</v>
      </c>
      <c r="AC2074" s="47">
        <f t="shared" si="623"/>
        <v>153</v>
      </c>
      <c r="AD2074" s="47">
        <f t="shared" si="624"/>
        <v>137</v>
      </c>
      <c r="AE2074" s="47">
        <f t="shared" si="625"/>
        <v>16</v>
      </c>
      <c r="AG2074" s="47">
        <f t="shared" si="626"/>
        <v>152</v>
      </c>
      <c r="AH2074" s="47">
        <f t="shared" si="627"/>
        <v>137</v>
      </c>
      <c r="AI2074" s="208">
        <f t="shared" si="628"/>
        <v>15</v>
      </c>
    </row>
    <row r="2075" spans="1:35">
      <c r="A2075" t="s">
        <v>2153</v>
      </c>
      <c r="B2075" t="s">
        <v>3142</v>
      </c>
      <c r="C2075" t="s">
        <v>2189</v>
      </c>
      <c r="D2075" t="s">
        <v>5577</v>
      </c>
      <c r="F2075" t="s">
        <v>671</v>
      </c>
      <c r="G2075" s="126">
        <f>SUMIFS('Support - Transition'!F:F,'Support - Transition'!B:B,'Step 2'!A2075,'Support - Transition'!C:C,'Step 2'!B2075,'Support - Transition'!D:D,'Step 2'!C2075,'Support - Transition'!E:E,"CIVIL")</f>
        <v>3.8200000000000002E-4</v>
      </c>
      <c r="H2075" s="126">
        <f>SUMIFS('Support - Transition'!F:F,'Support - Transition'!B:B,'Step 2'!A2075,'Support - Transition'!C:C,'Step 2'!B2075,'Support - Transition'!D:D,'Step 2'!C2075,'Support - Transition'!E:E,"FIRE")</f>
        <v>1.9699999999999999E-4</v>
      </c>
      <c r="I2075" s="126">
        <f>IF(B2075="0",SUMIFS('Support - Transition'!F:F,'Support - Transition'!J:J,'Step 2'!D2075,'Support - Transition'!E:E,"STATE UNIT"),SUMIFS('Support - Transition'!F:F,'Support - Transition'!J:J,'Step 2'!D2075))</f>
        <v>5.7899999999999998E-4</v>
      </c>
      <c r="J2075" s="126">
        <f>SUMIFS('Support - Unit Adjustments'!E:E,'Support - Unit Adjustments'!F:F,'Step 2'!D2075)</f>
        <v>0</v>
      </c>
      <c r="K2075" s="126">
        <f t="shared" si="612"/>
        <v>5.7899999999999998E-4</v>
      </c>
      <c r="L2075" s="174">
        <f>VLOOKUP(A2075,'Step 1'!$A:$E,4,FALSE)</f>
        <v>157577</v>
      </c>
      <c r="M2075" s="47">
        <f t="shared" si="613"/>
        <v>91</v>
      </c>
      <c r="N2075" s="177">
        <f>SUMIFS('Support - Transition'!G:G,'Support - Transition'!J:J,'Step 2'!D2075,'Support - Transition'!E:E,"2009 WELFARE ALLOCATION FACTOR")</f>
        <v>0</v>
      </c>
      <c r="O2075" s="152">
        <f t="shared" si="618"/>
        <v>0</v>
      </c>
      <c r="P2075" s="126">
        <f>IF(E2075="Y",0,SUMIFS('Support - Transition'!G:G,'Support - Transition'!J:J,'Step 2'!D2075,'Support - Transition'!E:E,"2009 SCHOOL ALLOCATION FACTOR"))</f>
        <v>0</v>
      </c>
      <c r="Q2075" s="126">
        <f>IF(E2075="Y",VLOOKUP(D2075,'Support - Unit Adjustments'!F:G,2,FALSE),0)</f>
        <v>0</v>
      </c>
      <c r="R2075" s="155">
        <f t="shared" si="630"/>
        <v>0</v>
      </c>
      <c r="S2075" s="47">
        <f t="shared" si="629"/>
        <v>0</v>
      </c>
      <c r="T2075" s="151">
        <f t="shared" si="614"/>
        <v>91</v>
      </c>
      <c r="U2075" s="151">
        <f t="shared" si="615"/>
        <v>0</v>
      </c>
      <c r="V2075" s="139">
        <f t="shared" si="616"/>
        <v>0</v>
      </c>
      <c r="W2075" s="152">
        <f t="shared" si="619"/>
        <v>91</v>
      </c>
      <c r="X2075" s="127" t="str">
        <f t="shared" si="617"/>
        <v/>
      </c>
      <c r="Y2075" s="207">
        <f t="shared" si="620"/>
        <v>91</v>
      </c>
      <c r="Z2075" s="139">
        <f t="shared" si="621"/>
        <v>60</v>
      </c>
      <c r="AA2075" s="139">
        <f t="shared" si="622"/>
        <v>31</v>
      </c>
      <c r="AC2075" s="47">
        <f t="shared" si="623"/>
        <v>46</v>
      </c>
      <c r="AD2075" s="47">
        <f t="shared" si="624"/>
        <v>30</v>
      </c>
      <c r="AE2075" s="47">
        <f t="shared" si="625"/>
        <v>16</v>
      </c>
      <c r="AG2075" s="47">
        <f t="shared" si="626"/>
        <v>45</v>
      </c>
      <c r="AH2075" s="47">
        <f t="shared" si="627"/>
        <v>30</v>
      </c>
      <c r="AI2075" s="208">
        <f t="shared" si="628"/>
        <v>15</v>
      </c>
    </row>
    <row r="2076" spans="1:35">
      <c r="A2076" t="s">
        <v>2153</v>
      </c>
      <c r="B2076" t="s">
        <v>3142</v>
      </c>
      <c r="C2076" t="s">
        <v>2190</v>
      </c>
      <c r="D2076" t="s">
        <v>5578</v>
      </c>
      <c r="F2076" t="s">
        <v>107</v>
      </c>
      <c r="G2076" s="126">
        <f>SUMIFS('Support - Transition'!F:F,'Support - Transition'!B:B,'Step 2'!A2076,'Support - Transition'!C:C,'Step 2'!B2076,'Support - Transition'!D:D,'Step 2'!C2076,'Support - Transition'!E:E,"CIVIL")</f>
        <v>6.4800000000000003E-4</v>
      </c>
      <c r="H2076" s="126">
        <f>SUMIFS('Support - Transition'!F:F,'Support - Transition'!B:B,'Step 2'!A2076,'Support - Transition'!C:C,'Step 2'!B2076,'Support - Transition'!D:D,'Step 2'!C2076,'Support - Transition'!E:E,"FIRE")</f>
        <v>0</v>
      </c>
      <c r="I2076" s="126">
        <f>IF(B2076="0",SUMIFS('Support - Transition'!F:F,'Support - Transition'!J:J,'Step 2'!D2076,'Support - Transition'!E:E,"STATE UNIT"),SUMIFS('Support - Transition'!F:F,'Support - Transition'!J:J,'Step 2'!D2076))</f>
        <v>6.4800000000000003E-4</v>
      </c>
      <c r="J2076" s="126">
        <f>SUMIFS('Support - Unit Adjustments'!E:E,'Support - Unit Adjustments'!F:F,'Step 2'!D2076)</f>
        <v>4.0000000000000003E-5</v>
      </c>
      <c r="K2076" s="126">
        <f t="shared" si="612"/>
        <v>6.8800000000000003E-4</v>
      </c>
      <c r="L2076" s="174">
        <f>VLOOKUP(A2076,'Step 1'!$A:$E,4,FALSE)</f>
        <v>157577</v>
      </c>
      <c r="M2076" s="47">
        <f t="shared" si="613"/>
        <v>108</v>
      </c>
      <c r="N2076" s="177">
        <f>SUMIFS('Support - Transition'!G:G,'Support - Transition'!J:J,'Step 2'!D2076,'Support - Transition'!E:E,"2009 WELFARE ALLOCATION FACTOR")</f>
        <v>0</v>
      </c>
      <c r="O2076" s="152">
        <f t="shared" si="618"/>
        <v>0</v>
      </c>
      <c r="P2076" s="126">
        <f>IF(E2076="Y",0,SUMIFS('Support - Transition'!G:G,'Support - Transition'!J:J,'Step 2'!D2076,'Support - Transition'!E:E,"2009 SCHOOL ALLOCATION FACTOR"))</f>
        <v>0</v>
      </c>
      <c r="Q2076" s="126">
        <f>IF(E2076="Y",VLOOKUP(D2076,'Support - Unit Adjustments'!F:G,2,FALSE),0)</f>
        <v>0</v>
      </c>
      <c r="R2076" s="155">
        <f t="shared" si="630"/>
        <v>0</v>
      </c>
      <c r="S2076" s="47">
        <f t="shared" si="629"/>
        <v>0</v>
      </c>
      <c r="T2076" s="151">
        <f t="shared" si="614"/>
        <v>108</v>
      </c>
      <c r="U2076" s="151">
        <f t="shared" si="615"/>
        <v>0</v>
      </c>
      <c r="V2076" s="139">
        <f t="shared" si="616"/>
        <v>0</v>
      </c>
      <c r="W2076" s="152">
        <f t="shared" si="619"/>
        <v>108</v>
      </c>
      <c r="X2076" s="127" t="str">
        <f t="shared" si="617"/>
        <v/>
      </c>
      <c r="Y2076" s="207">
        <f t="shared" si="620"/>
        <v>108</v>
      </c>
      <c r="Z2076" s="139">
        <f t="shared" si="621"/>
        <v>108</v>
      </c>
      <c r="AA2076" s="139">
        <f t="shared" si="622"/>
        <v>0</v>
      </c>
      <c r="AC2076" s="47">
        <f t="shared" si="623"/>
        <v>54</v>
      </c>
      <c r="AD2076" s="47">
        <f t="shared" si="624"/>
        <v>54</v>
      </c>
      <c r="AE2076" s="47">
        <f t="shared" si="625"/>
        <v>0</v>
      </c>
      <c r="AG2076" s="47">
        <f t="shared" si="626"/>
        <v>54</v>
      </c>
      <c r="AH2076" s="47">
        <f t="shared" si="627"/>
        <v>54</v>
      </c>
      <c r="AI2076" s="208">
        <f t="shared" si="628"/>
        <v>0</v>
      </c>
    </row>
    <row r="2077" spans="1:35">
      <c r="A2077" t="s">
        <v>2153</v>
      </c>
      <c r="B2077" t="s">
        <v>3142</v>
      </c>
      <c r="C2077" t="s">
        <v>2191</v>
      </c>
      <c r="D2077" t="s">
        <v>5579</v>
      </c>
      <c r="F2077" t="s">
        <v>400</v>
      </c>
      <c r="G2077" s="126">
        <f>SUMIFS('Support - Transition'!F:F,'Support - Transition'!B:B,'Step 2'!A2077,'Support - Transition'!C:C,'Step 2'!B2077,'Support - Transition'!D:D,'Step 2'!C2077,'Support - Transition'!E:E,"CIVIL")</f>
        <v>1.07E-3</v>
      </c>
      <c r="H2077" s="126">
        <f>SUMIFS('Support - Transition'!F:F,'Support - Transition'!B:B,'Step 2'!A2077,'Support - Transition'!C:C,'Step 2'!B2077,'Support - Transition'!D:D,'Step 2'!C2077,'Support - Transition'!E:E,"FIRE")</f>
        <v>0</v>
      </c>
      <c r="I2077" s="126">
        <f>IF(B2077="0",SUMIFS('Support - Transition'!F:F,'Support - Transition'!J:J,'Step 2'!D2077,'Support - Transition'!E:E,"STATE UNIT"),SUMIFS('Support - Transition'!F:F,'Support - Transition'!J:J,'Step 2'!D2077))</f>
        <v>1.07E-3</v>
      </c>
      <c r="J2077" s="126">
        <f>SUMIFS('Support - Unit Adjustments'!E:E,'Support - Unit Adjustments'!F:F,'Step 2'!D2077)</f>
        <v>0</v>
      </c>
      <c r="K2077" s="126">
        <f t="shared" si="612"/>
        <v>1.07E-3</v>
      </c>
      <c r="L2077" s="174">
        <f>VLOOKUP(A2077,'Step 1'!$A:$E,4,FALSE)</f>
        <v>157577</v>
      </c>
      <c r="M2077" s="47">
        <f t="shared" si="613"/>
        <v>169</v>
      </c>
      <c r="N2077" s="177">
        <f>SUMIFS('Support - Transition'!G:G,'Support - Transition'!J:J,'Step 2'!D2077,'Support - Transition'!E:E,"2009 WELFARE ALLOCATION FACTOR")</f>
        <v>0</v>
      </c>
      <c r="O2077" s="152">
        <f t="shared" si="618"/>
        <v>0</v>
      </c>
      <c r="P2077" s="126">
        <f>IF(E2077="Y",0,SUMIFS('Support - Transition'!G:G,'Support - Transition'!J:J,'Step 2'!D2077,'Support - Transition'!E:E,"2009 SCHOOL ALLOCATION FACTOR"))</f>
        <v>0</v>
      </c>
      <c r="Q2077" s="126">
        <f>IF(E2077="Y",VLOOKUP(D2077,'Support - Unit Adjustments'!F:G,2,FALSE),0)</f>
        <v>0</v>
      </c>
      <c r="R2077" s="155">
        <f t="shared" si="630"/>
        <v>0</v>
      </c>
      <c r="S2077" s="47">
        <f t="shared" si="629"/>
        <v>0</v>
      </c>
      <c r="T2077" s="151">
        <f t="shared" si="614"/>
        <v>169</v>
      </c>
      <c r="U2077" s="151">
        <f t="shared" si="615"/>
        <v>0</v>
      </c>
      <c r="V2077" s="139">
        <f t="shared" si="616"/>
        <v>0</v>
      </c>
      <c r="W2077" s="152">
        <f t="shared" si="619"/>
        <v>169</v>
      </c>
      <c r="X2077" s="127" t="str">
        <f t="shared" si="617"/>
        <v/>
      </c>
      <c r="Y2077" s="207">
        <f t="shared" si="620"/>
        <v>169</v>
      </c>
      <c r="Z2077" s="139">
        <f t="shared" si="621"/>
        <v>169</v>
      </c>
      <c r="AA2077" s="139">
        <f t="shared" si="622"/>
        <v>0</v>
      </c>
      <c r="AC2077" s="47">
        <f t="shared" si="623"/>
        <v>85</v>
      </c>
      <c r="AD2077" s="47">
        <f t="shared" si="624"/>
        <v>85</v>
      </c>
      <c r="AE2077" s="47">
        <f t="shared" si="625"/>
        <v>0</v>
      </c>
      <c r="AG2077" s="47">
        <f t="shared" si="626"/>
        <v>84</v>
      </c>
      <c r="AH2077" s="47">
        <f t="shared" si="627"/>
        <v>84</v>
      </c>
      <c r="AI2077" s="208">
        <f t="shared" si="628"/>
        <v>0</v>
      </c>
    </row>
    <row r="2078" spans="1:35">
      <c r="A2078" t="s">
        <v>2153</v>
      </c>
      <c r="B2078" t="s">
        <v>3142</v>
      </c>
      <c r="C2078" t="s">
        <v>2192</v>
      </c>
      <c r="D2078" t="s">
        <v>5580</v>
      </c>
      <c r="F2078" t="s">
        <v>372</v>
      </c>
      <c r="G2078" s="126">
        <f>SUMIFS('Support - Transition'!F:F,'Support - Transition'!B:B,'Step 2'!A2078,'Support - Transition'!C:C,'Step 2'!B2078,'Support - Transition'!D:D,'Step 2'!C2078,'Support - Transition'!E:E,"CIVIL")</f>
        <v>1.2149999999999999E-3</v>
      </c>
      <c r="H2078" s="126">
        <f>SUMIFS('Support - Transition'!F:F,'Support - Transition'!B:B,'Step 2'!A2078,'Support - Transition'!C:C,'Step 2'!B2078,'Support - Transition'!D:D,'Step 2'!C2078,'Support - Transition'!E:E,"FIRE")</f>
        <v>6.4199999999999999E-4</v>
      </c>
      <c r="I2078" s="126">
        <f>IF(B2078="0",SUMIFS('Support - Transition'!F:F,'Support - Transition'!J:J,'Step 2'!D2078,'Support - Transition'!E:E,"STATE UNIT"),SUMIFS('Support - Transition'!F:F,'Support - Transition'!J:J,'Step 2'!D2078))</f>
        <v>1.8569999999999999E-3</v>
      </c>
      <c r="J2078" s="126">
        <f>SUMIFS('Support - Unit Adjustments'!E:E,'Support - Unit Adjustments'!F:F,'Step 2'!D2078)</f>
        <v>0</v>
      </c>
      <c r="K2078" s="126">
        <f t="shared" si="612"/>
        <v>1.8569999999999999E-3</v>
      </c>
      <c r="L2078" s="174">
        <f>VLOOKUP(A2078,'Step 1'!$A:$E,4,FALSE)</f>
        <v>157577</v>
      </c>
      <c r="M2078" s="47">
        <f t="shared" si="613"/>
        <v>293</v>
      </c>
      <c r="N2078" s="177">
        <f>SUMIFS('Support - Transition'!G:G,'Support - Transition'!J:J,'Step 2'!D2078,'Support - Transition'!E:E,"2009 WELFARE ALLOCATION FACTOR")</f>
        <v>0</v>
      </c>
      <c r="O2078" s="152">
        <f t="shared" si="618"/>
        <v>0</v>
      </c>
      <c r="P2078" s="126">
        <f>IF(E2078="Y",0,SUMIFS('Support - Transition'!G:G,'Support - Transition'!J:J,'Step 2'!D2078,'Support - Transition'!E:E,"2009 SCHOOL ALLOCATION FACTOR"))</f>
        <v>0</v>
      </c>
      <c r="Q2078" s="126">
        <f>IF(E2078="Y",VLOOKUP(D2078,'Support - Unit Adjustments'!F:G,2,FALSE),0)</f>
        <v>0</v>
      </c>
      <c r="R2078" s="155">
        <f t="shared" si="630"/>
        <v>0</v>
      </c>
      <c r="S2078" s="47">
        <f t="shared" si="629"/>
        <v>0</v>
      </c>
      <c r="T2078" s="151">
        <f t="shared" si="614"/>
        <v>293</v>
      </c>
      <c r="U2078" s="151">
        <f t="shared" si="615"/>
        <v>0</v>
      </c>
      <c r="V2078" s="139">
        <f t="shared" si="616"/>
        <v>0</v>
      </c>
      <c r="W2078" s="152">
        <f t="shared" si="619"/>
        <v>293</v>
      </c>
      <c r="X2078" s="127" t="str">
        <f t="shared" si="617"/>
        <v/>
      </c>
      <c r="Y2078" s="207">
        <f t="shared" si="620"/>
        <v>293</v>
      </c>
      <c r="Z2078" s="139">
        <f t="shared" si="621"/>
        <v>192</v>
      </c>
      <c r="AA2078" s="139">
        <f t="shared" si="622"/>
        <v>101</v>
      </c>
      <c r="AC2078" s="47">
        <f t="shared" si="623"/>
        <v>147</v>
      </c>
      <c r="AD2078" s="47">
        <f t="shared" si="624"/>
        <v>96</v>
      </c>
      <c r="AE2078" s="47">
        <f t="shared" si="625"/>
        <v>51</v>
      </c>
      <c r="AG2078" s="47">
        <f t="shared" si="626"/>
        <v>146</v>
      </c>
      <c r="AH2078" s="47">
        <f t="shared" si="627"/>
        <v>96</v>
      </c>
      <c r="AI2078" s="208">
        <f t="shared" si="628"/>
        <v>50</v>
      </c>
    </row>
    <row r="2079" spans="1:35">
      <c r="A2079" t="s">
        <v>2153</v>
      </c>
      <c r="B2079" t="s">
        <v>3142</v>
      </c>
      <c r="C2079" t="s">
        <v>2193</v>
      </c>
      <c r="D2079" t="s">
        <v>5581</v>
      </c>
      <c r="F2079" t="s">
        <v>49</v>
      </c>
      <c r="G2079" s="126">
        <f>SUMIFS('Support - Transition'!F:F,'Support - Transition'!B:B,'Step 2'!A2079,'Support - Transition'!C:C,'Step 2'!B2079,'Support - Transition'!D:D,'Step 2'!C2079,'Support - Transition'!E:E,"CIVIL")</f>
        <v>2.31E-4</v>
      </c>
      <c r="H2079" s="126">
        <f>SUMIFS('Support - Transition'!F:F,'Support - Transition'!B:B,'Step 2'!A2079,'Support - Transition'!C:C,'Step 2'!B2079,'Support - Transition'!D:D,'Step 2'!C2079,'Support - Transition'!E:E,"FIRE")</f>
        <v>0</v>
      </c>
      <c r="I2079" s="126">
        <f>IF(B2079="0",SUMIFS('Support - Transition'!F:F,'Support - Transition'!J:J,'Step 2'!D2079,'Support - Transition'!E:E,"STATE UNIT"),SUMIFS('Support - Transition'!F:F,'Support - Transition'!J:J,'Step 2'!D2079))</f>
        <v>2.31E-4</v>
      </c>
      <c r="J2079" s="126">
        <f>SUMIFS('Support - Unit Adjustments'!E:E,'Support - Unit Adjustments'!F:F,'Step 2'!D2079)</f>
        <v>0</v>
      </c>
      <c r="K2079" s="126">
        <f t="shared" si="612"/>
        <v>2.31E-4</v>
      </c>
      <c r="L2079" s="174">
        <f>VLOOKUP(A2079,'Step 1'!$A:$E,4,FALSE)</f>
        <v>157577</v>
      </c>
      <c r="M2079" s="47">
        <f t="shared" si="613"/>
        <v>36</v>
      </c>
      <c r="N2079" s="177">
        <f>SUMIFS('Support - Transition'!G:G,'Support - Transition'!J:J,'Step 2'!D2079,'Support - Transition'!E:E,"2009 WELFARE ALLOCATION FACTOR")</f>
        <v>0</v>
      </c>
      <c r="O2079" s="152">
        <f t="shared" si="618"/>
        <v>0</v>
      </c>
      <c r="P2079" s="126">
        <f>IF(E2079="Y",0,SUMIFS('Support - Transition'!G:G,'Support - Transition'!J:J,'Step 2'!D2079,'Support - Transition'!E:E,"2009 SCHOOL ALLOCATION FACTOR"))</f>
        <v>0</v>
      </c>
      <c r="Q2079" s="126">
        <f>IF(E2079="Y",VLOOKUP(D2079,'Support - Unit Adjustments'!F:G,2,FALSE),0)</f>
        <v>0</v>
      </c>
      <c r="R2079" s="155">
        <f t="shared" si="630"/>
        <v>0</v>
      </c>
      <c r="S2079" s="47">
        <f t="shared" si="629"/>
        <v>0</v>
      </c>
      <c r="T2079" s="151">
        <f t="shared" si="614"/>
        <v>36</v>
      </c>
      <c r="U2079" s="151">
        <f t="shared" si="615"/>
        <v>0</v>
      </c>
      <c r="V2079" s="139">
        <f t="shared" si="616"/>
        <v>0</v>
      </c>
      <c r="W2079" s="152">
        <f t="shared" si="619"/>
        <v>36</v>
      </c>
      <c r="X2079" s="127" t="str">
        <f t="shared" si="617"/>
        <v/>
      </c>
      <c r="Y2079" s="207">
        <f t="shared" si="620"/>
        <v>36</v>
      </c>
      <c r="Z2079" s="139">
        <f t="shared" si="621"/>
        <v>36</v>
      </c>
      <c r="AA2079" s="139">
        <f t="shared" si="622"/>
        <v>0</v>
      </c>
      <c r="AC2079" s="47">
        <f t="shared" si="623"/>
        <v>18</v>
      </c>
      <c r="AD2079" s="47">
        <f t="shared" si="624"/>
        <v>18</v>
      </c>
      <c r="AE2079" s="47">
        <f t="shared" si="625"/>
        <v>0</v>
      </c>
      <c r="AG2079" s="47">
        <f t="shared" si="626"/>
        <v>18</v>
      </c>
      <c r="AH2079" s="47">
        <f t="shared" si="627"/>
        <v>18</v>
      </c>
      <c r="AI2079" s="208">
        <f t="shared" si="628"/>
        <v>0</v>
      </c>
    </row>
    <row r="2080" spans="1:35">
      <c r="A2080" t="s">
        <v>2153</v>
      </c>
      <c r="B2080" t="s">
        <v>3142</v>
      </c>
      <c r="C2080" t="s">
        <v>2194</v>
      </c>
      <c r="D2080" t="s">
        <v>5582</v>
      </c>
      <c r="F2080" t="s">
        <v>268</v>
      </c>
      <c r="G2080" s="126">
        <f>SUMIFS('Support - Transition'!F:F,'Support - Transition'!B:B,'Step 2'!A2080,'Support - Transition'!C:C,'Step 2'!B2080,'Support - Transition'!D:D,'Step 2'!C2080,'Support - Transition'!E:E,"CIVIL")</f>
        <v>2.065E-3</v>
      </c>
      <c r="H2080" s="126">
        <f>SUMIFS('Support - Transition'!F:F,'Support - Transition'!B:B,'Step 2'!A2080,'Support - Transition'!C:C,'Step 2'!B2080,'Support - Transition'!D:D,'Step 2'!C2080,'Support - Transition'!E:E,"FIRE")</f>
        <v>7.9799999999999999E-4</v>
      </c>
      <c r="I2080" s="126">
        <f>IF(B2080="0",SUMIFS('Support - Transition'!F:F,'Support - Transition'!J:J,'Step 2'!D2080,'Support - Transition'!E:E,"STATE UNIT"),SUMIFS('Support - Transition'!F:F,'Support - Transition'!J:J,'Step 2'!D2080))</f>
        <v>2.8630000000000001E-3</v>
      </c>
      <c r="J2080" s="126">
        <f>SUMIFS('Support - Unit Adjustments'!E:E,'Support - Unit Adjustments'!F:F,'Step 2'!D2080)</f>
        <v>0</v>
      </c>
      <c r="K2080" s="126">
        <f t="shared" si="612"/>
        <v>2.8630000000000001E-3</v>
      </c>
      <c r="L2080" s="174">
        <f>VLOOKUP(A2080,'Step 1'!$A:$E,4,FALSE)</f>
        <v>157577</v>
      </c>
      <c r="M2080" s="47">
        <f t="shared" si="613"/>
        <v>451</v>
      </c>
      <c r="N2080" s="177">
        <f>SUMIFS('Support - Transition'!G:G,'Support - Transition'!J:J,'Step 2'!D2080,'Support - Transition'!E:E,"2009 WELFARE ALLOCATION FACTOR")</f>
        <v>0</v>
      </c>
      <c r="O2080" s="152">
        <f t="shared" si="618"/>
        <v>0</v>
      </c>
      <c r="P2080" s="126">
        <f>IF(E2080="Y",0,SUMIFS('Support - Transition'!G:G,'Support - Transition'!J:J,'Step 2'!D2080,'Support - Transition'!E:E,"2009 SCHOOL ALLOCATION FACTOR"))</f>
        <v>0</v>
      </c>
      <c r="Q2080" s="126">
        <f>IF(E2080="Y",VLOOKUP(D2080,'Support - Unit Adjustments'!F:G,2,FALSE),0)</f>
        <v>0</v>
      </c>
      <c r="R2080" s="155">
        <f t="shared" si="630"/>
        <v>0</v>
      </c>
      <c r="S2080" s="47">
        <f t="shared" si="629"/>
        <v>0</v>
      </c>
      <c r="T2080" s="151">
        <f t="shared" si="614"/>
        <v>451</v>
      </c>
      <c r="U2080" s="151">
        <f t="shared" si="615"/>
        <v>0</v>
      </c>
      <c r="V2080" s="139">
        <f t="shared" si="616"/>
        <v>0</v>
      </c>
      <c r="W2080" s="152">
        <f t="shared" si="619"/>
        <v>451</v>
      </c>
      <c r="X2080" s="127" t="str">
        <f t="shared" si="617"/>
        <v/>
      </c>
      <c r="Y2080" s="207">
        <f t="shared" si="620"/>
        <v>451</v>
      </c>
      <c r="Z2080" s="139">
        <f t="shared" si="621"/>
        <v>325</v>
      </c>
      <c r="AA2080" s="139">
        <f t="shared" si="622"/>
        <v>126</v>
      </c>
      <c r="AC2080" s="47">
        <f t="shared" si="623"/>
        <v>226</v>
      </c>
      <c r="AD2080" s="47">
        <f t="shared" si="624"/>
        <v>163</v>
      </c>
      <c r="AE2080" s="47">
        <f t="shared" si="625"/>
        <v>63</v>
      </c>
      <c r="AG2080" s="47">
        <f t="shared" si="626"/>
        <v>225</v>
      </c>
      <c r="AH2080" s="47">
        <f t="shared" si="627"/>
        <v>162</v>
      </c>
      <c r="AI2080" s="208">
        <f t="shared" si="628"/>
        <v>63</v>
      </c>
    </row>
    <row r="2081" spans="1:35">
      <c r="A2081" t="s">
        <v>2153</v>
      </c>
      <c r="B2081" t="s">
        <v>3142</v>
      </c>
      <c r="C2081" t="s">
        <v>2195</v>
      </c>
      <c r="D2081" t="s">
        <v>5583</v>
      </c>
      <c r="F2081" t="s">
        <v>1526</v>
      </c>
      <c r="G2081" s="126">
        <f>SUMIFS('Support - Transition'!F:F,'Support - Transition'!B:B,'Step 2'!A2081,'Support - Transition'!C:C,'Step 2'!B2081,'Support - Transition'!D:D,'Step 2'!C2081,'Support - Transition'!E:E,"CIVIL")</f>
        <v>1.8220000000000001E-3</v>
      </c>
      <c r="H2081" s="126">
        <f>SUMIFS('Support - Transition'!F:F,'Support - Transition'!B:B,'Step 2'!A2081,'Support - Transition'!C:C,'Step 2'!B2081,'Support - Transition'!D:D,'Step 2'!C2081,'Support - Transition'!E:E,"FIRE")</f>
        <v>1.21E-4</v>
      </c>
      <c r="I2081" s="126">
        <f>IF(B2081="0",SUMIFS('Support - Transition'!F:F,'Support - Transition'!J:J,'Step 2'!D2081,'Support - Transition'!E:E,"STATE UNIT"),SUMIFS('Support - Transition'!F:F,'Support - Transition'!J:J,'Step 2'!D2081))</f>
        <v>1.9430000000000001E-3</v>
      </c>
      <c r="J2081" s="126">
        <f>SUMIFS('Support - Unit Adjustments'!E:E,'Support - Unit Adjustments'!F:F,'Step 2'!D2081)</f>
        <v>0</v>
      </c>
      <c r="K2081" s="126">
        <f t="shared" si="612"/>
        <v>1.9430000000000001E-3</v>
      </c>
      <c r="L2081" s="174">
        <f>VLOOKUP(A2081,'Step 1'!$A:$E,4,FALSE)</f>
        <v>157577</v>
      </c>
      <c r="M2081" s="47">
        <f t="shared" si="613"/>
        <v>306</v>
      </c>
      <c r="N2081" s="177">
        <f>SUMIFS('Support - Transition'!G:G,'Support - Transition'!J:J,'Step 2'!D2081,'Support - Transition'!E:E,"2009 WELFARE ALLOCATION FACTOR")</f>
        <v>0</v>
      </c>
      <c r="O2081" s="152">
        <f t="shared" si="618"/>
        <v>0</v>
      </c>
      <c r="P2081" s="126">
        <f>IF(E2081="Y",0,SUMIFS('Support - Transition'!G:G,'Support - Transition'!J:J,'Step 2'!D2081,'Support - Transition'!E:E,"2009 SCHOOL ALLOCATION FACTOR"))</f>
        <v>0</v>
      </c>
      <c r="Q2081" s="126">
        <f>IF(E2081="Y",VLOOKUP(D2081,'Support - Unit Adjustments'!F:G,2,FALSE),0)</f>
        <v>0</v>
      </c>
      <c r="R2081" s="155">
        <f t="shared" si="630"/>
        <v>0</v>
      </c>
      <c r="S2081" s="47">
        <f t="shared" si="629"/>
        <v>0</v>
      </c>
      <c r="T2081" s="151">
        <f t="shared" si="614"/>
        <v>306</v>
      </c>
      <c r="U2081" s="151">
        <f t="shared" si="615"/>
        <v>0</v>
      </c>
      <c r="V2081" s="139">
        <f t="shared" si="616"/>
        <v>0</v>
      </c>
      <c r="W2081" s="152">
        <f t="shared" si="619"/>
        <v>306</v>
      </c>
      <c r="X2081" s="127" t="str">
        <f t="shared" si="617"/>
        <v/>
      </c>
      <c r="Y2081" s="207">
        <f t="shared" si="620"/>
        <v>306</v>
      </c>
      <c r="Z2081" s="139">
        <f t="shared" si="621"/>
        <v>287</v>
      </c>
      <c r="AA2081" s="139">
        <f t="shared" si="622"/>
        <v>19</v>
      </c>
      <c r="AC2081" s="47">
        <f t="shared" si="623"/>
        <v>153</v>
      </c>
      <c r="AD2081" s="47">
        <f t="shared" si="624"/>
        <v>144</v>
      </c>
      <c r="AE2081" s="47">
        <f t="shared" si="625"/>
        <v>10</v>
      </c>
      <c r="AG2081" s="47">
        <f t="shared" si="626"/>
        <v>153</v>
      </c>
      <c r="AH2081" s="47">
        <f t="shared" si="627"/>
        <v>143</v>
      </c>
      <c r="AI2081" s="208">
        <f t="shared" si="628"/>
        <v>9</v>
      </c>
    </row>
    <row r="2082" spans="1:35">
      <c r="A2082" t="s">
        <v>2153</v>
      </c>
      <c r="B2082" t="s">
        <v>3142</v>
      </c>
      <c r="C2082" t="s">
        <v>2196</v>
      </c>
      <c r="D2082" t="s">
        <v>5584</v>
      </c>
      <c r="F2082" t="s">
        <v>1527</v>
      </c>
      <c r="G2082" s="126">
        <f>SUMIFS('Support - Transition'!F:F,'Support - Transition'!B:B,'Step 2'!A2082,'Support - Transition'!C:C,'Step 2'!B2082,'Support - Transition'!D:D,'Step 2'!C2082,'Support - Transition'!E:E,"CIVIL")</f>
        <v>2.7799999999999998E-4</v>
      </c>
      <c r="H2082" s="126">
        <f>SUMIFS('Support - Transition'!F:F,'Support - Transition'!B:B,'Step 2'!A2082,'Support - Transition'!C:C,'Step 2'!B2082,'Support - Transition'!D:D,'Step 2'!C2082,'Support - Transition'!E:E,"FIRE")</f>
        <v>2.5999999999999998E-4</v>
      </c>
      <c r="I2082" s="126">
        <f>IF(B2082="0",SUMIFS('Support - Transition'!F:F,'Support - Transition'!J:J,'Step 2'!D2082,'Support - Transition'!E:E,"STATE UNIT"),SUMIFS('Support - Transition'!F:F,'Support - Transition'!J:J,'Step 2'!D2082))</f>
        <v>5.3799999999999996E-4</v>
      </c>
      <c r="J2082" s="126">
        <f>SUMIFS('Support - Unit Adjustments'!E:E,'Support - Unit Adjustments'!F:F,'Step 2'!D2082)</f>
        <v>0</v>
      </c>
      <c r="K2082" s="126">
        <f t="shared" si="612"/>
        <v>5.3799999999999996E-4</v>
      </c>
      <c r="L2082" s="174">
        <f>VLOOKUP(A2082,'Step 1'!$A:$E,4,FALSE)</f>
        <v>157577</v>
      </c>
      <c r="M2082" s="47">
        <f t="shared" si="613"/>
        <v>85</v>
      </c>
      <c r="N2082" s="177">
        <f>SUMIFS('Support - Transition'!G:G,'Support - Transition'!J:J,'Step 2'!D2082,'Support - Transition'!E:E,"2009 WELFARE ALLOCATION FACTOR")</f>
        <v>0</v>
      </c>
      <c r="O2082" s="152">
        <f t="shared" si="618"/>
        <v>0</v>
      </c>
      <c r="P2082" s="126">
        <f>IF(E2082="Y",0,SUMIFS('Support - Transition'!G:G,'Support - Transition'!J:J,'Step 2'!D2082,'Support - Transition'!E:E,"2009 SCHOOL ALLOCATION FACTOR"))</f>
        <v>0</v>
      </c>
      <c r="Q2082" s="126">
        <f>IF(E2082="Y",VLOOKUP(D2082,'Support - Unit Adjustments'!F:G,2,FALSE),0)</f>
        <v>0</v>
      </c>
      <c r="R2082" s="155">
        <f t="shared" si="630"/>
        <v>0</v>
      </c>
      <c r="S2082" s="47">
        <f t="shared" si="629"/>
        <v>0</v>
      </c>
      <c r="T2082" s="151">
        <f t="shared" si="614"/>
        <v>85</v>
      </c>
      <c r="U2082" s="151">
        <f t="shared" si="615"/>
        <v>0</v>
      </c>
      <c r="V2082" s="139">
        <f t="shared" si="616"/>
        <v>0</v>
      </c>
      <c r="W2082" s="152">
        <f t="shared" si="619"/>
        <v>85</v>
      </c>
      <c r="X2082" s="127" t="str">
        <f t="shared" si="617"/>
        <v/>
      </c>
      <c r="Y2082" s="207">
        <f t="shared" si="620"/>
        <v>85</v>
      </c>
      <c r="Z2082" s="139">
        <f t="shared" si="621"/>
        <v>44</v>
      </c>
      <c r="AA2082" s="139">
        <f t="shared" si="622"/>
        <v>41</v>
      </c>
      <c r="AC2082" s="47">
        <f t="shared" si="623"/>
        <v>43</v>
      </c>
      <c r="AD2082" s="47">
        <f t="shared" si="624"/>
        <v>22</v>
      </c>
      <c r="AE2082" s="47">
        <f t="shared" si="625"/>
        <v>21</v>
      </c>
      <c r="AG2082" s="47">
        <f t="shared" si="626"/>
        <v>42</v>
      </c>
      <c r="AH2082" s="47">
        <f t="shared" si="627"/>
        <v>22</v>
      </c>
      <c r="AI2082" s="208">
        <f t="shared" si="628"/>
        <v>20</v>
      </c>
    </row>
    <row r="2083" spans="1:35">
      <c r="A2083" t="s">
        <v>2153</v>
      </c>
      <c r="B2083" t="s">
        <v>3142</v>
      </c>
      <c r="C2083" t="s">
        <v>2197</v>
      </c>
      <c r="D2083" t="s">
        <v>5585</v>
      </c>
      <c r="F2083" t="s">
        <v>873</v>
      </c>
      <c r="G2083" s="126">
        <f>SUMIFS('Support - Transition'!F:F,'Support - Transition'!B:B,'Step 2'!A2083,'Support - Transition'!C:C,'Step 2'!B2083,'Support - Transition'!D:D,'Step 2'!C2083,'Support - Transition'!E:E,"CIVIL")</f>
        <v>8.1599999999999999E-4</v>
      </c>
      <c r="H2083" s="126">
        <f>SUMIFS('Support - Transition'!F:F,'Support - Transition'!B:B,'Step 2'!A2083,'Support - Transition'!C:C,'Step 2'!B2083,'Support - Transition'!D:D,'Step 2'!C2083,'Support - Transition'!E:E,"FIRE")</f>
        <v>4.1100000000000002E-4</v>
      </c>
      <c r="I2083" s="126">
        <f>IF(B2083="0",SUMIFS('Support - Transition'!F:F,'Support - Transition'!J:J,'Step 2'!D2083,'Support - Transition'!E:E,"STATE UNIT"),SUMIFS('Support - Transition'!F:F,'Support - Transition'!J:J,'Step 2'!D2083))</f>
        <v>1.227E-3</v>
      </c>
      <c r="J2083" s="126">
        <f>SUMIFS('Support - Unit Adjustments'!E:E,'Support - Unit Adjustments'!F:F,'Step 2'!D2083)</f>
        <v>0</v>
      </c>
      <c r="K2083" s="126">
        <f t="shared" si="612"/>
        <v>1.227E-3</v>
      </c>
      <c r="L2083" s="174">
        <f>VLOOKUP(A2083,'Step 1'!$A:$E,4,FALSE)</f>
        <v>157577</v>
      </c>
      <c r="M2083" s="47">
        <f t="shared" si="613"/>
        <v>193</v>
      </c>
      <c r="N2083" s="177">
        <f>SUMIFS('Support - Transition'!G:G,'Support - Transition'!J:J,'Step 2'!D2083,'Support - Transition'!E:E,"2009 WELFARE ALLOCATION FACTOR")</f>
        <v>0</v>
      </c>
      <c r="O2083" s="152">
        <f t="shared" si="618"/>
        <v>0</v>
      </c>
      <c r="P2083" s="126">
        <f>IF(E2083="Y",0,SUMIFS('Support - Transition'!G:G,'Support - Transition'!J:J,'Step 2'!D2083,'Support - Transition'!E:E,"2009 SCHOOL ALLOCATION FACTOR"))</f>
        <v>0</v>
      </c>
      <c r="Q2083" s="126">
        <f>IF(E2083="Y",VLOOKUP(D2083,'Support - Unit Adjustments'!F:G,2,FALSE),0)</f>
        <v>0</v>
      </c>
      <c r="R2083" s="155">
        <f t="shared" si="630"/>
        <v>0</v>
      </c>
      <c r="S2083" s="47">
        <f t="shared" si="629"/>
        <v>0</v>
      </c>
      <c r="T2083" s="151">
        <f t="shared" si="614"/>
        <v>193</v>
      </c>
      <c r="U2083" s="151">
        <f t="shared" si="615"/>
        <v>0</v>
      </c>
      <c r="V2083" s="139">
        <f t="shared" si="616"/>
        <v>0</v>
      </c>
      <c r="W2083" s="152">
        <f t="shared" si="619"/>
        <v>193</v>
      </c>
      <c r="X2083" s="127" t="str">
        <f t="shared" si="617"/>
        <v/>
      </c>
      <c r="Y2083" s="207">
        <f t="shared" si="620"/>
        <v>193</v>
      </c>
      <c r="Z2083" s="139">
        <f t="shared" si="621"/>
        <v>128</v>
      </c>
      <c r="AA2083" s="139">
        <f t="shared" si="622"/>
        <v>65</v>
      </c>
      <c r="AC2083" s="47">
        <f t="shared" si="623"/>
        <v>97</v>
      </c>
      <c r="AD2083" s="47">
        <f t="shared" si="624"/>
        <v>64</v>
      </c>
      <c r="AE2083" s="47">
        <f t="shared" si="625"/>
        <v>33</v>
      </c>
      <c r="AG2083" s="47">
        <f t="shared" si="626"/>
        <v>96</v>
      </c>
      <c r="AH2083" s="47">
        <f t="shared" si="627"/>
        <v>64</v>
      </c>
      <c r="AI2083" s="208">
        <f t="shared" si="628"/>
        <v>32</v>
      </c>
    </row>
    <row r="2084" spans="1:35">
      <c r="A2084" t="s">
        <v>2153</v>
      </c>
      <c r="B2084" t="s">
        <v>3142</v>
      </c>
      <c r="C2084" t="s">
        <v>2198</v>
      </c>
      <c r="D2084" t="s">
        <v>5586</v>
      </c>
      <c r="F2084" t="s">
        <v>22</v>
      </c>
      <c r="G2084" s="126">
        <f>SUMIFS('Support - Transition'!F:F,'Support - Transition'!B:B,'Step 2'!A2084,'Support - Transition'!C:C,'Step 2'!B2084,'Support - Transition'!D:D,'Step 2'!C2084,'Support - Transition'!E:E,"CIVIL")</f>
        <v>5.9599999999999996E-4</v>
      </c>
      <c r="H2084" s="126">
        <f>SUMIFS('Support - Transition'!F:F,'Support - Transition'!B:B,'Step 2'!A2084,'Support - Transition'!C:C,'Step 2'!B2084,'Support - Transition'!D:D,'Step 2'!C2084,'Support - Transition'!E:E,"FIRE")</f>
        <v>4.7399999999999997E-4</v>
      </c>
      <c r="I2084" s="126">
        <f>IF(B2084="0",SUMIFS('Support - Transition'!F:F,'Support - Transition'!J:J,'Step 2'!D2084,'Support - Transition'!E:E,"STATE UNIT"),SUMIFS('Support - Transition'!F:F,'Support - Transition'!J:J,'Step 2'!D2084))</f>
        <v>1.07E-3</v>
      </c>
      <c r="J2084" s="126">
        <f>SUMIFS('Support - Unit Adjustments'!E:E,'Support - Unit Adjustments'!F:F,'Step 2'!D2084)</f>
        <v>0</v>
      </c>
      <c r="K2084" s="126">
        <f t="shared" si="612"/>
        <v>1.07E-3</v>
      </c>
      <c r="L2084" s="174">
        <f>VLOOKUP(A2084,'Step 1'!$A:$E,4,FALSE)</f>
        <v>157577</v>
      </c>
      <c r="M2084" s="47">
        <f t="shared" si="613"/>
        <v>169</v>
      </c>
      <c r="N2084" s="177">
        <f>SUMIFS('Support - Transition'!G:G,'Support - Transition'!J:J,'Step 2'!D2084,'Support - Transition'!E:E,"2009 WELFARE ALLOCATION FACTOR")</f>
        <v>0</v>
      </c>
      <c r="O2084" s="152">
        <f t="shared" si="618"/>
        <v>0</v>
      </c>
      <c r="P2084" s="126">
        <f>IF(E2084="Y",0,SUMIFS('Support - Transition'!G:G,'Support - Transition'!J:J,'Step 2'!D2084,'Support - Transition'!E:E,"2009 SCHOOL ALLOCATION FACTOR"))</f>
        <v>0</v>
      </c>
      <c r="Q2084" s="126">
        <f>IF(E2084="Y",VLOOKUP(D2084,'Support - Unit Adjustments'!F:G,2,FALSE),0)</f>
        <v>0</v>
      </c>
      <c r="R2084" s="155">
        <f t="shared" si="630"/>
        <v>0</v>
      </c>
      <c r="S2084" s="47">
        <f t="shared" si="629"/>
        <v>0</v>
      </c>
      <c r="T2084" s="151">
        <f t="shared" si="614"/>
        <v>169</v>
      </c>
      <c r="U2084" s="151">
        <f t="shared" si="615"/>
        <v>0</v>
      </c>
      <c r="V2084" s="139">
        <f t="shared" si="616"/>
        <v>0</v>
      </c>
      <c r="W2084" s="152">
        <f t="shared" si="619"/>
        <v>169</v>
      </c>
      <c r="X2084" s="127" t="str">
        <f t="shared" si="617"/>
        <v/>
      </c>
      <c r="Y2084" s="207">
        <f t="shared" si="620"/>
        <v>169</v>
      </c>
      <c r="Z2084" s="139">
        <f t="shared" si="621"/>
        <v>94</v>
      </c>
      <c r="AA2084" s="139">
        <f t="shared" si="622"/>
        <v>75</v>
      </c>
      <c r="AC2084" s="47">
        <f t="shared" si="623"/>
        <v>85</v>
      </c>
      <c r="AD2084" s="47">
        <f t="shared" si="624"/>
        <v>47</v>
      </c>
      <c r="AE2084" s="47">
        <f t="shared" si="625"/>
        <v>38</v>
      </c>
      <c r="AG2084" s="47">
        <f t="shared" si="626"/>
        <v>84</v>
      </c>
      <c r="AH2084" s="47">
        <f t="shared" si="627"/>
        <v>47</v>
      </c>
      <c r="AI2084" s="208">
        <f t="shared" si="628"/>
        <v>37</v>
      </c>
    </row>
    <row r="2085" spans="1:35">
      <c r="A2085" t="s">
        <v>2153</v>
      </c>
      <c r="B2085" t="s">
        <v>3155</v>
      </c>
      <c r="C2085" t="s">
        <v>2443</v>
      </c>
      <c r="D2085" t="s">
        <v>5587</v>
      </c>
      <c r="F2085" t="s">
        <v>534</v>
      </c>
      <c r="G2085" s="126">
        <f>SUMIFS('Support - Transition'!F:F,'Support - Transition'!B:B,'Step 2'!A2085,'Support - Transition'!C:C,'Step 2'!B2085,'Support - Transition'!D:D,'Step 2'!C2085,'Support - Transition'!E:E,"CIVIL")</f>
        <v>0</v>
      </c>
      <c r="H2085" s="126">
        <f>SUMIFS('Support - Transition'!F:F,'Support - Transition'!B:B,'Step 2'!A2085,'Support - Transition'!C:C,'Step 2'!B2085,'Support - Transition'!D:D,'Step 2'!C2085,'Support - Transition'!E:E,"FIRE")</f>
        <v>0</v>
      </c>
      <c r="I2085" s="126">
        <f>IF(B2085="0",SUMIFS('Support - Transition'!F:F,'Support - Transition'!J:J,'Step 2'!D2085,'Support - Transition'!E:E,"STATE UNIT"),SUMIFS('Support - Transition'!F:F,'Support - Transition'!J:J,'Step 2'!D2085))</f>
        <v>4.2366000000000001E-2</v>
      </c>
      <c r="J2085" s="126">
        <f>SUMIFS('Support - Unit Adjustments'!E:E,'Support - Unit Adjustments'!F:F,'Step 2'!D2085)</f>
        <v>0</v>
      </c>
      <c r="K2085" s="126">
        <f t="shared" si="612"/>
        <v>4.2366000000000001E-2</v>
      </c>
      <c r="L2085" s="174">
        <f>VLOOKUP(A2085,'Step 1'!$A:$E,4,FALSE)</f>
        <v>157577</v>
      </c>
      <c r="M2085" s="47">
        <f t="shared" si="613"/>
        <v>6676</v>
      </c>
      <c r="N2085" s="177">
        <f>SUMIFS('Support - Transition'!G:G,'Support - Transition'!J:J,'Step 2'!D2085,'Support - Transition'!E:E,"2009 WELFARE ALLOCATION FACTOR")</f>
        <v>0</v>
      </c>
      <c r="O2085" s="152">
        <f t="shared" si="618"/>
        <v>0</v>
      </c>
      <c r="P2085" s="126">
        <f>IF(E2085="Y",0,SUMIFS('Support - Transition'!G:G,'Support - Transition'!J:J,'Step 2'!D2085,'Support - Transition'!E:E,"2009 SCHOOL ALLOCATION FACTOR"))</f>
        <v>0</v>
      </c>
      <c r="Q2085" s="126">
        <f>IF(E2085="Y",VLOOKUP(D2085,'Support - Unit Adjustments'!F:G,2,FALSE),0)</f>
        <v>0</v>
      </c>
      <c r="R2085" s="155">
        <f t="shared" si="630"/>
        <v>0</v>
      </c>
      <c r="S2085" s="47">
        <f t="shared" si="629"/>
        <v>0</v>
      </c>
      <c r="T2085" s="151">
        <f t="shared" si="614"/>
        <v>6676</v>
      </c>
      <c r="U2085" s="151">
        <f t="shared" si="615"/>
        <v>0</v>
      </c>
      <c r="V2085" s="139">
        <f t="shared" si="616"/>
        <v>0</v>
      </c>
      <c r="W2085" s="152">
        <f t="shared" si="619"/>
        <v>6676</v>
      </c>
      <c r="X2085" s="127" t="str">
        <f t="shared" si="617"/>
        <v/>
      </c>
      <c r="Y2085" s="207">
        <f t="shared" si="620"/>
        <v>6676</v>
      </c>
      <c r="Z2085" s="139">
        <f t="shared" si="621"/>
        <v>6676</v>
      </c>
      <c r="AA2085" s="139">
        <f t="shared" si="622"/>
        <v>0</v>
      </c>
      <c r="AC2085" s="47">
        <f t="shared" si="623"/>
        <v>3338</v>
      </c>
      <c r="AD2085" s="47">
        <f t="shared" si="624"/>
        <v>3338</v>
      </c>
      <c r="AE2085" s="47">
        <f t="shared" si="625"/>
        <v>0</v>
      </c>
      <c r="AG2085" s="47">
        <f t="shared" si="626"/>
        <v>3338</v>
      </c>
      <c r="AH2085" s="47">
        <f t="shared" si="627"/>
        <v>3338</v>
      </c>
      <c r="AI2085" s="208">
        <f t="shared" si="628"/>
        <v>0</v>
      </c>
    </row>
    <row r="2086" spans="1:35">
      <c r="A2086" t="s">
        <v>2153</v>
      </c>
      <c r="B2086" t="s">
        <v>3155</v>
      </c>
      <c r="C2086" t="s">
        <v>2979</v>
      </c>
      <c r="D2086" t="s">
        <v>5588</v>
      </c>
      <c r="F2086" t="s">
        <v>1523</v>
      </c>
      <c r="G2086" s="126">
        <f>SUMIFS('Support - Transition'!F:F,'Support - Transition'!B:B,'Step 2'!A2086,'Support - Transition'!C:C,'Step 2'!B2086,'Support - Transition'!D:D,'Step 2'!C2086,'Support - Transition'!E:E,"CIVIL")</f>
        <v>0</v>
      </c>
      <c r="H2086" s="126">
        <f>SUMIFS('Support - Transition'!F:F,'Support - Transition'!B:B,'Step 2'!A2086,'Support - Transition'!C:C,'Step 2'!B2086,'Support - Transition'!D:D,'Step 2'!C2086,'Support - Transition'!E:E,"FIRE")</f>
        <v>0</v>
      </c>
      <c r="I2086" s="126">
        <f>IF(B2086="0",SUMIFS('Support - Transition'!F:F,'Support - Transition'!J:J,'Step 2'!D2086,'Support - Transition'!E:E,"STATE UNIT"),SUMIFS('Support - Transition'!F:F,'Support - Transition'!J:J,'Step 2'!D2086))</f>
        <v>2.43E-4</v>
      </c>
      <c r="J2086" s="126">
        <f>SUMIFS('Support - Unit Adjustments'!E:E,'Support - Unit Adjustments'!F:F,'Step 2'!D2086)</f>
        <v>0</v>
      </c>
      <c r="K2086" s="126">
        <f t="shared" si="612"/>
        <v>2.43E-4</v>
      </c>
      <c r="L2086" s="174">
        <f>VLOOKUP(A2086,'Step 1'!$A:$E,4,FALSE)</f>
        <v>157577</v>
      </c>
      <c r="M2086" s="47">
        <f t="shared" si="613"/>
        <v>38</v>
      </c>
      <c r="N2086" s="177">
        <f>SUMIFS('Support - Transition'!G:G,'Support - Transition'!J:J,'Step 2'!D2086,'Support - Transition'!E:E,"2009 WELFARE ALLOCATION FACTOR")</f>
        <v>0</v>
      </c>
      <c r="O2086" s="152">
        <f t="shared" si="618"/>
        <v>0</v>
      </c>
      <c r="P2086" s="126">
        <f>IF(E2086="Y",0,SUMIFS('Support - Transition'!G:G,'Support - Transition'!J:J,'Step 2'!D2086,'Support - Transition'!E:E,"2009 SCHOOL ALLOCATION FACTOR"))</f>
        <v>0</v>
      </c>
      <c r="Q2086" s="126">
        <f>IF(E2086="Y",VLOOKUP(D2086,'Support - Unit Adjustments'!F:G,2,FALSE),0)</f>
        <v>0</v>
      </c>
      <c r="R2086" s="155">
        <f t="shared" si="630"/>
        <v>0</v>
      </c>
      <c r="S2086" s="47">
        <f t="shared" si="629"/>
        <v>0</v>
      </c>
      <c r="T2086" s="151">
        <f t="shared" si="614"/>
        <v>38</v>
      </c>
      <c r="U2086" s="151">
        <f t="shared" si="615"/>
        <v>0</v>
      </c>
      <c r="V2086" s="139">
        <f t="shared" si="616"/>
        <v>0</v>
      </c>
      <c r="W2086" s="152">
        <f t="shared" si="619"/>
        <v>38</v>
      </c>
      <c r="X2086" s="127" t="str">
        <f t="shared" si="617"/>
        <v/>
      </c>
      <c r="Y2086" s="207">
        <f t="shared" si="620"/>
        <v>38</v>
      </c>
      <c r="Z2086" s="139">
        <f t="shared" si="621"/>
        <v>38</v>
      </c>
      <c r="AA2086" s="139">
        <f t="shared" si="622"/>
        <v>0</v>
      </c>
      <c r="AC2086" s="47">
        <f t="shared" si="623"/>
        <v>19</v>
      </c>
      <c r="AD2086" s="47">
        <f t="shared" si="624"/>
        <v>19</v>
      </c>
      <c r="AE2086" s="47">
        <f t="shared" si="625"/>
        <v>0</v>
      </c>
      <c r="AG2086" s="47">
        <f t="shared" si="626"/>
        <v>19</v>
      </c>
      <c r="AH2086" s="47">
        <f t="shared" si="627"/>
        <v>19</v>
      </c>
      <c r="AI2086" s="208">
        <f t="shared" si="628"/>
        <v>0</v>
      </c>
    </row>
    <row r="2087" spans="1:35">
      <c r="A2087" t="s">
        <v>2153</v>
      </c>
      <c r="B2087" t="s">
        <v>3155</v>
      </c>
      <c r="C2087" t="s">
        <v>2980</v>
      </c>
      <c r="D2087" t="s">
        <v>5589</v>
      </c>
      <c r="F2087" t="s">
        <v>1524</v>
      </c>
      <c r="G2087" s="126">
        <f>SUMIFS('Support - Transition'!F:F,'Support - Transition'!B:B,'Step 2'!A2087,'Support - Transition'!C:C,'Step 2'!B2087,'Support - Transition'!D:D,'Step 2'!C2087,'Support - Transition'!E:E,"CIVIL")</f>
        <v>0</v>
      </c>
      <c r="H2087" s="126">
        <f>SUMIFS('Support - Transition'!F:F,'Support - Transition'!B:B,'Step 2'!A2087,'Support - Transition'!C:C,'Step 2'!B2087,'Support - Transition'!D:D,'Step 2'!C2087,'Support - Transition'!E:E,"FIRE")</f>
        <v>0</v>
      </c>
      <c r="I2087" s="126">
        <f>IF(B2087="0",SUMIFS('Support - Transition'!F:F,'Support - Transition'!J:J,'Step 2'!D2087,'Support - Transition'!E:E,"STATE UNIT"),SUMIFS('Support - Transition'!F:F,'Support - Transition'!J:J,'Step 2'!D2087))</f>
        <v>1.45E-4</v>
      </c>
      <c r="J2087" s="126">
        <f>SUMIFS('Support - Unit Adjustments'!E:E,'Support - Unit Adjustments'!F:F,'Step 2'!D2087)</f>
        <v>0</v>
      </c>
      <c r="K2087" s="126">
        <f t="shared" si="612"/>
        <v>1.45E-4</v>
      </c>
      <c r="L2087" s="174">
        <f>VLOOKUP(A2087,'Step 1'!$A:$E,4,FALSE)</f>
        <v>157577</v>
      </c>
      <c r="M2087" s="47">
        <f t="shared" si="613"/>
        <v>23</v>
      </c>
      <c r="N2087" s="177">
        <f>SUMIFS('Support - Transition'!G:G,'Support - Transition'!J:J,'Step 2'!D2087,'Support - Transition'!E:E,"2009 WELFARE ALLOCATION FACTOR")</f>
        <v>0</v>
      </c>
      <c r="O2087" s="152">
        <f t="shared" si="618"/>
        <v>0</v>
      </c>
      <c r="P2087" s="126">
        <f>IF(E2087="Y",0,SUMIFS('Support - Transition'!G:G,'Support - Transition'!J:J,'Step 2'!D2087,'Support - Transition'!E:E,"2009 SCHOOL ALLOCATION FACTOR"))</f>
        <v>0</v>
      </c>
      <c r="Q2087" s="126">
        <f>IF(E2087="Y",VLOOKUP(D2087,'Support - Unit Adjustments'!F:G,2,FALSE),0)</f>
        <v>0</v>
      </c>
      <c r="R2087" s="155">
        <f t="shared" si="630"/>
        <v>0</v>
      </c>
      <c r="S2087" s="47">
        <f t="shared" si="629"/>
        <v>0</v>
      </c>
      <c r="T2087" s="151">
        <f t="shared" si="614"/>
        <v>23</v>
      </c>
      <c r="U2087" s="151">
        <f t="shared" si="615"/>
        <v>0</v>
      </c>
      <c r="V2087" s="139">
        <f t="shared" si="616"/>
        <v>0</v>
      </c>
      <c r="W2087" s="152">
        <f t="shared" si="619"/>
        <v>23</v>
      </c>
      <c r="X2087" s="127" t="str">
        <f t="shared" si="617"/>
        <v/>
      </c>
      <c r="Y2087" s="207">
        <f t="shared" si="620"/>
        <v>23</v>
      </c>
      <c r="Z2087" s="139">
        <f t="shared" si="621"/>
        <v>23</v>
      </c>
      <c r="AA2087" s="139">
        <f t="shared" si="622"/>
        <v>0</v>
      </c>
      <c r="AC2087" s="47">
        <f t="shared" si="623"/>
        <v>12</v>
      </c>
      <c r="AD2087" s="47">
        <f t="shared" si="624"/>
        <v>12</v>
      </c>
      <c r="AE2087" s="47">
        <f t="shared" si="625"/>
        <v>0</v>
      </c>
      <c r="AG2087" s="47">
        <f t="shared" si="626"/>
        <v>11</v>
      </c>
      <c r="AH2087" s="47">
        <f t="shared" si="627"/>
        <v>11</v>
      </c>
      <c r="AI2087" s="208">
        <f t="shared" si="628"/>
        <v>0</v>
      </c>
    </row>
    <row r="2088" spans="1:35">
      <c r="A2088" t="s">
        <v>2153</v>
      </c>
      <c r="B2088" t="s">
        <v>3155</v>
      </c>
      <c r="C2088" t="s">
        <v>2981</v>
      </c>
      <c r="D2088" t="s">
        <v>5590</v>
      </c>
      <c r="F2088" t="s">
        <v>1521</v>
      </c>
      <c r="G2088" s="126">
        <f>SUMIFS('Support - Transition'!F:F,'Support - Transition'!B:B,'Step 2'!A2088,'Support - Transition'!C:C,'Step 2'!B2088,'Support - Transition'!D:D,'Step 2'!C2088,'Support - Transition'!E:E,"CIVIL")</f>
        <v>0</v>
      </c>
      <c r="H2088" s="126">
        <f>SUMIFS('Support - Transition'!F:F,'Support - Transition'!B:B,'Step 2'!A2088,'Support - Transition'!C:C,'Step 2'!B2088,'Support - Transition'!D:D,'Step 2'!C2088,'Support - Transition'!E:E,"FIRE")</f>
        <v>0</v>
      </c>
      <c r="I2088" s="126">
        <f>IF(B2088="0",SUMIFS('Support - Transition'!F:F,'Support - Transition'!J:J,'Step 2'!D2088,'Support - Transition'!E:E,"STATE UNIT"),SUMIFS('Support - Transition'!F:F,'Support - Transition'!J:J,'Step 2'!D2088))</f>
        <v>3.1350000000000002E-3</v>
      </c>
      <c r="J2088" s="126">
        <f>SUMIFS('Support - Unit Adjustments'!E:E,'Support - Unit Adjustments'!F:F,'Step 2'!D2088)</f>
        <v>0</v>
      </c>
      <c r="K2088" s="126">
        <f t="shared" si="612"/>
        <v>3.1350000000000002E-3</v>
      </c>
      <c r="L2088" s="174">
        <f>VLOOKUP(A2088,'Step 1'!$A:$E,4,FALSE)</f>
        <v>157577</v>
      </c>
      <c r="M2088" s="47">
        <f t="shared" si="613"/>
        <v>494</v>
      </c>
      <c r="N2088" s="177">
        <f>SUMIFS('Support - Transition'!G:G,'Support - Transition'!J:J,'Step 2'!D2088,'Support - Transition'!E:E,"2009 WELFARE ALLOCATION FACTOR")</f>
        <v>0</v>
      </c>
      <c r="O2088" s="152">
        <f t="shared" si="618"/>
        <v>0</v>
      </c>
      <c r="P2088" s="126">
        <f>IF(E2088="Y",0,SUMIFS('Support - Transition'!G:G,'Support - Transition'!J:J,'Step 2'!D2088,'Support - Transition'!E:E,"2009 SCHOOL ALLOCATION FACTOR"))</f>
        <v>0</v>
      </c>
      <c r="Q2088" s="126">
        <f>IF(E2088="Y",VLOOKUP(D2088,'Support - Unit Adjustments'!F:G,2,FALSE),0)</f>
        <v>0</v>
      </c>
      <c r="R2088" s="155">
        <f t="shared" si="630"/>
        <v>0</v>
      </c>
      <c r="S2088" s="47">
        <f t="shared" si="629"/>
        <v>0</v>
      </c>
      <c r="T2088" s="151">
        <f t="shared" si="614"/>
        <v>494</v>
      </c>
      <c r="U2088" s="151">
        <f t="shared" si="615"/>
        <v>0</v>
      </c>
      <c r="V2088" s="139">
        <f t="shared" si="616"/>
        <v>0</v>
      </c>
      <c r="W2088" s="152">
        <f t="shared" si="619"/>
        <v>494</v>
      </c>
      <c r="X2088" s="127" t="str">
        <f t="shared" si="617"/>
        <v/>
      </c>
      <c r="Y2088" s="207">
        <f t="shared" si="620"/>
        <v>494</v>
      </c>
      <c r="Z2088" s="139">
        <f t="shared" si="621"/>
        <v>494</v>
      </c>
      <c r="AA2088" s="139">
        <f t="shared" si="622"/>
        <v>0</v>
      </c>
      <c r="AC2088" s="47">
        <f t="shared" si="623"/>
        <v>247</v>
      </c>
      <c r="AD2088" s="47">
        <f t="shared" si="624"/>
        <v>247</v>
      </c>
      <c r="AE2088" s="47">
        <f t="shared" si="625"/>
        <v>0</v>
      </c>
      <c r="AG2088" s="47">
        <f t="shared" si="626"/>
        <v>247</v>
      </c>
      <c r="AH2088" s="47">
        <f t="shared" si="627"/>
        <v>247</v>
      </c>
      <c r="AI2088" s="208">
        <f t="shared" si="628"/>
        <v>0</v>
      </c>
    </row>
    <row r="2089" spans="1:35">
      <c r="A2089" t="s">
        <v>2153</v>
      </c>
      <c r="B2089" t="s">
        <v>3155</v>
      </c>
      <c r="C2089" t="s">
        <v>2982</v>
      </c>
      <c r="D2089" t="s">
        <v>5591</v>
      </c>
      <c r="F2089" t="s">
        <v>1516</v>
      </c>
      <c r="G2089" s="126">
        <f>SUMIFS('Support - Transition'!F:F,'Support - Transition'!B:B,'Step 2'!A2089,'Support - Transition'!C:C,'Step 2'!B2089,'Support - Transition'!D:D,'Step 2'!C2089,'Support - Transition'!E:E,"CIVIL")</f>
        <v>0</v>
      </c>
      <c r="H2089" s="126">
        <f>SUMIFS('Support - Transition'!F:F,'Support - Transition'!B:B,'Step 2'!A2089,'Support - Transition'!C:C,'Step 2'!B2089,'Support - Transition'!D:D,'Step 2'!C2089,'Support - Transition'!E:E,"FIRE")</f>
        <v>0</v>
      </c>
      <c r="I2089" s="126">
        <f>IF(B2089="0",SUMIFS('Support - Transition'!F:F,'Support - Transition'!J:J,'Step 2'!D2089,'Support - Transition'!E:E,"STATE UNIT"),SUMIFS('Support - Transition'!F:F,'Support - Transition'!J:J,'Step 2'!D2089))</f>
        <v>7.0600000000000003E-4</v>
      </c>
      <c r="J2089" s="126">
        <f>SUMIFS('Support - Unit Adjustments'!E:E,'Support - Unit Adjustments'!F:F,'Step 2'!D2089)</f>
        <v>0</v>
      </c>
      <c r="K2089" s="126">
        <f t="shared" si="612"/>
        <v>7.0600000000000003E-4</v>
      </c>
      <c r="L2089" s="174">
        <f>VLOOKUP(A2089,'Step 1'!$A:$E,4,FALSE)</f>
        <v>157577</v>
      </c>
      <c r="M2089" s="47">
        <f t="shared" si="613"/>
        <v>111</v>
      </c>
      <c r="N2089" s="177">
        <f>SUMIFS('Support - Transition'!G:G,'Support - Transition'!J:J,'Step 2'!D2089,'Support - Transition'!E:E,"2009 WELFARE ALLOCATION FACTOR")</f>
        <v>0</v>
      </c>
      <c r="O2089" s="152">
        <f t="shared" si="618"/>
        <v>0</v>
      </c>
      <c r="P2089" s="126">
        <f>IF(E2089="Y",0,SUMIFS('Support - Transition'!G:G,'Support - Transition'!J:J,'Step 2'!D2089,'Support - Transition'!E:E,"2009 SCHOOL ALLOCATION FACTOR"))</f>
        <v>0</v>
      </c>
      <c r="Q2089" s="126">
        <f>IF(E2089="Y",VLOOKUP(D2089,'Support - Unit Adjustments'!F:G,2,FALSE),0)</f>
        <v>0</v>
      </c>
      <c r="R2089" s="155">
        <f t="shared" si="630"/>
        <v>0</v>
      </c>
      <c r="S2089" s="47">
        <f t="shared" si="629"/>
        <v>0</v>
      </c>
      <c r="T2089" s="151">
        <f t="shared" si="614"/>
        <v>111</v>
      </c>
      <c r="U2089" s="151">
        <f t="shared" si="615"/>
        <v>0</v>
      </c>
      <c r="V2089" s="139">
        <f t="shared" si="616"/>
        <v>0</v>
      </c>
      <c r="W2089" s="152">
        <f t="shared" si="619"/>
        <v>111</v>
      </c>
      <c r="X2089" s="127" t="str">
        <f t="shared" si="617"/>
        <v/>
      </c>
      <c r="Y2089" s="207">
        <f t="shared" si="620"/>
        <v>111</v>
      </c>
      <c r="Z2089" s="139">
        <f t="shared" si="621"/>
        <v>111</v>
      </c>
      <c r="AA2089" s="139">
        <f t="shared" si="622"/>
        <v>0</v>
      </c>
      <c r="AC2089" s="47">
        <f t="shared" si="623"/>
        <v>56</v>
      </c>
      <c r="AD2089" s="47">
        <f t="shared" si="624"/>
        <v>56</v>
      </c>
      <c r="AE2089" s="47">
        <f t="shared" si="625"/>
        <v>0</v>
      </c>
      <c r="AG2089" s="47">
        <f t="shared" si="626"/>
        <v>55</v>
      </c>
      <c r="AH2089" s="47">
        <f t="shared" si="627"/>
        <v>55</v>
      </c>
      <c r="AI2089" s="208">
        <f t="shared" si="628"/>
        <v>0</v>
      </c>
    </row>
    <row r="2090" spans="1:35">
      <c r="A2090" t="s">
        <v>2153</v>
      </c>
      <c r="B2090" t="s">
        <v>3155</v>
      </c>
      <c r="C2090" t="s">
        <v>2983</v>
      </c>
      <c r="D2090" t="s">
        <v>5592</v>
      </c>
      <c r="F2090" t="s">
        <v>1525</v>
      </c>
      <c r="G2090" s="126">
        <f>SUMIFS('Support - Transition'!F:F,'Support - Transition'!B:B,'Step 2'!A2090,'Support - Transition'!C:C,'Step 2'!B2090,'Support - Transition'!D:D,'Step 2'!C2090,'Support - Transition'!E:E,"CIVIL")</f>
        <v>0</v>
      </c>
      <c r="H2090" s="126">
        <f>SUMIFS('Support - Transition'!F:F,'Support - Transition'!B:B,'Step 2'!A2090,'Support - Transition'!C:C,'Step 2'!B2090,'Support - Transition'!D:D,'Step 2'!C2090,'Support - Transition'!E:E,"FIRE")</f>
        <v>0</v>
      </c>
      <c r="I2090" s="126">
        <f>IF(B2090="0",SUMIFS('Support - Transition'!F:F,'Support - Transition'!J:J,'Step 2'!D2090,'Support - Transition'!E:E,"STATE UNIT"),SUMIFS('Support - Transition'!F:F,'Support - Transition'!J:J,'Step 2'!D2090))</f>
        <v>9.6360000000000005E-3</v>
      </c>
      <c r="J2090" s="126">
        <f>SUMIFS('Support - Unit Adjustments'!E:E,'Support - Unit Adjustments'!F:F,'Step 2'!D2090)</f>
        <v>0</v>
      </c>
      <c r="K2090" s="126">
        <f t="shared" si="612"/>
        <v>9.6360000000000005E-3</v>
      </c>
      <c r="L2090" s="174">
        <f>VLOOKUP(A2090,'Step 1'!$A:$E,4,FALSE)</f>
        <v>157577</v>
      </c>
      <c r="M2090" s="47">
        <f t="shared" si="613"/>
        <v>1518</v>
      </c>
      <c r="N2090" s="177">
        <f>SUMIFS('Support - Transition'!G:G,'Support - Transition'!J:J,'Step 2'!D2090,'Support - Transition'!E:E,"2009 WELFARE ALLOCATION FACTOR")</f>
        <v>0</v>
      </c>
      <c r="O2090" s="152">
        <f t="shared" si="618"/>
        <v>0</v>
      </c>
      <c r="P2090" s="126">
        <f>IF(E2090="Y",0,SUMIFS('Support - Transition'!G:G,'Support - Transition'!J:J,'Step 2'!D2090,'Support - Transition'!E:E,"2009 SCHOOL ALLOCATION FACTOR"))</f>
        <v>0</v>
      </c>
      <c r="Q2090" s="126">
        <f>IF(E2090="Y",VLOOKUP(D2090,'Support - Unit Adjustments'!F:G,2,FALSE),0)</f>
        <v>0</v>
      </c>
      <c r="R2090" s="155">
        <f t="shared" si="630"/>
        <v>0</v>
      </c>
      <c r="S2090" s="47">
        <f t="shared" si="629"/>
        <v>0</v>
      </c>
      <c r="T2090" s="151">
        <f t="shared" si="614"/>
        <v>1518</v>
      </c>
      <c r="U2090" s="151">
        <f t="shared" si="615"/>
        <v>0</v>
      </c>
      <c r="V2090" s="139">
        <f t="shared" si="616"/>
        <v>0</v>
      </c>
      <c r="W2090" s="152">
        <f t="shared" si="619"/>
        <v>1518</v>
      </c>
      <c r="X2090" s="127" t="str">
        <f t="shared" si="617"/>
        <v/>
      </c>
      <c r="Y2090" s="207">
        <f t="shared" si="620"/>
        <v>1518</v>
      </c>
      <c r="Z2090" s="139">
        <f t="shared" si="621"/>
        <v>1518</v>
      </c>
      <c r="AA2090" s="139">
        <f t="shared" si="622"/>
        <v>0</v>
      </c>
      <c r="AC2090" s="47">
        <f t="shared" si="623"/>
        <v>759</v>
      </c>
      <c r="AD2090" s="47">
        <f t="shared" si="624"/>
        <v>759</v>
      </c>
      <c r="AE2090" s="47">
        <f t="shared" si="625"/>
        <v>0</v>
      </c>
      <c r="AG2090" s="47">
        <f t="shared" si="626"/>
        <v>759</v>
      </c>
      <c r="AH2090" s="47">
        <f t="shared" si="627"/>
        <v>759</v>
      </c>
      <c r="AI2090" s="208">
        <f t="shared" si="628"/>
        <v>0</v>
      </c>
    </row>
    <row r="2091" spans="1:35">
      <c r="A2091" t="s">
        <v>2153</v>
      </c>
      <c r="B2091" t="s">
        <v>3155</v>
      </c>
      <c r="C2091" t="s">
        <v>2790</v>
      </c>
      <c r="D2091" t="s">
        <v>5593</v>
      </c>
      <c r="F2091" t="s">
        <v>1528</v>
      </c>
      <c r="G2091" s="126">
        <f>SUMIFS('Support - Transition'!F:F,'Support - Transition'!B:B,'Step 2'!A2091,'Support - Transition'!C:C,'Step 2'!B2091,'Support - Transition'!D:D,'Step 2'!C2091,'Support - Transition'!E:E,"CIVIL")</f>
        <v>0</v>
      </c>
      <c r="H2091" s="126">
        <f>SUMIFS('Support - Transition'!F:F,'Support - Transition'!B:B,'Step 2'!A2091,'Support - Transition'!C:C,'Step 2'!B2091,'Support - Transition'!D:D,'Step 2'!C2091,'Support - Transition'!E:E,"FIRE")</f>
        <v>0</v>
      </c>
      <c r="I2091" s="126">
        <f>IF(B2091="0",SUMIFS('Support - Transition'!F:F,'Support - Transition'!J:J,'Step 2'!D2091,'Support - Transition'!E:E,"STATE UNIT"),SUMIFS('Support - Transition'!F:F,'Support - Transition'!J:J,'Step 2'!D2091))</f>
        <v>0</v>
      </c>
      <c r="J2091" s="126">
        <f>SUMIFS('Support - Unit Adjustments'!E:E,'Support - Unit Adjustments'!F:F,'Step 2'!D2091)</f>
        <v>0</v>
      </c>
      <c r="K2091" s="126">
        <f t="shared" si="612"/>
        <v>0</v>
      </c>
      <c r="L2091" s="174">
        <f>VLOOKUP(A2091,'Step 1'!$A:$E,4,FALSE)</f>
        <v>157577</v>
      </c>
      <c r="M2091" s="47">
        <f t="shared" si="613"/>
        <v>0</v>
      </c>
      <c r="N2091" s="177">
        <f>SUMIFS('Support - Transition'!G:G,'Support - Transition'!J:J,'Step 2'!D2091,'Support - Transition'!E:E,"2009 WELFARE ALLOCATION FACTOR")</f>
        <v>0</v>
      </c>
      <c r="O2091" s="152">
        <f t="shared" si="618"/>
        <v>0</v>
      </c>
      <c r="P2091" s="126">
        <f>IF(E2091="Y",0,SUMIFS('Support - Transition'!G:G,'Support - Transition'!J:J,'Step 2'!D2091,'Support - Transition'!E:E,"2009 SCHOOL ALLOCATION FACTOR"))</f>
        <v>0</v>
      </c>
      <c r="Q2091" s="126">
        <f>IF(E2091="Y",VLOOKUP(D2091,'Support - Unit Adjustments'!F:G,2,FALSE),0)</f>
        <v>0</v>
      </c>
      <c r="R2091" s="155">
        <f t="shared" si="630"/>
        <v>0</v>
      </c>
      <c r="S2091" s="47">
        <f t="shared" si="629"/>
        <v>0</v>
      </c>
      <c r="T2091" s="151">
        <f t="shared" si="614"/>
        <v>0</v>
      </c>
      <c r="U2091" s="151">
        <f t="shared" si="615"/>
        <v>0</v>
      </c>
      <c r="V2091" s="139">
        <f t="shared" si="616"/>
        <v>0</v>
      </c>
      <c r="W2091" s="152">
        <f t="shared" si="619"/>
        <v>0</v>
      </c>
      <c r="X2091" s="127" t="str">
        <f t="shared" si="617"/>
        <v/>
      </c>
      <c r="Y2091" s="207">
        <f t="shared" si="620"/>
        <v>0</v>
      </c>
      <c r="Z2091" s="139">
        <f t="shared" si="621"/>
        <v>0</v>
      </c>
      <c r="AA2091" s="139">
        <f t="shared" si="622"/>
        <v>0</v>
      </c>
      <c r="AC2091" s="47">
        <f t="shared" si="623"/>
        <v>0</v>
      </c>
      <c r="AD2091" s="47">
        <f t="shared" si="624"/>
        <v>0</v>
      </c>
      <c r="AE2091" s="47">
        <f t="shared" si="625"/>
        <v>0</v>
      </c>
      <c r="AG2091" s="47">
        <f t="shared" si="626"/>
        <v>0</v>
      </c>
      <c r="AH2091" s="47">
        <f t="shared" si="627"/>
        <v>0</v>
      </c>
      <c r="AI2091" s="208">
        <f t="shared" si="628"/>
        <v>0</v>
      </c>
    </row>
    <row r="2092" spans="1:35">
      <c r="A2092" t="s">
        <v>2153</v>
      </c>
      <c r="B2092" t="s">
        <v>3160</v>
      </c>
      <c r="C2092" t="s">
        <v>2350</v>
      </c>
      <c r="D2092" t="s">
        <v>5594</v>
      </c>
      <c r="F2092" t="s">
        <v>3632</v>
      </c>
      <c r="G2092" s="126">
        <f>SUMIFS('Support - Transition'!F:F,'Support - Transition'!B:B,'Step 2'!A2092,'Support - Transition'!C:C,'Step 2'!B2092,'Support - Transition'!D:D,'Step 2'!C2092,'Support - Transition'!E:E,"CIVIL")</f>
        <v>0</v>
      </c>
      <c r="H2092" s="126">
        <f>SUMIFS('Support - Transition'!F:F,'Support - Transition'!B:B,'Step 2'!A2092,'Support - Transition'!C:C,'Step 2'!B2092,'Support - Transition'!D:D,'Step 2'!C2092,'Support - Transition'!E:E,"FIRE")</f>
        <v>0</v>
      </c>
      <c r="I2092" s="126">
        <f>IF(B2092="0",SUMIFS('Support - Transition'!F:F,'Support - Transition'!J:J,'Step 2'!D2092,'Support - Transition'!E:E,"STATE UNIT"),SUMIFS('Support - Transition'!F:F,'Support - Transition'!J:J,'Step 2'!D2092))</f>
        <v>4.3448000000000001E-2</v>
      </c>
      <c r="J2092" s="126">
        <f>SUMIFS('Support - Unit Adjustments'!E:E,'Support - Unit Adjustments'!F:F,'Step 2'!D2092)</f>
        <v>0</v>
      </c>
      <c r="K2092" s="126">
        <f t="shared" si="612"/>
        <v>4.3448000000000001E-2</v>
      </c>
      <c r="L2092" s="174">
        <f>VLOOKUP(A2092,'Step 1'!$A:$E,4,FALSE)</f>
        <v>157577</v>
      </c>
      <c r="M2092" s="47">
        <f t="shared" si="613"/>
        <v>6846</v>
      </c>
      <c r="N2092" s="177">
        <f>SUMIFS('Support - Transition'!G:G,'Support - Transition'!J:J,'Step 2'!D2092,'Support - Transition'!E:E,"2009 WELFARE ALLOCATION FACTOR")</f>
        <v>0</v>
      </c>
      <c r="O2092" s="152">
        <f t="shared" si="618"/>
        <v>0</v>
      </c>
      <c r="P2092" s="126">
        <f>IF(E2092="Y",0,SUMIFS('Support - Transition'!G:G,'Support - Transition'!J:J,'Step 2'!D2092,'Support - Transition'!E:E,"2009 SCHOOL ALLOCATION FACTOR"))</f>
        <v>0.37737900000000002</v>
      </c>
      <c r="Q2092" s="126">
        <f>IF(E2092="Y",VLOOKUP(D2092,'Support - Unit Adjustments'!F:G,2,FALSE),0)</f>
        <v>0</v>
      </c>
      <c r="R2092" s="155">
        <f t="shared" si="630"/>
        <v>0.37737900000000002</v>
      </c>
      <c r="S2092" s="47">
        <f t="shared" si="629"/>
        <v>2584</v>
      </c>
      <c r="T2092" s="151">
        <f t="shared" si="614"/>
        <v>4262</v>
      </c>
      <c r="U2092" s="151">
        <f t="shared" si="615"/>
        <v>0</v>
      </c>
      <c r="V2092" s="139">
        <f t="shared" si="616"/>
        <v>0</v>
      </c>
      <c r="W2092" s="152">
        <f t="shared" si="619"/>
        <v>4262</v>
      </c>
      <c r="X2092" s="127" t="str">
        <f t="shared" si="617"/>
        <v/>
      </c>
      <c r="Y2092" s="207">
        <f t="shared" si="620"/>
        <v>4262</v>
      </c>
      <c r="Z2092" s="139">
        <f t="shared" si="621"/>
        <v>4262</v>
      </c>
      <c r="AA2092" s="139">
        <f t="shared" si="622"/>
        <v>0</v>
      </c>
      <c r="AC2092" s="47">
        <f t="shared" si="623"/>
        <v>2131</v>
      </c>
      <c r="AD2092" s="47">
        <f t="shared" si="624"/>
        <v>2131</v>
      </c>
      <c r="AE2092" s="47">
        <f t="shared" si="625"/>
        <v>0</v>
      </c>
      <c r="AG2092" s="47">
        <f t="shared" si="626"/>
        <v>2131</v>
      </c>
      <c r="AH2092" s="47">
        <f t="shared" si="627"/>
        <v>2131</v>
      </c>
      <c r="AI2092" s="208">
        <f t="shared" si="628"/>
        <v>0</v>
      </c>
    </row>
    <row r="2093" spans="1:35">
      <c r="A2093" t="s">
        <v>2153</v>
      </c>
      <c r="B2093" t="s">
        <v>3160</v>
      </c>
      <c r="C2093" t="s">
        <v>2984</v>
      </c>
      <c r="D2093" t="s">
        <v>5595</v>
      </c>
      <c r="F2093" t="s">
        <v>5596</v>
      </c>
      <c r="G2093" s="126">
        <f>SUMIFS('Support - Transition'!F:F,'Support - Transition'!B:B,'Step 2'!A2093,'Support - Transition'!C:C,'Step 2'!B2093,'Support - Transition'!D:D,'Step 2'!C2093,'Support - Transition'!E:E,"CIVIL")</f>
        <v>0</v>
      </c>
      <c r="H2093" s="126">
        <f>SUMIFS('Support - Transition'!F:F,'Support - Transition'!B:B,'Step 2'!A2093,'Support - Transition'!C:C,'Step 2'!B2093,'Support - Transition'!D:D,'Step 2'!C2093,'Support - Transition'!E:E,"FIRE")</f>
        <v>0</v>
      </c>
      <c r="I2093" s="126">
        <f>IF(B2093="0",SUMIFS('Support - Transition'!F:F,'Support - Transition'!J:J,'Step 2'!D2093,'Support - Transition'!E:E,"STATE UNIT"),SUMIFS('Support - Transition'!F:F,'Support - Transition'!J:J,'Step 2'!D2093))</f>
        <v>0.22375600000000001</v>
      </c>
      <c r="J2093" s="126">
        <f>SUMIFS('Support - Unit Adjustments'!E:E,'Support - Unit Adjustments'!F:F,'Step 2'!D2093)</f>
        <v>0</v>
      </c>
      <c r="K2093" s="126">
        <f t="shared" si="612"/>
        <v>0.22375600000000001</v>
      </c>
      <c r="L2093" s="174">
        <f>VLOOKUP(A2093,'Step 1'!$A:$E,4,FALSE)</f>
        <v>157577</v>
      </c>
      <c r="M2093" s="47">
        <f t="shared" si="613"/>
        <v>35259</v>
      </c>
      <c r="N2093" s="177">
        <f>SUMIFS('Support - Transition'!G:G,'Support - Transition'!J:J,'Step 2'!D2093,'Support - Transition'!E:E,"2009 WELFARE ALLOCATION FACTOR")</f>
        <v>0</v>
      </c>
      <c r="O2093" s="152">
        <f t="shared" si="618"/>
        <v>0</v>
      </c>
      <c r="P2093" s="126">
        <f>IF(E2093="Y",0,SUMIFS('Support - Transition'!G:G,'Support - Transition'!J:J,'Step 2'!D2093,'Support - Transition'!E:E,"2009 SCHOOL ALLOCATION FACTOR"))</f>
        <v>0.42991099999999999</v>
      </c>
      <c r="Q2093" s="126">
        <f>IF(E2093="Y",VLOOKUP(D2093,'Support - Unit Adjustments'!F:G,2,FALSE),0)</f>
        <v>0</v>
      </c>
      <c r="R2093" s="155">
        <f t="shared" si="630"/>
        <v>0.42991099999999999</v>
      </c>
      <c r="S2093" s="47">
        <f t="shared" si="629"/>
        <v>15158</v>
      </c>
      <c r="T2093" s="151">
        <f t="shared" si="614"/>
        <v>20101</v>
      </c>
      <c r="U2093" s="151">
        <f t="shared" si="615"/>
        <v>0</v>
      </c>
      <c r="V2093" s="139">
        <f t="shared" si="616"/>
        <v>0</v>
      </c>
      <c r="W2093" s="152">
        <f t="shared" si="619"/>
        <v>20101</v>
      </c>
      <c r="X2093" s="127" t="str">
        <f t="shared" si="617"/>
        <v/>
      </c>
      <c r="Y2093" s="207">
        <f t="shared" si="620"/>
        <v>20101</v>
      </c>
      <c r="Z2093" s="139">
        <f t="shared" si="621"/>
        <v>20101</v>
      </c>
      <c r="AA2093" s="139">
        <f t="shared" si="622"/>
        <v>0</v>
      </c>
      <c r="AC2093" s="47">
        <f t="shared" si="623"/>
        <v>10051</v>
      </c>
      <c r="AD2093" s="47">
        <f t="shared" si="624"/>
        <v>10051</v>
      </c>
      <c r="AE2093" s="47">
        <f t="shared" si="625"/>
        <v>0</v>
      </c>
      <c r="AG2093" s="47">
        <f t="shared" si="626"/>
        <v>10050</v>
      </c>
      <c r="AH2093" s="47">
        <f t="shared" si="627"/>
        <v>10050</v>
      </c>
      <c r="AI2093" s="208">
        <f t="shared" si="628"/>
        <v>0</v>
      </c>
    </row>
    <row r="2094" spans="1:35">
      <c r="A2094" t="s">
        <v>2153</v>
      </c>
      <c r="B2094" t="s">
        <v>3160</v>
      </c>
      <c r="C2094" t="s">
        <v>2450</v>
      </c>
      <c r="D2094" t="s">
        <v>5597</v>
      </c>
      <c r="F2094" t="s">
        <v>540</v>
      </c>
      <c r="G2094" s="126">
        <f>SUMIFS('Support - Transition'!F:F,'Support - Transition'!B:B,'Step 2'!A2094,'Support - Transition'!C:C,'Step 2'!B2094,'Support - Transition'!D:D,'Step 2'!C2094,'Support - Transition'!E:E,"CIVIL")</f>
        <v>0</v>
      </c>
      <c r="H2094" s="126">
        <f>SUMIFS('Support - Transition'!F:F,'Support - Transition'!B:B,'Step 2'!A2094,'Support - Transition'!C:C,'Step 2'!B2094,'Support - Transition'!D:D,'Step 2'!C2094,'Support - Transition'!E:E,"FIRE")</f>
        <v>0</v>
      </c>
      <c r="I2094" s="126">
        <f>IF(B2094="0",SUMIFS('Support - Transition'!F:F,'Support - Transition'!J:J,'Step 2'!D2094,'Support - Transition'!E:E,"STATE UNIT"),SUMIFS('Support - Transition'!F:F,'Support - Transition'!J:J,'Step 2'!D2094))</f>
        <v>0.22110099999999999</v>
      </c>
      <c r="J2094" s="126">
        <f>SUMIFS('Support - Unit Adjustments'!E:E,'Support - Unit Adjustments'!F:F,'Step 2'!D2094)</f>
        <v>0</v>
      </c>
      <c r="K2094" s="126">
        <f t="shared" si="612"/>
        <v>0.22110099999999999</v>
      </c>
      <c r="L2094" s="174">
        <f>VLOOKUP(A2094,'Step 1'!$A:$E,4,FALSE)</f>
        <v>157577</v>
      </c>
      <c r="M2094" s="47">
        <f t="shared" si="613"/>
        <v>34840</v>
      </c>
      <c r="N2094" s="177">
        <f>SUMIFS('Support - Transition'!G:G,'Support - Transition'!J:J,'Step 2'!D2094,'Support - Transition'!E:E,"2009 WELFARE ALLOCATION FACTOR")</f>
        <v>0</v>
      </c>
      <c r="O2094" s="152">
        <f t="shared" si="618"/>
        <v>0</v>
      </c>
      <c r="P2094" s="126">
        <f>IF(E2094="Y",0,SUMIFS('Support - Transition'!G:G,'Support - Transition'!J:J,'Step 2'!D2094,'Support - Transition'!E:E,"2009 SCHOOL ALLOCATION FACTOR"))</f>
        <v>0.52627299999999999</v>
      </c>
      <c r="Q2094" s="126">
        <f>IF(E2094="Y",VLOOKUP(D2094,'Support - Unit Adjustments'!F:G,2,FALSE),0)</f>
        <v>0</v>
      </c>
      <c r="R2094" s="155">
        <f t="shared" si="630"/>
        <v>0.52627299999999999</v>
      </c>
      <c r="S2094" s="47">
        <f t="shared" si="629"/>
        <v>18335</v>
      </c>
      <c r="T2094" s="151">
        <f t="shared" si="614"/>
        <v>16505</v>
      </c>
      <c r="U2094" s="151">
        <f t="shared" si="615"/>
        <v>0</v>
      </c>
      <c r="V2094" s="139">
        <f t="shared" si="616"/>
        <v>0</v>
      </c>
      <c r="W2094" s="152">
        <f t="shared" si="619"/>
        <v>16505</v>
      </c>
      <c r="X2094" s="127" t="str">
        <f t="shared" si="617"/>
        <v/>
      </c>
      <c r="Y2094" s="207">
        <f t="shared" si="620"/>
        <v>16505</v>
      </c>
      <c r="Z2094" s="139">
        <f t="shared" si="621"/>
        <v>16505</v>
      </c>
      <c r="AA2094" s="139">
        <f t="shared" si="622"/>
        <v>0</v>
      </c>
      <c r="AC2094" s="47">
        <f t="shared" si="623"/>
        <v>8253</v>
      </c>
      <c r="AD2094" s="47">
        <f t="shared" si="624"/>
        <v>8253</v>
      </c>
      <c r="AE2094" s="47">
        <f t="shared" si="625"/>
        <v>0</v>
      </c>
      <c r="AG2094" s="47">
        <f t="shared" si="626"/>
        <v>8252</v>
      </c>
      <c r="AH2094" s="47">
        <f t="shared" si="627"/>
        <v>8252</v>
      </c>
      <c r="AI2094" s="208">
        <f t="shared" si="628"/>
        <v>0</v>
      </c>
    </row>
    <row r="2095" spans="1:35">
      <c r="A2095" t="s">
        <v>2153</v>
      </c>
      <c r="B2095" t="s">
        <v>3160</v>
      </c>
      <c r="C2095" t="s">
        <v>2985</v>
      </c>
      <c r="D2095" t="s">
        <v>5598</v>
      </c>
      <c r="F2095" t="s">
        <v>1518</v>
      </c>
      <c r="G2095" s="126">
        <f>SUMIFS('Support - Transition'!F:F,'Support - Transition'!B:B,'Step 2'!A2095,'Support - Transition'!C:C,'Step 2'!B2095,'Support - Transition'!D:D,'Step 2'!C2095,'Support - Transition'!E:E,"CIVIL")</f>
        <v>0</v>
      </c>
      <c r="H2095" s="126">
        <f>SUMIFS('Support - Transition'!F:F,'Support - Transition'!B:B,'Step 2'!A2095,'Support - Transition'!C:C,'Step 2'!B2095,'Support - Transition'!D:D,'Step 2'!C2095,'Support - Transition'!E:E,"FIRE")</f>
        <v>0</v>
      </c>
      <c r="I2095" s="126">
        <f>IF(B2095="0",SUMIFS('Support - Transition'!F:F,'Support - Transition'!J:J,'Step 2'!D2095,'Support - Transition'!E:E,"STATE UNIT"),SUMIFS('Support - Transition'!F:F,'Support - Transition'!J:J,'Step 2'!D2095))</f>
        <v>8.5785E-2</v>
      </c>
      <c r="J2095" s="126">
        <f>SUMIFS('Support - Unit Adjustments'!E:E,'Support - Unit Adjustments'!F:F,'Step 2'!D2095)</f>
        <v>0</v>
      </c>
      <c r="K2095" s="126">
        <f t="shared" si="612"/>
        <v>8.5785E-2</v>
      </c>
      <c r="L2095" s="174">
        <f>VLOOKUP(A2095,'Step 1'!$A:$E,4,FALSE)</f>
        <v>157577</v>
      </c>
      <c r="M2095" s="47">
        <f t="shared" si="613"/>
        <v>13518</v>
      </c>
      <c r="N2095" s="177">
        <f>SUMIFS('Support - Transition'!G:G,'Support - Transition'!J:J,'Step 2'!D2095,'Support - Transition'!E:E,"2009 WELFARE ALLOCATION FACTOR")</f>
        <v>0</v>
      </c>
      <c r="O2095" s="152">
        <f t="shared" si="618"/>
        <v>0</v>
      </c>
      <c r="P2095" s="126">
        <f>IF(E2095="Y",0,SUMIFS('Support - Transition'!G:G,'Support - Transition'!J:J,'Step 2'!D2095,'Support - Transition'!E:E,"2009 SCHOOL ALLOCATION FACTOR"))</f>
        <v>0.41567700000000002</v>
      </c>
      <c r="Q2095" s="126">
        <f>IF(E2095="Y",VLOOKUP(D2095,'Support - Unit Adjustments'!F:G,2,FALSE),0)</f>
        <v>0</v>
      </c>
      <c r="R2095" s="155">
        <f t="shared" si="630"/>
        <v>0.41567700000000002</v>
      </c>
      <c r="S2095" s="47">
        <f t="shared" si="629"/>
        <v>5619</v>
      </c>
      <c r="T2095" s="151">
        <f t="shared" si="614"/>
        <v>7899</v>
      </c>
      <c r="U2095" s="151">
        <f t="shared" si="615"/>
        <v>0</v>
      </c>
      <c r="V2095" s="139">
        <f t="shared" si="616"/>
        <v>0</v>
      </c>
      <c r="W2095" s="152">
        <f t="shared" si="619"/>
        <v>7899</v>
      </c>
      <c r="X2095" s="127" t="str">
        <f t="shared" si="617"/>
        <v/>
      </c>
      <c r="Y2095" s="207">
        <f t="shared" si="620"/>
        <v>7899</v>
      </c>
      <c r="Z2095" s="139">
        <f t="shared" si="621"/>
        <v>7899</v>
      </c>
      <c r="AA2095" s="139">
        <f t="shared" si="622"/>
        <v>0</v>
      </c>
      <c r="AC2095" s="47">
        <f t="shared" si="623"/>
        <v>3950</v>
      </c>
      <c r="AD2095" s="47">
        <f t="shared" si="624"/>
        <v>3950</v>
      </c>
      <c r="AE2095" s="47">
        <f t="shared" si="625"/>
        <v>0</v>
      </c>
      <c r="AG2095" s="47">
        <f t="shared" si="626"/>
        <v>3949</v>
      </c>
      <c r="AH2095" s="47">
        <f t="shared" si="627"/>
        <v>3949</v>
      </c>
      <c r="AI2095" s="208">
        <f t="shared" si="628"/>
        <v>0</v>
      </c>
    </row>
    <row r="2096" spans="1:35">
      <c r="A2096" t="s">
        <v>2153</v>
      </c>
      <c r="B2096" t="s">
        <v>3160</v>
      </c>
      <c r="C2096" t="s">
        <v>2986</v>
      </c>
      <c r="D2096" t="s">
        <v>5599</v>
      </c>
      <c r="F2096" t="s">
        <v>1522</v>
      </c>
      <c r="G2096" s="126">
        <f>SUMIFS('Support - Transition'!F:F,'Support - Transition'!B:B,'Step 2'!A2096,'Support - Transition'!C:C,'Step 2'!B2096,'Support - Transition'!D:D,'Step 2'!C2096,'Support - Transition'!E:E,"CIVIL")</f>
        <v>0</v>
      </c>
      <c r="H2096" s="126">
        <f>SUMIFS('Support - Transition'!F:F,'Support - Transition'!B:B,'Step 2'!A2096,'Support - Transition'!C:C,'Step 2'!B2096,'Support - Transition'!D:D,'Step 2'!C2096,'Support - Transition'!E:E,"FIRE")</f>
        <v>0</v>
      </c>
      <c r="I2096" s="126">
        <f>IF(B2096="0",SUMIFS('Support - Transition'!F:F,'Support - Transition'!J:J,'Step 2'!D2096,'Support - Transition'!E:E,"STATE UNIT"),SUMIFS('Support - Transition'!F:F,'Support - Transition'!J:J,'Step 2'!D2096))</f>
        <v>0.14685500000000001</v>
      </c>
      <c r="J2096" s="126">
        <f>SUMIFS('Support - Unit Adjustments'!E:E,'Support - Unit Adjustments'!F:F,'Step 2'!D2096)</f>
        <v>0</v>
      </c>
      <c r="K2096" s="126">
        <f t="shared" si="612"/>
        <v>0.14685500000000001</v>
      </c>
      <c r="L2096" s="174">
        <f>VLOOKUP(A2096,'Step 1'!$A:$E,4,FALSE)</f>
        <v>157577</v>
      </c>
      <c r="M2096" s="47">
        <f t="shared" si="613"/>
        <v>23141</v>
      </c>
      <c r="N2096" s="177">
        <f>SUMIFS('Support - Transition'!G:G,'Support - Transition'!J:J,'Step 2'!D2096,'Support - Transition'!E:E,"2009 WELFARE ALLOCATION FACTOR")</f>
        <v>0</v>
      </c>
      <c r="O2096" s="152">
        <f t="shared" si="618"/>
        <v>0</v>
      </c>
      <c r="P2096" s="126">
        <f>IF(E2096="Y",0,SUMIFS('Support - Transition'!G:G,'Support - Transition'!J:J,'Step 2'!D2096,'Support - Transition'!E:E,"2009 SCHOOL ALLOCATION FACTOR"))</f>
        <v>0.35720400000000002</v>
      </c>
      <c r="Q2096" s="126">
        <f>IF(E2096="Y",VLOOKUP(D2096,'Support - Unit Adjustments'!F:G,2,FALSE),0)</f>
        <v>0</v>
      </c>
      <c r="R2096" s="155">
        <f t="shared" si="630"/>
        <v>0.35720400000000002</v>
      </c>
      <c r="S2096" s="47">
        <f t="shared" si="629"/>
        <v>8266</v>
      </c>
      <c r="T2096" s="151">
        <f t="shared" si="614"/>
        <v>14875</v>
      </c>
      <c r="U2096" s="151">
        <f t="shared" si="615"/>
        <v>0</v>
      </c>
      <c r="V2096" s="139">
        <f t="shared" si="616"/>
        <v>0</v>
      </c>
      <c r="W2096" s="152">
        <f t="shared" si="619"/>
        <v>14875</v>
      </c>
      <c r="X2096" s="127" t="str">
        <f t="shared" si="617"/>
        <v/>
      </c>
      <c r="Y2096" s="207">
        <f t="shared" si="620"/>
        <v>14875</v>
      </c>
      <c r="Z2096" s="139">
        <f t="shared" si="621"/>
        <v>14875</v>
      </c>
      <c r="AA2096" s="139">
        <f t="shared" si="622"/>
        <v>0</v>
      </c>
      <c r="AC2096" s="47">
        <f t="shared" si="623"/>
        <v>7438</v>
      </c>
      <c r="AD2096" s="47">
        <f t="shared" si="624"/>
        <v>7438</v>
      </c>
      <c r="AE2096" s="47">
        <f t="shared" si="625"/>
        <v>0</v>
      </c>
      <c r="AG2096" s="47">
        <f t="shared" si="626"/>
        <v>7437</v>
      </c>
      <c r="AH2096" s="47">
        <f t="shared" si="627"/>
        <v>7437</v>
      </c>
      <c r="AI2096" s="208">
        <f t="shared" si="628"/>
        <v>0</v>
      </c>
    </row>
    <row r="2097" spans="1:35">
      <c r="A2097" t="s">
        <v>2153</v>
      </c>
      <c r="B2097" t="s">
        <v>3166</v>
      </c>
      <c r="C2097" t="s">
        <v>2452</v>
      </c>
      <c r="D2097" t="s">
        <v>5600</v>
      </c>
      <c r="F2097" t="s">
        <v>543</v>
      </c>
      <c r="G2097" s="126">
        <f>SUMIFS('Support - Transition'!F:F,'Support - Transition'!B:B,'Step 2'!A2097,'Support - Transition'!C:C,'Step 2'!B2097,'Support - Transition'!D:D,'Step 2'!C2097,'Support - Transition'!E:E,"CIVIL")</f>
        <v>0</v>
      </c>
      <c r="H2097" s="126">
        <f>SUMIFS('Support - Transition'!F:F,'Support - Transition'!B:B,'Step 2'!A2097,'Support - Transition'!C:C,'Step 2'!B2097,'Support - Transition'!D:D,'Step 2'!C2097,'Support - Transition'!E:E,"FIRE")</f>
        <v>0</v>
      </c>
      <c r="I2097" s="126">
        <f>IF(B2097="0",SUMIFS('Support - Transition'!F:F,'Support - Transition'!J:J,'Step 2'!D2097,'Support - Transition'!E:E,"STATE UNIT"),SUMIFS('Support - Transition'!F:F,'Support - Transition'!J:J,'Step 2'!D2097))</f>
        <v>8.8719999999999997E-3</v>
      </c>
      <c r="J2097" s="126">
        <f>SUMIFS('Support - Unit Adjustments'!E:E,'Support - Unit Adjustments'!F:F,'Step 2'!D2097)</f>
        <v>0</v>
      </c>
      <c r="K2097" s="126">
        <f t="shared" si="612"/>
        <v>8.8719999999999997E-3</v>
      </c>
      <c r="L2097" s="174">
        <f>VLOOKUP(A2097,'Step 1'!$A:$E,4,FALSE)</f>
        <v>157577</v>
      </c>
      <c r="M2097" s="47">
        <f t="shared" si="613"/>
        <v>1398</v>
      </c>
      <c r="N2097" s="177">
        <f>SUMIFS('Support - Transition'!G:G,'Support - Transition'!J:J,'Step 2'!D2097,'Support - Transition'!E:E,"2009 WELFARE ALLOCATION FACTOR")</f>
        <v>0</v>
      </c>
      <c r="O2097" s="152">
        <f t="shared" si="618"/>
        <v>0</v>
      </c>
      <c r="P2097" s="126">
        <f>IF(E2097="Y",0,SUMIFS('Support - Transition'!G:G,'Support - Transition'!J:J,'Step 2'!D2097,'Support - Transition'!E:E,"2009 SCHOOL ALLOCATION FACTOR"))</f>
        <v>0</v>
      </c>
      <c r="Q2097" s="126">
        <f>IF(E2097="Y",VLOOKUP(D2097,'Support - Unit Adjustments'!F:G,2,FALSE),0)</f>
        <v>0</v>
      </c>
      <c r="R2097" s="155">
        <f t="shared" si="630"/>
        <v>0</v>
      </c>
      <c r="S2097" s="47">
        <f t="shared" si="629"/>
        <v>0</v>
      </c>
      <c r="T2097" s="151">
        <f t="shared" si="614"/>
        <v>1398</v>
      </c>
      <c r="U2097" s="151">
        <f t="shared" si="615"/>
        <v>0</v>
      </c>
      <c r="V2097" s="139">
        <f t="shared" si="616"/>
        <v>0</v>
      </c>
      <c r="W2097" s="152">
        <f t="shared" si="619"/>
        <v>1398</v>
      </c>
      <c r="X2097" s="127" t="str">
        <f t="shared" si="617"/>
        <v/>
      </c>
      <c r="Y2097" s="207">
        <f t="shared" si="620"/>
        <v>1398</v>
      </c>
      <c r="Z2097" s="139">
        <f t="shared" si="621"/>
        <v>1398</v>
      </c>
      <c r="AA2097" s="139">
        <f t="shared" si="622"/>
        <v>0</v>
      </c>
      <c r="AC2097" s="47">
        <f t="shared" si="623"/>
        <v>699</v>
      </c>
      <c r="AD2097" s="47">
        <f t="shared" si="624"/>
        <v>699</v>
      </c>
      <c r="AE2097" s="47">
        <f t="shared" si="625"/>
        <v>0</v>
      </c>
      <c r="AG2097" s="47">
        <f t="shared" si="626"/>
        <v>699</v>
      </c>
      <c r="AH2097" s="47">
        <f t="shared" si="627"/>
        <v>699</v>
      </c>
      <c r="AI2097" s="208">
        <f t="shared" si="628"/>
        <v>0</v>
      </c>
    </row>
    <row r="2098" spans="1:35">
      <c r="A2098" t="s">
        <v>2153</v>
      </c>
      <c r="B2098" t="s">
        <v>3166</v>
      </c>
      <c r="C2098" t="s">
        <v>2229</v>
      </c>
      <c r="D2098" t="s">
        <v>5601</v>
      </c>
      <c r="F2098" t="s">
        <v>1519</v>
      </c>
      <c r="G2098" s="126">
        <f>SUMIFS('Support - Transition'!F:F,'Support - Transition'!B:B,'Step 2'!A2098,'Support - Transition'!C:C,'Step 2'!B2098,'Support - Transition'!D:D,'Step 2'!C2098,'Support - Transition'!E:E,"CIVIL")</f>
        <v>0</v>
      </c>
      <c r="H2098" s="126">
        <f>SUMIFS('Support - Transition'!F:F,'Support - Transition'!B:B,'Step 2'!A2098,'Support - Transition'!C:C,'Step 2'!B2098,'Support - Transition'!D:D,'Step 2'!C2098,'Support - Transition'!E:E,"FIRE")</f>
        <v>0</v>
      </c>
      <c r="I2098" s="126">
        <f>IF(B2098="0",SUMIFS('Support - Transition'!F:F,'Support - Transition'!J:J,'Step 2'!D2098,'Support - Transition'!E:E,"STATE UNIT"),SUMIFS('Support - Transition'!F:F,'Support - Transition'!J:J,'Step 2'!D2098))</f>
        <v>9.8299999999999993E-4</v>
      </c>
      <c r="J2098" s="126">
        <f>SUMIFS('Support - Unit Adjustments'!E:E,'Support - Unit Adjustments'!F:F,'Step 2'!D2098)</f>
        <v>0</v>
      </c>
      <c r="K2098" s="126">
        <f t="shared" si="612"/>
        <v>9.8299999999999993E-4</v>
      </c>
      <c r="L2098" s="174">
        <f>VLOOKUP(A2098,'Step 1'!$A:$E,4,FALSE)</f>
        <v>157577</v>
      </c>
      <c r="M2098" s="47">
        <f t="shared" si="613"/>
        <v>155</v>
      </c>
      <c r="N2098" s="177">
        <f>SUMIFS('Support - Transition'!G:G,'Support - Transition'!J:J,'Step 2'!D2098,'Support - Transition'!E:E,"2009 WELFARE ALLOCATION FACTOR")</f>
        <v>0</v>
      </c>
      <c r="O2098" s="152">
        <f t="shared" si="618"/>
        <v>0</v>
      </c>
      <c r="P2098" s="126">
        <f>IF(E2098="Y",0,SUMIFS('Support - Transition'!G:G,'Support - Transition'!J:J,'Step 2'!D2098,'Support - Transition'!E:E,"2009 SCHOOL ALLOCATION FACTOR"))</f>
        <v>0</v>
      </c>
      <c r="Q2098" s="126">
        <f>IF(E2098="Y",VLOOKUP(D2098,'Support - Unit Adjustments'!F:G,2,FALSE),0)</f>
        <v>0</v>
      </c>
      <c r="R2098" s="155">
        <f t="shared" si="630"/>
        <v>0</v>
      </c>
      <c r="S2098" s="47">
        <f t="shared" si="629"/>
        <v>0</v>
      </c>
      <c r="T2098" s="151">
        <f t="shared" si="614"/>
        <v>155</v>
      </c>
      <c r="U2098" s="151">
        <f t="shared" si="615"/>
        <v>0</v>
      </c>
      <c r="V2098" s="139">
        <f t="shared" si="616"/>
        <v>0</v>
      </c>
      <c r="W2098" s="152">
        <f t="shared" si="619"/>
        <v>155</v>
      </c>
      <c r="X2098" s="127" t="str">
        <f t="shared" si="617"/>
        <v/>
      </c>
      <c r="Y2098" s="207">
        <f t="shared" si="620"/>
        <v>155</v>
      </c>
      <c r="Z2098" s="139">
        <f t="shared" si="621"/>
        <v>155</v>
      </c>
      <c r="AA2098" s="139">
        <f t="shared" si="622"/>
        <v>0</v>
      </c>
      <c r="AC2098" s="47">
        <f t="shared" si="623"/>
        <v>78</v>
      </c>
      <c r="AD2098" s="47">
        <f t="shared" si="624"/>
        <v>78</v>
      </c>
      <c r="AE2098" s="47">
        <f t="shared" si="625"/>
        <v>0</v>
      </c>
      <c r="AG2098" s="47">
        <f t="shared" si="626"/>
        <v>77</v>
      </c>
      <c r="AH2098" s="47">
        <f t="shared" si="627"/>
        <v>77</v>
      </c>
      <c r="AI2098" s="208">
        <f t="shared" si="628"/>
        <v>0</v>
      </c>
    </row>
    <row r="2099" spans="1:35">
      <c r="A2099" t="s">
        <v>2153</v>
      </c>
      <c r="B2099" t="s">
        <v>3170</v>
      </c>
      <c r="C2099" t="s">
        <v>3936</v>
      </c>
      <c r="D2099" t="s">
        <v>5602</v>
      </c>
      <c r="F2099" t="s">
        <v>3938</v>
      </c>
      <c r="G2099" s="126">
        <f>SUMIFS('Support - Transition'!F:F,'Support - Transition'!B:B,'Step 2'!A2099,'Support - Transition'!C:C,'Step 2'!B2099,'Support - Transition'!D:D,'Step 2'!C2099,'Support - Transition'!E:E,"CIVIL")</f>
        <v>0</v>
      </c>
      <c r="H2099" s="126">
        <f>SUMIFS('Support - Transition'!F:F,'Support - Transition'!B:B,'Step 2'!A2099,'Support - Transition'!C:C,'Step 2'!B2099,'Support - Transition'!D:D,'Step 2'!C2099,'Support - Transition'!E:E,"FIRE")</f>
        <v>0</v>
      </c>
      <c r="I2099" s="126">
        <f>IF(B2099="0",SUMIFS('Support - Transition'!F:F,'Support - Transition'!J:J,'Step 2'!D2099,'Support - Transition'!E:E,"STATE UNIT"),SUMIFS('Support - Transition'!F:F,'Support - Transition'!J:J,'Step 2'!D2099))</f>
        <v>5.3140000000001519E-3</v>
      </c>
      <c r="J2099" s="126">
        <f>SUMIFS('Support - Unit Adjustments'!E:E,'Support - Unit Adjustments'!F:F,'Step 2'!D2099)</f>
        <v>0</v>
      </c>
      <c r="K2099" s="126">
        <f t="shared" si="612"/>
        <v>5.3140000000001519E-3</v>
      </c>
      <c r="L2099" s="174">
        <f>VLOOKUP(A2099,'Step 1'!$A:$E,4,FALSE)</f>
        <v>157577</v>
      </c>
      <c r="M2099" s="47">
        <f t="shared" si="613"/>
        <v>837</v>
      </c>
      <c r="N2099" s="177">
        <f>SUMIFS('Support - Transition'!G:G,'Support - Transition'!J:J,'Step 2'!D2099,'Support - Transition'!E:E,"2009 WELFARE ALLOCATION FACTOR")</f>
        <v>0</v>
      </c>
      <c r="O2099" s="152">
        <f t="shared" si="618"/>
        <v>0</v>
      </c>
      <c r="P2099" s="126">
        <f>IF(E2099="Y",0,SUMIFS('Support - Transition'!G:G,'Support - Transition'!J:J,'Step 2'!D2099,'Support - Transition'!E:E,"2009 SCHOOL ALLOCATION FACTOR"))</f>
        <v>0</v>
      </c>
      <c r="Q2099" s="126">
        <f>IF(E2099="Y",VLOOKUP(D2099,'Support - Unit Adjustments'!F:G,2,FALSE),0)</f>
        <v>0</v>
      </c>
      <c r="R2099" s="155">
        <f t="shared" si="630"/>
        <v>0</v>
      </c>
      <c r="S2099" s="47">
        <f t="shared" si="629"/>
        <v>0</v>
      </c>
      <c r="T2099" s="151">
        <f t="shared" si="614"/>
        <v>837</v>
      </c>
      <c r="U2099" s="151">
        <f t="shared" si="615"/>
        <v>0</v>
      </c>
      <c r="V2099" s="139">
        <f t="shared" si="616"/>
        <v>0</v>
      </c>
      <c r="W2099" s="152">
        <f t="shared" si="619"/>
        <v>837</v>
      </c>
      <c r="X2099" s="127" t="str">
        <f t="shared" si="617"/>
        <v/>
      </c>
      <c r="Y2099" s="207">
        <f t="shared" si="620"/>
        <v>837</v>
      </c>
      <c r="Z2099" s="139">
        <f t="shared" si="621"/>
        <v>837</v>
      </c>
      <c r="AA2099" s="139">
        <f t="shared" si="622"/>
        <v>0</v>
      </c>
      <c r="AC2099" s="47">
        <f t="shared" si="623"/>
        <v>419</v>
      </c>
      <c r="AD2099" s="47">
        <f t="shared" si="624"/>
        <v>419</v>
      </c>
      <c r="AE2099" s="47">
        <f t="shared" si="625"/>
        <v>0</v>
      </c>
      <c r="AG2099" s="47">
        <f t="shared" si="626"/>
        <v>418</v>
      </c>
      <c r="AH2099" s="47">
        <f t="shared" si="627"/>
        <v>418</v>
      </c>
      <c r="AI2099" s="208">
        <f t="shared" si="628"/>
        <v>0</v>
      </c>
    </row>
    <row r="2100" spans="1:35">
      <c r="A2100" t="s">
        <v>2154</v>
      </c>
      <c r="B2100" s="48" t="s">
        <v>6274</v>
      </c>
      <c r="C2100" t="s">
        <v>2187</v>
      </c>
      <c r="D2100" t="str">
        <f>A2100&amp;B2100&amp;C2100</f>
        <v>7000000</v>
      </c>
      <c r="F2100" t="s">
        <v>6344</v>
      </c>
      <c r="G2100" s="126">
        <f>SUMIFS('Support - Transition'!F:F,'Support - Transition'!B:B,'Step 2'!A2100,'Support - Transition'!C:C,'Step 2'!B2100,'Support - Transition'!D:D,'Step 2'!C2100,'Support - Transition'!E:E,"CIVIL")</f>
        <v>0</v>
      </c>
      <c r="H2100" s="126">
        <f>SUMIFS('Support - Transition'!F:F,'Support - Transition'!B:B,'Step 2'!A2100,'Support - Transition'!C:C,'Step 2'!B2100,'Support - Transition'!D:D,'Step 2'!C2100,'Support - Transition'!E:E,"FIRE")</f>
        <v>0</v>
      </c>
      <c r="I2100" s="126">
        <f>IF(B2100="0",SUMIFS('Support - Transition'!F:F,'Support - Transition'!J:J,'Step 2'!D2100,'Support - Transition'!E:E,"STATE UNIT"),SUMIFS('Support - Transition'!F:F,'Support - Transition'!J:J,'Step 2'!D2100))</f>
        <v>1.3550000000000001E-3</v>
      </c>
      <c r="J2100" s="126">
        <f>SUMIFS('Support - Unit Adjustments'!E:E,'Support - Unit Adjustments'!F:F,'Step 2'!D2100)</f>
        <v>0</v>
      </c>
      <c r="K2100" s="126">
        <f t="shared" si="612"/>
        <v>1.3550000000000001E-3</v>
      </c>
      <c r="L2100" s="174">
        <f>VLOOKUP(A2100,'Step 1'!$A:$E,4,FALSE)</f>
        <v>129781</v>
      </c>
      <c r="M2100" s="47">
        <f t="shared" si="613"/>
        <v>176</v>
      </c>
      <c r="N2100" s="177">
        <f>SUMIFS('Support - Transition'!G:G,'Support - Transition'!J:J,'Step 2'!D2100,'Support - Transition'!E:E,"2009 WELFARE ALLOCATION FACTOR")</f>
        <v>0</v>
      </c>
      <c r="O2100" s="152">
        <f t="shared" si="618"/>
        <v>0</v>
      </c>
      <c r="P2100" s="126">
        <f>IF(E2100="Y",0,SUMIFS('Support - Transition'!G:G,'Support - Transition'!J:J,'Step 2'!D2100,'Support - Transition'!E:E,"2009 SCHOOL ALLOCATION FACTOR"))</f>
        <v>0</v>
      </c>
      <c r="Q2100" s="126">
        <f>IF(E2100="Y",VLOOKUP(D2100,'Support - Unit Adjustments'!F:G,2,FALSE),0)</f>
        <v>0</v>
      </c>
      <c r="R2100" s="155">
        <f t="shared" si="630"/>
        <v>0</v>
      </c>
      <c r="S2100" s="47">
        <f t="shared" si="629"/>
        <v>0</v>
      </c>
      <c r="T2100" s="151">
        <f t="shared" si="614"/>
        <v>176</v>
      </c>
      <c r="U2100" s="151">
        <f t="shared" si="615"/>
        <v>129783</v>
      </c>
      <c r="V2100" s="139">
        <f t="shared" si="616"/>
        <v>2</v>
      </c>
      <c r="W2100" s="152">
        <f t="shared" si="619"/>
        <v>174</v>
      </c>
      <c r="X2100" s="127">
        <f t="shared" si="617"/>
        <v>0</v>
      </c>
      <c r="Y2100" s="207">
        <f t="shared" si="620"/>
        <v>174</v>
      </c>
      <c r="Z2100" s="139">
        <f t="shared" si="621"/>
        <v>174</v>
      </c>
      <c r="AA2100" s="139">
        <f t="shared" si="622"/>
        <v>0</v>
      </c>
      <c r="AC2100" s="47">
        <f t="shared" si="623"/>
        <v>87</v>
      </c>
      <c r="AD2100" s="47">
        <f t="shared" si="624"/>
        <v>87</v>
      </c>
      <c r="AE2100" s="47">
        <f t="shared" si="625"/>
        <v>0</v>
      </c>
      <c r="AG2100" s="47">
        <f t="shared" si="626"/>
        <v>87</v>
      </c>
      <c r="AH2100" s="47">
        <f t="shared" si="627"/>
        <v>87</v>
      </c>
      <c r="AI2100" s="208">
        <f t="shared" si="628"/>
        <v>0</v>
      </c>
    </row>
    <row r="2101" spans="1:35">
      <c r="A2101" t="s">
        <v>2154</v>
      </c>
      <c r="B2101" t="s">
        <v>3140</v>
      </c>
      <c r="C2101" t="s">
        <v>2187</v>
      </c>
      <c r="D2101" t="s">
        <v>5603</v>
      </c>
      <c r="F2101" t="s">
        <v>1530</v>
      </c>
      <c r="G2101" s="126">
        <f>SUMIFS('Support - Transition'!F:F,'Support - Transition'!B:B,'Step 2'!A2101,'Support - Transition'!C:C,'Step 2'!B2101,'Support - Transition'!D:D,'Step 2'!C2101,'Support - Transition'!E:E,"CIVIL")</f>
        <v>0</v>
      </c>
      <c r="H2101" s="126">
        <f>SUMIFS('Support - Transition'!F:F,'Support - Transition'!B:B,'Step 2'!A2101,'Support - Transition'!C:C,'Step 2'!B2101,'Support - Transition'!D:D,'Step 2'!C2101,'Support - Transition'!E:E,"FIRE")</f>
        <v>0</v>
      </c>
      <c r="I2101" s="126">
        <f>IF(B2101="0",SUMIFS('Support - Transition'!F:F,'Support - Transition'!J:J,'Step 2'!D2101,'Support - Transition'!E:E,"STATE UNIT"),SUMIFS('Support - Transition'!F:F,'Support - Transition'!J:J,'Step 2'!D2101))</f>
        <v>0.24413299999999999</v>
      </c>
      <c r="J2101" s="126">
        <f>SUMIFS('Support - Unit Adjustments'!E:E,'Support - Unit Adjustments'!F:F,'Step 2'!D2101)</f>
        <v>0</v>
      </c>
      <c r="K2101" s="126">
        <f t="shared" si="612"/>
        <v>0.24413299999999999</v>
      </c>
      <c r="L2101" s="174">
        <f>VLOOKUP(A2101,'Step 1'!$A:$E,4,FALSE)</f>
        <v>129781</v>
      </c>
      <c r="M2101" s="47">
        <f t="shared" si="613"/>
        <v>31684</v>
      </c>
      <c r="N2101" s="177">
        <f>SUMIFS('Support - Transition'!G:G,'Support - Transition'!J:J,'Step 2'!D2101,'Support - Transition'!E:E,"2009 WELFARE ALLOCATION FACTOR")</f>
        <v>0.180696</v>
      </c>
      <c r="O2101" s="152">
        <f t="shared" si="618"/>
        <v>5725</v>
      </c>
      <c r="P2101" s="126">
        <f>IF(E2101="Y",0,SUMIFS('Support - Transition'!G:G,'Support - Transition'!J:J,'Step 2'!D2101,'Support - Transition'!E:E,"2009 SCHOOL ALLOCATION FACTOR"))</f>
        <v>0</v>
      </c>
      <c r="Q2101" s="126">
        <f>IF(E2101="Y",VLOOKUP(D2101,'Support - Unit Adjustments'!F:G,2,FALSE),0)</f>
        <v>0</v>
      </c>
      <c r="R2101" s="155">
        <f t="shared" si="630"/>
        <v>0</v>
      </c>
      <c r="S2101" s="47">
        <f t="shared" si="629"/>
        <v>0</v>
      </c>
      <c r="T2101" s="151">
        <f t="shared" si="614"/>
        <v>25959</v>
      </c>
      <c r="U2101" s="151">
        <f t="shared" si="615"/>
        <v>0</v>
      </c>
      <c r="V2101" s="139">
        <f t="shared" si="616"/>
        <v>0</v>
      </c>
      <c r="W2101" s="152">
        <f t="shared" si="619"/>
        <v>25959</v>
      </c>
      <c r="X2101" s="127" t="str">
        <f t="shared" si="617"/>
        <v/>
      </c>
      <c r="Y2101" s="207">
        <f t="shared" si="620"/>
        <v>25959</v>
      </c>
      <c r="Z2101" s="139">
        <f t="shared" si="621"/>
        <v>25959</v>
      </c>
      <c r="AA2101" s="139">
        <f t="shared" si="622"/>
        <v>0</v>
      </c>
      <c r="AC2101" s="47">
        <f t="shared" si="623"/>
        <v>12980</v>
      </c>
      <c r="AD2101" s="47">
        <f t="shared" si="624"/>
        <v>12980</v>
      </c>
      <c r="AE2101" s="47">
        <f t="shared" si="625"/>
        <v>0</v>
      </c>
      <c r="AG2101" s="47">
        <f t="shared" si="626"/>
        <v>12979</v>
      </c>
      <c r="AH2101" s="47">
        <f t="shared" si="627"/>
        <v>12979</v>
      </c>
      <c r="AI2101" s="208">
        <f t="shared" si="628"/>
        <v>0</v>
      </c>
    </row>
    <row r="2102" spans="1:35">
      <c r="A2102" t="s">
        <v>2154</v>
      </c>
      <c r="B2102" t="s">
        <v>3142</v>
      </c>
      <c r="C2102" t="s">
        <v>2188</v>
      </c>
      <c r="D2102" t="s">
        <v>5604</v>
      </c>
      <c r="F2102" t="s">
        <v>1122</v>
      </c>
      <c r="G2102" s="126">
        <f>SUMIFS('Support - Transition'!F:F,'Support - Transition'!B:B,'Step 2'!A2102,'Support - Transition'!C:C,'Step 2'!B2102,'Support - Transition'!D:D,'Step 2'!C2102,'Support - Transition'!E:E,"CIVIL")</f>
        <v>1.067E-3</v>
      </c>
      <c r="H2102" s="126">
        <f>SUMIFS('Support - Transition'!F:F,'Support - Transition'!B:B,'Step 2'!A2102,'Support - Transition'!C:C,'Step 2'!B2102,'Support - Transition'!D:D,'Step 2'!C2102,'Support - Transition'!E:E,"FIRE")</f>
        <v>1.018E-3</v>
      </c>
      <c r="I2102" s="126">
        <f>IF(B2102="0",SUMIFS('Support - Transition'!F:F,'Support - Transition'!J:J,'Step 2'!D2102,'Support - Transition'!E:E,"STATE UNIT"),SUMIFS('Support - Transition'!F:F,'Support - Transition'!J:J,'Step 2'!D2102))</f>
        <v>2.085E-3</v>
      </c>
      <c r="J2102" s="126">
        <f>SUMIFS('Support - Unit Adjustments'!E:E,'Support - Unit Adjustments'!F:F,'Step 2'!D2102)</f>
        <v>0</v>
      </c>
      <c r="K2102" s="126">
        <f t="shared" si="612"/>
        <v>2.085E-3</v>
      </c>
      <c r="L2102" s="174">
        <f>VLOOKUP(A2102,'Step 1'!$A:$E,4,FALSE)</f>
        <v>129781</v>
      </c>
      <c r="M2102" s="47">
        <f t="shared" si="613"/>
        <v>271</v>
      </c>
      <c r="N2102" s="177">
        <f>SUMIFS('Support - Transition'!G:G,'Support - Transition'!J:J,'Step 2'!D2102,'Support - Transition'!E:E,"2009 WELFARE ALLOCATION FACTOR")</f>
        <v>0</v>
      </c>
      <c r="O2102" s="152">
        <f t="shared" si="618"/>
        <v>0</v>
      </c>
      <c r="P2102" s="126">
        <f>IF(E2102="Y",0,SUMIFS('Support - Transition'!G:G,'Support - Transition'!J:J,'Step 2'!D2102,'Support - Transition'!E:E,"2009 SCHOOL ALLOCATION FACTOR"))</f>
        <v>0</v>
      </c>
      <c r="Q2102" s="126">
        <f>IF(E2102="Y",VLOOKUP(D2102,'Support - Unit Adjustments'!F:G,2,FALSE),0)</f>
        <v>0</v>
      </c>
      <c r="R2102" s="155">
        <f t="shared" si="630"/>
        <v>0</v>
      </c>
      <c r="S2102" s="47">
        <f t="shared" si="629"/>
        <v>0</v>
      </c>
      <c r="T2102" s="151">
        <f t="shared" si="614"/>
        <v>271</v>
      </c>
      <c r="U2102" s="151">
        <f t="shared" si="615"/>
        <v>0</v>
      </c>
      <c r="V2102" s="139">
        <f t="shared" si="616"/>
        <v>0</v>
      </c>
      <c r="W2102" s="152">
        <f t="shared" si="619"/>
        <v>271</v>
      </c>
      <c r="X2102" s="127" t="str">
        <f t="shared" si="617"/>
        <v/>
      </c>
      <c r="Y2102" s="207">
        <f t="shared" si="620"/>
        <v>271</v>
      </c>
      <c r="Z2102" s="139">
        <f t="shared" si="621"/>
        <v>139</v>
      </c>
      <c r="AA2102" s="139">
        <f t="shared" si="622"/>
        <v>132</v>
      </c>
      <c r="AC2102" s="47">
        <f t="shared" si="623"/>
        <v>136</v>
      </c>
      <c r="AD2102" s="47">
        <f t="shared" si="624"/>
        <v>70</v>
      </c>
      <c r="AE2102" s="47">
        <f t="shared" si="625"/>
        <v>66</v>
      </c>
      <c r="AG2102" s="47">
        <f t="shared" si="626"/>
        <v>135</v>
      </c>
      <c r="AH2102" s="47">
        <f t="shared" si="627"/>
        <v>69</v>
      </c>
      <c r="AI2102" s="208">
        <f t="shared" si="628"/>
        <v>66</v>
      </c>
    </row>
    <row r="2103" spans="1:35">
      <c r="A2103" t="s">
        <v>2154</v>
      </c>
      <c r="B2103" t="s">
        <v>3142</v>
      </c>
      <c r="C2103" t="s">
        <v>2189</v>
      </c>
      <c r="D2103" t="s">
        <v>5605</v>
      </c>
      <c r="F2103" t="s">
        <v>107</v>
      </c>
      <c r="G2103" s="126">
        <f>SUMIFS('Support - Transition'!F:F,'Support - Transition'!B:B,'Step 2'!A2103,'Support - Transition'!C:C,'Step 2'!B2103,'Support - Transition'!D:D,'Step 2'!C2103,'Support - Transition'!E:E,"CIVIL")</f>
        <v>1.201E-3</v>
      </c>
      <c r="H2103" s="126">
        <f>SUMIFS('Support - Transition'!F:F,'Support - Transition'!B:B,'Step 2'!A2103,'Support - Transition'!C:C,'Step 2'!B2103,'Support - Transition'!D:D,'Step 2'!C2103,'Support - Transition'!E:E,"FIRE")</f>
        <v>7.3700000000000002E-4</v>
      </c>
      <c r="I2103" s="126">
        <f>IF(B2103="0",SUMIFS('Support - Transition'!F:F,'Support - Transition'!J:J,'Step 2'!D2103,'Support - Transition'!E:E,"STATE UNIT"),SUMIFS('Support - Transition'!F:F,'Support - Transition'!J:J,'Step 2'!D2103))</f>
        <v>1.9380000000000001E-3</v>
      </c>
      <c r="J2103" s="126">
        <f>SUMIFS('Support - Unit Adjustments'!E:E,'Support - Unit Adjustments'!F:F,'Step 2'!D2103)</f>
        <v>0</v>
      </c>
      <c r="K2103" s="126">
        <f t="shared" si="612"/>
        <v>1.9380000000000001E-3</v>
      </c>
      <c r="L2103" s="174">
        <f>VLOOKUP(A2103,'Step 1'!$A:$E,4,FALSE)</f>
        <v>129781</v>
      </c>
      <c r="M2103" s="47">
        <f t="shared" si="613"/>
        <v>252</v>
      </c>
      <c r="N2103" s="177">
        <f>SUMIFS('Support - Transition'!G:G,'Support - Transition'!J:J,'Step 2'!D2103,'Support - Transition'!E:E,"2009 WELFARE ALLOCATION FACTOR")</f>
        <v>0</v>
      </c>
      <c r="O2103" s="152">
        <f t="shared" si="618"/>
        <v>0</v>
      </c>
      <c r="P2103" s="126">
        <f>IF(E2103="Y",0,SUMIFS('Support - Transition'!G:G,'Support - Transition'!J:J,'Step 2'!D2103,'Support - Transition'!E:E,"2009 SCHOOL ALLOCATION FACTOR"))</f>
        <v>0</v>
      </c>
      <c r="Q2103" s="126">
        <f>IF(E2103="Y",VLOOKUP(D2103,'Support - Unit Adjustments'!F:G,2,FALSE),0)</f>
        <v>0</v>
      </c>
      <c r="R2103" s="155">
        <f t="shared" si="630"/>
        <v>0</v>
      </c>
      <c r="S2103" s="47">
        <f t="shared" si="629"/>
        <v>0</v>
      </c>
      <c r="T2103" s="151">
        <f t="shared" si="614"/>
        <v>252</v>
      </c>
      <c r="U2103" s="151">
        <f t="shared" si="615"/>
        <v>0</v>
      </c>
      <c r="V2103" s="139">
        <f t="shared" si="616"/>
        <v>0</v>
      </c>
      <c r="W2103" s="152">
        <f t="shared" si="619"/>
        <v>252</v>
      </c>
      <c r="X2103" s="127" t="str">
        <f t="shared" si="617"/>
        <v/>
      </c>
      <c r="Y2103" s="207">
        <f t="shared" si="620"/>
        <v>252</v>
      </c>
      <c r="Z2103" s="139">
        <f t="shared" si="621"/>
        <v>156</v>
      </c>
      <c r="AA2103" s="139">
        <f t="shared" si="622"/>
        <v>96</v>
      </c>
      <c r="AC2103" s="47">
        <f t="shared" si="623"/>
        <v>126</v>
      </c>
      <c r="AD2103" s="47">
        <f t="shared" si="624"/>
        <v>78</v>
      </c>
      <c r="AE2103" s="47">
        <f t="shared" si="625"/>
        <v>48</v>
      </c>
      <c r="AG2103" s="47">
        <f t="shared" si="626"/>
        <v>126</v>
      </c>
      <c r="AH2103" s="47">
        <f t="shared" si="627"/>
        <v>78</v>
      </c>
      <c r="AI2103" s="208">
        <f t="shared" si="628"/>
        <v>48</v>
      </c>
    </row>
    <row r="2104" spans="1:35">
      <c r="A2104" t="s">
        <v>2154</v>
      </c>
      <c r="B2104" t="s">
        <v>3142</v>
      </c>
      <c r="C2104" t="s">
        <v>2190</v>
      </c>
      <c r="D2104" t="s">
        <v>5606</v>
      </c>
      <c r="F2104" t="s">
        <v>49</v>
      </c>
      <c r="G2104" s="126">
        <f>SUMIFS('Support - Transition'!F:F,'Support - Transition'!B:B,'Step 2'!A2104,'Support - Transition'!C:C,'Step 2'!B2104,'Support - Transition'!D:D,'Step 2'!C2104,'Support - Transition'!E:E,"CIVIL")</f>
        <v>5.9000000000000003E-4</v>
      </c>
      <c r="H2104" s="126">
        <f>SUMIFS('Support - Transition'!F:F,'Support - Transition'!B:B,'Step 2'!A2104,'Support - Transition'!C:C,'Step 2'!B2104,'Support - Transition'!D:D,'Step 2'!C2104,'Support - Transition'!E:E,"FIRE")</f>
        <v>3.4400000000000001E-4</v>
      </c>
      <c r="I2104" s="126">
        <f>IF(B2104="0",SUMIFS('Support - Transition'!F:F,'Support - Transition'!J:J,'Step 2'!D2104,'Support - Transition'!E:E,"STATE UNIT"),SUMIFS('Support - Transition'!F:F,'Support - Transition'!J:J,'Step 2'!D2104))</f>
        <v>9.3400000000000004E-4</v>
      </c>
      <c r="J2104" s="126">
        <f>SUMIFS('Support - Unit Adjustments'!E:E,'Support - Unit Adjustments'!F:F,'Step 2'!D2104)</f>
        <v>0</v>
      </c>
      <c r="K2104" s="126">
        <f t="shared" si="612"/>
        <v>9.3400000000000004E-4</v>
      </c>
      <c r="L2104" s="174">
        <f>VLOOKUP(A2104,'Step 1'!$A:$E,4,FALSE)</f>
        <v>129781</v>
      </c>
      <c r="M2104" s="47">
        <f t="shared" si="613"/>
        <v>121</v>
      </c>
      <c r="N2104" s="177">
        <f>SUMIFS('Support - Transition'!G:G,'Support - Transition'!J:J,'Step 2'!D2104,'Support - Transition'!E:E,"2009 WELFARE ALLOCATION FACTOR")</f>
        <v>0</v>
      </c>
      <c r="O2104" s="152">
        <f t="shared" si="618"/>
        <v>0</v>
      </c>
      <c r="P2104" s="126">
        <f>IF(E2104="Y",0,SUMIFS('Support - Transition'!G:G,'Support - Transition'!J:J,'Step 2'!D2104,'Support - Transition'!E:E,"2009 SCHOOL ALLOCATION FACTOR"))</f>
        <v>0</v>
      </c>
      <c r="Q2104" s="126">
        <f>IF(E2104="Y",VLOOKUP(D2104,'Support - Unit Adjustments'!F:G,2,FALSE),0)</f>
        <v>0</v>
      </c>
      <c r="R2104" s="155">
        <f t="shared" si="630"/>
        <v>0</v>
      </c>
      <c r="S2104" s="47">
        <f t="shared" si="629"/>
        <v>0</v>
      </c>
      <c r="T2104" s="151">
        <f t="shared" si="614"/>
        <v>121</v>
      </c>
      <c r="U2104" s="151">
        <f t="shared" si="615"/>
        <v>0</v>
      </c>
      <c r="V2104" s="139">
        <f t="shared" si="616"/>
        <v>0</v>
      </c>
      <c r="W2104" s="152">
        <f t="shared" si="619"/>
        <v>121</v>
      </c>
      <c r="X2104" s="127" t="str">
        <f t="shared" si="617"/>
        <v/>
      </c>
      <c r="Y2104" s="207">
        <f t="shared" si="620"/>
        <v>121</v>
      </c>
      <c r="Z2104" s="139">
        <f t="shared" si="621"/>
        <v>76</v>
      </c>
      <c r="AA2104" s="139">
        <f t="shared" si="622"/>
        <v>45</v>
      </c>
      <c r="AC2104" s="47">
        <f t="shared" si="623"/>
        <v>61</v>
      </c>
      <c r="AD2104" s="47">
        <f t="shared" si="624"/>
        <v>38</v>
      </c>
      <c r="AE2104" s="47">
        <f t="shared" si="625"/>
        <v>23</v>
      </c>
      <c r="AG2104" s="47">
        <f t="shared" si="626"/>
        <v>60</v>
      </c>
      <c r="AH2104" s="47">
        <f t="shared" si="627"/>
        <v>38</v>
      </c>
      <c r="AI2104" s="208">
        <f t="shared" si="628"/>
        <v>22</v>
      </c>
    </row>
    <row r="2105" spans="1:35">
      <c r="A2105" t="s">
        <v>2154</v>
      </c>
      <c r="B2105" t="s">
        <v>3142</v>
      </c>
      <c r="C2105" t="s">
        <v>2191</v>
      </c>
      <c r="D2105" t="s">
        <v>5607</v>
      </c>
      <c r="F2105" t="s">
        <v>203</v>
      </c>
      <c r="G2105" s="126">
        <f>SUMIFS('Support - Transition'!F:F,'Support - Transition'!B:B,'Step 2'!A2105,'Support - Transition'!C:C,'Step 2'!B2105,'Support - Transition'!D:D,'Step 2'!C2105,'Support - Transition'!E:E,"CIVIL")</f>
        <v>6.7400000000000001E-4</v>
      </c>
      <c r="H2105" s="126">
        <f>SUMIFS('Support - Transition'!F:F,'Support - Transition'!B:B,'Step 2'!A2105,'Support - Transition'!C:C,'Step 2'!B2105,'Support - Transition'!D:D,'Step 2'!C2105,'Support - Transition'!E:E,"FIRE")</f>
        <v>4.1999999999999998E-5</v>
      </c>
      <c r="I2105" s="126">
        <f>IF(B2105="0",SUMIFS('Support - Transition'!F:F,'Support - Transition'!J:J,'Step 2'!D2105,'Support - Transition'!E:E,"STATE UNIT"),SUMIFS('Support - Transition'!F:F,'Support - Transition'!J:J,'Step 2'!D2105))</f>
        <v>7.1600000000000006E-4</v>
      </c>
      <c r="J2105" s="126">
        <f>SUMIFS('Support - Unit Adjustments'!E:E,'Support - Unit Adjustments'!F:F,'Step 2'!D2105)</f>
        <v>0</v>
      </c>
      <c r="K2105" s="126">
        <f t="shared" si="612"/>
        <v>7.1600000000000006E-4</v>
      </c>
      <c r="L2105" s="174">
        <f>VLOOKUP(A2105,'Step 1'!$A:$E,4,FALSE)</f>
        <v>129781</v>
      </c>
      <c r="M2105" s="47">
        <f t="shared" si="613"/>
        <v>93</v>
      </c>
      <c r="N2105" s="177">
        <f>SUMIFS('Support - Transition'!G:G,'Support - Transition'!J:J,'Step 2'!D2105,'Support - Transition'!E:E,"2009 WELFARE ALLOCATION FACTOR")</f>
        <v>0</v>
      </c>
      <c r="O2105" s="152">
        <f t="shared" si="618"/>
        <v>0</v>
      </c>
      <c r="P2105" s="126">
        <f>IF(E2105="Y",0,SUMIFS('Support - Transition'!G:G,'Support - Transition'!J:J,'Step 2'!D2105,'Support - Transition'!E:E,"2009 SCHOOL ALLOCATION FACTOR"))</f>
        <v>0</v>
      </c>
      <c r="Q2105" s="126">
        <f>IF(E2105="Y",VLOOKUP(D2105,'Support - Unit Adjustments'!F:G,2,FALSE),0)</f>
        <v>0</v>
      </c>
      <c r="R2105" s="155">
        <f t="shared" si="630"/>
        <v>0</v>
      </c>
      <c r="S2105" s="47">
        <f t="shared" si="629"/>
        <v>0</v>
      </c>
      <c r="T2105" s="151">
        <f t="shared" si="614"/>
        <v>93</v>
      </c>
      <c r="U2105" s="151">
        <f t="shared" si="615"/>
        <v>0</v>
      </c>
      <c r="V2105" s="139">
        <f t="shared" si="616"/>
        <v>0</v>
      </c>
      <c r="W2105" s="152">
        <f t="shared" si="619"/>
        <v>93</v>
      </c>
      <c r="X2105" s="127" t="str">
        <f t="shared" si="617"/>
        <v/>
      </c>
      <c r="Y2105" s="207">
        <f t="shared" si="620"/>
        <v>93</v>
      </c>
      <c r="Z2105" s="139">
        <f t="shared" si="621"/>
        <v>88</v>
      </c>
      <c r="AA2105" s="139">
        <f t="shared" si="622"/>
        <v>5</v>
      </c>
      <c r="AC2105" s="47">
        <f t="shared" si="623"/>
        <v>47</v>
      </c>
      <c r="AD2105" s="47">
        <f t="shared" si="624"/>
        <v>44</v>
      </c>
      <c r="AE2105" s="47">
        <f t="shared" si="625"/>
        <v>3</v>
      </c>
      <c r="AG2105" s="47">
        <f t="shared" si="626"/>
        <v>46</v>
      </c>
      <c r="AH2105" s="47">
        <f t="shared" si="627"/>
        <v>44</v>
      </c>
      <c r="AI2105" s="208">
        <f t="shared" si="628"/>
        <v>2</v>
      </c>
    </row>
    <row r="2106" spans="1:35">
      <c r="A2106" t="s">
        <v>2154</v>
      </c>
      <c r="B2106" t="s">
        <v>3142</v>
      </c>
      <c r="C2106" t="s">
        <v>2192</v>
      </c>
      <c r="D2106" t="s">
        <v>5608</v>
      </c>
      <c r="F2106" t="s">
        <v>482</v>
      </c>
      <c r="G2106" s="126">
        <f>SUMIFS('Support - Transition'!F:F,'Support - Transition'!B:B,'Step 2'!A2106,'Support - Transition'!C:C,'Step 2'!B2106,'Support - Transition'!D:D,'Step 2'!C2106,'Support - Transition'!E:E,"CIVIL")</f>
        <v>3.5799999999999997E-4</v>
      </c>
      <c r="H2106" s="126">
        <f>SUMIFS('Support - Transition'!F:F,'Support - Transition'!B:B,'Step 2'!A2106,'Support - Transition'!C:C,'Step 2'!B2106,'Support - Transition'!D:D,'Step 2'!C2106,'Support - Transition'!E:E,"FIRE")</f>
        <v>2.81E-4</v>
      </c>
      <c r="I2106" s="126">
        <f>IF(B2106="0",SUMIFS('Support - Transition'!F:F,'Support - Transition'!J:J,'Step 2'!D2106,'Support - Transition'!E:E,"STATE UNIT"),SUMIFS('Support - Transition'!F:F,'Support - Transition'!J:J,'Step 2'!D2106))</f>
        <v>6.3900000000000003E-4</v>
      </c>
      <c r="J2106" s="126">
        <f>SUMIFS('Support - Unit Adjustments'!E:E,'Support - Unit Adjustments'!F:F,'Step 2'!D2106)</f>
        <v>0</v>
      </c>
      <c r="K2106" s="126">
        <f t="shared" si="612"/>
        <v>6.3900000000000003E-4</v>
      </c>
      <c r="L2106" s="174">
        <f>VLOOKUP(A2106,'Step 1'!$A:$E,4,FALSE)</f>
        <v>129781</v>
      </c>
      <c r="M2106" s="47">
        <f t="shared" si="613"/>
        <v>83</v>
      </c>
      <c r="N2106" s="177">
        <f>SUMIFS('Support - Transition'!G:G,'Support - Transition'!J:J,'Step 2'!D2106,'Support - Transition'!E:E,"2009 WELFARE ALLOCATION FACTOR")</f>
        <v>0</v>
      </c>
      <c r="O2106" s="152">
        <f t="shared" si="618"/>
        <v>0</v>
      </c>
      <c r="P2106" s="126">
        <f>IF(E2106="Y",0,SUMIFS('Support - Transition'!G:G,'Support - Transition'!J:J,'Step 2'!D2106,'Support - Transition'!E:E,"2009 SCHOOL ALLOCATION FACTOR"))</f>
        <v>0</v>
      </c>
      <c r="Q2106" s="126">
        <f>IF(E2106="Y",VLOOKUP(D2106,'Support - Unit Adjustments'!F:G,2,FALSE),0)</f>
        <v>0</v>
      </c>
      <c r="R2106" s="155">
        <f t="shared" si="630"/>
        <v>0</v>
      </c>
      <c r="S2106" s="47">
        <f t="shared" si="629"/>
        <v>0</v>
      </c>
      <c r="T2106" s="151">
        <f t="shared" si="614"/>
        <v>83</v>
      </c>
      <c r="U2106" s="151">
        <f t="shared" si="615"/>
        <v>0</v>
      </c>
      <c r="V2106" s="139">
        <f t="shared" si="616"/>
        <v>0</v>
      </c>
      <c r="W2106" s="152">
        <f t="shared" si="619"/>
        <v>83</v>
      </c>
      <c r="X2106" s="127" t="str">
        <f t="shared" si="617"/>
        <v/>
      </c>
      <c r="Y2106" s="207">
        <f t="shared" si="620"/>
        <v>83</v>
      </c>
      <c r="Z2106" s="139">
        <f t="shared" si="621"/>
        <v>47</v>
      </c>
      <c r="AA2106" s="139">
        <f t="shared" si="622"/>
        <v>36</v>
      </c>
      <c r="AC2106" s="47">
        <f t="shared" si="623"/>
        <v>42</v>
      </c>
      <c r="AD2106" s="47">
        <f t="shared" si="624"/>
        <v>24</v>
      </c>
      <c r="AE2106" s="47">
        <f t="shared" si="625"/>
        <v>18</v>
      </c>
      <c r="AG2106" s="47">
        <f t="shared" si="626"/>
        <v>41</v>
      </c>
      <c r="AH2106" s="47">
        <f t="shared" si="627"/>
        <v>23</v>
      </c>
      <c r="AI2106" s="208">
        <f t="shared" si="628"/>
        <v>18</v>
      </c>
    </row>
    <row r="2107" spans="1:35">
      <c r="A2107" t="s">
        <v>2154</v>
      </c>
      <c r="B2107" t="s">
        <v>3142</v>
      </c>
      <c r="C2107" t="s">
        <v>2193</v>
      </c>
      <c r="D2107" t="s">
        <v>5609</v>
      </c>
      <c r="F2107" t="s">
        <v>252</v>
      </c>
      <c r="G2107" s="126">
        <f>SUMIFS('Support - Transition'!F:F,'Support - Transition'!B:B,'Step 2'!A2107,'Support - Transition'!C:C,'Step 2'!B2107,'Support - Transition'!D:D,'Step 2'!C2107,'Support - Transition'!E:E,"CIVIL")</f>
        <v>8.7799999999999998E-4</v>
      </c>
      <c r="H2107" s="126">
        <f>SUMIFS('Support - Transition'!F:F,'Support - Transition'!B:B,'Step 2'!A2107,'Support - Transition'!C:C,'Step 2'!B2107,'Support - Transition'!D:D,'Step 2'!C2107,'Support - Transition'!E:E,"FIRE")</f>
        <v>7.7999999999999999E-4</v>
      </c>
      <c r="I2107" s="126">
        <f>IF(B2107="0",SUMIFS('Support - Transition'!F:F,'Support - Transition'!J:J,'Step 2'!D2107,'Support - Transition'!E:E,"STATE UNIT"),SUMIFS('Support - Transition'!F:F,'Support - Transition'!J:J,'Step 2'!D2107))</f>
        <v>1.658E-3</v>
      </c>
      <c r="J2107" s="126">
        <f>SUMIFS('Support - Unit Adjustments'!E:E,'Support - Unit Adjustments'!F:F,'Step 2'!D2107)</f>
        <v>0</v>
      </c>
      <c r="K2107" s="126">
        <f t="shared" si="612"/>
        <v>1.658E-3</v>
      </c>
      <c r="L2107" s="174">
        <f>VLOOKUP(A2107,'Step 1'!$A:$E,4,FALSE)</f>
        <v>129781</v>
      </c>
      <c r="M2107" s="47">
        <f t="shared" si="613"/>
        <v>215</v>
      </c>
      <c r="N2107" s="177">
        <f>SUMIFS('Support - Transition'!G:G,'Support - Transition'!J:J,'Step 2'!D2107,'Support - Transition'!E:E,"2009 WELFARE ALLOCATION FACTOR")</f>
        <v>0</v>
      </c>
      <c r="O2107" s="152">
        <f t="shared" si="618"/>
        <v>0</v>
      </c>
      <c r="P2107" s="126">
        <f>IF(E2107="Y",0,SUMIFS('Support - Transition'!G:G,'Support - Transition'!J:J,'Step 2'!D2107,'Support - Transition'!E:E,"2009 SCHOOL ALLOCATION FACTOR"))</f>
        <v>0</v>
      </c>
      <c r="Q2107" s="126">
        <f>IF(E2107="Y",VLOOKUP(D2107,'Support - Unit Adjustments'!F:G,2,FALSE),0)</f>
        <v>0</v>
      </c>
      <c r="R2107" s="155">
        <f t="shared" si="630"/>
        <v>0</v>
      </c>
      <c r="S2107" s="47">
        <f t="shared" si="629"/>
        <v>0</v>
      </c>
      <c r="T2107" s="151">
        <f t="shared" si="614"/>
        <v>215</v>
      </c>
      <c r="U2107" s="151">
        <f t="shared" si="615"/>
        <v>0</v>
      </c>
      <c r="V2107" s="139">
        <f t="shared" si="616"/>
        <v>0</v>
      </c>
      <c r="W2107" s="152">
        <f t="shared" si="619"/>
        <v>215</v>
      </c>
      <c r="X2107" s="127" t="str">
        <f t="shared" si="617"/>
        <v/>
      </c>
      <c r="Y2107" s="207">
        <f t="shared" si="620"/>
        <v>215</v>
      </c>
      <c r="Z2107" s="139">
        <f t="shared" si="621"/>
        <v>114</v>
      </c>
      <c r="AA2107" s="139">
        <f t="shared" si="622"/>
        <v>101</v>
      </c>
      <c r="AC2107" s="47">
        <f t="shared" si="623"/>
        <v>108</v>
      </c>
      <c r="AD2107" s="47">
        <f t="shared" si="624"/>
        <v>57</v>
      </c>
      <c r="AE2107" s="47">
        <f t="shared" si="625"/>
        <v>51</v>
      </c>
      <c r="AG2107" s="47">
        <f t="shared" si="626"/>
        <v>107</v>
      </c>
      <c r="AH2107" s="47">
        <f t="shared" si="627"/>
        <v>57</v>
      </c>
      <c r="AI2107" s="208">
        <f t="shared" si="628"/>
        <v>50</v>
      </c>
    </row>
    <row r="2108" spans="1:35">
      <c r="A2108" t="s">
        <v>2154</v>
      </c>
      <c r="B2108" t="s">
        <v>3142</v>
      </c>
      <c r="C2108" t="s">
        <v>2194</v>
      </c>
      <c r="D2108" t="s">
        <v>5610</v>
      </c>
      <c r="F2108" t="s">
        <v>114</v>
      </c>
      <c r="G2108" s="126">
        <f>SUMIFS('Support - Transition'!F:F,'Support - Transition'!B:B,'Step 2'!A2108,'Support - Transition'!C:C,'Step 2'!B2108,'Support - Transition'!D:D,'Step 2'!C2108,'Support - Transition'!E:E,"CIVIL")</f>
        <v>9.9700000000000006E-4</v>
      </c>
      <c r="H2108" s="126">
        <f>SUMIFS('Support - Transition'!F:F,'Support - Transition'!B:B,'Step 2'!A2108,'Support - Transition'!C:C,'Step 2'!B2108,'Support - Transition'!D:D,'Step 2'!C2108,'Support - Transition'!E:E,"FIRE")</f>
        <v>3.2299999999999999E-4</v>
      </c>
      <c r="I2108" s="126">
        <f>IF(B2108="0",SUMIFS('Support - Transition'!F:F,'Support - Transition'!J:J,'Step 2'!D2108,'Support - Transition'!E:E,"STATE UNIT"),SUMIFS('Support - Transition'!F:F,'Support - Transition'!J:J,'Step 2'!D2108))</f>
        <v>1.32E-3</v>
      </c>
      <c r="J2108" s="126">
        <f>SUMIFS('Support - Unit Adjustments'!E:E,'Support - Unit Adjustments'!F:F,'Step 2'!D2108)</f>
        <v>0</v>
      </c>
      <c r="K2108" s="126">
        <f t="shared" si="612"/>
        <v>1.32E-3</v>
      </c>
      <c r="L2108" s="174">
        <f>VLOOKUP(A2108,'Step 1'!$A:$E,4,FALSE)</f>
        <v>129781</v>
      </c>
      <c r="M2108" s="47">
        <f t="shared" si="613"/>
        <v>171</v>
      </c>
      <c r="N2108" s="177">
        <f>SUMIFS('Support - Transition'!G:G,'Support - Transition'!J:J,'Step 2'!D2108,'Support - Transition'!E:E,"2009 WELFARE ALLOCATION FACTOR")</f>
        <v>0</v>
      </c>
      <c r="O2108" s="152">
        <f t="shared" si="618"/>
        <v>0</v>
      </c>
      <c r="P2108" s="126">
        <f>IF(E2108="Y",0,SUMIFS('Support - Transition'!G:G,'Support - Transition'!J:J,'Step 2'!D2108,'Support - Transition'!E:E,"2009 SCHOOL ALLOCATION FACTOR"))</f>
        <v>0</v>
      </c>
      <c r="Q2108" s="126">
        <f>IF(E2108="Y",VLOOKUP(D2108,'Support - Unit Adjustments'!F:G,2,FALSE),0)</f>
        <v>0</v>
      </c>
      <c r="R2108" s="155">
        <f t="shared" si="630"/>
        <v>0</v>
      </c>
      <c r="S2108" s="47">
        <f t="shared" si="629"/>
        <v>0</v>
      </c>
      <c r="T2108" s="151">
        <f t="shared" si="614"/>
        <v>171</v>
      </c>
      <c r="U2108" s="151">
        <f t="shared" si="615"/>
        <v>0</v>
      </c>
      <c r="V2108" s="139">
        <f t="shared" si="616"/>
        <v>0</v>
      </c>
      <c r="W2108" s="152">
        <f t="shared" si="619"/>
        <v>171</v>
      </c>
      <c r="X2108" s="127" t="str">
        <f t="shared" si="617"/>
        <v/>
      </c>
      <c r="Y2108" s="207">
        <f t="shared" si="620"/>
        <v>171</v>
      </c>
      <c r="Z2108" s="139">
        <f t="shared" si="621"/>
        <v>129</v>
      </c>
      <c r="AA2108" s="139">
        <f t="shared" si="622"/>
        <v>42</v>
      </c>
      <c r="AC2108" s="47">
        <f t="shared" si="623"/>
        <v>86</v>
      </c>
      <c r="AD2108" s="47">
        <f t="shared" si="624"/>
        <v>65</v>
      </c>
      <c r="AE2108" s="47">
        <f t="shared" si="625"/>
        <v>21</v>
      </c>
      <c r="AG2108" s="47">
        <f t="shared" si="626"/>
        <v>85</v>
      </c>
      <c r="AH2108" s="47">
        <f t="shared" si="627"/>
        <v>64</v>
      </c>
      <c r="AI2108" s="208">
        <f t="shared" si="628"/>
        <v>21</v>
      </c>
    </row>
    <row r="2109" spans="1:35">
      <c r="A2109" t="s">
        <v>2154</v>
      </c>
      <c r="B2109" t="s">
        <v>3142</v>
      </c>
      <c r="C2109" t="s">
        <v>2195</v>
      </c>
      <c r="D2109" t="s">
        <v>5611</v>
      </c>
      <c r="F2109" t="s">
        <v>1257</v>
      </c>
      <c r="G2109" s="126">
        <f>SUMIFS('Support - Transition'!F:F,'Support - Transition'!B:B,'Step 2'!A2109,'Support - Transition'!C:C,'Step 2'!B2109,'Support - Transition'!D:D,'Step 2'!C2109,'Support - Transition'!E:E,"CIVIL")</f>
        <v>1.7489999999999999E-3</v>
      </c>
      <c r="H2109" s="126">
        <f>SUMIFS('Support - Transition'!F:F,'Support - Transition'!B:B,'Step 2'!A2109,'Support - Transition'!C:C,'Step 2'!B2109,'Support - Transition'!D:D,'Step 2'!C2109,'Support - Transition'!E:E,"FIRE")</f>
        <v>1.9000000000000001E-4</v>
      </c>
      <c r="I2109" s="126">
        <f>IF(B2109="0",SUMIFS('Support - Transition'!F:F,'Support - Transition'!J:J,'Step 2'!D2109,'Support - Transition'!E:E,"STATE UNIT"),SUMIFS('Support - Transition'!F:F,'Support - Transition'!J:J,'Step 2'!D2109))</f>
        <v>1.939E-3</v>
      </c>
      <c r="J2109" s="126">
        <f>SUMIFS('Support - Unit Adjustments'!E:E,'Support - Unit Adjustments'!F:F,'Step 2'!D2109)</f>
        <v>0</v>
      </c>
      <c r="K2109" s="126">
        <f t="shared" si="612"/>
        <v>1.939E-3</v>
      </c>
      <c r="L2109" s="174">
        <f>VLOOKUP(A2109,'Step 1'!$A:$E,4,FALSE)</f>
        <v>129781</v>
      </c>
      <c r="M2109" s="47">
        <f t="shared" si="613"/>
        <v>252</v>
      </c>
      <c r="N2109" s="177">
        <f>SUMIFS('Support - Transition'!G:G,'Support - Transition'!J:J,'Step 2'!D2109,'Support - Transition'!E:E,"2009 WELFARE ALLOCATION FACTOR")</f>
        <v>0</v>
      </c>
      <c r="O2109" s="152">
        <f t="shared" si="618"/>
        <v>0</v>
      </c>
      <c r="P2109" s="126">
        <f>IF(E2109="Y",0,SUMIFS('Support - Transition'!G:G,'Support - Transition'!J:J,'Step 2'!D2109,'Support - Transition'!E:E,"2009 SCHOOL ALLOCATION FACTOR"))</f>
        <v>0</v>
      </c>
      <c r="Q2109" s="126">
        <f>IF(E2109="Y",VLOOKUP(D2109,'Support - Unit Adjustments'!F:G,2,FALSE),0)</f>
        <v>0</v>
      </c>
      <c r="R2109" s="155">
        <f t="shared" si="630"/>
        <v>0</v>
      </c>
      <c r="S2109" s="47">
        <f t="shared" si="629"/>
        <v>0</v>
      </c>
      <c r="T2109" s="151">
        <f t="shared" si="614"/>
        <v>252</v>
      </c>
      <c r="U2109" s="151">
        <f t="shared" si="615"/>
        <v>0</v>
      </c>
      <c r="V2109" s="139">
        <f t="shared" si="616"/>
        <v>0</v>
      </c>
      <c r="W2109" s="152">
        <f t="shared" si="619"/>
        <v>252</v>
      </c>
      <c r="X2109" s="127" t="str">
        <f t="shared" si="617"/>
        <v/>
      </c>
      <c r="Y2109" s="207">
        <f t="shared" si="620"/>
        <v>252</v>
      </c>
      <c r="Z2109" s="139">
        <f t="shared" si="621"/>
        <v>227</v>
      </c>
      <c r="AA2109" s="139">
        <f t="shared" si="622"/>
        <v>25</v>
      </c>
      <c r="AC2109" s="47">
        <f t="shared" si="623"/>
        <v>126</v>
      </c>
      <c r="AD2109" s="47">
        <f t="shared" si="624"/>
        <v>114</v>
      </c>
      <c r="AE2109" s="47">
        <f t="shared" si="625"/>
        <v>13</v>
      </c>
      <c r="AG2109" s="47">
        <f t="shared" si="626"/>
        <v>126</v>
      </c>
      <c r="AH2109" s="47">
        <f t="shared" si="627"/>
        <v>113</v>
      </c>
      <c r="AI2109" s="208">
        <f t="shared" si="628"/>
        <v>12</v>
      </c>
    </row>
    <row r="2110" spans="1:35">
      <c r="A2110" t="s">
        <v>2154</v>
      </c>
      <c r="B2110" t="s">
        <v>3142</v>
      </c>
      <c r="C2110" t="s">
        <v>2196</v>
      </c>
      <c r="D2110" t="s">
        <v>5612</v>
      </c>
      <c r="F2110" t="s">
        <v>1531</v>
      </c>
      <c r="G2110" s="126">
        <f>SUMIFS('Support - Transition'!F:F,'Support - Transition'!B:B,'Step 2'!A2110,'Support - Transition'!C:C,'Step 2'!B2110,'Support - Transition'!D:D,'Step 2'!C2110,'Support - Transition'!E:E,"CIVIL")</f>
        <v>2.1069999999999999E-3</v>
      </c>
      <c r="H2110" s="126">
        <f>SUMIFS('Support - Transition'!F:F,'Support - Transition'!B:B,'Step 2'!A2110,'Support - Transition'!C:C,'Step 2'!B2110,'Support - Transition'!D:D,'Step 2'!C2110,'Support - Transition'!E:E,"FIRE")</f>
        <v>7.4399999999999998E-4</v>
      </c>
      <c r="I2110" s="126">
        <f>IF(B2110="0",SUMIFS('Support - Transition'!F:F,'Support - Transition'!J:J,'Step 2'!D2110,'Support - Transition'!E:E,"STATE UNIT"),SUMIFS('Support - Transition'!F:F,'Support - Transition'!J:J,'Step 2'!D2110))</f>
        <v>2.8509999999999998E-3</v>
      </c>
      <c r="J2110" s="126">
        <f>SUMIFS('Support - Unit Adjustments'!E:E,'Support - Unit Adjustments'!F:F,'Step 2'!D2110)</f>
        <v>0</v>
      </c>
      <c r="K2110" s="126">
        <f t="shared" si="612"/>
        <v>2.8509999999999998E-3</v>
      </c>
      <c r="L2110" s="174">
        <f>VLOOKUP(A2110,'Step 1'!$A:$E,4,FALSE)</f>
        <v>129781</v>
      </c>
      <c r="M2110" s="47">
        <f t="shared" si="613"/>
        <v>370</v>
      </c>
      <c r="N2110" s="177">
        <f>SUMIFS('Support - Transition'!G:G,'Support - Transition'!J:J,'Step 2'!D2110,'Support - Transition'!E:E,"2009 WELFARE ALLOCATION FACTOR")</f>
        <v>0</v>
      </c>
      <c r="O2110" s="152">
        <f t="shared" si="618"/>
        <v>0</v>
      </c>
      <c r="P2110" s="126">
        <f>IF(E2110="Y",0,SUMIFS('Support - Transition'!G:G,'Support - Transition'!J:J,'Step 2'!D2110,'Support - Transition'!E:E,"2009 SCHOOL ALLOCATION FACTOR"))</f>
        <v>0</v>
      </c>
      <c r="Q2110" s="126">
        <f>IF(E2110="Y",VLOOKUP(D2110,'Support - Unit Adjustments'!F:G,2,FALSE),0)</f>
        <v>0</v>
      </c>
      <c r="R2110" s="155">
        <f t="shared" si="630"/>
        <v>0</v>
      </c>
      <c r="S2110" s="47">
        <f t="shared" si="629"/>
        <v>0</v>
      </c>
      <c r="T2110" s="151">
        <f t="shared" si="614"/>
        <v>370</v>
      </c>
      <c r="U2110" s="151">
        <f t="shared" si="615"/>
        <v>0</v>
      </c>
      <c r="V2110" s="139">
        <f t="shared" si="616"/>
        <v>0</v>
      </c>
      <c r="W2110" s="152">
        <f t="shared" si="619"/>
        <v>370</v>
      </c>
      <c r="X2110" s="127" t="str">
        <f t="shared" si="617"/>
        <v/>
      </c>
      <c r="Y2110" s="207">
        <f t="shared" si="620"/>
        <v>370</v>
      </c>
      <c r="Z2110" s="139">
        <f t="shared" si="621"/>
        <v>273</v>
      </c>
      <c r="AA2110" s="139">
        <f t="shared" si="622"/>
        <v>97</v>
      </c>
      <c r="AC2110" s="47">
        <f t="shared" si="623"/>
        <v>185</v>
      </c>
      <c r="AD2110" s="47">
        <f t="shared" si="624"/>
        <v>137</v>
      </c>
      <c r="AE2110" s="47">
        <f t="shared" si="625"/>
        <v>49</v>
      </c>
      <c r="AG2110" s="47">
        <f t="shared" si="626"/>
        <v>185</v>
      </c>
      <c r="AH2110" s="47">
        <f t="shared" si="627"/>
        <v>136</v>
      </c>
      <c r="AI2110" s="208">
        <f t="shared" si="628"/>
        <v>48</v>
      </c>
    </row>
    <row r="2111" spans="1:35">
      <c r="A2111" t="s">
        <v>2154</v>
      </c>
      <c r="B2111" t="s">
        <v>3142</v>
      </c>
      <c r="C2111" t="s">
        <v>2197</v>
      </c>
      <c r="D2111" t="s">
        <v>5613</v>
      </c>
      <c r="F2111" t="s">
        <v>20</v>
      </c>
      <c r="G2111" s="126">
        <f>SUMIFS('Support - Transition'!F:F,'Support - Transition'!B:B,'Step 2'!A2111,'Support - Transition'!C:C,'Step 2'!B2111,'Support - Transition'!D:D,'Step 2'!C2111,'Support - Transition'!E:E,"CIVIL")</f>
        <v>5.5500000000000005E-4</v>
      </c>
      <c r="H2111" s="126">
        <f>SUMIFS('Support - Transition'!F:F,'Support - Transition'!B:B,'Step 2'!A2111,'Support - Transition'!C:C,'Step 2'!B2111,'Support - Transition'!D:D,'Step 2'!C2111,'Support - Transition'!E:E,"FIRE")</f>
        <v>1.54E-4</v>
      </c>
      <c r="I2111" s="126">
        <f>IF(B2111="0",SUMIFS('Support - Transition'!F:F,'Support - Transition'!J:J,'Step 2'!D2111,'Support - Transition'!E:E,"STATE UNIT"),SUMIFS('Support - Transition'!F:F,'Support - Transition'!J:J,'Step 2'!D2111))</f>
        <v>7.0899999999999999E-4</v>
      </c>
      <c r="J2111" s="126">
        <f>SUMIFS('Support - Unit Adjustments'!E:E,'Support - Unit Adjustments'!F:F,'Step 2'!D2111)</f>
        <v>0</v>
      </c>
      <c r="K2111" s="126">
        <f t="shared" si="612"/>
        <v>7.0899999999999999E-4</v>
      </c>
      <c r="L2111" s="174">
        <f>VLOOKUP(A2111,'Step 1'!$A:$E,4,FALSE)</f>
        <v>129781</v>
      </c>
      <c r="M2111" s="47">
        <f t="shared" si="613"/>
        <v>92</v>
      </c>
      <c r="N2111" s="177">
        <f>SUMIFS('Support - Transition'!G:G,'Support - Transition'!J:J,'Step 2'!D2111,'Support - Transition'!E:E,"2009 WELFARE ALLOCATION FACTOR")</f>
        <v>0</v>
      </c>
      <c r="O2111" s="152">
        <f t="shared" si="618"/>
        <v>0</v>
      </c>
      <c r="P2111" s="126">
        <f>IF(E2111="Y",0,SUMIFS('Support - Transition'!G:G,'Support - Transition'!J:J,'Step 2'!D2111,'Support - Transition'!E:E,"2009 SCHOOL ALLOCATION FACTOR"))</f>
        <v>0</v>
      </c>
      <c r="Q2111" s="126">
        <f>IF(E2111="Y",VLOOKUP(D2111,'Support - Unit Adjustments'!F:G,2,FALSE),0)</f>
        <v>0</v>
      </c>
      <c r="R2111" s="155">
        <f t="shared" si="630"/>
        <v>0</v>
      </c>
      <c r="S2111" s="47">
        <f t="shared" si="629"/>
        <v>0</v>
      </c>
      <c r="T2111" s="151">
        <f t="shared" si="614"/>
        <v>92</v>
      </c>
      <c r="U2111" s="151">
        <f t="shared" si="615"/>
        <v>0</v>
      </c>
      <c r="V2111" s="139">
        <f t="shared" si="616"/>
        <v>0</v>
      </c>
      <c r="W2111" s="152">
        <f t="shared" si="619"/>
        <v>92</v>
      </c>
      <c r="X2111" s="127" t="str">
        <f t="shared" si="617"/>
        <v/>
      </c>
      <c r="Y2111" s="207">
        <f t="shared" si="620"/>
        <v>92</v>
      </c>
      <c r="Z2111" s="139">
        <f t="shared" si="621"/>
        <v>72</v>
      </c>
      <c r="AA2111" s="139">
        <f t="shared" si="622"/>
        <v>20</v>
      </c>
      <c r="AC2111" s="47">
        <f t="shared" si="623"/>
        <v>46</v>
      </c>
      <c r="AD2111" s="47">
        <f t="shared" si="624"/>
        <v>36</v>
      </c>
      <c r="AE2111" s="47">
        <f t="shared" si="625"/>
        <v>10</v>
      </c>
      <c r="AG2111" s="47">
        <f t="shared" si="626"/>
        <v>46</v>
      </c>
      <c r="AH2111" s="47">
        <f t="shared" si="627"/>
        <v>36</v>
      </c>
      <c r="AI2111" s="208">
        <f t="shared" si="628"/>
        <v>10</v>
      </c>
    </row>
    <row r="2112" spans="1:35">
      <c r="A2112" t="s">
        <v>2154</v>
      </c>
      <c r="B2112" t="s">
        <v>3142</v>
      </c>
      <c r="C2112" t="s">
        <v>2198</v>
      </c>
      <c r="D2112" t="s">
        <v>5614</v>
      </c>
      <c r="F2112" t="s">
        <v>840</v>
      </c>
      <c r="G2112" s="126">
        <f>SUMIFS('Support - Transition'!F:F,'Support - Transition'!B:B,'Step 2'!A2112,'Support - Transition'!C:C,'Step 2'!B2112,'Support - Transition'!D:D,'Step 2'!C2112,'Support - Transition'!E:E,"CIVIL")</f>
        <v>4.8500000000000003E-4</v>
      </c>
      <c r="H2112" s="126">
        <f>SUMIFS('Support - Transition'!F:F,'Support - Transition'!B:B,'Step 2'!A2112,'Support - Transition'!C:C,'Step 2'!B2112,'Support - Transition'!D:D,'Step 2'!C2112,'Support - Transition'!E:E,"FIRE")</f>
        <v>2.81E-4</v>
      </c>
      <c r="I2112" s="126">
        <f>IF(B2112="0",SUMIFS('Support - Transition'!F:F,'Support - Transition'!J:J,'Step 2'!D2112,'Support - Transition'!E:E,"STATE UNIT"),SUMIFS('Support - Transition'!F:F,'Support - Transition'!J:J,'Step 2'!D2112))</f>
        <v>7.6599999999999997E-4</v>
      </c>
      <c r="J2112" s="126">
        <f>SUMIFS('Support - Unit Adjustments'!E:E,'Support - Unit Adjustments'!F:F,'Step 2'!D2112)</f>
        <v>0</v>
      </c>
      <c r="K2112" s="126">
        <f t="shared" si="612"/>
        <v>7.6599999999999997E-4</v>
      </c>
      <c r="L2112" s="174">
        <f>VLOOKUP(A2112,'Step 1'!$A:$E,4,FALSE)</f>
        <v>129781</v>
      </c>
      <c r="M2112" s="47">
        <f t="shared" si="613"/>
        <v>99</v>
      </c>
      <c r="N2112" s="177">
        <f>SUMIFS('Support - Transition'!G:G,'Support - Transition'!J:J,'Step 2'!D2112,'Support - Transition'!E:E,"2009 WELFARE ALLOCATION FACTOR")</f>
        <v>0</v>
      </c>
      <c r="O2112" s="152">
        <f t="shared" si="618"/>
        <v>0</v>
      </c>
      <c r="P2112" s="126">
        <f>IF(E2112="Y",0,SUMIFS('Support - Transition'!G:G,'Support - Transition'!J:J,'Step 2'!D2112,'Support - Transition'!E:E,"2009 SCHOOL ALLOCATION FACTOR"))</f>
        <v>0</v>
      </c>
      <c r="Q2112" s="126">
        <f>IF(E2112="Y",VLOOKUP(D2112,'Support - Unit Adjustments'!F:G,2,FALSE),0)</f>
        <v>0</v>
      </c>
      <c r="R2112" s="155">
        <f t="shared" si="630"/>
        <v>0</v>
      </c>
      <c r="S2112" s="47">
        <f t="shared" si="629"/>
        <v>0</v>
      </c>
      <c r="T2112" s="151">
        <f t="shared" si="614"/>
        <v>99</v>
      </c>
      <c r="U2112" s="151">
        <f t="shared" si="615"/>
        <v>0</v>
      </c>
      <c r="V2112" s="139">
        <f t="shared" si="616"/>
        <v>0</v>
      </c>
      <c r="W2112" s="152">
        <f t="shared" si="619"/>
        <v>99</v>
      </c>
      <c r="X2112" s="127" t="str">
        <f t="shared" si="617"/>
        <v/>
      </c>
      <c r="Y2112" s="207">
        <f t="shared" si="620"/>
        <v>99</v>
      </c>
      <c r="Z2112" s="139">
        <f t="shared" si="621"/>
        <v>63</v>
      </c>
      <c r="AA2112" s="139">
        <f t="shared" si="622"/>
        <v>36</v>
      </c>
      <c r="AC2112" s="47">
        <f t="shared" si="623"/>
        <v>50</v>
      </c>
      <c r="AD2112" s="47">
        <f t="shared" si="624"/>
        <v>32</v>
      </c>
      <c r="AE2112" s="47">
        <f t="shared" si="625"/>
        <v>18</v>
      </c>
      <c r="AG2112" s="47">
        <f t="shared" si="626"/>
        <v>49</v>
      </c>
      <c r="AH2112" s="47">
        <f t="shared" si="627"/>
        <v>31</v>
      </c>
      <c r="AI2112" s="208">
        <f t="shared" si="628"/>
        <v>18</v>
      </c>
    </row>
    <row r="2113" spans="1:35">
      <c r="A2113" t="s">
        <v>2154</v>
      </c>
      <c r="B2113" t="s">
        <v>3142</v>
      </c>
      <c r="C2113" t="s">
        <v>2199</v>
      </c>
      <c r="D2113" t="s">
        <v>5615</v>
      </c>
      <c r="F2113" t="s">
        <v>22</v>
      </c>
      <c r="G2113" s="126">
        <f>SUMIFS('Support - Transition'!F:F,'Support - Transition'!B:B,'Step 2'!A2113,'Support - Transition'!C:C,'Step 2'!B2113,'Support - Transition'!D:D,'Step 2'!C2113,'Support - Transition'!E:E,"CIVIL")</f>
        <v>7.1599999999999995E-4</v>
      </c>
      <c r="H2113" s="126">
        <f>SUMIFS('Support - Transition'!F:F,'Support - Transition'!B:B,'Step 2'!A2113,'Support - Transition'!C:C,'Step 2'!B2113,'Support - Transition'!D:D,'Step 2'!C2113,'Support - Transition'!E:E,"FIRE")</f>
        <v>5.0600000000000005E-4</v>
      </c>
      <c r="I2113" s="126">
        <f>IF(B2113="0",SUMIFS('Support - Transition'!F:F,'Support - Transition'!J:J,'Step 2'!D2113,'Support - Transition'!E:E,"STATE UNIT"),SUMIFS('Support - Transition'!F:F,'Support - Transition'!J:J,'Step 2'!D2113))</f>
        <v>1.222E-3</v>
      </c>
      <c r="J2113" s="126">
        <f>SUMIFS('Support - Unit Adjustments'!E:E,'Support - Unit Adjustments'!F:F,'Step 2'!D2113)</f>
        <v>0</v>
      </c>
      <c r="K2113" s="126">
        <f t="shared" si="612"/>
        <v>1.222E-3</v>
      </c>
      <c r="L2113" s="174">
        <f>VLOOKUP(A2113,'Step 1'!$A:$E,4,FALSE)</f>
        <v>129781</v>
      </c>
      <c r="M2113" s="47">
        <f t="shared" si="613"/>
        <v>159</v>
      </c>
      <c r="N2113" s="177">
        <f>SUMIFS('Support - Transition'!G:G,'Support - Transition'!J:J,'Step 2'!D2113,'Support - Transition'!E:E,"2009 WELFARE ALLOCATION FACTOR")</f>
        <v>0</v>
      </c>
      <c r="O2113" s="152">
        <f t="shared" si="618"/>
        <v>0</v>
      </c>
      <c r="P2113" s="126">
        <f>IF(E2113="Y",0,SUMIFS('Support - Transition'!G:G,'Support - Transition'!J:J,'Step 2'!D2113,'Support - Transition'!E:E,"2009 SCHOOL ALLOCATION FACTOR"))</f>
        <v>0</v>
      </c>
      <c r="Q2113" s="126">
        <f>IF(E2113="Y",VLOOKUP(D2113,'Support - Unit Adjustments'!F:G,2,FALSE),0)</f>
        <v>0</v>
      </c>
      <c r="R2113" s="155">
        <f t="shared" si="630"/>
        <v>0</v>
      </c>
      <c r="S2113" s="47">
        <f t="shared" si="629"/>
        <v>0</v>
      </c>
      <c r="T2113" s="151">
        <f t="shared" si="614"/>
        <v>159</v>
      </c>
      <c r="U2113" s="151">
        <f t="shared" si="615"/>
        <v>0</v>
      </c>
      <c r="V2113" s="139">
        <f t="shared" si="616"/>
        <v>0</v>
      </c>
      <c r="W2113" s="152">
        <f t="shared" si="619"/>
        <v>159</v>
      </c>
      <c r="X2113" s="127" t="str">
        <f t="shared" si="617"/>
        <v/>
      </c>
      <c r="Y2113" s="207">
        <f t="shared" si="620"/>
        <v>159</v>
      </c>
      <c r="Z2113" s="139">
        <f t="shared" si="621"/>
        <v>93</v>
      </c>
      <c r="AA2113" s="139">
        <f t="shared" si="622"/>
        <v>66</v>
      </c>
      <c r="AC2113" s="47">
        <f t="shared" si="623"/>
        <v>80</v>
      </c>
      <c r="AD2113" s="47">
        <f t="shared" si="624"/>
        <v>47</v>
      </c>
      <c r="AE2113" s="47">
        <f t="shared" si="625"/>
        <v>33</v>
      </c>
      <c r="AG2113" s="47">
        <f t="shared" si="626"/>
        <v>79</v>
      </c>
      <c r="AH2113" s="47">
        <f t="shared" si="627"/>
        <v>46</v>
      </c>
      <c r="AI2113" s="208">
        <f t="shared" si="628"/>
        <v>33</v>
      </c>
    </row>
    <row r="2114" spans="1:35">
      <c r="A2114" t="s">
        <v>2154</v>
      </c>
      <c r="B2114" t="s">
        <v>3155</v>
      </c>
      <c r="C2114" t="s">
        <v>2987</v>
      </c>
      <c r="D2114" t="s">
        <v>5616</v>
      </c>
      <c r="F2114" t="s">
        <v>1533</v>
      </c>
      <c r="G2114" s="126">
        <f>SUMIFS('Support - Transition'!F:F,'Support - Transition'!B:B,'Step 2'!A2114,'Support - Transition'!C:C,'Step 2'!B2114,'Support - Transition'!D:D,'Step 2'!C2114,'Support - Transition'!E:E,"CIVIL")</f>
        <v>0</v>
      </c>
      <c r="H2114" s="126">
        <f>SUMIFS('Support - Transition'!F:F,'Support - Transition'!B:B,'Step 2'!A2114,'Support - Transition'!C:C,'Step 2'!B2114,'Support - Transition'!D:D,'Step 2'!C2114,'Support - Transition'!E:E,"FIRE")</f>
        <v>0</v>
      </c>
      <c r="I2114" s="126">
        <f>IF(B2114="0",SUMIFS('Support - Transition'!F:F,'Support - Transition'!J:J,'Step 2'!D2114,'Support - Transition'!E:E,"STATE UNIT"),SUMIFS('Support - Transition'!F:F,'Support - Transition'!J:J,'Step 2'!D2114))</f>
        <v>3.6953E-2</v>
      </c>
      <c r="J2114" s="126">
        <f>SUMIFS('Support - Unit Adjustments'!E:E,'Support - Unit Adjustments'!F:F,'Step 2'!D2114)</f>
        <v>0</v>
      </c>
      <c r="K2114" s="126">
        <f t="shared" ref="K2114:K2177" si="631">+I2114+J2114</f>
        <v>3.6953E-2</v>
      </c>
      <c r="L2114" s="174">
        <f>VLOOKUP(A2114,'Step 1'!$A:$E,4,FALSE)</f>
        <v>129781</v>
      </c>
      <c r="M2114" s="47">
        <f t="shared" ref="M2114:M2177" si="632">ROUND(+K2114*L2114,0)</f>
        <v>4796</v>
      </c>
      <c r="N2114" s="177">
        <f>SUMIFS('Support - Transition'!G:G,'Support - Transition'!J:J,'Step 2'!D2114,'Support - Transition'!E:E,"2009 WELFARE ALLOCATION FACTOR")</f>
        <v>0</v>
      </c>
      <c r="O2114" s="152">
        <f t="shared" si="618"/>
        <v>0</v>
      </c>
      <c r="P2114" s="126">
        <f>IF(E2114="Y",0,SUMIFS('Support - Transition'!G:G,'Support - Transition'!J:J,'Step 2'!D2114,'Support - Transition'!E:E,"2009 SCHOOL ALLOCATION FACTOR"))</f>
        <v>0</v>
      </c>
      <c r="Q2114" s="126">
        <f>IF(E2114="Y",VLOOKUP(D2114,'Support - Unit Adjustments'!F:G,2,FALSE),0)</f>
        <v>0</v>
      </c>
      <c r="R2114" s="155">
        <f t="shared" si="630"/>
        <v>0</v>
      </c>
      <c r="S2114" s="47">
        <f t="shared" si="629"/>
        <v>0</v>
      </c>
      <c r="T2114" s="151">
        <f t="shared" ref="T2114:T2177" si="633">ROUND(+M2114-O2114-S2114,2)</f>
        <v>4796</v>
      </c>
      <c r="U2114" s="151">
        <f t="shared" ref="U2114:U2177" si="634">IF(B2114="0",SUMIFS(O:O,A:A,A2114)+SUMIFS(S:S,A:A,A2114)+SUMIFS(T:T,A:A,A2114),0)</f>
        <v>0</v>
      </c>
      <c r="V2114" s="139">
        <f t="shared" ref="V2114:V2177" si="635">IF(B2114="0",U2114-L2114,0)</f>
        <v>0</v>
      </c>
      <c r="W2114" s="152">
        <f t="shared" si="619"/>
        <v>4796</v>
      </c>
      <c r="X2114" s="127" t="str">
        <f t="shared" ref="X2114:X2177" si="636">IF(B2114="0",SUMIFS(O:O,A:A,A2114)+SUMIFS(S:S,A:A,A2114)+SUMIFS(W:W,A:A,A2114)-L2114,"")</f>
        <v/>
      </c>
      <c r="Y2114" s="207">
        <f t="shared" si="620"/>
        <v>4796</v>
      </c>
      <c r="Z2114" s="139">
        <f t="shared" si="621"/>
        <v>4796</v>
      </c>
      <c r="AA2114" s="139">
        <f t="shared" si="622"/>
        <v>0</v>
      </c>
      <c r="AC2114" s="47">
        <f t="shared" si="623"/>
        <v>2398</v>
      </c>
      <c r="AD2114" s="47">
        <f t="shared" si="624"/>
        <v>2398</v>
      </c>
      <c r="AE2114" s="47">
        <f t="shared" si="625"/>
        <v>0</v>
      </c>
      <c r="AG2114" s="47">
        <f t="shared" si="626"/>
        <v>2398</v>
      </c>
      <c r="AH2114" s="47">
        <f t="shared" si="627"/>
        <v>2398</v>
      </c>
      <c r="AI2114" s="208">
        <f t="shared" si="628"/>
        <v>0</v>
      </c>
    </row>
    <row r="2115" spans="1:35">
      <c r="A2115" t="s">
        <v>2154</v>
      </c>
      <c r="B2115" t="s">
        <v>3155</v>
      </c>
      <c r="C2115" t="s">
        <v>2988</v>
      </c>
      <c r="D2115" t="s">
        <v>5617</v>
      </c>
      <c r="F2115" t="s">
        <v>1532</v>
      </c>
      <c r="G2115" s="126">
        <f>SUMIFS('Support - Transition'!F:F,'Support - Transition'!B:B,'Step 2'!A2115,'Support - Transition'!C:C,'Step 2'!B2115,'Support - Transition'!D:D,'Step 2'!C2115,'Support - Transition'!E:E,"CIVIL")</f>
        <v>0</v>
      </c>
      <c r="H2115" s="126">
        <f>SUMIFS('Support - Transition'!F:F,'Support - Transition'!B:B,'Step 2'!A2115,'Support - Transition'!C:C,'Step 2'!B2115,'Support - Transition'!D:D,'Step 2'!C2115,'Support - Transition'!E:E,"FIRE")</f>
        <v>0</v>
      </c>
      <c r="I2115" s="126">
        <f>IF(B2115="0",SUMIFS('Support - Transition'!F:F,'Support - Transition'!J:J,'Step 2'!D2115,'Support - Transition'!E:E,"STATE UNIT"),SUMIFS('Support - Transition'!F:F,'Support - Transition'!J:J,'Step 2'!D2115))</f>
        <v>3.434E-3</v>
      </c>
      <c r="J2115" s="126">
        <f>SUMIFS('Support - Unit Adjustments'!E:E,'Support - Unit Adjustments'!F:F,'Step 2'!D2115)</f>
        <v>0</v>
      </c>
      <c r="K2115" s="126">
        <f t="shared" si="631"/>
        <v>3.434E-3</v>
      </c>
      <c r="L2115" s="174">
        <f>VLOOKUP(A2115,'Step 1'!$A:$E,4,FALSE)</f>
        <v>129781</v>
      </c>
      <c r="M2115" s="47">
        <f t="shared" si="632"/>
        <v>446</v>
      </c>
      <c r="N2115" s="177">
        <f>SUMIFS('Support - Transition'!G:G,'Support - Transition'!J:J,'Step 2'!D2115,'Support - Transition'!E:E,"2009 WELFARE ALLOCATION FACTOR")</f>
        <v>0</v>
      </c>
      <c r="O2115" s="152">
        <f t="shared" ref="O2115:O2178" si="637">ROUND(+N2115*M2115,0)</f>
        <v>0</v>
      </c>
      <c r="P2115" s="126">
        <f>IF(E2115="Y",0,SUMIFS('Support - Transition'!G:G,'Support - Transition'!J:J,'Step 2'!D2115,'Support - Transition'!E:E,"2009 SCHOOL ALLOCATION FACTOR"))</f>
        <v>0</v>
      </c>
      <c r="Q2115" s="126">
        <f>IF(E2115="Y",VLOOKUP(D2115,'Support - Unit Adjustments'!F:G,2,FALSE),0)</f>
        <v>0</v>
      </c>
      <c r="R2115" s="155">
        <f t="shared" si="630"/>
        <v>0</v>
      </c>
      <c r="S2115" s="47">
        <f t="shared" si="629"/>
        <v>0</v>
      </c>
      <c r="T2115" s="151">
        <f t="shared" si="633"/>
        <v>446</v>
      </c>
      <c r="U2115" s="151">
        <f t="shared" si="634"/>
        <v>0</v>
      </c>
      <c r="V2115" s="139">
        <f t="shared" si="635"/>
        <v>0</v>
      </c>
      <c r="W2115" s="152">
        <f t="shared" ref="W2115:W2178" si="638">+T2115-V2115</f>
        <v>446</v>
      </c>
      <c r="X2115" s="127" t="str">
        <f t="shared" si="636"/>
        <v/>
      </c>
      <c r="Y2115" s="207">
        <f t="shared" ref="Y2115:Y2178" si="639">W2115</f>
        <v>446</v>
      </c>
      <c r="Z2115" s="139">
        <f t="shared" ref="Z2115:Z2178" si="640">IFERROR(IF(B2115="2",ROUND(Y2115*G2115/I2115,0),Y2115),0)</f>
        <v>446</v>
      </c>
      <c r="AA2115" s="139">
        <f t="shared" ref="AA2115:AA2178" si="641">+Y2115-Z2115</f>
        <v>0</v>
      </c>
      <c r="AC2115" s="47">
        <f t="shared" ref="AC2115:AC2178" si="642">ROUND(Y2115/2,0)</f>
        <v>223</v>
      </c>
      <c r="AD2115" s="47">
        <f t="shared" ref="AD2115:AD2178" si="643">ROUND(Z2115/2,0)</f>
        <v>223</v>
      </c>
      <c r="AE2115" s="47">
        <f t="shared" ref="AE2115:AE2178" si="644">ROUND(AA2115/2,0)</f>
        <v>0</v>
      </c>
      <c r="AG2115" s="47">
        <f t="shared" ref="AG2115:AG2178" si="645">+Y2115-AC2115</f>
        <v>223</v>
      </c>
      <c r="AH2115" s="47">
        <f t="shared" ref="AH2115:AH2178" si="646">+Z2115-AD2115</f>
        <v>223</v>
      </c>
      <c r="AI2115" s="208">
        <f t="shared" ref="AI2115:AI2178" si="647">+AA2115-AE2115</f>
        <v>0</v>
      </c>
    </row>
    <row r="2116" spans="1:35">
      <c r="A2116" t="s">
        <v>2154</v>
      </c>
      <c r="B2116" t="s">
        <v>3155</v>
      </c>
      <c r="C2116" t="s">
        <v>2422</v>
      </c>
      <c r="D2116" t="s">
        <v>5618</v>
      </c>
      <c r="F2116" t="s">
        <v>485</v>
      </c>
      <c r="G2116" s="126">
        <f>SUMIFS('Support - Transition'!F:F,'Support - Transition'!B:B,'Step 2'!A2116,'Support - Transition'!C:C,'Step 2'!B2116,'Support - Transition'!D:D,'Step 2'!C2116,'Support - Transition'!E:E,"CIVIL")</f>
        <v>0</v>
      </c>
      <c r="H2116" s="126">
        <f>SUMIFS('Support - Transition'!F:F,'Support - Transition'!B:B,'Step 2'!A2116,'Support - Transition'!C:C,'Step 2'!B2116,'Support - Transition'!D:D,'Step 2'!C2116,'Support - Transition'!E:E,"FIRE")</f>
        <v>0</v>
      </c>
      <c r="I2116" s="126">
        <f>IF(B2116="0",SUMIFS('Support - Transition'!F:F,'Support - Transition'!J:J,'Step 2'!D2116,'Support - Transition'!E:E,"STATE UNIT"),SUMIFS('Support - Transition'!F:F,'Support - Transition'!J:J,'Step 2'!D2116))</f>
        <v>0</v>
      </c>
      <c r="J2116" s="126">
        <f>SUMIFS('Support - Unit Adjustments'!E:E,'Support - Unit Adjustments'!F:F,'Step 2'!D2116)</f>
        <v>0</v>
      </c>
      <c r="K2116" s="126">
        <f t="shared" si="631"/>
        <v>0</v>
      </c>
      <c r="L2116" s="174">
        <f>VLOOKUP(A2116,'Step 1'!$A:$E,4,FALSE)</f>
        <v>129781</v>
      </c>
      <c r="M2116" s="47">
        <f t="shared" si="632"/>
        <v>0</v>
      </c>
      <c r="N2116" s="177">
        <f>SUMIFS('Support - Transition'!G:G,'Support - Transition'!J:J,'Step 2'!D2116,'Support - Transition'!E:E,"2009 WELFARE ALLOCATION FACTOR")</f>
        <v>0</v>
      </c>
      <c r="O2116" s="152">
        <f t="shared" si="637"/>
        <v>0</v>
      </c>
      <c r="P2116" s="126">
        <f>IF(E2116="Y",0,SUMIFS('Support - Transition'!G:G,'Support - Transition'!J:J,'Step 2'!D2116,'Support - Transition'!E:E,"2009 SCHOOL ALLOCATION FACTOR"))</f>
        <v>0</v>
      </c>
      <c r="Q2116" s="126">
        <f>IF(E2116="Y",VLOOKUP(D2116,'Support - Unit Adjustments'!F:G,2,FALSE),0)</f>
        <v>0</v>
      </c>
      <c r="R2116" s="155">
        <f t="shared" si="630"/>
        <v>0</v>
      </c>
      <c r="S2116" s="47">
        <f t="shared" si="629"/>
        <v>0</v>
      </c>
      <c r="T2116" s="151">
        <f t="shared" si="633"/>
        <v>0</v>
      </c>
      <c r="U2116" s="151">
        <f t="shared" si="634"/>
        <v>0</v>
      </c>
      <c r="V2116" s="139">
        <f t="shared" si="635"/>
        <v>0</v>
      </c>
      <c r="W2116" s="152">
        <f t="shared" si="638"/>
        <v>0</v>
      </c>
      <c r="X2116" s="127" t="str">
        <f t="shared" si="636"/>
        <v/>
      </c>
      <c r="Y2116" s="207">
        <f t="shared" si="639"/>
        <v>0</v>
      </c>
      <c r="Z2116" s="139">
        <f t="shared" si="640"/>
        <v>0</v>
      </c>
      <c r="AA2116" s="139">
        <f t="shared" si="641"/>
        <v>0</v>
      </c>
      <c r="AC2116" s="47">
        <f t="shared" si="642"/>
        <v>0</v>
      </c>
      <c r="AD2116" s="47">
        <f t="shared" si="643"/>
        <v>0</v>
      </c>
      <c r="AE2116" s="47">
        <f t="shared" si="644"/>
        <v>0</v>
      </c>
      <c r="AG2116" s="47">
        <f t="shared" si="645"/>
        <v>0</v>
      </c>
      <c r="AH2116" s="47">
        <f t="shared" si="646"/>
        <v>0</v>
      </c>
      <c r="AI2116" s="208">
        <f t="shared" si="647"/>
        <v>0</v>
      </c>
    </row>
    <row r="2117" spans="1:35">
      <c r="A2117" t="s">
        <v>2154</v>
      </c>
      <c r="B2117" t="s">
        <v>3160</v>
      </c>
      <c r="C2117" t="s">
        <v>2586</v>
      </c>
      <c r="D2117" t="s">
        <v>5619</v>
      </c>
      <c r="F2117" t="s">
        <v>4305</v>
      </c>
      <c r="G2117" s="126">
        <f>SUMIFS('Support - Transition'!F:F,'Support - Transition'!B:B,'Step 2'!A2117,'Support - Transition'!C:C,'Step 2'!B2117,'Support - Transition'!D:D,'Step 2'!C2117,'Support - Transition'!E:E,"CIVIL")</f>
        <v>0</v>
      </c>
      <c r="H2117" s="126">
        <f>SUMIFS('Support - Transition'!F:F,'Support - Transition'!B:B,'Step 2'!A2117,'Support - Transition'!C:C,'Step 2'!B2117,'Support - Transition'!D:D,'Step 2'!C2117,'Support - Transition'!E:E,"FIRE")</f>
        <v>0</v>
      </c>
      <c r="I2117" s="126">
        <f>IF(B2117="0",SUMIFS('Support - Transition'!F:F,'Support - Transition'!J:J,'Step 2'!D2117,'Support - Transition'!E:E,"STATE UNIT"),SUMIFS('Support - Transition'!F:F,'Support - Transition'!J:J,'Step 2'!D2117))</f>
        <v>2.3968E-2</v>
      </c>
      <c r="J2117" s="126">
        <f>SUMIFS('Support - Unit Adjustments'!E:E,'Support - Unit Adjustments'!F:F,'Step 2'!D2117)</f>
        <v>0</v>
      </c>
      <c r="K2117" s="126">
        <f t="shared" si="631"/>
        <v>2.3968E-2</v>
      </c>
      <c r="L2117" s="174">
        <f>VLOOKUP(A2117,'Step 1'!$A:$E,4,FALSE)</f>
        <v>129781</v>
      </c>
      <c r="M2117" s="47">
        <f t="shared" si="632"/>
        <v>3111</v>
      </c>
      <c r="N2117" s="177">
        <f>SUMIFS('Support - Transition'!G:G,'Support - Transition'!J:J,'Step 2'!D2117,'Support - Transition'!E:E,"2009 WELFARE ALLOCATION FACTOR")</f>
        <v>0</v>
      </c>
      <c r="O2117" s="152">
        <f t="shared" si="637"/>
        <v>0</v>
      </c>
      <c r="P2117" s="126">
        <f>IF(E2117="Y",0,SUMIFS('Support - Transition'!G:G,'Support - Transition'!J:J,'Step 2'!D2117,'Support - Transition'!E:E,"2009 SCHOOL ALLOCATION FACTOR"))</f>
        <v>0.41226600000000002</v>
      </c>
      <c r="Q2117" s="126">
        <f>IF(E2117="Y",VLOOKUP(D2117,'Support - Unit Adjustments'!F:G,2,FALSE),0)</f>
        <v>0</v>
      </c>
      <c r="R2117" s="155">
        <f t="shared" si="630"/>
        <v>0.41226600000000002</v>
      </c>
      <c r="S2117" s="47">
        <f t="shared" si="629"/>
        <v>1283</v>
      </c>
      <c r="T2117" s="151">
        <f t="shared" si="633"/>
        <v>1828</v>
      </c>
      <c r="U2117" s="151">
        <f t="shared" si="634"/>
        <v>0</v>
      </c>
      <c r="V2117" s="139">
        <f t="shared" si="635"/>
        <v>0</v>
      </c>
      <c r="W2117" s="152">
        <f t="shared" si="638"/>
        <v>1828</v>
      </c>
      <c r="X2117" s="127" t="str">
        <f t="shared" si="636"/>
        <v/>
      </c>
      <c r="Y2117" s="207">
        <f t="shared" si="639"/>
        <v>1828</v>
      </c>
      <c r="Z2117" s="139">
        <f t="shared" si="640"/>
        <v>1828</v>
      </c>
      <c r="AA2117" s="139">
        <f t="shared" si="641"/>
        <v>0</v>
      </c>
      <c r="AC2117" s="47">
        <f t="shared" si="642"/>
        <v>914</v>
      </c>
      <c r="AD2117" s="47">
        <f t="shared" si="643"/>
        <v>914</v>
      </c>
      <c r="AE2117" s="47">
        <f t="shared" si="644"/>
        <v>0</v>
      </c>
      <c r="AG2117" s="47">
        <f t="shared" si="645"/>
        <v>914</v>
      </c>
      <c r="AH2117" s="47">
        <f t="shared" si="646"/>
        <v>914</v>
      </c>
      <c r="AI2117" s="208">
        <f t="shared" si="647"/>
        <v>0</v>
      </c>
    </row>
    <row r="2118" spans="1:35">
      <c r="A2118" t="s">
        <v>2154</v>
      </c>
      <c r="B2118" t="s">
        <v>3160</v>
      </c>
      <c r="C2118" t="s">
        <v>5620</v>
      </c>
      <c r="D2118" t="s">
        <v>5621</v>
      </c>
      <c r="F2118" t="s">
        <v>5622</v>
      </c>
      <c r="G2118" s="126">
        <f>SUMIFS('Support - Transition'!F:F,'Support - Transition'!B:B,'Step 2'!A2118,'Support - Transition'!C:C,'Step 2'!B2118,'Support - Transition'!D:D,'Step 2'!C2118,'Support - Transition'!E:E,"CIVIL")</f>
        <v>0</v>
      </c>
      <c r="H2118" s="126">
        <f>SUMIFS('Support - Transition'!F:F,'Support - Transition'!B:B,'Step 2'!A2118,'Support - Transition'!C:C,'Step 2'!B2118,'Support - Transition'!D:D,'Step 2'!C2118,'Support - Transition'!E:E,"FIRE")</f>
        <v>0</v>
      </c>
      <c r="I2118" s="126">
        <f>IF(B2118="0",SUMIFS('Support - Transition'!F:F,'Support - Transition'!J:J,'Step 2'!D2118,'Support - Transition'!E:E,"STATE UNIT"),SUMIFS('Support - Transition'!F:F,'Support - Transition'!J:J,'Step 2'!D2118))</f>
        <v>0.67035400000000001</v>
      </c>
      <c r="J2118" s="126">
        <f>SUMIFS('Support - Unit Adjustments'!E:E,'Support - Unit Adjustments'!F:F,'Step 2'!D2118)</f>
        <v>0</v>
      </c>
      <c r="K2118" s="126">
        <f t="shared" si="631"/>
        <v>0.67035400000000001</v>
      </c>
      <c r="L2118" s="174">
        <f>VLOOKUP(A2118,'Step 1'!$A:$E,4,FALSE)</f>
        <v>129781</v>
      </c>
      <c r="M2118" s="47">
        <f t="shared" si="632"/>
        <v>86999</v>
      </c>
      <c r="N2118" s="177">
        <f>SUMIFS('Support - Transition'!G:G,'Support - Transition'!J:J,'Step 2'!D2118,'Support - Transition'!E:E,"2009 WELFARE ALLOCATION FACTOR")</f>
        <v>0</v>
      </c>
      <c r="O2118" s="152">
        <f t="shared" si="637"/>
        <v>0</v>
      </c>
      <c r="P2118" s="126">
        <f>IF(E2118="Y",0,SUMIFS('Support - Transition'!G:G,'Support - Transition'!J:J,'Step 2'!D2118,'Support - Transition'!E:E,"2009 SCHOOL ALLOCATION FACTOR"))</f>
        <v>0.51127999999999996</v>
      </c>
      <c r="Q2118" s="126">
        <f>IF(E2118="Y",VLOOKUP(D2118,'Support - Unit Adjustments'!F:G,2,FALSE),0)</f>
        <v>0</v>
      </c>
      <c r="R2118" s="155">
        <f t="shared" si="630"/>
        <v>0.51127999999999996</v>
      </c>
      <c r="S2118" s="47">
        <f t="shared" si="629"/>
        <v>44481</v>
      </c>
      <c r="T2118" s="151">
        <f t="shared" si="633"/>
        <v>42518</v>
      </c>
      <c r="U2118" s="151">
        <f t="shared" si="634"/>
        <v>0</v>
      </c>
      <c r="V2118" s="139">
        <f t="shared" si="635"/>
        <v>0</v>
      </c>
      <c r="W2118" s="152">
        <f t="shared" si="638"/>
        <v>42518</v>
      </c>
      <c r="X2118" s="127" t="str">
        <f t="shared" si="636"/>
        <v/>
      </c>
      <c r="Y2118" s="207">
        <f t="shared" si="639"/>
        <v>42518</v>
      </c>
      <c r="Z2118" s="139">
        <f t="shared" si="640"/>
        <v>42518</v>
      </c>
      <c r="AA2118" s="139">
        <f t="shared" si="641"/>
        <v>0</v>
      </c>
      <c r="AC2118" s="47">
        <f t="shared" si="642"/>
        <v>21259</v>
      </c>
      <c r="AD2118" s="47">
        <f t="shared" si="643"/>
        <v>21259</v>
      </c>
      <c r="AE2118" s="47">
        <f t="shared" si="644"/>
        <v>0</v>
      </c>
      <c r="AG2118" s="47">
        <f t="shared" si="645"/>
        <v>21259</v>
      </c>
      <c r="AH2118" s="47">
        <f t="shared" si="646"/>
        <v>21259</v>
      </c>
      <c r="AI2118" s="208">
        <f t="shared" si="647"/>
        <v>0</v>
      </c>
    </row>
    <row r="2119" spans="1:35">
      <c r="A2119" t="s">
        <v>2154</v>
      </c>
      <c r="B2119" t="s">
        <v>3166</v>
      </c>
      <c r="C2119" t="s">
        <v>2745</v>
      </c>
      <c r="D2119" t="s">
        <v>5623</v>
      </c>
      <c r="F2119" t="s">
        <v>1535</v>
      </c>
      <c r="G2119" s="126">
        <f>SUMIFS('Support - Transition'!F:F,'Support - Transition'!B:B,'Step 2'!A2119,'Support - Transition'!C:C,'Step 2'!B2119,'Support - Transition'!D:D,'Step 2'!C2119,'Support - Transition'!E:E,"CIVIL")</f>
        <v>0</v>
      </c>
      <c r="H2119" s="126">
        <f>SUMIFS('Support - Transition'!F:F,'Support - Transition'!B:B,'Step 2'!A2119,'Support - Transition'!C:C,'Step 2'!B2119,'Support - Transition'!D:D,'Step 2'!C2119,'Support - Transition'!E:E,"FIRE")</f>
        <v>0</v>
      </c>
      <c r="I2119" s="126">
        <f>IF(B2119="0",SUMIFS('Support - Transition'!F:F,'Support - Transition'!J:J,'Step 2'!D2119,'Support - Transition'!E:E,"STATE UNIT"),SUMIFS('Support - Transition'!F:F,'Support - Transition'!J:J,'Step 2'!D2119))</f>
        <v>6.3E-5</v>
      </c>
      <c r="J2119" s="126">
        <f>SUMIFS('Support - Unit Adjustments'!E:E,'Support - Unit Adjustments'!F:F,'Step 2'!D2119)</f>
        <v>0</v>
      </c>
      <c r="K2119" s="126">
        <f t="shared" si="631"/>
        <v>6.3E-5</v>
      </c>
      <c r="L2119" s="174">
        <f>VLOOKUP(A2119,'Step 1'!$A:$E,4,FALSE)</f>
        <v>129781</v>
      </c>
      <c r="M2119" s="47">
        <f t="shared" si="632"/>
        <v>8</v>
      </c>
      <c r="N2119" s="177">
        <f>SUMIFS('Support - Transition'!G:G,'Support - Transition'!J:J,'Step 2'!D2119,'Support - Transition'!E:E,"2009 WELFARE ALLOCATION FACTOR")</f>
        <v>0</v>
      </c>
      <c r="O2119" s="152">
        <f t="shared" si="637"/>
        <v>0</v>
      </c>
      <c r="P2119" s="126">
        <f>IF(E2119="Y",0,SUMIFS('Support - Transition'!G:G,'Support - Transition'!J:J,'Step 2'!D2119,'Support - Transition'!E:E,"2009 SCHOOL ALLOCATION FACTOR"))</f>
        <v>0</v>
      </c>
      <c r="Q2119" s="126">
        <f>IF(E2119="Y",VLOOKUP(D2119,'Support - Unit Adjustments'!F:G,2,FALSE),0)</f>
        <v>0</v>
      </c>
      <c r="R2119" s="155">
        <f t="shared" si="630"/>
        <v>0</v>
      </c>
      <c r="S2119" s="47">
        <f t="shared" si="629"/>
        <v>0</v>
      </c>
      <c r="T2119" s="151">
        <f t="shared" si="633"/>
        <v>8</v>
      </c>
      <c r="U2119" s="151">
        <f t="shared" si="634"/>
        <v>0</v>
      </c>
      <c r="V2119" s="139">
        <f t="shared" si="635"/>
        <v>0</v>
      </c>
      <c r="W2119" s="152">
        <f t="shared" si="638"/>
        <v>8</v>
      </c>
      <c r="X2119" s="127" t="str">
        <f t="shared" si="636"/>
        <v/>
      </c>
      <c r="Y2119" s="207">
        <f t="shared" si="639"/>
        <v>8</v>
      </c>
      <c r="Z2119" s="139">
        <f t="shared" si="640"/>
        <v>8</v>
      </c>
      <c r="AA2119" s="139">
        <f t="shared" si="641"/>
        <v>0</v>
      </c>
      <c r="AC2119" s="47">
        <f t="shared" si="642"/>
        <v>4</v>
      </c>
      <c r="AD2119" s="47">
        <f t="shared" si="643"/>
        <v>4</v>
      </c>
      <c r="AE2119" s="47">
        <f t="shared" si="644"/>
        <v>0</v>
      </c>
      <c r="AG2119" s="47">
        <f t="shared" si="645"/>
        <v>4</v>
      </c>
      <c r="AH2119" s="47">
        <f t="shared" si="646"/>
        <v>4</v>
      </c>
      <c r="AI2119" s="208">
        <f t="shared" si="647"/>
        <v>0</v>
      </c>
    </row>
    <row r="2120" spans="1:35">
      <c r="A2120" t="s">
        <v>2154</v>
      </c>
      <c r="B2120" t="s">
        <v>3166</v>
      </c>
      <c r="C2120" t="s">
        <v>2699</v>
      </c>
      <c r="D2120" t="s">
        <v>5624</v>
      </c>
      <c r="F2120" t="s">
        <v>1536</v>
      </c>
      <c r="G2120" s="126">
        <f>SUMIFS('Support - Transition'!F:F,'Support - Transition'!B:B,'Step 2'!A2120,'Support - Transition'!C:C,'Step 2'!B2120,'Support - Transition'!D:D,'Step 2'!C2120,'Support - Transition'!E:E,"CIVIL")</f>
        <v>0</v>
      </c>
      <c r="H2120" s="126">
        <f>SUMIFS('Support - Transition'!F:F,'Support - Transition'!B:B,'Step 2'!A2120,'Support - Transition'!C:C,'Step 2'!B2120,'Support - Transition'!D:D,'Step 2'!C2120,'Support - Transition'!E:E,"FIRE")</f>
        <v>0</v>
      </c>
      <c r="I2120" s="126">
        <f>IF(B2120="0",SUMIFS('Support - Transition'!F:F,'Support - Transition'!J:J,'Step 2'!D2120,'Support - Transition'!E:E,"STATE UNIT"),SUMIFS('Support - Transition'!F:F,'Support - Transition'!J:J,'Step 2'!D2120))</f>
        <v>2.9629999999999379E-3</v>
      </c>
      <c r="J2120" s="126">
        <f>SUMIFS('Support - Unit Adjustments'!E:E,'Support - Unit Adjustments'!F:F,'Step 2'!D2120)</f>
        <v>0</v>
      </c>
      <c r="K2120" s="126">
        <f t="shared" si="631"/>
        <v>2.9629999999999379E-3</v>
      </c>
      <c r="L2120" s="174">
        <f>VLOOKUP(A2120,'Step 1'!$A:$E,4,FALSE)</f>
        <v>129781</v>
      </c>
      <c r="M2120" s="47">
        <f t="shared" si="632"/>
        <v>385</v>
      </c>
      <c r="N2120" s="177">
        <f>SUMIFS('Support - Transition'!G:G,'Support - Transition'!J:J,'Step 2'!D2120,'Support - Transition'!E:E,"2009 WELFARE ALLOCATION FACTOR")</f>
        <v>0</v>
      </c>
      <c r="O2120" s="152">
        <f t="shared" si="637"/>
        <v>0</v>
      </c>
      <c r="P2120" s="126">
        <f>IF(E2120="Y",0,SUMIFS('Support - Transition'!G:G,'Support - Transition'!J:J,'Step 2'!D2120,'Support - Transition'!E:E,"2009 SCHOOL ALLOCATION FACTOR"))</f>
        <v>0</v>
      </c>
      <c r="Q2120" s="126">
        <f>IF(E2120="Y",VLOOKUP(D2120,'Support - Unit Adjustments'!F:G,2,FALSE),0)</f>
        <v>0</v>
      </c>
      <c r="R2120" s="155">
        <f t="shared" si="630"/>
        <v>0</v>
      </c>
      <c r="S2120" s="47">
        <f t="shared" ref="S2120:S2183" si="648">ROUND(+R2120*M2120,0)</f>
        <v>0</v>
      </c>
      <c r="T2120" s="151">
        <f t="shared" si="633"/>
        <v>385</v>
      </c>
      <c r="U2120" s="151">
        <f t="shared" si="634"/>
        <v>0</v>
      </c>
      <c r="V2120" s="139">
        <f t="shared" si="635"/>
        <v>0</v>
      </c>
      <c r="W2120" s="152">
        <f t="shared" si="638"/>
        <v>385</v>
      </c>
      <c r="X2120" s="127" t="str">
        <f t="shared" si="636"/>
        <v/>
      </c>
      <c r="Y2120" s="207">
        <f t="shared" si="639"/>
        <v>385</v>
      </c>
      <c r="Z2120" s="139">
        <f t="shared" si="640"/>
        <v>385</v>
      </c>
      <c r="AA2120" s="139">
        <f t="shared" si="641"/>
        <v>0</v>
      </c>
      <c r="AC2120" s="47">
        <f t="shared" si="642"/>
        <v>193</v>
      </c>
      <c r="AD2120" s="47">
        <f t="shared" si="643"/>
        <v>193</v>
      </c>
      <c r="AE2120" s="47">
        <f t="shared" si="644"/>
        <v>0</v>
      </c>
      <c r="AG2120" s="47">
        <f t="shared" si="645"/>
        <v>192</v>
      </c>
      <c r="AH2120" s="47">
        <f t="shared" si="646"/>
        <v>192</v>
      </c>
      <c r="AI2120" s="208">
        <f t="shared" si="647"/>
        <v>0</v>
      </c>
    </row>
    <row r="2121" spans="1:35">
      <c r="A2121" t="s">
        <v>2154</v>
      </c>
      <c r="B2121" t="s">
        <v>3170</v>
      </c>
      <c r="C2121" t="s">
        <v>5625</v>
      </c>
      <c r="D2121" t="s">
        <v>5626</v>
      </c>
      <c r="F2121" t="s">
        <v>5627</v>
      </c>
      <c r="G2121" s="126">
        <f>SUMIFS('Support - Transition'!F:F,'Support - Transition'!B:B,'Step 2'!A2121,'Support - Transition'!C:C,'Step 2'!B2121,'Support - Transition'!D:D,'Step 2'!C2121,'Support - Transition'!E:E,"CIVIL")</f>
        <v>0</v>
      </c>
      <c r="H2121" s="126">
        <f>SUMIFS('Support - Transition'!F:F,'Support - Transition'!B:B,'Step 2'!A2121,'Support - Transition'!C:C,'Step 2'!B2121,'Support - Transition'!D:D,'Step 2'!C2121,'Support - Transition'!E:E,"FIRE")</f>
        <v>0</v>
      </c>
      <c r="I2121" s="126">
        <f>IF(B2121="0",SUMIFS('Support - Transition'!F:F,'Support - Transition'!J:J,'Step 2'!D2121,'Support - Transition'!E:E,"STATE UNIT"),SUMIFS('Support - Transition'!F:F,'Support - Transition'!J:J,'Step 2'!D2121))</f>
        <v>0</v>
      </c>
      <c r="J2121" s="126">
        <f>SUMIFS('Support - Unit Adjustments'!E:E,'Support - Unit Adjustments'!F:F,'Step 2'!D2121)</f>
        <v>0</v>
      </c>
      <c r="K2121" s="126">
        <f t="shared" si="631"/>
        <v>0</v>
      </c>
      <c r="L2121" s="174">
        <f>VLOOKUP(A2121,'Step 1'!$A:$E,4,FALSE)</f>
        <v>129781</v>
      </c>
      <c r="M2121" s="47">
        <f t="shared" si="632"/>
        <v>0</v>
      </c>
      <c r="N2121" s="177">
        <f>SUMIFS('Support - Transition'!G:G,'Support - Transition'!J:J,'Step 2'!D2121,'Support - Transition'!E:E,"2009 WELFARE ALLOCATION FACTOR")</f>
        <v>0</v>
      </c>
      <c r="O2121" s="152">
        <f t="shared" si="637"/>
        <v>0</v>
      </c>
      <c r="P2121" s="126">
        <f>IF(E2121="Y",0,SUMIFS('Support - Transition'!G:G,'Support - Transition'!J:J,'Step 2'!D2121,'Support - Transition'!E:E,"2009 SCHOOL ALLOCATION FACTOR"))</f>
        <v>0</v>
      </c>
      <c r="Q2121" s="126">
        <f>IF(E2121="Y",VLOOKUP(D2121,'Support - Unit Adjustments'!F:G,2,FALSE),0)</f>
        <v>0</v>
      </c>
      <c r="R2121" s="155">
        <f t="shared" ref="R2121:R2184" si="649">+P2121+Q2121</f>
        <v>0</v>
      </c>
      <c r="S2121" s="47">
        <f t="shared" si="648"/>
        <v>0</v>
      </c>
      <c r="T2121" s="151">
        <f t="shared" si="633"/>
        <v>0</v>
      </c>
      <c r="U2121" s="151">
        <f t="shared" si="634"/>
        <v>0</v>
      </c>
      <c r="V2121" s="139">
        <f t="shared" si="635"/>
        <v>0</v>
      </c>
      <c r="W2121" s="152">
        <f t="shared" si="638"/>
        <v>0</v>
      </c>
      <c r="X2121" s="127" t="str">
        <f t="shared" si="636"/>
        <v/>
      </c>
      <c r="Y2121" s="207">
        <f t="shared" si="639"/>
        <v>0</v>
      </c>
      <c r="Z2121" s="139">
        <f t="shared" si="640"/>
        <v>0</v>
      </c>
      <c r="AA2121" s="139">
        <f t="shared" si="641"/>
        <v>0</v>
      </c>
      <c r="AC2121" s="47">
        <f t="shared" si="642"/>
        <v>0</v>
      </c>
      <c r="AD2121" s="47">
        <f t="shared" si="643"/>
        <v>0</v>
      </c>
      <c r="AE2121" s="47">
        <f t="shared" si="644"/>
        <v>0</v>
      </c>
      <c r="AG2121" s="47">
        <f t="shared" si="645"/>
        <v>0</v>
      </c>
      <c r="AH2121" s="47">
        <f t="shared" si="646"/>
        <v>0</v>
      </c>
      <c r="AI2121" s="208">
        <f t="shared" si="647"/>
        <v>0</v>
      </c>
    </row>
    <row r="2122" spans="1:35">
      <c r="A2122" t="s">
        <v>2154</v>
      </c>
      <c r="B2122" t="s">
        <v>3286</v>
      </c>
      <c r="C2122" t="s">
        <v>3638</v>
      </c>
      <c r="D2122" t="s">
        <v>5628</v>
      </c>
      <c r="F2122" t="s">
        <v>4320</v>
      </c>
      <c r="G2122" s="126">
        <f>SUMIFS('Support - Transition'!F:F,'Support - Transition'!B:B,'Step 2'!A2122,'Support - Transition'!C:C,'Step 2'!B2122,'Support - Transition'!D:D,'Step 2'!C2122,'Support - Transition'!E:E,"CIVIL")</f>
        <v>0</v>
      </c>
      <c r="H2122" s="126">
        <f>SUMIFS('Support - Transition'!F:F,'Support - Transition'!B:B,'Step 2'!A2122,'Support - Transition'!C:C,'Step 2'!B2122,'Support - Transition'!D:D,'Step 2'!C2122,'Support - Transition'!E:E,"FIRE")</f>
        <v>0</v>
      </c>
      <c r="I2122" s="126">
        <f>IF(B2122="0",SUMIFS('Support - Transition'!F:F,'Support - Transition'!J:J,'Step 2'!D2122,'Support - Transition'!E:E,"STATE UNIT"),SUMIFS('Support - Transition'!F:F,'Support - Transition'!J:J,'Step 2'!D2122))</f>
        <v>0</v>
      </c>
      <c r="J2122" s="126">
        <f>SUMIFS('Support - Unit Adjustments'!E:E,'Support - Unit Adjustments'!F:F,'Step 2'!D2122)</f>
        <v>0</v>
      </c>
      <c r="K2122" s="126">
        <f t="shared" si="631"/>
        <v>0</v>
      </c>
      <c r="L2122" s="174">
        <f>VLOOKUP(A2122,'Step 1'!$A:$E,4,FALSE)</f>
        <v>129781</v>
      </c>
      <c r="M2122" s="47">
        <f t="shared" si="632"/>
        <v>0</v>
      </c>
      <c r="N2122" s="177">
        <f>SUMIFS('Support - Transition'!G:G,'Support - Transition'!J:J,'Step 2'!D2122,'Support - Transition'!E:E,"2009 WELFARE ALLOCATION FACTOR")</f>
        <v>0</v>
      </c>
      <c r="O2122" s="152">
        <f t="shared" si="637"/>
        <v>0</v>
      </c>
      <c r="P2122" s="126">
        <f>IF(E2122="Y",0,SUMIFS('Support - Transition'!G:G,'Support - Transition'!J:J,'Step 2'!D2122,'Support - Transition'!E:E,"2009 SCHOOL ALLOCATION FACTOR"))</f>
        <v>0</v>
      </c>
      <c r="Q2122" s="126">
        <f>IF(E2122="Y",VLOOKUP(D2122,'Support - Unit Adjustments'!F:G,2,FALSE),0)</f>
        <v>0</v>
      </c>
      <c r="R2122" s="155">
        <f t="shared" si="649"/>
        <v>0</v>
      </c>
      <c r="S2122" s="47">
        <f t="shared" si="648"/>
        <v>0</v>
      </c>
      <c r="T2122" s="151">
        <f t="shared" si="633"/>
        <v>0</v>
      </c>
      <c r="U2122" s="151">
        <f t="shared" si="634"/>
        <v>0</v>
      </c>
      <c r="V2122" s="139">
        <f t="shared" si="635"/>
        <v>0</v>
      </c>
      <c r="W2122" s="152">
        <f t="shared" si="638"/>
        <v>0</v>
      </c>
      <c r="X2122" s="127" t="str">
        <f t="shared" si="636"/>
        <v/>
      </c>
      <c r="Y2122" s="207">
        <f t="shared" si="639"/>
        <v>0</v>
      </c>
      <c r="Z2122" s="139">
        <f t="shared" si="640"/>
        <v>0</v>
      </c>
      <c r="AA2122" s="139">
        <f t="shared" si="641"/>
        <v>0</v>
      </c>
      <c r="AC2122" s="47">
        <f t="shared" si="642"/>
        <v>0</v>
      </c>
      <c r="AD2122" s="47">
        <f t="shared" si="643"/>
        <v>0</v>
      </c>
      <c r="AE2122" s="47">
        <f t="shared" si="644"/>
        <v>0</v>
      </c>
      <c r="AG2122" s="47">
        <f t="shared" si="645"/>
        <v>0</v>
      </c>
      <c r="AH2122" s="47">
        <f t="shared" si="646"/>
        <v>0</v>
      </c>
      <c r="AI2122" s="208">
        <f t="shared" si="647"/>
        <v>0</v>
      </c>
    </row>
    <row r="2123" spans="1:35">
      <c r="A2123" t="s">
        <v>2155</v>
      </c>
      <c r="B2123" s="48" t="s">
        <v>6274</v>
      </c>
      <c r="C2123" t="s">
        <v>2187</v>
      </c>
      <c r="D2123" t="str">
        <f>A2123&amp;B2123&amp;C2123</f>
        <v>7100000</v>
      </c>
      <c r="F2123" t="s">
        <v>6345</v>
      </c>
      <c r="G2123" s="126">
        <f>SUMIFS('Support - Transition'!F:F,'Support - Transition'!B:B,'Step 2'!A2123,'Support - Transition'!C:C,'Step 2'!B2123,'Support - Transition'!D:D,'Step 2'!C2123,'Support - Transition'!E:E,"CIVIL")</f>
        <v>0</v>
      </c>
      <c r="H2123" s="126">
        <f>SUMIFS('Support - Transition'!F:F,'Support - Transition'!B:B,'Step 2'!A2123,'Support - Transition'!C:C,'Step 2'!B2123,'Support - Transition'!D:D,'Step 2'!C2123,'Support - Transition'!E:E,"FIRE")</f>
        <v>0</v>
      </c>
      <c r="I2123" s="126">
        <f>IF(B2123="0",SUMIFS('Support - Transition'!F:F,'Support - Transition'!J:J,'Step 2'!D2123,'Support - Transition'!E:E,"STATE UNIT"),SUMIFS('Support - Transition'!F:F,'Support - Transition'!J:J,'Step 2'!D2123))</f>
        <v>6.6399999999999999E-4</v>
      </c>
      <c r="J2123" s="126">
        <f>SUMIFS('Support - Unit Adjustments'!E:E,'Support - Unit Adjustments'!F:F,'Step 2'!D2123)</f>
        <v>0</v>
      </c>
      <c r="K2123" s="126">
        <f t="shared" si="631"/>
        <v>6.6399999999999999E-4</v>
      </c>
      <c r="L2123" s="174">
        <f>VLOOKUP(A2123,'Step 1'!$A:$E,4,FALSE)</f>
        <v>3345317</v>
      </c>
      <c r="M2123" s="47">
        <f t="shared" si="632"/>
        <v>2221</v>
      </c>
      <c r="N2123" s="177">
        <f>SUMIFS('Support - Transition'!G:G,'Support - Transition'!J:J,'Step 2'!D2123,'Support - Transition'!E:E,"2009 WELFARE ALLOCATION FACTOR")</f>
        <v>0</v>
      </c>
      <c r="O2123" s="152">
        <f t="shared" si="637"/>
        <v>0</v>
      </c>
      <c r="P2123" s="126">
        <f>IF(E2123="Y",0,SUMIFS('Support - Transition'!G:G,'Support - Transition'!J:J,'Step 2'!D2123,'Support - Transition'!E:E,"2009 SCHOOL ALLOCATION FACTOR"))</f>
        <v>0</v>
      </c>
      <c r="Q2123" s="126">
        <f>IF(E2123="Y",VLOOKUP(D2123,'Support - Unit Adjustments'!F:G,2,FALSE),0)</f>
        <v>0</v>
      </c>
      <c r="R2123" s="155">
        <f t="shared" si="649"/>
        <v>0</v>
      </c>
      <c r="S2123" s="47">
        <f t="shared" si="648"/>
        <v>0</v>
      </c>
      <c r="T2123" s="151">
        <f t="shared" si="633"/>
        <v>2221</v>
      </c>
      <c r="U2123" s="151">
        <f t="shared" si="634"/>
        <v>3345318</v>
      </c>
      <c r="V2123" s="139">
        <f t="shared" si="635"/>
        <v>1</v>
      </c>
      <c r="W2123" s="152">
        <f t="shared" si="638"/>
        <v>2220</v>
      </c>
      <c r="X2123" s="127">
        <f t="shared" si="636"/>
        <v>0</v>
      </c>
      <c r="Y2123" s="207">
        <f t="shared" si="639"/>
        <v>2220</v>
      </c>
      <c r="Z2123" s="139">
        <f t="shared" si="640"/>
        <v>2220</v>
      </c>
      <c r="AA2123" s="139">
        <f t="shared" si="641"/>
        <v>0</v>
      </c>
      <c r="AC2123" s="47">
        <f t="shared" si="642"/>
        <v>1110</v>
      </c>
      <c r="AD2123" s="47">
        <f t="shared" si="643"/>
        <v>1110</v>
      </c>
      <c r="AE2123" s="47">
        <f t="shared" si="644"/>
        <v>0</v>
      </c>
      <c r="AG2123" s="47">
        <f t="shared" si="645"/>
        <v>1110</v>
      </c>
      <c r="AH2123" s="47">
        <f t="shared" si="646"/>
        <v>1110</v>
      </c>
      <c r="AI2123" s="208">
        <f t="shared" si="647"/>
        <v>0</v>
      </c>
    </row>
    <row r="2124" spans="1:35">
      <c r="A2124" t="s">
        <v>2155</v>
      </c>
      <c r="B2124" t="s">
        <v>3140</v>
      </c>
      <c r="C2124" t="s">
        <v>2187</v>
      </c>
      <c r="D2124" t="s">
        <v>5629</v>
      </c>
      <c r="F2124" t="s">
        <v>1538</v>
      </c>
      <c r="G2124" s="126">
        <f>SUMIFS('Support - Transition'!F:F,'Support - Transition'!B:B,'Step 2'!A2124,'Support - Transition'!C:C,'Step 2'!B2124,'Support - Transition'!D:D,'Step 2'!C2124,'Support - Transition'!E:E,"CIVIL")</f>
        <v>0</v>
      </c>
      <c r="H2124" s="126">
        <f>SUMIFS('Support - Transition'!F:F,'Support - Transition'!B:B,'Step 2'!A2124,'Support - Transition'!C:C,'Step 2'!B2124,'Support - Transition'!D:D,'Step 2'!C2124,'Support - Transition'!E:E,"FIRE")</f>
        <v>0</v>
      </c>
      <c r="I2124" s="126">
        <f>IF(B2124="0",SUMIFS('Support - Transition'!F:F,'Support - Transition'!J:J,'Step 2'!D2124,'Support - Transition'!E:E,"STATE UNIT"),SUMIFS('Support - Transition'!F:F,'Support - Transition'!J:J,'Step 2'!D2124))</f>
        <v>0.20678099999999999</v>
      </c>
      <c r="J2124" s="126">
        <f>SUMIFS('Support - Unit Adjustments'!E:E,'Support - Unit Adjustments'!F:F,'Step 2'!D2124)</f>
        <v>0</v>
      </c>
      <c r="K2124" s="126">
        <f t="shared" si="631"/>
        <v>0.20678099999999999</v>
      </c>
      <c r="L2124" s="174">
        <f>VLOOKUP(A2124,'Step 1'!$A:$E,4,FALSE)</f>
        <v>3345317</v>
      </c>
      <c r="M2124" s="47">
        <f t="shared" si="632"/>
        <v>691748</v>
      </c>
      <c r="N2124" s="177">
        <f>SUMIFS('Support - Transition'!G:G,'Support - Transition'!J:J,'Step 2'!D2124,'Support - Transition'!E:E,"2009 WELFARE ALLOCATION FACTOR")</f>
        <v>0.443519</v>
      </c>
      <c r="O2124" s="152">
        <f t="shared" si="637"/>
        <v>306803</v>
      </c>
      <c r="P2124" s="126">
        <f>IF(E2124="Y",0,SUMIFS('Support - Transition'!G:G,'Support - Transition'!J:J,'Step 2'!D2124,'Support - Transition'!E:E,"2009 SCHOOL ALLOCATION FACTOR"))</f>
        <v>0</v>
      </c>
      <c r="Q2124" s="126">
        <f>IF(E2124="Y",VLOOKUP(D2124,'Support - Unit Adjustments'!F:G,2,FALSE),0)</f>
        <v>0</v>
      </c>
      <c r="R2124" s="155">
        <f t="shared" si="649"/>
        <v>0</v>
      </c>
      <c r="S2124" s="47">
        <f t="shared" si="648"/>
        <v>0</v>
      </c>
      <c r="T2124" s="151">
        <f t="shared" si="633"/>
        <v>384945</v>
      </c>
      <c r="U2124" s="151">
        <f t="shared" si="634"/>
        <v>0</v>
      </c>
      <c r="V2124" s="139">
        <f t="shared" si="635"/>
        <v>0</v>
      </c>
      <c r="W2124" s="152">
        <f t="shared" si="638"/>
        <v>384945</v>
      </c>
      <c r="X2124" s="127" t="str">
        <f t="shared" si="636"/>
        <v/>
      </c>
      <c r="Y2124" s="207">
        <f t="shared" si="639"/>
        <v>384945</v>
      </c>
      <c r="Z2124" s="139">
        <f t="shared" si="640"/>
        <v>384945</v>
      </c>
      <c r="AA2124" s="139">
        <f t="shared" si="641"/>
        <v>0</v>
      </c>
      <c r="AC2124" s="47">
        <f t="shared" si="642"/>
        <v>192473</v>
      </c>
      <c r="AD2124" s="47">
        <f t="shared" si="643"/>
        <v>192473</v>
      </c>
      <c r="AE2124" s="47">
        <f t="shared" si="644"/>
        <v>0</v>
      </c>
      <c r="AG2124" s="47">
        <f t="shared" si="645"/>
        <v>192472</v>
      </c>
      <c r="AH2124" s="47">
        <f t="shared" si="646"/>
        <v>192472</v>
      </c>
      <c r="AI2124" s="208">
        <f t="shared" si="647"/>
        <v>0</v>
      </c>
    </row>
    <row r="2125" spans="1:35">
      <c r="A2125" t="s">
        <v>2155</v>
      </c>
      <c r="B2125" t="s">
        <v>3142</v>
      </c>
      <c r="C2125" t="s">
        <v>2188</v>
      </c>
      <c r="D2125" t="s">
        <v>5630</v>
      </c>
      <c r="F2125" t="s">
        <v>1539</v>
      </c>
      <c r="G2125" s="126">
        <f>SUMIFS('Support - Transition'!F:F,'Support - Transition'!B:B,'Step 2'!A2125,'Support - Transition'!C:C,'Step 2'!B2125,'Support - Transition'!D:D,'Step 2'!C2125,'Support - Transition'!E:E,"CIVIL")</f>
        <v>9.5299999999999996E-4</v>
      </c>
      <c r="H2125" s="126">
        <f>SUMIFS('Support - Transition'!F:F,'Support - Transition'!B:B,'Step 2'!A2125,'Support - Transition'!C:C,'Step 2'!B2125,'Support - Transition'!D:D,'Step 2'!C2125,'Support - Transition'!E:E,"FIRE")</f>
        <v>5.1699999999999999E-4</v>
      </c>
      <c r="I2125" s="126">
        <f>IF(B2125="0",SUMIFS('Support - Transition'!F:F,'Support - Transition'!J:J,'Step 2'!D2125,'Support - Transition'!E:E,"STATE UNIT"),SUMIFS('Support - Transition'!F:F,'Support - Transition'!J:J,'Step 2'!D2125))</f>
        <v>1.47E-3</v>
      </c>
      <c r="J2125" s="126">
        <f>SUMIFS('Support - Unit Adjustments'!E:E,'Support - Unit Adjustments'!F:F,'Step 2'!D2125)</f>
        <v>0</v>
      </c>
      <c r="K2125" s="126">
        <f t="shared" si="631"/>
        <v>1.47E-3</v>
      </c>
      <c r="L2125" s="174">
        <f>VLOOKUP(A2125,'Step 1'!$A:$E,4,FALSE)</f>
        <v>3345317</v>
      </c>
      <c r="M2125" s="47">
        <f t="shared" si="632"/>
        <v>4918</v>
      </c>
      <c r="N2125" s="177">
        <f>SUMIFS('Support - Transition'!G:G,'Support - Transition'!J:J,'Step 2'!D2125,'Support - Transition'!E:E,"2009 WELFARE ALLOCATION FACTOR")</f>
        <v>0</v>
      </c>
      <c r="O2125" s="152">
        <f t="shared" si="637"/>
        <v>0</v>
      </c>
      <c r="P2125" s="126">
        <f>IF(E2125="Y",0,SUMIFS('Support - Transition'!G:G,'Support - Transition'!J:J,'Step 2'!D2125,'Support - Transition'!E:E,"2009 SCHOOL ALLOCATION FACTOR"))</f>
        <v>0</v>
      </c>
      <c r="Q2125" s="126">
        <f>IF(E2125="Y",VLOOKUP(D2125,'Support - Unit Adjustments'!F:G,2,FALSE),0)</f>
        <v>0</v>
      </c>
      <c r="R2125" s="155">
        <f t="shared" si="649"/>
        <v>0</v>
      </c>
      <c r="S2125" s="47">
        <f t="shared" si="648"/>
        <v>0</v>
      </c>
      <c r="T2125" s="151">
        <f t="shared" si="633"/>
        <v>4918</v>
      </c>
      <c r="U2125" s="151">
        <f t="shared" si="634"/>
        <v>0</v>
      </c>
      <c r="V2125" s="139">
        <f t="shared" si="635"/>
        <v>0</v>
      </c>
      <c r="W2125" s="152">
        <f t="shared" si="638"/>
        <v>4918</v>
      </c>
      <c r="X2125" s="127" t="str">
        <f t="shared" si="636"/>
        <v/>
      </c>
      <c r="Y2125" s="207">
        <f t="shared" si="639"/>
        <v>4918</v>
      </c>
      <c r="Z2125" s="139">
        <f t="shared" si="640"/>
        <v>3188</v>
      </c>
      <c r="AA2125" s="139">
        <f t="shared" si="641"/>
        <v>1730</v>
      </c>
      <c r="AC2125" s="47">
        <f t="shared" si="642"/>
        <v>2459</v>
      </c>
      <c r="AD2125" s="47">
        <f t="shared" si="643"/>
        <v>1594</v>
      </c>
      <c r="AE2125" s="47">
        <f t="shared" si="644"/>
        <v>865</v>
      </c>
      <c r="AG2125" s="47">
        <f t="shared" si="645"/>
        <v>2459</v>
      </c>
      <c r="AH2125" s="47">
        <f t="shared" si="646"/>
        <v>1594</v>
      </c>
      <c r="AI2125" s="208">
        <f t="shared" si="647"/>
        <v>865</v>
      </c>
    </row>
    <row r="2126" spans="1:35">
      <c r="A2126" t="s">
        <v>2155</v>
      </c>
      <c r="B2126" t="s">
        <v>3142</v>
      </c>
      <c r="C2126" t="s">
        <v>2189</v>
      </c>
      <c r="D2126" t="s">
        <v>5631</v>
      </c>
      <c r="F2126" t="s">
        <v>81</v>
      </c>
      <c r="G2126" s="126">
        <f>SUMIFS('Support - Transition'!F:F,'Support - Transition'!B:B,'Step 2'!A2126,'Support - Transition'!C:C,'Step 2'!B2126,'Support - Transition'!D:D,'Step 2'!C2126,'Support - Transition'!E:E,"CIVIL")</f>
        <v>3.4E-5</v>
      </c>
      <c r="H2126" s="126">
        <f>SUMIFS('Support - Transition'!F:F,'Support - Transition'!B:B,'Step 2'!A2126,'Support - Transition'!C:C,'Step 2'!B2126,'Support - Transition'!D:D,'Step 2'!C2126,'Support - Transition'!E:E,"FIRE")</f>
        <v>4.8999999999999998E-5</v>
      </c>
      <c r="I2126" s="126">
        <f>IF(B2126="0",SUMIFS('Support - Transition'!F:F,'Support - Transition'!J:J,'Step 2'!D2126,'Support - Transition'!E:E,"STATE UNIT"),SUMIFS('Support - Transition'!F:F,'Support - Transition'!J:J,'Step 2'!D2126))</f>
        <v>8.2999999999999998E-5</v>
      </c>
      <c r="J2126" s="126">
        <f>SUMIFS('Support - Unit Adjustments'!E:E,'Support - Unit Adjustments'!F:F,'Step 2'!D2126)</f>
        <v>0</v>
      </c>
      <c r="K2126" s="126">
        <f t="shared" si="631"/>
        <v>8.2999999999999998E-5</v>
      </c>
      <c r="L2126" s="174">
        <f>VLOOKUP(A2126,'Step 1'!$A:$E,4,FALSE)</f>
        <v>3345317</v>
      </c>
      <c r="M2126" s="47">
        <f t="shared" si="632"/>
        <v>278</v>
      </c>
      <c r="N2126" s="177">
        <f>SUMIFS('Support - Transition'!G:G,'Support - Transition'!J:J,'Step 2'!D2126,'Support - Transition'!E:E,"2009 WELFARE ALLOCATION FACTOR")</f>
        <v>0</v>
      </c>
      <c r="O2126" s="152">
        <f t="shared" si="637"/>
        <v>0</v>
      </c>
      <c r="P2126" s="126">
        <f>IF(E2126="Y",0,SUMIFS('Support - Transition'!G:G,'Support - Transition'!J:J,'Step 2'!D2126,'Support - Transition'!E:E,"2009 SCHOOL ALLOCATION FACTOR"))</f>
        <v>0</v>
      </c>
      <c r="Q2126" s="126">
        <f>IF(E2126="Y",VLOOKUP(D2126,'Support - Unit Adjustments'!F:G,2,FALSE),0)</f>
        <v>0</v>
      </c>
      <c r="R2126" s="155">
        <f t="shared" si="649"/>
        <v>0</v>
      </c>
      <c r="S2126" s="47">
        <f t="shared" si="648"/>
        <v>0</v>
      </c>
      <c r="T2126" s="151">
        <f t="shared" si="633"/>
        <v>278</v>
      </c>
      <c r="U2126" s="151">
        <f t="shared" si="634"/>
        <v>0</v>
      </c>
      <c r="V2126" s="139">
        <f t="shared" si="635"/>
        <v>0</v>
      </c>
      <c r="W2126" s="152">
        <f t="shared" si="638"/>
        <v>278</v>
      </c>
      <c r="X2126" s="127" t="str">
        <f t="shared" si="636"/>
        <v/>
      </c>
      <c r="Y2126" s="207">
        <f t="shared" si="639"/>
        <v>278</v>
      </c>
      <c r="Z2126" s="139">
        <f t="shared" si="640"/>
        <v>114</v>
      </c>
      <c r="AA2126" s="139">
        <f t="shared" si="641"/>
        <v>164</v>
      </c>
      <c r="AC2126" s="47">
        <f t="shared" si="642"/>
        <v>139</v>
      </c>
      <c r="AD2126" s="47">
        <f t="shared" si="643"/>
        <v>57</v>
      </c>
      <c r="AE2126" s="47">
        <f t="shared" si="644"/>
        <v>82</v>
      </c>
      <c r="AG2126" s="47">
        <f t="shared" si="645"/>
        <v>139</v>
      </c>
      <c r="AH2126" s="47">
        <f t="shared" si="646"/>
        <v>57</v>
      </c>
      <c r="AI2126" s="208">
        <f t="shared" si="647"/>
        <v>82</v>
      </c>
    </row>
    <row r="2127" spans="1:35">
      <c r="A2127" t="s">
        <v>2155</v>
      </c>
      <c r="B2127" t="s">
        <v>3142</v>
      </c>
      <c r="C2127" t="s">
        <v>2190</v>
      </c>
      <c r="D2127" t="s">
        <v>5632</v>
      </c>
      <c r="F2127" t="s">
        <v>85</v>
      </c>
      <c r="G2127" s="126">
        <f>SUMIFS('Support - Transition'!F:F,'Support - Transition'!B:B,'Step 2'!A2127,'Support - Transition'!C:C,'Step 2'!B2127,'Support - Transition'!D:D,'Step 2'!C2127,'Support - Transition'!E:E,"CIVIL")</f>
        <v>2.483E-3</v>
      </c>
      <c r="H2127" s="126">
        <f>SUMIFS('Support - Transition'!F:F,'Support - Transition'!B:B,'Step 2'!A2127,'Support - Transition'!C:C,'Step 2'!B2127,'Support - Transition'!D:D,'Step 2'!C2127,'Support - Transition'!E:E,"FIRE")</f>
        <v>7.3200000000000001E-4</v>
      </c>
      <c r="I2127" s="126">
        <f>IF(B2127="0",SUMIFS('Support - Transition'!F:F,'Support - Transition'!J:J,'Step 2'!D2127,'Support - Transition'!E:E,"STATE UNIT"),SUMIFS('Support - Transition'!F:F,'Support - Transition'!J:J,'Step 2'!D2127))</f>
        <v>3.215E-3</v>
      </c>
      <c r="J2127" s="126">
        <f>SUMIFS('Support - Unit Adjustments'!E:E,'Support - Unit Adjustments'!F:F,'Step 2'!D2127)</f>
        <v>0</v>
      </c>
      <c r="K2127" s="126">
        <f t="shared" si="631"/>
        <v>3.215E-3</v>
      </c>
      <c r="L2127" s="174">
        <f>VLOOKUP(A2127,'Step 1'!$A:$E,4,FALSE)</f>
        <v>3345317</v>
      </c>
      <c r="M2127" s="47">
        <f t="shared" si="632"/>
        <v>10755</v>
      </c>
      <c r="N2127" s="177">
        <f>SUMIFS('Support - Transition'!G:G,'Support - Transition'!J:J,'Step 2'!D2127,'Support - Transition'!E:E,"2009 WELFARE ALLOCATION FACTOR")</f>
        <v>0</v>
      </c>
      <c r="O2127" s="152">
        <f t="shared" si="637"/>
        <v>0</v>
      </c>
      <c r="P2127" s="126">
        <f>IF(E2127="Y",0,SUMIFS('Support - Transition'!G:G,'Support - Transition'!J:J,'Step 2'!D2127,'Support - Transition'!E:E,"2009 SCHOOL ALLOCATION FACTOR"))</f>
        <v>0</v>
      </c>
      <c r="Q2127" s="126">
        <f>IF(E2127="Y",VLOOKUP(D2127,'Support - Unit Adjustments'!F:G,2,FALSE),0)</f>
        <v>0</v>
      </c>
      <c r="R2127" s="155">
        <f t="shared" si="649"/>
        <v>0</v>
      </c>
      <c r="S2127" s="47">
        <f t="shared" si="648"/>
        <v>0</v>
      </c>
      <c r="T2127" s="151">
        <f t="shared" si="633"/>
        <v>10755</v>
      </c>
      <c r="U2127" s="151">
        <f t="shared" si="634"/>
        <v>0</v>
      </c>
      <c r="V2127" s="139">
        <f t="shared" si="635"/>
        <v>0</v>
      </c>
      <c r="W2127" s="152">
        <f t="shared" si="638"/>
        <v>10755</v>
      </c>
      <c r="X2127" s="127" t="str">
        <f t="shared" si="636"/>
        <v/>
      </c>
      <c r="Y2127" s="207">
        <f t="shared" si="639"/>
        <v>10755</v>
      </c>
      <c r="Z2127" s="139">
        <f t="shared" si="640"/>
        <v>8306</v>
      </c>
      <c r="AA2127" s="139">
        <f t="shared" si="641"/>
        <v>2449</v>
      </c>
      <c r="AC2127" s="47">
        <f t="shared" si="642"/>
        <v>5378</v>
      </c>
      <c r="AD2127" s="47">
        <f t="shared" si="643"/>
        <v>4153</v>
      </c>
      <c r="AE2127" s="47">
        <f t="shared" si="644"/>
        <v>1225</v>
      </c>
      <c r="AG2127" s="47">
        <f t="shared" si="645"/>
        <v>5377</v>
      </c>
      <c r="AH2127" s="47">
        <f t="shared" si="646"/>
        <v>4153</v>
      </c>
      <c r="AI2127" s="208">
        <f t="shared" si="647"/>
        <v>1224</v>
      </c>
    </row>
    <row r="2128" spans="1:35">
      <c r="A2128" t="s">
        <v>2155</v>
      </c>
      <c r="B2128" t="s">
        <v>3142</v>
      </c>
      <c r="C2128" t="s">
        <v>2191</v>
      </c>
      <c r="D2128" t="s">
        <v>5633</v>
      </c>
      <c r="F2128" t="s">
        <v>855</v>
      </c>
      <c r="G2128" s="126">
        <f>SUMIFS('Support - Transition'!F:F,'Support - Transition'!B:B,'Step 2'!A2128,'Support - Transition'!C:C,'Step 2'!B2128,'Support - Transition'!D:D,'Step 2'!C2128,'Support - Transition'!E:E,"CIVIL")</f>
        <v>5.3799999999999996E-4</v>
      </c>
      <c r="H2128" s="126">
        <f>SUMIFS('Support - Transition'!F:F,'Support - Transition'!B:B,'Step 2'!A2128,'Support - Transition'!C:C,'Step 2'!B2128,'Support - Transition'!D:D,'Step 2'!C2128,'Support - Transition'!E:E,"FIRE")</f>
        <v>2.5000000000000001E-4</v>
      </c>
      <c r="I2128" s="126">
        <f>IF(B2128="0",SUMIFS('Support - Transition'!F:F,'Support - Transition'!J:J,'Step 2'!D2128,'Support - Transition'!E:E,"STATE UNIT"),SUMIFS('Support - Transition'!F:F,'Support - Transition'!J:J,'Step 2'!D2128))</f>
        <v>7.8799999999999996E-4</v>
      </c>
      <c r="J2128" s="126">
        <f>SUMIFS('Support - Unit Adjustments'!E:E,'Support - Unit Adjustments'!F:F,'Step 2'!D2128)</f>
        <v>0</v>
      </c>
      <c r="K2128" s="126">
        <f t="shared" si="631"/>
        <v>7.8799999999999996E-4</v>
      </c>
      <c r="L2128" s="174">
        <f>VLOOKUP(A2128,'Step 1'!$A:$E,4,FALSE)</f>
        <v>3345317</v>
      </c>
      <c r="M2128" s="47">
        <f t="shared" si="632"/>
        <v>2636</v>
      </c>
      <c r="N2128" s="177">
        <f>SUMIFS('Support - Transition'!G:G,'Support - Transition'!J:J,'Step 2'!D2128,'Support - Transition'!E:E,"2009 WELFARE ALLOCATION FACTOR")</f>
        <v>0</v>
      </c>
      <c r="O2128" s="152">
        <f t="shared" si="637"/>
        <v>0</v>
      </c>
      <c r="P2128" s="126">
        <f>IF(E2128="Y",0,SUMIFS('Support - Transition'!G:G,'Support - Transition'!J:J,'Step 2'!D2128,'Support - Transition'!E:E,"2009 SCHOOL ALLOCATION FACTOR"))</f>
        <v>0</v>
      </c>
      <c r="Q2128" s="126">
        <f>IF(E2128="Y",VLOOKUP(D2128,'Support - Unit Adjustments'!F:G,2,FALSE),0)</f>
        <v>0</v>
      </c>
      <c r="R2128" s="155">
        <f t="shared" si="649"/>
        <v>0</v>
      </c>
      <c r="S2128" s="47">
        <f t="shared" si="648"/>
        <v>0</v>
      </c>
      <c r="T2128" s="151">
        <f t="shared" si="633"/>
        <v>2636</v>
      </c>
      <c r="U2128" s="151">
        <f t="shared" si="634"/>
        <v>0</v>
      </c>
      <c r="V2128" s="139">
        <f t="shared" si="635"/>
        <v>0</v>
      </c>
      <c r="W2128" s="152">
        <f t="shared" si="638"/>
        <v>2636</v>
      </c>
      <c r="X2128" s="127" t="str">
        <f t="shared" si="636"/>
        <v/>
      </c>
      <c r="Y2128" s="207">
        <f t="shared" si="639"/>
        <v>2636</v>
      </c>
      <c r="Z2128" s="139">
        <f t="shared" si="640"/>
        <v>1800</v>
      </c>
      <c r="AA2128" s="139">
        <f t="shared" si="641"/>
        <v>836</v>
      </c>
      <c r="AC2128" s="47">
        <f t="shared" si="642"/>
        <v>1318</v>
      </c>
      <c r="AD2128" s="47">
        <f t="shared" si="643"/>
        <v>900</v>
      </c>
      <c r="AE2128" s="47">
        <f t="shared" si="644"/>
        <v>418</v>
      </c>
      <c r="AG2128" s="47">
        <f t="shared" si="645"/>
        <v>1318</v>
      </c>
      <c r="AH2128" s="47">
        <f t="shared" si="646"/>
        <v>900</v>
      </c>
      <c r="AI2128" s="208">
        <f t="shared" si="647"/>
        <v>418</v>
      </c>
    </row>
    <row r="2129" spans="1:35">
      <c r="A2129" t="s">
        <v>2155</v>
      </c>
      <c r="B2129" t="s">
        <v>3142</v>
      </c>
      <c r="C2129" t="s">
        <v>2192</v>
      </c>
      <c r="D2129" t="s">
        <v>5634</v>
      </c>
      <c r="F2129" t="s">
        <v>1540</v>
      </c>
      <c r="G2129" s="126">
        <f>SUMIFS('Support - Transition'!F:F,'Support - Transition'!B:B,'Step 2'!A2129,'Support - Transition'!C:C,'Step 2'!B2129,'Support - Transition'!D:D,'Step 2'!C2129,'Support - Transition'!E:E,"CIVIL")</f>
        <v>2.22E-4</v>
      </c>
      <c r="H2129" s="126">
        <f>SUMIFS('Support - Transition'!F:F,'Support - Transition'!B:B,'Step 2'!A2129,'Support - Transition'!C:C,'Step 2'!B2129,'Support - Transition'!D:D,'Step 2'!C2129,'Support - Transition'!E:E,"FIRE")</f>
        <v>1.374E-3</v>
      </c>
      <c r="I2129" s="126">
        <f>IF(B2129="0",SUMIFS('Support - Transition'!F:F,'Support - Transition'!J:J,'Step 2'!D2129,'Support - Transition'!E:E,"STATE UNIT"),SUMIFS('Support - Transition'!F:F,'Support - Transition'!J:J,'Step 2'!D2129))</f>
        <v>1.596E-3</v>
      </c>
      <c r="J2129" s="126">
        <f>SUMIFS('Support - Unit Adjustments'!E:E,'Support - Unit Adjustments'!F:F,'Step 2'!D2129)</f>
        <v>0</v>
      </c>
      <c r="K2129" s="126">
        <f t="shared" si="631"/>
        <v>1.596E-3</v>
      </c>
      <c r="L2129" s="174">
        <f>VLOOKUP(A2129,'Step 1'!$A:$E,4,FALSE)</f>
        <v>3345317</v>
      </c>
      <c r="M2129" s="47">
        <f t="shared" si="632"/>
        <v>5339</v>
      </c>
      <c r="N2129" s="177">
        <f>SUMIFS('Support - Transition'!G:G,'Support - Transition'!J:J,'Step 2'!D2129,'Support - Transition'!E:E,"2009 WELFARE ALLOCATION FACTOR")</f>
        <v>0</v>
      </c>
      <c r="O2129" s="152">
        <f t="shared" si="637"/>
        <v>0</v>
      </c>
      <c r="P2129" s="126">
        <f>IF(E2129="Y",0,SUMIFS('Support - Transition'!G:G,'Support - Transition'!J:J,'Step 2'!D2129,'Support - Transition'!E:E,"2009 SCHOOL ALLOCATION FACTOR"))</f>
        <v>0</v>
      </c>
      <c r="Q2129" s="126">
        <f>IF(E2129="Y",VLOOKUP(D2129,'Support - Unit Adjustments'!F:G,2,FALSE),0)</f>
        <v>0</v>
      </c>
      <c r="R2129" s="155">
        <f t="shared" si="649"/>
        <v>0</v>
      </c>
      <c r="S2129" s="47">
        <f t="shared" si="648"/>
        <v>0</v>
      </c>
      <c r="T2129" s="151">
        <f t="shared" si="633"/>
        <v>5339</v>
      </c>
      <c r="U2129" s="151">
        <f t="shared" si="634"/>
        <v>0</v>
      </c>
      <c r="V2129" s="139">
        <f t="shared" si="635"/>
        <v>0</v>
      </c>
      <c r="W2129" s="152">
        <f t="shared" si="638"/>
        <v>5339</v>
      </c>
      <c r="X2129" s="127" t="str">
        <f t="shared" si="636"/>
        <v/>
      </c>
      <c r="Y2129" s="207">
        <f t="shared" si="639"/>
        <v>5339</v>
      </c>
      <c r="Z2129" s="139">
        <f t="shared" si="640"/>
        <v>743</v>
      </c>
      <c r="AA2129" s="139">
        <f t="shared" si="641"/>
        <v>4596</v>
      </c>
      <c r="AC2129" s="47">
        <f t="shared" si="642"/>
        <v>2670</v>
      </c>
      <c r="AD2129" s="47">
        <f t="shared" si="643"/>
        <v>372</v>
      </c>
      <c r="AE2129" s="47">
        <f t="shared" si="644"/>
        <v>2298</v>
      </c>
      <c r="AG2129" s="47">
        <f t="shared" si="645"/>
        <v>2669</v>
      </c>
      <c r="AH2129" s="47">
        <f t="shared" si="646"/>
        <v>371</v>
      </c>
      <c r="AI2129" s="208">
        <f t="shared" si="647"/>
        <v>2298</v>
      </c>
    </row>
    <row r="2130" spans="1:35">
      <c r="A2130" t="s">
        <v>2155</v>
      </c>
      <c r="B2130" t="s">
        <v>3142</v>
      </c>
      <c r="C2130" t="s">
        <v>2193</v>
      </c>
      <c r="D2130" t="s">
        <v>5635</v>
      </c>
      <c r="F2130" t="s">
        <v>181</v>
      </c>
      <c r="G2130" s="126">
        <f>SUMIFS('Support - Transition'!F:F,'Support - Transition'!B:B,'Step 2'!A2130,'Support - Transition'!C:C,'Step 2'!B2130,'Support - Transition'!D:D,'Step 2'!C2130,'Support - Transition'!E:E,"CIVIL")</f>
        <v>2.5000000000000001E-5</v>
      </c>
      <c r="H2130" s="126">
        <f>SUMIFS('Support - Transition'!F:F,'Support - Transition'!B:B,'Step 2'!A2130,'Support - Transition'!C:C,'Step 2'!B2130,'Support - Transition'!D:D,'Step 2'!C2130,'Support - Transition'!E:E,"FIRE")</f>
        <v>1.4E-5</v>
      </c>
      <c r="I2130" s="126">
        <f>IF(B2130="0",SUMIFS('Support - Transition'!F:F,'Support - Transition'!J:J,'Step 2'!D2130,'Support - Transition'!E:E,"STATE UNIT"),SUMIFS('Support - Transition'!F:F,'Support - Transition'!J:J,'Step 2'!D2130))</f>
        <v>3.8999999999999999E-5</v>
      </c>
      <c r="J2130" s="126">
        <f>SUMIFS('Support - Unit Adjustments'!E:E,'Support - Unit Adjustments'!F:F,'Step 2'!D2130)</f>
        <v>0</v>
      </c>
      <c r="K2130" s="126">
        <f t="shared" si="631"/>
        <v>3.8999999999999999E-5</v>
      </c>
      <c r="L2130" s="174">
        <f>VLOOKUP(A2130,'Step 1'!$A:$E,4,FALSE)</f>
        <v>3345317</v>
      </c>
      <c r="M2130" s="47">
        <f t="shared" si="632"/>
        <v>130</v>
      </c>
      <c r="N2130" s="177">
        <f>SUMIFS('Support - Transition'!G:G,'Support - Transition'!J:J,'Step 2'!D2130,'Support - Transition'!E:E,"2009 WELFARE ALLOCATION FACTOR")</f>
        <v>0</v>
      </c>
      <c r="O2130" s="152">
        <f t="shared" si="637"/>
        <v>0</v>
      </c>
      <c r="P2130" s="126">
        <f>IF(E2130="Y",0,SUMIFS('Support - Transition'!G:G,'Support - Transition'!J:J,'Step 2'!D2130,'Support - Transition'!E:E,"2009 SCHOOL ALLOCATION FACTOR"))</f>
        <v>0</v>
      </c>
      <c r="Q2130" s="126">
        <f>IF(E2130="Y",VLOOKUP(D2130,'Support - Unit Adjustments'!F:G,2,FALSE),0)</f>
        <v>0</v>
      </c>
      <c r="R2130" s="155">
        <f t="shared" si="649"/>
        <v>0</v>
      </c>
      <c r="S2130" s="47">
        <f t="shared" si="648"/>
        <v>0</v>
      </c>
      <c r="T2130" s="151">
        <f t="shared" si="633"/>
        <v>130</v>
      </c>
      <c r="U2130" s="151">
        <f t="shared" si="634"/>
        <v>0</v>
      </c>
      <c r="V2130" s="139">
        <f t="shared" si="635"/>
        <v>0</v>
      </c>
      <c r="W2130" s="152">
        <f t="shared" si="638"/>
        <v>130</v>
      </c>
      <c r="X2130" s="127" t="str">
        <f t="shared" si="636"/>
        <v/>
      </c>
      <c r="Y2130" s="207">
        <f t="shared" si="639"/>
        <v>130</v>
      </c>
      <c r="Z2130" s="139">
        <f t="shared" si="640"/>
        <v>83</v>
      </c>
      <c r="AA2130" s="139">
        <f t="shared" si="641"/>
        <v>47</v>
      </c>
      <c r="AC2130" s="47">
        <f t="shared" si="642"/>
        <v>65</v>
      </c>
      <c r="AD2130" s="47">
        <f t="shared" si="643"/>
        <v>42</v>
      </c>
      <c r="AE2130" s="47">
        <f t="shared" si="644"/>
        <v>24</v>
      </c>
      <c r="AG2130" s="47">
        <f t="shared" si="645"/>
        <v>65</v>
      </c>
      <c r="AH2130" s="47">
        <f t="shared" si="646"/>
        <v>41</v>
      </c>
      <c r="AI2130" s="208">
        <f t="shared" si="647"/>
        <v>23</v>
      </c>
    </row>
    <row r="2131" spans="1:35">
      <c r="A2131" t="s">
        <v>2155</v>
      </c>
      <c r="B2131" t="s">
        <v>3142</v>
      </c>
      <c r="C2131" t="s">
        <v>2194</v>
      </c>
      <c r="D2131" t="s">
        <v>5636</v>
      </c>
      <c r="F2131" t="s">
        <v>714</v>
      </c>
      <c r="G2131" s="126">
        <f>SUMIFS('Support - Transition'!F:F,'Support - Transition'!B:B,'Step 2'!A2131,'Support - Transition'!C:C,'Step 2'!B2131,'Support - Transition'!D:D,'Step 2'!C2131,'Support - Transition'!E:E,"CIVIL")</f>
        <v>0</v>
      </c>
      <c r="H2131" s="126">
        <f>SUMIFS('Support - Transition'!F:F,'Support - Transition'!B:B,'Step 2'!A2131,'Support - Transition'!C:C,'Step 2'!B2131,'Support - Transition'!D:D,'Step 2'!C2131,'Support - Transition'!E:E,"FIRE")</f>
        <v>0</v>
      </c>
      <c r="I2131" s="126">
        <f>IF(B2131="0",SUMIFS('Support - Transition'!F:F,'Support - Transition'!J:J,'Step 2'!D2131,'Support - Transition'!E:E,"STATE UNIT"),SUMIFS('Support - Transition'!F:F,'Support - Transition'!J:J,'Step 2'!D2131))</f>
        <v>0</v>
      </c>
      <c r="J2131" s="126">
        <f>SUMIFS('Support - Unit Adjustments'!E:E,'Support - Unit Adjustments'!F:F,'Step 2'!D2131)</f>
        <v>0</v>
      </c>
      <c r="K2131" s="126">
        <f t="shared" si="631"/>
        <v>0</v>
      </c>
      <c r="L2131" s="174">
        <f>VLOOKUP(A2131,'Step 1'!$A:$E,4,FALSE)</f>
        <v>3345317</v>
      </c>
      <c r="M2131" s="47">
        <f t="shared" si="632"/>
        <v>0</v>
      </c>
      <c r="N2131" s="177">
        <f>SUMIFS('Support - Transition'!G:G,'Support - Transition'!J:J,'Step 2'!D2131,'Support - Transition'!E:E,"2009 WELFARE ALLOCATION FACTOR")</f>
        <v>0</v>
      </c>
      <c r="O2131" s="152">
        <f t="shared" si="637"/>
        <v>0</v>
      </c>
      <c r="P2131" s="126">
        <f>IF(E2131="Y",0,SUMIFS('Support - Transition'!G:G,'Support - Transition'!J:J,'Step 2'!D2131,'Support - Transition'!E:E,"2009 SCHOOL ALLOCATION FACTOR"))</f>
        <v>0</v>
      </c>
      <c r="Q2131" s="126">
        <f>IF(E2131="Y",VLOOKUP(D2131,'Support - Unit Adjustments'!F:G,2,FALSE),0)</f>
        <v>0</v>
      </c>
      <c r="R2131" s="155">
        <f t="shared" si="649"/>
        <v>0</v>
      </c>
      <c r="S2131" s="47">
        <f t="shared" si="648"/>
        <v>0</v>
      </c>
      <c r="T2131" s="151">
        <f t="shared" si="633"/>
        <v>0</v>
      </c>
      <c r="U2131" s="151">
        <f t="shared" si="634"/>
        <v>0</v>
      </c>
      <c r="V2131" s="139">
        <f t="shared" si="635"/>
        <v>0</v>
      </c>
      <c r="W2131" s="152">
        <f t="shared" si="638"/>
        <v>0</v>
      </c>
      <c r="X2131" s="127" t="str">
        <f t="shared" si="636"/>
        <v/>
      </c>
      <c r="Y2131" s="207">
        <f t="shared" si="639"/>
        <v>0</v>
      </c>
      <c r="Z2131" s="139">
        <f t="shared" si="640"/>
        <v>0</v>
      </c>
      <c r="AA2131" s="139">
        <f t="shared" si="641"/>
        <v>0</v>
      </c>
      <c r="AC2131" s="47">
        <f t="shared" si="642"/>
        <v>0</v>
      </c>
      <c r="AD2131" s="47">
        <f t="shared" si="643"/>
        <v>0</v>
      </c>
      <c r="AE2131" s="47">
        <f t="shared" si="644"/>
        <v>0</v>
      </c>
      <c r="AG2131" s="47">
        <f t="shared" si="645"/>
        <v>0</v>
      </c>
      <c r="AH2131" s="47">
        <f t="shared" si="646"/>
        <v>0</v>
      </c>
      <c r="AI2131" s="208">
        <f t="shared" si="647"/>
        <v>0</v>
      </c>
    </row>
    <row r="2132" spans="1:35">
      <c r="A2132" t="s">
        <v>2155</v>
      </c>
      <c r="B2132" t="s">
        <v>3142</v>
      </c>
      <c r="C2132" t="s">
        <v>2195</v>
      </c>
      <c r="D2132" t="s">
        <v>5637</v>
      </c>
      <c r="F2132" t="s">
        <v>52</v>
      </c>
      <c r="G2132" s="126">
        <f>SUMIFS('Support - Transition'!F:F,'Support - Transition'!B:B,'Step 2'!A2132,'Support - Transition'!C:C,'Step 2'!B2132,'Support - Transition'!D:D,'Step 2'!C2132,'Support - Transition'!E:E,"CIVIL")</f>
        <v>6.9999999999999994E-5</v>
      </c>
      <c r="H2132" s="126">
        <f>SUMIFS('Support - Transition'!F:F,'Support - Transition'!B:B,'Step 2'!A2132,'Support - Transition'!C:C,'Step 2'!B2132,'Support - Transition'!D:D,'Step 2'!C2132,'Support - Transition'!E:E,"FIRE")</f>
        <v>5.8999999999999998E-5</v>
      </c>
      <c r="I2132" s="126">
        <f>IF(B2132="0",SUMIFS('Support - Transition'!F:F,'Support - Transition'!J:J,'Step 2'!D2132,'Support - Transition'!E:E,"STATE UNIT"),SUMIFS('Support - Transition'!F:F,'Support - Transition'!J:J,'Step 2'!D2132))</f>
        <v>1.2899999999999999E-4</v>
      </c>
      <c r="J2132" s="126">
        <f>SUMIFS('Support - Unit Adjustments'!E:E,'Support - Unit Adjustments'!F:F,'Step 2'!D2132)</f>
        <v>0</v>
      </c>
      <c r="K2132" s="126">
        <f t="shared" si="631"/>
        <v>1.2899999999999999E-4</v>
      </c>
      <c r="L2132" s="174">
        <f>VLOOKUP(A2132,'Step 1'!$A:$E,4,FALSE)</f>
        <v>3345317</v>
      </c>
      <c r="M2132" s="47">
        <f t="shared" si="632"/>
        <v>432</v>
      </c>
      <c r="N2132" s="177">
        <f>SUMIFS('Support - Transition'!G:G,'Support - Transition'!J:J,'Step 2'!D2132,'Support - Transition'!E:E,"2009 WELFARE ALLOCATION FACTOR")</f>
        <v>0</v>
      </c>
      <c r="O2132" s="152">
        <f t="shared" si="637"/>
        <v>0</v>
      </c>
      <c r="P2132" s="126">
        <f>IF(E2132="Y",0,SUMIFS('Support - Transition'!G:G,'Support - Transition'!J:J,'Step 2'!D2132,'Support - Transition'!E:E,"2009 SCHOOL ALLOCATION FACTOR"))</f>
        <v>0</v>
      </c>
      <c r="Q2132" s="126">
        <f>IF(E2132="Y",VLOOKUP(D2132,'Support - Unit Adjustments'!F:G,2,FALSE),0)</f>
        <v>0</v>
      </c>
      <c r="R2132" s="155">
        <f t="shared" si="649"/>
        <v>0</v>
      </c>
      <c r="S2132" s="47">
        <f t="shared" si="648"/>
        <v>0</v>
      </c>
      <c r="T2132" s="151">
        <f t="shared" si="633"/>
        <v>432</v>
      </c>
      <c r="U2132" s="151">
        <f t="shared" si="634"/>
        <v>0</v>
      </c>
      <c r="V2132" s="139">
        <f t="shared" si="635"/>
        <v>0</v>
      </c>
      <c r="W2132" s="152">
        <f t="shared" si="638"/>
        <v>432</v>
      </c>
      <c r="X2132" s="127" t="str">
        <f t="shared" si="636"/>
        <v/>
      </c>
      <c r="Y2132" s="207">
        <f t="shared" si="639"/>
        <v>432</v>
      </c>
      <c r="Z2132" s="139">
        <f t="shared" si="640"/>
        <v>234</v>
      </c>
      <c r="AA2132" s="139">
        <f t="shared" si="641"/>
        <v>198</v>
      </c>
      <c r="AC2132" s="47">
        <f t="shared" si="642"/>
        <v>216</v>
      </c>
      <c r="AD2132" s="47">
        <f t="shared" si="643"/>
        <v>117</v>
      </c>
      <c r="AE2132" s="47">
        <f t="shared" si="644"/>
        <v>99</v>
      </c>
      <c r="AG2132" s="47">
        <f t="shared" si="645"/>
        <v>216</v>
      </c>
      <c r="AH2132" s="47">
        <f t="shared" si="646"/>
        <v>117</v>
      </c>
      <c r="AI2132" s="208">
        <f t="shared" si="647"/>
        <v>99</v>
      </c>
    </row>
    <row r="2133" spans="1:35">
      <c r="A2133" t="s">
        <v>2155</v>
      </c>
      <c r="B2133" t="s">
        <v>3142</v>
      </c>
      <c r="C2133" t="s">
        <v>2196</v>
      </c>
      <c r="D2133" t="s">
        <v>5638</v>
      </c>
      <c r="F2133" t="s">
        <v>455</v>
      </c>
      <c r="G2133" s="126">
        <f>SUMIFS('Support - Transition'!F:F,'Support - Transition'!B:B,'Step 2'!A2133,'Support - Transition'!C:C,'Step 2'!B2133,'Support - Transition'!D:D,'Step 2'!C2133,'Support - Transition'!E:E,"CIVIL")</f>
        <v>3.5399999999999999E-4</v>
      </c>
      <c r="H2133" s="126">
        <f>SUMIFS('Support - Transition'!F:F,'Support - Transition'!B:B,'Step 2'!A2133,'Support - Transition'!C:C,'Step 2'!B2133,'Support - Transition'!D:D,'Step 2'!C2133,'Support - Transition'!E:E,"FIRE")</f>
        <v>6.3999999999999997E-5</v>
      </c>
      <c r="I2133" s="126">
        <f>IF(B2133="0",SUMIFS('Support - Transition'!F:F,'Support - Transition'!J:J,'Step 2'!D2133,'Support - Transition'!E:E,"STATE UNIT"),SUMIFS('Support - Transition'!F:F,'Support - Transition'!J:J,'Step 2'!D2133))</f>
        <v>4.1799999999999997E-4</v>
      </c>
      <c r="J2133" s="126">
        <f>SUMIFS('Support - Unit Adjustments'!E:E,'Support - Unit Adjustments'!F:F,'Step 2'!D2133)</f>
        <v>0</v>
      </c>
      <c r="K2133" s="126">
        <f t="shared" si="631"/>
        <v>4.1799999999999997E-4</v>
      </c>
      <c r="L2133" s="174">
        <f>VLOOKUP(A2133,'Step 1'!$A:$E,4,FALSE)</f>
        <v>3345317</v>
      </c>
      <c r="M2133" s="47">
        <f t="shared" si="632"/>
        <v>1398</v>
      </c>
      <c r="N2133" s="177">
        <f>SUMIFS('Support - Transition'!G:G,'Support - Transition'!J:J,'Step 2'!D2133,'Support - Transition'!E:E,"2009 WELFARE ALLOCATION FACTOR")</f>
        <v>0</v>
      </c>
      <c r="O2133" s="152">
        <f t="shared" si="637"/>
        <v>0</v>
      </c>
      <c r="P2133" s="126">
        <f>IF(E2133="Y",0,SUMIFS('Support - Transition'!G:G,'Support - Transition'!J:J,'Step 2'!D2133,'Support - Transition'!E:E,"2009 SCHOOL ALLOCATION FACTOR"))</f>
        <v>0</v>
      </c>
      <c r="Q2133" s="126">
        <f>IF(E2133="Y",VLOOKUP(D2133,'Support - Unit Adjustments'!F:G,2,FALSE),0)</f>
        <v>0</v>
      </c>
      <c r="R2133" s="155">
        <f t="shared" si="649"/>
        <v>0</v>
      </c>
      <c r="S2133" s="47">
        <f t="shared" si="648"/>
        <v>0</v>
      </c>
      <c r="T2133" s="151">
        <f t="shared" si="633"/>
        <v>1398</v>
      </c>
      <c r="U2133" s="151">
        <f t="shared" si="634"/>
        <v>0</v>
      </c>
      <c r="V2133" s="139">
        <f t="shared" si="635"/>
        <v>0</v>
      </c>
      <c r="W2133" s="152">
        <f t="shared" si="638"/>
        <v>1398</v>
      </c>
      <c r="X2133" s="127" t="str">
        <f t="shared" si="636"/>
        <v/>
      </c>
      <c r="Y2133" s="207">
        <f t="shared" si="639"/>
        <v>1398</v>
      </c>
      <c r="Z2133" s="139">
        <f t="shared" si="640"/>
        <v>1184</v>
      </c>
      <c r="AA2133" s="139">
        <f t="shared" si="641"/>
        <v>214</v>
      </c>
      <c r="AC2133" s="47">
        <f t="shared" si="642"/>
        <v>699</v>
      </c>
      <c r="AD2133" s="47">
        <f t="shared" si="643"/>
        <v>592</v>
      </c>
      <c r="AE2133" s="47">
        <f t="shared" si="644"/>
        <v>107</v>
      </c>
      <c r="AG2133" s="47">
        <f t="shared" si="645"/>
        <v>699</v>
      </c>
      <c r="AH2133" s="47">
        <f t="shared" si="646"/>
        <v>592</v>
      </c>
      <c r="AI2133" s="208">
        <f t="shared" si="647"/>
        <v>107</v>
      </c>
    </row>
    <row r="2134" spans="1:35">
      <c r="A2134" t="s">
        <v>2155</v>
      </c>
      <c r="B2134" t="s">
        <v>3142</v>
      </c>
      <c r="C2134" t="s">
        <v>2197</v>
      </c>
      <c r="D2134" t="s">
        <v>5639</v>
      </c>
      <c r="F2134" t="s">
        <v>857</v>
      </c>
      <c r="G2134" s="126">
        <f>SUMIFS('Support - Transition'!F:F,'Support - Transition'!B:B,'Step 2'!A2134,'Support - Transition'!C:C,'Step 2'!B2134,'Support - Transition'!D:D,'Step 2'!C2134,'Support - Transition'!E:E,"CIVIL")</f>
        <v>1.658E-3</v>
      </c>
      <c r="H2134" s="126">
        <f>SUMIFS('Support - Transition'!F:F,'Support - Transition'!B:B,'Step 2'!A2134,'Support - Transition'!C:C,'Step 2'!B2134,'Support - Transition'!D:D,'Step 2'!C2134,'Support - Transition'!E:E,"FIRE")</f>
        <v>5.22E-4</v>
      </c>
      <c r="I2134" s="126">
        <f>IF(B2134="0",SUMIFS('Support - Transition'!F:F,'Support - Transition'!J:J,'Step 2'!D2134,'Support - Transition'!E:E,"STATE UNIT"),SUMIFS('Support - Transition'!F:F,'Support - Transition'!J:J,'Step 2'!D2134))</f>
        <v>2.1800000000000001E-3</v>
      </c>
      <c r="J2134" s="126">
        <f>SUMIFS('Support - Unit Adjustments'!E:E,'Support - Unit Adjustments'!F:F,'Step 2'!D2134)</f>
        <v>0</v>
      </c>
      <c r="K2134" s="126">
        <f t="shared" si="631"/>
        <v>2.1800000000000001E-3</v>
      </c>
      <c r="L2134" s="174">
        <f>VLOOKUP(A2134,'Step 1'!$A:$E,4,FALSE)</f>
        <v>3345317</v>
      </c>
      <c r="M2134" s="47">
        <f t="shared" si="632"/>
        <v>7293</v>
      </c>
      <c r="N2134" s="177">
        <f>SUMIFS('Support - Transition'!G:G,'Support - Transition'!J:J,'Step 2'!D2134,'Support - Transition'!E:E,"2009 WELFARE ALLOCATION FACTOR")</f>
        <v>0</v>
      </c>
      <c r="O2134" s="152">
        <f t="shared" si="637"/>
        <v>0</v>
      </c>
      <c r="P2134" s="126">
        <f>IF(E2134="Y",0,SUMIFS('Support - Transition'!G:G,'Support - Transition'!J:J,'Step 2'!D2134,'Support - Transition'!E:E,"2009 SCHOOL ALLOCATION FACTOR"))</f>
        <v>0</v>
      </c>
      <c r="Q2134" s="126">
        <f>IF(E2134="Y",VLOOKUP(D2134,'Support - Unit Adjustments'!F:G,2,FALSE),0)</f>
        <v>0</v>
      </c>
      <c r="R2134" s="155">
        <f t="shared" si="649"/>
        <v>0</v>
      </c>
      <c r="S2134" s="47">
        <f t="shared" si="648"/>
        <v>0</v>
      </c>
      <c r="T2134" s="151">
        <f t="shared" si="633"/>
        <v>7293</v>
      </c>
      <c r="U2134" s="151">
        <f t="shared" si="634"/>
        <v>0</v>
      </c>
      <c r="V2134" s="139">
        <f t="shared" si="635"/>
        <v>0</v>
      </c>
      <c r="W2134" s="152">
        <f t="shared" si="638"/>
        <v>7293</v>
      </c>
      <c r="X2134" s="127" t="str">
        <f t="shared" si="636"/>
        <v/>
      </c>
      <c r="Y2134" s="207">
        <f t="shared" si="639"/>
        <v>7293</v>
      </c>
      <c r="Z2134" s="139">
        <f t="shared" si="640"/>
        <v>5547</v>
      </c>
      <c r="AA2134" s="139">
        <f t="shared" si="641"/>
        <v>1746</v>
      </c>
      <c r="AC2134" s="47">
        <f t="shared" si="642"/>
        <v>3647</v>
      </c>
      <c r="AD2134" s="47">
        <f t="shared" si="643"/>
        <v>2774</v>
      </c>
      <c r="AE2134" s="47">
        <f t="shared" si="644"/>
        <v>873</v>
      </c>
      <c r="AG2134" s="47">
        <f t="shared" si="645"/>
        <v>3646</v>
      </c>
      <c r="AH2134" s="47">
        <f t="shared" si="646"/>
        <v>2773</v>
      </c>
      <c r="AI2134" s="208">
        <f t="shared" si="647"/>
        <v>873</v>
      </c>
    </row>
    <row r="2135" spans="1:35">
      <c r="A2135" t="s">
        <v>2155</v>
      </c>
      <c r="B2135" t="s">
        <v>3142</v>
      </c>
      <c r="C2135" t="s">
        <v>2198</v>
      </c>
      <c r="D2135" t="s">
        <v>5640</v>
      </c>
      <c r="F2135" t="s">
        <v>1410</v>
      </c>
      <c r="G2135" s="126">
        <f>SUMIFS('Support - Transition'!F:F,'Support - Transition'!B:B,'Step 2'!A2135,'Support - Transition'!C:C,'Step 2'!B2135,'Support - Transition'!D:D,'Step 2'!C2135,'Support - Transition'!E:E,"CIVIL")</f>
        <v>4.5529999999999998E-3</v>
      </c>
      <c r="H2135" s="126">
        <f>SUMIFS('Support - Transition'!F:F,'Support - Transition'!B:B,'Step 2'!A2135,'Support - Transition'!C:C,'Step 2'!B2135,'Support - Transition'!D:D,'Step 2'!C2135,'Support - Transition'!E:E,"FIRE")</f>
        <v>1.7100000000000001E-4</v>
      </c>
      <c r="I2135" s="126">
        <f>IF(B2135="0",SUMIFS('Support - Transition'!F:F,'Support - Transition'!J:J,'Step 2'!D2135,'Support - Transition'!E:E,"STATE UNIT"),SUMIFS('Support - Transition'!F:F,'Support - Transition'!J:J,'Step 2'!D2135))</f>
        <v>4.7239999999999999E-3</v>
      </c>
      <c r="J2135" s="126">
        <f>SUMIFS('Support - Unit Adjustments'!E:E,'Support - Unit Adjustments'!F:F,'Step 2'!D2135)</f>
        <v>0</v>
      </c>
      <c r="K2135" s="126">
        <f t="shared" si="631"/>
        <v>4.7239999999999999E-3</v>
      </c>
      <c r="L2135" s="174">
        <f>VLOOKUP(A2135,'Step 1'!$A:$E,4,FALSE)</f>
        <v>3345317</v>
      </c>
      <c r="M2135" s="47">
        <f t="shared" si="632"/>
        <v>15803</v>
      </c>
      <c r="N2135" s="177">
        <f>SUMIFS('Support - Transition'!G:G,'Support - Transition'!J:J,'Step 2'!D2135,'Support - Transition'!E:E,"2009 WELFARE ALLOCATION FACTOR")</f>
        <v>0</v>
      </c>
      <c r="O2135" s="152">
        <f t="shared" si="637"/>
        <v>0</v>
      </c>
      <c r="P2135" s="126">
        <f>IF(E2135="Y",0,SUMIFS('Support - Transition'!G:G,'Support - Transition'!J:J,'Step 2'!D2135,'Support - Transition'!E:E,"2009 SCHOOL ALLOCATION FACTOR"))</f>
        <v>0</v>
      </c>
      <c r="Q2135" s="126">
        <f>IF(E2135="Y",VLOOKUP(D2135,'Support - Unit Adjustments'!F:G,2,FALSE),0)</f>
        <v>0</v>
      </c>
      <c r="R2135" s="155">
        <f t="shared" si="649"/>
        <v>0</v>
      </c>
      <c r="S2135" s="47">
        <f t="shared" si="648"/>
        <v>0</v>
      </c>
      <c r="T2135" s="151">
        <f t="shared" si="633"/>
        <v>15803</v>
      </c>
      <c r="U2135" s="151">
        <f t="shared" si="634"/>
        <v>0</v>
      </c>
      <c r="V2135" s="139">
        <f t="shared" si="635"/>
        <v>0</v>
      </c>
      <c r="W2135" s="152">
        <f t="shared" si="638"/>
        <v>15803</v>
      </c>
      <c r="X2135" s="127" t="str">
        <f t="shared" si="636"/>
        <v/>
      </c>
      <c r="Y2135" s="207">
        <f t="shared" si="639"/>
        <v>15803</v>
      </c>
      <c r="Z2135" s="139">
        <f t="shared" si="640"/>
        <v>15231</v>
      </c>
      <c r="AA2135" s="139">
        <f t="shared" si="641"/>
        <v>572</v>
      </c>
      <c r="AC2135" s="47">
        <f t="shared" si="642"/>
        <v>7902</v>
      </c>
      <c r="AD2135" s="47">
        <f t="shared" si="643"/>
        <v>7616</v>
      </c>
      <c r="AE2135" s="47">
        <f t="shared" si="644"/>
        <v>286</v>
      </c>
      <c r="AG2135" s="47">
        <f t="shared" si="645"/>
        <v>7901</v>
      </c>
      <c r="AH2135" s="47">
        <f t="shared" si="646"/>
        <v>7615</v>
      </c>
      <c r="AI2135" s="208">
        <f t="shared" si="647"/>
        <v>286</v>
      </c>
    </row>
    <row r="2136" spans="1:35">
      <c r="A2136" t="s">
        <v>2155</v>
      </c>
      <c r="B2136" t="s">
        <v>3142</v>
      </c>
      <c r="C2136" t="s">
        <v>2199</v>
      </c>
      <c r="D2136" t="s">
        <v>5641</v>
      </c>
      <c r="F2136" t="s">
        <v>20</v>
      </c>
      <c r="G2136" s="126">
        <f>SUMIFS('Support - Transition'!F:F,'Support - Transition'!B:B,'Step 2'!A2136,'Support - Transition'!C:C,'Step 2'!B2136,'Support - Transition'!D:D,'Step 2'!C2136,'Support - Transition'!E:E,"CIVIL")</f>
        <v>1.2E-4</v>
      </c>
      <c r="H2136" s="126">
        <f>SUMIFS('Support - Transition'!F:F,'Support - Transition'!B:B,'Step 2'!A2136,'Support - Transition'!C:C,'Step 2'!B2136,'Support - Transition'!D:D,'Step 2'!C2136,'Support - Transition'!E:E,"FIRE")</f>
        <v>9.5000000000000005E-5</v>
      </c>
      <c r="I2136" s="126">
        <f>IF(B2136="0",SUMIFS('Support - Transition'!F:F,'Support - Transition'!J:J,'Step 2'!D2136,'Support - Transition'!E:E,"STATE UNIT"),SUMIFS('Support - Transition'!F:F,'Support - Transition'!J:J,'Step 2'!D2136))</f>
        <v>2.1500000000000002E-4</v>
      </c>
      <c r="J2136" s="126">
        <f>SUMIFS('Support - Unit Adjustments'!E:E,'Support - Unit Adjustments'!F:F,'Step 2'!D2136)</f>
        <v>0</v>
      </c>
      <c r="K2136" s="126">
        <f t="shared" si="631"/>
        <v>2.1500000000000002E-4</v>
      </c>
      <c r="L2136" s="174">
        <f>VLOOKUP(A2136,'Step 1'!$A:$E,4,FALSE)</f>
        <v>3345317</v>
      </c>
      <c r="M2136" s="47">
        <f t="shared" si="632"/>
        <v>719</v>
      </c>
      <c r="N2136" s="177">
        <f>SUMIFS('Support - Transition'!G:G,'Support - Transition'!J:J,'Step 2'!D2136,'Support - Transition'!E:E,"2009 WELFARE ALLOCATION FACTOR")</f>
        <v>0</v>
      </c>
      <c r="O2136" s="152">
        <f t="shared" si="637"/>
        <v>0</v>
      </c>
      <c r="P2136" s="126">
        <f>IF(E2136="Y",0,SUMIFS('Support - Transition'!G:G,'Support - Transition'!J:J,'Step 2'!D2136,'Support - Transition'!E:E,"2009 SCHOOL ALLOCATION FACTOR"))</f>
        <v>0</v>
      </c>
      <c r="Q2136" s="126">
        <f>IF(E2136="Y",VLOOKUP(D2136,'Support - Unit Adjustments'!F:G,2,FALSE),0)</f>
        <v>0</v>
      </c>
      <c r="R2136" s="155">
        <f t="shared" si="649"/>
        <v>0</v>
      </c>
      <c r="S2136" s="47">
        <f t="shared" si="648"/>
        <v>0</v>
      </c>
      <c r="T2136" s="151">
        <f t="shared" si="633"/>
        <v>719</v>
      </c>
      <c r="U2136" s="151">
        <f t="shared" si="634"/>
        <v>0</v>
      </c>
      <c r="V2136" s="139">
        <f t="shared" si="635"/>
        <v>0</v>
      </c>
      <c r="W2136" s="152">
        <f t="shared" si="638"/>
        <v>719</v>
      </c>
      <c r="X2136" s="127" t="str">
        <f t="shared" si="636"/>
        <v/>
      </c>
      <c r="Y2136" s="207">
        <f t="shared" si="639"/>
        <v>719</v>
      </c>
      <c r="Z2136" s="139">
        <f t="shared" si="640"/>
        <v>401</v>
      </c>
      <c r="AA2136" s="139">
        <f t="shared" si="641"/>
        <v>318</v>
      </c>
      <c r="AC2136" s="47">
        <f t="shared" si="642"/>
        <v>360</v>
      </c>
      <c r="AD2136" s="47">
        <f t="shared" si="643"/>
        <v>201</v>
      </c>
      <c r="AE2136" s="47">
        <f t="shared" si="644"/>
        <v>159</v>
      </c>
      <c r="AG2136" s="47">
        <f t="shared" si="645"/>
        <v>359</v>
      </c>
      <c r="AH2136" s="47">
        <f t="shared" si="646"/>
        <v>200</v>
      </c>
      <c r="AI2136" s="208">
        <f t="shared" si="647"/>
        <v>159</v>
      </c>
    </row>
    <row r="2137" spans="1:35">
      <c r="A2137" t="s">
        <v>2155</v>
      </c>
      <c r="B2137" t="s">
        <v>3142</v>
      </c>
      <c r="C2137" t="s">
        <v>2208</v>
      </c>
      <c r="D2137" t="s">
        <v>5642</v>
      </c>
      <c r="F2137" t="s">
        <v>272</v>
      </c>
      <c r="G2137" s="126">
        <f>SUMIFS('Support - Transition'!F:F,'Support - Transition'!B:B,'Step 2'!A2137,'Support - Transition'!C:C,'Step 2'!B2137,'Support - Transition'!D:D,'Step 2'!C2137,'Support - Transition'!E:E,"CIVIL")</f>
        <v>3.5500000000000001E-4</v>
      </c>
      <c r="H2137" s="126">
        <f>SUMIFS('Support - Transition'!F:F,'Support - Transition'!B:B,'Step 2'!A2137,'Support - Transition'!C:C,'Step 2'!B2137,'Support - Transition'!D:D,'Step 2'!C2137,'Support - Transition'!E:E,"FIRE")</f>
        <v>2.5300000000000002E-4</v>
      </c>
      <c r="I2137" s="126">
        <f>IF(B2137="0",SUMIFS('Support - Transition'!F:F,'Support - Transition'!J:J,'Step 2'!D2137,'Support - Transition'!E:E,"STATE UNIT"),SUMIFS('Support - Transition'!F:F,'Support - Transition'!J:J,'Step 2'!D2137))</f>
        <v>6.0800000000000003E-4</v>
      </c>
      <c r="J2137" s="126">
        <f>SUMIFS('Support - Unit Adjustments'!E:E,'Support - Unit Adjustments'!F:F,'Step 2'!D2137)</f>
        <v>0</v>
      </c>
      <c r="K2137" s="126">
        <f t="shared" si="631"/>
        <v>6.0800000000000003E-4</v>
      </c>
      <c r="L2137" s="174">
        <f>VLOOKUP(A2137,'Step 1'!$A:$E,4,FALSE)</f>
        <v>3345317</v>
      </c>
      <c r="M2137" s="47">
        <f t="shared" si="632"/>
        <v>2034</v>
      </c>
      <c r="N2137" s="177">
        <f>SUMIFS('Support - Transition'!G:G,'Support - Transition'!J:J,'Step 2'!D2137,'Support - Transition'!E:E,"2009 WELFARE ALLOCATION FACTOR")</f>
        <v>0</v>
      </c>
      <c r="O2137" s="152">
        <f t="shared" si="637"/>
        <v>0</v>
      </c>
      <c r="P2137" s="126">
        <f>IF(E2137="Y",0,SUMIFS('Support - Transition'!G:G,'Support - Transition'!J:J,'Step 2'!D2137,'Support - Transition'!E:E,"2009 SCHOOL ALLOCATION FACTOR"))</f>
        <v>0</v>
      </c>
      <c r="Q2137" s="126">
        <f>IF(E2137="Y",VLOOKUP(D2137,'Support - Unit Adjustments'!F:G,2,FALSE),0)</f>
        <v>0</v>
      </c>
      <c r="R2137" s="155">
        <f t="shared" si="649"/>
        <v>0</v>
      </c>
      <c r="S2137" s="47">
        <f t="shared" si="648"/>
        <v>0</v>
      </c>
      <c r="T2137" s="151">
        <f t="shared" si="633"/>
        <v>2034</v>
      </c>
      <c r="U2137" s="151">
        <f t="shared" si="634"/>
        <v>0</v>
      </c>
      <c r="V2137" s="139">
        <f t="shared" si="635"/>
        <v>0</v>
      </c>
      <c r="W2137" s="152">
        <f t="shared" si="638"/>
        <v>2034</v>
      </c>
      <c r="X2137" s="127" t="str">
        <f t="shared" si="636"/>
        <v/>
      </c>
      <c r="Y2137" s="207">
        <f t="shared" si="639"/>
        <v>2034</v>
      </c>
      <c r="Z2137" s="139">
        <f t="shared" si="640"/>
        <v>1188</v>
      </c>
      <c r="AA2137" s="139">
        <f t="shared" si="641"/>
        <v>846</v>
      </c>
      <c r="AC2137" s="47">
        <f t="shared" si="642"/>
        <v>1017</v>
      </c>
      <c r="AD2137" s="47">
        <f t="shared" si="643"/>
        <v>594</v>
      </c>
      <c r="AE2137" s="47">
        <f t="shared" si="644"/>
        <v>423</v>
      </c>
      <c r="AG2137" s="47">
        <f t="shared" si="645"/>
        <v>1017</v>
      </c>
      <c r="AH2137" s="47">
        <f t="shared" si="646"/>
        <v>594</v>
      </c>
      <c r="AI2137" s="208">
        <f t="shared" si="647"/>
        <v>423</v>
      </c>
    </row>
    <row r="2138" spans="1:35">
      <c r="A2138" t="s">
        <v>2155</v>
      </c>
      <c r="B2138" t="s">
        <v>3155</v>
      </c>
      <c r="C2138" t="s">
        <v>2626</v>
      </c>
      <c r="D2138" t="s">
        <v>5643</v>
      </c>
      <c r="F2138" t="s">
        <v>1548</v>
      </c>
      <c r="G2138" s="126">
        <f>SUMIFS('Support - Transition'!F:F,'Support - Transition'!B:B,'Step 2'!A2138,'Support - Transition'!C:C,'Step 2'!B2138,'Support - Transition'!D:D,'Step 2'!C2138,'Support - Transition'!E:E,"CIVIL")</f>
        <v>0</v>
      </c>
      <c r="H2138" s="126">
        <f>SUMIFS('Support - Transition'!F:F,'Support - Transition'!B:B,'Step 2'!A2138,'Support - Transition'!C:C,'Step 2'!B2138,'Support - Transition'!D:D,'Step 2'!C2138,'Support - Transition'!E:E,"FIRE")</f>
        <v>0</v>
      </c>
      <c r="I2138" s="126">
        <f>IF(B2138="0",SUMIFS('Support - Transition'!F:F,'Support - Transition'!J:J,'Step 2'!D2138,'Support - Transition'!E:E,"STATE UNIT"),SUMIFS('Support - Transition'!F:F,'Support - Transition'!J:J,'Step 2'!D2138))</f>
        <v>0.27495399999999998</v>
      </c>
      <c r="J2138" s="126">
        <f>SUMIFS('Support - Unit Adjustments'!E:E,'Support - Unit Adjustments'!F:F,'Step 2'!D2138)</f>
        <v>3.578E-3</v>
      </c>
      <c r="K2138" s="126">
        <f t="shared" si="631"/>
        <v>0.278532</v>
      </c>
      <c r="L2138" s="174">
        <f>VLOOKUP(A2138,'Step 1'!$A:$E,4,FALSE)</f>
        <v>3345317</v>
      </c>
      <c r="M2138" s="47">
        <f t="shared" si="632"/>
        <v>931778</v>
      </c>
      <c r="N2138" s="177">
        <f>SUMIFS('Support - Transition'!G:G,'Support - Transition'!J:J,'Step 2'!D2138,'Support - Transition'!E:E,"2009 WELFARE ALLOCATION FACTOR")</f>
        <v>0</v>
      </c>
      <c r="O2138" s="152">
        <f t="shared" si="637"/>
        <v>0</v>
      </c>
      <c r="P2138" s="126">
        <f>IF(E2138="Y",0,SUMIFS('Support - Transition'!G:G,'Support - Transition'!J:J,'Step 2'!D2138,'Support - Transition'!E:E,"2009 SCHOOL ALLOCATION FACTOR"))</f>
        <v>0</v>
      </c>
      <c r="Q2138" s="126">
        <f>IF(E2138="Y",VLOOKUP(D2138,'Support - Unit Adjustments'!F:G,2,FALSE),0)</f>
        <v>0</v>
      </c>
      <c r="R2138" s="155">
        <f t="shared" si="649"/>
        <v>0</v>
      </c>
      <c r="S2138" s="47">
        <f t="shared" si="648"/>
        <v>0</v>
      </c>
      <c r="T2138" s="151">
        <f t="shared" si="633"/>
        <v>931778</v>
      </c>
      <c r="U2138" s="151">
        <f t="shared" si="634"/>
        <v>0</v>
      </c>
      <c r="V2138" s="139">
        <f t="shared" si="635"/>
        <v>0</v>
      </c>
      <c r="W2138" s="152">
        <f t="shared" si="638"/>
        <v>931778</v>
      </c>
      <c r="X2138" s="127" t="str">
        <f t="shared" si="636"/>
        <v/>
      </c>
      <c r="Y2138" s="207">
        <f t="shared" si="639"/>
        <v>931778</v>
      </c>
      <c r="Z2138" s="139">
        <f t="shared" si="640"/>
        <v>931778</v>
      </c>
      <c r="AA2138" s="139">
        <f t="shared" si="641"/>
        <v>0</v>
      </c>
      <c r="AC2138" s="47">
        <f t="shared" si="642"/>
        <v>465889</v>
      </c>
      <c r="AD2138" s="47">
        <f t="shared" si="643"/>
        <v>465889</v>
      </c>
      <c r="AE2138" s="47">
        <f t="shared" si="644"/>
        <v>0</v>
      </c>
      <c r="AG2138" s="47">
        <f t="shared" si="645"/>
        <v>465889</v>
      </c>
      <c r="AH2138" s="47">
        <f t="shared" si="646"/>
        <v>465889</v>
      </c>
      <c r="AI2138" s="208">
        <f t="shared" si="647"/>
        <v>0</v>
      </c>
    </row>
    <row r="2139" spans="1:35">
      <c r="A2139" t="s">
        <v>2155</v>
      </c>
      <c r="B2139" t="s">
        <v>3155</v>
      </c>
      <c r="C2139" t="s">
        <v>2989</v>
      </c>
      <c r="D2139" t="s">
        <v>5644</v>
      </c>
      <c r="F2139" t="s">
        <v>1543</v>
      </c>
      <c r="G2139" s="126">
        <f>SUMIFS('Support - Transition'!F:F,'Support - Transition'!B:B,'Step 2'!A2139,'Support - Transition'!C:C,'Step 2'!B2139,'Support - Transition'!D:D,'Step 2'!C2139,'Support - Transition'!E:E,"CIVIL")</f>
        <v>0</v>
      </c>
      <c r="H2139" s="126">
        <f>SUMIFS('Support - Transition'!F:F,'Support - Transition'!B:B,'Step 2'!A2139,'Support - Transition'!C:C,'Step 2'!B2139,'Support - Transition'!D:D,'Step 2'!C2139,'Support - Transition'!E:E,"FIRE")</f>
        <v>0</v>
      </c>
      <c r="I2139" s="126">
        <f>IF(B2139="0",SUMIFS('Support - Transition'!F:F,'Support - Transition'!J:J,'Step 2'!D2139,'Support - Transition'!E:E,"STATE UNIT"),SUMIFS('Support - Transition'!F:F,'Support - Transition'!J:J,'Step 2'!D2139))</f>
        <v>2.8213999999999999E-2</v>
      </c>
      <c r="J2139" s="126">
        <f>SUMIFS('Support - Unit Adjustments'!E:E,'Support - Unit Adjustments'!F:F,'Step 2'!D2139)</f>
        <v>0</v>
      </c>
      <c r="K2139" s="126">
        <f t="shared" si="631"/>
        <v>2.8213999999999999E-2</v>
      </c>
      <c r="L2139" s="174">
        <f>VLOOKUP(A2139,'Step 1'!$A:$E,4,FALSE)</f>
        <v>3345317</v>
      </c>
      <c r="M2139" s="47">
        <f t="shared" si="632"/>
        <v>94385</v>
      </c>
      <c r="N2139" s="177">
        <f>SUMIFS('Support - Transition'!G:G,'Support - Transition'!J:J,'Step 2'!D2139,'Support - Transition'!E:E,"2009 WELFARE ALLOCATION FACTOR")</f>
        <v>0</v>
      </c>
      <c r="O2139" s="152">
        <f t="shared" si="637"/>
        <v>0</v>
      </c>
      <c r="P2139" s="126">
        <f>IF(E2139="Y",0,SUMIFS('Support - Transition'!G:G,'Support - Transition'!J:J,'Step 2'!D2139,'Support - Transition'!E:E,"2009 SCHOOL ALLOCATION FACTOR"))</f>
        <v>0</v>
      </c>
      <c r="Q2139" s="126">
        <f>IF(E2139="Y",VLOOKUP(D2139,'Support - Unit Adjustments'!F:G,2,FALSE),0)</f>
        <v>0</v>
      </c>
      <c r="R2139" s="155">
        <f t="shared" si="649"/>
        <v>0</v>
      </c>
      <c r="S2139" s="47">
        <f t="shared" si="648"/>
        <v>0</v>
      </c>
      <c r="T2139" s="151">
        <f t="shared" si="633"/>
        <v>94385</v>
      </c>
      <c r="U2139" s="151">
        <f t="shared" si="634"/>
        <v>0</v>
      </c>
      <c r="V2139" s="139">
        <f t="shared" si="635"/>
        <v>0</v>
      </c>
      <c r="W2139" s="152">
        <f t="shared" si="638"/>
        <v>94385</v>
      </c>
      <c r="X2139" s="127" t="str">
        <f t="shared" si="636"/>
        <v/>
      </c>
      <c r="Y2139" s="207">
        <f t="shared" si="639"/>
        <v>94385</v>
      </c>
      <c r="Z2139" s="139">
        <f t="shared" si="640"/>
        <v>94385</v>
      </c>
      <c r="AA2139" s="139">
        <f t="shared" si="641"/>
        <v>0</v>
      </c>
      <c r="AC2139" s="47">
        <f t="shared" si="642"/>
        <v>47193</v>
      </c>
      <c r="AD2139" s="47">
        <f t="shared" si="643"/>
        <v>47193</v>
      </c>
      <c r="AE2139" s="47">
        <f t="shared" si="644"/>
        <v>0</v>
      </c>
      <c r="AG2139" s="47">
        <f t="shared" si="645"/>
        <v>47192</v>
      </c>
      <c r="AH2139" s="47">
        <f t="shared" si="646"/>
        <v>47192</v>
      </c>
      <c r="AI2139" s="208">
        <f t="shared" si="647"/>
        <v>0</v>
      </c>
    </row>
    <row r="2140" spans="1:35">
      <c r="A2140" t="s">
        <v>2155</v>
      </c>
      <c r="B2140" t="s">
        <v>3155</v>
      </c>
      <c r="C2140" t="s">
        <v>2990</v>
      </c>
      <c r="D2140" t="s">
        <v>5645</v>
      </c>
      <c r="F2140" t="s">
        <v>1541</v>
      </c>
      <c r="G2140" s="126">
        <f>SUMIFS('Support - Transition'!F:F,'Support - Transition'!B:B,'Step 2'!A2140,'Support - Transition'!C:C,'Step 2'!B2140,'Support - Transition'!D:D,'Step 2'!C2140,'Support - Transition'!E:E,"CIVIL")</f>
        <v>0</v>
      </c>
      <c r="H2140" s="126">
        <f>SUMIFS('Support - Transition'!F:F,'Support - Transition'!B:B,'Step 2'!A2140,'Support - Transition'!C:C,'Step 2'!B2140,'Support - Transition'!D:D,'Step 2'!C2140,'Support - Transition'!E:E,"FIRE")</f>
        <v>0</v>
      </c>
      <c r="I2140" s="126">
        <f>IF(B2140="0",SUMIFS('Support - Transition'!F:F,'Support - Transition'!J:J,'Step 2'!D2140,'Support - Transition'!E:E,"STATE UNIT"),SUMIFS('Support - Transition'!F:F,'Support - Transition'!J:J,'Step 2'!D2140))</f>
        <v>0</v>
      </c>
      <c r="J2140" s="126">
        <f>SUMIFS('Support - Unit Adjustments'!E:E,'Support - Unit Adjustments'!F:F,'Step 2'!D2140)</f>
        <v>0</v>
      </c>
      <c r="K2140" s="126">
        <f t="shared" si="631"/>
        <v>0</v>
      </c>
      <c r="L2140" s="174">
        <f>VLOOKUP(A2140,'Step 1'!$A:$E,4,FALSE)</f>
        <v>3345317</v>
      </c>
      <c r="M2140" s="47">
        <f t="shared" si="632"/>
        <v>0</v>
      </c>
      <c r="N2140" s="177">
        <f>SUMIFS('Support - Transition'!G:G,'Support - Transition'!J:J,'Step 2'!D2140,'Support - Transition'!E:E,"2009 WELFARE ALLOCATION FACTOR")</f>
        <v>0</v>
      </c>
      <c r="O2140" s="152">
        <f t="shared" si="637"/>
        <v>0</v>
      </c>
      <c r="P2140" s="126">
        <f>IF(E2140="Y",0,SUMIFS('Support - Transition'!G:G,'Support - Transition'!J:J,'Step 2'!D2140,'Support - Transition'!E:E,"2009 SCHOOL ALLOCATION FACTOR"))</f>
        <v>0</v>
      </c>
      <c r="Q2140" s="126">
        <f>IF(E2140="Y",VLOOKUP(D2140,'Support - Unit Adjustments'!F:G,2,FALSE),0)</f>
        <v>0</v>
      </c>
      <c r="R2140" s="155">
        <f t="shared" si="649"/>
        <v>0</v>
      </c>
      <c r="S2140" s="47">
        <f t="shared" si="648"/>
        <v>0</v>
      </c>
      <c r="T2140" s="151">
        <f t="shared" si="633"/>
        <v>0</v>
      </c>
      <c r="U2140" s="151">
        <f t="shared" si="634"/>
        <v>0</v>
      </c>
      <c r="V2140" s="139">
        <f t="shared" si="635"/>
        <v>0</v>
      </c>
      <c r="W2140" s="152">
        <f t="shared" si="638"/>
        <v>0</v>
      </c>
      <c r="X2140" s="127" t="str">
        <f t="shared" si="636"/>
        <v/>
      </c>
      <c r="Y2140" s="207">
        <f t="shared" si="639"/>
        <v>0</v>
      </c>
      <c r="Z2140" s="139">
        <f t="shared" si="640"/>
        <v>0</v>
      </c>
      <c r="AA2140" s="139">
        <f t="shared" si="641"/>
        <v>0</v>
      </c>
      <c r="AC2140" s="47">
        <f t="shared" si="642"/>
        <v>0</v>
      </c>
      <c r="AD2140" s="47">
        <f t="shared" si="643"/>
        <v>0</v>
      </c>
      <c r="AE2140" s="47">
        <f t="shared" si="644"/>
        <v>0</v>
      </c>
      <c r="AG2140" s="47">
        <f t="shared" si="645"/>
        <v>0</v>
      </c>
      <c r="AH2140" s="47">
        <f t="shared" si="646"/>
        <v>0</v>
      </c>
      <c r="AI2140" s="208">
        <f t="shared" si="647"/>
        <v>0</v>
      </c>
    </row>
    <row r="2141" spans="1:35">
      <c r="A2141" t="s">
        <v>2155</v>
      </c>
      <c r="B2141" t="s">
        <v>3155</v>
      </c>
      <c r="C2141" t="s">
        <v>2991</v>
      </c>
      <c r="D2141" t="s">
        <v>5646</v>
      </c>
      <c r="F2141" t="s">
        <v>1542</v>
      </c>
      <c r="G2141" s="126">
        <f>SUMIFS('Support - Transition'!F:F,'Support - Transition'!B:B,'Step 2'!A2141,'Support - Transition'!C:C,'Step 2'!B2141,'Support - Transition'!D:D,'Step 2'!C2141,'Support - Transition'!E:E,"CIVIL")</f>
        <v>0</v>
      </c>
      <c r="H2141" s="126">
        <f>SUMIFS('Support - Transition'!F:F,'Support - Transition'!B:B,'Step 2'!A2141,'Support - Transition'!C:C,'Step 2'!B2141,'Support - Transition'!D:D,'Step 2'!C2141,'Support - Transition'!E:E,"FIRE")</f>
        <v>0</v>
      </c>
      <c r="I2141" s="126">
        <f>IF(B2141="0",SUMIFS('Support - Transition'!F:F,'Support - Transition'!J:J,'Step 2'!D2141,'Support - Transition'!E:E,"STATE UNIT"),SUMIFS('Support - Transition'!F:F,'Support - Transition'!J:J,'Step 2'!D2141))</f>
        <v>1.155E-3</v>
      </c>
      <c r="J2141" s="126">
        <f>SUMIFS('Support - Unit Adjustments'!E:E,'Support - Unit Adjustments'!F:F,'Step 2'!D2141)</f>
        <v>0</v>
      </c>
      <c r="K2141" s="126">
        <f t="shared" si="631"/>
        <v>1.155E-3</v>
      </c>
      <c r="L2141" s="174">
        <f>VLOOKUP(A2141,'Step 1'!$A:$E,4,FALSE)</f>
        <v>3345317</v>
      </c>
      <c r="M2141" s="47">
        <f t="shared" si="632"/>
        <v>3864</v>
      </c>
      <c r="N2141" s="177">
        <f>SUMIFS('Support - Transition'!G:G,'Support - Transition'!J:J,'Step 2'!D2141,'Support - Transition'!E:E,"2009 WELFARE ALLOCATION FACTOR")</f>
        <v>0</v>
      </c>
      <c r="O2141" s="152">
        <f t="shared" si="637"/>
        <v>0</v>
      </c>
      <c r="P2141" s="126">
        <f>IF(E2141="Y",0,SUMIFS('Support - Transition'!G:G,'Support - Transition'!J:J,'Step 2'!D2141,'Support - Transition'!E:E,"2009 SCHOOL ALLOCATION FACTOR"))</f>
        <v>0</v>
      </c>
      <c r="Q2141" s="126">
        <f>IF(E2141="Y",VLOOKUP(D2141,'Support - Unit Adjustments'!F:G,2,FALSE),0)</f>
        <v>0</v>
      </c>
      <c r="R2141" s="155">
        <f t="shared" si="649"/>
        <v>0</v>
      </c>
      <c r="S2141" s="47">
        <f t="shared" si="648"/>
        <v>0</v>
      </c>
      <c r="T2141" s="151">
        <f t="shared" si="633"/>
        <v>3864</v>
      </c>
      <c r="U2141" s="151">
        <f t="shared" si="634"/>
        <v>0</v>
      </c>
      <c r="V2141" s="139">
        <f t="shared" si="635"/>
        <v>0</v>
      </c>
      <c r="W2141" s="152">
        <f t="shared" si="638"/>
        <v>3864</v>
      </c>
      <c r="X2141" s="127" t="str">
        <f t="shared" si="636"/>
        <v/>
      </c>
      <c r="Y2141" s="207">
        <f t="shared" si="639"/>
        <v>3864</v>
      </c>
      <c r="Z2141" s="139">
        <f t="shared" si="640"/>
        <v>3864</v>
      </c>
      <c r="AA2141" s="139">
        <f t="shared" si="641"/>
        <v>0</v>
      </c>
      <c r="AC2141" s="47">
        <f t="shared" si="642"/>
        <v>1932</v>
      </c>
      <c r="AD2141" s="47">
        <f t="shared" si="643"/>
        <v>1932</v>
      </c>
      <c r="AE2141" s="47">
        <f t="shared" si="644"/>
        <v>0</v>
      </c>
      <c r="AG2141" s="47">
        <f t="shared" si="645"/>
        <v>1932</v>
      </c>
      <c r="AH2141" s="47">
        <f t="shared" si="646"/>
        <v>1932</v>
      </c>
      <c r="AI2141" s="208">
        <f t="shared" si="647"/>
        <v>0</v>
      </c>
    </row>
    <row r="2142" spans="1:35">
      <c r="A2142" t="s">
        <v>2155</v>
      </c>
      <c r="B2142" t="s">
        <v>3155</v>
      </c>
      <c r="C2142" t="s">
        <v>2992</v>
      </c>
      <c r="D2142" t="s">
        <v>5647</v>
      </c>
      <c r="F2142" t="s">
        <v>1544</v>
      </c>
      <c r="G2142" s="126">
        <f>SUMIFS('Support - Transition'!F:F,'Support - Transition'!B:B,'Step 2'!A2142,'Support - Transition'!C:C,'Step 2'!B2142,'Support - Transition'!D:D,'Step 2'!C2142,'Support - Transition'!E:E,"CIVIL")</f>
        <v>0</v>
      </c>
      <c r="H2142" s="126">
        <f>SUMIFS('Support - Transition'!F:F,'Support - Transition'!B:B,'Step 2'!A2142,'Support - Transition'!C:C,'Step 2'!B2142,'Support - Transition'!D:D,'Step 2'!C2142,'Support - Transition'!E:E,"FIRE")</f>
        <v>0</v>
      </c>
      <c r="I2142" s="126">
        <f>IF(B2142="0",SUMIFS('Support - Transition'!F:F,'Support - Transition'!J:J,'Step 2'!D2142,'Support - Transition'!E:E,"STATE UNIT"),SUMIFS('Support - Transition'!F:F,'Support - Transition'!J:J,'Step 2'!D2142))</f>
        <v>2.12E-4</v>
      </c>
      <c r="J2142" s="126">
        <f>SUMIFS('Support - Unit Adjustments'!E:E,'Support - Unit Adjustments'!F:F,'Step 2'!D2142)</f>
        <v>0</v>
      </c>
      <c r="K2142" s="126">
        <f t="shared" si="631"/>
        <v>2.12E-4</v>
      </c>
      <c r="L2142" s="174">
        <f>VLOOKUP(A2142,'Step 1'!$A:$E,4,FALSE)</f>
        <v>3345317</v>
      </c>
      <c r="M2142" s="47">
        <f t="shared" si="632"/>
        <v>709</v>
      </c>
      <c r="N2142" s="177">
        <f>SUMIFS('Support - Transition'!G:G,'Support - Transition'!J:J,'Step 2'!D2142,'Support - Transition'!E:E,"2009 WELFARE ALLOCATION FACTOR")</f>
        <v>0</v>
      </c>
      <c r="O2142" s="152">
        <f t="shared" si="637"/>
        <v>0</v>
      </c>
      <c r="P2142" s="126">
        <f>IF(E2142="Y",0,SUMIFS('Support - Transition'!G:G,'Support - Transition'!J:J,'Step 2'!D2142,'Support - Transition'!E:E,"2009 SCHOOL ALLOCATION FACTOR"))</f>
        <v>0</v>
      </c>
      <c r="Q2142" s="126">
        <f>IF(E2142="Y",VLOOKUP(D2142,'Support - Unit Adjustments'!F:G,2,FALSE),0)</f>
        <v>0</v>
      </c>
      <c r="R2142" s="155">
        <f t="shared" si="649"/>
        <v>0</v>
      </c>
      <c r="S2142" s="47">
        <f t="shared" si="648"/>
        <v>0</v>
      </c>
      <c r="T2142" s="151">
        <f t="shared" si="633"/>
        <v>709</v>
      </c>
      <c r="U2142" s="151">
        <f t="shared" si="634"/>
        <v>0</v>
      </c>
      <c r="V2142" s="139">
        <f t="shared" si="635"/>
        <v>0</v>
      </c>
      <c r="W2142" s="152">
        <f t="shared" si="638"/>
        <v>709</v>
      </c>
      <c r="X2142" s="127" t="str">
        <f t="shared" si="636"/>
        <v/>
      </c>
      <c r="Y2142" s="207">
        <f t="shared" si="639"/>
        <v>709</v>
      </c>
      <c r="Z2142" s="139">
        <f t="shared" si="640"/>
        <v>709</v>
      </c>
      <c r="AA2142" s="139">
        <f t="shared" si="641"/>
        <v>0</v>
      </c>
      <c r="AC2142" s="47">
        <f t="shared" si="642"/>
        <v>355</v>
      </c>
      <c r="AD2142" s="47">
        <f t="shared" si="643"/>
        <v>355</v>
      </c>
      <c r="AE2142" s="47">
        <f t="shared" si="644"/>
        <v>0</v>
      </c>
      <c r="AG2142" s="47">
        <f t="shared" si="645"/>
        <v>354</v>
      </c>
      <c r="AH2142" s="47">
        <f t="shared" si="646"/>
        <v>354</v>
      </c>
      <c r="AI2142" s="208">
        <f t="shared" si="647"/>
        <v>0</v>
      </c>
    </row>
    <row r="2143" spans="1:35">
      <c r="A2143" t="s">
        <v>2155</v>
      </c>
      <c r="B2143" t="s">
        <v>3155</v>
      </c>
      <c r="C2143" t="s">
        <v>2993</v>
      </c>
      <c r="D2143" t="s">
        <v>5648</v>
      </c>
      <c r="F2143" t="s">
        <v>1545</v>
      </c>
      <c r="G2143" s="126">
        <f>SUMIFS('Support - Transition'!F:F,'Support - Transition'!B:B,'Step 2'!A2143,'Support - Transition'!C:C,'Step 2'!B2143,'Support - Transition'!D:D,'Step 2'!C2143,'Support - Transition'!E:E,"CIVIL")</f>
        <v>0</v>
      </c>
      <c r="H2143" s="126">
        <f>SUMIFS('Support - Transition'!F:F,'Support - Transition'!B:B,'Step 2'!A2143,'Support - Transition'!C:C,'Step 2'!B2143,'Support - Transition'!D:D,'Step 2'!C2143,'Support - Transition'!E:E,"FIRE")</f>
        <v>0</v>
      </c>
      <c r="I2143" s="126">
        <f>IF(B2143="0",SUMIFS('Support - Transition'!F:F,'Support - Transition'!J:J,'Step 2'!D2143,'Support - Transition'!E:E,"STATE UNIT"),SUMIFS('Support - Transition'!F:F,'Support - Transition'!J:J,'Step 2'!D2143))</f>
        <v>6.0000000000000002E-5</v>
      </c>
      <c r="J2143" s="126">
        <f>SUMIFS('Support - Unit Adjustments'!E:E,'Support - Unit Adjustments'!F:F,'Step 2'!D2143)</f>
        <v>0</v>
      </c>
      <c r="K2143" s="126">
        <f t="shared" si="631"/>
        <v>6.0000000000000002E-5</v>
      </c>
      <c r="L2143" s="174">
        <f>VLOOKUP(A2143,'Step 1'!$A:$E,4,FALSE)</f>
        <v>3345317</v>
      </c>
      <c r="M2143" s="47">
        <f t="shared" si="632"/>
        <v>201</v>
      </c>
      <c r="N2143" s="177">
        <f>SUMIFS('Support - Transition'!G:G,'Support - Transition'!J:J,'Step 2'!D2143,'Support - Transition'!E:E,"2009 WELFARE ALLOCATION FACTOR")</f>
        <v>0</v>
      </c>
      <c r="O2143" s="152">
        <f t="shared" si="637"/>
        <v>0</v>
      </c>
      <c r="P2143" s="126">
        <f>IF(E2143="Y",0,SUMIFS('Support - Transition'!G:G,'Support - Transition'!J:J,'Step 2'!D2143,'Support - Transition'!E:E,"2009 SCHOOL ALLOCATION FACTOR"))</f>
        <v>0</v>
      </c>
      <c r="Q2143" s="126">
        <f>IF(E2143="Y",VLOOKUP(D2143,'Support - Unit Adjustments'!F:G,2,FALSE),0)</f>
        <v>0</v>
      </c>
      <c r="R2143" s="155">
        <f t="shared" si="649"/>
        <v>0</v>
      </c>
      <c r="S2143" s="47">
        <f t="shared" si="648"/>
        <v>0</v>
      </c>
      <c r="T2143" s="151">
        <f t="shared" si="633"/>
        <v>201</v>
      </c>
      <c r="U2143" s="151">
        <f t="shared" si="634"/>
        <v>0</v>
      </c>
      <c r="V2143" s="139">
        <f t="shared" si="635"/>
        <v>0</v>
      </c>
      <c r="W2143" s="152">
        <f t="shared" si="638"/>
        <v>201</v>
      </c>
      <c r="X2143" s="127" t="str">
        <f t="shared" si="636"/>
        <v/>
      </c>
      <c r="Y2143" s="207">
        <f t="shared" si="639"/>
        <v>201</v>
      </c>
      <c r="Z2143" s="139">
        <f t="shared" si="640"/>
        <v>201</v>
      </c>
      <c r="AA2143" s="139">
        <f t="shared" si="641"/>
        <v>0</v>
      </c>
      <c r="AC2143" s="47">
        <f t="shared" si="642"/>
        <v>101</v>
      </c>
      <c r="AD2143" s="47">
        <f t="shared" si="643"/>
        <v>101</v>
      </c>
      <c r="AE2143" s="47">
        <f t="shared" si="644"/>
        <v>0</v>
      </c>
      <c r="AG2143" s="47">
        <f t="shared" si="645"/>
        <v>100</v>
      </c>
      <c r="AH2143" s="47">
        <f t="shared" si="646"/>
        <v>100</v>
      </c>
      <c r="AI2143" s="208">
        <f t="shared" si="647"/>
        <v>0</v>
      </c>
    </row>
    <row r="2144" spans="1:35">
      <c r="A2144" t="s">
        <v>2155</v>
      </c>
      <c r="B2144" t="s">
        <v>3155</v>
      </c>
      <c r="C2144" t="s">
        <v>2994</v>
      </c>
      <c r="D2144" t="s">
        <v>5649</v>
      </c>
      <c r="F2144" t="s">
        <v>1546</v>
      </c>
      <c r="G2144" s="126">
        <f>SUMIFS('Support - Transition'!F:F,'Support - Transition'!B:B,'Step 2'!A2144,'Support - Transition'!C:C,'Step 2'!B2144,'Support - Transition'!D:D,'Step 2'!C2144,'Support - Transition'!E:E,"CIVIL")</f>
        <v>0</v>
      </c>
      <c r="H2144" s="126">
        <f>SUMIFS('Support - Transition'!F:F,'Support - Transition'!B:B,'Step 2'!A2144,'Support - Transition'!C:C,'Step 2'!B2144,'Support - Transition'!D:D,'Step 2'!C2144,'Support - Transition'!E:E,"FIRE")</f>
        <v>0</v>
      </c>
      <c r="I2144" s="126">
        <f>IF(B2144="0",SUMIFS('Support - Transition'!F:F,'Support - Transition'!J:J,'Step 2'!D2144,'Support - Transition'!E:E,"STATE UNIT"),SUMIFS('Support - Transition'!F:F,'Support - Transition'!J:J,'Step 2'!D2144))</f>
        <v>3.8000000000000002E-5</v>
      </c>
      <c r="J2144" s="126">
        <f>SUMIFS('Support - Unit Adjustments'!E:E,'Support - Unit Adjustments'!F:F,'Step 2'!D2144)</f>
        <v>0</v>
      </c>
      <c r="K2144" s="126">
        <f t="shared" si="631"/>
        <v>3.8000000000000002E-5</v>
      </c>
      <c r="L2144" s="174">
        <f>VLOOKUP(A2144,'Step 1'!$A:$E,4,FALSE)</f>
        <v>3345317</v>
      </c>
      <c r="M2144" s="47">
        <f t="shared" si="632"/>
        <v>127</v>
      </c>
      <c r="N2144" s="177">
        <f>SUMIFS('Support - Transition'!G:G,'Support - Transition'!J:J,'Step 2'!D2144,'Support - Transition'!E:E,"2009 WELFARE ALLOCATION FACTOR")</f>
        <v>0</v>
      </c>
      <c r="O2144" s="152">
        <f t="shared" si="637"/>
        <v>0</v>
      </c>
      <c r="P2144" s="126">
        <f>IF(E2144="Y",0,SUMIFS('Support - Transition'!G:G,'Support - Transition'!J:J,'Step 2'!D2144,'Support - Transition'!E:E,"2009 SCHOOL ALLOCATION FACTOR"))</f>
        <v>0</v>
      </c>
      <c r="Q2144" s="126">
        <f>IF(E2144="Y",VLOOKUP(D2144,'Support - Unit Adjustments'!F:G,2,FALSE),0)</f>
        <v>0</v>
      </c>
      <c r="R2144" s="155">
        <f t="shared" si="649"/>
        <v>0</v>
      </c>
      <c r="S2144" s="47">
        <f t="shared" si="648"/>
        <v>0</v>
      </c>
      <c r="T2144" s="151">
        <f t="shared" si="633"/>
        <v>127</v>
      </c>
      <c r="U2144" s="151">
        <f t="shared" si="634"/>
        <v>0</v>
      </c>
      <c r="V2144" s="139">
        <f t="shared" si="635"/>
        <v>0</v>
      </c>
      <c r="W2144" s="152">
        <f t="shared" si="638"/>
        <v>127</v>
      </c>
      <c r="X2144" s="127" t="str">
        <f t="shared" si="636"/>
        <v/>
      </c>
      <c r="Y2144" s="207">
        <f t="shared" si="639"/>
        <v>127</v>
      </c>
      <c r="Z2144" s="139">
        <f t="shared" si="640"/>
        <v>127</v>
      </c>
      <c r="AA2144" s="139">
        <f t="shared" si="641"/>
        <v>0</v>
      </c>
      <c r="AC2144" s="47">
        <f t="shared" si="642"/>
        <v>64</v>
      </c>
      <c r="AD2144" s="47">
        <f t="shared" si="643"/>
        <v>64</v>
      </c>
      <c r="AE2144" s="47">
        <f t="shared" si="644"/>
        <v>0</v>
      </c>
      <c r="AG2144" s="47">
        <f t="shared" si="645"/>
        <v>63</v>
      </c>
      <c r="AH2144" s="47">
        <f t="shared" si="646"/>
        <v>63</v>
      </c>
      <c r="AI2144" s="208">
        <f t="shared" si="647"/>
        <v>0</v>
      </c>
    </row>
    <row r="2145" spans="1:35">
      <c r="A2145" t="s">
        <v>2155</v>
      </c>
      <c r="B2145" t="s">
        <v>3155</v>
      </c>
      <c r="C2145" t="s">
        <v>2995</v>
      </c>
      <c r="D2145" t="s">
        <v>5650</v>
      </c>
      <c r="F2145" t="s">
        <v>1547</v>
      </c>
      <c r="G2145" s="126">
        <f>SUMIFS('Support - Transition'!F:F,'Support - Transition'!B:B,'Step 2'!A2145,'Support - Transition'!C:C,'Step 2'!B2145,'Support - Transition'!D:D,'Step 2'!C2145,'Support - Transition'!E:E,"CIVIL")</f>
        <v>0</v>
      </c>
      <c r="H2145" s="126">
        <f>SUMIFS('Support - Transition'!F:F,'Support - Transition'!B:B,'Step 2'!A2145,'Support - Transition'!C:C,'Step 2'!B2145,'Support - Transition'!D:D,'Step 2'!C2145,'Support - Transition'!E:E,"FIRE")</f>
        <v>0</v>
      </c>
      <c r="I2145" s="126">
        <f>IF(B2145="0",SUMIFS('Support - Transition'!F:F,'Support - Transition'!J:J,'Step 2'!D2145,'Support - Transition'!E:E,"STATE UNIT"),SUMIFS('Support - Transition'!F:F,'Support - Transition'!J:J,'Step 2'!D2145))</f>
        <v>1.66E-4</v>
      </c>
      <c r="J2145" s="126">
        <f>SUMIFS('Support - Unit Adjustments'!E:E,'Support - Unit Adjustments'!F:F,'Step 2'!D2145)</f>
        <v>0</v>
      </c>
      <c r="K2145" s="126">
        <f t="shared" si="631"/>
        <v>1.66E-4</v>
      </c>
      <c r="L2145" s="174">
        <f>VLOOKUP(A2145,'Step 1'!$A:$E,4,FALSE)</f>
        <v>3345317</v>
      </c>
      <c r="M2145" s="47">
        <f t="shared" si="632"/>
        <v>555</v>
      </c>
      <c r="N2145" s="177">
        <f>SUMIFS('Support - Transition'!G:G,'Support - Transition'!J:J,'Step 2'!D2145,'Support - Transition'!E:E,"2009 WELFARE ALLOCATION FACTOR")</f>
        <v>0</v>
      </c>
      <c r="O2145" s="152">
        <f t="shared" si="637"/>
        <v>0</v>
      </c>
      <c r="P2145" s="126">
        <f>IF(E2145="Y",0,SUMIFS('Support - Transition'!G:G,'Support - Transition'!J:J,'Step 2'!D2145,'Support - Transition'!E:E,"2009 SCHOOL ALLOCATION FACTOR"))</f>
        <v>0</v>
      </c>
      <c r="Q2145" s="126">
        <f>IF(E2145="Y",VLOOKUP(D2145,'Support - Unit Adjustments'!F:G,2,FALSE),0)</f>
        <v>0</v>
      </c>
      <c r="R2145" s="155">
        <f t="shared" si="649"/>
        <v>0</v>
      </c>
      <c r="S2145" s="47">
        <f t="shared" si="648"/>
        <v>0</v>
      </c>
      <c r="T2145" s="151">
        <f t="shared" si="633"/>
        <v>555</v>
      </c>
      <c r="U2145" s="151">
        <f t="shared" si="634"/>
        <v>0</v>
      </c>
      <c r="V2145" s="139">
        <f t="shared" si="635"/>
        <v>0</v>
      </c>
      <c r="W2145" s="152">
        <f t="shared" si="638"/>
        <v>555</v>
      </c>
      <c r="X2145" s="127" t="str">
        <f t="shared" si="636"/>
        <v/>
      </c>
      <c r="Y2145" s="207">
        <f t="shared" si="639"/>
        <v>555</v>
      </c>
      <c r="Z2145" s="139">
        <f t="shared" si="640"/>
        <v>555</v>
      </c>
      <c r="AA2145" s="139">
        <f t="shared" si="641"/>
        <v>0</v>
      </c>
      <c r="AC2145" s="47">
        <f t="shared" si="642"/>
        <v>278</v>
      </c>
      <c r="AD2145" s="47">
        <f t="shared" si="643"/>
        <v>278</v>
      </c>
      <c r="AE2145" s="47">
        <f t="shared" si="644"/>
        <v>0</v>
      </c>
      <c r="AG2145" s="47">
        <f t="shared" si="645"/>
        <v>277</v>
      </c>
      <c r="AH2145" s="47">
        <f t="shared" si="646"/>
        <v>277</v>
      </c>
      <c r="AI2145" s="208">
        <f t="shared" si="647"/>
        <v>0</v>
      </c>
    </row>
    <row r="2146" spans="1:35">
      <c r="A2146" t="s">
        <v>2155</v>
      </c>
      <c r="B2146" t="s">
        <v>3155</v>
      </c>
      <c r="C2146" t="s">
        <v>2996</v>
      </c>
      <c r="D2146" t="s">
        <v>5651</v>
      </c>
      <c r="F2146" t="s">
        <v>1549</v>
      </c>
      <c r="G2146" s="126">
        <f>SUMIFS('Support - Transition'!F:F,'Support - Transition'!B:B,'Step 2'!A2146,'Support - Transition'!C:C,'Step 2'!B2146,'Support - Transition'!D:D,'Step 2'!C2146,'Support - Transition'!E:E,"CIVIL")</f>
        <v>0</v>
      </c>
      <c r="H2146" s="126">
        <f>SUMIFS('Support - Transition'!F:F,'Support - Transition'!B:B,'Step 2'!A2146,'Support - Transition'!C:C,'Step 2'!B2146,'Support - Transition'!D:D,'Step 2'!C2146,'Support - Transition'!E:E,"FIRE")</f>
        <v>0</v>
      </c>
      <c r="I2146" s="126">
        <f>IF(B2146="0",SUMIFS('Support - Transition'!F:F,'Support - Transition'!J:J,'Step 2'!D2146,'Support - Transition'!E:E,"STATE UNIT"),SUMIFS('Support - Transition'!F:F,'Support - Transition'!J:J,'Step 2'!D2146))</f>
        <v>0</v>
      </c>
      <c r="J2146" s="126">
        <f>SUMIFS('Support - Unit Adjustments'!E:E,'Support - Unit Adjustments'!F:F,'Step 2'!D2146)</f>
        <v>0</v>
      </c>
      <c r="K2146" s="126">
        <f t="shared" si="631"/>
        <v>0</v>
      </c>
      <c r="L2146" s="174">
        <f>VLOOKUP(A2146,'Step 1'!$A:$E,4,FALSE)</f>
        <v>3345317</v>
      </c>
      <c r="M2146" s="47">
        <f t="shared" si="632"/>
        <v>0</v>
      </c>
      <c r="N2146" s="177">
        <f>SUMIFS('Support - Transition'!G:G,'Support - Transition'!J:J,'Step 2'!D2146,'Support - Transition'!E:E,"2009 WELFARE ALLOCATION FACTOR")</f>
        <v>0</v>
      </c>
      <c r="O2146" s="152">
        <f t="shared" si="637"/>
        <v>0</v>
      </c>
      <c r="P2146" s="126">
        <f>IF(E2146="Y",0,SUMIFS('Support - Transition'!G:G,'Support - Transition'!J:J,'Step 2'!D2146,'Support - Transition'!E:E,"2009 SCHOOL ALLOCATION FACTOR"))</f>
        <v>0</v>
      </c>
      <c r="Q2146" s="126">
        <f>IF(E2146="Y",VLOOKUP(D2146,'Support - Unit Adjustments'!F:G,2,FALSE),0)</f>
        <v>0</v>
      </c>
      <c r="R2146" s="155">
        <f t="shared" si="649"/>
        <v>0</v>
      </c>
      <c r="S2146" s="47">
        <f t="shared" si="648"/>
        <v>0</v>
      </c>
      <c r="T2146" s="151">
        <f t="shared" si="633"/>
        <v>0</v>
      </c>
      <c r="U2146" s="151">
        <f t="shared" si="634"/>
        <v>0</v>
      </c>
      <c r="V2146" s="139">
        <f t="shared" si="635"/>
        <v>0</v>
      </c>
      <c r="W2146" s="152">
        <f t="shared" si="638"/>
        <v>0</v>
      </c>
      <c r="X2146" s="127" t="str">
        <f t="shared" si="636"/>
        <v/>
      </c>
      <c r="Y2146" s="207">
        <f t="shared" si="639"/>
        <v>0</v>
      </c>
      <c r="Z2146" s="139">
        <f t="shared" si="640"/>
        <v>0</v>
      </c>
      <c r="AA2146" s="139">
        <f t="shared" si="641"/>
        <v>0</v>
      </c>
      <c r="AC2146" s="47">
        <f t="shared" si="642"/>
        <v>0</v>
      </c>
      <c r="AD2146" s="47">
        <f t="shared" si="643"/>
        <v>0</v>
      </c>
      <c r="AE2146" s="47">
        <f t="shared" si="644"/>
        <v>0</v>
      </c>
      <c r="AG2146" s="47">
        <f t="shared" si="645"/>
        <v>0</v>
      </c>
      <c r="AH2146" s="47">
        <f t="shared" si="646"/>
        <v>0</v>
      </c>
      <c r="AI2146" s="208">
        <f t="shared" si="647"/>
        <v>0</v>
      </c>
    </row>
    <row r="2147" spans="1:35">
      <c r="A2147" t="s">
        <v>2155</v>
      </c>
      <c r="B2147" t="s">
        <v>3160</v>
      </c>
      <c r="C2147" t="s">
        <v>2754</v>
      </c>
      <c r="D2147" t="s">
        <v>5652</v>
      </c>
      <c r="F2147" t="s">
        <v>1091</v>
      </c>
      <c r="G2147" s="126">
        <f>SUMIFS('Support - Transition'!F:F,'Support - Transition'!B:B,'Step 2'!A2147,'Support - Transition'!C:C,'Step 2'!B2147,'Support - Transition'!D:D,'Step 2'!C2147,'Support - Transition'!E:E,"CIVIL")</f>
        <v>0</v>
      </c>
      <c r="H2147" s="126">
        <f>SUMIFS('Support - Transition'!F:F,'Support - Transition'!B:B,'Step 2'!A2147,'Support - Transition'!C:C,'Step 2'!B2147,'Support - Transition'!D:D,'Step 2'!C2147,'Support - Transition'!E:E,"FIRE")</f>
        <v>0</v>
      </c>
      <c r="I2147" s="126">
        <f>IF(B2147="0",SUMIFS('Support - Transition'!F:F,'Support - Transition'!J:J,'Step 2'!D2147,'Support - Transition'!E:E,"STATE UNIT"),SUMIFS('Support - Transition'!F:F,'Support - Transition'!J:J,'Step 2'!D2147))</f>
        <v>9.4719999999999995E-3</v>
      </c>
      <c r="J2147" s="126">
        <f>SUMIFS('Support - Unit Adjustments'!E:E,'Support - Unit Adjustments'!F:F,'Step 2'!D2147)</f>
        <v>0</v>
      </c>
      <c r="K2147" s="126">
        <f t="shared" si="631"/>
        <v>9.4719999999999995E-3</v>
      </c>
      <c r="L2147" s="174">
        <f>VLOOKUP(A2147,'Step 1'!$A:$E,4,FALSE)</f>
        <v>3345317</v>
      </c>
      <c r="M2147" s="47">
        <f t="shared" si="632"/>
        <v>31687</v>
      </c>
      <c r="N2147" s="177">
        <f>SUMIFS('Support - Transition'!G:G,'Support - Transition'!J:J,'Step 2'!D2147,'Support - Transition'!E:E,"2009 WELFARE ALLOCATION FACTOR")</f>
        <v>0</v>
      </c>
      <c r="O2147" s="152">
        <f t="shared" si="637"/>
        <v>0</v>
      </c>
      <c r="P2147" s="126">
        <f>IF(E2147="Y",0,SUMIFS('Support - Transition'!G:G,'Support - Transition'!J:J,'Step 2'!D2147,'Support - Transition'!E:E,"2009 SCHOOL ALLOCATION FACTOR"))</f>
        <v>0.42578500000000002</v>
      </c>
      <c r="Q2147" s="126">
        <f>IF(E2147="Y",VLOOKUP(D2147,'Support - Unit Adjustments'!F:G,2,FALSE),0)</f>
        <v>0</v>
      </c>
      <c r="R2147" s="155">
        <f t="shared" si="649"/>
        <v>0.42578500000000002</v>
      </c>
      <c r="S2147" s="47">
        <f t="shared" si="648"/>
        <v>13492</v>
      </c>
      <c r="T2147" s="151">
        <f t="shared" si="633"/>
        <v>18195</v>
      </c>
      <c r="U2147" s="151">
        <f t="shared" si="634"/>
        <v>0</v>
      </c>
      <c r="V2147" s="139">
        <f t="shared" si="635"/>
        <v>0</v>
      </c>
      <c r="W2147" s="152">
        <f t="shared" si="638"/>
        <v>18195</v>
      </c>
      <c r="X2147" s="127" t="str">
        <f t="shared" si="636"/>
        <v/>
      </c>
      <c r="Y2147" s="207">
        <f t="shared" si="639"/>
        <v>18195</v>
      </c>
      <c r="Z2147" s="139">
        <f t="shared" si="640"/>
        <v>18195</v>
      </c>
      <c r="AA2147" s="139">
        <f t="shared" si="641"/>
        <v>0</v>
      </c>
      <c r="AC2147" s="47">
        <f t="shared" si="642"/>
        <v>9098</v>
      </c>
      <c r="AD2147" s="47">
        <f t="shared" si="643"/>
        <v>9098</v>
      </c>
      <c r="AE2147" s="47">
        <f t="shared" si="644"/>
        <v>0</v>
      </c>
      <c r="AG2147" s="47">
        <f t="shared" si="645"/>
        <v>9097</v>
      </c>
      <c r="AH2147" s="47">
        <f t="shared" si="646"/>
        <v>9097</v>
      </c>
      <c r="AI2147" s="208">
        <f t="shared" si="647"/>
        <v>0</v>
      </c>
    </row>
    <row r="2148" spans="1:35">
      <c r="A2148" t="s">
        <v>2155</v>
      </c>
      <c r="B2148" t="s">
        <v>3160</v>
      </c>
      <c r="C2148" t="s">
        <v>2759</v>
      </c>
      <c r="D2148" t="s">
        <v>5653</v>
      </c>
      <c r="F2148" t="s">
        <v>1087</v>
      </c>
      <c r="G2148" s="126">
        <f>SUMIFS('Support - Transition'!F:F,'Support - Transition'!B:B,'Step 2'!A2148,'Support - Transition'!C:C,'Step 2'!B2148,'Support - Transition'!D:D,'Step 2'!C2148,'Support - Transition'!E:E,"CIVIL")</f>
        <v>0</v>
      </c>
      <c r="H2148" s="126">
        <f>SUMIFS('Support - Transition'!F:F,'Support - Transition'!B:B,'Step 2'!A2148,'Support - Transition'!C:C,'Step 2'!B2148,'Support - Transition'!D:D,'Step 2'!C2148,'Support - Transition'!E:E,"FIRE")</f>
        <v>0</v>
      </c>
      <c r="I2148" s="126">
        <f>IF(B2148="0",SUMIFS('Support - Transition'!F:F,'Support - Transition'!J:J,'Step 2'!D2148,'Support - Transition'!E:E,"STATE UNIT"),SUMIFS('Support - Transition'!F:F,'Support - Transition'!J:J,'Step 2'!D2148))</f>
        <v>3.4699999999999998E-4</v>
      </c>
      <c r="J2148" s="126">
        <f>SUMIFS('Support - Unit Adjustments'!E:E,'Support - Unit Adjustments'!F:F,'Step 2'!D2148)</f>
        <v>0</v>
      </c>
      <c r="K2148" s="126">
        <f t="shared" si="631"/>
        <v>3.4699999999999998E-4</v>
      </c>
      <c r="L2148" s="174">
        <f>VLOOKUP(A2148,'Step 1'!$A:$E,4,FALSE)</f>
        <v>3345317</v>
      </c>
      <c r="M2148" s="47">
        <f t="shared" si="632"/>
        <v>1161</v>
      </c>
      <c r="N2148" s="177">
        <f>SUMIFS('Support - Transition'!G:G,'Support - Transition'!J:J,'Step 2'!D2148,'Support - Transition'!E:E,"2009 WELFARE ALLOCATION FACTOR")</f>
        <v>0</v>
      </c>
      <c r="O2148" s="152">
        <f t="shared" si="637"/>
        <v>0</v>
      </c>
      <c r="P2148" s="126">
        <f>IF(E2148="Y",0,SUMIFS('Support - Transition'!G:G,'Support - Transition'!J:J,'Step 2'!D2148,'Support - Transition'!E:E,"2009 SCHOOL ALLOCATION FACTOR"))</f>
        <v>0.41884900000000003</v>
      </c>
      <c r="Q2148" s="126">
        <f>IF(E2148="Y",VLOOKUP(D2148,'Support - Unit Adjustments'!F:G,2,FALSE),0)</f>
        <v>0</v>
      </c>
      <c r="R2148" s="155">
        <f t="shared" si="649"/>
        <v>0.41884900000000003</v>
      </c>
      <c r="S2148" s="47">
        <f t="shared" si="648"/>
        <v>486</v>
      </c>
      <c r="T2148" s="151">
        <f t="shared" si="633"/>
        <v>675</v>
      </c>
      <c r="U2148" s="151">
        <f t="shared" si="634"/>
        <v>0</v>
      </c>
      <c r="V2148" s="139">
        <f t="shared" si="635"/>
        <v>0</v>
      </c>
      <c r="W2148" s="152">
        <f t="shared" si="638"/>
        <v>675</v>
      </c>
      <c r="X2148" s="127" t="str">
        <f t="shared" si="636"/>
        <v/>
      </c>
      <c r="Y2148" s="207">
        <f t="shared" si="639"/>
        <v>675</v>
      </c>
      <c r="Z2148" s="139">
        <f t="shared" si="640"/>
        <v>675</v>
      </c>
      <c r="AA2148" s="139">
        <f t="shared" si="641"/>
        <v>0</v>
      </c>
      <c r="AC2148" s="47">
        <f t="shared" si="642"/>
        <v>338</v>
      </c>
      <c r="AD2148" s="47">
        <f t="shared" si="643"/>
        <v>338</v>
      </c>
      <c r="AE2148" s="47">
        <f t="shared" si="644"/>
        <v>0</v>
      </c>
      <c r="AG2148" s="47">
        <f t="shared" si="645"/>
        <v>337</v>
      </c>
      <c r="AH2148" s="47">
        <f t="shared" si="646"/>
        <v>337</v>
      </c>
      <c r="AI2148" s="208">
        <f t="shared" si="647"/>
        <v>0</v>
      </c>
    </row>
    <row r="2149" spans="1:35">
      <c r="A2149" t="s">
        <v>2155</v>
      </c>
      <c r="B2149" t="s">
        <v>3160</v>
      </c>
      <c r="C2149" t="s">
        <v>2997</v>
      </c>
      <c r="D2149" t="s">
        <v>5654</v>
      </c>
      <c r="F2149" t="s">
        <v>1551</v>
      </c>
      <c r="G2149" s="126">
        <f>SUMIFS('Support - Transition'!F:F,'Support - Transition'!B:B,'Step 2'!A2149,'Support - Transition'!C:C,'Step 2'!B2149,'Support - Transition'!D:D,'Step 2'!C2149,'Support - Transition'!E:E,"CIVIL")</f>
        <v>0</v>
      </c>
      <c r="H2149" s="126">
        <f>SUMIFS('Support - Transition'!F:F,'Support - Transition'!B:B,'Step 2'!A2149,'Support - Transition'!C:C,'Step 2'!B2149,'Support - Transition'!D:D,'Step 2'!C2149,'Support - Transition'!E:E,"FIRE")</f>
        <v>0</v>
      </c>
      <c r="I2149" s="126">
        <f>IF(B2149="0",SUMIFS('Support - Transition'!F:F,'Support - Transition'!J:J,'Step 2'!D2149,'Support - Transition'!E:E,"STATE UNIT"),SUMIFS('Support - Transition'!F:F,'Support - Transition'!J:J,'Step 2'!D2149))</f>
        <v>7.4999999999999997E-2</v>
      </c>
      <c r="J2149" s="126">
        <f>SUMIFS('Support - Unit Adjustments'!E:E,'Support - Unit Adjustments'!F:F,'Step 2'!D2149)</f>
        <v>0</v>
      </c>
      <c r="K2149" s="126">
        <f t="shared" si="631"/>
        <v>7.4999999999999997E-2</v>
      </c>
      <c r="L2149" s="174">
        <f>VLOOKUP(A2149,'Step 1'!$A:$E,4,FALSE)</f>
        <v>3345317</v>
      </c>
      <c r="M2149" s="47">
        <f t="shared" si="632"/>
        <v>250899</v>
      </c>
      <c r="N2149" s="177">
        <f>SUMIFS('Support - Transition'!G:G,'Support - Transition'!J:J,'Step 2'!D2149,'Support - Transition'!E:E,"2009 WELFARE ALLOCATION FACTOR")</f>
        <v>0</v>
      </c>
      <c r="O2149" s="152">
        <f t="shared" si="637"/>
        <v>0</v>
      </c>
      <c r="P2149" s="126">
        <f>IF(E2149="Y",0,SUMIFS('Support - Transition'!G:G,'Support - Transition'!J:J,'Step 2'!D2149,'Support - Transition'!E:E,"2009 SCHOOL ALLOCATION FACTOR"))</f>
        <v>0.38667800000000002</v>
      </c>
      <c r="Q2149" s="126">
        <f>IF(E2149="Y",VLOOKUP(D2149,'Support - Unit Adjustments'!F:G,2,FALSE),0)</f>
        <v>0</v>
      </c>
      <c r="R2149" s="155">
        <f t="shared" si="649"/>
        <v>0.38667800000000002</v>
      </c>
      <c r="S2149" s="47">
        <f t="shared" si="648"/>
        <v>97017</v>
      </c>
      <c r="T2149" s="151">
        <f t="shared" si="633"/>
        <v>153882</v>
      </c>
      <c r="U2149" s="151">
        <f t="shared" si="634"/>
        <v>0</v>
      </c>
      <c r="V2149" s="139">
        <f t="shared" si="635"/>
        <v>0</v>
      </c>
      <c r="W2149" s="152">
        <f t="shared" si="638"/>
        <v>153882</v>
      </c>
      <c r="X2149" s="127" t="str">
        <f t="shared" si="636"/>
        <v/>
      </c>
      <c r="Y2149" s="207">
        <f t="shared" si="639"/>
        <v>153882</v>
      </c>
      <c r="Z2149" s="139">
        <f t="shared" si="640"/>
        <v>153882</v>
      </c>
      <c r="AA2149" s="139">
        <f t="shared" si="641"/>
        <v>0</v>
      </c>
      <c r="AC2149" s="47">
        <f t="shared" si="642"/>
        <v>76941</v>
      </c>
      <c r="AD2149" s="47">
        <f t="shared" si="643"/>
        <v>76941</v>
      </c>
      <c r="AE2149" s="47">
        <f t="shared" si="644"/>
        <v>0</v>
      </c>
      <c r="AG2149" s="47">
        <f t="shared" si="645"/>
        <v>76941</v>
      </c>
      <c r="AH2149" s="47">
        <f t="shared" si="646"/>
        <v>76941</v>
      </c>
      <c r="AI2149" s="208">
        <f t="shared" si="647"/>
        <v>0</v>
      </c>
    </row>
    <row r="2150" spans="1:35">
      <c r="A2150" t="s">
        <v>2155</v>
      </c>
      <c r="B2150" t="s">
        <v>3160</v>
      </c>
      <c r="C2150" t="s">
        <v>2998</v>
      </c>
      <c r="D2150" t="s">
        <v>5655</v>
      </c>
      <c r="F2150" t="s">
        <v>1550</v>
      </c>
      <c r="G2150" s="126">
        <f>SUMIFS('Support - Transition'!F:F,'Support - Transition'!B:B,'Step 2'!A2150,'Support - Transition'!C:C,'Step 2'!B2150,'Support - Transition'!D:D,'Step 2'!C2150,'Support - Transition'!E:E,"CIVIL")</f>
        <v>0</v>
      </c>
      <c r="H2150" s="126">
        <f>SUMIFS('Support - Transition'!F:F,'Support - Transition'!B:B,'Step 2'!A2150,'Support - Transition'!C:C,'Step 2'!B2150,'Support - Transition'!D:D,'Step 2'!C2150,'Support - Transition'!E:E,"FIRE")</f>
        <v>0</v>
      </c>
      <c r="I2150" s="126">
        <f>IF(B2150="0",SUMIFS('Support - Transition'!F:F,'Support - Transition'!J:J,'Step 2'!D2150,'Support - Transition'!E:E,"STATE UNIT"),SUMIFS('Support - Transition'!F:F,'Support - Transition'!J:J,'Step 2'!D2150))</f>
        <v>1.7888999999999999E-2</v>
      </c>
      <c r="J2150" s="126">
        <f>SUMIFS('Support - Unit Adjustments'!E:E,'Support - Unit Adjustments'!F:F,'Step 2'!D2150)</f>
        <v>0</v>
      </c>
      <c r="K2150" s="126">
        <f t="shared" si="631"/>
        <v>1.7888999999999999E-2</v>
      </c>
      <c r="L2150" s="174">
        <f>VLOOKUP(A2150,'Step 1'!$A:$E,4,FALSE)</f>
        <v>3345317</v>
      </c>
      <c r="M2150" s="47">
        <f t="shared" si="632"/>
        <v>59844</v>
      </c>
      <c r="N2150" s="177">
        <f>SUMIFS('Support - Transition'!G:G,'Support - Transition'!J:J,'Step 2'!D2150,'Support - Transition'!E:E,"2009 WELFARE ALLOCATION FACTOR")</f>
        <v>0</v>
      </c>
      <c r="O2150" s="152">
        <f t="shared" si="637"/>
        <v>0</v>
      </c>
      <c r="P2150" s="126">
        <f>IF(E2150="Y",0,SUMIFS('Support - Transition'!G:G,'Support - Transition'!J:J,'Step 2'!D2150,'Support - Transition'!E:E,"2009 SCHOOL ALLOCATION FACTOR"))</f>
        <v>0.36601699999999998</v>
      </c>
      <c r="Q2150" s="126">
        <f>IF(E2150="Y",VLOOKUP(D2150,'Support - Unit Adjustments'!F:G,2,FALSE),0)</f>
        <v>0</v>
      </c>
      <c r="R2150" s="155">
        <f t="shared" si="649"/>
        <v>0.36601699999999998</v>
      </c>
      <c r="S2150" s="47">
        <f t="shared" si="648"/>
        <v>21904</v>
      </c>
      <c r="T2150" s="151">
        <f t="shared" si="633"/>
        <v>37940</v>
      </c>
      <c r="U2150" s="151">
        <f t="shared" si="634"/>
        <v>0</v>
      </c>
      <c r="V2150" s="139">
        <f t="shared" si="635"/>
        <v>0</v>
      </c>
      <c r="W2150" s="152">
        <f t="shared" si="638"/>
        <v>37940</v>
      </c>
      <c r="X2150" s="127" t="str">
        <f t="shared" si="636"/>
        <v/>
      </c>
      <c r="Y2150" s="207">
        <f t="shared" si="639"/>
        <v>37940</v>
      </c>
      <c r="Z2150" s="139">
        <f t="shared" si="640"/>
        <v>37940</v>
      </c>
      <c r="AA2150" s="139">
        <f t="shared" si="641"/>
        <v>0</v>
      </c>
      <c r="AC2150" s="47">
        <f t="shared" si="642"/>
        <v>18970</v>
      </c>
      <c r="AD2150" s="47">
        <f t="shared" si="643"/>
        <v>18970</v>
      </c>
      <c r="AE2150" s="47">
        <f t="shared" si="644"/>
        <v>0</v>
      </c>
      <c r="AG2150" s="47">
        <f t="shared" si="645"/>
        <v>18970</v>
      </c>
      <c r="AH2150" s="47">
        <f t="shared" si="646"/>
        <v>18970</v>
      </c>
      <c r="AI2150" s="208">
        <f t="shared" si="647"/>
        <v>0</v>
      </c>
    </row>
    <row r="2151" spans="1:35">
      <c r="A2151" t="s">
        <v>2155</v>
      </c>
      <c r="B2151" t="s">
        <v>3160</v>
      </c>
      <c r="C2151" t="s">
        <v>2999</v>
      </c>
      <c r="D2151" t="s">
        <v>5656</v>
      </c>
      <c r="F2151" t="s">
        <v>1552</v>
      </c>
      <c r="G2151" s="126">
        <f>SUMIFS('Support - Transition'!F:F,'Support - Transition'!B:B,'Step 2'!A2151,'Support - Transition'!C:C,'Step 2'!B2151,'Support - Transition'!D:D,'Step 2'!C2151,'Support - Transition'!E:E,"CIVIL")</f>
        <v>0</v>
      </c>
      <c r="H2151" s="126">
        <f>SUMIFS('Support - Transition'!F:F,'Support - Transition'!B:B,'Step 2'!A2151,'Support - Transition'!C:C,'Step 2'!B2151,'Support - Transition'!D:D,'Step 2'!C2151,'Support - Transition'!E:E,"FIRE")</f>
        <v>0</v>
      </c>
      <c r="I2151" s="126">
        <f>IF(B2151="0",SUMIFS('Support - Transition'!F:F,'Support - Transition'!J:J,'Step 2'!D2151,'Support - Transition'!E:E,"STATE UNIT"),SUMIFS('Support - Transition'!F:F,'Support - Transition'!J:J,'Step 2'!D2151))</f>
        <v>0.300647</v>
      </c>
      <c r="J2151" s="126">
        <f>SUMIFS('Support - Unit Adjustments'!E:E,'Support - Unit Adjustments'!F:F,'Step 2'!D2151)</f>
        <v>0</v>
      </c>
      <c r="K2151" s="126">
        <f t="shared" si="631"/>
        <v>0.300647</v>
      </c>
      <c r="L2151" s="174">
        <f>VLOOKUP(A2151,'Step 1'!$A:$E,4,FALSE)</f>
        <v>3345317</v>
      </c>
      <c r="M2151" s="47">
        <f t="shared" si="632"/>
        <v>1005760</v>
      </c>
      <c r="N2151" s="177">
        <f>SUMIFS('Support - Transition'!G:G,'Support - Transition'!J:J,'Step 2'!D2151,'Support - Transition'!E:E,"2009 WELFARE ALLOCATION FACTOR")</f>
        <v>0</v>
      </c>
      <c r="O2151" s="152">
        <f t="shared" si="637"/>
        <v>0</v>
      </c>
      <c r="P2151" s="126">
        <f>IF(E2151="Y",0,SUMIFS('Support - Transition'!G:G,'Support - Transition'!J:J,'Step 2'!D2151,'Support - Transition'!E:E,"2009 SCHOOL ALLOCATION FACTOR"))</f>
        <v>0.39755499999999999</v>
      </c>
      <c r="Q2151" s="126">
        <f>IF(E2151="Y",VLOOKUP(D2151,'Support - Unit Adjustments'!F:G,2,FALSE),0)</f>
        <v>0</v>
      </c>
      <c r="R2151" s="155">
        <f t="shared" si="649"/>
        <v>0.39755499999999999</v>
      </c>
      <c r="S2151" s="47">
        <f t="shared" si="648"/>
        <v>399845</v>
      </c>
      <c r="T2151" s="151">
        <f t="shared" si="633"/>
        <v>605915</v>
      </c>
      <c r="U2151" s="151">
        <f t="shared" si="634"/>
        <v>0</v>
      </c>
      <c r="V2151" s="139">
        <f t="shared" si="635"/>
        <v>0</v>
      </c>
      <c r="W2151" s="152">
        <f t="shared" si="638"/>
        <v>605915</v>
      </c>
      <c r="X2151" s="127" t="str">
        <f t="shared" si="636"/>
        <v/>
      </c>
      <c r="Y2151" s="207">
        <f t="shared" si="639"/>
        <v>605915</v>
      </c>
      <c r="Z2151" s="139">
        <f t="shared" si="640"/>
        <v>605915</v>
      </c>
      <c r="AA2151" s="139">
        <f t="shared" si="641"/>
        <v>0</v>
      </c>
      <c r="AC2151" s="47">
        <f t="shared" si="642"/>
        <v>302958</v>
      </c>
      <c r="AD2151" s="47">
        <f t="shared" si="643"/>
        <v>302958</v>
      </c>
      <c r="AE2151" s="47">
        <f t="shared" si="644"/>
        <v>0</v>
      </c>
      <c r="AG2151" s="47">
        <f t="shared" si="645"/>
        <v>302957</v>
      </c>
      <c r="AH2151" s="47">
        <f t="shared" si="646"/>
        <v>302957</v>
      </c>
      <c r="AI2151" s="208">
        <f t="shared" si="647"/>
        <v>0</v>
      </c>
    </row>
    <row r="2152" spans="1:35">
      <c r="A2152" t="s">
        <v>2155</v>
      </c>
      <c r="B2152" t="s">
        <v>3160</v>
      </c>
      <c r="C2152" t="s">
        <v>2830</v>
      </c>
      <c r="D2152" t="s">
        <v>5657</v>
      </c>
      <c r="F2152" t="s">
        <v>1203</v>
      </c>
      <c r="G2152" s="126">
        <f>SUMIFS('Support - Transition'!F:F,'Support - Transition'!B:B,'Step 2'!A2152,'Support - Transition'!C:C,'Step 2'!B2152,'Support - Transition'!D:D,'Step 2'!C2152,'Support - Transition'!E:E,"CIVIL")</f>
        <v>0</v>
      </c>
      <c r="H2152" s="126">
        <f>SUMIFS('Support - Transition'!F:F,'Support - Transition'!B:B,'Step 2'!A2152,'Support - Transition'!C:C,'Step 2'!B2152,'Support - Transition'!D:D,'Step 2'!C2152,'Support - Transition'!E:E,"FIRE")</f>
        <v>0</v>
      </c>
      <c r="I2152" s="126">
        <f>IF(B2152="0",SUMIFS('Support - Transition'!F:F,'Support - Transition'!J:J,'Step 2'!D2152,'Support - Transition'!E:E,"STATE UNIT"),SUMIFS('Support - Transition'!F:F,'Support - Transition'!J:J,'Step 2'!D2152))</f>
        <v>3.3639999999999998E-3</v>
      </c>
      <c r="J2152" s="126">
        <f>SUMIFS('Support - Unit Adjustments'!E:E,'Support - Unit Adjustments'!F:F,'Step 2'!D2152)</f>
        <v>0</v>
      </c>
      <c r="K2152" s="126">
        <f t="shared" si="631"/>
        <v>3.3639999999999998E-3</v>
      </c>
      <c r="L2152" s="174">
        <f>VLOOKUP(A2152,'Step 1'!$A:$E,4,FALSE)</f>
        <v>3345317</v>
      </c>
      <c r="M2152" s="47">
        <f t="shared" si="632"/>
        <v>11254</v>
      </c>
      <c r="N2152" s="177">
        <f>SUMIFS('Support - Transition'!G:G,'Support - Transition'!J:J,'Step 2'!D2152,'Support - Transition'!E:E,"2009 WELFARE ALLOCATION FACTOR")</f>
        <v>0</v>
      </c>
      <c r="O2152" s="152">
        <f t="shared" si="637"/>
        <v>0</v>
      </c>
      <c r="P2152" s="126">
        <f>IF(E2152="Y",0,SUMIFS('Support - Transition'!G:G,'Support - Transition'!J:J,'Step 2'!D2152,'Support - Transition'!E:E,"2009 SCHOOL ALLOCATION FACTOR"))</f>
        <v>0.49541800000000003</v>
      </c>
      <c r="Q2152" s="126">
        <f>IF(E2152="Y",VLOOKUP(D2152,'Support - Unit Adjustments'!F:G,2,FALSE),0)</f>
        <v>0</v>
      </c>
      <c r="R2152" s="155">
        <f t="shared" si="649"/>
        <v>0.49541800000000003</v>
      </c>
      <c r="S2152" s="47">
        <f t="shared" si="648"/>
        <v>5575</v>
      </c>
      <c r="T2152" s="151">
        <f t="shared" si="633"/>
        <v>5679</v>
      </c>
      <c r="U2152" s="151">
        <f t="shared" si="634"/>
        <v>0</v>
      </c>
      <c r="V2152" s="139">
        <f t="shared" si="635"/>
        <v>0</v>
      </c>
      <c r="W2152" s="152">
        <f t="shared" si="638"/>
        <v>5679</v>
      </c>
      <c r="X2152" s="127" t="str">
        <f t="shared" si="636"/>
        <v/>
      </c>
      <c r="Y2152" s="207">
        <f t="shared" si="639"/>
        <v>5679</v>
      </c>
      <c r="Z2152" s="139">
        <f t="shared" si="640"/>
        <v>5679</v>
      </c>
      <c r="AA2152" s="139">
        <f t="shared" si="641"/>
        <v>0</v>
      </c>
      <c r="AC2152" s="47">
        <f t="shared" si="642"/>
        <v>2840</v>
      </c>
      <c r="AD2152" s="47">
        <f t="shared" si="643"/>
        <v>2840</v>
      </c>
      <c r="AE2152" s="47">
        <f t="shared" si="644"/>
        <v>0</v>
      </c>
      <c r="AG2152" s="47">
        <f t="shared" si="645"/>
        <v>2839</v>
      </c>
      <c r="AH2152" s="47">
        <f t="shared" si="646"/>
        <v>2839</v>
      </c>
      <c r="AI2152" s="208">
        <f t="shared" si="647"/>
        <v>0</v>
      </c>
    </row>
    <row r="2153" spans="1:35">
      <c r="A2153" t="s">
        <v>2155</v>
      </c>
      <c r="B2153" t="s">
        <v>3166</v>
      </c>
      <c r="C2153" t="s">
        <v>2568</v>
      </c>
      <c r="D2153" t="s">
        <v>5658</v>
      </c>
      <c r="F2153" t="s">
        <v>1553</v>
      </c>
      <c r="G2153" s="126">
        <f>SUMIFS('Support - Transition'!F:F,'Support - Transition'!B:B,'Step 2'!A2153,'Support - Transition'!C:C,'Step 2'!B2153,'Support - Transition'!D:D,'Step 2'!C2153,'Support - Transition'!E:E,"CIVIL")</f>
        <v>0</v>
      </c>
      <c r="H2153" s="126">
        <f>SUMIFS('Support - Transition'!F:F,'Support - Transition'!B:B,'Step 2'!A2153,'Support - Transition'!C:C,'Step 2'!B2153,'Support - Transition'!D:D,'Step 2'!C2153,'Support - Transition'!E:E,"FIRE")</f>
        <v>0</v>
      </c>
      <c r="I2153" s="126">
        <f>IF(B2153="0",SUMIFS('Support - Transition'!F:F,'Support - Transition'!J:J,'Step 2'!D2153,'Support - Transition'!E:E,"STATE UNIT"),SUMIFS('Support - Transition'!F:F,'Support - Transition'!J:J,'Step 2'!D2153))</f>
        <v>4.5059999999999996E-3</v>
      </c>
      <c r="J2153" s="126">
        <f>SUMIFS('Support - Unit Adjustments'!E:E,'Support - Unit Adjustments'!F:F,'Step 2'!D2153)</f>
        <v>0</v>
      </c>
      <c r="K2153" s="126">
        <f t="shared" si="631"/>
        <v>4.5059999999999996E-3</v>
      </c>
      <c r="L2153" s="174">
        <f>VLOOKUP(A2153,'Step 1'!$A:$E,4,FALSE)</f>
        <v>3345317</v>
      </c>
      <c r="M2153" s="47">
        <f t="shared" si="632"/>
        <v>15074</v>
      </c>
      <c r="N2153" s="177">
        <f>SUMIFS('Support - Transition'!G:G,'Support - Transition'!J:J,'Step 2'!D2153,'Support - Transition'!E:E,"2009 WELFARE ALLOCATION FACTOR")</f>
        <v>0</v>
      </c>
      <c r="O2153" s="152">
        <f t="shared" si="637"/>
        <v>0</v>
      </c>
      <c r="P2153" s="126">
        <f>IF(E2153="Y",0,SUMIFS('Support - Transition'!G:G,'Support - Transition'!J:J,'Step 2'!D2153,'Support - Transition'!E:E,"2009 SCHOOL ALLOCATION FACTOR"))</f>
        <v>0</v>
      </c>
      <c r="Q2153" s="126">
        <f>IF(E2153="Y",VLOOKUP(D2153,'Support - Unit Adjustments'!F:G,2,FALSE),0)</f>
        <v>0</v>
      </c>
      <c r="R2153" s="155">
        <f t="shared" si="649"/>
        <v>0</v>
      </c>
      <c r="S2153" s="47">
        <f t="shared" si="648"/>
        <v>0</v>
      </c>
      <c r="T2153" s="151">
        <f t="shared" si="633"/>
        <v>15074</v>
      </c>
      <c r="U2153" s="151">
        <f t="shared" si="634"/>
        <v>0</v>
      </c>
      <c r="V2153" s="139">
        <f t="shared" si="635"/>
        <v>0</v>
      </c>
      <c r="W2153" s="152">
        <f t="shared" si="638"/>
        <v>15074</v>
      </c>
      <c r="X2153" s="127" t="str">
        <f t="shared" si="636"/>
        <v/>
      </c>
      <c r="Y2153" s="207">
        <f t="shared" si="639"/>
        <v>15074</v>
      </c>
      <c r="Z2153" s="139">
        <f t="shared" si="640"/>
        <v>15074</v>
      </c>
      <c r="AA2153" s="139">
        <f t="shared" si="641"/>
        <v>0</v>
      </c>
      <c r="AC2153" s="47">
        <f t="shared" si="642"/>
        <v>7537</v>
      </c>
      <c r="AD2153" s="47">
        <f t="shared" si="643"/>
        <v>7537</v>
      </c>
      <c r="AE2153" s="47">
        <f t="shared" si="644"/>
        <v>0</v>
      </c>
      <c r="AG2153" s="47">
        <f t="shared" si="645"/>
        <v>7537</v>
      </c>
      <c r="AH2153" s="47">
        <f t="shared" si="646"/>
        <v>7537</v>
      </c>
      <c r="AI2153" s="208">
        <f t="shared" si="647"/>
        <v>0</v>
      </c>
    </row>
    <row r="2154" spans="1:35">
      <c r="A2154" t="s">
        <v>2155</v>
      </c>
      <c r="B2154" t="s">
        <v>3166</v>
      </c>
      <c r="C2154" t="s">
        <v>2920</v>
      </c>
      <c r="D2154" t="s">
        <v>5659</v>
      </c>
      <c r="F2154" t="s">
        <v>1554</v>
      </c>
      <c r="G2154" s="126">
        <f>SUMIFS('Support - Transition'!F:F,'Support - Transition'!B:B,'Step 2'!A2154,'Support - Transition'!C:C,'Step 2'!B2154,'Support - Transition'!D:D,'Step 2'!C2154,'Support - Transition'!E:E,"CIVIL")</f>
        <v>0</v>
      </c>
      <c r="H2154" s="126">
        <f>SUMIFS('Support - Transition'!F:F,'Support - Transition'!B:B,'Step 2'!A2154,'Support - Transition'!C:C,'Step 2'!B2154,'Support - Transition'!D:D,'Step 2'!C2154,'Support - Transition'!E:E,"FIRE")</f>
        <v>0</v>
      </c>
      <c r="I2154" s="126">
        <f>IF(B2154="0",SUMIFS('Support - Transition'!F:F,'Support - Transition'!J:J,'Step 2'!D2154,'Support - Transition'!E:E,"STATE UNIT"),SUMIFS('Support - Transition'!F:F,'Support - Transition'!J:J,'Step 2'!D2154))</f>
        <v>3.2899999999999997E-4</v>
      </c>
      <c r="J2154" s="126">
        <f>SUMIFS('Support - Unit Adjustments'!E:E,'Support - Unit Adjustments'!F:F,'Step 2'!D2154)</f>
        <v>0</v>
      </c>
      <c r="K2154" s="126">
        <f t="shared" si="631"/>
        <v>3.2899999999999997E-4</v>
      </c>
      <c r="L2154" s="174">
        <f>VLOOKUP(A2154,'Step 1'!$A:$E,4,FALSE)</f>
        <v>3345317</v>
      </c>
      <c r="M2154" s="47">
        <f t="shared" si="632"/>
        <v>1101</v>
      </c>
      <c r="N2154" s="177">
        <f>SUMIFS('Support - Transition'!G:G,'Support - Transition'!J:J,'Step 2'!D2154,'Support - Transition'!E:E,"2009 WELFARE ALLOCATION FACTOR")</f>
        <v>0</v>
      </c>
      <c r="O2154" s="152">
        <f t="shared" si="637"/>
        <v>0</v>
      </c>
      <c r="P2154" s="126">
        <f>IF(E2154="Y",0,SUMIFS('Support - Transition'!G:G,'Support - Transition'!J:J,'Step 2'!D2154,'Support - Transition'!E:E,"2009 SCHOOL ALLOCATION FACTOR"))</f>
        <v>0</v>
      </c>
      <c r="Q2154" s="126">
        <f>IF(E2154="Y",VLOOKUP(D2154,'Support - Unit Adjustments'!F:G,2,FALSE),0)</f>
        <v>0</v>
      </c>
      <c r="R2154" s="155">
        <f t="shared" si="649"/>
        <v>0</v>
      </c>
      <c r="S2154" s="47">
        <f t="shared" si="648"/>
        <v>0</v>
      </c>
      <c r="T2154" s="151">
        <f t="shared" si="633"/>
        <v>1101</v>
      </c>
      <c r="U2154" s="151">
        <f t="shared" si="634"/>
        <v>0</v>
      </c>
      <c r="V2154" s="139">
        <f t="shared" si="635"/>
        <v>0</v>
      </c>
      <c r="W2154" s="152">
        <f t="shared" si="638"/>
        <v>1101</v>
      </c>
      <c r="X2154" s="127" t="str">
        <f t="shared" si="636"/>
        <v/>
      </c>
      <c r="Y2154" s="207">
        <f t="shared" si="639"/>
        <v>1101</v>
      </c>
      <c r="Z2154" s="139">
        <f t="shared" si="640"/>
        <v>1101</v>
      </c>
      <c r="AA2154" s="139">
        <f t="shared" si="641"/>
        <v>0</v>
      </c>
      <c r="AC2154" s="47">
        <f t="shared" si="642"/>
        <v>551</v>
      </c>
      <c r="AD2154" s="47">
        <f t="shared" si="643"/>
        <v>551</v>
      </c>
      <c r="AE2154" s="47">
        <f t="shared" si="644"/>
        <v>0</v>
      </c>
      <c r="AG2154" s="47">
        <f t="shared" si="645"/>
        <v>550</v>
      </c>
      <c r="AH2154" s="47">
        <f t="shared" si="646"/>
        <v>550</v>
      </c>
      <c r="AI2154" s="208">
        <f t="shared" si="647"/>
        <v>0</v>
      </c>
    </row>
    <row r="2155" spans="1:35">
      <c r="A2155" t="s">
        <v>2155</v>
      </c>
      <c r="B2155" t="s">
        <v>3166</v>
      </c>
      <c r="C2155" t="s">
        <v>2290</v>
      </c>
      <c r="D2155" t="s">
        <v>5660</v>
      </c>
      <c r="F2155" t="s">
        <v>1556</v>
      </c>
      <c r="G2155" s="126">
        <f>SUMIFS('Support - Transition'!F:F,'Support - Transition'!B:B,'Step 2'!A2155,'Support - Transition'!C:C,'Step 2'!B2155,'Support - Transition'!D:D,'Step 2'!C2155,'Support - Transition'!E:E,"CIVIL")</f>
        <v>0</v>
      </c>
      <c r="H2155" s="126">
        <f>SUMIFS('Support - Transition'!F:F,'Support - Transition'!B:B,'Step 2'!A2155,'Support - Transition'!C:C,'Step 2'!B2155,'Support - Transition'!D:D,'Step 2'!C2155,'Support - Transition'!E:E,"FIRE")</f>
        <v>0</v>
      </c>
      <c r="I2155" s="126">
        <f>IF(B2155="0",SUMIFS('Support - Transition'!F:F,'Support - Transition'!J:J,'Step 2'!D2155,'Support - Transition'!E:E,"STATE UNIT"),SUMIFS('Support - Transition'!F:F,'Support - Transition'!J:J,'Step 2'!D2155))</f>
        <v>0</v>
      </c>
      <c r="J2155" s="126">
        <f>SUMIFS('Support - Unit Adjustments'!E:E,'Support - Unit Adjustments'!F:F,'Step 2'!D2155)</f>
        <v>0</v>
      </c>
      <c r="K2155" s="126">
        <f t="shared" si="631"/>
        <v>0</v>
      </c>
      <c r="L2155" s="174">
        <f>VLOOKUP(A2155,'Step 1'!$A:$E,4,FALSE)</f>
        <v>3345317</v>
      </c>
      <c r="M2155" s="47">
        <f t="shared" si="632"/>
        <v>0</v>
      </c>
      <c r="N2155" s="177">
        <f>SUMIFS('Support - Transition'!G:G,'Support - Transition'!J:J,'Step 2'!D2155,'Support - Transition'!E:E,"2009 WELFARE ALLOCATION FACTOR")</f>
        <v>0</v>
      </c>
      <c r="O2155" s="152">
        <f t="shared" si="637"/>
        <v>0</v>
      </c>
      <c r="P2155" s="126">
        <f>IF(E2155="Y",0,SUMIFS('Support - Transition'!G:G,'Support - Transition'!J:J,'Step 2'!D2155,'Support - Transition'!E:E,"2009 SCHOOL ALLOCATION FACTOR"))</f>
        <v>0</v>
      </c>
      <c r="Q2155" s="126">
        <f>IF(E2155="Y",VLOOKUP(D2155,'Support - Unit Adjustments'!F:G,2,FALSE),0)</f>
        <v>0</v>
      </c>
      <c r="R2155" s="155">
        <f t="shared" si="649"/>
        <v>0</v>
      </c>
      <c r="S2155" s="47">
        <f t="shared" si="648"/>
        <v>0</v>
      </c>
      <c r="T2155" s="151">
        <f t="shared" si="633"/>
        <v>0</v>
      </c>
      <c r="U2155" s="151">
        <f t="shared" si="634"/>
        <v>0</v>
      </c>
      <c r="V2155" s="139">
        <f t="shared" si="635"/>
        <v>0</v>
      </c>
      <c r="W2155" s="152">
        <f t="shared" si="638"/>
        <v>0</v>
      </c>
      <c r="X2155" s="127" t="str">
        <f t="shared" si="636"/>
        <v/>
      </c>
      <c r="Y2155" s="207">
        <f t="shared" si="639"/>
        <v>0</v>
      </c>
      <c r="Z2155" s="139">
        <f t="shared" si="640"/>
        <v>0</v>
      </c>
      <c r="AA2155" s="139">
        <f t="shared" si="641"/>
        <v>0</v>
      </c>
      <c r="AC2155" s="47">
        <f t="shared" si="642"/>
        <v>0</v>
      </c>
      <c r="AD2155" s="47">
        <f t="shared" si="643"/>
        <v>0</v>
      </c>
      <c r="AE2155" s="47">
        <f t="shared" si="644"/>
        <v>0</v>
      </c>
      <c r="AG2155" s="47">
        <f t="shared" si="645"/>
        <v>0</v>
      </c>
      <c r="AH2155" s="47">
        <f t="shared" si="646"/>
        <v>0</v>
      </c>
      <c r="AI2155" s="208">
        <f t="shared" si="647"/>
        <v>0</v>
      </c>
    </row>
    <row r="2156" spans="1:35">
      <c r="A2156" t="s">
        <v>2155</v>
      </c>
      <c r="B2156" t="s">
        <v>3166</v>
      </c>
      <c r="C2156" t="s">
        <v>5661</v>
      </c>
      <c r="D2156" t="s">
        <v>5662</v>
      </c>
      <c r="F2156" t="s">
        <v>1555</v>
      </c>
      <c r="G2156" s="126">
        <f>SUMIFS('Support - Transition'!F:F,'Support - Transition'!B:B,'Step 2'!A2156,'Support - Transition'!C:C,'Step 2'!B2156,'Support - Transition'!D:D,'Step 2'!C2156,'Support - Transition'!E:E,"CIVIL")</f>
        <v>0</v>
      </c>
      <c r="H2156" s="126">
        <f>SUMIFS('Support - Transition'!F:F,'Support - Transition'!B:B,'Step 2'!A2156,'Support - Transition'!C:C,'Step 2'!B2156,'Support - Transition'!D:D,'Step 2'!C2156,'Support - Transition'!E:E,"FIRE")</f>
        <v>0</v>
      </c>
      <c r="I2156" s="126">
        <f>IF(B2156="0",SUMIFS('Support - Transition'!F:F,'Support - Transition'!J:J,'Step 2'!D2156,'Support - Transition'!E:E,"STATE UNIT"),SUMIFS('Support - Transition'!F:F,'Support - Transition'!J:J,'Step 2'!D2156))</f>
        <v>3.6219000000000001E-2</v>
      </c>
      <c r="J2156" s="126">
        <f>SUMIFS('Support - Unit Adjustments'!E:E,'Support - Unit Adjustments'!F:F,'Step 2'!D2156)</f>
        <v>0</v>
      </c>
      <c r="K2156" s="126">
        <f t="shared" si="631"/>
        <v>3.6219000000000001E-2</v>
      </c>
      <c r="L2156" s="174">
        <f>VLOOKUP(A2156,'Step 1'!$A:$E,4,FALSE)</f>
        <v>3345317</v>
      </c>
      <c r="M2156" s="47">
        <f t="shared" si="632"/>
        <v>121164</v>
      </c>
      <c r="N2156" s="177">
        <f>SUMIFS('Support - Transition'!G:G,'Support - Transition'!J:J,'Step 2'!D2156,'Support - Transition'!E:E,"2009 WELFARE ALLOCATION FACTOR")</f>
        <v>0</v>
      </c>
      <c r="O2156" s="152">
        <f t="shared" si="637"/>
        <v>0</v>
      </c>
      <c r="P2156" s="126">
        <f>IF(E2156="Y",0,SUMIFS('Support - Transition'!G:G,'Support - Transition'!J:J,'Step 2'!D2156,'Support - Transition'!E:E,"2009 SCHOOL ALLOCATION FACTOR"))</f>
        <v>0</v>
      </c>
      <c r="Q2156" s="126">
        <f>IF(E2156="Y",VLOOKUP(D2156,'Support - Unit Adjustments'!F:G,2,FALSE),0)</f>
        <v>0</v>
      </c>
      <c r="R2156" s="155">
        <f t="shared" si="649"/>
        <v>0</v>
      </c>
      <c r="S2156" s="47">
        <f t="shared" si="648"/>
        <v>0</v>
      </c>
      <c r="T2156" s="151">
        <f t="shared" si="633"/>
        <v>121164</v>
      </c>
      <c r="U2156" s="151">
        <f t="shared" si="634"/>
        <v>0</v>
      </c>
      <c r="V2156" s="139">
        <f t="shared" si="635"/>
        <v>0</v>
      </c>
      <c r="W2156" s="152">
        <f t="shared" si="638"/>
        <v>121164</v>
      </c>
      <c r="X2156" s="127" t="str">
        <f t="shared" si="636"/>
        <v/>
      </c>
      <c r="Y2156" s="207">
        <f t="shared" si="639"/>
        <v>121164</v>
      </c>
      <c r="Z2156" s="139">
        <f t="shared" si="640"/>
        <v>121164</v>
      </c>
      <c r="AA2156" s="139">
        <f t="shared" si="641"/>
        <v>0</v>
      </c>
      <c r="AC2156" s="47">
        <f t="shared" si="642"/>
        <v>60582</v>
      </c>
      <c r="AD2156" s="47">
        <f t="shared" si="643"/>
        <v>60582</v>
      </c>
      <c r="AE2156" s="47">
        <f t="shared" si="644"/>
        <v>0</v>
      </c>
      <c r="AG2156" s="47">
        <f t="shared" si="645"/>
        <v>60582</v>
      </c>
      <c r="AH2156" s="47">
        <f t="shared" si="646"/>
        <v>60582</v>
      </c>
      <c r="AI2156" s="208">
        <f t="shared" si="647"/>
        <v>0</v>
      </c>
    </row>
    <row r="2157" spans="1:35">
      <c r="A2157" t="s">
        <v>2155</v>
      </c>
      <c r="B2157" t="s">
        <v>3170</v>
      </c>
      <c r="C2157" t="s">
        <v>2266</v>
      </c>
      <c r="D2157" t="s">
        <v>5663</v>
      </c>
      <c r="F2157" t="s">
        <v>4819</v>
      </c>
      <c r="G2157" s="126">
        <f>SUMIFS('Support - Transition'!F:F,'Support - Transition'!B:B,'Step 2'!A2157,'Support - Transition'!C:C,'Step 2'!B2157,'Support - Transition'!D:D,'Step 2'!C2157,'Support - Transition'!E:E,"CIVIL")</f>
        <v>0</v>
      </c>
      <c r="H2157" s="126">
        <f>SUMIFS('Support - Transition'!F:F,'Support - Transition'!B:B,'Step 2'!A2157,'Support - Transition'!C:C,'Step 2'!B2157,'Support - Transition'!D:D,'Step 2'!C2157,'Support - Transition'!E:E,"FIRE")</f>
        <v>0</v>
      </c>
      <c r="I2157" s="126">
        <f>IF(B2157="0",SUMIFS('Support - Transition'!F:F,'Support - Transition'!J:J,'Step 2'!D2157,'Support - Transition'!E:E,"STATE UNIT"),SUMIFS('Support - Transition'!F:F,'Support - Transition'!J:J,'Step 2'!D2157))</f>
        <v>0</v>
      </c>
      <c r="J2157" s="126">
        <f>SUMIFS('Support - Unit Adjustments'!E:E,'Support - Unit Adjustments'!F:F,'Step 2'!D2157)</f>
        <v>0</v>
      </c>
      <c r="K2157" s="126">
        <f t="shared" si="631"/>
        <v>0</v>
      </c>
      <c r="L2157" s="174">
        <f>VLOOKUP(A2157,'Step 1'!$A:$E,4,FALSE)</f>
        <v>3345317</v>
      </c>
      <c r="M2157" s="47">
        <f t="shared" si="632"/>
        <v>0</v>
      </c>
      <c r="N2157" s="177">
        <f>SUMIFS('Support - Transition'!G:G,'Support - Transition'!J:J,'Step 2'!D2157,'Support - Transition'!E:E,"2009 WELFARE ALLOCATION FACTOR")</f>
        <v>0</v>
      </c>
      <c r="O2157" s="152">
        <f t="shared" si="637"/>
        <v>0</v>
      </c>
      <c r="P2157" s="126">
        <f>IF(E2157="Y",0,SUMIFS('Support - Transition'!G:G,'Support - Transition'!J:J,'Step 2'!D2157,'Support - Transition'!E:E,"2009 SCHOOL ALLOCATION FACTOR"))</f>
        <v>0</v>
      </c>
      <c r="Q2157" s="126">
        <f>IF(E2157="Y",VLOOKUP(D2157,'Support - Unit Adjustments'!F:G,2,FALSE),0)</f>
        <v>0</v>
      </c>
      <c r="R2157" s="155">
        <f t="shared" si="649"/>
        <v>0</v>
      </c>
      <c r="S2157" s="47">
        <f t="shared" si="648"/>
        <v>0</v>
      </c>
      <c r="T2157" s="151">
        <f t="shared" si="633"/>
        <v>0</v>
      </c>
      <c r="U2157" s="151">
        <f t="shared" si="634"/>
        <v>0</v>
      </c>
      <c r="V2157" s="139">
        <f t="shared" si="635"/>
        <v>0</v>
      </c>
      <c r="W2157" s="152">
        <f t="shared" si="638"/>
        <v>0</v>
      </c>
      <c r="X2157" s="127" t="str">
        <f t="shared" si="636"/>
        <v/>
      </c>
      <c r="Y2157" s="207">
        <f t="shared" si="639"/>
        <v>0</v>
      </c>
      <c r="Z2157" s="139">
        <f t="shared" si="640"/>
        <v>0</v>
      </c>
      <c r="AA2157" s="139">
        <f t="shared" si="641"/>
        <v>0</v>
      </c>
      <c r="AC2157" s="47">
        <f t="shared" si="642"/>
        <v>0</v>
      </c>
      <c r="AD2157" s="47">
        <f t="shared" si="643"/>
        <v>0</v>
      </c>
      <c r="AE2157" s="47">
        <f t="shared" si="644"/>
        <v>0</v>
      </c>
      <c r="AG2157" s="47">
        <f t="shared" si="645"/>
        <v>0</v>
      </c>
      <c r="AH2157" s="47">
        <f t="shared" si="646"/>
        <v>0</v>
      </c>
      <c r="AI2157" s="208">
        <f t="shared" si="647"/>
        <v>0</v>
      </c>
    </row>
    <row r="2158" spans="1:35">
      <c r="A2158" t="s">
        <v>2155</v>
      </c>
      <c r="B2158" t="s">
        <v>3170</v>
      </c>
      <c r="C2158" t="s">
        <v>2995</v>
      </c>
      <c r="D2158" t="s">
        <v>5664</v>
      </c>
      <c r="F2158" t="s">
        <v>1560</v>
      </c>
      <c r="G2158" s="126">
        <f>SUMIFS('Support - Transition'!F:F,'Support - Transition'!B:B,'Step 2'!A2158,'Support - Transition'!C:C,'Step 2'!B2158,'Support - Transition'!D:D,'Step 2'!C2158,'Support - Transition'!E:E,"CIVIL")</f>
        <v>0</v>
      </c>
      <c r="H2158" s="126">
        <f>SUMIFS('Support - Transition'!F:F,'Support - Transition'!B:B,'Step 2'!A2158,'Support - Transition'!C:C,'Step 2'!B2158,'Support - Transition'!D:D,'Step 2'!C2158,'Support - Transition'!E:E,"FIRE")</f>
        <v>0</v>
      </c>
      <c r="I2158" s="126">
        <f>IF(B2158="0",SUMIFS('Support - Transition'!F:F,'Support - Transition'!J:J,'Step 2'!D2158,'Support - Transition'!E:E,"STATE UNIT"),SUMIFS('Support - Transition'!F:F,'Support - Transition'!J:J,'Step 2'!D2158))</f>
        <v>8.0989999999999673E-3</v>
      </c>
      <c r="J2158" s="126">
        <f>SUMIFS('Support - Unit Adjustments'!E:E,'Support - Unit Adjustments'!F:F,'Step 2'!D2158)</f>
        <v>0</v>
      </c>
      <c r="K2158" s="126">
        <f t="shared" si="631"/>
        <v>8.0989999999999673E-3</v>
      </c>
      <c r="L2158" s="174">
        <f>VLOOKUP(A2158,'Step 1'!$A:$E,4,FALSE)</f>
        <v>3345317</v>
      </c>
      <c r="M2158" s="47">
        <f t="shared" si="632"/>
        <v>27094</v>
      </c>
      <c r="N2158" s="177">
        <f>SUMIFS('Support - Transition'!G:G,'Support - Transition'!J:J,'Step 2'!D2158,'Support - Transition'!E:E,"2009 WELFARE ALLOCATION FACTOR")</f>
        <v>0</v>
      </c>
      <c r="O2158" s="152">
        <f t="shared" si="637"/>
        <v>0</v>
      </c>
      <c r="P2158" s="126">
        <f>IF(E2158="Y",0,SUMIFS('Support - Transition'!G:G,'Support - Transition'!J:J,'Step 2'!D2158,'Support - Transition'!E:E,"2009 SCHOOL ALLOCATION FACTOR"))</f>
        <v>0</v>
      </c>
      <c r="Q2158" s="126">
        <f>IF(E2158="Y",VLOOKUP(D2158,'Support - Unit Adjustments'!F:G,2,FALSE),0)</f>
        <v>0</v>
      </c>
      <c r="R2158" s="155">
        <f t="shared" si="649"/>
        <v>0</v>
      </c>
      <c r="S2158" s="47">
        <f t="shared" si="648"/>
        <v>0</v>
      </c>
      <c r="T2158" s="151">
        <f t="shared" si="633"/>
        <v>27094</v>
      </c>
      <c r="U2158" s="151">
        <f t="shared" si="634"/>
        <v>0</v>
      </c>
      <c r="V2158" s="139">
        <f t="shared" si="635"/>
        <v>0</v>
      </c>
      <c r="W2158" s="152">
        <f t="shared" si="638"/>
        <v>27094</v>
      </c>
      <c r="X2158" s="127" t="str">
        <f t="shared" si="636"/>
        <v/>
      </c>
      <c r="Y2158" s="207">
        <f t="shared" si="639"/>
        <v>27094</v>
      </c>
      <c r="Z2158" s="139">
        <f t="shared" si="640"/>
        <v>27094</v>
      </c>
      <c r="AA2158" s="139">
        <f t="shared" si="641"/>
        <v>0</v>
      </c>
      <c r="AC2158" s="47">
        <f t="shared" si="642"/>
        <v>13547</v>
      </c>
      <c r="AD2158" s="47">
        <f t="shared" si="643"/>
        <v>13547</v>
      </c>
      <c r="AE2158" s="47">
        <f t="shared" si="644"/>
        <v>0</v>
      </c>
      <c r="AG2158" s="47">
        <f t="shared" si="645"/>
        <v>13547</v>
      </c>
      <c r="AH2158" s="47">
        <f t="shared" si="646"/>
        <v>13547</v>
      </c>
      <c r="AI2158" s="208">
        <f t="shared" si="647"/>
        <v>0</v>
      </c>
    </row>
    <row r="2159" spans="1:35">
      <c r="A2159" t="s">
        <v>2155</v>
      </c>
      <c r="B2159" t="s">
        <v>3170</v>
      </c>
      <c r="C2159" t="s">
        <v>2996</v>
      </c>
      <c r="D2159" t="s">
        <v>5665</v>
      </c>
      <c r="F2159" t="s">
        <v>1557</v>
      </c>
      <c r="G2159" s="126">
        <f>SUMIFS('Support - Transition'!F:F,'Support - Transition'!B:B,'Step 2'!A2159,'Support - Transition'!C:C,'Step 2'!B2159,'Support - Transition'!D:D,'Step 2'!C2159,'Support - Transition'!E:E,"CIVIL")</f>
        <v>0</v>
      </c>
      <c r="H2159" s="126">
        <f>SUMIFS('Support - Transition'!F:F,'Support - Transition'!B:B,'Step 2'!A2159,'Support - Transition'!C:C,'Step 2'!B2159,'Support - Transition'!D:D,'Step 2'!C2159,'Support - Transition'!E:E,"FIRE")</f>
        <v>0</v>
      </c>
      <c r="I2159" s="126">
        <f>IF(B2159="0",SUMIFS('Support - Transition'!F:F,'Support - Transition'!J:J,'Step 2'!D2159,'Support - Transition'!E:E,"STATE UNIT"),SUMIFS('Support - Transition'!F:F,'Support - Transition'!J:J,'Step 2'!D2159))</f>
        <v>1.2841E-2</v>
      </c>
      <c r="J2159" s="126">
        <f>SUMIFS('Support - Unit Adjustments'!E:E,'Support - Unit Adjustments'!F:F,'Step 2'!D2159)</f>
        <v>0</v>
      </c>
      <c r="K2159" s="126">
        <f t="shared" si="631"/>
        <v>1.2841E-2</v>
      </c>
      <c r="L2159" s="174">
        <f>VLOOKUP(A2159,'Step 1'!$A:$E,4,FALSE)</f>
        <v>3345317</v>
      </c>
      <c r="M2159" s="47">
        <f t="shared" si="632"/>
        <v>42957</v>
      </c>
      <c r="N2159" s="177">
        <f>SUMIFS('Support - Transition'!G:G,'Support - Transition'!J:J,'Step 2'!D2159,'Support - Transition'!E:E,"2009 WELFARE ALLOCATION FACTOR")</f>
        <v>0</v>
      </c>
      <c r="O2159" s="152">
        <f t="shared" si="637"/>
        <v>0</v>
      </c>
      <c r="P2159" s="126">
        <f>IF(E2159="Y",0,SUMIFS('Support - Transition'!G:G,'Support - Transition'!J:J,'Step 2'!D2159,'Support - Transition'!E:E,"2009 SCHOOL ALLOCATION FACTOR"))</f>
        <v>0</v>
      </c>
      <c r="Q2159" s="126">
        <f>IF(E2159="Y",VLOOKUP(D2159,'Support - Unit Adjustments'!F:G,2,FALSE),0)</f>
        <v>0</v>
      </c>
      <c r="R2159" s="155">
        <f t="shared" si="649"/>
        <v>0</v>
      </c>
      <c r="S2159" s="47">
        <f t="shared" si="648"/>
        <v>0</v>
      </c>
      <c r="T2159" s="151">
        <f t="shared" si="633"/>
        <v>42957</v>
      </c>
      <c r="U2159" s="151">
        <f t="shared" si="634"/>
        <v>0</v>
      </c>
      <c r="V2159" s="139">
        <f t="shared" si="635"/>
        <v>0</v>
      </c>
      <c r="W2159" s="152">
        <f t="shared" si="638"/>
        <v>42957</v>
      </c>
      <c r="X2159" s="127" t="str">
        <f t="shared" si="636"/>
        <v/>
      </c>
      <c r="Y2159" s="207">
        <f t="shared" si="639"/>
        <v>42957</v>
      </c>
      <c r="Z2159" s="139">
        <f t="shared" si="640"/>
        <v>42957</v>
      </c>
      <c r="AA2159" s="139">
        <f t="shared" si="641"/>
        <v>0</v>
      </c>
      <c r="AC2159" s="47">
        <f t="shared" si="642"/>
        <v>21479</v>
      </c>
      <c r="AD2159" s="47">
        <f t="shared" si="643"/>
        <v>21479</v>
      </c>
      <c r="AE2159" s="47">
        <f t="shared" si="644"/>
        <v>0</v>
      </c>
      <c r="AG2159" s="47">
        <f t="shared" si="645"/>
        <v>21478</v>
      </c>
      <c r="AH2159" s="47">
        <f t="shared" si="646"/>
        <v>21478</v>
      </c>
      <c r="AI2159" s="208">
        <f t="shared" si="647"/>
        <v>0</v>
      </c>
    </row>
    <row r="2160" spans="1:35">
      <c r="A2160" t="s">
        <v>2155</v>
      </c>
      <c r="B2160" t="s">
        <v>3170</v>
      </c>
      <c r="C2160" t="s">
        <v>5666</v>
      </c>
      <c r="D2160" t="s">
        <v>5667</v>
      </c>
      <c r="F2160" t="s">
        <v>5668</v>
      </c>
      <c r="G2160" s="126">
        <f>SUMIFS('Support - Transition'!F:F,'Support - Transition'!B:B,'Step 2'!A2160,'Support - Transition'!C:C,'Step 2'!B2160,'Support - Transition'!D:D,'Step 2'!C2160,'Support - Transition'!E:E,"CIVIL")</f>
        <v>0</v>
      </c>
      <c r="H2160" s="126">
        <f>SUMIFS('Support - Transition'!F:F,'Support - Transition'!B:B,'Step 2'!A2160,'Support - Transition'!C:C,'Step 2'!B2160,'Support - Transition'!D:D,'Step 2'!C2160,'Support - Transition'!E:E,"FIRE")</f>
        <v>0</v>
      </c>
      <c r="I2160" s="126">
        <f>IF(B2160="0",SUMIFS('Support - Transition'!F:F,'Support - Transition'!J:J,'Step 2'!D2160,'Support - Transition'!E:E,"STATE UNIT"),SUMIFS('Support - Transition'!F:F,'Support - Transition'!J:J,'Step 2'!D2160))</f>
        <v>0</v>
      </c>
      <c r="J2160" s="126">
        <f>SUMIFS('Support - Unit Adjustments'!E:E,'Support - Unit Adjustments'!F:F,'Step 2'!D2160)</f>
        <v>0</v>
      </c>
      <c r="K2160" s="126">
        <f t="shared" si="631"/>
        <v>0</v>
      </c>
      <c r="L2160" s="174">
        <f>VLOOKUP(A2160,'Step 1'!$A:$E,4,FALSE)</f>
        <v>3345317</v>
      </c>
      <c r="M2160" s="47">
        <f t="shared" si="632"/>
        <v>0</v>
      </c>
      <c r="N2160" s="177">
        <f>SUMIFS('Support - Transition'!G:G,'Support - Transition'!J:J,'Step 2'!D2160,'Support - Transition'!E:E,"2009 WELFARE ALLOCATION FACTOR")</f>
        <v>0</v>
      </c>
      <c r="O2160" s="152">
        <f t="shared" si="637"/>
        <v>0</v>
      </c>
      <c r="P2160" s="126">
        <f>IF(E2160="Y",0,SUMIFS('Support - Transition'!G:G,'Support - Transition'!J:J,'Step 2'!D2160,'Support - Transition'!E:E,"2009 SCHOOL ALLOCATION FACTOR"))</f>
        <v>0</v>
      </c>
      <c r="Q2160" s="126">
        <f>IF(E2160="Y",VLOOKUP(D2160,'Support - Unit Adjustments'!F:G,2,FALSE),0)</f>
        <v>0</v>
      </c>
      <c r="R2160" s="155">
        <f t="shared" si="649"/>
        <v>0</v>
      </c>
      <c r="S2160" s="47">
        <f t="shared" si="648"/>
        <v>0</v>
      </c>
      <c r="T2160" s="151">
        <f t="shared" si="633"/>
        <v>0</v>
      </c>
      <c r="U2160" s="151">
        <f t="shared" si="634"/>
        <v>0</v>
      </c>
      <c r="V2160" s="139">
        <f t="shared" si="635"/>
        <v>0</v>
      </c>
      <c r="W2160" s="152">
        <f t="shared" si="638"/>
        <v>0</v>
      </c>
      <c r="X2160" s="127" t="str">
        <f t="shared" si="636"/>
        <v/>
      </c>
      <c r="Y2160" s="207">
        <f t="shared" si="639"/>
        <v>0</v>
      </c>
      <c r="Z2160" s="139">
        <f t="shared" si="640"/>
        <v>0</v>
      </c>
      <c r="AA2160" s="139">
        <f t="shared" si="641"/>
        <v>0</v>
      </c>
      <c r="AC2160" s="47">
        <f t="shared" si="642"/>
        <v>0</v>
      </c>
      <c r="AD2160" s="47">
        <f t="shared" si="643"/>
        <v>0</v>
      </c>
      <c r="AE2160" s="47">
        <f t="shared" si="644"/>
        <v>0</v>
      </c>
      <c r="AG2160" s="47">
        <f t="shared" si="645"/>
        <v>0</v>
      </c>
      <c r="AH2160" s="47">
        <f t="shared" si="646"/>
        <v>0</v>
      </c>
      <c r="AI2160" s="208">
        <f t="shared" si="647"/>
        <v>0</v>
      </c>
    </row>
    <row r="2161" spans="1:35">
      <c r="A2161" t="s">
        <v>2156</v>
      </c>
      <c r="B2161" s="48" t="s">
        <v>6274</v>
      </c>
      <c r="C2161" t="s">
        <v>2187</v>
      </c>
      <c r="D2161" t="str">
        <f>A2161&amp;B2161&amp;C2161</f>
        <v>7200000</v>
      </c>
      <c r="F2161" t="s">
        <v>6346</v>
      </c>
      <c r="G2161" s="126">
        <f>SUMIFS('Support - Transition'!F:F,'Support - Transition'!B:B,'Step 2'!A2161,'Support - Transition'!C:C,'Step 2'!B2161,'Support - Transition'!D:D,'Step 2'!C2161,'Support - Transition'!E:E,"CIVIL")</f>
        <v>0</v>
      </c>
      <c r="H2161" s="126">
        <f>SUMIFS('Support - Transition'!F:F,'Support - Transition'!B:B,'Step 2'!A2161,'Support - Transition'!C:C,'Step 2'!B2161,'Support - Transition'!D:D,'Step 2'!C2161,'Support - Transition'!E:E,"FIRE")</f>
        <v>0</v>
      </c>
      <c r="I2161" s="126">
        <f>IF(B2161="0",SUMIFS('Support - Transition'!F:F,'Support - Transition'!J:J,'Step 2'!D2161,'Support - Transition'!E:E,"STATE UNIT"),SUMIFS('Support - Transition'!F:F,'Support - Transition'!J:J,'Step 2'!D2161))</f>
        <v>1.1529999999999999E-3</v>
      </c>
      <c r="J2161" s="126">
        <f>SUMIFS('Support - Unit Adjustments'!E:E,'Support - Unit Adjustments'!F:F,'Step 2'!D2161)</f>
        <v>0</v>
      </c>
      <c r="K2161" s="126">
        <f t="shared" si="631"/>
        <v>1.1529999999999999E-3</v>
      </c>
      <c r="L2161" s="174">
        <f>VLOOKUP(A2161,'Step 1'!$A:$E,4,FALSE)</f>
        <v>84568</v>
      </c>
      <c r="M2161" s="47">
        <f t="shared" si="632"/>
        <v>98</v>
      </c>
      <c r="N2161" s="177">
        <f>SUMIFS('Support - Transition'!G:G,'Support - Transition'!J:J,'Step 2'!D2161,'Support - Transition'!E:E,"2009 WELFARE ALLOCATION FACTOR")</f>
        <v>0</v>
      </c>
      <c r="O2161" s="152">
        <f t="shared" si="637"/>
        <v>0</v>
      </c>
      <c r="P2161" s="126">
        <f>IF(E2161="Y",0,SUMIFS('Support - Transition'!G:G,'Support - Transition'!J:J,'Step 2'!D2161,'Support - Transition'!E:E,"2009 SCHOOL ALLOCATION FACTOR"))</f>
        <v>0</v>
      </c>
      <c r="Q2161" s="126">
        <f>IF(E2161="Y",VLOOKUP(D2161,'Support - Unit Adjustments'!F:G,2,FALSE),0)</f>
        <v>0</v>
      </c>
      <c r="R2161" s="155">
        <f t="shared" si="649"/>
        <v>0</v>
      </c>
      <c r="S2161" s="47">
        <f t="shared" si="648"/>
        <v>0</v>
      </c>
      <c r="T2161" s="151">
        <f t="shared" si="633"/>
        <v>98</v>
      </c>
      <c r="U2161" s="151">
        <f t="shared" si="634"/>
        <v>84568</v>
      </c>
      <c r="V2161" s="139">
        <f t="shared" si="635"/>
        <v>0</v>
      </c>
      <c r="W2161" s="152">
        <f t="shared" si="638"/>
        <v>98</v>
      </c>
      <c r="X2161" s="127">
        <f t="shared" si="636"/>
        <v>0</v>
      </c>
      <c r="Y2161" s="207">
        <f t="shared" si="639"/>
        <v>98</v>
      </c>
      <c r="Z2161" s="139">
        <f t="shared" si="640"/>
        <v>98</v>
      </c>
      <c r="AA2161" s="139">
        <f t="shared" si="641"/>
        <v>0</v>
      </c>
      <c r="AC2161" s="47">
        <f t="shared" si="642"/>
        <v>49</v>
      </c>
      <c r="AD2161" s="47">
        <f t="shared" si="643"/>
        <v>49</v>
      </c>
      <c r="AE2161" s="47">
        <f t="shared" si="644"/>
        <v>0</v>
      </c>
      <c r="AG2161" s="47">
        <f t="shared" si="645"/>
        <v>49</v>
      </c>
      <c r="AH2161" s="47">
        <f t="shared" si="646"/>
        <v>49</v>
      </c>
      <c r="AI2161" s="208">
        <f t="shared" si="647"/>
        <v>0</v>
      </c>
    </row>
    <row r="2162" spans="1:35">
      <c r="A2162" t="s">
        <v>2156</v>
      </c>
      <c r="B2162" t="s">
        <v>3140</v>
      </c>
      <c r="C2162" t="s">
        <v>2187</v>
      </c>
      <c r="D2162" t="s">
        <v>5669</v>
      </c>
      <c r="F2162" t="s">
        <v>1562</v>
      </c>
      <c r="G2162" s="126">
        <f>SUMIFS('Support - Transition'!F:F,'Support - Transition'!B:B,'Step 2'!A2162,'Support - Transition'!C:C,'Step 2'!B2162,'Support - Transition'!D:D,'Step 2'!C2162,'Support - Transition'!E:E,"CIVIL")</f>
        <v>0</v>
      </c>
      <c r="H2162" s="126">
        <f>SUMIFS('Support - Transition'!F:F,'Support - Transition'!B:B,'Step 2'!A2162,'Support - Transition'!C:C,'Step 2'!B2162,'Support - Transition'!D:D,'Step 2'!C2162,'Support - Transition'!E:E,"FIRE")</f>
        <v>0</v>
      </c>
      <c r="I2162" s="126">
        <f>IF(B2162="0",SUMIFS('Support - Transition'!F:F,'Support - Transition'!J:J,'Step 2'!D2162,'Support - Transition'!E:E,"STATE UNIT"),SUMIFS('Support - Transition'!F:F,'Support - Transition'!J:J,'Step 2'!D2162))</f>
        <v>0.22503000000000001</v>
      </c>
      <c r="J2162" s="126">
        <f>SUMIFS('Support - Unit Adjustments'!E:E,'Support - Unit Adjustments'!F:F,'Step 2'!D2162)</f>
        <v>0</v>
      </c>
      <c r="K2162" s="126">
        <f t="shared" si="631"/>
        <v>0.22503000000000001</v>
      </c>
      <c r="L2162" s="174">
        <f>VLOOKUP(A2162,'Step 1'!$A:$E,4,FALSE)</f>
        <v>84568</v>
      </c>
      <c r="M2162" s="47">
        <f t="shared" si="632"/>
        <v>19030</v>
      </c>
      <c r="N2162" s="177">
        <f>SUMIFS('Support - Transition'!G:G,'Support - Transition'!J:J,'Step 2'!D2162,'Support - Transition'!E:E,"2009 WELFARE ALLOCATION FACTOR")</f>
        <v>0.20042199999999999</v>
      </c>
      <c r="O2162" s="152">
        <f t="shared" si="637"/>
        <v>3814</v>
      </c>
      <c r="P2162" s="126">
        <f>IF(E2162="Y",0,SUMIFS('Support - Transition'!G:G,'Support - Transition'!J:J,'Step 2'!D2162,'Support - Transition'!E:E,"2009 SCHOOL ALLOCATION FACTOR"))</f>
        <v>0</v>
      </c>
      <c r="Q2162" s="126">
        <f>IF(E2162="Y",VLOOKUP(D2162,'Support - Unit Adjustments'!F:G,2,FALSE),0)</f>
        <v>0</v>
      </c>
      <c r="R2162" s="155">
        <f t="shared" si="649"/>
        <v>0</v>
      </c>
      <c r="S2162" s="47">
        <f t="shared" si="648"/>
        <v>0</v>
      </c>
      <c r="T2162" s="151">
        <f t="shared" si="633"/>
        <v>15216</v>
      </c>
      <c r="U2162" s="151">
        <f t="shared" si="634"/>
        <v>0</v>
      </c>
      <c r="V2162" s="139">
        <f t="shared" si="635"/>
        <v>0</v>
      </c>
      <c r="W2162" s="152">
        <f t="shared" si="638"/>
        <v>15216</v>
      </c>
      <c r="X2162" s="127" t="str">
        <f t="shared" si="636"/>
        <v/>
      </c>
      <c r="Y2162" s="207">
        <f t="shared" si="639"/>
        <v>15216</v>
      </c>
      <c r="Z2162" s="139">
        <f t="shared" si="640"/>
        <v>15216</v>
      </c>
      <c r="AA2162" s="139">
        <f t="shared" si="641"/>
        <v>0</v>
      </c>
      <c r="AC2162" s="47">
        <f t="shared" si="642"/>
        <v>7608</v>
      </c>
      <c r="AD2162" s="47">
        <f t="shared" si="643"/>
        <v>7608</v>
      </c>
      <c r="AE2162" s="47">
        <f t="shared" si="644"/>
        <v>0</v>
      </c>
      <c r="AG2162" s="47">
        <f t="shared" si="645"/>
        <v>7608</v>
      </c>
      <c r="AH2162" s="47">
        <f t="shared" si="646"/>
        <v>7608</v>
      </c>
      <c r="AI2162" s="208">
        <f t="shared" si="647"/>
        <v>0</v>
      </c>
    </row>
    <row r="2163" spans="1:35">
      <c r="A2163" t="s">
        <v>2156</v>
      </c>
      <c r="B2163" t="s">
        <v>3142</v>
      </c>
      <c r="C2163" t="s">
        <v>2188</v>
      </c>
      <c r="D2163" t="s">
        <v>5670</v>
      </c>
      <c r="F2163" t="s">
        <v>1563</v>
      </c>
      <c r="G2163" s="126">
        <f>SUMIFS('Support - Transition'!F:F,'Support - Transition'!B:B,'Step 2'!A2163,'Support - Transition'!C:C,'Step 2'!B2163,'Support - Transition'!D:D,'Step 2'!C2163,'Support - Transition'!E:E,"CIVIL")</f>
        <v>1.024E-3</v>
      </c>
      <c r="H2163" s="126">
        <f>SUMIFS('Support - Transition'!F:F,'Support - Transition'!B:B,'Step 2'!A2163,'Support - Transition'!C:C,'Step 2'!B2163,'Support - Transition'!D:D,'Step 2'!C2163,'Support - Transition'!E:E,"FIRE")</f>
        <v>4.5300000000000001E-4</v>
      </c>
      <c r="I2163" s="126">
        <f>IF(B2163="0",SUMIFS('Support - Transition'!F:F,'Support - Transition'!J:J,'Step 2'!D2163,'Support - Transition'!E:E,"STATE UNIT"),SUMIFS('Support - Transition'!F:F,'Support - Transition'!J:J,'Step 2'!D2163))</f>
        <v>1.477E-3</v>
      </c>
      <c r="J2163" s="126">
        <f>SUMIFS('Support - Unit Adjustments'!E:E,'Support - Unit Adjustments'!F:F,'Step 2'!D2163)</f>
        <v>0</v>
      </c>
      <c r="K2163" s="126">
        <f t="shared" si="631"/>
        <v>1.477E-3</v>
      </c>
      <c r="L2163" s="174">
        <f>VLOOKUP(A2163,'Step 1'!$A:$E,4,FALSE)</f>
        <v>84568</v>
      </c>
      <c r="M2163" s="47">
        <f t="shared" si="632"/>
        <v>125</v>
      </c>
      <c r="N2163" s="177">
        <f>SUMIFS('Support - Transition'!G:G,'Support - Transition'!J:J,'Step 2'!D2163,'Support - Transition'!E:E,"2009 WELFARE ALLOCATION FACTOR")</f>
        <v>0</v>
      </c>
      <c r="O2163" s="152">
        <f t="shared" si="637"/>
        <v>0</v>
      </c>
      <c r="P2163" s="126">
        <f>IF(E2163="Y",0,SUMIFS('Support - Transition'!G:G,'Support - Transition'!J:J,'Step 2'!D2163,'Support - Transition'!E:E,"2009 SCHOOL ALLOCATION FACTOR"))</f>
        <v>0</v>
      </c>
      <c r="Q2163" s="126">
        <f>IF(E2163="Y",VLOOKUP(D2163,'Support - Unit Adjustments'!F:G,2,FALSE),0)</f>
        <v>0</v>
      </c>
      <c r="R2163" s="155">
        <f t="shared" si="649"/>
        <v>0</v>
      </c>
      <c r="S2163" s="47">
        <f t="shared" si="648"/>
        <v>0</v>
      </c>
      <c r="T2163" s="151">
        <f t="shared" si="633"/>
        <v>125</v>
      </c>
      <c r="U2163" s="151">
        <f t="shared" si="634"/>
        <v>0</v>
      </c>
      <c r="V2163" s="139">
        <f t="shared" si="635"/>
        <v>0</v>
      </c>
      <c r="W2163" s="152">
        <f t="shared" si="638"/>
        <v>125</v>
      </c>
      <c r="X2163" s="127" t="str">
        <f t="shared" si="636"/>
        <v/>
      </c>
      <c r="Y2163" s="207">
        <f t="shared" si="639"/>
        <v>125</v>
      </c>
      <c r="Z2163" s="139">
        <f t="shared" si="640"/>
        <v>87</v>
      </c>
      <c r="AA2163" s="139">
        <f t="shared" si="641"/>
        <v>38</v>
      </c>
      <c r="AC2163" s="47">
        <f t="shared" si="642"/>
        <v>63</v>
      </c>
      <c r="AD2163" s="47">
        <f t="shared" si="643"/>
        <v>44</v>
      </c>
      <c r="AE2163" s="47">
        <f t="shared" si="644"/>
        <v>19</v>
      </c>
      <c r="AG2163" s="47">
        <f t="shared" si="645"/>
        <v>62</v>
      </c>
      <c r="AH2163" s="47">
        <f t="shared" si="646"/>
        <v>43</v>
      </c>
      <c r="AI2163" s="208">
        <f t="shared" si="647"/>
        <v>19</v>
      </c>
    </row>
    <row r="2164" spans="1:35">
      <c r="A2164" t="s">
        <v>2156</v>
      </c>
      <c r="B2164" t="s">
        <v>3142</v>
      </c>
      <c r="C2164" t="s">
        <v>2189</v>
      </c>
      <c r="D2164" t="s">
        <v>5671</v>
      </c>
      <c r="F2164" t="s">
        <v>291</v>
      </c>
      <c r="G2164" s="126">
        <f>SUMIFS('Support - Transition'!F:F,'Support - Transition'!B:B,'Step 2'!A2164,'Support - Transition'!C:C,'Step 2'!B2164,'Support - Transition'!D:D,'Step 2'!C2164,'Support - Transition'!E:E,"CIVIL")</f>
        <v>2.6830000000000001E-3</v>
      </c>
      <c r="H2164" s="126">
        <f>SUMIFS('Support - Transition'!F:F,'Support - Transition'!B:B,'Step 2'!A2164,'Support - Transition'!C:C,'Step 2'!B2164,'Support - Transition'!D:D,'Step 2'!C2164,'Support - Transition'!E:E,"FIRE")</f>
        <v>1.0349999999999999E-3</v>
      </c>
      <c r="I2164" s="126">
        <f>IF(B2164="0",SUMIFS('Support - Transition'!F:F,'Support - Transition'!J:J,'Step 2'!D2164,'Support - Transition'!E:E,"STATE UNIT"),SUMIFS('Support - Transition'!F:F,'Support - Transition'!J:J,'Step 2'!D2164))</f>
        <v>3.718E-3</v>
      </c>
      <c r="J2164" s="126">
        <f>SUMIFS('Support - Unit Adjustments'!E:E,'Support - Unit Adjustments'!F:F,'Step 2'!D2164)</f>
        <v>0</v>
      </c>
      <c r="K2164" s="126">
        <f t="shared" si="631"/>
        <v>3.718E-3</v>
      </c>
      <c r="L2164" s="174">
        <f>VLOOKUP(A2164,'Step 1'!$A:$E,4,FALSE)</f>
        <v>84568</v>
      </c>
      <c r="M2164" s="47">
        <f t="shared" si="632"/>
        <v>314</v>
      </c>
      <c r="N2164" s="177">
        <f>SUMIFS('Support - Transition'!G:G,'Support - Transition'!J:J,'Step 2'!D2164,'Support - Transition'!E:E,"2009 WELFARE ALLOCATION FACTOR")</f>
        <v>0</v>
      </c>
      <c r="O2164" s="152">
        <f t="shared" si="637"/>
        <v>0</v>
      </c>
      <c r="P2164" s="126">
        <f>IF(E2164="Y",0,SUMIFS('Support - Transition'!G:G,'Support - Transition'!J:J,'Step 2'!D2164,'Support - Transition'!E:E,"2009 SCHOOL ALLOCATION FACTOR"))</f>
        <v>0</v>
      </c>
      <c r="Q2164" s="126">
        <f>IF(E2164="Y",VLOOKUP(D2164,'Support - Unit Adjustments'!F:G,2,FALSE),0)</f>
        <v>0</v>
      </c>
      <c r="R2164" s="155">
        <f t="shared" si="649"/>
        <v>0</v>
      </c>
      <c r="S2164" s="47">
        <f t="shared" si="648"/>
        <v>0</v>
      </c>
      <c r="T2164" s="151">
        <f t="shared" si="633"/>
        <v>314</v>
      </c>
      <c r="U2164" s="151">
        <f t="shared" si="634"/>
        <v>0</v>
      </c>
      <c r="V2164" s="139">
        <f t="shared" si="635"/>
        <v>0</v>
      </c>
      <c r="W2164" s="152">
        <f t="shared" si="638"/>
        <v>314</v>
      </c>
      <c r="X2164" s="127" t="str">
        <f t="shared" si="636"/>
        <v/>
      </c>
      <c r="Y2164" s="207">
        <f t="shared" si="639"/>
        <v>314</v>
      </c>
      <c r="Z2164" s="139">
        <f t="shared" si="640"/>
        <v>227</v>
      </c>
      <c r="AA2164" s="139">
        <f t="shared" si="641"/>
        <v>87</v>
      </c>
      <c r="AC2164" s="47">
        <f t="shared" si="642"/>
        <v>157</v>
      </c>
      <c r="AD2164" s="47">
        <f t="shared" si="643"/>
        <v>114</v>
      </c>
      <c r="AE2164" s="47">
        <f t="shared" si="644"/>
        <v>44</v>
      </c>
      <c r="AG2164" s="47">
        <f t="shared" si="645"/>
        <v>157</v>
      </c>
      <c r="AH2164" s="47">
        <f t="shared" si="646"/>
        <v>113</v>
      </c>
      <c r="AI2164" s="208">
        <f t="shared" si="647"/>
        <v>43</v>
      </c>
    </row>
    <row r="2165" spans="1:35">
      <c r="A2165" t="s">
        <v>2156</v>
      </c>
      <c r="B2165" t="s">
        <v>3142</v>
      </c>
      <c r="C2165" t="s">
        <v>2190</v>
      </c>
      <c r="D2165" t="s">
        <v>5672</v>
      </c>
      <c r="F2165" t="s">
        <v>268</v>
      </c>
      <c r="G2165" s="126">
        <f>SUMIFS('Support - Transition'!F:F,'Support - Transition'!B:B,'Step 2'!A2165,'Support - Transition'!C:C,'Step 2'!B2165,'Support - Transition'!D:D,'Step 2'!C2165,'Support - Transition'!E:E,"CIVIL")</f>
        <v>3.5239999999999998E-3</v>
      </c>
      <c r="H2165" s="126">
        <f>SUMIFS('Support - Transition'!F:F,'Support - Transition'!B:B,'Step 2'!A2165,'Support - Transition'!C:C,'Step 2'!B2165,'Support - Transition'!D:D,'Step 2'!C2165,'Support - Transition'!E:E,"FIRE")</f>
        <v>2.5110000000000002E-3</v>
      </c>
      <c r="I2165" s="126">
        <f>IF(B2165="0",SUMIFS('Support - Transition'!F:F,'Support - Transition'!J:J,'Step 2'!D2165,'Support - Transition'!E:E,"STATE UNIT"),SUMIFS('Support - Transition'!F:F,'Support - Transition'!J:J,'Step 2'!D2165))</f>
        <v>6.0350000000000004E-3</v>
      </c>
      <c r="J2165" s="126">
        <f>SUMIFS('Support - Unit Adjustments'!E:E,'Support - Unit Adjustments'!F:F,'Step 2'!D2165)</f>
        <v>0</v>
      </c>
      <c r="K2165" s="126">
        <f t="shared" si="631"/>
        <v>6.0350000000000004E-3</v>
      </c>
      <c r="L2165" s="174">
        <f>VLOOKUP(A2165,'Step 1'!$A:$E,4,FALSE)</f>
        <v>84568</v>
      </c>
      <c r="M2165" s="47">
        <f t="shared" si="632"/>
        <v>510</v>
      </c>
      <c r="N2165" s="177">
        <f>SUMIFS('Support - Transition'!G:G,'Support - Transition'!J:J,'Step 2'!D2165,'Support - Transition'!E:E,"2009 WELFARE ALLOCATION FACTOR")</f>
        <v>0</v>
      </c>
      <c r="O2165" s="152">
        <f t="shared" si="637"/>
        <v>0</v>
      </c>
      <c r="P2165" s="126">
        <f>IF(E2165="Y",0,SUMIFS('Support - Transition'!G:G,'Support - Transition'!J:J,'Step 2'!D2165,'Support - Transition'!E:E,"2009 SCHOOL ALLOCATION FACTOR"))</f>
        <v>0</v>
      </c>
      <c r="Q2165" s="126">
        <f>IF(E2165="Y",VLOOKUP(D2165,'Support - Unit Adjustments'!F:G,2,FALSE),0)</f>
        <v>0</v>
      </c>
      <c r="R2165" s="155">
        <f t="shared" si="649"/>
        <v>0</v>
      </c>
      <c r="S2165" s="47">
        <f t="shared" si="648"/>
        <v>0</v>
      </c>
      <c r="T2165" s="151">
        <f t="shared" si="633"/>
        <v>510</v>
      </c>
      <c r="U2165" s="151">
        <f t="shared" si="634"/>
        <v>0</v>
      </c>
      <c r="V2165" s="139">
        <f t="shared" si="635"/>
        <v>0</v>
      </c>
      <c r="W2165" s="152">
        <f t="shared" si="638"/>
        <v>510</v>
      </c>
      <c r="X2165" s="127" t="str">
        <f t="shared" si="636"/>
        <v/>
      </c>
      <c r="Y2165" s="207">
        <f t="shared" si="639"/>
        <v>510</v>
      </c>
      <c r="Z2165" s="139">
        <f t="shared" si="640"/>
        <v>298</v>
      </c>
      <c r="AA2165" s="139">
        <f t="shared" si="641"/>
        <v>212</v>
      </c>
      <c r="AC2165" s="47">
        <f t="shared" si="642"/>
        <v>255</v>
      </c>
      <c r="AD2165" s="47">
        <f t="shared" si="643"/>
        <v>149</v>
      </c>
      <c r="AE2165" s="47">
        <f t="shared" si="644"/>
        <v>106</v>
      </c>
      <c r="AG2165" s="47">
        <f t="shared" si="645"/>
        <v>255</v>
      </c>
      <c r="AH2165" s="47">
        <f t="shared" si="646"/>
        <v>149</v>
      </c>
      <c r="AI2165" s="208">
        <f t="shared" si="647"/>
        <v>106</v>
      </c>
    </row>
    <row r="2166" spans="1:35">
      <c r="A2166" t="s">
        <v>2156</v>
      </c>
      <c r="B2166" t="s">
        <v>3142</v>
      </c>
      <c r="C2166" t="s">
        <v>2191</v>
      </c>
      <c r="D2166" t="s">
        <v>5673</v>
      </c>
      <c r="F2166" t="s">
        <v>1564</v>
      </c>
      <c r="G2166" s="126">
        <f>SUMIFS('Support - Transition'!F:F,'Support - Transition'!B:B,'Step 2'!A2166,'Support - Transition'!C:C,'Step 2'!B2166,'Support - Transition'!D:D,'Step 2'!C2166,'Support - Transition'!E:E,"CIVIL")</f>
        <v>1.4009999999999999E-3</v>
      </c>
      <c r="H2166" s="126">
        <f>SUMIFS('Support - Transition'!F:F,'Support - Transition'!B:B,'Step 2'!A2166,'Support - Transition'!C:C,'Step 2'!B2166,'Support - Transition'!D:D,'Step 2'!C2166,'Support - Transition'!E:E,"FIRE")</f>
        <v>3.4499999999999998E-4</v>
      </c>
      <c r="I2166" s="126">
        <f>IF(B2166="0",SUMIFS('Support - Transition'!F:F,'Support - Transition'!J:J,'Step 2'!D2166,'Support - Transition'!E:E,"STATE UNIT"),SUMIFS('Support - Transition'!F:F,'Support - Transition'!J:J,'Step 2'!D2166))</f>
        <v>1.7459999999999999E-3</v>
      </c>
      <c r="J2166" s="126">
        <f>SUMIFS('Support - Unit Adjustments'!E:E,'Support - Unit Adjustments'!F:F,'Step 2'!D2166)</f>
        <v>0</v>
      </c>
      <c r="K2166" s="126">
        <f t="shared" si="631"/>
        <v>1.7459999999999999E-3</v>
      </c>
      <c r="L2166" s="174">
        <f>VLOOKUP(A2166,'Step 1'!$A:$E,4,FALSE)</f>
        <v>84568</v>
      </c>
      <c r="M2166" s="47">
        <f t="shared" si="632"/>
        <v>148</v>
      </c>
      <c r="N2166" s="177">
        <f>SUMIFS('Support - Transition'!G:G,'Support - Transition'!J:J,'Step 2'!D2166,'Support - Transition'!E:E,"2009 WELFARE ALLOCATION FACTOR")</f>
        <v>0</v>
      </c>
      <c r="O2166" s="152">
        <f t="shared" si="637"/>
        <v>0</v>
      </c>
      <c r="P2166" s="126">
        <f>IF(E2166="Y",0,SUMIFS('Support - Transition'!G:G,'Support - Transition'!J:J,'Step 2'!D2166,'Support - Transition'!E:E,"2009 SCHOOL ALLOCATION FACTOR"))</f>
        <v>0</v>
      </c>
      <c r="Q2166" s="126">
        <f>IF(E2166="Y",VLOOKUP(D2166,'Support - Unit Adjustments'!F:G,2,FALSE),0)</f>
        <v>0</v>
      </c>
      <c r="R2166" s="155">
        <f t="shared" si="649"/>
        <v>0</v>
      </c>
      <c r="S2166" s="47">
        <f t="shared" si="648"/>
        <v>0</v>
      </c>
      <c r="T2166" s="151">
        <f t="shared" si="633"/>
        <v>148</v>
      </c>
      <c r="U2166" s="151">
        <f t="shared" si="634"/>
        <v>0</v>
      </c>
      <c r="V2166" s="139">
        <f t="shared" si="635"/>
        <v>0</v>
      </c>
      <c r="W2166" s="152">
        <f t="shared" si="638"/>
        <v>148</v>
      </c>
      <c r="X2166" s="127" t="str">
        <f t="shared" si="636"/>
        <v/>
      </c>
      <c r="Y2166" s="207">
        <f t="shared" si="639"/>
        <v>148</v>
      </c>
      <c r="Z2166" s="139">
        <f t="shared" si="640"/>
        <v>119</v>
      </c>
      <c r="AA2166" s="139">
        <f t="shared" si="641"/>
        <v>29</v>
      </c>
      <c r="AC2166" s="47">
        <f t="shared" si="642"/>
        <v>74</v>
      </c>
      <c r="AD2166" s="47">
        <f t="shared" si="643"/>
        <v>60</v>
      </c>
      <c r="AE2166" s="47">
        <f t="shared" si="644"/>
        <v>15</v>
      </c>
      <c r="AG2166" s="47">
        <f t="shared" si="645"/>
        <v>74</v>
      </c>
      <c r="AH2166" s="47">
        <f t="shared" si="646"/>
        <v>59</v>
      </c>
      <c r="AI2166" s="208">
        <f t="shared" si="647"/>
        <v>14</v>
      </c>
    </row>
    <row r="2167" spans="1:35">
      <c r="A2167" t="s">
        <v>2156</v>
      </c>
      <c r="B2167" t="s">
        <v>3142</v>
      </c>
      <c r="C2167" t="s">
        <v>2192</v>
      </c>
      <c r="D2167" t="s">
        <v>5674</v>
      </c>
      <c r="F2167" t="s">
        <v>1565</v>
      </c>
      <c r="G2167" s="126">
        <f>SUMIFS('Support - Transition'!F:F,'Support - Transition'!B:B,'Step 2'!A2167,'Support - Transition'!C:C,'Step 2'!B2167,'Support - Transition'!D:D,'Step 2'!C2167,'Support - Transition'!E:E,"CIVIL")</f>
        <v>2.8449999999999999E-3</v>
      </c>
      <c r="H2167" s="126">
        <f>SUMIFS('Support - Transition'!F:F,'Support - Transition'!B:B,'Step 2'!A2167,'Support - Transition'!C:C,'Step 2'!B2167,'Support - Transition'!D:D,'Step 2'!C2167,'Support - Transition'!E:E,"FIRE")</f>
        <v>5.8200000000000005E-4</v>
      </c>
      <c r="I2167" s="126">
        <f>IF(B2167="0",SUMIFS('Support - Transition'!F:F,'Support - Transition'!J:J,'Step 2'!D2167,'Support - Transition'!E:E,"STATE UNIT"),SUMIFS('Support - Transition'!F:F,'Support - Transition'!J:J,'Step 2'!D2167))</f>
        <v>3.4269999999999999E-3</v>
      </c>
      <c r="J2167" s="126">
        <f>SUMIFS('Support - Unit Adjustments'!E:E,'Support - Unit Adjustments'!F:F,'Step 2'!D2167)</f>
        <v>0</v>
      </c>
      <c r="K2167" s="126">
        <f t="shared" si="631"/>
        <v>3.4269999999999999E-3</v>
      </c>
      <c r="L2167" s="174">
        <f>VLOOKUP(A2167,'Step 1'!$A:$E,4,FALSE)</f>
        <v>84568</v>
      </c>
      <c r="M2167" s="47">
        <f t="shared" si="632"/>
        <v>290</v>
      </c>
      <c r="N2167" s="177">
        <f>SUMIFS('Support - Transition'!G:G,'Support - Transition'!J:J,'Step 2'!D2167,'Support - Transition'!E:E,"2009 WELFARE ALLOCATION FACTOR")</f>
        <v>0</v>
      </c>
      <c r="O2167" s="152">
        <f t="shared" si="637"/>
        <v>0</v>
      </c>
      <c r="P2167" s="126">
        <f>IF(E2167="Y",0,SUMIFS('Support - Transition'!G:G,'Support - Transition'!J:J,'Step 2'!D2167,'Support - Transition'!E:E,"2009 SCHOOL ALLOCATION FACTOR"))</f>
        <v>0</v>
      </c>
      <c r="Q2167" s="126">
        <f>IF(E2167="Y",VLOOKUP(D2167,'Support - Unit Adjustments'!F:G,2,FALSE),0)</f>
        <v>0</v>
      </c>
      <c r="R2167" s="155">
        <f t="shared" si="649"/>
        <v>0</v>
      </c>
      <c r="S2167" s="47">
        <f t="shared" si="648"/>
        <v>0</v>
      </c>
      <c r="T2167" s="151">
        <f t="shared" si="633"/>
        <v>290</v>
      </c>
      <c r="U2167" s="151">
        <f t="shared" si="634"/>
        <v>0</v>
      </c>
      <c r="V2167" s="139">
        <f t="shared" si="635"/>
        <v>0</v>
      </c>
      <c r="W2167" s="152">
        <f t="shared" si="638"/>
        <v>290</v>
      </c>
      <c r="X2167" s="127" t="str">
        <f t="shared" si="636"/>
        <v/>
      </c>
      <c r="Y2167" s="207">
        <f t="shared" si="639"/>
        <v>290</v>
      </c>
      <c r="Z2167" s="139">
        <f t="shared" si="640"/>
        <v>241</v>
      </c>
      <c r="AA2167" s="139">
        <f t="shared" si="641"/>
        <v>49</v>
      </c>
      <c r="AC2167" s="47">
        <f t="shared" si="642"/>
        <v>145</v>
      </c>
      <c r="AD2167" s="47">
        <f t="shared" si="643"/>
        <v>121</v>
      </c>
      <c r="AE2167" s="47">
        <f t="shared" si="644"/>
        <v>25</v>
      </c>
      <c r="AG2167" s="47">
        <f t="shared" si="645"/>
        <v>145</v>
      </c>
      <c r="AH2167" s="47">
        <f t="shared" si="646"/>
        <v>120</v>
      </c>
      <c r="AI2167" s="208">
        <f t="shared" si="647"/>
        <v>24</v>
      </c>
    </row>
    <row r="2168" spans="1:35">
      <c r="A2168" t="s">
        <v>2156</v>
      </c>
      <c r="B2168" t="s">
        <v>3155</v>
      </c>
      <c r="C2168" t="s">
        <v>3000</v>
      </c>
      <c r="D2168" t="s">
        <v>5675</v>
      </c>
      <c r="F2168" t="s">
        <v>1567</v>
      </c>
      <c r="G2168" s="126">
        <f>SUMIFS('Support - Transition'!F:F,'Support - Transition'!B:B,'Step 2'!A2168,'Support - Transition'!C:C,'Step 2'!B2168,'Support - Transition'!D:D,'Step 2'!C2168,'Support - Transition'!E:E,"CIVIL")</f>
        <v>0</v>
      </c>
      <c r="H2168" s="126">
        <f>SUMIFS('Support - Transition'!F:F,'Support - Transition'!B:B,'Step 2'!A2168,'Support - Transition'!C:C,'Step 2'!B2168,'Support - Transition'!D:D,'Step 2'!C2168,'Support - Transition'!E:E,"FIRE")</f>
        <v>0</v>
      </c>
      <c r="I2168" s="126">
        <f>IF(B2168="0",SUMIFS('Support - Transition'!F:F,'Support - Transition'!J:J,'Step 2'!D2168,'Support - Transition'!E:E,"STATE UNIT"),SUMIFS('Support - Transition'!F:F,'Support - Transition'!J:J,'Step 2'!D2168))</f>
        <v>6.0263999999999998E-2</v>
      </c>
      <c r="J2168" s="126">
        <f>SUMIFS('Support - Unit Adjustments'!E:E,'Support - Unit Adjustments'!F:F,'Step 2'!D2168)</f>
        <v>0</v>
      </c>
      <c r="K2168" s="126">
        <f t="shared" si="631"/>
        <v>6.0263999999999998E-2</v>
      </c>
      <c r="L2168" s="174">
        <f>VLOOKUP(A2168,'Step 1'!$A:$E,4,FALSE)</f>
        <v>84568</v>
      </c>
      <c r="M2168" s="47">
        <f t="shared" si="632"/>
        <v>5096</v>
      </c>
      <c r="N2168" s="177">
        <f>SUMIFS('Support - Transition'!G:G,'Support - Transition'!J:J,'Step 2'!D2168,'Support - Transition'!E:E,"2009 WELFARE ALLOCATION FACTOR")</f>
        <v>0</v>
      </c>
      <c r="O2168" s="152">
        <f t="shared" si="637"/>
        <v>0</v>
      </c>
      <c r="P2168" s="126">
        <f>IF(E2168="Y",0,SUMIFS('Support - Transition'!G:G,'Support - Transition'!J:J,'Step 2'!D2168,'Support - Transition'!E:E,"2009 SCHOOL ALLOCATION FACTOR"))</f>
        <v>0</v>
      </c>
      <c r="Q2168" s="126">
        <f>IF(E2168="Y",VLOOKUP(D2168,'Support - Unit Adjustments'!F:G,2,FALSE),0)</f>
        <v>0</v>
      </c>
      <c r="R2168" s="155">
        <f t="shared" si="649"/>
        <v>0</v>
      </c>
      <c r="S2168" s="47">
        <f t="shared" si="648"/>
        <v>0</v>
      </c>
      <c r="T2168" s="151">
        <f t="shared" si="633"/>
        <v>5096</v>
      </c>
      <c r="U2168" s="151">
        <f t="shared" si="634"/>
        <v>0</v>
      </c>
      <c r="V2168" s="139">
        <f t="shared" si="635"/>
        <v>0</v>
      </c>
      <c r="W2168" s="152">
        <f t="shared" si="638"/>
        <v>5096</v>
      </c>
      <c r="X2168" s="127" t="str">
        <f t="shared" si="636"/>
        <v/>
      </c>
      <c r="Y2168" s="207">
        <f t="shared" si="639"/>
        <v>5096</v>
      </c>
      <c r="Z2168" s="139">
        <f t="shared" si="640"/>
        <v>5096</v>
      </c>
      <c r="AA2168" s="139">
        <f t="shared" si="641"/>
        <v>0</v>
      </c>
      <c r="AC2168" s="47">
        <f t="shared" si="642"/>
        <v>2548</v>
      </c>
      <c r="AD2168" s="47">
        <f t="shared" si="643"/>
        <v>2548</v>
      </c>
      <c r="AE2168" s="47">
        <f t="shared" si="644"/>
        <v>0</v>
      </c>
      <c r="AG2168" s="47">
        <f t="shared" si="645"/>
        <v>2548</v>
      </c>
      <c r="AH2168" s="47">
        <f t="shared" si="646"/>
        <v>2548</v>
      </c>
      <c r="AI2168" s="208">
        <f t="shared" si="647"/>
        <v>0</v>
      </c>
    </row>
    <row r="2169" spans="1:35">
      <c r="A2169" t="s">
        <v>2156</v>
      </c>
      <c r="B2169" t="s">
        <v>3155</v>
      </c>
      <c r="C2169" t="s">
        <v>3001</v>
      </c>
      <c r="D2169" t="s">
        <v>5676</v>
      </c>
      <c r="F2169" t="s">
        <v>5677</v>
      </c>
      <c r="G2169" s="126">
        <f>SUMIFS('Support - Transition'!F:F,'Support - Transition'!B:B,'Step 2'!A2169,'Support - Transition'!C:C,'Step 2'!B2169,'Support - Transition'!D:D,'Step 2'!C2169,'Support - Transition'!E:E,"CIVIL")</f>
        <v>0</v>
      </c>
      <c r="H2169" s="126">
        <f>SUMIFS('Support - Transition'!F:F,'Support - Transition'!B:B,'Step 2'!A2169,'Support - Transition'!C:C,'Step 2'!B2169,'Support - Transition'!D:D,'Step 2'!C2169,'Support - Transition'!E:E,"FIRE")</f>
        <v>0</v>
      </c>
      <c r="I2169" s="126">
        <f>IF(B2169="0",SUMIFS('Support - Transition'!F:F,'Support - Transition'!J:J,'Step 2'!D2169,'Support - Transition'!E:E,"STATE UNIT"),SUMIFS('Support - Transition'!F:F,'Support - Transition'!J:J,'Step 2'!D2169))</f>
        <v>1.6101000000000001E-2</v>
      </c>
      <c r="J2169" s="126">
        <f>SUMIFS('Support - Unit Adjustments'!E:E,'Support - Unit Adjustments'!F:F,'Step 2'!D2169)</f>
        <v>0</v>
      </c>
      <c r="K2169" s="126">
        <f t="shared" si="631"/>
        <v>1.6101000000000001E-2</v>
      </c>
      <c r="L2169" s="174">
        <f>VLOOKUP(A2169,'Step 1'!$A:$E,4,FALSE)</f>
        <v>84568</v>
      </c>
      <c r="M2169" s="47">
        <f t="shared" si="632"/>
        <v>1362</v>
      </c>
      <c r="N2169" s="177">
        <f>SUMIFS('Support - Transition'!G:G,'Support - Transition'!J:J,'Step 2'!D2169,'Support - Transition'!E:E,"2009 WELFARE ALLOCATION FACTOR")</f>
        <v>0</v>
      </c>
      <c r="O2169" s="152">
        <f t="shared" si="637"/>
        <v>0</v>
      </c>
      <c r="P2169" s="126">
        <f>IF(E2169="Y",0,SUMIFS('Support - Transition'!G:G,'Support - Transition'!J:J,'Step 2'!D2169,'Support - Transition'!E:E,"2009 SCHOOL ALLOCATION FACTOR"))</f>
        <v>0</v>
      </c>
      <c r="Q2169" s="126">
        <f>IF(E2169="Y",VLOOKUP(D2169,'Support - Unit Adjustments'!F:G,2,FALSE),0)</f>
        <v>0</v>
      </c>
      <c r="R2169" s="155">
        <f t="shared" si="649"/>
        <v>0</v>
      </c>
      <c r="S2169" s="47">
        <f t="shared" si="648"/>
        <v>0</v>
      </c>
      <c r="T2169" s="151">
        <f t="shared" si="633"/>
        <v>1362</v>
      </c>
      <c r="U2169" s="151">
        <f t="shared" si="634"/>
        <v>0</v>
      </c>
      <c r="V2169" s="139">
        <f t="shared" si="635"/>
        <v>0</v>
      </c>
      <c r="W2169" s="152">
        <f t="shared" si="638"/>
        <v>1362</v>
      </c>
      <c r="X2169" s="127" t="str">
        <f t="shared" si="636"/>
        <v/>
      </c>
      <c r="Y2169" s="207">
        <f t="shared" si="639"/>
        <v>1362</v>
      </c>
      <c r="Z2169" s="139">
        <f t="shared" si="640"/>
        <v>1362</v>
      </c>
      <c r="AA2169" s="139">
        <f t="shared" si="641"/>
        <v>0</v>
      </c>
      <c r="AC2169" s="47">
        <f t="shared" si="642"/>
        <v>681</v>
      </c>
      <c r="AD2169" s="47">
        <f t="shared" si="643"/>
        <v>681</v>
      </c>
      <c r="AE2169" s="47">
        <f t="shared" si="644"/>
        <v>0</v>
      </c>
      <c r="AG2169" s="47">
        <f t="shared" si="645"/>
        <v>681</v>
      </c>
      <c r="AH2169" s="47">
        <f t="shared" si="646"/>
        <v>681</v>
      </c>
      <c r="AI2169" s="208">
        <f t="shared" si="647"/>
        <v>0</v>
      </c>
    </row>
    <row r="2170" spans="1:35">
      <c r="A2170" t="s">
        <v>2156</v>
      </c>
      <c r="B2170" t="s">
        <v>3160</v>
      </c>
      <c r="C2170" t="s">
        <v>3002</v>
      </c>
      <c r="D2170" t="s">
        <v>5678</v>
      </c>
      <c r="F2170" t="s">
        <v>5679</v>
      </c>
      <c r="G2170" s="126">
        <f>SUMIFS('Support - Transition'!F:F,'Support - Transition'!B:B,'Step 2'!A2170,'Support - Transition'!C:C,'Step 2'!B2170,'Support - Transition'!D:D,'Step 2'!C2170,'Support - Transition'!E:E,"CIVIL")</f>
        <v>0</v>
      </c>
      <c r="H2170" s="126">
        <f>SUMIFS('Support - Transition'!F:F,'Support - Transition'!B:B,'Step 2'!A2170,'Support - Transition'!C:C,'Step 2'!B2170,'Support - Transition'!D:D,'Step 2'!C2170,'Support - Transition'!E:E,"FIRE")</f>
        <v>0</v>
      </c>
      <c r="I2170" s="126">
        <f>IF(B2170="0",SUMIFS('Support - Transition'!F:F,'Support - Transition'!J:J,'Step 2'!D2170,'Support - Transition'!E:E,"STATE UNIT"),SUMIFS('Support - Transition'!F:F,'Support - Transition'!J:J,'Step 2'!D2170))</f>
        <v>0.12767300000000001</v>
      </c>
      <c r="J2170" s="126">
        <f>SUMIFS('Support - Unit Adjustments'!E:E,'Support - Unit Adjustments'!F:F,'Step 2'!D2170)</f>
        <v>0</v>
      </c>
      <c r="K2170" s="126">
        <f t="shared" si="631"/>
        <v>0.12767300000000001</v>
      </c>
      <c r="L2170" s="174">
        <f>VLOOKUP(A2170,'Step 1'!$A:$E,4,FALSE)</f>
        <v>84568</v>
      </c>
      <c r="M2170" s="47">
        <f t="shared" si="632"/>
        <v>10797</v>
      </c>
      <c r="N2170" s="177">
        <f>SUMIFS('Support - Transition'!G:G,'Support - Transition'!J:J,'Step 2'!D2170,'Support - Transition'!E:E,"2009 WELFARE ALLOCATION FACTOR")</f>
        <v>0</v>
      </c>
      <c r="O2170" s="152">
        <f t="shared" si="637"/>
        <v>0</v>
      </c>
      <c r="P2170" s="126">
        <f>IF(E2170="Y",0,SUMIFS('Support - Transition'!G:G,'Support - Transition'!J:J,'Step 2'!D2170,'Support - Transition'!E:E,"2009 SCHOOL ALLOCATION FACTOR"))</f>
        <v>0.36520999999999998</v>
      </c>
      <c r="Q2170" s="126">
        <f>IF(E2170="Y",VLOOKUP(D2170,'Support - Unit Adjustments'!F:G,2,FALSE),0)</f>
        <v>0</v>
      </c>
      <c r="R2170" s="155">
        <f t="shared" si="649"/>
        <v>0.36520999999999998</v>
      </c>
      <c r="S2170" s="47">
        <f t="shared" si="648"/>
        <v>3943</v>
      </c>
      <c r="T2170" s="151">
        <f t="shared" si="633"/>
        <v>6854</v>
      </c>
      <c r="U2170" s="151">
        <f t="shared" si="634"/>
        <v>0</v>
      </c>
      <c r="V2170" s="139">
        <f t="shared" si="635"/>
        <v>0</v>
      </c>
      <c r="W2170" s="152">
        <f t="shared" si="638"/>
        <v>6854</v>
      </c>
      <c r="X2170" s="127" t="str">
        <f t="shared" si="636"/>
        <v/>
      </c>
      <c r="Y2170" s="207">
        <f t="shared" si="639"/>
        <v>6854</v>
      </c>
      <c r="Z2170" s="139">
        <f t="shared" si="640"/>
        <v>6854</v>
      </c>
      <c r="AA2170" s="139">
        <f t="shared" si="641"/>
        <v>0</v>
      </c>
      <c r="AC2170" s="47">
        <f t="shared" si="642"/>
        <v>3427</v>
      </c>
      <c r="AD2170" s="47">
        <f t="shared" si="643"/>
        <v>3427</v>
      </c>
      <c r="AE2170" s="47">
        <f t="shared" si="644"/>
        <v>0</v>
      </c>
      <c r="AG2170" s="47">
        <f t="shared" si="645"/>
        <v>3427</v>
      </c>
      <c r="AH2170" s="47">
        <f t="shared" si="646"/>
        <v>3427</v>
      </c>
      <c r="AI2170" s="208">
        <f t="shared" si="647"/>
        <v>0</v>
      </c>
    </row>
    <row r="2171" spans="1:35">
      <c r="A2171" t="s">
        <v>2156</v>
      </c>
      <c r="B2171" t="s">
        <v>3160</v>
      </c>
      <c r="C2171" t="s">
        <v>5680</v>
      </c>
      <c r="D2171" t="s">
        <v>5681</v>
      </c>
      <c r="F2171" t="s">
        <v>5682</v>
      </c>
      <c r="G2171" s="126">
        <f>SUMIFS('Support - Transition'!F:F,'Support - Transition'!B:B,'Step 2'!A2171,'Support - Transition'!C:C,'Step 2'!B2171,'Support - Transition'!D:D,'Step 2'!C2171,'Support - Transition'!E:E,"CIVIL")</f>
        <v>0</v>
      </c>
      <c r="H2171" s="126">
        <f>SUMIFS('Support - Transition'!F:F,'Support - Transition'!B:B,'Step 2'!A2171,'Support - Transition'!C:C,'Step 2'!B2171,'Support - Transition'!D:D,'Step 2'!C2171,'Support - Transition'!E:E,"FIRE")</f>
        <v>0</v>
      </c>
      <c r="I2171" s="126">
        <f>IF(B2171="0",SUMIFS('Support - Transition'!F:F,'Support - Transition'!J:J,'Step 2'!D2171,'Support - Transition'!E:E,"STATE UNIT"),SUMIFS('Support - Transition'!F:F,'Support - Transition'!J:J,'Step 2'!D2171))</f>
        <v>0.52735100000000001</v>
      </c>
      <c r="J2171" s="126">
        <f>SUMIFS('Support - Unit Adjustments'!E:E,'Support - Unit Adjustments'!F:F,'Step 2'!D2171)</f>
        <v>0</v>
      </c>
      <c r="K2171" s="126">
        <f t="shared" si="631"/>
        <v>0.52735100000000001</v>
      </c>
      <c r="L2171" s="174">
        <f>VLOOKUP(A2171,'Step 1'!$A:$E,4,FALSE)</f>
        <v>84568</v>
      </c>
      <c r="M2171" s="47">
        <f t="shared" si="632"/>
        <v>44597</v>
      </c>
      <c r="N2171" s="177">
        <f>SUMIFS('Support - Transition'!G:G,'Support - Transition'!J:J,'Step 2'!D2171,'Support - Transition'!E:E,"2009 WELFARE ALLOCATION FACTOR")</f>
        <v>0</v>
      </c>
      <c r="O2171" s="152">
        <f t="shared" si="637"/>
        <v>0</v>
      </c>
      <c r="P2171" s="126">
        <f>IF(E2171="Y",0,SUMIFS('Support - Transition'!G:G,'Support - Transition'!J:J,'Step 2'!D2171,'Support - Transition'!E:E,"2009 SCHOOL ALLOCATION FACTOR"))</f>
        <v>0.42845100000000003</v>
      </c>
      <c r="Q2171" s="126">
        <f>IF(E2171="Y",VLOOKUP(D2171,'Support - Unit Adjustments'!F:G,2,FALSE),0)</f>
        <v>0</v>
      </c>
      <c r="R2171" s="155">
        <f t="shared" si="649"/>
        <v>0.42845100000000003</v>
      </c>
      <c r="S2171" s="47">
        <f t="shared" si="648"/>
        <v>19108</v>
      </c>
      <c r="T2171" s="151">
        <f t="shared" si="633"/>
        <v>25489</v>
      </c>
      <c r="U2171" s="151">
        <f t="shared" si="634"/>
        <v>0</v>
      </c>
      <c r="V2171" s="139">
        <f t="shared" si="635"/>
        <v>0</v>
      </c>
      <c r="W2171" s="152">
        <f t="shared" si="638"/>
        <v>25489</v>
      </c>
      <c r="X2171" s="127" t="str">
        <f t="shared" si="636"/>
        <v/>
      </c>
      <c r="Y2171" s="207">
        <f t="shared" si="639"/>
        <v>25489</v>
      </c>
      <c r="Z2171" s="139">
        <f t="shared" si="640"/>
        <v>25489</v>
      </c>
      <c r="AA2171" s="139">
        <f t="shared" si="641"/>
        <v>0</v>
      </c>
      <c r="AC2171" s="47">
        <f t="shared" si="642"/>
        <v>12745</v>
      </c>
      <c r="AD2171" s="47">
        <f t="shared" si="643"/>
        <v>12745</v>
      </c>
      <c r="AE2171" s="47">
        <f t="shared" si="644"/>
        <v>0</v>
      </c>
      <c r="AG2171" s="47">
        <f t="shared" si="645"/>
        <v>12744</v>
      </c>
      <c r="AH2171" s="47">
        <f t="shared" si="646"/>
        <v>12744</v>
      </c>
      <c r="AI2171" s="208">
        <f t="shared" si="647"/>
        <v>0</v>
      </c>
    </row>
    <row r="2172" spans="1:35">
      <c r="A2172" t="s">
        <v>2156</v>
      </c>
      <c r="B2172" t="s">
        <v>3166</v>
      </c>
      <c r="C2172" t="s">
        <v>5683</v>
      </c>
      <c r="D2172" t="s">
        <v>5684</v>
      </c>
      <c r="F2172" t="s">
        <v>1570</v>
      </c>
      <c r="G2172" s="126">
        <f>SUMIFS('Support - Transition'!F:F,'Support - Transition'!B:B,'Step 2'!A2172,'Support - Transition'!C:C,'Step 2'!B2172,'Support - Transition'!D:D,'Step 2'!C2172,'Support - Transition'!E:E,"CIVIL")</f>
        <v>0</v>
      </c>
      <c r="H2172" s="126">
        <f>SUMIFS('Support - Transition'!F:F,'Support - Transition'!B:B,'Step 2'!A2172,'Support - Transition'!C:C,'Step 2'!B2172,'Support - Transition'!D:D,'Step 2'!C2172,'Support - Transition'!E:E,"FIRE")</f>
        <v>0</v>
      </c>
      <c r="I2172" s="126">
        <f>IF(B2172="0",SUMIFS('Support - Transition'!F:F,'Support - Transition'!J:J,'Step 2'!D2172,'Support - Transition'!E:E,"STATE UNIT"),SUMIFS('Support - Transition'!F:F,'Support - Transition'!J:J,'Step 2'!D2172))</f>
        <v>2.1295000000000001E-2</v>
      </c>
      <c r="J2172" s="126">
        <f>SUMIFS('Support - Unit Adjustments'!E:E,'Support - Unit Adjustments'!F:F,'Step 2'!D2172)</f>
        <v>0</v>
      </c>
      <c r="K2172" s="126">
        <f t="shared" si="631"/>
        <v>2.1295000000000001E-2</v>
      </c>
      <c r="L2172" s="174">
        <f>VLOOKUP(A2172,'Step 1'!$A:$E,4,FALSE)</f>
        <v>84568</v>
      </c>
      <c r="M2172" s="47">
        <f t="shared" si="632"/>
        <v>1801</v>
      </c>
      <c r="N2172" s="177">
        <f>SUMIFS('Support - Transition'!G:G,'Support - Transition'!J:J,'Step 2'!D2172,'Support - Transition'!E:E,"2009 WELFARE ALLOCATION FACTOR")</f>
        <v>0</v>
      </c>
      <c r="O2172" s="152">
        <f t="shared" si="637"/>
        <v>0</v>
      </c>
      <c r="P2172" s="126">
        <f>IF(E2172="Y",0,SUMIFS('Support - Transition'!G:G,'Support - Transition'!J:J,'Step 2'!D2172,'Support - Transition'!E:E,"2009 SCHOOL ALLOCATION FACTOR"))</f>
        <v>0</v>
      </c>
      <c r="Q2172" s="126">
        <f>IF(E2172="Y",VLOOKUP(D2172,'Support - Unit Adjustments'!F:G,2,FALSE),0)</f>
        <v>0</v>
      </c>
      <c r="R2172" s="155">
        <f t="shared" si="649"/>
        <v>0</v>
      </c>
      <c r="S2172" s="47">
        <f t="shared" si="648"/>
        <v>0</v>
      </c>
      <c r="T2172" s="151">
        <f t="shared" si="633"/>
        <v>1801</v>
      </c>
      <c r="U2172" s="151">
        <f t="shared" si="634"/>
        <v>0</v>
      </c>
      <c r="V2172" s="139">
        <f t="shared" si="635"/>
        <v>0</v>
      </c>
      <c r="W2172" s="152">
        <f t="shared" si="638"/>
        <v>1801</v>
      </c>
      <c r="X2172" s="127" t="str">
        <f t="shared" si="636"/>
        <v/>
      </c>
      <c r="Y2172" s="207">
        <f t="shared" si="639"/>
        <v>1801</v>
      </c>
      <c r="Z2172" s="139">
        <f t="shared" si="640"/>
        <v>1801</v>
      </c>
      <c r="AA2172" s="139">
        <f t="shared" si="641"/>
        <v>0</v>
      </c>
      <c r="AC2172" s="47">
        <f t="shared" si="642"/>
        <v>901</v>
      </c>
      <c r="AD2172" s="47">
        <f t="shared" si="643"/>
        <v>901</v>
      </c>
      <c r="AE2172" s="47">
        <f t="shared" si="644"/>
        <v>0</v>
      </c>
      <c r="AG2172" s="47">
        <f t="shared" si="645"/>
        <v>900</v>
      </c>
      <c r="AH2172" s="47">
        <f t="shared" si="646"/>
        <v>900</v>
      </c>
      <c r="AI2172" s="208">
        <f t="shared" si="647"/>
        <v>0</v>
      </c>
    </row>
    <row r="2173" spans="1:35">
      <c r="A2173" t="s">
        <v>2156</v>
      </c>
      <c r="B2173" t="s">
        <v>3170</v>
      </c>
      <c r="C2173" t="s">
        <v>3936</v>
      </c>
      <c r="D2173" t="s">
        <v>5685</v>
      </c>
      <c r="F2173" t="s">
        <v>3938</v>
      </c>
      <c r="G2173" s="126">
        <f>SUMIFS('Support - Transition'!F:F,'Support - Transition'!B:B,'Step 2'!A2173,'Support - Transition'!C:C,'Step 2'!B2173,'Support - Transition'!D:D,'Step 2'!C2173,'Support - Transition'!E:E,"CIVIL")</f>
        <v>0</v>
      </c>
      <c r="H2173" s="126">
        <f>SUMIFS('Support - Transition'!F:F,'Support - Transition'!B:B,'Step 2'!A2173,'Support - Transition'!C:C,'Step 2'!B2173,'Support - Transition'!D:D,'Step 2'!C2173,'Support - Transition'!E:E,"FIRE")</f>
        <v>0</v>
      </c>
      <c r="I2173" s="126">
        <f>IF(B2173="0",SUMIFS('Support - Transition'!F:F,'Support - Transition'!J:J,'Step 2'!D2173,'Support - Transition'!E:E,"STATE UNIT"),SUMIFS('Support - Transition'!F:F,'Support - Transition'!J:J,'Step 2'!D2173))</f>
        <v>4.730000000000012E-3</v>
      </c>
      <c r="J2173" s="126">
        <f>SUMIFS('Support - Unit Adjustments'!E:E,'Support - Unit Adjustments'!F:F,'Step 2'!D2173)</f>
        <v>0</v>
      </c>
      <c r="K2173" s="126">
        <f t="shared" si="631"/>
        <v>4.730000000000012E-3</v>
      </c>
      <c r="L2173" s="174">
        <f>VLOOKUP(A2173,'Step 1'!$A:$E,4,FALSE)</f>
        <v>84568</v>
      </c>
      <c r="M2173" s="47">
        <f t="shared" si="632"/>
        <v>400</v>
      </c>
      <c r="N2173" s="177">
        <f>SUMIFS('Support - Transition'!G:G,'Support - Transition'!J:J,'Step 2'!D2173,'Support - Transition'!E:E,"2009 WELFARE ALLOCATION FACTOR")</f>
        <v>0</v>
      </c>
      <c r="O2173" s="152">
        <f t="shared" si="637"/>
        <v>0</v>
      </c>
      <c r="P2173" s="126">
        <f>IF(E2173="Y",0,SUMIFS('Support - Transition'!G:G,'Support - Transition'!J:J,'Step 2'!D2173,'Support - Transition'!E:E,"2009 SCHOOL ALLOCATION FACTOR"))</f>
        <v>0</v>
      </c>
      <c r="Q2173" s="126">
        <f>IF(E2173="Y",VLOOKUP(D2173,'Support - Unit Adjustments'!F:G,2,FALSE),0)</f>
        <v>0</v>
      </c>
      <c r="R2173" s="155">
        <f t="shared" si="649"/>
        <v>0</v>
      </c>
      <c r="S2173" s="47">
        <f t="shared" si="648"/>
        <v>0</v>
      </c>
      <c r="T2173" s="151">
        <f t="shared" si="633"/>
        <v>400</v>
      </c>
      <c r="U2173" s="151">
        <f t="shared" si="634"/>
        <v>0</v>
      </c>
      <c r="V2173" s="139">
        <f t="shared" si="635"/>
        <v>0</v>
      </c>
      <c r="W2173" s="152">
        <f t="shared" si="638"/>
        <v>400</v>
      </c>
      <c r="X2173" s="127" t="str">
        <f t="shared" si="636"/>
        <v/>
      </c>
      <c r="Y2173" s="207">
        <f t="shared" si="639"/>
        <v>400</v>
      </c>
      <c r="Z2173" s="139">
        <f t="shared" si="640"/>
        <v>400</v>
      </c>
      <c r="AA2173" s="139">
        <f t="shared" si="641"/>
        <v>0</v>
      </c>
      <c r="AC2173" s="47">
        <f t="shared" si="642"/>
        <v>200</v>
      </c>
      <c r="AD2173" s="47">
        <f t="shared" si="643"/>
        <v>200</v>
      </c>
      <c r="AE2173" s="47">
        <f t="shared" si="644"/>
        <v>0</v>
      </c>
      <c r="AG2173" s="47">
        <f t="shared" si="645"/>
        <v>200</v>
      </c>
      <c r="AH2173" s="47">
        <f t="shared" si="646"/>
        <v>200</v>
      </c>
      <c r="AI2173" s="208">
        <f t="shared" si="647"/>
        <v>0</v>
      </c>
    </row>
    <row r="2174" spans="1:35">
      <c r="A2174" t="s">
        <v>2156</v>
      </c>
      <c r="B2174" t="s">
        <v>3286</v>
      </c>
      <c r="C2174" t="s">
        <v>2206</v>
      </c>
      <c r="D2174" t="s">
        <v>5686</v>
      </c>
      <c r="F2174" t="s">
        <v>4508</v>
      </c>
      <c r="G2174" s="126">
        <f>SUMIFS('Support - Transition'!F:F,'Support - Transition'!B:B,'Step 2'!A2174,'Support - Transition'!C:C,'Step 2'!B2174,'Support - Transition'!D:D,'Step 2'!C2174,'Support - Transition'!E:E,"CIVIL")</f>
        <v>0</v>
      </c>
      <c r="H2174" s="126">
        <f>SUMIFS('Support - Transition'!F:F,'Support - Transition'!B:B,'Step 2'!A2174,'Support - Transition'!C:C,'Step 2'!B2174,'Support - Transition'!D:D,'Step 2'!C2174,'Support - Transition'!E:E,"FIRE")</f>
        <v>0</v>
      </c>
      <c r="I2174" s="126">
        <f>IF(B2174="0",SUMIFS('Support - Transition'!F:F,'Support - Transition'!J:J,'Step 2'!D2174,'Support - Transition'!E:E,"STATE UNIT"),SUMIFS('Support - Transition'!F:F,'Support - Transition'!J:J,'Step 2'!D2174))</f>
        <v>0</v>
      </c>
      <c r="J2174" s="126">
        <f>SUMIFS('Support - Unit Adjustments'!E:E,'Support - Unit Adjustments'!F:F,'Step 2'!D2174)</f>
        <v>0</v>
      </c>
      <c r="K2174" s="126">
        <f t="shared" si="631"/>
        <v>0</v>
      </c>
      <c r="L2174" s="174">
        <f>VLOOKUP(A2174,'Step 1'!$A:$E,4,FALSE)</f>
        <v>84568</v>
      </c>
      <c r="M2174" s="47">
        <f t="shared" si="632"/>
        <v>0</v>
      </c>
      <c r="N2174" s="177">
        <f>SUMIFS('Support - Transition'!G:G,'Support - Transition'!J:J,'Step 2'!D2174,'Support - Transition'!E:E,"2009 WELFARE ALLOCATION FACTOR")</f>
        <v>0</v>
      </c>
      <c r="O2174" s="152">
        <f t="shared" si="637"/>
        <v>0</v>
      </c>
      <c r="P2174" s="126">
        <f>IF(E2174="Y",0,SUMIFS('Support - Transition'!G:G,'Support - Transition'!J:J,'Step 2'!D2174,'Support - Transition'!E:E,"2009 SCHOOL ALLOCATION FACTOR"))</f>
        <v>0</v>
      </c>
      <c r="Q2174" s="126">
        <f>IF(E2174="Y",VLOOKUP(D2174,'Support - Unit Adjustments'!F:G,2,FALSE),0)</f>
        <v>0</v>
      </c>
      <c r="R2174" s="155">
        <f t="shared" si="649"/>
        <v>0</v>
      </c>
      <c r="S2174" s="47">
        <f t="shared" si="648"/>
        <v>0</v>
      </c>
      <c r="T2174" s="151">
        <f t="shared" si="633"/>
        <v>0</v>
      </c>
      <c r="U2174" s="151">
        <f t="shared" si="634"/>
        <v>0</v>
      </c>
      <c r="V2174" s="139">
        <f t="shared" si="635"/>
        <v>0</v>
      </c>
      <c r="W2174" s="152">
        <f t="shared" si="638"/>
        <v>0</v>
      </c>
      <c r="X2174" s="127" t="str">
        <f t="shared" si="636"/>
        <v/>
      </c>
      <c r="Y2174" s="207">
        <f t="shared" si="639"/>
        <v>0</v>
      </c>
      <c r="Z2174" s="139">
        <f t="shared" si="640"/>
        <v>0</v>
      </c>
      <c r="AA2174" s="139">
        <f t="shared" si="641"/>
        <v>0</v>
      </c>
      <c r="AC2174" s="47">
        <f t="shared" si="642"/>
        <v>0</v>
      </c>
      <c r="AD2174" s="47">
        <f t="shared" si="643"/>
        <v>0</v>
      </c>
      <c r="AE2174" s="47">
        <f t="shared" si="644"/>
        <v>0</v>
      </c>
      <c r="AG2174" s="47">
        <f t="shared" si="645"/>
        <v>0</v>
      </c>
      <c r="AH2174" s="47">
        <f t="shared" si="646"/>
        <v>0</v>
      </c>
      <c r="AI2174" s="208">
        <f t="shared" si="647"/>
        <v>0</v>
      </c>
    </row>
    <row r="2175" spans="1:35">
      <c r="A2175" t="s">
        <v>2157</v>
      </c>
      <c r="B2175" s="48" t="s">
        <v>6274</v>
      </c>
      <c r="C2175" t="s">
        <v>2187</v>
      </c>
      <c r="D2175" t="str">
        <f>A2175&amp;B2175&amp;C2175</f>
        <v>7300000</v>
      </c>
      <c r="F2175" t="s">
        <v>6347</v>
      </c>
      <c r="G2175" s="126">
        <f>SUMIFS('Support - Transition'!F:F,'Support - Transition'!B:B,'Step 2'!A2175,'Support - Transition'!C:C,'Step 2'!B2175,'Support - Transition'!D:D,'Step 2'!C2175,'Support - Transition'!E:E,"CIVIL")</f>
        <v>0</v>
      </c>
      <c r="H2175" s="126">
        <f>SUMIFS('Support - Transition'!F:F,'Support - Transition'!B:B,'Step 2'!A2175,'Support - Transition'!C:C,'Step 2'!B2175,'Support - Transition'!D:D,'Step 2'!C2175,'Support - Transition'!E:E,"FIRE")</f>
        <v>0</v>
      </c>
      <c r="I2175" s="126">
        <f>IF(B2175="0",SUMIFS('Support - Transition'!F:F,'Support - Transition'!J:J,'Step 2'!D2175,'Support - Transition'!E:E,"STATE UNIT"),SUMIFS('Support - Transition'!F:F,'Support - Transition'!J:J,'Step 2'!D2175))</f>
        <v>1.5299999999999999E-3</v>
      </c>
      <c r="J2175" s="126">
        <f>SUMIFS('Support - Unit Adjustments'!E:E,'Support - Unit Adjustments'!F:F,'Step 2'!D2175)</f>
        <v>0</v>
      </c>
      <c r="K2175" s="126">
        <f t="shared" si="631"/>
        <v>1.5299999999999999E-3</v>
      </c>
      <c r="L2175" s="174">
        <f>VLOOKUP(A2175,'Step 1'!$A:$E,4,FALSE)</f>
        <v>384901</v>
      </c>
      <c r="M2175" s="47">
        <f t="shared" si="632"/>
        <v>589</v>
      </c>
      <c r="N2175" s="177">
        <f>SUMIFS('Support - Transition'!G:G,'Support - Transition'!J:J,'Step 2'!D2175,'Support - Transition'!E:E,"2009 WELFARE ALLOCATION FACTOR")</f>
        <v>0</v>
      </c>
      <c r="O2175" s="152">
        <f t="shared" si="637"/>
        <v>0</v>
      </c>
      <c r="P2175" s="126">
        <f>IF(E2175="Y",0,SUMIFS('Support - Transition'!G:G,'Support - Transition'!J:J,'Step 2'!D2175,'Support - Transition'!E:E,"2009 SCHOOL ALLOCATION FACTOR"))</f>
        <v>0</v>
      </c>
      <c r="Q2175" s="126">
        <f>IF(E2175="Y",VLOOKUP(D2175,'Support - Unit Adjustments'!F:G,2,FALSE),0)</f>
        <v>0</v>
      </c>
      <c r="R2175" s="155">
        <f t="shared" si="649"/>
        <v>0</v>
      </c>
      <c r="S2175" s="47">
        <f t="shared" si="648"/>
        <v>0</v>
      </c>
      <c r="T2175" s="151">
        <f t="shared" si="633"/>
        <v>589</v>
      </c>
      <c r="U2175" s="151">
        <f t="shared" si="634"/>
        <v>384901</v>
      </c>
      <c r="V2175" s="139">
        <f t="shared" si="635"/>
        <v>0</v>
      </c>
      <c r="W2175" s="152">
        <f t="shared" si="638"/>
        <v>589</v>
      </c>
      <c r="X2175" s="127">
        <f t="shared" si="636"/>
        <v>0</v>
      </c>
      <c r="Y2175" s="207">
        <f t="shared" si="639"/>
        <v>589</v>
      </c>
      <c r="Z2175" s="139">
        <f t="shared" si="640"/>
        <v>589</v>
      </c>
      <c r="AA2175" s="139">
        <f t="shared" si="641"/>
        <v>0</v>
      </c>
      <c r="AC2175" s="47">
        <f t="shared" si="642"/>
        <v>295</v>
      </c>
      <c r="AD2175" s="47">
        <f t="shared" si="643"/>
        <v>295</v>
      </c>
      <c r="AE2175" s="47">
        <f t="shared" si="644"/>
        <v>0</v>
      </c>
      <c r="AG2175" s="47">
        <f t="shared" si="645"/>
        <v>294</v>
      </c>
      <c r="AH2175" s="47">
        <f t="shared" si="646"/>
        <v>294</v>
      </c>
      <c r="AI2175" s="208">
        <f t="shared" si="647"/>
        <v>0</v>
      </c>
    </row>
    <row r="2176" spans="1:35">
      <c r="A2176" t="s">
        <v>2157</v>
      </c>
      <c r="B2176" t="s">
        <v>3140</v>
      </c>
      <c r="C2176" t="s">
        <v>2187</v>
      </c>
      <c r="D2176" t="s">
        <v>5687</v>
      </c>
      <c r="F2176" t="s">
        <v>1572</v>
      </c>
      <c r="G2176" s="126">
        <f>SUMIFS('Support - Transition'!F:F,'Support - Transition'!B:B,'Step 2'!A2176,'Support - Transition'!C:C,'Step 2'!B2176,'Support - Transition'!D:D,'Step 2'!C2176,'Support - Transition'!E:E,"CIVIL")</f>
        <v>0</v>
      </c>
      <c r="H2176" s="126">
        <f>SUMIFS('Support - Transition'!F:F,'Support - Transition'!B:B,'Step 2'!A2176,'Support - Transition'!C:C,'Step 2'!B2176,'Support - Transition'!D:D,'Step 2'!C2176,'Support - Transition'!E:E,"FIRE")</f>
        <v>0</v>
      </c>
      <c r="I2176" s="126">
        <f>IF(B2176="0",SUMIFS('Support - Transition'!F:F,'Support - Transition'!J:J,'Step 2'!D2176,'Support - Transition'!E:E,"STATE UNIT"),SUMIFS('Support - Transition'!F:F,'Support - Transition'!J:J,'Step 2'!D2176))</f>
        <v>0.18689600000000001</v>
      </c>
      <c r="J2176" s="126">
        <f>SUMIFS('Support - Unit Adjustments'!E:E,'Support - Unit Adjustments'!F:F,'Step 2'!D2176)</f>
        <v>0</v>
      </c>
      <c r="K2176" s="126">
        <f t="shared" si="631"/>
        <v>0.18689600000000001</v>
      </c>
      <c r="L2176" s="174">
        <f>VLOOKUP(A2176,'Step 1'!$A:$E,4,FALSE)</f>
        <v>384901</v>
      </c>
      <c r="M2176" s="47">
        <f t="shared" si="632"/>
        <v>71936</v>
      </c>
      <c r="N2176" s="177">
        <f>SUMIFS('Support - Transition'!G:G,'Support - Transition'!J:J,'Step 2'!D2176,'Support - Transition'!E:E,"2009 WELFARE ALLOCATION FACTOR")</f>
        <v>0.219114</v>
      </c>
      <c r="O2176" s="152">
        <f t="shared" si="637"/>
        <v>15762</v>
      </c>
      <c r="P2176" s="126">
        <f>IF(E2176="Y",0,SUMIFS('Support - Transition'!G:G,'Support - Transition'!J:J,'Step 2'!D2176,'Support - Transition'!E:E,"2009 SCHOOL ALLOCATION FACTOR"))</f>
        <v>0</v>
      </c>
      <c r="Q2176" s="126">
        <f>IF(E2176="Y",VLOOKUP(D2176,'Support - Unit Adjustments'!F:G,2,FALSE),0)</f>
        <v>0</v>
      </c>
      <c r="R2176" s="155">
        <f t="shared" si="649"/>
        <v>0</v>
      </c>
      <c r="S2176" s="47">
        <f t="shared" si="648"/>
        <v>0</v>
      </c>
      <c r="T2176" s="151">
        <f t="shared" si="633"/>
        <v>56174</v>
      </c>
      <c r="U2176" s="151">
        <f t="shared" si="634"/>
        <v>0</v>
      </c>
      <c r="V2176" s="139">
        <f t="shared" si="635"/>
        <v>0</v>
      </c>
      <c r="W2176" s="152">
        <f t="shared" si="638"/>
        <v>56174</v>
      </c>
      <c r="X2176" s="127" t="str">
        <f t="shared" si="636"/>
        <v/>
      </c>
      <c r="Y2176" s="207">
        <f t="shared" si="639"/>
        <v>56174</v>
      </c>
      <c r="Z2176" s="139">
        <f t="shared" si="640"/>
        <v>56174</v>
      </c>
      <c r="AA2176" s="139">
        <f t="shared" si="641"/>
        <v>0</v>
      </c>
      <c r="AC2176" s="47">
        <f t="shared" si="642"/>
        <v>28087</v>
      </c>
      <c r="AD2176" s="47">
        <f t="shared" si="643"/>
        <v>28087</v>
      </c>
      <c r="AE2176" s="47">
        <f t="shared" si="644"/>
        <v>0</v>
      </c>
      <c r="AG2176" s="47">
        <f t="shared" si="645"/>
        <v>28087</v>
      </c>
      <c r="AH2176" s="47">
        <f t="shared" si="646"/>
        <v>28087</v>
      </c>
      <c r="AI2176" s="208">
        <f t="shared" si="647"/>
        <v>0</v>
      </c>
    </row>
    <row r="2177" spans="1:35">
      <c r="A2177" t="s">
        <v>2157</v>
      </c>
      <c r="B2177" t="s">
        <v>3142</v>
      </c>
      <c r="C2177" t="s">
        <v>2188</v>
      </c>
      <c r="D2177" t="s">
        <v>5688</v>
      </c>
      <c r="F2177" t="s">
        <v>1573</v>
      </c>
      <c r="G2177" s="126">
        <f>SUMIFS('Support - Transition'!F:F,'Support - Transition'!B:B,'Step 2'!A2177,'Support - Transition'!C:C,'Step 2'!B2177,'Support - Transition'!D:D,'Step 2'!C2177,'Support - Transition'!E:E,"CIVIL")</f>
        <v>5.2519999999999997E-3</v>
      </c>
      <c r="H2177" s="126">
        <f>SUMIFS('Support - Transition'!F:F,'Support - Transition'!B:B,'Step 2'!A2177,'Support - Transition'!C:C,'Step 2'!B2177,'Support - Transition'!D:D,'Step 2'!C2177,'Support - Transition'!E:E,"FIRE")</f>
        <v>5.2800000000000004E-4</v>
      </c>
      <c r="I2177" s="126">
        <f>IF(B2177="0",SUMIFS('Support - Transition'!F:F,'Support - Transition'!J:J,'Step 2'!D2177,'Support - Transition'!E:E,"STATE UNIT"),SUMIFS('Support - Transition'!F:F,'Support - Transition'!J:J,'Step 2'!D2177))</f>
        <v>5.7799999999999995E-3</v>
      </c>
      <c r="J2177" s="126">
        <f>SUMIFS('Support - Unit Adjustments'!E:E,'Support - Unit Adjustments'!F:F,'Step 2'!D2177)</f>
        <v>0</v>
      </c>
      <c r="K2177" s="126">
        <f t="shared" si="631"/>
        <v>5.7799999999999995E-3</v>
      </c>
      <c r="L2177" s="174">
        <f>VLOOKUP(A2177,'Step 1'!$A:$E,4,FALSE)</f>
        <v>384901</v>
      </c>
      <c r="M2177" s="47">
        <f t="shared" si="632"/>
        <v>2225</v>
      </c>
      <c r="N2177" s="177">
        <f>SUMIFS('Support - Transition'!G:G,'Support - Transition'!J:J,'Step 2'!D2177,'Support - Transition'!E:E,"2009 WELFARE ALLOCATION FACTOR")</f>
        <v>0</v>
      </c>
      <c r="O2177" s="152">
        <f t="shared" si="637"/>
        <v>0</v>
      </c>
      <c r="P2177" s="126">
        <f>IF(E2177="Y",0,SUMIFS('Support - Transition'!G:G,'Support - Transition'!J:J,'Step 2'!D2177,'Support - Transition'!E:E,"2009 SCHOOL ALLOCATION FACTOR"))</f>
        <v>0</v>
      </c>
      <c r="Q2177" s="126">
        <f>IF(E2177="Y",VLOOKUP(D2177,'Support - Unit Adjustments'!F:G,2,FALSE),0)</f>
        <v>0</v>
      </c>
      <c r="R2177" s="155">
        <f t="shared" si="649"/>
        <v>0</v>
      </c>
      <c r="S2177" s="47">
        <f t="shared" si="648"/>
        <v>0</v>
      </c>
      <c r="T2177" s="151">
        <f t="shared" si="633"/>
        <v>2225</v>
      </c>
      <c r="U2177" s="151">
        <f t="shared" si="634"/>
        <v>0</v>
      </c>
      <c r="V2177" s="139">
        <f t="shared" si="635"/>
        <v>0</v>
      </c>
      <c r="W2177" s="152">
        <f t="shared" si="638"/>
        <v>2225</v>
      </c>
      <c r="X2177" s="127" t="str">
        <f t="shared" si="636"/>
        <v/>
      </c>
      <c r="Y2177" s="207">
        <f t="shared" si="639"/>
        <v>2225</v>
      </c>
      <c r="Z2177" s="139">
        <f t="shared" si="640"/>
        <v>2022</v>
      </c>
      <c r="AA2177" s="139">
        <f t="shared" si="641"/>
        <v>203</v>
      </c>
      <c r="AC2177" s="47">
        <f t="shared" si="642"/>
        <v>1113</v>
      </c>
      <c r="AD2177" s="47">
        <f t="shared" si="643"/>
        <v>1011</v>
      </c>
      <c r="AE2177" s="47">
        <f t="shared" si="644"/>
        <v>102</v>
      </c>
      <c r="AG2177" s="47">
        <f t="shared" si="645"/>
        <v>1112</v>
      </c>
      <c r="AH2177" s="47">
        <f t="shared" si="646"/>
        <v>1011</v>
      </c>
      <c r="AI2177" s="208">
        <f t="shared" si="647"/>
        <v>101</v>
      </c>
    </row>
    <row r="2178" spans="1:35">
      <c r="A2178" t="s">
        <v>2157</v>
      </c>
      <c r="B2178" t="s">
        <v>3142</v>
      </c>
      <c r="C2178" t="s">
        <v>2189</v>
      </c>
      <c r="D2178" t="s">
        <v>5689</v>
      </c>
      <c r="F2178" t="s">
        <v>670</v>
      </c>
      <c r="G2178" s="126">
        <f>SUMIFS('Support - Transition'!F:F,'Support - Transition'!B:B,'Step 2'!A2178,'Support - Transition'!C:C,'Step 2'!B2178,'Support - Transition'!D:D,'Step 2'!C2178,'Support - Transition'!E:E,"CIVIL")</f>
        <v>1.7520000000000001E-3</v>
      </c>
      <c r="H2178" s="126">
        <f>SUMIFS('Support - Transition'!F:F,'Support - Transition'!B:B,'Step 2'!A2178,'Support - Transition'!C:C,'Step 2'!B2178,'Support - Transition'!D:D,'Step 2'!C2178,'Support - Transition'!E:E,"FIRE")</f>
        <v>1.8469999999999999E-3</v>
      </c>
      <c r="I2178" s="126">
        <f>IF(B2178="0",SUMIFS('Support - Transition'!F:F,'Support - Transition'!J:J,'Step 2'!D2178,'Support - Transition'!E:E,"STATE UNIT"),SUMIFS('Support - Transition'!F:F,'Support - Transition'!J:J,'Step 2'!D2178))</f>
        <v>3.5989999999999998E-3</v>
      </c>
      <c r="J2178" s="126">
        <f>SUMIFS('Support - Unit Adjustments'!E:E,'Support - Unit Adjustments'!F:F,'Step 2'!D2178)</f>
        <v>0</v>
      </c>
      <c r="K2178" s="126">
        <f t="shared" ref="K2178:K2241" si="650">+I2178+J2178</f>
        <v>3.5989999999999998E-3</v>
      </c>
      <c r="L2178" s="174">
        <f>VLOOKUP(A2178,'Step 1'!$A:$E,4,FALSE)</f>
        <v>384901</v>
      </c>
      <c r="M2178" s="47">
        <f t="shared" ref="M2178:M2241" si="651">ROUND(+K2178*L2178,0)</f>
        <v>1385</v>
      </c>
      <c r="N2178" s="177">
        <f>SUMIFS('Support - Transition'!G:G,'Support - Transition'!J:J,'Step 2'!D2178,'Support - Transition'!E:E,"2009 WELFARE ALLOCATION FACTOR")</f>
        <v>0</v>
      </c>
      <c r="O2178" s="152">
        <f t="shared" si="637"/>
        <v>0</v>
      </c>
      <c r="P2178" s="126">
        <f>IF(E2178="Y",0,SUMIFS('Support - Transition'!G:G,'Support - Transition'!J:J,'Step 2'!D2178,'Support - Transition'!E:E,"2009 SCHOOL ALLOCATION FACTOR"))</f>
        <v>0</v>
      </c>
      <c r="Q2178" s="126">
        <f>IF(E2178="Y",VLOOKUP(D2178,'Support - Unit Adjustments'!F:G,2,FALSE),0)</f>
        <v>0</v>
      </c>
      <c r="R2178" s="155">
        <f t="shared" si="649"/>
        <v>0</v>
      </c>
      <c r="S2178" s="47">
        <f t="shared" si="648"/>
        <v>0</v>
      </c>
      <c r="T2178" s="151">
        <f t="shared" ref="T2178:T2241" si="652">ROUND(+M2178-O2178-S2178,2)</f>
        <v>1385</v>
      </c>
      <c r="U2178" s="151">
        <f t="shared" ref="U2178:U2241" si="653">IF(B2178="0",SUMIFS(O:O,A:A,A2178)+SUMIFS(S:S,A:A,A2178)+SUMIFS(T:T,A:A,A2178),0)</f>
        <v>0</v>
      </c>
      <c r="V2178" s="139">
        <f t="shared" ref="V2178:V2241" si="654">IF(B2178="0",U2178-L2178,0)</f>
        <v>0</v>
      </c>
      <c r="W2178" s="152">
        <f t="shared" si="638"/>
        <v>1385</v>
      </c>
      <c r="X2178" s="127" t="str">
        <f t="shared" ref="X2178:X2241" si="655">IF(B2178="0",SUMIFS(O:O,A:A,A2178)+SUMIFS(S:S,A:A,A2178)+SUMIFS(W:W,A:A,A2178)-L2178,"")</f>
        <v/>
      </c>
      <c r="Y2178" s="207">
        <f t="shared" si="639"/>
        <v>1385</v>
      </c>
      <c r="Z2178" s="139">
        <f t="shared" si="640"/>
        <v>674</v>
      </c>
      <c r="AA2178" s="139">
        <f t="shared" si="641"/>
        <v>711</v>
      </c>
      <c r="AC2178" s="47">
        <f t="shared" si="642"/>
        <v>693</v>
      </c>
      <c r="AD2178" s="47">
        <f t="shared" si="643"/>
        <v>337</v>
      </c>
      <c r="AE2178" s="47">
        <f t="shared" si="644"/>
        <v>356</v>
      </c>
      <c r="AG2178" s="47">
        <f t="shared" si="645"/>
        <v>692</v>
      </c>
      <c r="AH2178" s="47">
        <f t="shared" si="646"/>
        <v>337</v>
      </c>
      <c r="AI2178" s="208">
        <f t="shared" si="647"/>
        <v>355</v>
      </c>
    </row>
    <row r="2179" spans="1:35">
      <c r="A2179" t="s">
        <v>2157</v>
      </c>
      <c r="B2179" t="s">
        <v>3142</v>
      </c>
      <c r="C2179" t="s">
        <v>2190</v>
      </c>
      <c r="D2179" t="s">
        <v>5690</v>
      </c>
      <c r="F2179" t="s">
        <v>869</v>
      </c>
      <c r="G2179" s="126">
        <f>SUMIFS('Support - Transition'!F:F,'Support - Transition'!B:B,'Step 2'!A2179,'Support - Transition'!C:C,'Step 2'!B2179,'Support - Transition'!D:D,'Step 2'!C2179,'Support - Transition'!E:E,"CIVIL")</f>
        <v>2.7989999999999998E-3</v>
      </c>
      <c r="H2179" s="126">
        <f>SUMIFS('Support - Transition'!F:F,'Support - Transition'!B:B,'Step 2'!A2179,'Support - Transition'!C:C,'Step 2'!B2179,'Support - Transition'!D:D,'Step 2'!C2179,'Support - Transition'!E:E,"FIRE")</f>
        <v>2.2799999999999999E-3</v>
      </c>
      <c r="I2179" s="126">
        <f>IF(B2179="0",SUMIFS('Support - Transition'!F:F,'Support - Transition'!J:J,'Step 2'!D2179,'Support - Transition'!E:E,"STATE UNIT"),SUMIFS('Support - Transition'!F:F,'Support - Transition'!J:J,'Step 2'!D2179))</f>
        <v>5.0790000000000002E-3</v>
      </c>
      <c r="J2179" s="126">
        <f>SUMIFS('Support - Unit Adjustments'!E:E,'Support - Unit Adjustments'!F:F,'Step 2'!D2179)</f>
        <v>0</v>
      </c>
      <c r="K2179" s="126">
        <f t="shared" si="650"/>
        <v>5.0790000000000002E-3</v>
      </c>
      <c r="L2179" s="174">
        <f>VLOOKUP(A2179,'Step 1'!$A:$E,4,FALSE)</f>
        <v>384901</v>
      </c>
      <c r="M2179" s="47">
        <f t="shared" si="651"/>
        <v>1955</v>
      </c>
      <c r="N2179" s="177">
        <f>SUMIFS('Support - Transition'!G:G,'Support - Transition'!J:J,'Step 2'!D2179,'Support - Transition'!E:E,"2009 WELFARE ALLOCATION FACTOR")</f>
        <v>0</v>
      </c>
      <c r="O2179" s="152">
        <f t="shared" ref="O2179:O2242" si="656">ROUND(+N2179*M2179,0)</f>
        <v>0</v>
      </c>
      <c r="P2179" s="126">
        <f>IF(E2179="Y",0,SUMIFS('Support - Transition'!G:G,'Support - Transition'!J:J,'Step 2'!D2179,'Support - Transition'!E:E,"2009 SCHOOL ALLOCATION FACTOR"))</f>
        <v>0</v>
      </c>
      <c r="Q2179" s="126">
        <f>IF(E2179="Y",VLOOKUP(D2179,'Support - Unit Adjustments'!F:G,2,FALSE),0)</f>
        <v>0</v>
      </c>
      <c r="R2179" s="155">
        <f t="shared" si="649"/>
        <v>0</v>
      </c>
      <c r="S2179" s="47">
        <f t="shared" si="648"/>
        <v>0</v>
      </c>
      <c r="T2179" s="151">
        <f t="shared" si="652"/>
        <v>1955</v>
      </c>
      <c r="U2179" s="151">
        <f t="shared" si="653"/>
        <v>0</v>
      </c>
      <c r="V2179" s="139">
        <f t="shared" si="654"/>
        <v>0</v>
      </c>
      <c r="W2179" s="152">
        <f t="shared" ref="W2179:W2242" si="657">+T2179-V2179</f>
        <v>1955</v>
      </c>
      <c r="X2179" s="127" t="str">
        <f t="shared" si="655"/>
        <v/>
      </c>
      <c r="Y2179" s="207">
        <f t="shared" ref="Y2179:Y2242" si="658">W2179</f>
        <v>1955</v>
      </c>
      <c r="Z2179" s="139">
        <f t="shared" ref="Z2179:Z2242" si="659">IFERROR(IF(B2179="2",ROUND(Y2179*G2179/I2179,0),Y2179),0)</f>
        <v>1077</v>
      </c>
      <c r="AA2179" s="139">
        <f t="shared" ref="AA2179:AA2242" si="660">+Y2179-Z2179</f>
        <v>878</v>
      </c>
      <c r="AC2179" s="47">
        <f t="shared" ref="AC2179:AC2242" si="661">ROUND(Y2179/2,0)</f>
        <v>978</v>
      </c>
      <c r="AD2179" s="47">
        <f t="shared" ref="AD2179:AD2242" si="662">ROUND(Z2179/2,0)</f>
        <v>539</v>
      </c>
      <c r="AE2179" s="47">
        <f t="shared" ref="AE2179:AE2242" si="663">ROUND(AA2179/2,0)</f>
        <v>439</v>
      </c>
      <c r="AG2179" s="47">
        <f t="shared" ref="AG2179:AG2242" si="664">+Y2179-AC2179</f>
        <v>977</v>
      </c>
      <c r="AH2179" s="47">
        <f t="shared" ref="AH2179:AH2242" si="665">+Z2179-AD2179</f>
        <v>538</v>
      </c>
      <c r="AI2179" s="208">
        <f t="shared" ref="AI2179:AI2242" si="666">+AA2179-AE2179</f>
        <v>439</v>
      </c>
    </row>
    <row r="2180" spans="1:35">
      <c r="A2180" t="s">
        <v>2157</v>
      </c>
      <c r="B2180" t="s">
        <v>3142</v>
      </c>
      <c r="C2180" t="s">
        <v>2191</v>
      </c>
      <c r="D2180" t="s">
        <v>5691</v>
      </c>
      <c r="F2180" t="s">
        <v>1574</v>
      </c>
      <c r="G2180" s="126">
        <f>SUMIFS('Support - Transition'!F:F,'Support - Transition'!B:B,'Step 2'!A2180,'Support - Transition'!C:C,'Step 2'!B2180,'Support - Transition'!D:D,'Step 2'!C2180,'Support - Transition'!E:E,"CIVIL")</f>
        <v>4.2400000000000001E-4</v>
      </c>
      <c r="H2180" s="126">
        <f>SUMIFS('Support - Transition'!F:F,'Support - Transition'!B:B,'Step 2'!A2180,'Support - Transition'!C:C,'Step 2'!B2180,'Support - Transition'!D:D,'Step 2'!C2180,'Support - Transition'!E:E,"FIRE")</f>
        <v>1.56E-4</v>
      </c>
      <c r="I2180" s="126">
        <f>IF(B2180="0",SUMIFS('Support - Transition'!F:F,'Support - Transition'!J:J,'Step 2'!D2180,'Support - Transition'!E:E,"STATE UNIT"),SUMIFS('Support - Transition'!F:F,'Support - Transition'!J:J,'Step 2'!D2180))</f>
        <v>5.8E-4</v>
      </c>
      <c r="J2180" s="126">
        <f>SUMIFS('Support - Unit Adjustments'!E:E,'Support - Unit Adjustments'!F:F,'Step 2'!D2180)</f>
        <v>0</v>
      </c>
      <c r="K2180" s="126">
        <f t="shared" si="650"/>
        <v>5.8E-4</v>
      </c>
      <c r="L2180" s="174">
        <f>VLOOKUP(A2180,'Step 1'!$A:$E,4,FALSE)</f>
        <v>384901</v>
      </c>
      <c r="M2180" s="47">
        <f t="shared" si="651"/>
        <v>223</v>
      </c>
      <c r="N2180" s="177">
        <f>SUMIFS('Support - Transition'!G:G,'Support - Transition'!J:J,'Step 2'!D2180,'Support - Transition'!E:E,"2009 WELFARE ALLOCATION FACTOR")</f>
        <v>0</v>
      </c>
      <c r="O2180" s="152">
        <f t="shared" si="656"/>
        <v>0</v>
      </c>
      <c r="P2180" s="126">
        <f>IF(E2180="Y",0,SUMIFS('Support - Transition'!G:G,'Support - Transition'!J:J,'Step 2'!D2180,'Support - Transition'!E:E,"2009 SCHOOL ALLOCATION FACTOR"))</f>
        <v>0</v>
      </c>
      <c r="Q2180" s="126">
        <f>IF(E2180="Y",VLOOKUP(D2180,'Support - Unit Adjustments'!F:G,2,FALSE),0)</f>
        <v>0</v>
      </c>
      <c r="R2180" s="155">
        <f t="shared" si="649"/>
        <v>0</v>
      </c>
      <c r="S2180" s="47">
        <f t="shared" si="648"/>
        <v>0</v>
      </c>
      <c r="T2180" s="151">
        <f t="shared" si="652"/>
        <v>223</v>
      </c>
      <c r="U2180" s="151">
        <f t="shared" si="653"/>
        <v>0</v>
      </c>
      <c r="V2180" s="139">
        <f t="shared" si="654"/>
        <v>0</v>
      </c>
      <c r="W2180" s="152">
        <f t="shared" si="657"/>
        <v>223</v>
      </c>
      <c r="X2180" s="127" t="str">
        <f t="shared" si="655"/>
        <v/>
      </c>
      <c r="Y2180" s="207">
        <f t="shared" si="658"/>
        <v>223</v>
      </c>
      <c r="Z2180" s="139">
        <f t="shared" si="659"/>
        <v>163</v>
      </c>
      <c r="AA2180" s="139">
        <f t="shared" si="660"/>
        <v>60</v>
      </c>
      <c r="AC2180" s="47">
        <f t="shared" si="661"/>
        <v>112</v>
      </c>
      <c r="AD2180" s="47">
        <f t="shared" si="662"/>
        <v>82</v>
      </c>
      <c r="AE2180" s="47">
        <f t="shared" si="663"/>
        <v>30</v>
      </c>
      <c r="AG2180" s="47">
        <f t="shared" si="664"/>
        <v>111</v>
      </c>
      <c r="AH2180" s="47">
        <f t="shared" si="665"/>
        <v>81</v>
      </c>
      <c r="AI2180" s="208">
        <f t="shared" si="666"/>
        <v>30</v>
      </c>
    </row>
    <row r="2181" spans="1:35">
      <c r="A2181" t="s">
        <v>2157</v>
      </c>
      <c r="B2181" t="s">
        <v>3142</v>
      </c>
      <c r="C2181" t="s">
        <v>2192</v>
      </c>
      <c r="D2181" t="s">
        <v>5692</v>
      </c>
      <c r="F2181" t="s">
        <v>49</v>
      </c>
      <c r="G2181" s="126">
        <f>SUMIFS('Support - Transition'!F:F,'Support - Transition'!B:B,'Step 2'!A2181,'Support - Transition'!C:C,'Step 2'!B2181,'Support - Transition'!D:D,'Step 2'!C2181,'Support - Transition'!E:E,"CIVIL")</f>
        <v>2.6499999999999999E-4</v>
      </c>
      <c r="H2181" s="126">
        <f>SUMIFS('Support - Transition'!F:F,'Support - Transition'!B:B,'Step 2'!A2181,'Support - Transition'!C:C,'Step 2'!B2181,'Support - Transition'!D:D,'Step 2'!C2181,'Support - Transition'!E:E,"FIRE")</f>
        <v>2.1499999999999999E-4</v>
      </c>
      <c r="I2181" s="126">
        <f>IF(B2181="0",SUMIFS('Support - Transition'!F:F,'Support - Transition'!J:J,'Step 2'!D2181,'Support - Transition'!E:E,"STATE UNIT"),SUMIFS('Support - Transition'!F:F,'Support - Transition'!J:J,'Step 2'!D2181))</f>
        <v>4.7999999999999996E-4</v>
      </c>
      <c r="J2181" s="126">
        <f>SUMIFS('Support - Unit Adjustments'!E:E,'Support - Unit Adjustments'!F:F,'Step 2'!D2181)</f>
        <v>0</v>
      </c>
      <c r="K2181" s="126">
        <f t="shared" si="650"/>
        <v>4.7999999999999996E-4</v>
      </c>
      <c r="L2181" s="174">
        <f>VLOOKUP(A2181,'Step 1'!$A:$E,4,FALSE)</f>
        <v>384901</v>
      </c>
      <c r="M2181" s="47">
        <f t="shared" si="651"/>
        <v>185</v>
      </c>
      <c r="N2181" s="177">
        <f>SUMIFS('Support - Transition'!G:G,'Support - Transition'!J:J,'Step 2'!D2181,'Support - Transition'!E:E,"2009 WELFARE ALLOCATION FACTOR")</f>
        <v>0</v>
      </c>
      <c r="O2181" s="152">
        <f t="shared" si="656"/>
        <v>0</v>
      </c>
      <c r="P2181" s="126">
        <f>IF(E2181="Y",0,SUMIFS('Support - Transition'!G:G,'Support - Transition'!J:J,'Step 2'!D2181,'Support - Transition'!E:E,"2009 SCHOOL ALLOCATION FACTOR"))</f>
        <v>0</v>
      </c>
      <c r="Q2181" s="126">
        <f>IF(E2181="Y",VLOOKUP(D2181,'Support - Unit Adjustments'!F:G,2,FALSE),0)</f>
        <v>0</v>
      </c>
      <c r="R2181" s="155">
        <f t="shared" si="649"/>
        <v>0</v>
      </c>
      <c r="S2181" s="47">
        <f t="shared" si="648"/>
        <v>0</v>
      </c>
      <c r="T2181" s="151">
        <f t="shared" si="652"/>
        <v>185</v>
      </c>
      <c r="U2181" s="151">
        <f t="shared" si="653"/>
        <v>0</v>
      </c>
      <c r="V2181" s="139">
        <f t="shared" si="654"/>
        <v>0</v>
      </c>
      <c r="W2181" s="152">
        <f t="shared" si="657"/>
        <v>185</v>
      </c>
      <c r="X2181" s="127" t="str">
        <f t="shared" si="655"/>
        <v/>
      </c>
      <c r="Y2181" s="207">
        <f t="shared" si="658"/>
        <v>185</v>
      </c>
      <c r="Z2181" s="139">
        <f t="shared" si="659"/>
        <v>102</v>
      </c>
      <c r="AA2181" s="139">
        <f t="shared" si="660"/>
        <v>83</v>
      </c>
      <c r="AC2181" s="47">
        <f t="shared" si="661"/>
        <v>93</v>
      </c>
      <c r="AD2181" s="47">
        <f t="shared" si="662"/>
        <v>51</v>
      </c>
      <c r="AE2181" s="47">
        <f t="shared" si="663"/>
        <v>42</v>
      </c>
      <c r="AG2181" s="47">
        <f t="shared" si="664"/>
        <v>92</v>
      </c>
      <c r="AH2181" s="47">
        <f t="shared" si="665"/>
        <v>51</v>
      </c>
      <c r="AI2181" s="208">
        <f t="shared" si="666"/>
        <v>41</v>
      </c>
    </row>
    <row r="2182" spans="1:35">
      <c r="A2182" t="s">
        <v>2157</v>
      </c>
      <c r="B2182" t="s">
        <v>3142</v>
      </c>
      <c r="C2182" t="s">
        <v>2193</v>
      </c>
      <c r="D2182" t="s">
        <v>5693</v>
      </c>
      <c r="F2182" t="s">
        <v>181</v>
      </c>
      <c r="G2182" s="126">
        <f>SUMIFS('Support - Transition'!F:F,'Support - Transition'!B:B,'Step 2'!A2182,'Support - Transition'!C:C,'Step 2'!B2182,'Support - Transition'!D:D,'Step 2'!C2182,'Support - Transition'!E:E,"CIVIL")</f>
        <v>7.7899999999999996E-4</v>
      </c>
      <c r="H2182" s="126">
        <f>SUMIFS('Support - Transition'!F:F,'Support - Transition'!B:B,'Step 2'!A2182,'Support - Transition'!C:C,'Step 2'!B2182,'Support - Transition'!D:D,'Step 2'!C2182,'Support - Transition'!E:E,"FIRE")</f>
        <v>2.3699999999999999E-4</v>
      </c>
      <c r="I2182" s="126">
        <f>IF(B2182="0",SUMIFS('Support - Transition'!F:F,'Support - Transition'!J:J,'Step 2'!D2182,'Support - Transition'!E:E,"STATE UNIT"),SUMIFS('Support - Transition'!F:F,'Support - Transition'!J:J,'Step 2'!D2182))</f>
        <v>1.016E-3</v>
      </c>
      <c r="J2182" s="126">
        <f>SUMIFS('Support - Unit Adjustments'!E:E,'Support - Unit Adjustments'!F:F,'Step 2'!D2182)</f>
        <v>0</v>
      </c>
      <c r="K2182" s="126">
        <f t="shared" si="650"/>
        <v>1.016E-3</v>
      </c>
      <c r="L2182" s="174">
        <f>VLOOKUP(A2182,'Step 1'!$A:$E,4,FALSE)</f>
        <v>384901</v>
      </c>
      <c r="M2182" s="47">
        <f t="shared" si="651"/>
        <v>391</v>
      </c>
      <c r="N2182" s="177">
        <f>SUMIFS('Support - Transition'!G:G,'Support - Transition'!J:J,'Step 2'!D2182,'Support - Transition'!E:E,"2009 WELFARE ALLOCATION FACTOR")</f>
        <v>0</v>
      </c>
      <c r="O2182" s="152">
        <f t="shared" si="656"/>
        <v>0</v>
      </c>
      <c r="P2182" s="126">
        <f>IF(E2182="Y",0,SUMIFS('Support - Transition'!G:G,'Support - Transition'!J:J,'Step 2'!D2182,'Support - Transition'!E:E,"2009 SCHOOL ALLOCATION FACTOR"))</f>
        <v>0</v>
      </c>
      <c r="Q2182" s="126">
        <f>IF(E2182="Y",VLOOKUP(D2182,'Support - Unit Adjustments'!F:G,2,FALSE),0)</f>
        <v>0</v>
      </c>
      <c r="R2182" s="155">
        <f t="shared" si="649"/>
        <v>0</v>
      </c>
      <c r="S2182" s="47">
        <f t="shared" si="648"/>
        <v>0</v>
      </c>
      <c r="T2182" s="151">
        <f t="shared" si="652"/>
        <v>391</v>
      </c>
      <c r="U2182" s="151">
        <f t="shared" si="653"/>
        <v>0</v>
      </c>
      <c r="V2182" s="139">
        <f t="shared" si="654"/>
        <v>0</v>
      </c>
      <c r="W2182" s="152">
        <f t="shared" si="657"/>
        <v>391</v>
      </c>
      <c r="X2182" s="127" t="str">
        <f t="shared" si="655"/>
        <v/>
      </c>
      <c r="Y2182" s="207">
        <f t="shared" si="658"/>
        <v>391</v>
      </c>
      <c r="Z2182" s="139">
        <f t="shared" si="659"/>
        <v>300</v>
      </c>
      <c r="AA2182" s="139">
        <f t="shared" si="660"/>
        <v>91</v>
      </c>
      <c r="AC2182" s="47">
        <f t="shared" si="661"/>
        <v>196</v>
      </c>
      <c r="AD2182" s="47">
        <f t="shared" si="662"/>
        <v>150</v>
      </c>
      <c r="AE2182" s="47">
        <f t="shared" si="663"/>
        <v>46</v>
      </c>
      <c r="AG2182" s="47">
        <f t="shared" si="664"/>
        <v>195</v>
      </c>
      <c r="AH2182" s="47">
        <f t="shared" si="665"/>
        <v>150</v>
      </c>
      <c r="AI2182" s="208">
        <f t="shared" si="666"/>
        <v>45</v>
      </c>
    </row>
    <row r="2183" spans="1:35">
      <c r="A2183" t="s">
        <v>2157</v>
      </c>
      <c r="B2183" t="s">
        <v>3142</v>
      </c>
      <c r="C2183" t="s">
        <v>2194</v>
      </c>
      <c r="D2183" t="s">
        <v>5694</v>
      </c>
      <c r="F2183" t="s">
        <v>53</v>
      </c>
      <c r="G2183" s="126">
        <f>SUMIFS('Support - Transition'!F:F,'Support - Transition'!B:B,'Step 2'!A2183,'Support - Transition'!C:C,'Step 2'!B2183,'Support - Transition'!D:D,'Step 2'!C2183,'Support - Transition'!E:E,"CIVIL")</f>
        <v>9.5000000000000005E-5</v>
      </c>
      <c r="H2183" s="126">
        <f>SUMIFS('Support - Transition'!F:F,'Support - Transition'!B:B,'Step 2'!A2183,'Support - Transition'!C:C,'Step 2'!B2183,'Support - Transition'!D:D,'Step 2'!C2183,'Support - Transition'!E:E,"FIRE")</f>
        <v>1.18E-4</v>
      </c>
      <c r="I2183" s="126">
        <f>IF(B2183="0",SUMIFS('Support - Transition'!F:F,'Support - Transition'!J:J,'Step 2'!D2183,'Support - Transition'!E:E,"STATE UNIT"),SUMIFS('Support - Transition'!F:F,'Support - Transition'!J:J,'Step 2'!D2183))</f>
        <v>2.13E-4</v>
      </c>
      <c r="J2183" s="126">
        <f>SUMIFS('Support - Unit Adjustments'!E:E,'Support - Unit Adjustments'!F:F,'Step 2'!D2183)</f>
        <v>0</v>
      </c>
      <c r="K2183" s="126">
        <f t="shared" si="650"/>
        <v>2.13E-4</v>
      </c>
      <c r="L2183" s="174">
        <f>VLOOKUP(A2183,'Step 1'!$A:$E,4,FALSE)</f>
        <v>384901</v>
      </c>
      <c r="M2183" s="47">
        <f t="shared" si="651"/>
        <v>82</v>
      </c>
      <c r="N2183" s="177">
        <f>SUMIFS('Support - Transition'!G:G,'Support - Transition'!J:J,'Step 2'!D2183,'Support - Transition'!E:E,"2009 WELFARE ALLOCATION FACTOR")</f>
        <v>0</v>
      </c>
      <c r="O2183" s="152">
        <f t="shared" si="656"/>
        <v>0</v>
      </c>
      <c r="P2183" s="126">
        <f>IF(E2183="Y",0,SUMIFS('Support - Transition'!G:G,'Support - Transition'!J:J,'Step 2'!D2183,'Support - Transition'!E:E,"2009 SCHOOL ALLOCATION FACTOR"))</f>
        <v>0</v>
      </c>
      <c r="Q2183" s="126">
        <f>IF(E2183="Y",VLOOKUP(D2183,'Support - Unit Adjustments'!F:G,2,FALSE),0)</f>
        <v>0</v>
      </c>
      <c r="R2183" s="155">
        <f t="shared" si="649"/>
        <v>0</v>
      </c>
      <c r="S2183" s="47">
        <f t="shared" si="648"/>
        <v>0</v>
      </c>
      <c r="T2183" s="151">
        <f t="shared" si="652"/>
        <v>82</v>
      </c>
      <c r="U2183" s="151">
        <f t="shared" si="653"/>
        <v>0</v>
      </c>
      <c r="V2183" s="139">
        <f t="shared" si="654"/>
        <v>0</v>
      </c>
      <c r="W2183" s="152">
        <f t="shared" si="657"/>
        <v>82</v>
      </c>
      <c r="X2183" s="127" t="str">
        <f t="shared" si="655"/>
        <v/>
      </c>
      <c r="Y2183" s="207">
        <f t="shared" si="658"/>
        <v>82</v>
      </c>
      <c r="Z2183" s="139">
        <f t="shared" si="659"/>
        <v>37</v>
      </c>
      <c r="AA2183" s="139">
        <f t="shared" si="660"/>
        <v>45</v>
      </c>
      <c r="AC2183" s="47">
        <f t="shared" si="661"/>
        <v>41</v>
      </c>
      <c r="AD2183" s="47">
        <f t="shared" si="662"/>
        <v>19</v>
      </c>
      <c r="AE2183" s="47">
        <f t="shared" si="663"/>
        <v>23</v>
      </c>
      <c r="AG2183" s="47">
        <f t="shared" si="664"/>
        <v>41</v>
      </c>
      <c r="AH2183" s="47">
        <f t="shared" si="665"/>
        <v>18</v>
      </c>
      <c r="AI2183" s="208">
        <f t="shared" si="666"/>
        <v>22</v>
      </c>
    </row>
    <row r="2184" spans="1:35">
      <c r="A2184" t="s">
        <v>2157</v>
      </c>
      <c r="B2184" t="s">
        <v>3142</v>
      </c>
      <c r="C2184" t="s">
        <v>2195</v>
      </c>
      <c r="D2184" t="s">
        <v>5695</v>
      </c>
      <c r="F2184" t="s">
        <v>1575</v>
      </c>
      <c r="G2184" s="126">
        <f>SUMIFS('Support - Transition'!F:F,'Support - Transition'!B:B,'Step 2'!A2184,'Support - Transition'!C:C,'Step 2'!B2184,'Support - Transition'!D:D,'Step 2'!C2184,'Support - Transition'!E:E,"CIVIL")</f>
        <v>4.993E-3</v>
      </c>
      <c r="H2184" s="126">
        <f>SUMIFS('Support - Transition'!F:F,'Support - Transition'!B:B,'Step 2'!A2184,'Support - Transition'!C:C,'Step 2'!B2184,'Support - Transition'!D:D,'Step 2'!C2184,'Support - Transition'!E:E,"FIRE")</f>
        <v>3.5660000000000002E-3</v>
      </c>
      <c r="I2184" s="126">
        <f>IF(B2184="0",SUMIFS('Support - Transition'!F:F,'Support - Transition'!J:J,'Step 2'!D2184,'Support - Transition'!E:E,"STATE UNIT"),SUMIFS('Support - Transition'!F:F,'Support - Transition'!J:J,'Step 2'!D2184))</f>
        <v>8.5590000000000006E-3</v>
      </c>
      <c r="J2184" s="126">
        <f>SUMIFS('Support - Unit Adjustments'!E:E,'Support - Unit Adjustments'!F:F,'Step 2'!D2184)</f>
        <v>0</v>
      </c>
      <c r="K2184" s="126">
        <f t="shared" si="650"/>
        <v>8.5590000000000006E-3</v>
      </c>
      <c r="L2184" s="174">
        <f>VLOOKUP(A2184,'Step 1'!$A:$E,4,FALSE)</f>
        <v>384901</v>
      </c>
      <c r="M2184" s="47">
        <f t="shared" si="651"/>
        <v>3294</v>
      </c>
      <c r="N2184" s="177">
        <f>SUMIFS('Support - Transition'!G:G,'Support - Transition'!J:J,'Step 2'!D2184,'Support - Transition'!E:E,"2009 WELFARE ALLOCATION FACTOR")</f>
        <v>0</v>
      </c>
      <c r="O2184" s="152">
        <f t="shared" si="656"/>
        <v>0</v>
      </c>
      <c r="P2184" s="126">
        <f>IF(E2184="Y",0,SUMIFS('Support - Transition'!G:G,'Support - Transition'!J:J,'Step 2'!D2184,'Support - Transition'!E:E,"2009 SCHOOL ALLOCATION FACTOR"))</f>
        <v>0</v>
      </c>
      <c r="Q2184" s="126">
        <f>IF(E2184="Y",VLOOKUP(D2184,'Support - Unit Adjustments'!F:G,2,FALSE),0)</f>
        <v>0</v>
      </c>
      <c r="R2184" s="155">
        <f t="shared" si="649"/>
        <v>0</v>
      </c>
      <c r="S2184" s="47">
        <f t="shared" ref="S2184:S2247" si="667">ROUND(+R2184*M2184,0)</f>
        <v>0</v>
      </c>
      <c r="T2184" s="151">
        <f t="shared" si="652"/>
        <v>3294</v>
      </c>
      <c r="U2184" s="151">
        <f t="shared" si="653"/>
        <v>0</v>
      </c>
      <c r="V2184" s="139">
        <f t="shared" si="654"/>
        <v>0</v>
      </c>
      <c r="W2184" s="152">
        <f t="shared" si="657"/>
        <v>3294</v>
      </c>
      <c r="X2184" s="127" t="str">
        <f t="shared" si="655"/>
        <v/>
      </c>
      <c r="Y2184" s="207">
        <f t="shared" si="658"/>
        <v>3294</v>
      </c>
      <c r="Z2184" s="139">
        <f t="shared" si="659"/>
        <v>1922</v>
      </c>
      <c r="AA2184" s="139">
        <f t="shared" si="660"/>
        <v>1372</v>
      </c>
      <c r="AC2184" s="47">
        <f t="shared" si="661"/>
        <v>1647</v>
      </c>
      <c r="AD2184" s="47">
        <f t="shared" si="662"/>
        <v>961</v>
      </c>
      <c r="AE2184" s="47">
        <f t="shared" si="663"/>
        <v>686</v>
      </c>
      <c r="AG2184" s="47">
        <f t="shared" si="664"/>
        <v>1647</v>
      </c>
      <c r="AH2184" s="47">
        <f t="shared" si="665"/>
        <v>961</v>
      </c>
      <c r="AI2184" s="208">
        <f t="shared" si="666"/>
        <v>686</v>
      </c>
    </row>
    <row r="2185" spans="1:35">
      <c r="A2185" t="s">
        <v>2157</v>
      </c>
      <c r="B2185" t="s">
        <v>3142</v>
      </c>
      <c r="C2185" t="s">
        <v>2196</v>
      </c>
      <c r="D2185" t="s">
        <v>5696</v>
      </c>
      <c r="F2185" t="s">
        <v>203</v>
      </c>
      <c r="G2185" s="126">
        <f>SUMIFS('Support - Transition'!F:F,'Support - Transition'!B:B,'Step 2'!A2185,'Support - Transition'!C:C,'Step 2'!B2185,'Support - Transition'!D:D,'Step 2'!C2185,'Support - Transition'!E:E,"CIVIL")</f>
        <v>2.4399999999999999E-4</v>
      </c>
      <c r="H2185" s="126">
        <f>SUMIFS('Support - Transition'!F:F,'Support - Transition'!B:B,'Step 2'!A2185,'Support - Transition'!C:C,'Step 2'!B2185,'Support - Transition'!D:D,'Step 2'!C2185,'Support - Transition'!E:E,"FIRE")</f>
        <v>9.5000000000000005E-5</v>
      </c>
      <c r="I2185" s="126">
        <f>IF(B2185="0",SUMIFS('Support - Transition'!F:F,'Support - Transition'!J:J,'Step 2'!D2185,'Support - Transition'!E:E,"STATE UNIT"),SUMIFS('Support - Transition'!F:F,'Support - Transition'!J:J,'Step 2'!D2185))</f>
        <v>3.39E-4</v>
      </c>
      <c r="J2185" s="126">
        <f>SUMIFS('Support - Unit Adjustments'!E:E,'Support - Unit Adjustments'!F:F,'Step 2'!D2185)</f>
        <v>0</v>
      </c>
      <c r="K2185" s="126">
        <f t="shared" si="650"/>
        <v>3.39E-4</v>
      </c>
      <c r="L2185" s="174">
        <f>VLOOKUP(A2185,'Step 1'!$A:$E,4,FALSE)</f>
        <v>384901</v>
      </c>
      <c r="M2185" s="47">
        <f t="shared" si="651"/>
        <v>130</v>
      </c>
      <c r="N2185" s="177">
        <f>SUMIFS('Support - Transition'!G:G,'Support - Transition'!J:J,'Step 2'!D2185,'Support - Transition'!E:E,"2009 WELFARE ALLOCATION FACTOR")</f>
        <v>0</v>
      </c>
      <c r="O2185" s="152">
        <f t="shared" si="656"/>
        <v>0</v>
      </c>
      <c r="P2185" s="126">
        <f>IF(E2185="Y",0,SUMIFS('Support - Transition'!G:G,'Support - Transition'!J:J,'Step 2'!D2185,'Support - Transition'!E:E,"2009 SCHOOL ALLOCATION FACTOR"))</f>
        <v>0</v>
      </c>
      <c r="Q2185" s="126">
        <f>IF(E2185="Y",VLOOKUP(D2185,'Support - Unit Adjustments'!F:G,2,FALSE),0)</f>
        <v>0</v>
      </c>
      <c r="R2185" s="155">
        <f t="shared" ref="R2185:R2248" si="668">+P2185+Q2185</f>
        <v>0</v>
      </c>
      <c r="S2185" s="47">
        <f t="shared" si="667"/>
        <v>0</v>
      </c>
      <c r="T2185" s="151">
        <f t="shared" si="652"/>
        <v>130</v>
      </c>
      <c r="U2185" s="151">
        <f t="shared" si="653"/>
        <v>0</v>
      </c>
      <c r="V2185" s="139">
        <f t="shared" si="654"/>
        <v>0</v>
      </c>
      <c r="W2185" s="152">
        <f t="shared" si="657"/>
        <v>130</v>
      </c>
      <c r="X2185" s="127" t="str">
        <f t="shared" si="655"/>
        <v/>
      </c>
      <c r="Y2185" s="207">
        <f t="shared" si="658"/>
        <v>130</v>
      </c>
      <c r="Z2185" s="139">
        <f t="shared" si="659"/>
        <v>94</v>
      </c>
      <c r="AA2185" s="139">
        <f t="shared" si="660"/>
        <v>36</v>
      </c>
      <c r="AC2185" s="47">
        <f t="shared" si="661"/>
        <v>65</v>
      </c>
      <c r="AD2185" s="47">
        <f t="shared" si="662"/>
        <v>47</v>
      </c>
      <c r="AE2185" s="47">
        <f t="shared" si="663"/>
        <v>18</v>
      </c>
      <c r="AG2185" s="47">
        <f t="shared" si="664"/>
        <v>65</v>
      </c>
      <c r="AH2185" s="47">
        <f t="shared" si="665"/>
        <v>47</v>
      </c>
      <c r="AI2185" s="208">
        <f t="shared" si="666"/>
        <v>18</v>
      </c>
    </row>
    <row r="2186" spans="1:35">
      <c r="A2186" t="s">
        <v>2157</v>
      </c>
      <c r="B2186" t="s">
        <v>3142</v>
      </c>
      <c r="C2186" t="s">
        <v>2197</v>
      </c>
      <c r="D2186" t="s">
        <v>5697</v>
      </c>
      <c r="F2186" t="s">
        <v>873</v>
      </c>
      <c r="G2186" s="126">
        <f>SUMIFS('Support - Transition'!F:F,'Support - Transition'!B:B,'Step 2'!A2186,'Support - Transition'!C:C,'Step 2'!B2186,'Support - Transition'!D:D,'Step 2'!C2186,'Support - Transition'!E:E,"CIVIL")</f>
        <v>7.8399999999999997E-4</v>
      </c>
      <c r="H2186" s="126">
        <f>SUMIFS('Support - Transition'!F:F,'Support - Transition'!B:B,'Step 2'!A2186,'Support - Transition'!C:C,'Step 2'!B2186,'Support - Transition'!D:D,'Step 2'!C2186,'Support - Transition'!E:E,"FIRE")</f>
        <v>1.456E-3</v>
      </c>
      <c r="I2186" s="126">
        <f>IF(B2186="0",SUMIFS('Support - Transition'!F:F,'Support - Transition'!J:J,'Step 2'!D2186,'Support - Transition'!E:E,"STATE UNIT"),SUMIFS('Support - Transition'!F:F,'Support - Transition'!J:J,'Step 2'!D2186))</f>
        <v>2.2399999999999998E-3</v>
      </c>
      <c r="J2186" s="126">
        <f>SUMIFS('Support - Unit Adjustments'!E:E,'Support - Unit Adjustments'!F:F,'Step 2'!D2186)</f>
        <v>0</v>
      </c>
      <c r="K2186" s="126">
        <f t="shared" si="650"/>
        <v>2.2399999999999998E-3</v>
      </c>
      <c r="L2186" s="174">
        <f>VLOOKUP(A2186,'Step 1'!$A:$E,4,FALSE)</f>
        <v>384901</v>
      </c>
      <c r="M2186" s="47">
        <f t="shared" si="651"/>
        <v>862</v>
      </c>
      <c r="N2186" s="177">
        <f>SUMIFS('Support - Transition'!G:G,'Support - Transition'!J:J,'Step 2'!D2186,'Support - Transition'!E:E,"2009 WELFARE ALLOCATION FACTOR")</f>
        <v>0</v>
      </c>
      <c r="O2186" s="152">
        <f t="shared" si="656"/>
        <v>0</v>
      </c>
      <c r="P2186" s="126">
        <f>IF(E2186="Y",0,SUMIFS('Support - Transition'!G:G,'Support - Transition'!J:J,'Step 2'!D2186,'Support - Transition'!E:E,"2009 SCHOOL ALLOCATION FACTOR"))</f>
        <v>0</v>
      </c>
      <c r="Q2186" s="126">
        <f>IF(E2186="Y",VLOOKUP(D2186,'Support - Unit Adjustments'!F:G,2,FALSE),0)</f>
        <v>0</v>
      </c>
      <c r="R2186" s="155">
        <f t="shared" si="668"/>
        <v>0</v>
      </c>
      <c r="S2186" s="47">
        <f t="shared" si="667"/>
        <v>0</v>
      </c>
      <c r="T2186" s="151">
        <f t="shared" si="652"/>
        <v>862</v>
      </c>
      <c r="U2186" s="151">
        <f t="shared" si="653"/>
        <v>0</v>
      </c>
      <c r="V2186" s="139">
        <f t="shared" si="654"/>
        <v>0</v>
      </c>
      <c r="W2186" s="152">
        <f t="shared" si="657"/>
        <v>862</v>
      </c>
      <c r="X2186" s="127" t="str">
        <f t="shared" si="655"/>
        <v/>
      </c>
      <c r="Y2186" s="207">
        <f t="shared" si="658"/>
        <v>862</v>
      </c>
      <c r="Z2186" s="139">
        <f t="shared" si="659"/>
        <v>302</v>
      </c>
      <c r="AA2186" s="139">
        <f t="shared" si="660"/>
        <v>560</v>
      </c>
      <c r="AC2186" s="47">
        <f t="shared" si="661"/>
        <v>431</v>
      </c>
      <c r="AD2186" s="47">
        <f t="shared" si="662"/>
        <v>151</v>
      </c>
      <c r="AE2186" s="47">
        <f t="shared" si="663"/>
        <v>280</v>
      </c>
      <c r="AG2186" s="47">
        <f t="shared" si="664"/>
        <v>431</v>
      </c>
      <c r="AH2186" s="47">
        <f t="shared" si="665"/>
        <v>151</v>
      </c>
      <c r="AI2186" s="208">
        <f t="shared" si="666"/>
        <v>280</v>
      </c>
    </row>
    <row r="2187" spans="1:35">
      <c r="A2187" t="s">
        <v>2157</v>
      </c>
      <c r="B2187" t="s">
        <v>3142</v>
      </c>
      <c r="C2187" t="s">
        <v>2198</v>
      </c>
      <c r="D2187" t="s">
        <v>5698</v>
      </c>
      <c r="F2187" t="s">
        <v>149</v>
      </c>
      <c r="G2187" s="126">
        <f>SUMIFS('Support - Transition'!F:F,'Support - Transition'!B:B,'Step 2'!A2187,'Support - Transition'!C:C,'Step 2'!B2187,'Support - Transition'!D:D,'Step 2'!C2187,'Support - Transition'!E:E,"CIVIL")</f>
        <v>8.3799999999999999E-4</v>
      </c>
      <c r="H2187" s="126">
        <f>SUMIFS('Support - Transition'!F:F,'Support - Transition'!B:B,'Step 2'!A2187,'Support - Transition'!C:C,'Step 2'!B2187,'Support - Transition'!D:D,'Step 2'!C2187,'Support - Transition'!E:E,"FIRE")</f>
        <v>5.6099999999999998E-4</v>
      </c>
      <c r="I2187" s="126">
        <f>IF(B2187="0",SUMIFS('Support - Transition'!F:F,'Support - Transition'!J:J,'Step 2'!D2187,'Support - Transition'!E:E,"STATE UNIT"),SUMIFS('Support - Transition'!F:F,'Support - Transition'!J:J,'Step 2'!D2187))</f>
        <v>1.3990000000000001E-3</v>
      </c>
      <c r="J2187" s="126">
        <f>SUMIFS('Support - Unit Adjustments'!E:E,'Support - Unit Adjustments'!F:F,'Step 2'!D2187)</f>
        <v>0</v>
      </c>
      <c r="K2187" s="126">
        <f t="shared" si="650"/>
        <v>1.3990000000000001E-3</v>
      </c>
      <c r="L2187" s="174">
        <f>VLOOKUP(A2187,'Step 1'!$A:$E,4,FALSE)</f>
        <v>384901</v>
      </c>
      <c r="M2187" s="47">
        <f t="shared" si="651"/>
        <v>538</v>
      </c>
      <c r="N2187" s="177">
        <f>SUMIFS('Support - Transition'!G:G,'Support - Transition'!J:J,'Step 2'!D2187,'Support - Transition'!E:E,"2009 WELFARE ALLOCATION FACTOR")</f>
        <v>0</v>
      </c>
      <c r="O2187" s="152">
        <f t="shared" si="656"/>
        <v>0</v>
      </c>
      <c r="P2187" s="126">
        <f>IF(E2187="Y",0,SUMIFS('Support - Transition'!G:G,'Support - Transition'!J:J,'Step 2'!D2187,'Support - Transition'!E:E,"2009 SCHOOL ALLOCATION FACTOR"))</f>
        <v>0</v>
      </c>
      <c r="Q2187" s="126">
        <f>IF(E2187="Y",VLOOKUP(D2187,'Support - Unit Adjustments'!F:G,2,FALSE),0)</f>
        <v>0</v>
      </c>
      <c r="R2187" s="155">
        <f t="shared" si="668"/>
        <v>0</v>
      </c>
      <c r="S2187" s="47">
        <f t="shared" si="667"/>
        <v>0</v>
      </c>
      <c r="T2187" s="151">
        <f t="shared" si="652"/>
        <v>538</v>
      </c>
      <c r="U2187" s="151">
        <f t="shared" si="653"/>
        <v>0</v>
      </c>
      <c r="V2187" s="139">
        <f t="shared" si="654"/>
        <v>0</v>
      </c>
      <c r="W2187" s="152">
        <f t="shared" si="657"/>
        <v>538</v>
      </c>
      <c r="X2187" s="127" t="str">
        <f t="shared" si="655"/>
        <v/>
      </c>
      <c r="Y2187" s="207">
        <f t="shared" si="658"/>
        <v>538</v>
      </c>
      <c r="Z2187" s="139">
        <f t="shared" si="659"/>
        <v>322</v>
      </c>
      <c r="AA2187" s="139">
        <f t="shared" si="660"/>
        <v>216</v>
      </c>
      <c r="AC2187" s="47">
        <f t="shared" si="661"/>
        <v>269</v>
      </c>
      <c r="AD2187" s="47">
        <f t="shared" si="662"/>
        <v>161</v>
      </c>
      <c r="AE2187" s="47">
        <f t="shared" si="663"/>
        <v>108</v>
      </c>
      <c r="AG2187" s="47">
        <f t="shared" si="664"/>
        <v>269</v>
      </c>
      <c r="AH2187" s="47">
        <f t="shared" si="665"/>
        <v>161</v>
      </c>
      <c r="AI2187" s="208">
        <f t="shared" si="666"/>
        <v>108</v>
      </c>
    </row>
    <row r="2188" spans="1:35">
      <c r="A2188" t="s">
        <v>2157</v>
      </c>
      <c r="B2188" t="s">
        <v>3142</v>
      </c>
      <c r="C2188" t="s">
        <v>2199</v>
      </c>
      <c r="D2188" t="s">
        <v>5699</v>
      </c>
      <c r="F2188" t="s">
        <v>20</v>
      </c>
      <c r="G2188" s="126">
        <f>SUMIFS('Support - Transition'!F:F,'Support - Transition'!B:B,'Step 2'!A2188,'Support - Transition'!C:C,'Step 2'!B2188,'Support - Transition'!D:D,'Step 2'!C2188,'Support - Transition'!E:E,"CIVIL")</f>
        <v>8.3600000000000005E-4</v>
      </c>
      <c r="H2188" s="126">
        <f>SUMIFS('Support - Transition'!F:F,'Support - Transition'!B:B,'Step 2'!A2188,'Support - Transition'!C:C,'Step 2'!B2188,'Support - Transition'!D:D,'Step 2'!C2188,'Support - Transition'!E:E,"FIRE")</f>
        <v>2.9100000000000003E-4</v>
      </c>
      <c r="I2188" s="126">
        <f>IF(B2188="0",SUMIFS('Support - Transition'!F:F,'Support - Transition'!J:J,'Step 2'!D2188,'Support - Transition'!E:E,"STATE UNIT"),SUMIFS('Support - Transition'!F:F,'Support - Transition'!J:J,'Step 2'!D2188))</f>
        <v>1.127E-3</v>
      </c>
      <c r="J2188" s="126">
        <f>SUMIFS('Support - Unit Adjustments'!E:E,'Support - Unit Adjustments'!F:F,'Step 2'!D2188)</f>
        <v>0</v>
      </c>
      <c r="K2188" s="126">
        <f t="shared" si="650"/>
        <v>1.127E-3</v>
      </c>
      <c r="L2188" s="174">
        <f>VLOOKUP(A2188,'Step 1'!$A:$E,4,FALSE)</f>
        <v>384901</v>
      </c>
      <c r="M2188" s="47">
        <f t="shared" si="651"/>
        <v>434</v>
      </c>
      <c r="N2188" s="177">
        <f>SUMIFS('Support - Transition'!G:G,'Support - Transition'!J:J,'Step 2'!D2188,'Support - Transition'!E:E,"2009 WELFARE ALLOCATION FACTOR")</f>
        <v>0</v>
      </c>
      <c r="O2188" s="152">
        <f t="shared" si="656"/>
        <v>0</v>
      </c>
      <c r="P2188" s="126">
        <f>IF(E2188="Y",0,SUMIFS('Support - Transition'!G:G,'Support - Transition'!J:J,'Step 2'!D2188,'Support - Transition'!E:E,"2009 SCHOOL ALLOCATION FACTOR"))</f>
        <v>0</v>
      </c>
      <c r="Q2188" s="126">
        <f>IF(E2188="Y",VLOOKUP(D2188,'Support - Unit Adjustments'!F:G,2,FALSE),0)</f>
        <v>0</v>
      </c>
      <c r="R2188" s="155">
        <f t="shared" si="668"/>
        <v>0</v>
      </c>
      <c r="S2188" s="47">
        <f t="shared" si="667"/>
        <v>0</v>
      </c>
      <c r="T2188" s="151">
        <f t="shared" si="652"/>
        <v>434</v>
      </c>
      <c r="U2188" s="151">
        <f t="shared" si="653"/>
        <v>0</v>
      </c>
      <c r="V2188" s="139">
        <f t="shared" si="654"/>
        <v>0</v>
      </c>
      <c r="W2188" s="152">
        <f t="shared" si="657"/>
        <v>434</v>
      </c>
      <c r="X2188" s="127" t="str">
        <f t="shared" si="655"/>
        <v/>
      </c>
      <c r="Y2188" s="207">
        <f t="shared" si="658"/>
        <v>434</v>
      </c>
      <c r="Z2188" s="139">
        <f t="shared" si="659"/>
        <v>322</v>
      </c>
      <c r="AA2188" s="139">
        <f t="shared" si="660"/>
        <v>112</v>
      </c>
      <c r="AC2188" s="47">
        <f t="shared" si="661"/>
        <v>217</v>
      </c>
      <c r="AD2188" s="47">
        <f t="shared" si="662"/>
        <v>161</v>
      </c>
      <c r="AE2188" s="47">
        <f t="shared" si="663"/>
        <v>56</v>
      </c>
      <c r="AG2188" s="47">
        <f t="shared" si="664"/>
        <v>217</v>
      </c>
      <c r="AH2188" s="47">
        <f t="shared" si="665"/>
        <v>161</v>
      </c>
      <c r="AI2188" s="208">
        <f t="shared" si="666"/>
        <v>56</v>
      </c>
    </row>
    <row r="2189" spans="1:35">
      <c r="A2189" t="s">
        <v>2157</v>
      </c>
      <c r="B2189" t="s">
        <v>3142</v>
      </c>
      <c r="C2189" t="s">
        <v>2208</v>
      </c>
      <c r="D2189" t="s">
        <v>5700</v>
      </c>
      <c r="F2189" t="s">
        <v>169</v>
      </c>
      <c r="G2189" s="126">
        <f>SUMIFS('Support - Transition'!F:F,'Support - Transition'!B:B,'Step 2'!A2189,'Support - Transition'!C:C,'Step 2'!B2189,'Support - Transition'!D:D,'Step 2'!C2189,'Support - Transition'!E:E,"CIVIL")</f>
        <v>6.7699999999999998E-4</v>
      </c>
      <c r="H2189" s="126">
        <f>SUMIFS('Support - Transition'!F:F,'Support - Transition'!B:B,'Step 2'!A2189,'Support - Transition'!C:C,'Step 2'!B2189,'Support - Transition'!D:D,'Step 2'!C2189,'Support - Transition'!E:E,"FIRE")</f>
        <v>5.2300000000000003E-4</v>
      </c>
      <c r="I2189" s="126">
        <f>IF(B2189="0",SUMIFS('Support - Transition'!F:F,'Support - Transition'!J:J,'Step 2'!D2189,'Support - Transition'!E:E,"STATE UNIT"),SUMIFS('Support - Transition'!F:F,'Support - Transition'!J:J,'Step 2'!D2189))</f>
        <v>1.2000000000000001E-3</v>
      </c>
      <c r="J2189" s="126">
        <f>SUMIFS('Support - Unit Adjustments'!E:E,'Support - Unit Adjustments'!F:F,'Step 2'!D2189)</f>
        <v>0</v>
      </c>
      <c r="K2189" s="126">
        <f t="shared" si="650"/>
        <v>1.2000000000000001E-3</v>
      </c>
      <c r="L2189" s="174">
        <f>VLOOKUP(A2189,'Step 1'!$A:$E,4,FALSE)</f>
        <v>384901</v>
      </c>
      <c r="M2189" s="47">
        <f t="shared" si="651"/>
        <v>462</v>
      </c>
      <c r="N2189" s="177">
        <f>SUMIFS('Support - Transition'!G:G,'Support - Transition'!J:J,'Step 2'!D2189,'Support - Transition'!E:E,"2009 WELFARE ALLOCATION FACTOR")</f>
        <v>0</v>
      </c>
      <c r="O2189" s="152">
        <f t="shared" si="656"/>
        <v>0</v>
      </c>
      <c r="P2189" s="126">
        <f>IF(E2189="Y",0,SUMIFS('Support - Transition'!G:G,'Support - Transition'!J:J,'Step 2'!D2189,'Support - Transition'!E:E,"2009 SCHOOL ALLOCATION FACTOR"))</f>
        <v>0</v>
      </c>
      <c r="Q2189" s="126">
        <f>IF(E2189="Y",VLOOKUP(D2189,'Support - Unit Adjustments'!F:G,2,FALSE),0)</f>
        <v>0</v>
      </c>
      <c r="R2189" s="155">
        <f t="shared" si="668"/>
        <v>0</v>
      </c>
      <c r="S2189" s="47">
        <f t="shared" si="667"/>
        <v>0</v>
      </c>
      <c r="T2189" s="151">
        <f t="shared" si="652"/>
        <v>462</v>
      </c>
      <c r="U2189" s="151">
        <f t="shared" si="653"/>
        <v>0</v>
      </c>
      <c r="V2189" s="139">
        <f t="shared" si="654"/>
        <v>0</v>
      </c>
      <c r="W2189" s="152">
        <f t="shared" si="657"/>
        <v>462</v>
      </c>
      <c r="X2189" s="127" t="str">
        <f t="shared" si="655"/>
        <v/>
      </c>
      <c r="Y2189" s="207">
        <f t="shared" si="658"/>
        <v>462</v>
      </c>
      <c r="Z2189" s="139">
        <f t="shared" si="659"/>
        <v>261</v>
      </c>
      <c r="AA2189" s="139">
        <f t="shared" si="660"/>
        <v>201</v>
      </c>
      <c r="AC2189" s="47">
        <f t="shared" si="661"/>
        <v>231</v>
      </c>
      <c r="AD2189" s="47">
        <f t="shared" si="662"/>
        <v>131</v>
      </c>
      <c r="AE2189" s="47">
        <f t="shared" si="663"/>
        <v>101</v>
      </c>
      <c r="AG2189" s="47">
        <f t="shared" si="664"/>
        <v>231</v>
      </c>
      <c r="AH2189" s="47">
        <f t="shared" si="665"/>
        <v>130</v>
      </c>
      <c r="AI2189" s="208">
        <f t="shared" si="666"/>
        <v>100</v>
      </c>
    </row>
    <row r="2190" spans="1:35">
      <c r="A2190" t="s">
        <v>2157</v>
      </c>
      <c r="B2190" t="s">
        <v>3142</v>
      </c>
      <c r="C2190" t="s">
        <v>2209</v>
      </c>
      <c r="D2190" t="s">
        <v>5701</v>
      </c>
      <c r="F2190" t="s">
        <v>22</v>
      </c>
      <c r="G2190" s="126">
        <f>SUMIFS('Support - Transition'!F:F,'Support - Transition'!B:B,'Step 2'!A2190,'Support - Transition'!C:C,'Step 2'!B2190,'Support - Transition'!D:D,'Step 2'!C2190,'Support - Transition'!E:E,"CIVIL")</f>
        <v>2.3000000000000001E-4</v>
      </c>
      <c r="H2190" s="126">
        <f>SUMIFS('Support - Transition'!F:F,'Support - Transition'!B:B,'Step 2'!A2190,'Support - Transition'!C:C,'Step 2'!B2190,'Support - Transition'!D:D,'Step 2'!C2190,'Support - Transition'!E:E,"FIRE")</f>
        <v>1.18E-4</v>
      </c>
      <c r="I2190" s="126">
        <f>IF(B2190="0",SUMIFS('Support - Transition'!F:F,'Support - Transition'!J:J,'Step 2'!D2190,'Support - Transition'!E:E,"STATE UNIT"),SUMIFS('Support - Transition'!F:F,'Support - Transition'!J:J,'Step 2'!D2190))</f>
        <v>3.48E-4</v>
      </c>
      <c r="J2190" s="126">
        <f>SUMIFS('Support - Unit Adjustments'!E:E,'Support - Unit Adjustments'!F:F,'Step 2'!D2190)</f>
        <v>0</v>
      </c>
      <c r="K2190" s="126">
        <f t="shared" si="650"/>
        <v>3.48E-4</v>
      </c>
      <c r="L2190" s="174">
        <f>VLOOKUP(A2190,'Step 1'!$A:$E,4,FALSE)</f>
        <v>384901</v>
      </c>
      <c r="M2190" s="47">
        <f t="shared" si="651"/>
        <v>134</v>
      </c>
      <c r="N2190" s="177">
        <f>SUMIFS('Support - Transition'!G:G,'Support - Transition'!J:J,'Step 2'!D2190,'Support - Transition'!E:E,"2009 WELFARE ALLOCATION FACTOR")</f>
        <v>0</v>
      </c>
      <c r="O2190" s="152">
        <f t="shared" si="656"/>
        <v>0</v>
      </c>
      <c r="P2190" s="126">
        <f>IF(E2190="Y",0,SUMIFS('Support - Transition'!G:G,'Support - Transition'!J:J,'Step 2'!D2190,'Support - Transition'!E:E,"2009 SCHOOL ALLOCATION FACTOR"))</f>
        <v>0</v>
      </c>
      <c r="Q2190" s="126">
        <f>IF(E2190="Y",VLOOKUP(D2190,'Support - Unit Adjustments'!F:G,2,FALSE),0)</f>
        <v>0</v>
      </c>
      <c r="R2190" s="155">
        <f t="shared" si="668"/>
        <v>0</v>
      </c>
      <c r="S2190" s="47">
        <f t="shared" si="667"/>
        <v>0</v>
      </c>
      <c r="T2190" s="151">
        <f t="shared" si="652"/>
        <v>134</v>
      </c>
      <c r="U2190" s="151">
        <f t="shared" si="653"/>
        <v>0</v>
      </c>
      <c r="V2190" s="139">
        <f t="shared" si="654"/>
        <v>0</v>
      </c>
      <c r="W2190" s="152">
        <f t="shared" si="657"/>
        <v>134</v>
      </c>
      <c r="X2190" s="127" t="str">
        <f t="shared" si="655"/>
        <v/>
      </c>
      <c r="Y2190" s="207">
        <f t="shared" si="658"/>
        <v>134</v>
      </c>
      <c r="Z2190" s="139">
        <f t="shared" si="659"/>
        <v>89</v>
      </c>
      <c r="AA2190" s="139">
        <f t="shared" si="660"/>
        <v>45</v>
      </c>
      <c r="AC2190" s="47">
        <f t="shared" si="661"/>
        <v>67</v>
      </c>
      <c r="AD2190" s="47">
        <f t="shared" si="662"/>
        <v>45</v>
      </c>
      <c r="AE2190" s="47">
        <f t="shared" si="663"/>
        <v>23</v>
      </c>
      <c r="AG2190" s="47">
        <f t="shared" si="664"/>
        <v>67</v>
      </c>
      <c r="AH2190" s="47">
        <f t="shared" si="665"/>
        <v>44</v>
      </c>
      <c r="AI2190" s="208">
        <f t="shared" si="666"/>
        <v>22</v>
      </c>
    </row>
    <row r="2191" spans="1:35">
      <c r="A2191" t="s">
        <v>2157</v>
      </c>
      <c r="B2191" t="s">
        <v>3155</v>
      </c>
      <c r="C2191" t="s">
        <v>3003</v>
      </c>
      <c r="D2191" t="s">
        <v>5702</v>
      </c>
      <c r="F2191" t="s">
        <v>1579</v>
      </c>
      <c r="G2191" s="126">
        <f>SUMIFS('Support - Transition'!F:F,'Support - Transition'!B:B,'Step 2'!A2191,'Support - Transition'!C:C,'Step 2'!B2191,'Support - Transition'!D:D,'Step 2'!C2191,'Support - Transition'!E:E,"CIVIL")</f>
        <v>0</v>
      </c>
      <c r="H2191" s="126">
        <f>SUMIFS('Support - Transition'!F:F,'Support - Transition'!B:B,'Step 2'!A2191,'Support - Transition'!C:C,'Step 2'!B2191,'Support - Transition'!D:D,'Step 2'!C2191,'Support - Transition'!E:E,"FIRE")</f>
        <v>0</v>
      </c>
      <c r="I2191" s="126">
        <f>IF(B2191="0",SUMIFS('Support - Transition'!F:F,'Support - Transition'!J:J,'Step 2'!D2191,'Support - Transition'!E:E,"STATE UNIT"),SUMIFS('Support - Transition'!F:F,'Support - Transition'!J:J,'Step 2'!D2191))</f>
        <v>7.0604E-2</v>
      </c>
      <c r="J2191" s="126">
        <f>SUMIFS('Support - Unit Adjustments'!E:E,'Support - Unit Adjustments'!F:F,'Step 2'!D2191)</f>
        <v>0</v>
      </c>
      <c r="K2191" s="126">
        <f t="shared" si="650"/>
        <v>7.0604E-2</v>
      </c>
      <c r="L2191" s="174">
        <f>VLOOKUP(A2191,'Step 1'!$A:$E,4,FALSE)</f>
        <v>384901</v>
      </c>
      <c r="M2191" s="47">
        <f t="shared" si="651"/>
        <v>27176</v>
      </c>
      <c r="N2191" s="177">
        <f>SUMIFS('Support - Transition'!G:G,'Support - Transition'!J:J,'Step 2'!D2191,'Support - Transition'!E:E,"2009 WELFARE ALLOCATION FACTOR")</f>
        <v>0</v>
      </c>
      <c r="O2191" s="152">
        <f t="shared" si="656"/>
        <v>0</v>
      </c>
      <c r="P2191" s="126">
        <f>IF(E2191="Y",0,SUMIFS('Support - Transition'!G:G,'Support - Transition'!J:J,'Step 2'!D2191,'Support - Transition'!E:E,"2009 SCHOOL ALLOCATION FACTOR"))</f>
        <v>0</v>
      </c>
      <c r="Q2191" s="126">
        <f>IF(E2191="Y",VLOOKUP(D2191,'Support - Unit Adjustments'!F:G,2,FALSE),0)</f>
        <v>0</v>
      </c>
      <c r="R2191" s="155">
        <f t="shared" si="668"/>
        <v>0</v>
      </c>
      <c r="S2191" s="47">
        <f t="shared" si="667"/>
        <v>0</v>
      </c>
      <c r="T2191" s="151">
        <f t="shared" si="652"/>
        <v>27176</v>
      </c>
      <c r="U2191" s="151">
        <f t="shared" si="653"/>
        <v>0</v>
      </c>
      <c r="V2191" s="139">
        <f t="shared" si="654"/>
        <v>0</v>
      </c>
      <c r="W2191" s="152">
        <f t="shared" si="657"/>
        <v>27176</v>
      </c>
      <c r="X2191" s="127" t="str">
        <f t="shared" si="655"/>
        <v/>
      </c>
      <c r="Y2191" s="207">
        <f t="shared" si="658"/>
        <v>27176</v>
      </c>
      <c r="Z2191" s="139">
        <f t="shared" si="659"/>
        <v>27176</v>
      </c>
      <c r="AA2191" s="139">
        <f t="shared" si="660"/>
        <v>0</v>
      </c>
      <c r="AC2191" s="47">
        <f t="shared" si="661"/>
        <v>13588</v>
      </c>
      <c r="AD2191" s="47">
        <f t="shared" si="662"/>
        <v>13588</v>
      </c>
      <c r="AE2191" s="47">
        <f t="shared" si="663"/>
        <v>0</v>
      </c>
      <c r="AG2191" s="47">
        <f t="shared" si="664"/>
        <v>13588</v>
      </c>
      <c r="AH2191" s="47">
        <f t="shared" si="665"/>
        <v>13588</v>
      </c>
      <c r="AI2191" s="208">
        <f t="shared" si="666"/>
        <v>0</v>
      </c>
    </row>
    <row r="2192" spans="1:35">
      <c r="A2192" t="s">
        <v>2157</v>
      </c>
      <c r="B2192" t="s">
        <v>3155</v>
      </c>
      <c r="C2192" t="s">
        <v>2357</v>
      </c>
      <c r="D2192" t="s">
        <v>5703</v>
      </c>
      <c r="F2192" t="s">
        <v>360</v>
      </c>
      <c r="G2192" s="126">
        <f>SUMIFS('Support - Transition'!F:F,'Support - Transition'!B:B,'Step 2'!A2192,'Support - Transition'!C:C,'Step 2'!B2192,'Support - Transition'!D:D,'Step 2'!C2192,'Support - Transition'!E:E,"CIVIL")</f>
        <v>0</v>
      </c>
      <c r="H2192" s="126">
        <f>SUMIFS('Support - Transition'!F:F,'Support - Transition'!B:B,'Step 2'!A2192,'Support - Transition'!C:C,'Step 2'!B2192,'Support - Transition'!D:D,'Step 2'!C2192,'Support - Transition'!E:E,"FIRE")</f>
        <v>0</v>
      </c>
      <c r="I2192" s="126">
        <f>IF(B2192="0",SUMIFS('Support - Transition'!F:F,'Support - Transition'!J:J,'Step 2'!D2192,'Support - Transition'!E:E,"STATE UNIT"),SUMIFS('Support - Transition'!F:F,'Support - Transition'!J:J,'Step 2'!D2192))</f>
        <v>1.2830000000000001E-3</v>
      </c>
      <c r="J2192" s="126">
        <f>SUMIFS('Support - Unit Adjustments'!E:E,'Support - Unit Adjustments'!F:F,'Step 2'!D2192)</f>
        <v>0</v>
      </c>
      <c r="K2192" s="126">
        <f t="shared" si="650"/>
        <v>1.2830000000000001E-3</v>
      </c>
      <c r="L2192" s="174">
        <f>VLOOKUP(A2192,'Step 1'!$A:$E,4,FALSE)</f>
        <v>384901</v>
      </c>
      <c r="M2192" s="47">
        <f t="shared" si="651"/>
        <v>494</v>
      </c>
      <c r="N2192" s="177">
        <f>SUMIFS('Support - Transition'!G:G,'Support - Transition'!J:J,'Step 2'!D2192,'Support - Transition'!E:E,"2009 WELFARE ALLOCATION FACTOR")</f>
        <v>0</v>
      </c>
      <c r="O2192" s="152">
        <f t="shared" si="656"/>
        <v>0</v>
      </c>
      <c r="P2192" s="126">
        <f>IF(E2192="Y",0,SUMIFS('Support - Transition'!G:G,'Support - Transition'!J:J,'Step 2'!D2192,'Support - Transition'!E:E,"2009 SCHOOL ALLOCATION FACTOR"))</f>
        <v>0</v>
      </c>
      <c r="Q2192" s="126">
        <f>IF(E2192="Y",VLOOKUP(D2192,'Support - Unit Adjustments'!F:G,2,FALSE),0)</f>
        <v>0</v>
      </c>
      <c r="R2192" s="155">
        <f t="shared" si="668"/>
        <v>0</v>
      </c>
      <c r="S2192" s="47">
        <f t="shared" si="667"/>
        <v>0</v>
      </c>
      <c r="T2192" s="151">
        <f t="shared" si="652"/>
        <v>494</v>
      </c>
      <c r="U2192" s="151">
        <f t="shared" si="653"/>
        <v>0</v>
      </c>
      <c r="V2192" s="139">
        <f t="shared" si="654"/>
        <v>0</v>
      </c>
      <c r="W2192" s="152">
        <f t="shared" si="657"/>
        <v>494</v>
      </c>
      <c r="X2192" s="127" t="str">
        <f t="shared" si="655"/>
        <v/>
      </c>
      <c r="Y2192" s="207">
        <f t="shared" si="658"/>
        <v>494</v>
      </c>
      <c r="Z2192" s="139">
        <f t="shared" si="659"/>
        <v>494</v>
      </c>
      <c r="AA2192" s="139">
        <f t="shared" si="660"/>
        <v>0</v>
      </c>
      <c r="AC2192" s="47">
        <f t="shared" si="661"/>
        <v>247</v>
      </c>
      <c r="AD2192" s="47">
        <f t="shared" si="662"/>
        <v>247</v>
      </c>
      <c r="AE2192" s="47">
        <f t="shared" si="663"/>
        <v>0</v>
      </c>
      <c r="AG2192" s="47">
        <f t="shared" si="664"/>
        <v>247</v>
      </c>
      <c r="AH2192" s="47">
        <f t="shared" si="665"/>
        <v>247</v>
      </c>
      <c r="AI2192" s="208">
        <f t="shared" si="666"/>
        <v>0</v>
      </c>
    </row>
    <row r="2193" spans="1:35">
      <c r="A2193" t="s">
        <v>2157</v>
      </c>
      <c r="B2193" t="s">
        <v>3155</v>
      </c>
      <c r="C2193" t="s">
        <v>2235</v>
      </c>
      <c r="D2193" t="s">
        <v>5704</v>
      </c>
      <c r="F2193" t="s">
        <v>93</v>
      </c>
      <c r="G2193" s="126">
        <f>SUMIFS('Support - Transition'!F:F,'Support - Transition'!B:B,'Step 2'!A2193,'Support - Transition'!C:C,'Step 2'!B2193,'Support - Transition'!D:D,'Step 2'!C2193,'Support - Transition'!E:E,"CIVIL")</f>
        <v>0</v>
      </c>
      <c r="H2193" s="126">
        <f>SUMIFS('Support - Transition'!F:F,'Support - Transition'!B:B,'Step 2'!A2193,'Support - Transition'!C:C,'Step 2'!B2193,'Support - Transition'!D:D,'Step 2'!C2193,'Support - Transition'!E:E,"FIRE")</f>
        <v>0</v>
      </c>
      <c r="I2193" s="126">
        <f>IF(B2193="0",SUMIFS('Support - Transition'!F:F,'Support - Transition'!J:J,'Step 2'!D2193,'Support - Transition'!E:E,"STATE UNIT"),SUMIFS('Support - Transition'!F:F,'Support - Transition'!J:J,'Step 2'!D2193))</f>
        <v>0</v>
      </c>
      <c r="J2193" s="126">
        <f>SUMIFS('Support - Unit Adjustments'!E:E,'Support - Unit Adjustments'!F:F,'Step 2'!D2193)</f>
        <v>0</v>
      </c>
      <c r="K2193" s="126">
        <f t="shared" si="650"/>
        <v>0</v>
      </c>
      <c r="L2193" s="174">
        <f>VLOOKUP(A2193,'Step 1'!$A:$E,4,FALSE)</f>
        <v>384901</v>
      </c>
      <c r="M2193" s="47">
        <f t="shared" si="651"/>
        <v>0</v>
      </c>
      <c r="N2193" s="177">
        <f>SUMIFS('Support - Transition'!G:G,'Support - Transition'!J:J,'Step 2'!D2193,'Support - Transition'!E:E,"2009 WELFARE ALLOCATION FACTOR")</f>
        <v>0</v>
      </c>
      <c r="O2193" s="152">
        <f t="shared" si="656"/>
        <v>0</v>
      </c>
      <c r="P2193" s="126">
        <f>IF(E2193="Y",0,SUMIFS('Support - Transition'!G:G,'Support - Transition'!J:J,'Step 2'!D2193,'Support - Transition'!E:E,"2009 SCHOOL ALLOCATION FACTOR"))</f>
        <v>0</v>
      </c>
      <c r="Q2193" s="126">
        <f>IF(E2193="Y",VLOOKUP(D2193,'Support - Unit Adjustments'!F:G,2,FALSE),0)</f>
        <v>0</v>
      </c>
      <c r="R2193" s="155">
        <f t="shared" si="668"/>
        <v>0</v>
      </c>
      <c r="S2193" s="47">
        <f t="shared" si="667"/>
        <v>0</v>
      </c>
      <c r="T2193" s="151">
        <f t="shared" si="652"/>
        <v>0</v>
      </c>
      <c r="U2193" s="151">
        <f t="shared" si="653"/>
        <v>0</v>
      </c>
      <c r="V2193" s="139">
        <f t="shared" si="654"/>
        <v>0</v>
      </c>
      <c r="W2193" s="152">
        <f t="shared" si="657"/>
        <v>0</v>
      </c>
      <c r="X2193" s="127" t="str">
        <f t="shared" si="655"/>
        <v/>
      </c>
      <c r="Y2193" s="207">
        <f t="shared" si="658"/>
        <v>0</v>
      </c>
      <c r="Z2193" s="139">
        <f t="shared" si="659"/>
        <v>0</v>
      </c>
      <c r="AA2193" s="139">
        <f t="shared" si="660"/>
        <v>0</v>
      </c>
      <c r="AC2193" s="47">
        <f t="shared" si="661"/>
        <v>0</v>
      </c>
      <c r="AD2193" s="47">
        <f t="shared" si="662"/>
        <v>0</v>
      </c>
      <c r="AE2193" s="47">
        <f t="shared" si="663"/>
        <v>0</v>
      </c>
      <c r="AG2193" s="47">
        <f t="shared" si="664"/>
        <v>0</v>
      </c>
      <c r="AH2193" s="47">
        <f t="shared" si="665"/>
        <v>0</v>
      </c>
      <c r="AI2193" s="208">
        <f t="shared" si="666"/>
        <v>0</v>
      </c>
    </row>
    <row r="2194" spans="1:35">
      <c r="A2194" t="s">
        <v>2157</v>
      </c>
      <c r="B2194" t="s">
        <v>3155</v>
      </c>
      <c r="C2194" t="s">
        <v>3004</v>
      </c>
      <c r="D2194" t="s">
        <v>5705</v>
      </c>
      <c r="F2194" t="s">
        <v>1577</v>
      </c>
      <c r="G2194" s="126">
        <f>SUMIFS('Support - Transition'!F:F,'Support - Transition'!B:B,'Step 2'!A2194,'Support - Transition'!C:C,'Step 2'!B2194,'Support - Transition'!D:D,'Step 2'!C2194,'Support - Transition'!E:E,"CIVIL")</f>
        <v>0</v>
      </c>
      <c r="H2194" s="126">
        <f>SUMIFS('Support - Transition'!F:F,'Support - Transition'!B:B,'Step 2'!A2194,'Support - Transition'!C:C,'Step 2'!B2194,'Support - Transition'!D:D,'Step 2'!C2194,'Support - Transition'!E:E,"FIRE")</f>
        <v>0</v>
      </c>
      <c r="I2194" s="126">
        <f>IF(B2194="0",SUMIFS('Support - Transition'!F:F,'Support - Transition'!J:J,'Step 2'!D2194,'Support - Transition'!E:E,"STATE UNIT"),SUMIFS('Support - Transition'!F:F,'Support - Transition'!J:J,'Step 2'!D2194))</f>
        <v>8.5000000000000006E-5</v>
      </c>
      <c r="J2194" s="126">
        <f>SUMIFS('Support - Unit Adjustments'!E:E,'Support - Unit Adjustments'!F:F,'Step 2'!D2194)</f>
        <v>0</v>
      </c>
      <c r="K2194" s="126">
        <f t="shared" si="650"/>
        <v>8.5000000000000006E-5</v>
      </c>
      <c r="L2194" s="174">
        <f>VLOOKUP(A2194,'Step 1'!$A:$E,4,FALSE)</f>
        <v>384901</v>
      </c>
      <c r="M2194" s="47">
        <f t="shared" si="651"/>
        <v>33</v>
      </c>
      <c r="N2194" s="177">
        <f>SUMIFS('Support - Transition'!G:G,'Support - Transition'!J:J,'Step 2'!D2194,'Support - Transition'!E:E,"2009 WELFARE ALLOCATION FACTOR")</f>
        <v>0</v>
      </c>
      <c r="O2194" s="152">
        <f t="shared" si="656"/>
        <v>0</v>
      </c>
      <c r="P2194" s="126">
        <f>IF(E2194="Y",0,SUMIFS('Support - Transition'!G:G,'Support - Transition'!J:J,'Step 2'!D2194,'Support - Transition'!E:E,"2009 SCHOOL ALLOCATION FACTOR"))</f>
        <v>0</v>
      </c>
      <c r="Q2194" s="126">
        <f>IF(E2194="Y",VLOOKUP(D2194,'Support - Unit Adjustments'!F:G,2,FALSE),0)</f>
        <v>0</v>
      </c>
      <c r="R2194" s="155">
        <f t="shared" si="668"/>
        <v>0</v>
      </c>
      <c r="S2194" s="47">
        <f t="shared" si="667"/>
        <v>0</v>
      </c>
      <c r="T2194" s="151">
        <f t="shared" si="652"/>
        <v>33</v>
      </c>
      <c r="U2194" s="151">
        <f t="shared" si="653"/>
        <v>0</v>
      </c>
      <c r="V2194" s="139">
        <f t="shared" si="654"/>
        <v>0</v>
      </c>
      <c r="W2194" s="152">
        <f t="shared" si="657"/>
        <v>33</v>
      </c>
      <c r="X2194" s="127" t="str">
        <f t="shared" si="655"/>
        <v/>
      </c>
      <c r="Y2194" s="207">
        <f t="shared" si="658"/>
        <v>33</v>
      </c>
      <c r="Z2194" s="139">
        <f t="shared" si="659"/>
        <v>33</v>
      </c>
      <c r="AA2194" s="139">
        <f t="shared" si="660"/>
        <v>0</v>
      </c>
      <c r="AC2194" s="47">
        <f t="shared" si="661"/>
        <v>17</v>
      </c>
      <c r="AD2194" s="47">
        <f t="shared" si="662"/>
        <v>17</v>
      </c>
      <c r="AE2194" s="47">
        <f t="shared" si="663"/>
        <v>0</v>
      </c>
      <c r="AG2194" s="47">
        <f t="shared" si="664"/>
        <v>16</v>
      </c>
      <c r="AH2194" s="47">
        <f t="shared" si="665"/>
        <v>16</v>
      </c>
      <c r="AI2194" s="208">
        <f t="shared" si="666"/>
        <v>0</v>
      </c>
    </row>
    <row r="2195" spans="1:35">
      <c r="A2195" t="s">
        <v>2157</v>
      </c>
      <c r="B2195" t="s">
        <v>3155</v>
      </c>
      <c r="C2195" t="s">
        <v>3463</v>
      </c>
      <c r="D2195" t="s">
        <v>5706</v>
      </c>
      <c r="F2195" t="s">
        <v>5707</v>
      </c>
      <c r="G2195" s="126">
        <f>SUMIFS('Support - Transition'!F:F,'Support - Transition'!B:B,'Step 2'!A2195,'Support - Transition'!C:C,'Step 2'!B2195,'Support - Transition'!D:D,'Step 2'!C2195,'Support - Transition'!E:E,"CIVIL")</f>
        <v>0</v>
      </c>
      <c r="H2195" s="126">
        <f>SUMIFS('Support - Transition'!F:F,'Support - Transition'!B:B,'Step 2'!A2195,'Support - Transition'!C:C,'Step 2'!B2195,'Support - Transition'!D:D,'Step 2'!C2195,'Support - Transition'!E:E,"FIRE")</f>
        <v>0</v>
      </c>
      <c r="I2195" s="126">
        <f>IF(B2195="0",SUMIFS('Support - Transition'!F:F,'Support - Transition'!J:J,'Step 2'!D2195,'Support - Transition'!E:E,"STATE UNIT"),SUMIFS('Support - Transition'!F:F,'Support - Transition'!J:J,'Step 2'!D2195))</f>
        <v>0</v>
      </c>
      <c r="J2195" s="126">
        <f>SUMIFS('Support - Unit Adjustments'!E:E,'Support - Unit Adjustments'!F:F,'Step 2'!D2195)</f>
        <v>0</v>
      </c>
      <c r="K2195" s="126">
        <f t="shared" si="650"/>
        <v>0</v>
      </c>
      <c r="L2195" s="174">
        <f>VLOOKUP(A2195,'Step 1'!$A:$E,4,FALSE)</f>
        <v>384901</v>
      </c>
      <c r="M2195" s="47">
        <f t="shared" si="651"/>
        <v>0</v>
      </c>
      <c r="N2195" s="177">
        <f>SUMIFS('Support - Transition'!G:G,'Support - Transition'!J:J,'Step 2'!D2195,'Support - Transition'!E:E,"2009 WELFARE ALLOCATION FACTOR")</f>
        <v>0</v>
      </c>
      <c r="O2195" s="152">
        <f t="shared" si="656"/>
        <v>0</v>
      </c>
      <c r="P2195" s="126">
        <f>IF(E2195="Y",0,SUMIFS('Support - Transition'!G:G,'Support - Transition'!J:J,'Step 2'!D2195,'Support - Transition'!E:E,"2009 SCHOOL ALLOCATION FACTOR"))</f>
        <v>0</v>
      </c>
      <c r="Q2195" s="126">
        <f>IF(E2195="Y",VLOOKUP(D2195,'Support - Unit Adjustments'!F:G,2,FALSE),0)</f>
        <v>0</v>
      </c>
      <c r="R2195" s="155">
        <f t="shared" si="668"/>
        <v>0</v>
      </c>
      <c r="S2195" s="47">
        <f t="shared" si="667"/>
        <v>0</v>
      </c>
      <c r="T2195" s="151">
        <f t="shared" si="652"/>
        <v>0</v>
      </c>
      <c r="U2195" s="151">
        <f t="shared" si="653"/>
        <v>0</v>
      </c>
      <c r="V2195" s="139">
        <f t="shared" si="654"/>
        <v>0</v>
      </c>
      <c r="W2195" s="152">
        <f t="shared" si="657"/>
        <v>0</v>
      </c>
      <c r="X2195" s="127" t="str">
        <f t="shared" si="655"/>
        <v/>
      </c>
      <c r="Y2195" s="207">
        <f t="shared" si="658"/>
        <v>0</v>
      </c>
      <c r="Z2195" s="139">
        <f t="shared" si="659"/>
        <v>0</v>
      </c>
      <c r="AA2195" s="139">
        <f t="shared" si="660"/>
        <v>0</v>
      </c>
      <c r="AC2195" s="47">
        <f t="shared" si="661"/>
        <v>0</v>
      </c>
      <c r="AD2195" s="47">
        <f t="shared" si="662"/>
        <v>0</v>
      </c>
      <c r="AE2195" s="47">
        <f t="shared" si="663"/>
        <v>0</v>
      </c>
      <c r="AG2195" s="47">
        <f t="shared" si="664"/>
        <v>0</v>
      </c>
      <c r="AH2195" s="47">
        <f t="shared" si="665"/>
        <v>0</v>
      </c>
      <c r="AI2195" s="208">
        <f t="shared" si="666"/>
        <v>0</v>
      </c>
    </row>
    <row r="2196" spans="1:35">
      <c r="A2196" t="s">
        <v>2157</v>
      </c>
      <c r="B2196" t="s">
        <v>3160</v>
      </c>
      <c r="C2196" t="s">
        <v>2359</v>
      </c>
      <c r="D2196" t="s">
        <v>5708</v>
      </c>
      <c r="F2196" t="s">
        <v>3660</v>
      </c>
      <c r="G2196" s="126">
        <f>SUMIFS('Support - Transition'!F:F,'Support - Transition'!B:B,'Step 2'!A2196,'Support - Transition'!C:C,'Step 2'!B2196,'Support - Transition'!D:D,'Step 2'!C2196,'Support - Transition'!E:E,"CIVIL")</f>
        <v>0</v>
      </c>
      <c r="H2196" s="126">
        <f>SUMIFS('Support - Transition'!F:F,'Support - Transition'!B:B,'Step 2'!A2196,'Support - Transition'!C:C,'Step 2'!B2196,'Support - Transition'!D:D,'Step 2'!C2196,'Support - Transition'!E:E,"FIRE")</f>
        <v>0</v>
      </c>
      <c r="I2196" s="126">
        <f>IF(B2196="0",SUMIFS('Support - Transition'!F:F,'Support - Transition'!J:J,'Step 2'!D2196,'Support - Transition'!E:E,"STATE UNIT"),SUMIFS('Support - Transition'!F:F,'Support - Transition'!J:J,'Step 2'!D2196))</f>
        <v>3.1540000000000001E-3</v>
      </c>
      <c r="J2196" s="126">
        <f>SUMIFS('Support - Unit Adjustments'!E:E,'Support - Unit Adjustments'!F:F,'Step 2'!D2196)</f>
        <v>0</v>
      </c>
      <c r="K2196" s="126">
        <f t="shared" si="650"/>
        <v>3.1540000000000001E-3</v>
      </c>
      <c r="L2196" s="174">
        <f>VLOOKUP(A2196,'Step 1'!$A:$E,4,FALSE)</f>
        <v>384901</v>
      </c>
      <c r="M2196" s="47">
        <f t="shared" si="651"/>
        <v>1214</v>
      </c>
      <c r="N2196" s="177">
        <f>SUMIFS('Support - Transition'!G:G,'Support - Transition'!J:J,'Step 2'!D2196,'Support - Transition'!E:E,"2009 WELFARE ALLOCATION FACTOR")</f>
        <v>0</v>
      </c>
      <c r="O2196" s="152">
        <f t="shared" si="656"/>
        <v>0</v>
      </c>
      <c r="P2196" s="126">
        <f>IF(E2196="Y",0,SUMIFS('Support - Transition'!G:G,'Support - Transition'!J:J,'Step 2'!D2196,'Support - Transition'!E:E,"2009 SCHOOL ALLOCATION FACTOR"))</f>
        <v>0.52531300000000003</v>
      </c>
      <c r="Q2196" s="126">
        <f>IF(E2196="Y",VLOOKUP(D2196,'Support - Unit Adjustments'!F:G,2,FALSE),0)</f>
        <v>0</v>
      </c>
      <c r="R2196" s="155">
        <f t="shared" si="668"/>
        <v>0.52531300000000003</v>
      </c>
      <c r="S2196" s="47">
        <f t="shared" si="667"/>
        <v>638</v>
      </c>
      <c r="T2196" s="151">
        <f t="shared" si="652"/>
        <v>576</v>
      </c>
      <c r="U2196" s="151">
        <f t="shared" si="653"/>
        <v>0</v>
      </c>
      <c r="V2196" s="139">
        <f t="shared" si="654"/>
        <v>0</v>
      </c>
      <c r="W2196" s="152">
        <f t="shared" si="657"/>
        <v>576</v>
      </c>
      <c r="X2196" s="127" t="str">
        <f t="shared" si="655"/>
        <v/>
      </c>
      <c r="Y2196" s="207">
        <f t="shared" si="658"/>
        <v>576</v>
      </c>
      <c r="Z2196" s="139">
        <f t="shared" si="659"/>
        <v>576</v>
      </c>
      <c r="AA2196" s="139">
        <f t="shared" si="660"/>
        <v>0</v>
      </c>
      <c r="AC2196" s="47">
        <f t="shared" si="661"/>
        <v>288</v>
      </c>
      <c r="AD2196" s="47">
        <f t="shared" si="662"/>
        <v>288</v>
      </c>
      <c r="AE2196" s="47">
        <f t="shared" si="663"/>
        <v>0</v>
      </c>
      <c r="AG2196" s="47">
        <f t="shared" si="664"/>
        <v>288</v>
      </c>
      <c r="AH2196" s="47">
        <f t="shared" si="665"/>
        <v>288</v>
      </c>
      <c r="AI2196" s="208">
        <f t="shared" si="666"/>
        <v>0</v>
      </c>
    </row>
    <row r="2197" spans="1:35">
      <c r="A2197" t="s">
        <v>2157</v>
      </c>
      <c r="B2197" t="s">
        <v>3160</v>
      </c>
      <c r="C2197" t="s">
        <v>3005</v>
      </c>
      <c r="D2197" t="s">
        <v>5709</v>
      </c>
      <c r="F2197" t="s">
        <v>1581</v>
      </c>
      <c r="G2197" s="126">
        <f>SUMIFS('Support - Transition'!F:F,'Support - Transition'!B:B,'Step 2'!A2197,'Support - Transition'!C:C,'Step 2'!B2197,'Support - Transition'!D:D,'Step 2'!C2197,'Support - Transition'!E:E,"CIVIL")</f>
        <v>0</v>
      </c>
      <c r="H2197" s="126">
        <f>SUMIFS('Support - Transition'!F:F,'Support - Transition'!B:B,'Step 2'!A2197,'Support - Transition'!C:C,'Step 2'!B2197,'Support - Transition'!D:D,'Step 2'!C2197,'Support - Transition'!E:E,"FIRE")</f>
        <v>0</v>
      </c>
      <c r="I2197" s="126">
        <f>IF(B2197="0",SUMIFS('Support - Transition'!F:F,'Support - Transition'!J:J,'Step 2'!D2197,'Support - Transition'!E:E,"STATE UNIT"),SUMIFS('Support - Transition'!F:F,'Support - Transition'!J:J,'Step 2'!D2197))</f>
        <v>0.19584799999999999</v>
      </c>
      <c r="J2197" s="126">
        <f>SUMIFS('Support - Unit Adjustments'!E:E,'Support - Unit Adjustments'!F:F,'Step 2'!D2197)</f>
        <v>0</v>
      </c>
      <c r="K2197" s="126">
        <f t="shared" si="650"/>
        <v>0.19584799999999999</v>
      </c>
      <c r="L2197" s="174">
        <f>VLOOKUP(A2197,'Step 1'!$A:$E,4,FALSE)</f>
        <v>384901</v>
      </c>
      <c r="M2197" s="47">
        <f t="shared" si="651"/>
        <v>75382</v>
      </c>
      <c r="N2197" s="177">
        <f>SUMIFS('Support - Transition'!G:G,'Support - Transition'!J:J,'Step 2'!D2197,'Support - Transition'!E:E,"2009 WELFARE ALLOCATION FACTOR")</f>
        <v>0</v>
      </c>
      <c r="O2197" s="152">
        <f t="shared" si="656"/>
        <v>0</v>
      </c>
      <c r="P2197" s="126">
        <f>IF(E2197="Y",0,SUMIFS('Support - Transition'!G:G,'Support - Transition'!J:J,'Step 2'!D2197,'Support - Transition'!E:E,"2009 SCHOOL ALLOCATION FACTOR"))</f>
        <v>0.463615</v>
      </c>
      <c r="Q2197" s="126">
        <f>IF(E2197="Y",VLOOKUP(D2197,'Support - Unit Adjustments'!F:G,2,FALSE),0)</f>
        <v>0</v>
      </c>
      <c r="R2197" s="155">
        <f t="shared" si="668"/>
        <v>0.463615</v>
      </c>
      <c r="S2197" s="47">
        <f t="shared" si="667"/>
        <v>34948</v>
      </c>
      <c r="T2197" s="151">
        <f t="shared" si="652"/>
        <v>40434</v>
      </c>
      <c r="U2197" s="151">
        <f t="shared" si="653"/>
        <v>0</v>
      </c>
      <c r="V2197" s="139">
        <f t="shared" si="654"/>
        <v>0</v>
      </c>
      <c r="W2197" s="152">
        <f t="shared" si="657"/>
        <v>40434</v>
      </c>
      <c r="X2197" s="127" t="str">
        <f t="shared" si="655"/>
        <v/>
      </c>
      <c r="Y2197" s="207">
        <f t="shared" si="658"/>
        <v>40434</v>
      </c>
      <c r="Z2197" s="139">
        <f t="shared" si="659"/>
        <v>40434</v>
      </c>
      <c r="AA2197" s="139">
        <f t="shared" si="660"/>
        <v>0</v>
      </c>
      <c r="AC2197" s="47">
        <f t="shared" si="661"/>
        <v>20217</v>
      </c>
      <c r="AD2197" s="47">
        <f t="shared" si="662"/>
        <v>20217</v>
      </c>
      <c r="AE2197" s="47">
        <f t="shared" si="663"/>
        <v>0</v>
      </c>
      <c r="AG2197" s="47">
        <f t="shared" si="664"/>
        <v>20217</v>
      </c>
      <c r="AH2197" s="47">
        <f t="shared" si="665"/>
        <v>20217</v>
      </c>
      <c r="AI2197" s="208">
        <f t="shared" si="666"/>
        <v>0</v>
      </c>
    </row>
    <row r="2198" spans="1:35">
      <c r="A2198" t="s">
        <v>2157</v>
      </c>
      <c r="B2198" t="s">
        <v>3160</v>
      </c>
      <c r="C2198" t="s">
        <v>3006</v>
      </c>
      <c r="D2198" t="s">
        <v>5710</v>
      </c>
      <c r="F2198" t="s">
        <v>5711</v>
      </c>
      <c r="G2198" s="126">
        <f>SUMIFS('Support - Transition'!F:F,'Support - Transition'!B:B,'Step 2'!A2198,'Support - Transition'!C:C,'Step 2'!B2198,'Support - Transition'!D:D,'Step 2'!C2198,'Support - Transition'!E:E,"CIVIL")</f>
        <v>0</v>
      </c>
      <c r="H2198" s="126">
        <f>SUMIFS('Support - Transition'!F:F,'Support - Transition'!B:B,'Step 2'!A2198,'Support - Transition'!C:C,'Step 2'!B2198,'Support - Transition'!D:D,'Step 2'!C2198,'Support - Transition'!E:E,"FIRE")</f>
        <v>0</v>
      </c>
      <c r="I2198" s="126">
        <f>IF(B2198="0",SUMIFS('Support - Transition'!F:F,'Support - Transition'!J:J,'Step 2'!D2198,'Support - Transition'!E:E,"STATE UNIT"),SUMIFS('Support - Transition'!F:F,'Support - Transition'!J:J,'Step 2'!D2198))</f>
        <v>0.17088999999999999</v>
      </c>
      <c r="J2198" s="126">
        <f>SUMIFS('Support - Unit Adjustments'!E:E,'Support - Unit Adjustments'!F:F,'Step 2'!D2198)</f>
        <v>0</v>
      </c>
      <c r="K2198" s="126">
        <f t="shared" si="650"/>
        <v>0.17088999999999999</v>
      </c>
      <c r="L2198" s="174">
        <f>VLOOKUP(A2198,'Step 1'!$A:$E,4,FALSE)</f>
        <v>384901</v>
      </c>
      <c r="M2198" s="47">
        <f t="shared" si="651"/>
        <v>65776</v>
      </c>
      <c r="N2198" s="177">
        <f>SUMIFS('Support - Transition'!G:G,'Support - Transition'!J:J,'Step 2'!D2198,'Support - Transition'!E:E,"2009 WELFARE ALLOCATION FACTOR")</f>
        <v>0</v>
      </c>
      <c r="O2198" s="152">
        <f t="shared" si="656"/>
        <v>0</v>
      </c>
      <c r="P2198" s="126">
        <f>IF(E2198="Y",0,SUMIFS('Support - Transition'!G:G,'Support - Transition'!J:J,'Step 2'!D2198,'Support - Transition'!E:E,"2009 SCHOOL ALLOCATION FACTOR"))</f>
        <v>0.52431000000000005</v>
      </c>
      <c r="Q2198" s="126">
        <f>IF(E2198="Y",VLOOKUP(D2198,'Support - Unit Adjustments'!F:G,2,FALSE),0)</f>
        <v>0</v>
      </c>
      <c r="R2198" s="155">
        <f t="shared" si="668"/>
        <v>0.52431000000000005</v>
      </c>
      <c r="S2198" s="47">
        <f t="shared" si="667"/>
        <v>34487</v>
      </c>
      <c r="T2198" s="151">
        <f t="shared" si="652"/>
        <v>31289</v>
      </c>
      <c r="U2198" s="151">
        <f t="shared" si="653"/>
        <v>0</v>
      </c>
      <c r="V2198" s="139">
        <f t="shared" si="654"/>
        <v>0</v>
      </c>
      <c r="W2198" s="152">
        <f t="shared" si="657"/>
        <v>31289</v>
      </c>
      <c r="X2198" s="127" t="str">
        <f t="shared" si="655"/>
        <v/>
      </c>
      <c r="Y2198" s="207">
        <f t="shared" si="658"/>
        <v>31289</v>
      </c>
      <c r="Z2198" s="139">
        <f t="shared" si="659"/>
        <v>31289</v>
      </c>
      <c r="AA2198" s="139">
        <f t="shared" si="660"/>
        <v>0</v>
      </c>
      <c r="AC2198" s="47">
        <f t="shared" si="661"/>
        <v>15645</v>
      </c>
      <c r="AD2198" s="47">
        <f t="shared" si="662"/>
        <v>15645</v>
      </c>
      <c r="AE2198" s="47">
        <f t="shared" si="663"/>
        <v>0</v>
      </c>
      <c r="AG2198" s="47">
        <f t="shared" si="664"/>
        <v>15644</v>
      </c>
      <c r="AH2198" s="47">
        <f t="shared" si="665"/>
        <v>15644</v>
      </c>
      <c r="AI2198" s="208">
        <f t="shared" si="666"/>
        <v>0</v>
      </c>
    </row>
    <row r="2199" spans="1:35">
      <c r="A2199" t="s">
        <v>2157</v>
      </c>
      <c r="B2199" t="s">
        <v>3160</v>
      </c>
      <c r="C2199" t="s">
        <v>5712</v>
      </c>
      <c r="D2199" t="s">
        <v>5713</v>
      </c>
      <c r="F2199" t="s">
        <v>1583</v>
      </c>
      <c r="G2199" s="126">
        <f>SUMIFS('Support - Transition'!F:F,'Support - Transition'!B:B,'Step 2'!A2199,'Support - Transition'!C:C,'Step 2'!B2199,'Support - Transition'!D:D,'Step 2'!C2199,'Support - Transition'!E:E,"CIVIL")</f>
        <v>0</v>
      </c>
      <c r="H2199" s="126">
        <f>SUMIFS('Support - Transition'!F:F,'Support - Transition'!B:B,'Step 2'!A2199,'Support - Transition'!C:C,'Step 2'!B2199,'Support - Transition'!D:D,'Step 2'!C2199,'Support - Transition'!E:E,"FIRE")</f>
        <v>0</v>
      </c>
      <c r="I2199" s="126">
        <f>IF(B2199="0",SUMIFS('Support - Transition'!F:F,'Support - Transition'!J:J,'Step 2'!D2199,'Support - Transition'!E:E,"STATE UNIT"),SUMIFS('Support - Transition'!F:F,'Support - Transition'!J:J,'Step 2'!D2199))</f>
        <v>6.4055000000000001E-2</v>
      </c>
      <c r="J2199" s="126">
        <f>SUMIFS('Support - Unit Adjustments'!E:E,'Support - Unit Adjustments'!F:F,'Step 2'!D2199)</f>
        <v>0</v>
      </c>
      <c r="K2199" s="126">
        <f t="shared" si="650"/>
        <v>6.4055000000000001E-2</v>
      </c>
      <c r="L2199" s="174">
        <f>VLOOKUP(A2199,'Step 1'!$A:$E,4,FALSE)</f>
        <v>384901</v>
      </c>
      <c r="M2199" s="47">
        <f t="shared" si="651"/>
        <v>24655</v>
      </c>
      <c r="N2199" s="177">
        <f>SUMIFS('Support - Transition'!G:G,'Support - Transition'!J:J,'Step 2'!D2199,'Support - Transition'!E:E,"2009 WELFARE ALLOCATION FACTOR")</f>
        <v>0</v>
      </c>
      <c r="O2199" s="152">
        <f t="shared" si="656"/>
        <v>0</v>
      </c>
      <c r="P2199" s="126">
        <f>IF(E2199="Y",0,SUMIFS('Support - Transition'!G:G,'Support - Transition'!J:J,'Step 2'!D2199,'Support - Transition'!E:E,"2009 SCHOOL ALLOCATION FACTOR"))</f>
        <v>0.45826800000000001</v>
      </c>
      <c r="Q2199" s="126">
        <f>IF(E2199="Y",VLOOKUP(D2199,'Support - Unit Adjustments'!F:G,2,FALSE),0)</f>
        <v>0</v>
      </c>
      <c r="R2199" s="155">
        <f t="shared" si="668"/>
        <v>0.45826800000000001</v>
      </c>
      <c r="S2199" s="47">
        <f t="shared" si="667"/>
        <v>11299</v>
      </c>
      <c r="T2199" s="151">
        <f t="shared" si="652"/>
        <v>13356</v>
      </c>
      <c r="U2199" s="151">
        <f t="shared" si="653"/>
        <v>0</v>
      </c>
      <c r="V2199" s="139">
        <f t="shared" si="654"/>
        <v>0</v>
      </c>
      <c r="W2199" s="152">
        <f t="shared" si="657"/>
        <v>13356</v>
      </c>
      <c r="X2199" s="127" t="str">
        <f t="shared" si="655"/>
        <v/>
      </c>
      <c r="Y2199" s="207">
        <f t="shared" si="658"/>
        <v>13356</v>
      </c>
      <c r="Z2199" s="139">
        <f t="shared" si="659"/>
        <v>13356</v>
      </c>
      <c r="AA2199" s="139">
        <f t="shared" si="660"/>
        <v>0</v>
      </c>
      <c r="AC2199" s="47">
        <f t="shared" si="661"/>
        <v>6678</v>
      </c>
      <c r="AD2199" s="47">
        <f t="shared" si="662"/>
        <v>6678</v>
      </c>
      <c r="AE2199" s="47">
        <f t="shared" si="663"/>
        <v>0</v>
      </c>
      <c r="AG2199" s="47">
        <f t="shared" si="664"/>
        <v>6678</v>
      </c>
      <c r="AH2199" s="47">
        <f t="shared" si="665"/>
        <v>6678</v>
      </c>
      <c r="AI2199" s="208">
        <f t="shared" si="666"/>
        <v>0</v>
      </c>
    </row>
    <row r="2200" spans="1:35">
      <c r="A2200" t="s">
        <v>2157</v>
      </c>
      <c r="B2200" t="s">
        <v>3160</v>
      </c>
      <c r="C2200" t="s">
        <v>3007</v>
      </c>
      <c r="D2200" t="s">
        <v>5714</v>
      </c>
      <c r="F2200" t="s">
        <v>1582</v>
      </c>
      <c r="G2200" s="126">
        <f>SUMIFS('Support - Transition'!F:F,'Support - Transition'!B:B,'Step 2'!A2200,'Support - Transition'!C:C,'Step 2'!B2200,'Support - Transition'!D:D,'Step 2'!C2200,'Support - Transition'!E:E,"CIVIL")</f>
        <v>0</v>
      </c>
      <c r="H2200" s="126">
        <f>SUMIFS('Support - Transition'!F:F,'Support - Transition'!B:B,'Step 2'!A2200,'Support - Transition'!C:C,'Step 2'!B2200,'Support - Transition'!D:D,'Step 2'!C2200,'Support - Transition'!E:E,"FIRE")</f>
        <v>0</v>
      </c>
      <c r="I2200" s="126">
        <f>IF(B2200="0",SUMIFS('Support - Transition'!F:F,'Support - Transition'!J:J,'Step 2'!D2200,'Support - Transition'!E:E,"STATE UNIT"),SUMIFS('Support - Transition'!F:F,'Support - Transition'!J:J,'Step 2'!D2200))</f>
        <v>0.25704100000000002</v>
      </c>
      <c r="J2200" s="126">
        <f>SUMIFS('Support - Unit Adjustments'!E:E,'Support - Unit Adjustments'!F:F,'Step 2'!D2200)</f>
        <v>0</v>
      </c>
      <c r="K2200" s="126">
        <f t="shared" si="650"/>
        <v>0.25704100000000002</v>
      </c>
      <c r="L2200" s="174">
        <f>VLOOKUP(A2200,'Step 1'!$A:$E,4,FALSE)</f>
        <v>384901</v>
      </c>
      <c r="M2200" s="47">
        <f t="shared" si="651"/>
        <v>98935</v>
      </c>
      <c r="N2200" s="177">
        <f>SUMIFS('Support - Transition'!G:G,'Support - Transition'!J:J,'Step 2'!D2200,'Support - Transition'!E:E,"2009 WELFARE ALLOCATION FACTOR")</f>
        <v>0</v>
      </c>
      <c r="O2200" s="152">
        <f t="shared" si="656"/>
        <v>0</v>
      </c>
      <c r="P2200" s="126">
        <f>IF(E2200="Y",0,SUMIFS('Support - Transition'!G:G,'Support - Transition'!J:J,'Step 2'!D2200,'Support - Transition'!E:E,"2009 SCHOOL ALLOCATION FACTOR"))</f>
        <v>0.39843899999999999</v>
      </c>
      <c r="Q2200" s="126">
        <f>IF(E2200="Y",VLOOKUP(D2200,'Support - Unit Adjustments'!F:G,2,FALSE),0)</f>
        <v>0</v>
      </c>
      <c r="R2200" s="155">
        <f t="shared" si="668"/>
        <v>0.39843899999999999</v>
      </c>
      <c r="S2200" s="47">
        <f t="shared" si="667"/>
        <v>39420</v>
      </c>
      <c r="T2200" s="151">
        <f t="shared" si="652"/>
        <v>59515</v>
      </c>
      <c r="U2200" s="151">
        <f t="shared" si="653"/>
        <v>0</v>
      </c>
      <c r="V2200" s="139">
        <f t="shared" si="654"/>
        <v>0</v>
      </c>
      <c r="W2200" s="152">
        <f t="shared" si="657"/>
        <v>59515</v>
      </c>
      <c r="X2200" s="127" t="str">
        <f t="shared" si="655"/>
        <v/>
      </c>
      <c r="Y2200" s="207">
        <f t="shared" si="658"/>
        <v>59515</v>
      </c>
      <c r="Z2200" s="139">
        <f t="shared" si="659"/>
        <v>59515</v>
      </c>
      <c r="AA2200" s="139">
        <f t="shared" si="660"/>
        <v>0</v>
      </c>
      <c r="AC2200" s="47">
        <f t="shared" si="661"/>
        <v>29758</v>
      </c>
      <c r="AD2200" s="47">
        <f t="shared" si="662"/>
        <v>29758</v>
      </c>
      <c r="AE2200" s="47">
        <f t="shared" si="663"/>
        <v>0</v>
      </c>
      <c r="AG2200" s="47">
        <f t="shared" si="664"/>
        <v>29757</v>
      </c>
      <c r="AH2200" s="47">
        <f t="shared" si="665"/>
        <v>29757</v>
      </c>
      <c r="AI2200" s="208">
        <f t="shared" si="666"/>
        <v>0</v>
      </c>
    </row>
    <row r="2201" spans="1:35">
      <c r="A2201" t="s">
        <v>2157</v>
      </c>
      <c r="B2201" t="s">
        <v>3166</v>
      </c>
      <c r="C2201" t="s">
        <v>5715</v>
      </c>
      <c r="D2201" t="s">
        <v>5716</v>
      </c>
      <c r="F2201" t="s">
        <v>5717</v>
      </c>
      <c r="G2201" s="126">
        <f>SUMIFS('Support - Transition'!F:F,'Support - Transition'!B:B,'Step 2'!A2201,'Support - Transition'!C:C,'Step 2'!B2201,'Support - Transition'!D:D,'Step 2'!C2201,'Support - Transition'!E:E,"CIVIL")</f>
        <v>0</v>
      </c>
      <c r="H2201" s="126">
        <f>SUMIFS('Support - Transition'!F:F,'Support - Transition'!B:B,'Step 2'!A2201,'Support - Transition'!C:C,'Step 2'!B2201,'Support - Transition'!D:D,'Step 2'!C2201,'Support - Transition'!E:E,"FIRE")</f>
        <v>0</v>
      </c>
      <c r="I2201" s="126">
        <f>IF(B2201="0",SUMIFS('Support - Transition'!F:F,'Support - Transition'!J:J,'Step 2'!D2201,'Support - Transition'!E:E,"STATE UNIT"),SUMIFS('Support - Transition'!F:F,'Support - Transition'!J:J,'Step 2'!D2201))</f>
        <v>0</v>
      </c>
      <c r="J2201" s="126">
        <f>SUMIFS('Support - Unit Adjustments'!E:E,'Support - Unit Adjustments'!F:F,'Step 2'!D2201)</f>
        <v>1.6654999999999864E-2</v>
      </c>
      <c r="K2201" s="126">
        <f t="shared" si="650"/>
        <v>1.6654999999999864E-2</v>
      </c>
      <c r="L2201" s="174">
        <f>VLOOKUP(A2201,'Step 1'!$A:$E,4,FALSE)</f>
        <v>384901</v>
      </c>
      <c r="M2201" s="47">
        <f t="shared" si="651"/>
        <v>6411</v>
      </c>
      <c r="N2201" s="177">
        <f>SUMIFS('Support - Transition'!G:G,'Support - Transition'!J:J,'Step 2'!D2201,'Support - Transition'!E:E,"2009 WELFARE ALLOCATION FACTOR")</f>
        <v>0</v>
      </c>
      <c r="O2201" s="152">
        <f t="shared" si="656"/>
        <v>0</v>
      </c>
      <c r="P2201" s="126">
        <f>IF(E2201="Y",0,SUMIFS('Support - Transition'!G:G,'Support - Transition'!J:J,'Step 2'!D2201,'Support - Transition'!E:E,"2009 SCHOOL ALLOCATION FACTOR"))</f>
        <v>0</v>
      </c>
      <c r="Q2201" s="126">
        <f>IF(E2201="Y",VLOOKUP(D2201,'Support - Unit Adjustments'!F:G,2,FALSE),0)</f>
        <v>0</v>
      </c>
      <c r="R2201" s="155">
        <f t="shared" si="668"/>
        <v>0</v>
      </c>
      <c r="S2201" s="47">
        <f t="shared" si="667"/>
        <v>0</v>
      </c>
      <c r="T2201" s="151">
        <f t="shared" si="652"/>
        <v>6411</v>
      </c>
      <c r="U2201" s="151">
        <f t="shared" si="653"/>
        <v>0</v>
      </c>
      <c r="V2201" s="139">
        <f t="shared" si="654"/>
        <v>0</v>
      </c>
      <c r="W2201" s="152">
        <f t="shared" si="657"/>
        <v>6411</v>
      </c>
      <c r="X2201" s="127" t="str">
        <f t="shared" si="655"/>
        <v/>
      </c>
      <c r="Y2201" s="207">
        <f t="shared" si="658"/>
        <v>6411</v>
      </c>
      <c r="Z2201" s="139">
        <f t="shared" si="659"/>
        <v>6411</v>
      </c>
      <c r="AA2201" s="139">
        <f t="shared" si="660"/>
        <v>0</v>
      </c>
      <c r="AC2201" s="47">
        <f t="shared" si="661"/>
        <v>3206</v>
      </c>
      <c r="AD2201" s="47">
        <f t="shared" si="662"/>
        <v>3206</v>
      </c>
      <c r="AE2201" s="47">
        <f t="shared" si="663"/>
        <v>0</v>
      </c>
      <c r="AG2201" s="47">
        <f t="shared" si="664"/>
        <v>3205</v>
      </c>
      <c r="AH2201" s="47">
        <f t="shared" si="665"/>
        <v>3205</v>
      </c>
      <c r="AI2201" s="208">
        <f t="shared" si="666"/>
        <v>0</v>
      </c>
    </row>
    <row r="2202" spans="1:35">
      <c r="A2202" t="s">
        <v>2157</v>
      </c>
      <c r="B2202" t="s">
        <v>3170</v>
      </c>
      <c r="C2202" t="s">
        <v>3008</v>
      </c>
      <c r="D2202" t="s">
        <v>5718</v>
      </c>
      <c r="F2202" t="s">
        <v>1585</v>
      </c>
      <c r="G2202" s="126">
        <f>SUMIFS('Support - Transition'!F:F,'Support - Transition'!B:B,'Step 2'!A2202,'Support - Transition'!C:C,'Step 2'!B2202,'Support - Transition'!D:D,'Step 2'!C2202,'Support - Transition'!E:E,"CIVIL")</f>
        <v>0</v>
      </c>
      <c r="H2202" s="126">
        <f>SUMIFS('Support - Transition'!F:F,'Support - Transition'!B:B,'Step 2'!A2202,'Support - Transition'!C:C,'Step 2'!B2202,'Support - Transition'!D:D,'Step 2'!C2202,'Support - Transition'!E:E,"FIRE")</f>
        <v>0</v>
      </c>
      <c r="I2202" s="126">
        <f>IF(B2202="0",SUMIFS('Support - Transition'!F:F,'Support - Transition'!J:J,'Step 2'!D2202,'Support - Transition'!E:E,"STATE UNIT"),SUMIFS('Support - Transition'!F:F,'Support - Transition'!J:J,'Step 2'!D2202))</f>
        <v>0</v>
      </c>
      <c r="J2202" s="126">
        <f>SUMIFS('Support - Unit Adjustments'!E:E,'Support - Unit Adjustments'!F:F,'Step 2'!D2202)</f>
        <v>0</v>
      </c>
      <c r="K2202" s="126">
        <f t="shared" si="650"/>
        <v>0</v>
      </c>
      <c r="L2202" s="174">
        <f>VLOOKUP(A2202,'Step 1'!$A:$E,4,FALSE)</f>
        <v>384901</v>
      </c>
      <c r="M2202" s="47">
        <f t="shared" si="651"/>
        <v>0</v>
      </c>
      <c r="N2202" s="177">
        <f>SUMIFS('Support - Transition'!G:G,'Support - Transition'!J:J,'Step 2'!D2202,'Support - Transition'!E:E,"2009 WELFARE ALLOCATION FACTOR")</f>
        <v>0</v>
      </c>
      <c r="O2202" s="152">
        <f t="shared" si="656"/>
        <v>0</v>
      </c>
      <c r="P2202" s="126">
        <f>IF(E2202="Y",0,SUMIFS('Support - Transition'!G:G,'Support - Transition'!J:J,'Step 2'!D2202,'Support - Transition'!E:E,"2009 SCHOOL ALLOCATION FACTOR"))</f>
        <v>0</v>
      </c>
      <c r="Q2202" s="126">
        <f>IF(E2202="Y",VLOOKUP(D2202,'Support - Unit Adjustments'!F:G,2,FALSE),0)</f>
        <v>0</v>
      </c>
      <c r="R2202" s="155">
        <f t="shared" si="668"/>
        <v>0</v>
      </c>
      <c r="S2202" s="47">
        <f t="shared" si="667"/>
        <v>0</v>
      </c>
      <c r="T2202" s="151">
        <f t="shared" si="652"/>
        <v>0</v>
      </c>
      <c r="U2202" s="151">
        <f t="shared" si="653"/>
        <v>0</v>
      </c>
      <c r="V2202" s="139">
        <f t="shared" si="654"/>
        <v>0</v>
      </c>
      <c r="W2202" s="152">
        <f t="shared" si="657"/>
        <v>0</v>
      </c>
      <c r="X2202" s="127" t="str">
        <f t="shared" si="655"/>
        <v/>
      </c>
      <c r="Y2202" s="207">
        <f t="shared" si="658"/>
        <v>0</v>
      </c>
      <c r="Z2202" s="139">
        <f t="shared" si="659"/>
        <v>0</v>
      </c>
      <c r="AA2202" s="139">
        <f t="shared" si="660"/>
        <v>0</v>
      </c>
      <c r="AC2202" s="47">
        <f t="shared" si="661"/>
        <v>0</v>
      </c>
      <c r="AD2202" s="47">
        <f t="shared" si="662"/>
        <v>0</v>
      </c>
      <c r="AE2202" s="47">
        <f t="shared" si="663"/>
        <v>0</v>
      </c>
      <c r="AG2202" s="47">
        <f t="shared" si="664"/>
        <v>0</v>
      </c>
      <c r="AH2202" s="47">
        <f t="shared" si="665"/>
        <v>0</v>
      </c>
      <c r="AI2202" s="208">
        <f t="shared" si="666"/>
        <v>0</v>
      </c>
    </row>
    <row r="2203" spans="1:35">
      <c r="A2203" t="s">
        <v>2157</v>
      </c>
      <c r="B2203" t="s">
        <v>3286</v>
      </c>
      <c r="C2203" t="s">
        <v>3702</v>
      </c>
      <c r="D2203" t="s">
        <v>5719</v>
      </c>
      <c r="F2203" t="s">
        <v>5720</v>
      </c>
      <c r="G2203" s="126">
        <f>SUMIFS('Support - Transition'!F:F,'Support - Transition'!B:B,'Step 2'!A2203,'Support - Transition'!C:C,'Step 2'!B2203,'Support - Transition'!D:D,'Step 2'!C2203,'Support - Transition'!E:E,"CIVIL")</f>
        <v>0</v>
      </c>
      <c r="H2203" s="126">
        <f>SUMIFS('Support - Transition'!F:F,'Support - Transition'!B:B,'Step 2'!A2203,'Support - Transition'!C:C,'Step 2'!B2203,'Support - Transition'!D:D,'Step 2'!C2203,'Support - Transition'!E:E,"FIRE")</f>
        <v>0</v>
      </c>
      <c r="I2203" s="126">
        <f>IF(B2203="0",SUMIFS('Support - Transition'!F:F,'Support - Transition'!J:J,'Step 2'!D2203,'Support - Transition'!E:E,"STATE UNIT"),SUMIFS('Support - Transition'!F:F,'Support - Transition'!J:J,'Step 2'!D2203))</f>
        <v>0</v>
      </c>
      <c r="J2203" s="126">
        <f>SUMIFS('Support - Unit Adjustments'!E:E,'Support - Unit Adjustments'!F:F,'Step 2'!D2203)</f>
        <v>0</v>
      </c>
      <c r="K2203" s="126">
        <f t="shared" si="650"/>
        <v>0</v>
      </c>
      <c r="L2203" s="174">
        <f>VLOOKUP(A2203,'Step 1'!$A:$E,4,FALSE)</f>
        <v>384901</v>
      </c>
      <c r="M2203" s="47">
        <f t="shared" si="651"/>
        <v>0</v>
      </c>
      <c r="N2203" s="177">
        <f>SUMIFS('Support - Transition'!G:G,'Support - Transition'!J:J,'Step 2'!D2203,'Support - Transition'!E:E,"2009 WELFARE ALLOCATION FACTOR")</f>
        <v>0</v>
      </c>
      <c r="O2203" s="152">
        <f t="shared" si="656"/>
        <v>0</v>
      </c>
      <c r="P2203" s="126">
        <f>IF(E2203="Y",0,SUMIFS('Support - Transition'!G:G,'Support - Transition'!J:J,'Step 2'!D2203,'Support - Transition'!E:E,"2009 SCHOOL ALLOCATION FACTOR"))</f>
        <v>0</v>
      </c>
      <c r="Q2203" s="126">
        <f>IF(E2203="Y",VLOOKUP(D2203,'Support - Unit Adjustments'!F:G,2,FALSE),0)</f>
        <v>0</v>
      </c>
      <c r="R2203" s="155">
        <f t="shared" si="668"/>
        <v>0</v>
      </c>
      <c r="S2203" s="47">
        <f t="shared" si="667"/>
        <v>0</v>
      </c>
      <c r="T2203" s="151">
        <f t="shared" si="652"/>
        <v>0</v>
      </c>
      <c r="U2203" s="151">
        <f t="shared" si="653"/>
        <v>0</v>
      </c>
      <c r="V2203" s="139">
        <f t="shared" si="654"/>
        <v>0</v>
      </c>
      <c r="W2203" s="152">
        <f t="shared" si="657"/>
        <v>0</v>
      </c>
      <c r="X2203" s="127" t="str">
        <f t="shared" si="655"/>
        <v/>
      </c>
      <c r="Y2203" s="207">
        <f t="shared" si="658"/>
        <v>0</v>
      </c>
      <c r="Z2203" s="139">
        <f t="shared" si="659"/>
        <v>0</v>
      </c>
      <c r="AA2203" s="139">
        <f t="shared" si="660"/>
        <v>0</v>
      </c>
      <c r="AC2203" s="47">
        <f t="shared" si="661"/>
        <v>0</v>
      </c>
      <c r="AD2203" s="47">
        <f t="shared" si="662"/>
        <v>0</v>
      </c>
      <c r="AE2203" s="47">
        <f t="shared" si="663"/>
        <v>0</v>
      </c>
      <c r="AG2203" s="47">
        <f t="shared" si="664"/>
        <v>0</v>
      </c>
      <c r="AH2203" s="47">
        <f t="shared" si="665"/>
        <v>0</v>
      </c>
      <c r="AI2203" s="208">
        <f t="shared" si="666"/>
        <v>0</v>
      </c>
    </row>
    <row r="2204" spans="1:35">
      <c r="A2204" t="s">
        <v>2158</v>
      </c>
      <c r="B2204" s="48" t="s">
        <v>6274</v>
      </c>
      <c r="C2204" t="s">
        <v>2187</v>
      </c>
      <c r="D2204" t="str">
        <f>A2204&amp;B2204&amp;C2204</f>
        <v>7400000</v>
      </c>
      <c r="F2204" t="s">
        <v>6348</v>
      </c>
      <c r="G2204" s="126">
        <f>SUMIFS('Support - Transition'!F:F,'Support - Transition'!B:B,'Step 2'!A2204,'Support - Transition'!C:C,'Step 2'!B2204,'Support - Transition'!D:D,'Step 2'!C2204,'Support - Transition'!E:E,"CIVIL")</f>
        <v>0</v>
      </c>
      <c r="H2204" s="126">
        <f>SUMIFS('Support - Transition'!F:F,'Support - Transition'!B:B,'Step 2'!A2204,'Support - Transition'!C:C,'Step 2'!B2204,'Support - Transition'!D:D,'Step 2'!C2204,'Support - Transition'!E:E,"FIRE")</f>
        <v>0</v>
      </c>
      <c r="I2204" s="126">
        <f>IF(B2204="0",SUMIFS('Support - Transition'!F:F,'Support - Transition'!J:J,'Step 2'!D2204,'Support - Transition'!E:E,"STATE UNIT"),SUMIFS('Support - Transition'!F:F,'Support - Transition'!J:J,'Step 2'!D2204))</f>
        <v>1.485E-3</v>
      </c>
      <c r="J2204" s="126">
        <f>SUMIFS('Support - Unit Adjustments'!E:E,'Support - Unit Adjustments'!F:F,'Step 2'!D2204)</f>
        <v>0</v>
      </c>
      <c r="K2204" s="126">
        <f t="shared" si="650"/>
        <v>1.485E-3</v>
      </c>
      <c r="L2204" s="174">
        <f>VLOOKUP(A2204,'Step 1'!$A:$E,4,FALSE)</f>
        <v>279193</v>
      </c>
      <c r="M2204" s="47">
        <f t="shared" si="651"/>
        <v>415</v>
      </c>
      <c r="N2204" s="177">
        <f>SUMIFS('Support - Transition'!G:G,'Support - Transition'!J:J,'Step 2'!D2204,'Support - Transition'!E:E,"2009 WELFARE ALLOCATION FACTOR")</f>
        <v>0</v>
      </c>
      <c r="O2204" s="152">
        <f t="shared" si="656"/>
        <v>0</v>
      </c>
      <c r="P2204" s="126">
        <f>IF(E2204="Y",0,SUMIFS('Support - Transition'!G:G,'Support - Transition'!J:J,'Step 2'!D2204,'Support - Transition'!E:E,"2009 SCHOOL ALLOCATION FACTOR"))</f>
        <v>0</v>
      </c>
      <c r="Q2204" s="126">
        <f>IF(E2204="Y",VLOOKUP(D2204,'Support - Unit Adjustments'!F:G,2,FALSE),0)</f>
        <v>0</v>
      </c>
      <c r="R2204" s="155">
        <f t="shared" si="668"/>
        <v>0</v>
      </c>
      <c r="S2204" s="47">
        <f t="shared" si="667"/>
        <v>0</v>
      </c>
      <c r="T2204" s="151">
        <f t="shared" si="652"/>
        <v>415</v>
      </c>
      <c r="U2204" s="151">
        <f t="shared" si="653"/>
        <v>279193</v>
      </c>
      <c r="V2204" s="139">
        <f t="shared" si="654"/>
        <v>0</v>
      </c>
      <c r="W2204" s="152">
        <f t="shared" si="657"/>
        <v>415</v>
      </c>
      <c r="X2204" s="127">
        <f t="shared" si="655"/>
        <v>0</v>
      </c>
      <c r="Y2204" s="207">
        <f t="shared" si="658"/>
        <v>415</v>
      </c>
      <c r="Z2204" s="139">
        <f t="shared" si="659"/>
        <v>415</v>
      </c>
      <c r="AA2204" s="139">
        <f t="shared" si="660"/>
        <v>0</v>
      </c>
      <c r="AC2204" s="47">
        <f t="shared" si="661"/>
        <v>208</v>
      </c>
      <c r="AD2204" s="47">
        <f t="shared" si="662"/>
        <v>208</v>
      </c>
      <c r="AE2204" s="47">
        <f t="shared" si="663"/>
        <v>0</v>
      </c>
      <c r="AG2204" s="47">
        <f t="shared" si="664"/>
        <v>207</v>
      </c>
      <c r="AH2204" s="47">
        <f t="shared" si="665"/>
        <v>207</v>
      </c>
      <c r="AI2204" s="208">
        <f t="shared" si="666"/>
        <v>0</v>
      </c>
    </row>
    <row r="2205" spans="1:35">
      <c r="A2205" t="s">
        <v>2158</v>
      </c>
      <c r="B2205" t="s">
        <v>3140</v>
      </c>
      <c r="C2205" t="s">
        <v>2187</v>
      </c>
      <c r="D2205" t="s">
        <v>5721</v>
      </c>
      <c r="F2205" t="s">
        <v>1587</v>
      </c>
      <c r="G2205" s="126">
        <f>SUMIFS('Support - Transition'!F:F,'Support - Transition'!B:B,'Step 2'!A2205,'Support - Transition'!C:C,'Step 2'!B2205,'Support - Transition'!D:D,'Step 2'!C2205,'Support - Transition'!E:E,"CIVIL")</f>
        <v>0</v>
      </c>
      <c r="H2205" s="126">
        <f>SUMIFS('Support - Transition'!F:F,'Support - Transition'!B:B,'Step 2'!A2205,'Support - Transition'!C:C,'Step 2'!B2205,'Support - Transition'!D:D,'Step 2'!C2205,'Support - Transition'!E:E,"FIRE")</f>
        <v>0</v>
      </c>
      <c r="I2205" s="126">
        <f>IF(B2205="0",SUMIFS('Support - Transition'!F:F,'Support - Transition'!J:J,'Step 2'!D2205,'Support - Transition'!E:E,"STATE UNIT"),SUMIFS('Support - Transition'!F:F,'Support - Transition'!J:J,'Step 2'!D2205))</f>
        <v>0.18720200000000001</v>
      </c>
      <c r="J2205" s="126">
        <f>SUMIFS('Support - Unit Adjustments'!E:E,'Support - Unit Adjustments'!F:F,'Step 2'!D2205)</f>
        <v>0</v>
      </c>
      <c r="K2205" s="126">
        <f t="shared" si="650"/>
        <v>0.18720200000000001</v>
      </c>
      <c r="L2205" s="174">
        <f>VLOOKUP(A2205,'Step 1'!$A:$E,4,FALSE)</f>
        <v>279193</v>
      </c>
      <c r="M2205" s="47">
        <f t="shared" si="651"/>
        <v>52265</v>
      </c>
      <c r="N2205" s="177">
        <f>SUMIFS('Support - Transition'!G:G,'Support - Transition'!J:J,'Step 2'!D2205,'Support - Transition'!E:E,"2009 WELFARE ALLOCATION FACTOR")</f>
        <v>8.4342E-2</v>
      </c>
      <c r="O2205" s="152">
        <f t="shared" si="656"/>
        <v>4408</v>
      </c>
      <c r="P2205" s="126">
        <f>IF(E2205="Y",0,SUMIFS('Support - Transition'!G:G,'Support - Transition'!J:J,'Step 2'!D2205,'Support - Transition'!E:E,"2009 SCHOOL ALLOCATION FACTOR"))</f>
        <v>0</v>
      </c>
      <c r="Q2205" s="126">
        <f>IF(E2205="Y",VLOOKUP(D2205,'Support - Unit Adjustments'!F:G,2,FALSE),0)</f>
        <v>0</v>
      </c>
      <c r="R2205" s="155">
        <f t="shared" si="668"/>
        <v>0</v>
      </c>
      <c r="S2205" s="47">
        <f t="shared" si="667"/>
        <v>0</v>
      </c>
      <c r="T2205" s="151">
        <f t="shared" si="652"/>
        <v>47857</v>
      </c>
      <c r="U2205" s="151">
        <f t="shared" si="653"/>
        <v>0</v>
      </c>
      <c r="V2205" s="139">
        <f t="shared" si="654"/>
        <v>0</v>
      </c>
      <c r="W2205" s="152">
        <f t="shared" si="657"/>
        <v>47857</v>
      </c>
      <c r="X2205" s="127" t="str">
        <f t="shared" si="655"/>
        <v/>
      </c>
      <c r="Y2205" s="207">
        <f t="shared" si="658"/>
        <v>47857</v>
      </c>
      <c r="Z2205" s="139">
        <f t="shared" si="659"/>
        <v>47857</v>
      </c>
      <c r="AA2205" s="139">
        <f t="shared" si="660"/>
        <v>0</v>
      </c>
      <c r="AC2205" s="47">
        <f t="shared" si="661"/>
        <v>23929</v>
      </c>
      <c r="AD2205" s="47">
        <f t="shared" si="662"/>
        <v>23929</v>
      </c>
      <c r="AE2205" s="47">
        <f t="shared" si="663"/>
        <v>0</v>
      </c>
      <c r="AG2205" s="47">
        <f t="shared" si="664"/>
        <v>23928</v>
      </c>
      <c r="AH2205" s="47">
        <f t="shared" si="665"/>
        <v>23928</v>
      </c>
      <c r="AI2205" s="208">
        <f t="shared" si="666"/>
        <v>0</v>
      </c>
    </row>
    <row r="2206" spans="1:35">
      <c r="A2206" t="s">
        <v>2158</v>
      </c>
      <c r="B2206" t="s">
        <v>3142</v>
      </c>
      <c r="C2206" t="s">
        <v>2188</v>
      </c>
      <c r="D2206" t="s">
        <v>5722</v>
      </c>
      <c r="F2206" t="s">
        <v>1588</v>
      </c>
      <c r="G2206" s="126">
        <f>SUMIFS('Support - Transition'!F:F,'Support - Transition'!B:B,'Step 2'!A2206,'Support - Transition'!C:C,'Step 2'!B2206,'Support - Transition'!D:D,'Step 2'!C2206,'Support - Transition'!E:E,"CIVIL")</f>
        <v>2.0860000000000002E-3</v>
      </c>
      <c r="H2206" s="126">
        <f>SUMIFS('Support - Transition'!F:F,'Support - Transition'!B:B,'Step 2'!A2206,'Support - Transition'!C:C,'Step 2'!B2206,'Support - Transition'!D:D,'Step 2'!C2206,'Support - Transition'!E:E,"FIRE")</f>
        <v>0</v>
      </c>
      <c r="I2206" s="126">
        <f>IF(B2206="0",SUMIFS('Support - Transition'!F:F,'Support - Transition'!J:J,'Step 2'!D2206,'Support - Transition'!E:E,"STATE UNIT"),SUMIFS('Support - Transition'!F:F,'Support - Transition'!J:J,'Step 2'!D2206))</f>
        <v>2.0860000000000002E-3</v>
      </c>
      <c r="J2206" s="126">
        <f>SUMIFS('Support - Unit Adjustments'!E:E,'Support - Unit Adjustments'!F:F,'Step 2'!D2206)</f>
        <v>0</v>
      </c>
      <c r="K2206" s="126">
        <f t="shared" si="650"/>
        <v>2.0860000000000002E-3</v>
      </c>
      <c r="L2206" s="174">
        <f>VLOOKUP(A2206,'Step 1'!$A:$E,4,FALSE)</f>
        <v>279193</v>
      </c>
      <c r="M2206" s="47">
        <f t="shared" si="651"/>
        <v>582</v>
      </c>
      <c r="N2206" s="177">
        <f>SUMIFS('Support - Transition'!G:G,'Support - Transition'!J:J,'Step 2'!D2206,'Support - Transition'!E:E,"2009 WELFARE ALLOCATION FACTOR")</f>
        <v>0</v>
      </c>
      <c r="O2206" s="152">
        <f t="shared" si="656"/>
        <v>0</v>
      </c>
      <c r="P2206" s="126">
        <f>IF(E2206="Y",0,SUMIFS('Support - Transition'!G:G,'Support - Transition'!J:J,'Step 2'!D2206,'Support - Transition'!E:E,"2009 SCHOOL ALLOCATION FACTOR"))</f>
        <v>0</v>
      </c>
      <c r="Q2206" s="126">
        <f>IF(E2206="Y",VLOOKUP(D2206,'Support - Unit Adjustments'!F:G,2,FALSE),0)</f>
        <v>0</v>
      </c>
      <c r="R2206" s="155">
        <f t="shared" si="668"/>
        <v>0</v>
      </c>
      <c r="S2206" s="47">
        <f t="shared" si="667"/>
        <v>0</v>
      </c>
      <c r="T2206" s="151">
        <f t="shared" si="652"/>
        <v>582</v>
      </c>
      <c r="U2206" s="151">
        <f t="shared" si="653"/>
        <v>0</v>
      </c>
      <c r="V2206" s="139">
        <f t="shared" si="654"/>
        <v>0</v>
      </c>
      <c r="W2206" s="152">
        <f t="shared" si="657"/>
        <v>582</v>
      </c>
      <c r="X2206" s="127" t="str">
        <f t="shared" si="655"/>
        <v/>
      </c>
      <c r="Y2206" s="207">
        <f t="shared" si="658"/>
        <v>582</v>
      </c>
      <c r="Z2206" s="139">
        <f t="shared" si="659"/>
        <v>582</v>
      </c>
      <c r="AA2206" s="139">
        <f t="shared" si="660"/>
        <v>0</v>
      </c>
      <c r="AC2206" s="47">
        <f t="shared" si="661"/>
        <v>291</v>
      </c>
      <c r="AD2206" s="47">
        <f t="shared" si="662"/>
        <v>291</v>
      </c>
      <c r="AE2206" s="47">
        <f t="shared" si="663"/>
        <v>0</v>
      </c>
      <c r="AG2206" s="47">
        <f t="shared" si="664"/>
        <v>291</v>
      </c>
      <c r="AH2206" s="47">
        <f t="shared" si="665"/>
        <v>291</v>
      </c>
      <c r="AI2206" s="208">
        <f t="shared" si="666"/>
        <v>0</v>
      </c>
    </row>
    <row r="2207" spans="1:35">
      <c r="A2207" t="s">
        <v>2158</v>
      </c>
      <c r="B2207" t="s">
        <v>3142</v>
      </c>
      <c r="C2207" t="s">
        <v>2189</v>
      </c>
      <c r="D2207" t="s">
        <v>5723</v>
      </c>
      <c r="F2207" t="s">
        <v>81</v>
      </c>
      <c r="G2207" s="126">
        <f>SUMIFS('Support - Transition'!F:F,'Support - Transition'!B:B,'Step 2'!A2207,'Support - Transition'!C:C,'Step 2'!B2207,'Support - Transition'!D:D,'Step 2'!C2207,'Support - Transition'!E:E,"CIVIL")</f>
        <v>4.64E-4</v>
      </c>
      <c r="H2207" s="126">
        <f>SUMIFS('Support - Transition'!F:F,'Support - Transition'!B:B,'Step 2'!A2207,'Support - Transition'!C:C,'Step 2'!B2207,'Support - Transition'!D:D,'Step 2'!C2207,'Support - Transition'!E:E,"FIRE")</f>
        <v>7.4999999999999993E-5</v>
      </c>
      <c r="I2207" s="126">
        <f>IF(B2207="0",SUMIFS('Support - Transition'!F:F,'Support - Transition'!J:J,'Step 2'!D2207,'Support - Transition'!E:E,"STATE UNIT"),SUMIFS('Support - Transition'!F:F,'Support - Transition'!J:J,'Step 2'!D2207))</f>
        <v>5.3899999999999998E-4</v>
      </c>
      <c r="J2207" s="126">
        <f>SUMIFS('Support - Unit Adjustments'!E:E,'Support - Unit Adjustments'!F:F,'Step 2'!D2207)</f>
        <v>0</v>
      </c>
      <c r="K2207" s="126">
        <f t="shared" si="650"/>
        <v>5.3899999999999998E-4</v>
      </c>
      <c r="L2207" s="174">
        <f>VLOOKUP(A2207,'Step 1'!$A:$E,4,FALSE)</f>
        <v>279193</v>
      </c>
      <c r="M2207" s="47">
        <f t="shared" si="651"/>
        <v>150</v>
      </c>
      <c r="N2207" s="177">
        <f>SUMIFS('Support - Transition'!G:G,'Support - Transition'!J:J,'Step 2'!D2207,'Support - Transition'!E:E,"2009 WELFARE ALLOCATION FACTOR")</f>
        <v>0</v>
      </c>
      <c r="O2207" s="152">
        <f t="shared" si="656"/>
        <v>0</v>
      </c>
      <c r="P2207" s="126">
        <f>IF(E2207="Y",0,SUMIFS('Support - Transition'!G:G,'Support - Transition'!J:J,'Step 2'!D2207,'Support - Transition'!E:E,"2009 SCHOOL ALLOCATION FACTOR"))</f>
        <v>0</v>
      </c>
      <c r="Q2207" s="126">
        <f>IF(E2207="Y",VLOOKUP(D2207,'Support - Unit Adjustments'!F:G,2,FALSE),0)</f>
        <v>0</v>
      </c>
      <c r="R2207" s="155">
        <f t="shared" si="668"/>
        <v>0</v>
      </c>
      <c r="S2207" s="47">
        <f t="shared" si="667"/>
        <v>0</v>
      </c>
      <c r="T2207" s="151">
        <f t="shared" si="652"/>
        <v>150</v>
      </c>
      <c r="U2207" s="151">
        <f t="shared" si="653"/>
        <v>0</v>
      </c>
      <c r="V2207" s="139">
        <f t="shared" si="654"/>
        <v>0</v>
      </c>
      <c r="W2207" s="152">
        <f t="shared" si="657"/>
        <v>150</v>
      </c>
      <c r="X2207" s="127" t="str">
        <f t="shared" si="655"/>
        <v/>
      </c>
      <c r="Y2207" s="207">
        <f t="shared" si="658"/>
        <v>150</v>
      </c>
      <c r="Z2207" s="139">
        <f t="shared" si="659"/>
        <v>129</v>
      </c>
      <c r="AA2207" s="139">
        <f t="shared" si="660"/>
        <v>21</v>
      </c>
      <c r="AC2207" s="47">
        <f t="shared" si="661"/>
        <v>75</v>
      </c>
      <c r="AD2207" s="47">
        <f t="shared" si="662"/>
        <v>65</v>
      </c>
      <c r="AE2207" s="47">
        <f t="shared" si="663"/>
        <v>11</v>
      </c>
      <c r="AG2207" s="47">
        <f t="shared" si="664"/>
        <v>75</v>
      </c>
      <c r="AH2207" s="47">
        <f t="shared" si="665"/>
        <v>64</v>
      </c>
      <c r="AI2207" s="208">
        <f t="shared" si="666"/>
        <v>10</v>
      </c>
    </row>
    <row r="2208" spans="1:35">
      <c r="A2208" t="s">
        <v>2158</v>
      </c>
      <c r="B2208" t="s">
        <v>3142</v>
      </c>
      <c r="C2208" t="s">
        <v>2190</v>
      </c>
      <c r="D2208" t="s">
        <v>5724</v>
      </c>
      <c r="F2208" t="s">
        <v>1589</v>
      </c>
      <c r="G2208" s="126">
        <f>SUMIFS('Support - Transition'!F:F,'Support - Transition'!B:B,'Step 2'!A2208,'Support - Transition'!C:C,'Step 2'!B2208,'Support - Transition'!D:D,'Step 2'!C2208,'Support - Transition'!E:E,"CIVIL")</f>
        <v>1.0449999999999999E-3</v>
      </c>
      <c r="H2208" s="126">
        <f>SUMIFS('Support - Transition'!F:F,'Support - Transition'!B:B,'Step 2'!A2208,'Support - Transition'!C:C,'Step 2'!B2208,'Support - Transition'!D:D,'Step 2'!C2208,'Support - Transition'!E:E,"FIRE")</f>
        <v>3.6900000000000002E-4</v>
      </c>
      <c r="I2208" s="126">
        <f>IF(B2208="0",SUMIFS('Support - Transition'!F:F,'Support - Transition'!J:J,'Step 2'!D2208,'Support - Transition'!E:E,"STATE UNIT"),SUMIFS('Support - Transition'!F:F,'Support - Transition'!J:J,'Step 2'!D2208))</f>
        <v>1.4139999999999999E-3</v>
      </c>
      <c r="J2208" s="126">
        <f>SUMIFS('Support - Unit Adjustments'!E:E,'Support - Unit Adjustments'!F:F,'Step 2'!D2208)</f>
        <v>0</v>
      </c>
      <c r="K2208" s="126">
        <f t="shared" si="650"/>
        <v>1.4139999999999999E-3</v>
      </c>
      <c r="L2208" s="174">
        <f>VLOOKUP(A2208,'Step 1'!$A:$E,4,FALSE)</f>
        <v>279193</v>
      </c>
      <c r="M2208" s="47">
        <f t="shared" si="651"/>
        <v>395</v>
      </c>
      <c r="N2208" s="177">
        <f>SUMIFS('Support - Transition'!G:G,'Support - Transition'!J:J,'Step 2'!D2208,'Support - Transition'!E:E,"2009 WELFARE ALLOCATION FACTOR")</f>
        <v>0</v>
      </c>
      <c r="O2208" s="152">
        <f t="shared" si="656"/>
        <v>0</v>
      </c>
      <c r="P2208" s="126">
        <f>IF(E2208="Y",0,SUMIFS('Support - Transition'!G:G,'Support - Transition'!J:J,'Step 2'!D2208,'Support - Transition'!E:E,"2009 SCHOOL ALLOCATION FACTOR"))</f>
        <v>0</v>
      </c>
      <c r="Q2208" s="126">
        <f>IF(E2208="Y",VLOOKUP(D2208,'Support - Unit Adjustments'!F:G,2,FALSE),0)</f>
        <v>0</v>
      </c>
      <c r="R2208" s="155">
        <f t="shared" si="668"/>
        <v>0</v>
      </c>
      <c r="S2208" s="47">
        <f t="shared" si="667"/>
        <v>0</v>
      </c>
      <c r="T2208" s="151">
        <f t="shared" si="652"/>
        <v>395</v>
      </c>
      <c r="U2208" s="151">
        <f t="shared" si="653"/>
        <v>0</v>
      </c>
      <c r="V2208" s="139">
        <f t="shared" si="654"/>
        <v>0</v>
      </c>
      <c r="W2208" s="152">
        <f t="shared" si="657"/>
        <v>395</v>
      </c>
      <c r="X2208" s="127" t="str">
        <f t="shared" si="655"/>
        <v/>
      </c>
      <c r="Y2208" s="207">
        <f t="shared" si="658"/>
        <v>395</v>
      </c>
      <c r="Z2208" s="139">
        <f t="shared" si="659"/>
        <v>292</v>
      </c>
      <c r="AA2208" s="139">
        <f t="shared" si="660"/>
        <v>103</v>
      </c>
      <c r="AC2208" s="47">
        <f t="shared" si="661"/>
        <v>198</v>
      </c>
      <c r="AD2208" s="47">
        <f t="shared" si="662"/>
        <v>146</v>
      </c>
      <c r="AE2208" s="47">
        <f t="shared" si="663"/>
        <v>52</v>
      </c>
      <c r="AG2208" s="47">
        <f t="shared" si="664"/>
        <v>197</v>
      </c>
      <c r="AH2208" s="47">
        <f t="shared" si="665"/>
        <v>146</v>
      </c>
      <c r="AI2208" s="208">
        <f t="shared" si="666"/>
        <v>51</v>
      </c>
    </row>
    <row r="2209" spans="1:35">
      <c r="A2209" t="s">
        <v>2158</v>
      </c>
      <c r="B2209" t="s">
        <v>3142</v>
      </c>
      <c r="C2209" t="s">
        <v>2191</v>
      </c>
      <c r="D2209" t="s">
        <v>5725</v>
      </c>
      <c r="F2209" t="s">
        <v>1590</v>
      </c>
      <c r="G2209" s="126">
        <f>SUMIFS('Support - Transition'!F:F,'Support - Transition'!B:B,'Step 2'!A2209,'Support - Transition'!C:C,'Step 2'!B2209,'Support - Transition'!D:D,'Step 2'!C2209,'Support - Transition'!E:E,"CIVIL")</f>
        <v>9.3700000000000001E-4</v>
      </c>
      <c r="H2209" s="126">
        <f>SUMIFS('Support - Transition'!F:F,'Support - Transition'!B:B,'Step 2'!A2209,'Support - Transition'!C:C,'Step 2'!B2209,'Support - Transition'!D:D,'Step 2'!C2209,'Support - Transition'!E:E,"FIRE")</f>
        <v>2.6800000000000001E-4</v>
      </c>
      <c r="I2209" s="126">
        <f>IF(B2209="0",SUMIFS('Support - Transition'!F:F,'Support - Transition'!J:J,'Step 2'!D2209,'Support - Transition'!E:E,"STATE UNIT"),SUMIFS('Support - Transition'!F:F,'Support - Transition'!J:J,'Step 2'!D2209))</f>
        <v>1.2049999999999999E-3</v>
      </c>
      <c r="J2209" s="126">
        <f>SUMIFS('Support - Unit Adjustments'!E:E,'Support - Unit Adjustments'!F:F,'Step 2'!D2209)</f>
        <v>0</v>
      </c>
      <c r="K2209" s="126">
        <f t="shared" si="650"/>
        <v>1.2049999999999999E-3</v>
      </c>
      <c r="L2209" s="174">
        <f>VLOOKUP(A2209,'Step 1'!$A:$E,4,FALSE)</f>
        <v>279193</v>
      </c>
      <c r="M2209" s="47">
        <f t="shared" si="651"/>
        <v>336</v>
      </c>
      <c r="N2209" s="177">
        <f>SUMIFS('Support - Transition'!G:G,'Support - Transition'!J:J,'Step 2'!D2209,'Support - Transition'!E:E,"2009 WELFARE ALLOCATION FACTOR")</f>
        <v>0</v>
      </c>
      <c r="O2209" s="152">
        <f t="shared" si="656"/>
        <v>0</v>
      </c>
      <c r="P2209" s="126">
        <f>IF(E2209="Y",0,SUMIFS('Support - Transition'!G:G,'Support - Transition'!J:J,'Step 2'!D2209,'Support - Transition'!E:E,"2009 SCHOOL ALLOCATION FACTOR"))</f>
        <v>0</v>
      </c>
      <c r="Q2209" s="126">
        <f>IF(E2209="Y",VLOOKUP(D2209,'Support - Unit Adjustments'!F:G,2,FALSE),0)</f>
        <v>0</v>
      </c>
      <c r="R2209" s="155">
        <f t="shared" si="668"/>
        <v>0</v>
      </c>
      <c r="S2209" s="47">
        <f t="shared" si="667"/>
        <v>0</v>
      </c>
      <c r="T2209" s="151">
        <f t="shared" si="652"/>
        <v>336</v>
      </c>
      <c r="U2209" s="151">
        <f t="shared" si="653"/>
        <v>0</v>
      </c>
      <c r="V2209" s="139">
        <f t="shared" si="654"/>
        <v>0</v>
      </c>
      <c r="W2209" s="152">
        <f t="shared" si="657"/>
        <v>336</v>
      </c>
      <c r="X2209" s="127" t="str">
        <f t="shared" si="655"/>
        <v/>
      </c>
      <c r="Y2209" s="207">
        <f t="shared" si="658"/>
        <v>336</v>
      </c>
      <c r="Z2209" s="139">
        <f t="shared" si="659"/>
        <v>261</v>
      </c>
      <c r="AA2209" s="139">
        <f t="shared" si="660"/>
        <v>75</v>
      </c>
      <c r="AC2209" s="47">
        <f t="shared" si="661"/>
        <v>168</v>
      </c>
      <c r="AD2209" s="47">
        <f t="shared" si="662"/>
        <v>131</v>
      </c>
      <c r="AE2209" s="47">
        <f t="shared" si="663"/>
        <v>38</v>
      </c>
      <c r="AG2209" s="47">
        <f t="shared" si="664"/>
        <v>168</v>
      </c>
      <c r="AH2209" s="47">
        <f t="shared" si="665"/>
        <v>130</v>
      </c>
      <c r="AI2209" s="208">
        <f t="shared" si="666"/>
        <v>37</v>
      </c>
    </row>
    <row r="2210" spans="1:35">
      <c r="A2210" t="s">
        <v>2158</v>
      </c>
      <c r="B2210" t="s">
        <v>3142</v>
      </c>
      <c r="C2210" t="s">
        <v>2192</v>
      </c>
      <c r="D2210" t="s">
        <v>5726</v>
      </c>
      <c r="F2210" t="s">
        <v>86</v>
      </c>
      <c r="G2210" s="126">
        <f>SUMIFS('Support - Transition'!F:F,'Support - Transition'!B:B,'Step 2'!A2210,'Support - Transition'!C:C,'Step 2'!B2210,'Support - Transition'!D:D,'Step 2'!C2210,'Support - Transition'!E:E,"CIVIL")</f>
        <v>9.2100000000000005E-4</v>
      </c>
      <c r="H2210" s="126">
        <f>SUMIFS('Support - Transition'!F:F,'Support - Transition'!B:B,'Step 2'!A2210,'Support - Transition'!C:C,'Step 2'!B2210,'Support - Transition'!D:D,'Step 2'!C2210,'Support - Transition'!E:E,"FIRE")</f>
        <v>3.8200000000000002E-4</v>
      </c>
      <c r="I2210" s="126">
        <f>IF(B2210="0",SUMIFS('Support - Transition'!F:F,'Support - Transition'!J:J,'Step 2'!D2210,'Support - Transition'!E:E,"STATE UNIT"),SUMIFS('Support - Transition'!F:F,'Support - Transition'!J:J,'Step 2'!D2210))</f>
        <v>1.3030000000000001E-3</v>
      </c>
      <c r="J2210" s="126">
        <f>SUMIFS('Support - Unit Adjustments'!E:E,'Support - Unit Adjustments'!F:F,'Step 2'!D2210)</f>
        <v>0</v>
      </c>
      <c r="K2210" s="126">
        <f t="shared" si="650"/>
        <v>1.3030000000000001E-3</v>
      </c>
      <c r="L2210" s="174">
        <f>VLOOKUP(A2210,'Step 1'!$A:$E,4,FALSE)</f>
        <v>279193</v>
      </c>
      <c r="M2210" s="47">
        <f t="shared" si="651"/>
        <v>364</v>
      </c>
      <c r="N2210" s="177">
        <f>SUMIFS('Support - Transition'!G:G,'Support - Transition'!J:J,'Step 2'!D2210,'Support - Transition'!E:E,"2009 WELFARE ALLOCATION FACTOR")</f>
        <v>0</v>
      </c>
      <c r="O2210" s="152">
        <f t="shared" si="656"/>
        <v>0</v>
      </c>
      <c r="P2210" s="126">
        <f>IF(E2210="Y",0,SUMIFS('Support - Transition'!G:G,'Support - Transition'!J:J,'Step 2'!D2210,'Support - Transition'!E:E,"2009 SCHOOL ALLOCATION FACTOR"))</f>
        <v>0</v>
      </c>
      <c r="Q2210" s="126">
        <f>IF(E2210="Y",VLOOKUP(D2210,'Support - Unit Adjustments'!F:G,2,FALSE),0)</f>
        <v>0</v>
      </c>
      <c r="R2210" s="155">
        <f t="shared" si="668"/>
        <v>0</v>
      </c>
      <c r="S2210" s="47">
        <f t="shared" si="667"/>
        <v>0</v>
      </c>
      <c r="T2210" s="151">
        <f t="shared" si="652"/>
        <v>364</v>
      </c>
      <c r="U2210" s="151">
        <f t="shared" si="653"/>
        <v>0</v>
      </c>
      <c r="V2210" s="139">
        <f t="shared" si="654"/>
        <v>0</v>
      </c>
      <c r="W2210" s="152">
        <f t="shared" si="657"/>
        <v>364</v>
      </c>
      <c r="X2210" s="127" t="str">
        <f t="shared" si="655"/>
        <v/>
      </c>
      <c r="Y2210" s="207">
        <f t="shared" si="658"/>
        <v>364</v>
      </c>
      <c r="Z2210" s="139">
        <f t="shared" si="659"/>
        <v>257</v>
      </c>
      <c r="AA2210" s="139">
        <f t="shared" si="660"/>
        <v>107</v>
      </c>
      <c r="AC2210" s="47">
        <f t="shared" si="661"/>
        <v>182</v>
      </c>
      <c r="AD2210" s="47">
        <f t="shared" si="662"/>
        <v>129</v>
      </c>
      <c r="AE2210" s="47">
        <f t="shared" si="663"/>
        <v>54</v>
      </c>
      <c r="AG2210" s="47">
        <f t="shared" si="664"/>
        <v>182</v>
      </c>
      <c r="AH2210" s="47">
        <f t="shared" si="665"/>
        <v>128</v>
      </c>
      <c r="AI2210" s="208">
        <f t="shared" si="666"/>
        <v>53</v>
      </c>
    </row>
    <row r="2211" spans="1:35">
      <c r="A2211" t="s">
        <v>2158</v>
      </c>
      <c r="B2211" t="s">
        <v>3142</v>
      </c>
      <c r="C2211" t="s">
        <v>2193</v>
      </c>
      <c r="D2211" t="s">
        <v>5727</v>
      </c>
      <c r="F2211" t="s">
        <v>1591</v>
      </c>
      <c r="G2211" s="126">
        <f>SUMIFS('Support - Transition'!F:F,'Support - Transition'!B:B,'Step 2'!A2211,'Support - Transition'!C:C,'Step 2'!B2211,'Support - Transition'!D:D,'Step 2'!C2211,'Support - Transition'!E:E,"CIVIL")</f>
        <v>5.7499999999999999E-4</v>
      </c>
      <c r="H2211" s="126">
        <f>SUMIFS('Support - Transition'!F:F,'Support - Transition'!B:B,'Step 2'!A2211,'Support - Transition'!C:C,'Step 2'!B2211,'Support - Transition'!D:D,'Step 2'!C2211,'Support - Transition'!E:E,"FIRE")</f>
        <v>2.12E-4</v>
      </c>
      <c r="I2211" s="126">
        <f>IF(B2211="0",SUMIFS('Support - Transition'!F:F,'Support - Transition'!J:J,'Step 2'!D2211,'Support - Transition'!E:E,"STATE UNIT"),SUMIFS('Support - Transition'!F:F,'Support - Transition'!J:J,'Step 2'!D2211))</f>
        <v>7.8699999999999994E-4</v>
      </c>
      <c r="J2211" s="126">
        <f>SUMIFS('Support - Unit Adjustments'!E:E,'Support - Unit Adjustments'!F:F,'Step 2'!D2211)</f>
        <v>0</v>
      </c>
      <c r="K2211" s="126">
        <f t="shared" si="650"/>
        <v>7.8699999999999994E-4</v>
      </c>
      <c r="L2211" s="174">
        <f>VLOOKUP(A2211,'Step 1'!$A:$E,4,FALSE)</f>
        <v>279193</v>
      </c>
      <c r="M2211" s="47">
        <f t="shared" si="651"/>
        <v>220</v>
      </c>
      <c r="N2211" s="177">
        <f>SUMIFS('Support - Transition'!G:G,'Support - Transition'!J:J,'Step 2'!D2211,'Support - Transition'!E:E,"2009 WELFARE ALLOCATION FACTOR")</f>
        <v>0</v>
      </c>
      <c r="O2211" s="152">
        <f t="shared" si="656"/>
        <v>0</v>
      </c>
      <c r="P2211" s="126">
        <f>IF(E2211="Y",0,SUMIFS('Support - Transition'!G:G,'Support - Transition'!J:J,'Step 2'!D2211,'Support - Transition'!E:E,"2009 SCHOOL ALLOCATION FACTOR"))</f>
        <v>0</v>
      </c>
      <c r="Q2211" s="126">
        <f>IF(E2211="Y",VLOOKUP(D2211,'Support - Unit Adjustments'!F:G,2,FALSE),0)</f>
        <v>0</v>
      </c>
      <c r="R2211" s="155">
        <f t="shared" si="668"/>
        <v>0</v>
      </c>
      <c r="S2211" s="47">
        <f t="shared" si="667"/>
        <v>0</v>
      </c>
      <c r="T2211" s="151">
        <f t="shared" si="652"/>
        <v>220</v>
      </c>
      <c r="U2211" s="151">
        <f t="shared" si="653"/>
        <v>0</v>
      </c>
      <c r="V2211" s="139">
        <f t="shared" si="654"/>
        <v>0</v>
      </c>
      <c r="W2211" s="152">
        <f t="shared" si="657"/>
        <v>220</v>
      </c>
      <c r="X2211" s="127" t="str">
        <f t="shared" si="655"/>
        <v/>
      </c>
      <c r="Y2211" s="207">
        <f t="shared" si="658"/>
        <v>220</v>
      </c>
      <c r="Z2211" s="139">
        <f t="shared" si="659"/>
        <v>161</v>
      </c>
      <c r="AA2211" s="139">
        <f t="shared" si="660"/>
        <v>59</v>
      </c>
      <c r="AC2211" s="47">
        <f t="shared" si="661"/>
        <v>110</v>
      </c>
      <c r="AD2211" s="47">
        <f t="shared" si="662"/>
        <v>81</v>
      </c>
      <c r="AE2211" s="47">
        <f t="shared" si="663"/>
        <v>30</v>
      </c>
      <c r="AG2211" s="47">
        <f t="shared" si="664"/>
        <v>110</v>
      </c>
      <c r="AH2211" s="47">
        <f t="shared" si="665"/>
        <v>80</v>
      </c>
      <c r="AI2211" s="208">
        <f t="shared" si="666"/>
        <v>29</v>
      </c>
    </row>
    <row r="2212" spans="1:35">
      <c r="A2212" t="s">
        <v>2158</v>
      </c>
      <c r="B2212" t="s">
        <v>3142</v>
      </c>
      <c r="C2212" t="s">
        <v>2194</v>
      </c>
      <c r="D2212" t="s">
        <v>5728</v>
      </c>
      <c r="F2212" t="s">
        <v>49</v>
      </c>
      <c r="G2212" s="126">
        <f>SUMIFS('Support - Transition'!F:F,'Support - Transition'!B:B,'Step 2'!A2212,'Support - Transition'!C:C,'Step 2'!B2212,'Support - Transition'!D:D,'Step 2'!C2212,'Support - Transition'!E:E,"CIVIL")</f>
        <v>3.6600000000000001E-4</v>
      </c>
      <c r="H2212" s="126">
        <f>SUMIFS('Support - Transition'!F:F,'Support - Transition'!B:B,'Step 2'!A2212,'Support - Transition'!C:C,'Step 2'!B2212,'Support - Transition'!D:D,'Step 2'!C2212,'Support - Transition'!E:E,"FIRE")</f>
        <v>1.11E-4</v>
      </c>
      <c r="I2212" s="126">
        <f>IF(B2212="0",SUMIFS('Support - Transition'!F:F,'Support - Transition'!J:J,'Step 2'!D2212,'Support - Transition'!E:E,"STATE UNIT"),SUMIFS('Support - Transition'!F:F,'Support - Transition'!J:J,'Step 2'!D2212))</f>
        <v>4.7699999999999999E-4</v>
      </c>
      <c r="J2212" s="126">
        <f>SUMIFS('Support - Unit Adjustments'!E:E,'Support - Unit Adjustments'!F:F,'Step 2'!D2212)</f>
        <v>0</v>
      </c>
      <c r="K2212" s="126">
        <f t="shared" si="650"/>
        <v>4.7699999999999999E-4</v>
      </c>
      <c r="L2212" s="174">
        <f>VLOOKUP(A2212,'Step 1'!$A:$E,4,FALSE)</f>
        <v>279193</v>
      </c>
      <c r="M2212" s="47">
        <f t="shared" si="651"/>
        <v>133</v>
      </c>
      <c r="N2212" s="177">
        <f>SUMIFS('Support - Transition'!G:G,'Support - Transition'!J:J,'Step 2'!D2212,'Support - Transition'!E:E,"2009 WELFARE ALLOCATION FACTOR")</f>
        <v>0</v>
      </c>
      <c r="O2212" s="152">
        <f t="shared" si="656"/>
        <v>0</v>
      </c>
      <c r="P2212" s="126">
        <f>IF(E2212="Y",0,SUMIFS('Support - Transition'!G:G,'Support - Transition'!J:J,'Step 2'!D2212,'Support - Transition'!E:E,"2009 SCHOOL ALLOCATION FACTOR"))</f>
        <v>0</v>
      </c>
      <c r="Q2212" s="126">
        <f>IF(E2212="Y",VLOOKUP(D2212,'Support - Unit Adjustments'!F:G,2,FALSE),0)</f>
        <v>0</v>
      </c>
      <c r="R2212" s="155">
        <f t="shared" si="668"/>
        <v>0</v>
      </c>
      <c r="S2212" s="47">
        <f t="shared" si="667"/>
        <v>0</v>
      </c>
      <c r="T2212" s="151">
        <f t="shared" si="652"/>
        <v>133</v>
      </c>
      <c r="U2212" s="151">
        <f t="shared" si="653"/>
        <v>0</v>
      </c>
      <c r="V2212" s="139">
        <f t="shared" si="654"/>
        <v>0</v>
      </c>
      <c r="W2212" s="152">
        <f t="shared" si="657"/>
        <v>133</v>
      </c>
      <c r="X2212" s="127" t="str">
        <f t="shared" si="655"/>
        <v/>
      </c>
      <c r="Y2212" s="207">
        <f t="shared" si="658"/>
        <v>133</v>
      </c>
      <c r="Z2212" s="139">
        <f t="shared" si="659"/>
        <v>102</v>
      </c>
      <c r="AA2212" s="139">
        <f t="shared" si="660"/>
        <v>31</v>
      </c>
      <c r="AC2212" s="47">
        <f t="shared" si="661"/>
        <v>67</v>
      </c>
      <c r="AD2212" s="47">
        <f t="shared" si="662"/>
        <v>51</v>
      </c>
      <c r="AE2212" s="47">
        <f t="shared" si="663"/>
        <v>16</v>
      </c>
      <c r="AG2212" s="47">
        <f t="shared" si="664"/>
        <v>66</v>
      </c>
      <c r="AH2212" s="47">
        <f t="shared" si="665"/>
        <v>51</v>
      </c>
      <c r="AI2212" s="208">
        <f t="shared" si="666"/>
        <v>15</v>
      </c>
    </row>
    <row r="2213" spans="1:35">
      <c r="A2213" t="s">
        <v>2158</v>
      </c>
      <c r="B2213" t="s">
        <v>3142</v>
      </c>
      <c r="C2213" t="s">
        <v>2195</v>
      </c>
      <c r="D2213" t="s">
        <v>5729</v>
      </c>
      <c r="F2213" t="s">
        <v>1592</v>
      </c>
      <c r="G2213" s="126">
        <f>SUMIFS('Support - Transition'!F:F,'Support - Transition'!B:B,'Step 2'!A2213,'Support - Transition'!C:C,'Step 2'!B2213,'Support - Transition'!D:D,'Step 2'!C2213,'Support - Transition'!E:E,"CIVIL")</f>
        <v>7.2760000000000003E-3</v>
      </c>
      <c r="H2213" s="126">
        <f>SUMIFS('Support - Transition'!F:F,'Support - Transition'!B:B,'Step 2'!A2213,'Support - Transition'!C:C,'Step 2'!B2213,'Support - Transition'!D:D,'Step 2'!C2213,'Support - Transition'!E:E,"FIRE")</f>
        <v>4.3189999999999999E-3</v>
      </c>
      <c r="I2213" s="126">
        <f>IF(B2213="0",SUMIFS('Support - Transition'!F:F,'Support - Transition'!J:J,'Step 2'!D2213,'Support - Transition'!E:E,"STATE UNIT"),SUMIFS('Support - Transition'!F:F,'Support - Transition'!J:J,'Step 2'!D2213))</f>
        <v>1.1595000000000001E-2</v>
      </c>
      <c r="J2213" s="126">
        <f>SUMIFS('Support - Unit Adjustments'!E:E,'Support - Unit Adjustments'!F:F,'Step 2'!D2213)</f>
        <v>0</v>
      </c>
      <c r="K2213" s="126">
        <f t="shared" si="650"/>
        <v>1.1595000000000001E-2</v>
      </c>
      <c r="L2213" s="174">
        <f>VLOOKUP(A2213,'Step 1'!$A:$E,4,FALSE)</f>
        <v>279193</v>
      </c>
      <c r="M2213" s="47">
        <f t="shared" si="651"/>
        <v>3237</v>
      </c>
      <c r="N2213" s="177">
        <f>SUMIFS('Support - Transition'!G:G,'Support - Transition'!J:J,'Step 2'!D2213,'Support - Transition'!E:E,"2009 WELFARE ALLOCATION FACTOR")</f>
        <v>0</v>
      </c>
      <c r="O2213" s="152">
        <f t="shared" si="656"/>
        <v>0</v>
      </c>
      <c r="P2213" s="126">
        <f>IF(E2213="Y",0,SUMIFS('Support - Transition'!G:G,'Support - Transition'!J:J,'Step 2'!D2213,'Support - Transition'!E:E,"2009 SCHOOL ALLOCATION FACTOR"))</f>
        <v>0</v>
      </c>
      <c r="Q2213" s="126">
        <f>IF(E2213="Y",VLOOKUP(D2213,'Support - Unit Adjustments'!F:G,2,FALSE),0)</f>
        <v>0</v>
      </c>
      <c r="R2213" s="155">
        <f t="shared" si="668"/>
        <v>0</v>
      </c>
      <c r="S2213" s="47">
        <f t="shared" si="667"/>
        <v>0</v>
      </c>
      <c r="T2213" s="151">
        <f t="shared" si="652"/>
        <v>3237</v>
      </c>
      <c r="U2213" s="151">
        <f t="shared" si="653"/>
        <v>0</v>
      </c>
      <c r="V2213" s="139">
        <f t="shared" si="654"/>
        <v>0</v>
      </c>
      <c r="W2213" s="152">
        <f t="shared" si="657"/>
        <v>3237</v>
      </c>
      <c r="X2213" s="127" t="str">
        <f t="shared" si="655"/>
        <v/>
      </c>
      <c r="Y2213" s="207">
        <f t="shared" si="658"/>
        <v>3237</v>
      </c>
      <c r="Z2213" s="139">
        <f t="shared" si="659"/>
        <v>2031</v>
      </c>
      <c r="AA2213" s="139">
        <f t="shared" si="660"/>
        <v>1206</v>
      </c>
      <c r="AC2213" s="47">
        <f t="shared" si="661"/>
        <v>1619</v>
      </c>
      <c r="AD2213" s="47">
        <f t="shared" si="662"/>
        <v>1016</v>
      </c>
      <c r="AE2213" s="47">
        <f t="shared" si="663"/>
        <v>603</v>
      </c>
      <c r="AG2213" s="47">
        <f t="shared" si="664"/>
        <v>1618</v>
      </c>
      <c r="AH2213" s="47">
        <f t="shared" si="665"/>
        <v>1015</v>
      </c>
      <c r="AI2213" s="208">
        <f t="shared" si="666"/>
        <v>603</v>
      </c>
    </row>
    <row r="2214" spans="1:35">
      <c r="A2214" t="s">
        <v>2158</v>
      </c>
      <c r="B2214" t="s">
        <v>3142</v>
      </c>
      <c r="C2214" t="s">
        <v>2196</v>
      </c>
      <c r="D2214" t="s">
        <v>5730</v>
      </c>
      <c r="F2214" t="s">
        <v>88</v>
      </c>
      <c r="G2214" s="126">
        <f>SUMIFS('Support - Transition'!F:F,'Support - Transition'!B:B,'Step 2'!A2214,'Support - Transition'!C:C,'Step 2'!B2214,'Support - Transition'!D:D,'Step 2'!C2214,'Support - Transition'!E:E,"CIVIL")</f>
        <v>2.575E-3</v>
      </c>
      <c r="H2214" s="126">
        <f>SUMIFS('Support - Transition'!F:F,'Support - Transition'!B:B,'Step 2'!A2214,'Support - Transition'!C:C,'Step 2'!B2214,'Support - Transition'!D:D,'Step 2'!C2214,'Support - Transition'!E:E,"FIRE")</f>
        <v>3.496E-3</v>
      </c>
      <c r="I2214" s="126">
        <f>IF(B2214="0",SUMIFS('Support - Transition'!F:F,'Support - Transition'!J:J,'Step 2'!D2214,'Support - Transition'!E:E,"STATE UNIT"),SUMIFS('Support - Transition'!F:F,'Support - Transition'!J:J,'Step 2'!D2214))</f>
        <v>6.071E-3</v>
      </c>
      <c r="J2214" s="126">
        <f>SUMIFS('Support - Unit Adjustments'!E:E,'Support - Unit Adjustments'!F:F,'Step 2'!D2214)</f>
        <v>0</v>
      </c>
      <c r="K2214" s="126">
        <f t="shared" si="650"/>
        <v>6.071E-3</v>
      </c>
      <c r="L2214" s="174">
        <f>VLOOKUP(A2214,'Step 1'!$A:$E,4,FALSE)</f>
        <v>279193</v>
      </c>
      <c r="M2214" s="47">
        <f t="shared" si="651"/>
        <v>1695</v>
      </c>
      <c r="N2214" s="177">
        <f>SUMIFS('Support - Transition'!G:G,'Support - Transition'!J:J,'Step 2'!D2214,'Support - Transition'!E:E,"2009 WELFARE ALLOCATION FACTOR")</f>
        <v>0</v>
      </c>
      <c r="O2214" s="152">
        <f t="shared" si="656"/>
        <v>0</v>
      </c>
      <c r="P2214" s="126">
        <f>IF(E2214="Y",0,SUMIFS('Support - Transition'!G:G,'Support - Transition'!J:J,'Step 2'!D2214,'Support - Transition'!E:E,"2009 SCHOOL ALLOCATION FACTOR"))</f>
        <v>0</v>
      </c>
      <c r="Q2214" s="126">
        <f>IF(E2214="Y",VLOOKUP(D2214,'Support - Unit Adjustments'!F:G,2,FALSE),0)</f>
        <v>0</v>
      </c>
      <c r="R2214" s="155">
        <f t="shared" si="668"/>
        <v>0</v>
      </c>
      <c r="S2214" s="47">
        <f t="shared" si="667"/>
        <v>0</v>
      </c>
      <c r="T2214" s="151">
        <f t="shared" si="652"/>
        <v>1695</v>
      </c>
      <c r="U2214" s="151">
        <f t="shared" si="653"/>
        <v>0</v>
      </c>
      <c r="V2214" s="139">
        <f t="shared" si="654"/>
        <v>0</v>
      </c>
      <c r="W2214" s="152">
        <f t="shared" si="657"/>
        <v>1695</v>
      </c>
      <c r="X2214" s="127" t="str">
        <f t="shared" si="655"/>
        <v/>
      </c>
      <c r="Y2214" s="207">
        <f t="shared" si="658"/>
        <v>1695</v>
      </c>
      <c r="Z2214" s="139">
        <f t="shared" si="659"/>
        <v>719</v>
      </c>
      <c r="AA2214" s="139">
        <f t="shared" si="660"/>
        <v>976</v>
      </c>
      <c r="AC2214" s="47">
        <f t="shared" si="661"/>
        <v>848</v>
      </c>
      <c r="AD2214" s="47">
        <f t="shared" si="662"/>
        <v>360</v>
      </c>
      <c r="AE2214" s="47">
        <f t="shared" si="663"/>
        <v>488</v>
      </c>
      <c r="AG2214" s="47">
        <f t="shared" si="664"/>
        <v>847</v>
      </c>
      <c r="AH2214" s="47">
        <f t="shared" si="665"/>
        <v>359</v>
      </c>
      <c r="AI2214" s="208">
        <f t="shared" si="666"/>
        <v>488</v>
      </c>
    </row>
    <row r="2215" spans="1:35">
      <c r="A2215" t="s">
        <v>2158</v>
      </c>
      <c r="B2215" t="s">
        <v>3155</v>
      </c>
      <c r="C2215" t="s">
        <v>3009</v>
      </c>
      <c r="D2215" t="s">
        <v>5731</v>
      </c>
      <c r="F2215" t="s">
        <v>1597</v>
      </c>
      <c r="G2215" s="126">
        <f>SUMIFS('Support - Transition'!F:F,'Support - Transition'!B:B,'Step 2'!A2215,'Support - Transition'!C:C,'Step 2'!B2215,'Support - Transition'!D:D,'Step 2'!C2215,'Support - Transition'!E:E,"CIVIL")</f>
        <v>0</v>
      </c>
      <c r="H2215" s="126">
        <f>SUMIFS('Support - Transition'!F:F,'Support - Transition'!B:B,'Step 2'!A2215,'Support - Transition'!C:C,'Step 2'!B2215,'Support - Transition'!D:D,'Step 2'!C2215,'Support - Transition'!E:E,"FIRE")</f>
        <v>0</v>
      </c>
      <c r="I2215" s="126">
        <f>IF(B2215="0",SUMIFS('Support - Transition'!F:F,'Support - Transition'!J:J,'Step 2'!D2215,'Support - Transition'!E:E,"STATE UNIT"),SUMIFS('Support - Transition'!F:F,'Support - Transition'!J:J,'Step 2'!D2215))</f>
        <v>3.1960000000000001E-3</v>
      </c>
      <c r="J2215" s="126">
        <f>SUMIFS('Support - Unit Adjustments'!E:E,'Support - Unit Adjustments'!F:F,'Step 2'!D2215)</f>
        <v>0</v>
      </c>
      <c r="K2215" s="126">
        <f t="shared" si="650"/>
        <v>3.1960000000000001E-3</v>
      </c>
      <c r="L2215" s="174">
        <f>VLOOKUP(A2215,'Step 1'!$A:$E,4,FALSE)</f>
        <v>279193</v>
      </c>
      <c r="M2215" s="47">
        <f t="shared" si="651"/>
        <v>892</v>
      </c>
      <c r="N2215" s="177">
        <f>SUMIFS('Support - Transition'!G:G,'Support - Transition'!J:J,'Step 2'!D2215,'Support - Transition'!E:E,"2009 WELFARE ALLOCATION FACTOR")</f>
        <v>0</v>
      </c>
      <c r="O2215" s="152">
        <f t="shared" si="656"/>
        <v>0</v>
      </c>
      <c r="P2215" s="126">
        <f>IF(E2215="Y",0,SUMIFS('Support - Transition'!G:G,'Support - Transition'!J:J,'Step 2'!D2215,'Support - Transition'!E:E,"2009 SCHOOL ALLOCATION FACTOR"))</f>
        <v>0</v>
      </c>
      <c r="Q2215" s="126">
        <f>IF(E2215="Y",VLOOKUP(D2215,'Support - Unit Adjustments'!F:G,2,FALSE),0)</f>
        <v>0</v>
      </c>
      <c r="R2215" s="155">
        <f t="shared" si="668"/>
        <v>0</v>
      </c>
      <c r="S2215" s="47">
        <f t="shared" si="667"/>
        <v>0</v>
      </c>
      <c r="T2215" s="151">
        <f t="shared" si="652"/>
        <v>892</v>
      </c>
      <c r="U2215" s="151">
        <f t="shared" si="653"/>
        <v>0</v>
      </c>
      <c r="V2215" s="139">
        <f t="shared" si="654"/>
        <v>0</v>
      </c>
      <c r="W2215" s="152">
        <f t="shared" si="657"/>
        <v>892</v>
      </c>
      <c r="X2215" s="127" t="str">
        <f t="shared" si="655"/>
        <v/>
      </c>
      <c r="Y2215" s="207">
        <f t="shared" si="658"/>
        <v>892</v>
      </c>
      <c r="Z2215" s="139">
        <f t="shared" si="659"/>
        <v>892</v>
      </c>
      <c r="AA2215" s="139">
        <f t="shared" si="660"/>
        <v>0</v>
      </c>
      <c r="AC2215" s="47">
        <f t="shared" si="661"/>
        <v>446</v>
      </c>
      <c r="AD2215" s="47">
        <f t="shared" si="662"/>
        <v>446</v>
      </c>
      <c r="AE2215" s="47">
        <f t="shared" si="663"/>
        <v>0</v>
      </c>
      <c r="AG2215" s="47">
        <f t="shared" si="664"/>
        <v>446</v>
      </c>
      <c r="AH2215" s="47">
        <f t="shared" si="665"/>
        <v>446</v>
      </c>
      <c r="AI2215" s="208">
        <f t="shared" si="666"/>
        <v>0</v>
      </c>
    </row>
    <row r="2216" spans="1:35">
      <c r="A2216" t="s">
        <v>2158</v>
      </c>
      <c r="B2216" t="s">
        <v>3155</v>
      </c>
      <c r="C2216" t="s">
        <v>3010</v>
      </c>
      <c r="D2216" t="s">
        <v>5732</v>
      </c>
      <c r="F2216" t="s">
        <v>1593</v>
      </c>
      <c r="G2216" s="126">
        <f>SUMIFS('Support - Transition'!F:F,'Support - Transition'!B:B,'Step 2'!A2216,'Support - Transition'!C:C,'Step 2'!B2216,'Support - Transition'!D:D,'Step 2'!C2216,'Support - Transition'!E:E,"CIVIL")</f>
        <v>0</v>
      </c>
      <c r="H2216" s="126">
        <f>SUMIFS('Support - Transition'!F:F,'Support - Transition'!B:B,'Step 2'!A2216,'Support - Transition'!C:C,'Step 2'!B2216,'Support - Transition'!D:D,'Step 2'!C2216,'Support - Transition'!E:E,"FIRE")</f>
        <v>0</v>
      </c>
      <c r="I2216" s="126">
        <f>IF(B2216="0",SUMIFS('Support - Transition'!F:F,'Support - Transition'!J:J,'Step 2'!D2216,'Support - Transition'!E:E,"STATE UNIT"),SUMIFS('Support - Transition'!F:F,'Support - Transition'!J:J,'Step 2'!D2216))</f>
        <v>1.1000000000000001E-3</v>
      </c>
      <c r="J2216" s="126">
        <f>SUMIFS('Support - Unit Adjustments'!E:E,'Support - Unit Adjustments'!F:F,'Step 2'!D2216)</f>
        <v>0</v>
      </c>
      <c r="K2216" s="126">
        <f t="shared" si="650"/>
        <v>1.1000000000000001E-3</v>
      </c>
      <c r="L2216" s="174">
        <f>VLOOKUP(A2216,'Step 1'!$A:$E,4,FALSE)</f>
        <v>279193</v>
      </c>
      <c r="M2216" s="47">
        <f t="shared" si="651"/>
        <v>307</v>
      </c>
      <c r="N2216" s="177">
        <f>SUMIFS('Support - Transition'!G:G,'Support - Transition'!J:J,'Step 2'!D2216,'Support - Transition'!E:E,"2009 WELFARE ALLOCATION FACTOR")</f>
        <v>0</v>
      </c>
      <c r="O2216" s="152">
        <f t="shared" si="656"/>
        <v>0</v>
      </c>
      <c r="P2216" s="126">
        <f>IF(E2216="Y",0,SUMIFS('Support - Transition'!G:G,'Support - Transition'!J:J,'Step 2'!D2216,'Support - Transition'!E:E,"2009 SCHOOL ALLOCATION FACTOR"))</f>
        <v>0</v>
      </c>
      <c r="Q2216" s="126">
        <f>IF(E2216="Y",VLOOKUP(D2216,'Support - Unit Adjustments'!F:G,2,FALSE),0)</f>
        <v>0</v>
      </c>
      <c r="R2216" s="155">
        <f t="shared" si="668"/>
        <v>0</v>
      </c>
      <c r="S2216" s="47">
        <f t="shared" si="667"/>
        <v>0</v>
      </c>
      <c r="T2216" s="151">
        <f t="shared" si="652"/>
        <v>307</v>
      </c>
      <c r="U2216" s="151">
        <f t="shared" si="653"/>
        <v>0</v>
      </c>
      <c r="V2216" s="139">
        <f t="shared" si="654"/>
        <v>0</v>
      </c>
      <c r="W2216" s="152">
        <f t="shared" si="657"/>
        <v>307</v>
      </c>
      <c r="X2216" s="127" t="str">
        <f t="shared" si="655"/>
        <v/>
      </c>
      <c r="Y2216" s="207">
        <f t="shared" si="658"/>
        <v>307</v>
      </c>
      <c r="Z2216" s="139">
        <f t="shared" si="659"/>
        <v>307</v>
      </c>
      <c r="AA2216" s="139">
        <f t="shared" si="660"/>
        <v>0</v>
      </c>
      <c r="AC2216" s="47">
        <f t="shared" si="661"/>
        <v>154</v>
      </c>
      <c r="AD2216" s="47">
        <f t="shared" si="662"/>
        <v>154</v>
      </c>
      <c r="AE2216" s="47">
        <f t="shared" si="663"/>
        <v>0</v>
      </c>
      <c r="AG2216" s="47">
        <f t="shared" si="664"/>
        <v>153</v>
      </c>
      <c r="AH2216" s="47">
        <f t="shared" si="665"/>
        <v>153</v>
      </c>
      <c r="AI2216" s="208">
        <f t="shared" si="666"/>
        <v>0</v>
      </c>
    </row>
    <row r="2217" spans="1:35">
      <c r="A2217" t="s">
        <v>2158</v>
      </c>
      <c r="B2217" t="s">
        <v>3155</v>
      </c>
      <c r="C2217" t="s">
        <v>3011</v>
      </c>
      <c r="D2217" t="s">
        <v>5733</v>
      </c>
      <c r="F2217" t="s">
        <v>1594</v>
      </c>
      <c r="G2217" s="126">
        <f>SUMIFS('Support - Transition'!F:F,'Support - Transition'!B:B,'Step 2'!A2217,'Support - Transition'!C:C,'Step 2'!B2217,'Support - Transition'!D:D,'Step 2'!C2217,'Support - Transition'!E:E,"CIVIL")</f>
        <v>0</v>
      </c>
      <c r="H2217" s="126">
        <f>SUMIFS('Support - Transition'!F:F,'Support - Transition'!B:B,'Step 2'!A2217,'Support - Transition'!C:C,'Step 2'!B2217,'Support - Transition'!D:D,'Step 2'!C2217,'Support - Transition'!E:E,"FIRE")</f>
        <v>0</v>
      </c>
      <c r="I2217" s="126">
        <f>IF(B2217="0",SUMIFS('Support - Transition'!F:F,'Support - Transition'!J:J,'Step 2'!D2217,'Support - Transition'!E:E,"STATE UNIT"),SUMIFS('Support - Transition'!F:F,'Support - Transition'!J:J,'Step 2'!D2217))</f>
        <v>2.2850000000000001E-3</v>
      </c>
      <c r="J2217" s="126">
        <f>SUMIFS('Support - Unit Adjustments'!E:E,'Support - Unit Adjustments'!F:F,'Step 2'!D2217)</f>
        <v>0</v>
      </c>
      <c r="K2217" s="126">
        <f t="shared" si="650"/>
        <v>2.2850000000000001E-3</v>
      </c>
      <c r="L2217" s="174">
        <f>VLOOKUP(A2217,'Step 1'!$A:$E,4,FALSE)</f>
        <v>279193</v>
      </c>
      <c r="M2217" s="47">
        <f t="shared" si="651"/>
        <v>638</v>
      </c>
      <c r="N2217" s="177">
        <f>SUMIFS('Support - Transition'!G:G,'Support - Transition'!J:J,'Step 2'!D2217,'Support - Transition'!E:E,"2009 WELFARE ALLOCATION FACTOR")</f>
        <v>0</v>
      </c>
      <c r="O2217" s="152">
        <f t="shared" si="656"/>
        <v>0</v>
      </c>
      <c r="P2217" s="126">
        <f>IF(E2217="Y",0,SUMIFS('Support - Transition'!G:G,'Support - Transition'!J:J,'Step 2'!D2217,'Support - Transition'!E:E,"2009 SCHOOL ALLOCATION FACTOR"))</f>
        <v>0</v>
      </c>
      <c r="Q2217" s="126">
        <f>IF(E2217="Y",VLOOKUP(D2217,'Support - Unit Adjustments'!F:G,2,FALSE),0)</f>
        <v>0</v>
      </c>
      <c r="R2217" s="155">
        <f t="shared" si="668"/>
        <v>0</v>
      </c>
      <c r="S2217" s="47">
        <f t="shared" si="667"/>
        <v>0</v>
      </c>
      <c r="T2217" s="151">
        <f t="shared" si="652"/>
        <v>638</v>
      </c>
      <c r="U2217" s="151">
        <f t="shared" si="653"/>
        <v>0</v>
      </c>
      <c r="V2217" s="139">
        <f t="shared" si="654"/>
        <v>0</v>
      </c>
      <c r="W2217" s="152">
        <f t="shared" si="657"/>
        <v>638</v>
      </c>
      <c r="X2217" s="127" t="str">
        <f t="shared" si="655"/>
        <v/>
      </c>
      <c r="Y2217" s="207">
        <f t="shared" si="658"/>
        <v>638</v>
      </c>
      <c r="Z2217" s="139">
        <f t="shared" si="659"/>
        <v>638</v>
      </c>
      <c r="AA2217" s="139">
        <f t="shared" si="660"/>
        <v>0</v>
      </c>
      <c r="AC2217" s="47">
        <f t="shared" si="661"/>
        <v>319</v>
      </c>
      <c r="AD2217" s="47">
        <f t="shared" si="662"/>
        <v>319</v>
      </c>
      <c r="AE2217" s="47">
        <f t="shared" si="663"/>
        <v>0</v>
      </c>
      <c r="AG2217" s="47">
        <f t="shared" si="664"/>
        <v>319</v>
      </c>
      <c r="AH2217" s="47">
        <f t="shared" si="665"/>
        <v>319</v>
      </c>
      <c r="AI2217" s="208">
        <f t="shared" si="666"/>
        <v>0</v>
      </c>
    </row>
    <row r="2218" spans="1:35">
      <c r="A2218" t="s">
        <v>2158</v>
      </c>
      <c r="B2218" t="s">
        <v>3155</v>
      </c>
      <c r="C2218" t="s">
        <v>3012</v>
      </c>
      <c r="D2218" t="s">
        <v>5734</v>
      </c>
      <c r="F2218" t="s">
        <v>1595</v>
      </c>
      <c r="G2218" s="126">
        <f>SUMIFS('Support - Transition'!F:F,'Support - Transition'!B:B,'Step 2'!A2218,'Support - Transition'!C:C,'Step 2'!B2218,'Support - Transition'!D:D,'Step 2'!C2218,'Support - Transition'!E:E,"CIVIL")</f>
        <v>0</v>
      </c>
      <c r="H2218" s="126">
        <f>SUMIFS('Support - Transition'!F:F,'Support - Transition'!B:B,'Step 2'!A2218,'Support - Transition'!C:C,'Step 2'!B2218,'Support - Transition'!D:D,'Step 2'!C2218,'Support - Transition'!E:E,"FIRE")</f>
        <v>0</v>
      </c>
      <c r="I2218" s="126">
        <f>IF(B2218="0",SUMIFS('Support - Transition'!F:F,'Support - Transition'!J:J,'Step 2'!D2218,'Support - Transition'!E:E,"STATE UNIT"),SUMIFS('Support - Transition'!F:F,'Support - Transition'!J:J,'Step 2'!D2218))</f>
        <v>0</v>
      </c>
      <c r="J2218" s="126">
        <f>SUMIFS('Support - Unit Adjustments'!E:E,'Support - Unit Adjustments'!F:F,'Step 2'!D2218)</f>
        <v>0</v>
      </c>
      <c r="K2218" s="126">
        <f t="shared" si="650"/>
        <v>0</v>
      </c>
      <c r="L2218" s="174">
        <f>VLOOKUP(A2218,'Step 1'!$A:$E,4,FALSE)</f>
        <v>279193</v>
      </c>
      <c r="M2218" s="47">
        <f t="shared" si="651"/>
        <v>0</v>
      </c>
      <c r="N2218" s="177">
        <f>SUMIFS('Support - Transition'!G:G,'Support - Transition'!J:J,'Step 2'!D2218,'Support - Transition'!E:E,"2009 WELFARE ALLOCATION FACTOR")</f>
        <v>0</v>
      </c>
      <c r="O2218" s="152">
        <f t="shared" si="656"/>
        <v>0</v>
      </c>
      <c r="P2218" s="126">
        <f>IF(E2218="Y",0,SUMIFS('Support - Transition'!G:G,'Support - Transition'!J:J,'Step 2'!D2218,'Support - Transition'!E:E,"2009 SCHOOL ALLOCATION FACTOR"))</f>
        <v>0</v>
      </c>
      <c r="Q2218" s="126">
        <f>IF(E2218="Y",VLOOKUP(D2218,'Support - Unit Adjustments'!F:G,2,FALSE),0)</f>
        <v>0</v>
      </c>
      <c r="R2218" s="155">
        <f t="shared" si="668"/>
        <v>0</v>
      </c>
      <c r="S2218" s="47">
        <f t="shared" si="667"/>
        <v>0</v>
      </c>
      <c r="T2218" s="151">
        <f t="shared" si="652"/>
        <v>0</v>
      </c>
      <c r="U2218" s="151">
        <f t="shared" si="653"/>
        <v>0</v>
      </c>
      <c r="V2218" s="139">
        <f t="shared" si="654"/>
        <v>0</v>
      </c>
      <c r="W2218" s="152">
        <f t="shared" si="657"/>
        <v>0</v>
      </c>
      <c r="X2218" s="127" t="str">
        <f t="shared" si="655"/>
        <v/>
      </c>
      <c r="Y2218" s="207">
        <f t="shared" si="658"/>
        <v>0</v>
      </c>
      <c r="Z2218" s="139">
        <f t="shared" si="659"/>
        <v>0</v>
      </c>
      <c r="AA2218" s="139">
        <f t="shared" si="660"/>
        <v>0</v>
      </c>
      <c r="AC2218" s="47">
        <f t="shared" si="661"/>
        <v>0</v>
      </c>
      <c r="AD2218" s="47">
        <f t="shared" si="662"/>
        <v>0</v>
      </c>
      <c r="AE2218" s="47">
        <f t="shared" si="663"/>
        <v>0</v>
      </c>
      <c r="AG2218" s="47">
        <f t="shared" si="664"/>
        <v>0</v>
      </c>
      <c r="AH2218" s="47">
        <f t="shared" si="665"/>
        <v>0</v>
      </c>
      <c r="AI2218" s="208">
        <f t="shared" si="666"/>
        <v>0</v>
      </c>
    </row>
    <row r="2219" spans="1:35">
      <c r="A2219" t="s">
        <v>2158</v>
      </c>
      <c r="B2219" t="s">
        <v>3155</v>
      </c>
      <c r="C2219" t="s">
        <v>3013</v>
      </c>
      <c r="D2219" t="s">
        <v>5735</v>
      </c>
      <c r="F2219" t="s">
        <v>1596</v>
      </c>
      <c r="G2219" s="126">
        <f>SUMIFS('Support - Transition'!F:F,'Support - Transition'!B:B,'Step 2'!A2219,'Support - Transition'!C:C,'Step 2'!B2219,'Support - Transition'!D:D,'Step 2'!C2219,'Support - Transition'!E:E,"CIVIL")</f>
        <v>0</v>
      </c>
      <c r="H2219" s="126">
        <f>SUMIFS('Support - Transition'!F:F,'Support - Transition'!B:B,'Step 2'!A2219,'Support - Transition'!C:C,'Step 2'!B2219,'Support - Transition'!D:D,'Step 2'!C2219,'Support - Transition'!E:E,"FIRE")</f>
        <v>0</v>
      </c>
      <c r="I2219" s="126">
        <f>IF(B2219="0",SUMIFS('Support - Transition'!F:F,'Support - Transition'!J:J,'Step 2'!D2219,'Support - Transition'!E:E,"STATE UNIT"),SUMIFS('Support - Transition'!F:F,'Support - Transition'!J:J,'Step 2'!D2219))</f>
        <v>7.1939999999999999E-3</v>
      </c>
      <c r="J2219" s="126">
        <f>SUMIFS('Support - Unit Adjustments'!E:E,'Support - Unit Adjustments'!F:F,'Step 2'!D2219)</f>
        <v>0</v>
      </c>
      <c r="K2219" s="126">
        <f t="shared" si="650"/>
        <v>7.1939999999999999E-3</v>
      </c>
      <c r="L2219" s="174">
        <f>VLOOKUP(A2219,'Step 1'!$A:$E,4,FALSE)</f>
        <v>279193</v>
      </c>
      <c r="M2219" s="47">
        <f t="shared" si="651"/>
        <v>2009</v>
      </c>
      <c r="N2219" s="177">
        <f>SUMIFS('Support - Transition'!G:G,'Support - Transition'!J:J,'Step 2'!D2219,'Support - Transition'!E:E,"2009 WELFARE ALLOCATION FACTOR")</f>
        <v>0</v>
      </c>
      <c r="O2219" s="152">
        <f t="shared" si="656"/>
        <v>0</v>
      </c>
      <c r="P2219" s="126">
        <f>IF(E2219="Y",0,SUMIFS('Support - Transition'!G:G,'Support - Transition'!J:J,'Step 2'!D2219,'Support - Transition'!E:E,"2009 SCHOOL ALLOCATION FACTOR"))</f>
        <v>0</v>
      </c>
      <c r="Q2219" s="126">
        <f>IF(E2219="Y",VLOOKUP(D2219,'Support - Unit Adjustments'!F:G,2,FALSE),0)</f>
        <v>0</v>
      </c>
      <c r="R2219" s="155">
        <f t="shared" si="668"/>
        <v>0</v>
      </c>
      <c r="S2219" s="47">
        <f t="shared" si="667"/>
        <v>0</v>
      </c>
      <c r="T2219" s="151">
        <f t="shared" si="652"/>
        <v>2009</v>
      </c>
      <c r="U2219" s="151">
        <f t="shared" si="653"/>
        <v>0</v>
      </c>
      <c r="V2219" s="139">
        <f t="shared" si="654"/>
        <v>0</v>
      </c>
      <c r="W2219" s="152">
        <f t="shared" si="657"/>
        <v>2009</v>
      </c>
      <c r="X2219" s="127" t="str">
        <f t="shared" si="655"/>
        <v/>
      </c>
      <c r="Y2219" s="207">
        <f t="shared" si="658"/>
        <v>2009</v>
      </c>
      <c r="Z2219" s="139">
        <f t="shared" si="659"/>
        <v>2009</v>
      </c>
      <c r="AA2219" s="139">
        <f t="shared" si="660"/>
        <v>0</v>
      </c>
      <c r="AC2219" s="47">
        <f t="shared" si="661"/>
        <v>1005</v>
      </c>
      <c r="AD2219" s="47">
        <f t="shared" si="662"/>
        <v>1005</v>
      </c>
      <c r="AE2219" s="47">
        <f t="shared" si="663"/>
        <v>0</v>
      </c>
      <c r="AG2219" s="47">
        <f t="shared" si="664"/>
        <v>1004</v>
      </c>
      <c r="AH2219" s="47">
        <f t="shared" si="665"/>
        <v>1004</v>
      </c>
      <c r="AI2219" s="208">
        <f t="shared" si="666"/>
        <v>0</v>
      </c>
    </row>
    <row r="2220" spans="1:35">
      <c r="A2220" t="s">
        <v>2158</v>
      </c>
      <c r="B2220" t="s">
        <v>3155</v>
      </c>
      <c r="C2220" t="s">
        <v>3014</v>
      </c>
      <c r="D2220" t="s">
        <v>5736</v>
      </c>
      <c r="F2220" t="s">
        <v>1598</v>
      </c>
      <c r="G2220" s="126">
        <f>SUMIFS('Support - Transition'!F:F,'Support - Transition'!B:B,'Step 2'!A2220,'Support - Transition'!C:C,'Step 2'!B2220,'Support - Transition'!D:D,'Step 2'!C2220,'Support - Transition'!E:E,"CIVIL")</f>
        <v>0</v>
      </c>
      <c r="H2220" s="126">
        <f>SUMIFS('Support - Transition'!F:F,'Support - Transition'!B:B,'Step 2'!A2220,'Support - Transition'!C:C,'Step 2'!B2220,'Support - Transition'!D:D,'Step 2'!C2220,'Support - Transition'!E:E,"FIRE")</f>
        <v>0</v>
      </c>
      <c r="I2220" s="126">
        <f>IF(B2220="0",SUMIFS('Support - Transition'!F:F,'Support - Transition'!J:J,'Step 2'!D2220,'Support - Transition'!E:E,"STATE UNIT"),SUMIFS('Support - Transition'!F:F,'Support - Transition'!J:J,'Step 2'!D2220))</f>
        <v>9.2100000000000005E-4</v>
      </c>
      <c r="J2220" s="126">
        <f>SUMIFS('Support - Unit Adjustments'!E:E,'Support - Unit Adjustments'!F:F,'Step 2'!D2220)</f>
        <v>0</v>
      </c>
      <c r="K2220" s="126">
        <f t="shared" si="650"/>
        <v>9.2100000000000005E-4</v>
      </c>
      <c r="L2220" s="174">
        <f>VLOOKUP(A2220,'Step 1'!$A:$E,4,FALSE)</f>
        <v>279193</v>
      </c>
      <c r="M2220" s="47">
        <f t="shared" si="651"/>
        <v>257</v>
      </c>
      <c r="N2220" s="177">
        <f>SUMIFS('Support - Transition'!G:G,'Support - Transition'!J:J,'Step 2'!D2220,'Support - Transition'!E:E,"2009 WELFARE ALLOCATION FACTOR")</f>
        <v>0</v>
      </c>
      <c r="O2220" s="152">
        <f t="shared" si="656"/>
        <v>0</v>
      </c>
      <c r="P2220" s="126">
        <f>IF(E2220="Y",0,SUMIFS('Support - Transition'!G:G,'Support - Transition'!J:J,'Step 2'!D2220,'Support - Transition'!E:E,"2009 SCHOOL ALLOCATION FACTOR"))</f>
        <v>0</v>
      </c>
      <c r="Q2220" s="126">
        <f>IF(E2220="Y",VLOOKUP(D2220,'Support - Unit Adjustments'!F:G,2,FALSE),0)</f>
        <v>0</v>
      </c>
      <c r="R2220" s="155">
        <f t="shared" si="668"/>
        <v>0</v>
      </c>
      <c r="S2220" s="47">
        <f t="shared" si="667"/>
        <v>0</v>
      </c>
      <c r="T2220" s="151">
        <f t="shared" si="652"/>
        <v>257</v>
      </c>
      <c r="U2220" s="151">
        <f t="shared" si="653"/>
        <v>0</v>
      </c>
      <c r="V2220" s="139">
        <f t="shared" si="654"/>
        <v>0</v>
      </c>
      <c r="W2220" s="152">
        <f t="shared" si="657"/>
        <v>257</v>
      </c>
      <c r="X2220" s="127" t="str">
        <f t="shared" si="655"/>
        <v/>
      </c>
      <c r="Y2220" s="207">
        <f t="shared" si="658"/>
        <v>257</v>
      </c>
      <c r="Z2220" s="139">
        <f t="shared" si="659"/>
        <v>257</v>
      </c>
      <c r="AA2220" s="139">
        <f t="shared" si="660"/>
        <v>0</v>
      </c>
      <c r="AC2220" s="47">
        <f t="shared" si="661"/>
        <v>129</v>
      </c>
      <c r="AD2220" s="47">
        <f t="shared" si="662"/>
        <v>129</v>
      </c>
      <c r="AE2220" s="47">
        <f t="shared" si="663"/>
        <v>0</v>
      </c>
      <c r="AG2220" s="47">
        <f t="shared" si="664"/>
        <v>128</v>
      </c>
      <c r="AH2220" s="47">
        <f t="shared" si="665"/>
        <v>128</v>
      </c>
      <c r="AI2220" s="208">
        <f t="shared" si="666"/>
        <v>0</v>
      </c>
    </row>
    <row r="2221" spans="1:35">
      <c r="A2221" t="s">
        <v>2158</v>
      </c>
      <c r="B2221" t="s">
        <v>3155</v>
      </c>
      <c r="C2221" t="s">
        <v>2547</v>
      </c>
      <c r="D2221" t="s">
        <v>5737</v>
      </c>
      <c r="F2221" t="s">
        <v>5738</v>
      </c>
      <c r="G2221" s="126">
        <f>SUMIFS('Support - Transition'!F:F,'Support - Transition'!B:B,'Step 2'!A2221,'Support - Transition'!C:C,'Step 2'!B2221,'Support - Transition'!D:D,'Step 2'!C2221,'Support - Transition'!E:E,"CIVIL")</f>
        <v>0</v>
      </c>
      <c r="H2221" s="126">
        <f>SUMIFS('Support - Transition'!F:F,'Support - Transition'!B:B,'Step 2'!A2221,'Support - Transition'!C:C,'Step 2'!B2221,'Support - Transition'!D:D,'Step 2'!C2221,'Support - Transition'!E:E,"FIRE")</f>
        <v>0</v>
      </c>
      <c r="I2221" s="126">
        <f>IF(B2221="0",SUMIFS('Support - Transition'!F:F,'Support - Transition'!J:J,'Step 2'!D2221,'Support - Transition'!E:E,"STATE UNIT"),SUMIFS('Support - Transition'!F:F,'Support - Transition'!J:J,'Step 2'!D2221))</f>
        <v>0</v>
      </c>
      <c r="J2221" s="126">
        <f>SUMIFS('Support - Unit Adjustments'!E:E,'Support - Unit Adjustments'!F:F,'Step 2'!D2221)</f>
        <v>0</v>
      </c>
      <c r="K2221" s="126">
        <f t="shared" si="650"/>
        <v>0</v>
      </c>
      <c r="L2221" s="174">
        <f>VLOOKUP(A2221,'Step 1'!$A:$E,4,FALSE)</f>
        <v>279193</v>
      </c>
      <c r="M2221" s="47">
        <f t="shared" si="651"/>
        <v>0</v>
      </c>
      <c r="N2221" s="177">
        <f>SUMIFS('Support - Transition'!G:G,'Support - Transition'!J:J,'Step 2'!D2221,'Support - Transition'!E:E,"2009 WELFARE ALLOCATION FACTOR")</f>
        <v>0</v>
      </c>
      <c r="O2221" s="152">
        <f t="shared" si="656"/>
        <v>0</v>
      </c>
      <c r="P2221" s="126">
        <f>IF(E2221="Y",0,SUMIFS('Support - Transition'!G:G,'Support - Transition'!J:J,'Step 2'!D2221,'Support - Transition'!E:E,"2009 SCHOOL ALLOCATION FACTOR"))</f>
        <v>0</v>
      </c>
      <c r="Q2221" s="126">
        <f>IF(E2221="Y",VLOOKUP(D2221,'Support - Unit Adjustments'!F:G,2,FALSE),0)</f>
        <v>0</v>
      </c>
      <c r="R2221" s="155">
        <f t="shared" si="668"/>
        <v>0</v>
      </c>
      <c r="S2221" s="47">
        <f t="shared" si="667"/>
        <v>0</v>
      </c>
      <c r="T2221" s="151">
        <f t="shared" si="652"/>
        <v>0</v>
      </c>
      <c r="U2221" s="151">
        <f t="shared" si="653"/>
        <v>0</v>
      </c>
      <c r="V2221" s="139">
        <f t="shared" si="654"/>
        <v>0</v>
      </c>
      <c r="W2221" s="152">
        <f t="shared" si="657"/>
        <v>0</v>
      </c>
      <c r="X2221" s="127" t="str">
        <f t="shared" si="655"/>
        <v/>
      </c>
      <c r="Y2221" s="207">
        <f t="shared" si="658"/>
        <v>0</v>
      </c>
      <c r="Z2221" s="139">
        <f t="shared" si="659"/>
        <v>0</v>
      </c>
      <c r="AA2221" s="139">
        <f t="shared" si="660"/>
        <v>0</v>
      </c>
      <c r="AC2221" s="47">
        <f t="shared" si="661"/>
        <v>0</v>
      </c>
      <c r="AD2221" s="47">
        <f t="shared" si="662"/>
        <v>0</v>
      </c>
      <c r="AE2221" s="47">
        <f t="shared" si="663"/>
        <v>0</v>
      </c>
      <c r="AG2221" s="47">
        <f t="shared" si="664"/>
        <v>0</v>
      </c>
      <c r="AH2221" s="47">
        <f t="shared" si="665"/>
        <v>0</v>
      </c>
      <c r="AI2221" s="208">
        <f t="shared" si="666"/>
        <v>0</v>
      </c>
    </row>
    <row r="2222" spans="1:35">
      <c r="A2222" t="s">
        <v>2158</v>
      </c>
      <c r="B2222" t="s">
        <v>3160</v>
      </c>
      <c r="C2222" t="s">
        <v>3015</v>
      </c>
      <c r="D2222" t="s">
        <v>5739</v>
      </c>
      <c r="F2222" t="s">
        <v>1599</v>
      </c>
      <c r="G2222" s="126">
        <f>SUMIFS('Support - Transition'!F:F,'Support - Transition'!B:B,'Step 2'!A2222,'Support - Transition'!C:C,'Step 2'!B2222,'Support - Transition'!D:D,'Step 2'!C2222,'Support - Transition'!E:E,"CIVIL")</f>
        <v>0</v>
      </c>
      <c r="H2222" s="126">
        <f>SUMIFS('Support - Transition'!F:F,'Support - Transition'!B:B,'Step 2'!A2222,'Support - Transition'!C:C,'Step 2'!B2222,'Support - Transition'!D:D,'Step 2'!C2222,'Support - Transition'!E:E,"FIRE")</f>
        <v>0</v>
      </c>
      <c r="I2222" s="126">
        <f>IF(B2222="0",SUMIFS('Support - Transition'!F:F,'Support - Transition'!J:J,'Step 2'!D2222,'Support - Transition'!E:E,"STATE UNIT"),SUMIFS('Support - Transition'!F:F,'Support - Transition'!J:J,'Step 2'!D2222))</f>
        <v>0.38153399999999998</v>
      </c>
      <c r="J2222" s="126">
        <f>SUMIFS('Support - Unit Adjustments'!E:E,'Support - Unit Adjustments'!F:F,'Step 2'!D2222)</f>
        <v>0</v>
      </c>
      <c r="K2222" s="126">
        <f t="shared" si="650"/>
        <v>0.38153399999999998</v>
      </c>
      <c r="L2222" s="174">
        <f>VLOOKUP(A2222,'Step 1'!$A:$E,4,FALSE)</f>
        <v>279193</v>
      </c>
      <c r="M2222" s="47">
        <f t="shared" si="651"/>
        <v>106522</v>
      </c>
      <c r="N2222" s="177">
        <f>SUMIFS('Support - Transition'!G:G,'Support - Transition'!J:J,'Step 2'!D2222,'Support - Transition'!E:E,"2009 WELFARE ALLOCATION FACTOR")</f>
        <v>0</v>
      </c>
      <c r="O2222" s="152">
        <f t="shared" si="656"/>
        <v>0</v>
      </c>
      <c r="P2222" s="126">
        <f>IF(E2222="Y",0,SUMIFS('Support - Transition'!G:G,'Support - Transition'!J:J,'Step 2'!D2222,'Support - Transition'!E:E,"2009 SCHOOL ALLOCATION FACTOR"))</f>
        <v>0.47156599999999999</v>
      </c>
      <c r="Q2222" s="126">
        <f>IF(E2222="Y",VLOOKUP(D2222,'Support - Unit Adjustments'!F:G,2,FALSE),0)</f>
        <v>0</v>
      </c>
      <c r="R2222" s="155">
        <f t="shared" si="668"/>
        <v>0.47156599999999999</v>
      </c>
      <c r="S2222" s="47">
        <f t="shared" si="667"/>
        <v>50232</v>
      </c>
      <c r="T2222" s="151">
        <f t="shared" si="652"/>
        <v>56290</v>
      </c>
      <c r="U2222" s="151">
        <f t="shared" si="653"/>
        <v>0</v>
      </c>
      <c r="V2222" s="139">
        <f t="shared" si="654"/>
        <v>0</v>
      </c>
      <c r="W2222" s="152">
        <f t="shared" si="657"/>
        <v>56290</v>
      </c>
      <c r="X2222" s="127" t="str">
        <f t="shared" si="655"/>
        <v/>
      </c>
      <c r="Y2222" s="207">
        <f t="shared" si="658"/>
        <v>56290</v>
      </c>
      <c r="Z2222" s="139">
        <f t="shared" si="659"/>
        <v>56290</v>
      </c>
      <c r="AA2222" s="139">
        <f t="shared" si="660"/>
        <v>0</v>
      </c>
      <c r="AC2222" s="47">
        <f t="shared" si="661"/>
        <v>28145</v>
      </c>
      <c r="AD2222" s="47">
        <f t="shared" si="662"/>
        <v>28145</v>
      </c>
      <c r="AE2222" s="47">
        <f t="shared" si="663"/>
        <v>0</v>
      </c>
      <c r="AG2222" s="47">
        <f t="shared" si="664"/>
        <v>28145</v>
      </c>
      <c r="AH2222" s="47">
        <f t="shared" si="665"/>
        <v>28145</v>
      </c>
      <c r="AI2222" s="208">
        <f t="shared" si="666"/>
        <v>0</v>
      </c>
    </row>
    <row r="2223" spans="1:35">
      <c r="A2223" t="s">
        <v>2158</v>
      </c>
      <c r="B2223" t="s">
        <v>3160</v>
      </c>
      <c r="C2223" t="s">
        <v>3016</v>
      </c>
      <c r="D2223" t="s">
        <v>5740</v>
      </c>
      <c r="F2223" t="s">
        <v>1600</v>
      </c>
      <c r="G2223" s="126">
        <f>SUMIFS('Support - Transition'!F:F,'Support - Transition'!B:B,'Step 2'!A2223,'Support - Transition'!C:C,'Step 2'!B2223,'Support - Transition'!D:D,'Step 2'!C2223,'Support - Transition'!E:E,"CIVIL")</f>
        <v>0</v>
      </c>
      <c r="H2223" s="126">
        <f>SUMIFS('Support - Transition'!F:F,'Support - Transition'!B:B,'Step 2'!A2223,'Support - Transition'!C:C,'Step 2'!B2223,'Support - Transition'!D:D,'Step 2'!C2223,'Support - Transition'!E:E,"FIRE")</f>
        <v>0</v>
      </c>
      <c r="I2223" s="126">
        <f>IF(B2223="0",SUMIFS('Support - Transition'!F:F,'Support - Transition'!J:J,'Step 2'!D2223,'Support - Transition'!E:E,"STATE UNIT"),SUMIFS('Support - Transition'!F:F,'Support - Transition'!J:J,'Step 2'!D2223))</f>
        <v>0.32007200000000002</v>
      </c>
      <c r="J2223" s="126">
        <f>SUMIFS('Support - Unit Adjustments'!E:E,'Support - Unit Adjustments'!F:F,'Step 2'!D2223)</f>
        <v>0</v>
      </c>
      <c r="K2223" s="126">
        <f t="shared" si="650"/>
        <v>0.32007200000000002</v>
      </c>
      <c r="L2223" s="174">
        <f>VLOOKUP(A2223,'Step 1'!$A:$E,4,FALSE)</f>
        <v>279193</v>
      </c>
      <c r="M2223" s="47">
        <f t="shared" si="651"/>
        <v>89362</v>
      </c>
      <c r="N2223" s="177">
        <f>SUMIFS('Support - Transition'!G:G,'Support - Transition'!J:J,'Step 2'!D2223,'Support - Transition'!E:E,"2009 WELFARE ALLOCATION FACTOR")</f>
        <v>0</v>
      </c>
      <c r="O2223" s="152">
        <f t="shared" si="656"/>
        <v>0</v>
      </c>
      <c r="P2223" s="126">
        <f>IF(E2223="Y",0,SUMIFS('Support - Transition'!G:G,'Support - Transition'!J:J,'Step 2'!D2223,'Support - Transition'!E:E,"2009 SCHOOL ALLOCATION FACTOR"))</f>
        <v>0.49704999999999999</v>
      </c>
      <c r="Q2223" s="126">
        <f>IF(E2223="Y",VLOOKUP(D2223,'Support - Unit Adjustments'!F:G,2,FALSE),0)</f>
        <v>0</v>
      </c>
      <c r="R2223" s="155">
        <f t="shared" si="668"/>
        <v>0.49704999999999999</v>
      </c>
      <c r="S2223" s="47">
        <f t="shared" si="667"/>
        <v>44417</v>
      </c>
      <c r="T2223" s="151">
        <f t="shared" si="652"/>
        <v>44945</v>
      </c>
      <c r="U2223" s="151">
        <f t="shared" si="653"/>
        <v>0</v>
      </c>
      <c r="V2223" s="139">
        <f t="shared" si="654"/>
        <v>0</v>
      </c>
      <c r="W2223" s="152">
        <f t="shared" si="657"/>
        <v>44945</v>
      </c>
      <c r="X2223" s="127" t="str">
        <f t="shared" si="655"/>
        <v/>
      </c>
      <c r="Y2223" s="207">
        <f t="shared" si="658"/>
        <v>44945</v>
      </c>
      <c r="Z2223" s="139">
        <f t="shared" si="659"/>
        <v>44945</v>
      </c>
      <c r="AA2223" s="139">
        <f t="shared" si="660"/>
        <v>0</v>
      </c>
      <c r="AC2223" s="47">
        <f t="shared" si="661"/>
        <v>22473</v>
      </c>
      <c r="AD2223" s="47">
        <f t="shared" si="662"/>
        <v>22473</v>
      </c>
      <c r="AE2223" s="47">
        <f t="shared" si="663"/>
        <v>0</v>
      </c>
      <c r="AG2223" s="47">
        <f t="shared" si="664"/>
        <v>22472</v>
      </c>
      <c r="AH2223" s="47">
        <f t="shared" si="665"/>
        <v>22472</v>
      </c>
      <c r="AI2223" s="208">
        <f t="shared" si="666"/>
        <v>0</v>
      </c>
    </row>
    <row r="2224" spans="1:35">
      <c r="A2224" t="s">
        <v>2158</v>
      </c>
      <c r="B2224" t="s">
        <v>3166</v>
      </c>
      <c r="C2224" t="s">
        <v>5741</v>
      </c>
      <c r="D2224" t="s">
        <v>5742</v>
      </c>
      <c r="F2224" t="s">
        <v>1602</v>
      </c>
      <c r="G2224" s="126">
        <f>SUMIFS('Support - Transition'!F:F,'Support - Transition'!B:B,'Step 2'!A2224,'Support - Transition'!C:C,'Step 2'!B2224,'Support - Transition'!D:D,'Step 2'!C2224,'Support - Transition'!E:E,"CIVIL")</f>
        <v>0</v>
      </c>
      <c r="H2224" s="126">
        <f>SUMIFS('Support - Transition'!F:F,'Support - Transition'!B:B,'Step 2'!A2224,'Support - Transition'!C:C,'Step 2'!B2224,'Support - Transition'!D:D,'Step 2'!C2224,'Support - Transition'!E:E,"FIRE")</f>
        <v>0</v>
      </c>
      <c r="I2224" s="126">
        <f>IF(B2224="0",SUMIFS('Support - Transition'!F:F,'Support - Transition'!J:J,'Step 2'!D2224,'Support - Transition'!E:E,"STATE UNIT"),SUMIFS('Support - Transition'!F:F,'Support - Transition'!J:J,'Step 2'!D2224))</f>
        <v>3.3008000000000003E-2</v>
      </c>
      <c r="J2224" s="126">
        <f>SUMIFS('Support - Unit Adjustments'!E:E,'Support - Unit Adjustments'!F:F,'Step 2'!D2224)</f>
        <v>0</v>
      </c>
      <c r="K2224" s="126">
        <f t="shared" si="650"/>
        <v>3.3008000000000003E-2</v>
      </c>
      <c r="L2224" s="174">
        <f>VLOOKUP(A2224,'Step 1'!$A:$E,4,FALSE)</f>
        <v>279193</v>
      </c>
      <c r="M2224" s="47">
        <f t="shared" si="651"/>
        <v>9216</v>
      </c>
      <c r="N2224" s="177">
        <f>SUMIFS('Support - Transition'!G:G,'Support - Transition'!J:J,'Step 2'!D2224,'Support - Transition'!E:E,"2009 WELFARE ALLOCATION FACTOR")</f>
        <v>0</v>
      </c>
      <c r="O2224" s="152">
        <f t="shared" si="656"/>
        <v>0</v>
      </c>
      <c r="P2224" s="126">
        <f>IF(E2224="Y",0,SUMIFS('Support - Transition'!G:G,'Support - Transition'!J:J,'Step 2'!D2224,'Support - Transition'!E:E,"2009 SCHOOL ALLOCATION FACTOR"))</f>
        <v>0</v>
      </c>
      <c r="Q2224" s="126">
        <f>IF(E2224="Y",VLOOKUP(D2224,'Support - Unit Adjustments'!F:G,2,FALSE),0)</f>
        <v>0</v>
      </c>
      <c r="R2224" s="155">
        <f t="shared" si="668"/>
        <v>0</v>
      </c>
      <c r="S2224" s="47">
        <f t="shared" si="667"/>
        <v>0</v>
      </c>
      <c r="T2224" s="151">
        <f t="shared" si="652"/>
        <v>9216</v>
      </c>
      <c r="U2224" s="151">
        <f t="shared" si="653"/>
        <v>0</v>
      </c>
      <c r="V2224" s="139">
        <f t="shared" si="654"/>
        <v>0</v>
      </c>
      <c r="W2224" s="152">
        <f t="shared" si="657"/>
        <v>9216</v>
      </c>
      <c r="X2224" s="127" t="str">
        <f t="shared" si="655"/>
        <v/>
      </c>
      <c r="Y2224" s="207">
        <f t="shared" si="658"/>
        <v>9216</v>
      </c>
      <c r="Z2224" s="139">
        <f t="shared" si="659"/>
        <v>9216</v>
      </c>
      <c r="AA2224" s="139">
        <f t="shared" si="660"/>
        <v>0</v>
      </c>
      <c r="AC2224" s="47">
        <f t="shared" si="661"/>
        <v>4608</v>
      </c>
      <c r="AD2224" s="47">
        <f t="shared" si="662"/>
        <v>4608</v>
      </c>
      <c r="AE2224" s="47">
        <f t="shared" si="663"/>
        <v>0</v>
      </c>
      <c r="AG2224" s="47">
        <f t="shared" si="664"/>
        <v>4608</v>
      </c>
      <c r="AH2224" s="47">
        <f t="shared" si="665"/>
        <v>4608</v>
      </c>
      <c r="AI2224" s="208">
        <f t="shared" si="666"/>
        <v>0</v>
      </c>
    </row>
    <row r="2225" spans="1:35">
      <c r="A2225" t="s">
        <v>2158</v>
      </c>
      <c r="B2225" t="s">
        <v>3166</v>
      </c>
      <c r="C2225" t="s">
        <v>2279</v>
      </c>
      <c r="D2225" t="s">
        <v>5743</v>
      </c>
      <c r="F2225" t="s">
        <v>5744</v>
      </c>
      <c r="G2225" s="126">
        <f>SUMIFS('Support - Transition'!F:F,'Support - Transition'!B:B,'Step 2'!A2225,'Support - Transition'!C:C,'Step 2'!B2225,'Support - Transition'!D:D,'Step 2'!C2225,'Support - Transition'!E:E,"CIVIL")</f>
        <v>0</v>
      </c>
      <c r="H2225" s="126">
        <f>SUMIFS('Support - Transition'!F:F,'Support - Transition'!B:B,'Step 2'!A2225,'Support - Transition'!C:C,'Step 2'!B2225,'Support - Transition'!D:D,'Step 2'!C2225,'Support - Transition'!E:E,"FIRE")</f>
        <v>0</v>
      </c>
      <c r="I2225" s="126">
        <f>IF(B2225="0",SUMIFS('Support - Transition'!F:F,'Support - Transition'!J:J,'Step 2'!D2225,'Support - Transition'!E:E,"STATE UNIT"),SUMIFS('Support - Transition'!F:F,'Support - Transition'!J:J,'Step 2'!D2225))</f>
        <v>2.0326E-2</v>
      </c>
      <c r="J2225" s="126">
        <f>SUMIFS('Support - Unit Adjustments'!E:E,'Support - Unit Adjustments'!F:F,'Step 2'!D2225)</f>
        <v>0</v>
      </c>
      <c r="K2225" s="126">
        <f t="shared" si="650"/>
        <v>2.0326E-2</v>
      </c>
      <c r="L2225" s="174">
        <f>VLOOKUP(A2225,'Step 1'!$A:$E,4,FALSE)</f>
        <v>279193</v>
      </c>
      <c r="M2225" s="47">
        <f t="shared" si="651"/>
        <v>5675</v>
      </c>
      <c r="N2225" s="177">
        <f>SUMIFS('Support - Transition'!G:G,'Support - Transition'!J:J,'Step 2'!D2225,'Support - Transition'!E:E,"2009 WELFARE ALLOCATION FACTOR")</f>
        <v>0</v>
      </c>
      <c r="O2225" s="152">
        <f t="shared" si="656"/>
        <v>0</v>
      </c>
      <c r="P2225" s="126">
        <f>IF(E2225="Y",0,SUMIFS('Support - Transition'!G:G,'Support - Transition'!J:J,'Step 2'!D2225,'Support - Transition'!E:E,"2009 SCHOOL ALLOCATION FACTOR"))</f>
        <v>0</v>
      </c>
      <c r="Q2225" s="126">
        <f>IF(E2225="Y",VLOOKUP(D2225,'Support - Unit Adjustments'!F:G,2,FALSE),0)</f>
        <v>0</v>
      </c>
      <c r="R2225" s="155">
        <f t="shared" si="668"/>
        <v>0</v>
      </c>
      <c r="S2225" s="47">
        <f t="shared" si="667"/>
        <v>0</v>
      </c>
      <c r="T2225" s="151">
        <f t="shared" si="652"/>
        <v>5675</v>
      </c>
      <c r="U2225" s="151">
        <f t="shared" si="653"/>
        <v>0</v>
      </c>
      <c r="V2225" s="139">
        <f t="shared" si="654"/>
        <v>0</v>
      </c>
      <c r="W2225" s="152">
        <f t="shared" si="657"/>
        <v>5675</v>
      </c>
      <c r="X2225" s="127" t="str">
        <f t="shared" si="655"/>
        <v/>
      </c>
      <c r="Y2225" s="207">
        <f t="shared" si="658"/>
        <v>5675</v>
      </c>
      <c r="Z2225" s="139">
        <f t="shared" si="659"/>
        <v>5675</v>
      </c>
      <c r="AA2225" s="139">
        <f t="shared" si="660"/>
        <v>0</v>
      </c>
      <c r="AC2225" s="47">
        <f t="shared" si="661"/>
        <v>2838</v>
      </c>
      <c r="AD2225" s="47">
        <f t="shared" si="662"/>
        <v>2838</v>
      </c>
      <c r="AE2225" s="47">
        <f t="shared" si="663"/>
        <v>0</v>
      </c>
      <c r="AG2225" s="47">
        <f t="shared" si="664"/>
        <v>2837</v>
      </c>
      <c r="AH2225" s="47">
        <f t="shared" si="665"/>
        <v>2837</v>
      </c>
      <c r="AI2225" s="208">
        <f t="shared" si="666"/>
        <v>0</v>
      </c>
    </row>
    <row r="2226" spans="1:35">
      <c r="A2226" t="s">
        <v>2158</v>
      </c>
      <c r="B2226" t="s">
        <v>3170</v>
      </c>
      <c r="C2226" t="s">
        <v>2227</v>
      </c>
      <c r="D2226" t="s">
        <v>5745</v>
      </c>
      <c r="F2226" t="s">
        <v>1603</v>
      </c>
      <c r="G2226" s="126">
        <f>SUMIFS('Support - Transition'!F:F,'Support - Transition'!B:B,'Step 2'!A2226,'Support - Transition'!C:C,'Step 2'!B2226,'Support - Transition'!D:D,'Step 2'!C2226,'Support - Transition'!E:E,"CIVIL")</f>
        <v>0</v>
      </c>
      <c r="H2226" s="126">
        <f>SUMIFS('Support - Transition'!F:F,'Support - Transition'!B:B,'Step 2'!A2226,'Support - Transition'!C:C,'Step 2'!B2226,'Support - Transition'!D:D,'Step 2'!C2226,'Support - Transition'!E:E,"FIRE")</f>
        <v>0</v>
      </c>
      <c r="I2226" s="126">
        <f>IF(B2226="0",SUMIFS('Support - Transition'!F:F,'Support - Transition'!J:J,'Step 2'!D2226,'Support - Transition'!E:E,"STATE UNIT"),SUMIFS('Support - Transition'!F:F,'Support - Transition'!J:J,'Step 2'!D2226))</f>
        <v>9.0259999999999993E-3</v>
      </c>
      <c r="J2226" s="126">
        <f>SUMIFS('Support - Unit Adjustments'!E:E,'Support - Unit Adjustments'!F:F,'Step 2'!D2226)</f>
        <v>0</v>
      </c>
      <c r="K2226" s="126">
        <f t="shared" si="650"/>
        <v>9.0259999999999993E-3</v>
      </c>
      <c r="L2226" s="174">
        <f>VLOOKUP(A2226,'Step 1'!$A:$E,4,FALSE)</f>
        <v>279193</v>
      </c>
      <c r="M2226" s="47">
        <f t="shared" si="651"/>
        <v>2520</v>
      </c>
      <c r="N2226" s="177">
        <f>SUMIFS('Support - Transition'!G:G,'Support - Transition'!J:J,'Step 2'!D2226,'Support - Transition'!E:E,"2009 WELFARE ALLOCATION FACTOR")</f>
        <v>0</v>
      </c>
      <c r="O2226" s="152">
        <f t="shared" si="656"/>
        <v>0</v>
      </c>
      <c r="P2226" s="126">
        <f>IF(E2226="Y",0,SUMIFS('Support - Transition'!G:G,'Support - Transition'!J:J,'Step 2'!D2226,'Support - Transition'!E:E,"2009 SCHOOL ALLOCATION FACTOR"))</f>
        <v>0</v>
      </c>
      <c r="Q2226" s="126">
        <f>IF(E2226="Y",VLOOKUP(D2226,'Support - Unit Adjustments'!F:G,2,FALSE),0)</f>
        <v>0</v>
      </c>
      <c r="R2226" s="155">
        <f t="shared" si="668"/>
        <v>0</v>
      </c>
      <c r="S2226" s="47">
        <f t="shared" si="667"/>
        <v>0</v>
      </c>
      <c r="T2226" s="151">
        <f t="shared" si="652"/>
        <v>2520</v>
      </c>
      <c r="U2226" s="151">
        <f t="shared" si="653"/>
        <v>0</v>
      </c>
      <c r="V2226" s="139">
        <f t="shared" si="654"/>
        <v>0</v>
      </c>
      <c r="W2226" s="152">
        <f t="shared" si="657"/>
        <v>2520</v>
      </c>
      <c r="X2226" s="127" t="str">
        <f t="shared" si="655"/>
        <v/>
      </c>
      <c r="Y2226" s="207">
        <f t="shared" si="658"/>
        <v>2520</v>
      </c>
      <c r="Z2226" s="139">
        <f t="shared" si="659"/>
        <v>2520</v>
      </c>
      <c r="AA2226" s="139">
        <f t="shared" si="660"/>
        <v>0</v>
      </c>
      <c r="AC2226" s="47">
        <f t="shared" si="661"/>
        <v>1260</v>
      </c>
      <c r="AD2226" s="47">
        <f t="shared" si="662"/>
        <v>1260</v>
      </c>
      <c r="AE2226" s="47">
        <f t="shared" si="663"/>
        <v>0</v>
      </c>
      <c r="AG2226" s="47">
        <f t="shared" si="664"/>
        <v>1260</v>
      </c>
      <c r="AH2226" s="47">
        <f t="shared" si="665"/>
        <v>1260</v>
      </c>
      <c r="AI2226" s="208">
        <f t="shared" si="666"/>
        <v>0</v>
      </c>
    </row>
    <row r="2227" spans="1:35">
      <c r="A2227" t="s">
        <v>2158</v>
      </c>
      <c r="B2227" t="s">
        <v>3170</v>
      </c>
      <c r="C2227" t="s">
        <v>5746</v>
      </c>
      <c r="D2227" t="s">
        <v>5747</v>
      </c>
      <c r="F2227" t="s">
        <v>5748</v>
      </c>
      <c r="G2227" s="126">
        <f>SUMIFS('Support - Transition'!F:F,'Support - Transition'!B:B,'Step 2'!A2227,'Support - Transition'!C:C,'Step 2'!B2227,'Support - Transition'!D:D,'Step 2'!C2227,'Support - Transition'!E:E,"CIVIL")</f>
        <v>0</v>
      </c>
      <c r="H2227" s="126">
        <f>SUMIFS('Support - Transition'!F:F,'Support - Transition'!B:B,'Step 2'!A2227,'Support - Transition'!C:C,'Step 2'!B2227,'Support - Transition'!D:D,'Step 2'!C2227,'Support - Transition'!E:E,"FIRE")</f>
        <v>0</v>
      </c>
      <c r="I2227" s="126">
        <f>IF(B2227="0",SUMIFS('Support - Transition'!F:F,'Support - Transition'!J:J,'Step 2'!D2227,'Support - Transition'!E:E,"STATE UNIT"),SUMIFS('Support - Transition'!F:F,'Support - Transition'!J:J,'Step 2'!D2227))</f>
        <v>7.1740000000001247E-3</v>
      </c>
      <c r="J2227" s="126">
        <f>SUMIFS('Support - Unit Adjustments'!E:E,'Support - Unit Adjustments'!F:F,'Step 2'!D2227)</f>
        <v>0</v>
      </c>
      <c r="K2227" s="126">
        <f t="shared" si="650"/>
        <v>7.1740000000001247E-3</v>
      </c>
      <c r="L2227" s="174">
        <f>VLOOKUP(A2227,'Step 1'!$A:$E,4,FALSE)</f>
        <v>279193</v>
      </c>
      <c r="M2227" s="47">
        <f t="shared" si="651"/>
        <v>2003</v>
      </c>
      <c r="N2227" s="177">
        <f>SUMIFS('Support - Transition'!G:G,'Support - Transition'!J:J,'Step 2'!D2227,'Support - Transition'!E:E,"2009 WELFARE ALLOCATION FACTOR")</f>
        <v>0</v>
      </c>
      <c r="O2227" s="152">
        <f t="shared" si="656"/>
        <v>0</v>
      </c>
      <c r="P2227" s="126">
        <f>IF(E2227="Y",0,SUMIFS('Support - Transition'!G:G,'Support - Transition'!J:J,'Step 2'!D2227,'Support - Transition'!E:E,"2009 SCHOOL ALLOCATION FACTOR"))</f>
        <v>0</v>
      </c>
      <c r="Q2227" s="126">
        <f>IF(E2227="Y",VLOOKUP(D2227,'Support - Unit Adjustments'!F:G,2,FALSE),0)</f>
        <v>0</v>
      </c>
      <c r="R2227" s="155">
        <f t="shared" si="668"/>
        <v>0</v>
      </c>
      <c r="S2227" s="47">
        <f t="shared" si="667"/>
        <v>0</v>
      </c>
      <c r="T2227" s="151">
        <f t="shared" si="652"/>
        <v>2003</v>
      </c>
      <c r="U2227" s="151">
        <f t="shared" si="653"/>
        <v>0</v>
      </c>
      <c r="V2227" s="139">
        <f t="shared" si="654"/>
        <v>0</v>
      </c>
      <c r="W2227" s="152">
        <f t="shared" si="657"/>
        <v>2003</v>
      </c>
      <c r="X2227" s="127" t="str">
        <f t="shared" si="655"/>
        <v/>
      </c>
      <c r="Y2227" s="207">
        <f t="shared" si="658"/>
        <v>2003</v>
      </c>
      <c r="Z2227" s="139">
        <f t="shared" si="659"/>
        <v>2003</v>
      </c>
      <c r="AA2227" s="139">
        <f t="shared" si="660"/>
        <v>0</v>
      </c>
      <c r="AC2227" s="47">
        <f t="shared" si="661"/>
        <v>1002</v>
      </c>
      <c r="AD2227" s="47">
        <f t="shared" si="662"/>
        <v>1002</v>
      </c>
      <c r="AE2227" s="47">
        <f t="shared" si="663"/>
        <v>0</v>
      </c>
      <c r="AG2227" s="47">
        <f t="shared" si="664"/>
        <v>1001</v>
      </c>
      <c r="AH2227" s="47">
        <f t="shared" si="665"/>
        <v>1001</v>
      </c>
      <c r="AI2227" s="208">
        <f t="shared" si="666"/>
        <v>0</v>
      </c>
    </row>
    <row r="2228" spans="1:35">
      <c r="A2228" t="s">
        <v>2159</v>
      </c>
      <c r="B2228" s="48" t="s">
        <v>6274</v>
      </c>
      <c r="C2228" t="s">
        <v>2187</v>
      </c>
      <c r="D2228" t="str">
        <f>A2228&amp;B2228&amp;C2228</f>
        <v>7500000</v>
      </c>
      <c r="F2228" t="s">
        <v>6349</v>
      </c>
      <c r="G2228" s="126">
        <f>SUMIFS('Support - Transition'!F:F,'Support - Transition'!B:B,'Step 2'!A2228,'Support - Transition'!C:C,'Step 2'!B2228,'Support - Transition'!D:D,'Step 2'!C2228,'Support - Transition'!E:E,"CIVIL")</f>
        <v>0</v>
      </c>
      <c r="H2228" s="126">
        <f>SUMIFS('Support - Transition'!F:F,'Support - Transition'!B:B,'Step 2'!A2228,'Support - Transition'!C:C,'Step 2'!B2228,'Support - Transition'!D:D,'Step 2'!C2228,'Support - Transition'!E:E,"FIRE")</f>
        <v>0</v>
      </c>
      <c r="I2228" s="126">
        <f>IF(B2228="0",SUMIFS('Support - Transition'!F:F,'Support - Transition'!J:J,'Step 2'!D2228,'Support - Transition'!E:E,"STATE UNIT"),SUMIFS('Support - Transition'!F:F,'Support - Transition'!J:J,'Step 2'!D2228))</f>
        <v>1.101E-3</v>
      </c>
      <c r="J2228" s="126">
        <f>SUMIFS('Support - Unit Adjustments'!E:E,'Support - Unit Adjustments'!F:F,'Step 2'!D2228)</f>
        <v>0</v>
      </c>
      <c r="K2228" s="126">
        <f t="shared" si="650"/>
        <v>1.101E-3</v>
      </c>
      <c r="L2228" s="174">
        <f>VLOOKUP(A2228,'Step 1'!$A:$E,4,FALSE)</f>
        <v>129159</v>
      </c>
      <c r="M2228" s="47">
        <f t="shared" si="651"/>
        <v>142</v>
      </c>
      <c r="N2228" s="177">
        <f>SUMIFS('Support - Transition'!G:G,'Support - Transition'!J:J,'Step 2'!D2228,'Support - Transition'!E:E,"2009 WELFARE ALLOCATION FACTOR")</f>
        <v>0</v>
      </c>
      <c r="O2228" s="152">
        <f t="shared" si="656"/>
        <v>0</v>
      </c>
      <c r="P2228" s="126">
        <f>IF(E2228="Y",0,SUMIFS('Support - Transition'!G:G,'Support - Transition'!J:J,'Step 2'!D2228,'Support - Transition'!E:E,"2009 SCHOOL ALLOCATION FACTOR"))</f>
        <v>0</v>
      </c>
      <c r="Q2228" s="126">
        <f>IF(E2228="Y",VLOOKUP(D2228,'Support - Unit Adjustments'!F:G,2,FALSE),0)</f>
        <v>0</v>
      </c>
      <c r="R2228" s="155">
        <f t="shared" si="668"/>
        <v>0</v>
      </c>
      <c r="S2228" s="47">
        <f t="shared" si="667"/>
        <v>0</v>
      </c>
      <c r="T2228" s="151">
        <f t="shared" si="652"/>
        <v>142</v>
      </c>
      <c r="U2228" s="151">
        <f t="shared" si="653"/>
        <v>129156</v>
      </c>
      <c r="V2228" s="139">
        <f t="shared" si="654"/>
        <v>-3</v>
      </c>
      <c r="W2228" s="152">
        <f t="shared" si="657"/>
        <v>145</v>
      </c>
      <c r="X2228" s="127">
        <f t="shared" si="655"/>
        <v>0</v>
      </c>
      <c r="Y2228" s="207">
        <f t="shared" si="658"/>
        <v>145</v>
      </c>
      <c r="Z2228" s="139">
        <f t="shared" si="659"/>
        <v>145</v>
      </c>
      <c r="AA2228" s="139">
        <f t="shared" si="660"/>
        <v>0</v>
      </c>
      <c r="AC2228" s="47">
        <f t="shared" si="661"/>
        <v>73</v>
      </c>
      <c r="AD2228" s="47">
        <f t="shared" si="662"/>
        <v>73</v>
      </c>
      <c r="AE2228" s="47">
        <f t="shared" si="663"/>
        <v>0</v>
      </c>
      <c r="AG2228" s="47">
        <f t="shared" si="664"/>
        <v>72</v>
      </c>
      <c r="AH2228" s="47">
        <f t="shared" si="665"/>
        <v>72</v>
      </c>
      <c r="AI2228" s="208">
        <f t="shared" si="666"/>
        <v>0</v>
      </c>
    </row>
    <row r="2229" spans="1:35">
      <c r="A2229" t="s">
        <v>2159</v>
      </c>
      <c r="B2229" t="s">
        <v>3140</v>
      </c>
      <c r="C2229" t="s">
        <v>2187</v>
      </c>
      <c r="D2229" t="s">
        <v>5749</v>
      </c>
      <c r="F2229" t="s">
        <v>1606</v>
      </c>
      <c r="G2229" s="126">
        <f>SUMIFS('Support - Transition'!F:F,'Support - Transition'!B:B,'Step 2'!A2229,'Support - Transition'!C:C,'Step 2'!B2229,'Support - Transition'!D:D,'Step 2'!C2229,'Support - Transition'!E:E,"CIVIL")</f>
        <v>0</v>
      </c>
      <c r="H2229" s="126">
        <f>SUMIFS('Support - Transition'!F:F,'Support - Transition'!B:B,'Step 2'!A2229,'Support - Transition'!C:C,'Step 2'!B2229,'Support - Transition'!D:D,'Step 2'!C2229,'Support - Transition'!E:E,"FIRE")</f>
        <v>0</v>
      </c>
      <c r="I2229" s="126">
        <f>IF(B2229="0",SUMIFS('Support - Transition'!F:F,'Support - Transition'!J:J,'Step 2'!D2229,'Support - Transition'!E:E,"STATE UNIT"),SUMIFS('Support - Transition'!F:F,'Support - Transition'!J:J,'Step 2'!D2229))</f>
        <v>0.214808</v>
      </c>
      <c r="J2229" s="126">
        <f>SUMIFS('Support - Unit Adjustments'!E:E,'Support - Unit Adjustments'!F:F,'Step 2'!D2229)</f>
        <v>0</v>
      </c>
      <c r="K2229" s="126">
        <f t="shared" si="650"/>
        <v>0.214808</v>
      </c>
      <c r="L2229" s="174">
        <f>VLOOKUP(A2229,'Step 1'!$A:$E,4,FALSE)</f>
        <v>129159</v>
      </c>
      <c r="M2229" s="47">
        <f t="shared" si="651"/>
        <v>27744</v>
      </c>
      <c r="N2229" s="177">
        <f>SUMIFS('Support - Transition'!G:G,'Support - Transition'!J:J,'Step 2'!D2229,'Support - Transition'!E:E,"2009 WELFARE ALLOCATION FACTOR")</f>
        <v>0.37206899999999998</v>
      </c>
      <c r="O2229" s="152">
        <f t="shared" si="656"/>
        <v>10323</v>
      </c>
      <c r="P2229" s="126">
        <f>IF(E2229="Y",0,SUMIFS('Support - Transition'!G:G,'Support - Transition'!J:J,'Step 2'!D2229,'Support - Transition'!E:E,"2009 SCHOOL ALLOCATION FACTOR"))</f>
        <v>0</v>
      </c>
      <c r="Q2229" s="126">
        <f>IF(E2229="Y",VLOOKUP(D2229,'Support - Unit Adjustments'!F:G,2,FALSE),0)</f>
        <v>0</v>
      </c>
      <c r="R2229" s="155">
        <f t="shared" si="668"/>
        <v>0</v>
      </c>
      <c r="S2229" s="47">
        <f t="shared" si="667"/>
        <v>0</v>
      </c>
      <c r="T2229" s="151">
        <f t="shared" si="652"/>
        <v>17421</v>
      </c>
      <c r="U2229" s="151">
        <f t="shared" si="653"/>
        <v>0</v>
      </c>
      <c r="V2229" s="139">
        <f t="shared" si="654"/>
        <v>0</v>
      </c>
      <c r="W2229" s="152">
        <f t="shared" si="657"/>
        <v>17421</v>
      </c>
      <c r="X2229" s="127" t="str">
        <f t="shared" si="655"/>
        <v/>
      </c>
      <c r="Y2229" s="207">
        <f t="shared" si="658"/>
        <v>17421</v>
      </c>
      <c r="Z2229" s="139">
        <f t="shared" si="659"/>
        <v>17421</v>
      </c>
      <c r="AA2229" s="139">
        <f t="shared" si="660"/>
        <v>0</v>
      </c>
      <c r="AC2229" s="47">
        <f t="shared" si="661"/>
        <v>8711</v>
      </c>
      <c r="AD2229" s="47">
        <f t="shared" si="662"/>
        <v>8711</v>
      </c>
      <c r="AE2229" s="47">
        <f t="shared" si="663"/>
        <v>0</v>
      </c>
      <c r="AG2229" s="47">
        <f t="shared" si="664"/>
        <v>8710</v>
      </c>
      <c r="AH2229" s="47">
        <f t="shared" si="665"/>
        <v>8710</v>
      </c>
      <c r="AI2229" s="208">
        <f t="shared" si="666"/>
        <v>0</v>
      </c>
    </row>
    <row r="2230" spans="1:35">
      <c r="A2230" t="s">
        <v>2159</v>
      </c>
      <c r="B2230" t="s">
        <v>3142</v>
      </c>
      <c r="C2230" t="s">
        <v>2188</v>
      </c>
      <c r="D2230" t="s">
        <v>5750</v>
      </c>
      <c r="F2230" t="s">
        <v>1607</v>
      </c>
      <c r="G2230" s="126">
        <f>SUMIFS('Support - Transition'!F:F,'Support - Transition'!B:B,'Step 2'!A2230,'Support - Transition'!C:C,'Step 2'!B2230,'Support - Transition'!D:D,'Step 2'!C2230,'Support - Transition'!E:E,"CIVIL")</f>
        <v>3.055E-3</v>
      </c>
      <c r="H2230" s="126">
        <f>SUMIFS('Support - Transition'!F:F,'Support - Transition'!B:B,'Step 2'!A2230,'Support - Transition'!C:C,'Step 2'!B2230,'Support - Transition'!D:D,'Step 2'!C2230,'Support - Transition'!E:E,"FIRE")</f>
        <v>2.307E-3</v>
      </c>
      <c r="I2230" s="126">
        <f>IF(B2230="0",SUMIFS('Support - Transition'!F:F,'Support - Transition'!J:J,'Step 2'!D2230,'Support - Transition'!E:E,"STATE UNIT"),SUMIFS('Support - Transition'!F:F,'Support - Transition'!J:J,'Step 2'!D2230))</f>
        <v>5.3620000000000004E-3</v>
      </c>
      <c r="J2230" s="126">
        <f>SUMIFS('Support - Unit Adjustments'!E:E,'Support - Unit Adjustments'!F:F,'Step 2'!D2230)</f>
        <v>0</v>
      </c>
      <c r="K2230" s="126">
        <f t="shared" si="650"/>
        <v>5.3620000000000004E-3</v>
      </c>
      <c r="L2230" s="174">
        <f>VLOOKUP(A2230,'Step 1'!$A:$E,4,FALSE)</f>
        <v>129159</v>
      </c>
      <c r="M2230" s="47">
        <f t="shared" si="651"/>
        <v>693</v>
      </c>
      <c r="N2230" s="177">
        <f>SUMIFS('Support - Transition'!G:G,'Support - Transition'!J:J,'Step 2'!D2230,'Support - Transition'!E:E,"2009 WELFARE ALLOCATION FACTOR")</f>
        <v>0</v>
      </c>
      <c r="O2230" s="152">
        <f t="shared" si="656"/>
        <v>0</v>
      </c>
      <c r="P2230" s="126">
        <f>IF(E2230="Y",0,SUMIFS('Support - Transition'!G:G,'Support - Transition'!J:J,'Step 2'!D2230,'Support - Transition'!E:E,"2009 SCHOOL ALLOCATION FACTOR"))</f>
        <v>0</v>
      </c>
      <c r="Q2230" s="126">
        <f>IF(E2230="Y",VLOOKUP(D2230,'Support - Unit Adjustments'!F:G,2,FALSE),0)</f>
        <v>0</v>
      </c>
      <c r="R2230" s="155">
        <f t="shared" si="668"/>
        <v>0</v>
      </c>
      <c r="S2230" s="47">
        <f t="shared" si="667"/>
        <v>0</v>
      </c>
      <c r="T2230" s="151">
        <f t="shared" si="652"/>
        <v>693</v>
      </c>
      <c r="U2230" s="151">
        <f t="shared" si="653"/>
        <v>0</v>
      </c>
      <c r="V2230" s="139">
        <f t="shared" si="654"/>
        <v>0</v>
      </c>
      <c r="W2230" s="152">
        <f t="shared" si="657"/>
        <v>693</v>
      </c>
      <c r="X2230" s="127" t="str">
        <f t="shared" si="655"/>
        <v/>
      </c>
      <c r="Y2230" s="207">
        <f t="shared" si="658"/>
        <v>693</v>
      </c>
      <c r="Z2230" s="139">
        <f t="shared" si="659"/>
        <v>395</v>
      </c>
      <c r="AA2230" s="139">
        <f t="shared" si="660"/>
        <v>298</v>
      </c>
      <c r="AC2230" s="47">
        <f t="shared" si="661"/>
        <v>347</v>
      </c>
      <c r="AD2230" s="47">
        <f t="shared" si="662"/>
        <v>198</v>
      </c>
      <c r="AE2230" s="47">
        <f t="shared" si="663"/>
        <v>149</v>
      </c>
      <c r="AG2230" s="47">
        <f t="shared" si="664"/>
        <v>346</v>
      </c>
      <c r="AH2230" s="47">
        <f t="shared" si="665"/>
        <v>197</v>
      </c>
      <c r="AI2230" s="208">
        <f t="shared" si="666"/>
        <v>149</v>
      </c>
    </row>
    <row r="2231" spans="1:35">
      <c r="A2231" t="s">
        <v>2159</v>
      </c>
      <c r="B2231" t="s">
        <v>3142</v>
      </c>
      <c r="C2231" t="s">
        <v>2189</v>
      </c>
      <c r="D2231" t="s">
        <v>5751</v>
      </c>
      <c r="F2231" t="s">
        <v>107</v>
      </c>
      <c r="G2231" s="126">
        <f>SUMIFS('Support - Transition'!F:F,'Support - Transition'!B:B,'Step 2'!A2231,'Support - Transition'!C:C,'Step 2'!B2231,'Support - Transition'!D:D,'Step 2'!C2231,'Support - Transition'!E:E,"CIVIL")</f>
        <v>1.828E-3</v>
      </c>
      <c r="H2231" s="126">
        <f>SUMIFS('Support - Transition'!F:F,'Support - Transition'!B:B,'Step 2'!A2231,'Support - Transition'!C:C,'Step 2'!B2231,'Support - Transition'!D:D,'Step 2'!C2231,'Support - Transition'!E:E,"FIRE")</f>
        <v>8.3299999999999997E-4</v>
      </c>
      <c r="I2231" s="126">
        <f>IF(B2231="0",SUMIFS('Support - Transition'!F:F,'Support - Transition'!J:J,'Step 2'!D2231,'Support - Transition'!E:E,"STATE UNIT"),SUMIFS('Support - Transition'!F:F,'Support - Transition'!J:J,'Step 2'!D2231))</f>
        <v>2.6610000000000002E-3</v>
      </c>
      <c r="J2231" s="126">
        <f>SUMIFS('Support - Unit Adjustments'!E:E,'Support - Unit Adjustments'!F:F,'Step 2'!D2231)</f>
        <v>0</v>
      </c>
      <c r="K2231" s="126">
        <f t="shared" si="650"/>
        <v>2.6610000000000002E-3</v>
      </c>
      <c r="L2231" s="174">
        <f>VLOOKUP(A2231,'Step 1'!$A:$E,4,FALSE)</f>
        <v>129159</v>
      </c>
      <c r="M2231" s="47">
        <f t="shared" si="651"/>
        <v>344</v>
      </c>
      <c r="N2231" s="177">
        <f>SUMIFS('Support - Transition'!G:G,'Support - Transition'!J:J,'Step 2'!D2231,'Support - Transition'!E:E,"2009 WELFARE ALLOCATION FACTOR")</f>
        <v>0</v>
      </c>
      <c r="O2231" s="152">
        <f t="shared" si="656"/>
        <v>0</v>
      </c>
      <c r="P2231" s="126">
        <f>IF(E2231="Y",0,SUMIFS('Support - Transition'!G:G,'Support - Transition'!J:J,'Step 2'!D2231,'Support - Transition'!E:E,"2009 SCHOOL ALLOCATION FACTOR"))</f>
        <v>0</v>
      </c>
      <c r="Q2231" s="126">
        <f>IF(E2231="Y",VLOOKUP(D2231,'Support - Unit Adjustments'!F:G,2,FALSE),0)</f>
        <v>0</v>
      </c>
      <c r="R2231" s="155">
        <f t="shared" si="668"/>
        <v>0</v>
      </c>
      <c r="S2231" s="47">
        <f t="shared" si="667"/>
        <v>0</v>
      </c>
      <c r="T2231" s="151">
        <f t="shared" si="652"/>
        <v>344</v>
      </c>
      <c r="U2231" s="151">
        <f t="shared" si="653"/>
        <v>0</v>
      </c>
      <c r="V2231" s="139">
        <f t="shared" si="654"/>
        <v>0</v>
      </c>
      <c r="W2231" s="152">
        <f t="shared" si="657"/>
        <v>344</v>
      </c>
      <c r="X2231" s="127" t="str">
        <f t="shared" si="655"/>
        <v/>
      </c>
      <c r="Y2231" s="207">
        <f t="shared" si="658"/>
        <v>344</v>
      </c>
      <c r="Z2231" s="139">
        <f t="shared" si="659"/>
        <v>236</v>
      </c>
      <c r="AA2231" s="139">
        <f t="shared" si="660"/>
        <v>108</v>
      </c>
      <c r="AC2231" s="47">
        <f t="shared" si="661"/>
        <v>172</v>
      </c>
      <c r="AD2231" s="47">
        <f t="shared" si="662"/>
        <v>118</v>
      </c>
      <c r="AE2231" s="47">
        <f t="shared" si="663"/>
        <v>54</v>
      </c>
      <c r="AG2231" s="47">
        <f t="shared" si="664"/>
        <v>172</v>
      </c>
      <c r="AH2231" s="47">
        <f t="shared" si="665"/>
        <v>118</v>
      </c>
      <c r="AI2231" s="208">
        <f t="shared" si="666"/>
        <v>54</v>
      </c>
    </row>
    <row r="2232" spans="1:35">
      <c r="A2232" t="s">
        <v>2159</v>
      </c>
      <c r="B2232" t="s">
        <v>3142</v>
      </c>
      <c r="C2232" t="s">
        <v>2190</v>
      </c>
      <c r="D2232" t="s">
        <v>5752</v>
      </c>
      <c r="F2232" t="s">
        <v>504</v>
      </c>
      <c r="G2232" s="126">
        <f>SUMIFS('Support - Transition'!F:F,'Support - Transition'!B:B,'Step 2'!A2232,'Support - Transition'!C:C,'Step 2'!B2232,'Support - Transition'!D:D,'Step 2'!C2232,'Support - Transition'!E:E,"CIVIL")</f>
        <v>1.6720000000000001E-3</v>
      </c>
      <c r="H2232" s="126">
        <f>SUMIFS('Support - Transition'!F:F,'Support - Transition'!B:B,'Step 2'!A2232,'Support - Transition'!C:C,'Step 2'!B2232,'Support - Transition'!D:D,'Step 2'!C2232,'Support - Transition'!E:E,"FIRE")</f>
        <v>1.122E-3</v>
      </c>
      <c r="I2232" s="126">
        <f>IF(B2232="0",SUMIFS('Support - Transition'!F:F,'Support - Transition'!J:J,'Step 2'!D2232,'Support - Transition'!E:E,"STATE UNIT"),SUMIFS('Support - Transition'!F:F,'Support - Transition'!J:J,'Step 2'!D2232))</f>
        <v>2.794E-3</v>
      </c>
      <c r="J2232" s="126">
        <f>SUMIFS('Support - Unit Adjustments'!E:E,'Support - Unit Adjustments'!F:F,'Step 2'!D2232)</f>
        <v>0</v>
      </c>
      <c r="K2232" s="126">
        <f t="shared" si="650"/>
        <v>2.794E-3</v>
      </c>
      <c r="L2232" s="174">
        <f>VLOOKUP(A2232,'Step 1'!$A:$E,4,FALSE)</f>
        <v>129159</v>
      </c>
      <c r="M2232" s="47">
        <f t="shared" si="651"/>
        <v>361</v>
      </c>
      <c r="N2232" s="177">
        <f>SUMIFS('Support - Transition'!G:G,'Support - Transition'!J:J,'Step 2'!D2232,'Support - Transition'!E:E,"2009 WELFARE ALLOCATION FACTOR")</f>
        <v>0</v>
      </c>
      <c r="O2232" s="152">
        <f t="shared" si="656"/>
        <v>0</v>
      </c>
      <c r="P2232" s="126">
        <f>IF(E2232="Y",0,SUMIFS('Support - Transition'!G:G,'Support - Transition'!J:J,'Step 2'!D2232,'Support - Transition'!E:E,"2009 SCHOOL ALLOCATION FACTOR"))</f>
        <v>0</v>
      </c>
      <c r="Q2232" s="126">
        <f>IF(E2232="Y",VLOOKUP(D2232,'Support - Unit Adjustments'!F:G,2,FALSE),0)</f>
        <v>0</v>
      </c>
      <c r="R2232" s="155">
        <f t="shared" si="668"/>
        <v>0</v>
      </c>
      <c r="S2232" s="47">
        <f t="shared" si="667"/>
        <v>0</v>
      </c>
      <c r="T2232" s="151">
        <f t="shared" si="652"/>
        <v>361</v>
      </c>
      <c r="U2232" s="151">
        <f t="shared" si="653"/>
        <v>0</v>
      </c>
      <c r="V2232" s="139">
        <f t="shared" si="654"/>
        <v>0</v>
      </c>
      <c r="W2232" s="152">
        <f t="shared" si="657"/>
        <v>361</v>
      </c>
      <c r="X2232" s="127" t="str">
        <f t="shared" si="655"/>
        <v/>
      </c>
      <c r="Y2232" s="207">
        <f t="shared" si="658"/>
        <v>361</v>
      </c>
      <c r="Z2232" s="139">
        <f t="shared" si="659"/>
        <v>216</v>
      </c>
      <c r="AA2232" s="139">
        <f t="shared" si="660"/>
        <v>145</v>
      </c>
      <c r="AC2232" s="47">
        <f t="shared" si="661"/>
        <v>181</v>
      </c>
      <c r="AD2232" s="47">
        <f t="shared" si="662"/>
        <v>108</v>
      </c>
      <c r="AE2232" s="47">
        <f t="shared" si="663"/>
        <v>73</v>
      </c>
      <c r="AG2232" s="47">
        <f t="shared" si="664"/>
        <v>180</v>
      </c>
      <c r="AH2232" s="47">
        <f t="shared" si="665"/>
        <v>108</v>
      </c>
      <c r="AI2232" s="208">
        <f t="shared" si="666"/>
        <v>72</v>
      </c>
    </row>
    <row r="2233" spans="1:35">
      <c r="A2233" t="s">
        <v>2159</v>
      </c>
      <c r="B2233" t="s">
        <v>3142</v>
      </c>
      <c r="C2233" t="s">
        <v>2191</v>
      </c>
      <c r="D2233" t="s">
        <v>5753</v>
      </c>
      <c r="F2233" t="s">
        <v>49</v>
      </c>
      <c r="G2233" s="126">
        <f>SUMIFS('Support - Transition'!F:F,'Support - Transition'!B:B,'Step 2'!A2233,'Support - Transition'!C:C,'Step 2'!B2233,'Support - Transition'!D:D,'Step 2'!C2233,'Support - Transition'!E:E,"CIVIL")</f>
        <v>3.5300000000000002E-4</v>
      </c>
      <c r="H2233" s="126">
        <f>SUMIFS('Support - Transition'!F:F,'Support - Transition'!B:B,'Step 2'!A2233,'Support - Transition'!C:C,'Step 2'!B2233,'Support - Transition'!D:D,'Step 2'!C2233,'Support - Transition'!E:E,"FIRE")</f>
        <v>1.6200000000000001E-4</v>
      </c>
      <c r="I2233" s="126">
        <f>IF(B2233="0",SUMIFS('Support - Transition'!F:F,'Support - Transition'!J:J,'Step 2'!D2233,'Support - Transition'!E:E,"STATE UNIT"),SUMIFS('Support - Transition'!F:F,'Support - Transition'!J:J,'Step 2'!D2233))</f>
        <v>5.1500000000000005E-4</v>
      </c>
      <c r="J2233" s="126">
        <f>SUMIFS('Support - Unit Adjustments'!E:E,'Support - Unit Adjustments'!F:F,'Step 2'!D2233)</f>
        <v>0</v>
      </c>
      <c r="K2233" s="126">
        <f t="shared" si="650"/>
        <v>5.1500000000000005E-4</v>
      </c>
      <c r="L2233" s="174">
        <f>VLOOKUP(A2233,'Step 1'!$A:$E,4,FALSE)</f>
        <v>129159</v>
      </c>
      <c r="M2233" s="47">
        <f t="shared" si="651"/>
        <v>67</v>
      </c>
      <c r="N2233" s="177">
        <f>SUMIFS('Support - Transition'!G:G,'Support - Transition'!J:J,'Step 2'!D2233,'Support - Transition'!E:E,"2009 WELFARE ALLOCATION FACTOR")</f>
        <v>0</v>
      </c>
      <c r="O2233" s="152">
        <f t="shared" si="656"/>
        <v>0</v>
      </c>
      <c r="P2233" s="126">
        <f>IF(E2233="Y",0,SUMIFS('Support - Transition'!G:G,'Support - Transition'!J:J,'Step 2'!D2233,'Support - Transition'!E:E,"2009 SCHOOL ALLOCATION FACTOR"))</f>
        <v>0</v>
      </c>
      <c r="Q2233" s="126">
        <f>IF(E2233="Y",VLOOKUP(D2233,'Support - Unit Adjustments'!F:G,2,FALSE),0)</f>
        <v>0</v>
      </c>
      <c r="R2233" s="155">
        <f t="shared" si="668"/>
        <v>0</v>
      </c>
      <c r="S2233" s="47">
        <f t="shared" si="667"/>
        <v>0</v>
      </c>
      <c r="T2233" s="151">
        <f t="shared" si="652"/>
        <v>67</v>
      </c>
      <c r="U2233" s="151">
        <f t="shared" si="653"/>
        <v>0</v>
      </c>
      <c r="V2233" s="139">
        <f t="shared" si="654"/>
        <v>0</v>
      </c>
      <c r="W2233" s="152">
        <f t="shared" si="657"/>
        <v>67</v>
      </c>
      <c r="X2233" s="127" t="str">
        <f t="shared" si="655"/>
        <v/>
      </c>
      <c r="Y2233" s="207">
        <f t="shared" si="658"/>
        <v>67</v>
      </c>
      <c r="Z2233" s="139">
        <f t="shared" si="659"/>
        <v>46</v>
      </c>
      <c r="AA2233" s="139">
        <f t="shared" si="660"/>
        <v>21</v>
      </c>
      <c r="AC2233" s="47">
        <f t="shared" si="661"/>
        <v>34</v>
      </c>
      <c r="AD2233" s="47">
        <f t="shared" si="662"/>
        <v>23</v>
      </c>
      <c r="AE2233" s="47">
        <f t="shared" si="663"/>
        <v>11</v>
      </c>
      <c r="AG2233" s="47">
        <f t="shared" si="664"/>
        <v>33</v>
      </c>
      <c r="AH2233" s="47">
        <f t="shared" si="665"/>
        <v>23</v>
      </c>
      <c r="AI2233" s="208">
        <f t="shared" si="666"/>
        <v>10</v>
      </c>
    </row>
    <row r="2234" spans="1:35">
      <c r="A2234" t="s">
        <v>2159</v>
      </c>
      <c r="B2234" t="s">
        <v>3142</v>
      </c>
      <c r="C2234" t="s">
        <v>2192</v>
      </c>
      <c r="D2234" t="s">
        <v>5754</v>
      </c>
      <c r="F2234" t="s">
        <v>1608</v>
      </c>
      <c r="G2234" s="126">
        <f>SUMIFS('Support - Transition'!F:F,'Support - Transition'!B:B,'Step 2'!A2234,'Support - Transition'!C:C,'Step 2'!B2234,'Support - Transition'!D:D,'Step 2'!C2234,'Support - Transition'!E:E,"CIVIL")</f>
        <v>4.5899999999999999E-4</v>
      </c>
      <c r="H2234" s="126">
        <f>SUMIFS('Support - Transition'!F:F,'Support - Transition'!B:B,'Step 2'!A2234,'Support - Transition'!C:C,'Step 2'!B2234,'Support - Transition'!D:D,'Step 2'!C2234,'Support - Transition'!E:E,"FIRE")</f>
        <v>3.1799999999999998E-4</v>
      </c>
      <c r="I2234" s="126">
        <f>IF(B2234="0",SUMIFS('Support - Transition'!F:F,'Support - Transition'!J:J,'Step 2'!D2234,'Support - Transition'!E:E,"STATE UNIT"),SUMIFS('Support - Transition'!F:F,'Support - Transition'!J:J,'Step 2'!D2234))</f>
        <v>7.7699999999999991E-4</v>
      </c>
      <c r="J2234" s="126">
        <f>SUMIFS('Support - Unit Adjustments'!E:E,'Support - Unit Adjustments'!F:F,'Step 2'!D2234)</f>
        <v>0</v>
      </c>
      <c r="K2234" s="126">
        <f t="shared" si="650"/>
        <v>7.7699999999999991E-4</v>
      </c>
      <c r="L2234" s="174">
        <f>VLOOKUP(A2234,'Step 1'!$A:$E,4,FALSE)</f>
        <v>129159</v>
      </c>
      <c r="M2234" s="47">
        <f t="shared" si="651"/>
        <v>100</v>
      </c>
      <c r="N2234" s="177">
        <f>SUMIFS('Support - Transition'!G:G,'Support - Transition'!J:J,'Step 2'!D2234,'Support - Transition'!E:E,"2009 WELFARE ALLOCATION FACTOR")</f>
        <v>0</v>
      </c>
      <c r="O2234" s="152">
        <f t="shared" si="656"/>
        <v>0</v>
      </c>
      <c r="P2234" s="126">
        <f>IF(E2234="Y",0,SUMIFS('Support - Transition'!G:G,'Support - Transition'!J:J,'Step 2'!D2234,'Support - Transition'!E:E,"2009 SCHOOL ALLOCATION FACTOR"))</f>
        <v>0</v>
      </c>
      <c r="Q2234" s="126">
        <f>IF(E2234="Y",VLOOKUP(D2234,'Support - Unit Adjustments'!F:G,2,FALSE),0)</f>
        <v>0</v>
      </c>
      <c r="R2234" s="155">
        <f t="shared" si="668"/>
        <v>0</v>
      </c>
      <c r="S2234" s="47">
        <f t="shared" si="667"/>
        <v>0</v>
      </c>
      <c r="T2234" s="151">
        <f t="shared" si="652"/>
        <v>100</v>
      </c>
      <c r="U2234" s="151">
        <f t="shared" si="653"/>
        <v>0</v>
      </c>
      <c r="V2234" s="139">
        <f t="shared" si="654"/>
        <v>0</v>
      </c>
      <c r="W2234" s="152">
        <f t="shared" si="657"/>
        <v>100</v>
      </c>
      <c r="X2234" s="127" t="str">
        <f t="shared" si="655"/>
        <v/>
      </c>
      <c r="Y2234" s="207">
        <f t="shared" si="658"/>
        <v>100</v>
      </c>
      <c r="Z2234" s="139">
        <f t="shared" si="659"/>
        <v>59</v>
      </c>
      <c r="AA2234" s="139">
        <f t="shared" si="660"/>
        <v>41</v>
      </c>
      <c r="AC2234" s="47">
        <f t="shared" si="661"/>
        <v>50</v>
      </c>
      <c r="AD2234" s="47">
        <f t="shared" si="662"/>
        <v>30</v>
      </c>
      <c r="AE2234" s="47">
        <f t="shared" si="663"/>
        <v>21</v>
      </c>
      <c r="AG2234" s="47">
        <f t="shared" si="664"/>
        <v>50</v>
      </c>
      <c r="AH2234" s="47">
        <f t="shared" si="665"/>
        <v>29</v>
      </c>
      <c r="AI2234" s="208">
        <f t="shared" si="666"/>
        <v>20</v>
      </c>
    </row>
    <row r="2235" spans="1:35">
      <c r="A2235" t="s">
        <v>2159</v>
      </c>
      <c r="B2235" t="s">
        <v>3142</v>
      </c>
      <c r="C2235" t="s">
        <v>2193</v>
      </c>
      <c r="D2235" t="s">
        <v>5755</v>
      </c>
      <c r="F2235" t="s">
        <v>223</v>
      </c>
      <c r="G2235" s="126">
        <f>SUMIFS('Support - Transition'!F:F,'Support - Transition'!B:B,'Step 2'!A2235,'Support - Transition'!C:C,'Step 2'!B2235,'Support - Transition'!D:D,'Step 2'!C2235,'Support - Transition'!E:E,"CIVIL")</f>
        <v>2.1310000000000001E-3</v>
      </c>
      <c r="H2235" s="126">
        <f>SUMIFS('Support - Transition'!F:F,'Support - Transition'!B:B,'Step 2'!A2235,'Support - Transition'!C:C,'Step 2'!B2235,'Support - Transition'!D:D,'Step 2'!C2235,'Support - Transition'!E:E,"FIRE")</f>
        <v>3.408E-3</v>
      </c>
      <c r="I2235" s="126">
        <f>IF(B2235="0",SUMIFS('Support - Transition'!F:F,'Support - Transition'!J:J,'Step 2'!D2235,'Support - Transition'!E:E,"STATE UNIT"),SUMIFS('Support - Transition'!F:F,'Support - Transition'!J:J,'Step 2'!D2235))</f>
        <v>5.5390000000000005E-3</v>
      </c>
      <c r="J2235" s="126">
        <f>SUMIFS('Support - Unit Adjustments'!E:E,'Support - Unit Adjustments'!F:F,'Step 2'!D2235)</f>
        <v>0</v>
      </c>
      <c r="K2235" s="126">
        <f t="shared" si="650"/>
        <v>5.5390000000000005E-3</v>
      </c>
      <c r="L2235" s="174">
        <f>VLOOKUP(A2235,'Step 1'!$A:$E,4,FALSE)</f>
        <v>129159</v>
      </c>
      <c r="M2235" s="47">
        <f t="shared" si="651"/>
        <v>715</v>
      </c>
      <c r="N2235" s="177">
        <f>SUMIFS('Support - Transition'!G:G,'Support - Transition'!J:J,'Step 2'!D2235,'Support - Transition'!E:E,"2009 WELFARE ALLOCATION FACTOR")</f>
        <v>0</v>
      </c>
      <c r="O2235" s="152">
        <f t="shared" si="656"/>
        <v>0</v>
      </c>
      <c r="P2235" s="126">
        <f>IF(E2235="Y",0,SUMIFS('Support - Transition'!G:G,'Support - Transition'!J:J,'Step 2'!D2235,'Support - Transition'!E:E,"2009 SCHOOL ALLOCATION FACTOR"))</f>
        <v>0</v>
      </c>
      <c r="Q2235" s="126">
        <f>IF(E2235="Y",VLOOKUP(D2235,'Support - Unit Adjustments'!F:G,2,FALSE),0)</f>
        <v>0</v>
      </c>
      <c r="R2235" s="155">
        <f t="shared" si="668"/>
        <v>0</v>
      </c>
      <c r="S2235" s="47">
        <f t="shared" si="667"/>
        <v>0</v>
      </c>
      <c r="T2235" s="151">
        <f t="shared" si="652"/>
        <v>715</v>
      </c>
      <c r="U2235" s="151">
        <f t="shared" si="653"/>
        <v>0</v>
      </c>
      <c r="V2235" s="139">
        <f t="shared" si="654"/>
        <v>0</v>
      </c>
      <c r="W2235" s="152">
        <f t="shared" si="657"/>
        <v>715</v>
      </c>
      <c r="X2235" s="127" t="str">
        <f t="shared" si="655"/>
        <v/>
      </c>
      <c r="Y2235" s="207">
        <f t="shared" si="658"/>
        <v>715</v>
      </c>
      <c r="Z2235" s="139">
        <f t="shared" si="659"/>
        <v>275</v>
      </c>
      <c r="AA2235" s="139">
        <f t="shared" si="660"/>
        <v>440</v>
      </c>
      <c r="AC2235" s="47">
        <f t="shared" si="661"/>
        <v>358</v>
      </c>
      <c r="AD2235" s="47">
        <f t="shared" si="662"/>
        <v>138</v>
      </c>
      <c r="AE2235" s="47">
        <f t="shared" si="663"/>
        <v>220</v>
      </c>
      <c r="AG2235" s="47">
        <f t="shared" si="664"/>
        <v>357</v>
      </c>
      <c r="AH2235" s="47">
        <f t="shared" si="665"/>
        <v>137</v>
      </c>
      <c r="AI2235" s="208">
        <f t="shared" si="666"/>
        <v>220</v>
      </c>
    </row>
    <row r="2236" spans="1:35">
      <c r="A2236" t="s">
        <v>2159</v>
      </c>
      <c r="B2236" t="s">
        <v>3142</v>
      </c>
      <c r="C2236" t="s">
        <v>2194</v>
      </c>
      <c r="D2236" t="s">
        <v>5756</v>
      </c>
      <c r="F2236" t="s">
        <v>1609</v>
      </c>
      <c r="G2236" s="126">
        <f>SUMIFS('Support - Transition'!F:F,'Support - Transition'!B:B,'Step 2'!A2236,'Support - Transition'!C:C,'Step 2'!B2236,'Support - Transition'!D:D,'Step 2'!C2236,'Support - Transition'!E:E,"CIVIL")</f>
        <v>6.2379999999999996E-3</v>
      </c>
      <c r="H2236" s="126">
        <f>SUMIFS('Support - Transition'!F:F,'Support - Transition'!B:B,'Step 2'!A2236,'Support - Transition'!C:C,'Step 2'!B2236,'Support - Transition'!D:D,'Step 2'!C2236,'Support - Transition'!E:E,"FIRE")</f>
        <v>3.9160000000000002E-3</v>
      </c>
      <c r="I2236" s="126">
        <f>IF(B2236="0",SUMIFS('Support - Transition'!F:F,'Support - Transition'!J:J,'Step 2'!D2236,'Support - Transition'!E:E,"STATE UNIT"),SUMIFS('Support - Transition'!F:F,'Support - Transition'!J:J,'Step 2'!D2236))</f>
        <v>1.0154E-2</v>
      </c>
      <c r="J2236" s="126">
        <f>SUMIFS('Support - Unit Adjustments'!E:E,'Support - Unit Adjustments'!F:F,'Step 2'!D2236)</f>
        <v>0</v>
      </c>
      <c r="K2236" s="126">
        <f t="shared" si="650"/>
        <v>1.0154E-2</v>
      </c>
      <c r="L2236" s="174">
        <f>VLOOKUP(A2236,'Step 1'!$A:$E,4,FALSE)</f>
        <v>129159</v>
      </c>
      <c r="M2236" s="47">
        <f t="shared" si="651"/>
        <v>1311</v>
      </c>
      <c r="N2236" s="177">
        <f>SUMIFS('Support - Transition'!G:G,'Support - Transition'!J:J,'Step 2'!D2236,'Support - Transition'!E:E,"2009 WELFARE ALLOCATION FACTOR")</f>
        <v>0</v>
      </c>
      <c r="O2236" s="152">
        <f t="shared" si="656"/>
        <v>0</v>
      </c>
      <c r="P2236" s="126">
        <f>IF(E2236="Y",0,SUMIFS('Support - Transition'!G:G,'Support - Transition'!J:J,'Step 2'!D2236,'Support - Transition'!E:E,"2009 SCHOOL ALLOCATION FACTOR"))</f>
        <v>0</v>
      </c>
      <c r="Q2236" s="126">
        <f>IF(E2236="Y",VLOOKUP(D2236,'Support - Unit Adjustments'!F:G,2,FALSE),0)</f>
        <v>0</v>
      </c>
      <c r="R2236" s="155">
        <f t="shared" si="668"/>
        <v>0</v>
      </c>
      <c r="S2236" s="47">
        <f t="shared" si="667"/>
        <v>0</v>
      </c>
      <c r="T2236" s="151">
        <f t="shared" si="652"/>
        <v>1311</v>
      </c>
      <c r="U2236" s="151">
        <f t="shared" si="653"/>
        <v>0</v>
      </c>
      <c r="V2236" s="139">
        <f t="shared" si="654"/>
        <v>0</v>
      </c>
      <c r="W2236" s="152">
        <f t="shared" si="657"/>
        <v>1311</v>
      </c>
      <c r="X2236" s="127" t="str">
        <f t="shared" si="655"/>
        <v/>
      </c>
      <c r="Y2236" s="207">
        <f t="shared" si="658"/>
        <v>1311</v>
      </c>
      <c r="Z2236" s="139">
        <f t="shared" si="659"/>
        <v>805</v>
      </c>
      <c r="AA2236" s="139">
        <f t="shared" si="660"/>
        <v>506</v>
      </c>
      <c r="AC2236" s="47">
        <f t="shared" si="661"/>
        <v>656</v>
      </c>
      <c r="AD2236" s="47">
        <f t="shared" si="662"/>
        <v>403</v>
      </c>
      <c r="AE2236" s="47">
        <f t="shared" si="663"/>
        <v>253</v>
      </c>
      <c r="AG2236" s="47">
        <f t="shared" si="664"/>
        <v>655</v>
      </c>
      <c r="AH2236" s="47">
        <f t="shared" si="665"/>
        <v>402</v>
      </c>
      <c r="AI2236" s="208">
        <f t="shared" si="666"/>
        <v>253</v>
      </c>
    </row>
    <row r="2237" spans="1:35">
      <c r="A2237" t="s">
        <v>2159</v>
      </c>
      <c r="B2237" t="s">
        <v>3142</v>
      </c>
      <c r="C2237" t="s">
        <v>2195</v>
      </c>
      <c r="D2237" t="s">
        <v>5757</v>
      </c>
      <c r="F2237" t="s">
        <v>22</v>
      </c>
      <c r="G2237" s="126">
        <f>SUMIFS('Support - Transition'!F:F,'Support - Transition'!B:B,'Step 2'!A2237,'Support - Transition'!C:C,'Step 2'!B2237,'Support - Transition'!D:D,'Step 2'!C2237,'Support - Transition'!E:E,"CIVIL")</f>
        <v>4.6430000000000004E-3</v>
      </c>
      <c r="H2237" s="126">
        <f>SUMIFS('Support - Transition'!F:F,'Support - Transition'!B:B,'Step 2'!A2237,'Support - Transition'!C:C,'Step 2'!B2237,'Support - Transition'!D:D,'Step 2'!C2237,'Support - Transition'!E:E,"FIRE")</f>
        <v>2.3709999999999998E-3</v>
      </c>
      <c r="I2237" s="126">
        <f>IF(B2237="0",SUMIFS('Support - Transition'!F:F,'Support - Transition'!J:J,'Step 2'!D2237,'Support - Transition'!E:E,"STATE UNIT"),SUMIFS('Support - Transition'!F:F,'Support - Transition'!J:J,'Step 2'!D2237))</f>
        <v>7.0140000000000003E-3</v>
      </c>
      <c r="J2237" s="126">
        <f>SUMIFS('Support - Unit Adjustments'!E:E,'Support - Unit Adjustments'!F:F,'Step 2'!D2237)</f>
        <v>0</v>
      </c>
      <c r="K2237" s="126">
        <f t="shared" si="650"/>
        <v>7.0140000000000003E-3</v>
      </c>
      <c r="L2237" s="174">
        <f>VLOOKUP(A2237,'Step 1'!$A:$E,4,FALSE)</f>
        <v>129159</v>
      </c>
      <c r="M2237" s="47">
        <f t="shared" si="651"/>
        <v>906</v>
      </c>
      <c r="N2237" s="177">
        <f>SUMIFS('Support - Transition'!G:G,'Support - Transition'!J:J,'Step 2'!D2237,'Support - Transition'!E:E,"2009 WELFARE ALLOCATION FACTOR")</f>
        <v>0</v>
      </c>
      <c r="O2237" s="152">
        <f t="shared" si="656"/>
        <v>0</v>
      </c>
      <c r="P2237" s="126">
        <f>IF(E2237="Y",0,SUMIFS('Support - Transition'!G:G,'Support - Transition'!J:J,'Step 2'!D2237,'Support - Transition'!E:E,"2009 SCHOOL ALLOCATION FACTOR"))</f>
        <v>0</v>
      </c>
      <c r="Q2237" s="126">
        <f>IF(E2237="Y",VLOOKUP(D2237,'Support - Unit Adjustments'!F:G,2,FALSE),0)</f>
        <v>0</v>
      </c>
      <c r="R2237" s="155">
        <f t="shared" si="668"/>
        <v>0</v>
      </c>
      <c r="S2237" s="47">
        <f t="shared" si="667"/>
        <v>0</v>
      </c>
      <c r="T2237" s="151">
        <f t="shared" si="652"/>
        <v>906</v>
      </c>
      <c r="U2237" s="151">
        <f t="shared" si="653"/>
        <v>0</v>
      </c>
      <c r="V2237" s="139">
        <f t="shared" si="654"/>
        <v>0</v>
      </c>
      <c r="W2237" s="152">
        <f t="shared" si="657"/>
        <v>906</v>
      </c>
      <c r="X2237" s="127" t="str">
        <f t="shared" si="655"/>
        <v/>
      </c>
      <c r="Y2237" s="207">
        <f t="shared" si="658"/>
        <v>906</v>
      </c>
      <c r="Z2237" s="139">
        <f t="shared" si="659"/>
        <v>600</v>
      </c>
      <c r="AA2237" s="139">
        <f t="shared" si="660"/>
        <v>306</v>
      </c>
      <c r="AC2237" s="47">
        <f t="shared" si="661"/>
        <v>453</v>
      </c>
      <c r="AD2237" s="47">
        <f t="shared" si="662"/>
        <v>300</v>
      </c>
      <c r="AE2237" s="47">
        <f t="shared" si="663"/>
        <v>153</v>
      </c>
      <c r="AG2237" s="47">
        <f t="shared" si="664"/>
        <v>453</v>
      </c>
      <c r="AH2237" s="47">
        <f t="shared" si="665"/>
        <v>300</v>
      </c>
      <c r="AI2237" s="208">
        <f t="shared" si="666"/>
        <v>153</v>
      </c>
    </row>
    <row r="2238" spans="1:35">
      <c r="A2238" t="s">
        <v>2159</v>
      </c>
      <c r="B2238" t="s">
        <v>3142</v>
      </c>
      <c r="C2238" t="s">
        <v>2196</v>
      </c>
      <c r="D2238" t="s">
        <v>5758</v>
      </c>
      <c r="F2238" t="s">
        <v>61</v>
      </c>
      <c r="G2238" s="126">
        <f>SUMIFS('Support - Transition'!F:F,'Support - Transition'!B:B,'Step 2'!A2238,'Support - Transition'!C:C,'Step 2'!B2238,'Support - Transition'!D:D,'Step 2'!C2238,'Support - Transition'!E:E,"CIVIL")</f>
        <v>1.6509999999999999E-3</v>
      </c>
      <c r="H2238" s="126">
        <f>SUMIFS('Support - Transition'!F:F,'Support - Transition'!B:B,'Step 2'!A2238,'Support - Transition'!C:C,'Step 2'!B2238,'Support - Transition'!D:D,'Step 2'!C2238,'Support - Transition'!E:E,"FIRE")</f>
        <v>1.15E-3</v>
      </c>
      <c r="I2238" s="126">
        <f>IF(B2238="0",SUMIFS('Support - Transition'!F:F,'Support - Transition'!J:J,'Step 2'!D2238,'Support - Transition'!E:E,"STATE UNIT"),SUMIFS('Support - Transition'!F:F,'Support - Transition'!J:J,'Step 2'!D2238))</f>
        <v>2.8009999999999997E-3</v>
      </c>
      <c r="J2238" s="126">
        <f>SUMIFS('Support - Unit Adjustments'!E:E,'Support - Unit Adjustments'!F:F,'Step 2'!D2238)</f>
        <v>0</v>
      </c>
      <c r="K2238" s="126">
        <f t="shared" si="650"/>
        <v>2.8009999999999997E-3</v>
      </c>
      <c r="L2238" s="174">
        <f>VLOOKUP(A2238,'Step 1'!$A:$E,4,FALSE)</f>
        <v>129159</v>
      </c>
      <c r="M2238" s="47">
        <f t="shared" si="651"/>
        <v>362</v>
      </c>
      <c r="N2238" s="177">
        <f>SUMIFS('Support - Transition'!G:G,'Support - Transition'!J:J,'Step 2'!D2238,'Support - Transition'!E:E,"2009 WELFARE ALLOCATION FACTOR")</f>
        <v>0</v>
      </c>
      <c r="O2238" s="152">
        <f t="shared" si="656"/>
        <v>0</v>
      </c>
      <c r="P2238" s="126">
        <f>IF(E2238="Y",0,SUMIFS('Support - Transition'!G:G,'Support - Transition'!J:J,'Step 2'!D2238,'Support - Transition'!E:E,"2009 SCHOOL ALLOCATION FACTOR"))</f>
        <v>0</v>
      </c>
      <c r="Q2238" s="126">
        <f>IF(E2238="Y",VLOOKUP(D2238,'Support - Unit Adjustments'!F:G,2,FALSE),0)</f>
        <v>0</v>
      </c>
      <c r="R2238" s="155">
        <f t="shared" si="668"/>
        <v>0</v>
      </c>
      <c r="S2238" s="47">
        <f t="shared" si="667"/>
        <v>0</v>
      </c>
      <c r="T2238" s="151">
        <f t="shared" si="652"/>
        <v>362</v>
      </c>
      <c r="U2238" s="151">
        <f t="shared" si="653"/>
        <v>0</v>
      </c>
      <c r="V2238" s="139">
        <f t="shared" si="654"/>
        <v>0</v>
      </c>
      <c r="W2238" s="152">
        <f t="shared" si="657"/>
        <v>362</v>
      </c>
      <c r="X2238" s="127" t="str">
        <f t="shared" si="655"/>
        <v/>
      </c>
      <c r="Y2238" s="207">
        <f t="shared" si="658"/>
        <v>362</v>
      </c>
      <c r="Z2238" s="139">
        <f t="shared" si="659"/>
        <v>213</v>
      </c>
      <c r="AA2238" s="139">
        <f t="shared" si="660"/>
        <v>149</v>
      </c>
      <c r="AC2238" s="47">
        <f t="shared" si="661"/>
        <v>181</v>
      </c>
      <c r="AD2238" s="47">
        <f t="shared" si="662"/>
        <v>107</v>
      </c>
      <c r="AE2238" s="47">
        <f t="shared" si="663"/>
        <v>75</v>
      </c>
      <c r="AG2238" s="47">
        <f t="shared" si="664"/>
        <v>181</v>
      </c>
      <c r="AH2238" s="47">
        <f t="shared" si="665"/>
        <v>106</v>
      </c>
      <c r="AI2238" s="208">
        <f t="shared" si="666"/>
        <v>74</v>
      </c>
    </row>
    <row r="2239" spans="1:35">
      <c r="A2239" t="s">
        <v>2159</v>
      </c>
      <c r="B2239" t="s">
        <v>3155</v>
      </c>
      <c r="C2239" t="s">
        <v>3017</v>
      </c>
      <c r="D2239" t="s">
        <v>5759</v>
      </c>
      <c r="F2239" t="s">
        <v>1611</v>
      </c>
      <c r="G2239" s="126">
        <f>SUMIFS('Support - Transition'!F:F,'Support - Transition'!B:B,'Step 2'!A2239,'Support - Transition'!C:C,'Step 2'!B2239,'Support - Transition'!D:D,'Step 2'!C2239,'Support - Transition'!E:E,"CIVIL")</f>
        <v>0</v>
      </c>
      <c r="H2239" s="126">
        <f>SUMIFS('Support - Transition'!F:F,'Support - Transition'!B:B,'Step 2'!A2239,'Support - Transition'!C:C,'Step 2'!B2239,'Support - Transition'!D:D,'Step 2'!C2239,'Support - Transition'!E:E,"FIRE")</f>
        <v>0</v>
      </c>
      <c r="I2239" s="126">
        <f>IF(B2239="0",SUMIFS('Support - Transition'!F:F,'Support - Transition'!J:J,'Step 2'!D2239,'Support - Transition'!E:E,"STATE UNIT"),SUMIFS('Support - Transition'!F:F,'Support - Transition'!J:J,'Step 2'!D2239))</f>
        <v>2.2841E-2</v>
      </c>
      <c r="J2239" s="126">
        <f>SUMIFS('Support - Unit Adjustments'!E:E,'Support - Unit Adjustments'!F:F,'Step 2'!D2239)</f>
        <v>0</v>
      </c>
      <c r="K2239" s="126">
        <f t="shared" si="650"/>
        <v>2.2841E-2</v>
      </c>
      <c r="L2239" s="174">
        <f>VLOOKUP(A2239,'Step 1'!$A:$E,4,FALSE)</f>
        <v>129159</v>
      </c>
      <c r="M2239" s="47">
        <f t="shared" si="651"/>
        <v>2950</v>
      </c>
      <c r="N2239" s="177">
        <f>SUMIFS('Support - Transition'!G:G,'Support - Transition'!J:J,'Step 2'!D2239,'Support - Transition'!E:E,"2009 WELFARE ALLOCATION FACTOR")</f>
        <v>0</v>
      </c>
      <c r="O2239" s="152">
        <f t="shared" si="656"/>
        <v>0</v>
      </c>
      <c r="P2239" s="126">
        <f>IF(E2239="Y",0,SUMIFS('Support - Transition'!G:G,'Support - Transition'!J:J,'Step 2'!D2239,'Support - Transition'!E:E,"2009 SCHOOL ALLOCATION FACTOR"))</f>
        <v>0</v>
      </c>
      <c r="Q2239" s="126">
        <f>IF(E2239="Y",VLOOKUP(D2239,'Support - Unit Adjustments'!F:G,2,FALSE),0)</f>
        <v>0</v>
      </c>
      <c r="R2239" s="155">
        <f t="shared" si="668"/>
        <v>0</v>
      </c>
      <c r="S2239" s="47">
        <f t="shared" si="667"/>
        <v>0</v>
      </c>
      <c r="T2239" s="151">
        <f t="shared" si="652"/>
        <v>2950</v>
      </c>
      <c r="U2239" s="151">
        <f t="shared" si="653"/>
        <v>0</v>
      </c>
      <c r="V2239" s="139">
        <f t="shared" si="654"/>
        <v>0</v>
      </c>
      <c r="W2239" s="152">
        <f t="shared" si="657"/>
        <v>2950</v>
      </c>
      <c r="X2239" s="127" t="str">
        <f t="shared" si="655"/>
        <v/>
      </c>
      <c r="Y2239" s="207">
        <f t="shared" si="658"/>
        <v>2950</v>
      </c>
      <c r="Z2239" s="139">
        <f t="shared" si="659"/>
        <v>2950</v>
      </c>
      <c r="AA2239" s="139">
        <f t="shared" si="660"/>
        <v>0</v>
      </c>
      <c r="AC2239" s="47">
        <f t="shared" si="661"/>
        <v>1475</v>
      </c>
      <c r="AD2239" s="47">
        <f t="shared" si="662"/>
        <v>1475</v>
      </c>
      <c r="AE2239" s="47">
        <f t="shared" si="663"/>
        <v>0</v>
      </c>
      <c r="AG2239" s="47">
        <f t="shared" si="664"/>
        <v>1475</v>
      </c>
      <c r="AH2239" s="47">
        <f t="shared" si="665"/>
        <v>1475</v>
      </c>
      <c r="AI2239" s="208">
        <f t="shared" si="666"/>
        <v>0</v>
      </c>
    </row>
    <row r="2240" spans="1:35">
      <c r="A2240" t="s">
        <v>2159</v>
      </c>
      <c r="B2240" t="s">
        <v>3155</v>
      </c>
      <c r="C2240" t="s">
        <v>2286</v>
      </c>
      <c r="D2240" t="s">
        <v>5760</v>
      </c>
      <c r="F2240" t="s">
        <v>1610</v>
      </c>
      <c r="G2240" s="126">
        <f>SUMIFS('Support - Transition'!F:F,'Support - Transition'!B:B,'Step 2'!A2240,'Support - Transition'!C:C,'Step 2'!B2240,'Support - Transition'!D:D,'Step 2'!C2240,'Support - Transition'!E:E,"CIVIL")</f>
        <v>0</v>
      </c>
      <c r="H2240" s="126">
        <f>SUMIFS('Support - Transition'!F:F,'Support - Transition'!B:B,'Step 2'!A2240,'Support - Transition'!C:C,'Step 2'!B2240,'Support - Transition'!D:D,'Step 2'!C2240,'Support - Transition'!E:E,"FIRE")</f>
        <v>0</v>
      </c>
      <c r="I2240" s="126">
        <f>IF(B2240="0",SUMIFS('Support - Transition'!F:F,'Support - Transition'!J:J,'Step 2'!D2240,'Support - Transition'!E:E,"STATE UNIT"),SUMIFS('Support - Transition'!F:F,'Support - Transition'!J:J,'Step 2'!D2240))</f>
        <v>2.5360000000000001E-2</v>
      </c>
      <c r="J2240" s="126">
        <f>SUMIFS('Support - Unit Adjustments'!E:E,'Support - Unit Adjustments'!F:F,'Step 2'!D2240)</f>
        <v>0</v>
      </c>
      <c r="K2240" s="126">
        <f t="shared" si="650"/>
        <v>2.5360000000000001E-2</v>
      </c>
      <c r="L2240" s="174">
        <f>VLOOKUP(A2240,'Step 1'!$A:$E,4,FALSE)</f>
        <v>129159</v>
      </c>
      <c r="M2240" s="47">
        <f t="shared" si="651"/>
        <v>3275</v>
      </c>
      <c r="N2240" s="177">
        <f>SUMIFS('Support - Transition'!G:G,'Support - Transition'!J:J,'Step 2'!D2240,'Support - Transition'!E:E,"2009 WELFARE ALLOCATION FACTOR")</f>
        <v>0</v>
      </c>
      <c r="O2240" s="152">
        <f t="shared" si="656"/>
        <v>0</v>
      </c>
      <c r="P2240" s="126">
        <f>IF(E2240="Y",0,SUMIFS('Support - Transition'!G:G,'Support - Transition'!J:J,'Step 2'!D2240,'Support - Transition'!E:E,"2009 SCHOOL ALLOCATION FACTOR"))</f>
        <v>0</v>
      </c>
      <c r="Q2240" s="126">
        <f>IF(E2240="Y",VLOOKUP(D2240,'Support - Unit Adjustments'!F:G,2,FALSE),0)</f>
        <v>0</v>
      </c>
      <c r="R2240" s="155">
        <f t="shared" si="668"/>
        <v>0</v>
      </c>
      <c r="S2240" s="47">
        <f t="shared" si="667"/>
        <v>0</v>
      </c>
      <c r="T2240" s="151">
        <f t="shared" si="652"/>
        <v>3275</v>
      </c>
      <c r="U2240" s="151">
        <f t="shared" si="653"/>
        <v>0</v>
      </c>
      <c r="V2240" s="139">
        <f t="shared" si="654"/>
        <v>0</v>
      </c>
      <c r="W2240" s="152">
        <f t="shared" si="657"/>
        <v>3275</v>
      </c>
      <c r="X2240" s="127" t="str">
        <f t="shared" si="655"/>
        <v/>
      </c>
      <c r="Y2240" s="207">
        <f t="shared" si="658"/>
        <v>3275</v>
      </c>
      <c r="Z2240" s="139">
        <f t="shared" si="659"/>
        <v>3275</v>
      </c>
      <c r="AA2240" s="139">
        <f t="shared" si="660"/>
        <v>0</v>
      </c>
      <c r="AC2240" s="47">
        <f t="shared" si="661"/>
        <v>1638</v>
      </c>
      <c r="AD2240" s="47">
        <f t="shared" si="662"/>
        <v>1638</v>
      </c>
      <c r="AE2240" s="47">
        <f t="shared" si="663"/>
        <v>0</v>
      </c>
      <c r="AG2240" s="47">
        <f t="shared" si="664"/>
        <v>1637</v>
      </c>
      <c r="AH2240" s="47">
        <f t="shared" si="665"/>
        <v>1637</v>
      </c>
      <c r="AI2240" s="208">
        <f t="shared" si="666"/>
        <v>0</v>
      </c>
    </row>
    <row r="2241" spans="1:35">
      <c r="A2241" t="s">
        <v>2159</v>
      </c>
      <c r="B2241" t="s">
        <v>3155</v>
      </c>
      <c r="C2241" t="s">
        <v>3018</v>
      </c>
      <c r="D2241" t="s">
        <v>5761</v>
      </c>
      <c r="F2241" t="s">
        <v>1612</v>
      </c>
      <c r="G2241" s="126">
        <f>SUMIFS('Support - Transition'!F:F,'Support - Transition'!B:B,'Step 2'!A2241,'Support - Transition'!C:C,'Step 2'!B2241,'Support - Transition'!D:D,'Step 2'!C2241,'Support - Transition'!E:E,"CIVIL")</f>
        <v>0</v>
      </c>
      <c r="H2241" s="126">
        <f>SUMIFS('Support - Transition'!F:F,'Support - Transition'!B:B,'Step 2'!A2241,'Support - Transition'!C:C,'Step 2'!B2241,'Support - Transition'!D:D,'Step 2'!C2241,'Support - Transition'!E:E,"FIRE")</f>
        <v>0</v>
      </c>
      <c r="I2241" s="126">
        <f>IF(B2241="0",SUMIFS('Support - Transition'!F:F,'Support - Transition'!J:J,'Step 2'!D2241,'Support - Transition'!E:E,"STATE UNIT"),SUMIFS('Support - Transition'!F:F,'Support - Transition'!J:J,'Step 2'!D2241))</f>
        <v>1.5016E-2</v>
      </c>
      <c r="J2241" s="126">
        <f>SUMIFS('Support - Unit Adjustments'!E:E,'Support - Unit Adjustments'!F:F,'Step 2'!D2241)</f>
        <v>0</v>
      </c>
      <c r="K2241" s="126">
        <f t="shared" si="650"/>
        <v>1.5016E-2</v>
      </c>
      <c r="L2241" s="174">
        <f>VLOOKUP(A2241,'Step 1'!$A:$E,4,FALSE)</f>
        <v>129159</v>
      </c>
      <c r="M2241" s="47">
        <f t="shared" si="651"/>
        <v>1939</v>
      </c>
      <c r="N2241" s="177">
        <f>SUMIFS('Support - Transition'!G:G,'Support - Transition'!J:J,'Step 2'!D2241,'Support - Transition'!E:E,"2009 WELFARE ALLOCATION FACTOR")</f>
        <v>0</v>
      </c>
      <c r="O2241" s="152">
        <f t="shared" si="656"/>
        <v>0</v>
      </c>
      <c r="P2241" s="126">
        <f>IF(E2241="Y",0,SUMIFS('Support - Transition'!G:G,'Support - Transition'!J:J,'Step 2'!D2241,'Support - Transition'!E:E,"2009 SCHOOL ALLOCATION FACTOR"))</f>
        <v>0</v>
      </c>
      <c r="Q2241" s="126">
        <f>IF(E2241="Y",VLOOKUP(D2241,'Support - Unit Adjustments'!F:G,2,FALSE),0)</f>
        <v>0</v>
      </c>
      <c r="R2241" s="155">
        <f t="shared" si="668"/>
        <v>0</v>
      </c>
      <c r="S2241" s="47">
        <f t="shared" si="667"/>
        <v>0</v>
      </c>
      <c r="T2241" s="151">
        <f t="shared" si="652"/>
        <v>1939</v>
      </c>
      <c r="U2241" s="151">
        <f t="shared" si="653"/>
        <v>0</v>
      </c>
      <c r="V2241" s="139">
        <f t="shared" si="654"/>
        <v>0</v>
      </c>
      <c r="W2241" s="152">
        <f t="shared" si="657"/>
        <v>1939</v>
      </c>
      <c r="X2241" s="127" t="str">
        <f t="shared" si="655"/>
        <v/>
      </c>
      <c r="Y2241" s="207">
        <f t="shared" si="658"/>
        <v>1939</v>
      </c>
      <c r="Z2241" s="139">
        <f t="shared" si="659"/>
        <v>1939</v>
      </c>
      <c r="AA2241" s="139">
        <f t="shared" si="660"/>
        <v>0</v>
      </c>
      <c r="AC2241" s="47">
        <f t="shared" si="661"/>
        <v>970</v>
      </c>
      <c r="AD2241" s="47">
        <f t="shared" si="662"/>
        <v>970</v>
      </c>
      <c r="AE2241" s="47">
        <f t="shared" si="663"/>
        <v>0</v>
      </c>
      <c r="AG2241" s="47">
        <f t="shared" si="664"/>
        <v>969</v>
      </c>
      <c r="AH2241" s="47">
        <f t="shared" si="665"/>
        <v>969</v>
      </c>
      <c r="AI2241" s="208">
        <f t="shared" si="666"/>
        <v>0</v>
      </c>
    </row>
    <row r="2242" spans="1:35">
      <c r="A2242" t="s">
        <v>2159</v>
      </c>
      <c r="B2242" t="s">
        <v>3160</v>
      </c>
      <c r="C2242" t="s">
        <v>2458</v>
      </c>
      <c r="D2242" t="s">
        <v>5762</v>
      </c>
      <c r="F2242" t="s">
        <v>557</v>
      </c>
      <c r="G2242" s="126">
        <f>SUMIFS('Support - Transition'!F:F,'Support - Transition'!B:B,'Step 2'!A2242,'Support - Transition'!C:C,'Step 2'!B2242,'Support - Transition'!D:D,'Step 2'!C2242,'Support - Transition'!E:E,"CIVIL")</f>
        <v>0</v>
      </c>
      <c r="H2242" s="126">
        <f>SUMIFS('Support - Transition'!F:F,'Support - Transition'!B:B,'Step 2'!A2242,'Support - Transition'!C:C,'Step 2'!B2242,'Support - Transition'!D:D,'Step 2'!C2242,'Support - Transition'!E:E,"FIRE")</f>
        <v>0</v>
      </c>
      <c r="I2242" s="126">
        <f>IF(B2242="0",SUMIFS('Support - Transition'!F:F,'Support - Transition'!J:J,'Step 2'!D2242,'Support - Transition'!E:E,"STATE UNIT"),SUMIFS('Support - Transition'!F:F,'Support - Transition'!J:J,'Step 2'!D2242))</f>
        <v>1.3448999999999999E-2</v>
      </c>
      <c r="J2242" s="126">
        <f>SUMIFS('Support - Unit Adjustments'!E:E,'Support - Unit Adjustments'!F:F,'Step 2'!D2242)</f>
        <v>0</v>
      </c>
      <c r="K2242" s="126">
        <f t="shared" ref="K2242:K2305" si="669">+I2242+J2242</f>
        <v>1.3448999999999999E-2</v>
      </c>
      <c r="L2242" s="174">
        <f>VLOOKUP(A2242,'Step 1'!$A:$E,4,FALSE)</f>
        <v>129159</v>
      </c>
      <c r="M2242" s="47">
        <f t="shared" ref="M2242:M2305" si="670">ROUND(+K2242*L2242,0)</f>
        <v>1737</v>
      </c>
      <c r="N2242" s="177">
        <f>SUMIFS('Support - Transition'!G:G,'Support - Transition'!J:J,'Step 2'!D2242,'Support - Transition'!E:E,"2009 WELFARE ALLOCATION FACTOR")</f>
        <v>0</v>
      </c>
      <c r="O2242" s="152">
        <f t="shared" si="656"/>
        <v>0</v>
      </c>
      <c r="P2242" s="126">
        <f>IF(E2242="Y",0,SUMIFS('Support - Transition'!G:G,'Support - Transition'!J:J,'Step 2'!D2242,'Support - Transition'!E:E,"2009 SCHOOL ALLOCATION FACTOR"))</f>
        <v>0.48539900000000002</v>
      </c>
      <c r="Q2242" s="126">
        <f>IF(E2242="Y",VLOOKUP(D2242,'Support - Unit Adjustments'!F:G,2,FALSE),0)</f>
        <v>0</v>
      </c>
      <c r="R2242" s="155">
        <f t="shared" si="668"/>
        <v>0.48539900000000002</v>
      </c>
      <c r="S2242" s="47">
        <f t="shared" si="667"/>
        <v>843</v>
      </c>
      <c r="T2242" s="151">
        <f t="shared" ref="T2242:T2305" si="671">ROUND(+M2242-O2242-S2242,2)</f>
        <v>894</v>
      </c>
      <c r="U2242" s="151">
        <f t="shared" ref="U2242:U2305" si="672">IF(B2242="0",SUMIFS(O:O,A:A,A2242)+SUMIFS(S:S,A:A,A2242)+SUMIFS(T:T,A:A,A2242),0)</f>
        <v>0</v>
      </c>
      <c r="V2242" s="139">
        <f t="shared" ref="V2242:V2305" si="673">IF(B2242="0",U2242-L2242,0)</f>
        <v>0</v>
      </c>
      <c r="W2242" s="152">
        <f t="shared" si="657"/>
        <v>894</v>
      </c>
      <c r="X2242" s="127" t="str">
        <f t="shared" ref="X2242:X2305" si="674">IF(B2242="0",SUMIFS(O:O,A:A,A2242)+SUMIFS(S:S,A:A,A2242)+SUMIFS(W:W,A:A,A2242)-L2242,"")</f>
        <v/>
      </c>
      <c r="Y2242" s="207">
        <f t="shared" si="658"/>
        <v>894</v>
      </c>
      <c r="Z2242" s="139">
        <f t="shared" si="659"/>
        <v>894</v>
      </c>
      <c r="AA2242" s="139">
        <f t="shared" si="660"/>
        <v>0</v>
      </c>
      <c r="AC2242" s="47">
        <f t="shared" si="661"/>
        <v>447</v>
      </c>
      <c r="AD2242" s="47">
        <f t="shared" si="662"/>
        <v>447</v>
      </c>
      <c r="AE2242" s="47">
        <f t="shared" si="663"/>
        <v>0</v>
      </c>
      <c r="AG2242" s="47">
        <f t="shared" si="664"/>
        <v>447</v>
      </c>
      <c r="AH2242" s="47">
        <f t="shared" si="665"/>
        <v>447</v>
      </c>
      <c r="AI2242" s="208">
        <f t="shared" si="666"/>
        <v>0</v>
      </c>
    </row>
    <row r="2243" spans="1:35">
      <c r="A2243" t="s">
        <v>2159</v>
      </c>
      <c r="B2243" t="s">
        <v>3160</v>
      </c>
      <c r="C2243" t="s">
        <v>3019</v>
      </c>
      <c r="D2243" t="s">
        <v>5763</v>
      </c>
      <c r="F2243" t="s">
        <v>1614</v>
      </c>
      <c r="G2243" s="126">
        <f>SUMIFS('Support - Transition'!F:F,'Support - Transition'!B:B,'Step 2'!A2243,'Support - Transition'!C:C,'Step 2'!B2243,'Support - Transition'!D:D,'Step 2'!C2243,'Support - Transition'!E:E,"CIVIL")</f>
        <v>0</v>
      </c>
      <c r="H2243" s="126">
        <f>SUMIFS('Support - Transition'!F:F,'Support - Transition'!B:B,'Step 2'!A2243,'Support - Transition'!C:C,'Step 2'!B2243,'Support - Transition'!D:D,'Step 2'!C2243,'Support - Transition'!E:E,"FIRE")</f>
        <v>0</v>
      </c>
      <c r="I2243" s="126">
        <f>IF(B2243="0",SUMIFS('Support - Transition'!F:F,'Support - Transition'!J:J,'Step 2'!D2243,'Support - Transition'!E:E,"STATE UNIT"),SUMIFS('Support - Transition'!F:F,'Support - Transition'!J:J,'Step 2'!D2243))</f>
        <v>0.165301</v>
      </c>
      <c r="J2243" s="126">
        <f>SUMIFS('Support - Unit Adjustments'!E:E,'Support - Unit Adjustments'!F:F,'Step 2'!D2243)</f>
        <v>0</v>
      </c>
      <c r="K2243" s="126">
        <f t="shared" si="669"/>
        <v>0.165301</v>
      </c>
      <c r="L2243" s="174">
        <f>VLOOKUP(A2243,'Step 1'!$A:$E,4,FALSE)</f>
        <v>129159</v>
      </c>
      <c r="M2243" s="47">
        <f t="shared" si="670"/>
        <v>21350</v>
      </c>
      <c r="N2243" s="177">
        <f>SUMIFS('Support - Transition'!G:G,'Support - Transition'!J:J,'Step 2'!D2243,'Support - Transition'!E:E,"2009 WELFARE ALLOCATION FACTOR")</f>
        <v>0</v>
      </c>
      <c r="O2243" s="152">
        <f t="shared" ref="O2243:O2306" si="675">ROUND(+N2243*M2243,0)</f>
        <v>0</v>
      </c>
      <c r="P2243" s="126">
        <f>IF(E2243="Y",0,SUMIFS('Support - Transition'!G:G,'Support - Transition'!J:J,'Step 2'!D2243,'Support - Transition'!E:E,"2009 SCHOOL ALLOCATION FACTOR"))</f>
        <v>0.39850400000000002</v>
      </c>
      <c r="Q2243" s="126">
        <f>IF(E2243="Y",VLOOKUP(D2243,'Support - Unit Adjustments'!F:G,2,FALSE),0)</f>
        <v>0</v>
      </c>
      <c r="R2243" s="155">
        <f t="shared" si="668"/>
        <v>0.39850400000000002</v>
      </c>
      <c r="S2243" s="47">
        <f t="shared" si="667"/>
        <v>8508</v>
      </c>
      <c r="T2243" s="151">
        <f t="shared" si="671"/>
        <v>12842</v>
      </c>
      <c r="U2243" s="151">
        <f t="shared" si="672"/>
        <v>0</v>
      </c>
      <c r="V2243" s="139">
        <f t="shared" si="673"/>
        <v>0</v>
      </c>
      <c r="W2243" s="152">
        <f t="shared" ref="W2243:W2306" si="676">+T2243-V2243</f>
        <v>12842</v>
      </c>
      <c r="X2243" s="127" t="str">
        <f t="shared" si="674"/>
        <v/>
      </c>
      <c r="Y2243" s="207">
        <f t="shared" ref="Y2243:Y2306" si="677">W2243</f>
        <v>12842</v>
      </c>
      <c r="Z2243" s="139">
        <f t="shared" ref="Z2243:Z2306" si="678">IFERROR(IF(B2243="2",ROUND(Y2243*G2243/I2243,0),Y2243),0)</f>
        <v>12842</v>
      </c>
      <c r="AA2243" s="139">
        <f t="shared" ref="AA2243:AA2306" si="679">+Y2243-Z2243</f>
        <v>0</v>
      </c>
      <c r="AC2243" s="47">
        <f t="shared" ref="AC2243:AC2306" si="680">ROUND(Y2243/2,0)</f>
        <v>6421</v>
      </c>
      <c r="AD2243" s="47">
        <f t="shared" ref="AD2243:AD2306" si="681">ROUND(Z2243/2,0)</f>
        <v>6421</v>
      </c>
      <c r="AE2243" s="47">
        <f t="shared" ref="AE2243:AE2306" si="682">ROUND(AA2243/2,0)</f>
        <v>0</v>
      </c>
      <c r="AG2243" s="47">
        <f t="shared" ref="AG2243:AG2306" si="683">+Y2243-AC2243</f>
        <v>6421</v>
      </c>
      <c r="AH2243" s="47">
        <f t="shared" ref="AH2243:AH2306" si="684">+Z2243-AD2243</f>
        <v>6421</v>
      </c>
      <c r="AI2243" s="208">
        <f t="shared" ref="AI2243:AI2306" si="685">+AA2243-AE2243</f>
        <v>0</v>
      </c>
    </row>
    <row r="2244" spans="1:35">
      <c r="A2244" t="s">
        <v>2159</v>
      </c>
      <c r="B2244" t="s">
        <v>3160</v>
      </c>
      <c r="C2244" t="s">
        <v>2950</v>
      </c>
      <c r="D2244" t="s">
        <v>5764</v>
      </c>
      <c r="F2244" t="s">
        <v>5487</v>
      </c>
      <c r="G2244" s="126">
        <f>SUMIFS('Support - Transition'!F:F,'Support - Transition'!B:B,'Step 2'!A2244,'Support - Transition'!C:C,'Step 2'!B2244,'Support - Transition'!D:D,'Step 2'!C2244,'Support - Transition'!E:E,"CIVIL")</f>
        <v>0</v>
      </c>
      <c r="H2244" s="126">
        <f>SUMIFS('Support - Transition'!F:F,'Support - Transition'!B:B,'Step 2'!A2244,'Support - Transition'!C:C,'Step 2'!B2244,'Support - Transition'!D:D,'Step 2'!C2244,'Support - Transition'!E:E,"FIRE")</f>
        <v>0</v>
      </c>
      <c r="I2244" s="126">
        <f>IF(B2244="0",SUMIFS('Support - Transition'!F:F,'Support - Transition'!J:J,'Step 2'!D2244,'Support - Transition'!E:E,"STATE UNIT"),SUMIFS('Support - Transition'!F:F,'Support - Transition'!J:J,'Step 2'!D2244))</f>
        <v>0.20136599999999999</v>
      </c>
      <c r="J2244" s="126">
        <f>SUMIFS('Support - Unit Adjustments'!E:E,'Support - Unit Adjustments'!F:F,'Step 2'!D2244)</f>
        <v>0</v>
      </c>
      <c r="K2244" s="126">
        <f t="shared" si="669"/>
        <v>0.20136599999999999</v>
      </c>
      <c r="L2244" s="174">
        <f>VLOOKUP(A2244,'Step 1'!$A:$E,4,FALSE)</f>
        <v>129159</v>
      </c>
      <c r="M2244" s="47">
        <f t="shared" si="670"/>
        <v>26008</v>
      </c>
      <c r="N2244" s="177">
        <f>SUMIFS('Support - Transition'!G:G,'Support - Transition'!J:J,'Step 2'!D2244,'Support - Transition'!E:E,"2009 WELFARE ALLOCATION FACTOR")</f>
        <v>0</v>
      </c>
      <c r="O2244" s="152">
        <f t="shared" si="675"/>
        <v>0</v>
      </c>
      <c r="P2244" s="126">
        <f>IF(E2244="Y",0,SUMIFS('Support - Transition'!G:G,'Support - Transition'!J:J,'Step 2'!D2244,'Support - Transition'!E:E,"2009 SCHOOL ALLOCATION FACTOR"))</f>
        <v>0.35518300000000003</v>
      </c>
      <c r="Q2244" s="126">
        <f>IF(E2244="Y",VLOOKUP(D2244,'Support - Unit Adjustments'!F:G,2,FALSE),0)</f>
        <v>0</v>
      </c>
      <c r="R2244" s="155">
        <f t="shared" si="668"/>
        <v>0.35518300000000003</v>
      </c>
      <c r="S2244" s="47">
        <f t="shared" si="667"/>
        <v>9238</v>
      </c>
      <c r="T2244" s="151">
        <f t="shared" si="671"/>
        <v>16770</v>
      </c>
      <c r="U2244" s="151">
        <f t="shared" si="672"/>
        <v>0</v>
      </c>
      <c r="V2244" s="139">
        <f t="shared" si="673"/>
        <v>0</v>
      </c>
      <c r="W2244" s="152">
        <f t="shared" si="676"/>
        <v>16770</v>
      </c>
      <c r="X2244" s="127" t="str">
        <f t="shared" si="674"/>
        <v/>
      </c>
      <c r="Y2244" s="207">
        <f t="shared" si="677"/>
        <v>16770</v>
      </c>
      <c r="Z2244" s="139">
        <f t="shared" si="678"/>
        <v>16770</v>
      </c>
      <c r="AA2244" s="139">
        <f t="shared" si="679"/>
        <v>0</v>
      </c>
      <c r="AC2244" s="47">
        <f t="shared" si="680"/>
        <v>8385</v>
      </c>
      <c r="AD2244" s="47">
        <f t="shared" si="681"/>
        <v>8385</v>
      </c>
      <c r="AE2244" s="47">
        <f t="shared" si="682"/>
        <v>0</v>
      </c>
      <c r="AG2244" s="47">
        <f t="shared" si="683"/>
        <v>8385</v>
      </c>
      <c r="AH2244" s="47">
        <f t="shared" si="684"/>
        <v>8385</v>
      </c>
      <c r="AI2244" s="208">
        <f t="shared" si="685"/>
        <v>0</v>
      </c>
    </row>
    <row r="2245" spans="1:35">
      <c r="A2245" t="s">
        <v>2159</v>
      </c>
      <c r="B2245" t="s">
        <v>3160</v>
      </c>
      <c r="C2245" t="s">
        <v>3020</v>
      </c>
      <c r="D2245" t="s">
        <v>5765</v>
      </c>
      <c r="F2245" t="s">
        <v>1613</v>
      </c>
      <c r="G2245" s="126">
        <f>SUMIFS('Support - Transition'!F:F,'Support - Transition'!B:B,'Step 2'!A2245,'Support - Transition'!C:C,'Step 2'!B2245,'Support - Transition'!D:D,'Step 2'!C2245,'Support - Transition'!E:E,"CIVIL")</f>
        <v>0</v>
      </c>
      <c r="H2245" s="126">
        <f>SUMIFS('Support - Transition'!F:F,'Support - Transition'!B:B,'Step 2'!A2245,'Support - Transition'!C:C,'Step 2'!B2245,'Support - Transition'!D:D,'Step 2'!C2245,'Support - Transition'!E:E,"FIRE")</f>
        <v>0</v>
      </c>
      <c r="I2245" s="126">
        <f>IF(B2245="0",SUMIFS('Support - Transition'!F:F,'Support - Transition'!J:J,'Step 2'!D2245,'Support - Transition'!E:E,"STATE UNIT"),SUMIFS('Support - Transition'!F:F,'Support - Transition'!J:J,'Step 2'!D2245))</f>
        <v>0.241651</v>
      </c>
      <c r="J2245" s="126">
        <f>SUMIFS('Support - Unit Adjustments'!E:E,'Support - Unit Adjustments'!F:F,'Step 2'!D2245)</f>
        <v>0</v>
      </c>
      <c r="K2245" s="126">
        <f t="shared" si="669"/>
        <v>0.241651</v>
      </c>
      <c r="L2245" s="174">
        <f>VLOOKUP(A2245,'Step 1'!$A:$E,4,FALSE)</f>
        <v>129159</v>
      </c>
      <c r="M2245" s="47">
        <f t="shared" si="670"/>
        <v>31211</v>
      </c>
      <c r="N2245" s="177">
        <f>SUMIFS('Support - Transition'!G:G,'Support - Transition'!J:J,'Step 2'!D2245,'Support - Transition'!E:E,"2009 WELFARE ALLOCATION FACTOR")</f>
        <v>0</v>
      </c>
      <c r="O2245" s="152">
        <f t="shared" si="675"/>
        <v>0</v>
      </c>
      <c r="P2245" s="126">
        <f>IF(E2245="Y",0,SUMIFS('Support - Transition'!G:G,'Support - Transition'!J:J,'Step 2'!D2245,'Support - Transition'!E:E,"2009 SCHOOL ALLOCATION FACTOR"))</f>
        <v>0.36119899999999999</v>
      </c>
      <c r="Q2245" s="126">
        <f>IF(E2245="Y",VLOOKUP(D2245,'Support - Unit Adjustments'!F:G,2,FALSE),0)</f>
        <v>0</v>
      </c>
      <c r="R2245" s="155">
        <f t="shared" si="668"/>
        <v>0.36119899999999999</v>
      </c>
      <c r="S2245" s="47">
        <f t="shared" si="667"/>
        <v>11273</v>
      </c>
      <c r="T2245" s="151">
        <f t="shared" si="671"/>
        <v>19938</v>
      </c>
      <c r="U2245" s="151">
        <f t="shared" si="672"/>
        <v>0</v>
      </c>
      <c r="V2245" s="139">
        <f t="shared" si="673"/>
        <v>0</v>
      </c>
      <c r="W2245" s="152">
        <f t="shared" si="676"/>
        <v>19938</v>
      </c>
      <c r="X2245" s="127" t="str">
        <f t="shared" si="674"/>
        <v/>
      </c>
      <c r="Y2245" s="207">
        <f t="shared" si="677"/>
        <v>19938</v>
      </c>
      <c r="Z2245" s="139">
        <f t="shared" si="678"/>
        <v>19938</v>
      </c>
      <c r="AA2245" s="139">
        <f t="shared" si="679"/>
        <v>0</v>
      </c>
      <c r="AC2245" s="47">
        <f t="shared" si="680"/>
        <v>9969</v>
      </c>
      <c r="AD2245" s="47">
        <f t="shared" si="681"/>
        <v>9969</v>
      </c>
      <c r="AE2245" s="47">
        <f t="shared" si="682"/>
        <v>0</v>
      </c>
      <c r="AG2245" s="47">
        <f t="shared" si="683"/>
        <v>9969</v>
      </c>
      <c r="AH2245" s="47">
        <f t="shared" si="684"/>
        <v>9969</v>
      </c>
      <c r="AI2245" s="208">
        <f t="shared" si="685"/>
        <v>0</v>
      </c>
    </row>
    <row r="2246" spans="1:35">
      <c r="A2246" t="s">
        <v>2159</v>
      </c>
      <c r="B2246" t="s">
        <v>3166</v>
      </c>
      <c r="C2246" t="s">
        <v>5766</v>
      </c>
      <c r="D2246" t="s">
        <v>5767</v>
      </c>
      <c r="F2246" t="s">
        <v>1615</v>
      </c>
      <c r="G2246" s="126">
        <f>SUMIFS('Support - Transition'!F:F,'Support - Transition'!B:B,'Step 2'!A2246,'Support - Transition'!C:C,'Step 2'!B2246,'Support - Transition'!D:D,'Step 2'!C2246,'Support - Transition'!E:E,"CIVIL")</f>
        <v>0</v>
      </c>
      <c r="H2246" s="126">
        <f>SUMIFS('Support - Transition'!F:F,'Support - Transition'!B:B,'Step 2'!A2246,'Support - Transition'!C:C,'Step 2'!B2246,'Support - Transition'!D:D,'Step 2'!C2246,'Support - Transition'!E:E,"FIRE")</f>
        <v>0</v>
      </c>
      <c r="I2246" s="126">
        <f>IF(B2246="0",SUMIFS('Support - Transition'!F:F,'Support - Transition'!J:J,'Step 2'!D2246,'Support - Transition'!E:E,"STATE UNIT"),SUMIFS('Support - Transition'!F:F,'Support - Transition'!J:J,'Step 2'!D2246))</f>
        <v>1.3343000000000001E-2</v>
      </c>
      <c r="J2246" s="126">
        <f>SUMIFS('Support - Unit Adjustments'!E:E,'Support - Unit Adjustments'!F:F,'Step 2'!D2246)</f>
        <v>0</v>
      </c>
      <c r="K2246" s="126">
        <f t="shared" si="669"/>
        <v>1.3343000000000001E-2</v>
      </c>
      <c r="L2246" s="174">
        <f>VLOOKUP(A2246,'Step 1'!$A:$E,4,FALSE)</f>
        <v>129159</v>
      </c>
      <c r="M2246" s="47">
        <f t="shared" si="670"/>
        <v>1723</v>
      </c>
      <c r="N2246" s="177">
        <f>SUMIFS('Support - Transition'!G:G,'Support - Transition'!J:J,'Step 2'!D2246,'Support - Transition'!E:E,"2009 WELFARE ALLOCATION FACTOR")</f>
        <v>0</v>
      </c>
      <c r="O2246" s="152">
        <f t="shared" si="675"/>
        <v>0</v>
      </c>
      <c r="P2246" s="126">
        <f>IF(E2246="Y",0,SUMIFS('Support - Transition'!G:G,'Support - Transition'!J:J,'Step 2'!D2246,'Support - Transition'!E:E,"2009 SCHOOL ALLOCATION FACTOR"))</f>
        <v>0</v>
      </c>
      <c r="Q2246" s="126">
        <f>IF(E2246="Y",VLOOKUP(D2246,'Support - Unit Adjustments'!F:G,2,FALSE),0)</f>
        <v>0</v>
      </c>
      <c r="R2246" s="155">
        <f t="shared" si="668"/>
        <v>0</v>
      </c>
      <c r="S2246" s="47">
        <f t="shared" si="667"/>
        <v>0</v>
      </c>
      <c r="T2246" s="151">
        <f t="shared" si="671"/>
        <v>1723</v>
      </c>
      <c r="U2246" s="151">
        <f t="shared" si="672"/>
        <v>0</v>
      </c>
      <c r="V2246" s="139">
        <f t="shared" si="673"/>
        <v>0</v>
      </c>
      <c r="W2246" s="152">
        <f t="shared" si="676"/>
        <v>1723</v>
      </c>
      <c r="X2246" s="127" t="str">
        <f t="shared" si="674"/>
        <v/>
      </c>
      <c r="Y2246" s="207">
        <f t="shared" si="677"/>
        <v>1723</v>
      </c>
      <c r="Z2246" s="139">
        <f t="shared" si="678"/>
        <v>1723</v>
      </c>
      <c r="AA2246" s="139">
        <f t="shared" si="679"/>
        <v>0</v>
      </c>
      <c r="AC2246" s="47">
        <f t="shared" si="680"/>
        <v>862</v>
      </c>
      <c r="AD2246" s="47">
        <f t="shared" si="681"/>
        <v>862</v>
      </c>
      <c r="AE2246" s="47">
        <f t="shared" si="682"/>
        <v>0</v>
      </c>
      <c r="AG2246" s="47">
        <f t="shared" si="683"/>
        <v>861</v>
      </c>
      <c r="AH2246" s="47">
        <f t="shared" si="684"/>
        <v>861</v>
      </c>
      <c r="AI2246" s="208">
        <f t="shared" si="685"/>
        <v>0</v>
      </c>
    </row>
    <row r="2247" spans="1:35">
      <c r="A2247" t="s">
        <v>2159</v>
      </c>
      <c r="B2247" t="s">
        <v>3166</v>
      </c>
      <c r="C2247" t="s">
        <v>5768</v>
      </c>
      <c r="D2247" t="s">
        <v>5769</v>
      </c>
      <c r="F2247" t="s">
        <v>1616</v>
      </c>
      <c r="G2247" s="126">
        <f>SUMIFS('Support - Transition'!F:F,'Support - Transition'!B:B,'Step 2'!A2247,'Support - Transition'!C:C,'Step 2'!B2247,'Support - Transition'!D:D,'Step 2'!C2247,'Support - Transition'!E:E,"CIVIL")</f>
        <v>0</v>
      </c>
      <c r="H2247" s="126">
        <f>SUMIFS('Support - Transition'!F:F,'Support - Transition'!B:B,'Step 2'!A2247,'Support - Transition'!C:C,'Step 2'!B2247,'Support - Transition'!D:D,'Step 2'!C2247,'Support - Transition'!E:E,"FIRE")</f>
        <v>0</v>
      </c>
      <c r="I2247" s="126">
        <f>IF(B2247="0",SUMIFS('Support - Transition'!F:F,'Support - Transition'!J:J,'Step 2'!D2247,'Support - Transition'!E:E,"STATE UNIT"),SUMIFS('Support - Transition'!F:F,'Support - Transition'!J:J,'Step 2'!D2247))</f>
        <v>3.7871000000000002E-2</v>
      </c>
      <c r="J2247" s="126">
        <f>SUMIFS('Support - Unit Adjustments'!E:E,'Support - Unit Adjustments'!F:F,'Step 2'!D2247)</f>
        <v>0</v>
      </c>
      <c r="K2247" s="126">
        <f t="shared" si="669"/>
        <v>3.7871000000000002E-2</v>
      </c>
      <c r="L2247" s="174">
        <f>VLOOKUP(A2247,'Step 1'!$A:$E,4,FALSE)</f>
        <v>129159</v>
      </c>
      <c r="M2247" s="47">
        <f t="shared" si="670"/>
        <v>4891</v>
      </c>
      <c r="N2247" s="177">
        <f>SUMIFS('Support - Transition'!G:G,'Support - Transition'!J:J,'Step 2'!D2247,'Support - Transition'!E:E,"2009 WELFARE ALLOCATION FACTOR")</f>
        <v>0</v>
      </c>
      <c r="O2247" s="152">
        <f t="shared" si="675"/>
        <v>0</v>
      </c>
      <c r="P2247" s="126">
        <f>IF(E2247="Y",0,SUMIFS('Support - Transition'!G:G,'Support - Transition'!J:J,'Step 2'!D2247,'Support - Transition'!E:E,"2009 SCHOOL ALLOCATION FACTOR"))</f>
        <v>0</v>
      </c>
      <c r="Q2247" s="126">
        <f>IF(E2247="Y",VLOOKUP(D2247,'Support - Unit Adjustments'!F:G,2,FALSE),0)</f>
        <v>0</v>
      </c>
      <c r="R2247" s="155">
        <f t="shared" si="668"/>
        <v>0</v>
      </c>
      <c r="S2247" s="47">
        <f t="shared" si="667"/>
        <v>0</v>
      </c>
      <c r="T2247" s="151">
        <f t="shared" si="671"/>
        <v>4891</v>
      </c>
      <c r="U2247" s="151">
        <f t="shared" si="672"/>
        <v>0</v>
      </c>
      <c r="V2247" s="139">
        <f t="shared" si="673"/>
        <v>0</v>
      </c>
      <c r="W2247" s="152">
        <f t="shared" si="676"/>
        <v>4891</v>
      </c>
      <c r="X2247" s="127" t="str">
        <f t="shared" si="674"/>
        <v/>
      </c>
      <c r="Y2247" s="207">
        <f t="shared" si="677"/>
        <v>4891</v>
      </c>
      <c r="Z2247" s="139">
        <f t="shared" si="678"/>
        <v>4891</v>
      </c>
      <c r="AA2247" s="139">
        <f t="shared" si="679"/>
        <v>0</v>
      </c>
      <c r="AC2247" s="47">
        <f t="shared" si="680"/>
        <v>2446</v>
      </c>
      <c r="AD2247" s="47">
        <f t="shared" si="681"/>
        <v>2446</v>
      </c>
      <c r="AE2247" s="47">
        <f t="shared" si="682"/>
        <v>0</v>
      </c>
      <c r="AG2247" s="47">
        <f t="shared" si="683"/>
        <v>2445</v>
      </c>
      <c r="AH2247" s="47">
        <f t="shared" si="684"/>
        <v>2445</v>
      </c>
      <c r="AI2247" s="208">
        <f t="shared" si="685"/>
        <v>0</v>
      </c>
    </row>
    <row r="2248" spans="1:35">
      <c r="A2248" t="s">
        <v>2159</v>
      </c>
      <c r="B2248" t="s">
        <v>3170</v>
      </c>
      <c r="C2248" t="s">
        <v>5530</v>
      </c>
      <c r="D2248" t="s">
        <v>5770</v>
      </c>
      <c r="F2248" t="s">
        <v>1617</v>
      </c>
      <c r="G2248" s="126">
        <f>SUMIFS('Support - Transition'!F:F,'Support - Transition'!B:B,'Step 2'!A2248,'Support - Transition'!C:C,'Step 2'!B2248,'Support - Transition'!D:D,'Step 2'!C2248,'Support - Transition'!E:E,"CIVIL")</f>
        <v>0</v>
      </c>
      <c r="H2248" s="126">
        <f>SUMIFS('Support - Transition'!F:F,'Support - Transition'!B:B,'Step 2'!A2248,'Support - Transition'!C:C,'Step 2'!B2248,'Support - Transition'!D:D,'Step 2'!C2248,'Support - Transition'!E:E,"FIRE")</f>
        <v>0</v>
      </c>
      <c r="I2248" s="126">
        <f>IF(B2248="0",SUMIFS('Support - Transition'!F:F,'Support - Transition'!J:J,'Step 2'!D2248,'Support - Transition'!E:E,"STATE UNIT"),SUMIFS('Support - Transition'!F:F,'Support - Transition'!J:J,'Step 2'!D2248))</f>
        <v>1.0276000000000174E-2</v>
      </c>
      <c r="J2248" s="126">
        <f>SUMIFS('Support - Unit Adjustments'!E:E,'Support - Unit Adjustments'!F:F,'Step 2'!D2248)</f>
        <v>0</v>
      </c>
      <c r="K2248" s="126">
        <f t="shared" si="669"/>
        <v>1.0276000000000174E-2</v>
      </c>
      <c r="L2248" s="174">
        <f>VLOOKUP(A2248,'Step 1'!$A:$E,4,FALSE)</f>
        <v>129159</v>
      </c>
      <c r="M2248" s="47">
        <f t="shared" si="670"/>
        <v>1327</v>
      </c>
      <c r="N2248" s="177">
        <f>SUMIFS('Support - Transition'!G:G,'Support - Transition'!J:J,'Step 2'!D2248,'Support - Transition'!E:E,"2009 WELFARE ALLOCATION FACTOR")</f>
        <v>0</v>
      </c>
      <c r="O2248" s="152">
        <f t="shared" si="675"/>
        <v>0</v>
      </c>
      <c r="P2248" s="126">
        <f>IF(E2248="Y",0,SUMIFS('Support - Transition'!G:G,'Support - Transition'!J:J,'Step 2'!D2248,'Support - Transition'!E:E,"2009 SCHOOL ALLOCATION FACTOR"))</f>
        <v>0</v>
      </c>
      <c r="Q2248" s="126">
        <f>IF(E2248="Y",VLOOKUP(D2248,'Support - Unit Adjustments'!F:G,2,FALSE),0)</f>
        <v>0</v>
      </c>
      <c r="R2248" s="155">
        <f t="shared" si="668"/>
        <v>0</v>
      </c>
      <c r="S2248" s="47">
        <f t="shared" ref="S2248:S2311" si="686">ROUND(+R2248*M2248,0)</f>
        <v>0</v>
      </c>
      <c r="T2248" s="151">
        <f t="shared" si="671"/>
        <v>1327</v>
      </c>
      <c r="U2248" s="151">
        <f t="shared" si="672"/>
        <v>0</v>
      </c>
      <c r="V2248" s="139">
        <f t="shared" si="673"/>
        <v>0</v>
      </c>
      <c r="W2248" s="152">
        <f t="shared" si="676"/>
        <v>1327</v>
      </c>
      <c r="X2248" s="127" t="str">
        <f t="shared" si="674"/>
        <v/>
      </c>
      <c r="Y2248" s="207">
        <f t="shared" si="677"/>
        <v>1327</v>
      </c>
      <c r="Z2248" s="139">
        <f t="shared" si="678"/>
        <v>1327</v>
      </c>
      <c r="AA2248" s="139">
        <f t="shared" si="679"/>
        <v>0</v>
      </c>
      <c r="AC2248" s="47">
        <f t="shared" si="680"/>
        <v>664</v>
      </c>
      <c r="AD2248" s="47">
        <f t="shared" si="681"/>
        <v>664</v>
      </c>
      <c r="AE2248" s="47">
        <f t="shared" si="682"/>
        <v>0</v>
      </c>
      <c r="AG2248" s="47">
        <f t="shared" si="683"/>
        <v>663</v>
      </c>
      <c r="AH2248" s="47">
        <f t="shared" si="684"/>
        <v>663</v>
      </c>
      <c r="AI2248" s="208">
        <f t="shared" si="685"/>
        <v>0</v>
      </c>
    </row>
    <row r="2249" spans="1:35">
      <c r="A2249" t="s">
        <v>2159</v>
      </c>
      <c r="B2249" t="s">
        <v>3170</v>
      </c>
      <c r="C2249" t="s">
        <v>5771</v>
      </c>
      <c r="D2249" t="s">
        <v>5772</v>
      </c>
      <c r="F2249" t="s">
        <v>5773</v>
      </c>
      <c r="G2249" s="126">
        <f>SUMIFS('Support - Transition'!F:F,'Support - Transition'!B:B,'Step 2'!A2249,'Support - Transition'!C:C,'Step 2'!B2249,'Support - Transition'!D:D,'Step 2'!C2249,'Support - Transition'!E:E,"CIVIL")</f>
        <v>0</v>
      </c>
      <c r="H2249" s="126">
        <f>SUMIFS('Support - Transition'!F:F,'Support - Transition'!B:B,'Step 2'!A2249,'Support - Transition'!C:C,'Step 2'!B2249,'Support - Transition'!D:D,'Step 2'!C2249,'Support - Transition'!E:E,"FIRE")</f>
        <v>0</v>
      </c>
      <c r="I2249" s="126">
        <f>IF(B2249="0",SUMIFS('Support - Transition'!F:F,'Support - Transition'!J:J,'Step 2'!D2249,'Support - Transition'!E:E,"STATE UNIT"),SUMIFS('Support - Transition'!F:F,'Support - Transition'!J:J,'Step 2'!D2249))</f>
        <v>0</v>
      </c>
      <c r="J2249" s="126">
        <f>SUMIFS('Support - Unit Adjustments'!E:E,'Support - Unit Adjustments'!F:F,'Step 2'!D2249)</f>
        <v>0</v>
      </c>
      <c r="K2249" s="126">
        <f t="shared" si="669"/>
        <v>0</v>
      </c>
      <c r="L2249" s="174">
        <f>VLOOKUP(A2249,'Step 1'!$A:$E,4,FALSE)</f>
        <v>129159</v>
      </c>
      <c r="M2249" s="47">
        <f t="shared" si="670"/>
        <v>0</v>
      </c>
      <c r="N2249" s="177">
        <f>SUMIFS('Support - Transition'!G:G,'Support - Transition'!J:J,'Step 2'!D2249,'Support - Transition'!E:E,"2009 WELFARE ALLOCATION FACTOR")</f>
        <v>0</v>
      </c>
      <c r="O2249" s="152">
        <f t="shared" si="675"/>
        <v>0</v>
      </c>
      <c r="P2249" s="126">
        <f>IF(E2249="Y",0,SUMIFS('Support - Transition'!G:G,'Support - Transition'!J:J,'Step 2'!D2249,'Support - Transition'!E:E,"2009 SCHOOL ALLOCATION FACTOR"))</f>
        <v>0</v>
      </c>
      <c r="Q2249" s="126">
        <f>IF(E2249="Y",VLOOKUP(D2249,'Support - Unit Adjustments'!F:G,2,FALSE),0)</f>
        <v>0</v>
      </c>
      <c r="R2249" s="155">
        <f t="shared" ref="R2249:R2312" si="687">+P2249+Q2249</f>
        <v>0</v>
      </c>
      <c r="S2249" s="47">
        <f t="shared" si="686"/>
        <v>0</v>
      </c>
      <c r="T2249" s="151">
        <f t="shared" si="671"/>
        <v>0</v>
      </c>
      <c r="U2249" s="151">
        <f t="shared" si="672"/>
        <v>0</v>
      </c>
      <c r="V2249" s="139">
        <f t="shared" si="673"/>
        <v>0</v>
      </c>
      <c r="W2249" s="152">
        <f t="shared" si="676"/>
        <v>0</v>
      </c>
      <c r="X2249" s="127" t="str">
        <f t="shared" si="674"/>
        <v/>
      </c>
      <c r="Y2249" s="207">
        <f t="shared" si="677"/>
        <v>0</v>
      </c>
      <c r="Z2249" s="139">
        <f t="shared" si="678"/>
        <v>0</v>
      </c>
      <c r="AA2249" s="139">
        <f t="shared" si="679"/>
        <v>0</v>
      </c>
      <c r="AC2249" s="47">
        <f t="shared" si="680"/>
        <v>0</v>
      </c>
      <c r="AD2249" s="47">
        <f t="shared" si="681"/>
        <v>0</v>
      </c>
      <c r="AE2249" s="47">
        <f t="shared" si="682"/>
        <v>0</v>
      </c>
      <c r="AG2249" s="47">
        <f t="shared" si="683"/>
        <v>0</v>
      </c>
      <c r="AH2249" s="47">
        <f t="shared" si="684"/>
        <v>0</v>
      </c>
      <c r="AI2249" s="208">
        <f t="shared" si="685"/>
        <v>0</v>
      </c>
    </row>
    <row r="2250" spans="1:35">
      <c r="A2250" t="s">
        <v>2159</v>
      </c>
      <c r="B2250" t="s">
        <v>3286</v>
      </c>
      <c r="C2250" t="s">
        <v>3704</v>
      </c>
      <c r="D2250" t="s">
        <v>5774</v>
      </c>
      <c r="F2250" t="s">
        <v>5775</v>
      </c>
      <c r="G2250" s="126">
        <f>SUMIFS('Support - Transition'!F:F,'Support - Transition'!B:B,'Step 2'!A2250,'Support - Transition'!C:C,'Step 2'!B2250,'Support - Transition'!D:D,'Step 2'!C2250,'Support - Transition'!E:E,"CIVIL")</f>
        <v>0</v>
      </c>
      <c r="H2250" s="126">
        <f>SUMIFS('Support - Transition'!F:F,'Support - Transition'!B:B,'Step 2'!A2250,'Support - Transition'!C:C,'Step 2'!B2250,'Support - Transition'!D:D,'Step 2'!C2250,'Support - Transition'!E:E,"FIRE")</f>
        <v>0</v>
      </c>
      <c r="I2250" s="126">
        <f>IF(B2250="0",SUMIFS('Support - Transition'!F:F,'Support - Transition'!J:J,'Step 2'!D2250,'Support - Transition'!E:E,"STATE UNIT"),SUMIFS('Support - Transition'!F:F,'Support - Transition'!J:J,'Step 2'!D2250))</f>
        <v>0</v>
      </c>
      <c r="J2250" s="126">
        <f>SUMIFS('Support - Unit Adjustments'!E:E,'Support - Unit Adjustments'!F:F,'Step 2'!D2250)</f>
        <v>0</v>
      </c>
      <c r="K2250" s="126">
        <f t="shared" si="669"/>
        <v>0</v>
      </c>
      <c r="L2250" s="174">
        <f>VLOOKUP(A2250,'Step 1'!$A:$E,4,FALSE)</f>
        <v>129159</v>
      </c>
      <c r="M2250" s="47">
        <f t="shared" si="670"/>
        <v>0</v>
      </c>
      <c r="N2250" s="177">
        <f>SUMIFS('Support - Transition'!G:G,'Support - Transition'!J:J,'Step 2'!D2250,'Support - Transition'!E:E,"2009 WELFARE ALLOCATION FACTOR")</f>
        <v>0</v>
      </c>
      <c r="O2250" s="152">
        <f t="shared" si="675"/>
        <v>0</v>
      </c>
      <c r="P2250" s="126">
        <f>IF(E2250="Y",0,SUMIFS('Support - Transition'!G:G,'Support - Transition'!J:J,'Step 2'!D2250,'Support - Transition'!E:E,"2009 SCHOOL ALLOCATION FACTOR"))</f>
        <v>0</v>
      </c>
      <c r="Q2250" s="126">
        <f>IF(E2250="Y",VLOOKUP(D2250,'Support - Unit Adjustments'!F:G,2,FALSE),0)</f>
        <v>0</v>
      </c>
      <c r="R2250" s="155">
        <f t="shared" si="687"/>
        <v>0</v>
      </c>
      <c r="S2250" s="47">
        <f t="shared" si="686"/>
        <v>0</v>
      </c>
      <c r="T2250" s="151">
        <f t="shared" si="671"/>
        <v>0</v>
      </c>
      <c r="U2250" s="151">
        <f t="shared" si="672"/>
        <v>0</v>
      </c>
      <c r="V2250" s="139">
        <f t="shared" si="673"/>
        <v>0</v>
      </c>
      <c r="W2250" s="152">
        <f t="shared" si="676"/>
        <v>0</v>
      </c>
      <c r="X2250" s="127" t="str">
        <f t="shared" si="674"/>
        <v/>
      </c>
      <c r="Y2250" s="207">
        <f t="shared" si="677"/>
        <v>0</v>
      </c>
      <c r="Z2250" s="139">
        <f t="shared" si="678"/>
        <v>0</v>
      </c>
      <c r="AA2250" s="139">
        <f t="shared" si="679"/>
        <v>0</v>
      </c>
      <c r="AC2250" s="47">
        <f t="shared" si="680"/>
        <v>0</v>
      </c>
      <c r="AD2250" s="47">
        <f t="shared" si="681"/>
        <v>0</v>
      </c>
      <c r="AE2250" s="47">
        <f t="shared" si="682"/>
        <v>0</v>
      </c>
      <c r="AG2250" s="47">
        <f t="shared" si="683"/>
        <v>0</v>
      </c>
      <c r="AH2250" s="47">
        <f t="shared" si="684"/>
        <v>0</v>
      </c>
      <c r="AI2250" s="208">
        <f t="shared" si="685"/>
        <v>0</v>
      </c>
    </row>
    <row r="2251" spans="1:35">
      <c r="A2251" t="s">
        <v>2159</v>
      </c>
      <c r="B2251" t="s">
        <v>3286</v>
      </c>
      <c r="C2251" t="s">
        <v>4995</v>
      </c>
      <c r="D2251" t="s">
        <v>5776</v>
      </c>
      <c r="F2251" t="s">
        <v>4997</v>
      </c>
      <c r="G2251" s="126">
        <f>SUMIFS('Support - Transition'!F:F,'Support - Transition'!B:B,'Step 2'!A2251,'Support - Transition'!C:C,'Step 2'!B2251,'Support - Transition'!D:D,'Step 2'!C2251,'Support - Transition'!E:E,"CIVIL")</f>
        <v>0</v>
      </c>
      <c r="H2251" s="126">
        <f>SUMIFS('Support - Transition'!F:F,'Support - Transition'!B:B,'Step 2'!A2251,'Support - Transition'!C:C,'Step 2'!B2251,'Support - Transition'!D:D,'Step 2'!C2251,'Support - Transition'!E:E,"FIRE")</f>
        <v>0</v>
      </c>
      <c r="I2251" s="126">
        <f>IF(B2251="0",SUMIFS('Support - Transition'!F:F,'Support - Transition'!J:J,'Step 2'!D2251,'Support - Transition'!E:E,"STATE UNIT"),SUMIFS('Support - Transition'!F:F,'Support - Transition'!J:J,'Step 2'!D2251))</f>
        <v>0</v>
      </c>
      <c r="J2251" s="126">
        <f>SUMIFS('Support - Unit Adjustments'!E:E,'Support - Unit Adjustments'!F:F,'Step 2'!D2251)</f>
        <v>0</v>
      </c>
      <c r="K2251" s="126">
        <f t="shared" si="669"/>
        <v>0</v>
      </c>
      <c r="L2251" s="174">
        <f>VLOOKUP(A2251,'Step 1'!$A:$E,4,FALSE)</f>
        <v>129159</v>
      </c>
      <c r="M2251" s="47">
        <f t="shared" si="670"/>
        <v>0</v>
      </c>
      <c r="N2251" s="177">
        <f>SUMIFS('Support - Transition'!G:G,'Support - Transition'!J:J,'Step 2'!D2251,'Support - Transition'!E:E,"2009 WELFARE ALLOCATION FACTOR")</f>
        <v>0</v>
      </c>
      <c r="O2251" s="152">
        <f t="shared" si="675"/>
        <v>0</v>
      </c>
      <c r="P2251" s="126">
        <f>IF(E2251="Y",0,SUMIFS('Support - Transition'!G:G,'Support - Transition'!J:J,'Step 2'!D2251,'Support - Transition'!E:E,"2009 SCHOOL ALLOCATION FACTOR"))</f>
        <v>0</v>
      </c>
      <c r="Q2251" s="126">
        <f>IF(E2251="Y",VLOOKUP(D2251,'Support - Unit Adjustments'!F:G,2,FALSE),0)</f>
        <v>0</v>
      </c>
      <c r="R2251" s="155">
        <f t="shared" si="687"/>
        <v>0</v>
      </c>
      <c r="S2251" s="47">
        <f t="shared" si="686"/>
        <v>0</v>
      </c>
      <c r="T2251" s="151">
        <f t="shared" si="671"/>
        <v>0</v>
      </c>
      <c r="U2251" s="151">
        <f t="shared" si="672"/>
        <v>0</v>
      </c>
      <c r="V2251" s="139">
        <f t="shared" si="673"/>
        <v>0</v>
      </c>
      <c r="W2251" s="152">
        <f t="shared" si="676"/>
        <v>0</v>
      </c>
      <c r="X2251" s="127" t="str">
        <f t="shared" si="674"/>
        <v/>
      </c>
      <c r="Y2251" s="207">
        <f t="shared" si="677"/>
        <v>0</v>
      </c>
      <c r="Z2251" s="139">
        <f t="shared" si="678"/>
        <v>0</v>
      </c>
      <c r="AA2251" s="139">
        <f t="shared" si="679"/>
        <v>0</v>
      </c>
      <c r="AC2251" s="47">
        <f t="shared" si="680"/>
        <v>0</v>
      </c>
      <c r="AD2251" s="47">
        <f t="shared" si="681"/>
        <v>0</v>
      </c>
      <c r="AE2251" s="47">
        <f t="shared" si="682"/>
        <v>0</v>
      </c>
      <c r="AG2251" s="47">
        <f t="shared" si="683"/>
        <v>0</v>
      </c>
      <c r="AH2251" s="47">
        <f t="shared" si="684"/>
        <v>0</v>
      </c>
      <c r="AI2251" s="208">
        <f t="shared" si="685"/>
        <v>0</v>
      </c>
    </row>
    <row r="2252" spans="1:35">
      <c r="A2252" t="s">
        <v>2160</v>
      </c>
      <c r="B2252" s="48" t="s">
        <v>6274</v>
      </c>
      <c r="C2252" t="s">
        <v>2187</v>
      </c>
      <c r="D2252" t="str">
        <f>A2252&amp;B2252&amp;C2252</f>
        <v>7600000</v>
      </c>
      <c r="F2252" t="s">
        <v>6350</v>
      </c>
      <c r="G2252" s="126">
        <f>SUMIFS('Support - Transition'!F:F,'Support - Transition'!B:B,'Step 2'!A2252,'Support - Transition'!C:C,'Step 2'!B2252,'Support - Transition'!D:D,'Step 2'!C2252,'Support - Transition'!E:E,"CIVIL")</f>
        <v>0</v>
      </c>
      <c r="H2252" s="126">
        <f>SUMIFS('Support - Transition'!F:F,'Support - Transition'!B:B,'Step 2'!A2252,'Support - Transition'!C:C,'Step 2'!B2252,'Support - Transition'!D:D,'Step 2'!C2252,'Support - Transition'!E:E,"FIRE")</f>
        <v>0</v>
      </c>
      <c r="I2252" s="126">
        <f>IF(B2252="0",SUMIFS('Support - Transition'!F:F,'Support - Transition'!J:J,'Step 2'!D2252,'Support - Transition'!E:E,"STATE UNIT"),SUMIFS('Support - Transition'!F:F,'Support - Transition'!J:J,'Step 2'!D2252))</f>
        <v>1.4480000000000001E-3</v>
      </c>
      <c r="J2252" s="126">
        <f>SUMIFS('Support - Unit Adjustments'!E:E,'Support - Unit Adjustments'!F:F,'Step 2'!D2252)</f>
        <v>0</v>
      </c>
      <c r="K2252" s="126">
        <f t="shared" si="669"/>
        <v>1.4480000000000001E-3</v>
      </c>
      <c r="L2252" s="174">
        <f>VLOOKUP(A2252,'Step 1'!$A:$E,4,FALSE)</f>
        <v>285076</v>
      </c>
      <c r="M2252" s="47">
        <f t="shared" si="670"/>
        <v>413</v>
      </c>
      <c r="N2252" s="177">
        <f>SUMIFS('Support - Transition'!G:G,'Support - Transition'!J:J,'Step 2'!D2252,'Support - Transition'!E:E,"2009 WELFARE ALLOCATION FACTOR")</f>
        <v>0</v>
      </c>
      <c r="O2252" s="152">
        <f t="shared" si="675"/>
        <v>0</v>
      </c>
      <c r="P2252" s="126">
        <f>IF(E2252="Y",0,SUMIFS('Support - Transition'!G:G,'Support - Transition'!J:J,'Step 2'!D2252,'Support - Transition'!E:E,"2009 SCHOOL ALLOCATION FACTOR"))</f>
        <v>0</v>
      </c>
      <c r="Q2252" s="126">
        <f>IF(E2252="Y",VLOOKUP(D2252,'Support - Unit Adjustments'!F:G,2,FALSE),0)</f>
        <v>0</v>
      </c>
      <c r="R2252" s="155">
        <f t="shared" si="687"/>
        <v>0</v>
      </c>
      <c r="S2252" s="47">
        <f t="shared" si="686"/>
        <v>0</v>
      </c>
      <c r="T2252" s="151">
        <f t="shared" si="671"/>
        <v>413</v>
      </c>
      <c r="U2252" s="151">
        <f t="shared" si="672"/>
        <v>285076</v>
      </c>
      <c r="V2252" s="139">
        <f t="shared" si="673"/>
        <v>0</v>
      </c>
      <c r="W2252" s="152">
        <f t="shared" si="676"/>
        <v>413</v>
      </c>
      <c r="X2252" s="127">
        <f t="shared" si="674"/>
        <v>0</v>
      </c>
      <c r="Y2252" s="207">
        <f t="shared" si="677"/>
        <v>413</v>
      </c>
      <c r="Z2252" s="139">
        <f t="shared" si="678"/>
        <v>413</v>
      </c>
      <c r="AA2252" s="139">
        <f t="shared" si="679"/>
        <v>0</v>
      </c>
      <c r="AC2252" s="47">
        <f t="shared" si="680"/>
        <v>207</v>
      </c>
      <c r="AD2252" s="47">
        <f t="shared" si="681"/>
        <v>207</v>
      </c>
      <c r="AE2252" s="47">
        <f t="shared" si="682"/>
        <v>0</v>
      </c>
      <c r="AG2252" s="47">
        <f t="shared" si="683"/>
        <v>206</v>
      </c>
      <c r="AH2252" s="47">
        <f t="shared" si="684"/>
        <v>206</v>
      </c>
      <c r="AI2252" s="208">
        <f t="shared" si="685"/>
        <v>0</v>
      </c>
    </row>
    <row r="2253" spans="1:35">
      <c r="A2253" t="s">
        <v>2160</v>
      </c>
      <c r="B2253" t="s">
        <v>3140</v>
      </c>
      <c r="C2253" t="s">
        <v>2187</v>
      </c>
      <c r="D2253" t="s">
        <v>5777</v>
      </c>
      <c r="F2253" t="s">
        <v>1620</v>
      </c>
      <c r="G2253" s="126">
        <f>SUMIFS('Support - Transition'!F:F,'Support - Transition'!B:B,'Step 2'!A2253,'Support - Transition'!C:C,'Step 2'!B2253,'Support - Transition'!D:D,'Step 2'!C2253,'Support - Transition'!E:E,"CIVIL")</f>
        <v>0</v>
      </c>
      <c r="H2253" s="126">
        <f>SUMIFS('Support - Transition'!F:F,'Support - Transition'!B:B,'Step 2'!A2253,'Support - Transition'!C:C,'Step 2'!B2253,'Support - Transition'!D:D,'Step 2'!C2253,'Support - Transition'!E:E,"FIRE")</f>
        <v>0</v>
      </c>
      <c r="I2253" s="126">
        <f>IF(B2253="0",SUMIFS('Support - Transition'!F:F,'Support - Transition'!J:J,'Step 2'!D2253,'Support - Transition'!E:E,"STATE UNIT"),SUMIFS('Support - Transition'!F:F,'Support - Transition'!J:J,'Step 2'!D2253))</f>
        <v>0.17381099999999999</v>
      </c>
      <c r="J2253" s="126">
        <f>SUMIFS('Support - Unit Adjustments'!E:E,'Support - Unit Adjustments'!F:F,'Step 2'!D2253)</f>
        <v>0</v>
      </c>
      <c r="K2253" s="126">
        <f t="shared" si="669"/>
        <v>0.17381099999999999</v>
      </c>
      <c r="L2253" s="174">
        <f>VLOOKUP(A2253,'Step 1'!$A:$E,4,FALSE)</f>
        <v>285076</v>
      </c>
      <c r="M2253" s="47">
        <f t="shared" si="670"/>
        <v>49549</v>
      </c>
      <c r="N2253" s="177">
        <f>SUMIFS('Support - Transition'!G:G,'Support - Transition'!J:J,'Step 2'!D2253,'Support - Transition'!E:E,"2009 WELFARE ALLOCATION FACTOR")</f>
        <v>0.32412800000000003</v>
      </c>
      <c r="O2253" s="152">
        <f t="shared" si="675"/>
        <v>16060</v>
      </c>
      <c r="P2253" s="126">
        <f>IF(E2253="Y",0,SUMIFS('Support - Transition'!G:G,'Support - Transition'!J:J,'Step 2'!D2253,'Support - Transition'!E:E,"2009 SCHOOL ALLOCATION FACTOR"))</f>
        <v>0</v>
      </c>
      <c r="Q2253" s="126">
        <f>IF(E2253="Y",VLOOKUP(D2253,'Support - Unit Adjustments'!F:G,2,FALSE),0)</f>
        <v>0</v>
      </c>
      <c r="R2253" s="155">
        <f t="shared" si="687"/>
        <v>0</v>
      </c>
      <c r="S2253" s="47">
        <f t="shared" si="686"/>
        <v>0</v>
      </c>
      <c r="T2253" s="151">
        <f t="shared" si="671"/>
        <v>33489</v>
      </c>
      <c r="U2253" s="151">
        <f t="shared" si="672"/>
        <v>0</v>
      </c>
      <c r="V2253" s="139">
        <f t="shared" si="673"/>
        <v>0</v>
      </c>
      <c r="W2253" s="152">
        <f t="shared" si="676"/>
        <v>33489</v>
      </c>
      <c r="X2253" s="127" t="str">
        <f t="shared" si="674"/>
        <v/>
      </c>
      <c r="Y2253" s="207">
        <f t="shared" si="677"/>
        <v>33489</v>
      </c>
      <c r="Z2253" s="139">
        <f t="shared" si="678"/>
        <v>33489</v>
      </c>
      <c r="AA2253" s="139">
        <f t="shared" si="679"/>
        <v>0</v>
      </c>
      <c r="AC2253" s="47">
        <f t="shared" si="680"/>
        <v>16745</v>
      </c>
      <c r="AD2253" s="47">
        <f t="shared" si="681"/>
        <v>16745</v>
      </c>
      <c r="AE2253" s="47">
        <f t="shared" si="682"/>
        <v>0</v>
      </c>
      <c r="AG2253" s="47">
        <f t="shared" si="683"/>
        <v>16744</v>
      </c>
      <c r="AH2253" s="47">
        <f t="shared" si="684"/>
        <v>16744</v>
      </c>
      <c r="AI2253" s="208">
        <f t="shared" si="685"/>
        <v>0</v>
      </c>
    </row>
    <row r="2254" spans="1:35">
      <c r="A2254" t="s">
        <v>2160</v>
      </c>
      <c r="B2254" t="s">
        <v>3142</v>
      </c>
      <c r="C2254" t="s">
        <v>2188</v>
      </c>
      <c r="D2254" t="s">
        <v>5778</v>
      </c>
      <c r="F2254" t="s">
        <v>1621</v>
      </c>
      <c r="G2254" s="126">
        <f>SUMIFS('Support - Transition'!F:F,'Support - Transition'!B:B,'Step 2'!A2254,'Support - Transition'!C:C,'Step 2'!B2254,'Support - Transition'!D:D,'Step 2'!C2254,'Support - Transition'!E:E,"CIVIL")</f>
        <v>2.3699999999999999E-4</v>
      </c>
      <c r="H2254" s="126">
        <f>SUMIFS('Support - Transition'!F:F,'Support - Transition'!B:B,'Step 2'!A2254,'Support - Transition'!C:C,'Step 2'!B2254,'Support - Transition'!D:D,'Step 2'!C2254,'Support - Transition'!E:E,"FIRE")</f>
        <v>3.0000000000000001E-6</v>
      </c>
      <c r="I2254" s="126">
        <f>IF(B2254="0",SUMIFS('Support - Transition'!F:F,'Support - Transition'!J:J,'Step 2'!D2254,'Support - Transition'!E:E,"STATE UNIT"),SUMIFS('Support - Transition'!F:F,'Support - Transition'!J:J,'Step 2'!D2254))</f>
        <v>2.3999999999999998E-4</v>
      </c>
      <c r="J2254" s="126">
        <f>SUMIFS('Support - Unit Adjustments'!E:E,'Support - Unit Adjustments'!F:F,'Step 2'!D2254)</f>
        <v>0</v>
      </c>
      <c r="K2254" s="126">
        <f t="shared" si="669"/>
        <v>2.3999999999999998E-4</v>
      </c>
      <c r="L2254" s="174">
        <f>VLOOKUP(A2254,'Step 1'!$A:$E,4,FALSE)</f>
        <v>285076</v>
      </c>
      <c r="M2254" s="47">
        <f t="shared" si="670"/>
        <v>68</v>
      </c>
      <c r="N2254" s="177">
        <f>SUMIFS('Support - Transition'!G:G,'Support - Transition'!J:J,'Step 2'!D2254,'Support - Transition'!E:E,"2009 WELFARE ALLOCATION FACTOR")</f>
        <v>0</v>
      </c>
      <c r="O2254" s="152">
        <f t="shared" si="675"/>
        <v>0</v>
      </c>
      <c r="P2254" s="126">
        <f>IF(E2254="Y",0,SUMIFS('Support - Transition'!G:G,'Support - Transition'!J:J,'Step 2'!D2254,'Support - Transition'!E:E,"2009 SCHOOL ALLOCATION FACTOR"))</f>
        <v>0</v>
      </c>
      <c r="Q2254" s="126">
        <f>IF(E2254="Y",VLOOKUP(D2254,'Support - Unit Adjustments'!F:G,2,FALSE),0)</f>
        <v>0</v>
      </c>
      <c r="R2254" s="155">
        <f t="shared" si="687"/>
        <v>0</v>
      </c>
      <c r="S2254" s="47">
        <f t="shared" si="686"/>
        <v>0</v>
      </c>
      <c r="T2254" s="151">
        <f t="shared" si="671"/>
        <v>68</v>
      </c>
      <c r="U2254" s="151">
        <f t="shared" si="672"/>
        <v>0</v>
      </c>
      <c r="V2254" s="139">
        <f t="shared" si="673"/>
        <v>0</v>
      </c>
      <c r="W2254" s="152">
        <f t="shared" si="676"/>
        <v>68</v>
      </c>
      <c r="X2254" s="127" t="str">
        <f t="shared" si="674"/>
        <v/>
      </c>
      <c r="Y2254" s="207">
        <f t="shared" si="677"/>
        <v>68</v>
      </c>
      <c r="Z2254" s="139">
        <f t="shared" si="678"/>
        <v>67</v>
      </c>
      <c r="AA2254" s="139">
        <f t="shared" si="679"/>
        <v>1</v>
      </c>
      <c r="AC2254" s="47">
        <f t="shared" si="680"/>
        <v>34</v>
      </c>
      <c r="AD2254" s="47">
        <f t="shared" si="681"/>
        <v>34</v>
      </c>
      <c r="AE2254" s="47">
        <f t="shared" si="682"/>
        <v>1</v>
      </c>
      <c r="AG2254" s="47">
        <f t="shared" si="683"/>
        <v>34</v>
      </c>
      <c r="AH2254" s="47">
        <f t="shared" si="684"/>
        <v>33</v>
      </c>
      <c r="AI2254" s="208">
        <f t="shared" si="685"/>
        <v>0</v>
      </c>
    </row>
    <row r="2255" spans="1:35">
      <c r="A2255" t="s">
        <v>2160</v>
      </c>
      <c r="B2255" t="s">
        <v>3142</v>
      </c>
      <c r="C2255" t="s">
        <v>2189</v>
      </c>
      <c r="D2255" t="s">
        <v>5779</v>
      </c>
      <c r="F2255" t="s">
        <v>1622</v>
      </c>
      <c r="G2255" s="126">
        <f>SUMIFS('Support - Transition'!F:F,'Support - Transition'!B:B,'Step 2'!A2255,'Support - Transition'!C:C,'Step 2'!B2255,'Support - Transition'!D:D,'Step 2'!C2255,'Support - Transition'!E:E,"CIVIL")</f>
        <v>1.5280000000000001E-3</v>
      </c>
      <c r="H2255" s="126">
        <f>SUMIFS('Support - Transition'!F:F,'Support - Transition'!B:B,'Step 2'!A2255,'Support - Transition'!C:C,'Step 2'!B2255,'Support - Transition'!D:D,'Step 2'!C2255,'Support - Transition'!E:E,"FIRE")</f>
        <v>8.2999999999999998E-5</v>
      </c>
      <c r="I2255" s="126">
        <f>IF(B2255="0",SUMIFS('Support - Transition'!F:F,'Support - Transition'!J:J,'Step 2'!D2255,'Support - Transition'!E:E,"STATE UNIT"),SUMIFS('Support - Transition'!F:F,'Support - Transition'!J:J,'Step 2'!D2255))</f>
        <v>1.611E-3</v>
      </c>
      <c r="J2255" s="126">
        <f>SUMIFS('Support - Unit Adjustments'!E:E,'Support - Unit Adjustments'!F:F,'Step 2'!D2255)</f>
        <v>0</v>
      </c>
      <c r="K2255" s="126">
        <f t="shared" si="669"/>
        <v>1.611E-3</v>
      </c>
      <c r="L2255" s="174">
        <f>VLOOKUP(A2255,'Step 1'!$A:$E,4,FALSE)</f>
        <v>285076</v>
      </c>
      <c r="M2255" s="47">
        <f t="shared" si="670"/>
        <v>459</v>
      </c>
      <c r="N2255" s="177">
        <f>SUMIFS('Support - Transition'!G:G,'Support - Transition'!J:J,'Step 2'!D2255,'Support - Transition'!E:E,"2009 WELFARE ALLOCATION FACTOR")</f>
        <v>0</v>
      </c>
      <c r="O2255" s="152">
        <f t="shared" si="675"/>
        <v>0</v>
      </c>
      <c r="P2255" s="126">
        <f>IF(E2255="Y",0,SUMIFS('Support - Transition'!G:G,'Support - Transition'!J:J,'Step 2'!D2255,'Support - Transition'!E:E,"2009 SCHOOL ALLOCATION FACTOR"))</f>
        <v>0</v>
      </c>
      <c r="Q2255" s="126">
        <f>IF(E2255="Y",VLOOKUP(D2255,'Support - Unit Adjustments'!F:G,2,FALSE),0)</f>
        <v>0</v>
      </c>
      <c r="R2255" s="155">
        <f t="shared" si="687"/>
        <v>0</v>
      </c>
      <c r="S2255" s="47">
        <f t="shared" si="686"/>
        <v>0</v>
      </c>
      <c r="T2255" s="151">
        <f t="shared" si="671"/>
        <v>459</v>
      </c>
      <c r="U2255" s="151">
        <f t="shared" si="672"/>
        <v>0</v>
      </c>
      <c r="V2255" s="139">
        <f t="shared" si="673"/>
        <v>0</v>
      </c>
      <c r="W2255" s="152">
        <f t="shared" si="676"/>
        <v>459</v>
      </c>
      <c r="X2255" s="127" t="str">
        <f t="shared" si="674"/>
        <v/>
      </c>
      <c r="Y2255" s="207">
        <f t="shared" si="677"/>
        <v>459</v>
      </c>
      <c r="Z2255" s="139">
        <f t="shared" si="678"/>
        <v>435</v>
      </c>
      <c r="AA2255" s="139">
        <f t="shared" si="679"/>
        <v>24</v>
      </c>
      <c r="AC2255" s="47">
        <f t="shared" si="680"/>
        <v>230</v>
      </c>
      <c r="AD2255" s="47">
        <f t="shared" si="681"/>
        <v>218</v>
      </c>
      <c r="AE2255" s="47">
        <f t="shared" si="682"/>
        <v>12</v>
      </c>
      <c r="AG2255" s="47">
        <f t="shared" si="683"/>
        <v>229</v>
      </c>
      <c r="AH2255" s="47">
        <f t="shared" si="684"/>
        <v>217</v>
      </c>
      <c r="AI2255" s="208">
        <f t="shared" si="685"/>
        <v>12</v>
      </c>
    </row>
    <row r="2256" spans="1:35">
      <c r="A2256" t="s">
        <v>2160</v>
      </c>
      <c r="B2256" t="s">
        <v>3142</v>
      </c>
      <c r="C2256" t="s">
        <v>2190</v>
      </c>
      <c r="D2256" t="s">
        <v>5780</v>
      </c>
      <c r="F2256" t="s">
        <v>49</v>
      </c>
      <c r="G2256" s="126">
        <f>SUMIFS('Support - Transition'!F:F,'Support - Transition'!B:B,'Step 2'!A2256,'Support - Transition'!C:C,'Step 2'!B2256,'Support - Transition'!D:D,'Step 2'!C2256,'Support - Transition'!E:E,"CIVIL")</f>
        <v>5.5000000000000003E-4</v>
      </c>
      <c r="H2256" s="126">
        <f>SUMIFS('Support - Transition'!F:F,'Support - Transition'!B:B,'Step 2'!A2256,'Support - Transition'!C:C,'Step 2'!B2256,'Support - Transition'!D:D,'Step 2'!C2256,'Support - Transition'!E:E,"FIRE")</f>
        <v>2.5300000000000002E-4</v>
      </c>
      <c r="I2256" s="126">
        <f>IF(B2256="0",SUMIFS('Support - Transition'!F:F,'Support - Transition'!J:J,'Step 2'!D2256,'Support - Transition'!E:E,"STATE UNIT"),SUMIFS('Support - Transition'!F:F,'Support - Transition'!J:J,'Step 2'!D2256))</f>
        <v>8.0300000000000011E-4</v>
      </c>
      <c r="J2256" s="126">
        <f>SUMIFS('Support - Unit Adjustments'!E:E,'Support - Unit Adjustments'!F:F,'Step 2'!D2256)</f>
        <v>0</v>
      </c>
      <c r="K2256" s="126">
        <f t="shared" si="669"/>
        <v>8.0300000000000011E-4</v>
      </c>
      <c r="L2256" s="174">
        <f>VLOOKUP(A2256,'Step 1'!$A:$E,4,FALSE)</f>
        <v>285076</v>
      </c>
      <c r="M2256" s="47">
        <f t="shared" si="670"/>
        <v>229</v>
      </c>
      <c r="N2256" s="177">
        <f>SUMIFS('Support - Transition'!G:G,'Support - Transition'!J:J,'Step 2'!D2256,'Support - Transition'!E:E,"2009 WELFARE ALLOCATION FACTOR")</f>
        <v>0</v>
      </c>
      <c r="O2256" s="152">
        <f t="shared" si="675"/>
        <v>0</v>
      </c>
      <c r="P2256" s="126">
        <f>IF(E2256="Y",0,SUMIFS('Support - Transition'!G:G,'Support - Transition'!J:J,'Step 2'!D2256,'Support - Transition'!E:E,"2009 SCHOOL ALLOCATION FACTOR"))</f>
        <v>0</v>
      </c>
      <c r="Q2256" s="126">
        <f>IF(E2256="Y",VLOOKUP(D2256,'Support - Unit Adjustments'!F:G,2,FALSE),0)</f>
        <v>0</v>
      </c>
      <c r="R2256" s="155">
        <f t="shared" si="687"/>
        <v>0</v>
      </c>
      <c r="S2256" s="47">
        <f t="shared" si="686"/>
        <v>0</v>
      </c>
      <c r="T2256" s="151">
        <f t="shared" si="671"/>
        <v>229</v>
      </c>
      <c r="U2256" s="151">
        <f t="shared" si="672"/>
        <v>0</v>
      </c>
      <c r="V2256" s="139">
        <f t="shared" si="673"/>
        <v>0</v>
      </c>
      <c r="W2256" s="152">
        <f t="shared" si="676"/>
        <v>229</v>
      </c>
      <c r="X2256" s="127" t="str">
        <f t="shared" si="674"/>
        <v/>
      </c>
      <c r="Y2256" s="207">
        <f t="shared" si="677"/>
        <v>229</v>
      </c>
      <c r="Z2256" s="139">
        <f t="shared" si="678"/>
        <v>157</v>
      </c>
      <c r="AA2256" s="139">
        <f t="shared" si="679"/>
        <v>72</v>
      </c>
      <c r="AC2256" s="47">
        <f t="shared" si="680"/>
        <v>115</v>
      </c>
      <c r="AD2256" s="47">
        <f t="shared" si="681"/>
        <v>79</v>
      </c>
      <c r="AE2256" s="47">
        <f t="shared" si="682"/>
        <v>36</v>
      </c>
      <c r="AG2256" s="47">
        <f t="shared" si="683"/>
        <v>114</v>
      </c>
      <c r="AH2256" s="47">
        <f t="shared" si="684"/>
        <v>78</v>
      </c>
      <c r="AI2256" s="208">
        <f t="shared" si="685"/>
        <v>36</v>
      </c>
    </row>
    <row r="2257" spans="1:35">
      <c r="A2257" t="s">
        <v>2160</v>
      </c>
      <c r="B2257" t="s">
        <v>3142</v>
      </c>
      <c r="C2257" t="s">
        <v>2191</v>
      </c>
      <c r="D2257" t="s">
        <v>5781</v>
      </c>
      <c r="F2257" t="s">
        <v>1623</v>
      </c>
      <c r="G2257" s="126">
        <f>SUMIFS('Support - Transition'!F:F,'Support - Transition'!B:B,'Step 2'!A2257,'Support - Transition'!C:C,'Step 2'!B2257,'Support - Transition'!D:D,'Step 2'!C2257,'Support - Transition'!E:E,"CIVIL")</f>
        <v>3.3279999999999998E-3</v>
      </c>
      <c r="H2257" s="126">
        <f>SUMIFS('Support - Transition'!F:F,'Support - Transition'!B:B,'Step 2'!A2257,'Support - Transition'!C:C,'Step 2'!B2257,'Support - Transition'!D:D,'Step 2'!C2257,'Support - Transition'!E:E,"FIRE")</f>
        <v>2.823E-3</v>
      </c>
      <c r="I2257" s="126">
        <f>IF(B2257="0",SUMIFS('Support - Transition'!F:F,'Support - Transition'!J:J,'Step 2'!D2257,'Support - Transition'!E:E,"STATE UNIT"),SUMIFS('Support - Transition'!F:F,'Support - Transition'!J:J,'Step 2'!D2257))</f>
        <v>6.1510000000000002E-3</v>
      </c>
      <c r="J2257" s="126">
        <f>SUMIFS('Support - Unit Adjustments'!E:E,'Support - Unit Adjustments'!F:F,'Step 2'!D2257)</f>
        <v>0</v>
      </c>
      <c r="K2257" s="126">
        <f t="shared" si="669"/>
        <v>6.1510000000000002E-3</v>
      </c>
      <c r="L2257" s="174">
        <f>VLOOKUP(A2257,'Step 1'!$A:$E,4,FALSE)</f>
        <v>285076</v>
      </c>
      <c r="M2257" s="47">
        <f t="shared" si="670"/>
        <v>1754</v>
      </c>
      <c r="N2257" s="177">
        <f>SUMIFS('Support - Transition'!G:G,'Support - Transition'!J:J,'Step 2'!D2257,'Support - Transition'!E:E,"2009 WELFARE ALLOCATION FACTOR")</f>
        <v>0</v>
      </c>
      <c r="O2257" s="152">
        <f t="shared" si="675"/>
        <v>0</v>
      </c>
      <c r="P2257" s="126">
        <f>IF(E2257="Y",0,SUMIFS('Support - Transition'!G:G,'Support - Transition'!J:J,'Step 2'!D2257,'Support - Transition'!E:E,"2009 SCHOOL ALLOCATION FACTOR"))</f>
        <v>0</v>
      </c>
      <c r="Q2257" s="126">
        <f>IF(E2257="Y",VLOOKUP(D2257,'Support - Unit Adjustments'!F:G,2,FALSE),0)</f>
        <v>0</v>
      </c>
      <c r="R2257" s="155">
        <f t="shared" si="687"/>
        <v>0</v>
      </c>
      <c r="S2257" s="47">
        <f t="shared" si="686"/>
        <v>0</v>
      </c>
      <c r="T2257" s="151">
        <f t="shared" si="671"/>
        <v>1754</v>
      </c>
      <c r="U2257" s="151">
        <f t="shared" si="672"/>
        <v>0</v>
      </c>
      <c r="V2257" s="139">
        <f t="shared" si="673"/>
        <v>0</v>
      </c>
      <c r="W2257" s="152">
        <f t="shared" si="676"/>
        <v>1754</v>
      </c>
      <c r="X2257" s="127" t="str">
        <f t="shared" si="674"/>
        <v/>
      </c>
      <c r="Y2257" s="207">
        <f t="shared" si="677"/>
        <v>1754</v>
      </c>
      <c r="Z2257" s="139">
        <f t="shared" si="678"/>
        <v>949</v>
      </c>
      <c r="AA2257" s="139">
        <f t="shared" si="679"/>
        <v>805</v>
      </c>
      <c r="AC2257" s="47">
        <f t="shared" si="680"/>
        <v>877</v>
      </c>
      <c r="AD2257" s="47">
        <f t="shared" si="681"/>
        <v>475</v>
      </c>
      <c r="AE2257" s="47">
        <f t="shared" si="682"/>
        <v>403</v>
      </c>
      <c r="AG2257" s="47">
        <f t="shared" si="683"/>
        <v>877</v>
      </c>
      <c r="AH2257" s="47">
        <f t="shared" si="684"/>
        <v>474</v>
      </c>
      <c r="AI2257" s="208">
        <f t="shared" si="685"/>
        <v>402</v>
      </c>
    </row>
    <row r="2258" spans="1:35">
      <c r="A2258" t="s">
        <v>2160</v>
      </c>
      <c r="B2258" t="s">
        <v>3142</v>
      </c>
      <c r="C2258" t="s">
        <v>2192</v>
      </c>
      <c r="D2258" t="s">
        <v>5782</v>
      </c>
      <c r="F2258" t="s">
        <v>1624</v>
      </c>
      <c r="G2258" s="126">
        <f>SUMIFS('Support - Transition'!F:F,'Support - Transition'!B:B,'Step 2'!A2258,'Support - Transition'!C:C,'Step 2'!B2258,'Support - Transition'!D:D,'Step 2'!C2258,'Support - Transition'!E:E,"CIVIL")</f>
        <v>1.17E-3</v>
      </c>
      <c r="H2258" s="126">
        <f>SUMIFS('Support - Transition'!F:F,'Support - Transition'!B:B,'Step 2'!A2258,'Support - Transition'!C:C,'Step 2'!B2258,'Support - Transition'!D:D,'Step 2'!C2258,'Support - Transition'!E:E,"FIRE")</f>
        <v>1.9799999999999999E-4</v>
      </c>
      <c r="I2258" s="126">
        <f>IF(B2258="0",SUMIFS('Support - Transition'!F:F,'Support - Transition'!J:J,'Step 2'!D2258,'Support - Transition'!E:E,"STATE UNIT"),SUMIFS('Support - Transition'!F:F,'Support - Transition'!J:J,'Step 2'!D2258))</f>
        <v>1.3680000000000001E-3</v>
      </c>
      <c r="J2258" s="126">
        <f>SUMIFS('Support - Unit Adjustments'!E:E,'Support - Unit Adjustments'!F:F,'Step 2'!D2258)</f>
        <v>0</v>
      </c>
      <c r="K2258" s="126">
        <f t="shared" si="669"/>
        <v>1.3680000000000001E-3</v>
      </c>
      <c r="L2258" s="174">
        <f>VLOOKUP(A2258,'Step 1'!$A:$E,4,FALSE)</f>
        <v>285076</v>
      </c>
      <c r="M2258" s="47">
        <f t="shared" si="670"/>
        <v>390</v>
      </c>
      <c r="N2258" s="177">
        <f>SUMIFS('Support - Transition'!G:G,'Support - Transition'!J:J,'Step 2'!D2258,'Support - Transition'!E:E,"2009 WELFARE ALLOCATION FACTOR")</f>
        <v>0</v>
      </c>
      <c r="O2258" s="152">
        <f t="shared" si="675"/>
        <v>0</v>
      </c>
      <c r="P2258" s="126">
        <f>IF(E2258="Y",0,SUMIFS('Support - Transition'!G:G,'Support - Transition'!J:J,'Step 2'!D2258,'Support - Transition'!E:E,"2009 SCHOOL ALLOCATION FACTOR"))</f>
        <v>0</v>
      </c>
      <c r="Q2258" s="126">
        <f>IF(E2258="Y",VLOOKUP(D2258,'Support - Unit Adjustments'!F:G,2,FALSE),0)</f>
        <v>0</v>
      </c>
      <c r="R2258" s="155">
        <f t="shared" si="687"/>
        <v>0</v>
      </c>
      <c r="S2258" s="47">
        <f t="shared" si="686"/>
        <v>0</v>
      </c>
      <c r="T2258" s="151">
        <f t="shared" si="671"/>
        <v>390</v>
      </c>
      <c r="U2258" s="151">
        <f t="shared" si="672"/>
        <v>0</v>
      </c>
      <c r="V2258" s="139">
        <f t="shared" si="673"/>
        <v>0</v>
      </c>
      <c r="W2258" s="152">
        <f t="shared" si="676"/>
        <v>390</v>
      </c>
      <c r="X2258" s="127" t="str">
        <f t="shared" si="674"/>
        <v/>
      </c>
      <c r="Y2258" s="207">
        <f t="shared" si="677"/>
        <v>390</v>
      </c>
      <c r="Z2258" s="139">
        <f t="shared" si="678"/>
        <v>334</v>
      </c>
      <c r="AA2258" s="139">
        <f t="shared" si="679"/>
        <v>56</v>
      </c>
      <c r="AC2258" s="47">
        <f t="shared" si="680"/>
        <v>195</v>
      </c>
      <c r="AD2258" s="47">
        <f t="shared" si="681"/>
        <v>167</v>
      </c>
      <c r="AE2258" s="47">
        <f t="shared" si="682"/>
        <v>28</v>
      </c>
      <c r="AG2258" s="47">
        <f t="shared" si="683"/>
        <v>195</v>
      </c>
      <c r="AH2258" s="47">
        <f t="shared" si="684"/>
        <v>167</v>
      </c>
      <c r="AI2258" s="208">
        <f t="shared" si="685"/>
        <v>28</v>
      </c>
    </row>
    <row r="2259" spans="1:35">
      <c r="A2259" t="s">
        <v>2160</v>
      </c>
      <c r="B2259" t="s">
        <v>3142</v>
      </c>
      <c r="C2259" t="s">
        <v>2193</v>
      </c>
      <c r="D2259" t="s">
        <v>5783</v>
      </c>
      <c r="F2259" t="s">
        <v>1625</v>
      </c>
      <c r="G2259" s="126">
        <f>SUMIFS('Support - Transition'!F:F,'Support - Transition'!B:B,'Step 2'!A2259,'Support - Transition'!C:C,'Step 2'!B2259,'Support - Transition'!D:D,'Step 2'!C2259,'Support - Transition'!E:E,"CIVIL")</f>
        <v>8.2799999999999996E-4</v>
      </c>
      <c r="H2259" s="126">
        <f>SUMIFS('Support - Transition'!F:F,'Support - Transition'!B:B,'Step 2'!A2259,'Support - Transition'!C:C,'Step 2'!B2259,'Support - Transition'!D:D,'Step 2'!C2259,'Support - Transition'!E:E,"FIRE")</f>
        <v>6.7000000000000002E-5</v>
      </c>
      <c r="I2259" s="126">
        <f>IF(B2259="0",SUMIFS('Support - Transition'!F:F,'Support - Transition'!J:J,'Step 2'!D2259,'Support - Transition'!E:E,"STATE UNIT"),SUMIFS('Support - Transition'!F:F,'Support - Transition'!J:J,'Step 2'!D2259))</f>
        <v>8.9499999999999996E-4</v>
      </c>
      <c r="J2259" s="126">
        <f>SUMIFS('Support - Unit Adjustments'!E:E,'Support - Unit Adjustments'!F:F,'Step 2'!D2259)</f>
        <v>0</v>
      </c>
      <c r="K2259" s="126">
        <f t="shared" si="669"/>
        <v>8.9499999999999996E-4</v>
      </c>
      <c r="L2259" s="174">
        <f>VLOOKUP(A2259,'Step 1'!$A:$E,4,FALSE)</f>
        <v>285076</v>
      </c>
      <c r="M2259" s="47">
        <f t="shared" si="670"/>
        <v>255</v>
      </c>
      <c r="N2259" s="177">
        <f>SUMIFS('Support - Transition'!G:G,'Support - Transition'!J:J,'Step 2'!D2259,'Support - Transition'!E:E,"2009 WELFARE ALLOCATION FACTOR")</f>
        <v>0</v>
      </c>
      <c r="O2259" s="152">
        <f t="shared" si="675"/>
        <v>0</v>
      </c>
      <c r="P2259" s="126">
        <f>IF(E2259="Y",0,SUMIFS('Support - Transition'!G:G,'Support - Transition'!J:J,'Step 2'!D2259,'Support - Transition'!E:E,"2009 SCHOOL ALLOCATION FACTOR"))</f>
        <v>0</v>
      </c>
      <c r="Q2259" s="126">
        <f>IF(E2259="Y",VLOOKUP(D2259,'Support - Unit Adjustments'!F:G,2,FALSE),0)</f>
        <v>0</v>
      </c>
      <c r="R2259" s="155">
        <f t="shared" si="687"/>
        <v>0</v>
      </c>
      <c r="S2259" s="47">
        <f t="shared" si="686"/>
        <v>0</v>
      </c>
      <c r="T2259" s="151">
        <f t="shared" si="671"/>
        <v>255</v>
      </c>
      <c r="U2259" s="151">
        <f t="shared" si="672"/>
        <v>0</v>
      </c>
      <c r="V2259" s="139">
        <f t="shared" si="673"/>
        <v>0</v>
      </c>
      <c r="W2259" s="152">
        <f t="shared" si="676"/>
        <v>255</v>
      </c>
      <c r="X2259" s="127" t="str">
        <f t="shared" si="674"/>
        <v/>
      </c>
      <c r="Y2259" s="207">
        <f t="shared" si="677"/>
        <v>255</v>
      </c>
      <c r="Z2259" s="139">
        <f t="shared" si="678"/>
        <v>236</v>
      </c>
      <c r="AA2259" s="139">
        <f t="shared" si="679"/>
        <v>19</v>
      </c>
      <c r="AC2259" s="47">
        <f t="shared" si="680"/>
        <v>128</v>
      </c>
      <c r="AD2259" s="47">
        <f t="shared" si="681"/>
        <v>118</v>
      </c>
      <c r="AE2259" s="47">
        <f t="shared" si="682"/>
        <v>10</v>
      </c>
      <c r="AG2259" s="47">
        <f t="shared" si="683"/>
        <v>127</v>
      </c>
      <c r="AH2259" s="47">
        <f t="shared" si="684"/>
        <v>118</v>
      </c>
      <c r="AI2259" s="208">
        <f t="shared" si="685"/>
        <v>9</v>
      </c>
    </row>
    <row r="2260" spans="1:35">
      <c r="A2260" t="s">
        <v>2160</v>
      </c>
      <c r="B2260" t="s">
        <v>3142</v>
      </c>
      <c r="C2260" t="s">
        <v>2194</v>
      </c>
      <c r="D2260" t="s">
        <v>5784</v>
      </c>
      <c r="F2260" t="s">
        <v>57</v>
      </c>
      <c r="G2260" s="126">
        <f>SUMIFS('Support - Transition'!F:F,'Support - Transition'!B:B,'Step 2'!A2260,'Support - Transition'!C:C,'Step 2'!B2260,'Support - Transition'!D:D,'Step 2'!C2260,'Support - Transition'!E:E,"CIVIL")</f>
        <v>2.1099999999999999E-3</v>
      </c>
      <c r="H2260" s="126">
        <f>SUMIFS('Support - Transition'!F:F,'Support - Transition'!B:B,'Step 2'!A2260,'Support - Transition'!C:C,'Step 2'!B2260,'Support - Transition'!D:D,'Step 2'!C2260,'Support - Transition'!E:E,"FIRE")</f>
        <v>8.9499999999999996E-4</v>
      </c>
      <c r="I2260" s="126">
        <f>IF(B2260="0",SUMIFS('Support - Transition'!F:F,'Support - Transition'!J:J,'Step 2'!D2260,'Support - Transition'!E:E,"STATE UNIT"),SUMIFS('Support - Transition'!F:F,'Support - Transition'!J:J,'Step 2'!D2260))</f>
        <v>3.0049999999999999E-3</v>
      </c>
      <c r="J2260" s="126">
        <f>SUMIFS('Support - Unit Adjustments'!E:E,'Support - Unit Adjustments'!F:F,'Step 2'!D2260)</f>
        <v>0</v>
      </c>
      <c r="K2260" s="126">
        <f t="shared" si="669"/>
        <v>3.0049999999999999E-3</v>
      </c>
      <c r="L2260" s="174">
        <f>VLOOKUP(A2260,'Step 1'!$A:$E,4,FALSE)</f>
        <v>285076</v>
      </c>
      <c r="M2260" s="47">
        <f t="shared" si="670"/>
        <v>857</v>
      </c>
      <c r="N2260" s="177">
        <f>SUMIFS('Support - Transition'!G:G,'Support - Transition'!J:J,'Step 2'!D2260,'Support - Transition'!E:E,"2009 WELFARE ALLOCATION FACTOR")</f>
        <v>0</v>
      </c>
      <c r="O2260" s="152">
        <f t="shared" si="675"/>
        <v>0</v>
      </c>
      <c r="P2260" s="126">
        <f>IF(E2260="Y",0,SUMIFS('Support - Transition'!G:G,'Support - Transition'!J:J,'Step 2'!D2260,'Support - Transition'!E:E,"2009 SCHOOL ALLOCATION FACTOR"))</f>
        <v>0</v>
      </c>
      <c r="Q2260" s="126">
        <f>IF(E2260="Y",VLOOKUP(D2260,'Support - Unit Adjustments'!F:G,2,FALSE),0)</f>
        <v>0</v>
      </c>
      <c r="R2260" s="155">
        <f t="shared" si="687"/>
        <v>0</v>
      </c>
      <c r="S2260" s="47">
        <f t="shared" si="686"/>
        <v>0</v>
      </c>
      <c r="T2260" s="151">
        <f t="shared" si="671"/>
        <v>857</v>
      </c>
      <c r="U2260" s="151">
        <f t="shared" si="672"/>
        <v>0</v>
      </c>
      <c r="V2260" s="139">
        <f t="shared" si="673"/>
        <v>0</v>
      </c>
      <c r="W2260" s="152">
        <f t="shared" si="676"/>
        <v>857</v>
      </c>
      <c r="X2260" s="127" t="str">
        <f t="shared" si="674"/>
        <v/>
      </c>
      <c r="Y2260" s="207">
        <f t="shared" si="677"/>
        <v>857</v>
      </c>
      <c r="Z2260" s="139">
        <f t="shared" si="678"/>
        <v>602</v>
      </c>
      <c r="AA2260" s="139">
        <f t="shared" si="679"/>
        <v>255</v>
      </c>
      <c r="AC2260" s="47">
        <f t="shared" si="680"/>
        <v>429</v>
      </c>
      <c r="AD2260" s="47">
        <f t="shared" si="681"/>
        <v>301</v>
      </c>
      <c r="AE2260" s="47">
        <f t="shared" si="682"/>
        <v>128</v>
      </c>
      <c r="AG2260" s="47">
        <f t="shared" si="683"/>
        <v>428</v>
      </c>
      <c r="AH2260" s="47">
        <f t="shared" si="684"/>
        <v>301</v>
      </c>
      <c r="AI2260" s="208">
        <f t="shared" si="685"/>
        <v>127</v>
      </c>
    </row>
    <row r="2261" spans="1:35">
      <c r="A2261" t="s">
        <v>2160</v>
      </c>
      <c r="B2261" t="s">
        <v>3142</v>
      </c>
      <c r="C2261" t="s">
        <v>2195</v>
      </c>
      <c r="D2261" t="s">
        <v>5785</v>
      </c>
      <c r="F2261" t="s">
        <v>114</v>
      </c>
      <c r="G2261" s="126">
        <f>SUMIFS('Support - Transition'!F:F,'Support - Transition'!B:B,'Step 2'!A2261,'Support - Transition'!C:C,'Step 2'!B2261,'Support - Transition'!D:D,'Step 2'!C2261,'Support - Transition'!E:E,"CIVIL")</f>
        <v>1.0900000000000001E-4</v>
      </c>
      <c r="H2261" s="126">
        <f>SUMIFS('Support - Transition'!F:F,'Support - Transition'!B:B,'Step 2'!A2261,'Support - Transition'!C:C,'Step 2'!B2261,'Support - Transition'!D:D,'Step 2'!C2261,'Support - Transition'!E:E,"FIRE")</f>
        <v>7.7000000000000001E-5</v>
      </c>
      <c r="I2261" s="126">
        <f>IF(B2261="0",SUMIFS('Support - Transition'!F:F,'Support - Transition'!J:J,'Step 2'!D2261,'Support - Transition'!E:E,"STATE UNIT"),SUMIFS('Support - Transition'!F:F,'Support - Transition'!J:J,'Step 2'!D2261))</f>
        <v>1.8600000000000002E-4</v>
      </c>
      <c r="J2261" s="126">
        <f>SUMIFS('Support - Unit Adjustments'!E:E,'Support - Unit Adjustments'!F:F,'Step 2'!D2261)</f>
        <v>0</v>
      </c>
      <c r="K2261" s="126">
        <f t="shared" si="669"/>
        <v>1.8600000000000002E-4</v>
      </c>
      <c r="L2261" s="174">
        <f>VLOOKUP(A2261,'Step 1'!$A:$E,4,FALSE)</f>
        <v>285076</v>
      </c>
      <c r="M2261" s="47">
        <f t="shared" si="670"/>
        <v>53</v>
      </c>
      <c r="N2261" s="177">
        <f>SUMIFS('Support - Transition'!G:G,'Support - Transition'!J:J,'Step 2'!D2261,'Support - Transition'!E:E,"2009 WELFARE ALLOCATION FACTOR")</f>
        <v>0</v>
      </c>
      <c r="O2261" s="152">
        <f t="shared" si="675"/>
        <v>0</v>
      </c>
      <c r="P2261" s="126">
        <f>IF(E2261="Y",0,SUMIFS('Support - Transition'!G:G,'Support - Transition'!J:J,'Step 2'!D2261,'Support - Transition'!E:E,"2009 SCHOOL ALLOCATION FACTOR"))</f>
        <v>0</v>
      </c>
      <c r="Q2261" s="126">
        <f>IF(E2261="Y",VLOOKUP(D2261,'Support - Unit Adjustments'!F:G,2,FALSE),0)</f>
        <v>0</v>
      </c>
      <c r="R2261" s="155">
        <f t="shared" si="687"/>
        <v>0</v>
      </c>
      <c r="S2261" s="47">
        <f t="shared" si="686"/>
        <v>0</v>
      </c>
      <c r="T2261" s="151">
        <f t="shared" si="671"/>
        <v>53</v>
      </c>
      <c r="U2261" s="151">
        <f t="shared" si="672"/>
        <v>0</v>
      </c>
      <c r="V2261" s="139">
        <f t="shared" si="673"/>
        <v>0</v>
      </c>
      <c r="W2261" s="152">
        <f t="shared" si="676"/>
        <v>53</v>
      </c>
      <c r="X2261" s="127" t="str">
        <f t="shared" si="674"/>
        <v/>
      </c>
      <c r="Y2261" s="207">
        <f t="shared" si="677"/>
        <v>53</v>
      </c>
      <c r="Z2261" s="139">
        <f t="shared" si="678"/>
        <v>31</v>
      </c>
      <c r="AA2261" s="139">
        <f t="shared" si="679"/>
        <v>22</v>
      </c>
      <c r="AC2261" s="47">
        <f t="shared" si="680"/>
        <v>27</v>
      </c>
      <c r="AD2261" s="47">
        <f t="shared" si="681"/>
        <v>16</v>
      </c>
      <c r="AE2261" s="47">
        <f t="shared" si="682"/>
        <v>11</v>
      </c>
      <c r="AG2261" s="47">
        <f t="shared" si="683"/>
        <v>26</v>
      </c>
      <c r="AH2261" s="47">
        <f t="shared" si="684"/>
        <v>15</v>
      </c>
      <c r="AI2261" s="208">
        <f t="shared" si="685"/>
        <v>11</v>
      </c>
    </row>
    <row r="2262" spans="1:35">
      <c r="A2262" t="s">
        <v>2160</v>
      </c>
      <c r="B2262" t="s">
        <v>3142</v>
      </c>
      <c r="C2262" t="s">
        <v>2196</v>
      </c>
      <c r="D2262" t="s">
        <v>5786</v>
      </c>
      <c r="F2262" t="s">
        <v>404</v>
      </c>
      <c r="G2262" s="126">
        <f>SUMIFS('Support - Transition'!F:F,'Support - Transition'!B:B,'Step 2'!A2262,'Support - Transition'!C:C,'Step 2'!B2262,'Support - Transition'!D:D,'Step 2'!C2262,'Support - Transition'!E:E,"CIVIL")</f>
        <v>1.2880000000000001E-3</v>
      </c>
      <c r="H2262" s="126">
        <f>SUMIFS('Support - Transition'!F:F,'Support - Transition'!B:B,'Step 2'!A2262,'Support - Transition'!C:C,'Step 2'!B2262,'Support - Transition'!D:D,'Step 2'!C2262,'Support - Transition'!E:E,"FIRE")</f>
        <v>7.2900000000000005E-4</v>
      </c>
      <c r="I2262" s="126">
        <f>IF(B2262="0",SUMIFS('Support - Transition'!F:F,'Support - Transition'!J:J,'Step 2'!D2262,'Support - Transition'!E:E,"STATE UNIT"),SUMIFS('Support - Transition'!F:F,'Support - Transition'!J:J,'Step 2'!D2262))</f>
        <v>2.0170000000000001E-3</v>
      </c>
      <c r="J2262" s="126">
        <f>SUMIFS('Support - Unit Adjustments'!E:E,'Support - Unit Adjustments'!F:F,'Step 2'!D2262)</f>
        <v>0</v>
      </c>
      <c r="K2262" s="126">
        <f t="shared" si="669"/>
        <v>2.0170000000000001E-3</v>
      </c>
      <c r="L2262" s="174">
        <f>VLOOKUP(A2262,'Step 1'!$A:$E,4,FALSE)</f>
        <v>285076</v>
      </c>
      <c r="M2262" s="47">
        <f t="shared" si="670"/>
        <v>575</v>
      </c>
      <c r="N2262" s="177">
        <f>SUMIFS('Support - Transition'!G:G,'Support - Transition'!J:J,'Step 2'!D2262,'Support - Transition'!E:E,"2009 WELFARE ALLOCATION FACTOR")</f>
        <v>0</v>
      </c>
      <c r="O2262" s="152">
        <f t="shared" si="675"/>
        <v>0</v>
      </c>
      <c r="P2262" s="126">
        <f>IF(E2262="Y",0,SUMIFS('Support - Transition'!G:G,'Support - Transition'!J:J,'Step 2'!D2262,'Support - Transition'!E:E,"2009 SCHOOL ALLOCATION FACTOR"))</f>
        <v>0</v>
      </c>
      <c r="Q2262" s="126">
        <f>IF(E2262="Y",VLOOKUP(D2262,'Support - Unit Adjustments'!F:G,2,FALSE),0)</f>
        <v>0</v>
      </c>
      <c r="R2262" s="155">
        <f t="shared" si="687"/>
        <v>0</v>
      </c>
      <c r="S2262" s="47">
        <f t="shared" si="686"/>
        <v>0</v>
      </c>
      <c r="T2262" s="151">
        <f t="shared" si="671"/>
        <v>575</v>
      </c>
      <c r="U2262" s="151">
        <f t="shared" si="672"/>
        <v>0</v>
      </c>
      <c r="V2262" s="139">
        <f t="shared" si="673"/>
        <v>0</v>
      </c>
      <c r="W2262" s="152">
        <f t="shared" si="676"/>
        <v>575</v>
      </c>
      <c r="X2262" s="127" t="str">
        <f t="shared" si="674"/>
        <v/>
      </c>
      <c r="Y2262" s="207">
        <f t="shared" si="677"/>
        <v>575</v>
      </c>
      <c r="Z2262" s="139">
        <f t="shared" si="678"/>
        <v>367</v>
      </c>
      <c r="AA2262" s="139">
        <f t="shared" si="679"/>
        <v>208</v>
      </c>
      <c r="AC2262" s="47">
        <f t="shared" si="680"/>
        <v>288</v>
      </c>
      <c r="AD2262" s="47">
        <f t="shared" si="681"/>
        <v>184</v>
      </c>
      <c r="AE2262" s="47">
        <f t="shared" si="682"/>
        <v>104</v>
      </c>
      <c r="AG2262" s="47">
        <f t="shared" si="683"/>
        <v>287</v>
      </c>
      <c r="AH2262" s="47">
        <f t="shared" si="684"/>
        <v>183</v>
      </c>
      <c r="AI2262" s="208">
        <f t="shared" si="685"/>
        <v>104</v>
      </c>
    </row>
    <row r="2263" spans="1:35">
      <c r="A2263" t="s">
        <v>2160</v>
      </c>
      <c r="B2263" t="s">
        <v>3142</v>
      </c>
      <c r="C2263" t="s">
        <v>2197</v>
      </c>
      <c r="D2263" t="s">
        <v>5787</v>
      </c>
      <c r="F2263" t="s">
        <v>954</v>
      </c>
      <c r="G2263" s="126">
        <f>SUMIFS('Support - Transition'!F:F,'Support - Transition'!B:B,'Step 2'!A2263,'Support - Transition'!C:C,'Step 2'!B2263,'Support - Transition'!D:D,'Step 2'!C2263,'Support - Transition'!E:E,"CIVIL")</f>
        <v>6.9999999999999994E-5</v>
      </c>
      <c r="H2263" s="126">
        <f>SUMIFS('Support - Transition'!F:F,'Support - Transition'!B:B,'Step 2'!A2263,'Support - Transition'!C:C,'Step 2'!B2263,'Support - Transition'!D:D,'Step 2'!C2263,'Support - Transition'!E:E,"FIRE")</f>
        <v>2.1999999999999999E-5</v>
      </c>
      <c r="I2263" s="126">
        <f>IF(B2263="0",SUMIFS('Support - Transition'!F:F,'Support - Transition'!J:J,'Step 2'!D2263,'Support - Transition'!E:E,"STATE UNIT"),SUMIFS('Support - Transition'!F:F,'Support - Transition'!J:J,'Step 2'!D2263))</f>
        <v>9.1999999999999987E-5</v>
      </c>
      <c r="J2263" s="126">
        <f>SUMIFS('Support - Unit Adjustments'!E:E,'Support - Unit Adjustments'!F:F,'Step 2'!D2263)</f>
        <v>0</v>
      </c>
      <c r="K2263" s="126">
        <f t="shared" si="669"/>
        <v>9.1999999999999987E-5</v>
      </c>
      <c r="L2263" s="174">
        <f>VLOOKUP(A2263,'Step 1'!$A:$E,4,FALSE)</f>
        <v>285076</v>
      </c>
      <c r="M2263" s="47">
        <f t="shared" si="670"/>
        <v>26</v>
      </c>
      <c r="N2263" s="177">
        <f>SUMIFS('Support - Transition'!G:G,'Support - Transition'!J:J,'Step 2'!D2263,'Support - Transition'!E:E,"2009 WELFARE ALLOCATION FACTOR")</f>
        <v>0</v>
      </c>
      <c r="O2263" s="152">
        <f t="shared" si="675"/>
        <v>0</v>
      </c>
      <c r="P2263" s="126">
        <f>IF(E2263="Y",0,SUMIFS('Support - Transition'!G:G,'Support - Transition'!J:J,'Step 2'!D2263,'Support - Transition'!E:E,"2009 SCHOOL ALLOCATION FACTOR"))</f>
        <v>0</v>
      </c>
      <c r="Q2263" s="126">
        <f>IF(E2263="Y",VLOOKUP(D2263,'Support - Unit Adjustments'!F:G,2,FALSE),0)</f>
        <v>0</v>
      </c>
      <c r="R2263" s="155">
        <f t="shared" si="687"/>
        <v>0</v>
      </c>
      <c r="S2263" s="47">
        <f t="shared" si="686"/>
        <v>0</v>
      </c>
      <c r="T2263" s="151">
        <f t="shared" si="671"/>
        <v>26</v>
      </c>
      <c r="U2263" s="151">
        <f t="shared" si="672"/>
        <v>0</v>
      </c>
      <c r="V2263" s="139">
        <f t="shared" si="673"/>
        <v>0</v>
      </c>
      <c r="W2263" s="152">
        <f t="shared" si="676"/>
        <v>26</v>
      </c>
      <c r="X2263" s="127" t="str">
        <f t="shared" si="674"/>
        <v/>
      </c>
      <c r="Y2263" s="207">
        <f t="shared" si="677"/>
        <v>26</v>
      </c>
      <c r="Z2263" s="139">
        <f t="shared" si="678"/>
        <v>20</v>
      </c>
      <c r="AA2263" s="139">
        <f t="shared" si="679"/>
        <v>6</v>
      </c>
      <c r="AC2263" s="47">
        <f t="shared" si="680"/>
        <v>13</v>
      </c>
      <c r="AD2263" s="47">
        <f t="shared" si="681"/>
        <v>10</v>
      </c>
      <c r="AE2263" s="47">
        <f t="shared" si="682"/>
        <v>3</v>
      </c>
      <c r="AG2263" s="47">
        <f t="shared" si="683"/>
        <v>13</v>
      </c>
      <c r="AH2263" s="47">
        <f t="shared" si="684"/>
        <v>10</v>
      </c>
      <c r="AI2263" s="208">
        <f t="shared" si="685"/>
        <v>3</v>
      </c>
    </row>
    <row r="2264" spans="1:35">
      <c r="A2264" t="s">
        <v>2160</v>
      </c>
      <c r="B2264" t="s">
        <v>3142</v>
      </c>
      <c r="C2264" t="s">
        <v>2198</v>
      </c>
      <c r="D2264" t="s">
        <v>5788</v>
      </c>
      <c r="F2264" t="s">
        <v>1626</v>
      </c>
      <c r="G2264" s="126">
        <f>SUMIFS('Support - Transition'!F:F,'Support - Transition'!B:B,'Step 2'!A2264,'Support - Transition'!C:C,'Step 2'!B2264,'Support - Transition'!D:D,'Step 2'!C2264,'Support - Transition'!E:E,"CIVIL")</f>
        <v>4.3990000000000001E-3</v>
      </c>
      <c r="H2264" s="126">
        <f>SUMIFS('Support - Transition'!F:F,'Support - Transition'!B:B,'Step 2'!A2264,'Support - Transition'!C:C,'Step 2'!B2264,'Support - Transition'!D:D,'Step 2'!C2264,'Support - Transition'!E:E,"FIRE")</f>
        <v>4.6829999999999997E-3</v>
      </c>
      <c r="I2264" s="126">
        <f>IF(B2264="0",SUMIFS('Support - Transition'!F:F,'Support - Transition'!J:J,'Step 2'!D2264,'Support - Transition'!E:E,"STATE UNIT"),SUMIFS('Support - Transition'!F:F,'Support - Transition'!J:J,'Step 2'!D2264))</f>
        <v>9.0819999999999998E-3</v>
      </c>
      <c r="J2264" s="126">
        <f>SUMIFS('Support - Unit Adjustments'!E:E,'Support - Unit Adjustments'!F:F,'Step 2'!D2264)</f>
        <v>0</v>
      </c>
      <c r="K2264" s="126">
        <f t="shared" si="669"/>
        <v>9.0819999999999998E-3</v>
      </c>
      <c r="L2264" s="174">
        <f>VLOOKUP(A2264,'Step 1'!$A:$E,4,FALSE)</f>
        <v>285076</v>
      </c>
      <c r="M2264" s="47">
        <f t="shared" si="670"/>
        <v>2589</v>
      </c>
      <c r="N2264" s="177">
        <f>SUMIFS('Support - Transition'!G:G,'Support - Transition'!J:J,'Step 2'!D2264,'Support - Transition'!E:E,"2009 WELFARE ALLOCATION FACTOR")</f>
        <v>0</v>
      </c>
      <c r="O2264" s="152">
        <f t="shared" si="675"/>
        <v>0</v>
      </c>
      <c r="P2264" s="126">
        <f>IF(E2264="Y",0,SUMIFS('Support - Transition'!G:G,'Support - Transition'!J:J,'Step 2'!D2264,'Support - Transition'!E:E,"2009 SCHOOL ALLOCATION FACTOR"))</f>
        <v>0</v>
      </c>
      <c r="Q2264" s="126">
        <f>IF(E2264="Y",VLOOKUP(D2264,'Support - Unit Adjustments'!F:G,2,FALSE),0)</f>
        <v>0</v>
      </c>
      <c r="R2264" s="155">
        <f t="shared" si="687"/>
        <v>0</v>
      </c>
      <c r="S2264" s="47">
        <f t="shared" si="686"/>
        <v>0</v>
      </c>
      <c r="T2264" s="151">
        <f t="shared" si="671"/>
        <v>2589</v>
      </c>
      <c r="U2264" s="151">
        <f t="shared" si="672"/>
        <v>0</v>
      </c>
      <c r="V2264" s="139">
        <f t="shared" si="673"/>
        <v>0</v>
      </c>
      <c r="W2264" s="152">
        <f t="shared" si="676"/>
        <v>2589</v>
      </c>
      <c r="X2264" s="127" t="str">
        <f t="shared" si="674"/>
        <v/>
      </c>
      <c r="Y2264" s="207">
        <f t="shared" si="677"/>
        <v>2589</v>
      </c>
      <c r="Z2264" s="139">
        <f t="shared" si="678"/>
        <v>1254</v>
      </c>
      <c r="AA2264" s="139">
        <f t="shared" si="679"/>
        <v>1335</v>
      </c>
      <c r="AC2264" s="47">
        <f t="shared" si="680"/>
        <v>1295</v>
      </c>
      <c r="AD2264" s="47">
        <f t="shared" si="681"/>
        <v>627</v>
      </c>
      <c r="AE2264" s="47">
        <f t="shared" si="682"/>
        <v>668</v>
      </c>
      <c r="AG2264" s="47">
        <f t="shared" si="683"/>
        <v>1294</v>
      </c>
      <c r="AH2264" s="47">
        <f t="shared" si="684"/>
        <v>627</v>
      </c>
      <c r="AI2264" s="208">
        <f t="shared" si="685"/>
        <v>667</v>
      </c>
    </row>
    <row r="2265" spans="1:35">
      <c r="A2265" t="s">
        <v>2160</v>
      </c>
      <c r="B2265" t="s">
        <v>3142</v>
      </c>
      <c r="C2265" t="s">
        <v>2199</v>
      </c>
      <c r="D2265" t="s">
        <v>5789</v>
      </c>
      <c r="F2265" t="s">
        <v>115</v>
      </c>
      <c r="G2265" s="126">
        <f>SUMIFS('Support - Transition'!F:F,'Support - Transition'!B:B,'Step 2'!A2265,'Support - Transition'!C:C,'Step 2'!B2265,'Support - Transition'!D:D,'Step 2'!C2265,'Support - Transition'!E:E,"CIVIL")</f>
        <v>7.5799999999999999E-4</v>
      </c>
      <c r="H2265" s="126">
        <f>SUMIFS('Support - Transition'!F:F,'Support - Transition'!B:B,'Step 2'!A2265,'Support - Transition'!C:C,'Step 2'!B2265,'Support - Transition'!D:D,'Step 2'!C2265,'Support - Transition'!E:E,"FIRE")</f>
        <v>1.15E-4</v>
      </c>
      <c r="I2265" s="126">
        <f>IF(B2265="0",SUMIFS('Support - Transition'!F:F,'Support - Transition'!J:J,'Step 2'!D2265,'Support - Transition'!E:E,"STATE UNIT"),SUMIFS('Support - Transition'!F:F,'Support - Transition'!J:J,'Step 2'!D2265))</f>
        <v>8.7299999999999997E-4</v>
      </c>
      <c r="J2265" s="126">
        <f>SUMIFS('Support - Unit Adjustments'!E:E,'Support - Unit Adjustments'!F:F,'Step 2'!D2265)</f>
        <v>0</v>
      </c>
      <c r="K2265" s="126">
        <f t="shared" si="669"/>
        <v>8.7299999999999997E-4</v>
      </c>
      <c r="L2265" s="174">
        <f>VLOOKUP(A2265,'Step 1'!$A:$E,4,FALSE)</f>
        <v>285076</v>
      </c>
      <c r="M2265" s="47">
        <f t="shared" si="670"/>
        <v>249</v>
      </c>
      <c r="N2265" s="177">
        <f>SUMIFS('Support - Transition'!G:G,'Support - Transition'!J:J,'Step 2'!D2265,'Support - Transition'!E:E,"2009 WELFARE ALLOCATION FACTOR")</f>
        <v>0</v>
      </c>
      <c r="O2265" s="152">
        <f t="shared" si="675"/>
        <v>0</v>
      </c>
      <c r="P2265" s="126">
        <f>IF(E2265="Y",0,SUMIFS('Support - Transition'!G:G,'Support - Transition'!J:J,'Step 2'!D2265,'Support - Transition'!E:E,"2009 SCHOOL ALLOCATION FACTOR"))</f>
        <v>0</v>
      </c>
      <c r="Q2265" s="126">
        <f>IF(E2265="Y",VLOOKUP(D2265,'Support - Unit Adjustments'!F:G,2,FALSE),0)</f>
        <v>0</v>
      </c>
      <c r="R2265" s="155">
        <f t="shared" si="687"/>
        <v>0</v>
      </c>
      <c r="S2265" s="47">
        <f t="shared" si="686"/>
        <v>0</v>
      </c>
      <c r="T2265" s="151">
        <f t="shared" si="671"/>
        <v>249</v>
      </c>
      <c r="U2265" s="151">
        <f t="shared" si="672"/>
        <v>0</v>
      </c>
      <c r="V2265" s="139">
        <f t="shared" si="673"/>
        <v>0</v>
      </c>
      <c r="W2265" s="152">
        <f t="shared" si="676"/>
        <v>249</v>
      </c>
      <c r="X2265" s="127" t="str">
        <f t="shared" si="674"/>
        <v/>
      </c>
      <c r="Y2265" s="207">
        <f t="shared" si="677"/>
        <v>249</v>
      </c>
      <c r="Z2265" s="139">
        <f t="shared" si="678"/>
        <v>216</v>
      </c>
      <c r="AA2265" s="139">
        <f t="shared" si="679"/>
        <v>33</v>
      </c>
      <c r="AC2265" s="47">
        <f t="shared" si="680"/>
        <v>125</v>
      </c>
      <c r="AD2265" s="47">
        <f t="shared" si="681"/>
        <v>108</v>
      </c>
      <c r="AE2265" s="47">
        <f t="shared" si="682"/>
        <v>17</v>
      </c>
      <c r="AG2265" s="47">
        <f t="shared" si="683"/>
        <v>124</v>
      </c>
      <c r="AH2265" s="47">
        <f t="shared" si="684"/>
        <v>108</v>
      </c>
      <c r="AI2265" s="208">
        <f t="shared" si="685"/>
        <v>16</v>
      </c>
    </row>
    <row r="2266" spans="1:35">
      <c r="A2266" t="s">
        <v>2160</v>
      </c>
      <c r="B2266" t="s">
        <v>3155</v>
      </c>
      <c r="C2266" t="s">
        <v>3021</v>
      </c>
      <c r="D2266" t="s">
        <v>5790</v>
      </c>
      <c r="F2266" t="s">
        <v>1627</v>
      </c>
      <c r="G2266" s="126">
        <f>SUMIFS('Support - Transition'!F:F,'Support - Transition'!B:B,'Step 2'!A2266,'Support - Transition'!C:C,'Step 2'!B2266,'Support - Transition'!D:D,'Step 2'!C2266,'Support - Transition'!E:E,"CIVIL")</f>
        <v>0</v>
      </c>
      <c r="H2266" s="126">
        <f>SUMIFS('Support - Transition'!F:F,'Support - Transition'!B:B,'Step 2'!A2266,'Support - Transition'!C:C,'Step 2'!B2266,'Support - Transition'!D:D,'Step 2'!C2266,'Support - Transition'!E:E,"FIRE")</f>
        <v>0</v>
      </c>
      <c r="I2266" s="126">
        <f>IF(B2266="0",SUMIFS('Support - Transition'!F:F,'Support - Transition'!J:J,'Step 2'!D2266,'Support - Transition'!E:E,"STATE UNIT"),SUMIFS('Support - Transition'!F:F,'Support - Transition'!J:J,'Step 2'!D2266))</f>
        <v>4.9103000000000001E-2</v>
      </c>
      <c r="J2266" s="126">
        <f>SUMIFS('Support - Unit Adjustments'!E:E,'Support - Unit Adjustments'!F:F,'Step 2'!D2266)</f>
        <v>0</v>
      </c>
      <c r="K2266" s="126">
        <f t="shared" si="669"/>
        <v>4.9103000000000001E-2</v>
      </c>
      <c r="L2266" s="174">
        <f>VLOOKUP(A2266,'Step 1'!$A:$E,4,FALSE)</f>
        <v>285076</v>
      </c>
      <c r="M2266" s="47">
        <f t="shared" si="670"/>
        <v>13998</v>
      </c>
      <c r="N2266" s="177">
        <f>SUMIFS('Support - Transition'!G:G,'Support - Transition'!J:J,'Step 2'!D2266,'Support - Transition'!E:E,"2009 WELFARE ALLOCATION FACTOR")</f>
        <v>0</v>
      </c>
      <c r="O2266" s="152">
        <f t="shared" si="675"/>
        <v>0</v>
      </c>
      <c r="P2266" s="126">
        <f>IF(E2266="Y",0,SUMIFS('Support - Transition'!G:G,'Support - Transition'!J:J,'Step 2'!D2266,'Support - Transition'!E:E,"2009 SCHOOL ALLOCATION FACTOR"))</f>
        <v>0</v>
      </c>
      <c r="Q2266" s="126">
        <f>IF(E2266="Y",VLOOKUP(D2266,'Support - Unit Adjustments'!F:G,2,FALSE),0)</f>
        <v>0</v>
      </c>
      <c r="R2266" s="155">
        <f t="shared" si="687"/>
        <v>0</v>
      </c>
      <c r="S2266" s="47">
        <f t="shared" si="686"/>
        <v>0</v>
      </c>
      <c r="T2266" s="151">
        <f t="shared" si="671"/>
        <v>13998</v>
      </c>
      <c r="U2266" s="151">
        <f t="shared" si="672"/>
        <v>0</v>
      </c>
      <c r="V2266" s="139">
        <f t="shared" si="673"/>
        <v>0</v>
      </c>
      <c r="W2266" s="152">
        <f t="shared" si="676"/>
        <v>13998</v>
      </c>
      <c r="X2266" s="127" t="str">
        <f t="shared" si="674"/>
        <v/>
      </c>
      <c r="Y2266" s="207">
        <f t="shared" si="677"/>
        <v>13998</v>
      </c>
      <c r="Z2266" s="139">
        <f t="shared" si="678"/>
        <v>13998</v>
      </c>
      <c r="AA2266" s="139">
        <f t="shared" si="679"/>
        <v>0</v>
      </c>
      <c r="AC2266" s="47">
        <f t="shared" si="680"/>
        <v>6999</v>
      </c>
      <c r="AD2266" s="47">
        <f t="shared" si="681"/>
        <v>6999</v>
      </c>
      <c r="AE2266" s="47">
        <f t="shared" si="682"/>
        <v>0</v>
      </c>
      <c r="AG2266" s="47">
        <f t="shared" si="683"/>
        <v>6999</v>
      </c>
      <c r="AH2266" s="47">
        <f t="shared" si="684"/>
        <v>6999</v>
      </c>
      <c r="AI2266" s="208">
        <f t="shared" si="685"/>
        <v>0</v>
      </c>
    </row>
    <row r="2267" spans="1:35">
      <c r="A2267" t="s">
        <v>2160</v>
      </c>
      <c r="B2267" t="s">
        <v>3155</v>
      </c>
      <c r="C2267" t="s">
        <v>2365</v>
      </c>
      <c r="D2267" t="s">
        <v>5791</v>
      </c>
      <c r="F2267" t="s">
        <v>381</v>
      </c>
      <c r="G2267" s="126">
        <f>SUMIFS('Support - Transition'!F:F,'Support - Transition'!B:B,'Step 2'!A2267,'Support - Transition'!C:C,'Step 2'!B2267,'Support - Transition'!D:D,'Step 2'!C2267,'Support - Transition'!E:E,"CIVIL")</f>
        <v>0</v>
      </c>
      <c r="H2267" s="126">
        <f>SUMIFS('Support - Transition'!F:F,'Support - Transition'!B:B,'Step 2'!A2267,'Support - Transition'!C:C,'Step 2'!B2267,'Support - Transition'!D:D,'Step 2'!C2267,'Support - Transition'!E:E,"FIRE")</f>
        <v>0</v>
      </c>
      <c r="I2267" s="126">
        <f>IF(B2267="0",SUMIFS('Support - Transition'!F:F,'Support - Transition'!J:J,'Step 2'!D2267,'Support - Transition'!E:E,"STATE UNIT"),SUMIFS('Support - Transition'!F:F,'Support - Transition'!J:J,'Step 2'!D2267))</f>
        <v>1.5959000000000001E-2</v>
      </c>
      <c r="J2267" s="126">
        <f>SUMIFS('Support - Unit Adjustments'!E:E,'Support - Unit Adjustments'!F:F,'Step 2'!D2267)</f>
        <v>0</v>
      </c>
      <c r="K2267" s="126">
        <f t="shared" si="669"/>
        <v>1.5959000000000001E-2</v>
      </c>
      <c r="L2267" s="174">
        <f>VLOOKUP(A2267,'Step 1'!$A:$E,4,FALSE)</f>
        <v>285076</v>
      </c>
      <c r="M2267" s="47">
        <f t="shared" si="670"/>
        <v>4550</v>
      </c>
      <c r="N2267" s="177">
        <f>SUMIFS('Support - Transition'!G:G,'Support - Transition'!J:J,'Step 2'!D2267,'Support - Transition'!E:E,"2009 WELFARE ALLOCATION FACTOR")</f>
        <v>0</v>
      </c>
      <c r="O2267" s="152">
        <f t="shared" si="675"/>
        <v>0</v>
      </c>
      <c r="P2267" s="126">
        <f>IF(E2267="Y",0,SUMIFS('Support - Transition'!G:G,'Support - Transition'!J:J,'Step 2'!D2267,'Support - Transition'!E:E,"2009 SCHOOL ALLOCATION FACTOR"))</f>
        <v>0</v>
      </c>
      <c r="Q2267" s="126">
        <f>IF(E2267="Y",VLOOKUP(D2267,'Support - Unit Adjustments'!F:G,2,FALSE),0)</f>
        <v>0</v>
      </c>
      <c r="R2267" s="155">
        <f t="shared" si="687"/>
        <v>0</v>
      </c>
      <c r="S2267" s="47">
        <f t="shared" si="686"/>
        <v>0</v>
      </c>
      <c r="T2267" s="151">
        <f t="shared" si="671"/>
        <v>4550</v>
      </c>
      <c r="U2267" s="151">
        <f t="shared" si="672"/>
        <v>0</v>
      </c>
      <c r="V2267" s="139">
        <f t="shared" si="673"/>
        <v>0</v>
      </c>
      <c r="W2267" s="152">
        <f t="shared" si="676"/>
        <v>4550</v>
      </c>
      <c r="X2267" s="127" t="str">
        <f t="shared" si="674"/>
        <v/>
      </c>
      <c r="Y2267" s="207">
        <f t="shared" si="677"/>
        <v>4550</v>
      </c>
      <c r="Z2267" s="139">
        <f t="shared" si="678"/>
        <v>4550</v>
      </c>
      <c r="AA2267" s="139">
        <f t="shared" si="679"/>
        <v>0</v>
      </c>
      <c r="AC2267" s="47">
        <f t="shared" si="680"/>
        <v>2275</v>
      </c>
      <c r="AD2267" s="47">
        <f t="shared" si="681"/>
        <v>2275</v>
      </c>
      <c r="AE2267" s="47">
        <f t="shared" si="682"/>
        <v>0</v>
      </c>
      <c r="AG2267" s="47">
        <f t="shared" si="683"/>
        <v>2275</v>
      </c>
      <c r="AH2267" s="47">
        <f t="shared" si="684"/>
        <v>2275</v>
      </c>
      <c r="AI2267" s="208">
        <f t="shared" si="685"/>
        <v>0</v>
      </c>
    </row>
    <row r="2268" spans="1:35">
      <c r="A2268" t="s">
        <v>2160</v>
      </c>
      <c r="B2268" t="s">
        <v>3155</v>
      </c>
      <c r="C2268" t="s">
        <v>2816</v>
      </c>
      <c r="D2268" t="s">
        <v>5792</v>
      </c>
      <c r="F2268" t="s">
        <v>5793</v>
      </c>
      <c r="G2268" s="126">
        <f>SUMIFS('Support - Transition'!F:F,'Support - Transition'!B:B,'Step 2'!A2268,'Support - Transition'!C:C,'Step 2'!B2268,'Support - Transition'!D:D,'Step 2'!C2268,'Support - Transition'!E:E,"CIVIL")</f>
        <v>0</v>
      </c>
      <c r="H2268" s="126">
        <f>SUMIFS('Support - Transition'!F:F,'Support - Transition'!B:B,'Step 2'!A2268,'Support - Transition'!C:C,'Step 2'!B2268,'Support - Transition'!D:D,'Step 2'!C2268,'Support - Transition'!E:E,"FIRE")</f>
        <v>0</v>
      </c>
      <c r="I2268" s="126">
        <f>IF(B2268="0",SUMIFS('Support - Transition'!F:F,'Support - Transition'!J:J,'Step 2'!D2268,'Support - Transition'!E:E,"STATE UNIT"),SUMIFS('Support - Transition'!F:F,'Support - Transition'!J:J,'Step 2'!D2268))</f>
        <v>1.256E-3</v>
      </c>
      <c r="J2268" s="126">
        <f>SUMIFS('Support - Unit Adjustments'!E:E,'Support - Unit Adjustments'!F:F,'Step 2'!D2268)</f>
        <v>0</v>
      </c>
      <c r="K2268" s="126">
        <f t="shared" si="669"/>
        <v>1.256E-3</v>
      </c>
      <c r="L2268" s="174">
        <f>VLOOKUP(A2268,'Step 1'!$A:$E,4,FALSE)</f>
        <v>285076</v>
      </c>
      <c r="M2268" s="47">
        <f t="shared" si="670"/>
        <v>358</v>
      </c>
      <c r="N2268" s="177">
        <f>SUMIFS('Support - Transition'!G:G,'Support - Transition'!J:J,'Step 2'!D2268,'Support - Transition'!E:E,"2009 WELFARE ALLOCATION FACTOR")</f>
        <v>0</v>
      </c>
      <c r="O2268" s="152">
        <f t="shared" si="675"/>
        <v>0</v>
      </c>
      <c r="P2268" s="126">
        <f>IF(E2268="Y",0,SUMIFS('Support - Transition'!G:G,'Support - Transition'!J:J,'Step 2'!D2268,'Support - Transition'!E:E,"2009 SCHOOL ALLOCATION FACTOR"))</f>
        <v>0</v>
      </c>
      <c r="Q2268" s="126">
        <f>IF(E2268="Y",VLOOKUP(D2268,'Support - Unit Adjustments'!F:G,2,FALSE),0)</f>
        <v>0</v>
      </c>
      <c r="R2268" s="155">
        <f t="shared" si="687"/>
        <v>0</v>
      </c>
      <c r="S2268" s="47">
        <f t="shared" si="686"/>
        <v>0</v>
      </c>
      <c r="T2268" s="151">
        <f t="shared" si="671"/>
        <v>358</v>
      </c>
      <c r="U2268" s="151">
        <f t="shared" si="672"/>
        <v>0</v>
      </c>
      <c r="V2268" s="139">
        <f t="shared" si="673"/>
        <v>0</v>
      </c>
      <c r="W2268" s="152">
        <f t="shared" si="676"/>
        <v>358</v>
      </c>
      <c r="X2268" s="127" t="str">
        <f t="shared" si="674"/>
        <v/>
      </c>
      <c r="Y2268" s="207">
        <f t="shared" si="677"/>
        <v>358</v>
      </c>
      <c r="Z2268" s="139">
        <f t="shared" si="678"/>
        <v>358</v>
      </c>
      <c r="AA2268" s="139">
        <f t="shared" si="679"/>
        <v>0</v>
      </c>
      <c r="AC2268" s="47">
        <f t="shared" si="680"/>
        <v>179</v>
      </c>
      <c r="AD2268" s="47">
        <f t="shared" si="681"/>
        <v>179</v>
      </c>
      <c r="AE2268" s="47">
        <f t="shared" si="682"/>
        <v>0</v>
      </c>
      <c r="AG2268" s="47">
        <f t="shared" si="683"/>
        <v>179</v>
      </c>
      <c r="AH2268" s="47">
        <f t="shared" si="684"/>
        <v>179</v>
      </c>
      <c r="AI2268" s="208">
        <f t="shared" si="685"/>
        <v>0</v>
      </c>
    </row>
    <row r="2269" spans="1:35">
      <c r="A2269" t="s">
        <v>2160</v>
      </c>
      <c r="B2269" t="s">
        <v>3155</v>
      </c>
      <c r="C2269" t="s">
        <v>3022</v>
      </c>
      <c r="D2269" t="s">
        <v>5794</v>
      </c>
      <c r="F2269" t="s">
        <v>1629</v>
      </c>
      <c r="G2269" s="126">
        <f>SUMIFS('Support - Transition'!F:F,'Support - Transition'!B:B,'Step 2'!A2269,'Support - Transition'!C:C,'Step 2'!B2269,'Support - Transition'!D:D,'Step 2'!C2269,'Support - Transition'!E:E,"CIVIL")</f>
        <v>0</v>
      </c>
      <c r="H2269" s="126">
        <f>SUMIFS('Support - Transition'!F:F,'Support - Transition'!B:B,'Step 2'!A2269,'Support - Transition'!C:C,'Step 2'!B2269,'Support - Transition'!D:D,'Step 2'!C2269,'Support - Transition'!E:E,"FIRE")</f>
        <v>0</v>
      </c>
      <c r="I2269" s="126">
        <f>IF(B2269="0",SUMIFS('Support - Transition'!F:F,'Support - Transition'!J:J,'Step 2'!D2269,'Support - Transition'!E:E,"STATE UNIT"),SUMIFS('Support - Transition'!F:F,'Support - Transition'!J:J,'Step 2'!D2269))</f>
        <v>2.545E-3</v>
      </c>
      <c r="J2269" s="126">
        <f>SUMIFS('Support - Unit Adjustments'!E:E,'Support - Unit Adjustments'!F:F,'Step 2'!D2269)</f>
        <v>0</v>
      </c>
      <c r="K2269" s="126">
        <f t="shared" si="669"/>
        <v>2.545E-3</v>
      </c>
      <c r="L2269" s="174">
        <f>VLOOKUP(A2269,'Step 1'!$A:$E,4,FALSE)</f>
        <v>285076</v>
      </c>
      <c r="M2269" s="47">
        <f t="shared" si="670"/>
        <v>726</v>
      </c>
      <c r="N2269" s="177">
        <f>SUMIFS('Support - Transition'!G:G,'Support - Transition'!J:J,'Step 2'!D2269,'Support - Transition'!E:E,"2009 WELFARE ALLOCATION FACTOR")</f>
        <v>0</v>
      </c>
      <c r="O2269" s="152">
        <f t="shared" si="675"/>
        <v>0</v>
      </c>
      <c r="P2269" s="126">
        <f>IF(E2269="Y",0,SUMIFS('Support - Transition'!G:G,'Support - Transition'!J:J,'Step 2'!D2269,'Support - Transition'!E:E,"2009 SCHOOL ALLOCATION FACTOR"))</f>
        <v>0</v>
      </c>
      <c r="Q2269" s="126">
        <f>IF(E2269="Y",VLOOKUP(D2269,'Support - Unit Adjustments'!F:G,2,FALSE),0)</f>
        <v>0</v>
      </c>
      <c r="R2269" s="155">
        <f t="shared" si="687"/>
        <v>0</v>
      </c>
      <c r="S2269" s="47">
        <f t="shared" si="686"/>
        <v>0</v>
      </c>
      <c r="T2269" s="151">
        <f t="shared" si="671"/>
        <v>726</v>
      </c>
      <c r="U2269" s="151">
        <f t="shared" si="672"/>
        <v>0</v>
      </c>
      <c r="V2269" s="139">
        <f t="shared" si="673"/>
        <v>0</v>
      </c>
      <c r="W2269" s="152">
        <f t="shared" si="676"/>
        <v>726</v>
      </c>
      <c r="X2269" s="127" t="str">
        <f t="shared" si="674"/>
        <v/>
      </c>
      <c r="Y2269" s="207">
        <f t="shared" si="677"/>
        <v>726</v>
      </c>
      <c r="Z2269" s="139">
        <f t="shared" si="678"/>
        <v>726</v>
      </c>
      <c r="AA2269" s="139">
        <f t="shared" si="679"/>
        <v>0</v>
      </c>
      <c r="AC2269" s="47">
        <f t="shared" si="680"/>
        <v>363</v>
      </c>
      <c r="AD2269" s="47">
        <f t="shared" si="681"/>
        <v>363</v>
      </c>
      <c r="AE2269" s="47">
        <f t="shared" si="682"/>
        <v>0</v>
      </c>
      <c r="AG2269" s="47">
        <f t="shared" si="683"/>
        <v>363</v>
      </c>
      <c r="AH2269" s="47">
        <f t="shared" si="684"/>
        <v>363</v>
      </c>
      <c r="AI2269" s="208">
        <f t="shared" si="685"/>
        <v>0</v>
      </c>
    </row>
    <row r="2270" spans="1:35">
      <c r="A2270" t="s">
        <v>2160</v>
      </c>
      <c r="B2270" t="s">
        <v>3155</v>
      </c>
      <c r="C2270" t="s">
        <v>2369</v>
      </c>
      <c r="D2270" t="s">
        <v>5795</v>
      </c>
      <c r="F2270" t="s">
        <v>386</v>
      </c>
      <c r="G2270" s="126">
        <f>SUMIFS('Support - Transition'!F:F,'Support - Transition'!B:B,'Step 2'!A2270,'Support - Transition'!C:C,'Step 2'!B2270,'Support - Transition'!D:D,'Step 2'!C2270,'Support - Transition'!E:E,"CIVIL")</f>
        <v>0</v>
      </c>
      <c r="H2270" s="126">
        <f>SUMIFS('Support - Transition'!F:F,'Support - Transition'!B:B,'Step 2'!A2270,'Support - Transition'!C:C,'Step 2'!B2270,'Support - Transition'!D:D,'Step 2'!C2270,'Support - Transition'!E:E,"FIRE")</f>
        <v>0</v>
      </c>
      <c r="I2270" s="126">
        <f>IF(B2270="0",SUMIFS('Support - Transition'!F:F,'Support - Transition'!J:J,'Step 2'!D2270,'Support - Transition'!E:E,"STATE UNIT"),SUMIFS('Support - Transition'!F:F,'Support - Transition'!J:J,'Step 2'!D2270))</f>
        <v>1.3619999999999999E-3</v>
      </c>
      <c r="J2270" s="126">
        <f>SUMIFS('Support - Unit Adjustments'!E:E,'Support - Unit Adjustments'!F:F,'Step 2'!D2270)</f>
        <v>0</v>
      </c>
      <c r="K2270" s="126">
        <f t="shared" si="669"/>
        <v>1.3619999999999999E-3</v>
      </c>
      <c r="L2270" s="174">
        <f>VLOOKUP(A2270,'Step 1'!$A:$E,4,FALSE)</f>
        <v>285076</v>
      </c>
      <c r="M2270" s="47">
        <f t="shared" si="670"/>
        <v>388</v>
      </c>
      <c r="N2270" s="177">
        <f>SUMIFS('Support - Transition'!G:G,'Support - Transition'!J:J,'Step 2'!D2270,'Support - Transition'!E:E,"2009 WELFARE ALLOCATION FACTOR")</f>
        <v>0</v>
      </c>
      <c r="O2270" s="152">
        <f t="shared" si="675"/>
        <v>0</v>
      </c>
      <c r="P2270" s="126">
        <f>IF(E2270="Y",0,SUMIFS('Support - Transition'!G:G,'Support - Transition'!J:J,'Step 2'!D2270,'Support - Transition'!E:E,"2009 SCHOOL ALLOCATION FACTOR"))</f>
        <v>0</v>
      </c>
      <c r="Q2270" s="126">
        <f>IF(E2270="Y",VLOOKUP(D2270,'Support - Unit Adjustments'!F:G,2,FALSE),0)</f>
        <v>0</v>
      </c>
      <c r="R2270" s="155">
        <f t="shared" si="687"/>
        <v>0</v>
      </c>
      <c r="S2270" s="47">
        <f t="shared" si="686"/>
        <v>0</v>
      </c>
      <c r="T2270" s="151">
        <f t="shared" si="671"/>
        <v>388</v>
      </c>
      <c r="U2270" s="151">
        <f t="shared" si="672"/>
        <v>0</v>
      </c>
      <c r="V2270" s="139">
        <f t="shared" si="673"/>
        <v>0</v>
      </c>
      <c r="W2270" s="152">
        <f t="shared" si="676"/>
        <v>388</v>
      </c>
      <c r="X2270" s="127" t="str">
        <f t="shared" si="674"/>
        <v/>
      </c>
      <c r="Y2270" s="207">
        <f t="shared" si="677"/>
        <v>388</v>
      </c>
      <c r="Z2270" s="139">
        <f t="shared" si="678"/>
        <v>388</v>
      </c>
      <c r="AA2270" s="139">
        <f t="shared" si="679"/>
        <v>0</v>
      </c>
      <c r="AC2270" s="47">
        <f t="shared" si="680"/>
        <v>194</v>
      </c>
      <c r="AD2270" s="47">
        <f t="shared" si="681"/>
        <v>194</v>
      </c>
      <c r="AE2270" s="47">
        <f t="shared" si="682"/>
        <v>0</v>
      </c>
      <c r="AG2270" s="47">
        <f t="shared" si="683"/>
        <v>194</v>
      </c>
      <c r="AH2270" s="47">
        <f t="shared" si="684"/>
        <v>194</v>
      </c>
      <c r="AI2270" s="208">
        <f t="shared" si="685"/>
        <v>0</v>
      </c>
    </row>
    <row r="2271" spans="1:35">
      <c r="A2271" t="s">
        <v>2160</v>
      </c>
      <c r="B2271" t="s">
        <v>3155</v>
      </c>
      <c r="C2271" t="s">
        <v>3023</v>
      </c>
      <c r="D2271" t="s">
        <v>5796</v>
      </c>
      <c r="F2271" t="s">
        <v>1630</v>
      </c>
      <c r="G2271" s="126">
        <f>SUMIFS('Support - Transition'!F:F,'Support - Transition'!B:B,'Step 2'!A2271,'Support - Transition'!C:C,'Step 2'!B2271,'Support - Transition'!D:D,'Step 2'!C2271,'Support - Transition'!E:E,"CIVIL")</f>
        <v>0</v>
      </c>
      <c r="H2271" s="126">
        <f>SUMIFS('Support - Transition'!F:F,'Support - Transition'!B:B,'Step 2'!A2271,'Support - Transition'!C:C,'Step 2'!B2271,'Support - Transition'!D:D,'Step 2'!C2271,'Support - Transition'!E:E,"FIRE")</f>
        <v>0</v>
      </c>
      <c r="I2271" s="126">
        <f>IF(B2271="0",SUMIFS('Support - Transition'!F:F,'Support - Transition'!J:J,'Step 2'!D2271,'Support - Transition'!E:E,"STATE UNIT"),SUMIFS('Support - Transition'!F:F,'Support - Transition'!J:J,'Step 2'!D2271))</f>
        <v>1.077E-3</v>
      </c>
      <c r="J2271" s="126">
        <f>SUMIFS('Support - Unit Adjustments'!E:E,'Support - Unit Adjustments'!F:F,'Step 2'!D2271)</f>
        <v>0</v>
      </c>
      <c r="K2271" s="126">
        <f t="shared" si="669"/>
        <v>1.077E-3</v>
      </c>
      <c r="L2271" s="174">
        <f>VLOOKUP(A2271,'Step 1'!$A:$E,4,FALSE)</f>
        <v>285076</v>
      </c>
      <c r="M2271" s="47">
        <f t="shared" si="670"/>
        <v>307</v>
      </c>
      <c r="N2271" s="177">
        <f>SUMIFS('Support - Transition'!G:G,'Support - Transition'!J:J,'Step 2'!D2271,'Support - Transition'!E:E,"2009 WELFARE ALLOCATION FACTOR")</f>
        <v>0</v>
      </c>
      <c r="O2271" s="152">
        <f t="shared" si="675"/>
        <v>0</v>
      </c>
      <c r="P2271" s="126">
        <f>IF(E2271="Y",0,SUMIFS('Support - Transition'!G:G,'Support - Transition'!J:J,'Step 2'!D2271,'Support - Transition'!E:E,"2009 SCHOOL ALLOCATION FACTOR"))</f>
        <v>0</v>
      </c>
      <c r="Q2271" s="126">
        <f>IF(E2271="Y",VLOOKUP(D2271,'Support - Unit Adjustments'!F:G,2,FALSE),0)</f>
        <v>0</v>
      </c>
      <c r="R2271" s="155">
        <f t="shared" si="687"/>
        <v>0</v>
      </c>
      <c r="S2271" s="47">
        <f t="shared" si="686"/>
        <v>0</v>
      </c>
      <c r="T2271" s="151">
        <f t="shared" si="671"/>
        <v>307</v>
      </c>
      <c r="U2271" s="151">
        <f t="shared" si="672"/>
        <v>0</v>
      </c>
      <c r="V2271" s="139">
        <f t="shared" si="673"/>
        <v>0</v>
      </c>
      <c r="W2271" s="152">
        <f t="shared" si="676"/>
        <v>307</v>
      </c>
      <c r="X2271" s="127" t="str">
        <f t="shared" si="674"/>
        <v/>
      </c>
      <c r="Y2271" s="207">
        <f t="shared" si="677"/>
        <v>307</v>
      </c>
      <c r="Z2271" s="139">
        <f t="shared" si="678"/>
        <v>307</v>
      </c>
      <c r="AA2271" s="139">
        <f t="shared" si="679"/>
        <v>0</v>
      </c>
      <c r="AC2271" s="47">
        <f t="shared" si="680"/>
        <v>154</v>
      </c>
      <c r="AD2271" s="47">
        <f t="shared" si="681"/>
        <v>154</v>
      </c>
      <c r="AE2271" s="47">
        <f t="shared" si="682"/>
        <v>0</v>
      </c>
      <c r="AG2271" s="47">
        <f t="shared" si="683"/>
        <v>153</v>
      </c>
      <c r="AH2271" s="47">
        <f t="shared" si="684"/>
        <v>153</v>
      </c>
      <c r="AI2271" s="208">
        <f t="shared" si="685"/>
        <v>0</v>
      </c>
    </row>
    <row r="2272" spans="1:35">
      <c r="A2272" t="s">
        <v>2160</v>
      </c>
      <c r="B2272" t="s">
        <v>3155</v>
      </c>
      <c r="C2272" t="s">
        <v>3024</v>
      </c>
      <c r="D2272" t="s">
        <v>5797</v>
      </c>
      <c r="F2272" t="s">
        <v>1631</v>
      </c>
      <c r="G2272" s="126">
        <f>SUMIFS('Support - Transition'!F:F,'Support - Transition'!B:B,'Step 2'!A2272,'Support - Transition'!C:C,'Step 2'!B2272,'Support - Transition'!D:D,'Step 2'!C2272,'Support - Transition'!E:E,"CIVIL")</f>
        <v>0</v>
      </c>
      <c r="H2272" s="126">
        <f>SUMIFS('Support - Transition'!F:F,'Support - Transition'!B:B,'Step 2'!A2272,'Support - Transition'!C:C,'Step 2'!B2272,'Support - Transition'!D:D,'Step 2'!C2272,'Support - Transition'!E:E,"FIRE")</f>
        <v>0</v>
      </c>
      <c r="I2272" s="126">
        <f>IF(B2272="0",SUMIFS('Support - Transition'!F:F,'Support - Transition'!J:J,'Step 2'!D2272,'Support - Transition'!E:E,"STATE UNIT"),SUMIFS('Support - Transition'!F:F,'Support - Transition'!J:J,'Step 2'!D2272))</f>
        <v>5.4149999999999997E-3</v>
      </c>
      <c r="J2272" s="126">
        <f>SUMIFS('Support - Unit Adjustments'!E:E,'Support - Unit Adjustments'!F:F,'Step 2'!D2272)</f>
        <v>0</v>
      </c>
      <c r="K2272" s="126">
        <f t="shared" si="669"/>
        <v>5.4149999999999997E-3</v>
      </c>
      <c r="L2272" s="174">
        <f>VLOOKUP(A2272,'Step 1'!$A:$E,4,FALSE)</f>
        <v>285076</v>
      </c>
      <c r="M2272" s="47">
        <f t="shared" si="670"/>
        <v>1544</v>
      </c>
      <c r="N2272" s="177">
        <f>SUMIFS('Support - Transition'!G:G,'Support - Transition'!J:J,'Step 2'!D2272,'Support - Transition'!E:E,"2009 WELFARE ALLOCATION FACTOR")</f>
        <v>0</v>
      </c>
      <c r="O2272" s="152">
        <f t="shared" si="675"/>
        <v>0</v>
      </c>
      <c r="P2272" s="126">
        <f>IF(E2272="Y",0,SUMIFS('Support - Transition'!G:G,'Support - Transition'!J:J,'Step 2'!D2272,'Support - Transition'!E:E,"2009 SCHOOL ALLOCATION FACTOR"))</f>
        <v>0</v>
      </c>
      <c r="Q2272" s="126">
        <f>IF(E2272="Y",VLOOKUP(D2272,'Support - Unit Adjustments'!F:G,2,FALSE),0)</f>
        <v>0</v>
      </c>
      <c r="R2272" s="155">
        <f t="shared" si="687"/>
        <v>0</v>
      </c>
      <c r="S2272" s="47">
        <f t="shared" si="686"/>
        <v>0</v>
      </c>
      <c r="T2272" s="151">
        <f t="shared" si="671"/>
        <v>1544</v>
      </c>
      <c r="U2272" s="151">
        <f t="shared" si="672"/>
        <v>0</v>
      </c>
      <c r="V2272" s="139">
        <f t="shared" si="673"/>
        <v>0</v>
      </c>
      <c r="W2272" s="152">
        <f t="shared" si="676"/>
        <v>1544</v>
      </c>
      <c r="X2272" s="127" t="str">
        <f t="shared" si="674"/>
        <v/>
      </c>
      <c r="Y2272" s="207">
        <f t="shared" si="677"/>
        <v>1544</v>
      </c>
      <c r="Z2272" s="139">
        <f t="shared" si="678"/>
        <v>1544</v>
      </c>
      <c r="AA2272" s="139">
        <f t="shared" si="679"/>
        <v>0</v>
      </c>
      <c r="AC2272" s="47">
        <f t="shared" si="680"/>
        <v>772</v>
      </c>
      <c r="AD2272" s="47">
        <f t="shared" si="681"/>
        <v>772</v>
      </c>
      <c r="AE2272" s="47">
        <f t="shared" si="682"/>
        <v>0</v>
      </c>
      <c r="AG2272" s="47">
        <f t="shared" si="683"/>
        <v>772</v>
      </c>
      <c r="AH2272" s="47">
        <f t="shared" si="684"/>
        <v>772</v>
      </c>
      <c r="AI2272" s="208">
        <f t="shared" si="685"/>
        <v>0</v>
      </c>
    </row>
    <row r="2273" spans="1:35">
      <c r="A2273" t="s">
        <v>2160</v>
      </c>
      <c r="B2273" t="s">
        <v>3160</v>
      </c>
      <c r="C2273" t="s">
        <v>2371</v>
      </c>
      <c r="D2273" t="s">
        <v>5798</v>
      </c>
      <c r="F2273" t="s">
        <v>389</v>
      </c>
      <c r="G2273" s="126">
        <f>SUMIFS('Support - Transition'!F:F,'Support - Transition'!B:B,'Step 2'!A2273,'Support - Transition'!C:C,'Step 2'!B2273,'Support - Transition'!D:D,'Step 2'!C2273,'Support - Transition'!E:E,"CIVIL")</f>
        <v>0</v>
      </c>
      <c r="H2273" s="126">
        <f>SUMIFS('Support - Transition'!F:F,'Support - Transition'!B:B,'Step 2'!A2273,'Support - Transition'!C:C,'Step 2'!B2273,'Support - Transition'!D:D,'Step 2'!C2273,'Support - Transition'!E:E,"FIRE")</f>
        <v>0</v>
      </c>
      <c r="I2273" s="126">
        <f>IF(B2273="0",SUMIFS('Support - Transition'!F:F,'Support - Transition'!J:J,'Step 2'!D2273,'Support - Transition'!E:E,"STATE UNIT"),SUMIFS('Support - Transition'!F:F,'Support - Transition'!J:J,'Step 2'!D2273))</f>
        <v>3.2154000000000002E-2</v>
      </c>
      <c r="J2273" s="126">
        <f>SUMIFS('Support - Unit Adjustments'!E:E,'Support - Unit Adjustments'!F:F,'Step 2'!D2273)</f>
        <v>0</v>
      </c>
      <c r="K2273" s="126">
        <f t="shared" si="669"/>
        <v>3.2154000000000002E-2</v>
      </c>
      <c r="L2273" s="174">
        <f>VLOOKUP(A2273,'Step 1'!$A:$E,4,FALSE)</f>
        <v>285076</v>
      </c>
      <c r="M2273" s="47">
        <f t="shared" si="670"/>
        <v>9166</v>
      </c>
      <c r="N2273" s="177">
        <f>SUMIFS('Support - Transition'!G:G,'Support - Transition'!J:J,'Step 2'!D2273,'Support - Transition'!E:E,"2009 WELFARE ALLOCATION FACTOR")</f>
        <v>0</v>
      </c>
      <c r="O2273" s="152">
        <f t="shared" si="675"/>
        <v>0</v>
      </c>
      <c r="P2273" s="126">
        <f>IF(E2273="Y",0,SUMIFS('Support - Transition'!G:G,'Support - Transition'!J:J,'Step 2'!D2273,'Support - Transition'!E:E,"2009 SCHOOL ALLOCATION FACTOR"))</f>
        <v>0.43275000000000002</v>
      </c>
      <c r="Q2273" s="126">
        <f>IF(E2273="Y",VLOOKUP(D2273,'Support - Unit Adjustments'!F:G,2,FALSE),0)</f>
        <v>0</v>
      </c>
      <c r="R2273" s="155">
        <f t="shared" si="687"/>
        <v>0.43275000000000002</v>
      </c>
      <c r="S2273" s="47">
        <f t="shared" si="686"/>
        <v>3967</v>
      </c>
      <c r="T2273" s="151">
        <f t="shared" si="671"/>
        <v>5199</v>
      </c>
      <c r="U2273" s="151">
        <f t="shared" si="672"/>
        <v>0</v>
      </c>
      <c r="V2273" s="139">
        <f t="shared" si="673"/>
        <v>0</v>
      </c>
      <c r="W2273" s="152">
        <f t="shared" si="676"/>
        <v>5199</v>
      </c>
      <c r="X2273" s="127" t="str">
        <f t="shared" si="674"/>
        <v/>
      </c>
      <c r="Y2273" s="207">
        <f t="shared" si="677"/>
        <v>5199</v>
      </c>
      <c r="Z2273" s="139">
        <f t="shared" si="678"/>
        <v>5199</v>
      </c>
      <c r="AA2273" s="139">
        <f t="shared" si="679"/>
        <v>0</v>
      </c>
      <c r="AC2273" s="47">
        <f t="shared" si="680"/>
        <v>2600</v>
      </c>
      <c r="AD2273" s="47">
        <f t="shared" si="681"/>
        <v>2600</v>
      </c>
      <c r="AE2273" s="47">
        <f t="shared" si="682"/>
        <v>0</v>
      </c>
      <c r="AG2273" s="47">
        <f t="shared" si="683"/>
        <v>2599</v>
      </c>
      <c r="AH2273" s="47">
        <f t="shared" si="684"/>
        <v>2599</v>
      </c>
      <c r="AI2273" s="208">
        <f t="shared" si="685"/>
        <v>0</v>
      </c>
    </row>
    <row r="2274" spans="1:35">
      <c r="A2274" t="s">
        <v>2160</v>
      </c>
      <c r="B2274" t="s">
        <v>3160</v>
      </c>
      <c r="C2274" t="s">
        <v>2693</v>
      </c>
      <c r="D2274" t="s">
        <v>5799</v>
      </c>
      <c r="F2274" t="s">
        <v>4679</v>
      </c>
      <c r="G2274" s="126">
        <f>SUMIFS('Support - Transition'!F:F,'Support - Transition'!B:B,'Step 2'!A2274,'Support - Transition'!C:C,'Step 2'!B2274,'Support - Transition'!D:D,'Step 2'!C2274,'Support - Transition'!E:E,"CIVIL")</f>
        <v>0</v>
      </c>
      <c r="H2274" s="126">
        <f>SUMIFS('Support - Transition'!F:F,'Support - Transition'!B:B,'Step 2'!A2274,'Support - Transition'!C:C,'Step 2'!B2274,'Support - Transition'!D:D,'Step 2'!C2274,'Support - Transition'!E:E,"FIRE")</f>
        <v>0</v>
      </c>
      <c r="I2274" s="126">
        <f>IF(B2274="0",SUMIFS('Support - Transition'!F:F,'Support - Transition'!J:J,'Step 2'!D2274,'Support - Transition'!E:E,"STATE UNIT"),SUMIFS('Support - Transition'!F:F,'Support - Transition'!J:J,'Step 2'!D2274))</f>
        <v>0.12951299999999999</v>
      </c>
      <c r="J2274" s="126">
        <f>SUMIFS('Support - Unit Adjustments'!E:E,'Support - Unit Adjustments'!F:F,'Step 2'!D2274)</f>
        <v>0</v>
      </c>
      <c r="K2274" s="126">
        <f t="shared" si="669"/>
        <v>0.12951299999999999</v>
      </c>
      <c r="L2274" s="174">
        <f>VLOOKUP(A2274,'Step 1'!$A:$E,4,FALSE)</f>
        <v>285076</v>
      </c>
      <c r="M2274" s="47">
        <f t="shared" si="670"/>
        <v>36921</v>
      </c>
      <c r="N2274" s="177">
        <f>SUMIFS('Support - Transition'!G:G,'Support - Transition'!J:J,'Step 2'!D2274,'Support - Transition'!E:E,"2009 WELFARE ALLOCATION FACTOR")</f>
        <v>0</v>
      </c>
      <c r="O2274" s="152">
        <f t="shared" si="675"/>
        <v>0</v>
      </c>
      <c r="P2274" s="126">
        <f>IF(E2274="Y",0,SUMIFS('Support - Transition'!G:G,'Support - Transition'!J:J,'Step 2'!D2274,'Support - Transition'!E:E,"2009 SCHOOL ALLOCATION FACTOR"))</f>
        <v>0.449793</v>
      </c>
      <c r="Q2274" s="126">
        <f>IF(E2274="Y",VLOOKUP(D2274,'Support - Unit Adjustments'!F:G,2,FALSE),0)</f>
        <v>0</v>
      </c>
      <c r="R2274" s="155">
        <f t="shared" si="687"/>
        <v>0.449793</v>
      </c>
      <c r="S2274" s="47">
        <f t="shared" si="686"/>
        <v>16607</v>
      </c>
      <c r="T2274" s="151">
        <f t="shared" si="671"/>
        <v>20314</v>
      </c>
      <c r="U2274" s="151">
        <f t="shared" si="672"/>
        <v>0</v>
      </c>
      <c r="V2274" s="139">
        <f t="shared" si="673"/>
        <v>0</v>
      </c>
      <c r="W2274" s="152">
        <f t="shared" si="676"/>
        <v>20314</v>
      </c>
      <c r="X2274" s="127" t="str">
        <f t="shared" si="674"/>
        <v/>
      </c>
      <c r="Y2274" s="207">
        <f t="shared" si="677"/>
        <v>20314</v>
      </c>
      <c r="Z2274" s="139">
        <f t="shared" si="678"/>
        <v>20314</v>
      </c>
      <c r="AA2274" s="139">
        <f t="shared" si="679"/>
        <v>0</v>
      </c>
      <c r="AC2274" s="47">
        <f t="shared" si="680"/>
        <v>10157</v>
      </c>
      <c r="AD2274" s="47">
        <f t="shared" si="681"/>
        <v>10157</v>
      </c>
      <c r="AE2274" s="47">
        <f t="shared" si="682"/>
        <v>0</v>
      </c>
      <c r="AG2274" s="47">
        <f t="shared" si="683"/>
        <v>10157</v>
      </c>
      <c r="AH2274" s="47">
        <f t="shared" si="684"/>
        <v>10157</v>
      </c>
      <c r="AI2274" s="208">
        <f t="shared" si="685"/>
        <v>0</v>
      </c>
    </row>
    <row r="2275" spans="1:35">
      <c r="A2275" t="s">
        <v>2160</v>
      </c>
      <c r="B2275" t="s">
        <v>3160</v>
      </c>
      <c r="C2275" t="s">
        <v>3025</v>
      </c>
      <c r="D2275" t="s">
        <v>5800</v>
      </c>
      <c r="F2275" t="s">
        <v>1632</v>
      </c>
      <c r="G2275" s="126">
        <f>SUMIFS('Support - Transition'!F:F,'Support - Transition'!B:B,'Step 2'!A2275,'Support - Transition'!C:C,'Step 2'!B2275,'Support - Transition'!D:D,'Step 2'!C2275,'Support - Transition'!E:E,"CIVIL")</f>
        <v>0</v>
      </c>
      <c r="H2275" s="126">
        <f>SUMIFS('Support - Transition'!F:F,'Support - Transition'!B:B,'Step 2'!A2275,'Support - Transition'!C:C,'Step 2'!B2275,'Support - Transition'!D:D,'Step 2'!C2275,'Support - Transition'!E:E,"FIRE")</f>
        <v>0</v>
      </c>
      <c r="I2275" s="126">
        <f>IF(B2275="0",SUMIFS('Support - Transition'!F:F,'Support - Transition'!J:J,'Step 2'!D2275,'Support - Transition'!E:E,"STATE UNIT"),SUMIFS('Support - Transition'!F:F,'Support - Transition'!J:J,'Step 2'!D2275))</f>
        <v>0.17158599999999999</v>
      </c>
      <c r="J2275" s="126">
        <f>SUMIFS('Support - Unit Adjustments'!E:E,'Support - Unit Adjustments'!F:F,'Step 2'!D2275)</f>
        <v>0</v>
      </c>
      <c r="K2275" s="126">
        <f t="shared" si="669"/>
        <v>0.17158599999999999</v>
      </c>
      <c r="L2275" s="174">
        <f>VLOOKUP(A2275,'Step 1'!$A:$E,4,FALSE)</f>
        <v>285076</v>
      </c>
      <c r="M2275" s="47">
        <f t="shared" si="670"/>
        <v>48915</v>
      </c>
      <c r="N2275" s="177">
        <f>SUMIFS('Support - Transition'!G:G,'Support - Transition'!J:J,'Step 2'!D2275,'Support - Transition'!E:E,"2009 WELFARE ALLOCATION FACTOR")</f>
        <v>0</v>
      </c>
      <c r="O2275" s="152">
        <f t="shared" si="675"/>
        <v>0</v>
      </c>
      <c r="P2275" s="126">
        <f>IF(E2275="Y",0,SUMIFS('Support - Transition'!G:G,'Support - Transition'!J:J,'Step 2'!D2275,'Support - Transition'!E:E,"2009 SCHOOL ALLOCATION FACTOR"))</f>
        <v>0.53579699999999997</v>
      </c>
      <c r="Q2275" s="126">
        <f>IF(E2275="Y",VLOOKUP(D2275,'Support - Unit Adjustments'!F:G,2,FALSE),0)</f>
        <v>0</v>
      </c>
      <c r="R2275" s="155">
        <f t="shared" si="687"/>
        <v>0.53579699999999997</v>
      </c>
      <c r="S2275" s="47">
        <f t="shared" si="686"/>
        <v>26209</v>
      </c>
      <c r="T2275" s="151">
        <f t="shared" si="671"/>
        <v>22706</v>
      </c>
      <c r="U2275" s="151">
        <f t="shared" si="672"/>
        <v>0</v>
      </c>
      <c r="V2275" s="139">
        <f t="shared" si="673"/>
        <v>0</v>
      </c>
      <c r="W2275" s="152">
        <f t="shared" si="676"/>
        <v>22706</v>
      </c>
      <c r="X2275" s="127" t="str">
        <f t="shared" si="674"/>
        <v/>
      </c>
      <c r="Y2275" s="207">
        <f t="shared" si="677"/>
        <v>22706</v>
      </c>
      <c r="Z2275" s="139">
        <f t="shared" si="678"/>
        <v>22706</v>
      </c>
      <c r="AA2275" s="139">
        <f t="shared" si="679"/>
        <v>0</v>
      </c>
      <c r="AC2275" s="47">
        <f t="shared" si="680"/>
        <v>11353</v>
      </c>
      <c r="AD2275" s="47">
        <f t="shared" si="681"/>
        <v>11353</v>
      </c>
      <c r="AE2275" s="47">
        <f t="shared" si="682"/>
        <v>0</v>
      </c>
      <c r="AG2275" s="47">
        <f t="shared" si="683"/>
        <v>11353</v>
      </c>
      <c r="AH2275" s="47">
        <f t="shared" si="684"/>
        <v>11353</v>
      </c>
      <c r="AI2275" s="208">
        <f t="shared" si="685"/>
        <v>0</v>
      </c>
    </row>
    <row r="2276" spans="1:35">
      <c r="A2276" t="s">
        <v>2160</v>
      </c>
      <c r="B2276" t="s">
        <v>3160</v>
      </c>
      <c r="C2276" t="s">
        <v>2372</v>
      </c>
      <c r="D2276" t="s">
        <v>5801</v>
      </c>
      <c r="F2276" t="s">
        <v>392</v>
      </c>
      <c r="G2276" s="126">
        <f>SUMIFS('Support - Transition'!F:F,'Support - Transition'!B:B,'Step 2'!A2276,'Support - Transition'!C:C,'Step 2'!B2276,'Support - Transition'!D:D,'Step 2'!C2276,'Support - Transition'!E:E,"CIVIL")</f>
        <v>0</v>
      </c>
      <c r="H2276" s="126">
        <f>SUMIFS('Support - Transition'!F:F,'Support - Transition'!B:B,'Step 2'!A2276,'Support - Transition'!C:C,'Step 2'!B2276,'Support - Transition'!D:D,'Step 2'!C2276,'Support - Transition'!E:E,"FIRE")</f>
        <v>0</v>
      </c>
      <c r="I2276" s="126">
        <f>IF(B2276="0",SUMIFS('Support - Transition'!F:F,'Support - Transition'!J:J,'Step 2'!D2276,'Support - Transition'!E:E,"STATE UNIT"),SUMIFS('Support - Transition'!F:F,'Support - Transition'!J:J,'Step 2'!D2276))</f>
        <v>3.1296999999999998E-2</v>
      </c>
      <c r="J2276" s="126">
        <f>SUMIFS('Support - Unit Adjustments'!E:E,'Support - Unit Adjustments'!F:F,'Step 2'!D2276)</f>
        <v>0</v>
      </c>
      <c r="K2276" s="126">
        <f t="shared" si="669"/>
        <v>3.1296999999999998E-2</v>
      </c>
      <c r="L2276" s="174">
        <f>VLOOKUP(A2276,'Step 1'!$A:$E,4,FALSE)</f>
        <v>285076</v>
      </c>
      <c r="M2276" s="47">
        <f t="shared" si="670"/>
        <v>8922</v>
      </c>
      <c r="N2276" s="177">
        <f>SUMIFS('Support - Transition'!G:G,'Support - Transition'!J:J,'Step 2'!D2276,'Support - Transition'!E:E,"2009 WELFARE ALLOCATION FACTOR")</f>
        <v>0</v>
      </c>
      <c r="O2276" s="152">
        <f t="shared" si="675"/>
        <v>0</v>
      </c>
      <c r="P2276" s="126">
        <f>IF(E2276="Y",0,SUMIFS('Support - Transition'!G:G,'Support - Transition'!J:J,'Step 2'!D2276,'Support - Transition'!E:E,"2009 SCHOOL ALLOCATION FACTOR"))</f>
        <v>0.59032099999999998</v>
      </c>
      <c r="Q2276" s="126">
        <f>IF(E2276="Y",VLOOKUP(D2276,'Support - Unit Adjustments'!F:G,2,FALSE),0)</f>
        <v>0</v>
      </c>
      <c r="R2276" s="155">
        <f t="shared" si="687"/>
        <v>0.59032099999999998</v>
      </c>
      <c r="S2276" s="47">
        <f t="shared" si="686"/>
        <v>5267</v>
      </c>
      <c r="T2276" s="151">
        <f t="shared" si="671"/>
        <v>3655</v>
      </c>
      <c r="U2276" s="151">
        <f t="shared" si="672"/>
        <v>0</v>
      </c>
      <c r="V2276" s="139">
        <f t="shared" si="673"/>
        <v>0</v>
      </c>
      <c r="W2276" s="152">
        <f t="shared" si="676"/>
        <v>3655</v>
      </c>
      <c r="X2276" s="127" t="str">
        <f t="shared" si="674"/>
        <v/>
      </c>
      <c r="Y2276" s="207">
        <f t="shared" si="677"/>
        <v>3655</v>
      </c>
      <c r="Z2276" s="139">
        <f t="shared" si="678"/>
        <v>3655</v>
      </c>
      <c r="AA2276" s="139">
        <f t="shared" si="679"/>
        <v>0</v>
      </c>
      <c r="AC2276" s="47">
        <f t="shared" si="680"/>
        <v>1828</v>
      </c>
      <c r="AD2276" s="47">
        <f t="shared" si="681"/>
        <v>1828</v>
      </c>
      <c r="AE2276" s="47">
        <f t="shared" si="682"/>
        <v>0</v>
      </c>
      <c r="AG2276" s="47">
        <f t="shared" si="683"/>
        <v>1827</v>
      </c>
      <c r="AH2276" s="47">
        <f t="shared" si="684"/>
        <v>1827</v>
      </c>
      <c r="AI2276" s="208">
        <f t="shared" si="685"/>
        <v>0</v>
      </c>
    </row>
    <row r="2277" spans="1:35">
      <c r="A2277" t="s">
        <v>2160</v>
      </c>
      <c r="B2277" t="s">
        <v>3160</v>
      </c>
      <c r="C2277" t="s">
        <v>3026</v>
      </c>
      <c r="D2277" t="s">
        <v>5802</v>
      </c>
      <c r="F2277" t="s">
        <v>1633</v>
      </c>
      <c r="G2277" s="126">
        <f>SUMIFS('Support - Transition'!F:F,'Support - Transition'!B:B,'Step 2'!A2277,'Support - Transition'!C:C,'Step 2'!B2277,'Support - Transition'!D:D,'Step 2'!C2277,'Support - Transition'!E:E,"CIVIL")</f>
        <v>0</v>
      </c>
      <c r="H2277" s="126">
        <f>SUMIFS('Support - Transition'!F:F,'Support - Transition'!B:B,'Step 2'!A2277,'Support - Transition'!C:C,'Step 2'!B2277,'Support - Transition'!D:D,'Step 2'!C2277,'Support - Transition'!E:E,"FIRE")</f>
        <v>0</v>
      </c>
      <c r="I2277" s="126">
        <f>IF(B2277="0",SUMIFS('Support - Transition'!F:F,'Support - Transition'!J:J,'Step 2'!D2277,'Support - Transition'!E:E,"STATE UNIT"),SUMIFS('Support - Transition'!F:F,'Support - Transition'!J:J,'Step 2'!D2277))</f>
        <v>0.342418</v>
      </c>
      <c r="J2277" s="126">
        <f>SUMIFS('Support - Unit Adjustments'!E:E,'Support - Unit Adjustments'!F:F,'Step 2'!D2277)</f>
        <v>0</v>
      </c>
      <c r="K2277" s="126">
        <f t="shared" si="669"/>
        <v>0.342418</v>
      </c>
      <c r="L2277" s="174">
        <f>VLOOKUP(A2277,'Step 1'!$A:$E,4,FALSE)</f>
        <v>285076</v>
      </c>
      <c r="M2277" s="47">
        <f t="shared" si="670"/>
        <v>97615</v>
      </c>
      <c r="N2277" s="177">
        <f>SUMIFS('Support - Transition'!G:G,'Support - Transition'!J:J,'Step 2'!D2277,'Support - Transition'!E:E,"2009 WELFARE ALLOCATION FACTOR")</f>
        <v>0</v>
      </c>
      <c r="O2277" s="152">
        <f t="shared" si="675"/>
        <v>0</v>
      </c>
      <c r="P2277" s="126">
        <f>IF(E2277="Y",0,SUMIFS('Support - Transition'!G:G,'Support - Transition'!J:J,'Step 2'!D2277,'Support - Transition'!E:E,"2009 SCHOOL ALLOCATION FACTOR"))</f>
        <v>0.45450400000000002</v>
      </c>
      <c r="Q2277" s="126">
        <f>IF(E2277="Y",VLOOKUP(D2277,'Support - Unit Adjustments'!F:G,2,FALSE),0)</f>
        <v>0</v>
      </c>
      <c r="R2277" s="155">
        <f t="shared" si="687"/>
        <v>0.45450400000000002</v>
      </c>
      <c r="S2277" s="47">
        <f t="shared" si="686"/>
        <v>44366</v>
      </c>
      <c r="T2277" s="151">
        <f t="shared" si="671"/>
        <v>53249</v>
      </c>
      <c r="U2277" s="151">
        <f t="shared" si="672"/>
        <v>0</v>
      </c>
      <c r="V2277" s="139">
        <f t="shared" si="673"/>
        <v>0</v>
      </c>
      <c r="W2277" s="152">
        <f t="shared" si="676"/>
        <v>53249</v>
      </c>
      <c r="X2277" s="127" t="str">
        <f t="shared" si="674"/>
        <v/>
      </c>
      <c r="Y2277" s="207">
        <f t="shared" si="677"/>
        <v>53249</v>
      </c>
      <c r="Z2277" s="139">
        <f t="shared" si="678"/>
        <v>53249</v>
      </c>
      <c r="AA2277" s="139">
        <f t="shared" si="679"/>
        <v>0</v>
      </c>
      <c r="AC2277" s="47">
        <f t="shared" si="680"/>
        <v>26625</v>
      </c>
      <c r="AD2277" s="47">
        <f t="shared" si="681"/>
        <v>26625</v>
      </c>
      <c r="AE2277" s="47">
        <f t="shared" si="682"/>
        <v>0</v>
      </c>
      <c r="AG2277" s="47">
        <f t="shared" si="683"/>
        <v>26624</v>
      </c>
      <c r="AH2277" s="47">
        <f t="shared" si="684"/>
        <v>26624</v>
      </c>
      <c r="AI2277" s="208">
        <f t="shared" si="685"/>
        <v>0</v>
      </c>
    </row>
    <row r="2278" spans="1:35">
      <c r="A2278" t="s">
        <v>2160</v>
      </c>
      <c r="B2278" t="s">
        <v>3166</v>
      </c>
      <c r="C2278" t="s">
        <v>5803</v>
      </c>
      <c r="D2278" t="s">
        <v>5804</v>
      </c>
      <c r="F2278" t="s">
        <v>5805</v>
      </c>
      <c r="G2278" s="126">
        <f>SUMIFS('Support - Transition'!F:F,'Support - Transition'!B:B,'Step 2'!A2278,'Support - Transition'!C:C,'Step 2'!B2278,'Support - Transition'!D:D,'Step 2'!C2278,'Support - Transition'!E:E,"CIVIL")</f>
        <v>0</v>
      </c>
      <c r="H2278" s="126">
        <f>SUMIFS('Support - Transition'!F:F,'Support - Transition'!B:B,'Step 2'!A2278,'Support - Transition'!C:C,'Step 2'!B2278,'Support - Transition'!D:D,'Step 2'!C2278,'Support - Transition'!E:E,"FIRE")</f>
        <v>0</v>
      </c>
      <c r="I2278" s="126">
        <f>IF(B2278="0",SUMIFS('Support - Transition'!F:F,'Support - Transition'!J:J,'Step 2'!D2278,'Support - Transition'!E:E,"STATE UNIT"),SUMIFS('Support - Transition'!F:F,'Support - Transition'!J:J,'Step 2'!D2278))</f>
        <v>9.0310000000000008E-3</v>
      </c>
      <c r="J2278" s="126">
        <f>SUMIFS('Support - Unit Adjustments'!E:E,'Support - Unit Adjustments'!F:F,'Step 2'!D2278)</f>
        <v>0</v>
      </c>
      <c r="K2278" s="126">
        <f t="shared" si="669"/>
        <v>9.0310000000000008E-3</v>
      </c>
      <c r="L2278" s="174">
        <f>VLOOKUP(A2278,'Step 1'!$A:$E,4,FALSE)</f>
        <v>285076</v>
      </c>
      <c r="M2278" s="47">
        <f t="shared" si="670"/>
        <v>2575</v>
      </c>
      <c r="N2278" s="177">
        <f>SUMIFS('Support - Transition'!G:G,'Support - Transition'!J:J,'Step 2'!D2278,'Support - Transition'!E:E,"2009 WELFARE ALLOCATION FACTOR")</f>
        <v>0</v>
      </c>
      <c r="O2278" s="152">
        <f t="shared" si="675"/>
        <v>0</v>
      </c>
      <c r="P2278" s="126">
        <f>IF(E2278="Y",0,SUMIFS('Support - Transition'!G:G,'Support - Transition'!J:J,'Step 2'!D2278,'Support - Transition'!E:E,"2009 SCHOOL ALLOCATION FACTOR"))</f>
        <v>0</v>
      </c>
      <c r="Q2278" s="126">
        <f>IF(E2278="Y",VLOOKUP(D2278,'Support - Unit Adjustments'!F:G,2,FALSE),0)</f>
        <v>0</v>
      </c>
      <c r="R2278" s="155">
        <f t="shared" si="687"/>
        <v>0</v>
      </c>
      <c r="S2278" s="47">
        <f t="shared" si="686"/>
        <v>0</v>
      </c>
      <c r="T2278" s="151">
        <f t="shared" si="671"/>
        <v>2575</v>
      </c>
      <c r="U2278" s="151">
        <f t="shared" si="672"/>
        <v>0</v>
      </c>
      <c r="V2278" s="139">
        <f t="shared" si="673"/>
        <v>0</v>
      </c>
      <c r="W2278" s="152">
        <f t="shared" si="676"/>
        <v>2575</v>
      </c>
      <c r="X2278" s="127" t="str">
        <f t="shared" si="674"/>
        <v/>
      </c>
      <c r="Y2278" s="207">
        <f t="shared" si="677"/>
        <v>2575</v>
      </c>
      <c r="Z2278" s="139">
        <f t="shared" si="678"/>
        <v>2575</v>
      </c>
      <c r="AA2278" s="139">
        <f t="shared" si="679"/>
        <v>0</v>
      </c>
      <c r="AC2278" s="47">
        <f t="shared" si="680"/>
        <v>1288</v>
      </c>
      <c r="AD2278" s="47">
        <f t="shared" si="681"/>
        <v>1288</v>
      </c>
      <c r="AE2278" s="47">
        <f t="shared" si="682"/>
        <v>0</v>
      </c>
      <c r="AG2278" s="47">
        <f t="shared" si="683"/>
        <v>1287</v>
      </c>
      <c r="AH2278" s="47">
        <f t="shared" si="684"/>
        <v>1287</v>
      </c>
      <c r="AI2278" s="208">
        <f t="shared" si="685"/>
        <v>0</v>
      </c>
    </row>
    <row r="2279" spans="1:35">
      <c r="A2279" t="s">
        <v>2160</v>
      </c>
      <c r="B2279" t="s">
        <v>3166</v>
      </c>
      <c r="C2279" t="s">
        <v>3027</v>
      </c>
      <c r="D2279" t="s">
        <v>5806</v>
      </c>
      <c r="F2279" t="s">
        <v>1635</v>
      </c>
      <c r="G2279" s="126">
        <f>SUMIFS('Support - Transition'!F:F,'Support - Transition'!B:B,'Step 2'!A2279,'Support - Transition'!C:C,'Step 2'!B2279,'Support - Transition'!D:D,'Step 2'!C2279,'Support - Transition'!E:E,"CIVIL")</f>
        <v>0</v>
      </c>
      <c r="H2279" s="126">
        <f>SUMIFS('Support - Transition'!F:F,'Support - Transition'!B:B,'Step 2'!A2279,'Support - Transition'!C:C,'Step 2'!B2279,'Support - Transition'!D:D,'Step 2'!C2279,'Support - Transition'!E:E,"FIRE")</f>
        <v>0</v>
      </c>
      <c r="I2279" s="126">
        <f>IF(B2279="0",SUMIFS('Support - Transition'!F:F,'Support - Transition'!J:J,'Step 2'!D2279,'Support - Transition'!E:E,"STATE UNIT"),SUMIFS('Support - Transition'!F:F,'Support - Transition'!J:J,'Step 2'!D2279))</f>
        <v>9.6000000000000002E-5</v>
      </c>
      <c r="J2279" s="126">
        <f>SUMIFS('Support - Unit Adjustments'!E:E,'Support - Unit Adjustments'!F:F,'Step 2'!D2279)</f>
        <v>0</v>
      </c>
      <c r="K2279" s="126">
        <f t="shared" si="669"/>
        <v>9.6000000000000002E-5</v>
      </c>
      <c r="L2279" s="174">
        <f>VLOOKUP(A2279,'Step 1'!$A:$E,4,FALSE)</f>
        <v>285076</v>
      </c>
      <c r="M2279" s="47">
        <f t="shared" si="670"/>
        <v>27</v>
      </c>
      <c r="N2279" s="177">
        <f>SUMIFS('Support - Transition'!G:G,'Support - Transition'!J:J,'Step 2'!D2279,'Support - Transition'!E:E,"2009 WELFARE ALLOCATION FACTOR")</f>
        <v>0</v>
      </c>
      <c r="O2279" s="152">
        <f t="shared" si="675"/>
        <v>0</v>
      </c>
      <c r="P2279" s="126">
        <f>IF(E2279="Y",0,SUMIFS('Support - Transition'!G:G,'Support - Transition'!J:J,'Step 2'!D2279,'Support - Transition'!E:E,"2009 SCHOOL ALLOCATION FACTOR"))</f>
        <v>0</v>
      </c>
      <c r="Q2279" s="126">
        <f>IF(E2279="Y",VLOOKUP(D2279,'Support - Unit Adjustments'!F:G,2,FALSE),0)</f>
        <v>0</v>
      </c>
      <c r="R2279" s="155">
        <f t="shared" si="687"/>
        <v>0</v>
      </c>
      <c r="S2279" s="47">
        <f t="shared" si="686"/>
        <v>0</v>
      </c>
      <c r="T2279" s="151">
        <f t="shared" si="671"/>
        <v>27</v>
      </c>
      <c r="U2279" s="151">
        <f t="shared" si="672"/>
        <v>0</v>
      </c>
      <c r="V2279" s="139">
        <f t="shared" si="673"/>
        <v>0</v>
      </c>
      <c r="W2279" s="152">
        <f t="shared" si="676"/>
        <v>27</v>
      </c>
      <c r="X2279" s="127" t="str">
        <f t="shared" si="674"/>
        <v/>
      </c>
      <c r="Y2279" s="207">
        <f t="shared" si="677"/>
        <v>27</v>
      </c>
      <c r="Z2279" s="139">
        <f t="shared" si="678"/>
        <v>27</v>
      </c>
      <c r="AA2279" s="139">
        <f t="shared" si="679"/>
        <v>0</v>
      </c>
      <c r="AC2279" s="47">
        <f t="shared" si="680"/>
        <v>14</v>
      </c>
      <c r="AD2279" s="47">
        <f t="shared" si="681"/>
        <v>14</v>
      </c>
      <c r="AE2279" s="47">
        <f t="shared" si="682"/>
        <v>0</v>
      </c>
      <c r="AG2279" s="47">
        <f t="shared" si="683"/>
        <v>13</v>
      </c>
      <c r="AH2279" s="47">
        <f t="shared" si="684"/>
        <v>13</v>
      </c>
      <c r="AI2279" s="208">
        <f t="shared" si="685"/>
        <v>0</v>
      </c>
    </row>
    <row r="2280" spans="1:35">
      <c r="A2280" t="s">
        <v>2160</v>
      </c>
      <c r="B2280" t="s">
        <v>3170</v>
      </c>
      <c r="C2280" t="s">
        <v>3708</v>
      </c>
      <c r="D2280" t="s">
        <v>5807</v>
      </c>
      <c r="F2280" t="s">
        <v>397</v>
      </c>
      <c r="G2280" s="126">
        <f>SUMIFS('Support - Transition'!F:F,'Support - Transition'!B:B,'Step 2'!A2280,'Support - Transition'!C:C,'Step 2'!B2280,'Support - Transition'!D:D,'Step 2'!C2280,'Support - Transition'!E:E,"CIVIL")</f>
        <v>0</v>
      </c>
      <c r="H2280" s="126">
        <f>SUMIFS('Support - Transition'!F:F,'Support - Transition'!B:B,'Step 2'!A2280,'Support - Transition'!C:C,'Step 2'!B2280,'Support - Transition'!D:D,'Step 2'!C2280,'Support - Transition'!E:E,"FIRE")</f>
        <v>0</v>
      </c>
      <c r="I2280" s="126">
        <f>IF(B2280="0",SUMIFS('Support - Transition'!F:F,'Support - Transition'!J:J,'Step 2'!D2280,'Support - Transition'!E:E,"STATE UNIT"),SUMIFS('Support - Transition'!F:F,'Support - Transition'!J:J,'Step 2'!D2280))</f>
        <v>5.6059999999999999E-3</v>
      </c>
      <c r="J2280" s="126">
        <f>SUMIFS('Support - Unit Adjustments'!E:E,'Support - Unit Adjustments'!F:F,'Step 2'!D2280)</f>
        <v>0</v>
      </c>
      <c r="K2280" s="126">
        <f t="shared" si="669"/>
        <v>5.6059999999999999E-3</v>
      </c>
      <c r="L2280" s="174">
        <f>VLOOKUP(A2280,'Step 1'!$A:$E,4,FALSE)</f>
        <v>285076</v>
      </c>
      <c r="M2280" s="47">
        <f t="shared" si="670"/>
        <v>1598</v>
      </c>
      <c r="N2280" s="177">
        <f>SUMIFS('Support - Transition'!G:G,'Support - Transition'!J:J,'Step 2'!D2280,'Support - Transition'!E:E,"2009 WELFARE ALLOCATION FACTOR")</f>
        <v>0</v>
      </c>
      <c r="O2280" s="152">
        <f t="shared" si="675"/>
        <v>0</v>
      </c>
      <c r="P2280" s="126">
        <f>IF(E2280="Y",0,SUMIFS('Support - Transition'!G:G,'Support - Transition'!J:J,'Step 2'!D2280,'Support - Transition'!E:E,"2009 SCHOOL ALLOCATION FACTOR"))</f>
        <v>0</v>
      </c>
      <c r="Q2280" s="126">
        <f>IF(E2280="Y",VLOOKUP(D2280,'Support - Unit Adjustments'!F:G,2,FALSE),0)</f>
        <v>0</v>
      </c>
      <c r="R2280" s="155">
        <f t="shared" si="687"/>
        <v>0</v>
      </c>
      <c r="S2280" s="47">
        <f t="shared" si="686"/>
        <v>0</v>
      </c>
      <c r="T2280" s="151">
        <f t="shared" si="671"/>
        <v>1598</v>
      </c>
      <c r="U2280" s="151">
        <f t="shared" si="672"/>
        <v>0</v>
      </c>
      <c r="V2280" s="139">
        <f t="shared" si="673"/>
        <v>0</v>
      </c>
      <c r="W2280" s="152">
        <f t="shared" si="676"/>
        <v>1598</v>
      </c>
      <c r="X2280" s="127" t="str">
        <f t="shared" si="674"/>
        <v/>
      </c>
      <c r="Y2280" s="207">
        <f t="shared" si="677"/>
        <v>1598</v>
      </c>
      <c r="Z2280" s="139">
        <f t="shared" si="678"/>
        <v>1598</v>
      </c>
      <c r="AA2280" s="139">
        <f t="shared" si="679"/>
        <v>0</v>
      </c>
      <c r="AC2280" s="47">
        <f t="shared" si="680"/>
        <v>799</v>
      </c>
      <c r="AD2280" s="47">
        <f t="shared" si="681"/>
        <v>799</v>
      </c>
      <c r="AE2280" s="47">
        <f t="shared" si="682"/>
        <v>0</v>
      </c>
      <c r="AG2280" s="47">
        <f t="shared" si="683"/>
        <v>799</v>
      </c>
      <c r="AH2280" s="47">
        <f t="shared" si="684"/>
        <v>799</v>
      </c>
      <c r="AI2280" s="208">
        <f t="shared" si="685"/>
        <v>0</v>
      </c>
    </row>
    <row r="2281" spans="1:35">
      <c r="A2281" t="s">
        <v>2161</v>
      </c>
      <c r="B2281" s="48" t="s">
        <v>6274</v>
      </c>
      <c r="C2281" t="s">
        <v>2187</v>
      </c>
      <c r="D2281" t="str">
        <f>A2281&amp;B2281&amp;C2281</f>
        <v>7700000</v>
      </c>
      <c r="F2281" t="s">
        <v>6351</v>
      </c>
      <c r="G2281" s="126">
        <f>SUMIFS('Support - Transition'!F:F,'Support - Transition'!B:B,'Step 2'!A2281,'Support - Transition'!C:C,'Step 2'!B2281,'Support - Transition'!D:D,'Step 2'!C2281,'Support - Transition'!E:E,"CIVIL")</f>
        <v>0</v>
      </c>
      <c r="H2281" s="126">
        <f>SUMIFS('Support - Transition'!F:F,'Support - Transition'!B:B,'Step 2'!A2281,'Support - Transition'!C:C,'Step 2'!B2281,'Support - Transition'!D:D,'Step 2'!C2281,'Support - Transition'!E:E,"FIRE")</f>
        <v>0</v>
      </c>
      <c r="I2281" s="126">
        <f>IF(B2281="0",SUMIFS('Support - Transition'!F:F,'Support - Transition'!J:J,'Step 2'!D2281,'Support - Transition'!E:E,"STATE UNIT"),SUMIFS('Support - Transition'!F:F,'Support - Transition'!J:J,'Step 2'!D2281))</f>
        <v>1.0820000000000001E-3</v>
      </c>
      <c r="J2281" s="126">
        <f>SUMIFS('Support - Unit Adjustments'!E:E,'Support - Unit Adjustments'!F:F,'Step 2'!D2281)</f>
        <v>0</v>
      </c>
      <c r="K2281" s="126">
        <f t="shared" si="669"/>
        <v>1.0820000000000001E-3</v>
      </c>
      <c r="L2281" s="174">
        <f>VLOOKUP(A2281,'Step 1'!$A:$E,4,FALSE)</f>
        <v>178606</v>
      </c>
      <c r="M2281" s="47">
        <f t="shared" si="670"/>
        <v>193</v>
      </c>
      <c r="N2281" s="177">
        <f>SUMIFS('Support - Transition'!G:G,'Support - Transition'!J:J,'Step 2'!D2281,'Support - Transition'!E:E,"2009 WELFARE ALLOCATION FACTOR")</f>
        <v>0</v>
      </c>
      <c r="O2281" s="152">
        <f t="shared" si="675"/>
        <v>0</v>
      </c>
      <c r="P2281" s="126">
        <f>IF(E2281="Y",0,SUMIFS('Support - Transition'!G:G,'Support - Transition'!J:J,'Step 2'!D2281,'Support - Transition'!E:E,"2009 SCHOOL ALLOCATION FACTOR"))</f>
        <v>0</v>
      </c>
      <c r="Q2281" s="126">
        <f>IF(E2281="Y",VLOOKUP(D2281,'Support - Unit Adjustments'!F:G,2,FALSE),0)</f>
        <v>0</v>
      </c>
      <c r="R2281" s="155">
        <f t="shared" si="687"/>
        <v>0</v>
      </c>
      <c r="S2281" s="47">
        <f t="shared" si="686"/>
        <v>0</v>
      </c>
      <c r="T2281" s="151">
        <f t="shared" si="671"/>
        <v>193</v>
      </c>
      <c r="U2281" s="151">
        <f t="shared" si="672"/>
        <v>178608</v>
      </c>
      <c r="V2281" s="139">
        <f t="shared" si="673"/>
        <v>2</v>
      </c>
      <c r="W2281" s="152">
        <f t="shared" si="676"/>
        <v>191</v>
      </c>
      <c r="X2281" s="127">
        <f t="shared" si="674"/>
        <v>0</v>
      </c>
      <c r="Y2281" s="207">
        <f t="shared" si="677"/>
        <v>191</v>
      </c>
      <c r="Z2281" s="139">
        <f t="shared" si="678"/>
        <v>191</v>
      </c>
      <c r="AA2281" s="139">
        <f t="shared" si="679"/>
        <v>0</v>
      </c>
      <c r="AC2281" s="47">
        <f t="shared" si="680"/>
        <v>96</v>
      </c>
      <c r="AD2281" s="47">
        <f t="shared" si="681"/>
        <v>96</v>
      </c>
      <c r="AE2281" s="47">
        <f t="shared" si="682"/>
        <v>0</v>
      </c>
      <c r="AG2281" s="47">
        <f t="shared" si="683"/>
        <v>95</v>
      </c>
      <c r="AH2281" s="47">
        <f t="shared" si="684"/>
        <v>95</v>
      </c>
      <c r="AI2281" s="208">
        <f t="shared" si="685"/>
        <v>0</v>
      </c>
    </row>
    <row r="2282" spans="1:35">
      <c r="A2282" t="s">
        <v>2161</v>
      </c>
      <c r="B2282" t="s">
        <v>3140</v>
      </c>
      <c r="C2282" t="s">
        <v>2187</v>
      </c>
      <c r="D2282" t="s">
        <v>5808</v>
      </c>
      <c r="F2282" t="s">
        <v>1637</v>
      </c>
      <c r="G2282" s="126">
        <f>SUMIFS('Support - Transition'!F:F,'Support - Transition'!B:B,'Step 2'!A2282,'Support - Transition'!C:C,'Step 2'!B2282,'Support - Transition'!D:D,'Step 2'!C2282,'Support - Transition'!E:E,"CIVIL")</f>
        <v>0</v>
      </c>
      <c r="H2282" s="126">
        <f>SUMIFS('Support - Transition'!F:F,'Support - Transition'!B:B,'Step 2'!A2282,'Support - Transition'!C:C,'Step 2'!B2282,'Support - Transition'!D:D,'Step 2'!C2282,'Support - Transition'!E:E,"FIRE")</f>
        <v>0</v>
      </c>
      <c r="I2282" s="126">
        <f>IF(B2282="0",SUMIFS('Support - Transition'!F:F,'Support - Transition'!J:J,'Step 2'!D2282,'Support - Transition'!E:E,"STATE UNIT"),SUMIFS('Support - Transition'!F:F,'Support - Transition'!J:J,'Step 2'!D2282))</f>
        <v>0.22498699999999999</v>
      </c>
      <c r="J2282" s="126">
        <f>SUMIFS('Support - Unit Adjustments'!E:E,'Support - Unit Adjustments'!F:F,'Step 2'!D2282)</f>
        <v>0</v>
      </c>
      <c r="K2282" s="126">
        <f t="shared" si="669"/>
        <v>0.22498699999999999</v>
      </c>
      <c r="L2282" s="174">
        <f>VLOOKUP(A2282,'Step 1'!$A:$E,4,FALSE)</f>
        <v>178606</v>
      </c>
      <c r="M2282" s="47">
        <f t="shared" si="670"/>
        <v>40184</v>
      </c>
      <c r="N2282" s="177">
        <f>SUMIFS('Support - Transition'!G:G,'Support - Transition'!J:J,'Step 2'!D2282,'Support - Transition'!E:E,"2009 WELFARE ALLOCATION FACTOR")</f>
        <v>0.14630899999999999</v>
      </c>
      <c r="O2282" s="152">
        <f t="shared" si="675"/>
        <v>5879</v>
      </c>
      <c r="P2282" s="126">
        <f>IF(E2282="Y",0,SUMIFS('Support - Transition'!G:G,'Support - Transition'!J:J,'Step 2'!D2282,'Support - Transition'!E:E,"2009 SCHOOL ALLOCATION FACTOR"))</f>
        <v>0</v>
      </c>
      <c r="Q2282" s="126">
        <f>IF(E2282="Y",VLOOKUP(D2282,'Support - Unit Adjustments'!F:G,2,FALSE),0)</f>
        <v>0</v>
      </c>
      <c r="R2282" s="155">
        <f t="shared" si="687"/>
        <v>0</v>
      </c>
      <c r="S2282" s="47">
        <f t="shared" si="686"/>
        <v>0</v>
      </c>
      <c r="T2282" s="151">
        <f t="shared" si="671"/>
        <v>34305</v>
      </c>
      <c r="U2282" s="151">
        <f t="shared" si="672"/>
        <v>0</v>
      </c>
      <c r="V2282" s="139">
        <f t="shared" si="673"/>
        <v>0</v>
      </c>
      <c r="W2282" s="152">
        <f t="shared" si="676"/>
        <v>34305</v>
      </c>
      <c r="X2282" s="127" t="str">
        <f t="shared" si="674"/>
        <v/>
      </c>
      <c r="Y2282" s="207">
        <f t="shared" si="677"/>
        <v>34305</v>
      </c>
      <c r="Z2282" s="139">
        <f t="shared" si="678"/>
        <v>34305</v>
      </c>
      <c r="AA2282" s="139">
        <f t="shared" si="679"/>
        <v>0</v>
      </c>
      <c r="AC2282" s="47">
        <f t="shared" si="680"/>
        <v>17153</v>
      </c>
      <c r="AD2282" s="47">
        <f t="shared" si="681"/>
        <v>17153</v>
      </c>
      <c r="AE2282" s="47">
        <f t="shared" si="682"/>
        <v>0</v>
      </c>
      <c r="AG2282" s="47">
        <f t="shared" si="683"/>
        <v>17152</v>
      </c>
      <c r="AH2282" s="47">
        <f t="shared" si="684"/>
        <v>17152</v>
      </c>
      <c r="AI2282" s="208">
        <f t="shared" si="685"/>
        <v>0</v>
      </c>
    </row>
    <row r="2283" spans="1:35">
      <c r="A2283" t="s">
        <v>2161</v>
      </c>
      <c r="B2283" t="s">
        <v>3142</v>
      </c>
      <c r="C2283" t="s">
        <v>2188</v>
      </c>
      <c r="D2283" t="s">
        <v>5809</v>
      </c>
      <c r="F2283" t="s">
        <v>249</v>
      </c>
      <c r="G2283" s="126">
        <f>SUMIFS('Support - Transition'!F:F,'Support - Transition'!B:B,'Step 2'!A2283,'Support - Transition'!C:C,'Step 2'!B2283,'Support - Transition'!D:D,'Step 2'!C2283,'Support - Transition'!E:E,"CIVIL")</f>
        <v>4.5899999999999999E-4</v>
      </c>
      <c r="H2283" s="126">
        <f>SUMIFS('Support - Transition'!F:F,'Support - Transition'!B:B,'Step 2'!A2283,'Support - Transition'!C:C,'Step 2'!B2283,'Support - Transition'!D:D,'Step 2'!C2283,'Support - Transition'!E:E,"FIRE")</f>
        <v>1.4799999999999999E-4</v>
      </c>
      <c r="I2283" s="126">
        <f>IF(B2283="0",SUMIFS('Support - Transition'!F:F,'Support - Transition'!J:J,'Step 2'!D2283,'Support - Transition'!E:E,"STATE UNIT"),SUMIFS('Support - Transition'!F:F,'Support - Transition'!J:J,'Step 2'!D2283))</f>
        <v>6.0700000000000001E-4</v>
      </c>
      <c r="J2283" s="126">
        <f>SUMIFS('Support - Unit Adjustments'!E:E,'Support - Unit Adjustments'!F:F,'Step 2'!D2283)</f>
        <v>0</v>
      </c>
      <c r="K2283" s="126">
        <f t="shared" si="669"/>
        <v>6.0700000000000001E-4</v>
      </c>
      <c r="L2283" s="174">
        <f>VLOOKUP(A2283,'Step 1'!$A:$E,4,FALSE)</f>
        <v>178606</v>
      </c>
      <c r="M2283" s="47">
        <f t="shared" si="670"/>
        <v>108</v>
      </c>
      <c r="N2283" s="177">
        <f>SUMIFS('Support - Transition'!G:G,'Support - Transition'!J:J,'Step 2'!D2283,'Support - Transition'!E:E,"2009 WELFARE ALLOCATION FACTOR")</f>
        <v>0</v>
      </c>
      <c r="O2283" s="152">
        <f t="shared" si="675"/>
        <v>0</v>
      </c>
      <c r="P2283" s="126">
        <f>IF(E2283="Y",0,SUMIFS('Support - Transition'!G:G,'Support - Transition'!J:J,'Step 2'!D2283,'Support - Transition'!E:E,"2009 SCHOOL ALLOCATION FACTOR"))</f>
        <v>0</v>
      </c>
      <c r="Q2283" s="126">
        <f>IF(E2283="Y",VLOOKUP(D2283,'Support - Unit Adjustments'!F:G,2,FALSE),0)</f>
        <v>0</v>
      </c>
      <c r="R2283" s="155">
        <f t="shared" si="687"/>
        <v>0</v>
      </c>
      <c r="S2283" s="47">
        <f t="shared" si="686"/>
        <v>0</v>
      </c>
      <c r="T2283" s="151">
        <f t="shared" si="671"/>
        <v>108</v>
      </c>
      <c r="U2283" s="151">
        <f t="shared" si="672"/>
        <v>0</v>
      </c>
      <c r="V2283" s="139">
        <f t="shared" si="673"/>
        <v>0</v>
      </c>
      <c r="W2283" s="152">
        <f t="shared" si="676"/>
        <v>108</v>
      </c>
      <c r="X2283" s="127" t="str">
        <f t="shared" si="674"/>
        <v/>
      </c>
      <c r="Y2283" s="207">
        <f t="shared" si="677"/>
        <v>108</v>
      </c>
      <c r="Z2283" s="139">
        <f t="shared" si="678"/>
        <v>82</v>
      </c>
      <c r="AA2283" s="139">
        <f t="shared" si="679"/>
        <v>26</v>
      </c>
      <c r="AC2283" s="47">
        <f t="shared" si="680"/>
        <v>54</v>
      </c>
      <c r="AD2283" s="47">
        <f t="shared" si="681"/>
        <v>41</v>
      </c>
      <c r="AE2283" s="47">
        <f t="shared" si="682"/>
        <v>13</v>
      </c>
      <c r="AG2283" s="47">
        <f t="shared" si="683"/>
        <v>54</v>
      </c>
      <c r="AH2283" s="47">
        <f t="shared" si="684"/>
        <v>41</v>
      </c>
      <c r="AI2283" s="208">
        <f t="shared" si="685"/>
        <v>13</v>
      </c>
    </row>
    <row r="2284" spans="1:35">
      <c r="A2284" t="s">
        <v>2161</v>
      </c>
      <c r="B2284" t="s">
        <v>3142</v>
      </c>
      <c r="C2284" t="s">
        <v>2189</v>
      </c>
      <c r="D2284" t="s">
        <v>5810</v>
      </c>
      <c r="F2284" t="s">
        <v>1638</v>
      </c>
      <c r="G2284" s="126">
        <f>SUMIFS('Support - Transition'!F:F,'Support - Transition'!B:B,'Step 2'!A2284,'Support - Transition'!C:C,'Step 2'!B2284,'Support - Transition'!D:D,'Step 2'!C2284,'Support - Transition'!E:E,"CIVIL")</f>
        <v>4.5360000000000001E-3</v>
      </c>
      <c r="H2284" s="126">
        <f>SUMIFS('Support - Transition'!F:F,'Support - Transition'!B:B,'Step 2'!A2284,'Support - Transition'!C:C,'Step 2'!B2284,'Support - Transition'!D:D,'Step 2'!C2284,'Support - Transition'!E:E,"FIRE")</f>
        <v>2.209E-3</v>
      </c>
      <c r="I2284" s="126">
        <f>IF(B2284="0",SUMIFS('Support - Transition'!F:F,'Support - Transition'!J:J,'Step 2'!D2284,'Support - Transition'!E:E,"STATE UNIT"),SUMIFS('Support - Transition'!F:F,'Support - Transition'!J:J,'Step 2'!D2284))</f>
        <v>6.7450000000000001E-3</v>
      </c>
      <c r="J2284" s="126">
        <f>SUMIFS('Support - Unit Adjustments'!E:E,'Support - Unit Adjustments'!F:F,'Step 2'!D2284)</f>
        <v>0</v>
      </c>
      <c r="K2284" s="126">
        <f t="shared" si="669"/>
        <v>6.7450000000000001E-3</v>
      </c>
      <c r="L2284" s="174">
        <f>VLOOKUP(A2284,'Step 1'!$A:$E,4,FALSE)</f>
        <v>178606</v>
      </c>
      <c r="M2284" s="47">
        <f t="shared" si="670"/>
        <v>1205</v>
      </c>
      <c r="N2284" s="177">
        <f>SUMIFS('Support - Transition'!G:G,'Support - Transition'!J:J,'Step 2'!D2284,'Support - Transition'!E:E,"2009 WELFARE ALLOCATION FACTOR")</f>
        <v>0</v>
      </c>
      <c r="O2284" s="152">
        <f t="shared" si="675"/>
        <v>0</v>
      </c>
      <c r="P2284" s="126">
        <f>IF(E2284="Y",0,SUMIFS('Support - Transition'!G:G,'Support - Transition'!J:J,'Step 2'!D2284,'Support - Transition'!E:E,"2009 SCHOOL ALLOCATION FACTOR"))</f>
        <v>0</v>
      </c>
      <c r="Q2284" s="126">
        <f>IF(E2284="Y",VLOOKUP(D2284,'Support - Unit Adjustments'!F:G,2,FALSE),0)</f>
        <v>0</v>
      </c>
      <c r="R2284" s="155">
        <f t="shared" si="687"/>
        <v>0</v>
      </c>
      <c r="S2284" s="47">
        <f t="shared" si="686"/>
        <v>0</v>
      </c>
      <c r="T2284" s="151">
        <f t="shared" si="671"/>
        <v>1205</v>
      </c>
      <c r="U2284" s="151">
        <f t="shared" si="672"/>
        <v>0</v>
      </c>
      <c r="V2284" s="139">
        <f t="shared" si="673"/>
        <v>0</v>
      </c>
      <c r="W2284" s="152">
        <f t="shared" si="676"/>
        <v>1205</v>
      </c>
      <c r="X2284" s="127" t="str">
        <f t="shared" si="674"/>
        <v/>
      </c>
      <c r="Y2284" s="207">
        <f t="shared" si="677"/>
        <v>1205</v>
      </c>
      <c r="Z2284" s="139">
        <f t="shared" si="678"/>
        <v>810</v>
      </c>
      <c r="AA2284" s="139">
        <f t="shared" si="679"/>
        <v>395</v>
      </c>
      <c r="AC2284" s="47">
        <f t="shared" si="680"/>
        <v>603</v>
      </c>
      <c r="AD2284" s="47">
        <f t="shared" si="681"/>
        <v>405</v>
      </c>
      <c r="AE2284" s="47">
        <f t="shared" si="682"/>
        <v>198</v>
      </c>
      <c r="AG2284" s="47">
        <f t="shared" si="683"/>
        <v>602</v>
      </c>
      <c r="AH2284" s="47">
        <f t="shared" si="684"/>
        <v>405</v>
      </c>
      <c r="AI2284" s="208">
        <f t="shared" si="685"/>
        <v>197</v>
      </c>
    </row>
    <row r="2285" spans="1:35">
      <c r="A2285" t="s">
        <v>2161</v>
      </c>
      <c r="B2285" t="s">
        <v>3142</v>
      </c>
      <c r="C2285" t="s">
        <v>2190</v>
      </c>
      <c r="D2285" t="s">
        <v>5811</v>
      </c>
      <c r="F2285" t="s">
        <v>1639</v>
      </c>
      <c r="G2285" s="126">
        <f>SUMIFS('Support - Transition'!F:F,'Support - Transition'!B:B,'Step 2'!A2285,'Support - Transition'!C:C,'Step 2'!B2285,'Support - Transition'!D:D,'Step 2'!C2285,'Support - Transition'!E:E,"CIVIL")</f>
        <v>1.1379999999999999E-3</v>
      </c>
      <c r="H2285" s="126">
        <f>SUMIFS('Support - Transition'!F:F,'Support - Transition'!B:B,'Step 2'!A2285,'Support - Transition'!C:C,'Step 2'!B2285,'Support - Transition'!D:D,'Step 2'!C2285,'Support - Transition'!E:E,"FIRE")</f>
        <v>7.3499999999999998E-4</v>
      </c>
      <c r="I2285" s="126">
        <f>IF(B2285="0",SUMIFS('Support - Transition'!F:F,'Support - Transition'!J:J,'Step 2'!D2285,'Support - Transition'!E:E,"STATE UNIT"),SUMIFS('Support - Transition'!F:F,'Support - Transition'!J:J,'Step 2'!D2285))</f>
        <v>1.8729999999999999E-3</v>
      </c>
      <c r="J2285" s="126">
        <f>SUMIFS('Support - Unit Adjustments'!E:E,'Support - Unit Adjustments'!F:F,'Step 2'!D2285)</f>
        <v>0</v>
      </c>
      <c r="K2285" s="126">
        <f t="shared" si="669"/>
        <v>1.8729999999999999E-3</v>
      </c>
      <c r="L2285" s="174">
        <f>VLOOKUP(A2285,'Step 1'!$A:$E,4,FALSE)</f>
        <v>178606</v>
      </c>
      <c r="M2285" s="47">
        <f t="shared" si="670"/>
        <v>335</v>
      </c>
      <c r="N2285" s="177">
        <f>SUMIFS('Support - Transition'!G:G,'Support - Transition'!J:J,'Step 2'!D2285,'Support - Transition'!E:E,"2009 WELFARE ALLOCATION FACTOR")</f>
        <v>0</v>
      </c>
      <c r="O2285" s="152">
        <f t="shared" si="675"/>
        <v>0</v>
      </c>
      <c r="P2285" s="126">
        <f>IF(E2285="Y",0,SUMIFS('Support - Transition'!G:G,'Support - Transition'!J:J,'Step 2'!D2285,'Support - Transition'!E:E,"2009 SCHOOL ALLOCATION FACTOR"))</f>
        <v>0</v>
      </c>
      <c r="Q2285" s="126">
        <f>IF(E2285="Y",VLOOKUP(D2285,'Support - Unit Adjustments'!F:G,2,FALSE),0)</f>
        <v>0</v>
      </c>
      <c r="R2285" s="155">
        <f t="shared" si="687"/>
        <v>0</v>
      </c>
      <c r="S2285" s="47">
        <f t="shared" si="686"/>
        <v>0</v>
      </c>
      <c r="T2285" s="151">
        <f t="shared" si="671"/>
        <v>335</v>
      </c>
      <c r="U2285" s="151">
        <f t="shared" si="672"/>
        <v>0</v>
      </c>
      <c r="V2285" s="139">
        <f t="shared" si="673"/>
        <v>0</v>
      </c>
      <c r="W2285" s="152">
        <f t="shared" si="676"/>
        <v>335</v>
      </c>
      <c r="X2285" s="127" t="str">
        <f t="shared" si="674"/>
        <v/>
      </c>
      <c r="Y2285" s="207">
        <f t="shared" si="677"/>
        <v>335</v>
      </c>
      <c r="Z2285" s="139">
        <f t="shared" si="678"/>
        <v>204</v>
      </c>
      <c r="AA2285" s="139">
        <f t="shared" si="679"/>
        <v>131</v>
      </c>
      <c r="AC2285" s="47">
        <f t="shared" si="680"/>
        <v>168</v>
      </c>
      <c r="AD2285" s="47">
        <f t="shared" si="681"/>
        <v>102</v>
      </c>
      <c r="AE2285" s="47">
        <f t="shared" si="682"/>
        <v>66</v>
      </c>
      <c r="AG2285" s="47">
        <f t="shared" si="683"/>
        <v>167</v>
      </c>
      <c r="AH2285" s="47">
        <f t="shared" si="684"/>
        <v>102</v>
      </c>
      <c r="AI2285" s="208">
        <f t="shared" si="685"/>
        <v>65</v>
      </c>
    </row>
    <row r="2286" spans="1:35">
      <c r="A2286" t="s">
        <v>2161</v>
      </c>
      <c r="B2286" t="s">
        <v>3142</v>
      </c>
      <c r="C2286" t="s">
        <v>2191</v>
      </c>
      <c r="D2286" t="s">
        <v>5812</v>
      </c>
      <c r="F2286" t="s">
        <v>1640</v>
      </c>
      <c r="G2286" s="126">
        <f>SUMIFS('Support - Transition'!F:F,'Support - Transition'!B:B,'Step 2'!A2286,'Support - Transition'!C:C,'Step 2'!B2286,'Support - Transition'!D:D,'Step 2'!C2286,'Support - Transition'!E:E,"CIVIL")</f>
        <v>1.1329999999999999E-3</v>
      </c>
      <c r="H2286" s="126">
        <f>SUMIFS('Support - Transition'!F:F,'Support - Transition'!B:B,'Step 2'!A2286,'Support - Transition'!C:C,'Step 2'!B2286,'Support - Transition'!D:D,'Step 2'!C2286,'Support - Transition'!E:E,"FIRE")</f>
        <v>5.7700000000000004E-4</v>
      </c>
      <c r="I2286" s="126">
        <f>IF(B2286="0",SUMIFS('Support - Transition'!F:F,'Support - Transition'!J:J,'Step 2'!D2286,'Support - Transition'!E:E,"STATE UNIT"),SUMIFS('Support - Transition'!F:F,'Support - Transition'!J:J,'Step 2'!D2286))</f>
        <v>1.7099999999999999E-3</v>
      </c>
      <c r="J2286" s="126">
        <f>SUMIFS('Support - Unit Adjustments'!E:E,'Support - Unit Adjustments'!F:F,'Step 2'!D2286)</f>
        <v>0</v>
      </c>
      <c r="K2286" s="126">
        <f t="shared" si="669"/>
        <v>1.7099999999999999E-3</v>
      </c>
      <c r="L2286" s="174">
        <f>VLOOKUP(A2286,'Step 1'!$A:$E,4,FALSE)</f>
        <v>178606</v>
      </c>
      <c r="M2286" s="47">
        <f t="shared" si="670"/>
        <v>305</v>
      </c>
      <c r="N2286" s="177">
        <f>SUMIFS('Support - Transition'!G:G,'Support - Transition'!J:J,'Step 2'!D2286,'Support - Transition'!E:E,"2009 WELFARE ALLOCATION FACTOR")</f>
        <v>0</v>
      </c>
      <c r="O2286" s="152">
        <f t="shared" si="675"/>
        <v>0</v>
      </c>
      <c r="P2286" s="126">
        <f>IF(E2286="Y",0,SUMIFS('Support - Transition'!G:G,'Support - Transition'!J:J,'Step 2'!D2286,'Support - Transition'!E:E,"2009 SCHOOL ALLOCATION FACTOR"))</f>
        <v>0</v>
      </c>
      <c r="Q2286" s="126">
        <f>IF(E2286="Y",VLOOKUP(D2286,'Support - Unit Adjustments'!F:G,2,FALSE),0)</f>
        <v>0</v>
      </c>
      <c r="R2286" s="155">
        <f t="shared" si="687"/>
        <v>0</v>
      </c>
      <c r="S2286" s="47">
        <f t="shared" si="686"/>
        <v>0</v>
      </c>
      <c r="T2286" s="151">
        <f t="shared" si="671"/>
        <v>305</v>
      </c>
      <c r="U2286" s="151">
        <f t="shared" si="672"/>
        <v>0</v>
      </c>
      <c r="V2286" s="139">
        <f t="shared" si="673"/>
        <v>0</v>
      </c>
      <c r="W2286" s="152">
        <f t="shared" si="676"/>
        <v>305</v>
      </c>
      <c r="X2286" s="127" t="str">
        <f t="shared" si="674"/>
        <v/>
      </c>
      <c r="Y2286" s="207">
        <f t="shared" si="677"/>
        <v>305</v>
      </c>
      <c r="Z2286" s="139">
        <f t="shared" si="678"/>
        <v>202</v>
      </c>
      <c r="AA2286" s="139">
        <f t="shared" si="679"/>
        <v>103</v>
      </c>
      <c r="AC2286" s="47">
        <f t="shared" si="680"/>
        <v>153</v>
      </c>
      <c r="AD2286" s="47">
        <f t="shared" si="681"/>
        <v>101</v>
      </c>
      <c r="AE2286" s="47">
        <f t="shared" si="682"/>
        <v>52</v>
      </c>
      <c r="AG2286" s="47">
        <f t="shared" si="683"/>
        <v>152</v>
      </c>
      <c r="AH2286" s="47">
        <f t="shared" si="684"/>
        <v>101</v>
      </c>
      <c r="AI2286" s="208">
        <f t="shared" si="685"/>
        <v>51</v>
      </c>
    </row>
    <row r="2287" spans="1:35">
      <c r="A2287" t="s">
        <v>2161</v>
      </c>
      <c r="B2287" t="s">
        <v>3142</v>
      </c>
      <c r="C2287" t="s">
        <v>2192</v>
      </c>
      <c r="D2287" t="s">
        <v>5813</v>
      </c>
      <c r="F2287" t="s">
        <v>1641</v>
      </c>
      <c r="G2287" s="126">
        <f>SUMIFS('Support - Transition'!F:F,'Support - Transition'!B:B,'Step 2'!A2287,'Support - Transition'!C:C,'Step 2'!B2287,'Support - Transition'!D:D,'Step 2'!C2287,'Support - Transition'!E:E,"CIVIL")</f>
        <v>3.2560000000000002E-3</v>
      </c>
      <c r="H2287" s="126">
        <f>SUMIFS('Support - Transition'!F:F,'Support - Transition'!B:B,'Step 2'!A2287,'Support - Transition'!C:C,'Step 2'!B2287,'Support - Transition'!D:D,'Step 2'!C2287,'Support - Transition'!E:E,"FIRE")</f>
        <v>1.745E-3</v>
      </c>
      <c r="I2287" s="126">
        <f>IF(B2287="0",SUMIFS('Support - Transition'!F:F,'Support - Transition'!J:J,'Step 2'!D2287,'Support - Transition'!E:E,"STATE UNIT"),SUMIFS('Support - Transition'!F:F,'Support - Transition'!J:J,'Step 2'!D2287))</f>
        <v>5.0010000000000002E-3</v>
      </c>
      <c r="J2287" s="126">
        <f>SUMIFS('Support - Unit Adjustments'!E:E,'Support - Unit Adjustments'!F:F,'Step 2'!D2287)</f>
        <v>0</v>
      </c>
      <c r="K2287" s="126">
        <f t="shared" si="669"/>
        <v>5.0010000000000002E-3</v>
      </c>
      <c r="L2287" s="174">
        <f>VLOOKUP(A2287,'Step 1'!$A:$E,4,FALSE)</f>
        <v>178606</v>
      </c>
      <c r="M2287" s="47">
        <f t="shared" si="670"/>
        <v>893</v>
      </c>
      <c r="N2287" s="177">
        <f>SUMIFS('Support - Transition'!G:G,'Support - Transition'!J:J,'Step 2'!D2287,'Support - Transition'!E:E,"2009 WELFARE ALLOCATION FACTOR")</f>
        <v>0</v>
      </c>
      <c r="O2287" s="152">
        <f t="shared" si="675"/>
        <v>0</v>
      </c>
      <c r="P2287" s="126">
        <f>IF(E2287="Y",0,SUMIFS('Support - Transition'!G:G,'Support - Transition'!J:J,'Step 2'!D2287,'Support - Transition'!E:E,"2009 SCHOOL ALLOCATION FACTOR"))</f>
        <v>0</v>
      </c>
      <c r="Q2287" s="126">
        <f>IF(E2287="Y",VLOOKUP(D2287,'Support - Unit Adjustments'!F:G,2,FALSE),0)</f>
        <v>0</v>
      </c>
      <c r="R2287" s="155">
        <f t="shared" si="687"/>
        <v>0</v>
      </c>
      <c r="S2287" s="47">
        <f t="shared" si="686"/>
        <v>0</v>
      </c>
      <c r="T2287" s="151">
        <f t="shared" si="671"/>
        <v>893</v>
      </c>
      <c r="U2287" s="151">
        <f t="shared" si="672"/>
        <v>0</v>
      </c>
      <c r="V2287" s="139">
        <f t="shared" si="673"/>
        <v>0</v>
      </c>
      <c r="W2287" s="152">
        <f t="shared" si="676"/>
        <v>893</v>
      </c>
      <c r="X2287" s="127" t="str">
        <f t="shared" si="674"/>
        <v/>
      </c>
      <c r="Y2287" s="207">
        <f t="shared" si="677"/>
        <v>893</v>
      </c>
      <c r="Z2287" s="139">
        <f t="shared" si="678"/>
        <v>581</v>
      </c>
      <c r="AA2287" s="139">
        <f t="shared" si="679"/>
        <v>312</v>
      </c>
      <c r="AC2287" s="47">
        <f t="shared" si="680"/>
        <v>447</v>
      </c>
      <c r="AD2287" s="47">
        <f t="shared" si="681"/>
        <v>291</v>
      </c>
      <c r="AE2287" s="47">
        <f t="shared" si="682"/>
        <v>156</v>
      </c>
      <c r="AG2287" s="47">
        <f t="shared" si="683"/>
        <v>446</v>
      </c>
      <c r="AH2287" s="47">
        <f t="shared" si="684"/>
        <v>290</v>
      </c>
      <c r="AI2287" s="208">
        <f t="shared" si="685"/>
        <v>156</v>
      </c>
    </row>
    <row r="2288" spans="1:35">
      <c r="A2288" t="s">
        <v>2161</v>
      </c>
      <c r="B2288" t="s">
        <v>3142</v>
      </c>
      <c r="C2288" t="s">
        <v>2193</v>
      </c>
      <c r="D2288" t="s">
        <v>5814</v>
      </c>
      <c r="F2288" t="s">
        <v>401</v>
      </c>
      <c r="G2288" s="126">
        <f>SUMIFS('Support - Transition'!F:F,'Support - Transition'!B:B,'Step 2'!A2288,'Support - Transition'!C:C,'Step 2'!B2288,'Support - Transition'!D:D,'Step 2'!C2288,'Support - Transition'!E:E,"CIVIL")</f>
        <v>5.4450000000000002E-3</v>
      </c>
      <c r="H2288" s="126">
        <f>SUMIFS('Support - Transition'!F:F,'Support - Transition'!B:B,'Step 2'!A2288,'Support - Transition'!C:C,'Step 2'!B2288,'Support - Transition'!D:D,'Step 2'!C2288,'Support - Transition'!E:E,"FIRE")</f>
        <v>2.3930000000000002E-3</v>
      </c>
      <c r="I2288" s="126">
        <f>IF(B2288="0",SUMIFS('Support - Transition'!F:F,'Support - Transition'!J:J,'Step 2'!D2288,'Support - Transition'!E:E,"STATE UNIT"),SUMIFS('Support - Transition'!F:F,'Support - Transition'!J:J,'Step 2'!D2288))</f>
        <v>7.8380000000000012E-3</v>
      </c>
      <c r="J2288" s="126">
        <f>SUMIFS('Support - Unit Adjustments'!E:E,'Support - Unit Adjustments'!F:F,'Step 2'!D2288)</f>
        <v>0</v>
      </c>
      <c r="K2288" s="126">
        <f t="shared" si="669"/>
        <v>7.8380000000000012E-3</v>
      </c>
      <c r="L2288" s="174">
        <f>VLOOKUP(A2288,'Step 1'!$A:$E,4,FALSE)</f>
        <v>178606</v>
      </c>
      <c r="M2288" s="47">
        <f t="shared" si="670"/>
        <v>1400</v>
      </c>
      <c r="N2288" s="177">
        <f>SUMIFS('Support - Transition'!G:G,'Support - Transition'!J:J,'Step 2'!D2288,'Support - Transition'!E:E,"2009 WELFARE ALLOCATION FACTOR")</f>
        <v>0</v>
      </c>
      <c r="O2288" s="152">
        <f t="shared" si="675"/>
        <v>0</v>
      </c>
      <c r="P2288" s="126">
        <f>IF(E2288="Y",0,SUMIFS('Support - Transition'!G:G,'Support - Transition'!J:J,'Step 2'!D2288,'Support - Transition'!E:E,"2009 SCHOOL ALLOCATION FACTOR"))</f>
        <v>0</v>
      </c>
      <c r="Q2288" s="126">
        <f>IF(E2288="Y",VLOOKUP(D2288,'Support - Unit Adjustments'!F:G,2,FALSE),0)</f>
        <v>0</v>
      </c>
      <c r="R2288" s="155">
        <f t="shared" si="687"/>
        <v>0</v>
      </c>
      <c r="S2288" s="47">
        <f t="shared" si="686"/>
        <v>0</v>
      </c>
      <c r="T2288" s="151">
        <f t="shared" si="671"/>
        <v>1400</v>
      </c>
      <c r="U2288" s="151">
        <f t="shared" si="672"/>
        <v>0</v>
      </c>
      <c r="V2288" s="139">
        <f t="shared" si="673"/>
        <v>0</v>
      </c>
      <c r="W2288" s="152">
        <f t="shared" si="676"/>
        <v>1400</v>
      </c>
      <c r="X2288" s="127" t="str">
        <f t="shared" si="674"/>
        <v/>
      </c>
      <c r="Y2288" s="207">
        <f t="shared" si="677"/>
        <v>1400</v>
      </c>
      <c r="Z2288" s="139">
        <f t="shared" si="678"/>
        <v>973</v>
      </c>
      <c r="AA2288" s="139">
        <f t="shared" si="679"/>
        <v>427</v>
      </c>
      <c r="AC2288" s="47">
        <f t="shared" si="680"/>
        <v>700</v>
      </c>
      <c r="AD2288" s="47">
        <f t="shared" si="681"/>
        <v>487</v>
      </c>
      <c r="AE2288" s="47">
        <f t="shared" si="682"/>
        <v>214</v>
      </c>
      <c r="AG2288" s="47">
        <f t="shared" si="683"/>
        <v>700</v>
      </c>
      <c r="AH2288" s="47">
        <f t="shared" si="684"/>
        <v>486</v>
      </c>
      <c r="AI2288" s="208">
        <f t="shared" si="685"/>
        <v>213</v>
      </c>
    </row>
    <row r="2289" spans="1:35">
      <c r="A2289" t="s">
        <v>2161</v>
      </c>
      <c r="B2289" t="s">
        <v>3142</v>
      </c>
      <c r="C2289" t="s">
        <v>2194</v>
      </c>
      <c r="D2289" t="s">
        <v>5815</v>
      </c>
      <c r="F2289" t="s">
        <v>49</v>
      </c>
      <c r="G2289" s="126">
        <f>SUMIFS('Support - Transition'!F:F,'Support - Transition'!B:B,'Step 2'!A2289,'Support - Transition'!C:C,'Step 2'!B2289,'Support - Transition'!D:D,'Step 2'!C2289,'Support - Transition'!E:E,"CIVIL")</f>
        <v>1.9750000000000002E-3</v>
      </c>
      <c r="H2289" s="126">
        <f>SUMIFS('Support - Transition'!F:F,'Support - Transition'!B:B,'Step 2'!A2289,'Support - Transition'!C:C,'Step 2'!B2289,'Support - Transition'!D:D,'Step 2'!C2289,'Support - Transition'!E:E,"FIRE")</f>
        <v>8.1099999999999998E-4</v>
      </c>
      <c r="I2289" s="126">
        <f>IF(B2289="0",SUMIFS('Support - Transition'!F:F,'Support - Transition'!J:J,'Step 2'!D2289,'Support - Transition'!E:E,"STATE UNIT"),SUMIFS('Support - Transition'!F:F,'Support - Transition'!J:J,'Step 2'!D2289))</f>
        <v>2.7860000000000003E-3</v>
      </c>
      <c r="J2289" s="126">
        <f>SUMIFS('Support - Unit Adjustments'!E:E,'Support - Unit Adjustments'!F:F,'Step 2'!D2289)</f>
        <v>0</v>
      </c>
      <c r="K2289" s="126">
        <f t="shared" si="669"/>
        <v>2.7860000000000003E-3</v>
      </c>
      <c r="L2289" s="174">
        <f>VLOOKUP(A2289,'Step 1'!$A:$E,4,FALSE)</f>
        <v>178606</v>
      </c>
      <c r="M2289" s="47">
        <f t="shared" si="670"/>
        <v>498</v>
      </c>
      <c r="N2289" s="177">
        <f>SUMIFS('Support - Transition'!G:G,'Support - Transition'!J:J,'Step 2'!D2289,'Support - Transition'!E:E,"2009 WELFARE ALLOCATION FACTOR")</f>
        <v>0</v>
      </c>
      <c r="O2289" s="152">
        <f t="shared" si="675"/>
        <v>0</v>
      </c>
      <c r="P2289" s="126">
        <f>IF(E2289="Y",0,SUMIFS('Support - Transition'!G:G,'Support - Transition'!J:J,'Step 2'!D2289,'Support - Transition'!E:E,"2009 SCHOOL ALLOCATION FACTOR"))</f>
        <v>0</v>
      </c>
      <c r="Q2289" s="126">
        <f>IF(E2289="Y",VLOOKUP(D2289,'Support - Unit Adjustments'!F:G,2,FALSE),0)</f>
        <v>0</v>
      </c>
      <c r="R2289" s="155">
        <f t="shared" si="687"/>
        <v>0</v>
      </c>
      <c r="S2289" s="47">
        <f t="shared" si="686"/>
        <v>0</v>
      </c>
      <c r="T2289" s="151">
        <f t="shared" si="671"/>
        <v>498</v>
      </c>
      <c r="U2289" s="151">
        <f t="shared" si="672"/>
        <v>0</v>
      </c>
      <c r="V2289" s="139">
        <f t="shared" si="673"/>
        <v>0</v>
      </c>
      <c r="W2289" s="152">
        <f t="shared" si="676"/>
        <v>498</v>
      </c>
      <c r="X2289" s="127" t="str">
        <f t="shared" si="674"/>
        <v/>
      </c>
      <c r="Y2289" s="207">
        <f t="shared" si="677"/>
        <v>498</v>
      </c>
      <c r="Z2289" s="139">
        <f t="shared" si="678"/>
        <v>353</v>
      </c>
      <c r="AA2289" s="139">
        <f t="shared" si="679"/>
        <v>145</v>
      </c>
      <c r="AC2289" s="47">
        <f t="shared" si="680"/>
        <v>249</v>
      </c>
      <c r="AD2289" s="47">
        <f t="shared" si="681"/>
        <v>177</v>
      </c>
      <c r="AE2289" s="47">
        <f t="shared" si="682"/>
        <v>73</v>
      </c>
      <c r="AG2289" s="47">
        <f t="shared" si="683"/>
        <v>249</v>
      </c>
      <c r="AH2289" s="47">
        <f t="shared" si="684"/>
        <v>176</v>
      </c>
      <c r="AI2289" s="208">
        <f t="shared" si="685"/>
        <v>72</v>
      </c>
    </row>
    <row r="2290" spans="1:35">
      <c r="A2290" t="s">
        <v>2161</v>
      </c>
      <c r="B2290" t="s">
        <v>3142</v>
      </c>
      <c r="C2290" t="s">
        <v>2195</v>
      </c>
      <c r="D2290" t="s">
        <v>5816</v>
      </c>
      <c r="F2290" t="s">
        <v>14</v>
      </c>
      <c r="G2290" s="126">
        <f>SUMIFS('Support - Transition'!F:F,'Support - Transition'!B:B,'Step 2'!A2290,'Support - Transition'!C:C,'Step 2'!B2290,'Support - Transition'!D:D,'Step 2'!C2290,'Support - Transition'!E:E,"CIVIL")</f>
        <v>1.22E-4</v>
      </c>
      <c r="H2290" s="126">
        <f>SUMIFS('Support - Transition'!F:F,'Support - Transition'!B:B,'Step 2'!A2290,'Support - Transition'!C:C,'Step 2'!B2290,'Support - Transition'!D:D,'Step 2'!C2290,'Support - Transition'!E:E,"FIRE")</f>
        <v>2.0000000000000002E-5</v>
      </c>
      <c r="I2290" s="126">
        <f>IF(B2290="0",SUMIFS('Support - Transition'!F:F,'Support - Transition'!J:J,'Step 2'!D2290,'Support - Transition'!E:E,"STATE UNIT"),SUMIFS('Support - Transition'!F:F,'Support - Transition'!J:J,'Step 2'!D2290))</f>
        <v>1.4200000000000001E-4</v>
      </c>
      <c r="J2290" s="126">
        <f>SUMIFS('Support - Unit Adjustments'!E:E,'Support - Unit Adjustments'!F:F,'Step 2'!D2290)</f>
        <v>0</v>
      </c>
      <c r="K2290" s="126">
        <f t="shared" si="669"/>
        <v>1.4200000000000001E-4</v>
      </c>
      <c r="L2290" s="174">
        <f>VLOOKUP(A2290,'Step 1'!$A:$E,4,FALSE)</f>
        <v>178606</v>
      </c>
      <c r="M2290" s="47">
        <f t="shared" si="670"/>
        <v>25</v>
      </c>
      <c r="N2290" s="177">
        <f>SUMIFS('Support - Transition'!G:G,'Support - Transition'!J:J,'Step 2'!D2290,'Support - Transition'!E:E,"2009 WELFARE ALLOCATION FACTOR")</f>
        <v>0</v>
      </c>
      <c r="O2290" s="152">
        <f t="shared" si="675"/>
        <v>0</v>
      </c>
      <c r="P2290" s="126">
        <f>IF(E2290="Y",0,SUMIFS('Support - Transition'!G:G,'Support - Transition'!J:J,'Step 2'!D2290,'Support - Transition'!E:E,"2009 SCHOOL ALLOCATION FACTOR"))</f>
        <v>0</v>
      </c>
      <c r="Q2290" s="126">
        <f>IF(E2290="Y",VLOOKUP(D2290,'Support - Unit Adjustments'!F:G,2,FALSE),0)</f>
        <v>0</v>
      </c>
      <c r="R2290" s="155">
        <f t="shared" si="687"/>
        <v>0</v>
      </c>
      <c r="S2290" s="47">
        <f t="shared" si="686"/>
        <v>0</v>
      </c>
      <c r="T2290" s="151">
        <f t="shared" si="671"/>
        <v>25</v>
      </c>
      <c r="U2290" s="151">
        <f t="shared" si="672"/>
        <v>0</v>
      </c>
      <c r="V2290" s="139">
        <f t="shared" si="673"/>
        <v>0</v>
      </c>
      <c r="W2290" s="152">
        <f t="shared" si="676"/>
        <v>25</v>
      </c>
      <c r="X2290" s="127" t="str">
        <f t="shared" si="674"/>
        <v/>
      </c>
      <c r="Y2290" s="207">
        <f t="shared" si="677"/>
        <v>25</v>
      </c>
      <c r="Z2290" s="139">
        <f t="shared" si="678"/>
        <v>21</v>
      </c>
      <c r="AA2290" s="139">
        <f t="shared" si="679"/>
        <v>4</v>
      </c>
      <c r="AC2290" s="47">
        <f t="shared" si="680"/>
        <v>13</v>
      </c>
      <c r="AD2290" s="47">
        <f t="shared" si="681"/>
        <v>11</v>
      </c>
      <c r="AE2290" s="47">
        <f t="shared" si="682"/>
        <v>2</v>
      </c>
      <c r="AG2290" s="47">
        <f t="shared" si="683"/>
        <v>12</v>
      </c>
      <c r="AH2290" s="47">
        <f t="shared" si="684"/>
        <v>10</v>
      </c>
      <c r="AI2290" s="208">
        <f t="shared" si="685"/>
        <v>2</v>
      </c>
    </row>
    <row r="2291" spans="1:35">
      <c r="A2291" t="s">
        <v>2161</v>
      </c>
      <c r="B2291" t="s">
        <v>3142</v>
      </c>
      <c r="C2291" t="s">
        <v>2196</v>
      </c>
      <c r="D2291" t="s">
        <v>5817</v>
      </c>
      <c r="F2291" t="s">
        <v>1642</v>
      </c>
      <c r="G2291" s="126">
        <f>SUMIFS('Support - Transition'!F:F,'Support - Transition'!B:B,'Step 2'!A2291,'Support - Transition'!C:C,'Step 2'!B2291,'Support - Transition'!D:D,'Step 2'!C2291,'Support - Transition'!E:E,"CIVIL")</f>
        <v>4.0000000000000001E-3</v>
      </c>
      <c r="H2291" s="126">
        <f>SUMIFS('Support - Transition'!F:F,'Support - Transition'!B:B,'Step 2'!A2291,'Support - Transition'!C:C,'Step 2'!B2291,'Support - Transition'!D:D,'Step 2'!C2291,'Support - Transition'!E:E,"FIRE")</f>
        <v>1.3519999999999999E-3</v>
      </c>
      <c r="I2291" s="126">
        <f>IF(B2291="0",SUMIFS('Support - Transition'!F:F,'Support - Transition'!J:J,'Step 2'!D2291,'Support - Transition'!E:E,"STATE UNIT"),SUMIFS('Support - Transition'!F:F,'Support - Transition'!J:J,'Step 2'!D2291))</f>
        <v>5.352E-3</v>
      </c>
      <c r="J2291" s="126">
        <f>SUMIFS('Support - Unit Adjustments'!E:E,'Support - Unit Adjustments'!F:F,'Step 2'!D2291)</f>
        <v>0</v>
      </c>
      <c r="K2291" s="126">
        <f t="shared" si="669"/>
        <v>5.352E-3</v>
      </c>
      <c r="L2291" s="174">
        <f>VLOOKUP(A2291,'Step 1'!$A:$E,4,FALSE)</f>
        <v>178606</v>
      </c>
      <c r="M2291" s="47">
        <f t="shared" si="670"/>
        <v>956</v>
      </c>
      <c r="N2291" s="177">
        <f>SUMIFS('Support - Transition'!G:G,'Support - Transition'!J:J,'Step 2'!D2291,'Support - Transition'!E:E,"2009 WELFARE ALLOCATION FACTOR")</f>
        <v>0</v>
      </c>
      <c r="O2291" s="152">
        <f t="shared" si="675"/>
        <v>0</v>
      </c>
      <c r="P2291" s="126">
        <f>IF(E2291="Y",0,SUMIFS('Support - Transition'!G:G,'Support - Transition'!J:J,'Step 2'!D2291,'Support - Transition'!E:E,"2009 SCHOOL ALLOCATION FACTOR"))</f>
        <v>0</v>
      </c>
      <c r="Q2291" s="126">
        <f>IF(E2291="Y",VLOOKUP(D2291,'Support - Unit Adjustments'!F:G,2,FALSE),0)</f>
        <v>0</v>
      </c>
      <c r="R2291" s="155">
        <f t="shared" si="687"/>
        <v>0</v>
      </c>
      <c r="S2291" s="47">
        <f t="shared" si="686"/>
        <v>0</v>
      </c>
      <c r="T2291" s="151">
        <f t="shared" si="671"/>
        <v>956</v>
      </c>
      <c r="U2291" s="151">
        <f t="shared" si="672"/>
        <v>0</v>
      </c>
      <c r="V2291" s="139">
        <f t="shared" si="673"/>
        <v>0</v>
      </c>
      <c r="W2291" s="152">
        <f t="shared" si="676"/>
        <v>956</v>
      </c>
      <c r="X2291" s="127" t="str">
        <f t="shared" si="674"/>
        <v/>
      </c>
      <c r="Y2291" s="207">
        <f t="shared" si="677"/>
        <v>956</v>
      </c>
      <c r="Z2291" s="139">
        <f t="shared" si="678"/>
        <v>714</v>
      </c>
      <c r="AA2291" s="139">
        <f t="shared" si="679"/>
        <v>242</v>
      </c>
      <c r="AC2291" s="47">
        <f t="shared" si="680"/>
        <v>478</v>
      </c>
      <c r="AD2291" s="47">
        <f t="shared" si="681"/>
        <v>357</v>
      </c>
      <c r="AE2291" s="47">
        <f t="shared" si="682"/>
        <v>121</v>
      </c>
      <c r="AG2291" s="47">
        <f t="shared" si="683"/>
        <v>478</v>
      </c>
      <c r="AH2291" s="47">
        <f t="shared" si="684"/>
        <v>357</v>
      </c>
      <c r="AI2291" s="208">
        <f t="shared" si="685"/>
        <v>121</v>
      </c>
    </row>
    <row r="2292" spans="1:35">
      <c r="A2292" t="s">
        <v>2161</v>
      </c>
      <c r="B2292" t="s">
        <v>3155</v>
      </c>
      <c r="C2292" t="s">
        <v>3028</v>
      </c>
      <c r="D2292" t="s">
        <v>5818</v>
      </c>
      <c r="F2292" t="s">
        <v>1649</v>
      </c>
      <c r="G2292" s="126">
        <f>SUMIFS('Support - Transition'!F:F,'Support - Transition'!B:B,'Step 2'!A2292,'Support - Transition'!C:C,'Step 2'!B2292,'Support - Transition'!D:D,'Step 2'!C2292,'Support - Transition'!E:E,"CIVIL")</f>
        <v>0</v>
      </c>
      <c r="H2292" s="126">
        <f>SUMIFS('Support - Transition'!F:F,'Support - Transition'!B:B,'Step 2'!A2292,'Support - Transition'!C:C,'Step 2'!B2292,'Support - Transition'!D:D,'Step 2'!C2292,'Support - Transition'!E:E,"FIRE")</f>
        <v>0</v>
      </c>
      <c r="I2292" s="126">
        <f>IF(B2292="0",SUMIFS('Support - Transition'!F:F,'Support - Transition'!J:J,'Step 2'!D2292,'Support - Transition'!E:E,"STATE UNIT"),SUMIFS('Support - Transition'!F:F,'Support - Transition'!J:J,'Step 2'!D2292))</f>
        <v>1.6782999999999999E-2</v>
      </c>
      <c r="J2292" s="126">
        <f>SUMIFS('Support - Unit Adjustments'!E:E,'Support - Unit Adjustments'!F:F,'Step 2'!D2292)</f>
        <v>0</v>
      </c>
      <c r="K2292" s="126">
        <f t="shared" si="669"/>
        <v>1.6782999999999999E-2</v>
      </c>
      <c r="L2292" s="174">
        <f>VLOOKUP(A2292,'Step 1'!$A:$E,4,FALSE)</f>
        <v>178606</v>
      </c>
      <c r="M2292" s="47">
        <f t="shared" si="670"/>
        <v>2998</v>
      </c>
      <c r="N2292" s="177">
        <f>SUMIFS('Support - Transition'!G:G,'Support - Transition'!J:J,'Step 2'!D2292,'Support - Transition'!E:E,"2009 WELFARE ALLOCATION FACTOR")</f>
        <v>0</v>
      </c>
      <c r="O2292" s="152">
        <f t="shared" si="675"/>
        <v>0</v>
      </c>
      <c r="P2292" s="126">
        <f>IF(E2292="Y",0,SUMIFS('Support - Transition'!G:G,'Support - Transition'!J:J,'Step 2'!D2292,'Support - Transition'!E:E,"2009 SCHOOL ALLOCATION FACTOR"))</f>
        <v>0</v>
      </c>
      <c r="Q2292" s="126">
        <f>IF(E2292="Y",VLOOKUP(D2292,'Support - Unit Adjustments'!F:G,2,FALSE),0)</f>
        <v>0</v>
      </c>
      <c r="R2292" s="155">
        <f t="shared" si="687"/>
        <v>0</v>
      </c>
      <c r="S2292" s="47">
        <f t="shared" si="686"/>
        <v>0</v>
      </c>
      <c r="T2292" s="151">
        <f t="shared" si="671"/>
        <v>2998</v>
      </c>
      <c r="U2292" s="151">
        <f t="shared" si="672"/>
        <v>0</v>
      </c>
      <c r="V2292" s="139">
        <f t="shared" si="673"/>
        <v>0</v>
      </c>
      <c r="W2292" s="152">
        <f t="shared" si="676"/>
        <v>2998</v>
      </c>
      <c r="X2292" s="127" t="str">
        <f t="shared" si="674"/>
        <v/>
      </c>
      <c r="Y2292" s="207">
        <f t="shared" si="677"/>
        <v>2998</v>
      </c>
      <c r="Z2292" s="139">
        <f t="shared" si="678"/>
        <v>2998</v>
      </c>
      <c r="AA2292" s="139">
        <f t="shared" si="679"/>
        <v>0</v>
      </c>
      <c r="AC2292" s="47">
        <f t="shared" si="680"/>
        <v>1499</v>
      </c>
      <c r="AD2292" s="47">
        <f t="shared" si="681"/>
        <v>1499</v>
      </c>
      <c r="AE2292" s="47">
        <f t="shared" si="682"/>
        <v>0</v>
      </c>
      <c r="AG2292" s="47">
        <f t="shared" si="683"/>
        <v>1499</v>
      </c>
      <c r="AH2292" s="47">
        <f t="shared" si="684"/>
        <v>1499</v>
      </c>
      <c r="AI2292" s="208">
        <f t="shared" si="685"/>
        <v>0</v>
      </c>
    </row>
    <row r="2293" spans="1:35">
      <c r="A2293" t="s">
        <v>2161</v>
      </c>
      <c r="B2293" t="s">
        <v>3155</v>
      </c>
      <c r="C2293" t="s">
        <v>3029</v>
      </c>
      <c r="D2293" t="s">
        <v>5819</v>
      </c>
      <c r="F2293" t="s">
        <v>1643</v>
      </c>
      <c r="G2293" s="126">
        <f>SUMIFS('Support - Transition'!F:F,'Support - Transition'!B:B,'Step 2'!A2293,'Support - Transition'!C:C,'Step 2'!B2293,'Support - Transition'!D:D,'Step 2'!C2293,'Support - Transition'!E:E,"CIVIL")</f>
        <v>0</v>
      </c>
      <c r="H2293" s="126">
        <f>SUMIFS('Support - Transition'!F:F,'Support - Transition'!B:B,'Step 2'!A2293,'Support - Transition'!C:C,'Step 2'!B2293,'Support - Transition'!D:D,'Step 2'!C2293,'Support - Transition'!E:E,"FIRE")</f>
        <v>0</v>
      </c>
      <c r="I2293" s="126">
        <f>IF(B2293="0",SUMIFS('Support - Transition'!F:F,'Support - Transition'!J:J,'Step 2'!D2293,'Support - Transition'!E:E,"STATE UNIT"),SUMIFS('Support - Transition'!F:F,'Support - Transition'!J:J,'Step 2'!D2293))</f>
        <v>6.02E-4</v>
      </c>
      <c r="J2293" s="126">
        <f>SUMIFS('Support - Unit Adjustments'!E:E,'Support - Unit Adjustments'!F:F,'Step 2'!D2293)</f>
        <v>0</v>
      </c>
      <c r="K2293" s="126">
        <f t="shared" si="669"/>
        <v>6.02E-4</v>
      </c>
      <c r="L2293" s="174">
        <f>VLOOKUP(A2293,'Step 1'!$A:$E,4,FALSE)</f>
        <v>178606</v>
      </c>
      <c r="M2293" s="47">
        <f t="shared" si="670"/>
        <v>108</v>
      </c>
      <c r="N2293" s="177">
        <f>SUMIFS('Support - Transition'!G:G,'Support - Transition'!J:J,'Step 2'!D2293,'Support - Transition'!E:E,"2009 WELFARE ALLOCATION FACTOR")</f>
        <v>0</v>
      </c>
      <c r="O2293" s="152">
        <f t="shared" si="675"/>
        <v>0</v>
      </c>
      <c r="P2293" s="126">
        <f>IF(E2293="Y",0,SUMIFS('Support - Transition'!G:G,'Support - Transition'!J:J,'Step 2'!D2293,'Support - Transition'!E:E,"2009 SCHOOL ALLOCATION FACTOR"))</f>
        <v>0</v>
      </c>
      <c r="Q2293" s="126">
        <f>IF(E2293="Y",VLOOKUP(D2293,'Support - Unit Adjustments'!F:G,2,FALSE),0)</f>
        <v>0</v>
      </c>
      <c r="R2293" s="155">
        <f t="shared" si="687"/>
        <v>0</v>
      </c>
      <c r="S2293" s="47">
        <f t="shared" si="686"/>
        <v>0</v>
      </c>
      <c r="T2293" s="151">
        <f t="shared" si="671"/>
        <v>108</v>
      </c>
      <c r="U2293" s="151">
        <f t="shared" si="672"/>
        <v>0</v>
      </c>
      <c r="V2293" s="139">
        <f t="shared" si="673"/>
        <v>0</v>
      </c>
      <c r="W2293" s="152">
        <f t="shared" si="676"/>
        <v>108</v>
      </c>
      <c r="X2293" s="127" t="str">
        <f t="shared" si="674"/>
        <v/>
      </c>
      <c r="Y2293" s="207">
        <f t="shared" si="677"/>
        <v>108</v>
      </c>
      <c r="Z2293" s="139">
        <f t="shared" si="678"/>
        <v>108</v>
      </c>
      <c r="AA2293" s="139">
        <f t="shared" si="679"/>
        <v>0</v>
      </c>
      <c r="AC2293" s="47">
        <f t="shared" si="680"/>
        <v>54</v>
      </c>
      <c r="AD2293" s="47">
        <f t="shared" si="681"/>
        <v>54</v>
      </c>
      <c r="AE2293" s="47">
        <f t="shared" si="682"/>
        <v>0</v>
      </c>
      <c r="AG2293" s="47">
        <f t="shared" si="683"/>
        <v>54</v>
      </c>
      <c r="AH2293" s="47">
        <f t="shared" si="684"/>
        <v>54</v>
      </c>
      <c r="AI2293" s="208">
        <f t="shared" si="685"/>
        <v>0</v>
      </c>
    </row>
    <row r="2294" spans="1:35">
      <c r="A2294" t="s">
        <v>2161</v>
      </c>
      <c r="B2294" t="s">
        <v>3155</v>
      </c>
      <c r="C2294" t="s">
        <v>3030</v>
      </c>
      <c r="D2294" t="s">
        <v>5820</v>
      </c>
      <c r="F2294" t="s">
        <v>1644</v>
      </c>
      <c r="G2294" s="126">
        <f>SUMIFS('Support - Transition'!F:F,'Support - Transition'!B:B,'Step 2'!A2294,'Support - Transition'!C:C,'Step 2'!B2294,'Support - Transition'!D:D,'Step 2'!C2294,'Support - Transition'!E:E,"CIVIL")</f>
        <v>0</v>
      </c>
      <c r="H2294" s="126">
        <f>SUMIFS('Support - Transition'!F:F,'Support - Transition'!B:B,'Step 2'!A2294,'Support - Transition'!C:C,'Step 2'!B2294,'Support - Transition'!D:D,'Step 2'!C2294,'Support - Transition'!E:E,"FIRE")</f>
        <v>0</v>
      </c>
      <c r="I2294" s="126">
        <f>IF(B2294="0",SUMIFS('Support - Transition'!F:F,'Support - Transition'!J:J,'Step 2'!D2294,'Support - Transition'!E:E,"STATE UNIT"),SUMIFS('Support - Transition'!F:F,'Support - Transition'!J:J,'Step 2'!D2294))</f>
        <v>0</v>
      </c>
      <c r="J2294" s="126">
        <f>SUMIFS('Support - Unit Adjustments'!E:E,'Support - Unit Adjustments'!F:F,'Step 2'!D2294)</f>
        <v>0</v>
      </c>
      <c r="K2294" s="126">
        <f t="shared" si="669"/>
        <v>0</v>
      </c>
      <c r="L2294" s="174">
        <f>VLOOKUP(A2294,'Step 1'!$A:$E,4,FALSE)</f>
        <v>178606</v>
      </c>
      <c r="M2294" s="47">
        <f t="shared" si="670"/>
        <v>0</v>
      </c>
      <c r="N2294" s="177">
        <f>SUMIFS('Support - Transition'!G:G,'Support - Transition'!J:J,'Step 2'!D2294,'Support - Transition'!E:E,"2009 WELFARE ALLOCATION FACTOR")</f>
        <v>0</v>
      </c>
      <c r="O2294" s="152">
        <f t="shared" si="675"/>
        <v>0</v>
      </c>
      <c r="P2294" s="126">
        <f>IF(E2294="Y",0,SUMIFS('Support - Transition'!G:G,'Support - Transition'!J:J,'Step 2'!D2294,'Support - Transition'!E:E,"2009 SCHOOL ALLOCATION FACTOR"))</f>
        <v>0</v>
      </c>
      <c r="Q2294" s="126">
        <f>IF(E2294="Y",VLOOKUP(D2294,'Support - Unit Adjustments'!F:G,2,FALSE),0)</f>
        <v>0</v>
      </c>
      <c r="R2294" s="155">
        <f t="shared" si="687"/>
        <v>0</v>
      </c>
      <c r="S2294" s="47">
        <f t="shared" si="686"/>
        <v>0</v>
      </c>
      <c r="T2294" s="151">
        <f t="shared" si="671"/>
        <v>0</v>
      </c>
      <c r="U2294" s="151">
        <f t="shared" si="672"/>
        <v>0</v>
      </c>
      <c r="V2294" s="139">
        <f t="shared" si="673"/>
        <v>0</v>
      </c>
      <c r="W2294" s="152">
        <f t="shared" si="676"/>
        <v>0</v>
      </c>
      <c r="X2294" s="127" t="str">
        <f t="shared" si="674"/>
        <v/>
      </c>
      <c r="Y2294" s="207">
        <f t="shared" si="677"/>
        <v>0</v>
      </c>
      <c r="Z2294" s="139">
        <f t="shared" si="678"/>
        <v>0</v>
      </c>
      <c r="AA2294" s="139">
        <f t="shared" si="679"/>
        <v>0</v>
      </c>
      <c r="AC2294" s="47">
        <f t="shared" si="680"/>
        <v>0</v>
      </c>
      <c r="AD2294" s="47">
        <f t="shared" si="681"/>
        <v>0</v>
      </c>
      <c r="AE2294" s="47">
        <f t="shared" si="682"/>
        <v>0</v>
      </c>
      <c r="AG2294" s="47">
        <f t="shared" si="683"/>
        <v>0</v>
      </c>
      <c r="AH2294" s="47">
        <f t="shared" si="684"/>
        <v>0</v>
      </c>
      <c r="AI2294" s="208">
        <f t="shared" si="685"/>
        <v>0</v>
      </c>
    </row>
    <row r="2295" spans="1:35">
      <c r="A2295" t="s">
        <v>2161</v>
      </c>
      <c r="B2295" t="s">
        <v>3155</v>
      </c>
      <c r="C2295" t="s">
        <v>3031</v>
      </c>
      <c r="D2295" t="s">
        <v>5821</v>
      </c>
      <c r="F2295" t="s">
        <v>1645</v>
      </c>
      <c r="G2295" s="126">
        <f>SUMIFS('Support - Transition'!F:F,'Support - Transition'!B:B,'Step 2'!A2295,'Support - Transition'!C:C,'Step 2'!B2295,'Support - Transition'!D:D,'Step 2'!C2295,'Support - Transition'!E:E,"CIVIL")</f>
        <v>0</v>
      </c>
      <c r="H2295" s="126">
        <f>SUMIFS('Support - Transition'!F:F,'Support - Transition'!B:B,'Step 2'!A2295,'Support - Transition'!C:C,'Step 2'!B2295,'Support - Transition'!D:D,'Step 2'!C2295,'Support - Transition'!E:E,"FIRE")</f>
        <v>0</v>
      </c>
      <c r="I2295" s="126">
        <f>IF(B2295="0",SUMIFS('Support - Transition'!F:F,'Support - Transition'!J:J,'Step 2'!D2295,'Support - Transition'!E:E,"STATE UNIT"),SUMIFS('Support - Transition'!F:F,'Support - Transition'!J:J,'Step 2'!D2295))</f>
        <v>6.6490000000000004E-3</v>
      </c>
      <c r="J2295" s="126">
        <f>SUMIFS('Support - Unit Adjustments'!E:E,'Support - Unit Adjustments'!F:F,'Step 2'!D2295)</f>
        <v>0</v>
      </c>
      <c r="K2295" s="126">
        <f t="shared" si="669"/>
        <v>6.6490000000000004E-3</v>
      </c>
      <c r="L2295" s="174">
        <f>VLOOKUP(A2295,'Step 1'!$A:$E,4,FALSE)</f>
        <v>178606</v>
      </c>
      <c r="M2295" s="47">
        <f t="shared" si="670"/>
        <v>1188</v>
      </c>
      <c r="N2295" s="177">
        <f>SUMIFS('Support - Transition'!G:G,'Support - Transition'!J:J,'Step 2'!D2295,'Support - Transition'!E:E,"2009 WELFARE ALLOCATION FACTOR")</f>
        <v>0</v>
      </c>
      <c r="O2295" s="152">
        <f t="shared" si="675"/>
        <v>0</v>
      </c>
      <c r="P2295" s="126">
        <f>IF(E2295="Y",0,SUMIFS('Support - Transition'!G:G,'Support - Transition'!J:J,'Step 2'!D2295,'Support - Transition'!E:E,"2009 SCHOOL ALLOCATION FACTOR"))</f>
        <v>0</v>
      </c>
      <c r="Q2295" s="126">
        <f>IF(E2295="Y",VLOOKUP(D2295,'Support - Unit Adjustments'!F:G,2,FALSE),0)</f>
        <v>0</v>
      </c>
      <c r="R2295" s="155">
        <f t="shared" si="687"/>
        <v>0</v>
      </c>
      <c r="S2295" s="47">
        <f t="shared" si="686"/>
        <v>0</v>
      </c>
      <c r="T2295" s="151">
        <f t="shared" si="671"/>
        <v>1188</v>
      </c>
      <c r="U2295" s="151">
        <f t="shared" si="672"/>
        <v>0</v>
      </c>
      <c r="V2295" s="139">
        <f t="shared" si="673"/>
        <v>0</v>
      </c>
      <c r="W2295" s="152">
        <f t="shared" si="676"/>
        <v>1188</v>
      </c>
      <c r="X2295" s="127" t="str">
        <f t="shared" si="674"/>
        <v/>
      </c>
      <c r="Y2295" s="207">
        <f t="shared" si="677"/>
        <v>1188</v>
      </c>
      <c r="Z2295" s="139">
        <f t="shared" si="678"/>
        <v>1188</v>
      </c>
      <c r="AA2295" s="139">
        <f t="shared" si="679"/>
        <v>0</v>
      </c>
      <c r="AC2295" s="47">
        <f t="shared" si="680"/>
        <v>594</v>
      </c>
      <c r="AD2295" s="47">
        <f t="shared" si="681"/>
        <v>594</v>
      </c>
      <c r="AE2295" s="47">
        <f t="shared" si="682"/>
        <v>0</v>
      </c>
      <c r="AG2295" s="47">
        <f t="shared" si="683"/>
        <v>594</v>
      </c>
      <c r="AH2295" s="47">
        <f t="shared" si="684"/>
        <v>594</v>
      </c>
      <c r="AI2295" s="208">
        <f t="shared" si="685"/>
        <v>0</v>
      </c>
    </row>
    <row r="2296" spans="1:35">
      <c r="A2296" t="s">
        <v>2161</v>
      </c>
      <c r="B2296" t="s">
        <v>3155</v>
      </c>
      <c r="C2296" t="s">
        <v>3032</v>
      </c>
      <c r="D2296" t="s">
        <v>5822</v>
      </c>
      <c r="F2296" t="s">
        <v>1646</v>
      </c>
      <c r="G2296" s="126">
        <f>SUMIFS('Support - Transition'!F:F,'Support - Transition'!B:B,'Step 2'!A2296,'Support - Transition'!C:C,'Step 2'!B2296,'Support - Transition'!D:D,'Step 2'!C2296,'Support - Transition'!E:E,"CIVIL")</f>
        <v>0</v>
      </c>
      <c r="H2296" s="126">
        <f>SUMIFS('Support - Transition'!F:F,'Support - Transition'!B:B,'Step 2'!A2296,'Support - Transition'!C:C,'Step 2'!B2296,'Support - Transition'!D:D,'Step 2'!C2296,'Support - Transition'!E:E,"FIRE")</f>
        <v>0</v>
      </c>
      <c r="I2296" s="126">
        <f>IF(B2296="0",SUMIFS('Support - Transition'!F:F,'Support - Transition'!J:J,'Step 2'!D2296,'Support - Transition'!E:E,"STATE UNIT"),SUMIFS('Support - Transition'!F:F,'Support - Transition'!J:J,'Step 2'!D2296))</f>
        <v>1.9589999999999998E-3</v>
      </c>
      <c r="J2296" s="126">
        <f>SUMIFS('Support - Unit Adjustments'!E:E,'Support - Unit Adjustments'!F:F,'Step 2'!D2296)</f>
        <v>0</v>
      </c>
      <c r="K2296" s="126">
        <f t="shared" si="669"/>
        <v>1.9589999999999998E-3</v>
      </c>
      <c r="L2296" s="174">
        <f>VLOOKUP(A2296,'Step 1'!$A:$E,4,FALSE)</f>
        <v>178606</v>
      </c>
      <c r="M2296" s="47">
        <f t="shared" si="670"/>
        <v>350</v>
      </c>
      <c r="N2296" s="177">
        <f>SUMIFS('Support - Transition'!G:G,'Support - Transition'!J:J,'Step 2'!D2296,'Support - Transition'!E:E,"2009 WELFARE ALLOCATION FACTOR")</f>
        <v>0</v>
      </c>
      <c r="O2296" s="152">
        <f t="shared" si="675"/>
        <v>0</v>
      </c>
      <c r="P2296" s="126">
        <f>IF(E2296="Y",0,SUMIFS('Support - Transition'!G:G,'Support - Transition'!J:J,'Step 2'!D2296,'Support - Transition'!E:E,"2009 SCHOOL ALLOCATION FACTOR"))</f>
        <v>0</v>
      </c>
      <c r="Q2296" s="126">
        <f>IF(E2296="Y",VLOOKUP(D2296,'Support - Unit Adjustments'!F:G,2,FALSE),0)</f>
        <v>0</v>
      </c>
      <c r="R2296" s="155">
        <f t="shared" si="687"/>
        <v>0</v>
      </c>
      <c r="S2296" s="47">
        <f t="shared" si="686"/>
        <v>0</v>
      </c>
      <c r="T2296" s="151">
        <f t="shared" si="671"/>
        <v>350</v>
      </c>
      <c r="U2296" s="151">
        <f t="shared" si="672"/>
        <v>0</v>
      </c>
      <c r="V2296" s="139">
        <f t="shared" si="673"/>
        <v>0</v>
      </c>
      <c r="W2296" s="152">
        <f t="shared" si="676"/>
        <v>350</v>
      </c>
      <c r="X2296" s="127" t="str">
        <f t="shared" si="674"/>
        <v/>
      </c>
      <c r="Y2296" s="207">
        <f t="shared" si="677"/>
        <v>350</v>
      </c>
      <c r="Z2296" s="139">
        <f t="shared" si="678"/>
        <v>350</v>
      </c>
      <c r="AA2296" s="139">
        <f t="shared" si="679"/>
        <v>0</v>
      </c>
      <c r="AC2296" s="47">
        <f t="shared" si="680"/>
        <v>175</v>
      </c>
      <c r="AD2296" s="47">
        <f t="shared" si="681"/>
        <v>175</v>
      </c>
      <c r="AE2296" s="47">
        <f t="shared" si="682"/>
        <v>0</v>
      </c>
      <c r="AG2296" s="47">
        <f t="shared" si="683"/>
        <v>175</v>
      </c>
      <c r="AH2296" s="47">
        <f t="shared" si="684"/>
        <v>175</v>
      </c>
      <c r="AI2296" s="208">
        <f t="shared" si="685"/>
        <v>0</v>
      </c>
    </row>
    <row r="2297" spans="1:35">
      <c r="A2297" t="s">
        <v>2161</v>
      </c>
      <c r="B2297" t="s">
        <v>3155</v>
      </c>
      <c r="C2297" t="s">
        <v>3033</v>
      </c>
      <c r="D2297" t="s">
        <v>5823</v>
      </c>
      <c r="F2297" t="s">
        <v>1647</v>
      </c>
      <c r="G2297" s="126">
        <f>SUMIFS('Support - Transition'!F:F,'Support - Transition'!B:B,'Step 2'!A2297,'Support - Transition'!C:C,'Step 2'!B2297,'Support - Transition'!D:D,'Step 2'!C2297,'Support - Transition'!E:E,"CIVIL")</f>
        <v>0</v>
      </c>
      <c r="H2297" s="126">
        <f>SUMIFS('Support - Transition'!F:F,'Support - Transition'!B:B,'Step 2'!A2297,'Support - Transition'!C:C,'Step 2'!B2297,'Support - Transition'!D:D,'Step 2'!C2297,'Support - Transition'!E:E,"FIRE")</f>
        <v>0</v>
      </c>
      <c r="I2297" s="126">
        <f>IF(B2297="0",SUMIFS('Support - Transition'!F:F,'Support - Transition'!J:J,'Step 2'!D2297,'Support - Transition'!E:E,"STATE UNIT"),SUMIFS('Support - Transition'!F:F,'Support - Transition'!J:J,'Step 2'!D2297))</f>
        <v>1.72E-3</v>
      </c>
      <c r="J2297" s="126">
        <f>SUMIFS('Support - Unit Adjustments'!E:E,'Support - Unit Adjustments'!F:F,'Step 2'!D2297)</f>
        <v>0</v>
      </c>
      <c r="K2297" s="126">
        <f t="shared" si="669"/>
        <v>1.72E-3</v>
      </c>
      <c r="L2297" s="174">
        <f>VLOOKUP(A2297,'Step 1'!$A:$E,4,FALSE)</f>
        <v>178606</v>
      </c>
      <c r="M2297" s="47">
        <f t="shared" si="670"/>
        <v>307</v>
      </c>
      <c r="N2297" s="177">
        <f>SUMIFS('Support - Transition'!G:G,'Support - Transition'!J:J,'Step 2'!D2297,'Support - Transition'!E:E,"2009 WELFARE ALLOCATION FACTOR")</f>
        <v>0</v>
      </c>
      <c r="O2297" s="152">
        <f t="shared" si="675"/>
        <v>0</v>
      </c>
      <c r="P2297" s="126">
        <f>IF(E2297="Y",0,SUMIFS('Support - Transition'!G:G,'Support - Transition'!J:J,'Step 2'!D2297,'Support - Transition'!E:E,"2009 SCHOOL ALLOCATION FACTOR"))</f>
        <v>0</v>
      </c>
      <c r="Q2297" s="126">
        <f>IF(E2297="Y",VLOOKUP(D2297,'Support - Unit Adjustments'!F:G,2,FALSE),0)</f>
        <v>0</v>
      </c>
      <c r="R2297" s="155">
        <f t="shared" si="687"/>
        <v>0</v>
      </c>
      <c r="S2297" s="47">
        <f t="shared" si="686"/>
        <v>0</v>
      </c>
      <c r="T2297" s="151">
        <f t="shared" si="671"/>
        <v>307</v>
      </c>
      <c r="U2297" s="151">
        <f t="shared" si="672"/>
        <v>0</v>
      </c>
      <c r="V2297" s="139">
        <f t="shared" si="673"/>
        <v>0</v>
      </c>
      <c r="W2297" s="152">
        <f t="shared" si="676"/>
        <v>307</v>
      </c>
      <c r="X2297" s="127" t="str">
        <f t="shared" si="674"/>
        <v/>
      </c>
      <c r="Y2297" s="207">
        <f t="shared" si="677"/>
        <v>307</v>
      </c>
      <c r="Z2297" s="139">
        <f t="shared" si="678"/>
        <v>307</v>
      </c>
      <c r="AA2297" s="139">
        <f t="shared" si="679"/>
        <v>0</v>
      </c>
      <c r="AC2297" s="47">
        <f t="shared" si="680"/>
        <v>154</v>
      </c>
      <c r="AD2297" s="47">
        <f t="shared" si="681"/>
        <v>154</v>
      </c>
      <c r="AE2297" s="47">
        <f t="shared" si="682"/>
        <v>0</v>
      </c>
      <c r="AG2297" s="47">
        <f t="shared" si="683"/>
        <v>153</v>
      </c>
      <c r="AH2297" s="47">
        <f t="shared" si="684"/>
        <v>153</v>
      </c>
      <c r="AI2297" s="208">
        <f t="shared" si="685"/>
        <v>0</v>
      </c>
    </row>
    <row r="2298" spans="1:35">
      <c r="A2298" t="s">
        <v>2161</v>
      </c>
      <c r="B2298" t="s">
        <v>3155</v>
      </c>
      <c r="C2298" t="s">
        <v>3034</v>
      </c>
      <c r="D2298" t="s">
        <v>5824</v>
      </c>
      <c r="F2298" t="s">
        <v>1648</v>
      </c>
      <c r="G2298" s="126">
        <f>SUMIFS('Support - Transition'!F:F,'Support - Transition'!B:B,'Step 2'!A2298,'Support - Transition'!C:C,'Step 2'!B2298,'Support - Transition'!D:D,'Step 2'!C2298,'Support - Transition'!E:E,"CIVIL")</f>
        <v>0</v>
      </c>
      <c r="H2298" s="126">
        <f>SUMIFS('Support - Transition'!F:F,'Support - Transition'!B:B,'Step 2'!A2298,'Support - Transition'!C:C,'Step 2'!B2298,'Support - Transition'!D:D,'Step 2'!C2298,'Support - Transition'!E:E,"FIRE")</f>
        <v>0</v>
      </c>
      <c r="I2298" s="126">
        <f>IF(B2298="0",SUMIFS('Support - Transition'!F:F,'Support - Transition'!J:J,'Step 2'!D2298,'Support - Transition'!E:E,"STATE UNIT"),SUMIFS('Support - Transition'!F:F,'Support - Transition'!J:J,'Step 2'!D2298))</f>
        <v>1.0562999999999999E-2</v>
      </c>
      <c r="J2298" s="126">
        <f>SUMIFS('Support - Unit Adjustments'!E:E,'Support - Unit Adjustments'!F:F,'Step 2'!D2298)</f>
        <v>0</v>
      </c>
      <c r="K2298" s="126">
        <f t="shared" si="669"/>
        <v>1.0562999999999999E-2</v>
      </c>
      <c r="L2298" s="174">
        <f>VLOOKUP(A2298,'Step 1'!$A:$E,4,FALSE)</f>
        <v>178606</v>
      </c>
      <c r="M2298" s="47">
        <f t="shared" si="670"/>
        <v>1887</v>
      </c>
      <c r="N2298" s="177">
        <f>SUMIFS('Support - Transition'!G:G,'Support - Transition'!J:J,'Step 2'!D2298,'Support - Transition'!E:E,"2009 WELFARE ALLOCATION FACTOR")</f>
        <v>0</v>
      </c>
      <c r="O2298" s="152">
        <f t="shared" si="675"/>
        <v>0</v>
      </c>
      <c r="P2298" s="126">
        <f>IF(E2298="Y",0,SUMIFS('Support - Transition'!G:G,'Support - Transition'!J:J,'Step 2'!D2298,'Support - Transition'!E:E,"2009 SCHOOL ALLOCATION FACTOR"))</f>
        <v>0</v>
      </c>
      <c r="Q2298" s="126">
        <f>IF(E2298="Y",VLOOKUP(D2298,'Support - Unit Adjustments'!F:G,2,FALSE),0)</f>
        <v>0</v>
      </c>
      <c r="R2298" s="155">
        <f t="shared" si="687"/>
        <v>0</v>
      </c>
      <c r="S2298" s="47">
        <f t="shared" si="686"/>
        <v>0</v>
      </c>
      <c r="T2298" s="151">
        <f t="shared" si="671"/>
        <v>1887</v>
      </c>
      <c r="U2298" s="151">
        <f t="shared" si="672"/>
        <v>0</v>
      </c>
      <c r="V2298" s="139">
        <f t="shared" si="673"/>
        <v>0</v>
      </c>
      <c r="W2298" s="152">
        <f t="shared" si="676"/>
        <v>1887</v>
      </c>
      <c r="X2298" s="127" t="str">
        <f t="shared" si="674"/>
        <v/>
      </c>
      <c r="Y2298" s="207">
        <f t="shared" si="677"/>
        <v>1887</v>
      </c>
      <c r="Z2298" s="139">
        <f t="shared" si="678"/>
        <v>1887</v>
      </c>
      <c r="AA2298" s="139">
        <f t="shared" si="679"/>
        <v>0</v>
      </c>
      <c r="AC2298" s="47">
        <f t="shared" si="680"/>
        <v>944</v>
      </c>
      <c r="AD2298" s="47">
        <f t="shared" si="681"/>
        <v>944</v>
      </c>
      <c r="AE2298" s="47">
        <f t="shared" si="682"/>
        <v>0</v>
      </c>
      <c r="AG2298" s="47">
        <f t="shared" si="683"/>
        <v>943</v>
      </c>
      <c r="AH2298" s="47">
        <f t="shared" si="684"/>
        <v>943</v>
      </c>
      <c r="AI2298" s="208">
        <f t="shared" si="685"/>
        <v>0</v>
      </c>
    </row>
    <row r="2299" spans="1:35">
      <c r="A2299" t="s">
        <v>2161</v>
      </c>
      <c r="B2299" t="s">
        <v>3160</v>
      </c>
      <c r="C2299" t="s">
        <v>3035</v>
      </c>
      <c r="D2299" t="s">
        <v>5825</v>
      </c>
      <c r="F2299" t="s">
        <v>1650</v>
      </c>
      <c r="G2299" s="126">
        <f>SUMIFS('Support - Transition'!F:F,'Support - Transition'!B:B,'Step 2'!A2299,'Support - Transition'!C:C,'Step 2'!B2299,'Support - Transition'!D:D,'Step 2'!C2299,'Support - Transition'!E:E,"CIVIL")</f>
        <v>0</v>
      </c>
      <c r="H2299" s="126">
        <f>SUMIFS('Support - Transition'!F:F,'Support - Transition'!B:B,'Step 2'!A2299,'Support - Transition'!C:C,'Step 2'!B2299,'Support - Transition'!D:D,'Step 2'!C2299,'Support - Transition'!E:E,"FIRE")</f>
        <v>0</v>
      </c>
      <c r="I2299" s="126">
        <f>IF(B2299="0",SUMIFS('Support - Transition'!F:F,'Support - Transition'!J:J,'Step 2'!D2299,'Support - Transition'!E:E,"STATE UNIT"),SUMIFS('Support - Transition'!F:F,'Support - Transition'!J:J,'Step 2'!D2299))</f>
        <v>0.240096</v>
      </c>
      <c r="J2299" s="126">
        <f>SUMIFS('Support - Unit Adjustments'!E:E,'Support - Unit Adjustments'!F:F,'Step 2'!D2299)</f>
        <v>0</v>
      </c>
      <c r="K2299" s="126">
        <f t="shared" si="669"/>
        <v>0.240096</v>
      </c>
      <c r="L2299" s="174">
        <f>VLOOKUP(A2299,'Step 1'!$A:$E,4,FALSE)</f>
        <v>178606</v>
      </c>
      <c r="M2299" s="47">
        <f t="shared" si="670"/>
        <v>42883</v>
      </c>
      <c r="N2299" s="177">
        <f>SUMIFS('Support - Transition'!G:G,'Support - Transition'!J:J,'Step 2'!D2299,'Support - Transition'!E:E,"2009 WELFARE ALLOCATION FACTOR")</f>
        <v>0</v>
      </c>
      <c r="O2299" s="152">
        <f t="shared" si="675"/>
        <v>0</v>
      </c>
      <c r="P2299" s="126">
        <f>IF(E2299="Y",0,SUMIFS('Support - Transition'!G:G,'Support - Transition'!J:J,'Step 2'!D2299,'Support - Transition'!E:E,"2009 SCHOOL ALLOCATION FACTOR"))</f>
        <v>0.41499799999999998</v>
      </c>
      <c r="Q2299" s="126">
        <f>IF(E2299="Y",VLOOKUP(D2299,'Support - Unit Adjustments'!F:G,2,FALSE),0)</f>
        <v>0</v>
      </c>
      <c r="R2299" s="155">
        <f t="shared" si="687"/>
        <v>0.41499799999999998</v>
      </c>
      <c r="S2299" s="47">
        <f t="shared" si="686"/>
        <v>17796</v>
      </c>
      <c r="T2299" s="151">
        <f t="shared" si="671"/>
        <v>25087</v>
      </c>
      <c r="U2299" s="151">
        <f t="shared" si="672"/>
        <v>0</v>
      </c>
      <c r="V2299" s="139">
        <f t="shared" si="673"/>
        <v>0</v>
      </c>
      <c r="W2299" s="152">
        <f t="shared" si="676"/>
        <v>25087</v>
      </c>
      <c r="X2299" s="127" t="str">
        <f t="shared" si="674"/>
        <v/>
      </c>
      <c r="Y2299" s="207">
        <f t="shared" si="677"/>
        <v>25087</v>
      </c>
      <c r="Z2299" s="139">
        <f t="shared" si="678"/>
        <v>25087</v>
      </c>
      <c r="AA2299" s="139">
        <f t="shared" si="679"/>
        <v>0</v>
      </c>
      <c r="AC2299" s="47">
        <f t="shared" si="680"/>
        <v>12544</v>
      </c>
      <c r="AD2299" s="47">
        <f t="shared" si="681"/>
        <v>12544</v>
      </c>
      <c r="AE2299" s="47">
        <f t="shared" si="682"/>
        <v>0</v>
      </c>
      <c r="AG2299" s="47">
        <f t="shared" si="683"/>
        <v>12543</v>
      </c>
      <c r="AH2299" s="47">
        <f t="shared" si="684"/>
        <v>12543</v>
      </c>
      <c r="AI2299" s="208">
        <f t="shared" si="685"/>
        <v>0</v>
      </c>
    </row>
    <row r="2300" spans="1:35">
      <c r="A2300" t="s">
        <v>2161</v>
      </c>
      <c r="B2300" t="s">
        <v>3160</v>
      </c>
      <c r="C2300" t="s">
        <v>3036</v>
      </c>
      <c r="D2300" t="s">
        <v>5826</v>
      </c>
      <c r="F2300" t="s">
        <v>1651</v>
      </c>
      <c r="G2300" s="126">
        <f>SUMIFS('Support - Transition'!F:F,'Support - Transition'!B:B,'Step 2'!A2300,'Support - Transition'!C:C,'Step 2'!B2300,'Support - Transition'!D:D,'Step 2'!C2300,'Support - Transition'!E:E,"CIVIL")</f>
        <v>0</v>
      </c>
      <c r="H2300" s="126">
        <f>SUMIFS('Support - Transition'!F:F,'Support - Transition'!B:B,'Step 2'!A2300,'Support - Transition'!C:C,'Step 2'!B2300,'Support - Transition'!D:D,'Step 2'!C2300,'Support - Transition'!E:E,"FIRE")</f>
        <v>0</v>
      </c>
      <c r="I2300" s="126">
        <f>IF(B2300="0",SUMIFS('Support - Transition'!F:F,'Support - Transition'!J:J,'Step 2'!D2300,'Support - Transition'!E:E,"STATE UNIT"),SUMIFS('Support - Transition'!F:F,'Support - Transition'!J:J,'Step 2'!D2300))</f>
        <v>0.42809799999999998</v>
      </c>
      <c r="J2300" s="126">
        <f>SUMIFS('Support - Unit Adjustments'!E:E,'Support - Unit Adjustments'!F:F,'Step 2'!D2300)</f>
        <v>0</v>
      </c>
      <c r="K2300" s="126">
        <f t="shared" si="669"/>
        <v>0.42809799999999998</v>
      </c>
      <c r="L2300" s="174">
        <f>VLOOKUP(A2300,'Step 1'!$A:$E,4,FALSE)</f>
        <v>178606</v>
      </c>
      <c r="M2300" s="47">
        <f t="shared" si="670"/>
        <v>76461</v>
      </c>
      <c r="N2300" s="177">
        <f>SUMIFS('Support - Transition'!G:G,'Support - Transition'!J:J,'Step 2'!D2300,'Support - Transition'!E:E,"2009 WELFARE ALLOCATION FACTOR")</f>
        <v>0</v>
      </c>
      <c r="O2300" s="152">
        <f t="shared" si="675"/>
        <v>0</v>
      </c>
      <c r="P2300" s="126">
        <f>IF(E2300="Y",0,SUMIFS('Support - Transition'!G:G,'Support - Transition'!J:J,'Step 2'!D2300,'Support - Transition'!E:E,"2009 SCHOOL ALLOCATION FACTOR"))</f>
        <v>0.40147300000000002</v>
      </c>
      <c r="Q2300" s="126">
        <f>IF(E2300="Y",VLOOKUP(D2300,'Support - Unit Adjustments'!F:G,2,FALSE),0)</f>
        <v>0</v>
      </c>
      <c r="R2300" s="155">
        <f t="shared" si="687"/>
        <v>0.40147300000000002</v>
      </c>
      <c r="S2300" s="47">
        <f t="shared" si="686"/>
        <v>30697</v>
      </c>
      <c r="T2300" s="151">
        <f t="shared" si="671"/>
        <v>45764</v>
      </c>
      <c r="U2300" s="151">
        <f t="shared" si="672"/>
        <v>0</v>
      </c>
      <c r="V2300" s="139">
        <f t="shared" si="673"/>
        <v>0</v>
      </c>
      <c r="W2300" s="152">
        <f t="shared" si="676"/>
        <v>45764</v>
      </c>
      <c r="X2300" s="127" t="str">
        <f t="shared" si="674"/>
        <v/>
      </c>
      <c r="Y2300" s="207">
        <f t="shared" si="677"/>
        <v>45764</v>
      </c>
      <c r="Z2300" s="139">
        <f t="shared" si="678"/>
        <v>45764</v>
      </c>
      <c r="AA2300" s="139">
        <f t="shared" si="679"/>
        <v>0</v>
      </c>
      <c r="AC2300" s="47">
        <f t="shared" si="680"/>
        <v>22882</v>
      </c>
      <c r="AD2300" s="47">
        <f t="shared" si="681"/>
        <v>22882</v>
      </c>
      <c r="AE2300" s="47">
        <f t="shared" si="682"/>
        <v>0</v>
      </c>
      <c r="AG2300" s="47">
        <f t="shared" si="683"/>
        <v>22882</v>
      </c>
      <c r="AH2300" s="47">
        <f t="shared" si="684"/>
        <v>22882</v>
      </c>
      <c r="AI2300" s="208">
        <f t="shared" si="685"/>
        <v>0</v>
      </c>
    </row>
    <row r="2301" spans="1:35">
      <c r="A2301" t="s">
        <v>2161</v>
      </c>
      <c r="B2301" t="s">
        <v>3166</v>
      </c>
      <c r="C2301" t="s">
        <v>5827</v>
      </c>
      <c r="D2301" t="s">
        <v>5828</v>
      </c>
      <c r="F2301" t="s">
        <v>1652</v>
      </c>
      <c r="G2301" s="126">
        <f>SUMIFS('Support - Transition'!F:F,'Support - Transition'!B:B,'Step 2'!A2301,'Support - Transition'!C:C,'Step 2'!B2301,'Support - Transition'!D:D,'Step 2'!C2301,'Support - Transition'!E:E,"CIVIL")</f>
        <v>0</v>
      </c>
      <c r="H2301" s="126">
        <f>SUMIFS('Support - Transition'!F:F,'Support - Transition'!B:B,'Step 2'!A2301,'Support - Transition'!C:C,'Step 2'!B2301,'Support - Transition'!D:D,'Step 2'!C2301,'Support - Transition'!E:E,"FIRE")</f>
        <v>0</v>
      </c>
      <c r="I2301" s="126">
        <f>IF(B2301="0",SUMIFS('Support - Transition'!F:F,'Support - Transition'!J:J,'Step 2'!D2301,'Support - Transition'!E:E,"STATE UNIT"),SUMIFS('Support - Transition'!F:F,'Support - Transition'!J:J,'Step 2'!D2301))</f>
        <v>3.5407000000000001E-2</v>
      </c>
      <c r="J2301" s="126">
        <f>SUMIFS('Support - Unit Adjustments'!E:E,'Support - Unit Adjustments'!F:F,'Step 2'!D2301)</f>
        <v>0</v>
      </c>
      <c r="K2301" s="126">
        <f t="shared" si="669"/>
        <v>3.5407000000000001E-2</v>
      </c>
      <c r="L2301" s="174">
        <f>VLOOKUP(A2301,'Step 1'!$A:$E,4,FALSE)</f>
        <v>178606</v>
      </c>
      <c r="M2301" s="47">
        <f t="shared" si="670"/>
        <v>6324</v>
      </c>
      <c r="N2301" s="177">
        <f>SUMIFS('Support - Transition'!G:G,'Support - Transition'!J:J,'Step 2'!D2301,'Support - Transition'!E:E,"2009 WELFARE ALLOCATION FACTOR")</f>
        <v>0</v>
      </c>
      <c r="O2301" s="152">
        <f t="shared" si="675"/>
        <v>0</v>
      </c>
      <c r="P2301" s="126">
        <f>IF(E2301="Y",0,SUMIFS('Support - Transition'!G:G,'Support - Transition'!J:J,'Step 2'!D2301,'Support - Transition'!E:E,"2009 SCHOOL ALLOCATION FACTOR"))</f>
        <v>0</v>
      </c>
      <c r="Q2301" s="126">
        <f>IF(E2301="Y",VLOOKUP(D2301,'Support - Unit Adjustments'!F:G,2,FALSE),0)</f>
        <v>0</v>
      </c>
      <c r="R2301" s="155">
        <f t="shared" si="687"/>
        <v>0</v>
      </c>
      <c r="S2301" s="47">
        <f t="shared" si="686"/>
        <v>0</v>
      </c>
      <c r="T2301" s="151">
        <f t="shared" si="671"/>
        <v>6324</v>
      </c>
      <c r="U2301" s="151">
        <f t="shared" si="672"/>
        <v>0</v>
      </c>
      <c r="V2301" s="139">
        <f t="shared" si="673"/>
        <v>0</v>
      </c>
      <c r="W2301" s="152">
        <f t="shared" si="676"/>
        <v>6324</v>
      </c>
      <c r="X2301" s="127" t="str">
        <f t="shared" si="674"/>
        <v/>
      </c>
      <c r="Y2301" s="207">
        <f t="shared" si="677"/>
        <v>6324</v>
      </c>
      <c r="Z2301" s="139">
        <f t="shared" si="678"/>
        <v>6324</v>
      </c>
      <c r="AA2301" s="139">
        <f t="shared" si="679"/>
        <v>0</v>
      </c>
      <c r="AC2301" s="47">
        <f t="shared" si="680"/>
        <v>3162</v>
      </c>
      <c r="AD2301" s="47">
        <f t="shared" si="681"/>
        <v>3162</v>
      </c>
      <c r="AE2301" s="47">
        <f t="shared" si="682"/>
        <v>0</v>
      </c>
      <c r="AG2301" s="47">
        <f t="shared" si="683"/>
        <v>3162</v>
      </c>
      <c r="AH2301" s="47">
        <f t="shared" si="684"/>
        <v>3162</v>
      </c>
      <c r="AI2301" s="208">
        <f t="shared" si="685"/>
        <v>0</v>
      </c>
    </row>
    <row r="2302" spans="1:35">
      <c r="A2302" t="s">
        <v>2161</v>
      </c>
      <c r="B2302" t="s">
        <v>3170</v>
      </c>
      <c r="C2302" t="s">
        <v>5829</v>
      </c>
      <c r="D2302" t="s">
        <v>5830</v>
      </c>
      <c r="F2302" t="s">
        <v>5831</v>
      </c>
      <c r="G2302" s="126">
        <f>SUMIFS('Support - Transition'!F:F,'Support - Transition'!B:B,'Step 2'!A2302,'Support - Transition'!C:C,'Step 2'!B2302,'Support - Transition'!D:D,'Step 2'!C2302,'Support - Transition'!E:E,"CIVIL")</f>
        <v>0</v>
      </c>
      <c r="H2302" s="126">
        <f>SUMIFS('Support - Transition'!F:F,'Support - Transition'!B:B,'Step 2'!A2302,'Support - Transition'!C:C,'Step 2'!B2302,'Support - Transition'!D:D,'Step 2'!C2302,'Support - Transition'!E:E,"FIRE")</f>
        <v>0</v>
      </c>
      <c r="I2302" s="126">
        <f>IF(B2302="0",SUMIFS('Support - Transition'!F:F,'Support - Transition'!J:J,'Step 2'!D2302,'Support - Transition'!E:E,"STATE UNIT"),SUMIFS('Support - Transition'!F:F,'Support - Transition'!J:J,'Step 2'!D2302))</f>
        <v>0</v>
      </c>
      <c r="J2302" s="126">
        <f>SUMIFS('Support - Unit Adjustments'!E:E,'Support - Unit Adjustments'!F:F,'Step 2'!D2302)</f>
        <v>0</v>
      </c>
      <c r="K2302" s="126">
        <f t="shared" si="669"/>
        <v>0</v>
      </c>
      <c r="L2302" s="174">
        <f>VLOOKUP(A2302,'Step 1'!$A:$E,4,FALSE)</f>
        <v>178606</v>
      </c>
      <c r="M2302" s="47">
        <f t="shared" si="670"/>
        <v>0</v>
      </c>
      <c r="N2302" s="177">
        <f>SUMIFS('Support - Transition'!G:G,'Support - Transition'!J:J,'Step 2'!D2302,'Support - Transition'!E:E,"2009 WELFARE ALLOCATION FACTOR")</f>
        <v>0</v>
      </c>
      <c r="O2302" s="152">
        <f t="shared" si="675"/>
        <v>0</v>
      </c>
      <c r="P2302" s="126">
        <f>IF(E2302="Y",0,SUMIFS('Support - Transition'!G:G,'Support - Transition'!J:J,'Step 2'!D2302,'Support - Transition'!E:E,"2009 SCHOOL ALLOCATION FACTOR"))</f>
        <v>0</v>
      </c>
      <c r="Q2302" s="126">
        <f>IF(E2302="Y",VLOOKUP(D2302,'Support - Unit Adjustments'!F:G,2,FALSE),0)</f>
        <v>0</v>
      </c>
      <c r="R2302" s="155">
        <f t="shared" si="687"/>
        <v>0</v>
      </c>
      <c r="S2302" s="47">
        <f t="shared" si="686"/>
        <v>0</v>
      </c>
      <c r="T2302" s="151">
        <f t="shared" si="671"/>
        <v>0</v>
      </c>
      <c r="U2302" s="151">
        <f t="shared" si="672"/>
        <v>0</v>
      </c>
      <c r="V2302" s="139">
        <f t="shared" si="673"/>
        <v>0</v>
      </c>
      <c r="W2302" s="152">
        <f t="shared" si="676"/>
        <v>0</v>
      </c>
      <c r="X2302" s="127" t="str">
        <f t="shared" si="674"/>
        <v/>
      </c>
      <c r="Y2302" s="207">
        <f t="shared" si="677"/>
        <v>0</v>
      </c>
      <c r="Z2302" s="139">
        <f t="shared" si="678"/>
        <v>0</v>
      </c>
      <c r="AA2302" s="139">
        <f t="shared" si="679"/>
        <v>0</v>
      </c>
      <c r="AC2302" s="47">
        <f t="shared" si="680"/>
        <v>0</v>
      </c>
      <c r="AD2302" s="47">
        <f t="shared" si="681"/>
        <v>0</v>
      </c>
      <c r="AE2302" s="47">
        <f t="shared" si="682"/>
        <v>0</v>
      </c>
      <c r="AG2302" s="47">
        <f t="shared" si="683"/>
        <v>0</v>
      </c>
      <c r="AH2302" s="47">
        <f t="shared" si="684"/>
        <v>0</v>
      </c>
      <c r="AI2302" s="208">
        <f t="shared" si="685"/>
        <v>0</v>
      </c>
    </row>
    <row r="2303" spans="1:35">
      <c r="A2303" t="s">
        <v>2161</v>
      </c>
      <c r="B2303" t="s">
        <v>3286</v>
      </c>
      <c r="C2303" t="s">
        <v>2373</v>
      </c>
      <c r="D2303" t="s">
        <v>5832</v>
      </c>
      <c r="F2303" t="s">
        <v>5833</v>
      </c>
      <c r="G2303" s="126">
        <f>SUMIFS('Support - Transition'!F:F,'Support - Transition'!B:B,'Step 2'!A2303,'Support - Transition'!C:C,'Step 2'!B2303,'Support - Transition'!D:D,'Step 2'!C2303,'Support - Transition'!E:E,"CIVIL")</f>
        <v>0</v>
      </c>
      <c r="H2303" s="126">
        <f>SUMIFS('Support - Transition'!F:F,'Support - Transition'!B:B,'Step 2'!A2303,'Support - Transition'!C:C,'Step 2'!B2303,'Support - Transition'!D:D,'Step 2'!C2303,'Support - Transition'!E:E,"FIRE")</f>
        <v>0</v>
      </c>
      <c r="I2303" s="126">
        <f>IF(B2303="0",SUMIFS('Support - Transition'!F:F,'Support - Transition'!J:J,'Step 2'!D2303,'Support - Transition'!E:E,"STATE UNIT"),SUMIFS('Support - Transition'!F:F,'Support - Transition'!J:J,'Step 2'!D2303))</f>
        <v>0</v>
      </c>
      <c r="J2303" s="126">
        <f>SUMIFS('Support - Unit Adjustments'!E:E,'Support - Unit Adjustments'!F:F,'Step 2'!D2303)</f>
        <v>0</v>
      </c>
      <c r="K2303" s="126">
        <f t="shared" si="669"/>
        <v>0</v>
      </c>
      <c r="L2303" s="174">
        <f>VLOOKUP(A2303,'Step 1'!$A:$E,4,FALSE)</f>
        <v>178606</v>
      </c>
      <c r="M2303" s="47">
        <f t="shared" si="670"/>
        <v>0</v>
      </c>
      <c r="N2303" s="177">
        <f>SUMIFS('Support - Transition'!G:G,'Support - Transition'!J:J,'Step 2'!D2303,'Support - Transition'!E:E,"2009 WELFARE ALLOCATION FACTOR")</f>
        <v>0</v>
      </c>
      <c r="O2303" s="152">
        <f t="shared" si="675"/>
        <v>0</v>
      </c>
      <c r="P2303" s="126">
        <f>IF(E2303="Y",0,SUMIFS('Support - Transition'!G:G,'Support - Transition'!J:J,'Step 2'!D2303,'Support - Transition'!E:E,"2009 SCHOOL ALLOCATION FACTOR"))</f>
        <v>0</v>
      </c>
      <c r="Q2303" s="126">
        <f>IF(E2303="Y",VLOOKUP(D2303,'Support - Unit Adjustments'!F:G,2,FALSE),0)</f>
        <v>0</v>
      </c>
      <c r="R2303" s="155">
        <f t="shared" si="687"/>
        <v>0</v>
      </c>
      <c r="S2303" s="47">
        <f t="shared" si="686"/>
        <v>0</v>
      </c>
      <c r="T2303" s="151">
        <f t="shared" si="671"/>
        <v>0</v>
      </c>
      <c r="U2303" s="151">
        <f t="shared" si="672"/>
        <v>0</v>
      </c>
      <c r="V2303" s="139">
        <f t="shared" si="673"/>
        <v>0</v>
      </c>
      <c r="W2303" s="152">
        <f t="shared" si="676"/>
        <v>0</v>
      </c>
      <c r="X2303" s="127" t="str">
        <f t="shared" si="674"/>
        <v/>
      </c>
      <c r="Y2303" s="207">
        <f t="shared" si="677"/>
        <v>0</v>
      </c>
      <c r="Z2303" s="139">
        <f t="shared" si="678"/>
        <v>0</v>
      </c>
      <c r="AA2303" s="139">
        <f t="shared" si="679"/>
        <v>0</v>
      </c>
      <c r="AC2303" s="47">
        <f t="shared" si="680"/>
        <v>0</v>
      </c>
      <c r="AD2303" s="47">
        <f t="shared" si="681"/>
        <v>0</v>
      </c>
      <c r="AE2303" s="47">
        <f t="shared" si="682"/>
        <v>0</v>
      </c>
      <c r="AG2303" s="47">
        <f t="shared" si="683"/>
        <v>0</v>
      </c>
      <c r="AH2303" s="47">
        <f t="shared" si="684"/>
        <v>0</v>
      </c>
      <c r="AI2303" s="208">
        <f t="shared" si="685"/>
        <v>0</v>
      </c>
    </row>
    <row r="2304" spans="1:35">
      <c r="A2304" t="s">
        <v>2161</v>
      </c>
      <c r="B2304" t="s">
        <v>3286</v>
      </c>
      <c r="C2304" t="s">
        <v>2374</v>
      </c>
      <c r="D2304" t="s">
        <v>5834</v>
      </c>
      <c r="F2304" t="s">
        <v>4095</v>
      </c>
      <c r="G2304" s="126">
        <f>SUMIFS('Support - Transition'!F:F,'Support - Transition'!B:B,'Step 2'!A2304,'Support - Transition'!C:C,'Step 2'!B2304,'Support - Transition'!D:D,'Step 2'!C2304,'Support - Transition'!E:E,"CIVIL")</f>
        <v>0</v>
      </c>
      <c r="H2304" s="126">
        <f>SUMIFS('Support - Transition'!F:F,'Support - Transition'!B:B,'Step 2'!A2304,'Support - Transition'!C:C,'Step 2'!B2304,'Support - Transition'!D:D,'Step 2'!C2304,'Support - Transition'!E:E,"FIRE")</f>
        <v>0</v>
      </c>
      <c r="I2304" s="126">
        <f>IF(B2304="0",SUMIFS('Support - Transition'!F:F,'Support - Transition'!J:J,'Step 2'!D2304,'Support - Transition'!E:E,"STATE UNIT"),SUMIFS('Support - Transition'!F:F,'Support - Transition'!J:J,'Step 2'!D2304))</f>
        <v>0</v>
      </c>
      <c r="J2304" s="126">
        <f>SUMIFS('Support - Unit Adjustments'!E:E,'Support - Unit Adjustments'!F:F,'Step 2'!D2304)</f>
        <v>0</v>
      </c>
      <c r="K2304" s="126">
        <f t="shared" si="669"/>
        <v>0</v>
      </c>
      <c r="L2304" s="174">
        <f>VLOOKUP(A2304,'Step 1'!$A:$E,4,FALSE)</f>
        <v>178606</v>
      </c>
      <c r="M2304" s="47">
        <f t="shared" si="670"/>
        <v>0</v>
      </c>
      <c r="N2304" s="177">
        <f>SUMIFS('Support - Transition'!G:G,'Support - Transition'!J:J,'Step 2'!D2304,'Support - Transition'!E:E,"2009 WELFARE ALLOCATION FACTOR")</f>
        <v>0</v>
      </c>
      <c r="O2304" s="152">
        <f t="shared" si="675"/>
        <v>0</v>
      </c>
      <c r="P2304" s="126">
        <f>IF(E2304="Y",0,SUMIFS('Support - Transition'!G:G,'Support - Transition'!J:J,'Step 2'!D2304,'Support - Transition'!E:E,"2009 SCHOOL ALLOCATION FACTOR"))</f>
        <v>0</v>
      </c>
      <c r="Q2304" s="126">
        <f>IF(E2304="Y",VLOOKUP(D2304,'Support - Unit Adjustments'!F:G,2,FALSE),0)</f>
        <v>0</v>
      </c>
      <c r="R2304" s="155">
        <f t="shared" si="687"/>
        <v>0</v>
      </c>
      <c r="S2304" s="47">
        <f t="shared" si="686"/>
        <v>0</v>
      </c>
      <c r="T2304" s="151">
        <f t="shared" si="671"/>
        <v>0</v>
      </c>
      <c r="U2304" s="151">
        <f t="shared" si="672"/>
        <v>0</v>
      </c>
      <c r="V2304" s="139">
        <f t="shared" si="673"/>
        <v>0</v>
      </c>
      <c r="W2304" s="152">
        <f t="shared" si="676"/>
        <v>0</v>
      </c>
      <c r="X2304" s="127" t="str">
        <f t="shared" si="674"/>
        <v/>
      </c>
      <c r="Y2304" s="207">
        <f t="shared" si="677"/>
        <v>0</v>
      </c>
      <c r="Z2304" s="139">
        <f t="shared" si="678"/>
        <v>0</v>
      </c>
      <c r="AA2304" s="139">
        <f t="shared" si="679"/>
        <v>0</v>
      </c>
      <c r="AC2304" s="47">
        <f t="shared" si="680"/>
        <v>0</v>
      </c>
      <c r="AD2304" s="47">
        <f t="shared" si="681"/>
        <v>0</v>
      </c>
      <c r="AE2304" s="47">
        <f t="shared" si="682"/>
        <v>0</v>
      </c>
      <c r="AG2304" s="47">
        <f t="shared" si="683"/>
        <v>0</v>
      </c>
      <c r="AH2304" s="47">
        <f t="shared" si="684"/>
        <v>0</v>
      </c>
      <c r="AI2304" s="208">
        <f t="shared" si="685"/>
        <v>0</v>
      </c>
    </row>
    <row r="2305" spans="1:35">
      <c r="A2305" t="s">
        <v>2162</v>
      </c>
      <c r="B2305" s="48" t="s">
        <v>6274</v>
      </c>
      <c r="C2305" t="s">
        <v>2187</v>
      </c>
      <c r="D2305" t="str">
        <f>A2305&amp;B2305&amp;C2305</f>
        <v>7800000</v>
      </c>
      <c r="F2305" t="s">
        <v>6352</v>
      </c>
      <c r="G2305" s="126">
        <f>SUMIFS('Support - Transition'!F:F,'Support - Transition'!B:B,'Step 2'!A2305,'Support - Transition'!C:C,'Step 2'!B2305,'Support - Transition'!D:D,'Step 2'!C2305,'Support - Transition'!E:E,"CIVIL")</f>
        <v>0</v>
      </c>
      <c r="H2305" s="126">
        <f>SUMIFS('Support - Transition'!F:F,'Support - Transition'!B:B,'Step 2'!A2305,'Support - Transition'!C:C,'Step 2'!B2305,'Support - Transition'!D:D,'Step 2'!C2305,'Support - Transition'!E:E,"FIRE")</f>
        <v>0</v>
      </c>
      <c r="I2305" s="126">
        <f>IF(B2305="0",SUMIFS('Support - Transition'!F:F,'Support - Transition'!J:J,'Step 2'!D2305,'Support - Transition'!E:E,"STATE UNIT"),SUMIFS('Support - Transition'!F:F,'Support - Transition'!J:J,'Step 2'!D2305))</f>
        <v>1.3240000000000001E-3</v>
      </c>
      <c r="J2305" s="126">
        <f>SUMIFS('Support - Unit Adjustments'!E:E,'Support - Unit Adjustments'!F:F,'Step 2'!D2305)</f>
        <v>0</v>
      </c>
      <c r="K2305" s="126">
        <f t="shared" si="669"/>
        <v>1.3240000000000001E-3</v>
      </c>
      <c r="L2305" s="174">
        <f>VLOOKUP(A2305,'Step 1'!$A:$E,4,FALSE)</f>
        <v>11712</v>
      </c>
      <c r="M2305" s="47">
        <f t="shared" si="670"/>
        <v>16</v>
      </c>
      <c r="N2305" s="177">
        <f>SUMIFS('Support - Transition'!G:G,'Support - Transition'!J:J,'Step 2'!D2305,'Support - Transition'!E:E,"2009 WELFARE ALLOCATION FACTOR")</f>
        <v>0</v>
      </c>
      <c r="O2305" s="152">
        <f t="shared" si="675"/>
        <v>0</v>
      </c>
      <c r="P2305" s="126">
        <f>IF(E2305="Y",0,SUMIFS('Support - Transition'!G:G,'Support - Transition'!J:J,'Step 2'!D2305,'Support - Transition'!E:E,"2009 SCHOOL ALLOCATION FACTOR"))</f>
        <v>0</v>
      </c>
      <c r="Q2305" s="126">
        <f>IF(E2305="Y",VLOOKUP(D2305,'Support - Unit Adjustments'!F:G,2,FALSE),0)</f>
        <v>0</v>
      </c>
      <c r="R2305" s="155">
        <f t="shared" si="687"/>
        <v>0</v>
      </c>
      <c r="S2305" s="47">
        <f t="shared" si="686"/>
        <v>0</v>
      </c>
      <c r="T2305" s="151">
        <f t="shared" si="671"/>
        <v>16</v>
      </c>
      <c r="U2305" s="151">
        <f t="shared" si="672"/>
        <v>11713</v>
      </c>
      <c r="V2305" s="139">
        <f t="shared" si="673"/>
        <v>1</v>
      </c>
      <c r="W2305" s="152">
        <f t="shared" si="676"/>
        <v>15</v>
      </c>
      <c r="X2305" s="127">
        <f t="shared" si="674"/>
        <v>0</v>
      </c>
      <c r="Y2305" s="207">
        <f t="shared" si="677"/>
        <v>15</v>
      </c>
      <c r="Z2305" s="139">
        <f t="shared" si="678"/>
        <v>15</v>
      </c>
      <c r="AA2305" s="139">
        <f t="shared" si="679"/>
        <v>0</v>
      </c>
      <c r="AC2305" s="47">
        <f t="shared" si="680"/>
        <v>8</v>
      </c>
      <c r="AD2305" s="47">
        <f t="shared" si="681"/>
        <v>8</v>
      </c>
      <c r="AE2305" s="47">
        <f t="shared" si="682"/>
        <v>0</v>
      </c>
      <c r="AG2305" s="47">
        <f t="shared" si="683"/>
        <v>7</v>
      </c>
      <c r="AH2305" s="47">
        <f t="shared" si="684"/>
        <v>7</v>
      </c>
      <c r="AI2305" s="208">
        <f t="shared" si="685"/>
        <v>0</v>
      </c>
    </row>
    <row r="2306" spans="1:35">
      <c r="A2306" t="s">
        <v>2162</v>
      </c>
      <c r="B2306" t="s">
        <v>3140</v>
      </c>
      <c r="C2306" t="s">
        <v>2187</v>
      </c>
      <c r="D2306" t="s">
        <v>5835</v>
      </c>
      <c r="F2306" t="s">
        <v>1655</v>
      </c>
      <c r="G2306" s="126">
        <f>SUMIFS('Support - Transition'!F:F,'Support - Transition'!B:B,'Step 2'!A2306,'Support - Transition'!C:C,'Step 2'!B2306,'Support - Transition'!D:D,'Step 2'!C2306,'Support - Transition'!E:E,"CIVIL")</f>
        <v>0</v>
      </c>
      <c r="H2306" s="126">
        <f>SUMIFS('Support - Transition'!F:F,'Support - Transition'!B:B,'Step 2'!A2306,'Support - Transition'!C:C,'Step 2'!B2306,'Support - Transition'!D:D,'Step 2'!C2306,'Support - Transition'!E:E,"FIRE")</f>
        <v>0</v>
      </c>
      <c r="I2306" s="126">
        <f>IF(B2306="0",SUMIFS('Support - Transition'!F:F,'Support - Transition'!J:J,'Step 2'!D2306,'Support - Transition'!E:E,"STATE UNIT"),SUMIFS('Support - Transition'!F:F,'Support - Transition'!J:J,'Step 2'!D2306))</f>
        <v>0.30919600000000003</v>
      </c>
      <c r="J2306" s="126">
        <f>SUMIFS('Support - Unit Adjustments'!E:E,'Support - Unit Adjustments'!F:F,'Step 2'!D2306)</f>
        <v>0</v>
      </c>
      <c r="K2306" s="126">
        <f t="shared" ref="K2306:K2369" si="688">+I2306+J2306</f>
        <v>0.30919600000000003</v>
      </c>
      <c r="L2306" s="174">
        <f>VLOOKUP(A2306,'Step 1'!$A:$E,4,FALSE)</f>
        <v>11712</v>
      </c>
      <c r="M2306" s="47">
        <f t="shared" ref="M2306:M2369" si="689">ROUND(+K2306*L2306,0)</f>
        <v>3621</v>
      </c>
      <c r="N2306" s="177">
        <f>SUMIFS('Support - Transition'!G:G,'Support - Transition'!J:J,'Step 2'!D2306,'Support - Transition'!E:E,"2009 WELFARE ALLOCATION FACTOR")</f>
        <v>0.12692100000000001</v>
      </c>
      <c r="O2306" s="152">
        <f t="shared" si="675"/>
        <v>460</v>
      </c>
      <c r="P2306" s="126">
        <f>IF(E2306="Y",0,SUMIFS('Support - Transition'!G:G,'Support - Transition'!J:J,'Step 2'!D2306,'Support - Transition'!E:E,"2009 SCHOOL ALLOCATION FACTOR"))</f>
        <v>0</v>
      </c>
      <c r="Q2306" s="126">
        <f>IF(E2306="Y",VLOOKUP(D2306,'Support - Unit Adjustments'!F:G,2,FALSE),0)</f>
        <v>0</v>
      </c>
      <c r="R2306" s="155">
        <f t="shared" si="687"/>
        <v>0</v>
      </c>
      <c r="S2306" s="47">
        <f t="shared" si="686"/>
        <v>0</v>
      </c>
      <c r="T2306" s="151">
        <f t="shared" ref="T2306:T2369" si="690">ROUND(+M2306-O2306-S2306,2)</f>
        <v>3161</v>
      </c>
      <c r="U2306" s="151">
        <f t="shared" ref="U2306:U2369" si="691">IF(B2306="0",SUMIFS(O:O,A:A,A2306)+SUMIFS(S:S,A:A,A2306)+SUMIFS(T:T,A:A,A2306),0)</f>
        <v>0</v>
      </c>
      <c r="V2306" s="139">
        <f t="shared" ref="V2306:V2369" si="692">IF(B2306="0",U2306-L2306,0)</f>
        <v>0</v>
      </c>
      <c r="W2306" s="152">
        <f t="shared" si="676"/>
        <v>3161</v>
      </c>
      <c r="X2306" s="127" t="str">
        <f t="shared" ref="X2306:X2369" si="693">IF(B2306="0",SUMIFS(O:O,A:A,A2306)+SUMIFS(S:S,A:A,A2306)+SUMIFS(W:W,A:A,A2306)-L2306,"")</f>
        <v/>
      </c>
      <c r="Y2306" s="207">
        <f t="shared" si="677"/>
        <v>3161</v>
      </c>
      <c r="Z2306" s="139">
        <f t="shared" si="678"/>
        <v>3161</v>
      </c>
      <c r="AA2306" s="139">
        <f t="shared" si="679"/>
        <v>0</v>
      </c>
      <c r="AC2306" s="47">
        <f t="shared" si="680"/>
        <v>1581</v>
      </c>
      <c r="AD2306" s="47">
        <f t="shared" si="681"/>
        <v>1581</v>
      </c>
      <c r="AE2306" s="47">
        <f t="shared" si="682"/>
        <v>0</v>
      </c>
      <c r="AG2306" s="47">
        <f t="shared" si="683"/>
        <v>1580</v>
      </c>
      <c r="AH2306" s="47">
        <f t="shared" si="684"/>
        <v>1580</v>
      </c>
      <c r="AI2306" s="208">
        <f t="shared" si="685"/>
        <v>0</v>
      </c>
    </row>
    <row r="2307" spans="1:35">
      <c r="A2307" t="s">
        <v>2162</v>
      </c>
      <c r="B2307" t="s">
        <v>3142</v>
      </c>
      <c r="C2307" t="s">
        <v>2188</v>
      </c>
      <c r="D2307" t="s">
        <v>5836</v>
      </c>
      <c r="F2307" t="s">
        <v>1656</v>
      </c>
      <c r="G2307" s="126">
        <f>SUMIFS('Support - Transition'!F:F,'Support - Transition'!B:B,'Step 2'!A2307,'Support - Transition'!C:C,'Step 2'!B2307,'Support - Transition'!D:D,'Step 2'!C2307,'Support - Transition'!E:E,"CIVIL")</f>
        <v>1.635E-3</v>
      </c>
      <c r="H2307" s="126">
        <f>SUMIFS('Support - Transition'!F:F,'Support - Transition'!B:B,'Step 2'!A2307,'Support - Transition'!C:C,'Step 2'!B2307,'Support - Transition'!D:D,'Step 2'!C2307,'Support - Transition'!E:E,"FIRE")</f>
        <v>5.4500000000000002E-4</v>
      </c>
      <c r="I2307" s="126">
        <f>IF(B2307="0",SUMIFS('Support - Transition'!F:F,'Support - Transition'!J:J,'Step 2'!D2307,'Support - Transition'!E:E,"STATE UNIT"),SUMIFS('Support - Transition'!F:F,'Support - Transition'!J:J,'Step 2'!D2307))</f>
        <v>2.1800000000000001E-3</v>
      </c>
      <c r="J2307" s="126">
        <f>SUMIFS('Support - Unit Adjustments'!E:E,'Support - Unit Adjustments'!F:F,'Step 2'!D2307)</f>
        <v>0</v>
      </c>
      <c r="K2307" s="126">
        <f t="shared" si="688"/>
        <v>2.1800000000000001E-3</v>
      </c>
      <c r="L2307" s="174">
        <f>VLOOKUP(A2307,'Step 1'!$A:$E,4,FALSE)</f>
        <v>11712</v>
      </c>
      <c r="M2307" s="47">
        <f t="shared" si="689"/>
        <v>26</v>
      </c>
      <c r="N2307" s="177">
        <f>SUMIFS('Support - Transition'!G:G,'Support - Transition'!J:J,'Step 2'!D2307,'Support - Transition'!E:E,"2009 WELFARE ALLOCATION FACTOR")</f>
        <v>0</v>
      </c>
      <c r="O2307" s="152">
        <f t="shared" ref="O2307:O2370" si="694">ROUND(+N2307*M2307,0)</f>
        <v>0</v>
      </c>
      <c r="P2307" s="126">
        <f>IF(E2307="Y",0,SUMIFS('Support - Transition'!G:G,'Support - Transition'!J:J,'Step 2'!D2307,'Support - Transition'!E:E,"2009 SCHOOL ALLOCATION FACTOR"))</f>
        <v>0</v>
      </c>
      <c r="Q2307" s="126">
        <f>IF(E2307="Y",VLOOKUP(D2307,'Support - Unit Adjustments'!F:G,2,FALSE),0)</f>
        <v>0</v>
      </c>
      <c r="R2307" s="155">
        <f t="shared" si="687"/>
        <v>0</v>
      </c>
      <c r="S2307" s="47">
        <f t="shared" si="686"/>
        <v>0</v>
      </c>
      <c r="T2307" s="151">
        <f t="shared" si="690"/>
        <v>26</v>
      </c>
      <c r="U2307" s="151">
        <f t="shared" si="691"/>
        <v>0</v>
      </c>
      <c r="V2307" s="139">
        <f t="shared" si="692"/>
        <v>0</v>
      </c>
      <c r="W2307" s="152">
        <f t="shared" ref="W2307:W2370" si="695">+T2307-V2307</f>
        <v>26</v>
      </c>
      <c r="X2307" s="127" t="str">
        <f t="shared" si="693"/>
        <v/>
      </c>
      <c r="Y2307" s="207">
        <f t="shared" ref="Y2307:Y2370" si="696">W2307</f>
        <v>26</v>
      </c>
      <c r="Z2307" s="139">
        <f t="shared" ref="Z2307:Z2370" si="697">IFERROR(IF(B2307="2",ROUND(Y2307*G2307/I2307,0),Y2307),0)</f>
        <v>20</v>
      </c>
      <c r="AA2307" s="139">
        <f t="shared" ref="AA2307:AA2370" si="698">+Y2307-Z2307</f>
        <v>6</v>
      </c>
      <c r="AC2307" s="47">
        <f t="shared" ref="AC2307:AC2370" si="699">ROUND(Y2307/2,0)</f>
        <v>13</v>
      </c>
      <c r="AD2307" s="47">
        <f t="shared" ref="AD2307:AD2370" si="700">ROUND(Z2307/2,0)</f>
        <v>10</v>
      </c>
      <c r="AE2307" s="47">
        <f t="shared" ref="AE2307:AE2370" si="701">ROUND(AA2307/2,0)</f>
        <v>3</v>
      </c>
      <c r="AG2307" s="47">
        <f t="shared" ref="AG2307:AG2370" si="702">+Y2307-AC2307</f>
        <v>13</v>
      </c>
      <c r="AH2307" s="47">
        <f t="shared" ref="AH2307:AH2370" si="703">+Z2307-AD2307</f>
        <v>10</v>
      </c>
      <c r="AI2307" s="208">
        <f t="shared" ref="AI2307:AI2370" si="704">+AA2307-AE2307</f>
        <v>3</v>
      </c>
    </row>
    <row r="2308" spans="1:35">
      <c r="A2308" t="s">
        <v>2162</v>
      </c>
      <c r="B2308" t="s">
        <v>3142</v>
      </c>
      <c r="C2308" t="s">
        <v>2189</v>
      </c>
      <c r="D2308" t="s">
        <v>5837</v>
      </c>
      <c r="F2308" t="s">
        <v>1657</v>
      </c>
      <c r="G2308" s="126">
        <f>SUMIFS('Support - Transition'!F:F,'Support - Transition'!B:B,'Step 2'!A2308,'Support - Transition'!C:C,'Step 2'!B2308,'Support - Transition'!D:D,'Step 2'!C2308,'Support - Transition'!E:E,"CIVIL")</f>
        <v>0</v>
      </c>
      <c r="H2308" s="126">
        <f>SUMIFS('Support - Transition'!F:F,'Support - Transition'!B:B,'Step 2'!A2308,'Support - Transition'!C:C,'Step 2'!B2308,'Support - Transition'!D:D,'Step 2'!C2308,'Support - Transition'!E:E,"FIRE")</f>
        <v>0</v>
      </c>
      <c r="I2308" s="126">
        <f>IF(B2308="0",SUMIFS('Support - Transition'!F:F,'Support - Transition'!J:J,'Step 2'!D2308,'Support - Transition'!E:E,"STATE UNIT"),SUMIFS('Support - Transition'!F:F,'Support - Transition'!J:J,'Step 2'!D2308))</f>
        <v>0</v>
      </c>
      <c r="J2308" s="126">
        <f>SUMIFS('Support - Unit Adjustments'!E:E,'Support - Unit Adjustments'!F:F,'Step 2'!D2308)</f>
        <v>0</v>
      </c>
      <c r="K2308" s="126">
        <f t="shared" si="688"/>
        <v>0</v>
      </c>
      <c r="L2308" s="174">
        <f>VLOOKUP(A2308,'Step 1'!$A:$E,4,FALSE)</f>
        <v>11712</v>
      </c>
      <c r="M2308" s="47">
        <f t="shared" si="689"/>
        <v>0</v>
      </c>
      <c r="N2308" s="177">
        <f>SUMIFS('Support - Transition'!G:G,'Support - Transition'!J:J,'Step 2'!D2308,'Support - Transition'!E:E,"2009 WELFARE ALLOCATION FACTOR")</f>
        <v>0</v>
      </c>
      <c r="O2308" s="152">
        <f t="shared" si="694"/>
        <v>0</v>
      </c>
      <c r="P2308" s="126">
        <f>IF(E2308="Y",0,SUMIFS('Support - Transition'!G:G,'Support - Transition'!J:J,'Step 2'!D2308,'Support - Transition'!E:E,"2009 SCHOOL ALLOCATION FACTOR"))</f>
        <v>0</v>
      </c>
      <c r="Q2308" s="126">
        <f>IF(E2308="Y",VLOOKUP(D2308,'Support - Unit Adjustments'!F:G,2,FALSE),0)</f>
        <v>0</v>
      </c>
      <c r="R2308" s="155">
        <f t="shared" si="687"/>
        <v>0</v>
      </c>
      <c r="S2308" s="47">
        <f t="shared" si="686"/>
        <v>0</v>
      </c>
      <c r="T2308" s="151">
        <f t="shared" si="690"/>
        <v>0</v>
      </c>
      <c r="U2308" s="151">
        <f t="shared" si="691"/>
        <v>0</v>
      </c>
      <c r="V2308" s="139">
        <f t="shared" si="692"/>
        <v>0</v>
      </c>
      <c r="W2308" s="152">
        <f t="shared" si="695"/>
        <v>0</v>
      </c>
      <c r="X2308" s="127" t="str">
        <f t="shared" si="693"/>
        <v/>
      </c>
      <c r="Y2308" s="207">
        <f t="shared" si="696"/>
        <v>0</v>
      </c>
      <c r="Z2308" s="139">
        <f t="shared" si="697"/>
        <v>0</v>
      </c>
      <c r="AA2308" s="139">
        <f t="shared" si="698"/>
        <v>0</v>
      </c>
      <c r="AC2308" s="47">
        <f t="shared" si="699"/>
        <v>0</v>
      </c>
      <c r="AD2308" s="47">
        <f t="shared" si="700"/>
        <v>0</v>
      </c>
      <c r="AE2308" s="47">
        <f t="shared" si="701"/>
        <v>0</v>
      </c>
      <c r="AG2308" s="47">
        <f t="shared" si="702"/>
        <v>0</v>
      </c>
      <c r="AH2308" s="47">
        <f t="shared" si="703"/>
        <v>0</v>
      </c>
      <c r="AI2308" s="208">
        <f t="shared" si="704"/>
        <v>0</v>
      </c>
    </row>
    <row r="2309" spans="1:35">
      <c r="A2309" t="s">
        <v>2162</v>
      </c>
      <c r="B2309" t="s">
        <v>3142</v>
      </c>
      <c r="C2309" t="s">
        <v>2190</v>
      </c>
      <c r="D2309" t="s">
        <v>5838</v>
      </c>
      <c r="F2309" t="s">
        <v>14</v>
      </c>
      <c r="G2309" s="126">
        <f>SUMIFS('Support - Transition'!F:F,'Support - Transition'!B:B,'Step 2'!A2309,'Support - Transition'!C:C,'Step 2'!B2309,'Support - Transition'!D:D,'Step 2'!C2309,'Support - Transition'!E:E,"CIVIL")</f>
        <v>5.0610000000000004E-3</v>
      </c>
      <c r="H2309" s="126">
        <f>SUMIFS('Support - Transition'!F:F,'Support - Transition'!B:B,'Step 2'!A2309,'Support - Transition'!C:C,'Step 2'!B2309,'Support - Transition'!D:D,'Step 2'!C2309,'Support - Transition'!E:E,"FIRE")</f>
        <v>7.0100000000000002E-4</v>
      </c>
      <c r="I2309" s="126">
        <f>IF(B2309="0",SUMIFS('Support - Transition'!F:F,'Support - Transition'!J:J,'Step 2'!D2309,'Support - Transition'!E:E,"STATE UNIT"),SUMIFS('Support - Transition'!F:F,'Support - Transition'!J:J,'Step 2'!D2309))</f>
        <v>5.7620000000000006E-3</v>
      </c>
      <c r="J2309" s="126">
        <f>SUMIFS('Support - Unit Adjustments'!E:E,'Support - Unit Adjustments'!F:F,'Step 2'!D2309)</f>
        <v>0</v>
      </c>
      <c r="K2309" s="126">
        <f t="shared" si="688"/>
        <v>5.7620000000000006E-3</v>
      </c>
      <c r="L2309" s="174">
        <f>VLOOKUP(A2309,'Step 1'!$A:$E,4,FALSE)</f>
        <v>11712</v>
      </c>
      <c r="M2309" s="47">
        <f t="shared" si="689"/>
        <v>67</v>
      </c>
      <c r="N2309" s="177">
        <f>SUMIFS('Support - Transition'!G:G,'Support - Transition'!J:J,'Step 2'!D2309,'Support - Transition'!E:E,"2009 WELFARE ALLOCATION FACTOR")</f>
        <v>0</v>
      </c>
      <c r="O2309" s="152">
        <f t="shared" si="694"/>
        <v>0</v>
      </c>
      <c r="P2309" s="126">
        <f>IF(E2309="Y",0,SUMIFS('Support - Transition'!G:G,'Support - Transition'!J:J,'Step 2'!D2309,'Support - Transition'!E:E,"2009 SCHOOL ALLOCATION FACTOR"))</f>
        <v>0</v>
      </c>
      <c r="Q2309" s="126">
        <f>IF(E2309="Y",VLOOKUP(D2309,'Support - Unit Adjustments'!F:G,2,FALSE),0)</f>
        <v>0</v>
      </c>
      <c r="R2309" s="155">
        <f t="shared" si="687"/>
        <v>0</v>
      </c>
      <c r="S2309" s="47">
        <f t="shared" si="686"/>
        <v>0</v>
      </c>
      <c r="T2309" s="151">
        <f t="shared" si="690"/>
        <v>67</v>
      </c>
      <c r="U2309" s="151">
        <f t="shared" si="691"/>
        <v>0</v>
      </c>
      <c r="V2309" s="139">
        <f t="shared" si="692"/>
        <v>0</v>
      </c>
      <c r="W2309" s="152">
        <f t="shared" si="695"/>
        <v>67</v>
      </c>
      <c r="X2309" s="127" t="str">
        <f t="shared" si="693"/>
        <v/>
      </c>
      <c r="Y2309" s="207">
        <f t="shared" si="696"/>
        <v>67</v>
      </c>
      <c r="Z2309" s="139">
        <f t="shared" si="697"/>
        <v>59</v>
      </c>
      <c r="AA2309" s="139">
        <f t="shared" si="698"/>
        <v>8</v>
      </c>
      <c r="AC2309" s="47">
        <f t="shared" si="699"/>
        <v>34</v>
      </c>
      <c r="AD2309" s="47">
        <f t="shared" si="700"/>
        <v>30</v>
      </c>
      <c r="AE2309" s="47">
        <f t="shared" si="701"/>
        <v>4</v>
      </c>
      <c r="AG2309" s="47">
        <f t="shared" si="702"/>
        <v>33</v>
      </c>
      <c r="AH2309" s="47">
        <f t="shared" si="703"/>
        <v>29</v>
      </c>
      <c r="AI2309" s="208">
        <f t="shared" si="704"/>
        <v>4</v>
      </c>
    </row>
    <row r="2310" spans="1:35">
      <c r="A2310" t="s">
        <v>2162</v>
      </c>
      <c r="B2310" t="s">
        <v>3142</v>
      </c>
      <c r="C2310" t="s">
        <v>2191</v>
      </c>
      <c r="D2310" t="s">
        <v>5839</v>
      </c>
      <c r="F2310" t="s">
        <v>57</v>
      </c>
      <c r="G2310" s="126">
        <f>SUMIFS('Support - Transition'!F:F,'Support - Transition'!B:B,'Step 2'!A2310,'Support - Transition'!C:C,'Step 2'!B2310,'Support - Transition'!D:D,'Step 2'!C2310,'Support - Transition'!E:E,"CIVIL")</f>
        <v>4.6700000000000002E-4</v>
      </c>
      <c r="H2310" s="126">
        <f>SUMIFS('Support - Transition'!F:F,'Support - Transition'!B:B,'Step 2'!A2310,'Support - Transition'!C:C,'Step 2'!B2310,'Support - Transition'!D:D,'Step 2'!C2310,'Support - Transition'!E:E,"FIRE")</f>
        <v>1.56E-4</v>
      </c>
      <c r="I2310" s="126">
        <f>IF(B2310="0",SUMIFS('Support - Transition'!F:F,'Support - Transition'!J:J,'Step 2'!D2310,'Support - Transition'!E:E,"STATE UNIT"),SUMIFS('Support - Transition'!F:F,'Support - Transition'!J:J,'Step 2'!D2310))</f>
        <v>6.2300000000000007E-4</v>
      </c>
      <c r="J2310" s="126">
        <f>SUMIFS('Support - Unit Adjustments'!E:E,'Support - Unit Adjustments'!F:F,'Step 2'!D2310)</f>
        <v>0</v>
      </c>
      <c r="K2310" s="126">
        <f t="shared" si="688"/>
        <v>6.2300000000000007E-4</v>
      </c>
      <c r="L2310" s="174">
        <f>VLOOKUP(A2310,'Step 1'!$A:$E,4,FALSE)</f>
        <v>11712</v>
      </c>
      <c r="M2310" s="47">
        <f t="shared" si="689"/>
        <v>7</v>
      </c>
      <c r="N2310" s="177">
        <f>SUMIFS('Support - Transition'!G:G,'Support - Transition'!J:J,'Step 2'!D2310,'Support - Transition'!E:E,"2009 WELFARE ALLOCATION FACTOR")</f>
        <v>0</v>
      </c>
      <c r="O2310" s="152">
        <f t="shared" si="694"/>
        <v>0</v>
      </c>
      <c r="P2310" s="126">
        <f>IF(E2310="Y",0,SUMIFS('Support - Transition'!G:G,'Support - Transition'!J:J,'Step 2'!D2310,'Support - Transition'!E:E,"2009 SCHOOL ALLOCATION FACTOR"))</f>
        <v>0</v>
      </c>
      <c r="Q2310" s="126">
        <f>IF(E2310="Y",VLOOKUP(D2310,'Support - Unit Adjustments'!F:G,2,FALSE),0)</f>
        <v>0</v>
      </c>
      <c r="R2310" s="155">
        <f t="shared" si="687"/>
        <v>0</v>
      </c>
      <c r="S2310" s="47">
        <f t="shared" si="686"/>
        <v>0</v>
      </c>
      <c r="T2310" s="151">
        <f t="shared" si="690"/>
        <v>7</v>
      </c>
      <c r="U2310" s="151">
        <f t="shared" si="691"/>
        <v>0</v>
      </c>
      <c r="V2310" s="139">
        <f t="shared" si="692"/>
        <v>0</v>
      </c>
      <c r="W2310" s="152">
        <f t="shared" si="695"/>
        <v>7</v>
      </c>
      <c r="X2310" s="127" t="str">
        <f t="shared" si="693"/>
        <v/>
      </c>
      <c r="Y2310" s="207">
        <f t="shared" si="696"/>
        <v>7</v>
      </c>
      <c r="Z2310" s="139">
        <f t="shared" si="697"/>
        <v>5</v>
      </c>
      <c r="AA2310" s="139">
        <f t="shared" si="698"/>
        <v>2</v>
      </c>
      <c r="AC2310" s="47">
        <f t="shared" si="699"/>
        <v>4</v>
      </c>
      <c r="AD2310" s="47">
        <f t="shared" si="700"/>
        <v>3</v>
      </c>
      <c r="AE2310" s="47">
        <f t="shared" si="701"/>
        <v>1</v>
      </c>
      <c r="AG2310" s="47">
        <f t="shared" si="702"/>
        <v>3</v>
      </c>
      <c r="AH2310" s="47">
        <f t="shared" si="703"/>
        <v>2</v>
      </c>
      <c r="AI2310" s="208">
        <f t="shared" si="704"/>
        <v>1</v>
      </c>
    </row>
    <row r="2311" spans="1:35">
      <c r="A2311" t="s">
        <v>2162</v>
      </c>
      <c r="B2311" t="s">
        <v>3142</v>
      </c>
      <c r="C2311" t="s">
        <v>2192</v>
      </c>
      <c r="D2311" t="s">
        <v>5840</v>
      </c>
      <c r="F2311" t="s">
        <v>252</v>
      </c>
      <c r="G2311" s="126">
        <f>SUMIFS('Support - Transition'!F:F,'Support - Transition'!B:B,'Step 2'!A2311,'Support - Transition'!C:C,'Step 2'!B2311,'Support - Transition'!D:D,'Step 2'!C2311,'Support - Transition'!E:E,"CIVIL")</f>
        <v>7.4749999999999999E-3</v>
      </c>
      <c r="H2311" s="126">
        <f>SUMIFS('Support - Transition'!F:F,'Support - Transition'!B:B,'Step 2'!A2311,'Support - Transition'!C:C,'Step 2'!B2311,'Support - Transition'!D:D,'Step 2'!C2311,'Support - Transition'!E:E,"FIRE")</f>
        <v>2.8029999999999999E-3</v>
      </c>
      <c r="I2311" s="126">
        <f>IF(B2311="0",SUMIFS('Support - Transition'!F:F,'Support - Transition'!J:J,'Step 2'!D2311,'Support - Transition'!E:E,"STATE UNIT"),SUMIFS('Support - Transition'!F:F,'Support - Transition'!J:J,'Step 2'!D2311))</f>
        <v>1.0277999999999999E-2</v>
      </c>
      <c r="J2311" s="126">
        <f>SUMIFS('Support - Unit Adjustments'!E:E,'Support - Unit Adjustments'!F:F,'Step 2'!D2311)</f>
        <v>0</v>
      </c>
      <c r="K2311" s="126">
        <f t="shared" si="688"/>
        <v>1.0277999999999999E-2</v>
      </c>
      <c r="L2311" s="174">
        <f>VLOOKUP(A2311,'Step 1'!$A:$E,4,FALSE)</f>
        <v>11712</v>
      </c>
      <c r="M2311" s="47">
        <f t="shared" si="689"/>
        <v>120</v>
      </c>
      <c r="N2311" s="177">
        <f>SUMIFS('Support - Transition'!G:G,'Support - Transition'!J:J,'Step 2'!D2311,'Support - Transition'!E:E,"2009 WELFARE ALLOCATION FACTOR")</f>
        <v>0</v>
      </c>
      <c r="O2311" s="152">
        <f t="shared" si="694"/>
        <v>0</v>
      </c>
      <c r="P2311" s="126">
        <f>IF(E2311="Y",0,SUMIFS('Support - Transition'!G:G,'Support - Transition'!J:J,'Step 2'!D2311,'Support - Transition'!E:E,"2009 SCHOOL ALLOCATION FACTOR"))</f>
        <v>0</v>
      </c>
      <c r="Q2311" s="126">
        <f>IF(E2311="Y",VLOOKUP(D2311,'Support - Unit Adjustments'!F:G,2,FALSE),0)</f>
        <v>0</v>
      </c>
      <c r="R2311" s="155">
        <f t="shared" si="687"/>
        <v>0</v>
      </c>
      <c r="S2311" s="47">
        <f t="shared" si="686"/>
        <v>0</v>
      </c>
      <c r="T2311" s="151">
        <f t="shared" si="690"/>
        <v>120</v>
      </c>
      <c r="U2311" s="151">
        <f t="shared" si="691"/>
        <v>0</v>
      </c>
      <c r="V2311" s="139">
        <f t="shared" si="692"/>
        <v>0</v>
      </c>
      <c r="W2311" s="152">
        <f t="shared" si="695"/>
        <v>120</v>
      </c>
      <c r="X2311" s="127" t="str">
        <f t="shared" si="693"/>
        <v/>
      </c>
      <c r="Y2311" s="207">
        <f t="shared" si="696"/>
        <v>120</v>
      </c>
      <c r="Z2311" s="139">
        <f t="shared" si="697"/>
        <v>87</v>
      </c>
      <c r="AA2311" s="139">
        <f t="shared" si="698"/>
        <v>33</v>
      </c>
      <c r="AC2311" s="47">
        <f t="shared" si="699"/>
        <v>60</v>
      </c>
      <c r="AD2311" s="47">
        <f t="shared" si="700"/>
        <v>44</v>
      </c>
      <c r="AE2311" s="47">
        <f t="shared" si="701"/>
        <v>17</v>
      </c>
      <c r="AG2311" s="47">
        <f t="shared" si="702"/>
        <v>60</v>
      </c>
      <c r="AH2311" s="47">
        <f t="shared" si="703"/>
        <v>43</v>
      </c>
      <c r="AI2311" s="208">
        <f t="shared" si="704"/>
        <v>16</v>
      </c>
    </row>
    <row r="2312" spans="1:35">
      <c r="A2312" t="s">
        <v>2162</v>
      </c>
      <c r="B2312" t="s">
        <v>3142</v>
      </c>
      <c r="C2312" t="s">
        <v>2193</v>
      </c>
      <c r="D2312" t="s">
        <v>5841</v>
      </c>
      <c r="F2312" t="s">
        <v>115</v>
      </c>
      <c r="G2312" s="126">
        <f>SUMIFS('Support - Transition'!F:F,'Support - Transition'!B:B,'Step 2'!A2312,'Support - Transition'!C:C,'Step 2'!B2312,'Support - Transition'!D:D,'Step 2'!C2312,'Support - Transition'!E:E,"CIVIL")</f>
        <v>3.1100000000000002E-4</v>
      </c>
      <c r="H2312" s="126">
        <f>SUMIFS('Support - Transition'!F:F,'Support - Transition'!B:B,'Step 2'!A2312,'Support - Transition'!C:C,'Step 2'!B2312,'Support - Transition'!D:D,'Step 2'!C2312,'Support - Transition'!E:E,"FIRE")</f>
        <v>7.7999999999999999E-5</v>
      </c>
      <c r="I2312" s="126">
        <f>IF(B2312="0",SUMIFS('Support - Transition'!F:F,'Support - Transition'!J:J,'Step 2'!D2312,'Support - Transition'!E:E,"STATE UNIT"),SUMIFS('Support - Transition'!F:F,'Support - Transition'!J:J,'Step 2'!D2312))</f>
        <v>3.8900000000000002E-4</v>
      </c>
      <c r="J2312" s="126">
        <f>SUMIFS('Support - Unit Adjustments'!E:E,'Support - Unit Adjustments'!F:F,'Step 2'!D2312)</f>
        <v>0</v>
      </c>
      <c r="K2312" s="126">
        <f t="shared" si="688"/>
        <v>3.8900000000000002E-4</v>
      </c>
      <c r="L2312" s="174">
        <f>VLOOKUP(A2312,'Step 1'!$A:$E,4,FALSE)</f>
        <v>11712</v>
      </c>
      <c r="M2312" s="47">
        <f t="shared" si="689"/>
        <v>5</v>
      </c>
      <c r="N2312" s="177">
        <f>SUMIFS('Support - Transition'!G:G,'Support - Transition'!J:J,'Step 2'!D2312,'Support - Transition'!E:E,"2009 WELFARE ALLOCATION FACTOR")</f>
        <v>0</v>
      </c>
      <c r="O2312" s="152">
        <f t="shared" si="694"/>
        <v>0</v>
      </c>
      <c r="P2312" s="126">
        <f>IF(E2312="Y",0,SUMIFS('Support - Transition'!G:G,'Support - Transition'!J:J,'Step 2'!D2312,'Support - Transition'!E:E,"2009 SCHOOL ALLOCATION FACTOR"))</f>
        <v>0</v>
      </c>
      <c r="Q2312" s="126">
        <f>IF(E2312="Y",VLOOKUP(D2312,'Support - Unit Adjustments'!F:G,2,FALSE),0)</f>
        <v>0</v>
      </c>
      <c r="R2312" s="155">
        <f t="shared" si="687"/>
        <v>0</v>
      </c>
      <c r="S2312" s="47">
        <f t="shared" ref="S2312:S2375" si="705">ROUND(+R2312*M2312,0)</f>
        <v>0</v>
      </c>
      <c r="T2312" s="151">
        <f t="shared" si="690"/>
        <v>5</v>
      </c>
      <c r="U2312" s="151">
        <f t="shared" si="691"/>
        <v>0</v>
      </c>
      <c r="V2312" s="139">
        <f t="shared" si="692"/>
        <v>0</v>
      </c>
      <c r="W2312" s="152">
        <f t="shared" si="695"/>
        <v>5</v>
      </c>
      <c r="X2312" s="127" t="str">
        <f t="shared" si="693"/>
        <v/>
      </c>
      <c r="Y2312" s="207">
        <f t="shared" si="696"/>
        <v>5</v>
      </c>
      <c r="Z2312" s="139">
        <f t="shared" si="697"/>
        <v>4</v>
      </c>
      <c r="AA2312" s="139">
        <f t="shared" si="698"/>
        <v>1</v>
      </c>
      <c r="AC2312" s="47">
        <f t="shared" si="699"/>
        <v>3</v>
      </c>
      <c r="AD2312" s="47">
        <f t="shared" si="700"/>
        <v>2</v>
      </c>
      <c r="AE2312" s="47">
        <f t="shared" si="701"/>
        <v>1</v>
      </c>
      <c r="AG2312" s="47">
        <f t="shared" si="702"/>
        <v>2</v>
      </c>
      <c r="AH2312" s="47">
        <f t="shared" si="703"/>
        <v>2</v>
      </c>
      <c r="AI2312" s="208">
        <f t="shared" si="704"/>
        <v>0</v>
      </c>
    </row>
    <row r="2313" spans="1:35">
      <c r="A2313" t="s">
        <v>2162</v>
      </c>
      <c r="B2313" t="s">
        <v>3155</v>
      </c>
      <c r="C2313" t="s">
        <v>3037</v>
      </c>
      <c r="D2313" t="s">
        <v>5842</v>
      </c>
      <c r="F2313" t="s">
        <v>1658</v>
      </c>
      <c r="G2313" s="126">
        <f>SUMIFS('Support - Transition'!F:F,'Support - Transition'!B:B,'Step 2'!A2313,'Support - Transition'!C:C,'Step 2'!B2313,'Support - Transition'!D:D,'Step 2'!C2313,'Support - Transition'!E:E,"CIVIL")</f>
        <v>0</v>
      </c>
      <c r="H2313" s="126">
        <f>SUMIFS('Support - Transition'!F:F,'Support - Transition'!B:B,'Step 2'!A2313,'Support - Transition'!C:C,'Step 2'!B2313,'Support - Transition'!D:D,'Step 2'!C2313,'Support - Transition'!E:E,"FIRE")</f>
        <v>0</v>
      </c>
      <c r="I2313" s="126">
        <f>IF(B2313="0",SUMIFS('Support - Transition'!F:F,'Support - Transition'!J:J,'Step 2'!D2313,'Support - Transition'!E:E,"STATE UNIT"),SUMIFS('Support - Transition'!F:F,'Support - Transition'!J:J,'Step 2'!D2313))</f>
        <v>1.4482999999999999E-2</v>
      </c>
      <c r="J2313" s="126">
        <f>SUMIFS('Support - Unit Adjustments'!E:E,'Support - Unit Adjustments'!F:F,'Step 2'!D2313)</f>
        <v>0</v>
      </c>
      <c r="K2313" s="126">
        <f t="shared" si="688"/>
        <v>1.4482999999999999E-2</v>
      </c>
      <c r="L2313" s="174">
        <f>VLOOKUP(A2313,'Step 1'!$A:$E,4,FALSE)</f>
        <v>11712</v>
      </c>
      <c r="M2313" s="47">
        <f t="shared" si="689"/>
        <v>170</v>
      </c>
      <c r="N2313" s="177">
        <f>SUMIFS('Support - Transition'!G:G,'Support - Transition'!J:J,'Step 2'!D2313,'Support - Transition'!E:E,"2009 WELFARE ALLOCATION FACTOR")</f>
        <v>0</v>
      </c>
      <c r="O2313" s="152">
        <f t="shared" si="694"/>
        <v>0</v>
      </c>
      <c r="P2313" s="126">
        <f>IF(E2313="Y",0,SUMIFS('Support - Transition'!G:G,'Support - Transition'!J:J,'Step 2'!D2313,'Support - Transition'!E:E,"2009 SCHOOL ALLOCATION FACTOR"))</f>
        <v>0</v>
      </c>
      <c r="Q2313" s="126">
        <f>IF(E2313="Y",VLOOKUP(D2313,'Support - Unit Adjustments'!F:G,2,FALSE),0)</f>
        <v>0</v>
      </c>
      <c r="R2313" s="155">
        <f t="shared" ref="R2313:R2376" si="706">+P2313+Q2313</f>
        <v>0</v>
      </c>
      <c r="S2313" s="47">
        <f t="shared" si="705"/>
        <v>0</v>
      </c>
      <c r="T2313" s="151">
        <f t="shared" si="690"/>
        <v>170</v>
      </c>
      <c r="U2313" s="151">
        <f t="shared" si="691"/>
        <v>0</v>
      </c>
      <c r="V2313" s="139">
        <f t="shared" si="692"/>
        <v>0</v>
      </c>
      <c r="W2313" s="152">
        <f t="shared" si="695"/>
        <v>170</v>
      </c>
      <c r="X2313" s="127" t="str">
        <f t="shared" si="693"/>
        <v/>
      </c>
      <c r="Y2313" s="207">
        <f t="shared" si="696"/>
        <v>170</v>
      </c>
      <c r="Z2313" s="139">
        <f t="shared" si="697"/>
        <v>170</v>
      </c>
      <c r="AA2313" s="139">
        <f t="shared" si="698"/>
        <v>0</v>
      </c>
      <c r="AC2313" s="47">
        <f t="shared" si="699"/>
        <v>85</v>
      </c>
      <c r="AD2313" s="47">
        <f t="shared" si="700"/>
        <v>85</v>
      </c>
      <c r="AE2313" s="47">
        <f t="shared" si="701"/>
        <v>0</v>
      </c>
      <c r="AG2313" s="47">
        <f t="shared" si="702"/>
        <v>85</v>
      </c>
      <c r="AH2313" s="47">
        <f t="shared" si="703"/>
        <v>85</v>
      </c>
      <c r="AI2313" s="208">
        <f t="shared" si="704"/>
        <v>0</v>
      </c>
    </row>
    <row r="2314" spans="1:35">
      <c r="A2314" t="s">
        <v>2162</v>
      </c>
      <c r="B2314" t="s">
        <v>3155</v>
      </c>
      <c r="C2314" t="s">
        <v>3038</v>
      </c>
      <c r="D2314" t="s">
        <v>5843</v>
      </c>
      <c r="F2314" t="s">
        <v>1659</v>
      </c>
      <c r="G2314" s="126">
        <f>SUMIFS('Support - Transition'!F:F,'Support - Transition'!B:B,'Step 2'!A2314,'Support - Transition'!C:C,'Step 2'!B2314,'Support - Transition'!D:D,'Step 2'!C2314,'Support - Transition'!E:E,"CIVIL")</f>
        <v>0</v>
      </c>
      <c r="H2314" s="126">
        <f>SUMIFS('Support - Transition'!F:F,'Support - Transition'!B:B,'Step 2'!A2314,'Support - Transition'!C:C,'Step 2'!B2314,'Support - Transition'!D:D,'Step 2'!C2314,'Support - Transition'!E:E,"FIRE")</f>
        <v>0</v>
      </c>
      <c r="I2314" s="126">
        <f>IF(B2314="0",SUMIFS('Support - Transition'!F:F,'Support - Transition'!J:J,'Step 2'!D2314,'Support - Transition'!E:E,"STATE UNIT"),SUMIFS('Support - Transition'!F:F,'Support - Transition'!J:J,'Step 2'!D2314))</f>
        <v>5.9487999999999999E-2</v>
      </c>
      <c r="J2314" s="126">
        <f>SUMIFS('Support - Unit Adjustments'!E:E,'Support - Unit Adjustments'!F:F,'Step 2'!D2314)</f>
        <v>0</v>
      </c>
      <c r="K2314" s="126">
        <f t="shared" si="688"/>
        <v>5.9487999999999999E-2</v>
      </c>
      <c r="L2314" s="174">
        <f>VLOOKUP(A2314,'Step 1'!$A:$E,4,FALSE)</f>
        <v>11712</v>
      </c>
      <c r="M2314" s="47">
        <f t="shared" si="689"/>
        <v>697</v>
      </c>
      <c r="N2314" s="177">
        <f>SUMIFS('Support - Transition'!G:G,'Support - Transition'!J:J,'Step 2'!D2314,'Support - Transition'!E:E,"2009 WELFARE ALLOCATION FACTOR")</f>
        <v>0</v>
      </c>
      <c r="O2314" s="152">
        <f t="shared" si="694"/>
        <v>0</v>
      </c>
      <c r="P2314" s="126">
        <f>IF(E2314="Y",0,SUMIFS('Support - Transition'!G:G,'Support - Transition'!J:J,'Step 2'!D2314,'Support - Transition'!E:E,"2009 SCHOOL ALLOCATION FACTOR"))</f>
        <v>0</v>
      </c>
      <c r="Q2314" s="126">
        <f>IF(E2314="Y",VLOOKUP(D2314,'Support - Unit Adjustments'!F:G,2,FALSE),0)</f>
        <v>0</v>
      </c>
      <c r="R2314" s="155">
        <f t="shared" si="706"/>
        <v>0</v>
      </c>
      <c r="S2314" s="47">
        <f t="shared" si="705"/>
        <v>0</v>
      </c>
      <c r="T2314" s="151">
        <f t="shared" si="690"/>
        <v>697</v>
      </c>
      <c r="U2314" s="151">
        <f t="shared" si="691"/>
        <v>0</v>
      </c>
      <c r="V2314" s="139">
        <f t="shared" si="692"/>
        <v>0</v>
      </c>
      <c r="W2314" s="152">
        <f t="shared" si="695"/>
        <v>697</v>
      </c>
      <c r="X2314" s="127" t="str">
        <f t="shared" si="693"/>
        <v/>
      </c>
      <c r="Y2314" s="207">
        <f t="shared" si="696"/>
        <v>697</v>
      </c>
      <c r="Z2314" s="139">
        <f t="shared" si="697"/>
        <v>697</v>
      </c>
      <c r="AA2314" s="139">
        <f t="shared" si="698"/>
        <v>0</v>
      </c>
      <c r="AC2314" s="47">
        <f t="shared" si="699"/>
        <v>349</v>
      </c>
      <c r="AD2314" s="47">
        <f t="shared" si="700"/>
        <v>349</v>
      </c>
      <c r="AE2314" s="47">
        <f t="shared" si="701"/>
        <v>0</v>
      </c>
      <c r="AG2314" s="47">
        <f t="shared" si="702"/>
        <v>348</v>
      </c>
      <c r="AH2314" s="47">
        <f t="shared" si="703"/>
        <v>348</v>
      </c>
      <c r="AI2314" s="208">
        <f t="shared" si="704"/>
        <v>0</v>
      </c>
    </row>
    <row r="2315" spans="1:35">
      <c r="A2315" t="s">
        <v>2162</v>
      </c>
      <c r="B2315" t="s">
        <v>3160</v>
      </c>
      <c r="C2315" t="s">
        <v>3039</v>
      </c>
      <c r="D2315" t="s">
        <v>5844</v>
      </c>
      <c r="F2315" t="s">
        <v>1660</v>
      </c>
      <c r="G2315" s="126">
        <f>SUMIFS('Support - Transition'!F:F,'Support - Transition'!B:B,'Step 2'!A2315,'Support - Transition'!C:C,'Step 2'!B2315,'Support - Transition'!D:D,'Step 2'!C2315,'Support - Transition'!E:E,"CIVIL")</f>
        <v>0</v>
      </c>
      <c r="H2315" s="126">
        <f>SUMIFS('Support - Transition'!F:F,'Support - Transition'!B:B,'Step 2'!A2315,'Support - Transition'!C:C,'Step 2'!B2315,'Support - Transition'!D:D,'Step 2'!C2315,'Support - Transition'!E:E,"FIRE")</f>
        <v>0</v>
      </c>
      <c r="I2315" s="126">
        <f>IF(B2315="0",SUMIFS('Support - Transition'!F:F,'Support - Transition'!J:J,'Step 2'!D2315,'Support - Transition'!E:E,"STATE UNIT"),SUMIFS('Support - Transition'!F:F,'Support - Transition'!J:J,'Step 2'!D2315))</f>
        <v>0.57035000000000002</v>
      </c>
      <c r="J2315" s="126">
        <f>SUMIFS('Support - Unit Adjustments'!E:E,'Support - Unit Adjustments'!F:F,'Step 2'!D2315)</f>
        <v>0</v>
      </c>
      <c r="K2315" s="126">
        <f t="shared" si="688"/>
        <v>0.57035000000000002</v>
      </c>
      <c r="L2315" s="174">
        <f>VLOOKUP(A2315,'Step 1'!$A:$E,4,FALSE)</f>
        <v>11712</v>
      </c>
      <c r="M2315" s="47">
        <f t="shared" si="689"/>
        <v>6680</v>
      </c>
      <c r="N2315" s="177">
        <f>SUMIFS('Support - Transition'!G:G,'Support - Transition'!J:J,'Step 2'!D2315,'Support - Transition'!E:E,"2009 WELFARE ALLOCATION FACTOR")</f>
        <v>0</v>
      </c>
      <c r="O2315" s="152">
        <f t="shared" si="694"/>
        <v>0</v>
      </c>
      <c r="P2315" s="126">
        <f>IF(E2315="Y",0,SUMIFS('Support - Transition'!G:G,'Support - Transition'!J:J,'Step 2'!D2315,'Support - Transition'!E:E,"2009 SCHOOL ALLOCATION FACTOR"))</f>
        <v>0.58365699999999998</v>
      </c>
      <c r="Q2315" s="126">
        <f>IF(E2315="Y",VLOOKUP(D2315,'Support - Unit Adjustments'!F:G,2,FALSE),0)</f>
        <v>0</v>
      </c>
      <c r="R2315" s="155">
        <f t="shared" si="706"/>
        <v>0.58365699999999998</v>
      </c>
      <c r="S2315" s="47">
        <f t="shared" si="705"/>
        <v>3899</v>
      </c>
      <c r="T2315" s="151">
        <f t="shared" si="690"/>
        <v>2781</v>
      </c>
      <c r="U2315" s="151">
        <f t="shared" si="691"/>
        <v>0</v>
      </c>
      <c r="V2315" s="139">
        <f t="shared" si="692"/>
        <v>0</v>
      </c>
      <c r="W2315" s="152">
        <f t="shared" si="695"/>
        <v>2781</v>
      </c>
      <c r="X2315" s="127" t="str">
        <f t="shared" si="693"/>
        <v/>
      </c>
      <c r="Y2315" s="207">
        <f t="shared" si="696"/>
        <v>2781</v>
      </c>
      <c r="Z2315" s="139">
        <f t="shared" si="697"/>
        <v>2781</v>
      </c>
      <c r="AA2315" s="139">
        <f t="shared" si="698"/>
        <v>0</v>
      </c>
      <c r="AC2315" s="47">
        <f t="shared" si="699"/>
        <v>1391</v>
      </c>
      <c r="AD2315" s="47">
        <f t="shared" si="700"/>
        <v>1391</v>
      </c>
      <c r="AE2315" s="47">
        <f t="shared" si="701"/>
        <v>0</v>
      </c>
      <c r="AG2315" s="47">
        <f t="shared" si="702"/>
        <v>1390</v>
      </c>
      <c r="AH2315" s="47">
        <f t="shared" si="703"/>
        <v>1390</v>
      </c>
      <c r="AI2315" s="208">
        <f t="shared" si="704"/>
        <v>0</v>
      </c>
    </row>
    <row r="2316" spans="1:35">
      <c r="A2316" t="s">
        <v>2162</v>
      </c>
      <c r="B2316" t="s">
        <v>3166</v>
      </c>
      <c r="C2316" t="s">
        <v>5845</v>
      </c>
      <c r="D2316" t="s">
        <v>5846</v>
      </c>
      <c r="F2316" t="s">
        <v>1661</v>
      </c>
      <c r="G2316" s="126">
        <f>SUMIFS('Support - Transition'!F:F,'Support - Transition'!B:B,'Step 2'!A2316,'Support - Transition'!C:C,'Step 2'!B2316,'Support - Transition'!D:D,'Step 2'!C2316,'Support - Transition'!E:E,"CIVIL")</f>
        <v>0</v>
      </c>
      <c r="H2316" s="126">
        <f>SUMIFS('Support - Transition'!F:F,'Support - Transition'!B:B,'Step 2'!A2316,'Support - Transition'!C:C,'Step 2'!B2316,'Support - Transition'!D:D,'Step 2'!C2316,'Support - Transition'!E:E,"FIRE")</f>
        <v>0</v>
      </c>
      <c r="I2316" s="126">
        <f>IF(B2316="0",SUMIFS('Support - Transition'!F:F,'Support - Transition'!J:J,'Step 2'!D2316,'Support - Transition'!E:E,"STATE UNIT"),SUMIFS('Support - Transition'!F:F,'Support - Transition'!J:J,'Step 2'!D2316))</f>
        <v>2.1335E-2</v>
      </c>
      <c r="J2316" s="126">
        <f>SUMIFS('Support - Unit Adjustments'!E:E,'Support - Unit Adjustments'!F:F,'Step 2'!D2316)</f>
        <v>0</v>
      </c>
      <c r="K2316" s="126">
        <f t="shared" si="688"/>
        <v>2.1335E-2</v>
      </c>
      <c r="L2316" s="174">
        <f>VLOOKUP(A2316,'Step 1'!$A:$E,4,FALSE)</f>
        <v>11712</v>
      </c>
      <c r="M2316" s="47">
        <f t="shared" si="689"/>
        <v>250</v>
      </c>
      <c r="N2316" s="177">
        <f>SUMIFS('Support - Transition'!G:G,'Support - Transition'!J:J,'Step 2'!D2316,'Support - Transition'!E:E,"2009 WELFARE ALLOCATION FACTOR")</f>
        <v>0</v>
      </c>
      <c r="O2316" s="152">
        <f t="shared" si="694"/>
        <v>0</v>
      </c>
      <c r="P2316" s="126">
        <f>IF(E2316="Y",0,SUMIFS('Support - Transition'!G:G,'Support - Transition'!J:J,'Step 2'!D2316,'Support - Transition'!E:E,"2009 SCHOOL ALLOCATION FACTOR"))</f>
        <v>0</v>
      </c>
      <c r="Q2316" s="126">
        <f>IF(E2316="Y",VLOOKUP(D2316,'Support - Unit Adjustments'!F:G,2,FALSE),0)</f>
        <v>0</v>
      </c>
      <c r="R2316" s="155">
        <f t="shared" si="706"/>
        <v>0</v>
      </c>
      <c r="S2316" s="47">
        <f t="shared" si="705"/>
        <v>0</v>
      </c>
      <c r="T2316" s="151">
        <f t="shared" si="690"/>
        <v>250</v>
      </c>
      <c r="U2316" s="151">
        <f t="shared" si="691"/>
        <v>0</v>
      </c>
      <c r="V2316" s="139">
        <f t="shared" si="692"/>
        <v>0</v>
      </c>
      <c r="W2316" s="152">
        <f t="shared" si="695"/>
        <v>250</v>
      </c>
      <c r="X2316" s="127" t="str">
        <f t="shared" si="693"/>
        <v/>
      </c>
      <c r="Y2316" s="207">
        <f t="shared" si="696"/>
        <v>250</v>
      </c>
      <c r="Z2316" s="139">
        <f t="shared" si="697"/>
        <v>250</v>
      </c>
      <c r="AA2316" s="139">
        <f t="shared" si="698"/>
        <v>0</v>
      </c>
      <c r="AC2316" s="47">
        <f t="shared" si="699"/>
        <v>125</v>
      </c>
      <c r="AD2316" s="47">
        <f t="shared" si="700"/>
        <v>125</v>
      </c>
      <c r="AE2316" s="47">
        <f t="shared" si="701"/>
        <v>0</v>
      </c>
      <c r="AG2316" s="47">
        <f t="shared" si="702"/>
        <v>125</v>
      </c>
      <c r="AH2316" s="47">
        <f t="shared" si="703"/>
        <v>125</v>
      </c>
      <c r="AI2316" s="208">
        <f t="shared" si="704"/>
        <v>0</v>
      </c>
    </row>
    <row r="2317" spans="1:35">
      <c r="A2317" t="s">
        <v>2162</v>
      </c>
      <c r="B2317" t="s">
        <v>3170</v>
      </c>
      <c r="C2317" t="s">
        <v>3936</v>
      </c>
      <c r="D2317" t="s">
        <v>5847</v>
      </c>
      <c r="F2317" t="s">
        <v>3938</v>
      </c>
      <c r="G2317" s="126">
        <f>SUMIFS('Support - Transition'!F:F,'Support - Transition'!B:B,'Step 2'!A2317,'Support - Transition'!C:C,'Step 2'!B2317,'Support - Transition'!D:D,'Step 2'!C2317,'Support - Transition'!E:E,"CIVIL")</f>
        <v>0</v>
      </c>
      <c r="H2317" s="126">
        <f>SUMIFS('Support - Transition'!F:F,'Support - Transition'!B:B,'Step 2'!A2317,'Support - Transition'!C:C,'Step 2'!B2317,'Support - Transition'!D:D,'Step 2'!C2317,'Support - Transition'!E:E,"FIRE")</f>
        <v>0</v>
      </c>
      <c r="I2317" s="126">
        <f>IF(B2317="0",SUMIFS('Support - Transition'!F:F,'Support - Transition'!J:J,'Step 2'!D2317,'Support - Transition'!E:E,"STATE UNIT"),SUMIFS('Support - Transition'!F:F,'Support - Transition'!J:J,'Step 2'!D2317))</f>
        <v>4.5919999999999295E-3</v>
      </c>
      <c r="J2317" s="126">
        <f>SUMIFS('Support - Unit Adjustments'!E:E,'Support - Unit Adjustments'!F:F,'Step 2'!D2317)</f>
        <v>0</v>
      </c>
      <c r="K2317" s="126">
        <f t="shared" si="688"/>
        <v>4.5919999999999295E-3</v>
      </c>
      <c r="L2317" s="174">
        <f>VLOOKUP(A2317,'Step 1'!$A:$E,4,FALSE)</f>
        <v>11712</v>
      </c>
      <c r="M2317" s="47">
        <f t="shared" si="689"/>
        <v>54</v>
      </c>
      <c r="N2317" s="177">
        <f>SUMIFS('Support - Transition'!G:G,'Support - Transition'!J:J,'Step 2'!D2317,'Support - Transition'!E:E,"2009 WELFARE ALLOCATION FACTOR")</f>
        <v>0</v>
      </c>
      <c r="O2317" s="152">
        <f t="shared" si="694"/>
        <v>0</v>
      </c>
      <c r="P2317" s="126">
        <f>IF(E2317="Y",0,SUMIFS('Support - Transition'!G:G,'Support - Transition'!J:J,'Step 2'!D2317,'Support - Transition'!E:E,"2009 SCHOOL ALLOCATION FACTOR"))</f>
        <v>0</v>
      </c>
      <c r="Q2317" s="126">
        <f>IF(E2317="Y",VLOOKUP(D2317,'Support - Unit Adjustments'!F:G,2,FALSE),0)</f>
        <v>0</v>
      </c>
      <c r="R2317" s="155">
        <f t="shared" si="706"/>
        <v>0</v>
      </c>
      <c r="S2317" s="47">
        <f t="shared" si="705"/>
        <v>0</v>
      </c>
      <c r="T2317" s="151">
        <f t="shared" si="690"/>
        <v>54</v>
      </c>
      <c r="U2317" s="151">
        <f t="shared" si="691"/>
        <v>0</v>
      </c>
      <c r="V2317" s="139">
        <f t="shared" si="692"/>
        <v>0</v>
      </c>
      <c r="W2317" s="152">
        <f t="shared" si="695"/>
        <v>54</v>
      </c>
      <c r="X2317" s="127" t="str">
        <f t="shared" si="693"/>
        <v/>
      </c>
      <c r="Y2317" s="207">
        <f t="shared" si="696"/>
        <v>54</v>
      </c>
      <c r="Z2317" s="139">
        <f t="shared" si="697"/>
        <v>54</v>
      </c>
      <c r="AA2317" s="139">
        <f t="shared" si="698"/>
        <v>0</v>
      </c>
      <c r="AC2317" s="47">
        <f t="shared" si="699"/>
        <v>27</v>
      </c>
      <c r="AD2317" s="47">
        <f t="shared" si="700"/>
        <v>27</v>
      </c>
      <c r="AE2317" s="47">
        <f t="shared" si="701"/>
        <v>0</v>
      </c>
      <c r="AG2317" s="47">
        <f t="shared" si="702"/>
        <v>27</v>
      </c>
      <c r="AH2317" s="47">
        <f t="shared" si="703"/>
        <v>27</v>
      </c>
      <c r="AI2317" s="208">
        <f t="shared" si="704"/>
        <v>0</v>
      </c>
    </row>
    <row r="2318" spans="1:35">
      <c r="A2318" t="s">
        <v>2163</v>
      </c>
      <c r="B2318" s="48" t="s">
        <v>6274</v>
      </c>
      <c r="C2318" t="s">
        <v>2187</v>
      </c>
      <c r="D2318" t="str">
        <f>A2318&amp;B2318&amp;C2318</f>
        <v>7900000</v>
      </c>
      <c r="F2318" t="s">
        <v>6353</v>
      </c>
      <c r="G2318" s="126">
        <f>SUMIFS('Support - Transition'!F:F,'Support - Transition'!B:B,'Step 2'!A2318,'Support - Transition'!C:C,'Step 2'!B2318,'Support - Transition'!D:D,'Step 2'!C2318,'Support - Transition'!E:E,"CIVIL")</f>
        <v>0</v>
      </c>
      <c r="H2318" s="126">
        <f>SUMIFS('Support - Transition'!F:F,'Support - Transition'!B:B,'Step 2'!A2318,'Support - Transition'!C:C,'Step 2'!B2318,'Support - Transition'!D:D,'Step 2'!C2318,'Support - Transition'!E:E,"FIRE")</f>
        <v>0</v>
      </c>
      <c r="I2318" s="126">
        <f>IF(B2318="0",SUMIFS('Support - Transition'!F:F,'Support - Transition'!J:J,'Step 2'!D2318,'Support - Transition'!E:E,"STATE UNIT"),SUMIFS('Support - Transition'!F:F,'Support - Transition'!J:J,'Step 2'!D2318))</f>
        <v>1.2080000000000001E-3</v>
      </c>
      <c r="J2318" s="126">
        <f>SUMIFS('Support - Unit Adjustments'!E:E,'Support - Unit Adjustments'!F:F,'Step 2'!D2318)</f>
        <v>0</v>
      </c>
      <c r="K2318" s="126">
        <f t="shared" si="688"/>
        <v>1.2080000000000001E-3</v>
      </c>
      <c r="L2318" s="174">
        <f>VLOOKUP(A2318,'Step 1'!$A:$E,4,FALSE)</f>
        <v>1315248</v>
      </c>
      <c r="M2318" s="47">
        <f t="shared" si="689"/>
        <v>1589</v>
      </c>
      <c r="N2318" s="177">
        <f>SUMIFS('Support - Transition'!G:G,'Support - Transition'!J:J,'Step 2'!D2318,'Support - Transition'!E:E,"2009 WELFARE ALLOCATION FACTOR")</f>
        <v>0</v>
      </c>
      <c r="O2318" s="152">
        <f t="shared" si="694"/>
        <v>0</v>
      </c>
      <c r="P2318" s="126">
        <f>IF(E2318="Y",0,SUMIFS('Support - Transition'!G:G,'Support - Transition'!J:J,'Step 2'!D2318,'Support - Transition'!E:E,"2009 SCHOOL ALLOCATION FACTOR"))</f>
        <v>0</v>
      </c>
      <c r="Q2318" s="126">
        <f>IF(E2318="Y",VLOOKUP(D2318,'Support - Unit Adjustments'!F:G,2,FALSE),0)</f>
        <v>0</v>
      </c>
      <c r="R2318" s="155">
        <f t="shared" si="706"/>
        <v>0</v>
      </c>
      <c r="S2318" s="47">
        <f t="shared" si="705"/>
        <v>0</v>
      </c>
      <c r="T2318" s="151">
        <f t="shared" si="690"/>
        <v>1589</v>
      </c>
      <c r="U2318" s="151">
        <f t="shared" si="691"/>
        <v>1315249</v>
      </c>
      <c r="V2318" s="139">
        <f t="shared" si="692"/>
        <v>1</v>
      </c>
      <c r="W2318" s="152">
        <f t="shared" si="695"/>
        <v>1588</v>
      </c>
      <c r="X2318" s="127">
        <f t="shared" si="693"/>
        <v>0</v>
      </c>
      <c r="Y2318" s="207">
        <f t="shared" si="696"/>
        <v>1588</v>
      </c>
      <c r="Z2318" s="139">
        <f t="shared" si="697"/>
        <v>1588</v>
      </c>
      <c r="AA2318" s="139">
        <f t="shared" si="698"/>
        <v>0</v>
      </c>
      <c r="AC2318" s="47">
        <f t="shared" si="699"/>
        <v>794</v>
      </c>
      <c r="AD2318" s="47">
        <f t="shared" si="700"/>
        <v>794</v>
      </c>
      <c r="AE2318" s="47">
        <f t="shared" si="701"/>
        <v>0</v>
      </c>
      <c r="AG2318" s="47">
        <f t="shared" si="702"/>
        <v>794</v>
      </c>
      <c r="AH2318" s="47">
        <f t="shared" si="703"/>
        <v>794</v>
      </c>
      <c r="AI2318" s="208">
        <f t="shared" si="704"/>
        <v>0</v>
      </c>
    </row>
    <row r="2319" spans="1:35">
      <c r="A2319" t="s">
        <v>2163</v>
      </c>
      <c r="B2319" t="s">
        <v>3140</v>
      </c>
      <c r="C2319" t="s">
        <v>2187</v>
      </c>
      <c r="D2319" t="s">
        <v>5848</v>
      </c>
      <c r="F2319" t="s">
        <v>1663</v>
      </c>
      <c r="G2319" s="126">
        <f>SUMIFS('Support - Transition'!F:F,'Support - Transition'!B:B,'Step 2'!A2319,'Support - Transition'!C:C,'Step 2'!B2319,'Support - Transition'!D:D,'Step 2'!C2319,'Support - Transition'!E:E,"CIVIL")</f>
        <v>0</v>
      </c>
      <c r="H2319" s="126">
        <f>SUMIFS('Support - Transition'!F:F,'Support - Transition'!B:B,'Step 2'!A2319,'Support - Transition'!C:C,'Step 2'!B2319,'Support - Transition'!D:D,'Step 2'!C2319,'Support - Transition'!E:E,"FIRE")</f>
        <v>0</v>
      </c>
      <c r="I2319" s="126">
        <f>IF(B2319="0",SUMIFS('Support - Transition'!F:F,'Support - Transition'!J:J,'Step 2'!D2319,'Support - Transition'!E:E,"STATE UNIT"),SUMIFS('Support - Transition'!F:F,'Support - Transition'!J:J,'Step 2'!D2319))</f>
        <v>0.14877599999999999</v>
      </c>
      <c r="J2319" s="126">
        <f>SUMIFS('Support - Unit Adjustments'!E:E,'Support - Unit Adjustments'!F:F,'Step 2'!D2319)</f>
        <v>0</v>
      </c>
      <c r="K2319" s="126">
        <f t="shared" si="688"/>
        <v>0.14877599999999999</v>
      </c>
      <c r="L2319" s="174">
        <f>VLOOKUP(A2319,'Step 1'!$A:$E,4,FALSE)</f>
        <v>1315248</v>
      </c>
      <c r="M2319" s="47">
        <f t="shared" si="689"/>
        <v>195677</v>
      </c>
      <c r="N2319" s="177">
        <f>SUMIFS('Support - Transition'!G:G,'Support - Transition'!J:J,'Step 2'!D2319,'Support - Transition'!E:E,"2009 WELFARE ALLOCATION FACTOR")</f>
        <v>0.28932400000000003</v>
      </c>
      <c r="O2319" s="152">
        <f t="shared" si="694"/>
        <v>56614</v>
      </c>
      <c r="P2319" s="126">
        <f>IF(E2319="Y",0,SUMIFS('Support - Transition'!G:G,'Support - Transition'!J:J,'Step 2'!D2319,'Support - Transition'!E:E,"2009 SCHOOL ALLOCATION FACTOR"))</f>
        <v>0</v>
      </c>
      <c r="Q2319" s="126">
        <f>IF(E2319="Y",VLOOKUP(D2319,'Support - Unit Adjustments'!F:G,2,FALSE),0)</f>
        <v>0</v>
      </c>
      <c r="R2319" s="155">
        <f t="shared" si="706"/>
        <v>0</v>
      </c>
      <c r="S2319" s="47">
        <f t="shared" si="705"/>
        <v>0</v>
      </c>
      <c r="T2319" s="151">
        <f t="shared" si="690"/>
        <v>139063</v>
      </c>
      <c r="U2319" s="151">
        <f t="shared" si="691"/>
        <v>0</v>
      </c>
      <c r="V2319" s="139">
        <f t="shared" si="692"/>
        <v>0</v>
      </c>
      <c r="W2319" s="152">
        <f t="shared" si="695"/>
        <v>139063</v>
      </c>
      <c r="X2319" s="127" t="str">
        <f t="shared" si="693"/>
        <v/>
      </c>
      <c r="Y2319" s="207">
        <f t="shared" si="696"/>
        <v>139063</v>
      </c>
      <c r="Z2319" s="139">
        <f t="shared" si="697"/>
        <v>139063</v>
      </c>
      <c r="AA2319" s="139">
        <f t="shared" si="698"/>
        <v>0</v>
      </c>
      <c r="AC2319" s="47">
        <f t="shared" si="699"/>
        <v>69532</v>
      </c>
      <c r="AD2319" s="47">
        <f t="shared" si="700"/>
        <v>69532</v>
      </c>
      <c r="AE2319" s="47">
        <f t="shared" si="701"/>
        <v>0</v>
      </c>
      <c r="AG2319" s="47">
        <f t="shared" si="702"/>
        <v>69531</v>
      </c>
      <c r="AH2319" s="47">
        <f t="shared" si="703"/>
        <v>69531</v>
      </c>
      <c r="AI2319" s="208">
        <f t="shared" si="704"/>
        <v>0</v>
      </c>
    </row>
    <row r="2320" spans="1:35">
      <c r="A2320" t="s">
        <v>2163</v>
      </c>
      <c r="B2320" t="s">
        <v>3142</v>
      </c>
      <c r="C2320" t="s">
        <v>2188</v>
      </c>
      <c r="D2320" t="s">
        <v>5849</v>
      </c>
      <c r="F2320" t="s">
        <v>371</v>
      </c>
      <c r="G2320" s="126">
        <f>SUMIFS('Support - Transition'!F:F,'Support - Transition'!B:B,'Step 2'!A2320,'Support - Transition'!C:C,'Step 2'!B2320,'Support - Transition'!D:D,'Step 2'!C2320,'Support - Transition'!E:E,"CIVIL")</f>
        <v>5.28E-3</v>
      </c>
      <c r="H2320" s="126">
        <f>SUMIFS('Support - Transition'!F:F,'Support - Transition'!B:B,'Step 2'!A2320,'Support - Transition'!C:C,'Step 2'!B2320,'Support - Transition'!D:D,'Step 2'!C2320,'Support - Transition'!E:E,"FIRE")</f>
        <v>6.5200000000000002E-4</v>
      </c>
      <c r="I2320" s="126">
        <f>IF(B2320="0",SUMIFS('Support - Transition'!F:F,'Support - Transition'!J:J,'Step 2'!D2320,'Support - Transition'!E:E,"STATE UNIT"),SUMIFS('Support - Transition'!F:F,'Support - Transition'!J:J,'Step 2'!D2320))</f>
        <v>5.9319999999999998E-3</v>
      </c>
      <c r="J2320" s="126">
        <f>SUMIFS('Support - Unit Adjustments'!E:E,'Support - Unit Adjustments'!F:F,'Step 2'!D2320)</f>
        <v>0</v>
      </c>
      <c r="K2320" s="126">
        <f t="shared" si="688"/>
        <v>5.9319999999999998E-3</v>
      </c>
      <c r="L2320" s="174">
        <f>VLOOKUP(A2320,'Step 1'!$A:$E,4,FALSE)</f>
        <v>1315248</v>
      </c>
      <c r="M2320" s="47">
        <f t="shared" si="689"/>
        <v>7802</v>
      </c>
      <c r="N2320" s="177">
        <f>SUMIFS('Support - Transition'!G:G,'Support - Transition'!J:J,'Step 2'!D2320,'Support - Transition'!E:E,"2009 WELFARE ALLOCATION FACTOR")</f>
        <v>0</v>
      </c>
      <c r="O2320" s="152">
        <f t="shared" si="694"/>
        <v>0</v>
      </c>
      <c r="P2320" s="126">
        <f>IF(E2320="Y",0,SUMIFS('Support - Transition'!G:G,'Support - Transition'!J:J,'Step 2'!D2320,'Support - Transition'!E:E,"2009 SCHOOL ALLOCATION FACTOR"))</f>
        <v>0</v>
      </c>
      <c r="Q2320" s="126">
        <f>IF(E2320="Y",VLOOKUP(D2320,'Support - Unit Adjustments'!F:G,2,FALSE),0)</f>
        <v>0</v>
      </c>
      <c r="R2320" s="155">
        <f t="shared" si="706"/>
        <v>0</v>
      </c>
      <c r="S2320" s="47">
        <f t="shared" si="705"/>
        <v>0</v>
      </c>
      <c r="T2320" s="151">
        <f t="shared" si="690"/>
        <v>7802</v>
      </c>
      <c r="U2320" s="151">
        <f t="shared" si="691"/>
        <v>0</v>
      </c>
      <c r="V2320" s="139">
        <f t="shared" si="692"/>
        <v>0</v>
      </c>
      <c r="W2320" s="152">
        <f t="shared" si="695"/>
        <v>7802</v>
      </c>
      <c r="X2320" s="127" t="str">
        <f t="shared" si="693"/>
        <v/>
      </c>
      <c r="Y2320" s="207">
        <f t="shared" si="696"/>
        <v>7802</v>
      </c>
      <c r="Z2320" s="139">
        <f t="shared" si="697"/>
        <v>6944</v>
      </c>
      <c r="AA2320" s="139">
        <f t="shared" si="698"/>
        <v>858</v>
      </c>
      <c r="AC2320" s="47">
        <f t="shared" si="699"/>
        <v>3901</v>
      </c>
      <c r="AD2320" s="47">
        <f t="shared" si="700"/>
        <v>3472</v>
      </c>
      <c r="AE2320" s="47">
        <f t="shared" si="701"/>
        <v>429</v>
      </c>
      <c r="AG2320" s="47">
        <f t="shared" si="702"/>
        <v>3901</v>
      </c>
      <c r="AH2320" s="47">
        <f t="shared" si="703"/>
        <v>3472</v>
      </c>
      <c r="AI2320" s="208">
        <f t="shared" si="704"/>
        <v>429</v>
      </c>
    </row>
    <row r="2321" spans="1:35">
      <c r="A2321" t="s">
        <v>2163</v>
      </c>
      <c r="B2321" t="s">
        <v>3142</v>
      </c>
      <c r="C2321" t="s">
        <v>2189</v>
      </c>
      <c r="D2321" t="s">
        <v>5850</v>
      </c>
      <c r="F2321" t="s">
        <v>49</v>
      </c>
      <c r="G2321" s="126">
        <f>SUMIFS('Support - Transition'!F:F,'Support - Transition'!B:B,'Step 2'!A2321,'Support - Transition'!C:C,'Step 2'!B2321,'Support - Transition'!D:D,'Step 2'!C2321,'Support - Transition'!E:E,"CIVIL")</f>
        <v>2.41E-4</v>
      </c>
      <c r="H2321" s="126">
        <f>SUMIFS('Support - Transition'!F:F,'Support - Transition'!B:B,'Step 2'!A2321,'Support - Transition'!C:C,'Step 2'!B2321,'Support - Transition'!D:D,'Step 2'!C2321,'Support - Transition'!E:E,"FIRE")</f>
        <v>1.64E-4</v>
      </c>
      <c r="I2321" s="126">
        <f>IF(B2321="0",SUMIFS('Support - Transition'!F:F,'Support - Transition'!J:J,'Step 2'!D2321,'Support - Transition'!E:E,"STATE UNIT"),SUMIFS('Support - Transition'!F:F,'Support - Transition'!J:J,'Step 2'!D2321))</f>
        <v>4.0499999999999998E-4</v>
      </c>
      <c r="J2321" s="126">
        <f>SUMIFS('Support - Unit Adjustments'!E:E,'Support - Unit Adjustments'!F:F,'Step 2'!D2321)</f>
        <v>0</v>
      </c>
      <c r="K2321" s="126">
        <f t="shared" si="688"/>
        <v>4.0499999999999998E-4</v>
      </c>
      <c r="L2321" s="174">
        <f>VLOOKUP(A2321,'Step 1'!$A:$E,4,FALSE)</f>
        <v>1315248</v>
      </c>
      <c r="M2321" s="47">
        <f t="shared" si="689"/>
        <v>533</v>
      </c>
      <c r="N2321" s="177">
        <f>SUMIFS('Support - Transition'!G:G,'Support - Transition'!J:J,'Step 2'!D2321,'Support - Transition'!E:E,"2009 WELFARE ALLOCATION FACTOR")</f>
        <v>0</v>
      </c>
      <c r="O2321" s="152">
        <f t="shared" si="694"/>
        <v>0</v>
      </c>
      <c r="P2321" s="126">
        <f>IF(E2321="Y",0,SUMIFS('Support - Transition'!G:G,'Support - Transition'!J:J,'Step 2'!D2321,'Support - Transition'!E:E,"2009 SCHOOL ALLOCATION FACTOR"))</f>
        <v>0</v>
      </c>
      <c r="Q2321" s="126">
        <f>IF(E2321="Y",VLOOKUP(D2321,'Support - Unit Adjustments'!F:G,2,FALSE),0)</f>
        <v>0</v>
      </c>
      <c r="R2321" s="155">
        <f t="shared" si="706"/>
        <v>0</v>
      </c>
      <c r="S2321" s="47">
        <f t="shared" si="705"/>
        <v>0</v>
      </c>
      <c r="T2321" s="151">
        <f t="shared" si="690"/>
        <v>533</v>
      </c>
      <c r="U2321" s="151">
        <f t="shared" si="691"/>
        <v>0</v>
      </c>
      <c r="V2321" s="139">
        <f t="shared" si="692"/>
        <v>0</v>
      </c>
      <c r="W2321" s="152">
        <f t="shared" si="695"/>
        <v>533</v>
      </c>
      <c r="X2321" s="127" t="str">
        <f t="shared" si="693"/>
        <v/>
      </c>
      <c r="Y2321" s="207">
        <f t="shared" si="696"/>
        <v>533</v>
      </c>
      <c r="Z2321" s="139">
        <f t="shared" si="697"/>
        <v>317</v>
      </c>
      <c r="AA2321" s="139">
        <f t="shared" si="698"/>
        <v>216</v>
      </c>
      <c r="AC2321" s="47">
        <f t="shared" si="699"/>
        <v>267</v>
      </c>
      <c r="AD2321" s="47">
        <f t="shared" si="700"/>
        <v>159</v>
      </c>
      <c r="AE2321" s="47">
        <f t="shared" si="701"/>
        <v>108</v>
      </c>
      <c r="AG2321" s="47">
        <f t="shared" si="702"/>
        <v>266</v>
      </c>
      <c r="AH2321" s="47">
        <f t="shared" si="703"/>
        <v>158</v>
      </c>
      <c r="AI2321" s="208">
        <f t="shared" si="704"/>
        <v>108</v>
      </c>
    </row>
    <row r="2322" spans="1:35">
      <c r="A2322" t="s">
        <v>2163</v>
      </c>
      <c r="B2322" t="s">
        <v>3142</v>
      </c>
      <c r="C2322" t="s">
        <v>2190</v>
      </c>
      <c r="D2322" t="s">
        <v>5851</v>
      </c>
      <c r="F2322" t="s">
        <v>1664</v>
      </c>
      <c r="G2322" s="126">
        <f>SUMIFS('Support - Transition'!F:F,'Support - Transition'!B:B,'Step 2'!A2322,'Support - Transition'!C:C,'Step 2'!B2322,'Support - Transition'!D:D,'Step 2'!C2322,'Support - Transition'!E:E,"CIVIL")</f>
        <v>3.5199999999999999E-4</v>
      </c>
      <c r="H2322" s="126">
        <f>SUMIFS('Support - Transition'!F:F,'Support - Transition'!B:B,'Step 2'!A2322,'Support - Transition'!C:C,'Step 2'!B2322,'Support - Transition'!D:D,'Step 2'!C2322,'Support - Transition'!E:E,"FIRE")</f>
        <v>6.4400000000000004E-4</v>
      </c>
      <c r="I2322" s="126">
        <f>IF(B2322="0",SUMIFS('Support - Transition'!F:F,'Support - Transition'!J:J,'Step 2'!D2322,'Support - Transition'!E:E,"STATE UNIT"),SUMIFS('Support - Transition'!F:F,'Support - Transition'!J:J,'Step 2'!D2322))</f>
        <v>9.9599999999999992E-4</v>
      </c>
      <c r="J2322" s="126">
        <f>SUMIFS('Support - Unit Adjustments'!E:E,'Support - Unit Adjustments'!F:F,'Step 2'!D2322)</f>
        <v>0</v>
      </c>
      <c r="K2322" s="126">
        <f t="shared" si="688"/>
        <v>9.9599999999999992E-4</v>
      </c>
      <c r="L2322" s="174">
        <f>VLOOKUP(A2322,'Step 1'!$A:$E,4,FALSE)</f>
        <v>1315248</v>
      </c>
      <c r="M2322" s="47">
        <f t="shared" si="689"/>
        <v>1310</v>
      </c>
      <c r="N2322" s="177">
        <f>SUMIFS('Support - Transition'!G:G,'Support - Transition'!J:J,'Step 2'!D2322,'Support - Transition'!E:E,"2009 WELFARE ALLOCATION FACTOR")</f>
        <v>0</v>
      </c>
      <c r="O2322" s="152">
        <f t="shared" si="694"/>
        <v>0</v>
      </c>
      <c r="P2322" s="126">
        <f>IF(E2322="Y",0,SUMIFS('Support - Transition'!G:G,'Support - Transition'!J:J,'Step 2'!D2322,'Support - Transition'!E:E,"2009 SCHOOL ALLOCATION FACTOR"))</f>
        <v>0</v>
      </c>
      <c r="Q2322" s="126">
        <f>IF(E2322="Y",VLOOKUP(D2322,'Support - Unit Adjustments'!F:G,2,FALSE),0)</f>
        <v>0</v>
      </c>
      <c r="R2322" s="155">
        <f t="shared" si="706"/>
        <v>0</v>
      </c>
      <c r="S2322" s="47">
        <f t="shared" si="705"/>
        <v>0</v>
      </c>
      <c r="T2322" s="151">
        <f t="shared" si="690"/>
        <v>1310</v>
      </c>
      <c r="U2322" s="151">
        <f t="shared" si="691"/>
        <v>0</v>
      </c>
      <c r="V2322" s="139">
        <f t="shared" si="692"/>
        <v>0</v>
      </c>
      <c r="W2322" s="152">
        <f t="shared" si="695"/>
        <v>1310</v>
      </c>
      <c r="X2322" s="127" t="str">
        <f t="shared" si="693"/>
        <v/>
      </c>
      <c r="Y2322" s="207">
        <f t="shared" si="696"/>
        <v>1310</v>
      </c>
      <c r="Z2322" s="139">
        <f t="shared" si="697"/>
        <v>463</v>
      </c>
      <c r="AA2322" s="139">
        <f t="shared" si="698"/>
        <v>847</v>
      </c>
      <c r="AC2322" s="47">
        <f t="shared" si="699"/>
        <v>655</v>
      </c>
      <c r="AD2322" s="47">
        <f t="shared" si="700"/>
        <v>232</v>
      </c>
      <c r="AE2322" s="47">
        <f t="shared" si="701"/>
        <v>424</v>
      </c>
      <c r="AG2322" s="47">
        <f t="shared" si="702"/>
        <v>655</v>
      </c>
      <c r="AH2322" s="47">
        <f t="shared" si="703"/>
        <v>231</v>
      </c>
      <c r="AI2322" s="208">
        <f t="shared" si="704"/>
        <v>423</v>
      </c>
    </row>
    <row r="2323" spans="1:35">
      <c r="A2323" t="s">
        <v>2163</v>
      </c>
      <c r="B2323" t="s">
        <v>3142</v>
      </c>
      <c r="C2323" t="s">
        <v>2191</v>
      </c>
      <c r="D2323" t="s">
        <v>5852</v>
      </c>
      <c r="F2323" t="s">
        <v>56</v>
      </c>
      <c r="G2323" s="126">
        <f>SUMIFS('Support - Transition'!F:F,'Support - Transition'!B:B,'Step 2'!A2323,'Support - Transition'!C:C,'Step 2'!B2323,'Support - Transition'!D:D,'Step 2'!C2323,'Support - Transition'!E:E,"CIVIL")</f>
        <v>2.7399999999999999E-4</v>
      </c>
      <c r="H2323" s="126">
        <f>SUMIFS('Support - Transition'!F:F,'Support - Transition'!B:B,'Step 2'!A2323,'Support - Transition'!C:C,'Step 2'!B2323,'Support - Transition'!D:D,'Step 2'!C2323,'Support - Transition'!E:E,"FIRE")</f>
        <v>2.33E-4</v>
      </c>
      <c r="I2323" s="126">
        <f>IF(B2323="0",SUMIFS('Support - Transition'!F:F,'Support - Transition'!J:J,'Step 2'!D2323,'Support - Transition'!E:E,"STATE UNIT"),SUMIFS('Support - Transition'!F:F,'Support - Transition'!J:J,'Step 2'!D2323))</f>
        <v>5.0699999999999996E-4</v>
      </c>
      <c r="J2323" s="126">
        <f>SUMIFS('Support - Unit Adjustments'!E:E,'Support - Unit Adjustments'!F:F,'Step 2'!D2323)</f>
        <v>0</v>
      </c>
      <c r="K2323" s="126">
        <f t="shared" si="688"/>
        <v>5.0699999999999996E-4</v>
      </c>
      <c r="L2323" s="174">
        <f>VLOOKUP(A2323,'Step 1'!$A:$E,4,FALSE)</f>
        <v>1315248</v>
      </c>
      <c r="M2323" s="47">
        <f t="shared" si="689"/>
        <v>667</v>
      </c>
      <c r="N2323" s="177">
        <f>SUMIFS('Support - Transition'!G:G,'Support - Transition'!J:J,'Step 2'!D2323,'Support - Transition'!E:E,"2009 WELFARE ALLOCATION FACTOR")</f>
        <v>0</v>
      </c>
      <c r="O2323" s="152">
        <f t="shared" si="694"/>
        <v>0</v>
      </c>
      <c r="P2323" s="126">
        <f>IF(E2323="Y",0,SUMIFS('Support - Transition'!G:G,'Support - Transition'!J:J,'Step 2'!D2323,'Support - Transition'!E:E,"2009 SCHOOL ALLOCATION FACTOR"))</f>
        <v>0</v>
      </c>
      <c r="Q2323" s="126">
        <f>IF(E2323="Y",VLOOKUP(D2323,'Support - Unit Adjustments'!F:G,2,FALSE),0)</f>
        <v>0</v>
      </c>
      <c r="R2323" s="155">
        <f t="shared" si="706"/>
        <v>0</v>
      </c>
      <c r="S2323" s="47">
        <f t="shared" si="705"/>
        <v>0</v>
      </c>
      <c r="T2323" s="151">
        <f t="shared" si="690"/>
        <v>667</v>
      </c>
      <c r="U2323" s="151">
        <f t="shared" si="691"/>
        <v>0</v>
      </c>
      <c r="V2323" s="139">
        <f t="shared" si="692"/>
        <v>0</v>
      </c>
      <c r="W2323" s="152">
        <f t="shared" si="695"/>
        <v>667</v>
      </c>
      <c r="X2323" s="127" t="str">
        <f t="shared" si="693"/>
        <v/>
      </c>
      <c r="Y2323" s="207">
        <f t="shared" si="696"/>
        <v>667</v>
      </c>
      <c r="Z2323" s="139">
        <f t="shared" si="697"/>
        <v>360</v>
      </c>
      <c r="AA2323" s="139">
        <f t="shared" si="698"/>
        <v>307</v>
      </c>
      <c r="AC2323" s="47">
        <f t="shared" si="699"/>
        <v>334</v>
      </c>
      <c r="AD2323" s="47">
        <f t="shared" si="700"/>
        <v>180</v>
      </c>
      <c r="AE2323" s="47">
        <f t="shared" si="701"/>
        <v>154</v>
      </c>
      <c r="AG2323" s="47">
        <f t="shared" si="702"/>
        <v>333</v>
      </c>
      <c r="AH2323" s="47">
        <f t="shared" si="703"/>
        <v>180</v>
      </c>
      <c r="AI2323" s="208">
        <f t="shared" si="704"/>
        <v>153</v>
      </c>
    </row>
    <row r="2324" spans="1:35">
      <c r="A2324" t="s">
        <v>2163</v>
      </c>
      <c r="B2324" t="s">
        <v>3142</v>
      </c>
      <c r="C2324" t="s">
        <v>2192</v>
      </c>
      <c r="D2324" t="s">
        <v>5853</v>
      </c>
      <c r="F2324" t="s">
        <v>1333</v>
      </c>
      <c r="G2324" s="126">
        <f>SUMIFS('Support - Transition'!F:F,'Support - Transition'!B:B,'Step 2'!A2324,'Support - Transition'!C:C,'Step 2'!B2324,'Support - Transition'!D:D,'Step 2'!C2324,'Support - Transition'!E:E,"CIVIL")</f>
        <v>9.810000000000001E-4</v>
      </c>
      <c r="H2324" s="126">
        <f>SUMIFS('Support - Transition'!F:F,'Support - Transition'!B:B,'Step 2'!A2324,'Support - Transition'!C:C,'Step 2'!B2324,'Support - Transition'!D:D,'Step 2'!C2324,'Support - Transition'!E:E,"FIRE")</f>
        <v>5.4500000000000002E-4</v>
      </c>
      <c r="I2324" s="126">
        <f>IF(B2324="0",SUMIFS('Support - Transition'!F:F,'Support - Transition'!J:J,'Step 2'!D2324,'Support - Transition'!E:E,"STATE UNIT"),SUMIFS('Support - Transition'!F:F,'Support - Transition'!J:J,'Step 2'!D2324))</f>
        <v>1.526E-3</v>
      </c>
      <c r="J2324" s="126">
        <f>SUMIFS('Support - Unit Adjustments'!E:E,'Support - Unit Adjustments'!F:F,'Step 2'!D2324)</f>
        <v>0</v>
      </c>
      <c r="K2324" s="126">
        <f t="shared" si="688"/>
        <v>1.526E-3</v>
      </c>
      <c r="L2324" s="174">
        <f>VLOOKUP(A2324,'Step 1'!$A:$E,4,FALSE)</f>
        <v>1315248</v>
      </c>
      <c r="M2324" s="47">
        <f t="shared" si="689"/>
        <v>2007</v>
      </c>
      <c r="N2324" s="177">
        <f>SUMIFS('Support - Transition'!G:G,'Support - Transition'!J:J,'Step 2'!D2324,'Support - Transition'!E:E,"2009 WELFARE ALLOCATION FACTOR")</f>
        <v>0</v>
      </c>
      <c r="O2324" s="152">
        <f t="shared" si="694"/>
        <v>0</v>
      </c>
      <c r="P2324" s="126">
        <f>IF(E2324="Y",0,SUMIFS('Support - Transition'!G:G,'Support - Transition'!J:J,'Step 2'!D2324,'Support - Transition'!E:E,"2009 SCHOOL ALLOCATION FACTOR"))</f>
        <v>0</v>
      </c>
      <c r="Q2324" s="126">
        <f>IF(E2324="Y",VLOOKUP(D2324,'Support - Unit Adjustments'!F:G,2,FALSE),0)</f>
        <v>0</v>
      </c>
      <c r="R2324" s="155">
        <f t="shared" si="706"/>
        <v>0</v>
      </c>
      <c r="S2324" s="47">
        <f t="shared" si="705"/>
        <v>0</v>
      </c>
      <c r="T2324" s="151">
        <f t="shared" si="690"/>
        <v>2007</v>
      </c>
      <c r="U2324" s="151">
        <f t="shared" si="691"/>
        <v>0</v>
      </c>
      <c r="V2324" s="139">
        <f t="shared" si="692"/>
        <v>0</v>
      </c>
      <c r="W2324" s="152">
        <f t="shared" si="695"/>
        <v>2007</v>
      </c>
      <c r="X2324" s="127" t="str">
        <f t="shared" si="693"/>
        <v/>
      </c>
      <c r="Y2324" s="207">
        <f t="shared" si="696"/>
        <v>2007</v>
      </c>
      <c r="Z2324" s="139">
        <f t="shared" si="697"/>
        <v>1290</v>
      </c>
      <c r="AA2324" s="139">
        <f t="shared" si="698"/>
        <v>717</v>
      </c>
      <c r="AC2324" s="47">
        <f t="shared" si="699"/>
        <v>1004</v>
      </c>
      <c r="AD2324" s="47">
        <f t="shared" si="700"/>
        <v>645</v>
      </c>
      <c r="AE2324" s="47">
        <f t="shared" si="701"/>
        <v>359</v>
      </c>
      <c r="AG2324" s="47">
        <f t="shared" si="702"/>
        <v>1003</v>
      </c>
      <c r="AH2324" s="47">
        <f t="shared" si="703"/>
        <v>645</v>
      </c>
      <c r="AI2324" s="208">
        <f t="shared" si="704"/>
        <v>358</v>
      </c>
    </row>
    <row r="2325" spans="1:35">
      <c r="A2325" t="s">
        <v>2163</v>
      </c>
      <c r="B2325" t="s">
        <v>3142</v>
      </c>
      <c r="C2325" t="s">
        <v>2193</v>
      </c>
      <c r="D2325" t="s">
        <v>5854</v>
      </c>
      <c r="F2325" t="s">
        <v>1665</v>
      </c>
      <c r="G2325" s="126">
        <f>SUMIFS('Support - Transition'!F:F,'Support - Transition'!B:B,'Step 2'!A2325,'Support - Transition'!C:C,'Step 2'!B2325,'Support - Transition'!D:D,'Step 2'!C2325,'Support - Transition'!E:E,"CIVIL")</f>
        <v>1.3300000000000001E-4</v>
      </c>
      <c r="H2325" s="126">
        <f>SUMIFS('Support - Transition'!F:F,'Support - Transition'!B:B,'Step 2'!A2325,'Support - Transition'!C:C,'Step 2'!B2325,'Support - Transition'!D:D,'Step 2'!C2325,'Support - Transition'!E:E,"FIRE")</f>
        <v>2.8899999999999998E-4</v>
      </c>
      <c r="I2325" s="126">
        <f>IF(B2325="0",SUMIFS('Support - Transition'!F:F,'Support - Transition'!J:J,'Step 2'!D2325,'Support - Transition'!E:E,"STATE UNIT"),SUMIFS('Support - Transition'!F:F,'Support - Transition'!J:J,'Step 2'!D2325))</f>
        <v>4.2199999999999996E-4</v>
      </c>
      <c r="J2325" s="126">
        <f>SUMIFS('Support - Unit Adjustments'!E:E,'Support - Unit Adjustments'!F:F,'Step 2'!D2325)</f>
        <v>0</v>
      </c>
      <c r="K2325" s="126">
        <f t="shared" si="688"/>
        <v>4.2199999999999996E-4</v>
      </c>
      <c r="L2325" s="174">
        <f>VLOOKUP(A2325,'Step 1'!$A:$E,4,FALSE)</f>
        <v>1315248</v>
      </c>
      <c r="M2325" s="47">
        <f t="shared" si="689"/>
        <v>555</v>
      </c>
      <c r="N2325" s="177">
        <f>SUMIFS('Support - Transition'!G:G,'Support - Transition'!J:J,'Step 2'!D2325,'Support - Transition'!E:E,"2009 WELFARE ALLOCATION FACTOR")</f>
        <v>0</v>
      </c>
      <c r="O2325" s="152">
        <f t="shared" si="694"/>
        <v>0</v>
      </c>
      <c r="P2325" s="126">
        <f>IF(E2325="Y",0,SUMIFS('Support - Transition'!G:G,'Support - Transition'!J:J,'Step 2'!D2325,'Support - Transition'!E:E,"2009 SCHOOL ALLOCATION FACTOR"))</f>
        <v>0</v>
      </c>
      <c r="Q2325" s="126">
        <f>IF(E2325="Y",VLOOKUP(D2325,'Support - Unit Adjustments'!F:G,2,FALSE),0)</f>
        <v>0</v>
      </c>
      <c r="R2325" s="155">
        <f t="shared" si="706"/>
        <v>0</v>
      </c>
      <c r="S2325" s="47">
        <f t="shared" si="705"/>
        <v>0</v>
      </c>
      <c r="T2325" s="151">
        <f t="shared" si="690"/>
        <v>555</v>
      </c>
      <c r="U2325" s="151">
        <f t="shared" si="691"/>
        <v>0</v>
      </c>
      <c r="V2325" s="139">
        <f t="shared" si="692"/>
        <v>0</v>
      </c>
      <c r="W2325" s="152">
        <f t="shared" si="695"/>
        <v>555</v>
      </c>
      <c r="X2325" s="127" t="str">
        <f t="shared" si="693"/>
        <v/>
      </c>
      <c r="Y2325" s="207">
        <f t="shared" si="696"/>
        <v>555</v>
      </c>
      <c r="Z2325" s="139">
        <f t="shared" si="697"/>
        <v>175</v>
      </c>
      <c r="AA2325" s="139">
        <f t="shared" si="698"/>
        <v>380</v>
      </c>
      <c r="AC2325" s="47">
        <f t="shared" si="699"/>
        <v>278</v>
      </c>
      <c r="AD2325" s="47">
        <f t="shared" si="700"/>
        <v>88</v>
      </c>
      <c r="AE2325" s="47">
        <f t="shared" si="701"/>
        <v>190</v>
      </c>
      <c r="AG2325" s="47">
        <f t="shared" si="702"/>
        <v>277</v>
      </c>
      <c r="AH2325" s="47">
        <f t="shared" si="703"/>
        <v>87</v>
      </c>
      <c r="AI2325" s="208">
        <f t="shared" si="704"/>
        <v>190</v>
      </c>
    </row>
    <row r="2326" spans="1:35">
      <c r="A2326" t="s">
        <v>2163</v>
      </c>
      <c r="B2326" t="s">
        <v>3142</v>
      </c>
      <c r="C2326" t="s">
        <v>2194</v>
      </c>
      <c r="D2326" t="s">
        <v>5855</v>
      </c>
      <c r="F2326" t="s">
        <v>873</v>
      </c>
      <c r="G2326" s="126">
        <f>SUMIFS('Support - Transition'!F:F,'Support - Transition'!B:B,'Step 2'!A2326,'Support - Transition'!C:C,'Step 2'!B2326,'Support - Transition'!D:D,'Step 2'!C2326,'Support - Transition'!E:E,"CIVIL")</f>
        <v>1.56E-4</v>
      </c>
      <c r="H2326" s="126">
        <f>SUMIFS('Support - Transition'!F:F,'Support - Transition'!B:B,'Step 2'!A2326,'Support - Transition'!C:C,'Step 2'!B2326,'Support - Transition'!D:D,'Step 2'!C2326,'Support - Transition'!E:E,"FIRE")</f>
        <v>2.8600000000000001E-4</v>
      </c>
      <c r="I2326" s="126">
        <f>IF(B2326="0",SUMIFS('Support - Transition'!F:F,'Support - Transition'!J:J,'Step 2'!D2326,'Support - Transition'!E:E,"STATE UNIT"),SUMIFS('Support - Transition'!F:F,'Support - Transition'!J:J,'Step 2'!D2326))</f>
        <v>4.4200000000000001E-4</v>
      </c>
      <c r="J2326" s="126">
        <f>SUMIFS('Support - Unit Adjustments'!E:E,'Support - Unit Adjustments'!F:F,'Step 2'!D2326)</f>
        <v>0</v>
      </c>
      <c r="K2326" s="126">
        <f t="shared" si="688"/>
        <v>4.4200000000000001E-4</v>
      </c>
      <c r="L2326" s="174">
        <f>VLOOKUP(A2326,'Step 1'!$A:$E,4,FALSE)</f>
        <v>1315248</v>
      </c>
      <c r="M2326" s="47">
        <f t="shared" si="689"/>
        <v>581</v>
      </c>
      <c r="N2326" s="177">
        <f>SUMIFS('Support - Transition'!G:G,'Support - Transition'!J:J,'Step 2'!D2326,'Support - Transition'!E:E,"2009 WELFARE ALLOCATION FACTOR")</f>
        <v>0</v>
      </c>
      <c r="O2326" s="152">
        <f t="shared" si="694"/>
        <v>0</v>
      </c>
      <c r="P2326" s="126">
        <f>IF(E2326="Y",0,SUMIFS('Support - Transition'!G:G,'Support - Transition'!J:J,'Step 2'!D2326,'Support - Transition'!E:E,"2009 SCHOOL ALLOCATION FACTOR"))</f>
        <v>0</v>
      </c>
      <c r="Q2326" s="126">
        <f>IF(E2326="Y",VLOOKUP(D2326,'Support - Unit Adjustments'!F:G,2,FALSE),0)</f>
        <v>0</v>
      </c>
      <c r="R2326" s="155">
        <f t="shared" si="706"/>
        <v>0</v>
      </c>
      <c r="S2326" s="47">
        <f t="shared" si="705"/>
        <v>0</v>
      </c>
      <c r="T2326" s="151">
        <f t="shared" si="690"/>
        <v>581</v>
      </c>
      <c r="U2326" s="151">
        <f t="shared" si="691"/>
        <v>0</v>
      </c>
      <c r="V2326" s="139">
        <f t="shared" si="692"/>
        <v>0</v>
      </c>
      <c r="W2326" s="152">
        <f t="shared" si="695"/>
        <v>581</v>
      </c>
      <c r="X2326" s="127" t="str">
        <f t="shared" si="693"/>
        <v/>
      </c>
      <c r="Y2326" s="207">
        <f t="shared" si="696"/>
        <v>581</v>
      </c>
      <c r="Z2326" s="139">
        <f t="shared" si="697"/>
        <v>205</v>
      </c>
      <c r="AA2326" s="139">
        <f t="shared" si="698"/>
        <v>376</v>
      </c>
      <c r="AC2326" s="47">
        <f t="shared" si="699"/>
        <v>291</v>
      </c>
      <c r="AD2326" s="47">
        <f t="shared" si="700"/>
        <v>103</v>
      </c>
      <c r="AE2326" s="47">
        <f t="shared" si="701"/>
        <v>188</v>
      </c>
      <c r="AG2326" s="47">
        <f t="shared" si="702"/>
        <v>290</v>
      </c>
      <c r="AH2326" s="47">
        <f t="shared" si="703"/>
        <v>102</v>
      </c>
      <c r="AI2326" s="208">
        <f t="shared" si="704"/>
        <v>188</v>
      </c>
    </row>
    <row r="2327" spans="1:35">
      <c r="A2327" t="s">
        <v>2163</v>
      </c>
      <c r="B2327" t="s">
        <v>3142</v>
      </c>
      <c r="C2327" t="s">
        <v>2195</v>
      </c>
      <c r="D2327" t="s">
        <v>5856</v>
      </c>
      <c r="F2327" t="s">
        <v>183</v>
      </c>
      <c r="G2327" s="126">
        <f>SUMIFS('Support - Transition'!F:F,'Support - Transition'!B:B,'Step 2'!A2327,'Support - Transition'!C:C,'Step 2'!B2327,'Support - Transition'!D:D,'Step 2'!C2327,'Support - Transition'!E:E,"CIVIL")</f>
        <v>6.3500000000000004E-4</v>
      </c>
      <c r="H2327" s="126">
        <f>SUMIFS('Support - Transition'!F:F,'Support - Transition'!B:B,'Step 2'!A2327,'Support - Transition'!C:C,'Step 2'!B2327,'Support - Transition'!D:D,'Step 2'!C2327,'Support - Transition'!E:E,"FIRE")</f>
        <v>6.9399999999999996E-4</v>
      </c>
      <c r="I2327" s="126">
        <f>IF(B2327="0",SUMIFS('Support - Transition'!F:F,'Support - Transition'!J:J,'Step 2'!D2327,'Support - Transition'!E:E,"STATE UNIT"),SUMIFS('Support - Transition'!F:F,'Support - Transition'!J:J,'Step 2'!D2327))</f>
        <v>1.3289999999999999E-3</v>
      </c>
      <c r="J2327" s="126">
        <f>SUMIFS('Support - Unit Adjustments'!E:E,'Support - Unit Adjustments'!F:F,'Step 2'!D2327)</f>
        <v>0</v>
      </c>
      <c r="K2327" s="126">
        <f t="shared" si="688"/>
        <v>1.3289999999999999E-3</v>
      </c>
      <c r="L2327" s="174">
        <f>VLOOKUP(A2327,'Step 1'!$A:$E,4,FALSE)</f>
        <v>1315248</v>
      </c>
      <c r="M2327" s="47">
        <f t="shared" si="689"/>
        <v>1748</v>
      </c>
      <c r="N2327" s="177">
        <f>SUMIFS('Support - Transition'!G:G,'Support - Transition'!J:J,'Step 2'!D2327,'Support - Transition'!E:E,"2009 WELFARE ALLOCATION FACTOR")</f>
        <v>0</v>
      </c>
      <c r="O2327" s="152">
        <f t="shared" si="694"/>
        <v>0</v>
      </c>
      <c r="P2327" s="126">
        <f>IF(E2327="Y",0,SUMIFS('Support - Transition'!G:G,'Support - Transition'!J:J,'Step 2'!D2327,'Support - Transition'!E:E,"2009 SCHOOL ALLOCATION FACTOR"))</f>
        <v>0</v>
      </c>
      <c r="Q2327" s="126">
        <f>IF(E2327="Y",VLOOKUP(D2327,'Support - Unit Adjustments'!F:G,2,FALSE),0)</f>
        <v>0</v>
      </c>
      <c r="R2327" s="155">
        <f t="shared" si="706"/>
        <v>0</v>
      </c>
      <c r="S2327" s="47">
        <f t="shared" si="705"/>
        <v>0</v>
      </c>
      <c r="T2327" s="151">
        <f t="shared" si="690"/>
        <v>1748</v>
      </c>
      <c r="U2327" s="151">
        <f t="shared" si="691"/>
        <v>0</v>
      </c>
      <c r="V2327" s="139">
        <f t="shared" si="692"/>
        <v>0</v>
      </c>
      <c r="W2327" s="152">
        <f t="shared" si="695"/>
        <v>1748</v>
      </c>
      <c r="X2327" s="127" t="str">
        <f t="shared" si="693"/>
        <v/>
      </c>
      <c r="Y2327" s="207">
        <f t="shared" si="696"/>
        <v>1748</v>
      </c>
      <c r="Z2327" s="139">
        <f t="shared" si="697"/>
        <v>835</v>
      </c>
      <c r="AA2327" s="139">
        <f t="shared" si="698"/>
        <v>913</v>
      </c>
      <c r="AC2327" s="47">
        <f t="shared" si="699"/>
        <v>874</v>
      </c>
      <c r="AD2327" s="47">
        <f t="shared" si="700"/>
        <v>418</v>
      </c>
      <c r="AE2327" s="47">
        <f t="shared" si="701"/>
        <v>457</v>
      </c>
      <c r="AG2327" s="47">
        <f t="shared" si="702"/>
        <v>874</v>
      </c>
      <c r="AH2327" s="47">
        <f t="shared" si="703"/>
        <v>417</v>
      </c>
      <c r="AI2327" s="208">
        <f t="shared" si="704"/>
        <v>456</v>
      </c>
    </row>
    <row r="2328" spans="1:35">
      <c r="A2328" t="s">
        <v>2163</v>
      </c>
      <c r="B2328" t="s">
        <v>3142</v>
      </c>
      <c r="C2328" t="s">
        <v>2196</v>
      </c>
      <c r="D2328" t="s">
        <v>5857</v>
      </c>
      <c r="F2328" t="s">
        <v>20</v>
      </c>
      <c r="G2328" s="126">
        <f>SUMIFS('Support - Transition'!F:F,'Support - Transition'!B:B,'Step 2'!A2328,'Support - Transition'!C:C,'Step 2'!B2328,'Support - Transition'!D:D,'Step 2'!C2328,'Support - Transition'!E:E,"CIVIL")</f>
        <v>1.06E-4</v>
      </c>
      <c r="H2328" s="126">
        <f>SUMIFS('Support - Transition'!F:F,'Support - Transition'!B:B,'Step 2'!A2328,'Support - Transition'!C:C,'Step 2'!B2328,'Support - Transition'!D:D,'Step 2'!C2328,'Support - Transition'!E:E,"FIRE")</f>
        <v>0</v>
      </c>
      <c r="I2328" s="126">
        <f>IF(B2328="0",SUMIFS('Support - Transition'!F:F,'Support - Transition'!J:J,'Step 2'!D2328,'Support - Transition'!E:E,"STATE UNIT"),SUMIFS('Support - Transition'!F:F,'Support - Transition'!J:J,'Step 2'!D2328))</f>
        <v>1.06E-4</v>
      </c>
      <c r="J2328" s="126">
        <f>SUMIFS('Support - Unit Adjustments'!E:E,'Support - Unit Adjustments'!F:F,'Step 2'!D2328)</f>
        <v>0</v>
      </c>
      <c r="K2328" s="126">
        <f t="shared" si="688"/>
        <v>1.06E-4</v>
      </c>
      <c r="L2328" s="174">
        <f>VLOOKUP(A2328,'Step 1'!$A:$E,4,FALSE)</f>
        <v>1315248</v>
      </c>
      <c r="M2328" s="47">
        <f t="shared" si="689"/>
        <v>139</v>
      </c>
      <c r="N2328" s="177">
        <f>SUMIFS('Support - Transition'!G:G,'Support - Transition'!J:J,'Step 2'!D2328,'Support - Transition'!E:E,"2009 WELFARE ALLOCATION FACTOR")</f>
        <v>0</v>
      </c>
      <c r="O2328" s="152">
        <f t="shared" si="694"/>
        <v>0</v>
      </c>
      <c r="P2328" s="126">
        <f>IF(E2328="Y",0,SUMIFS('Support - Transition'!G:G,'Support - Transition'!J:J,'Step 2'!D2328,'Support - Transition'!E:E,"2009 SCHOOL ALLOCATION FACTOR"))</f>
        <v>0</v>
      </c>
      <c r="Q2328" s="126">
        <f>IF(E2328="Y",VLOOKUP(D2328,'Support - Unit Adjustments'!F:G,2,FALSE),0)</f>
        <v>0</v>
      </c>
      <c r="R2328" s="155">
        <f t="shared" si="706"/>
        <v>0</v>
      </c>
      <c r="S2328" s="47">
        <f t="shared" si="705"/>
        <v>0</v>
      </c>
      <c r="T2328" s="151">
        <f t="shared" si="690"/>
        <v>139</v>
      </c>
      <c r="U2328" s="151">
        <f t="shared" si="691"/>
        <v>0</v>
      </c>
      <c r="V2328" s="139">
        <f t="shared" si="692"/>
        <v>0</v>
      </c>
      <c r="W2328" s="152">
        <f t="shared" si="695"/>
        <v>139</v>
      </c>
      <c r="X2328" s="127" t="str">
        <f t="shared" si="693"/>
        <v/>
      </c>
      <c r="Y2328" s="207">
        <f t="shared" si="696"/>
        <v>139</v>
      </c>
      <c r="Z2328" s="139">
        <f t="shared" si="697"/>
        <v>139</v>
      </c>
      <c r="AA2328" s="139">
        <f t="shared" si="698"/>
        <v>0</v>
      </c>
      <c r="AC2328" s="47">
        <f t="shared" si="699"/>
        <v>70</v>
      </c>
      <c r="AD2328" s="47">
        <f t="shared" si="700"/>
        <v>70</v>
      </c>
      <c r="AE2328" s="47">
        <f t="shared" si="701"/>
        <v>0</v>
      </c>
      <c r="AG2328" s="47">
        <f t="shared" si="702"/>
        <v>69</v>
      </c>
      <c r="AH2328" s="47">
        <f t="shared" si="703"/>
        <v>69</v>
      </c>
      <c r="AI2328" s="208">
        <f t="shared" si="704"/>
        <v>0</v>
      </c>
    </row>
    <row r="2329" spans="1:35">
      <c r="A2329" t="s">
        <v>2163</v>
      </c>
      <c r="B2329" t="s">
        <v>3142</v>
      </c>
      <c r="C2329" t="s">
        <v>2197</v>
      </c>
      <c r="D2329" t="s">
        <v>5858</v>
      </c>
      <c r="F2329" t="s">
        <v>21</v>
      </c>
      <c r="G2329" s="126">
        <f>SUMIFS('Support - Transition'!F:F,'Support - Transition'!B:B,'Step 2'!A2329,'Support - Transition'!C:C,'Step 2'!B2329,'Support - Transition'!D:D,'Step 2'!C2329,'Support - Transition'!E:E,"CIVIL")</f>
        <v>8.6499999999999999E-4</v>
      </c>
      <c r="H2329" s="126">
        <f>SUMIFS('Support - Transition'!F:F,'Support - Transition'!B:B,'Step 2'!A2329,'Support - Transition'!C:C,'Step 2'!B2329,'Support - Transition'!D:D,'Step 2'!C2329,'Support - Transition'!E:E,"FIRE")</f>
        <v>4.06E-4</v>
      </c>
      <c r="I2329" s="126">
        <f>IF(B2329="0",SUMIFS('Support - Transition'!F:F,'Support - Transition'!J:J,'Step 2'!D2329,'Support - Transition'!E:E,"STATE UNIT"),SUMIFS('Support - Transition'!F:F,'Support - Transition'!J:J,'Step 2'!D2329))</f>
        <v>1.271E-3</v>
      </c>
      <c r="J2329" s="126">
        <f>SUMIFS('Support - Unit Adjustments'!E:E,'Support - Unit Adjustments'!F:F,'Step 2'!D2329)</f>
        <v>0</v>
      </c>
      <c r="K2329" s="126">
        <f t="shared" si="688"/>
        <v>1.271E-3</v>
      </c>
      <c r="L2329" s="174">
        <f>VLOOKUP(A2329,'Step 1'!$A:$E,4,FALSE)</f>
        <v>1315248</v>
      </c>
      <c r="M2329" s="47">
        <f t="shared" si="689"/>
        <v>1672</v>
      </c>
      <c r="N2329" s="177">
        <f>SUMIFS('Support - Transition'!G:G,'Support - Transition'!J:J,'Step 2'!D2329,'Support - Transition'!E:E,"2009 WELFARE ALLOCATION FACTOR")</f>
        <v>0</v>
      </c>
      <c r="O2329" s="152">
        <f t="shared" si="694"/>
        <v>0</v>
      </c>
      <c r="P2329" s="126">
        <f>IF(E2329="Y",0,SUMIFS('Support - Transition'!G:G,'Support - Transition'!J:J,'Step 2'!D2329,'Support - Transition'!E:E,"2009 SCHOOL ALLOCATION FACTOR"))</f>
        <v>0</v>
      </c>
      <c r="Q2329" s="126">
        <f>IF(E2329="Y",VLOOKUP(D2329,'Support - Unit Adjustments'!F:G,2,FALSE),0)</f>
        <v>0</v>
      </c>
      <c r="R2329" s="155">
        <f t="shared" si="706"/>
        <v>0</v>
      </c>
      <c r="S2329" s="47">
        <f t="shared" si="705"/>
        <v>0</v>
      </c>
      <c r="T2329" s="151">
        <f t="shared" si="690"/>
        <v>1672</v>
      </c>
      <c r="U2329" s="151">
        <f t="shared" si="691"/>
        <v>0</v>
      </c>
      <c r="V2329" s="139">
        <f t="shared" si="692"/>
        <v>0</v>
      </c>
      <c r="W2329" s="152">
        <f t="shared" si="695"/>
        <v>1672</v>
      </c>
      <c r="X2329" s="127" t="str">
        <f t="shared" si="693"/>
        <v/>
      </c>
      <c r="Y2329" s="207">
        <f t="shared" si="696"/>
        <v>1672</v>
      </c>
      <c r="Z2329" s="139">
        <f t="shared" si="697"/>
        <v>1138</v>
      </c>
      <c r="AA2329" s="139">
        <f t="shared" si="698"/>
        <v>534</v>
      </c>
      <c r="AC2329" s="47">
        <f t="shared" si="699"/>
        <v>836</v>
      </c>
      <c r="AD2329" s="47">
        <f t="shared" si="700"/>
        <v>569</v>
      </c>
      <c r="AE2329" s="47">
        <f t="shared" si="701"/>
        <v>267</v>
      </c>
      <c r="AG2329" s="47">
        <f t="shared" si="702"/>
        <v>836</v>
      </c>
      <c r="AH2329" s="47">
        <f t="shared" si="703"/>
        <v>569</v>
      </c>
      <c r="AI2329" s="208">
        <f t="shared" si="704"/>
        <v>267</v>
      </c>
    </row>
    <row r="2330" spans="1:35">
      <c r="A2330" t="s">
        <v>2163</v>
      </c>
      <c r="B2330" t="s">
        <v>3142</v>
      </c>
      <c r="C2330" t="s">
        <v>2198</v>
      </c>
      <c r="D2330" t="s">
        <v>5859</v>
      </c>
      <c r="F2330" t="s">
        <v>22</v>
      </c>
      <c r="G2330" s="126">
        <f>SUMIFS('Support - Transition'!F:F,'Support - Transition'!B:B,'Step 2'!A2330,'Support - Transition'!C:C,'Step 2'!B2330,'Support - Transition'!D:D,'Step 2'!C2330,'Support - Transition'!E:E,"CIVIL")</f>
        <v>2.5399999999999999E-4</v>
      </c>
      <c r="H2330" s="126">
        <f>SUMIFS('Support - Transition'!F:F,'Support - Transition'!B:B,'Step 2'!A2330,'Support - Transition'!C:C,'Step 2'!B2330,'Support - Transition'!D:D,'Step 2'!C2330,'Support - Transition'!E:E,"FIRE")</f>
        <v>2.0599999999999999E-4</v>
      </c>
      <c r="I2330" s="126">
        <f>IF(B2330="0",SUMIFS('Support - Transition'!F:F,'Support - Transition'!J:J,'Step 2'!D2330,'Support - Transition'!E:E,"STATE UNIT"),SUMIFS('Support - Transition'!F:F,'Support - Transition'!J:J,'Step 2'!D2330))</f>
        <v>4.6000000000000001E-4</v>
      </c>
      <c r="J2330" s="126">
        <f>SUMIFS('Support - Unit Adjustments'!E:E,'Support - Unit Adjustments'!F:F,'Step 2'!D2330)</f>
        <v>0</v>
      </c>
      <c r="K2330" s="126">
        <f t="shared" si="688"/>
        <v>4.6000000000000001E-4</v>
      </c>
      <c r="L2330" s="174">
        <f>VLOOKUP(A2330,'Step 1'!$A:$E,4,FALSE)</f>
        <v>1315248</v>
      </c>
      <c r="M2330" s="47">
        <f t="shared" si="689"/>
        <v>605</v>
      </c>
      <c r="N2330" s="177">
        <f>SUMIFS('Support - Transition'!G:G,'Support - Transition'!J:J,'Step 2'!D2330,'Support - Transition'!E:E,"2009 WELFARE ALLOCATION FACTOR")</f>
        <v>0</v>
      </c>
      <c r="O2330" s="152">
        <f t="shared" si="694"/>
        <v>0</v>
      </c>
      <c r="P2330" s="126">
        <f>IF(E2330="Y",0,SUMIFS('Support - Transition'!G:G,'Support - Transition'!J:J,'Step 2'!D2330,'Support - Transition'!E:E,"2009 SCHOOL ALLOCATION FACTOR"))</f>
        <v>0</v>
      </c>
      <c r="Q2330" s="126">
        <f>IF(E2330="Y",VLOOKUP(D2330,'Support - Unit Adjustments'!F:G,2,FALSE),0)</f>
        <v>0</v>
      </c>
      <c r="R2330" s="155">
        <f t="shared" si="706"/>
        <v>0</v>
      </c>
      <c r="S2330" s="47">
        <f t="shared" si="705"/>
        <v>0</v>
      </c>
      <c r="T2330" s="151">
        <f t="shared" si="690"/>
        <v>605</v>
      </c>
      <c r="U2330" s="151">
        <f t="shared" si="691"/>
        <v>0</v>
      </c>
      <c r="V2330" s="139">
        <f t="shared" si="692"/>
        <v>0</v>
      </c>
      <c r="W2330" s="152">
        <f t="shared" si="695"/>
        <v>605</v>
      </c>
      <c r="X2330" s="127" t="str">
        <f t="shared" si="693"/>
        <v/>
      </c>
      <c r="Y2330" s="207">
        <f t="shared" si="696"/>
        <v>605</v>
      </c>
      <c r="Z2330" s="139">
        <f t="shared" si="697"/>
        <v>334</v>
      </c>
      <c r="AA2330" s="139">
        <f t="shared" si="698"/>
        <v>271</v>
      </c>
      <c r="AC2330" s="47">
        <f t="shared" si="699"/>
        <v>303</v>
      </c>
      <c r="AD2330" s="47">
        <f t="shared" si="700"/>
        <v>167</v>
      </c>
      <c r="AE2330" s="47">
        <f t="shared" si="701"/>
        <v>136</v>
      </c>
      <c r="AG2330" s="47">
        <f t="shared" si="702"/>
        <v>302</v>
      </c>
      <c r="AH2330" s="47">
        <f t="shared" si="703"/>
        <v>167</v>
      </c>
      <c r="AI2330" s="208">
        <f t="shared" si="704"/>
        <v>135</v>
      </c>
    </row>
    <row r="2331" spans="1:35">
      <c r="A2331" t="s">
        <v>2163</v>
      </c>
      <c r="B2331" t="s">
        <v>3142</v>
      </c>
      <c r="C2331" t="s">
        <v>2199</v>
      </c>
      <c r="D2331" t="s">
        <v>5860</v>
      </c>
      <c r="F2331" t="s">
        <v>61</v>
      </c>
      <c r="G2331" s="126">
        <f>SUMIFS('Support - Transition'!F:F,'Support - Transition'!B:B,'Step 2'!A2331,'Support - Transition'!C:C,'Step 2'!B2331,'Support - Transition'!D:D,'Step 2'!C2331,'Support - Transition'!E:E,"CIVIL")</f>
        <v>4.3600000000000003E-4</v>
      </c>
      <c r="H2331" s="126">
        <f>SUMIFS('Support - Transition'!F:F,'Support - Transition'!B:B,'Step 2'!A2331,'Support - Transition'!C:C,'Step 2'!B2331,'Support - Transition'!D:D,'Step 2'!C2331,'Support - Transition'!E:E,"FIRE")</f>
        <v>3.7100000000000002E-4</v>
      </c>
      <c r="I2331" s="126">
        <f>IF(B2331="0",SUMIFS('Support - Transition'!F:F,'Support - Transition'!J:J,'Step 2'!D2331,'Support - Transition'!E:E,"STATE UNIT"),SUMIFS('Support - Transition'!F:F,'Support - Transition'!J:J,'Step 2'!D2331))</f>
        <v>8.0699999999999999E-4</v>
      </c>
      <c r="J2331" s="126">
        <f>SUMIFS('Support - Unit Adjustments'!E:E,'Support - Unit Adjustments'!F:F,'Step 2'!D2331)</f>
        <v>0</v>
      </c>
      <c r="K2331" s="126">
        <f t="shared" si="688"/>
        <v>8.0699999999999999E-4</v>
      </c>
      <c r="L2331" s="174">
        <f>VLOOKUP(A2331,'Step 1'!$A:$E,4,FALSE)</f>
        <v>1315248</v>
      </c>
      <c r="M2331" s="47">
        <f t="shared" si="689"/>
        <v>1061</v>
      </c>
      <c r="N2331" s="177">
        <f>SUMIFS('Support - Transition'!G:G,'Support - Transition'!J:J,'Step 2'!D2331,'Support - Transition'!E:E,"2009 WELFARE ALLOCATION FACTOR")</f>
        <v>0</v>
      </c>
      <c r="O2331" s="152">
        <f t="shared" si="694"/>
        <v>0</v>
      </c>
      <c r="P2331" s="126">
        <f>IF(E2331="Y",0,SUMIFS('Support - Transition'!G:G,'Support - Transition'!J:J,'Step 2'!D2331,'Support - Transition'!E:E,"2009 SCHOOL ALLOCATION FACTOR"))</f>
        <v>0</v>
      </c>
      <c r="Q2331" s="126">
        <f>IF(E2331="Y",VLOOKUP(D2331,'Support - Unit Adjustments'!F:G,2,FALSE),0)</f>
        <v>0</v>
      </c>
      <c r="R2331" s="155">
        <f t="shared" si="706"/>
        <v>0</v>
      </c>
      <c r="S2331" s="47">
        <f t="shared" si="705"/>
        <v>0</v>
      </c>
      <c r="T2331" s="151">
        <f t="shared" si="690"/>
        <v>1061</v>
      </c>
      <c r="U2331" s="151">
        <f t="shared" si="691"/>
        <v>0</v>
      </c>
      <c r="V2331" s="139">
        <f t="shared" si="692"/>
        <v>0</v>
      </c>
      <c r="W2331" s="152">
        <f t="shared" si="695"/>
        <v>1061</v>
      </c>
      <c r="X2331" s="127" t="str">
        <f t="shared" si="693"/>
        <v/>
      </c>
      <c r="Y2331" s="207">
        <f t="shared" si="696"/>
        <v>1061</v>
      </c>
      <c r="Z2331" s="139">
        <f t="shared" si="697"/>
        <v>573</v>
      </c>
      <c r="AA2331" s="139">
        <f t="shared" si="698"/>
        <v>488</v>
      </c>
      <c r="AC2331" s="47">
        <f t="shared" si="699"/>
        <v>531</v>
      </c>
      <c r="AD2331" s="47">
        <f t="shared" si="700"/>
        <v>287</v>
      </c>
      <c r="AE2331" s="47">
        <f t="shared" si="701"/>
        <v>244</v>
      </c>
      <c r="AG2331" s="47">
        <f t="shared" si="702"/>
        <v>530</v>
      </c>
      <c r="AH2331" s="47">
        <f t="shared" si="703"/>
        <v>286</v>
      </c>
      <c r="AI2331" s="208">
        <f t="shared" si="704"/>
        <v>244</v>
      </c>
    </row>
    <row r="2332" spans="1:35">
      <c r="A2332" t="s">
        <v>2163</v>
      </c>
      <c r="B2332" t="s">
        <v>3142</v>
      </c>
      <c r="C2332" t="s">
        <v>2208</v>
      </c>
      <c r="D2332" t="s">
        <v>5861</v>
      </c>
      <c r="F2332" t="s">
        <v>1666</v>
      </c>
      <c r="G2332" s="126">
        <f>SUMIFS('Support - Transition'!F:F,'Support - Transition'!B:B,'Step 2'!A2332,'Support - Transition'!C:C,'Step 2'!B2332,'Support - Transition'!D:D,'Step 2'!C2332,'Support - Transition'!E:E,"CIVIL")</f>
        <v>1.9980000000000002E-3</v>
      </c>
      <c r="H2332" s="126">
        <f>SUMIFS('Support - Transition'!F:F,'Support - Transition'!B:B,'Step 2'!A2332,'Support - Transition'!C:C,'Step 2'!B2332,'Support - Transition'!D:D,'Step 2'!C2332,'Support - Transition'!E:E,"FIRE")</f>
        <v>9.19E-4</v>
      </c>
      <c r="I2332" s="126">
        <f>IF(B2332="0",SUMIFS('Support - Transition'!F:F,'Support - Transition'!J:J,'Step 2'!D2332,'Support - Transition'!E:E,"STATE UNIT"),SUMIFS('Support - Transition'!F:F,'Support - Transition'!J:J,'Step 2'!D2332))</f>
        <v>2.9170000000000003E-3</v>
      </c>
      <c r="J2332" s="126">
        <f>SUMIFS('Support - Unit Adjustments'!E:E,'Support - Unit Adjustments'!F:F,'Step 2'!D2332)</f>
        <v>0</v>
      </c>
      <c r="K2332" s="126">
        <f t="shared" si="688"/>
        <v>2.9170000000000003E-3</v>
      </c>
      <c r="L2332" s="174">
        <f>VLOOKUP(A2332,'Step 1'!$A:$E,4,FALSE)</f>
        <v>1315248</v>
      </c>
      <c r="M2332" s="47">
        <f t="shared" si="689"/>
        <v>3837</v>
      </c>
      <c r="N2332" s="177">
        <f>SUMIFS('Support - Transition'!G:G,'Support - Transition'!J:J,'Step 2'!D2332,'Support - Transition'!E:E,"2009 WELFARE ALLOCATION FACTOR")</f>
        <v>0</v>
      </c>
      <c r="O2332" s="152">
        <f t="shared" si="694"/>
        <v>0</v>
      </c>
      <c r="P2332" s="126">
        <f>IF(E2332="Y",0,SUMIFS('Support - Transition'!G:G,'Support - Transition'!J:J,'Step 2'!D2332,'Support - Transition'!E:E,"2009 SCHOOL ALLOCATION FACTOR"))</f>
        <v>0</v>
      </c>
      <c r="Q2332" s="126">
        <f>IF(E2332="Y",VLOOKUP(D2332,'Support - Unit Adjustments'!F:G,2,FALSE),0)</f>
        <v>0</v>
      </c>
      <c r="R2332" s="155">
        <f t="shared" si="706"/>
        <v>0</v>
      </c>
      <c r="S2332" s="47">
        <f t="shared" si="705"/>
        <v>0</v>
      </c>
      <c r="T2332" s="151">
        <f t="shared" si="690"/>
        <v>3837</v>
      </c>
      <c r="U2332" s="151">
        <f t="shared" si="691"/>
        <v>0</v>
      </c>
      <c r="V2332" s="139">
        <f t="shared" si="692"/>
        <v>0</v>
      </c>
      <c r="W2332" s="152">
        <f t="shared" si="695"/>
        <v>3837</v>
      </c>
      <c r="X2332" s="127" t="str">
        <f t="shared" si="693"/>
        <v/>
      </c>
      <c r="Y2332" s="207">
        <f t="shared" si="696"/>
        <v>3837</v>
      </c>
      <c r="Z2332" s="139">
        <f t="shared" si="697"/>
        <v>2628</v>
      </c>
      <c r="AA2332" s="139">
        <f t="shared" si="698"/>
        <v>1209</v>
      </c>
      <c r="AC2332" s="47">
        <f t="shared" si="699"/>
        <v>1919</v>
      </c>
      <c r="AD2332" s="47">
        <f t="shared" si="700"/>
        <v>1314</v>
      </c>
      <c r="AE2332" s="47">
        <f t="shared" si="701"/>
        <v>605</v>
      </c>
      <c r="AG2332" s="47">
        <f t="shared" si="702"/>
        <v>1918</v>
      </c>
      <c r="AH2332" s="47">
        <f t="shared" si="703"/>
        <v>1314</v>
      </c>
      <c r="AI2332" s="208">
        <f t="shared" si="704"/>
        <v>604</v>
      </c>
    </row>
    <row r="2333" spans="1:35">
      <c r="A2333" t="s">
        <v>2163</v>
      </c>
      <c r="B2333" t="s">
        <v>3155</v>
      </c>
      <c r="C2333" t="s">
        <v>2639</v>
      </c>
      <c r="D2333" t="s">
        <v>5862</v>
      </c>
      <c r="F2333" t="s">
        <v>1670</v>
      </c>
      <c r="G2333" s="126">
        <f>SUMIFS('Support - Transition'!F:F,'Support - Transition'!B:B,'Step 2'!A2333,'Support - Transition'!C:C,'Step 2'!B2333,'Support - Transition'!D:D,'Step 2'!C2333,'Support - Transition'!E:E,"CIVIL")</f>
        <v>0</v>
      </c>
      <c r="H2333" s="126">
        <f>SUMIFS('Support - Transition'!F:F,'Support - Transition'!B:B,'Step 2'!A2333,'Support - Transition'!C:C,'Step 2'!B2333,'Support - Transition'!D:D,'Step 2'!C2333,'Support - Transition'!E:E,"FIRE")</f>
        <v>0</v>
      </c>
      <c r="I2333" s="126">
        <f>IF(B2333="0",SUMIFS('Support - Transition'!F:F,'Support - Transition'!J:J,'Step 2'!D2333,'Support - Transition'!E:E,"STATE UNIT"),SUMIFS('Support - Transition'!F:F,'Support - Transition'!J:J,'Step 2'!D2333))</f>
        <v>0.15193000000000001</v>
      </c>
      <c r="J2333" s="126">
        <f>SUMIFS('Support - Unit Adjustments'!E:E,'Support - Unit Adjustments'!F:F,'Step 2'!D2333)</f>
        <v>0</v>
      </c>
      <c r="K2333" s="126">
        <f t="shared" si="688"/>
        <v>0.15193000000000001</v>
      </c>
      <c r="L2333" s="174">
        <f>VLOOKUP(A2333,'Step 1'!$A:$E,4,FALSE)</f>
        <v>1315248</v>
      </c>
      <c r="M2333" s="47">
        <f t="shared" si="689"/>
        <v>199826</v>
      </c>
      <c r="N2333" s="177">
        <f>SUMIFS('Support - Transition'!G:G,'Support - Transition'!J:J,'Step 2'!D2333,'Support - Transition'!E:E,"2009 WELFARE ALLOCATION FACTOR")</f>
        <v>0</v>
      </c>
      <c r="O2333" s="152">
        <f t="shared" si="694"/>
        <v>0</v>
      </c>
      <c r="P2333" s="126">
        <f>IF(E2333="Y",0,SUMIFS('Support - Transition'!G:G,'Support - Transition'!J:J,'Step 2'!D2333,'Support - Transition'!E:E,"2009 SCHOOL ALLOCATION FACTOR"))</f>
        <v>0</v>
      </c>
      <c r="Q2333" s="126">
        <f>IF(E2333="Y",VLOOKUP(D2333,'Support - Unit Adjustments'!F:G,2,FALSE),0)</f>
        <v>0</v>
      </c>
      <c r="R2333" s="155">
        <f t="shared" si="706"/>
        <v>0</v>
      </c>
      <c r="S2333" s="47">
        <f t="shared" si="705"/>
        <v>0</v>
      </c>
      <c r="T2333" s="151">
        <f t="shared" si="690"/>
        <v>199826</v>
      </c>
      <c r="U2333" s="151">
        <f t="shared" si="691"/>
        <v>0</v>
      </c>
      <c r="V2333" s="139">
        <f t="shared" si="692"/>
        <v>0</v>
      </c>
      <c r="W2333" s="152">
        <f t="shared" si="695"/>
        <v>199826</v>
      </c>
      <c r="X2333" s="127" t="str">
        <f t="shared" si="693"/>
        <v/>
      </c>
      <c r="Y2333" s="207">
        <f t="shared" si="696"/>
        <v>199826</v>
      </c>
      <c r="Z2333" s="139">
        <f t="shared" si="697"/>
        <v>199826</v>
      </c>
      <c r="AA2333" s="139">
        <f t="shared" si="698"/>
        <v>0</v>
      </c>
      <c r="AC2333" s="47">
        <f t="shared" si="699"/>
        <v>99913</v>
      </c>
      <c r="AD2333" s="47">
        <f t="shared" si="700"/>
        <v>99913</v>
      </c>
      <c r="AE2333" s="47">
        <f t="shared" si="701"/>
        <v>0</v>
      </c>
      <c r="AG2333" s="47">
        <f t="shared" si="702"/>
        <v>99913</v>
      </c>
      <c r="AH2333" s="47">
        <f t="shared" si="703"/>
        <v>99913</v>
      </c>
      <c r="AI2333" s="208">
        <f t="shared" si="704"/>
        <v>0</v>
      </c>
    </row>
    <row r="2334" spans="1:35">
      <c r="A2334" t="s">
        <v>2163</v>
      </c>
      <c r="B2334" t="s">
        <v>3155</v>
      </c>
      <c r="C2334" t="s">
        <v>2608</v>
      </c>
      <c r="D2334" t="s">
        <v>5863</v>
      </c>
      <c r="F2334" t="s">
        <v>1672</v>
      </c>
      <c r="G2334" s="126">
        <f>SUMIFS('Support - Transition'!F:F,'Support - Transition'!B:B,'Step 2'!A2334,'Support - Transition'!C:C,'Step 2'!B2334,'Support - Transition'!D:D,'Step 2'!C2334,'Support - Transition'!E:E,"CIVIL")</f>
        <v>0</v>
      </c>
      <c r="H2334" s="126">
        <f>SUMIFS('Support - Transition'!F:F,'Support - Transition'!B:B,'Step 2'!A2334,'Support - Transition'!C:C,'Step 2'!B2334,'Support - Transition'!D:D,'Step 2'!C2334,'Support - Transition'!E:E,"FIRE")</f>
        <v>0</v>
      </c>
      <c r="I2334" s="126">
        <f>IF(B2334="0",SUMIFS('Support - Transition'!F:F,'Support - Transition'!J:J,'Step 2'!D2334,'Support - Transition'!E:E,"STATE UNIT"),SUMIFS('Support - Transition'!F:F,'Support - Transition'!J:J,'Step 2'!D2334))</f>
        <v>3.7690000000000002E-3</v>
      </c>
      <c r="J2334" s="126">
        <f>SUMIFS('Support - Unit Adjustments'!E:E,'Support - Unit Adjustments'!F:F,'Step 2'!D2334)</f>
        <v>0</v>
      </c>
      <c r="K2334" s="126">
        <f t="shared" si="688"/>
        <v>3.7690000000000002E-3</v>
      </c>
      <c r="L2334" s="174">
        <f>VLOOKUP(A2334,'Step 1'!$A:$E,4,FALSE)</f>
        <v>1315248</v>
      </c>
      <c r="M2334" s="47">
        <f t="shared" si="689"/>
        <v>4957</v>
      </c>
      <c r="N2334" s="177">
        <f>SUMIFS('Support - Transition'!G:G,'Support - Transition'!J:J,'Step 2'!D2334,'Support - Transition'!E:E,"2009 WELFARE ALLOCATION FACTOR")</f>
        <v>0</v>
      </c>
      <c r="O2334" s="152">
        <f t="shared" si="694"/>
        <v>0</v>
      </c>
      <c r="P2334" s="126">
        <f>IF(E2334="Y",0,SUMIFS('Support - Transition'!G:G,'Support - Transition'!J:J,'Step 2'!D2334,'Support - Transition'!E:E,"2009 SCHOOL ALLOCATION FACTOR"))</f>
        <v>0</v>
      </c>
      <c r="Q2334" s="126">
        <f>IF(E2334="Y",VLOOKUP(D2334,'Support - Unit Adjustments'!F:G,2,FALSE),0)</f>
        <v>0</v>
      </c>
      <c r="R2334" s="155">
        <f t="shared" si="706"/>
        <v>0</v>
      </c>
      <c r="S2334" s="47">
        <f t="shared" si="705"/>
        <v>0</v>
      </c>
      <c r="T2334" s="151">
        <f t="shared" si="690"/>
        <v>4957</v>
      </c>
      <c r="U2334" s="151">
        <f t="shared" si="691"/>
        <v>0</v>
      </c>
      <c r="V2334" s="139">
        <f t="shared" si="692"/>
        <v>0</v>
      </c>
      <c r="W2334" s="152">
        <f t="shared" si="695"/>
        <v>4957</v>
      </c>
      <c r="X2334" s="127" t="str">
        <f t="shared" si="693"/>
        <v/>
      </c>
      <c r="Y2334" s="207">
        <f t="shared" si="696"/>
        <v>4957</v>
      </c>
      <c r="Z2334" s="139">
        <f t="shared" si="697"/>
        <v>4957</v>
      </c>
      <c r="AA2334" s="139">
        <f t="shared" si="698"/>
        <v>0</v>
      </c>
      <c r="AC2334" s="47">
        <f t="shared" si="699"/>
        <v>2479</v>
      </c>
      <c r="AD2334" s="47">
        <f t="shared" si="700"/>
        <v>2479</v>
      </c>
      <c r="AE2334" s="47">
        <f t="shared" si="701"/>
        <v>0</v>
      </c>
      <c r="AG2334" s="47">
        <f t="shared" si="702"/>
        <v>2478</v>
      </c>
      <c r="AH2334" s="47">
        <f t="shared" si="703"/>
        <v>2478</v>
      </c>
      <c r="AI2334" s="208">
        <f t="shared" si="704"/>
        <v>0</v>
      </c>
    </row>
    <row r="2335" spans="1:35">
      <c r="A2335" t="s">
        <v>2163</v>
      </c>
      <c r="B2335" t="s">
        <v>3155</v>
      </c>
      <c r="C2335" t="s">
        <v>2244</v>
      </c>
      <c r="D2335" t="s">
        <v>5864</v>
      </c>
      <c r="F2335" t="s">
        <v>120</v>
      </c>
      <c r="G2335" s="126">
        <f>SUMIFS('Support - Transition'!F:F,'Support - Transition'!B:B,'Step 2'!A2335,'Support - Transition'!C:C,'Step 2'!B2335,'Support - Transition'!D:D,'Step 2'!C2335,'Support - Transition'!E:E,"CIVIL")</f>
        <v>0</v>
      </c>
      <c r="H2335" s="126">
        <f>SUMIFS('Support - Transition'!F:F,'Support - Transition'!B:B,'Step 2'!A2335,'Support - Transition'!C:C,'Step 2'!B2335,'Support - Transition'!D:D,'Step 2'!C2335,'Support - Transition'!E:E,"FIRE")</f>
        <v>0</v>
      </c>
      <c r="I2335" s="126">
        <f>IF(B2335="0",SUMIFS('Support - Transition'!F:F,'Support - Transition'!J:J,'Step 2'!D2335,'Support - Transition'!E:E,"STATE UNIT"),SUMIFS('Support - Transition'!F:F,'Support - Transition'!J:J,'Step 2'!D2335))</f>
        <v>1.0369999999999999E-3</v>
      </c>
      <c r="J2335" s="126">
        <f>SUMIFS('Support - Unit Adjustments'!E:E,'Support - Unit Adjustments'!F:F,'Step 2'!D2335)</f>
        <v>0</v>
      </c>
      <c r="K2335" s="126">
        <f t="shared" si="688"/>
        <v>1.0369999999999999E-3</v>
      </c>
      <c r="L2335" s="174">
        <f>VLOOKUP(A2335,'Step 1'!$A:$E,4,FALSE)</f>
        <v>1315248</v>
      </c>
      <c r="M2335" s="47">
        <f t="shared" si="689"/>
        <v>1364</v>
      </c>
      <c r="N2335" s="177">
        <f>SUMIFS('Support - Transition'!G:G,'Support - Transition'!J:J,'Step 2'!D2335,'Support - Transition'!E:E,"2009 WELFARE ALLOCATION FACTOR")</f>
        <v>0</v>
      </c>
      <c r="O2335" s="152">
        <f t="shared" si="694"/>
        <v>0</v>
      </c>
      <c r="P2335" s="126">
        <f>IF(E2335="Y",0,SUMIFS('Support - Transition'!G:G,'Support - Transition'!J:J,'Step 2'!D2335,'Support - Transition'!E:E,"2009 SCHOOL ALLOCATION FACTOR"))</f>
        <v>0</v>
      </c>
      <c r="Q2335" s="126">
        <f>IF(E2335="Y",VLOOKUP(D2335,'Support - Unit Adjustments'!F:G,2,FALSE),0)</f>
        <v>0</v>
      </c>
      <c r="R2335" s="155">
        <f t="shared" si="706"/>
        <v>0</v>
      </c>
      <c r="S2335" s="47">
        <f t="shared" si="705"/>
        <v>0</v>
      </c>
      <c r="T2335" s="151">
        <f t="shared" si="690"/>
        <v>1364</v>
      </c>
      <c r="U2335" s="151">
        <f t="shared" si="691"/>
        <v>0</v>
      </c>
      <c r="V2335" s="139">
        <f t="shared" si="692"/>
        <v>0</v>
      </c>
      <c r="W2335" s="152">
        <f t="shared" si="695"/>
        <v>1364</v>
      </c>
      <c r="X2335" s="127" t="str">
        <f t="shared" si="693"/>
        <v/>
      </c>
      <c r="Y2335" s="207">
        <f t="shared" si="696"/>
        <v>1364</v>
      </c>
      <c r="Z2335" s="139">
        <f t="shared" si="697"/>
        <v>1364</v>
      </c>
      <c r="AA2335" s="139">
        <f t="shared" si="698"/>
        <v>0</v>
      </c>
      <c r="AC2335" s="47">
        <f t="shared" si="699"/>
        <v>682</v>
      </c>
      <c r="AD2335" s="47">
        <f t="shared" si="700"/>
        <v>682</v>
      </c>
      <c r="AE2335" s="47">
        <f t="shared" si="701"/>
        <v>0</v>
      </c>
      <c r="AG2335" s="47">
        <f t="shared" si="702"/>
        <v>682</v>
      </c>
      <c r="AH2335" s="47">
        <f t="shared" si="703"/>
        <v>682</v>
      </c>
      <c r="AI2335" s="208">
        <f t="shared" si="704"/>
        <v>0</v>
      </c>
    </row>
    <row r="2336" spans="1:35">
      <c r="A2336" t="s">
        <v>2163</v>
      </c>
      <c r="B2336" t="s">
        <v>3155</v>
      </c>
      <c r="C2336" t="s">
        <v>2817</v>
      </c>
      <c r="D2336" t="s">
        <v>5865</v>
      </c>
      <c r="F2336" t="s">
        <v>1667</v>
      </c>
      <c r="G2336" s="126">
        <f>SUMIFS('Support - Transition'!F:F,'Support - Transition'!B:B,'Step 2'!A2336,'Support - Transition'!C:C,'Step 2'!B2336,'Support - Transition'!D:D,'Step 2'!C2336,'Support - Transition'!E:E,"CIVIL")</f>
        <v>0</v>
      </c>
      <c r="H2336" s="126">
        <f>SUMIFS('Support - Transition'!F:F,'Support - Transition'!B:B,'Step 2'!A2336,'Support - Transition'!C:C,'Step 2'!B2336,'Support - Transition'!D:D,'Step 2'!C2336,'Support - Transition'!E:E,"FIRE")</f>
        <v>0</v>
      </c>
      <c r="I2336" s="126">
        <f>IF(B2336="0",SUMIFS('Support - Transition'!F:F,'Support - Transition'!J:J,'Step 2'!D2336,'Support - Transition'!E:E,"STATE UNIT"),SUMIFS('Support - Transition'!F:F,'Support - Transition'!J:J,'Step 2'!D2336))</f>
        <v>1.9699999999999999E-4</v>
      </c>
      <c r="J2336" s="126">
        <f>SUMIFS('Support - Unit Adjustments'!E:E,'Support - Unit Adjustments'!F:F,'Step 2'!D2336)</f>
        <v>0</v>
      </c>
      <c r="K2336" s="126">
        <f t="shared" si="688"/>
        <v>1.9699999999999999E-4</v>
      </c>
      <c r="L2336" s="174">
        <f>VLOOKUP(A2336,'Step 1'!$A:$E,4,FALSE)</f>
        <v>1315248</v>
      </c>
      <c r="M2336" s="47">
        <f t="shared" si="689"/>
        <v>259</v>
      </c>
      <c r="N2336" s="177">
        <f>SUMIFS('Support - Transition'!G:G,'Support - Transition'!J:J,'Step 2'!D2336,'Support - Transition'!E:E,"2009 WELFARE ALLOCATION FACTOR")</f>
        <v>0</v>
      </c>
      <c r="O2336" s="152">
        <f t="shared" si="694"/>
        <v>0</v>
      </c>
      <c r="P2336" s="126">
        <f>IF(E2336="Y",0,SUMIFS('Support - Transition'!G:G,'Support - Transition'!J:J,'Step 2'!D2336,'Support - Transition'!E:E,"2009 SCHOOL ALLOCATION FACTOR"))</f>
        <v>0</v>
      </c>
      <c r="Q2336" s="126">
        <f>IF(E2336="Y",VLOOKUP(D2336,'Support - Unit Adjustments'!F:G,2,FALSE),0)</f>
        <v>0</v>
      </c>
      <c r="R2336" s="155">
        <f t="shared" si="706"/>
        <v>0</v>
      </c>
      <c r="S2336" s="47">
        <f t="shared" si="705"/>
        <v>0</v>
      </c>
      <c r="T2336" s="151">
        <f t="shared" si="690"/>
        <v>259</v>
      </c>
      <c r="U2336" s="151">
        <f t="shared" si="691"/>
        <v>0</v>
      </c>
      <c r="V2336" s="139">
        <f t="shared" si="692"/>
        <v>0</v>
      </c>
      <c r="W2336" s="152">
        <f t="shared" si="695"/>
        <v>259</v>
      </c>
      <c r="X2336" s="127" t="str">
        <f t="shared" si="693"/>
        <v/>
      </c>
      <c r="Y2336" s="207">
        <f t="shared" si="696"/>
        <v>259</v>
      </c>
      <c r="Z2336" s="139">
        <f t="shared" si="697"/>
        <v>259</v>
      </c>
      <c r="AA2336" s="139">
        <f t="shared" si="698"/>
        <v>0</v>
      </c>
      <c r="AC2336" s="47">
        <f t="shared" si="699"/>
        <v>130</v>
      </c>
      <c r="AD2336" s="47">
        <f t="shared" si="700"/>
        <v>130</v>
      </c>
      <c r="AE2336" s="47">
        <f t="shared" si="701"/>
        <v>0</v>
      </c>
      <c r="AG2336" s="47">
        <f t="shared" si="702"/>
        <v>129</v>
      </c>
      <c r="AH2336" s="47">
        <f t="shared" si="703"/>
        <v>129</v>
      </c>
      <c r="AI2336" s="208">
        <f t="shared" si="704"/>
        <v>0</v>
      </c>
    </row>
    <row r="2337" spans="1:35">
      <c r="A2337" t="s">
        <v>2163</v>
      </c>
      <c r="B2337" t="s">
        <v>3155</v>
      </c>
      <c r="C2337" t="s">
        <v>3040</v>
      </c>
      <c r="D2337" t="s">
        <v>5866</v>
      </c>
      <c r="F2337" t="s">
        <v>1668</v>
      </c>
      <c r="G2337" s="126">
        <f>SUMIFS('Support - Transition'!F:F,'Support - Transition'!B:B,'Step 2'!A2337,'Support - Transition'!C:C,'Step 2'!B2337,'Support - Transition'!D:D,'Step 2'!C2337,'Support - Transition'!E:E,"CIVIL")</f>
        <v>0</v>
      </c>
      <c r="H2337" s="126">
        <f>SUMIFS('Support - Transition'!F:F,'Support - Transition'!B:B,'Step 2'!A2337,'Support - Transition'!C:C,'Step 2'!B2337,'Support - Transition'!D:D,'Step 2'!C2337,'Support - Transition'!E:E,"FIRE")</f>
        <v>0</v>
      </c>
      <c r="I2337" s="126">
        <f>IF(B2337="0",SUMIFS('Support - Transition'!F:F,'Support - Transition'!J:J,'Step 2'!D2337,'Support - Transition'!E:E,"STATE UNIT"),SUMIFS('Support - Transition'!F:F,'Support - Transition'!J:J,'Step 2'!D2337))</f>
        <v>2.5700000000000001E-4</v>
      </c>
      <c r="J2337" s="126">
        <f>SUMIFS('Support - Unit Adjustments'!E:E,'Support - Unit Adjustments'!F:F,'Step 2'!D2337)</f>
        <v>0</v>
      </c>
      <c r="K2337" s="126">
        <f t="shared" si="688"/>
        <v>2.5700000000000001E-4</v>
      </c>
      <c r="L2337" s="174">
        <f>VLOOKUP(A2337,'Step 1'!$A:$E,4,FALSE)</f>
        <v>1315248</v>
      </c>
      <c r="M2337" s="47">
        <f t="shared" si="689"/>
        <v>338</v>
      </c>
      <c r="N2337" s="177">
        <f>SUMIFS('Support - Transition'!G:G,'Support - Transition'!J:J,'Step 2'!D2337,'Support - Transition'!E:E,"2009 WELFARE ALLOCATION FACTOR")</f>
        <v>0</v>
      </c>
      <c r="O2337" s="152">
        <f t="shared" si="694"/>
        <v>0</v>
      </c>
      <c r="P2337" s="126">
        <f>IF(E2337="Y",0,SUMIFS('Support - Transition'!G:G,'Support - Transition'!J:J,'Step 2'!D2337,'Support - Transition'!E:E,"2009 SCHOOL ALLOCATION FACTOR"))</f>
        <v>0</v>
      </c>
      <c r="Q2337" s="126">
        <f>IF(E2337="Y",VLOOKUP(D2337,'Support - Unit Adjustments'!F:G,2,FALSE),0)</f>
        <v>0</v>
      </c>
      <c r="R2337" s="155">
        <f t="shared" si="706"/>
        <v>0</v>
      </c>
      <c r="S2337" s="47">
        <f t="shared" si="705"/>
        <v>0</v>
      </c>
      <c r="T2337" s="151">
        <f t="shared" si="690"/>
        <v>338</v>
      </c>
      <c r="U2337" s="151">
        <f t="shared" si="691"/>
        <v>0</v>
      </c>
      <c r="V2337" s="139">
        <f t="shared" si="692"/>
        <v>0</v>
      </c>
      <c r="W2337" s="152">
        <f t="shared" si="695"/>
        <v>338</v>
      </c>
      <c r="X2337" s="127" t="str">
        <f t="shared" si="693"/>
        <v/>
      </c>
      <c r="Y2337" s="207">
        <f t="shared" si="696"/>
        <v>338</v>
      </c>
      <c r="Z2337" s="139">
        <f t="shared" si="697"/>
        <v>338</v>
      </c>
      <c r="AA2337" s="139">
        <f t="shared" si="698"/>
        <v>0</v>
      </c>
      <c r="AC2337" s="47">
        <f t="shared" si="699"/>
        <v>169</v>
      </c>
      <c r="AD2337" s="47">
        <f t="shared" si="700"/>
        <v>169</v>
      </c>
      <c r="AE2337" s="47">
        <f t="shared" si="701"/>
        <v>0</v>
      </c>
      <c r="AG2337" s="47">
        <f t="shared" si="702"/>
        <v>169</v>
      </c>
      <c r="AH2337" s="47">
        <f t="shared" si="703"/>
        <v>169</v>
      </c>
      <c r="AI2337" s="208">
        <f t="shared" si="704"/>
        <v>0</v>
      </c>
    </row>
    <row r="2338" spans="1:35">
      <c r="A2338" t="s">
        <v>2163</v>
      </c>
      <c r="B2338" t="s">
        <v>3155</v>
      </c>
      <c r="C2338" t="s">
        <v>2945</v>
      </c>
      <c r="D2338" t="s">
        <v>5867</v>
      </c>
      <c r="F2338" t="s">
        <v>1669</v>
      </c>
      <c r="G2338" s="126">
        <f>SUMIFS('Support - Transition'!F:F,'Support - Transition'!B:B,'Step 2'!A2338,'Support - Transition'!C:C,'Step 2'!B2338,'Support - Transition'!D:D,'Step 2'!C2338,'Support - Transition'!E:E,"CIVIL")</f>
        <v>0</v>
      </c>
      <c r="H2338" s="126">
        <f>SUMIFS('Support - Transition'!F:F,'Support - Transition'!B:B,'Step 2'!A2338,'Support - Transition'!C:C,'Step 2'!B2338,'Support - Transition'!D:D,'Step 2'!C2338,'Support - Transition'!E:E,"FIRE")</f>
        <v>0</v>
      </c>
      <c r="I2338" s="126">
        <f>IF(B2338="0",SUMIFS('Support - Transition'!F:F,'Support - Transition'!J:J,'Step 2'!D2338,'Support - Transition'!E:E,"STATE UNIT"),SUMIFS('Support - Transition'!F:F,'Support - Transition'!J:J,'Step 2'!D2338))</f>
        <v>8.0900000000000004E-4</v>
      </c>
      <c r="J2338" s="126">
        <f>SUMIFS('Support - Unit Adjustments'!E:E,'Support - Unit Adjustments'!F:F,'Step 2'!D2338)</f>
        <v>0</v>
      </c>
      <c r="K2338" s="126">
        <f t="shared" si="688"/>
        <v>8.0900000000000004E-4</v>
      </c>
      <c r="L2338" s="174">
        <f>VLOOKUP(A2338,'Step 1'!$A:$E,4,FALSE)</f>
        <v>1315248</v>
      </c>
      <c r="M2338" s="47">
        <f t="shared" si="689"/>
        <v>1064</v>
      </c>
      <c r="N2338" s="177">
        <f>SUMIFS('Support - Transition'!G:G,'Support - Transition'!J:J,'Step 2'!D2338,'Support - Transition'!E:E,"2009 WELFARE ALLOCATION FACTOR")</f>
        <v>0</v>
      </c>
      <c r="O2338" s="152">
        <f t="shared" si="694"/>
        <v>0</v>
      </c>
      <c r="P2338" s="126">
        <f>IF(E2338="Y",0,SUMIFS('Support - Transition'!G:G,'Support - Transition'!J:J,'Step 2'!D2338,'Support - Transition'!E:E,"2009 SCHOOL ALLOCATION FACTOR"))</f>
        <v>0</v>
      </c>
      <c r="Q2338" s="126">
        <f>IF(E2338="Y",VLOOKUP(D2338,'Support - Unit Adjustments'!F:G,2,FALSE),0)</f>
        <v>0</v>
      </c>
      <c r="R2338" s="155">
        <f t="shared" si="706"/>
        <v>0</v>
      </c>
      <c r="S2338" s="47">
        <f t="shared" si="705"/>
        <v>0</v>
      </c>
      <c r="T2338" s="151">
        <f t="shared" si="690"/>
        <v>1064</v>
      </c>
      <c r="U2338" s="151">
        <f t="shared" si="691"/>
        <v>0</v>
      </c>
      <c r="V2338" s="139">
        <f t="shared" si="692"/>
        <v>0</v>
      </c>
      <c r="W2338" s="152">
        <f t="shared" si="695"/>
        <v>1064</v>
      </c>
      <c r="X2338" s="127" t="str">
        <f t="shared" si="693"/>
        <v/>
      </c>
      <c r="Y2338" s="207">
        <f t="shared" si="696"/>
        <v>1064</v>
      </c>
      <c r="Z2338" s="139">
        <f t="shared" si="697"/>
        <v>1064</v>
      </c>
      <c r="AA2338" s="139">
        <f t="shared" si="698"/>
        <v>0</v>
      </c>
      <c r="AC2338" s="47">
        <f t="shared" si="699"/>
        <v>532</v>
      </c>
      <c r="AD2338" s="47">
        <f t="shared" si="700"/>
        <v>532</v>
      </c>
      <c r="AE2338" s="47">
        <f t="shared" si="701"/>
        <v>0</v>
      </c>
      <c r="AG2338" s="47">
        <f t="shared" si="702"/>
        <v>532</v>
      </c>
      <c r="AH2338" s="47">
        <f t="shared" si="703"/>
        <v>532</v>
      </c>
      <c r="AI2338" s="208">
        <f t="shared" si="704"/>
        <v>0</v>
      </c>
    </row>
    <row r="2339" spans="1:35">
      <c r="A2339" t="s">
        <v>2163</v>
      </c>
      <c r="B2339" t="s">
        <v>3155</v>
      </c>
      <c r="C2339" t="s">
        <v>2919</v>
      </c>
      <c r="D2339" t="s">
        <v>5868</v>
      </c>
      <c r="F2339" t="s">
        <v>1671</v>
      </c>
      <c r="G2339" s="126">
        <f>SUMIFS('Support - Transition'!F:F,'Support - Transition'!B:B,'Step 2'!A2339,'Support - Transition'!C:C,'Step 2'!B2339,'Support - Transition'!D:D,'Step 2'!C2339,'Support - Transition'!E:E,"CIVIL")</f>
        <v>0</v>
      </c>
      <c r="H2339" s="126">
        <f>SUMIFS('Support - Transition'!F:F,'Support - Transition'!B:B,'Step 2'!A2339,'Support - Transition'!C:C,'Step 2'!B2339,'Support - Transition'!D:D,'Step 2'!C2339,'Support - Transition'!E:E,"FIRE")</f>
        <v>0</v>
      </c>
      <c r="I2339" s="126">
        <f>IF(B2339="0",SUMIFS('Support - Transition'!F:F,'Support - Transition'!J:J,'Step 2'!D2339,'Support - Transition'!E:E,"STATE UNIT"),SUMIFS('Support - Transition'!F:F,'Support - Transition'!J:J,'Step 2'!D2339))</f>
        <v>8.61E-4</v>
      </c>
      <c r="J2339" s="126">
        <f>SUMIFS('Support - Unit Adjustments'!E:E,'Support - Unit Adjustments'!F:F,'Step 2'!D2339)</f>
        <v>0</v>
      </c>
      <c r="K2339" s="126">
        <f t="shared" si="688"/>
        <v>8.61E-4</v>
      </c>
      <c r="L2339" s="174">
        <f>VLOOKUP(A2339,'Step 1'!$A:$E,4,FALSE)</f>
        <v>1315248</v>
      </c>
      <c r="M2339" s="47">
        <f t="shared" si="689"/>
        <v>1132</v>
      </c>
      <c r="N2339" s="177">
        <f>SUMIFS('Support - Transition'!G:G,'Support - Transition'!J:J,'Step 2'!D2339,'Support - Transition'!E:E,"2009 WELFARE ALLOCATION FACTOR")</f>
        <v>0</v>
      </c>
      <c r="O2339" s="152">
        <f t="shared" si="694"/>
        <v>0</v>
      </c>
      <c r="P2339" s="126">
        <f>IF(E2339="Y",0,SUMIFS('Support - Transition'!G:G,'Support - Transition'!J:J,'Step 2'!D2339,'Support - Transition'!E:E,"2009 SCHOOL ALLOCATION FACTOR"))</f>
        <v>0</v>
      </c>
      <c r="Q2339" s="126">
        <f>IF(E2339="Y",VLOOKUP(D2339,'Support - Unit Adjustments'!F:G,2,FALSE),0)</f>
        <v>0</v>
      </c>
      <c r="R2339" s="155">
        <f t="shared" si="706"/>
        <v>0</v>
      </c>
      <c r="S2339" s="47">
        <f t="shared" si="705"/>
        <v>0</v>
      </c>
      <c r="T2339" s="151">
        <f t="shared" si="690"/>
        <v>1132</v>
      </c>
      <c r="U2339" s="151">
        <f t="shared" si="691"/>
        <v>0</v>
      </c>
      <c r="V2339" s="139">
        <f t="shared" si="692"/>
        <v>0</v>
      </c>
      <c r="W2339" s="152">
        <f t="shared" si="695"/>
        <v>1132</v>
      </c>
      <c r="X2339" s="127" t="str">
        <f t="shared" si="693"/>
        <v/>
      </c>
      <c r="Y2339" s="207">
        <f t="shared" si="696"/>
        <v>1132</v>
      </c>
      <c r="Z2339" s="139">
        <f t="shared" si="697"/>
        <v>1132</v>
      </c>
      <c r="AA2339" s="139">
        <f t="shared" si="698"/>
        <v>0</v>
      </c>
      <c r="AC2339" s="47">
        <f t="shared" si="699"/>
        <v>566</v>
      </c>
      <c r="AD2339" s="47">
        <f t="shared" si="700"/>
        <v>566</v>
      </c>
      <c r="AE2339" s="47">
        <f t="shared" si="701"/>
        <v>0</v>
      </c>
      <c r="AG2339" s="47">
        <f t="shared" si="702"/>
        <v>566</v>
      </c>
      <c r="AH2339" s="47">
        <f t="shared" si="703"/>
        <v>566</v>
      </c>
      <c r="AI2339" s="208">
        <f t="shared" si="704"/>
        <v>0</v>
      </c>
    </row>
    <row r="2340" spans="1:35">
      <c r="A2340" t="s">
        <v>2163</v>
      </c>
      <c r="B2340" t="s">
        <v>3160</v>
      </c>
      <c r="C2340" t="s">
        <v>2246</v>
      </c>
      <c r="D2340" t="s">
        <v>5869</v>
      </c>
      <c r="F2340" t="s">
        <v>122</v>
      </c>
      <c r="G2340" s="126">
        <f>SUMIFS('Support - Transition'!F:F,'Support - Transition'!B:B,'Step 2'!A2340,'Support - Transition'!C:C,'Step 2'!B2340,'Support - Transition'!D:D,'Step 2'!C2340,'Support - Transition'!E:E,"CIVIL")</f>
        <v>0</v>
      </c>
      <c r="H2340" s="126">
        <f>SUMIFS('Support - Transition'!F:F,'Support - Transition'!B:B,'Step 2'!A2340,'Support - Transition'!C:C,'Step 2'!B2340,'Support - Transition'!D:D,'Step 2'!C2340,'Support - Transition'!E:E,"FIRE")</f>
        <v>0</v>
      </c>
      <c r="I2340" s="126">
        <f>IF(B2340="0",SUMIFS('Support - Transition'!F:F,'Support - Transition'!J:J,'Step 2'!D2340,'Support - Transition'!E:E,"STATE UNIT"),SUMIFS('Support - Transition'!F:F,'Support - Transition'!J:J,'Step 2'!D2340))</f>
        <v>1.7049000000000002E-2</v>
      </c>
      <c r="J2340" s="126">
        <f>SUMIFS('Support - Unit Adjustments'!E:E,'Support - Unit Adjustments'!F:F,'Step 2'!D2340)</f>
        <v>0</v>
      </c>
      <c r="K2340" s="126">
        <f t="shared" si="688"/>
        <v>1.7049000000000002E-2</v>
      </c>
      <c r="L2340" s="174">
        <f>VLOOKUP(A2340,'Step 1'!$A:$E,4,FALSE)</f>
        <v>1315248</v>
      </c>
      <c r="M2340" s="47">
        <f t="shared" si="689"/>
        <v>22424</v>
      </c>
      <c r="N2340" s="177">
        <f>SUMIFS('Support - Transition'!G:G,'Support - Transition'!J:J,'Step 2'!D2340,'Support - Transition'!E:E,"2009 WELFARE ALLOCATION FACTOR")</f>
        <v>0</v>
      </c>
      <c r="O2340" s="152">
        <f t="shared" si="694"/>
        <v>0</v>
      </c>
      <c r="P2340" s="126">
        <f>IF(E2340="Y",0,SUMIFS('Support - Transition'!G:G,'Support - Transition'!J:J,'Step 2'!D2340,'Support - Transition'!E:E,"2009 SCHOOL ALLOCATION FACTOR"))</f>
        <v>0.45708799999999999</v>
      </c>
      <c r="Q2340" s="126">
        <f>IF(E2340="Y",VLOOKUP(D2340,'Support - Unit Adjustments'!F:G,2,FALSE),0)</f>
        <v>0</v>
      </c>
      <c r="R2340" s="155">
        <f t="shared" si="706"/>
        <v>0.45708799999999999</v>
      </c>
      <c r="S2340" s="47">
        <f t="shared" si="705"/>
        <v>10250</v>
      </c>
      <c r="T2340" s="151">
        <f t="shared" si="690"/>
        <v>12174</v>
      </c>
      <c r="U2340" s="151">
        <f t="shared" si="691"/>
        <v>0</v>
      </c>
      <c r="V2340" s="139">
        <f t="shared" si="692"/>
        <v>0</v>
      </c>
      <c r="W2340" s="152">
        <f t="shared" si="695"/>
        <v>12174</v>
      </c>
      <c r="X2340" s="127" t="str">
        <f t="shared" si="693"/>
        <v/>
      </c>
      <c r="Y2340" s="207">
        <f t="shared" si="696"/>
        <v>12174</v>
      </c>
      <c r="Z2340" s="139">
        <f t="shared" si="697"/>
        <v>12174</v>
      </c>
      <c r="AA2340" s="139">
        <f t="shared" si="698"/>
        <v>0</v>
      </c>
      <c r="AC2340" s="47">
        <f t="shared" si="699"/>
        <v>6087</v>
      </c>
      <c r="AD2340" s="47">
        <f t="shared" si="700"/>
        <v>6087</v>
      </c>
      <c r="AE2340" s="47">
        <f t="shared" si="701"/>
        <v>0</v>
      </c>
      <c r="AG2340" s="47">
        <f t="shared" si="702"/>
        <v>6087</v>
      </c>
      <c r="AH2340" s="47">
        <f t="shared" si="703"/>
        <v>6087</v>
      </c>
      <c r="AI2340" s="208">
        <f t="shared" si="704"/>
        <v>0</v>
      </c>
    </row>
    <row r="2341" spans="1:35">
      <c r="A2341" t="s">
        <v>2163</v>
      </c>
      <c r="B2341" t="s">
        <v>3160</v>
      </c>
      <c r="C2341" t="s">
        <v>3041</v>
      </c>
      <c r="D2341" t="s">
        <v>5870</v>
      </c>
      <c r="F2341" t="s">
        <v>1673</v>
      </c>
      <c r="G2341" s="126">
        <f>SUMIFS('Support - Transition'!F:F,'Support - Transition'!B:B,'Step 2'!A2341,'Support - Transition'!C:C,'Step 2'!B2341,'Support - Transition'!D:D,'Step 2'!C2341,'Support - Transition'!E:E,"CIVIL")</f>
        <v>0</v>
      </c>
      <c r="H2341" s="126">
        <f>SUMIFS('Support - Transition'!F:F,'Support - Transition'!B:B,'Step 2'!A2341,'Support - Transition'!C:C,'Step 2'!B2341,'Support - Transition'!D:D,'Step 2'!C2341,'Support - Transition'!E:E,"FIRE")</f>
        <v>0</v>
      </c>
      <c r="I2341" s="126">
        <f>IF(B2341="0",SUMIFS('Support - Transition'!F:F,'Support - Transition'!J:J,'Step 2'!D2341,'Support - Transition'!E:E,"STATE UNIT"),SUMIFS('Support - Transition'!F:F,'Support - Transition'!J:J,'Step 2'!D2341))</f>
        <v>0.20152500000000001</v>
      </c>
      <c r="J2341" s="126">
        <f>SUMIFS('Support - Unit Adjustments'!E:E,'Support - Unit Adjustments'!F:F,'Step 2'!D2341)</f>
        <v>0</v>
      </c>
      <c r="K2341" s="126">
        <f t="shared" si="688"/>
        <v>0.20152500000000001</v>
      </c>
      <c r="L2341" s="174">
        <f>VLOOKUP(A2341,'Step 1'!$A:$E,4,FALSE)</f>
        <v>1315248</v>
      </c>
      <c r="M2341" s="47">
        <f t="shared" si="689"/>
        <v>265055</v>
      </c>
      <c r="N2341" s="177">
        <f>SUMIFS('Support - Transition'!G:G,'Support - Transition'!J:J,'Step 2'!D2341,'Support - Transition'!E:E,"2009 WELFARE ALLOCATION FACTOR")</f>
        <v>0</v>
      </c>
      <c r="O2341" s="152">
        <f t="shared" si="694"/>
        <v>0</v>
      </c>
      <c r="P2341" s="126">
        <f>IF(E2341="Y",0,SUMIFS('Support - Transition'!G:G,'Support - Transition'!J:J,'Step 2'!D2341,'Support - Transition'!E:E,"2009 SCHOOL ALLOCATION FACTOR"))</f>
        <v>0.51582799999999995</v>
      </c>
      <c r="Q2341" s="126">
        <f>IF(E2341="Y",VLOOKUP(D2341,'Support - Unit Adjustments'!F:G,2,FALSE),0)</f>
        <v>0</v>
      </c>
      <c r="R2341" s="155">
        <f t="shared" si="706"/>
        <v>0.51582799999999995</v>
      </c>
      <c r="S2341" s="47">
        <f t="shared" si="705"/>
        <v>136723</v>
      </c>
      <c r="T2341" s="151">
        <f t="shared" si="690"/>
        <v>128332</v>
      </c>
      <c r="U2341" s="151">
        <f t="shared" si="691"/>
        <v>0</v>
      </c>
      <c r="V2341" s="139">
        <f t="shared" si="692"/>
        <v>0</v>
      </c>
      <c r="W2341" s="152">
        <f t="shared" si="695"/>
        <v>128332</v>
      </c>
      <c r="X2341" s="127" t="str">
        <f t="shared" si="693"/>
        <v/>
      </c>
      <c r="Y2341" s="207">
        <f t="shared" si="696"/>
        <v>128332</v>
      </c>
      <c r="Z2341" s="139">
        <f t="shared" si="697"/>
        <v>128332</v>
      </c>
      <c r="AA2341" s="139">
        <f t="shared" si="698"/>
        <v>0</v>
      </c>
      <c r="AC2341" s="47">
        <f t="shared" si="699"/>
        <v>64166</v>
      </c>
      <c r="AD2341" s="47">
        <f t="shared" si="700"/>
        <v>64166</v>
      </c>
      <c r="AE2341" s="47">
        <f t="shared" si="701"/>
        <v>0</v>
      </c>
      <c r="AG2341" s="47">
        <f t="shared" si="702"/>
        <v>64166</v>
      </c>
      <c r="AH2341" s="47">
        <f t="shared" si="703"/>
        <v>64166</v>
      </c>
      <c r="AI2341" s="208">
        <f t="shared" si="704"/>
        <v>0</v>
      </c>
    </row>
    <row r="2342" spans="1:35">
      <c r="A2342" t="s">
        <v>2163</v>
      </c>
      <c r="B2342" t="s">
        <v>3160</v>
      </c>
      <c r="C2342" t="s">
        <v>3042</v>
      </c>
      <c r="D2342" t="s">
        <v>5871</v>
      </c>
      <c r="F2342" t="s">
        <v>1674</v>
      </c>
      <c r="G2342" s="126">
        <f>SUMIFS('Support - Transition'!F:F,'Support - Transition'!B:B,'Step 2'!A2342,'Support - Transition'!C:C,'Step 2'!B2342,'Support - Transition'!D:D,'Step 2'!C2342,'Support - Transition'!E:E,"CIVIL")</f>
        <v>0</v>
      </c>
      <c r="H2342" s="126">
        <f>SUMIFS('Support - Transition'!F:F,'Support - Transition'!B:B,'Step 2'!A2342,'Support - Transition'!C:C,'Step 2'!B2342,'Support - Transition'!D:D,'Step 2'!C2342,'Support - Transition'!E:E,"FIRE")</f>
        <v>0</v>
      </c>
      <c r="I2342" s="126">
        <f>IF(B2342="0",SUMIFS('Support - Transition'!F:F,'Support - Transition'!J:J,'Step 2'!D2342,'Support - Transition'!E:E,"STATE UNIT"),SUMIFS('Support - Transition'!F:F,'Support - Transition'!J:J,'Step 2'!D2342))</f>
        <v>0.41173799999999999</v>
      </c>
      <c r="J2342" s="126">
        <f>SUMIFS('Support - Unit Adjustments'!E:E,'Support - Unit Adjustments'!F:F,'Step 2'!D2342)</f>
        <v>0</v>
      </c>
      <c r="K2342" s="126">
        <f t="shared" si="688"/>
        <v>0.41173799999999999</v>
      </c>
      <c r="L2342" s="174">
        <f>VLOOKUP(A2342,'Step 1'!$A:$E,4,FALSE)</f>
        <v>1315248</v>
      </c>
      <c r="M2342" s="47">
        <f t="shared" si="689"/>
        <v>541538</v>
      </c>
      <c r="N2342" s="177">
        <f>SUMIFS('Support - Transition'!G:G,'Support - Transition'!J:J,'Step 2'!D2342,'Support - Transition'!E:E,"2009 WELFARE ALLOCATION FACTOR")</f>
        <v>0</v>
      </c>
      <c r="O2342" s="152">
        <f t="shared" si="694"/>
        <v>0</v>
      </c>
      <c r="P2342" s="126">
        <f>IF(E2342="Y",0,SUMIFS('Support - Transition'!G:G,'Support - Transition'!J:J,'Step 2'!D2342,'Support - Transition'!E:E,"2009 SCHOOL ALLOCATION FACTOR"))</f>
        <v>0.48616999999999999</v>
      </c>
      <c r="Q2342" s="126">
        <f>IF(E2342="Y",VLOOKUP(D2342,'Support - Unit Adjustments'!F:G,2,FALSE),0)</f>
        <v>0</v>
      </c>
      <c r="R2342" s="155">
        <f t="shared" si="706"/>
        <v>0.48616999999999999</v>
      </c>
      <c r="S2342" s="47">
        <f t="shared" si="705"/>
        <v>263280</v>
      </c>
      <c r="T2342" s="151">
        <f t="shared" si="690"/>
        <v>278258</v>
      </c>
      <c r="U2342" s="151">
        <f t="shared" si="691"/>
        <v>0</v>
      </c>
      <c r="V2342" s="139">
        <f t="shared" si="692"/>
        <v>0</v>
      </c>
      <c r="W2342" s="152">
        <f t="shared" si="695"/>
        <v>278258</v>
      </c>
      <c r="X2342" s="127" t="str">
        <f t="shared" si="693"/>
        <v/>
      </c>
      <c r="Y2342" s="207">
        <f t="shared" si="696"/>
        <v>278258</v>
      </c>
      <c r="Z2342" s="139">
        <f t="shared" si="697"/>
        <v>278258</v>
      </c>
      <c r="AA2342" s="139">
        <f t="shared" si="698"/>
        <v>0</v>
      </c>
      <c r="AC2342" s="47">
        <f t="shared" si="699"/>
        <v>139129</v>
      </c>
      <c r="AD2342" s="47">
        <f t="shared" si="700"/>
        <v>139129</v>
      </c>
      <c r="AE2342" s="47">
        <f t="shared" si="701"/>
        <v>0</v>
      </c>
      <c r="AG2342" s="47">
        <f t="shared" si="702"/>
        <v>139129</v>
      </c>
      <c r="AH2342" s="47">
        <f t="shared" si="703"/>
        <v>139129</v>
      </c>
      <c r="AI2342" s="208">
        <f t="shared" si="704"/>
        <v>0</v>
      </c>
    </row>
    <row r="2343" spans="1:35">
      <c r="A2343" t="s">
        <v>2163</v>
      </c>
      <c r="B2343" t="s">
        <v>3160</v>
      </c>
      <c r="C2343" t="s">
        <v>3043</v>
      </c>
      <c r="D2343" t="s">
        <v>5872</v>
      </c>
      <c r="F2343" t="s">
        <v>5873</v>
      </c>
      <c r="G2343" s="126">
        <f>SUMIFS('Support - Transition'!F:F,'Support - Transition'!B:B,'Step 2'!A2343,'Support - Transition'!C:C,'Step 2'!B2343,'Support - Transition'!D:D,'Step 2'!C2343,'Support - Transition'!E:E,"CIVIL")</f>
        <v>0</v>
      </c>
      <c r="H2343" s="126">
        <f>SUMIFS('Support - Transition'!F:F,'Support - Transition'!B:B,'Step 2'!A2343,'Support - Transition'!C:C,'Step 2'!B2343,'Support - Transition'!D:D,'Step 2'!C2343,'Support - Transition'!E:E,"FIRE")</f>
        <v>0</v>
      </c>
      <c r="I2343" s="126">
        <f>IF(B2343="0",SUMIFS('Support - Transition'!F:F,'Support - Transition'!J:J,'Step 2'!D2343,'Support - Transition'!E:E,"STATE UNIT"),SUMIFS('Support - Transition'!F:F,'Support - Transition'!J:J,'Step 2'!D2343))</f>
        <v>8.881E-3</v>
      </c>
      <c r="J2343" s="126">
        <f>SUMIFS('Support - Unit Adjustments'!E:E,'Support - Unit Adjustments'!F:F,'Step 2'!D2343)</f>
        <v>0</v>
      </c>
      <c r="K2343" s="126">
        <f t="shared" si="688"/>
        <v>8.881E-3</v>
      </c>
      <c r="L2343" s="174">
        <f>VLOOKUP(A2343,'Step 1'!$A:$E,4,FALSE)</f>
        <v>1315248</v>
      </c>
      <c r="M2343" s="47">
        <f t="shared" si="689"/>
        <v>11681</v>
      </c>
      <c r="N2343" s="177">
        <f>SUMIFS('Support - Transition'!G:G,'Support - Transition'!J:J,'Step 2'!D2343,'Support - Transition'!E:E,"2009 WELFARE ALLOCATION FACTOR")</f>
        <v>0</v>
      </c>
      <c r="O2343" s="152">
        <f t="shared" si="694"/>
        <v>0</v>
      </c>
      <c r="P2343" s="126">
        <f>IF(E2343="Y",0,SUMIFS('Support - Transition'!G:G,'Support - Transition'!J:J,'Step 2'!D2343,'Support - Transition'!E:E,"2009 SCHOOL ALLOCATION FACTOR"))</f>
        <v>0.60087599999999997</v>
      </c>
      <c r="Q2343" s="126">
        <f>IF(E2343="Y",VLOOKUP(D2343,'Support - Unit Adjustments'!F:G,2,FALSE),0)</f>
        <v>0</v>
      </c>
      <c r="R2343" s="155">
        <f t="shared" si="706"/>
        <v>0.60087599999999997</v>
      </c>
      <c r="S2343" s="47">
        <f t="shared" si="705"/>
        <v>7019</v>
      </c>
      <c r="T2343" s="151">
        <f t="shared" si="690"/>
        <v>4662</v>
      </c>
      <c r="U2343" s="151">
        <f t="shared" si="691"/>
        <v>0</v>
      </c>
      <c r="V2343" s="139">
        <f t="shared" si="692"/>
        <v>0</v>
      </c>
      <c r="W2343" s="152">
        <f t="shared" si="695"/>
        <v>4662</v>
      </c>
      <c r="X2343" s="127" t="str">
        <f t="shared" si="693"/>
        <v/>
      </c>
      <c r="Y2343" s="207">
        <f t="shared" si="696"/>
        <v>4662</v>
      </c>
      <c r="Z2343" s="139">
        <f t="shared" si="697"/>
        <v>4662</v>
      </c>
      <c r="AA2343" s="139">
        <f t="shared" si="698"/>
        <v>0</v>
      </c>
      <c r="AC2343" s="47">
        <f t="shared" si="699"/>
        <v>2331</v>
      </c>
      <c r="AD2343" s="47">
        <f t="shared" si="700"/>
        <v>2331</v>
      </c>
      <c r="AE2343" s="47">
        <f t="shared" si="701"/>
        <v>0</v>
      </c>
      <c r="AG2343" s="47">
        <f t="shared" si="702"/>
        <v>2331</v>
      </c>
      <c r="AH2343" s="47">
        <f t="shared" si="703"/>
        <v>2331</v>
      </c>
      <c r="AI2343" s="208">
        <f t="shared" si="704"/>
        <v>0</v>
      </c>
    </row>
    <row r="2344" spans="1:35">
      <c r="A2344" t="s">
        <v>2163</v>
      </c>
      <c r="B2344" t="s">
        <v>3166</v>
      </c>
      <c r="C2344" t="s">
        <v>2196</v>
      </c>
      <c r="D2344" t="s">
        <v>5874</v>
      </c>
      <c r="F2344" t="s">
        <v>128</v>
      </c>
      <c r="G2344" s="126">
        <f>SUMIFS('Support - Transition'!F:F,'Support - Transition'!B:B,'Step 2'!A2344,'Support - Transition'!C:C,'Step 2'!B2344,'Support - Transition'!D:D,'Step 2'!C2344,'Support - Transition'!E:E,"CIVIL")</f>
        <v>0</v>
      </c>
      <c r="H2344" s="126">
        <f>SUMIFS('Support - Transition'!F:F,'Support - Transition'!B:B,'Step 2'!A2344,'Support - Transition'!C:C,'Step 2'!B2344,'Support - Transition'!D:D,'Step 2'!C2344,'Support - Transition'!E:E,"FIRE")</f>
        <v>0</v>
      </c>
      <c r="I2344" s="126">
        <f>IF(B2344="0",SUMIFS('Support - Transition'!F:F,'Support - Transition'!J:J,'Step 2'!D2344,'Support - Transition'!E:E,"STATE UNIT"),SUMIFS('Support - Transition'!F:F,'Support - Transition'!J:J,'Step 2'!D2344))</f>
        <v>1.3899999999999999E-4</v>
      </c>
      <c r="J2344" s="126">
        <f>SUMIFS('Support - Unit Adjustments'!E:E,'Support - Unit Adjustments'!F:F,'Step 2'!D2344)</f>
        <v>0</v>
      </c>
      <c r="K2344" s="126">
        <f t="shared" si="688"/>
        <v>1.3899999999999999E-4</v>
      </c>
      <c r="L2344" s="174">
        <f>VLOOKUP(A2344,'Step 1'!$A:$E,4,FALSE)</f>
        <v>1315248</v>
      </c>
      <c r="M2344" s="47">
        <f t="shared" si="689"/>
        <v>183</v>
      </c>
      <c r="N2344" s="177">
        <f>SUMIFS('Support - Transition'!G:G,'Support - Transition'!J:J,'Step 2'!D2344,'Support - Transition'!E:E,"2009 WELFARE ALLOCATION FACTOR")</f>
        <v>0</v>
      </c>
      <c r="O2344" s="152">
        <f t="shared" si="694"/>
        <v>0</v>
      </c>
      <c r="P2344" s="126">
        <f>IF(E2344="Y",0,SUMIFS('Support - Transition'!G:G,'Support - Transition'!J:J,'Step 2'!D2344,'Support - Transition'!E:E,"2009 SCHOOL ALLOCATION FACTOR"))</f>
        <v>0</v>
      </c>
      <c r="Q2344" s="126">
        <f>IF(E2344="Y",VLOOKUP(D2344,'Support - Unit Adjustments'!F:G,2,FALSE),0)</f>
        <v>0</v>
      </c>
      <c r="R2344" s="155">
        <f t="shared" si="706"/>
        <v>0</v>
      </c>
      <c r="S2344" s="47">
        <f t="shared" si="705"/>
        <v>0</v>
      </c>
      <c r="T2344" s="151">
        <f t="shared" si="690"/>
        <v>183</v>
      </c>
      <c r="U2344" s="151">
        <f t="shared" si="691"/>
        <v>0</v>
      </c>
      <c r="V2344" s="139">
        <f t="shared" si="692"/>
        <v>0</v>
      </c>
      <c r="W2344" s="152">
        <f t="shared" si="695"/>
        <v>183</v>
      </c>
      <c r="X2344" s="127" t="str">
        <f t="shared" si="693"/>
        <v/>
      </c>
      <c r="Y2344" s="207">
        <f t="shared" si="696"/>
        <v>183</v>
      </c>
      <c r="Z2344" s="139">
        <f t="shared" si="697"/>
        <v>183</v>
      </c>
      <c r="AA2344" s="139">
        <f t="shared" si="698"/>
        <v>0</v>
      </c>
      <c r="AC2344" s="47">
        <f t="shared" si="699"/>
        <v>92</v>
      </c>
      <c r="AD2344" s="47">
        <f t="shared" si="700"/>
        <v>92</v>
      </c>
      <c r="AE2344" s="47">
        <f t="shared" si="701"/>
        <v>0</v>
      </c>
      <c r="AG2344" s="47">
        <f t="shared" si="702"/>
        <v>91</v>
      </c>
      <c r="AH2344" s="47">
        <f t="shared" si="703"/>
        <v>91</v>
      </c>
      <c r="AI2344" s="208">
        <f t="shared" si="704"/>
        <v>0</v>
      </c>
    </row>
    <row r="2345" spans="1:35">
      <c r="A2345" t="s">
        <v>2163</v>
      </c>
      <c r="B2345" t="s">
        <v>3166</v>
      </c>
      <c r="C2345" t="s">
        <v>5875</v>
      </c>
      <c r="D2345" t="s">
        <v>5876</v>
      </c>
      <c r="F2345" t="s">
        <v>1677</v>
      </c>
      <c r="G2345" s="126">
        <f>SUMIFS('Support - Transition'!F:F,'Support - Transition'!B:B,'Step 2'!A2345,'Support - Transition'!C:C,'Step 2'!B2345,'Support - Transition'!D:D,'Step 2'!C2345,'Support - Transition'!E:E,"CIVIL")</f>
        <v>0</v>
      </c>
      <c r="H2345" s="126">
        <f>SUMIFS('Support - Transition'!F:F,'Support - Transition'!B:B,'Step 2'!A2345,'Support - Transition'!C:C,'Step 2'!B2345,'Support - Transition'!D:D,'Step 2'!C2345,'Support - Transition'!E:E,"FIRE")</f>
        <v>0</v>
      </c>
      <c r="I2345" s="126">
        <f>IF(B2345="0",SUMIFS('Support - Transition'!F:F,'Support - Transition'!J:J,'Step 2'!D2345,'Support - Transition'!E:E,"STATE UNIT"),SUMIFS('Support - Transition'!F:F,'Support - Transition'!J:J,'Step 2'!D2345))</f>
        <v>3.1100000000000002E-4</v>
      </c>
      <c r="J2345" s="126">
        <f>SUMIFS('Support - Unit Adjustments'!E:E,'Support - Unit Adjustments'!F:F,'Step 2'!D2345)</f>
        <v>0</v>
      </c>
      <c r="K2345" s="126">
        <f t="shared" si="688"/>
        <v>3.1100000000000002E-4</v>
      </c>
      <c r="L2345" s="174">
        <f>VLOOKUP(A2345,'Step 1'!$A:$E,4,FALSE)</f>
        <v>1315248</v>
      </c>
      <c r="M2345" s="47">
        <f t="shared" si="689"/>
        <v>409</v>
      </c>
      <c r="N2345" s="177">
        <f>SUMIFS('Support - Transition'!G:G,'Support - Transition'!J:J,'Step 2'!D2345,'Support - Transition'!E:E,"2009 WELFARE ALLOCATION FACTOR")</f>
        <v>0</v>
      </c>
      <c r="O2345" s="152">
        <f t="shared" si="694"/>
        <v>0</v>
      </c>
      <c r="P2345" s="126">
        <f>IF(E2345="Y",0,SUMIFS('Support - Transition'!G:G,'Support - Transition'!J:J,'Step 2'!D2345,'Support - Transition'!E:E,"2009 SCHOOL ALLOCATION FACTOR"))</f>
        <v>0</v>
      </c>
      <c r="Q2345" s="126">
        <f>IF(E2345="Y",VLOOKUP(D2345,'Support - Unit Adjustments'!F:G,2,FALSE),0)</f>
        <v>0</v>
      </c>
      <c r="R2345" s="155">
        <f t="shared" si="706"/>
        <v>0</v>
      </c>
      <c r="S2345" s="47">
        <f t="shared" si="705"/>
        <v>0</v>
      </c>
      <c r="T2345" s="151">
        <f t="shared" si="690"/>
        <v>409</v>
      </c>
      <c r="U2345" s="151">
        <f t="shared" si="691"/>
        <v>0</v>
      </c>
      <c r="V2345" s="139">
        <f t="shared" si="692"/>
        <v>0</v>
      </c>
      <c r="W2345" s="152">
        <f t="shared" si="695"/>
        <v>409</v>
      </c>
      <c r="X2345" s="127" t="str">
        <f t="shared" si="693"/>
        <v/>
      </c>
      <c r="Y2345" s="207">
        <f t="shared" si="696"/>
        <v>409</v>
      </c>
      <c r="Z2345" s="139">
        <f t="shared" si="697"/>
        <v>409</v>
      </c>
      <c r="AA2345" s="139">
        <f t="shared" si="698"/>
        <v>0</v>
      </c>
      <c r="AC2345" s="47">
        <f t="shared" si="699"/>
        <v>205</v>
      </c>
      <c r="AD2345" s="47">
        <f t="shared" si="700"/>
        <v>205</v>
      </c>
      <c r="AE2345" s="47">
        <f t="shared" si="701"/>
        <v>0</v>
      </c>
      <c r="AG2345" s="47">
        <f t="shared" si="702"/>
        <v>204</v>
      </c>
      <c r="AH2345" s="47">
        <f t="shared" si="703"/>
        <v>204</v>
      </c>
      <c r="AI2345" s="208">
        <f t="shared" si="704"/>
        <v>0</v>
      </c>
    </row>
    <row r="2346" spans="1:35">
      <c r="A2346" t="s">
        <v>2163</v>
      </c>
      <c r="B2346" t="s">
        <v>3166</v>
      </c>
      <c r="C2346" t="s">
        <v>5877</v>
      </c>
      <c r="D2346" t="s">
        <v>5878</v>
      </c>
      <c r="F2346" t="s">
        <v>1676</v>
      </c>
      <c r="G2346" s="126">
        <f>SUMIFS('Support - Transition'!F:F,'Support - Transition'!B:B,'Step 2'!A2346,'Support - Transition'!C:C,'Step 2'!B2346,'Support - Transition'!D:D,'Step 2'!C2346,'Support - Transition'!E:E,"CIVIL")</f>
        <v>0</v>
      </c>
      <c r="H2346" s="126">
        <f>SUMIFS('Support - Transition'!F:F,'Support - Transition'!B:B,'Step 2'!A2346,'Support - Transition'!C:C,'Step 2'!B2346,'Support - Transition'!D:D,'Step 2'!C2346,'Support - Transition'!E:E,"FIRE")</f>
        <v>0</v>
      </c>
      <c r="I2346" s="126">
        <f>IF(B2346="0",SUMIFS('Support - Transition'!F:F,'Support - Transition'!J:J,'Step 2'!D2346,'Support - Transition'!E:E,"STATE UNIT"),SUMIFS('Support - Transition'!F:F,'Support - Transition'!J:J,'Step 2'!D2346))</f>
        <v>2.6286E-2</v>
      </c>
      <c r="J2346" s="126">
        <f>SUMIFS('Support - Unit Adjustments'!E:E,'Support - Unit Adjustments'!F:F,'Step 2'!D2346)</f>
        <v>0</v>
      </c>
      <c r="K2346" s="126">
        <f t="shared" si="688"/>
        <v>2.6286E-2</v>
      </c>
      <c r="L2346" s="174">
        <f>VLOOKUP(A2346,'Step 1'!$A:$E,4,FALSE)</f>
        <v>1315248</v>
      </c>
      <c r="M2346" s="47">
        <f t="shared" si="689"/>
        <v>34573</v>
      </c>
      <c r="N2346" s="177">
        <f>SUMIFS('Support - Transition'!G:G,'Support - Transition'!J:J,'Step 2'!D2346,'Support - Transition'!E:E,"2009 WELFARE ALLOCATION FACTOR")</f>
        <v>0</v>
      </c>
      <c r="O2346" s="152">
        <f t="shared" si="694"/>
        <v>0</v>
      </c>
      <c r="P2346" s="126">
        <f>IF(E2346="Y",0,SUMIFS('Support - Transition'!G:G,'Support - Transition'!J:J,'Step 2'!D2346,'Support - Transition'!E:E,"2009 SCHOOL ALLOCATION FACTOR"))</f>
        <v>0</v>
      </c>
      <c r="Q2346" s="126">
        <f>IF(E2346="Y",VLOOKUP(D2346,'Support - Unit Adjustments'!F:G,2,FALSE),0)</f>
        <v>0</v>
      </c>
      <c r="R2346" s="155">
        <f t="shared" si="706"/>
        <v>0</v>
      </c>
      <c r="S2346" s="47">
        <f t="shared" si="705"/>
        <v>0</v>
      </c>
      <c r="T2346" s="151">
        <f t="shared" si="690"/>
        <v>34573</v>
      </c>
      <c r="U2346" s="151">
        <f t="shared" si="691"/>
        <v>0</v>
      </c>
      <c r="V2346" s="139">
        <f t="shared" si="692"/>
        <v>0</v>
      </c>
      <c r="W2346" s="152">
        <f t="shared" si="695"/>
        <v>34573</v>
      </c>
      <c r="X2346" s="127" t="str">
        <f t="shared" si="693"/>
        <v/>
      </c>
      <c r="Y2346" s="207">
        <f t="shared" si="696"/>
        <v>34573</v>
      </c>
      <c r="Z2346" s="139">
        <f t="shared" si="697"/>
        <v>34573</v>
      </c>
      <c r="AA2346" s="139">
        <f t="shared" si="698"/>
        <v>0</v>
      </c>
      <c r="AC2346" s="47">
        <f t="shared" si="699"/>
        <v>17287</v>
      </c>
      <c r="AD2346" s="47">
        <f t="shared" si="700"/>
        <v>17287</v>
      </c>
      <c r="AE2346" s="47">
        <f t="shared" si="701"/>
        <v>0</v>
      </c>
      <c r="AG2346" s="47">
        <f t="shared" si="702"/>
        <v>17286</v>
      </c>
      <c r="AH2346" s="47">
        <f t="shared" si="703"/>
        <v>17286</v>
      </c>
      <c r="AI2346" s="208">
        <f t="shared" si="704"/>
        <v>0</v>
      </c>
    </row>
    <row r="2347" spans="1:35">
      <c r="A2347" t="s">
        <v>2163</v>
      </c>
      <c r="B2347" t="s">
        <v>3170</v>
      </c>
      <c r="C2347" t="s">
        <v>5879</v>
      </c>
      <c r="D2347" t="s">
        <v>5880</v>
      </c>
      <c r="F2347" t="s">
        <v>5881</v>
      </c>
      <c r="G2347" s="126">
        <f>SUMIFS('Support - Transition'!F:F,'Support - Transition'!B:B,'Step 2'!A2347,'Support - Transition'!C:C,'Step 2'!B2347,'Support - Transition'!D:D,'Step 2'!C2347,'Support - Transition'!E:E,"CIVIL")</f>
        <v>0</v>
      </c>
      <c r="H2347" s="126">
        <f>SUMIFS('Support - Transition'!F:F,'Support - Transition'!B:B,'Step 2'!A2347,'Support - Transition'!C:C,'Step 2'!B2347,'Support - Transition'!D:D,'Step 2'!C2347,'Support - Transition'!E:E,"FIRE")</f>
        <v>0</v>
      </c>
      <c r="I2347" s="126">
        <f>IF(B2347="0",SUMIFS('Support - Transition'!F:F,'Support - Transition'!J:J,'Step 2'!D2347,'Support - Transition'!E:E,"STATE UNIT"),SUMIFS('Support - Transition'!F:F,'Support - Transition'!J:J,'Step 2'!D2347))</f>
        <v>0</v>
      </c>
      <c r="J2347" s="126">
        <f>SUMIFS('Support - Unit Adjustments'!E:E,'Support - Unit Adjustments'!F:F,'Step 2'!D2347)</f>
        <v>0</v>
      </c>
      <c r="K2347" s="126">
        <f t="shared" si="688"/>
        <v>0</v>
      </c>
      <c r="L2347" s="174">
        <f>VLOOKUP(A2347,'Step 1'!$A:$E,4,FALSE)</f>
        <v>1315248</v>
      </c>
      <c r="M2347" s="47">
        <f t="shared" si="689"/>
        <v>0</v>
      </c>
      <c r="N2347" s="177">
        <f>SUMIFS('Support - Transition'!G:G,'Support - Transition'!J:J,'Step 2'!D2347,'Support - Transition'!E:E,"2009 WELFARE ALLOCATION FACTOR")</f>
        <v>0</v>
      </c>
      <c r="O2347" s="152">
        <f t="shared" si="694"/>
        <v>0</v>
      </c>
      <c r="P2347" s="126">
        <f>IF(E2347="Y",0,SUMIFS('Support - Transition'!G:G,'Support - Transition'!J:J,'Step 2'!D2347,'Support - Transition'!E:E,"2009 SCHOOL ALLOCATION FACTOR"))</f>
        <v>0</v>
      </c>
      <c r="Q2347" s="126">
        <f>IF(E2347="Y",VLOOKUP(D2347,'Support - Unit Adjustments'!F:G,2,FALSE),0)</f>
        <v>0</v>
      </c>
      <c r="R2347" s="155">
        <f t="shared" si="706"/>
        <v>0</v>
      </c>
      <c r="S2347" s="47">
        <f t="shared" si="705"/>
        <v>0</v>
      </c>
      <c r="T2347" s="151">
        <f t="shared" si="690"/>
        <v>0</v>
      </c>
      <c r="U2347" s="151">
        <f t="shared" si="691"/>
        <v>0</v>
      </c>
      <c r="V2347" s="139">
        <f t="shared" si="692"/>
        <v>0</v>
      </c>
      <c r="W2347" s="152">
        <f t="shared" si="695"/>
        <v>0</v>
      </c>
      <c r="X2347" s="127" t="str">
        <f t="shared" si="693"/>
        <v/>
      </c>
      <c r="Y2347" s="207">
        <f t="shared" si="696"/>
        <v>0</v>
      </c>
      <c r="Z2347" s="139">
        <f t="shared" si="697"/>
        <v>0</v>
      </c>
      <c r="AA2347" s="139">
        <f t="shared" si="698"/>
        <v>0</v>
      </c>
      <c r="AC2347" s="47">
        <f t="shared" si="699"/>
        <v>0</v>
      </c>
      <c r="AD2347" s="47">
        <f t="shared" si="700"/>
        <v>0</v>
      </c>
      <c r="AE2347" s="47">
        <f t="shared" si="701"/>
        <v>0</v>
      </c>
      <c r="AG2347" s="47">
        <f t="shared" si="702"/>
        <v>0</v>
      </c>
      <c r="AH2347" s="47">
        <f t="shared" si="703"/>
        <v>0</v>
      </c>
      <c r="AI2347" s="208">
        <f t="shared" si="704"/>
        <v>0</v>
      </c>
    </row>
    <row r="2348" spans="1:35">
      <c r="A2348" t="s">
        <v>2163</v>
      </c>
      <c r="B2348" t="s">
        <v>3170</v>
      </c>
      <c r="C2348" t="s">
        <v>3001</v>
      </c>
      <c r="D2348" t="s">
        <v>5882</v>
      </c>
      <c r="F2348" t="s">
        <v>1678</v>
      </c>
      <c r="G2348" s="126">
        <f>SUMIFS('Support - Transition'!F:F,'Support - Transition'!B:B,'Step 2'!A2348,'Support - Transition'!C:C,'Step 2'!B2348,'Support - Transition'!D:D,'Step 2'!C2348,'Support - Transition'!E:E,"CIVIL")</f>
        <v>0</v>
      </c>
      <c r="H2348" s="126">
        <f>SUMIFS('Support - Transition'!F:F,'Support - Transition'!B:B,'Step 2'!A2348,'Support - Transition'!C:C,'Step 2'!B2348,'Support - Transition'!D:D,'Step 2'!C2348,'Support - Transition'!E:E,"FIRE")</f>
        <v>0</v>
      </c>
      <c r="I2348" s="126">
        <f>IF(B2348="0",SUMIFS('Support - Transition'!F:F,'Support - Transition'!J:J,'Step 2'!D2348,'Support - Transition'!E:E,"STATE UNIT"),SUMIFS('Support - Transition'!F:F,'Support - Transition'!J:J,'Step 2'!D2348))</f>
        <v>8.1069999999999996E-3</v>
      </c>
      <c r="J2348" s="126">
        <f>SUMIFS('Support - Unit Adjustments'!E:E,'Support - Unit Adjustments'!F:F,'Step 2'!D2348)</f>
        <v>0</v>
      </c>
      <c r="K2348" s="126">
        <f t="shared" si="688"/>
        <v>8.1069999999999996E-3</v>
      </c>
      <c r="L2348" s="174">
        <f>VLOOKUP(A2348,'Step 1'!$A:$E,4,FALSE)</f>
        <v>1315248</v>
      </c>
      <c r="M2348" s="47">
        <f t="shared" si="689"/>
        <v>10663</v>
      </c>
      <c r="N2348" s="177">
        <f>SUMIFS('Support - Transition'!G:G,'Support - Transition'!J:J,'Step 2'!D2348,'Support - Transition'!E:E,"2009 WELFARE ALLOCATION FACTOR")</f>
        <v>0</v>
      </c>
      <c r="O2348" s="152">
        <f t="shared" si="694"/>
        <v>0</v>
      </c>
      <c r="P2348" s="126">
        <f>IF(E2348="Y",0,SUMIFS('Support - Transition'!G:G,'Support - Transition'!J:J,'Step 2'!D2348,'Support - Transition'!E:E,"2009 SCHOOL ALLOCATION FACTOR"))</f>
        <v>0</v>
      </c>
      <c r="Q2348" s="126">
        <f>IF(E2348="Y",VLOOKUP(D2348,'Support - Unit Adjustments'!F:G,2,FALSE),0)</f>
        <v>0</v>
      </c>
      <c r="R2348" s="155">
        <f t="shared" si="706"/>
        <v>0</v>
      </c>
      <c r="S2348" s="47">
        <f t="shared" si="705"/>
        <v>0</v>
      </c>
      <c r="T2348" s="151">
        <f t="shared" si="690"/>
        <v>10663</v>
      </c>
      <c r="U2348" s="151">
        <f t="shared" si="691"/>
        <v>0</v>
      </c>
      <c r="V2348" s="139">
        <f t="shared" si="692"/>
        <v>0</v>
      </c>
      <c r="W2348" s="152">
        <f t="shared" si="695"/>
        <v>10663</v>
      </c>
      <c r="X2348" s="127" t="str">
        <f t="shared" si="693"/>
        <v/>
      </c>
      <c r="Y2348" s="207">
        <f t="shared" si="696"/>
        <v>10663</v>
      </c>
      <c r="Z2348" s="139">
        <f t="shared" si="697"/>
        <v>10663</v>
      </c>
      <c r="AA2348" s="139">
        <f t="shared" si="698"/>
        <v>0</v>
      </c>
      <c r="AC2348" s="47">
        <f t="shared" si="699"/>
        <v>5332</v>
      </c>
      <c r="AD2348" s="47">
        <f t="shared" si="700"/>
        <v>5332</v>
      </c>
      <c r="AE2348" s="47">
        <f t="shared" si="701"/>
        <v>0</v>
      </c>
      <c r="AG2348" s="47">
        <f t="shared" si="702"/>
        <v>5331</v>
      </c>
      <c r="AH2348" s="47">
        <f t="shared" si="703"/>
        <v>5331</v>
      </c>
      <c r="AI2348" s="208">
        <f t="shared" si="704"/>
        <v>0</v>
      </c>
    </row>
    <row r="2349" spans="1:35">
      <c r="A2349" t="s">
        <v>2163</v>
      </c>
      <c r="B2349" t="s">
        <v>3170</v>
      </c>
      <c r="C2349" t="s">
        <v>3283</v>
      </c>
      <c r="D2349" t="s">
        <v>5883</v>
      </c>
      <c r="F2349" t="s">
        <v>3285</v>
      </c>
      <c r="G2349" s="126">
        <f>SUMIFS('Support - Transition'!F:F,'Support - Transition'!B:B,'Step 2'!A2349,'Support - Transition'!C:C,'Step 2'!B2349,'Support - Transition'!D:D,'Step 2'!C2349,'Support - Transition'!E:E,"CIVIL")</f>
        <v>0</v>
      </c>
      <c r="H2349" s="126">
        <f>SUMIFS('Support - Transition'!F:F,'Support - Transition'!B:B,'Step 2'!A2349,'Support - Transition'!C:C,'Step 2'!B2349,'Support - Transition'!D:D,'Step 2'!C2349,'Support - Transition'!E:E,"FIRE")</f>
        <v>0</v>
      </c>
      <c r="I2349" s="126">
        <f>IF(B2349="0",SUMIFS('Support - Transition'!F:F,'Support - Transition'!J:J,'Step 2'!D2349,'Support - Transition'!E:E,"STATE UNIT"),SUMIFS('Support - Transition'!F:F,'Support - Transition'!J:J,'Step 2'!D2349))</f>
        <v>0</v>
      </c>
      <c r="J2349" s="126">
        <f>SUMIFS('Support - Unit Adjustments'!E:E,'Support - Unit Adjustments'!F:F,'Step 2'!D2349)</f>
        <v>0</v>
      </c>
      <c r="K2349" s="126">
        <f t="shared" si="688"/>
        <v>0</v>
      </c>
      <c r="L2349" s="174">
        <f>VLOOKUP(A2349,'Step 1'!$A:$E,4,FALSE)</f>
        <v>1315248</v>
      </c>
      <c r="M2349" s="47">
        <f t="shared" si="689"/>
        <v>0</v>
      </c>
      <c r="N2349" s="177">
        <f>SUMIFS('Support - Transition'!G:G,'Support - Transition'!J:J,'Step 2'!D2349,'Support - Transition'!E:E,"2009 WELFARE ALLOCATION FACTOR")</f>
        <v>0</v>
      </c>
      <c r="O2349" s="152">
        <f t="shared" si="694"/>
        <v>0</v>
      </c>
      <c r="P2349" s="126">
        <f>IF(E2349="Y",0,SUMIFS('Support - Transition'!G:G,'Support - Transition'!J:J,'Step 2'!D2349,'Support - Transition'!E:E,"2009 SCHOOL ALLOCATION FACTOR"))</f>
        <v>0</v>
      </c>
      <c r="Q2349" s="126">
        <f>IF(E2349="Y",VLOOKUP(D2349,'Support - Unit Adjustments'!F:G,2,FALSE),0)</f>
        <v>0</v>
      </c>
      <c r="R2349" s="155">
        <f t="shared" si="706"/>
        <v>0</v>
      </c>
      <c r="S2349" s="47">
        <f t="shared" si="705"/>
        <v>0</v>
      </c>
      <c r="T2349" s="151">
        <f t="shared" si="690"/>
        <v>0</v>
      </c>
      <c r="U2349" s="151">
        <f t="shared" si="691"/>
        <v>0</v>
      </c>
      <c r="V2349" s="139">
        <f t="shared" si="692"/>
        <v>0</v>
      </c>
      <c r="W2349" s="152">
        <f t="shared" si="695"/>
        <v>0</v>
      </c>
      <c r="X2349" s="127" t="str">
        <f t="shared" si="693"/>
        <v/>
      </c>
      <c r="Y2349" s="207">
        <f t="shared" si="696"/>
        <v>0</v>
      </c>
      <c r="Z2349" s="139">
        <f t="shared" si="697"/>
        <v>0</v>
      </c>
      <c r="AA2349" s="139">
        <f t="shared" si="698"/>
        <v>0</v>
      </c>
      <c r="AC2349" s="47">
        <f t="shared" si="699"/>
        <v>0</v>
      </c>
      <c r="AD2349" s="47">
        <f t="shared" si="700"/>
        <v>0</v>
      </c>
      <c r="AE2349" s="47">
        <f t="shared" si="701"/>
        <v>0</v>
      </c>
      <c r="AG2349" s="47">
        <f t="shared" si="702"/>
        <v>0</v>
      </c>
      <c r="AH2349" s="47">
        <f t="shared" si="703"/>
        <v>0</v>
      </c>
      <c r="AI2349" s="208">
        <f t="shared" si="704"/>
        <v>0</v>
      </c>
    </row>
    <row r="2350" spans="1:35">
      <c r="A2350" t="s">
        <v>2163</v>
      </c>
      <c r="B2350" t="s">
        <v>3286</v>
      </c>
      <c r="C2350" t="s">
        <v>2388</v>
      </c>
      <c r="D2350" t="s">
        <v>5884</v>
      </c>
      <c r="F2350" t="s">
        <v>5885</v>
      </c>
      <c r="G2350" s="126">
        <f>SUMIFS('Support - Transition'!F:F,'Support - Transition'!B:B,'Step 2'!A2350,'Support - Transition'!C:C,'Step 2'!B2350,'Support - Transition'!D:D,'Step 2'!C2350,'Support - Transition'!E:E,"CIVIL")</f>
        <v>0</v>
      </c>
      <c r="H2350" s="126">
        <f>SUMIFS('Support - Transition'!F:F,'Support - Transition'!B:B,'Step 2'!A2350,'Support - Transition'!C:C,'Step 2'!B2350,'Support - Transition'!D:D,'Step 2'!C2350,'Support - Transition'!E:E,"FIRE")</f>
        <v>0</v>
      </c>
      <c r="I2350" s="126">
        <f>IF(B2350="0",SUMIFS('Support - Transition'!F:F,'Support - Transition'!J:J,'Step 2'!D2350,'Support - Transition'!E:E,"STATE UNIT"),SUMIFS('Support - Transition'!F:F,'Support - Transition'!J:J,'Step 2'!D2350))</f>
        <v>0</v>
      </c>
      <c r="J2350" s="126">
        <f>SUMIFS('Support - Unit Adjustments'!E:E,'Support - Unit Adjustments'!F:F,'Step 2'!D2350)</f>
        <v>0</v>
      </c>
      <c r="K2350" s="126">
        <f t="shared" si="688"/>
        <v>0</v>
      </c>
      <c r="L2350" s="174">
        <f>VLOOKUP(A2350,'Step 1'!$A:$E,4,FALSE)</f>
        <v>1315248</v>
      </c>
      <c r="M2350" s="47">
        <f t="shared" si="689"/>
        <v>0</v>
      </c>
      <c r="N2350" s="177">
        <f>SUMIFS('Support - Transition'!G:G,'Support - Transition'!J:J,'Step 2'!D2350,'Support - Transition'!E:E,"2009 WELFARE ALLOCATION FACTOR")</f>
        <v>0</v>
      </c>
      <c r="O2350" s="152">
        <f t="shared" si="694"/>
        <v>0</v>
      </c>
      <c r="P2350" s="126">
        <f>IF(E2350="Y",0,SUMIFS('Support - Transition'!G:G,'Support - Transition'!J:J,'Step 2'!D2350,'Support - Transition'!E:E,"2009 SCHOOL ALLOCATION FACTOR"))</f>
        <v>0</v>
      </c>
      <c r="Q2350" s="126">
        <f>IF(E2350="Y",VLOOKUP(D2350,'Support - Unit Adjustments'!F:G,2,FALSE),0)</f>
        <v>0</v>
      </c>
      <c r="R2350" s="155">
        <f t="shared" si="706"/>
        <v>0</v>
      </c>
      <c r="S2350" s="47">
        <f t="shared" si="705"/>
        <v>0</v>
      </c>
      <c r="T2350" s="151">
        <f t="shared" si="690"/>
        <v>0</v>
      </c>
      <c r="U2350" s="151">
        <f t="shared" si="691"/>
        <v>0</v>
      </c>
      <c r="V2350" s="139">
        <f t="shared" si="692"/>
        <v>0</v>
      </c>
      <c r="W2350" s="152">
        <f t="shared" si="695"/>
        <v>0</v>
      </c>
      <c r="X2350" s="127" t="str">
        <f t="shared" si="693"/>
        <v/>
      </c>
      <c r="Y2350" s="207">
        <f t="shared" si="696"/>
        <v>0</v>
      </c>
      <c r="Z2350" s="139">
        <f t="shared" si="697"/>
        <v>0</v>
      </c>
      <c r="AA2350" s="139">
        <f t="shared" si="698"/>
        <v>0</v>
      </c>
      <c r="AC2350" s="47">
        <f t="shared" si="699"/>
        <v>0</v>
      </c>
      <c r="AD2350" s="47">
        <f t="shared" si="700"/>
        <v>0</v>
      </c>
      <c r="AE2350" s="47">
        <f t="shared" si="701"/>
        <v>0</v>
      </c>
      <c r="AG2350" s="47">
        <f t="shared" si="702"/>
        <v>0</v>
      </c>
      <c r="AH2350" s="47">
        <f t="shared" si="703"/>
        <v>0</v>
      </c>
      <c r="AI2350" s="208">
        <f t="shared" si="704"/>
        <v>0</v>
      </c>
    </row>
    <row r="2351" spans="1:35">
      <c r="A2351" t="s">
        <v>2163</v>
      </c>
      <c r="B2351" t="s">
        <v>3286</v>
      </c>
      <c r="C2351" t="s">
        <v>3746</v>
      </c>
      <c r="D2351" t="s">
        <v>5886</v>
      </c>
      <c r="F2351" t="s">
        <v>5887</v>
      </c>
      <c r="G2351" s="126">
        <f>SUMIFS('Support - Transition'!F:F,'Support - Transition'!B:B,'Step 2'!A2351,'Support - Transition'!C:C,'Step 2'!B2351,'Support - Transition'!D:D,'Step 2'!C2351,'Support - Transition'!E:E,"CIVIL")</f>
        <v>0</v>
      </c>
      <c r="H2351" s="126">
        <f>SUMIFS('Support - Transition'!F:F,'Support - Transition'!B:B,'Step 2'!A2351,'Support - Transition'!C:C,'Step 2'!B2351,'Support - Transition'!D:D,'Step 2'!C2351,'Support - Transition'!E:E,"FIRE")</f>
        <v>0</v>
      </c>
      <c r="I2351" s="126">
        <f>IF(B2351="0",SUMIFS('Support - Transition'!F:F,'Support - Transition'!J:J,'Step 2'!D2351,'Support - Transition'!E:E,"STATE UNIT"),SUMIFS('Support - Transition'!F:F,'Support - Transition'!J:J,'Step 2'!D2351))</f>
        <v>0</v>
      </c>
      <c r="J2351" s="126">
        <f>SUMIFS('Support - Unit Adjustments'!E:E,'Support - Unit Adjustments'!F:F,'Step 2'!D2351)</f>
        <v>0</v>
      </c>
      <c r="K2351" s="126">
        <f t="shared" si="688"/>
        <v>0</v>
      </c>
      <c r="L2351" s="174">
        <f>VLOOKUP(A2351,'Step 1'!$A:$E,4,FALSE)</f>
        <v>1315248</v>
      </c>
      <c r="M2351" s="47">
        <f t="shared" si="689"/>
        <v>0</v>
      </c>
      <c r="N2351" s="177">
        <f>SUMIFS('Support - Transition'!G:G,'Support - Transition'!J:J,'Step 2'!D2351,'Support - Transition'!E:E,"2009 WELFARE ALLOCATION FACTOR")</f>
        <v>0</v>
      </c>
      <c r="O2351" s="152">
        <f t="shared" si="694"/>
        <v>0</v>
      </c>
      <c r="P2351" s="126">
        <f>IF(E2351="Y",0,SUMIFS('Support - Transition'!G:G,'Support - Transition'!J:J,'Step 2'!D2351,'Support - Transition'!E:E,"2009 SCHOOL ALLOCATION FACTOR"))</f>
        <v>0</v>
      </c>
      <c r="Q2351" s="126">
        <f>IF(E2351="Y",VLOOKUP(D2351,'Support - Unit Adjustments'!F:G,2,FALSE),0)</f>
        <v>0</v>
      </c>
      <c r="R2351" s="155">
        <f t="shared" si="706"/>
        <v>0</v>
      </c>
      <c r="S2351" s="47">
        <f t="shared" si="705"/>
        <v>0</v>
      </c>
      <c r="T2351" s="151">
        <f t="shared" si="690"/>
        <v>0</v>
      </c>
      <c r="U2351" s="151">
        <f t="shared" si="691"/>
        <v>0</v>
      </c>
      <c r="V2351" s="139">
        <f t="shared" si="692"/>
        <v>0</v>
      </c>
      <c r="W2351" s="152">
        <f t="shared" si="695"/>
        <v>0</v>
      </c>
      <c r="X2351" s="127" t="str">
        <f t="shared" si="693"/>
        <v/>
      </c>
      <c r="Y2351" s="207">
        <f t="shared" si="696"/>
        <v>0</v>
      </c>
      <c r="Z2351" s="139">
        <f t="shared" si="697"/>
        <v>0</v>
      </c>
      <c r="AA2351" s="139">
        <f t="shared" si="698"/>
        <v>0</v>
      </c>
      <c r="AC2351" s="47">
        <f t="shared" si="699"/>
        <v>0</v>
      </c>
      <c r="AD2351" s="47">
        <f t="shared" si="700"/>
        <v>0</v>
      </c>
      <c r="AE2351" s="47">
        <f t="shared" si="701"/>
        <v>0</v>
      </c>
      <c r="AG2351" s="47">
        <f t="shared" si="702"/>
        <v>0</v>
      </c>
      <c r="AH2351" s="47">
        <f t="shared" si="703"/>
        <v>0</v>
      </c>
      <c r="AI2351" s="208">
        <f t="shared" si="704"/>
        <v>0</v>
      </c>
    </row>
    <row r="2352" spans="1:35">
      <c r="A2352" t="s">
        <v>2164</v>
      </c>
      <c r="B2352" s="48" t="s">
        <v>6274</v>
      </c>
      <c r="C2352" t="s">
        <v>2187</v>
      </c>
      <c r="D2352" t="str">
        <f>A2352&amp;B2352&amp;C2352</f>
        <v>8000000</v>
      </c>
      <c r="F2352" t="s">
        <v>6354</v>
      </c>
      <c r="G2352" s="126">
        <f>SUMIFS('Support - Transition'!F:F,'Support - Transition'!B:B,'Step 2'!A2352,'Support - Transition'!C:C,'Step 2'!B2352,'Support - Transition'!D:D,'Step 2'!C2352,'Support - Transition'!E:E,"CIVIL")</f>
        <v>0</v>
      </c>
      <c r="H2352" s="126">
        <f>SUMIFS('Support - Transition'!F:F,'Support - Transition'!B:B,'Step 2'!A2352,'Support - Transition'!C:C,'Step 2'!B2352,'Support - Transition'!D:D,'Step 2'!C2352,'Support - Transition'!E:E,"FIRE")</f>
        <v>0</v>
      </c>
      <c r="I2352" s="126">
        <f>IF(B2352="0",SUMIFS('Support - Transition'!F:F,'Support - Transition'!J:J,'Step 2'!D2352,'Support - Transition'!E:E,"STATE UNIT"),SUMIFS('Support - Transition'!F:F,'Support - Transition'!J:J,'Step 2'!D2352))</f>
        <v>1.2359999999999999E-3</v>
      </c>
      <c r="J2352" s="126">
        <f>SUMIFS('Support - Unit Adjustments'!E:E,'Support - Unit Adjustments'!F:F,'Step 2'!D2352)</f>
        <v>0</v>
      </c>
      <c r="K2352" s="126">
        <f t="shared" si="688"/>
        <v>1.2359999999999999E-3</v>
      </c>
      <c r="L2352" s="174">
        <f>VLOOKUP(A2352,'Step 1'!$A:$E,4,FALSE)</f>
        <v>165221</v>
      </c>
      <c r="M2352" s="47">
        <f t="shared" si="689"/>
        <v>204</v>
      </c>
      <c r="N2352" s="177">
        <f>SUMIFS('Support - Transition'!G:G,'Support - Transition'!J:J,'Step 2'!D2352,'Support - Transition'!E:E,"2009 WELFARE ALLOCATION FACTOR")</f>
        <v>0</v>
      </c>
      <c r="O2352" s="152">
        <f t="shared" si="694"/>
        <v>0</v>
      </c>
      <c r="P2352" s="126">
        <f>IF(E2352="Y",0,SUMIFS('Support - Transition'!G:G,'Support - Transition'!J:J,'Step 2'!D2352,'Support - Transition'!E:E,"2009 SCHOOL ALLOCATION FACTOR"))</f>
        <v>0</v>
      </c>
      <c r="Q2352" s="126">
        <f>IF(E2352="Y",VLOOKUP(D2352,'Support - Unit Adjustments'!F:G,2,FALSE),0)</f>
        <v>0</v>
      </c>
      <c r="R2352" s="155">
        <f t="shared" si="706"/>
        <v>0</v>
      </c>
      <c r="S2352" s="47">
        <f t="shared" si="705"/>
        <v>0</v>
      </c>
      <c r="T2352" s="151">
        <f t="shared" si="690"/>
        <v>204</v>
      </c>
      <c r="U2352" s="151">
        <f t="shared" si="691"/>
        <v>165222</v>
      </c>
      <c r="V2352" s="139">
        <f t="shared" si="692"/>
        <v>1</v>
      </c>
      <c r="W2352" s="152">
        <f t="shared" si="695"/>
        <v>203</v>
      </c>
      <c r="X2352" s="127">
        <f t="shared" si="693"/>
        <v>0</v>
      </c>
      <c r="Y2352" s="207">
        <f t="shared" si="696"/>
        <v>203</v>
      </c>
      <c r="Z2352" s="139">
        <f t="shared" si="697"/>
        <v>203</v>
      </c>
      <c r="AA2352" s="139">
        <f t="shared" si="698"/>
        <v>0</v>
      </c>
      <c r="AC2352" s="47">
        <f t="shared" si="699"/>
        <v>102</v>
      </c>
      <c r="AD2352" s="47">
        <f t="shared" si="700"/>
        <v>102</v>
      </c>
      <c r="AE2352" s="47">
        <f t="shared" si="701"/>
        <v>0</v>
      </c>
      <c r="AG2352" s="47">
        <f t="shared" si="702"/>
        <v>101</v>
      </c>
      <c r="AH2352" s="47">
        <f t="shared" si="703"/>
        <v>101</v>
      </c>
      <c r="AI2352" s="208">
        <f t="shared" si="704"/>
        <v>0</v>
      </c>
    </row>
    <row r="2353" spans="1:35">
      <c r="A2353" t="s">
        <v>2164</v>
      </c>
      <c r="B2353" t="s">
        <v>3140</v>
      </c>
      <c r="C2353" t="s">
        <v>2187</v>
      </c>
      <c r="D2353" t="s">
        <v>5888</v>
      </c>
      <c r="F2353" t="s">
        <v>1680</v>
      </c>
      <c r="G2353" s="126">
        <f>SUMIFS('Support - Transition'!F:F,'Support - Transition'!B:B,'Step 2'!A2353,'Support - Transition'!C:C,'Step 2'!B2353,'Support - Transition'!D:D,'Step 2'!C2353,'Support - Transition'!E:E,"CIVIL")</f>
        <v>0</v>
      </c>
      <c r="H2353" s="126">
        <f>SUMIFS('Support - Transition'!F:F,'Support - Transition'!B:B,'Step 2'!A2353,'Support - Transition'!C:C,'Step 2'!B2353,'Support - Transition'!D:D,'Step 2'!C2353,'Support - Transition'!E:E,"FIRE")</f>
        <v>0</v>
      </c>
      <c r="I2353" s="126">
        <f>IF(B2353="0",SUMIFS('Support - Transition'!F:F,'Support - Transition'!J:J,'Step 2'!D2353,'Support - Transition'!E:E,"STATE UNIT"),SUMIFS('Support - Transition'!F:F,'Support - Transition'!J:J,'Step 2'!D2353))</f>
        <v>0.18529000000000001</v>
      </c>
      <c r="J2353" s="126">
        <f>SUMIFS('Support - Unit Adjustments'!E:E,'Support - Unit Adjustments'!F:F,'Step 2'!D2353)</f>
        <v>0</v>
      </c>
      <c r="K2353" s="126">
        <f t="shared" si="688"/>
        <v>0.18529000000000001</v>
      </c>
      <c r="L2353" s="174">
        <f>VLOOKUP(A2353,'Step 1'!$A:$E,4,FALSE)</f>
        <v>165221</v>
      </c>
      <c r="M2353" s="47">
        <f t="shared" si="689"/>
        <v>30614</v>
      </c>
      <c r="N2353" s="177">
        <f>SUMIFS('Support - Transition'!G:G,'Support - Transition'!J:J,'Step 2'!D2353,'Support - Transition'!E:E,"2009 WELFARE ALLOCATION FACTOR")</f>
        <v>7.0050000000000001E-2</v>
      </c>
      <c r="O2353" s="152">
        <f t="shared" si="694"/>
        <v>2145</v>
      </c>
      <c r="P2353" s="126">
        <f>IF(E2353="Y",0,SUMIFS('Support - Transition'!G:G,'Support - Transition'!J:J,'Step 2'!D2353,'Support - Transition'!E:E,"2009 SCHOOL ALLOCATION FACTOR"))</f>
        <v>0</v>
      </c>
      <c r="Q2353" s="126">
        <f>IF(E2353="Y",VLOOKUP(D2353,'Support - Unit Adjustments'!F:G,2,FALSE),0)</f>
        <v>0</v>
      </c>
      <c r="R2353" s="155">
        <f t="shared" si="706"/>
        <v>0</v>
      </c>
      <c r="S2353" s="47">
        <f t="shared" si="705"/>
        <v>0</v>
      </c>
      <c r="T2353" s="151">
        <f t="shared" si="690"/>
        <v>28469</v>
      </c>
      <c r="U2353" s="151">
        <f t="shared" si="691"/>
        <v>0</v>
      </c>
      <c r="V2353" s="139">
        <f t="shared" si="692"/>
        <v>0</v>
      </c>
      <c r="W2353" s="152">
        <f t="shared" si="695"/>
        <v>28469</v>
      </c>
      <c r="X2353" s="127" t="str">
        <f t="shared" si="693"/>
        <v/>
      </c>
      <c r="Y2353" s="207">
        <f t="shared" si="696"/>
        <v>28469</v>
      </c>
      <c r="Z2353" s="139">
        <f t="shared" si="697"/>
        <v>28469</v>
      </c>
      <c r="AA2353" s="139">
        <f t="shared" si="698"/>
        <v>0</v>
      </c>
      <c r="AC2353" s="47">
        <f t="shared" si="699"/>
        <v>14235</v>
      </c>
      <c r="AD2353" s="47">
        <f t="shared" si="700"/>
        <v>14235</v>
      </c>
      <c r="AE2353" s="47">
        <f t="shared" si="701"/>
        <v>0</v>
      </c>
      <c r="AG2353" s="47">
        <f t="shared" si="702"/>
        <v>14234</v>
      </c>
      <c r="AH2353" s="47">
        <f t="shared" si="703"/>
        <v>14234</v>
      </c>
      <c r="AI2353" s="208">
        <f t="shared" si="704"/>
        <v>0</v>
      </c>
    </row>
    <row r="2354" spans="1:35">
      <c r="A2354" t="s">
        <v>2164</v>
      </c>
      <c r="B2354" t="s">
        <v>3142</v>
      </c>
      <c r="C2354" t="s">
        <v>2188</v>
      </c>
      <c r="D2354" t="s">
        <v>5889</v>
      </c>
      <c r="F2354" t="s">
        <v>1681</v>
      </c>
      <c r="G2354" s="126">
        <f>SUMIFS('Support - Transition'!F:F,'Support - Transition'!B:B,'Step 2'!A2354,'Support - Transition'!C:C,'Step 2'!B2354,'Support - Transition'!D:D,'Step 2'!C2354,'Support - Transition'!E:E,"CIVIL")</f>
        <v>6.0289999999999996E-3</v>
      </c>
      <c r="H2354" s="126">
        <f>SUMIFS('Support - Transition'!F:F,'Support - Transition'!B:B,'Step 2'!A2354,'Support - Transition'!C:C,'Step 2'!B2354,'Support - Transition'!D:D,'Step 2'!C2354,'Support - Transition'!E:E,"FIRE")</f>
        <v>7.0000000000000001E-3</v>
      </c>
      <c r="I2354" s="126">
        <f>IF(B2354="0",SUMIFS('Support - Transition'!F:F,'Support - Transition'!J:J,'Step 2'!D2354,'Support - Transition'!E:E,"STATE UNIT"),SUMIFS('Support - Transition'!F:F,'Support - Transition'!J:J,'Step 2'!D2354))</f>
        <v>1.3028999999999999E-2</v>
      </c>
      <c r="J2354" s="126">
        <f>SUMIFS('Support - Unit Adjustments'!E:E,'Support - Unit Adjustments'!F:F,'Step 2'!D2354)</f>
        <v>0</v>
      </c>
      <c r="K2354" s="126">
        <f t="shared" si="688"/>
        <v>1.3028999999999999E-2</v>
      </c>
      <c r="L2354" s="174">
        <f>VLOOKUP(A2354,'Step 1'!$A:$E,4,FALSE)</f>
        <v>165221</v>
      </c>
      <c r="M2354" s="47">
        <f t="shared" si="689"/>
        <v>2153</v>
      </c>
      <c r="N2354" s="177">
        <f>SUMIFS('Support - Transition'!G:G,'Support - Transition'!J:J,'Step 2'!D2354,'Support - Transition'!E:E,"2009 WELFARE ALLOCATION FACTOR")</f>
        <v>0</v>
      </c>
      <c r="O2354" s="152">
        <f t="shared" si="694"/>
        <v>0</v>
      </c>
      <c r="P2354" s="126">
        <f>IF(E2354="Y",0,SUMIFS('Support - Transition'!G:G,'Support - Transition'!J:J,'Step 2'!D2354,'Support - Transition'!E:E,"2009 SCHOOL ALLOCATION FACTOR"))</f>
        <v>0</v>
      </c>
      <c r="Q2354" s="126">
        <f>IF(E2354="Y",VLOOKUP(D2354,'Support - Unit Adjustments'!F:G,2,FALSE),0)</f>
        <v>0</v>
      </c>
      <c r="R2354" s="155">
        <f t="shared" si="706"/>
        <v>0</v>
      </c>
      <c r="S2354" s="47">
        <f t="shared" si="705"/>
        <v>0</v>
      </c>
      <c r="T2354" s="151">
        <f t="shared" si="690"/>
        <v>2153</v>
      </c>
      <c r="U2354" s="151">
        <f t="shared" si="691"/>
        <v>0</v>
      </c>
      <c r="V2354" s="139">
        <f t="shared" si="692"/>
        <v>0</v>
      </c>
      <c r="W2354" s="152">
        <f t="shared" si="695"/>
        <v>2153</v>
      </c>
      <c r="X2354" s="127" t="str">
        <f t="shared" si="693"/>
        <v/>
      </c>
      <c r="Y2354" s="207">
        <f t="shared" si="696"/>
        <v>2153</v>
      </c>
      <c r="Z2354" s="139">
        <f t="shared" si="697"/>
        <v>996</v>
      </c>
      <c r="AA2354" s="139">
        <f t="shared" si="698"/>
        <v>1157</v>
      </c>
      <c r="AC2354" s="47">
        <f t="shared" si="699"/>
        <v>1077</v>
      </c>
      <c r="AD2354" s="47">
        <f t="shared" si="700"/>
        <v>498</v>
      </c>
      <c r="AE2354" s="47">
        <f t="shared" si="701"/>
        <v>579</v>
      </c>
      <c r="AG2354" s="47">
        <f t="shared" si="702"/>
        <v>1076</v>
      </c>
      <c r="AH2354" s="47">
        <f t="shared" si="703"/>
        <v>498</v>
      </c>
      <c r="AI2354" s="208">
        <f t="shared" si="704"/>
        <v>578</v>
      </c>
    </row>
    <row r="2355" spans="1:35">
      <c r="A2355" t="s">
        <v>2164</v>
      </c>
      <c r="B2355" t="s">
        <v>3142</v>
      </c>
      <c r="C2355" t="s">
        <v>2189</v>
      </c>
      <c r="D2355" t="s">
        <v>5890</v>
      </c>
      <c r="F2355" t="s">
        <v>14</v>
      </c>
      <c r="G2355" s="126">
        <f>SUMIFS('Support - Transition'!F:F,'Support - Transition'!B:B,'Step 2'!A2355,'Support - Transition'!C:C,'Step 2'!B2355,'Support - Transition'!D:D,'Step 2'!C2355,'Support - Transition'!E:E,"CIVIL")</f>
        <v>2.3939999999999999E-3</v>
      </c>
      <c r="H2355" s="126">
        <f>SUMIFS('Support - Transition'!F:F,'Support - Transition'!B:B,'Step 2'!A2355,'Support - Transition'!C:C,'Step 2'!B2355,'Support - Transition'!D:D,'Step 2'!C2355,'Support - Transition'!E:E,"FIRE")</f>
        <v>4.6299999999999998E-4</v>
      </c>
      <c r="I2355" s="126">
        <f>IF(B2355="0",SUMIFS('Support - Transition'!F:F,'Support - Transition'!J:J,'Step 2'!D2355,'Support - Transition'!E:E,"STATE UNIT"),SUMIFS('Support - Transition'!F:F,'Support - Transition'!J:J,'Step 2'!D2355))</f>
        <v>2.8569999999999997E-3</v>
      </c>
      <c r="J2355" s="126">
        <f>SUMIFS('Support - Unit Adjustments'!E:E,'Support - Unit Adjustments'!F:F,'Step 2'!D2355)</f>
        <v>0</v>
      </c>
      <c r="K2355" s="126">
        <f t="shared" si="688"/>
        <v>2.8569999999999997E-3</v>
      </c>
      <c r="L2355" s="174">
        <f>VLOOKUP(A2355,'Step 1'!$A:$E,4,FALSE)</f>
        <v>165221</v>
      </c>
      <c r="M2355" s="47">
        <f t="shared" si="689"/>
        <v>472</v>
      </c>
      <c r="N2355" s="177">
        <f>SUMIFS('Support - Transition'!G:G,'Support - Transition'!J:J,'Step 2'!D2355,'Support - Transition'!E:E,"2009 WELFARE ALLOCATION FACTOR")</f>
        <v>0</v>
      </c>
      <c r="O2355" s="152">
        <f t="shared" si="694"/>
        <v>0</v>
      </c>
      <c r="P2355" s="126">
        <f>IF(E2355="Y",0,SUMIFS('Support - Transition'!G:G,'Support - Transition'!J:J,'Step 2'!D2355,'Support - Transition'!E:E,"2009 SCHOOL ALLOCATION FACTOR"))</f>
        <v>0</v>
      </c>
      <c r="Q2355" s="126">
        <f>IF(E2355="Y",VLOOKUP(D2355,'Support - Unit Adjustments'!F:G,2,FALSE),0)</f>
        <v>0</v>
      </c>
      <c r="R2355" s="155">
        <f t="shared" si="706"/>
        <v>0</v>
      </c>
      <c r="S2355" s="47">
        <f t="shared" si="705"/>
        <v>0</v>
      </c>
      <c r="T2355" s="151">
        <f t="shared" si="690"/>
        <v>472</v>
      </c>
      <c r="U2355" s="151">
        <f t="shared" si="691"/>
        <v>0</v>
      </c>
      <c r="V2355" s="139">
        <f t="shared" si="692"/>
        <v>0</v>
      </c>
      <c r="W2355" s="152">
        <f t="shared" si="695"/>
        <v>472</v>
      </c>
      <c r="X2355" s="127" t="str">
        <f t="shared" si="693"/>
        <v/>
      </c>
      <c r="Y2355" s="207">
        <f t="shared" si="696"/>
        <v>472</v>
      </c>
      <c r="Z2355" s="139">
        <f t="shared" si="697"/>
        <v>396</v>
      </c>
      <c r="AA2355" s="139">
        <f t="shared" si="698"/>
        <v>76</v>
      </c>
      <c r="AC2355" s="47">
        <f t="shared" si="699"/>
        <v>236</v>
      </c>
      <c r="AD2355" s="47">
        <f t="shared" si="700"/>
        <v>198</v>
      </c>
      <c r="AE2355" s="47">
        <f t="shared" si="701"/>
        <v>38</v>
      </c>
      <c r="AG2355" s="47">
        <f t="shared" si="702"/>
        <v>236</v>
      </c>
      <c r="AH2355" s="47">
        <f t="shared" si="703"/>
        <v>198</v>
      </c>
      <c r="AI2355" s="208">
        <f t="shared" si="704"/>
        <v>38</v>
      </c>
    </row>
    <row r="2356" spans="1:35">
      <c r="A2356" t="s">
        <v>2164</v>
      </c>
      <c r="B2356" t="s">
        <v>3142</v>
      </c>
      <c r="C2356" t="s">
        <v>2190</v>
      </c>
      <c r="D2356" t="s">
        <v>5891</v>
      </c>
      <c r="F2356" t="s">
        <v>181</v>
      </c>
      <c r="G2356" s="126">
        <f>SUMIFS('Support - Transition'!F:F,'Support - Transition'!B:B,'Step 2'!A2356,'Support - Transition'!C:C,'Step 2'!B2356,'Support - Transition'!D:D,'Step 2'!C2356,'Support - Transition'!E:E,"CIVIL")</f>
        <v>1.704E-3</v>
      </c>
      <c r="H2356" s="126">
        <f>SUMIFS('Support - Transition'!F:F,'Support - Transition'!B:B,'Step 2'!A2356,'Support - Transition'!C:C,'Step 2'!B2356,'Support - Transition'!D:D,'Step 2'!C2356,'Support - Transition'!E:E,"FIRE")</f>
        <v>2.333E-3</v>
      </c>
      <c r="I2356" s="126">
        <f>IF(B2356="0",SUMIFS('Support - Transition'!F:F,'Support - Transition'!J:J,'Step 2'!D2356,'Support - Transition'!E:E,"STATE UNIT"),SUMIFS('Support - Transition'!F:F,'Support - Transition'!J:J,'Step 2'!D2356))</f>
        <v>4.0369999999999998E-3</v>
      </c>
      <c r="J2356" s="126">
        <f>SUMIFS('Support - Unit Adjustments'!E:E,'Support - Unit Adjustments'!F:F,'Step 2'!D2356)</f>
        <v>0</v>
      </c>
      <c r="K2356" s="126">
        <f t="shared" si="688"/>
        <v>4.0369999999999998E-3</v>
      </c>
      <c r="L2356" s="174">
        <f>VLOOKUP(A2356,'Step 1'!$A:$E,4,FALSE)</f>
        <v>165221</v>
      </c>
      <c r="M2356" s="47">
        <f t="shared" si="689"/>
        <v>667</v>
      </c>
      <c r="N2356" s="177">
        <f>SUMIFS('Support - Transition'!G:G,'Support - Transition'!J:J,'Step 2'!D2356,'Support - Transition'!E:E,"2009 WELFARE ALLOCATION FACTOR")</f>
        <v>0</v>
      </c>
      <c r="O2356" s="152">
        <f t="shared" si="694"/>
        <v>0</v>
      </c>
      <c r="P2356" s="126">
        <f>IF(E2356="Y",0,SUMIFS('Support - Transition'!G:G,'Support - Transition'!J:J,'Step 2'!D2356,'Support - Transition'!E:E,"2009 SCHOOL ALLOCATION FACTOR"))</f>
        <v>0</v>
      </c>
      <c r="Q2356" s="126">
        <f>IF(E2356="Y",VLOOKUP(D2356,'Support - Unit Adjustments'!F:G,2,FALSE),0)</f>
        <v>0</v>
      </c>
      <c r="R2356" s="155">
        <f t="shared" si="706"/>
        <v>0</v>
      </c>
      <c r="S2356" s="47">
        <f t="shared" si="705"/>
        <v>0</v>
      </c>
      <c r="T2356" s="151">
        <f t="shared" si="690"/>
        <v>667</v>
      </c>
      <c r="U2356" s="151">
        <f t="shared" si="691"/>
        <v>0</v>
      </c>
      <c r="V2356" s="139">
        <f t="shared" si="692"/>
        <v>0</v>
      </c>
      <c r="W2356" s="152">
        <f t="shared" si="695"/>
        <v>667</v>
      </c>
      <c r="X2356" s="127" t="str">
        <f t="shared" si="693"/>
        <v/>
      </c>
      <c r="Y2356" s="207">
        <f t="shared" si="696"/>
        <v>667</v>
      </c>
      <c r="Z2356" s="139">
        <f t="shared" si="697"/>
        <v>282</v>
      </c>
      <c r="AA2356" s="139">
        <f t="shared" si="698"/>
        <v>385</v>
      </c>
      <c r="AC2356" s="47">
        <f t="shared" si="699"/>
        <v>334</v>
      </c>
      <c r="AD2356" s="47">
        <f t="shared" si="700"/>
        <v>141</v>
      </c>
      <c r="AE2356" s="47">
        <f t="shared" si="701"/>
        <v>193</v>
      </c>
      <c r="AG2356" s="47">
        <f t="shared" si="702"/>
        <v>333</v>
      </c>
      <c r="AH2356" s="47">
        <f t="shared" si="703"/>
        <v>141</v>
      </c>
      <c r="AI2356" s="208">
        <f t="shared" si="704"/>
        <v>192</v>
      </c>
    </row>
    <row r="2357" spans="1:35">
      <c r="A2357" t="s">
        <v>2164</v>
      </c>
      <c r="B2357" t="s">
        <v>3142</v>
      </c>
      <c r="C2357" t="s">
        <v>2191</v>
      </c>
      <c r="D2357" t="s">
        <v>5892</v>
      </c>
      <c r="F2357" t="s">
        <v>52</v>
      </c>
      <c r="G2357" s="126">
        <f>SUMIFS('Support - Transition'!F:F,'Support - Transition'!B:B,'Step 2'!A2357,'Support - Transition'!C:C,'Step 2'!B2357,'Support - Transition'!D:D,'Step 2'!C2357,'Support - Transition'!E:E,"CIVIL")</f>
        <v>1.3179999999999999E-3</v>
      </c>
      <c r="H2357" s="126">
        <f>SUMIFS('Support - Transition'!F:F,'Support - Transition'!B:B,'Step 2'!A2357,'Support - Transition'!C:C,'Step 2'!B2357,'Support - Transition'!D:D,'Step 2'!C2357,'Support - Transition'!E:E,"FIRE")</f>
        <v>2.9840000000000001E-3</v>
      </c>
      <c r="I2357" s="126">
        <f>IF(B2357="0",SUMIFS('Support - Transition'!F:F,'Support - Transition'!J:J,'Step 2'!D2357,'Support - Transition'!E:E,"STATE UNIT"),SUMIFS('Support - Transition'!F:F,'Support - Transition'!J:J,'Step 2'!D2357))</f>
        <v>4.3020000000000003E-3</v>
      </c>
      <c r="J2357" s="126">
        <f>SUMIFS('Support - Unit Adjustments'!E:E,'Support - Unit Adjustments'!F:F,'Step 2'!D2357)</f>
        <v>0</v>
      </c>
      <c r="K2357" s="126">
        <f t="shared" si="688"/>
        <v>4.3020000000000003E-3</v>
      </c>
      <c r="L2357" s="174">
        <f>VLOOKUP(A2357,'Step 1'!$A:$E,4,FALSE)</f>
        <v>165221</v>
      </c>
      <c r="M2357" s="47">
        <f t="shared" si="689"/>
        <v>711</v>
      </c>
      <c r="N2357" s="177">
        <f>SUMIFS('Support - Transition'!G:G,'Support - Transition'!J:J,'Step 2'!D2357,'Support - Transition'!E:E,"2009 WELFARE ALLOCATION FACTOR")</f>
        <v>0</v>
      </c>
      <c r="O2357" s="152">
        <f t="shared" si="694"/>
        <v>0</v>
      </c>
      <c r="P2357" s="126">
        <f>IF(E2357="Y",0,SUMIFS('Support - Transition'!G:G,'Support - Transition'!J:J,'Step 2'!D2357,'Support - Transition'!E:E,"2009 SCHOOL ALLOCATION FACTOR"))</f>
        <v>0</v>
      </c>
      <c r="Q2357" s="126">
        <f>IF(E2357="Y",VLOOKUP(D2357,'Support - Unit Adjustments'!F:G,2,FALSE),0)</f>
        <v>0</v>
      </c>
      <c r="R2357" s="155">
        <f t="shared" si="706"/>
        <v>0</v>
      </c>
      <c r="S2357" s="47">
        <f t="shared" si="705"/>
        <v>0</v>
      </c>
      <c r="T2357" s="151">
        <f t="shared" si="690"/>
        <v>711</v>
      </c>
      <c r="U2357" s="151">
        <f t="shared" si="691"/>
        <v>0</v>
      </c>
      <c r="V2357" s="139">
        <f t="shared" si="692"/>
        <v>0</v>
      </c>
      <c r="W2357" s="152">
        <f t="shared" si="695"/>
        <v>711</v>
      </c>
      <c r="X2357" s="127" t="str">
        <f t="shared" si="693"/>
        <v/>
      </c>
      <c r="Y2357" s="207">
        <f t="shared" si="696"/>
        <v>711</v>
      </c>
      <c r="Z2357" s="139">
        <f t="shared" si="697"/>
        <v>218</v>
      </c>
      <c r="AA2357" s="139">
        <f t="shared" si="698"/>
        <v>493</v>
      </c>
      <c r="AC2357" s="47">
        <f t="shared" si="699"/>
        <v>356</v>
      </c>
      <c r="AD2357" s="47">
        <f t="shared" si="700"/>
        <v>109</v>
      </c>
      <c r="AE2357" s="47">
        <f t="shared" si="701"/>
        <v>247</v>
      </c>
      <c r="AG2357" s="47">
        <f t="shared" si="702"/>
        <v>355</v>
      </c>
      <c r="AH2357" s="47">
        <f t="shared" si="703"/>
        <v>109</v>
      </c>
      <c r="AI2357" s="208">
        <f t="shared" si="704"/>
        <v>246</v>
      </c>
    </row>
    <row r="2358" spans="1:35">
      <c r="A2358" t="s">
        <v>2164</v>
      </c>
      <c r="B2358" t="s">
        <v>3142</v>
      </c>
      <c r="C2358" t="s">
        <v>2192</v>
      </c>
      <c r="D2358" t="s">
        <v>5893</v>
      </c>
      <c r="F2358" t="s">
        <v>744</v>
      </c>
      <c r="G2358" s="126">
        <f>SUMIFS('Support - Transition'!F:F,'Support - Transition'!B:B,'Step 2'!A2358,'Support - Transition'!C:C,'Step 2'!B2358,'Support - Transition'!D:D,'Step 2'!C2358,'Support - Transition'!E:E,"CIVIL")</f>
        <v>1.1249999999999999E-3</v>
      </c>
      <c r="H2358" s="126">
        <f>SUMIFS('Support - Transition'!F:F,'Support - Transition'!B:B,'Step 2'!A2358,'Support - Transition'!C:C,'Step 2'!B2358,'Support - Transition'!D:D,'Step 2'!C2358,'Support - Transition'!E:E,"FIRE")</f>
        <v>6.1799999999999995E-4</v>
      </c>
      <c r="I2358" s="126">
        <f>IF(B2358="0",SUMIFS('Support - Transition'!F:F,'Support - Transition'!J:J,'Step 2'!D2358,'Support - Transition'!E:E,"STATE UNIT"),SUMIFS('Support - Transition'!F:F,'Support - Transition'!J:J,'Step 2'!D2358))</f>
        <v>1.7429999999999998E-3</v>
      </c>
      <c r="J2358" s="126">
        <f>SUMIFS('Support - Unit Adjustments'!E:E,'Support - Unit Adjustments'!F:F,'Step 2'!D2358)</f>
        <v>0</v>
      </c>
      <c r="K2358" s="126">
        <f t="shared" si="688"/>
        <v>1.7429999999999998E-3</v>
      </c>
      <c r="L2358" s="174">
        <f>VLOOKUP(A2358,'Step 1'!$A:$E,4,FALSE)</f>
        <v>165221</v>
      </c>
      <c r="M2358" s="47">
        <f t="shared" si="689"/>
        <v>288</v>
      </c>
      <c r="N2358" s="177">
        <f>SUMIFS('Support - Transition'!G:G,'Support - Transition'!J:J,'Step 2'!D2358,'Support - Transition'!E:E,"2009 WELFARE ALLOCATION FACTOR")</f>
        <v>0</v>
      </c>
      <c r="O2358" s="152">
        <f t="shared" si="694"/>
        <v>0</v>
      </c>
      <c r="P2358" s="126">
        <f>IF(E2358="Y",0,SUMIFS('Support - Transition'!G:G,'Support - Transition'!J:J,'Step 2'!D2358,'Support - Transition'!E:E,"2009 SCHOOL ALLOCATION FACTOR"))</f>
        <v>0</v>
      </c>
      <c r="Q2358" s="126">
        <f>IF(E2358="Y",VLOOKUP(D2358,'Support - Unit Adjustments'!F:G,2,FALSE),0)</f>
        <v>0</v>
      </c>
      <c r="R2358" s="155">
        <f t="shared" si="706"/>
        <v>0</v>
      </c>
      <c r="S2358" s="47">
        <f t="shared" si="705"/>
        <v>0</v>
      </c>
      <c r="T2358" s="151">
        <f t="shared" si="690"/>
        <v>288</v>
      </c>
      <c r="U2358" s="151">
        <f t="shared" si="691"/>
        <v>0</v>
      </c>
      <c r="V2358" s="139">
        <f t="shared" si="692"/>
        <v>0</v>
      </c>
      <c r="W2358" s="152">
        <f t="shared" si="695"/>
        <v>288</v>
      </c>
      <c r="X2358" s="127" t="str">
        <f t="shared" si="693"/>
        <v/>
      </c>
      <c r="Y2358" s="207">
        <f t="shared" si="696"/>
        <v>288</v>
      </c>
      <c r="Z2358" s="139">
        <f t="shared" si="697"/>
        <v>186</v>
      </c>
      <c r="AA2358" s="139">
        <f t="shared" si="698"/>
        <v>102</v>
      </c>
      <c r="AC2358" s="47">
        <f t="shared" si="699"/>
        <v>144</v>
      </c>
      <c r="AD2358" s="47">
        <f t="shared" si="700"/>
        <v>93</v>
      </c>
      <c r="AE2358" s="47">
        <f t="shared" si="701"/>
        <v>51</v>
      </c>
      <c r="AG2358" s="47">
        <f t="shared" si="702"/>
        <v>144</v>
      </c>
      <c r="AH2358" s="47">
        <f t="shared" si="703"/>
        <v>93</v>
      </c>
      <c r="AI2358" s="208">
        <f t="shared" si="704"/>
        <v>51</v>
      </c>
    </row>
    <row r="2359" spans="1:35">
      <c r="A2359" t="s">
        <v>2164</v>
      </c>
      <c r="B2359" t="s">
        <v>3142</v>
      </c>
      <c r="C2359" t="s">
        <v>2193</v>
      </c>
      <c r="D2359" t="s">
        <v>5894</v>
      </c>
      <c r="F2359" t="s">
        <v>1682</v>
      </c>
      <c r="G2359" s="126">
        <f>SUMIFS('Support - Transition'!F:F,'Support - Transition'!B:B,'Step 2'!A2359,'Support - Transition'!C:C,'Step 2'!B2359,'Support - Transition'!D:D,'Step 2'!C2359,'Support - Transition'!E:E,"CIVIL")</f>
        <v>3.0119999999999999E-3</v>
      </c>
      <c r="H2359" s="126">
        <f>SUMIFS('Support - Transition'!F:F,'Support - Transition'!B:B,'Step 2'!A2359,'Support - Transition'!C:C,'Step 2'!B2359,'Support - Transition'!D:D,'Step 2'!C2359,'Support - Transition'!E:E,"FIRE")</f>
        <v>1.2800000000000001E-3</v>
      </c>
      <c r="I2359" s="126">
        <f>IF(B2359="0",SUMIFS('Support - Transition'!F:F,'Support - Transition'!J:J,'Step 2'!D2359,'Support - Transition'!E:E,"STATE UNIT"),SUMIFS('Support - Transition'!F:F,'Support - Transition'!J:J,'Step 2'!D2359))</f>
        <v>4.2919999999999998E-3</v>
      </c>
      <c r="J2359" s="126">
        <f>SUMIFS('Support - Unit Adjustments'!E:E,'Support - Unit Adjustments'!F:F,'Step 2'!D2359)</f>
        <v>0</v>
      </c>
      <c r="K2359" s="126">
        <f t="shared" si="688"/>
        <v>4.2919999999999998E-3</v>
      </c>
      <c r="L2359" s="174">
        <f>VLOOKUP(A2359,'Step 1'!$A:$E,4,FALSE)</f>
        <v>165221</v>
      </c>
      <c r="M2359" s="47">
        <f t="shared" si="689"/>
        <v>709</v>
      </c>
      <c r="N2359" s="177">
        <f>SUMIFS('Support - Transition'!G:G,'Support - Transition'!J:J,'Step 2'!D2359,'Support - Transition'!E:E,"2009 WELFARE ALLOCATION FACTOR")</f>
        <v>0</v>
      </c>
      <c r="O2359" s="152">
        <f t="shared" si="694"/>
        <v>0</v>
      </c>
      <c r="P2359" s="126">
        <f>IF(E2359="Y",0,SUMIFS('Support - Transition'!G:G,'Support - Transition'!J:J,'Step 2'!D2359,'Support - Transition'!E:E,"2009 SCHOOL ALLOCATION FACTOR"))</f>
        <v>0</v>
      </c>
      <c r="Q2359" s="126">
        <f>IF(E2359="Y",VLOOKUP(D2359,'Support - Unit Adjustments'!F:G,2,FALSE),0)</f>
        <v>0</v>
      </c>
      <c r="R2359" s="155">
        <f t="shared" si="706"/>
        <v>0</v>
      </c>
      <c r="S2359" s="47">
        <f t="shared" si="705"/>
        <v>0</v>
      </c>
      <c r="T2359" s="151">
        <f t="shared" si="690"/>
        <v>709</v>
      </c>
      <c r="U2359" s="151">
        <f t="shared" si="691"/>
        <v>0</v>
      </c>
      <c r="V2359" s="139">
        <f t="shared" si="692"/>
        <v>0</v>
      </c>
      <c r="W2359" s="152">
        <f t="shared" si="695"/>
        <v>709</v>
      </c>
      <c r="X2359" s="127" t="str">
        <f t="shared" si="693"/>
        <v/>
      </c>
      <c r="Y2359" s="207">
        <f t="shared" si="696"/>
        <v>709</v>
      </c>
      <c r="Z2359" s="139">
        <f t="shared" si="697"/>
        <v>498</v>
      </c>
      <c r="AA2359" s="139">
        <f t="shared" si="698"/>
        <v>211</v>
      </c>
      <c r="AC2359" s="47">
        <f t="shared" si="699"/>
        <v>355</v>
      </c>
      <c r="AD2359" s="47">
        <f t="shared" si="700"/>
        <v>249</v>
      </c>
      <c r="AE2359" s="47">
        <f t="shared" si="701"/>
        <v>106</v>
      </c>
      <c r="AG2359" s="47">
        <f t="shared" si="702"/>
        <v>354</v>
      </c>
      <c r="AH2359" s="47">
        <f t="shared" si="703"/>
        <v>249</v>
      </c>
      <c r="AI2359" s="208">
        <f t="shared" si="704"/>
        <v>105</v>
      </c>
    </row>
    <row r="2360" spans="1:35">
      <c r="A2360" t="s">
        <v>2164</v>
      </c>
      <c r="B2360" t="s">
        <v>3155</v>
      </c>
      <c r="C2360" t="s">
        <v>2773</v>
      </c>
      <c r="D2360" t="s">
        <v>5895</v>
      </c>
      <c r="F2360" t="s">
        <v>1130</v>
      </c>
      <c r="G2360" s="126">
        <f>SUMIFS('Support - Transition'!F:F,'Support - Transition'!B:B,'Step 2'!A2360,'Support - Transition'!C:C,'Step 2'!B2360,'Support - Transition'!D:D,'Step 2'!C2360,'Support - Transition'!E:E,"CIVIL")</f>
        <v>0</v>
      </c>
      <c r="H2360" s="126">
        <f>SUMIFS('Support - Transition'!F:F,'Support - Transition'!B:B,'Step 2'!A2360,'Support - Transition'!C:C,'Step 2'!B2360,'Support - Transition'!D:D,'Step 2'!C2360,'Support - Transition'!E:E,"FIRE")</f>
        <v>0</v>
      </c>
      <c r="I2360" s="126">
        <f>IF(B2360="0",SUMIFS('Support - Transition'!F:F,'Support - Transition'!J:J,'Step 2'!D2360,'Support - Transition'!E:E,"STATE UNIT"),SUMIFS('Support - Transition'!F:F,'Support - Transition'!J:J,'Step 2'!D2360))</f>
        <v>0</v>
      </c>
      <c r="J2360" s="126">
        <f>SUMIFS('Support - Unit Adjustments'!E:E,'Support - Unit Adjustments'!F:F,'Step 2'!D2360)</f>
        <v>0</v>
      </c>
      <c r="K2360" s="126">
        <f t="shared" si="688"/>
        <v>0</v>
      </c>
      <c r="L2360" s="174">
        <f>VLOOKUP(A2360,'Step 1'!$A:$E,4,FALSE)</f>
        <v>165221</v>
      </c>
      <c r="M2360" s="47">
        <f t="shared" si="689"/>
        <v>0</v>
      </c>
      <c r="N2360" s="177">
        <f>SUMIFS('Support - Transition'!G:G,'Support - Transition'!J:J,'Step 2'!D2360,'Support - Transition'!E:E,"2009 WELFARE ALLOCATION FACTOR")</f>
        <v>0</v>
      </c>
      <c r="O2360" s="152">
        <f t="shared" si="694"/>
        <v>0</v>
      </c>
      <c r="P2360" s="126">
        <f>IF(E2360="Y",0,SUMIFS('Support - Transition'!G:G,'Support - Transition'!J:J,'Step 2'!D2360,'Support - Transition'!E:E,"2009 SCHOOL ALLOCATION FACTOR"))</f>
        <v>0</v>
      </c>
      <c r="Q2360" s="126">
        <f>IF(E2360="Y",VLOOKUP(D2360,'Support - Unit Adjustments'!F:G,2,FALSE),0)</f>
        <v>0</v>
      </c>
      <c r="R2360" s="155">
        <f t="shared" si="706"/>
        <v>0</v>
      </c>
      <c r="S2360" s="47">
        <f t="shared" si="705"/>
        <v>0</v>
      </c>
      <c r="T2360" s="151">
        <f t="shared" si="690"/>
        <v>0</v>
      </c>
      <c r="U2360" s="151">
        <f t="shared" si="691"/>
        <v>0</v>
      </c>
      <c r="V2360" s="139">
        <f t="shared" si="692"/>
        <v>0</v>
      </c>
      <c r="W2360" s="152">
        <f t="shared" si="695"/>
        <v>0</v>
      </c>
      <c r="X2360" s="127" t="str">
        <f t="shared" si="693"/>
        <v/>
      </c>
      <c r="Y2360" s="207">
        <f t="shared" si="696"/>
        <v>0</v>
      </c>
      <c r="Z2360" s="139">
        <f t="shared" si="697"/>
        <v>0</v>
      </c>
      <c r="AA2360" s="139">
        <f t="shared" si="698"/>
        <v>0</v>
      </c>
      <c r="AC2360" s="47">
        <f t="shared" si="699"/>
        <v>0</v>
      </c>
      <c r="AD2360" s="47">
        <f t="shared" si="700"/>
        <v>0</v>
      </c>
      <c r="AE2360" s="47">
        <f t="shared" si="701"/>
        <v>0</v>
      </c>
      <c r="AG2360" s="47">
        <f t="shared" si="702"/>
        <v>0</v>
      </c>
      <c r="AH2360" s="47">
        <f t="shared" si="703"/>
        <v>0</v>
      </c>
      <c r="AI2360" s="208">
        <f t="shared" si="704"/>
        <v>0</v>
      </c>
    </row>
    <row r="2361" spans="1:35">
      <c r="A2361" t="s">
        <v>2164</v>
      </c>
      <c r="B2361" t="s">
        <v>3155</v>
      </c>
      <c r="C2361" t="s">
        <v>3044</v>
      </c>
      <c r="D2361" t="s">
        <v>5896</v>
      </c>
      <c r="F2361" t="s">
        <v>1685</v>
      </c>
      <c r="G2361" s="126">
        <f>SUMIFS('Support - Transition'!F:F,'Support - Transition'!B:B,'Step 2'!A2361,'Support - Transition'!C:C,'Step 2'!B2361,'Support - Transition'!D:D,'Step 2'!C2361,'Support - Transition'!E:E,"CIVIL")</f>
        <v>0</v>
      </c>
      <c r="H2361" s="126">
        <f>SUMIFS('Support - Transition'!F:F,'Support - Transition'!B:B,'Step 2'!A2361,'Support - Transition'!C:C,'Step 2'!B2361,'Support - Transition'!D:D,'Step 2'!C2361,'Support - Transition'!E:E,"FIRE")</f>
        <v>0</v>
      </c>
      <c r="I2361" s="126">
        <f>IF(B2361="0",SUMIFS('Support - Transition'!F:F,'Support - Transition'!J:J,'Step 2'!D2361,'Support - Transition'!E:E,"STATE UNIT"),SUMIFS('Support - Transition'!F:F,'Support - Transition'!J:J,'Step 2'!D2361))</f>
        <v>9.1991000000000003E-2</v>
      </c>
      <c r="J2361" s="126">
        <f>SUMIFS('Support - Unit Adjustments'!E:E,'Support - Unit Adjustments'!F:F,'Step 2'!D2361)</f>
        <v>0</v>
      </c>
      <c r="K2361" s="126">
        <f t="shared" si="688"/>
        <v>9.1991000000000003E-2</v>
      </c>
      <c r="L2361" s="174">
        <f>VLOOKUP(A2361,'Step 1'!$A:$E,4,FALSE)</f>
        <v>165221</v>
      </c>
      <c r="M2361" s="47">
        <f t="shared" si="689"/>
        <v>15199</v>
      </c>
      <c r="N2361" s="177">
        <f>SUMIFS('Support - Transition'!G:G,'Support - Transition'!J:J,'Step 2'!D2361,'Support - Transition'!E:E,"2009 WELFARE ALLOCATION FACTOR")</f>
        <v>0</v>
      </c>
      <c r="O2361" s="152">
        <f t="shared" si="694"/>
        <v>0</v>
      </c>
      <c r="P2361" s="126">
        <f>IF(E2361="Y",0,SUMIFS('Support - Transition'!G:G,'Support - Transition'!J:J,'Step 2'!D2361,'Support - Transition'!E:E,"2009 SCHOOL ALLOCATION FACTOR"))</f>
        <v>0</v>
      </c>
      <c r="Q2361" s="126">
        <f>IF(E2361="Y",VLOOKUP(D2361,'Support - Unit Adjustments'!F:G,2,FALSE),0)</f>
        <v>0</v>
      </c>
      <c r="R2361" s="155">
        <f t="shared" si="706"/>
        <v>0</v>
      </c>
      <c r="S2361" s="47">
        <f t="shared" si="705"/>
        <v>0</v>
      </c>
      <c r="T2361" s="151">
        <f t="shared" si="690"/>
        <v>15199</v>
      </c>
      <c r="U2361" s="151">
        <f t="shared" si="691"/>
        <v>0</v>
      </c>
      <c r="V2361" s="139">
        <f t="shared" si="692"/>
        <v>0</v>
      </c>
      <c r="W2361" s="152">
        <f t="shared" si="695"/>
        <v>15199</v>
      </c>
      <c r="X2361" s="127" t="str">
        <f t="shared" si="693"/>
        <v/>
      </c>
      <c r="Y2361" s="207">
        <f t="shared" si="696"/>
        <v>15199</v>
      </c>
      <c r="Z2361" s="139">
        <f t="shared" si="697"/>
        <v>15199</v>
      </c>
      <c r="AA2361" s="139">
        <f t="shared" si="698"/>
        <v>0</v>
      </c>
      <c r="AC2361" s="47">
        <f t="shared" si="699"/>
        <v>7600</v>
      </c>
      <c r="AD2361" s="47">
        <f t="shared" si="700"/>
        <v>7600</v>
      </c>
      <c r="AE2361" s="47">
        <f t="shared" si="701"/>
        <v>0</v>
      </c>
      <c r="AG2361" s="47">
        <f t="shared" si="702"/>
        <v>7599</v>
      </c>
      <c r="AH2361" s="47">
        <f t="shared" si="703"/>
        <v>7599</v>
      </c>
      <c r="AI2361" s="208">
        <f t="shared" si="704"/>
        <v>0</v>
      </c>
    </row>
    <row r="2362" spans="1:35">
      <c r="A2362" t="s">
        <v>2164</v>
      </c>
      <c r="B2362" t="s">
        <v>3155</v>
      </c>
      <c r="C2362" t="s">
        <v>3045</v>
      </c>
      <c r="D2362" t="s">
        <v>5897</v>
      </c>
      <c r="F2362" t="s">
        <v>1683</v>
      </c>
      <c r="G2362" s="126">
        <f>SUMIFS('Support - Transition'!F:F,'Support - Transition'!B:B,'Step 2'!A2362,'Support - Transition'!C:C,'Step 2'!B2362,'Support - Transition'!D:D,'Step 2'!C2362,'Support - Transition'!E:E,"CIVIL")</f>
        <v>0</v>
      </c>
      <c r="H2362" s="126">
        <f>SUMIFS('Support - Transition'!F:F,'Support - Transition'!B:B,'Step 2'!A2362,'Support - Transition'!C:C,'Step 2'!B2362,'Support - Transition'!D:D,'Step 2'!C2362,'Support - Transition'!E:E,"FIRE")</f>
        <v>0</v>
      </c>
      <c r="I2362" s="126">
        <f>IF(B2362="0",SUMIFS('Support - Transition'!F:F,'Support - Transition'!J:J,'Step 2'!D2362,'Support - Transition'!E:E,"STATE UNIT"),SUMIFS('Support - Transition'!F:F,'Support - Transition'!J:J,'Step 2'!D2362))</f>
        <v>1.3619999999999999E-3</v>
      </c>
      <c r="J2362" s="126">
        <f>SUMIFS('Support - Unit Adjustments'!E:E,'Support - Unit Adjustments'!F:F,'Step 2'!D2362)</f>
        <v>0</v>
      </c>
      <c r="K2362" s="126">
        <f t="shared" si="688"/>
        <v>1.3619999999999999E-3</v>
      </c>
      <c r="L2362" s="174">
        <f>VLOOKUP(A2362,'Step 1'!$A:$E,4,FALSE)</f>
        <v>165221</v>
      </c>
      <c r="M2362" s="47">
        <f t="shared" si="689"/>
        <v>225</v>
      </c>
      <c r="N2362" s="177">
        <f>SUMIFS('Support - Transition'!G:G,'Support - Transition'!J:J,'Step 2'!D2362,'Support - Transition'!E:E,"2009 WELFARE ALLOCATION FACTOR")</f>
        <v>0</v>
      </c>
      <c r="O2362" s="152">
        <f t="shared" si="694"/>
        <v>0</v>
      </c>
      <c r="P2362" s="126">
        <f>IF(E2362="Y",0,SUMIFS('Support - Transition'!G:G,'Support - Transition'!J:J,'Step 2'!D2362,'Support - Transition'!E:E,"2009 SCHOOL ALLOCATION FACTOR"))</f>
        <v>0</v>
      </c>
      <c r="Q2362" s="126">
        <f>IF(E2362="Y",VLOOKUP(D2362,'Support - Unit Adjustments'!F:G,2,FALSE),0)</f>
        <v>0</v>
      </c>
      <c r="R2362" s="155">
        <f t="shared" si="706"/>
        <v>0</v>
      </c>
      <c r="S2362" s="47">
        <f t="shared" si="705"/>
        <v>0</v>
      </c>
      <c r="T2362" s="151">
        <f t="shared" si="690"/>
        <v>225</v>
      </c>
      <c r="U2362" s="151">
        <f t="shared" si="691"/>
        <v>0</v>
      </c>
      <c r="V2362" s="139">
        <f t="shared" si="692"/>
        <v>0</v>
      </c>
      <c r="W2362" s="152">
        <f t="shared" si="695"/>
        <v>225</v>
      </c>
      <c r="X2362" s="127" t="str">
        <f t="shared" si="693"/>
        <v/>
      </c>
      <c r="Y2362" s="207">
        <f t="shared" si="696"/>
        <v>225</v>
      </c>
      <c r="Z2362" s="139">
        <f t="shared" si="697"/>
        <v>225</v>
      </c>
      <c r="AA2362" s="139">
        <f t="shared" si="698"/>
        <v>0</v>
      </c>
      <c r="AC2362" s="47">
        <f t="shared" si="699"/>
        <v>113</v>
      </c>
      <c r="AD2362" s="47">
        <f t="shared" si="700"/>
        <v>113</v>
      </c>
      <c r="AE2362" s="47">
        <f t="shared" si="701"/>
        <v>0</v>
      </c>
      <c r="AG2362" s="47">
        <f t="shared" si="702"/>
        <v>112</v>
      </c>
      <c r="AH2362" s="47">
        <f t="shared" si="703"/>
        <v>112</v>
      </c>
      <c r="AI2362" s="208">
        <f t="shared" si="704"/>
        <v>0</v>
      </c>
    </row>
    <row r="2363" spans="1:35">
      <c r="A2363" t="s">
        <v>2164</v>
      </c>
      <c r="B2363" t="s">
        <v>3155</v>
      </c>
      <c r="C2363" t="s">
        <v>3046</v>
      </c>
      <c r="D2363" t="s">
        <v>5898</v>
      </c>
      <c r="F2363" t="s">
        <v>1684</v>
      </c>
      <c r="G2363" s="126">
        <f>SUMIFS('Support - Transition'!F:F,'Support - Transition'!B:B,'Step 2'!A2363,'Support - Transition'!C:C,'Step 2'!B2363,'Support - Transition'!D:D,'Step 2'!C2363,'Support - Transition'!E:E,"CIVIL")</f>
        <v>0</v>
      </c>
      <c r="H2363" s="126">
        <f>SUMIFS('Support - Transition'!F:F,'Support - Transition'!B:B,'Step 2'!A2363,'Support - Transition'!C:C,'Step 2'!B2363,'Support - Transition'!D:D,'Step 2'!C2363,'Support - Transition'!E:E,"FIRE")</f>
        <v>0</v>
      </c>
      <c r="I2363" s="126">
        <f>IF(B2363="0",SUMIFS('Support - Transition'!F:F,'Support - Transition'!J:J,'Step 2'!D2363,'Support - Transition'!E:E,"STATE UNIT"),SUMIFS('Support - Transition'!F:F,'Support - Transition'!J:J,'Step 2'!D2363))</f>
        <v>8.7699999999999996E-4</v>
      </c>
      <c r="J2363" s="126">
        <f>SUMIFS('Support - Unit Adjustments'!E:E,'Support - Unit Adjustments'!F:F,'Step 2'!D2363)</f>
        <v>0</v>
      </c>
      <c r="K2363" s="126">
        <f t="shared" si="688"/>
        <v>8.7699999999999996E-4</v>
      </c>
      <c r="L2363" s="174">
        <f>VLOOKUP(A2363,'Step 1'!$A:$E,4,FALSE)</f>
        <v>165221</v>
      </c>
      <c r="M2363" s="47">
        <f t="shared" si="689"/>
        <v>145</v>
      </c>
      <c r="N2363" s="177">
        <f>SUMIFS('Support - Transition'!G:G,'Support - Transition'!J:J,'Step 2'!D2363,'Support - Transition'!E:E,"2009 WELFARE ALLOCATION FACTOR")</f>
        <v>0</v>
      </c>
      <c r="O2363" s="152">
        <f t="shared" si="694"/>
        <v>0</v>
      </c>
      <c r="P2363" s="126">
        <f>IF(E2363="Y",0,SUMIFS('Support - Transition'!G:G,'Support - Transition'!J:J,'Step 2'!D2363,'Support - Transition'!E:E,"2009 SCHOOL ALLOCATION FACTOR"))</f>
        <v>0</v>
      </c>
      <c r="Q2363" s="126">
        <f>IF(E2363="Y",VLOOKUP(D2363,'Support - Unit Adjustments'!F:G,2,FALSE),0)</f>
        <v>0</v>
      </c>
      <c r="R2363" s="155">
        <f t="shared" si="706"/>
        <v>0</v>
      </c>
      <c r="S2363" s="47">
        <f t="shared" si="705"/>
        <v>0</v>
      </c>
      <c r="T2363" s="151">
        <f t="shared" si="690"/>
        <v>145</v>
      </c>
      <c r="U2363" s="151">
        <f t="shared" si="691"/>
        <v>0</v>
      </c>
      <c r="V2363" s="139">
        <f t="shared" si="692"/>
        <v>0</v>
      </c>
      <c r="W2363" s="152">
        <f t="shared" si="695"/>
        <v>145</v>
      </c>
      <c r="X2363" s="127" t="str">
        <f t="shared" si="693"/>
        <v/>
      </c>
      <c r="Y2363" s="207">
        <f t="shared" si="696"/>
        <v>145</v>
      </c>
      <c r="Z2363" s="139">
        <f t="shared" si="697"/>
        <v>145</v>
      </c>
      <c r="AA2363" s="139">
        <f t="shared" si="698"/>
        <v>0</v>
      </c>
      <c r="AC2363" s="47">
        <f t="shared" si="699"/>
        <v>73</v>
      </c>
      <c r="AD2363" s="47">
        <f t="shared" si="700"/>
        <v>73</v>
      </c>
      <c r="AE2363" s="47">
        <f t="shared" si="701"/>
        <v>0</v>
      </c>
      <c r="AG2363" s="47">
        <f t="shared" si="702"/>
        <v>72</v>
      </c>
      <c r="AH2363" s="47">
        <f t="shared" si="703"/>
        <v>72</v>
      </c>
      <c r="AI2363" s="208">
        <f t="shared" si="704"/>
        <v>0</v>
      </c>
    </row>
    <row r="2364" spans="1:35">
      <c r="A2364" t="s">
        <v>2164</v>
      </c>
      <c r="B2364" t="s">
        <v>3155</v>
      </c>
      <c r="C2364" t="s">
        <v>2818</v>
      </c>
      <c r="D2364" t="s">
        <v>5899</v>
      </c>
      <c r="F2364" t="s">
        <v>1686</v>
      </c>
      <c r="G2364" s="126">
        <f>SUMIFS('Support - Transition'!F:F,'Support - Transition'!B:B,'Step 2'!A2364,'Support - Transition'!C:C,'Step 2'!B2364,'Support - Transition'!D:D,'Step 2'!C2364,'Support - Transition'!E:E,"CIVIL")</f>
        <v>0</v>
      </c>
      <c r="H2364" s="126">
        <f>SUMIFS('Support - Transition'!F:F,'Support - Transition'!B:B,'Step 2'!A2364,'Support - Transition'!C:C,'Step 2'!B2364,'Support - Transition'!D:D,'Step 2'!C2364,'Support - Transition'!E:E,"FIRE")</f>
        <v>0</v>
      </c>
      <c r="I2364" s="126">
        <f>IF(B2364="0",SUMIFS('Support - Transition'!F:F,'Support - Transition'!J:J,'Step 2'!D2364,'Support - Transition'!E:E,"STATE UNIT"),SUMIFS('Support - Transition'!F:F,'Support - Transition'!J:J,'Step 2'!D2364))</f>
        <v>4.5620000000000001E-3</v>
      </c>
      <c r="J2364" s="126">
        <f>SUMIFS('Support - Unit Adjustments'!E:E,'Support - Unit Adjustments'!F:F,'Step 2'!D2364)</f>
        <v>0</v>
      </c>
      <c r="K2364" s="126">
        <f t="shared" si="688"/>
        <v>4.5620000000000001E-3</v>
      </c>
      <c r="L2364" s="174">
        <f>VLOOKUP(A2364,'Step 1'!$A:$E,4,FALSE)</f>
        <v>165221</v>
      </c>
      <c r="M2364" s="47">
        <f t="shared" si="689"/>
        <v>754</v>
      </c>
      <c r="N2364" s="177">
        <f>SUMIFS('Support - Transition'!G:G,'Support - Transition'!J:J,'Step 2'!D2364,'Support - Transition'!E:E,"2009 WELFARE ALLOCATION FACTOR")</f>
        <v>0</v>
      </c>
      <c r="O2364" s="152">
        <f t="shared" si="694"/>
        <v>0</v>
      </c>
      <c r="P2364" s="126">
        <f>IF(E2364="Y",0,SUMIFS('Support - Transition'!G:G,'Support - Transition'!J:J,'Step 2'!D2364,'Support - Transition'!E:E,"2009 SCHOOL ALLOCATION FACTOR"))</f>
        <v>0</v>
      </c>
      <c r="Q2364" s="126">
        <f>IF(E2364="Y",VLOOKUP(D2364,'Support - Unit Adjustments'!F:G,2,FALSE),0)</f>
        <v>0</v>
      </c>
      <c r="R2364" s="155">
        <f t="shared" si="706"/>
        <v>0</v>
      </c>
      <c r="S2364" s="47">
        <f t="shared" si="705"/>
        <v>0</v>
      </c>
      <c r="T2364" s="151">
        <f t="shared" si="690"/>
        <v>754</v>
      </c>
      <c r="U2364" s="151">
        <f t="shared" si="691"/>
        <v>0</v>
      </c>
      <c r="V2364" s="139">
        <f t="shared" si="692"/>
        <v>0</v>
      </c>
      <c r="W2364" s="152">
        <f t="shared" si="695"/>
        <v>754</v>
      </c>
      <c r="X2364" s="127" t="str">
        <f t="shared" si="693"/>
        <v/>
      </c>
      <c r="Y2364" s="207">
        <f t="shared" si="696"/>
        <v>754</v>
      </c>
      <c r="Z2364" s="139">
        <f t="shared" si="697"/>
        <v>754</v>
      </c>
      <c r="AA2364" s="139">
        <f t="shared" si="698"/>
        <v>0</v>
      </c>
      <c r="AC2364" s="47">
        <f t="shared" si="699"/>
        <v>377</v>
      </c>
      <c r="AD2364" s="47">
        <f t="shared" si="700"/>
        <v>377</v>
      </c>
      <c r="AE2364" s="47">
        <f t="shared" si="701"/>
        <v>0</v>
      </c>
      <c r="AG2364" s="47">
        <f t="shared" si="702"/>
        <v>377</v>
      </c>
      <c r="AH2364" s="47">
        <f t="shared" si="703"/>
        <v>377</v>
      </c>
      <c r="AI2364" s="208">
        <f t="shared" si="704"/>
        <v>0</v>
      </c>
    </row>
    <row r="2365" spans="1:35">
      <c r="A2365" t="s">
        <v>2164</v>
      </c>
      <c r="B2365" t="s">
        <v>3160</v>
      </c>
      <c r="C2365" t="s">
        <v>5900</v>
      </c>
      <c r="D2365" t="s">
        <v>5901</v>
      </c>
      <c r="F2365" t="s">
        <v>5902</v>
      </c>
      <c r="G2365" s="126">
        <f>SUMIFS('Support - Transition'!F:F,'Support - Transition'!B:B,'Step 2'!A2365,'Support - Transition'!C:C,'Step 2'!B2365,'Support - Transition'!D:D,'Step 2'!C2365,'Support - Transition'!E:E,"CIVIL")</f>
        <v>0</v>
      </c>
      <c r="H2365" s="126">
        <f>SUMIFS('Support - Transition'!F:F,'Support - Transition'!B:B,'Step 2'!A2365,'Support - Transition'!C:C,'Step 2'!B2365,'Support - Transition'!D:D,'Step 2'!C2365,'Support - Transition'!E:E,"FIRE")</f>
        <v>0</v>
      </c>
      <c r="I2365" s="126">
        <f>IF(B2365="0",SUMIFS('Support - Transition'!F:F,'Support - Transition'!J:J,'Step 2'!D2365,'Support - Transition'!E:E,"STATE UNIT"),SUMIFS('Support - Transition'!F:F,'Support - Transition'!J:J,'Step 2'!D2365))</f>
        <v>0.220968</v>
      </c>
      <c r="J2365" s="126">
        <f>SUMIFS('Support - Unit Adjustments'!E:E,'Support - Unit Adjustments'!F:F,'Step 2'!D2365)</f>
        <v>0</v>
      </c>
      <c r="K2365" s="126">
        <f t="shared" si="688"/>
        <v>0.220968</v>
      </c>
      <c r="L2365" s="174">
        <f>VLOOKUP(A2365,'Step 1'!$A:$E,4,FALSE)</f>
        <v>165221</v>
      </c>
      <c r="M2365" s="47">
        <f t="shared" si="689"/>
        <v>36509</v>
      </c>
      <c r="N2365" s="177">
        <f>SUMIFS('Support - Transition'!G:G,'Support - Transition'!J:J,'Step 2'!D2365,'Support - Transition'!E:E,"2009 WELFARE ALLOCATION FACTOR")</f>
        <v>0</v>
      </c>
      <c r="O2365" s="152">
        <f t="shared" si="694"/>
        <v>0</v>
      </c>
      <c r="P2365" s="126">
        <f>IF(E2365="Y",0,SUMIFS('Support - Transition'!G:G,'Support - Transition'!J:J,'Step 2'!D2365,'Support - Transition'!E:E,"2009 SCHOOL ALLOCATION FACTOR"))</f>
        <v>0.43543100000000001</v>
      </c>
      <c r="Q2365" s="126">
        <f>IF(E2365="Y",VLOOKUP(D2365,'Support - Unit Adjustments'!F:G,2,FALSE),0)</f>
        <v>0</v>
      </c>
      <c r="R2365" s="155">
        <f t="shared" si="706"/>
        <v>0.43543100000000001</v>
      </c>
      <c r="S2365" s="47">
        <f t="shared" si="705"/>
        <v>15897</v>
      </c>
      <c r="T2365" s="151">
        <f t="shared" si="690"/>
        <v>20612</v>
      </c>
      <c r="U2365" s="151">
        <f t="shared" si="691"/>
        <v>0</v>
      </c>
      <c r="V2365" s="139">
        <f t="shared" si="692"/>
        <v>0</v>
      </c>
      <c r="W2365" s="152">
        <f t="shared" si="695"/>
        <v>20612</v>
      </c>
      <c r="X2365" s="127" t="str">
        <f t="shared" si="693"/>
        <v/>
      </c>
      <c r="Y2365" s="207">
        <f t="shared" si="696"/>
        <v>20612</v>
      </c>
      <c r="Z2365" s="139">
        <f t="shared" si="697"/>
        <v>20612</v>
      </c>
      <c r="AA2365" s="139">
        <f t="shared" si="698"/>
        <v>0</v>
      </c>
      <c r="AC2365" s="47">
        <f t="shared" si="699"/>
        <v>10306</v>
      </c>
      <c r="AD2365" s="47">
        <f t="shared" si="700"/>
        <v>10306</v>
      </c>
      <c r="AE2365" s="47">
        <f t="shared" si="701"/>
        <v>0</v>
      </c>
      <c r="AG2365" s="47">
        <f t="shared" si="702"/>
        <v>10306</v>
      </c>
      <c r="AH2365" s="47">
        <f t="shared" si="703"/>
        <v>10306</v>
      </c>
      <c r="AI2365" s="208">
        <f t="shared" si="704"/>
        <v>0</v>
      </c>
    </row>
    <row r="2366" spans="1:35">
      <c r="A2366" t="s">
        <v>2164</v>
      </c>
      <c r="B2366" t="s">
        <v>3160</v>
      </c>
      <c r="C2366" t="s">
        <v>3047</v>
      </c>
      <c r="D2366" t="s">
        <v>5903</v>
      </c>
      <c r="F2366" t="s">
        <v>1688</v>
      </c>
      <c r="G2366" s="126">
        <f>SUMIFS('Support - Transition'!F:F,'Support - Transition'!B:B,'Step 2'!A2366,'Support - Transition'!C:C,'Step 2'!B2366,'Support - Transition'!D:D,'Step 2'!C2366,'Support - Transition'!E:E,"CIVIL")</f>
        <v>0</v>
      </c>
      <c r="H2366" s="126">
        <f>SUMIFS('Support - Transition'!F:F,'Support - Transition'!B:B,'Step 2'!A2366,'Support - Transition'!C:C,'Step 2'!B2366,'Support - Transition'!D:D,'Step 2'!C2366,'Support - Transition'!E:E,"FIRE")</f>
        <v>0</v>
      </c>
      <c r="I2366" s="126">
        <f>IF(B2366="0",SUMIFS('Support - Transition'!F:F,'Support - Transition'!J:J,'Step 2'!D2366,'Support - Transition'!E:E,"STATE UNIT"),SUMIFS('Support - Transition'!F:F,'Support - Transition'!J:J,'Step 2'!D2366))</f>
        <v>0.41634599999999999</v>
      </c>
      <c r="J2366" s="126">
        <f>SUMIFS('Support - Unit Adjustments'!E:E,'Support - Unit Adjustments'!F:F,'Step 2'!D2366)</f>
        <v>0</v>
      </c>
      <c r="K2366" s="126">
        <f t="shared" si="688"/>
        <v>0.41634599999999999</v>
      </c>
      <c r="L2366" s="174">
        <f>VLOOKUP(A2366,'Step 1'!$A:$E,4,FALSE)</f>
        <v>165221</v>
      </c>
      <c r="M2366" s="47">
        <f t="shared" si="689"/>
        <v>68789</v>
      </c>
      <c r="N2366" s="177">
        <f>SUMIFS('Support - Transition'!G:G,'Support - Transition'!J:J,'Step 2'!D2366,'Support - Transition'!E:E,"2009 WELFARE ALLOCATION FACTOR")</f>
        <v>0</v>
      </c>
      <c r="O2366" s="152">
        <f t="shared" si="694"/>
        <v>0</v>
      </c>
      <c r="P2366" s="126">
        <f>IF(E2366="Y",0,SUMIFS('Support - Transition'!G:G,'Support - Transition'!J:J,'Step 2'!D2366,'Support - Transition'!E:E,"2009 SCHOOL ALLOCATION FACTOR"))</f>
        <v>0.48242400000000002</v>
      </c>
      <c r="Q2366" s="126">
        <f>IF(E2366="Y",VLOOKUP(D2366,'Support - Unit Adjustments'!F:G,2,FALSE),0)</f>
        <v>0</v>
      </c>
      <c r="R2366" s="155">
        <f t="shared" si="706"/>
        <v>0.48242400000000002</v>
      </c>
      <c r="S2366" s="47">
        <f t="shared" si="705"/>
        <v>33185</v>
      </c>
      <c r="T2366" s="151">
        <f t="shared" si="690"/>
        <v>35604</v>
      </c>
      <c r="U2366" s="151">
        <f t="shared" si="691"/>
        <v>0</v>
      </c>
      <c r="V2366" s="139">
        <f t="shared" si="692"/>
        <v>0</v>
      </c>
      <c r="W2366" s="152">
        <f t="shared" si="695"/>
        <v>35604</v>
      </c>
      <c r="X2366" s="127" t="str">
        <f t="shared" si="693"/>
        <v/>
      </c>
      <c r="Y2366" s="207">
        <f t="shared" si="696"/>
        <v>35604</v>
      </c>
      <c r="Z2366" s="139">
        <f t="shared" si="697"/>
        <v>35604</v>
      </c>
      <c r="AA2366" s="139">
        <f t="shared" si="698"/>
        <v>0</v>
      </c>
      <c r="AC2366" s="47">
        <f t="shared" si="699"/>
        <v>17802</v>
      </c>
      <c r="AD2366" s="47">
        <f t="shared" si="700"/>
        <v>17802</v>
      </c>
      <c r="AE2366" s="47">
        <f t="shared" si="701"/>
        <v>0</v>
      </c>
      <c r="AG2366" s="47">
        <f t="shared" si="702"/>
        <v>17802</v>
      </c>
      <c r="AH2366" s="47">
        <f t="shared" si="703"/>
        <v>17802</v>
      </c>
      <c r="AI2366" s="208">
        <f t="shared" si="704"/>
        <v>0</v>
      </c>
    </row>
    <row r="2367" spans="1:35">
      <c r="A2367" t="s">
        <v>2164</v>
      </c>
      <c r="B2367" t="s">
        <v>3166</v>
      </c>
      <c r="C2367" t="s">
        <v>5904</v>
      </c>
      <c r="D2367" t="s">
        <v>5905</v>
      </c>
      <c r="F2367" t="s">
        <v>1689</v>
      </c>
      <c r="G2367" s="126">
        <f>SUMIFS('Support - Transition'!F:F,'Support - Transition'!B:B,'Step 2'!A2367,'Support - Transition'!C:C,'Step 2'!B2367,'Support - Transition'!D:D,'Step 2'!C2367,'Support - Transition'!E:E,"CIVIL")</f>
        <v>0</v>
      </c>
      <c r="H2367" s="126">
        <f>SUMIFS('Support - Transition'!F:F,'Support - Transition'!B:B,'Step 2'!A2367,'Support - Transition'!C:C,'Step 2'!B2367,'Support - Transition'!D:D,'Step 2'!C2367,'Support - Transition'!E:E,"FIRE")</f>
        <v>0</v>
      </c>
      <c r="I2367" s="126">
        <f>IF(B2367="0",SUMIFS('Support - Transition'!F:F,'Support - Transition'!J:J,'Step 2'!D2367,'Support - Transition'!E:E,"STATE UNIT"),SUMIFS('Support - Transition'!F:F,'Support - Transition'!J:J,'Step 2'!D2367))</f>
        <v>4.0856999999999997E-2</v>
      </c>
      <c r="J2367" s="126">
        <f>SUMIFS('Support - Unit Adjustments'!E:E,'Support - Unit Adjustments'!F:F,'Step 2'!D2367)</f>
        <v>0</v>
      </c>
      <c r="K2367" s="126">
        <f t="shared" si="688"/>
        <v>4.0856999999999997E-2</v>
      </c>
      <c r="L2367" s="174">
        <f>VLOOKUP(A2367,'Step 1'!$A:$E,4,FALSE)</f>
        <v>165221</v>
      </c>
      <c r="M2367" s="47">
        <f t="shared" si="689"/>
        <v>6750</v>
      </c>
      <c r="N2367" s="177">
        <f>SUMIFS('Support - Transition'!G:G,'Support - Transition'!J:J,'Step 2'!D2367,'Support - Transition'!E:E,"2009 WELFARE ALLOCATION FACTOR")</f>
        <v>0</v>
      </c>
      <c r="O2367" s="152">
        <f t="shared" si="694"/>
        <v>0</v>
      </c>
      <c r="P2367" s="126">
        <f>IF(E2367="Y",0,SUMIFS('Support - Transition'!G:G,'Support - Transition'!J:J,'Step 2'!D2367,'Support - Transition'!E:E,"2009 SCHOOL ALLOCATION FACTOR"))</f>
        <v>0</v>
      </c>
      <c r="Q2367" s="126">
        <f>IF(E2367="Y",VLOOKUP(D2367,'Support - Unit Adjustments'!F:G,2,FALSE),0)</f>
        <v>0</v>
      </c>
      <c r="R2367" s="155">
        <f t="shared" si="706"/>
        <v>0</v>
      </c>
      <c r="S2367" s="47">
        <f t="shared" si="705"/>
        <v>0</v>
      </c>
      <c r="T2367" s="151">
        <f t="shared" si="690"/>
        <v>6750</v>
      </c>
      <c r="U2367" s="151">
        <f t="shared" si="691"/>
        <v>0</v>
      </c>
      <c r="V2367" s="139">
        <f t="shared" si="692"/>
        <v>0</v>
      </c>
      <c r="W2367" s="152">
        <f t="shared" si="695"/>
        <v>6750</v>
      </c>
      <c r="X2367" s="127" t="str">
        <f t="shared" si="693"/>
        <v/>
      </c>
      <c r="Y2367" s="207">
        <f t="shared" si="696"/>
        <v>6750</v>
      </c>
      <c r="Z2367" s="139">
        <f t="shared" si="697"/>
        <v>6750</v>
      </c>
      <c r="AA2367" s="139">
        <f t="shared" si="698"/>
        <v>0</v>
      </c>
      <c r="AC2367" s="47">
        <f t="shared" si="699"/>
        <v>3375</v>
      </c>
      <c r="AD2367" s="47">
        <f t="shared" si="700"/>
        <v>3375</v>
      </c>
      <c r="AE2367" s="47">
        <f t="shared" si="701"/>
        <v>0</v>
      </c>
      <c r="AG2367" s="47">
        <f t="shared" si="702"/>
        <v>3375</v>
      </c>
      <c r="AH2367" s="47">
        <f t="shared" si="703"/>
        <v>3375</v>
      </c>
      <c r="AI2367" s="208">
        <f t="shared" si="704"/>
        <v>0</v>
      </c>
    </row>
    <row r="2368" spans="1:35">
      <c r="A2368" t="s">
        <v>2164</v>
      </c>
      <c r="B2368" t="s">
        <v>3170</v>
      </c>
      <c r="C2368" t="s">
        <v>3048</v>
      </c>
      <c r="D2368" t="s">
        <v>5906</v>
      </c>
      <c r="F2368" t="s">
        <v>1690</v>
      </c>
      <c r="G2368" s="126">
        <f>SUMIFS('Support - Transition'!F:F,'Support - Transition'!B:B,'Step 2'!A2368,'Support - Transition'!C:C,'Step 2'!B2368,'Support - Transition'!D:D,'Step 2'!C2368,'Support - Transition'!E:E,"CIVIL")</f>
        <v>0</v>
      </c>
      <c r="H2368" s="126">
        <f>SUMIFS('Support - Transition'!F:F,'Support - Transition'!B:B,'Step 2'!A2368,'Support - Transition'!C:C,'Step 2'!B2368,'Support - Transition'!D:D,'Step 2'!C2368,'Support - Transition'!E:E,"FIRE")</f>
        <v>0</v>
      </c>
      <c r="I2368" s="126">
        <f>IF(B2368="0",SUMIFS('Support - Transition'!F:F,'Support - Transition'!J:J,'Step 2'!D2368,'Support - Transition'!E:E,"STATE UNIT"),SUMIFS('Support - Transition'!F:F,'Support - Transition'!J:J,'Step 2'!D2368))</f>
        <v>6.2510000000000066E-3</v>
      </c>
      <c r="J2368" s="126">
        <f>SUMIFS('Support - Unit Adjustments'!E:E,'Support - Unit Adjustments'!F:F,'Step 2'!D2368)</f>
        <v>0</v>
      </c>
      <c r="K2368" s="126">
        <f t="shared" si="688"/>
        <v>6.2510000000000066E-3</v>
      </c>
      <c r="L2368" s="174">
        <f>VLOOKUP(A2368,'Step 1'!$A:$E,4,FALSE)</f>
        <v>165221</v>
      </c>
      <c r="M2368" s="47">
        <f t="shared" si="689"/>
        <v>1033</v>
      </c>
      <c r="N2368" s="177">
        <f>SUMIFS('Support - Transition'!G:G,'Support - Transition'!J:J,'Step 2'!D2368,'Support - Transition'!E:E,"2009 WELFARE ALLOCATION FACTOR")</f>
        <v>0</v>
      </c>
      <c r="O2368" s="152">
        <f t="shared" si="694"/>
        <v>0</v>
      </c>
      <c r="P2368" s="126">
        <f>IF(E2368="Y",0,SUMIFS('Support - Transition'!G:G,'Support - Transition'!J:J,'Step 2'!D2368,'Support - Transition'!E:E,"2009 SCHOOL ALLOCATION FACTOR"))</f>
        <v>0</v>
      </c>
      <c r="Q2368" s="126">
        <f>IF(E2368="Y",VLOOKUP(D2368,'Support - Unit Adjustments'!F:G,2,FALSE),0)</f>
        <v>0</v>
      </c>
      <c r="R2368" s="155">
        <f t="shared" si="706"/>
        <v>0</v>
      </c>
      <c r="S2368" s="47">
        <f t="shared" si="705"/>
        <v>0</v>
      </c>
      <c r="T2368" s="151">
        <f t="shared" si="690"/>
        <v>1033</v>
      </c>
      <c r="U2368" s="151">
        <f t="shared" si="691"/>
        <v>0</v>
      </c>
      <c r="V2368" s="139">
        <f t="shared" si="692"/>
        <v>0</v>
      </c>
      <c r="W2368" s="152">
        <f t="shared" si="695"/>
        <v>1033</v>
      </c>
      <c r="X2368" s="127" t="str">
        <f t="shared" si="693"/>
        <v/>
      </c>
      <c r="Y2368" s="207">
        <f t="shared" si="696"/>
        <v>1033</v>
      </c>
      <c r="Z2368" s="139">
        <f t="shared" si="697"/>
        <v>1033</v>
      </c>
      <c r="AA2368" s="139">
        <f t="shared" si="698"/>
        <v>0</v>
      </c>
      <c r="AC2368" s="47">
        <f t="shared" si="699"/>
        <v>517</v>
      </c>
      <c r="AD2368" s="47">
        <f t="shared" si="700"/>
        <v>517</v>
      </c>
      <c r="AE2368" s="47">
        <f t="shared" si="701"/>
        <v>0</v>
      </c>
      <c r="AG2368" s="47">
        <f t="shared" si="702"/>
        <v>516</v>
      </c>
      <c r="AH2368" s="47">
        <f t="shared" si="703"/>
        <v>516</v>
      </c>
      <c r="AI2368" s="208">
        <f t="shared" si="704"/>
        <v>0</v>
      </c>
    </row>
    <row r="2369" spans="1:35">
      <c r="A2369" t="s">
        <v>2165</v>
      </c>
      <c r="B2369" s="48" t="s">
        <v>6274</v>
      </c>
      <c r="C2369" t="s">
        <v>2187</v>
      </c>
      <c r="D2369" t="str">
        <f>A2369&amp;B2369&amp;C2369</f>
        <v>8100000</v>
      </c>
      <c r="F2369" t="s">
        <v>6355</v>
      </c>
      <c r="G2369" s="126">
        <f>SUMIFS('Support - Transition'!F:F,'Support - Transition'!B:B,'Step 2'!A2369,'Support - Transition'!C:C,'Step 2'!B2369,'Support - Transition'!D:D,'Step 2'!C2369,'Support - Transition'!E:E,"CIVIL")</f>
        <v>0</v>
      </c>
      <c r="H2369" s="126">
        <f>SUMIFS('Support - Transition'!F:F,'Support - Transition'!B:B,'Step 2'!A2369,'Support - Transition'!C:C,'Step 2'!B2369,'Support - Transition'!D:D,'Step 2'!C2369,'Support - Transition'!E:E,"FIRE")</f>
        <v>0</v>
      </c>
      <c r="I2369" s="126">
        <f>IF(B2369="0",SUMIFS('Support - Transition'!F:F,'Support - Transition'!J:J,'Step 2'!D2369,'Support - Transition'!E:E,"STATE UNIT"),SUMIFS('Support - Transition'!F:F,'Support - Transition'!J:J,'Step 2'!D2369))</f>
        <v>1.127E-3</v>
      </c>
      <c r="J2369" s="126">
        <f>SUMIFS('Support - Unit Adjustments'!E:E,'Support - Unit Adjustments'!F:F,'Step 2'!D2369)</f>
        <v>0</v>
      </c>
      <c r="K2369" s="126">
        <f t="shared" si="688"/>
        <v>1.127E-3</v>
      </c>
      <c r="L2369" s="174">
        <f>VLOOKUP(A2369,'Step 1'!$A:$E,4,FALSE)</f>
        <v>45289</v>
      </c>
      <c r="M2369" s="47">
        <f t="shared" si="689"/>
        <v>51</v>
      </c>
      <c r="N2369" s="177">
        <f>SUMIFS('Support - Transition'!G:G,'Support - Transition'!J:J,'Step 2'!D2369,'Support - Transition'!E:E,"2009 WELFARE ALLOCATION FACTOR")</f>
        <v>0</v>
      </c>
      <c r="O2369" s="152">
        <f t="shared" si="694"/>
        <v>0</v>
      </c>
      <c r="P2369" s="126">
        <f>IF(E2369="Y",0,SUMIFS('Support - Transition'!G:G,'Support - Transition'!J:J,'Step 2'!D2369,'Support - Transition'!E:E,"2009 SCHOOL ALLOCATION FACTOR"))</f>
        <v>0</v>
      </c>
      <c r="Q2369" s="126">
        <f>IF(E2369="Y",VLOOKUP(D2369,'Support - Unit Adjustments'!F:G,2,FALSE),0)</f>
        <v>0</v>
      </c>
      <c r="R2369" s="155">
        <f t="shared" si="706"/>
        <v>0</v>
      </c>
      <c r="S2369" s="47">
        <f t="shared" si="705"/>
        <v>0</v>
      </c>
      <c r="T2369" s="151">
        <f t="shared" si="690"/>
        <v>51</v>
      </c>
      <c r="U2369" s="151">
        <f t="shared" si="691"/>
        <v>45289</v>
      </c>
      <c r="V2369" s="139">
        <f t="shared" si="692"/>
        <v>0</v>
      </c>
      <c r="W2369" s="152">
        <f t="shared" si="695"/>
        <v>51</v>
      </c>
      <c r="X2369" s="127">
        <f t="shared" si="693"/>
        <v>0</v>
      </c>
      <c r="Y2369" s="207">
        <f t="shared" si="696"/>
        <v>51</v>
      </c>
      <c r="Z2369" s="139">
        <f t="shared" si="697"/>
        <v>51</v>
      </c>
      <c r="AA2369" s="139">
        <f t="shared" si="698"/>
        <v>0</v>
      </c>
      <c r="AC2369" s="47">
        <f t="shared" si="699"/>
        <v>26</v>
      </c>
      <c r="AD2369" s="47">
        <f t="shared" si="700"/>
        <v>26</v>
      </c>
      <c r="AE2369" s="47">
        <f t="shared" si="701"/>
        <v>0</v>
      </c>
      <c r="AG2369" s="47">
        <f t="shared" si="702"/>
        <v>25</v>
      </c>
      <c r="AH2369" s="47">
        <f t="shared" si="703"/>
        <v>25</v>
      </c>
      <c r="AI2369" s="208">
        <f t="shared" si="704"/>
        <v>0</v>
      </c>
    </row>
    <row r="2370" spans="1:35">
      <c r="A2370" t="s">
        <v>2165</v>
      </c>
      <c r="B2370" t="s">
        <v>3140</v>
      </c>
      <c r="C2370" t="s">
        <v>2187</v>
      </c>
      <c r="D2370" t="s">
        <v>5907</v>
      </c>
      <c r="F2370" t="s">
        <v>1692</v>
      </c>
      <c r="G2370" s="126">
        <f>SUMIFS('Support - Transition'!F:F,'Support - Transition'!B:B,'Step 2'!A2370,'Support - Transition'!C:C,'Step 2'!B2370,'Support - Transition'!D:D,'Step 2'!C2370,'Support - Transition'!E:E,"CIVIL")</f>
        <v>0</v>
      </c>
      <c r="H2370" s="126">
        <f>SUMIFS('Support - Transition'!F:F,'Support - Transition'!B:B,'Step 2'!A2370,'Support - Transition'!C:C,'Step 2'!B2370,'Support - Transition'!D:D,'Step 2'!C2370,'Support - Transition'!E:E,"FIRE")</f>
        <v>0</v>
      </c>
      <c r="I2370" s="126">
        <f>IF(B2370="0",SUMIFS('Support - Transition'!F:F,'Support - Transition'!J:J,'Step 2'!D2370,'Support - Transition'!E:E,"STATE UNIT"),SUMIFS('Support - Transition'!F:F,'Support - Transition'!J:J,'Step 2'!D2370))</f>
        <v>0.22220400000000001</v>
      </c>
      <c r="J2370" s="126">
        <f>SUMIFS('Support - Unit Adjustments'!E:E,'Support - Unit Adjustments'!F:F,'Step 2'!D2370)</f>
        <v>0</v>
      </c>
      <c r="K2370" s="126">
        <f t="shared" ref="K2370:K2433" si="707">+I2370+J2370</f>
        <v>0.22220400000000001</v>
      </c>
      <c r="L2370" s="174">
        <f>VLOOKUP(A2370,'Step 1'!$A:$E,4,FALSE)</f>
        <v>45289</v>
      </c>
      <c r="M2370" s="47">
        <f t="shared" ref="M2370:M2433" si="708">ROUND(+K2370*L2370,0)</f>
        <v>10063</v>
      </c>
      <c r="N2370" s="177">
        <f>SUMIFS('Support - Transition'!G:G,'Support - Transition'!J:J,'Step 2'!D2370,'Support - Transition'!E:E,"2009 WELFARE ALLOCATION FACTOR")</f>
        <v>0.29985800000000001</v>
      </c>
      <c r="O2370" s="152">
        <f t="shared" si="694"/>
        <v>3017</v>
      </c>
      <c r="P2370" s="126">
        <f>IF(E2370="Y",0,SUMIFS('Support - Transition'!G:G,'Support - Transition'!J:J,'Step 2'!D2370,'Support - Transition'!E:E,"2009 SCHOOL ALLOCATION FACTOR"))</f>
        <v>0</v>
      </c>
      <c r="Q2370" s="126">
        <f>IF(E2370="Y",VLOOKUP(D2370,'Support - Unit Adjustments'!F:G,2,FALSE),0)</f>
        <v>0</v>
      </c>
      <c r="R2370" s="155">
        <f t="shared" si="706"/>
        <v>0</v>
      </c>
      <c r="S2370" s="47">
        <f t="shared" si="705"/>
        <v>0</v>
      </c>
      <c r="T2370" s="151">
        <f t="shared" ref="T2370:T2433" si="709">ROUND(+M2370-O2370-S2370,2)</f>
        <v>7046</v>
      </c>
      <c r="U2370" s="151">
        <f t="shared" ref="U2370:U2433" si="710">IF(B2370="0",SUMIFS(O:O,A:A,A2370)+SUMIFS(S:S,A:A,A2370)+SUMIFS(T:T,A:A,A2370),0)</f>
        <v>0</v>
      </c>
      <c r="V2370" s="139">
        <f t="shared" ref="V2370:V2433" si="711">IF(B2370="0",U2370-L2370,0)</f>
        <v>0</v>
      </c>
      <c r="W2370" s="152">
        <f t="shared" si="695"/>
        <v>7046</v>
      </c>
      <c r="X2370" s="127" t="str">
        <f t="shared" ref="X2370:X2433" si="712">IF(B2370="0",SUMIFS(O:O,A:A,A2370)+SUMIFS(S:S,A:A,A2370)+SUMIFS(W:W,A:A,A2370)-L2370,"")</f>
        <v/>
      </c>
      <c r="Y2370" s="207">
        <f t="shared" si="696"/>
        <v>7046</v>
      </c>
      <c r="Z2370" s="139">
        <f t="shared" si="697"/>
        <v>7046</v>
      </c>
      <c r="AA2370" s="139">
        <f t="shared" si="698"/>
        <v>0</v>
      </c>
      <c r="AC2370" s="47">
        <f t="shared" si="699"/>
        <v>3523</v>
      </c>
      <c r="AD2370" s="47">
        <f t="shared" si="700"/>
        <v>3523</v>
      </c>
      <c r="AE2370" s="47">
        <f t="shared" si="701"/>
        <v>0</v>
      </c>
      <c r="AG2370" s="47">
        <f t="shared" si="702"/>
        <v>3523</v>
      </c>
      <c r="AH2370" s="47">
        <f t="shared" si="703"/>
        <v>3523</v>
      </c>
      <c r="AI2370" s="208">
        <f t="shared" si="704"/>
        <v>0</v>
      </c>
    </row>
    <row r="2371" spans="1:35">
      <c r="A2371" t="s">
        <v>2165</v>
      </c>
      <c r="B2371" t="s">
        <v>3142</v>
      </c>
      <c r="C2371" t="s">
        <v>2188</v>
      </c>
      <c r="D2371" t="s">
        <v>5908</v>
      </c>
      <c r="F2371" t="s">
        <v>1693</v>
      </c>
      <c r="G2371" s="126">
        <f>SUMIFS('Support - Transition'!F:F,'Support - Transition'!B:B,'Step 2'!A2371,'Support - Transition'!C:C,'Step 2'!B2371,'Support - Transition'!D:D,'Step 2'!C2371,'Support - Transition'!E:E,"CIVIL")</f>
        <v>3.6200000000000002E-4</v>
      </c>
      <c r="H2371" s="126">
        <f>SUMIFS('Support - Transition'!F:F,'Support - Transition'!B:B,'Step 2'!A2371,'Support - Transition'!C:C,'Step 2'!B2371,'Support - Transition'!D:D,'Step 2'!C2371,'Support - Transition'!E:E,"FIRE")</f>
        <v>1.6100000000000001E-4</v>
      </c>
      <c r="I2371" s="126">
        <f>IF(B2371="0",SUMIFS('Support - Transition'!F:F,'Support - Transition'!J:J,'Step 2'!D2371,'Support - Transition'!E:E,"STATE UNIT"),SUMIFS('Support - Transition'!F:F,'Support - Transition'!J:J,'Step 2'!D2371))</f>
        <v>5.2300000000000003E-4</v>
      </c>
      <c r="J2371" s="126">
        <f>SUMIFS('Support - Unit Adjustments'!E:E,'Support - Unit Adjustments'!F:F,'Step 2'!D2371)</f>
        <v>0</v>
      </c>
      <c r="K2371" s="126">
        <f t="shared" si="707"/>
        <v>5.2300000000000003E-4</v>
      </c>
      <c r="L2371" s="174">
        <f>VLOOKUP(A2371,'Step 1'!$A:$E,4,FALSE)</f>
        <v>45289</v>
      </c>
      <c r="M2371" s="47">
        <f t="shared" si="708"/>
        <v>24</v>
      </c>
      <c r="N2371" s="177">
        <f>SUMIFS('Support - Transition'!G:G,'Support - Transition'!J:J,'Step 2'!D2371,'Support - Transition'!E:E,"2009 WELFARE ALLOCATION FACTOR")</f>
        <v>0</v>
      </c>
      <c r="O2371" s="152">
        <f t="shared" ref="O2371:O2434" si="713">ROUND(+N2371*M2371,0)</f>
        <v>0</v>
      </c>
      <c r="P2371" s="126">
        <f>IF(E2371="Y",0,SUMIFS('Support - Transition'!G:G,'Support - Transition'!J:J,'Step 2'!D2371,'Support - Transition'!E:E,"2009 SCHOOL ALLOCATION FACTOR"))</f>
        <v>0</v>
      </c>
      <c r="Q2371" s="126">
        <f>IF(E2371="Y",VLOOKUP(D2371,'Support - Unit Adjustments'!F:G,2,FALSE),0)</f>
        <v>0</v>
      </c>
      <c r="R2371" s="155">
        <f t="shared" si="706"/>
        <v>0</v>
      </c>
      <c r="S2371" s="47">
        <f t="shared" si="705"/>
        <v>0</v>
      </c>
      <c r="T2371" s="151">
        <f t="shared" si="709"/>
        <v>24</v>
      </c>
      <c r="U2371" s="151">
        <f t="shared" si="710"/>
        <v>0</v>
      </c>
      <c r="V2371" s="139">
        <f t="shared" si="711"/>
        <v>0</v>
      </c>
      <c r="W2371" s="152">
        <f t="shared" ref="W2371:W2434" si="714">+T2371-V2371</f>
        <v>24</v>
      </c>
      <c r="X2371" s="127" t="str">
        <f t="shared" si="712"/>
        <v/>
      </c>
      <c r="Y2371" s="207">
        <f t="shared" ref="Y2371:Y2434" si="715">W2371</f>
        <v>24</v>
      </c>
      <c r="Z2371" s="139">
        <f t="shared" ref="Z2371:Z2434" si="716">IFERROR(IF(B2371="2",ROUND(Y2371*G2371/I2371,0),Y2371),0)</f>
        <v>17</v>
      </c>
      <c r="AA2371" s="139">
        <f t="shared" ref="AA2371:AA2434" si="717">+Y2371-Z2371</f>
        <v>7</v>
      </c>
      <c r="AC2371" s="47">
        <f t="shared" ref="AC2371:AC2434" si="718">ROUND(Y2371/2,0)</f>
        <v>12</v>
      </c>
      <c r="AD2371" s="47">
        <f t="shared" ref="AD2371:AD2434" si="719">ROUND(Z2371/2,0)</f>
        <v>9</v>
      </c>
      <c r="AE2371" s="47">
        <f t="shared" ref="AE2371:AE2434" si="720">ROUND(AA2371/2,0)</f>
        <v>4</v>
      </c>
      <c r="AG2371" s="47">
        <f t="shared" ref="AG2371:AG2434" si="721">+Y2371-AC2371</f>
        <v>12</v>
      </c>
      <c r="AH2371" s="47">
        <f t="shared" ref="AH2371:AH2434" si="722">+Z2371-AD2371</f>
        <v>8</v>
      </c>
      <c r="AI2371" s="208">
        <f t="shared" ref="AI2371:AI2434" si="723">+AA2371-AE2371</f>
        <v>3</v>
      </c>
    </row>
    <row r="2372" spans="1:35">
      <c r="A2372" t="s">
        <v>2165</v>
      </c>
      <c r="B2372" t="s">
        <v>3142</v>
      </c>
      <c r="C2372" t="s">
        <v>2189</v>
      </c>
      <c r="D2372" t="s">
        <v>5909</v>
      </c>
      <c r="F2372" t="s">
        <v>107</v>
      </c>
      <c r="G2372" s="126">
        <f>SUMIFS('Support - Transition'!F:F,'Support - Transition'!B:B,'Step 2'!A2372,'Support - Transition'!C:C,'Step 2'!B2372,'Support - Transition'!D:D,'Step 2'!C2372,'Support - Transition'!E:E,"CIVIL")</f>
        <v>1.5900000000000001E-3</v>
      </c>
      <c r="H2372" s="126">
        <f>SUMIFS('Support - Transition'!F:F,'Support - Transition'!B:B,'Step 2'!A2372,'Support - Transition'!C:C,'Step 2'!B2372,'Support - Transition'!D:D,'Step 2'!C2372,'Support - Transition'!E:E,"FIRE")</f>
        <v>1.3680000000000001E-3</v>
      </c>
      <c r="I2372" s="126">
        <f>IF(B2372="0",SUMIFS('Support - Transition'!F:F,'Support - Transition'!J:J,'Step 2'!D2372,'Support - Transition'!E:E,"STATE UNIT"),SUMIFS('Support - Transition'!F:F,'Support - Transition'!J:J,'Step 2'!D2372))</f>
        <v>2.9580000000000001E-3</v>
      </c>
      <c r="J2372" s="126">
        <f>SUMIFS('Support - Unit Adjustments'!E:E,'Support - Unit Adjustments'!F:F,'Step 2'!D2372)</f>
        <v>0</v>
      </c>
      <c r="K2372" s="126">
        <f t="shared" si="707"/>
        <v>2.9580000000000001E-3</v>
      </c>
      <c r="L2372" s="174">
        <f>VLOOKUP(A2372,'Step 1'!$A:$E,4,FALSE)</f>
        <v>45289</v>
      </c>
      <c r="M2372" s="47">
        <f t="shared" si="708"/>
        <v>134</v>
      </c>
      <c r="N2372" s="177">
        <f>SUMIFS('Support - Transition'!G:G,'Support - Transition'!J:J,'Step 2'!D2372,'Support - Transition'!E:E,"2009 WELFARE ALLOCATION FACTOR")</f>
        <v>0</v>
      </c>
      <c r="O2372" s="152">
        <f t="shared" si="713"/>
        <v>0</v>
      </c>
      <c r="P2372" s="126">
        <f>IF(E2372="Y",0,SUMIFS('Support - Transition'!G:G,'Support - Transition'!J:J,'Step 2'!D2372,'Support - Transition'!E:E,"2009 SCHOOL ALLOCATION FACTOR"))</f>
        <v>0</v>
      </c>
      <c r="Q2372" s="126">
        <f>IF(E2372="Y",VLOOKUP(D2372,'Support - Unit Adjustments'!F:G,2,FALSE),0)</f>
        <v>0</v>
      </c>
      <c r="R2372" s="155">
        <f t="shared" si="706"/>
        <v>0</v>
      </c>
      <c r="S2372" s="47">
        <f t="shared" si="705"/>
        <v>0</v>
      </c>
      <c r="T2372" s="151">
        <f t="shared" si="709"/>
        <v>134</v>
      </c>
      <c r="U2372" s="151">
        <f t="shared" si="710"/>
        <v>0</v>
      </c>
      <c r="V2372" s="139">
        <f t="shared" si="711"/>
        <v>0</v>
      </c>
      <c r="W2372" s="152">
        <f t="shared" si="714"/>
        <v>134</v>
      </c>
      <c r="X2372" s="127" t="str">
        <f t="shared" si="712"/>
        <v/>
      </c>
      <c r="Y2372" s="207">
        <f t="shared" si="715"/>
        <v>134</v>
      </c>
      <c r="Z2372" s="139">
        <f t="shared" si="716"/>
        <v>72</v>
      </c>
      <c r="AA2372" s="139">
        <f t="shared" si="717"/>
        <v>62</v>
      </c>
      <c r="AC2372" s="47">
        <f t="shared" si="718"/>
        <v>67</v>
      </c>
      <c r="AD2372" s="47">
        <f t="shared" si="719"/>
        <v>36</v>
      </c>
      <c r="AE2372" s="47">
        <f t="shared" si="720"/>
        <v>31</v>
      </c>
      <c r="AG2372" s="47">
        <f t="shared" si="721"/>
        <v>67</v>
      </c>
      <c r="AH2372" s="47">
        <f t="shared" si="722"/>
        <v>36</v>
      </c>
      <c r="AI2372" s="208">
        <f t="shared" si="723"/>
        <v>31</v>
      </c>
    </row>
    <row r="2373" spans="1:35">
      <c r="A2373" t="s">
        <v>2165</v>
      </c>
      <c r="B2373" t="s">
        <v>3142</v>
      </c>
      <c r="C2373" t="s">
        <v>2190</v>
      </c>
      <c r="D2373" t="s">
        <v>5910</v>
      </c>
      <c r="F2373" t="s">
        <v>1440</v>
      </c>
      <c r="G2373" s="126">
        <f>SUMIFS('Support - Transition'!F:F,'Support - Transition'!B:B,'Step 2'!A2373,'Support - Transition'!C:C,'Step 2'!B2373,'Support - Transition'!D:D,'Step 2'!C2373,'Support - Transition'!E:E,"CIVIL")</f>
        <v>7.6499999999999995E-4</v>
      </c>
      <c r="H2373" s="126">
        <f>SUMIFS('Support - Transition'!F:F,'Support - Transition'!B:B,'Step 2'!A2373,'Support - Transition'!C:C,'Step 2'!B2373,'Support - Transition'!D:D,'Step 2'!C2373,'Support - Transition'!E:E,"FIRE")</f>
        <v>5.2300000000000003E-4</v>
      </c>
      <c r="I2373" s="126">
        <f>IF(B2373="0",SUMIFS('Support - Transition'!F:F,'Support - Transition'!J:J,'Step 2'!D2373,'Support - Transition'!E:E,"STATE UNIT"),SUMIFS('Support - Transition'!F:F,'Support - Transition'!J:J,'Step 2'!D2373))</f>
        <v>1.2880000000000001E-3</v>
      </c>
      <c r="J2373" s="126">
        <f>SUMIFS('Support - Unit Adjustments'!E:E,'Support - Unit Adjustments'!F:F,'Step 2'!D2373)</f>
        <v>0</v>
      </c>
      <c r="K2373" s="126">
        <f t="shared" si="707"/>
        <v>1.2880000000000001E-3</v>
      </c>
      <c r="L2373" s="174">
        <f>VLOOKUP(A2373,'Step 1'!$A:$E,4,FALSE)</f>
        <v>45289</v>
      </c>
      <c r="M2373" s="47">
        <f t="shared" si="708"/>
        <v>58</v>
      </c>
      <c r="N2373" s="177">
        <f>SUMIFS('Support - Transition'!G:G,'Support - Transition'!J:J,'Step 2'!D2373,'Support - Transition'!E:E,"2009 WELFARE ALLOCATION FACTOR")</f>
        <v>0</v>
      </c>
      <c r="O2373" s="152">
        <f t="shared" si="713"/>
        <v>0</v>
      </c>
      <c r="P2373" s="126">
        <f>IF(E2373="Y",0,SUMIFS('Support - Transition'!G:G,'Support - Transition'!J:J,'Step 2'!D2373,'Support - Transition'!E:E,"2009 SCHOOL ALLOCATION FACTOR"))</f>
        <v>0</v>
      </c>
      <c r="Q2373" s="126">
        <f>IF(E2373="Y",VLOOKUP(D2373,'Support - Unit Adjustments'!F:G,2,FALSE),0)</f>
        <v>0</v>
      </c>
      <c r="R2373" s="155">
        <f t="shared" si="706"/>
        <v>0</v>
      </c>
      <c r="S2373" s="47">
        <f t="shared" si="705"/>
        <v>0</v>
      </c>
      <c r="T2373" s="151">
        <f t="shared" si="709"/>
        <v>58</v>
      </c>
      <c r="U2373" s="151">
        <f t="shared" si="710"/>
        <v>0</v>
      </c>
      <c r="V2373" s="139">
        <f t="shared" si="711"/>
        <v>0</v>
      </c>
      <c r="W2373" s="152">
        <f t="shared" si="714"/>
        <v>58</v>
      </c>
      <c r="X2373" s="127" t="str">
        <f t="shared" si="712"/>
        <v/>
      </c>
      <c r="Y2373" s="207">
        <f t="shared" si="715"/>
        <v>58</v>
      </c>
      <c r="Z2373" s="139">
        <f t="shared" si="716"/>
        <v>34</v>
      </c>
      <c r="AA2373" s="139">
        <f t="shared" si="717"/>
        <v>24</v>
      </c>
      <c r="AC2373" s="47">
        <f t="shared" si="718"/>
        <v>29</v>
      </c>
      <c r="AD2373" s="47">
        <f t="shared" si="719"/>
        <v>17</v>
      </c>
      <c r="AE2373" s="47">
        <f t="shared" si="720"/>
        <v>12</v>
      </c>
      <c r="AG2373" s="47">
        <f t="shared" si="721"/>
        <v>29</v>
      </c>
      <c r="AH2373" s="47">
        <f t="shared" si="722"/>
        <v>17</v>
      </c>
      <c r="AI2373" s="208">
        <f t="shared" si="723"/>
        <v>12</v>
      </c>
    </row>
    <row r="2374" spans="1:35">
      <c r="A2374" t="s">
        <v>2165</v>
      </c>
      <c r="B2374" t="s">
        <v>3142</v>
      </c>
      <c r="C2374" t="s">
        <v>2191</v>
      </c>
      <c r="D2374" t="s">
        <v>5911</v>
      </c>
      <c r="F2374" t="s">
        <v>86</v>
      </c>
      <c r="G2374" s="126">
        <f>SUMIFS('Support - Transition'!F:F,'Support - Transition'!B:B,'Step 2'!A2374,'Support - Transition'!C:C,'Step 2'!B2374,'Support - Transition'!D:D,'Step 2'!C2374,'Support - Transition'!E:E,"CIVIL")</f>
        <v>3.0590000000000001E-3</v>
      </c>
      <c r="H2374" s="126">
        <f>SUMIFS('Support - Transition'!F:F,'Support - Transition'!B:B,'Step 2'!A2374,'Support - Transition'!C:C,'Step 2'!B2374,'Support - Transition'!D:D,'Step 2'!C2374,'Support - Transition'!E:E,"FIRE")</f>
        <v>2.5149999999999999E-3</v>
      </c>
      <c r="I2374" s="126">
        <f>IF(B2374="0",SUMIFS('Support - Transition'!F:F,'Support - Transition'!J:J,'Step 2'!D2374,'Support - Transition'!E:E,"STATE UNIT"),SUMIFS('Support - Transition'!F:F,'Support - Transition'!J:J,'Step 2'!D2374))</f>
        <v>5.574E-3</v>
      </c>
      <c r="J2374" s="126">
        <f>SUMIFS('Support - Unit Adjustments'!E:E,'Support - Unit Adjustments'!F:F,'Step 2'!D2374)</f>
        <v>0</v>
      </c>
      <c r="K2374" s="126">
        <f t="shared" si="707"/>
        <v>5.574E-3</v>
      </c>
      <c r="L2374" s="174">
        <f>VLOOKUP(A2374,'Step 1'!$A:$E,4,FALSE)</f>
        <v>45289</v>
      </c>
      <c r="M2374" s="47">
        <f t="shared" si="708"/>
        <v>252</v>
      </c>
      <c r="N2374" s="177">
        <f>SUMIFS('Support - Transition'!G:G,'Support - Transition'!J:J,'Step 2'!D2374,'Support - Transition'!E:E,"2009 WELFARE ALLOCATION FACTOR")</f>
        <v>0</v>
      </c>
      <c r="O2374" s="152">
        <f t="shared" si="713"/>
        <v>0</v>
      </c>
      <c r="P2374" s="126">
        <f>IF(E2374="Y",0,SUMIFS('Support - Transition'!G:G,'Support - Transition'!J:J,'Step 2'!D2374,'Support - Transition'!E:E,"2009 SCHOOL ALLOCATION FACTOR"))</f>
        <v>0</v>
      </c>
      <c r="Q2374" s="126">
        <f>IF(E2374="Y",VLOOKUP(D2374,'Support - Unit Adjustments'!F:G,2,FALSE),0)</f>
        <v>0</v>
      </c>
      <c r="R2374" s="155">
        <f t="shared" si="706"/>
        <v>0</v>
      </c>
      <c r="S2374" s="47">
        <f t="shared" si="705"/>
        <v>0</v>
      </c>
      <c r="T2374" s="151">
        <f t="shared" si="709"/>
        <v>252</v>
      </c>
      <c r="U2374" s="151">
        <f t="shared" si="710"/>
        <v>0</v>
      </c>
      <c r="V2374" s="139">
        <f t="shared" si="711"/>
        <v>0</v>
      </c>
      <c r="W2374" s="152">
        <f t="shared" si="714"/>
        <v>252</v>
      </c>
      <c r="X2374" s="127" t="str">
        <f t="shared" si="712"/>
        <v/>
      </c>
      <c r="Y2374" s="207">
        <f t="shared" si="715"/>
        <v>252</v>
      </c>
      <c r="Z2374" s="139">
        <f t="shared" si="716"/>
        <v>138</v>
      </c>
      <c r="AA2374" s="139">
        <f t="shared" si="717"/>
        <v>114</v>
      </c>
      <c r="AC2374" s="47">
        <f t="shared" si="718"/>
        <v>126</v>
      </c>
      <c r="AD2374" s="47">
        <f t="shared" si="719"/>
        <v>69</v>
      </c>
      <c r="AE2374" s="47">
        <f t="shared" si="720"/>
        <v>57</v>
      </c>
      <c r="AG2374" s="47">
        <f t="shared" si="721"/>
        <v>126</v>
      </c>
      <c r="AH2374" s="47">
        <f t="shared" si="722"/>
        <v>69</v>
      </c>
      <c r="AI2374" s="208">
        <f t="shared" si="723"/>
        <v>57</v>
      </c>
    </row>
    <row r="2375" spans="1:35">
      <c r="A2375" t="s">
        <v>2165</v>
      </c>
      <c r="B2375" t="s">
        <v>3142</v>
      </c>
      <c r="C2375" t="s">
        <v>2192</v>
      </c>
      <c r="D2375" t="s">
        <v>5912</v>
      </c>
      <c r="F2375" t="s">
        <v>181</v>
      </c>
      <c r="G2375" s="126">
        <f>SUMIFS('Support - Transition'!F:F,'Support - Transition'!B:B,'Step 2'!A2375,'Support - Transition'!C:C,'Step 2'!B2375,'Support - Transition'!D:D,'Step 2'!C2375,'Support - Transition'!E:E,"CIVIL")</f>
        <v>9.2599999999999996E-4</v>
      </c>
      <c r="H2375" s="126">
        <f>SUMIFS('Support - Transition'!F:F,'Support - Transition'!B:B,'Step 2'!A2375,'Support - Transition'!C:C,'Step 2'!B2375,'Support - Transition'!D:D,'Step 2'!C2375,'Support - Transition'!E:E,"FIRE")</f>
        <v>8.8500000000000004E-4</v>
      </c>
      <c r="I2375" s="126">
        <f>IF(B2375="0",SUMIFS('Support - Transition'!F:F,'Support - Transition'!J:J,'Step 2'!D2375,'Support - Transition'!E:E,"STATE UNIT"),SUMIFS('Support - Transition'!F:F,'Support - Transition'!J:J,'Step 2'!D2375))</f>
        <v>1.8110000000000001E-3</v>
      </c>
      <c r="J2375" s="126">
        <f>SUMIFS('Support - Unit Adjustments'!E:E,'Support - Unit Adjustments'!F:F,'Step 2'!D2375)</f>
        <v>0</v>
      </c>
      <c r="K2375" s="126">
        <f t="shared" si="707"/>
        <v>1.8110000000000001E-3</v>
      </c>
      <c r="L2375" s="174">
        <f>VLOOKUP(A2375,'Step 1'!$A:$E,4,FALSE)</f>
        <v>45289</v>
      </c>
      <c r="M2375" s="47">
        <f t="shared" si="708"/>
        <v>82</v>
      </c>
      <c r="N2375" s="177">
        <f>SUMIFS('Support - Transition'!G:G,'Support - Transition'!J:J,'Step 2'!D2375,'Support - Transition'!E:E,"2009 WELFARE ALLOCATION FACTOR")</f>
        <v>0</v>
      </c>
      <c r="O2375" s="152">
        <f t="shared" si="713"/>
        <v>0</v>
      </c>
      <c r="P2375" s="126">
        <f>IF(E2375="Y",0,SUMIFS('Support - Transition'!G:G,'Support - Transition'!J:J,'Step 2'!D2375,'Support - Transition'!E:E,"2009 SCHOOL ALLOCATION FACTOR"))</f>
        <v>0</v>
      </c>
      <c r="Q2375" s="126">
        <f>IF(E2375="Y",VLOOKUP(D2375,'Support - Unit Adjustments'!F:G,2,FALSE),0)</f>
        <v>0</v>
      </c>
      <c r="R2375" s="155">
        <f t="shared" si="706"/>
        <v>0</v>
      </c>
      <c r="S2375" s="47">
        <f t="shared" si="705"/>
        <v>0</v>
      </c>
      <c r="T2375" s="151">
        <f t="shared" si="709"/>
        <v>82</v>
      </c>
      <c r="U2375" s="151">
        <f t="shared" si="710"/>
        <v>0</v>
      </c>
      <c r="V2375" s="139">
        <f t="shared" si="711"/>
        <v>0</v>
      </c>
      <c r="W2375" s="152">
        <f t="shared" si="714"/>
        <v>82</v>
      </c>
      <c r="X2375" s="127" t="str">
        <f t="shared" si="712"/>
        <v/>
      </c>
      <c r="Y2375" s="207">
        <f t="shared" si="715"/>
        <v>82</v>
      </c>
      <c r="Z2375" s="139">
        <f t="shared" si="716"/>
        <v>42</v>
      </c>
      <c r="AA2375" s="139">
        <f t="shared" si="717"/>
        <v>40</v>
      </c>
      <c r="AC2375" s="47">
        <f t="shared" si="718"/>
        <v>41</v>
      </c>
      <c r="AD2375" s="47">
        <f t="shared" si="719"/>
        <v>21</v>
      </c>
      <c r="AE2375" s="47">
        <f t="shared" si="720"/>
        <v>20</v>
      </c>
      <c r="AG2375" s="47">
        <f t="shared" si="721"/>
        <v>41</v>
      </c>
      <c r="AH2375" s="47">
        <f t="shared" si="722"/>
        <v>21</v>
      </c>
      <c r="AI2375" s="208">
        <f t="shared" si="723"/>
        <v>20</v>
      </c>
    </row>
    <row r="2376" spans="1:35">
      <c r="A2376" t="s">
        <v>2165</v>
      </c>
      <c r="B2376" t="s">
        <v>3142</v>
      </c>
      <c r="C2376" t="s">
        <v>2193</v>
      </c>
      <c r="D2376" t="s">
        <v>5913</v>
      </c>
      <c r="F2376" t="s">
        <v>20</v>
      </c>
      <c r="G2376" s="126">
        <f>SUMIFS('Support - Transition'!F:F,'Support - Transition'!B:B,'Step 2'!A2376,'Support - Transition'!C:C,'Step 2'!B2376,'Support - Transition'!D:D,'Step 2'!C2376,'Support - Transition'!E:E,"CIVIL")</f>
        <v>1.57E-3</v>
      </c>
      <c r="H2376" s="126">
        <f>SUMIFS('Support - Transition'!F:F,'Support - Transition'!B:B,'Step 2'!A2376,'Support - Transition'!C:C,'Step 2'!B2376,'Support - Transition'!D:D,'Step 2'!C2376,'Support - Transition'!E:E,"FIRE")</f>
        <v>1.248E-3</v>
      </c>
      <c r="I2376" s="126">
        <f>IF(B2376="0",SUMIFS('Support - Transition'!F:F,'Support - Transition'!J:J,'Step 2'!D2376,'Support - Transition'!E:E,"STATE UNIT"),SUMIFS('Support - Transition'!F:F,'Support - Transition'!J:J,'Step 2'!D2376))</f>
        <v>2.8180000000000002E-3</v>
      </c>
      <c r="J2376" s="126">
        <f>SUMIFS('Support - Unit Adjustments'!E:E,'Support - Unit Adjustments'!F:F,'Step 2'!D2376)</f>
        <v>0</v>
      </c>
      <c r="K2376" s="126">
        <f t="shared" si="707"/>
        <v>2.8180000000000002E-3</v>
      </c>
      <c r="L2376" s="174">
        <f>VLOOKUP(A2376,'Step 1'!$A:$E,4,FALSE)</f>
        <v>45289</v>
      </c>
      <c r="M2376" s="47">
        <f t="shared" si="708"/>
        <v>128</v>
      </c>
      <c r="N2376" s="177">
        <f>SUMIFS('Support - Transition'!G:G,'Support - Transition'!J:J,'Step 2'!D2376,'Support - Transition'!E:E,"2009 WELFARE ALLOCATION FACTOR")</f>
        <v>0</v>
      </c>
      <c r="O2376" s="152">
        <f t="shared" si="713"/>
        <v>0</v>
      </c>
      <c r="P2376" s="126">
        <f>IF(E2376="Y",0,SUMIFS('Support - Transition'!G:G,'Support - Transition'!J:J,'Step 2'!D2376,'Support - Transition'!E:E,"2009 SCHOOL ALLOCATION FACTOR"))</f>
        <v>0</v>
      </c>
      <c r="Q2376" s="126">
        <f>IF(E2376="Y",VLOOKUP(D2376,'Support - Unit Adjustments'!F:G,2,FALSE),0)</f>
        <v>0</v>
      </c>
      <c r="R2376" s="155">
        <f t="shared" si="706"/>
        <v>0</v>
      </c>
      <c r="S2376" s="47">
        <f t="shared" ref="S2376:S2439" si="724">ROUND(+R2376*M2376,0)</f>
        <v>0</v>
      </c>
      <c r="T2376" s="151">
        <f t="shared" si="709"/>
        <v>128</v>
      </c>
      <c r="U2376" s="151">
        <f t="shared" si="710"/>
        <v>0</v>
      </c>
      <c r="V2376" s="139">
        <f t="shared" si="711"/>
        <v>0</v>
      </c>
      <c r="W2376" s="152">
        <f t="shared" si="714"/>
        <v>128</v>
      </c>
      <c r="X2376" s="127" t="str">
        <f t="shared" si="712"/>
        <v/>
      </c>
      <c r="Y2376" s="207">
        <f t="shared" si="715"/>
        <v>128</v>
      </c>
      <c r="Z2376" s="139">
        <f t="shared" si="716"/>
        <v>71</v>
      </c>
      <c r="AA2376" s="139">
        <f t="shared" si="717"/>
        <v>57</v>
      </c>
      <c r="AC2376" s="47">
        <f t="shared" si="718"/>
        <v>64</v>
      </c>
      <c r="AD2376" s="47">
        <f t="shared" si="719"/>
        <v>36</v>
      </c>
      <c r="AE2376" s="47">
        <f t="shared" si="720"/>
        <v>29</v>
      </c>
      <c r="AG2376" s="47">
        <f t="shared" si="721"/>
        <v>64</v>
      </c>
      <c r="AH2376" s="47">
        <f t="shared" si="722"/>
        <v>35</v>
      </c>
      <c r="AI2376" s="208">
        <f t="shared" si="723"/>
        <v>28</v>
      </c>
    </row>
    <row r="2377" spans="1:35">
      <c r="A2377" t="s">
        <v>2165</v>
      </c>
      <c r="B2377" t="s">
        <v>3155</v>
      </c>
      <c r="C2377" t="s">
        <v>3049</v>
      </c>
      <c r="D2377" t="s">
        <v>5914</v>
      </c>
      <c r="F2377" t="s">
        <v>1694</v>
      </c>
      <c r="G2377" s="126">
        <f>SUMIFS('Support - Transition'!F:F,'Support - Transition'!B:B,'Step 2'!A2377,'Support - Transition'!C:C,'Step 2'!B2377,'Support - Transition'!D:D,'Step 2'!C2377,'Support - Transition'!E:E,"CIVIL")</f>
        <v>0</v>
      </c>
      <c r="H2377" s="126">
        <f>SUMIFS('Support - Transition'!F:F,'Support - Transition'!B:B,'Step 2'!A2377,'Support - Transition'!C:C,'Step 2'!B2377,'Support - Transition'!D:D,'Step 2'!C2377,'Support - Transition'!E:E,"FIRE")</f>
        <v>0</v>
      </c>
      <c r="I2377" s="126">
        <f>IF(B2377="0",SUMIFS('Support - Transition'!F:F,'Support - Transition'!J:J,'Step 2'!D2377,'Support - Transition'!E:E,"STATE UNIT"),SUMIFS('Support - Transition'!F:F,'Support - Transition'!J:J,'Step 2'!D2377))</f>
        <v>4.4090999999999998E-2</v>
      </c>
      <c r="J2377" s="126">
        <f>SUMIFS('Support - Unit Adjustments'!E:E,'Support - Unit Adjustments'!F:F,'Step 2'!D2377)</f>
        <v>0</v>
      </c>
      <c r="K2377" s="126">
        <f t="shared" si="707"/>
        <v>4.4090999999999998E-2</v>
      </c>
      <c r="L2377" s="174">
        <f>VLOOKUP(A2377,'Step 1'!$A:$E,4,FALSE)</f>
        <v>45289</v>
      </c>
      <c r="M2377" s="47">
        <f t="shared" si="708"/>
        <v>1997</v>
      </c>
      <c r="N2377" s="177">
        <f>SUMIFS('Support - Transition'!G:G,'Support - Transition'!J:J,'Step 2'!D2377,'Support - Transition'!E:E,"2009 WELFARE ALLOCATION FACTOR")</f>
        <v>0</v>
      </c>
      <c r="O2377" s="152">
        <f t="shared" si="713"/>
        <v>0</v>
      </c>
      <c r="P2377" s="126">
        <f>IF(E2377="Y",0,SUMIFS('Support - Transition'!G:G,'Support - Transition'!J:J,'Step 2'!D2377,'Support - Transition'!E:E,"2009 SCHOOL ALLOCATION FACTOR"))</f>
        <v>0</v>
      </c>
      <c r="Q2377" s="126">
        <f>IF(E2377="Y",VLOOKUP(D2377,'Support - Unit Adjustments'!F:G,2,FALSE),0)</f>
        <v>0</v>
      </c>
      <c r="R2377" s="155">
        <f t="shared" ref="R2377:R2440" si="725">+P2377+Q2377</f>
        <v>0</v>
      </c>
      <c r="S2377" s="47">
        <f t="shared" si="724"/>
        <v>0</v>
      </c>
      <c r="T2377" s="151">
        <f t="shared" si="709"/>
        <v>1997</v>
      </c>
      <c r="U2377" s="151">
        <f t="shared" si="710"/>
        <v>0</v>
      </c>
      <c r="V2377" s="139">
        <f t="shared" si="711"/>
        <v>0</v>
      </c>
      <c r="W2377" s="152">
        <f t="shared" si="714"/>
        <v>1997</v>
      </c>
      <c r="X2377" s="127" t="str">
        <f t="shared" si="712"/>
        <v/>
      </c>
      <c r="Y2377" s="207">
        <f t="shared" si="715"/>
        <v>1997</v>
      </c>
      <c r="Z2377" s="139">
        <f t="shared" si="716"/>
        <v>1997</v>
      </c>
      <c r="AA2377" s="139">
        <f t="shared" si="717"/>
        <v>0</v>
      </c>
      <c r="AC2377" s="47">
        <f t="shared" si="718"/>
        <v>999</v>
      </c>
      <c r="AD2377" s="47">
        <f t="shared" si="719"/>
        <v>999</v>
      </c>
      <c r="AE2377" s="47">
        <f t="shared" si="720"/>
        <v>0</v>
      </c>
      <c r="AG2377" s="47">
        <f t="shared" si="721"/>
        <v>998</v>
      </c>
      <c r="AH2377" s="47">
        <f t="shared" si="722"/>
        <v>998</v>
      </c>
      <c r="AI2377" s="208">
        <f t="shared" si="723"/>
        <v>0</v>
      </c>
    </row>
    <row r="2378" spans="1:35">
      <c r="A2378" t="s">
        <v>2165</v>
      </c>
      <c r="B2378" t="s">
        <v>3155</v>
      </c>
      <c r="C2378" t="s">
        <v>3050</v>
      </c>
      <c r="D2378" t="s">
        <v>5915</v>
      </c>
      <c r="F2378" t="s">
        <v>1695</v>
      </c>
      <c r="G2378" s="126">
        <f>SUMIFS('Support - Transition'!F:F,'Support - Transition'!B:B,'Step 2'!A2378,'Support - Transition'!C:C,'Step 2'!B2378,'Support - Transition'!D:D,'Step 2'!C2378,'Support - Transition'!E:E,"CIVIL")</f>
        <v>0</v>
      </c>
      <c r="H2378" s="126">
        <f>SUMIFS('Support - Transition'!F:F,'Support - Transition'!B:B,'Step 2'!A2378,'Support - Transition'!C:C,'Step 2'!B2378,'Support - Transition'!D:D,'Step 2'!C2378,'Support - Transition'!E:E,"FIRE")</f>
        <v>0</v>
      </c>
      <c r="I2378" s="126">
        <f>IF(B2378="0",SUMIFS('Support - Transition'!F:F,'Support - Transition'!J:J,'Step 2'!D2378,'Support - Transition'!E:E,"STATE UNIT"),SUMIFS('Support - Transition'!F:F,'Support - Transition'!J:J,'Step 2'!D2378))</f>
        <v>8.7939999999999997E-3</v>
      </c>
      <c r="J2378" s="126">
        <f>SUMIFS('Support - Unit Adjustments'!E:E,'Support - Unit Adjustments'!F:F,'Step 2'!D2378)</f>
        <v>0</v>
      </c>
      <c r="K2378" s="126">
        <f t="shared" si="707"/>
        <v>8.7939999999999997E-3</v>
      </c>
      <c r="L2378" s="174">
        <f>VLOOKUP(A2378,'Step 1'!$A:$E,4,FALSE)</f>
        <v>45289</v>
      </c>
      <c r="M2378" s="47">
        <f t="shared" si="708"/>
        <v>398</v>
      </c>
      <c r="N2378" s="177">
        <f>SUMIFS('Support - Transition'!G:G,'Support - Transition'!J:J,'Step 2'!D2378,'Support - Transition'!E:E,"2009 WELFARE ALLOCATION FACTOR")</f>
        <v>0</v>
      </c>
      <c r="O2378" s="152">
        <f t="shared" si="713"/>
        <v>0</v>
      </c>
      <c r="P2378" s="126">
        <f>IF(E2378="Y",0,SUMIFS('Support - Transition'!G:G,'Support - Transition'!J:J,'Step 2'!D2378,'Support - Transition'!E:E,"2009 SCHOOL ALLOCATION FACTOR"))</f>
        <v>0</v>
      </c>
      <c r="Q2378" s="126">
        <f>IF(E2378="Y",VLOOKUP(D2378,'Support - Unit Adjustments'!F:G,2,FALSE),0)</f>
        <v>0</v>
      </c>
      <c r="R2378" s="155">
        <f t="shared" si="725"/>
        <v>0</v>
      </c>
      <c r="S2378" s="47">
        <f t="shared" si="724"/>
        <v>0</v>
      </c>
      <c r="T2378" s="151">
        <f t="shared" si="709"/>
        <v>398</v>
      </c>
      <c r="U2378" s="151">
        <f t="shared" si="710"/>
        <v>0</v>
      </c>
      <c r="V2378" s="139">
        <f t="shared" si="711"/>
        <v>0</v>
      </c>
      <c r="W2378" s="152">
        <f t="shared" si="714"/>
        <v>398</v>
      </c>
      <c r="X2378" s="127" t="str">
        <f t="shared" si="712"/>
        <v/>
      </c>
      <c r="Y2378" s="207">
        <f t="shared" si="715"/>
        <v>398</v>
      </c>
      <c r="Z2378" s="139">
        <f t="shared" si="716"/>
        <v>398</v>
      </c>
      <c r="AA2378" s="139">
        <f t="shared" si="717"/>
        <v>0</v>
      </c>
      <c r="AC2378" s="47">
        <f t="shared" si="718"/>
        <v>199</v>
      </c>
      <c r="AD2378" s="47">
        <f t="shared" si="719"/>
        <v>199</v>
      </c>
      <c r="AE2378" s="47">
        <f t="shared" si="720"/>
        <v>0</v>
      </c>
      <c r="AG2378" s="47">
        <f t="shared" si="721"/>
        <v>199</v>
      </c>
      <c r="AH2378" s="47">
        <f t="shared" si="722"/>
        <v>199</v>
      </c>
      <c r="AI2378" s="208">
        <f t="shared" si="723"/>
        <v>0</v>
      </c>
    </row>
    <row r="2379" spans="1:35">
      <c r="A2379" t="s">
        <v>2165</v>
      </c>
      <c r="B2379" t="s">
        <v>3160</v>
      </c>
      <c r="C2379" t="s">
        <v>2451</v>
      </c>
      <c r="D2379" t="s">
        <v>5916</v>
      </c>
      <c r="F2379" t="s">
        <v>542</v>
      </c>
      <c r="G2379" s="126">
        <f>SUMIFS('Support - Transition'!F:F,'Support - Transition'!B:B,'Step 2'!A2379,'Support - Transition'!C:C,'Step 2'!B2379,'Support - Transition'!D:D,'Step 2'!C2379,'Support - Transition'!E:E,"CIVIL")</f>
        <v>0</v>
      </c>
      <c r="H2379" s="126">
        <f>SUMIFS('Support - Transition'!F:F,'Support - Transition'!B:B,'Step 2'!A2379,'Support - Transition'!C:C,'Step 2'!B2379,'Support - Transition'!D:D,'Step 2'!C2379,'Support - Transition'!E:E,"FIRE")</f>
        <v>0</v>
      </c>
      <c r="I2379" s="126">
        <f>IF(B2379="0",SUMIFS('Support - Transition'!F:F,'Support - Transition'!J:J,'Step 2'!D2379,'Support - Transition'!E:E,"STATE UNIT"),SUMIFS('Support - Transition'!F:F,'Support - Transition'!J:J,'Step 2'!D2379))</f>
        <v>0.67699699999999996</v>
      </c>
      <c r="J2379" s="126">
        <f>SUMIFS('Support - Unit Adjustments'!E:E,'Support - Unit Adjustments'!F:F,'Step 2'!D2379)</f>
        <v>0</v>
      </c>
      <c r="K2379" s="126">
        <f t="shared" si="707"/>
        <v>0.67699699999999996</v>
      </c>
      <c r="L2379" s="174">
        <f>VLOOKUP(A2379,'Step 1'!$A:$E,4,FALSE)</f>
        <v>45289</v>
      </c>
      <c r="M2379" s="47">
        <f t="shared" si="708"/>
        <v>30661</v>
      </c>
      <c r="N2379" s="177">
        <f>SUMIFS('Support - Transition'!G:G,'Support - Transition'!J:J,'Step 2'!D2379,'Support - Transition'!E:E,"2009 WELFARE ALLOCATION FACTOR")</f>
        <v>0</v>
      </c>
      <c r="O2379" s="152">
        <f t="shared" si="713"/>
        <v>0</v>
      </c>
      <c r="P2379" s="126">
        <f>IF(E2379="Y",0,SUMIFS('Support - Transition'!G:G,'Support - Transition'!J:J,'Step 2'!D2379,'Support - Transition'!E:E,"2009 SCHOOL ALLOCATION FACTOR"))</f>
        <v>0.39346700000000001</v>
      </c>
      <c r="Q2379" s="126">
        <f>IF(E2379="Y",VLOOKUP(D2379,'Support - Unit Adjustments'!F:G,2,FALSE),0)</f>
        <v>0</v>
      </c>
      <c r="R2379" s="155">
        <f t="shared" si="725"/>
        <v>0.39346700000000001</v>
      </c>
      <c r="S2379" s="47">
        <f t="shared" si="724"/>
        <v>12064</v>
      </c>
      <c r="T2379" s="151">
        <f t="shared" si="709"/>
        <v>18597</v>
      </c>
      <c r="U2379" s="151">
        <f t="shared" si="710"/>
        <v>0</v>
      </c>
      <c r="V2379" s="139">
        <f t="shared" si="711"/>
        <v>0</v>
      </c>
      <c r="W2379" s="152">
        <f t="shared" si="714"/>
        <v>18597</v>
      </c>
      <c r="X2379" s="127" t="str">
        <f t="shared" si="712"/>
        <v/>
      </c>
      <c r="Y2379" s="207">
        <f t="shared" si="715"/>
        <v>18597</v>
      </c>
      <c r="Z2379" s="139">
        <f t="shared" si="716"/>
        <v>18597</v>
      </c>
      <c r="AA2379" s="139">
        <f t="shared" si="717"/>
        <v>0</v>
      </c>
      <c r="AC2379" s="47">
        <f t="shared" si="718"/>
        <v>9299</v>
      </c>
      <c r="AD2379" s="47">
        <f t="shared" si="719"/>
        <v>9299</v>
      </c>
      <c r="AE2379" s="47">
        <f t="shared" si="720"/>
        <v>0</v>
      </c>
      <c r="AG2379" s="47">
        <f t="shared" si="721"/>
        <v>9298</v>
      </c>
      <c r="AH2379" s="47">
        <f t="shared" si="722"/>
        <v>9298</v>
      </c>
      <c r="AI2379" s="208">
        <f t="shared" si="723"/>
        <v>0</v>
      </c>
    </row>
    <row r="2380" spans="1:35">
      <c r="A2380" t="s">
        <v>2165</v>
      </c>
      <c r="B2380" t="s">
        <v>3166</v>
      </c>
      <c r="C2380" t="s">
        <v>5917</v>
      </c>
      <c r="D2380" t="s">
        <v>5918</v>
      </c>
      <c r="F2380" t="s">
        <v>1696</v>
      </c>
      <c r="G2380" s="126">
        <f>SUMIFS('Support - Transition'!F:F,'Support - Transition'!B:B,'Step 2'!A2380,'Support - Transition'!C:C,'Step 2'!B2380,'Support - Transition'!D:D,'Step 2'!C2380,'Support - Transition'!E:E,"CIVIL")</f>
        <v>0</v>
      </c>
      <c r="H2380" s="126">
        <f>SUMIFS('Support - Transition'!F:F,'Support - Transition'!B:B,'Step 2'!A2380,'Support - Transition'!C:C,'Step 2'!B2380,'Support - Transition'!D:D,'Step 2'!C2380,'Support - Transition'!E:E,"FIRE")</f>
        <v>0</v>
      </c>
      <c r="I2380" s="126">
        <f>IF(B2380="0",SUMIFS('Support - Transition'!F:F,'Support - Transition'!J:J,'Step 2'!D2380,'Support - Transition'!E:E,"STATE UNIT"),SUMIFS('Support - Transition'!F:F,'Support - Transition'!J:J,'Step 2'!D2380))</f>
        <v>3.1815000000000003E-2</v>
      </c>
      <c r="J2380" s="126">
        <f>SUMIFS('Support - Unit Adjustments'!E:E,'Support - Unit Adjustments'!F:F,'Step 2'!D2380)</f>
        <v>0</v>
      </c>
      <c r="K2380" s="126">
        <f t="shared" si="707"/>
        <v>3.1815000000000003E-2</v>
      </c>
      <c r="L2380" s="174">
        <f>VLOOKUP(A2380,'Step 1'!$A:$E,4,FALSE)</f>
        <v>45289</v>
      </c>
      <c r="M2380" s="47">
        <f t="shared" si="708"/>
        <v>1441</v>
      </c>
      <c r="N2380" s="177">
        <f>SUMIFS('Support - Transition'!G:G,'Support - Transition'!J:J,'Step 2'!D2380,'Support - Transition'!E:E,"2009 WELFARE ALLOCATION FACTOR")</f>
        <v>0</v>
      </c>
      <c r="O2380" s="152">
        <f t="shared" si="713"/>
        <v>0</v>
      </c>
      <c r="P2380" s="126">
        <f>IF(E2380="Y",0,SUMIFS('Support - Transition'!G:G,'Support - Transition'!J:J,'Step 2'!D2380,'Support - Transition'!E:E,"2009 SCHOOL ALLOCATION FACTOR"))</f>
        <v>0</v>
      </c>
      <c r="Q2380" s="126">
        <f>IF(E2380="Y",VLOOKUP(D2380,'Support - Unit Adjustments'!F:G,2,FALSE),0)</f>
        <v>0</v>
      </c>
      <c r="R2380" s="155">
        <f t="shared" si="725"/>
        <v>0</v>
      </c>
      <c r="S2380" s="47">
        <f t="shared" si="724"/>
        <v>0</v>
      </c>
      <c r="T2380" s="151">
        <f t="shared" si="709"/>
        <v>1441</v>
      </c>
      <c r="U2380" s="151">
        <f t="shared" si="710"/>
        <v>0</v>
      </c>
      <c r="V2380" s="139">
        <f t="shared" si="711"/>
        <v>0</v>
      </c>
      <c r="W2380" s="152">
        <f t="shared" si="714"/>
        <v>1441</v>
      </c>
      <c r="X2380" s="127" t="str">
        <f t="shared" si="712"/>
        <v/>
      </c>
      <c r="Y2380" s="207">
        <f t="shared" si="715"/>
        <v>1441</v>
      </c>
      <c r="Z2380" s="139">
        <f t="shared" si="716"/>
        <v>1441</v>
      </c>
      <c r="AA2380" s="139">
        <f t="shared" si="717"/>
        <v>0</v>
      </c>
      <c r="AC2380" s="47">
        <f t="shared" si="718"/>
        <v>721</v>
      </c>
      <c r="AD2380" s="47">
        <f t="shared" si="719"/>
        <v>721</v>
      </c>
      <c r="AE2380" s="47">
        <f t="shared" si="720"/>
        <v>0</v>
      </c>
      <c r="AG2380" s="47">
        <f t="shared" si="721"/>
        <v>720</v>
      </c>
      <c r="AH2380" s="47">
        <f t="shared" si="722"/>
        <v>720</v>
      </c>
      <c r="AI2380" s="208">
        <f t="shared" si="723"/>
        <v>0</v>
      </c>
    </row>
    <row r="2381" spans="1:35">
      <c r="A2381" t="s">
        <v>2165</v>
      </c>
      <c r="B2381" t="s">
        <v>3170</v>
      </c>
      <c r="C2381" t="s">
        <v>5919</v>
      </c>
      <c r="D2381" t="s">
        <v>5920</v>
      </c>
      <c r="F2381" t="s">
        <v>1697</v>
      </c>
      <c r="G2381" s="126">
        <f>SUMIFS('Support - Transition'!F:F,'Support - Transition'!B:B,'Step 2'!A2381,'Support - Transition'!C:C,'Step 2'!B2381,'Support - Transition'!D:D,'Step 2'!C2381,'Support - Transition'!E:E,"CIVIL")</f>
        <v>0</v>
      </c>
      <c r="H2381" s="126">
        <f>SUMIFS('Support - Transition'!F:F,'Support - Transition'!B:B,'Step 2'!A2381,'Support - Transition'!C:C,'Step 2'!B2381,'Support - Transition'!D:D,'Step 2'!C2381,'Support - Transition'!E:E,"FIRE")</f>
        <v>0</v>
      </c>
      <c r="I2381" s="126">
        <f>IF(B2381="0",SUMIFS('Support - Transition'!F:F,'Support - Transition'!J:J,'Step 2'!D2381,'Support - Transition'!E:E,"STATE UNIT"),SUMIFS('Support - Transition'!F:F,'Support - Transition'!J:J,'Step 2'!D2381))</f>
        <v>0</v>
      </c>
      <c r="J2381" s="126">
        <f>SUMIFS('Support - Unit Adjustments'!E:E,'Support - Unit Adjustments'!F:F,'Step 2'!D2381)</f>
        <v>0</v>
      </c>
      <c r="K2381" s="126">
        <f t="shared" si="707"/>
        <v>0</v>
      </c>
      <c r="L2381" s="174">
        <f>VLOOKUP(A2381,'Step 1'!$A:$E,4,FALSE)</f>
        <v>45289</v>
      </c>
      <c r="M2381" s="47">
        <f t="shared" si="708"/>
        <v>0</v>
      </c>
      <c r="N2381" s="177">
        <f>SUMIFS('Support - Transition'!G:G,'Support - Transition'!J:J,'Step 2'!D2381,'Support - Transition'!E:E,"2009 WELFARE ALLOCATION FACTOR")</f>
        <v>0</v>
      </c>
      <c r="O2381" s="152">
        <f t="shared" si="713"/>
        <v>0</v>
      </c>
      <c r="P2381" s="126">
        <f>IF(E2381="Y",0,SUMIFS('Support - Transition'!G:G,'Support - Transition'!J:J,'Step 2'!D2381,'Support - Transition'!E:E,"2009 SCHOOL ALLOCATION FACTOR"))</f>
        <v>0</v>
      </c>
      <c r="Q2381" s="126">
        <f>IF(E2381="Y",VLOOKUP(D2381,'Support - Unit Adjustments'!F:G,2,FALSE),0)</f>
        <v>0</v>
      </c>
      <c r="R2381" s="155">
        <f t="shared" si="725"/>
        <v>0</v>
      </c>
      <c r="S2381" s="47">
        <f t="shared" si="724"/>
        <v>0</v>
      </c>
      <c r="T2381" s="151">
        <f t="shared" si="709"/>
        <v>0</v>
      </c>
      <c r="U2381" s="151">
        <f t="shared" si="710"/>
        <v>0</v>
      </c>
      <c r="V2381" s="139">
        <f t="shared" si="711"/>
        <v>0</v>
      </c>
      <c r="W2381" s="152">
        <f t="shared" si="714"/>
        <v>0</v>
      </c>
      <c r="X2381" s="127" t="str">
        <f t="shared" si="712"/>
        <v/>
      </c>
      <c r="Y2381" s="207">
        <f t="shared" si="715"/>
        <v>0</v>
      </c>
      <c r="Z2381" s="139">
        <f t="shared" si="716"/>
        <v>0</v>
      </c>
      <c r="AA2381" s="139">
        <f t="shared" si="717"/>
        <v>0</v>
      </c>
      <c r="AC2381" s="47">
        <f t="shared" si="718"/>
        <v>0</v>
      </c>
      <c r="AD2381" s="47">
        <f t="shared" si="719"/>
        <v>0</v>
      </c>
      <c r="AE2381" s="47">
        <f t="shared" si="720"/>
        <v>0</v>
      </c>
      <c r="AG2381" s="47">
        <f t="shared" si="721"/>
        <v>0</v>
      </c>
      <c r="AH2381" s="47">
        <f t="shared" si="722"/>
        <v>0</v>
      </c>
      <c r="AI2381" s="208">
        <f t="shared" si="723"/>
        <v>0</v>
      </c>
    </row>
    <row r="2382" spans="1:35">
      <c r="A2382" t="s">
        <v>2166</v>
      </c>
      <c r="B2382" s="48" t="s">
        <v>6274</v>
      </c>
      <c r="C2382" t="s">
        <v>2187</v>
      </c>
      <c r="D2382" t="str">
        <f>A2382&amp;B2382&amp;C2382</f>
        <v>8200000</v>
      </c>
      <c r="F2382" t="s">
        <v>6356</v>
      </c>
      <c r="G2382" s="126">
        <f>SUMIFS('Support - Transition'!F:F,'Support - Transition'!B:B,'Step 2'!A2382,'Support - Transition'!C:C,'Step 2'!B2382,'Support - Transition'!D:D,'Step 2'!C2382,'Support - Transition'!E:E,"CIVIL")</f>
        <v>0</v>
      </c>
      <c r="H2382" s="126">
        <f>SUMIFS('Support - Transition'!F:F,'Support - Transition'!B:B,'Step 2'!A2382,'Support - Transition'!C:C,'Step 2'!B2382,'Support - Transition'!D:D,'Step 2'!C2382,'Support - Transition'!E:E,"FIRE")</f>
        <v>0</v>
      </c>
      <c r="I2382" s="126">
        <f>IF(B2382="0",SUMIFS('Support - Transition'!F:F,'Support - Transition'!J:J,'Step 2'!D2382,'Support - Transition'!E:E,"STATE UNIT"),SUMIFS('Support - Transition'!F:F,'Support - Transition'!J:J,'Step 2'!D2382))</f>
        <v>9.6199999999999996E-4</v>
      </c>
      <c r="J2382" s="126">
        <f>SUMIFS('Support - Unit Adjustments'!E:E,'Support - Unit Adjustments'!F:F,'Step 2'!D2382)</f>
        <v>0</v>
      </c>
      <c r="K2382" s="126">
        <f t="shared" si="707"/>
        <v>9.6199999999999996E-4</v>
      </c>
      <c r="L2382" s="174">
        <f>VLOOKUP(A2382,'Step 1'!$A:$E,4,FALSE)</f>
        <v>2433962</v>
      </c>
      <c r="M2382" s="47">
        <f t="shared" si="708"/>
        <v>2341</v>
      </c>
      <c r="N2382" s="177">
        <f>SUMIFS('Support - Transition'!G:G,'Support - Transition'!J:J,'Step 2'!D2382,'Support - Transition'!E:E,"2009 WELFARE ALLOCATION FACTOR")</f>
        <v>0</v>
      </c>
      <c r="O2382" s="152">
        <f t="shared" si="713"/>
        <v>0</v>
      </c>
      <c r="P2382" s="126">
        <f>IF(E2382="Y",0,SUMIFS('Support - Transition'!G:G,'Support - Transition'!J:J,'Step 2'!D2382,'Support - Transition'!E:E,"2009 SCHOOL ALLOCATION FACTOR"))</f>
        <v>0</v>
      </c>
      <c r="Q2382" s="126">
        <f>IF(E2382="Y",VLOOKUP(D2382,'Support - Unit Adjustments'!F:G,2,FALSE),0)</f>
        <v>0</v>
      </c>
      <c r="R2382" s="155">
        <f t="shared" si="725"/>
        <v>0</v>
      </c>
      <c r="S2382" s="47">
        <f t="shared" si="724"/>
        <v>0</v>
      </c>
      <c r="T2382" s="151">
        <f t="shared" si="709"/>
        <v>2341</v>
      </c>
      <c r="U2382" s="151">
        <f t="shared" si="710"/>
        <v>2433961</v>
      </c>
      <c r="V2382" s="139">
        <f t="shared" si="711"/>
        <v>-1</v>
      </c>
      <c r="W2382" s="152">
        <f t="shared" si="714"/>
        <v>2342</v>
      </c>
      <c r="X2382" s="127">
        <f t="shared" si="712"/>
        <v>0</v>
      </c>
      <c r="Y2382" s="207">
        <f t="shared" si="715"/>
        <v>2342</v>
      </c>
      <c r="Z2382" s="139">
        <f t="shared" si="716"/>
        <v>2342</v>
      </c>
      <c r="AA2382" s="139">
        <f t="shared" si="717"/>
        <v>0</v>
      </c>
      <c r="AC2382" s="47">
        <f t="shared" si="718"/>
        <v>1171</v>
      </c>
      <c r="AD2382" s="47">
        <f t="shared" si="719"/>
        <v>1171</v>
      </c>
      <c r="AE2382" s="47">
        <f t="shared" si="720"/>
        <v>0</v>
      </c>
      <c r="AG2382" s="47">
        <f t="shared" si="721"/>
        <v>1171</v>
      </c>
      <c r="AH2382" s="47">
        <f t="shared" si="722"/>
        <v>1171</v>
      </c>
      <c r="AI2382" s="208">
        <f t="shared" si="723"/>
        <v>0</v>
      </c>
    </row>
    <row r="2383" spans="1:35">
      <c r="A2383" t="s">
        <v>2166</v>
      </c>
      <c r="B2383" t="s">
        <v>3140</v>
      </c>
      <c r="C2383" t="s">
        <v>2187</v>
      </c>
      <c r="D2383" t="s">
        <v>5921</v>
      </c>
      <c r="F2383" t="s">
        <v>1699</v>
      </c>
      <c r="G2383" s="126">
        <f>SUMIFS('Support - Transition'!F:F,'Support - Transition'!B:B,'Step 2'!A2383,'Support - Transition'!C:C,'Step 2'!B2383,'Support - Transition'!D:D,'Step 2'!C2383,'Support - Transition'!E:E,"CIVIL")</f>
        <v>0</v>
      </c>
      <c r="H2383" s="126">
        <f>SUMIFS('Support - Transition'!F:F,'Support - Transition'!B:B,'Step 2'!A2383,'Support - Transition'!C:C,'Step 2'!B2383,'Support - Transition'!D:D,'Step 2'!C2383,'Support - Transition'!E:E,"FIRE")</f>
        <v>0</v>
      </c>
      <c r="I2383" s="126">
        <f>IF(B2383="0",SUMIFS('Support - Transition'!F:F,'Support - Transition'!J:J,'Step 2'!D2383,'Support - Transition'!E:E,"STATE UNIT"),SUMIFS('Support - Transition'!F:F,'Support - Transition'!J:J,'Step 2'!D2383))</f>
        <v>0.23031599999999999</v>
      </c>
      <c r="J2383" s="126">
        <f>SUMIFS('Support - Unit Adjustments'!E:E,'Support - Unit Adjustments'!F:F,'Step 2'!D2383)</f>
        <v>0</v>
      </c>
      <c r="K2383" s="126">
        <f t="shared" si="707"/>
        <v>0.23031599999999999</v>
      </c>
      <c r="L2383" s="174">
        <f>VLOOKUP(A2383,'Step 1'!$A:$E,4,FALSE)</f>
        <v>2433962</v>
      </c>
      <c r="M2383" s="47">
        <f t="shared" si="708"/>
        <v>560580</v>
      </c>
      <c r="N2383" s="177">
        <f>SUMIFS('Support - Transition'!G:G,'Support - Transition'!J:J,'Step 2'!D2383,'Support - Transition'!E:E,"2009 WELFARE ALLOCATION FACTOR")</f>
        <v>0.250915</v>
      </c>
      <c r="O2383" s="152">
        <f t="shared" si="713"/>
        <v>140658</v>
      </c>
      <c r="P2383" s="126">
        <f>IF(E2383="Y",0,SUMIFS('Support - Transition'!G:G,'Support - Transition'!J:J,'Step 2'!D2383,'Support - Transition'!E:E,"2009 SCHOOL ALLOCATION FACTOR"))</f>
        <v>0</v>
      </c>
      <c r="Q2383" s="126">
        <f>IF(E2383="Y",VLOOKUP(D2383,'Support - Unit Adjustments'!F:G,2,FALSE),0)</f>
        <v>0</v>
      </c>
      <c r="R2383" s="155">
        <f t="shared" si="725"/>
        <v>0</v>
      </c>
      <c r="S2383" s="47">
        <f t="shared" si="724"/>
        <v>0</v>
      </c>
      <c r="T2383" s="151">
        <f t="shared" si="709"/>
        <v>419922</v>
      </c>
      <c r="U2383" s="151">
        <f t="shared" si="710"/>
        <v>0</v>
      </c>
      <c r="V2383" s="139">
        <f t="shared" si="711"/>
        <v>0</v>
      </c>
      <c r="W2383" s="152">
        <f t="shared" si="714"/>
        <v>419922</v>
      </c>
      <c r="X2383" s="127" t="str">
        <f t="shared" si="712"/>
        <v/>
      </c>
      <c r="Y2383" s="207">
        <f t="shared" si="715"/>
        <v>419922</v>
      </c>
      <c r="Z2383" s="139">
        <f t="shared" si="716"/>
        <v>419922</v>
      </c>
      <c r="AA2383" s="139">
        <f t="shared" si="717"/>
        <v>0</v>
      </c>
      <c r="AC2383" s="47">
        <f t="shared" si="718"/>
        <v>209961</v>
      </c>
      <c r="AD2383" s="47">
        <f t="shared" si="719"/>
        <v>209961</v>
      </c>
      <c r="AE2383" s="47">
        <f t="shared" si="720"/>
        <v>0</v>
      </c>
      <c r="AG2383" s="47">
        <f t="shared" si="721"/>
        <v>209961</v>
      </c>
      <c r="AH2383" s="47">
        <f t="shared" si="722"/>
        <v>209961</v>
      </c>
      <c r="AI2383" s="208">
        <f t="shared" si="723"/>
        <v>0</v>
      </c>
    </row>
    <row r="2384" spans="1:35">
      <c r="A2384" t="s">
        <v>2166</v>
      </c>
      <c r="B2384" t="s">
        <v>3142</v>
      </c>
      <c r="C2384" t="s">
        <v>2188</v>
      </c>
      <c r="D2384" t="s">
        <v>5922</v>
      </c>
      <c r="F2384" t="s">
        <v>1700</v>
      </c>
      <c r="G2384" s="126">
        <f>SUMIFS('Support - Transition'!F:F,'Support - Transition'!B:B,'Step 2'!A2384,'Support - Transition'!C:C,'Step 2'!B2384,'Support - Transition'!D:D,'Step 2'!C2384,'Support - Transition'!E:E,"CIVIL")</f>
        <v>3.1000000000000001E-5</v>
      </c>
      <c r="H2384" s="126">
        <f>SUMIFS('Support - Transition'!F:F,'Support - Transition'!B:B,'Step 2'!A2384,'Support - Transition'!C:C,'Step 2'!B2384,'Support - Transition'!D:D,'Step 2'!C2384,'Support - Transition'!E:E,"FIRE")</f>
        <v>2.43E-4</v>
      </c>
      <c r="I2384" s="126">
        <f>IF(B2384="0",SUMIFS('Support - Transition'!F:F,'Support - Transition'!J:J,'Step 2'!D2384,'Support - Transition'!E:E,"STATE UNIT"),SUMIFS('Support - Transition'!F:F,'Support - Transition'!J:J,'Step 2'!D2384))</f>
        <v>2.7399999999999999E-4</v>
      </c>
      <c r="J2384" s="126">
        <f>SUMIFS('Support - Unit Adjustments'!E:E,'Support - Unit Adjustments'!F:F,'Step 2'!D2384)</f>
        <v>0</v>
      </c>
      <c r="K2384" s="126">
        <f t="shared" si="707"/>
        <v>2.7399999999999999E-4</v>
      </c>
      <c r="L2384" s="174">
        <f>VLOOKUP(A2384,'Step 1'!$A:$E,4,FALSE)</f>
        <v>2433962</v>
      </c>
      <c r="M2384" s="47">
        <f t="shared" si="708"/>
        <v>667</v>
      </c>
      <c r="N2384" s="177">
        <f>SUMIFS('Support - Transition'!G:G,'Support - Transition'!J:J,'Step 2'!D2384,'Support - Transition'!E:E,"2009 WELFARE ALLOCATION FACTOR")</f>
        <v>0</v>
      </c>
      <c r="O2384" s="152">
        <f t="shared" si="713"/>
        <v>0</v>
      </c>
      <c r="P2384" s="126">
        <f>IF(E2384="Y",0,SUMIFS('Support - Transition'!G:G,'Support - Transition'!J:J,'Step 2'!D2384,'Support - Transition'!E:E,"2009 SCHOOL ALLOCATION FACTOR"))</f>
        <v>0</v>
      </c>
      <c r="Q2384" s="126">
        <f>IF(E2384="Y",VLOOKUP(D2384,'Support - Unit Adjustments'!F:G,2,FALSE),0)</f>
        <v>0</v>
      </c>
      <c r="R2384" s="155">
        <f t="shared" si="725"/>
        <v>0</v>
      </c>
      <c r="S2384" s="47">
        <f t="shared" si="724"/>
        <v>0</v>
      </c>
      <c r="T2384" s="151">
        <f t="shared" si="709"/>
        <v>667</v>
      </c>
      <c r="U2384" s="151">
        <f t="shared" si="710"/>
        <v>0</v>
      </c>
      <c r="V2384" s="139">
        <f t="shared" si="711"/>
        <v>0</v>
      </c>
      <c r="W2384" s="152">
        <f t="shared" si="714"/>
        <v>667</v>
      </c>
      <c r="X2384" s="127" t="str">
        <f t="shared" si="712"/>
        <v/>
      </c>
      <c r="Y2384" s="207">
        <f t="shared" si="715"/>
        <v>667</v>
      </c>
      <c r="Z2384" s="139">
        <f t="shared" si="716"/>
        <v>75</v>
      </c>
      <c r="AA2384" s="139">
        <f t="shared" si="717"/>
        <v>592</v>
      </c>
      <c r="AC2384" s="47">
        <f t="shared" si="718"/>
        <v>334</v>
      </c>
      <c r="AD2384" s="47">
        <f t="shared" si="719"/>
        <v>38</v>
      </c>
      <c r="AE2384" s="47">
        <f t="shared" si="720"/>
        <v>296</v>
      </c>
      <c r="AG2384" s="47">
        <f t="shared" si="721"/>
        <v>333</v>
      </c>
      <c r="AH2384" s="47">
        <f t="shared" si="722"/>
        <v>37</v>
      </c>
      <c r="AI2384" s="208">
        <f t="shared" si="723"/>
        <v>296</v>
      </c>
    </row>
    <row r="2385" spans="1:35">
      <c r="A2385" t="s">
        <v>2166</v>
      </c>
      <c r="B2385" t="s">
        <v>3142</v>
      </c>
      <c r="C2385" t="s">
        <v>2189</v>
      </c>
      <c r="D2385" t="s">
        <v>5923</v>
      </c>
      <c r="F2385" t="s">
        <v>107</v>
      </c>
      <c r="G2385" s="126">
        <f>SUMIFS('Support - Transition'!F:F,'Support - Transition'!B:B,'Step 2'!A2385,'Support - Transition'!C:C,'Step 2'!B2385,'Support - Transition'!D:D,'Step 2'!C2385,'Support - Transition'!E:E,"CIVIL")</f>
        <v>3.2239999999999999E-3</v>
      </c>
      <c r="H2385" s="126">
        <f>SUMIFS('Support - Transition'!F:F,'Support - Transition'!B:B,'Step 2'!A2385,'Support - Transition'!C:C,'Step 2'!B2385,'Support - Transition'!D:D,'Step 2'!C2385,'Support - Transition'!E:E,"FIRE")</f>
        <v>4.95E-4</v>
      </c>
      <c r="I2385" s="126">
        <f>IF(B2385="0",SUMIFS('Support - Transition'!F:F,'Support - Transition'!J:J,'Step 2'!D2385,'Support - Transition'!E:E,"STATE UNIT"),SUMIFS('Support - Transition'!F:F,'Support - Transition'!J:J,'Step 2'!D2385))</f>
        <v>3.7190000000000001E-3</v>
      </c>
      <c r="J2385" s="126">
        <f>SUMIFS('Support - Unit Adjustments'!E:E,'Support - Unit Adjustments'!F:F,'Step 2'!D2385)</f>
        <v>0</v>
      </c>
      <c r="K2385" s="126">
        <f t="shared" si="707"/>
        <v>3.7190000000000001E-3</v>
      </c>
      <c r="L2385" s="174">
        <f>VLOOKUP(A2385,'Step 1'!$A:$E,4,FALSE)</f>
        <v>2433962</v>
      </c>
      <c r="M2385" s="47">
        <f t="shared" si="708"/>
        <v>9052</v>
      </c>
      <c r="N2385" s="177">
        <f>SUMIFS('Support - Transition'!G:G,'Support - Transition'!J:J,'Step 2'!D2385,'Support - Transition'!E:E,"2009 WELFARE ALLOCATION FACTOR")</f>
        <v>0</v>
      </c>
      <c r="O2385" s="152">
        <f t="shared" si="713"/>
        <v>0</v>
      </c>
      <c r="P2385" s="126">
        <f>IF(E2385="Y",0,SUMIFS('Support - Transition'!G:G,'Support - Transition'!J:J,'Step 2'!D2385,'Support - Transition'!E:E,"2009 SCHOOL ALLOCATION FACTOR"))</f>
        <v>0</v>
      </c>
      <c r="Q2385" s="126">
        <f>IF(E2385="Y",VLOOKUP(D2385,'Support - Unit Adjustments'!F:G,2,FALSE),0)</f>
        <v>0</v>
      </c>
      <c r="R2385" s="155">
        <f t="shared" si="725"/>
        <v>0</v>
      </c>
      <c r="S2385" s="47">
        <f t="shared" si="724"/>
        <v>0</v>
      </c>
      <c r="T2385" s="151">
        <f t="shared" si="709"/>
        <v>9052</v>
      </c>
      <c r="U2385" s="151">
        <f t="shared" si="710"/>
        <v>0</v>
      </c>
      <c r="V2385" s="139">
        <f t="shared" si="711"/>
        <v>0</v>
      </c>
      <c r="W2385" s="152">
        <f t="shared" si="714"/>
        <v>9052</v>
      </c>
      <c r="X2385" s="127" t="str">
        <f t="shared" si="712"/>
        <v/>
      </c>
      <c r="Y2385" s="207">
        <f t="shared" si="715"/>
        <v>9052</v>
      </c>
      <c r="Z2385" s="139">
        <f t="shared" si="716"/>
        <v>7847</v>
      </c>
      <c r="AA2385" s="139">
        <f t="shared" si="717"/>
        <v>1205</v>
      </c>
      <c r="AC2385" s="47">
        <f t="shared" si="718"/>
        <v>4526</v>
      </c>
      <c r="AD2385" s="47">
        <f t="shared" si="719"/>
        <v>3924</v>
      </c>
      <c r="AE2385" s="47">
        <f t="shared" si="720"/>
        <v>603</v>
      </c>
      <c r="AG2385" s="47">
        <f t="shared" si="721"/>
        <v>4526</v>
      </c>
      <c r="AH2385" s="47">
        <f t="shared" si="722"/>
        <v>3923</v>
      </c>
      <c r="AI2385" s="208">
        <f t="shared" si="723"/>
        <v>602</v>
      </c>
    </row>
    <row r="2386" spans="1:35">
      <c r="A2386" t="s">
        <v>2166</v>
      </c>
      <c r="B2386" t="s">
        <v>3142</v>
      </c>
      <c r="C2386" t="s">
        <v>2190</v>
      </c>
      <c r="D2386" t="s">
        <v>5924</v>
      </c>
      <c r="F2386" t="s">
        <v>85</v>
      </c>
      <c r="G2386" s="126">
        <f>SUMIFS('Support - Transition'!F:F,'Support - Transition'!B:B,'Step 2'!A2386,'Support - Transition'!C:C,'Step 2'!B2386,'Support - Transition'!D:D,'Step 2'!C2386,'Support - Transition'!E:E,"CIVIL")</f>
        <v>6.0499999999999996E-4</v>
      </c>
      <c r="H2386" s="126">
        <f>SUMIFS('Support - Transition'!F:F,'Support - Transition'!B:B,'Step 2'!A2386,'Support - Transition'!C:C,'Step 2'!B2386,'Support - Transition'!D:D,'Step 2'!C2386,'Support - Transition'!E:E,"FIRE")</f>
        <v>1.5699999999999999E-4</v>
      </c>
      <c r="I2386" s="126">
        <f>IF(B2386="0",SUMIFS('Support - Transition'!F:F,'Support - Transition'!J:J,'Step 2'!D2386,'Support - Transition'!E:E,"STATE UNIT"),SUMIFS('Support - Transition'!F:F,'Support - Transition'!J:J,'Step 2'!D2386))</f>
        <v>7.6199999999999998E-4</v>
      </c>
      <c r="J2386" s="126">
        <f>SUMIFS('Support - Unit Adjustments'!E:E,'Support - Unit Adjustments'!F:F,'Step 2'!D2386)</f>
        <v>0</v>
      </c>
      <c r="K2386" s="126">
        <f t="shared" si="707"/>
        <v>7.6199999999999998E-4</v>
      </c>
      <c r="L2386" s="174">
        <f>VLOOKUP(A2386,'Step 1'!$A:$E,4,FALSE)</f>
        <v>2433962</v>
      </c>
      <c r="M2386" s="47">
        <f t="shared" si="708"/>
        <v>1855</v>
      </c>
      <c r="N2386" s="177">
        <f>SUMIFS('Support - Transition'!G:G,'Support - Transition'!J:J,'Step 2'!D2386,'Support - Transition'!E:E,"2009 WELFARE ALLOCATION FACTOR")</f>
        <v>0</v>
      </c>
      <c r="O2386" s="152">
        <f t="shared" si="713"/>
        <v>0</v>
      </c>
      <c r="P2386" s="126">
        <f>IF(E2386="Y",0,SUMIFS('Support - Transition'!G:G,'Support - Transition'!J:J,'Step 2'!D2386,'Support - Transition'!E:E,"2009 SCHOOL ALLOCATION FACTOR"))</f>
        <v>0</v>
      </c>
      <c r="Q2386" s="126">
        <f>IF(E2386="Y",VLOOKUP(D2386,'Support - Unit Adjustments'!F:G,2,FALSE),0)</f>
        <v>0</v>
      </c>
      <c r="R2386" s="155">
        <f t="shared" si="725"/>
        <v>0</v>
      </c>
      <c r="S2386" s="47">
        <f t="shared" si="724"/>
        <v>0</v>
      </c>
      <c r="T2386" s="151">
        <f t="shared" si="709"/>
        <v>1855</v>
      </c>
      <c r="U2386" s="151">
        <f t="shared" si="710"/>
        <v>0</v>
      </c>
      <c r="V2386" s="139">
        <f t="shared" si="711"/>
        <v>0</v>
      </c>
      <c r="W2386" s="152">
        <f t="shared" si="714"/>
        <v>1855</v>
      </c>
      <c r="X2386" s="127" t="str">
        <f t="shared" si="712"/>
        <v/>
      </c>
      <c r="Y2386" s="207">
        <f t="shared" si="715"/>
        <v>1855</v>
      </c>
      <c r="Z2386" s="139">
        <f t="shared" si="716"/>
        <v>1473</v>
      </c>
      <c r="AA2386" s="139">
        <f t="shared" si="717"/>
        <v>382</v>
      </c>
      <c r="AC2386" s="47">
        <f t="shared" si="718"/>
        <v>928</v>
      </c>
      <c r="AD2386" s="47">
        <f t="shared" si="719"/>
        <v>737</v>
      </c>
      <c r="AE2386" s="47">
        <f t="shared" si="720"/>
        <v>191</v>
      </c>
      <c r="AG2386" s="47">
        <f t="shared" si="721"/>
        <v>927</v>
      </c>
      <c r="AH2386" s="47">
        <f t="shared" si="722"/>
        <v>736</v>
      </c>
      <c r="AI2386" s="208">
        <f t="shared" si="723"/>
        <v>191</v>
      </c>
    </row>
    <row r="2387" spans="1:35">
      <c r="A2387" t="s">
        <v>2166</v>
      </c>
      <c r="B2387" t="s">
        <v>3142</v>
      </c>
      <c r="C2387" t="s">
        <v>2191</v>
      </c>
      <c r="D2387" t="s">
        <v>5925</v>
      </c>
      <c r="F2387" t="s">
        <v>56</v>
      </c>
      <c r="G2387" s="126">
        <f>SUMIFS('Support - Transition'!F:F,'Support - Transition'!B:B,'Step 2'!A2387,'Support - Transition'!C:C,'Step 2'!B2387,'Support - Transition'!D:D,'Step 2'!C2387,'Support - Transition'!E:E,"CIVIL")</f>
        <v>8.1700000000000002E-4</v>
      </c>
      <c r="H2387" s="126">
        <f>SUMIFS('Support - Transition'!F:F,'Support - Transition'!B:B,'Step 2'!A2387,'Support - Transition'!C:C,'Step 2'!B2387,'Support - Transition'!D:D,'Step 2'!C2387,'Support - Transition'!E:E,"FIRE")</f>
        <v>1.2E-4</v>
      </c>
      <c r="I2387" s="126">
        <f>IF(B2387="0",SUMIFS('Support - Transition'!F:F,'Support - Transition'!J:J,'Step 2'!D2387,'Support - Transition'!E:E,"STATE UNIT"),SUMIFS('Support - Transition'!F:F,'Support - Transition'!J:J,'Step 2'!D2387))</f>
        <v>9.3700000000000001E-4</v>
      </c>
      <c r="J2387" s="126">
        <f>SUMIFS('Support - Unit Adjustments'!E:E,'Support - Unit Adjustments'!F:F,'Step 2'!D2387)</f>
        <v>0</v>
      </c>
      <c r="K2387" s="126">
        <f t="shared" si="707"/>
        <v>9.3700000000000001E-4</v>
      </c>
      <c r="L2387" s="174">
        <f>VLOOKUP(A2387,'Step 1'!$A:$E,4,FALSE)</f>
        <v>2433962</v>
      </c>
      <c r="M2387" s="47">
        <f t="shared" si="708"/>
        <v>2281</v>
      </c>
      <c r="N2387" s="177">
        <f>SUMIFS('Support - Transition'!G:G,'Support - Transition'!J:J,'Step 2'!D2387,'Support - Transition'!E:E,"2009 WELFARE ALLOCATION FACTOR")</f>
        <v>0</v>
      </c>
      <c r="O2387" s="152">
        <f t="shared" si="713"/>
        <v>0</v>
      </c>
      <c r="P2387" s="126">
        <f>IF(E2387="Y",0,SUMIFS('Support - Transition'!G:G,'Support - Transition'!J:J,'Step 2'!D2387,'Support - Transition'!E:E,"2009 SCHOOL ALLOCATION FACTOR"))</f>
        <v>0</v>
      </c>
      <c r="Q2387" s="126">
        <f>IF(E2387="Y",VLOOKUP(D2387,'Support - Unit Adjustments'!F:G,2,FALSE),0)</f>
        <v>0</v>
      </c>
      <c r="R2387" s="155">
        <f t="shared" si="725"/>
        <v>0</v>
      </c>
      <c r="S2387" s="47">
        <f t="shared" si="724"/>
        <v>0</v>
      </c>
      <c r="T2387" s="151">
        <f t="shared" si="709"/>
        <v>2281</v>
      </c>
      <c r="U2387" s="151">
        <f t="shared" si="710"/>
        <v>0</v>
      </c>
      <c r="V2387" s="139">
        <f t="shared" si="711"/>
        <v>0</v>
      </c>
      <c r="W2387" s="152">
        <f t="shared" si="714"/>
        <v>2281</v>
      </c>
      <c r="X2387" s="127" t="str">
        <f t="shared" si="712"/>
        <v/>
      </c>
      <c r="Y2387" s="207">
        <f t="shared" si="715"/>
        <v>2281</v>
      </c>
      <c r="Z2387" s="139">
        <f t="shared" si="716"/>
        <v>1989</v>
      </c>
      <c r="AA2387" s="139">
        <f t="shared" si="717"/>
        <v>292</v>
      </c>
      <c r="AC2387" s="47">
        <f t="shared" si="718"/>
        <v>1141</v>
      </c>
      <c r="AD2387" s="47">
        <f t="shared" si="719"/>
        <v>995</v>
      </c>
      <c r="AE2387" s="47">
        <f t="shared" si="720"/>
        <v>146</v>
      </c>
      <c r="AG2387" s="47">
        <f t="shared" si="721"/>
        <v>1140</v>
      </c>
      <c r="AH2387" s="47">
        <f t="shared" si="722"/>
        <v>994</v>
      </c>
      <c r="AI2387" s="208">
        <f t="shared" si="723"/>
        <v>146</v>
      </c>
    </row>
    <row r="2388" spans="1:35">
      <c r="A2388" t="s">
        <v>2166</v>
      </c>
      <c r="B2388" t="s">
        <v>3142</v>
      </c>
      <c r="C2388" t="s">
        <v>2192</v>
      </c>
      <c r="D2388" t="s">
        <v>5926</v>
      </c>
      <c r="F2388" t="s">
        <v>1701</v>
      </c>
      <c r="G2388" s="126">
        <f>SUMIFS('Support - Transition'!F:F,'Support - Transition'!B:B,'Step 2'!A2388,'Support - Transition'!C:C,'Step 2'!B2388,'Support - Transition'!D:D,'Step 2'!C2388,'Support - Transition'!E:E,"CIVIL")</f>
        <v>3.0690000000000001E-3</v>
      </c>
      <c r="H2388" s="126">
        <f>SUMIFS('Support - Transition'!F:F,'Support - Transition'!B:B,'Step 2'!A2388,'Support - Transition'!C:C,'Step 2'!B2388,'Support - Transition'!D:D,'Step 2'!C2388,'Support - Transition'!E:E,"FIRE")</f>
        <v>3.1199999999999999E-4</v>
      </c>
      <c r="I2388" s="126">
        <f>IF(B2388="0",SUMIFS('Support - Transition'!F:F,'Support - Transition'!J:J,'Step 2'!D2388,'Support - Transition'!E:E,"STATE UNIT"),SUMIFS('Support - Transition'!F:F,'Support - Transition'!J:J,'Step 2'!D2388))</f>
        <v>3.3810000000000003E-3</v>
      </c>
      <c r="J2388" s="126">
        <f>SUMIFS('Support - Unit Adjustments'!E:E,'Support - Unit Adjustments'!F:F,'Step 2'!D2388)</f>
        <v>0</v>
      </c>
      <c r="K2388" s="126">
        <f t="shared" si="707"/>
        <v>3.3810000000000003E-3</v>
      </c>
      <c r="L2388" s="174">
        <f>VLOOKUP(A2388,'Step 1'!$A:$E,4,FALSE)</f>
        <v>2433962</v>
      </c>
      <c r="M2388" s="47">
        <f t="shared" si="708"/>
        <v>8229</v>
      </c>
      <c r="N2388" s="177">
        <f>SUMIFS('Support - Transition'!G:G,'Support - Transition'!J:J,'Step 2'!D2388,'Support - Transition'!E:E,"2009 WELFARE ALLOCATION FACTOR")</f>
        <v>0</v>
      </c>
      <c r="O2388" s="152">
        <f t="shared" si="713"/>
        <v>0</v>
      </c>
      <c r="P2388" s="126">
        <f>IF(E2388="Y",0,SUMIFS('Support - Transition'!G:G,'Support - Transition'!J:J,'Step 2'!D2388,'Support - Transition'!E:E,"2009 SCHOOL ALLOCATION FACTOR"))</f>
        <v>0</v>
      </c>
      <c r="Q2388" s="126">
        <f>IF(E2388="Y",VLOOKUP(D2388,'Support - Unit Adjustments'!F:G,2,FALSE),0)</f>
        <v>0</v>
      </c>
      <c r="R2388" s="155">
        <f t="shared" si="725"/>
        <v>0</v>
      </c>
      <c r="S2388" s="47">
        <f t="shared" si="724"/>
        <v>0</v>
      </c>
      <c r="T2388" s="151">
        <f t="shared" si="709"/>
        <v>8229</v>
      </c>
      <c r="U2388" s="151">
        <f t="shared" si="710"/>
        <v>0</v>
      </c>
      <c r="V2388" s="139">
        <f t="shared" si="711"/>
        <v>0</v>
      </c>
      <c r="W2388" s="152">
        <f t="shared" si="714"/>
        <v>8229</v>
      </c>
      <c r="X2388" s="127" t="str">
        <f t="shared" si="712"/>
        <v/>
      </c>
      <c r="Y2388" s="207">
        <f t="shared" si="715"/>
        <v>8229</v>
      </c>
      <c r="Z2388" s="139">
        <f t="shared" si="716"/>
        <v>7470</v>
      </c>
      <c r="AA2388" s="139">
        <f t="shared" si="717"/>
        <v>759</v>
      </c>
      <c r="AC2388" s="47">
        <f t="shared" si="718"/>
        <v>4115</v>
      </c>
      <c r="AD2388" s="47">
        <f t="shared" si="719"/>
        <v>3735</v>
      </c>
      <c r="AE2388" s="47">
        <f t="shared" si="720"/>
        <v>380</v>
      </c>
      <c r="AG2388" s="47">
        <f t="shared" si="721"/>
        <v>4114</v>
      </c>
      <c r="AH2388" s="47">
        <f t="shared" si="722"/>
        <v>3735</v>
      </c>
      <c r="AI2388" s="208">
        <f t="shared" si="723"/>
        <v>379</v>
      </c>
    </row>
    <row r="2389" spans="1:35">
      <c r="A2389" t="s">
        <v>2166</v>
      </c>
      <c r="B2389" t="s">
        <v>3142</v>
      </c>
      <c r="C2389" t="s">
        <v>2193</v>
      </c>
      <c r="D2389" t="s">
        <v>5927</v>
      </c>
      <c r="F2389" t="s">
        <v>1702</v>
      </c>
      <c r="G2389" s="126">
        <f>SUMIFS('Support - Transition'!F:F,'Support - Transition'!B:B,'Step 2'!A2389,'Support - Transition'!C:C,'Step 2'!B2389,'Support - Transition'!D:D,'Step 2'!C2389,'Support - Transition'!E:E,"CIVIL")</f>
        <v>6.4359999999999999E-3</v>
      </c>
      <c r="H2389" s="126">
        <f>SUMIFS('Support - Transition'!F:F,'Support - Transition'!B:B,'Step 2'!A2389,'Support - Transition'!C:C,'Step 2'!B2389,'Support - Transition'!D:D,'Step 2'!C2389,'Support - Transition'!E:E,"FIRE")</f>
        <v>5.3000000000000001E-5</v>
      </c>
      <c r="I2389" s="126">
        <f>IF(B2389="0",SUMIFS('Support - Transition'!F:F,'Support - Transition'!J:J,'Step 2'!D2389,'Support - Transition'!E:E,"STATE UNIT"),SUMIFS('Support - Transition'!F:F,'Support - Transition'!J:J,'Step 2'!D2389))</f>
        <v>6.489E-3</v>
      </c>
      <c r="J2389" s="126">
        <f>SUMIFS('Support - Unit Adjustments'!E:E,'Support - Unit Adjustments'!F:F,'Step 2'!D2389)</f>
        <v>0</v>
      </c>
      <c r="K2389" s="126">
        <f t="shared" si="707"/>
        <v>6.489E-3</v>
      </c>
      <c r="L2389" s="174">
        <f>VLOOKUP(A2389,'Step 1'!$A:$E,4,FALSE)</f>
        <v>2433962</v>
      </c>
      <c r="M2389" s="47">
        <f t="shared" si="708"/>
        <v>15794</v>
      </c>
      <c r="N2389" s="177">
        <f>SUMIFS('Support - Transition'!G:G,'Support - Transition'!J:J,'Step 2'!D2389,'Support - Transition'!E:E,"2009 WELFARE ALLOCATION FACTOR")</f>
        <v>0</v>
      </c>
      <c r="O2389" s="152">
        <f t="shared" si="713"/>
        <v>0</v>
      </c>
      <c r="P2389" s="126">
        <f>IF(E2389="Y",0,SUMIFS('Support - Transition'!G:G,'Support - Transition'!J:J,'Step 2'!D2389,'Support - Transition'!E:E,"2009 SCHOOL ALLOCATION FACTOR"))</f>
        <v>0</v>
      </c>
      <c r="Q2389" s="126">
        <f>IF(E2389="Y",VLOOKUP(D2389,'Support - Unit Adjustments'!F:G,2,FALSE),0)</f>
        <v>0</v>
      </c>
      <c r="R2389" s="155">
        <f t="shared" si="725"/>
        <v>0</v>
      </c>
      <c r="S2389" s="47">
        <f t="shared" si="724"/>
        <v>0</v>
      </c>
      <c r="T2389" s="151">
        <f t="shared" si="709"/>
        <v>15794</v>
      </c>
      <c r="U2389" s="151">
        <f t="shared" si="710"/>
        <v>0</v>
      </c>
      <c r="V2389" s="139">
        <f t="shared" si="711"/>
        <v>0</v>
      </c>
      <c r="W2389" s="152">
        <f t="shared" si="714"/>
        <v>15794</v>
      </c>
      <c r="X2389" s="127" t="str">
        <f t="shared" si="712"/>
        <v/>
      </c>
      <c r="Y2389" s="207">
        <f t="shared" si="715"/>
        <v>15794</v>
      </c>
      <c r="Z2389" s="139">
        <f t="shared" si="716"/>
        <v>15665</v>
      </c>
      <c r="AA2389" s="139">
        <f t="shared" si="717"/>
        <v>129</v>
      </c>
      <c r="AC2389" s="47">
        <f t="shared" si="718"/>
        <v>7897</v>
      </c>
      <c r="AD2389" s="47">
        <f t="shared" si="719"/>
        <v>7833</v>
      </c>
      <c r="AE2389" s="47">
        <f t="shared" si="720"/>
        <v>65</v>
      </c>
      <c r="AG2389" s="47">
        <f t="shared" si="721"/>
        <v>7897</v>
      </c>
      <c r="AH2389" s="47">
        <f t="shared" si="722"/>
        <v>7832</v>
      </c>
      <c r="AI2389" s="208">
        <f t="shared" si="723"/>
        <v>64</v>
      </c>
    </row>
    <row r="2390" spans="1:35">
      <c r="A2390" t="s">
        <v>2166</v>
      </c>
      <c r="B2390" t="s">
        <v>3142</v>
      </c>
      <c r="C2390" t="s">
        <v>2194</v>
      </c>
      <c r="D2390" t="s">
        <v>5928</v>
      </c>
      <c r="F2390" t="s">
        <v>954</v>
      </c>
      <c r="G2390" s="126">
        <f>SUMIFS('Support - Transition'!F:F,'Support - Transition'!B:B,'Step 2'!A2390,'Support - Transition'!C:C,'Step 2'!B2390,'Support - Transition'!D:D,'Step 2'!C2390,'Support - Transition'!E:E,"CIVIL")</f>
        <v>2.0869999999999999E-3</v>
      </c>
      <c r="H2390" s="126">
        <f>SUMIFS('Support - Transition'!F:F,'Support - Transition'!B:B,'Step 2'!A2390,'Support - Transition'!C:C,'Step 2'!B2390,'Support - Transition'!D:D,'Step 2'!C2390,'Support - Transition'!E:E,"FIRE")</f>
        <v>4.9700000000000005E-4</v>
      </c>
      <c r="I2390" s="126">
        <f>IF(B2390="0",SUMIFS('Support - Transition'!F:F,'Support - Transition'!J:J,'Step 2'!D2390,'Support - Transition'!E:E,"STATE UNIT"),SUMIFS('Support - Transition'!F:F,'Support - Transition'!J:J,'Step 2'!D2390))</f>
        <v>2.5839999999999999E-3</v>
      </c>
      <c r="J2390" s="126">
        <f>SUMIFS('Support - Unit Adjustments'!E:E,'Support - Unit Adjustments'!F:F,'Step 2'!D2390)</f>
        <v>0</v>
      </c>
      <c r="K2390" s="126">
        <f t="shared" si="707"/>
        <v>2.5839999999999999E-3</v>
      </c>
      <c r="L2390" s="174">
        <f>VLOOKUP(A2390,'Step 1'!$A:$E,4,FALSE)</f>
        <v>2433962</v>
      </c>
      <c r="M2390" s="47">
        <f t="shared" si="708"/>
        <v>6289</v>
      </c>
      <c r="N2390" s="177">
        <f>SUMIFS('Support - Transition'!G:G,'Support - Transition'!J:J,'Step 2'!D2390,'Support - Transition'!E:E,"2009 WELFARE ALLOCATION FACTOR")</f>
        <v>0</v>
      </c>
      <c r="O2390" s="152">
        <f t="shared" si="713"/>
        <v>0</v>
      </c>
      <c r="P2390" s="126">
        <f>IF(E2390="Y",0,SUMIFS('Support - Transition'!G:G,'Support - Transition'!J:J,'Step 2'!D2390,'Support - Transition'!E:E,"2009 SCHOOL ALLOCATION FACTOR"))</f>
        <v>0</v>
      </c>
      <c r="Q2390" s="126">
        <f>IF(E2390="Y",VLOOKUP(D2390,'Support - Unit Adjustments'!F:G,2,FALSE),0)</f>
        <v>0</v>
      </c>
      <c r="R2390" s="155">
        <f t="shared" si="725"/>
        <v>0</v>
      </c>
      <c r="S2390" s="47">
        <f t="shared" si="724"/>
        <v>0</v>
      </c>
      <c r="T2390" s="151">
        <f t="shared" si="709"/>
        <v>6289</v>
      </c>
      <c r="U2390" s="151">
        <f t="shared" si="710"/>
        <v>0</v>
      </c>
      <c r="V2390" s="139">
        <f t="shared" si="711"/>
        <v>0</v>
      </c>
      <c r="W2390" s="152">
        <f t="shared" si="714"/>
        <v>6289</v>
      </c>
      <c r="X2390" s="127" t="str">
        <f t="shared" si="712"/>
        <v/>
      </c>
      <c r="Y2390" s="207">
        <f t="shared" si="715"/>
        <v>6289</v>
      </c>
      <c r="Z2390" s="139">
        <f t="shared" si="716"/>
        <v>5079</v>
      </c>
      <c r="AA2390" s="139">
        <f t="shared" si="717"/>
        <v>1210</v>
      </c>
      <c r="AC2390" s="47">
        <f t="shared" si="718"/>
        <v>3145</v>
      </c>
      <c r="AD2390" s="47">
        <f t="shared" si="719"/>
        <v>2540</v>
      </c>
      <c r="AE2390" s="47">
        <f t="shared" si="720"/>
        <v>605</v>
      </c>
      <c r="AG2390" s="47">
        <f t="shared" si="721"/>
        <v>3144</v>
      </c>
      <c r="AH2390" s="47">
        <f t="shared" si="722"/>
        <v>2539</v>
      </c>
      <c r="AI2390" s="208">
        <f t="shared" si="723"/>
        <v>605</v>
      </c>
    </row>
    <row r="2391" spans="1:35">
      <c r="A2391" t="s">
        <v>2166</v>
      </c>
      <c r="B2391" t="s">
        <v>3142</v>
      </c>
      <c r="C2391" t="s">
        <v>2195</v>
      </c>
      <c r="D2391" t="s">
        <v>5929</v>
      </c>
      <c r="F2391" t="s">
        <v>20</v>
      </c>
      <c r="G2391" s="126">
        <f>SUMIFS('Support - Transition'!F:F,'Support - Transition'!B:B,'Step 2'!A2391,'Support - Transition'!C:C,'Step 2'!B2391,'Support - Transition'!D:D,'Step 2'!C2391,'Support - Transition'!E:E,"CIVIL")</f>
        <v>1.3100000000000001E-4</v>
      </c>
      <c r="H2391" s="126">
        <f>SUMIFS('Support - Transition'!F:F,'Support - Transition'!B:B,'Step 2'!A2391,'Support - Transition'!C:C,'Step 2'!B2391,'Support - Transition'!D:D,'Step 2'!C2391,'Support - Transition'!E:E,"FIRE")</f>
        <v>7.7999999999999999E-5</v>
      </c>
      <c r="I2391" s="126">
        <f>IF(B2391="0",SUMIFS('Support - Transition'!F:F,'Support - Transition'!J:J,'Step 2'!D2391,'Support - Transition'!E:E,"STATE UNIT"),SUMIFS('Support - Transition'!F:F,'Support - Transition'!J:J,'Step 2'!D2391))</f>
        <v>2.0900000000000001E-4</v>
      </c>
      <c r="J2391" s="126">
        <f>SUMIFS('Support - Unit Adjustments'!E:E,'Support - Unit Adjustments'!F:F,'Step 2'!D2391)</f>
        <v>0</v>
      </c>
      <c r="K2391" s="126">
        <f t="shared" si="707"/>
        <v>2.0900000000000001E-4</v>
      </c>
      <c r="L2391" s="174">
        <f>VLOOKUP(A2391,'Step 1'!$A:$E,4,FALSE)</f>
        <v>2433962</v>
      </c>
      <c r="M2391" s="47">
        <f t="shared" si="708"/>
        <v>509</v>
      </c>
      <c r="N2391" s="177">
        <f>SUMIFS('Support - Transition'!G:G,'Support - Transition'!J:J,'Step 2'!D2391,'Support - Transition'!E:E,"2009 WELFARE ALLOCATION FACTOR")</f>
        <v>0</v>
      </c>
      <c r="O2391" s="152">
        <f t="shared" si="713"/>
        <v>0</v>
      </c>
      <c r="P2391" s="126">
        <f>IF(E2391="Y",0,SUMIFS('Support - Transition'!G:G,'Support - Transition'!J:J,'Step 2'!D2391,'Support - Transition'!E:E,"2009 SCHOOL ALLOCATION FACTOR"))</f>
        <v>0</v>
      </c>
      <c r="Q2391" s="126">
        <f>IF(E2391="Y",VLOOKUP(D2391,'Support - Unit Adjustments'!F:G,2,FALSE),0)</f>
        <v>0</v>
      </c>
      <c r="R2391" s="155">
        <f t="shared" si="725"/>
        <v>0</v>
      </c>
      <c r="S2391" s="47">
        <f t="shared" si="724"/>
        <v>0</v>
      </c>
      <c r="T2391" s="151">
        <f t="shared" si="709"/>
        <v>509</v>
      </c>
      <c r="U2391" s="151">
        <f t="shared" si="710"/>
        <v>0</v>
      </c>
      <c r="V2391" s="139">
        <f t="shared" si="711"/>
        <v>0</v>
      </c>
      <c r="W2391" s="152">
        <f t="shared" si="714"/>
        <v>509</v>
      </c>
      <c r="X2391" s="127" t="str">
        <f t="shared" si="712"/>
        <v/>
      </c>
      <c r="Y2391" s="207">
        <f t="shared" si="715"/>
        <v>509</v>
      </c>
      <c r="Z2391" s="139">
        <f t="shared" si="716"/>
        <v>319</v>
      </c>
      <c r="AA2391" s="139">
        <f t="shared" si="717"/>
        <v>190</v>
      </c>
      <c r="AC2391" s="47">
        <f t="shared" si="718"/>
        <v>255</v>
      </c>
      <c r="AD2391" s="47">
        <f t="shared" si="719"/>
        <v>160</v>
      </c>
      <c r="AE2391" s="47">
        <f t="shared" si="720"/>
        <v>95</v>
      </c>
      <c r="AG2391" s="47">
        <f t="shared" si="721"/>
        <v>254</v>
      </c>
      <c r="AH2391" s="47">
        <f t="shared" si="722"/>
        <v>159</v>
      </c>
      <c r="AI2391" s="208">
        <f t="shared" si="723"/>
        <v>95</v>
      </c>
    </row>
    <row r="2392" spans="1:35">
      <c r="A2392" t="s">
        <v>2166</v>
      </c>
      <c r="B2392" t="s">
        <v>3155</v>
      </c>
      <c r="C2392" t="s">
        <v>2904</v>
      </c>
      <c r="D2392" t="s">
        <v>5930</v>
      </c>
      <c r="F2392" t="s">
        <v>1704</v>
      </c>
      <c r="G2392" s="126">
        <f>SUMIFS('Support - Transition'!F:F,'Support - Transition'!B:B,'Step 2'!A2392,'Support - Transition'!C:C,'Step 2'!B2392,'Support - Transition'!D:D,'Step 2'!C2392,'Support - Transition'!E:E,"CIVIL")</f>
        <v>0</v>
      </c>
      <c r="H2392" s="126">
        <f>SUMIFS('Support - Transition'!F:F,'Support - Transition'!B:B,'Step 2'!A2392,'Support - Transition'!C:C,'Step 2'!B2392,'Support - Transition'!D:D,'Step 2'!C2392,'Support - Transition'!E:E,"FIRE")</f>
        <v>0</v>
      </c>
      <c r="I2392" s="126">
        <f>IF(B2392="0",SUMIFS('Support - Transition'!F:F,'Support - Transition'!J:J,'Step 2'!D2392,'Support - Transition'!E:E,"STATE UNIT"),SUMIFS('Support - Transition'!F:F,'Support - Transition'!J:J,'Step 2'!D2392))</f>
        <v>0.24037800000000001</v>
      </c>
      <c r="J2392" s="126">
        <f>SUMIFS('Support - Unit Adjustments'!E:E,'Support - Unit Adjustments'!F:F,'Step 2'!D2392)</f>
        <v>0</v>
      </c>
      <c r="K2392" s="126">
        <f t="shared" si="707"/>
        <v>0.24037800000000001</v>
      </c>
      <c r="L2392" s="174">
        <f>VLOOKUP(A2392,'Step 1'!$A:$E,4,FALSE)</f>
        <v>2433962</v>
      </c>
      <c r="M2392" s="47">
        <f t="shared" si="708"/>
        <v>585071</v>
      </c>
      <c r="N2392" s="177">
        <f>SUMIFS('Support - Transition'!G:G,'Support - Transition'!J:J,'Step 2'!D2392,'Support - Transition'!E:E,"2009 WELFARE ALLOCATION FACTOR")</f>
        <v>0</v>
      </c>
      <c r="O2392" s="152">
        <f t="shared" si="713"/>
        <v>0</v>
      </c>
      <c r="P2392" s="126">
        <f>IF(E2392="Y",0,SUMIFS('Support - Transition'!G:G,'Support - Transition'!J:J,'Step 2'!D2392,'Support - Transition'!E:E,"2009 SCHOOL ALLOCATION FACTOR"))</f>
        <v>0</v>
      </c>
      <c r="Q2392" s="126">
        <f>IF(E2392="Y",VLOOKUP(D2392,'Support - Unit Adjustments'!F:G,2,FALSE),0)</f>
        <v>0</v>
      </c>
      <c r="R2392" s="155">
        <f t="shared" si="725"/>
        <v>0</v>
      </c>
      <c r="S2392" s="47">
        <f t="shared" si="724"/>
        <v>0</v>
      </c>
      <c r="T2392" s="151">
        <f t="shared" si="709"/>
        <v>585071</v>
      </c>
      <c r="U2392" s="151">
        <f t="shared" si="710"/>
        <v>0</v>
      </c>
      <c r="V2392" s="139">
        <f t="shared" si="711"/>
        <v>0</v>
      </c>
      <c r="W2392" s="152">
        <f t="shared" si="714"/>
        <v>585071</v>
      </c>
      <c r="X2392" s="127" t="str">
        <f t="shared" si="712"/>
        <v/>
      </c>
      <c r="Y2392" s="207">
        <f t="shared" si="715"/>
        <v>585071</v>
      </c>
      <c r="Z2392" s="139">
        <f t="shared" si="716"/>
        <v>585071</v>
      </c>
      <c r="AA2392" s="139">
        <f t="shared" si="717"/>
        <v>0</v>
      </c>
      <c r="AC2392" s="47">
        <f t="shared" si="718"/>
        <v>292536</v>
      </c>
      <c r="AD2392" s="47">
        <f t="shared" si="719"/>
        <v>292536</v>
      </c>
      <c r="AE2392" s="47">
        <f t="shared" si="720"/>
        <v>0</v>
      </c>
      <c r="AG2392" s="47">
        <f t="shared" si="721"/>
        <v>292535</v>
      </c>
      <c r="AH2392" s="47">
        <f t="shared" si="722"/>
        <v>292535</v>
      </c>
      <c r="AI2392" s="208">
        <f t="shared" si="723"/>
        <v>0</v>
      </c>
    </row>
    <row r="2393" spans="1:35">
      <c r="A2393" t="s">
        <v>2166</v>
      </c>
      <c r="B2393" t="s">
        <v>3155</v>
      </c>
      <c r="C2393" t="s">
        <v>3051</v>
      </c>
      <c r="D2393" t="s">
        <v>5931</v>
      </c>
      <c r="F2393" t="s">
        <v>1703</v>
      </c>
      <c r="G2393" s="126">
        <f>SUMIFS('Support - Transition'!F:F,'Support - Transition'!B:B,'Step 2'!A2393,'Support - Transition'!C:C,'Step 2'!B2393,'Support - Transition'!D:D,'Step 2'!C2393,'Support - Transition'!E:E,"CIVIL")</f>
        <v>0</v>
      </c>
      <c r="H2393" s="126">
        <f>SUMIFS('Support - Transition'!F:F,'Support - Transition'!B:B,'Step 2'!A2393,'Support - Transition'!C:C,'Step 2'!B2393,'Support - Transition'!D:D,'Step 2'!C2393,'Support - Transition'!E:E,"FIRE")</f>
        <v>0</v>
      </c>
      <c r="I2393" s="126">
        <f>IF(B2393="0",SUMIFS('Support - Transition'!F:F,'Support - Transition'!J:J,'Step 2'!D2393,'Support - Transition'!E:E,"STATE UNIT"),SUMIFS('Support - Transition'!F:F,'Support - Transition'!J:J,'Step 2'!D2393))</f>
        <v>2.5000000000000001E-4</v>
      </c>
      <c r="J2393" s="126">
        <f>SUMIFS('Support - Unit Adjustments'!E:E,'Support - Unit Adjustments'!F:F,'Step 2'!D2393)</f>
        <v>0</v>
      </c>
      <c r="K2393" s="126">
        <f t="shared" si="707"/>
        <v>2.5000000000000001E-4</v>
      </c>
      <c r="L2393" s="174">
        <f>VLOOKUP(A2393,'Step 1'!$A:$E,4,FALSE)</f>
        <v>2433962</v>
      </c>
      <c r="M2393" s="47">
        <f t="shared" si="708"/>
        <v>608</v>
      </c>
      <c r="N2393" s="177">
        <f>SUMIFS('Support - Transition'!G:G,'Support - Transition'!J:J,'Step 2'!D2393,'Support - Transition'!E:E,"2009 WELFARE ALLOCATION FACTOR")</f>
        <v>0</v>
      </c>
      <c r="O2393" s="152">
        <f t="shared" si="713"/>
        <v>0</v>
      </c>
      <c r="P2393" s="126">
        <f>IF(E2393="Y",0,SUMIFS('Support - Transition'!G:G,'Support - Transition'!J:J,'Step 2'!D2393,'Support - Transition'!E:E,"2009 SCHOOL ALLOCATION FACTOR"))</f>
        <v>0</v>
      </c>
      <c r="Q2393" s="126">
        <f>IF(E2393="Y",VLOOKUP(D2393,'Support - Unit Adjustments'!F:G,2,FALSE),0)</f>
        <v>0</v>
      </c>
      <c r="R2393" s="155">
        <f t="shared" si="725"/>
        <v>0</v>
      </c>
      <c r="S2393" s="47">
        <f t="shared" si="724"/>
        <v>0</v>
      </c>
      <c r="T2393" s="151">
        <f t="shared" si="709"/>
        <v>608</v>
      </c>
      <c r="U2393" s="151">
        <f t="shared" si="710"/>
        <v>0</v>
      </c>
      <c r="V2393" s="139">
        <f t="shared" si="711"/>
        <v>0</v>
      </c>
      <c r="W2393" s="152">
        <f t="shared" si="714"/>
        <v>608</v>
      </c>
      <c r="X2393" s="127" t="str">
        <f t="shared" si="712"/>
        <v/>
      </c>
      <c r="Y2393" s="207">
        <f t="shared" si="715"/>
        <v>608</v>
      </c>
      <c r="Z2393" s="139">
        <f t="shared" si="716"/>
        <v>608</v>
      </c>
      <c r="AA2393" s="139">
        <f t="shared" si="717"/>
        <v>0</v>
      </c>
      <c r="AC2393" s="47">
        <f t="shared" si="718"/>
        <v>304</v>
      </c>
      <c r="AD2393" s="47">
        <f t="shared" si="719"/>
        <v>304</v>
      </c>
      <c r="AE2393" s="47">
        <f t="shared" si="720"/>
        <v>0</v>
      </c>
      <c r="AG2393" s="47">
        <f t="shared" si="721"/>
        <v>304</v>
      </c>
      <c r="AH2393" s="47">
        <f t="shared" si="722"/>
        <v>304</v>
      </c>
      <c r="AI2393" s="208">
        <f t="shared" si="723"/>
        <v>0</v>
      </c>
    </row>
    <row r="2394" spans="1:35">
      <c r="A2394" t="s">
        <v>2166</v>
      </c>
      <c r="B2394" t="s">
        <v>3160</v>
      </c>
      <c r="C2394" t="s">
        <v>3052</v>
      </c>
      <c r="D2394" t="s">
        <v>5932</v>
      </c>
      <c r="F2394" t="s">
        <v>5933</v>
      </c>
      <c r="G2394" s="126">
        <f>SUMIFS('Support - Transition'!F:F,'Support - Transition'!B:B,'Step 2'!A2394,'Support - Transition'!C:C,'Step 2'!B2394,'Support - Transition'!D:D,'Step 2'!C2394,'Support - Transition'!E:E,"CIVIL")</f>
        <v>0</v>
      </c>
      <c r="H2394" s="126">
        <f>SUMIFS('Support - Transition'!F:F,'Support - Transition'!B:B,'Step 2'!A2394,'Support - Transition'!C:C,'Step 2'!B2394,'Support - Transition'!D:D,'Step 2'!C2394,'Support - Transition'!E:E,"FIRE")</f>
        <v>0</v>
      </c>
      <c r="I2394" s="126">
        <f>IF(B2394="0",SUMIFS('Support - Transition'!F:F,'Support - Transition'!J:J,'Step 2'!D2394,'Support - Transition'!E:E,"STATE UNIT"),SUMIFS('Support - Transition'!F:F,'Support - Transition'!J:J,'Step 2'!D2394))</f>
        <v>0.47154000000000001</v>
      </c>
      <c r="J2394" s="126">
        <f>SUMIFS('Support - Unit Adjustments'!E:E,'Support - Unit Adjustments'!F:F,'Step 2'!D2394)</f>
        <v>0</v>
      </c>
      <c r="K2394" s="126">
        <f t="shared" si="707"/>
        <v>0.47154000000000001</v>
      </c>
      <c r="L2394" s="174">
        <f>VLOOKUP(A2394,'Step 1'!$A:$E,4,FALSE)</f>
        <v>2433962</v>
      </c>
      <c r="M2394" s="47">
        <f t="shared" si="708"/>
        <v>1147710</v>
      </c>
      <c r="N2394" s="177">
        <f>SUMIFS('Support - Transition'!G:G,'Support - Transition'!J:J,'Step 2'!D2394,'Support - Transition'!E:E,"2009 WELFARE ALLOCATION FACTOR")</f>
        <v>0</v>
      </c>
      <c r="O2394" s="152">
        <f t="shared" si="713"/>
        <v>0</v>
      </c>
      <c r="P2394" s="126">
        <f>IF(E2394="Y",0,SUMIFS('Support - Transition'!G:G,'Support - Transition'!J:J,'Step 2'!D2394,'Support - Transition'!E:E,"2009 SCHOOL ALLOCATION FACTOR"))</f>
        <v>0.59133599999999997</v>
      </c>
      <c r="Q2394" s="126">
        <f>IF(E2394="Y",VLOOKUP(D2394,'Support - Unit Adjustments'!F:G,2,FALSE),0)</f>
        <v>0</v>
      </c>
      <c r="R2394" s="155">
        <f t="shared" si="725"/>
        <v>0.59133599999999997</v>
      </c>
      <c r="S2394" s="47">
        <f t="shared" si="724"/>
        <v>678682</v>
      </c>
      <c r="T2394" s="151">
        <f t="shared" si="709"/>
        <v>469028</v>
      </c>
      <c r="U2394" s="151">
        <f t="shared" si="710"/>
        <v>0</v>
      </c>
      <c r="V2394" s="139">
        <f t="shared" si="711"/>
        <v>0</v>
      </c>
      <c r="W2394" s="152">
        <f t="shared" si="714"/>
        <v>469028</v>
      </c>
      <c r="X2394" s="127" t="str">
        <f t="shared" si="712"/>
        <v/>
      </c>
      <c r="Y2394" s="207">
        <f t="shared" si="715"/>
        <v>469028</v>
      </c>
      <c r="Z2394" s="139">
        <f t="shared" si="716"/>
        <v>469028</v>
      </c>
      <c r="AA2394" s="139">
        <f t="shared" si="717"/>
        <v>0</v>
      </c>
      <c r="AC2394" s="47">
        <f t="shared" si="718"/>
        <v>234514</v>
      </c>
      <c r="AD2394" s="47">
        <f t="shared" si="719"/>
        <v>234514</v>
      </c>
      <c r="AE2394" s="47">
        <f t="shared" si="720"/>
        <v>0</v>
      </c>
      <c r="AG2394" s="47">
        <f t="shared" si="721"/>
        <v>234514</v>
      </c>
      <c r="AH2394" s="47">
        <f t="shared" si="722"/>
        <v>234514</v>
      </c>
      <c r="AI2394" s="208">
        <f t="shared" si="723"/>
        <v>0</v>
      </c>
    </row>
    <row r="2395" spans="1:35">
      <c r="A2395" t="s">
        <v>2166</v>
      </c>
      <c r="B2395" t="s">
        <v>3166</v>
      </c>
      <c r="C2395" t="s">
        <v>5934</v>
      </c>
      <c r="D2395" t="s">
        <v>5935</v>
      </c>
      <c r="F2395" t="s">
        <v>1706</v>
      </c>
      <c r="G2395" s="126">
        <f>SUMIFS('Support - Transition'!F:F,'Support - Transition'!B:B,'Step 2'!A2395,'Support - Transition'!C:C,'Step 2'!B2395,'Support - Transition'!D:D,'Step 2'!C2395,'Support - Transition'!E:E,"CIVIL")</f>
        <v>0</v>
      </c>
      <c r="H2395" s="126">
        <f>SUMIFS('Support - Transition'!F:F,'Support - Transition'!B:B,'Step 2'!A2395,'Support - Transition'!C:C,'Step 2'!B2395,'Support - Transition'!D:D,'Step 2'!C2395,'Support - Transition'!E:E,"FIRE")</f>
        <v>0</v>
      </c>
      <c r="I2395" s="126">
        <f>IF(B2395="0",SUMIFS('Support - Transition'!F:F,'Support - Transition'!J:J,'Step 2'!D2395,'Support - Transition'!E:E,"STATE UNIT"),SUMIFS('Support - Transition'!F:F,'Support - Transition'!J:J,'Step 2'!D2395))</f>
        <v>3.8199000000000094E-2</v>
      </c>
      <c r="J2395" s="126">
        <f>SUMIFS('Support - Unit Adjustments'!E:E,'Support - Unit Adjustments'!F:F,'Step 2'!D2395)</f>
        <v>0</v>
      </c>
      <c r="K2395" s="126">
        <f t="shared" si="707"/>
        <v>3.8199000000000094E-2</v>
      </c>
      <c r="L2395" s="174">
        <f>VLOOKUP(A2395,'Step 1'!$A:$E,4,FALSE)</f>
        <v>2433962</v>
      </c>
      <c r="M2395" s="47">
        <f t="shared" si="708"/>
        <v>92975</v>
      </c>
      <c r="N2395" s="177">
        <f>SUMIFS('Support - Transition'!G:G,'Support - Transition'!J:J,'Step 2'!D2395,'Support - Transition'!E:E,"2009 WELFARE ALLOCATION FACTOR")</f>
        <v>0</v>
      </c>
      <c r="O2395" s="152">
        <f t="shared" si="713"/>
        <v>0</v>
      </c>
      <c r="P2395" s="126">
        <f>IF(E2395="Y",0,SUMIFS('Support - Transition'!G:G,'Support - Transition'!J:J,'Step 2'!D2395,'Support - Transition'!E:E,"2009 SCHOOL ALLOCATION FACTOR"))</f>
        <v>0</v>
      </c>
      <c r="Q2395" s="126">
        <f>IF(E2395="Y",VLOOKUP(D2395,'Support - Unit Adjustments'!F:G,2,FALSE),0)</f>
        <v>0</v>
      </c>
      <c r="R2395" s="155">
        <f t="shared" si="725"/>
        <v>0</v>
      </c>
      <c r="S2395" s="47">
        <f t="shared" si="724"/>
        <v>0</v>
      </c>
      <c r="T2395" s="151">
        <f t="shared" si="709"/>
        <v>92975</v>
      </c>
      <c r="U2395" s="151">
        <f t="shared" si="710"/>
        <v>0</v>
      </c>
      <c r="V2395" s="139">
        <f t="shared" si="711"/>
        <v>0</v>
      </c>
      <c r="W2395" s="152">
        <f t="shared" si="714"/>
        <v>92975</v>
      </c>
      <c r="X2395" s="127" t="str">
        <f t="shared" si="712"/>
        <v/>
      </c>
      <c r="Y2395" s="207">
        <f t="shared" si="715"/>
        <v>92975</v>
      </c>
      <c r="Z2395" s="139">
        <f t="shared" si="716"/>
        <v>92975</v>
      </c>
      <c r="AA2395" s="139">
        <f t="shared" si="717"/>
        <v>0</v>
      </c>
      <c r="AC2395" s="47">
        <f t="shared" si="718"/>
        <v>46488</v>
      </c>
      <c r="AD2395" s="47">
        <f t="shared" si="719"/>
        <v>46488</v>
      </c>
      <c r="AE2395" s="47">
        <f t="shared" si="720"/>
        <v>0</v>
      </c>
      <c r="AG2395" s="47">
        <f t="shared" si="721"/>
        <v>46487</v>
      </c>
      <c r="AH2395" s="47">
        <f t="shared" si="722"/>
        <v>46487</v>
      </c>
      <c r="AI2395" s="208">
        <f t="shared" si="723"/>
        <v>0</v>
      </c>
    </row>
    <row r="2396" spans="1:35">
      <c r="A2396" t="s">
        <v>2166</v>
      </c>
      <c r="B2396" t="s">
        <v>3170</v>
      </c>
      <c r="C2396" t="s">
        <v>5936</v>
      </c>
      <c r="D2396" t="s">
        <v>5937</v>
      </c>
      <c r="F2396" t="s">
        <v>5938</v>
      </c>
      <c r="G2396" s="126">
        <f>SUMIFS('Support - Transition'!F:F,'Support - Transition'!B:B,'Step 2'!A2396,'Support - Transition'!C:C,'Step 2'!B2396,'Support - Transition'!D:D,'Step 2'!C2396,'Support - Transition'!E:E,"CIVIL")</f>
        <v>0</v>
      </c>
      <c r="H2396" s="126">
        <f>SUMIFS('Support - Transition'!F:F,'Support - Transition'!B:B,'Step 2'!A2396,'Support - Transition'!C:C,'Step 2'!B2396,'Support - Transition'!D:D,'Step 2'!C2396,'Support - Transition'!E:E,"FIRE")</f>
        <v>0</v>
      </c>
      <c r="I2396" s="126">
        <f>IF(B2396="0",SUMIFS('Support - Transition'!F:F,'Support - Transition'!J:J,'Step 2'!D2396,'Support - Transition'!E:E,"STATE UNIT"),SUMIFS('Support - Transition'!F:F,'Support - Transition'!J:J,'Step 2'!D2396))</f>
        <v>0</v>
      </c>
      <c r="J2396" s="126">
        <f>SUMIFS('Support - Unit Adjustments'!E:E,'Support - Unit Adjustments'!F:F,'Step 2'!D2396)</f>
        <v>0</v>
      </c>
      <c r="K2396" s="126">
        <f t="shared" si="707"/>
        <v>0</v>
      </c>
      <c r="L2396" s="174">
        <f>VLOOKUP(A2396,'Step 1'!$A:$E,4,FALSE)</f>
        <v>2433962</v>
      </c>
      <c r="M2396" s="47">
        <f t="shared" si="708"/>
        <v>0</v>
      </c>
      <c r="N2396" s="177">
        <f>SUMIFS('Support - Transition'!G:G,'Support - Transition'!J:J,'Step 2'!D2396,'Support - Transition'!E:E,"2009 WELFARE ALLOCATION FACTOR")</f>
        <v>0</v>
      </c>
      <c r="O2396" s="152">
        <f t="shared" si="713"/>
        <v>0</v>
      </c>
      <c r="P2396" s="126">
        <f>IF(E2396="Y",0,SUMIFS('Support - Transition'!G:G,'Support - Transition'!J:J,'Step 2'!D2396,'Support - Transition'!E:E,"2009 SCHOOL ALLOCATION FACTOR"))</f>
        <v>0</v>
      </c>
      <c r="Q2396" s="126">
        <f>IF(E2396="Y",VLOOKUP(D2396,'Support - Unit Adjustments'!F:G,2,FALSE),0)</f>
        <v>0</v>
      </c>
      <c r="R2396" s="155">
        <f t="shared" si="725"/>
        <v>0</v>
      </c>
      <c r="S2396" s="47">
        <f t="shared" si="724"/>
        <v>0</v>
      </c>
      <c r="T2396" s="151">
        <f t="shared" si="709"/>
        <v>0</v>
      </c>
      <c r="U2396" s="151">
        <f t="shared" si="710"/>
        <v>0</v>
      </c>
      <c r="V2396" s="139">
        <f t="shared" si="711"/>
        <v>0</v>
      </c>
      <c r="W2396" s="152">
        <f t="shared" si="714"/>
        <v>0</v>
      </c>
      <c r="X2396" s="127" t="str">
        <f t="shared" si="712"/>
        <v/>
      </c>
      <c r="Y2396" s="207">
        <f t="shared" si="715"/>
        <v>0</v>
      </c>
      <c r="Z2396" s="139">
        <f t="shared" si="716"/>
        <v>0</v>
      </c>
      <c r="AA2396" s="139">
        <f t="shared" si="717"/>
        <v>0</v>
      </c>
      <c r="AC2396" s="47">
        <f t="shared" si="718"/>
        <v>0</v>
      </c>
      <c r="AD2396" s="47">
        <f t="shared" si="719"/>
        <v>0</v>
      </c>
      <c r="AE2396" s="47">
        <f t="shared" si="720"/>
        <v>0</v>
      </c>
      <c r="AG2396" s="47">
        <f t="shared" si="721"/>
        <v>0</v>
      </c>
      <c r="AH2396" s="47">
        <f t="shared" si="722"/>
        <v>0</v>
      </c>
      <c r="AI2396" s="208">
        <f t="shared" si="723"/>
        <v>0</v>
      </c>
    </row>
    <row r="2397" spans="1:35">
      <c r="A2397" t="s">
        <v>2166</v>
      </c>
      <c r="B2397" t="s">
        <v>3170</v>
      </c>
      <c r="C2397" t="s">
        <v>5939</v>
      </c>
      <c r="D2397" t="s">
        <v>5940</v>
      </c>
      <c r="F2397" t="s">
        <v>5941</v>
      </c>
      <c r="G2397" s="126">
        <f>SUMIFS('Support - Transition'!F:F,'Support - Transition'!B:B,'Step 2'!A2397,'Support - Transition'!C:C,'Step 2'!B2397,'Support - Transition'!D:D,'Step 2'!C2397,'Support - Transition'!E:E,"CIVIL")</f>
        <v>0</v>
      </c>
      <c r="H2397" s="126">
        <f>SUMIFS('Support - Transition'!F:F,'Support - Transition'!B:B,'Step 2'!A2397,'Support - Transition'!C:C,'Step 2'!B2397,'Support - Transition'!D:D,'Step 2'!C2397,'Support - Transition'!E:E,"FIRE")</f>
        <v>0</v>
      </c>
      <c r="I2397" s="126">
        <f>IF(B2397="0",SUMIFS('Support - Transition'!F:F,'Support - Transition'!J:J,'Step 2'!D2397,'Support - Transition'!E:E,"STATE UNIT"),SUMIFS('Support - Transition'!F:F,'Support - Transition'!J:J,'Step 2'!D2397))</f>
        <v>0</v>
      </c>
      <c r="J2397" s="126">
        <f>SUMIFS('Support - Unit Adjustments'!E:E,'Support - Unit Adjustments'!F:F,'Step 2'!D2397)</f>
        <v>0</v>
      </c>
      <c r="K2397" s="126">
        <f t="shared" si="707"/>
        <v>0</v>
      </c>
      <c r="L2397" s="174">
        <f>VLOOKUP(A2397,'Step 1'!$A:$E,4,FALSE)</f>
        <v>2433962</v>
      </c>
      <c r="M2397" s="47">
        <f t="shared" si="708"/>
        <v>0</v>
      </c>
      <c r="N2397" s="177">
        <f>SUMIFS('Support - Transition'!G:G,'Support - Transition'!J:J,'Step 2'!D2397,'Support - Transition'!E:E,"2009 WELFARE ALLOCATION FACTOR")</f>
        <v>0</v>
      </c>
      <c r="O2397" s="152">
        <f t="shared" si="713"/>
        <v>0</v>
      </c>
      <c r="P2397" s="126">
        <f>IF(E2397="Y",0,SUMIFS('Support - Transition'!G:G,'Support - Transition'!J:J,'Step 2'!D2397,'Support - Transition'!E:E,"2009 SCHOOL ALLOCATION FACTOR"))</f>
        <v>0</v>
      </c>
      <c r="Q2397" s="126">
        <f>IF(E2397="Y",VLOOKUP(D2397,'Support - Unit Adjustments'!F:G,2,FALSE),0)</f>
        <v>0</v>
      </c>
      <c r="R2397" s="155">
        <f t="shared" si="725"/>
        <v>0</v>
      </c>
      <c r="S2397" s="47">
        <f t="shared" si="724"/>
        <v>0</v>
      </c>
      <c r="T2397" s="151">
        <f t="shared" si="709"/>
        <v>0</v>
      </c>
      <c r="U2397" s="151">
        <f t="shared" si="710"/>
        <v>0</v>
      </c>
      <c r="V2397" s="139">
        <f t="shared" si="711"/>
        <v>0</v>
      </c>
      <c r="W2397" s="152">
        <f t="shared" si="714"/>
        <v>0</v>
      </c>
      <c r="X2397" s="127" t="str">
        <f t="shared" si="712"/>
        <v/>
      </c>
      <c r="Y2397" s="207">
        <f t="shared" si="715"/>
        <v>0</v>
      </c>
      <c r="Z2397" s="139">
        <f t="shared" si="716"/>
        <v>0</v>
      </c>
      <c r="AA2397" s="139">
        <f t="shared" si="717"/>
        <v>0</v>
      </c>
      <c r="AC2397" s="47">
        <f t="shared" si="718"/>
        <v>0</v>
      </c>
      <c r="AD2397" s="47">
        <f t="shared" si="719"/>
        <v>0</v>
      </c>
      <c r="AE2397" s="47">
        <f t="shared" si="720"/>
        <v>0</v>
      </c>
      <c r="AG2397" s="47">
        <f t="shared" si="721"/>
        <v>0</v>
      </c>
      <c r="AH2397" s="47">
        <f t="shared" si="722"/>
        <v>0</v>
      </c>
      <c r="AI2397" s="208">
        <f t="shared" si="723"/>
        <v>0</v>
      </c>
    </row>
    <row r="2398" spans="1:35">
      <c r="A2398" t="s">
        <v>2166</v>
      </c>
      <c r="B2398" t="s">
        <v>3170</v>
      </c>
      <c r="C2398" t="s">
        <v>5942</v>
      </c>
      <c r="D2398" t="s">
        <v>5943</v>
      </c>
      <c r="F2398" t="s">
        <v>5944</v>
      </c>
      <c r="G2398" s="126">
        <f>SUMIFS('Support - Transition'!F:F,'Support - Transition'!B:B,'Step 2'!A2398,'Support - Transition'!C:C,'Step 2'!B2398,'Support - Transition'!D:D,'Step 2'!C2398,'Support - Transition'!E:E,"CIVIL")</f>
        <v>0</v>
      </c>
      <c r="H2398" s="126">
        <f>SUMIFS('Support - Transition'!F:F,'Support - Transition'!B:B,'Step 2'!A2398,'Support - Transition'!C:C,'Step 2'!B2398,'Support - Transition'!D:D,'Step 2'!C2398,'Support - Transition'!E:E,"FIRE")</f>
        <v>0</v>
      </c>
      <c r="I2398" s="126">
        <f>IF(B2398="0",SUMIFS('Support - Transition'!F:F,'Support - Transition'!J:J,'Step 2'!D2398,'Support - Transition'!E:E,"STATE UNIT"),SUMIFS('Support - Transition'!F:F,'Support - Transition'!J:J,'Step 2'!D2398))</f>
        <v>0</v>
      </c>
      <c r="J2398" s="126">
        <f>SUMIFS('Support - Unit Adjustments'!E:E,'Support - Unit Adjustments'!F:F,'Step 2'!D2398)</f>
        <v>0</v>
      </c>
      <c r="K2398" s="126">
        <f t="shared" si="707"/>
        <v>0</v>
      </c>
      <c r="L2398" s="174">
        <f>VLOOKUP(A2398,'Step 1'!$A:$E,4,FALSE)</f>
        <v>2433962</v>
      </c>
      <c r="M2398" s="47">
        <f t="shared" si="708"/>
        <v>0</v>
      </c>
      <c r="N2398" s="177">
        <f>SUMIFS('Support - Transition'!G:G,'Support - Transition'!J:J,'Step 2'!D2398,'Support - Transition'!E:E,"2009 WELFARE ALLOCATION FACTOR")</f>
        <v>0</v>
      </c>
      <c r="O2398" s="152">
        <f t="shared" si="713"/>
        <v>0</v>
      </c>
      <c r="P2398" s="126">
        <f>IF(E2398="Y",0,SUMIFS('Support - Transition'!G:G,'Support - Transition'!J:J,'Step 2'!D2398,'Support - Transition'!E:E,"2009 SCHOOL ALLOCATION FACTOR"))</f>
        <v>0</v>
      </c>
      <c r="Q2398" s="126">
        <f>IF(E2398="Y",VLOOKUP(D2398,'Support - Unit Adjustments'!F:G,2,FALSE),0)</f>
        <v>0</v>
      </c>
      <c r="R2398" s="155">
        <f t="shared" si="725"/>
        <v>0</v>
      </c>
      <c r="S2398" s="47">
        <f t="shared" si="724"/>
        <v>0</v>
      </c>
      <c r="T2398" s="151">
        <f t="shared" si="709"/>
        <v>0</v>
      </c>
      <c r="U2398" s="151">
        <f t="shared" si="710"/>
        <v>0</v>
      </c>
      <c r="V2398" s="139">
        <f t="shared" si="711"/>
        <v>0</v>
      </c>
      <c r="W2398" s="152">
        <f t="shared" si="714"/>
        <v>0</v>
      </c>
      <c r="X2398" s="127" t="str">
        <f t="shared" si="712"/>
        <v/>
      </c>
      <c r="Y2398" s="207">
        <f t="shared" si="715"/>
        <v>0</v>
      </c>
      <c r="Z2398" s="139">
        <f t="shared" si="716"/>
        <v>0</v>
      </c>
      <c r="AA2398" s="139">
        <f t="shared" si="717"/>
        <v>0</v>
      </c>
      <c r="AC2398" s="47">
        <f t="shared" si="718"/>
        <v>0</v>
      </c>
      <c r="AD2398" s="47">
        <f t="shared" si="719"/>
        <v>0</v>
      </c>
      <c r="AE2398" s="47">
        <f t="shared" si="720"/>
        <v>0</v>
      </c>
      <c r="AG2398" s="47">
        <f t="shared" si="721"/>
        <v>0</v>
      </c>
      <c r="AH2398" s="47">
        <f t="shared" si="722"/>
        <v>0</v>
      </c>
      <c r="AI2398" s="208">
        <f t="shared" si="723"/>
        <v>0</v>
      </c>
    </row>
    <row r="2399" spans="1:35">
      <c r="A2399" t="s">
        <v>2167</v>
      </c>
      <c r="B2399" s="48" t="s">
        <v>6274</v>
      </c>
      <c r="C2399" t="s">
        <v>2187</v>
      </c>
      <c r="D2399" t="str">
        <f>A2399&amp;B2399&amp;C2399</f>
        <v>8300000</v>
      </c>
      <c r="F2399" t="s">
        <v>6357</v>
      </c>
      <c r="G2399" s="126">
        <f>SUMIFS('Support - Transition'!F:F,'Support - Transition'!B:B,'Step 2'!A2399,'Support - Transition'!C:C,'Step 2'!B2399,'Support - Transition'!D:D,'Step 2'!C2399,'Support - Transition'!E:E,"CIVIL")</f>
        <v>0</v>
      </c>
      <c r="H2399" s="126">
        <f>SUMIFS('Support - Transition'!F:F,'Support - Transition'!B:B,'Step 2'!A2399,'Support - Transition'!C:C,'Step 2'!B2399,'Support - Transition'!D:D,'Step 2'!C2399,'Support - Transition'!E:E,"FIRE")</f>
        <v>0</v>
      </c>
      <c r="I2399" s="126">
        <f>IF(B2399="0",SUMIFS('Support - Transition'!F:F,'Support - Transition'!J:J,'Step 2'!D2399,'Support - Transition'!E:E,"STATE UNIT"),SUMIFS('Support - Transition'!F:F,'Support - Transition'!J:J,'Step 2'!D2399))</f>
        <v>1.157E-3</v>
      </c>
      <c r="J2399" s="126">
        <f>SUMIFS('Support - Unit Adjustments'!E:E,'Support - Unit Adjustments'!F:F,'Step 2'!D2399)</f>
        <v>0</v>
      </c>
      <c r="K2399" s="126">
        <f t="shared" si="707"/>
        <v>1.157E-3</v>
      </c>
      <c r="L2399" s="174">
        <f>VLOOKUP(A2399,'Step 1'!$A:$E,4,FALSE)</f>
        <v>180347</v>
      </c>
      <c r="M2399" s="47">
        <f t="shared" si="708"/>
        <v>209</v>
      </c>
      <c r="N2399" s="177">
        <f>SUMIFS('Support - Transition'!G:G,'Support - Transition'!J:J,'Step 2'!D2399,'Support - Transition'!E:E,"2009 WELFARE ALLOCATION FACTOR")</f>
        <v>0</v>
      </c>
      <c r="O2399" s="152">
        <f t="shared" si="713"/>
        <v>0</v>
      </c>
      <c r="P2399" s="126">
        <f>IF(E2399="Y",0,SUMIFS('Support - Transition'!G:G,'Support - Transition'!J:J,'Step 2'!D2399,'Support - Transition'!E:E,"2009 SCHOOL ALLOCATION FACTOR"))</f>
        <v>0</v>
      </c>
      <c r="Q2399" s="126">
        <f>IF(E2399="Y",VLOOKUP(D2399,'Support - Unit Adjustments'!F:G,2,FALSE),0)</f>
        <v>0</v>
      </c>
      <c r="R2399" s="155">
        <f t="shared" si="725"/>
        <v>0</v>
      </c>
      <c r="S2399" s="47">
        <f t="shared" si="724"/>
        <v>0</v>
      </c>
      <c r="T2399" s="151">
        <f t="shared" si="709"/>
        <v>209</v>
      </c>
      <c r="U2399" s="151">
        <f t="shared" si="710"/>
        <v>180348</v>
      </c>
      <c r="V2399" s="139">
        <f t="shared" si="711"/>
        <v>1</v>
      </c>
      <c r="W2399" s="152">
        <f t="shared" si="714"/>
        <v>208</v>
      </c>
      <c r="X2399" s="127">
        <f t="shared" si="712"/>
        <v>0</v>
      </c>
      <c r="Y2399" s="207">
        <f t="shared" si="715"/>
        <v>208</v>
      </c>
      <c r="Z2399" s="139">
        <f t="shared" si="716"/>
        <v>208</v>
      </c>
      <c r="AA2399" s="139">
        <f t="shared" si="717"/>
        <v>0</v>
      </c>
      <c r="AC2399" s="47">
        <f t="shared" si="718"/>
        <v>104</v>
      </c>
      <c r="AD2399" s="47">
        <f t="shared" si="719"/>
        <v>104</v>
      </c>
      <c r="AE2399" s="47">
        <f t="shared" si="720"/>
        <v>0</v>
      </c>
      <c r="AG2399" s="47">
        <f t="shared" si="721"/>
        <v>104</v>
      </c>
      <c r="AH2399" s="47">
        <f t="shared" si="722"/>
        <v>104</v>
      </c>
      <c r="AI2399" s="208">
        <f t="shared" si="723"/>
        <v>0</v>
      </c>
    </row>
    <row r="2400" spans="1:35">
      <c r="A2400" t="s">
        <v>2167</v>
      </c>
      <c r="B2400" t="s">
        <v>3140</v>
      </c>
      <c r="C2400" t="s">
        <v>2187</v>
      </c>
      <c r="D2400" t="s">
        <v>5945</v>
      </c>
      <c r="F2400" t="s">
        <v>1709</v>
      </c>
      <c r="G2400" s="126">
        <f>SUMIFS('Support - Transition'!F:F,'Support - Transition'!B:B,'Step 2'!A2400,'Support - Transition'!C:C,'Step 2'!B2400,'Support - Transition'!D:D,'Step 2'!C2400,'Support - Transition'!E:E,"CIVIL")</f>
        <v>0</v>
      </c>
      <c r="H2400" s="126">
        <f>SUMIFS('Support - Transition'!F:F,'Support - Transition'!B:B,'Step 2'!A2400,'Support - Transition'!C:C,'Step 2'!B2400,'Support - Transition'!D:D,'Step 2'!C2400,'Support - Transition'!E:E,"FIRE")</f>
        <v>0</v>
      </c>
      <c r="I2400" s="126">
        <f>IF(B2400="0",SUMIFS('Support - Transition'!F:F,'Support - Transition'!J:J,'Step 2'!D2400,'Support - Transition'!E:E,"STATE UNIT"),SUMIFS('Support - Transition'!F:F,'Support - Transition'!J:J,'Step 2'!D2400))</f>
        <v>0.26108700000000001</v>
      </c>
      <c r="J2400" s="126">
        <f>SUMIFS('Support - Unit Adjustments'!E:E,'Support - Unit Adjustments'!F:F,'Step 2'!D2400)</f>
        <v>0</v>
      </c>
      <c r="K2400" s="126">
        <f t="shared" si="707"/>
        <v>0.26108700000000001</v>
      </c>
      <c r="L2400" s="174">
        <f>VLOOKUP(A2400,'Step 1'!$A:$E,4,FALSE)</f>
        <v>180347</v>
      </c>
      <c r="M2400" s="47">
        <f t="shared" si="708"/>
        <v>47086</v>
      </c>
      <c r="N2400" s="177">
        <f>SUMIFS('Support - Transition'!G:G,'Support - Transition'!J:J,'Step 2'!D2400,'Support - Transition'!E:E,"2009 WELFARE ALLOCATION FACTOR")</f>
        <v>7.6754000000000003E-2</v>
      </c>
      <c r="O2400" s="152">
        <f t="shared" si="713"/>
        <v>3614</v>
      </c>
      <c r="P2400" s="126">
        <f>IF(E2400="Y",0,SUMIFS('Support - Transition'!G:G,'Support - Transition'!J:J,'Step 2'!D2400,'Support - Transition'!E:E,"2009 SCHOOL ALLOCATION FACTOR"))</f>
        <v>0</v>
      </c>
      <c r="Q2400" s="126">
        <f>IF(E2400="Y",VLOOKUP(D2400,'Support - Unit Adjustments'!F:G,2,FALSE),0)</f>
        <v>0</v>
      </c>
      <c r="R2400" s="155">
        <f t="shared" si="725"/>
        <v>0</v>
      </c>
      <c r="S2400" s="47">
        <f t="shared" si="724"/>
        <v>0</v>
      </c>
      <c r="T2400" s="151">
        <f t="shared" si="709"/>
        <v>43472</v>
      </c>
      <c r="U2400" s="151">
        <f t="shared" si="710"/>
        <v>0</v>
      </c>
      <c r="V2400" s="139">
        <f t="shared" si="711"/>
        <v>0</v>
      </c>
      <c r="W2400" s="152">
        <f t="shared" si="714"/>
        <v>43472</v>
      </c>
      <c r="X2400" s="127" t="str">
        <f t="shared" si="712"/>
        <v/>
      </c>
      <c r="Y2400" s="207">
        <f t="shared" si="715"/>
        <v>43472</v>
      </c>
      <c r="Z2400" s="139">
        <f t="shared" si="716"/>
        <v>43472</v>
      </c>
      <c r="AA2400" s="139">
        <f t="shared" si="717"/>
        <v>0</v>
      </c>
      <c r="AC2400" s="47">
        <f t="shared" si="718"/>
        <v>21736</v>
      </c>
      <c r="AD2400" s="47">
        <f t="shared" si="719"/>
        <v>21736</v>
      </c>
      <c r="AE2400" s="47">
        <f t="shared" si="720"/>
        <v>0</v>
      </c>
      <c r="AG2400" s="47">
        <f t="shared" si="721"/>
        <v>21736</v>
      </c>
      <c r="AH2400" s="47">
        <f t="shared" si="722"/>
        <v>21736</v>
      </c>
      <c r="AI2400" s="208">
        <f t="shared" si="723"/>
        <v>0</v>
      </c>
    </row>
    <row r="2401" spans="1:35">
      <c r="A2401" t="s">
        <v>2167</v>
      </c>
      <c r="B2401" t="s">
        <v>3142</v>
      </c>
      <c r="C2401" t="s">
        <v>2188</v>
      </c>
      <c r="D2401" t="s">
        <v>5946</v>
      </c>
      <c r="F2401" t="s">
        <v>147</v>
      </c>
      <c r="G2401" s="126">
        <f>SUMIFS('Support - Transition'!F:F,'Support - Transition'!B:B,'Step 2'!A2401,'Support - Transition'!C:C,'Step 2'!B2401,'Support - Transition'!D:D,'Step 2'!C2401,'Support - Transition'!E:E,"CIVIL")</f>
        <v>8.8830000000000003E-3</v>
      </c>
      <c r="H2401" s="126">
        <f>SUMIFS('Support - Transition'!F:F,'Support - Transition'!B:B,'Step 2'!A2401,'Support - Transition'!C:C,'Step 2'!B2401,'Support - Transition'!D:D,'Step 2'!C2401,'Support - Transition'!E:E,"FIRE")</f>
        <v>2.2439999999999999E-3</v>
      </c>
      <c r="I2401" s="126">
        <f>IF(B2401="0",SUMIFS('Support - Transition'!F:F,'Support - Transition'!J:J,'Step 2'!D2401,'Support - Transition'!E:E,"STATE UNIT"),SUMIFS('Support - Transition'!F:F,'Support - Transition'!J:J,'Step 2'!D2401))</f>
        <v>1.1127E-2</v>
      </c>
      <c r="J2401" s="126">
        <f>SUMIFS('Support - Unit Adjustments'!E:E,'Support - Unit Adjustments'!F:F,'Step 2'!D2401)</f>
        <v>0</v>
      </c>
      <c r="K2401" s="126">
        <f t="shared" si="707"/>
        <v>1.1127E-2</v>
      </c>
      <c r="L2401" s="174">
        <f>VLOOKUP(A2401,'Step 1'!$A:$E,4,FALSE)</f>
        <v>180347</v>
      </c>
      <c r="M2401" s="47">
        <f t="shared" si="708"/>
        <v>2007</v>
      </c>
      <c r="N2401" s="177">
        <f>SUMIFS('Support - Transition'!G:G,'Support - Transition'!J:J,'Step 2'!D2401,'Support - Transition'!E:E,"2009 WELFARE ALLOCATION FACTOR")</f>
        <v>0</v>
      </c>
      <c r="O2401" s="152">
        <f t="shared" si="713"/>
        <v>0</v>
      </c>
      <c r="P2401" s="126">
        <f>IF(E2401="Y",0,SUMIFS('Support - Transition'!G:G,'Support - Transition'!J:J,'Step 2'!D2401,'Support - Transition'!E:E,"2009 SCHOOL ALLOCATION FACTOR"))</f>
        <v>0</v>
      </c>
      <c r="Q2401" s="126">
        <f>IF(E2401="Y",VLOOKUP(D2401,'Support - Unit Adjustments'!F:G,2,FALSE),0)</f>
        <v>0</v>
      </c>
      <c r="R2401" s="155">
        <f t="shared" si="725"/>
        <v>0</v>
      </c>
      <c r="S2401" s="47">
        <f t="shared" si="724"/>
        <v>0</v>
      </c>
      <c r="T2401" s="151">
        <f t="shared" si="709"/>
        <v>2007</v>
      </c>
      <c r="U2401" s="151">
        <f t="shared" si="710"/>
        <v>0</v>
      </c>
      <c r="V2401" s="139">
        <f t="shared" si="711"/>
        <v>0</v>
      </c>
      <c r="W2401" s="152">
        <f t="shared" si="714"/>
        <v>2007</v>
      </c>
      <c r="X2401" s="127" t="str">
        <f t="shared" si="712"/>
        <v/>
      </c>
      <c r="Y2401" s="207">
        <f t="shared" si="715"/>
        <v>2007</v>
      </c>
      <c r="Z2401" s="139">
        <f t="shared" si="716"/>
        <v>1602</v>
      </c>
      <c r="AA2401" s="139">
        <f t="shared" si="717"/>
        <v>405</v>
      </c>
      <c r="AC2401" s="47">
        <f t="shared" si="718"/>
        <v>1004</v>
      </c>
      <c r="AD2401" s="47">
        <f t="shared" si="719"/>
        <v>801</v>
      </c>
      <c r="AE2401" s="47">
        <f t="shared" si="720"/>
        <v>203</v>
      </c>
      <c r="AG2401" s="47">
        <f t="shared" si="721"/>
        <v>1003</v>
      </c>
      <c r="AH2401" s="47">
        <f t="shared" si="722"/>
        <v>801</v>
      </c>
      <c r="AI2401" s="208">
        <f t="shared" si="723"/>
        <v>202</v>
      </c>
    </row>
    <row r="2402" spans="1:35">
      <c r="A2402" t="s">
        <v>2167</v>
      </c>
      <c r="B2402" t="s">
        <v>3142</v>
      </c>
      <c r="C2402" t="s">
        <v>2189</v>
      </c>
      <c r="D2402" t="s">
        <v>5947</v>
      </c>
      <c r="F2402" t="s">
        <v>1710</v>
      </c>
      <c r="G2402" s="126">
        <f>SUMIFS('Support - Transition'!F:F,'Support - Transition'!B:B,'Step 2'!A2402,'Support - Transition'!C:C,'Step 2'!B2402,'Support - Transition'!D:D,'Step 2'!C2402,'Support - Transition'!E:E,"CIVIL")</f>
        <v>2.6679999999999998E-3</v>
      </c>
      <c r="H2402" s="126">
        <f>SUMIFS('Support - Transition'!F:F,'Support - Transition'!B:B,'Step 2'!A2402,'Support - Transition'!C:C,'Step 2'!B2402,'Support - Transition'!D:D,'Step 2'!C2402,'Support - Transition'!E:E,"FIRE")</f>
        <v>1.769E-3</v>
      </c>
      <c r="I2402" s="126">
        <f>IF(B2402="0",SUMIFS('Support - Transition'!F:F,'Support - Transition'!J:J,'Step 2'!D2402,'Support - Transition'!E:E,"STATE UNIT"),SUMIFS('Support - Transition'!F:F,'Support - Transition'!J:J,'Step 2'!D2402))</f>
        <v>4.437E-3</v>
      </c>
      <c r="J2402" s="126">
        <f>SUMIFS('Support - Unit Adjustments'!E:E,'Support - Unit Adjustments'!F:F,'Step 2'!D2402)</f>
        <v>0</v>
      </c>
      <c r="K2402" s="126">
        <f t="shared" si="707"/>
        <v>4.437E-3</v>
      </c>
      <c r="L2402" s="174">
        <f>VLOOKUP(A2402,'Step 1'!$A:$E,4,FALSE)</f>
        <v>180347</v>
      </c>
      <c r="M2402" s="47">
        <f t="shared" si="708"/>
        <v>800</v>
      </c>
      <c r="N2402" s="177">
        <f>SUMIFS('Support - Transition'!G:G,'Support - Transition'!J:J,'Step 2'!D2402,'Support - Transition'!E:E,"2009 WELFARE ALLOCATION FACTOR")</f>
        <v>0</v>
      </c>
      <c r="O2402" s="152">
        <f t="shared" si="713"/>
        <v>0</v>
      </c>
      <c r="P2402" s="126">
        <f>IF(E2402="Y",0,SUMIFS('Support - Transition'!G:G,'Support - Transition'!J:J,'Step 2'!D2402,'Support - Transition'!E:E,"2009 SCHOOL ALLOCATION FACTOR"))</f>
        <v>0</v>
      </c>
      <c r="Q2402" s="126">
        <f>IF(E2402="Y",VLOOKUP(D2402,'Support - Unit Adjustments'!F:G,2,FALSE),0)</f>
        <v>0</v>
      </c>
      <c r="R2402" s="155">
        <f t="shared" si="725"/>
        <v>0</v>
      </c>
      <c r="S2402" s="47">
        <f t="shared" si="724"/>
        <v>0</v>
      </c>
      <c r="T2402" s="151">
        <f t="shared" si="709"/>
        <v>800</v>
      </c>
      <c r="U2402" s="151">
        <f t="shared" si="710"/>
        <v>0</v>
      </c>
      <c r="V2402" s="139">
        <f t="shared" si="711"/>
        <v>0</v>
      </c>
      <c r="W2402" s="152">
        <f t="shared" si="714"/>
        <v>800</v>
      </c>
      <c r="X2402" s="127" t="str">
        <f t="shared" si="712"/>
        <v/>
      </c>
      <c r="Y2402" s="207">
        <f t="shared" si="715"/>
        <v>800</v>
      </c>
      <c r="Z2402" s="139">
        <f t="shared" si="716"/>
        <v>481</v>
      </c>
      <c r="AA2402" s="139">
        <f t="shared" si="717"/>
        <v>319</v>
      </c>
      <c r="AC2402" s="47">
        <f t="shared" si="718"/>
        <v>400</v>
      </c>
      <c r="AD2402" s="47">
        <f t="shared" si="719"/>
        <v>241</v>
      </c>
      <c r="AE2402" s="47">
        <f t="shared" si="720"/>
        <v>160</v>
      </c>
      <c r="AG2402" s="47">
        <f t="shared" si="721"/>
        <v>400</v>
      </c>
      <c r="AH2402" s="47">
        <f t="shared" si="722"/>
        <v>240</v>
      </c>
      <c r="AI2402" s="208">
        <f t="shared" si="723"/>
        <v>159</v>
      </c>
    </row>
    <row r="2403" spans="1:35">
      <c r="A2403" t="s">
        <v>2167</v>
      </c>
      <c r="B2403" t="s">
        <v>3142</v>
      </c>
      <c r="C2403" t="s">
        <v>2190</v>
      </c>
      <c r="D2403" t="s">
        <v>5948</v>
      </c>
      <c r="F2403" t="s">
        <v>1711</v>
      </c>
      <c r="G2403" s="126">
        <f>SUMIFS('Support - Transition'!F:F,'Support - Transition'!B:B,'Step 2'!A2403,'Support - Transition'!C:C,'Step 2'!B2403,'Support - Transition'!D:D,'Step 2'!C2403,'Support - Transition'!E:E,"CIVIL")</f>
        <v>3.1129999999999999E-3</v>
      </c>
      <c r="H2403" s="126">
        <f>SUMIFS('Support - Transition'!F:F,'Support - Transition'!B:B,'Step 2'!A2403,'Support - Transition'!C:C,'Step 2'!B2403,'Support - Transition'!D:D,'Step 2'!C2403,'Support - Transition'!E:E,"FIRE")</f>
        <v>2.5569999999999998E-3</v>
      </c>
      <c r="I2403" s="126">
        <f>IF(B2403="0",SUMIFS('Support - Transition'!F:F,'Support - Transition'!J:J,'Step 2'!D2403,'Support - Transition'!E:E,"STATE UNIT"),SUMIFS('Support - Transition'!F:F,'Support - Transition'!J:J,'Step 2'!D2403))</f>
        <v>5.6699999999999997E-3</v>
      </c>
      <c r="J2403" s="126">
        <f>SUMIFS('Support - Unit Adjustments'!E:E,'Support - Unit Adjustments'!F:F,'Step 2'!D2403)</f>
        <v>0</v>
      </c>
      <c r="K2403" s="126">
        <f t="shared" si="707"/>
        <v>5.6699999999999997E-3</v>
      </c>
      <c r="L2403" s="174">
        <f>VLOOKUP(A2403,'Step 1'!$A:$E,4,FALSE)</f>
        <v>180347</v>
      </c>
      <c r="M2403" s="47">
        <f t="shared" si="708"/>
        <v>1023</v>
      </c>
      <c r="N2403" s="177">
        <f>SUMIFS('Support - Transition'!G:G,'Support - Transition'!J:J,'Step 2'!D2403,'Support - Transition'!E:E,"2009 WELFARE ALLOCATION FACTOR")</f>
        <v>0</v>
      </c>
      <c r="O2403" s="152">
        <f t="shared" si="713"/>
        <v>0</v>
      </c>
      <c r="P2403" s="126">
        <f>IF(E2403="Y",0,SUMIFS('Support - Transition'!G:G,'Support - Transition'!J:J,'Step 2'!D2403,'Support - Transition'!E:E,"2009 SCHOOL ALLOCATION FACTOR"))</f>
        <v>0</v>
      </c>
      <c r="Q2403" s="126">
        <f>IF(E2403="Y",VLOOKUP(D2403,'Support - Unit Adjustments'!F:G,2,FALSE),0)</f>
        <v>0</v>
      </c>
      <c r="R2403" s="155">
        <f t="shared" si="725"/>
        <v>0</v>
      </c>
      <c r="S2403" s="47">
        <f t="shared" si="724"/>
        <v>0</v>
      </c>
      <c r="T2403" s="151">
        <f t="shared" si="709"/>
        <v>1023</v>
      </c>
      <c r="U2403" s="151">
        <f t="shared" si="710"/>
        <v>0</v>
      </c>
      <c r="V2403" s="139">
        <f t="shared" si="711"/>
        <v>0</v>
      </c>
      <c r="W2403" s="152">
        <f t="shared" si="714"/>
        <v>1023</v>
      </c>
      <c r="X2403" s="127" t="str">
        <f t="shared" si="712"/>
        <v/>
      </c>
      <c r="Y2403" s="207">
        <f t="shared" si="715"/>
        <v>1023</v>
      </c>
      <c r="Z2403" s="139">
        <f t="shared" si="716"/>
        <v>562</v>
      </c>
      <c r="AA2403" s="139">
        <f t="shared" si="717"/>
        <v>461</v>
      </c>
      <c r="AC2403" s="47">
        <f t="shared" si="718"/>
        <v>512</v>
      </c>
      <c r="AD2403" s="47">
        <f t="shared" si="719"/>
        <v>281</v>
      </c>
      <c r="AE2403" s="47">
        <f t="shared" si="720"/>
        <v>231</v>
      </c>
      <c r="AG2403" s="47">
        <f t="shared" si="721"/>
        <v>511</v>
      </c>
      <c r="AH2403" s="47">
        <f t="shared" si="722"/>
        <v>281</v>
      </c>
      <c r="AI2403" s="208">
        <f t="shared" si="723"/>
        <v>230</v>
      </c>
    </row>
    <row r="2404" spans="1:35">
      <c r="A2404" t="s">
        <v>2167</v>
      </c>
      <c r="B2404" t="s">
        <v>3142</v>
      </c>
      <c r="C2404" t="s">
        <v>2191</v>
      </c>
      <c r="D2404" t="s">
        <v>5949</v>
      </c>
      <c r="F2404" t="s">
        <v>528</v>
      </c>
      <c r="G2404" s="126">
        <f>SUMIFS('Support - Transition'!F:F,'Support - Transition'!B:B,'Step 2'!A2404,'Support - Transition'!C:C,'Step 2'!B2404,'Support - Transition'!D:D,'Step 2'!C2404,'Support - Transition'!E:E,"CIVIL")</f>
        <v>4.1029999999999999E-3</v>
      </c>
      <c r="H2404" s="126">
        <f>SUMIFS('Support - Transition'!F:F,'Support - Transition'!B:B,'Step 2'!A2404,'Support - Transition'!C:C,'Step 2'!B2404,'Support - Transition'!D:D,'Step 2'!C2404,'Support - Transition'!E:E,"FIRE")</f>
        <v>3.274E-3</v>
      </c>
      <c r="I2404" s="126">
        <f>IF(B2404="0",SUMIFS('Support - Transition'!F:F,'Support - Transition'!J:J,'Step 2'!D2404,'Support - Transition'!E:E,"STATE UNIT"),SUMIFS('Support - Transition'!F:F,'Support - Transition'!J:J,'Step 2'!D2404))</f>
        <v>7.3769999999999999E-3</v>
      </c>
      <c r="J2404" s="126">
        <f>SUMIFS('Support - Unit Adjustments'!E:E,'Support - Unit Adjustments'!F:F,'Step 2'!D2404)</f>
        <v>0</v>
      </c>
      <c r="K2404" s="126">
        <f t="shared" si="707"/>
        <v>7.3769999999999999E-3</v>
      </c>
      <c r="L2404" s="174">
        <f>VLOOKUP(A2404,'Step 1'!$A:$E,4,FALSE)</f>
        <v>180347</v>
      </c>
      <c r="M2404" s="47">
        <f t="shared" si="708"/>
        <v>1330</v>
      </c>
      <c r="N2404" s="177">
        <f>SUMIFS('Support - Transition'!G:G,'Support - Transition'!J:J,'Step 2'!D2404,'Support - Transition'!E:E,"2009 WELFARE ALLOCATION FACTOR")</f>
        <v>0</v>
      </c>
      <c r="O2404" s="152">
        <f t="shared" si="713"/>
        <v>0</v>
      </c>
      <c r="P2404" s="126">
        <f>IF(E2404="Y",0,SUMIFS('Support - Transition'!G:G,'Support - Transition'!J:J,'Step 2'!D2404,'Support - Transition'!E:E,"2009 SCHOOL ALLOCATION FACTOR"))</f>
        <v>0</v>
      </c>
      <c r="Q2404" s="126">
        <f>IF(E2404="Y",VLOOKUP(D2404,'Support - Unit Adjustments'!F:G,2,FALSE),0)</f>
        <v>0</v>
      </c>
      <c r="R2404" s="155">
        <f t="shared" si="725"/>
        <v>0</v>
      </c>
      <c r="S2404" s="47">
        <f t="shared" si="724"/>
        <v>0</v>
      </c>
      <c r="T2404" s="151">
        <f t="shared" si="709"/>
        <v>1330</v>
      </c>
      <c r="U2404" s="151">
        <f t="shared" si="710"/>
        <v>0</v>
      </c>
      <c r="V2404" s="139">
        <f t="shared" si="711"/>
        <v>0</v>
      </c>
      <c r="W2404" s="152">
        <f t="shared" si="714"/>
        <v>1330</v>
      </c>
      <c r="X2404" s="127" t="str">
        <f t="shared" si="712"/>
        <v/>
      </c>
      <c r="Y2404" s="207">
        <f t="shared" si="715"/>
        <v>1330</v>
      </c>
      <c r="Z2404" s="139">
        <f t="shared" si="716"/>
        <v>740</v>
      </c>
      <c r="AA2404" s="139">
        <f t="shared" si="717"/>
        <v>590</v>
      </c>
      <c r="AC2404" s="47">
        <f t="shared" si="718"/>
        <v>665</v>
      </c>
      <c r="AD2404" s="47">
        <f t="shared" si="719"/>
        <v>370</v>
      </c>
      <c r="AE2404" s="47">
        <f t="shared" si="720"/>
        <v>295</v>
      </c>
      <c r="AG2404" s="47">
        <f t="shared" si="721"/>
        <v>665</v>
      </c>
      <c r="AH2404" s="47">
        <f t="shared" si="722"/>
        <v>370</v>
      </c>
      <c r="AI2404" s="208">
        <f t="shared" si="723"/>
        <v>295</v>
      </c>
    </row>
    <row r="2405" spans="1:35">
      <c r="A2405" t="s">
        <v>2167</v>
      </c>
      <c r="B2405" t="s">
        <v>3142</v>
      </c>
      <c r="C2405" t="s">
        <v>2192</v>
      </c>
      <c r="D2405" t="s">
        <v>5950</v>
      </c>
      <c r="F2405" t="s">
        <v>1712</v>
      </c>
      <c r="G2405" s="126">
        <f>SUMIFS('Support - Transition'!F:F,'Support - Transition'!B:B,'Step 2'!A2405,'Support - Transition'!C:C,'Step 2'!B2405,'Support - Transition'!D:D,'Step 2'!C2405,'Support - Transition'!E:E,"CIVIL")</f>
        <v>5.8600000000000004E-4</v>
      </c>
      <c r="H2405" s="126">
        <f>SUMIFS('Support - Transition'!F:F,'Support - Transition'!B:B,'Step 2'!A2405,'Support - Transition'!C:C,'Step 2'!B2405,'Support - Transition'!D:D,'Step 2'!C2405,'Support - Transition'!E:E,"FIRE")</f>
        <v>1.21E-4</v>
      </c>
      <c r="I2405" s="126">
        <f>IF(B2405="0",SUMIFS('Support - Transition'!F:F,'Support - Transition'!J:J,'Step 2'!D2405,'Support - Transition'!E:E,"STATE UNIT"),SUMIFS('Support - Transition'!F:F,'Support - Transition'!J:J,'Step 2'!D2405))</f>
        <v>7.0700000000000005E-4</v>
      </c>
      <c r="J2405" s="126">
        <f>SUMIFS('Support - Unit Adjustments'!E:E,'Support - Unit Adjustments'!F:F,'Step 2'!D2405)</f>
        <v>0</v>
      </c>
      <c r="K2405" s="126">
        <f t="shared" si="707"/>
        <v>7.0700000000000005E-4</v>
      </c>
      <c r="L2405" s="174">
        <f>VLOOKUP(A2405,'Step 1'!$A:$E,4,FALSE)</f>
        <v>180347</v>
      </c>
      <c r="M2405" s="47">
        <f t="shared" si="708"/>
        <v>128</v>
      </c>
      <c r="N2405" s="177">
        <f>SUMIFS('Support - Transition'!G:G,'Support - Transition'!J:J,'Step 2'!D2405,'Support - Transition'!E:E,"2009 WELFARE ALLOCATION FACTOR")</f>
        <v>0</v>
      </c>
      <c r="O2405" s="152">
        <f t="shared" si="713"/>
        <v>0</v>
      </c>
      <c r="P2405" s="126">
        <f>IF(E2405="Y",0,SUMIFS('Support - Transition'!G:G,'Support - Transition'!J:J,'Step 2'!D2405,'Support - Transition'!E:E,"2009 SCHOOL ALLOCATION FACTOR"))</f>
        <v>0</v>
      </c>
      <c r="Q2405" s="126">
        <f>IF(E2405="Y",VLOOKUP(D2405,'Support - Unit Adjustments'!F:G,2,FALSE),0)</f>
        <v>0</v>
      </c>
      <c r="R2405" s="155">
        <f t="shared" si="725"/>
        <v>0</v>
      </c>
      <c r="S2405" s="47">
        <f t="shared" si="724"/>
        <v>0</v>
      </c>
      <c r="T2405" s="151">
        <f t="shared" si="709"/>
        <v>128</v>
      </c>
      <c r="U2405" s="151">
        <f t="shared" si="710"/>
        <v>0</v>
      </c>
      <c r="V2405" s="139">
        <f t="shared" si="711"/>
        <v>0</v>
      </c>
      <c r="W2405" s="152">
        <f t="shared" si="714"/>
        <v>128</v>
      </c>
      <c r="X2405" s="127" t="str">
        <f t="shared" si="712"/>
        <v/>
      </c>
      <c r="Y2405" s="207">
        <f t="shared" si="715"/>
        <v>128</v>
      </c>
      <c r="Z2405" s="139">
        <f t="shared" si="716"/>
        <v>106</v>
      </c>
      <c r="AA2405" s="139">
        <f t="shared" si="717"/>
        <v>22</v>
      </c>
      <c r="AC2405" s="47">
        <f t="shared" si="718"/>
        <v>64</v>
      </c>
      <c r="AD2405" s="47">
        <f t="shared" si="719"/>
        <v>53</v>
      </c>
      <c r="AE2405" s="47">
        <f t="shared" si="720"/>
        <v>11</v>
      </c>
      <c r="AG2405" s="47">
        <f t="shared" si="721"/>
        <v>64</v>
      </c>
      <c r="AH2405" s="47">
        <f t="shared" si="722"/>
        <v>53</v>
      </c>
      <c r="AI2405" s="208">
        <f t="shared" si="723"/>
        <v>11</v>
      </c>
    </row>
    <row r="2406" spans="1:35">
      <c r="A2406" t="s">
        <v>2167</v>
      </c>
      <c r="B2406" t="s">
        <v>3155</v>
      </c>
      <c r="C2406" t="s">
        <v>3053</v>
      </c>
      <c r="D2406" t="s">
        <v>5951</v>
      </c>
      <c r="F2406" t="s">
        <v>1714</v>
      </c>
      <c r="G2406" s="126">
        <f>SUMIFS('Support - Transition'!F:F,'Support - Transition'!B:B,'Step 2'!A2406,'Support - Transition'!C:C,'Step 2'!B2406,'Support - Transition'!D:D,'Step 2'!C2406,'Support - Transition'!E:E,"CIVIL")</f>
        <v>0</v>
      </c>
      <c r="H2406" s="126">
        <f>SUMIFS('Support - Transition'!F:F,'Support - Transition'!B:B,'Step 2'!A2406,'Support - Transition'!C:C,'Step 2'!B2406,'Support - Transition'!D:D,'Step 2'!C2406,'Support - Transition'!E:E,"FIRE")</f>
        <v>0</v>
      </c>
      <c r="I2406" s="126">
        <f>IF(B2406="0",SUMIFS('Support - Transition'!F:F,'Support - Transition'!J:J,'Step 2'!D2406,'Support - Transition'!E:E,"STATE UNIT"),SUMIFS('Support - Transition'!F:F,'Support - Transition'!J:J,'Step 2'!D2406))</f>
        <v>2.5776E-2</v>
      </c>
      <c r="J2406" s="126">
        <f>SUMIFS('Support - Unit Adjustments'!E:E,'Support - Unit Adjustments'!F:F,'Step 2'!D2406)</f>
        <v>0</v>
      </c>
      <c r="K2406" s="126">
        <f t="shared" si="707"/>
        <v>2.5776E-2</v>
      </c>
      <c r="L2406" s="174">
        <f>VLOOKUP(A2406,'Step 1'!$A:$E,4,FALSE)</f>
        <v>180347</v>
      </c>
      <c r="M2406" s="47">
        <f t="shared" si="708"/>
        <v>4649</v>
      </c>
      <c r="N2406" s="177">
        <f>SUMIFS('Support - Transition'!G:G,'Support - Transition'!J:J,'Step 2'!D2406,'Support - Transition'!E:E,"2009 WELFARE ALLOCATION FACTOR")</f>
        <v>0</v>
      </c>
      <c r="O2406" s="152">
        <f t="shared" si="713"/>
        <v>0</v>
      </c>
      <c r="P2406" s="126">
        <f>IF(E2406="Y",0,SUMIFS('Support - Transition'!G:G,'Support - Transition'!J:J,'Step 2'!D2406,'Support - Transition'!E:E,"2009 SCHOOL ALLOCATION FACTOR"))</f>
        <v>0</v>
      </c>
      <c r="Q2406" s="126">
        <f>IF(E2406="Y",VLOOKUP(D2406,'Support - Unit Adjustments'!F:G,2,FALSE),0)</f>
        <v>0</v>
      </c>
      <c r="R2406" s="155">
        <f t="shared" si="725"/>
        <v>0</v>
      </c>
      <c r="S2406" s="47">
        <f t="shared" si="724"/>
        <v>0</v>
      </c>
      <c r="T2406" s="151">
        <f t="shared" si="709"/>
        <v>4649</v>
      </c>
      <c r="U2406" s="151">
        <f t="shared" si="710"/>
        <v>0</v>
      </c>
      <c r="V2406" s="139">
        <f t="shared" si="711"/>
        <v>0</v>
      </c>
      <c r="W2406" s="152">
        <f t="shared" si="714"/>
        <v>4649</v>
      </c>
      <c r="X2406" s="127" t="str">
        <f t="shared" si="712"/>
        <v/>
      </c>
      <c r="Y2406" s="207">
        <f t="shared" si="715"/>
        <v>4649</v>
      </c>
      <c r="Z2406" s="139">
        <f t="shared" si="716"/>
        <v>4649</v>
      </c>
      <c r="AA2406" s="139">
        <f t="shared" si="717"/>
        <v>0</v>
      </c>
      <c r="AC2406" s="47">
        <f t="shared" si="718"/>
        <v>2325</v>
      </c>
      <c r="AD2406" s="47">
        <f t="shared" si="719"/>
        <v>2325</v>
      </c>
      <c r="AE2406" s="47">
        <f t="shared" si="720"/>
        <v>0</v>
      </c>
      <c r="AG2406" s="47">
        <f t="shared" si="721"/>
        <v>2324</v>
      </c>
      <c r="AH2406" s="47">
        <f t="shared" si="722"/>
        <v>2324</v>
      </c>
      <c r="AI2406" s="208">
        <f t="shared" si="723"/>
        <v>0</v>
      </c>
    </row>
    <row r="2407" spans="1:35">
      <c r="A2407" t="s">
        <v>2167</v>
      </c>
      <c r="B2407" t="s">
        <v>3155</v>
      </c>
      <c r="C2407" t="s">
        <v>3054</v>
      </c>
      <c r="D2407" t="s">
        <v>5952</v>
      </c>
      <c r="F2407" t="s">
        <v>1713</v>
      </c>
      <c r="G2407" s="126">
        <f>SUMIFS('Support - Transition'!F:F,'Support - Transition'!B:B,'Step 2'!A2407,'Support - Transition'!C:C,'Step 2'!B2407,'Support - Transition'!D:D,'Step 2'!C2407,'Support - Transition'!E:E,"CIVIL")</f>
        <v>0</v>
      </c>
      <c r="H2407" s="126">
        <f>SUMIFS('Support - Transition'!F:F,'Support - Transition'!B:B,'Step 2'!A2407,'Support - Transition'!C:C,'Step 2'!B2407,'Support - Transition'!D:D,'Step 2'!C2407,'Support - Transition'!E:E,"FIRE")</f>
        <v>0</v>
      </c>
      <c r="I2407" s="126">
        <f>IF(B2407="0",SUMIFS('Support - Transition'!F:F,'Support - Transition'!J:J,'Step 2'!D2407,'Support - Transition'!E:E,"STATE UNIT"),SUMIFS('Support - Transition'!F:F,'Support - Transition'!J:J,'Step 2'!D2407))</f>
        <v>1.0697999999999999E-2</v>
      </c>
      <c r="J2407" s="126">
        <f>SUMIFS('Support - Unit Adjustments'!E:E,'Support - Unit Adjustments'!F:F,'Step 2'!D2407)</f>
        <v>0</v>
      </c>
      <c r="K2407" s="126">
        <f t="shared" si="707"/>
        <v>1.0697999999999999E-2</v>
      </c>
      <c r="L2407" s="174">
        <f>VLOOKUP(A2407,'Step 1'!$A:$E,4,FALSE)</f>
        <v>180347</v>
      </c>
      <c r="M2407" s="47">
        <f t="shared" si="708"/>
        <v>1929</v>
      </c>
      <c r="N2407" s="177">
        <f>SUMIFS('Support - Transition'!G:G,'Support - Transition'!J:J,'Step 2'!D2407,'Support - Transition'!E:E,"2009 WELFARE ALLOCATION FACTOR")</f>
        <v>0</v>
      </c>
      <c r="O2407" s="152">
        <f t="shared" si="713"/>
        <v>0</v>
      </c>
      <c r="P2407" s="126">
        <f>IF(E2407="Y",0,SUMIFS('Support - Transition'!G:G,'Support - Transition'!J:J,'Step 2'!D2407,'Support - Transition'!E:E,"2009 SCHOOL ALLOCATION FACTOR"))</f>
        <v>0</v>
      </c>
      <c r="Q2407" s="126">
        <f>IF(E2407="Y",VLOOKUP(D2407,'Support - Unit Adjustments'!F:G,2,FALSE),0)</f>
        <v>0</v>
      </c>
      <c r="R2407" s="155">
        <f t="shared" si="725"/>
        <v>0</v>
      </c>
      <c r="S2407" s="47">
        <f t="shared" si="724"/>
        <v>0</v>
      </c>
      <c r="T2407" s="151">
        <f t="shared" si="709"/>
        <v>1929</v>
      </c>
      <c r="U2407" s="151">
        <f t="shared" si="710"/>
        <v>0</v>
      </c>
      <c r="V2407" s="139">
        <f t="shared" si="711"/>
        <v>0</v>
      </c>
      <c r="W2407" s="152">
        <f t="shared" si="714"/>
        <v>1929</v>
      </c>
      <c r="X2407" s="127" t="str">
        <f t="shared" si="712"/>
        <v/>
      </c>
      <c r="Y2407" s="207">
        <f t="shared" si="715"/>
        <v>1929</v>
      </c>
      <c r="Z2407" s="139">
        <f t="shared" si="716"/>
        <v>1929</v>
      </c>
      <c r="AA2407" s="139">
        <f t="shared" si="717"/>
        <v>0</v>
      </c>
      <c r="AC2407" s="47">
        <f t="shared" si="718"/>
        <v>965</v>
      </c>
      <c r="AD2407" s="47">
        <f t="shared" si="719"/>
        <v>965</v>
      </c>
      <c r="AE2407" s="47">
        <f t="shared" si="720"/>
        <v>0</v>
      </c>
      <c r="AG2407" s="47">
        <f t="shared" si="721"/>
        <v>964</v>
      </c>
      <c r="AH2407" s="47">
        <f t="shared" si="722"/>
        <v>964</v>
      </c>
      <c r="AI2407" s="208">
        <f t="shared" si="723"/>
        <v>0</v>
      </c>
    </row>
    <row r="2408" spans="1:35">
      <c r="A2408" t="s">
        <v>2167</v>
      </c>
      <c r="B2408" t="s">
        <v>3155</v>
      </c>
      <c r="C2408" t="s">
        <v>3055</v>
      </c>
      <c r="D2408" t="s">
        <v>5953</v>
      </c>
      <c r="F2408" t="s">
        <v>1715</v>
      </c>
      <c r="G2408" s="126">
        <f>SUMIFS('Support - Transition'!F:F,'Support - Transition'!B:B,'Step 2'!A2408,'Support - Transition'!C:C,'Step 2'!B2408,'Support - Transition'!D:D,'Step 2'!C2408,'Support - Transition'!E:E,"CIVIL")</f>
        <v>0</v>
      </c>
      <c r="H2408" s="126">
        <f>SUMIFS('Support - Transition'!F:F,'Support - Transition'!B:B,'Step 2'!A2408,'Support - Transition'!C:C,'Step 2'!B2408,'Support - Transition'!D:D,'Step 2'!C2408,'Support - Transition'!E:E,"FIRE")</f>
        <v>0</v>
      </c>
      <c r="I2408" s="126">
        <f>IF(B2408="0",SUMIFS('Support - Transition'!F:F,'Support - Transition'!J:J,'Step 2'!D2408,'Support - Transition'!E:E,"STATE UNIT"),SUMIFS('Support - Transition'!F:F,'Support - Transition'!J:J,'Step 2'!D2408))</f>
        <v>4.5329999999999997E-3</v>
      </c>
      <c r="J2408" s="126">
        <f>SUMIFS('Support - Unit Adjustments'!E:E,'Support - Unit Adjustments'!F:F,'Step 2'!D2408)</f>
        <v>0</v>
      </c>
      <c r="K2408" s="126">
        <f t="shared" si="707"/>
        <v>4.5329999999999997E-3</v>
      </c>
      <c r="L2408" s="174">
        <f>VLOOKUP(A2408,'Step 1'!$A:$E,4,FALSE)</f>
        <v>180347</v>
      </c>
      <c r="M2408" s="47">
        <f t="shared" si="708"/>
        <v>818</v>
      </c>
      <c r="N2408" s="177">
        <f>SUMIFS('Support - Transition'!G:G,'Support - Transition'!J:J,'Step 2'!D2408,'Support - Transition'!E:E,"2009 WELFARE ALLOCATION FACTOR")</f>
        <v>0</v>
      </c>
      <c r="O2408" s="152">
        <f t="shared" si="713"/>
        <v>0</v>
      </c>
      <c r="P2408" s="126">
        <f>IF(E2408="Y",0,SUMIFS('Support - Transition'!G:G,'Support - Transition'!J:J,'Step 2'!D2408,'Support - Transition'!E:E,"2009 SCHOOL ALLOCATION FACTOR"))</f>
        <v>0</v>
      </c>
      <c r="Q2408" s="126">
        <f>IF(E2408="Y",VLOOKUP(D2408,'Support - Unit Adjustments'!F:G,2,FALSE),0)</f>
        <v>0</v>
      </c>
      <c r="R2408" s="155">
        <f t="shared" si="725"/>
        <v>0</v>
      </c>
      <c r="S2408" s="47">
        <f t="shared" si="724"/>
        <v>0</v>
      </c>
      <c r="T2408" s="151">
        <f t="shared" si="709"/>
        <v>818</v>
      </c>
      <c r="U2408" s="151">
        <f t="shared" si="710"/>
        <v>0</v>
      </c>
      <c r="V2408" s="139">
        <f t="shared" si="711"/>
        <v>0</v>
      </c>
      <c r="W2408" s="152">
        <f t="shared" si="714"/>
        <v>818</v>
      </c>
      <c r="X2408" s="127" t="str">
        <f t="shared" si="712"/>
        <v/>
      </c>
      <c r="Y2408" s="207">
        <f t="shared" si="715"/>
        <v>818</v>
      </c>
      <c r="Z2408" s="139">
        <f t="shared" si="716"/>
        <v>818</v>
      </c>
      <c r="AA2408" s="139">
        <f t="shared" si="717"/>
        <v>0</v>
      </c>
      <c r="AC2408" s="47">
        <f t="shared" si="718"/>
        <v>409</v>
      </c>
      <c r="AD2408" s="47">
        <f t="shared" si="719"/>
        <v>409</v>
      </c>
      <c r="AE2408" s="47">
        <f t="shared" si="720"/>
        <v>0</v>
      </c>
      <c r="AG2408" s="47">
        <f t="shared" si="721"/>
        <v>409</v>
      </c>
      <c r="AH2408" s="47">
        <f t="shared" si="722"/>
        <v>409</v>
      </c>
      <c r="AI2408" s="208">
        <f t="shared" si="723"/>
        <v>0</v>
      </c>
    </row>
    <row r="2409" spans="1:35">
      <c r="A2409" t="s">
        <v>2167</v>
      </c>
      <c r="B2409" t="s">
        <v>3155</v>
      </c>
      <c r="C2409" t="s">
        <v>3056</v>
      </c>
      <c r="D2409" t="s">
        <v>5954</v>
      </c>
      <c r="F2409" t="s">
        <v>1716</v>
      </c>
      <c r="G2409" s="126">
        <f>SUMIFS('Support - Transition'!F:F,'Support - Transition'!B:B,'Step 2'!A2409,'Support - Transition'!C:C,'Step 2'!B2409,'Support - Transition'!D:D,'Step 2'!C2409,'Support - Transition'!E:E,"CIVIL")</f>
        <v>0</v>
      </c>
      <c r="H2409" s="126">
        <f>SUMIFS('Support - Transition'!F:F,'Support - Transition'!B:B,'Step 2'!A2409,'Support - Transition'!C:C,'Step 2'!B2409,'Support - Transition'!D:D,'Step 2'!C2409,'Support - Transition'!E:E,"FIRE")</f>
        <v>0</v>
      </c>
      <c r="I2409" s="126">
        <f>IF(B2409="0",SUMIFS('Support - Transition'!F:F,'Support - Transition'!J:J,'Step 2'!D2409,'Support - Transition'!E:E,"STATE UNIT"),SUMIFS('Support - Transition'!F:F,'Support - Transition'!J:J,'Step 2'!D2409))</f>
        <v>3.1779999999999998E-3</v>
      </c>
      <c r="J2409" s="126">
        <f>SUMIFS('Support - Unit Adjustments'!E:E,'Support - Unit Adjustments'!F:F,'Step 2'!D2409)</f>
        <v>0</v>
      </c>
      <c r="K2409" s="126">
        <f t="shared" si="707"/>
        <v>3.1779999999999998E-3</v>
      </c>
      <c r="L2409" s="174">
        <f>VLOOKUP(A2409,'Step 1'!$A:$E,4,FALSE)</f>
        <v>180347</v>
      </c>
      <c r="M2409" s="47">
        <f t="shared" si="708"/>
        <v>573</v>
      </c>
      <c r="N2409" s="177">
        <f>SUMIFS('Support - Transition'!G:G,'Support - Transition'!J:J,'Step 2'!D2409,'Support - Transition'!E:E,"2009 WELFARE ALLOCATION FACTOR")</f>
        <v>0</v>
      </c>
      <c r="O2409" s="152">
        <f t="shared" si="713"/>
        <v>0</v>
      </c>
      <c r="P2409" s="126">
        <f>IF(E2409="Y",0,SUMIFS('Support - Transition'!G:G,'Support - Transition'!J:J,'Step 2'!D2409,'Support - Transition'!E:E,"2009 SCHOOL ALLOCATION FACTOR"))</f>
        <v>0</v>
      </c>
      <c r="Q2409" s="126">
        <f>IF(E2409="Y",VLOOKUP(D2409,'Support - Unit Adjustments'!F:G,2,FALSE),0)</f>
        <v>0</v>
      </c>
      <c r="R2409" s="155">
        <f t="shared" si="725"/>
        <v>0</v>
      </c>
      <c r="S2409" s="47">
        <f t="shared" si="724"/>
        <v>0</v>
      </c>
      <c r="T2409" s="151">
        <f t="shared" si="709"/>
        <v>573</v>
      </c>
      <c r="U2409" s="151">
        <f t="shared" si="710"/>
        <v>0</v>
      </c>
      <c r="V2409" s="139">
        <f t="shared" si="711"/>
        <v>0</v>
      </c>
      <c r="W2409" s="152">
        <f t="shared" si="714"/>
        <v>573</v>
      </c>
      <c r="X2409" s="127" t="str">
        <f t="shared" si="712"/>
        <v/>
      </c>
      <c r="Y2409" s="207">
        <f t="shared" si="715"/>
        <v>573</v>
      </c>
      <c r="Z2409" s="139">
        <f t="shared" si="716"/>
        <v>573</v>
      </c>
      <c r="AA2409" s="139">
        <f t="shared" si="717"/>
        <v>0</v>
      </c>
      <c r="AC2409" s="47">
        <f t="shared" si="718"/>
        <v>287</v>
      </c>
      <c r="AD2409" s="47">
        <f t="shared" si="719"/>
        <v>287</v>
      </c>
      <c r="AE2409" s="47">
        <f t="shared" si="720"/>
        <v>0</v>
      </c>
      <c r="AG2409" s="47">
        <f t="shared" si="721"/>
        <v>286</v>
      </c>
      <c r="AH2409" s="47">
        <f t="shared" si="722"/>
        <v>286</v>
      </c>
      <c r="AI2409" s="208">
        <f t="shared" si="723"/>
        <v>0</v>
      </c>
    </row>
    <row r="2410" spans="1:35">
      <c r="A2410" t="s">
        <v>2167</v>
      </c>
      <c r="B2410" t="s">
        <v>3155</v>
      </c>
      <c r="C2410" t="s">
        <v>3057</v>
      </c>
      <c r="D2410" t="s">
        <v>5955</v>
      </c>
      <c r="F2410" t="s">
        <v>1717</v>
      </c>
      <c r="G2410" s="126">
        <f>SUMIFS('Support - Transition'!F:F,'Support - Transition'!B:B,'Step 2'!A2410,'Support - Transition'!C:C,'Step 2'!B2410,'Support - Transition'!D:D,'Step 2'!C2410,'Support - Transition'!E:E,"CIVIL")</f>
        <v>0</v>
      </c>
      <c r="H2410" s="126">
        <f>SUMIFS('Support - Transition'!F:F,'Support - Transition'!B:B,'Step 2'!A2410,'Support - Transition'!C:C,'Step 2'!B2410,'Support - Transition'!D:D,'Step 2'!C2410,'Support - Transition'!E:E,"FIRE")</f>
        <v>0</v>
      </c>
      <c r="I2410" s="126">
        <f>IF(B2410="0",SUMIFS('Support - Transition'!F:F,'Support - Transition'!J:J,'Step 2'!D2410,'Support - Transition'!E:E,"STATE UNIT"),SUMIFS('Support - Transition'!F:F,'Support - Transition'!J:J,'Step 2'!D2410))</f>
        <v>6.8199999999999999E-4</v>
      </c>
      <c r="J2410" s="126">
        <f>SUMIFS('Support - Unit Adjustments'!E:E,'Support - Unit Adjustments'!F:F,'Step 2'!D2410)</f>
        <v>0</v>
      </c>
      <c r="K2410" s="126">
        <f t="shared" si="707"/>
        <v>6.8199999999999999E-4</v>
      </c>
      <c r="L2410" s="174">
        <f>VLOOKUP(A2410,'Step 1'!$A:$E,4,FALSE)</f>
        <v>180347</v>
      </c>
      <c r="M2410" s="47">
        <f t="shared" si="708"/>
        <v>123</v>
      </c>
      <c r="N2410" s="177">
        <f>SUMIFS('Support - Transition'!G:G,'Support - Transition'!J:J,'Step 2'!D2410,'Support - Transition'!E:E,"2009 WELFARE ALLOCATION FACTOR")</f>
        <v>0</v>
      </c>
      <c r="O2410" s="152">
        <f t="shared" si="713"/>
        <v>0</v>
      </c>
      <c r="P2410" s="126">
        <f>IF(E2410="Y",0,SUMIFS('Support - Transition'!G:G,'Support - Transition'!J:J,'Step 2'!D2410,'Support - Transition'!E:E,"2009 SCHOOL ALLOCATION FACTOR"))</f>
        <v>0</v>
      </c>
      <c r="Q2410" s="126">
        <f>IF(E2410="Y",VLOOKUP(D2410,'Support - Unit Adjustments'!F:G,2,FALSE),0)</f>
        <v>0</v>
      </c>
      <c r="R2410" s="155">
        <f t="shared" si="725"/>
        <v>0</v>
      </c>
      <c r="S2410" s="47">
        <f t="shared" si="724"/>
        <v>0</v>
      </c>
      <c r="T2410" s="151">
        <f t="shared" si="709"/>
        <v>123</v>
      </c>
      <c r="U2410" s="151">
        <f t="shared" si="710"/>
        <v>0</v>
      </c>
      <c r="V2410" s="139">
        <f t="shared" si="711"/>
        <v>0</v>
      </c>
      <c r="W2410" s="152">
        <f t="shared" si="714"/>
        <v>123</v>
      </c>
      <c r="X2410" s="127" t="str">
        <f t="shared" si="712"/>
        <v/>
      </c>
      <c r="Y2410" s="207">
        <f t="shared" si="715"/>
        <v>123</v>
      </c>
      <c r="Z2410" s="139">
        <f t="shared" si="716"/>
        <v>123</v>
      </c>
      <c r="AA2410" s="139">
        <f t="shared" si="717"/>
        <v>0</v>
      </c>
      <c r="AC2410" s="47">
        <f t="shared" si="718"/>
        <v>62</v>
      </c>
      <c r="AD2410" s="47">
        <f t="shared" si="719"/>
        <v>62</v>
      </c>
      <c r="AE2410" s="47">
        <f t="shared" si="720"/>
        <v>0</v>
      </c>
      <c r="AG2410" s="47">
        <f t="shared" si="721"/>
        <v>61</v>
      </c>
      <c r="AH2410" s="47">
        <f t="shared" si="722"/>
        <v>61</v>
      </c>
      <c r="AI2410" s="208">
        <f t="shared" si="723"/>
        <v>0</v>
      </c>
    </row>
    <row r="2411" spans="1:35">
      <c r="A2411" t="s">
        <v>2167</v>
      </c>
      <c r="B2411" t="s">
        <v>3155</v>
      </c>
      <c r="C2411" t="s">
        <v>2740</v>
      </c>
      <c r="D2411" t="s">
        <v>5956</v>
      </c>
      <c r="F2411" t="s">
        <v>1718</v>
      </c>
      <c r="G2411" s="126">
        <f>SUMIFS('Support - Transition'!F:F,'Support - Transition'!B:B,'Step 2'!A2411,'Support - Transition'!C:C,'Step 2'!B2411,'Support - Transition'!D:D,'Step 2'!C2411,'Support - Transition'!E:E,"CIVIL")</f>
        <v>0</v>
      </c>
      <c r="H2411" s="126">
        <f>SUMIFS('Support - Transition'!F:F,'Support - Transition'!B:B,'Step 2'!A2411,'Support - Transition'!C:C,'Step 2'!B2411,'Support - Transition'!D:D,'Step 2'!C2411,'Support - Transition'!E:E,"FIRE")</f>
        <v>0</v>
      </c>
      <c r="I2411" s="126">
        <f>IF(B2411="0",SUMIFS('Support - Transition'!F:F,'Support - Transition'!J:J,'Step 2'!D2411,'Support - Transition'!E:E,"STATE UNIT"),SUMIFS('Support - Transition'!F:F,'Support - Transition'!J:J,'Step 2'!D2411))</f>
        <v>2.3349999999999998E-3</v>
      </c>
      <c r="J2411" s="126">
        <f>SUMIFS('Support - Unit Adjustments'!E:E,'Support - Unit Adjustments'!F:F,'Step 2'!D2411)</f>
        <v>0</v>
      </c>
      <c r="K2411" s="126">
        <f t="shared" si="707"/>
        <v>2.3349999999999998E-3</v>
      </c>
      <c r="L2411" s="174">
        <f>VLOOKUP(A2411,'Step 1'!$A:$E,4,FALSE)</f>
        <v>180347</v>
      </c>
      <c r="M2411" s="47">
        <f t="shared" si="708"/>
        <v>421</v>
      </c>
      <c r="N2411" s="177">
        <f>SUMIFS('Support - Transition'!G:G,'Support - Transition'!J:J,'Step 2'!D2411,'Support - Transition'!E:E,"2009 WELFARE ALLOCATION FACTOR")</f>
        <v>0</v>
      </c>
      <c r="O2411" s="152">
        <f t="shared" si="713"/>
        <v>0</v>
      </c>
      <c r="P2411" s="126">
        <f>IF(E2411="Y",0,SUMIFS('Support - Transition'!G:G,'Support - Transition'!J:J,'Step 2'!D2411,'Support - Transition'!E:E,"2009 SCHOOL ALLOCATION FACTOR"))</f>
        <v>0</v>
      </c>
      <c r="Q2411" s="126">
        <f>IF(E2411="Y",VLOOKUP(D2411,'Support - Unit Adjustments'!F:G,2,FALSE),0)</f>
        <v>0</v>
      </c>
      <c r="R2411" s="155">
        <f t="shared" si="725"/>
        <v>0</v>
      </c>
      <c r="S2411" s="47">
        <f t="shared" si="724"/>
        <v>0</v>
      </c>
      <c r="T2411" s="151">
        <f t="shared" si="709"/>
        <v>421</v>
      </c>
      <c r="U2411" s="151">
        <f t="shared" si="710"/>
        <v>0</v>
      </c>
      <c r="V2411" s="139">
        <f t="shared" si="711"/>
        <v>0</v>
      </c>
      <c r="W2411" s="152">
        <f t="shared" si="714"/>
        <v>421</v>
      </c>
      <c r="X2411" s="127" t="str">
        <f t="shared" si="712"/>
        <v/>
      </c>
      <c r="Y2411" s="207">
        <f t="shared" si="715"/>
        <v>421</v>
      </c>
      <c r="Z2411" s="139">
        <f t="shared" si="716"/>
        <v>421</v>
      </c>
      <c r="AA2411" s="139">
        <f t="shared" si="717"/>
        <v>0</v>
      </c>
      <c r="AC2411" s="47">
        <f t="shared" si="718"/>
        <v>211</v>
      </c>
      <c r="AD2411" s="47">
        <f t="shared" si="719"/>
        <v>211</v>
      </c>
      <c r="AE2411" s="47">
        <f t="shared" si="720"/>
        <v>0</v>
      </c>
      <c r="AG2411" s="47">
        <f t="shared" si="721"/>
        <v>210</v>
      </c>
      <c r="AH2411" s="47">
        <f t="shared" si="722"/>
        <v>210</v>
      </c>
      <c r="AI2411" s="208">
        <f t="shared" si="723"/>
        <v>0</v>
      </c>
    </row>
    <row r="2412" spans="1:35">
      <c r="A2412" t="s">
        <v>2167</v>
      </c>
      <c r="B2412" t="s">
        <v>3155</v>
      </c>
      <c r="C2412" t="s">
        <v>3058</v>
      </c>
      <c r="D2412" t="s">
        <v>5957</v>
      </c>
      <c r="F2412" t="s">
        <v>1719</v>
      </c>
      <c r="G2412" s="126">
        <f>SUMIFS('Support - Transition'!F:F,'Support - Transition'!B:B,'Step 2'!A2412,'Support - Transition'!C:C,'Step 2'!B2412,'Support - Transition'!D:D,'Step 2'!C2412,'Support - Transition'!E:E,"CIVIL")</f>
        <v>0</v>
      </c>
      <c r="H2412" s="126">
        <f>SUMIFS('Support - Transition'!F:F,'Support - Transition'!B:B,'Step 2'!A2412,'Support - Transition'!C:C,'Step 2'!B2412,'Support - Transition'!D:D,'Step 2'!C2412,'Support - Transition'!E:E,"FIRE")</f>
        <v>0</v>
      </c>
      <c r="I2412" s="126">
        <f>IF(B2412="0",SUMIFS('Support - Transition'!F:F,'Support - Transition'!J:J,'Step 2'!D2412,'Support - Transition'!E:E,"STATE UNIT"),SUMIFS('Support - Transition'!F:F,'Support - Transition'!J:J,'Step 2'!D2412))</f>
        <v>1.4859999999999999E-3</v>
      </c>
      <c r="J2412" s="126">
        <f>SUMIFS('Support - Unit Adjustments'!E:E,'Support - Unit Adjustments'!F:F,'Step 2'!D2412)</f>
        <v>0</v>
      </c>
      <c r="K2412" s="126">
        <f t="shared" si="707"/>
        <v>1.4859999999999999E-3</v>
      </c>
      <c r="L2412" s="174">
        <f>VLOOKUP(A2412,'Step 1'!$A:$E,4,FALSE)</f>
        <v>180347</v>
      </c>
      <c r="M2412" s="47">
        <f t="shared" si="708"/>
        <v>268</v>
      </c>
      <c r="N2412" s="177">
        <f>SUMIFS('Support - Transition'!G:G,'Support - Transition'!J:J,'Step 2'!D2412,'Support - Transition'!E:E,"2009 WELFARE ALLOCATION FACTOR")</f>
        <v>0</v>
      </c>
      <c r="O2412" s="152">
        <f t="shared" si="713"/>
        <v>0</v>
      </c>
      <c r="P2412" s="126">
        <f>IF(E2412="Y",0,SUMIFS('Support - Transition'!G:G,'Support - Transition'!J:J,'Step 2'!D2412,'Support - Transition'!E:E,"2009 SCHOOL ALLOCATION FACTOR"))</f>
        <v>0</v>
      </c>
      <c r="Q2412" s="126">
        <f>IF(E2412="Y",VLOOKUP(D2412,'Support - Unit Adjustments'!F:G,2,FALSE),0)</f>
        <v>0</v>
      </c>
      <c r="R2412" s="155">
        <f t="shared" si="725"/>
        <v>0</v>
      </c>
      <c r="S2412" s="47">
        <f t="shared" si="724"/>
        <v>0</v>
      </c>
      <c r="T2412" s="151">
        <f t="shared" si="709"/>
        <v>268</v>
      </c>
      <c r="U2412" s="151">
        <f t="shared" si="710"/>
        <v>0</v>
      </c>
      <c r="V2412" s="139">
        <f t="shared" si="711"/>
        <v>0</v>
      </c>
      <c r="W2412" s="152">
        <f t="shared" si="714"/>
        <v>268</v>
      </c>
      <c r="X2412" s="127" t="str">
        <f t="shared" si="712"/>
        <v/>
      </c>
      <c r="Y2412" s="207">
        <f t="shared" si="715"/>
        <v>268</v>
      </c>
      <c r="Z2412" s="139">
        <f t="shared" si="716"/>
        <v>268</v>
      </c>
      <c r="AA2412" s="139">
        <f t="shared" si="717"/>
        <v>0</v>
      </c>
      <c r="AC2412" s="47">
        <f t="shared" si="718"/>
        <v>134</v>
      </c>
      <c r="AD2412" s="47">
        <f t="shared" si="719"/>
        <v>134</v>
      </c>
      <c r="AE2412" s="47">
        <f t="shared" si="720"/>
        <v>0</v>
      </c>
      <c r="AG2412" s="47">
        <f t="shared" si="721"/>
        <v>134</v>
      </c>
      <c r="AH2412" s="47">
        <f t="shared" si="722"/>
        <v>134</v>
      </c>
      <c r="AI2412" s="208">
        <f t="shared" si="723"/>
        <v>0</v>
      </c>
    </row>
    <row r="2413" spans="1:35">
      <c r="A2413" t="s">
        <v>2167</v>
      </c>
      <c r="B2413" t="s">
        <v>3160</v>
      </c>
      <c r="C2413" t="s">
        <v>3059</v>
      </c>
      <c r="D2413" t="s">
        <v>5958</v>
      </c>
      <c r="F2413" t="s">
        <v>5959</v>
      </c>
      <c r="G2413" s="126">
        <f>SUMIFS('Support - Transition'!F:F,'Support - Transition'!B:B,'Step 2'!A2413,'Support - Transition'!C:C,'Step 2'!B2413,'Support - Transition'!D:D,'Step 2'!C2413,'Support - Transition'!E:E,"CIVIL")</f>
        <v>0</v>
      </c>
      <c r="H2413" s="126">
        <f>SUMIFS('Support - Transition'!F:F,'Support - Transition'!B:B,'Step 2'!A2413,'Support - Transition'!C:C,'Step 2'!B2413,'Support - Transition'!D:D,'Step 2'!C2413,'Support - Transition'!E:E,"FIRE")</f>
        <v>0</v>
      </c>
      <c r="I2413" s="126">
        <f>IF(B2413="0",SUMIFS('Support - Transition'!F:F,'Support - Transition'!J:J,'Step 2'!D2413,'Support - Transition'!E:E,"STATE UNIT"),SUMIFS('Support - Transition'!F:F,'Support - Transition'!J:J,'Step 2'!D2413))</f>
        <v>0.33277099999999998</v>
      </c>
      <c r="J2413" s="126">
        <f>SUMIFS('Support - Unit Adjustments'!E:E,'Support - Unit Adjustments'!F:F,'Step 2'!D2413)</f>
        <v>0</v>
      </c>
      <c r="K2413" s="126">
        <f t="shared" si="707"/>
        <v>0.33277099999999998</v>
      </c>
      <c r="L2413" s="174">
        <f>VLOOKUP(A2413,'Step 1'!$A:$E,4,FALSE)</f>
        <v>180347</v>
      </c>
      <c r="M2413" s="47">
        <f t="shared" si="708"/>
        <v>60014</v>
      </c>
      <c r="N2413" s="177">
        <f>SUMIFS('Support - Transition'!G:G,'Support - Transition'!J:J,'Step 2'!D2413,'Support - Transition'!E:E,"2009 WELFARE ALLOCATION FACTOR")</f>
        <v>0</v>
      </c>
      <c r="O2413" s="152">
        <f t="shared" si="713"/>
        <v>0</v>
      </c>
      <c r="P2413" s="126">
        <f>IF(E2413="Y",0,SUMIFS('Support - Transition'!G:G,'Support - Transition'!J:J,'Step 2'!D2413,'Support - Transition'!E:E,"2009 SCHOOL ALLOCATION FACTOR"))</f>
        <v>0.46354600000000001</v>
      </c>
      <c r="Q2413" s="126">
        <f>IF(E2413="Y",VLOOKUP(D2413,'Support - Unit Adjustments'!F:G,2,FALSE),0)</f>
        <v>0</v>
      </c>
      <c r="R2413" s="155">
        <f t="shared" si="725"/>
        <v>0.46354600000000001</v>
      </c>
      <c r="S2413" s="47">
        <f t="shared" si="724"/>
        <v>27819</v>
      </c>
      <c r="T2413" s="151">
        <f t="shared" si="709"/>
        <v>32195</v>
      </c>
      <c r="U2413" s="151">
        <f t="shared" si="710"/>
        <v>0</v>
      </c>
      <c r="V2413" s="139">
        <f t="shared" si="711"/>
        <v>0</v>
      </c>
      <c r="W2413" s="152">
        <f t="shared" si="714"/>
        <v>32195</v>
      </c>
      <c r="X2413" s="127" t="str">
        <f t="shared" si="712"/>
        <v/>
      </c>
      <c r="Y2413" s="207">
        <f t="shared" si="715"/>
        <v>32195</v>
      </c>
      <c r="Z2413" s="139">
        <f t="shared" si="716"/>
        <v>32195</v>
      </c>
      <c r="AA2413" s="139">
        <f t="shared" si="717"/>
        <v>0</v>
      </c>
      <c r="AC2413" s="47">
        <f t="shared" si="718"/>
        <v>16098</v>
      </c>
      <c r="AD2413" s="47">
        <f t="shared" si="719"/>
        <v>16098</v>
      </c>
      <c r="AE2413" s="47">
        <f t="shared" si="720"/>
        <v>0</v>
      </c>
      <c r="AG2413" s="47">
        <f t="shared" si="721"/>
        <v>16097</v>
      </c>
      <c r="AH2413" s="47">
        <f t="shared" si="722"/>
        <v>16097</v>
      </c>
      <c r="AI2413" s="208">
        <f t="shared" si="723"/>
        <v>0</v>
      </c>
    </row>
    <row r="2414" spans="1:35">
      <c r="A2414" t="s">
        <v>2167</v>
      </c>
      <c r="B2414" t="s">
        <v>3160</v>
      </c>
      <c r="C2414" t="s">
        <v>3060</v>
      </c>
      <c r="D2414" t="s">
        <v>5960</v>
      </c>
      <c r="F2414" t="s">
        <v>5961</v>
      </c>
      <c r="G2414" s="126">
        <f>SUMIFS('Support - Transition'!F:F,'Support - Transition'!B:B,'Step 2'!A2414,'Support - Transition'!C:C,'Step 2'!B2414,'Support - Transition'!D:D,'Step 2'!C2414,'Support - Transition'!E:E,"CIVIL")</f>
        <v>0</v>
      </c>
      <c r="H2414" s="126">
        <f>SUMIFS('Support - Transition'!F:F,'Support - Transition'!B:B,'Step 2'!A2414,'Support - Transition'!C:C,'Step 2'!B2414,'Support - Transition'!D:D,'Step 2'!C2414,'Support - Transition'!E:E,"FIRE")</f>
        <v>0</v>
      </c>
      <c r="I2414" s="126">
        <f>IF(B2414="0",SUMIFS('Support - Transition'!F:F,'Support - Transition'!J:J,'Step 2'!D2414,'Support - Transition'!E:E,"STATE UNIT"),SUMIFS('Support - Transition'!F:F,'Support - Transition'!J:J,'Step 2'!D2414))</f>
        <v>0.29403299999999999</v>
      </c>
      <c r="J2414" s="126">
        <f>SUMIFS('Support - Unit Adjustments'!E:E,'Support - Unit Adjustments'!F:F,'Step 2'!D2414)</f>
        <v>0</v>
      </c>
      <c r="K2414" s="126">
        <f t="shared" si="707"/>
        <v>0.29403299999999999</v>
      </c>
      <c r="L2414" s="174">
        <f>VLOOKUP(A2414,'Step 1'!$A:$E,4,FALSE)</f>
        <v>180347</v>
      </c>
      <c r="M2414" s="47">
        <f t="shared" si="708"/>
        <v>53028</v>
      </c>
      <c r="N2414" s="177">
        <f>SUMIFS('Support - Transition'!G:G,'Support - Transition'!J:J,'Step 2'!D2414,'Support - Transition'!E:E,"2009 WELFARE ALLOCATION FACTOR")</f>
        <v>0</v>
      </c>
      <c r="O2414" s="152">
        <f t="shared" si="713"/>
        <v>0</v>
      </c>
      <c r="P2414" s="126">
        <f>IF(E2414="Y",0,SUMIFS('Support - Transition'!G:G,'Support - Transition'!J:J,'Step 2'!D2414,'Support - Transition'!E:E,"2009 SCHOOL ALLOCATION FACTOR"))</f>
        <v>0.41342299999999998</v>
      </c>
      <c r="Q2414" s="126">
        <f>IF(E2414="Y",VLOOKUP(D2414,'Support - Unit Adjustments'!F:G,2,FALSE),0)</f>
        <v>0</v>
      </c>
      <c r="R2414" s="155">
        <f t="shared" si="725"/>
        <v>0.41342299999999998</v>
      </c>
      <c r="S2414" s="47">
        <f t="shared" si="724"/>
        <v>21923</v>
      </c>
      <c r="T2414" s="151">
        <f t="shared" si="709"/>
        <v>31105</v>
      </c>
      <c r="U2414" s="151">
        <f t="shared" si="710"/>
        <v>0</v>
      </c>
      <c r="V2414" s="139">
        <f t="shared" si="711"/>
        <v>0</v>
      </c>
      <c r="W2414" s="152">
        <f t="shared" si="714"/>
        <v>31105</v>
      </c>
      <c r="X2414" s="127" t="str">
        <f t="shared" si="712"/>
        <v/>
      </c>
      <c r="Y2414" s="207">
        <f t="shared" si="715"/>
        <v>31105</v>
      </c>
      <c r="Z2414" s="139">
        <f t="shared" si="716"/>
        <v>31105</v>
      </c>
      <c r="AA2414" s="139">
        <f t="shared" si="717"/>
        <v>0</v>
      </c>
      <c r="AC2414" s="47">
        <f t="shared" si="718"/>
        <v>15553</v>
      </c>
      <c r="AD2414" s="47">
        <f t="shared" si="719"/>
        <v>15553</v>
      </c>
      <c r="AE2414" s="47">
        <f t="shared" si="720"/>
        <v>0</v>
      </c>
      <c r="AG2414" s="47">
        <f t="shared" si="721"/>
        <v>15552</v>
      </c>
      <c r="AH2414" s="47">
        <f t="shared" si="722"/>
        <v>15552</v>
      </c>
      <c r="AI2414" s="208">
        <f t="shared" si="723"/>
        <v>0</v>
      </c>
    </row>
    <row r="2415" spans="1:35">
      <c r="A2415" t="s">
        <v>2167</v>
      </c>
      <c r="B2415" t="s">
        <v>3166</v>
      </c>
      <c r="C2415" t="s">
        <v>3061</v>
      </c>
      <c r="D2415" t="s">
        <v>5962</v>
      </c>
      <c r="F2415" t="s">
        <v>1722</v>
      </c>
      <c r="G2415" s="126">
        <f>SUMIFS('Support - Transition'!F:F,'Support - Transition'!B:B,'Step 2'!A2415,'Support - Transition'!C:C,'Step 2'!B2415,'Support - Transition'!D:D,'Step 2'!C2415,'Support - Transition'!E:E,"CIVIL")</f>
        <v>0</v>
      </c>
      <c r="H2415" s="126">
        <f>SUMIFS('Support - Transition'!F:F,'Support - Transition'!B:B,'Step 2'!A2415,'Support - Transition'!C:C,'Step 2'!B2415,'Support - Transition'!D:D,'Step 2'!C2415,'Support - Transition'!E:E,"FIRE")</f>
        <v>0</v>
      </c>
      <c r="I2415" s="126">
        <f>IF(B2415="0",SUMIFS('Support - Transition'!F:F,'Support - Transition'!J:J,'Step 2'!D2415,'Support - Transition'!E:E,"STATE UNIT"),SUMIFS('Support - Transition'!F:F,'Support - Transition'!J:J,'Step 2'!D2415))</f>
        <v>2.3730000000000001E-2</v>
      </c>
      <c r="J2415" s="126">
        <f>SUMIFS('Support - Unit Adjustments'!E:E,'Support - Unit Adjustments'!F:F,'Step 2'!D2415)</f>
        <v>0</v>
      </c>
      <c r="K2415" s="126">
        <f t="shared" si="707"/>
        <v>2.3730000000000001E-2</v>
      </c>
      <c r="L2415" s="174">
        <f>VLOOKUP(A2415,'Step 1'!$A:$E,4,FALSE)</f>
        <v>180347</v>
      </c>
      <c r="M2415" s="47">
        <f t="shared" si="708"/>
        <v>4280</v>
      </c>
      <c r="N2415" s="177">
        <f>SUMIFS('Support - Transition'!G:G,'Support - Transition'!J:J,'Step 2'!D2415,'Support - Transition'!E:E,"2009 WELFARE ALLOCATION FACTOR")</f>
        <v>0</v>
      </c>
      <c r="O2415" s="152">
        <f t="shared" si="713"/>
        <v>0</v>
      </c>
      <c r="P2415" s="126">
        <f>IF(E2415="Y",0,SUMIFS('Support - Transition'!G:G,'Support - Transition'!J:J,'Step 2'!D2415,'Support - Transition'!E:E,"2009 SCHOOL ALLOCATION FACTOR"))</f>
        <v>0</v>
      </c>
      <c r="Q2415" s="126">
        <f>IF(E2415="Y",VLOOKUP(D2415,'Support - Unit Adjustments'!F:G,2,FALSE),0)</f>
        <v>0</v>
      </c>
      <c r="R2415" s="155">
        <f t="shared" si="725"/>
        <v>0</v>
      </c>
      <c r="S2415" s="47">
        <f t="shared" si="724"/>
        <v>0</v>
      </c>
      <c r="T2415" s="151">
        <f t="shared" si="709"/>
        <v>4280</v>
      </c>
      <c r="U2415" s="151">
        <f t="shared" si="710"/>
        <v>0</v>
      </c>
      <c r="V2415" s="139">
        <f t="shared" si="711"/>
        <v>0</v>
      </c>
      <c r="W2415" s="152">
        <f t="shared" si="714"/>
        <v>4280</v>
      </c>
      <c r="X2415" s="127" t="str">
        <f t="shared" si="712"/>
        <v/>
      </c>
      <c r="Y2415" s="207">
        <f t="shared" si="715"/>
        <v>4280</v>
      </c>
      <c r="Z2415" s="139">
        <f t="shared" si="716"/>
        <v>4280</v>
      </c>
      <c r="AA2415" s="139">
        <f t="shared" si="717"/>
        <v>0</v>
      </c>
      <c r="AC2415" s="47">
        <f t="shared" si="718"/>
        <v>2140</v>
      </c>
      <c r="AD2415" s="47">
        <f t="shared" si="719"/>
        <v>2140</v>
      </c>
      <c r="AE2415" s="47">
        <f t="shared" si="720"/>
        <v>0</v>
      </c>
      <c r="AG2415" s="47">
        <f t="shared" si="721"/>
        <v>2140</v>
      </c>
      <c r="AH2415" s="47">
        <f t="shared" si="722"/>
        <v>2140</v>
      </c>
      <c r="AI2415" s="208">
        <f t="shared" si="723"/>
        <v>0</v>
      </c>
    </row>
    <row r="2416" spans="1:35">
      <c r="A2416" t="s">
        <v>2167</v>
      </c>
      <c r="B2416" t="s">
        <v>3166</v>
      </c>
      <c r="C2416" t="s">
        <v>5963</v>
      </c>
      <c r="D2416" t="s">
        <v>5964</v>
      </c>
      <c r="F2416" t="s">
        <v>1723</v>
      </c>
      <c r="G2416" s="126">
        <f>SUMIFS('Support - Transition'!F:F,'Support - Transition'!B:B,'Step 2'!A2416,'Support - Transition'!C:C,'Step 2'!B2416,'Support - Transition'!D:D,'Step 2'!C2416,'Support - Transition'!E:E,"CIVIL")</f>
        <v>0</v>
      </c>
      <c r="H2416" s="126">
        <f>SUMIFS('Support - Transition'!F:F,'Support - Transition'!B:B,'Step 2'!A2416,'Support - Transition'!C:C,'Step 2'!B2416,'Support - Transition'!D:D,'Step 2'!C2416,'Support - Transition'!E:E,"FIRE")</f>
        <v>0</v>
      </c>
      <c r="I2416" s="126">
        <f>IF(B2416="0",SUMIFS('Support - Transition'!F:F,'Support - Transition'!J:J,'Step 2'!D2416,'Support - Transition'!E:E,"STATE UNIT"),SUMIFS('Support - Transition'!F:F,'Support - Transition'!J:J,'Step 2'!D2416))</f>
        <v>9.216000000000002E-3</v>
      </c>
      <c r="J2416" s="126">
        <f>SUMIFS('Support - Unit Adjustments'!E:E,'Support - Unit Adjustments'!F:F,'Step 2'!D2416)</f>
        <v>0</v>
      </c>
      <c r="K2416" s="126">
        <f t="shared" si="707"/>
        <v>9.216000000000002E-3</v>
      </c>
      <c r="L2416" s="174">
        <f>VLOOKUP(A2416,'Step 1'!$A:$E,4,FALSE)</f>
        <v>180347</v>
      </c>
      <c r="M2416" s="47">
        <f t="shared" si="708"/>
        <v>1662</v>
      </c>
      <c r="N2416" s="177">
        <f>SUMIFS('Support - Transition'!G:G,'Support - Transition'!J:J,'Step 2'!D2416,'Support - Transition'!E:E,"2009 WELFARE ALLOCATION FACTOR")</f>
        <v>0</v>
      </c>
      <c r="O2416" s="152">
        <f t="shared" si="713"/>
        <v>0</v>
      </c>
      <c r="P2416" s="126">
        <f>IF(E2416="Y",0,SUMIFS('Support - Transition'!G:G,'Support - Transition'!J:J,'Step 2'!D2416,'Support - Transition'!E:E,"2009 SCHOOL ALLOCATION FACTOR"))</f>
        <v>0</v>
      </c>
      <c r="Q2416" s="126">
        <f>IF(E2416="Y",VLOOKUP(D2416,'Support - Unit Adjustments'!F:G,2,FALSE),0)</f>
        <v>0</v>
      </c>
      <c r="R2416" s="155">
        <f t="shared" si="725"/>
        <v>0</v>
      </c>
      <c r="S2416" s="47">
        <f t="shared" si="724"/>
        <v>0</v>
      </c>
      <c r="T2416" s="151">
        <f t="shared" si="709"/>
        <v>1662</v>
      </c>
      <c r="U2416" s="151">
        <f t="shared" si="710"/>
        <v>0</v>
      </c>
      <c r="V2416" s="139">
        <f t="shared" si="711"/>
        <v>0</v>
      </c>
      <c r="W2416" s="152">
        <f t="shared" si="714"/>
        <v>1662</v>
      </c>
      <c r="X2416" s="127" t="str">
        <f t="shared" si="712"/>
        <v/>
      </c>
      <c r="Y2416" s="207">
        <f t="shared" si="715"/>
        <v>1662</v>
      </c>
      <c r="Z2416" s="139">
        <f t="shared" si="716"/>
        <v>1662</v>
      </c>
      <c r="AA2416" s="139">
        <f t="shared" si="717"/>
        <v>0</v>
      </c>
      <c r="AC2416" s="47">
        <f t="shared" si="718"/>
        <v>831</v>
      </c>
      <c r="AD2416" s="47">
        <f t="shared" si="719"/>
        <v>831</v>
      </c>
      <c r="AE2416" s="47">
        <f t="shared" si="720"/>
        <v>0</v>
      </c>
      <c r="AG2416" s="47">
        <f t="shared" si="721"/>
        <v>831</v>
      </c>
      <c r="AH2416" s="47">
        <f t="shared" si="722"/>
        <v>831</v>
      </c>
      <c r="AI2416" s="208">
        <f t="shared" si="723"/>
        <v>0</v>
      </c>
    </row>
    <row r="2417" spans="1:35">
      <c r="A2417" t="s">
        <v>2167</v>
      </c>
      <c r="B2417" t="s">
        <v>3170</v>
      </c>
      <c r="C2417" t="s">
        <v>5965</v>
      </c>
      <c r="D2417" t="s">
        <v>5966</v>
      </c>
      <c r="F2417" t="s">
        <v>1724</v>
      </c>
      <c r="G2417" s="126">
        <f>SUMIFS('Support - Transition'!F:F,'Support - Transition'!B:B,'Step 2'!A2417,'Support - Transition'!C:C,'Step 2'!B2417,'Support - Transition'!D:D,'Step 2'!C2417,'Support - Transition'!E:E,"CIVIL")</f>
        <v>0</v>
      </c>
      <c r="H2417" s="126">
        <f>SUMIFS('Support - Transition'!F:F,'Support - Transition'!B:B,'Step 2'!A2417,'Support - Transition'!C:C,'Step 2'!B2417,'Support - Transition'!D:D,'Step 2'!C2417,'Support - Transition'!E:E,"FIRE")</f>
        <v>0</v>
      </c>
      <c r="I2417" s="126">
        <f>IF(B2417="0",SUMIFS('Support - Transition'!F:F,'Support - Transition'!J:J,'Step 2'!D2417,'Support - Transition'!E:E,"STATE UNIT"),SUMIFS('Support - Transition'!F:F,'Support - Transition'!J:J,'Step 2'!D2417))</f>
        <v>0</v>
      </c>
      <c r="J2417" s="126">
        <f>SUMIFS('Support - Unit Adjustments'!E:E,'Support - Unit Adjustments'!F:F,'Step 2'!D2417)</f>
        <v>0</v>
      </c>
      <c r="K2417" s="126">
        <f t="shared" si="707"/>
        <v>0</v>
      </c>
      <c r="L2417" s="174">
        <f>VLOOKUP(A2417,'Step 1'!$A:$E,4,FALSE)</f>
        <v>180347</v>
      </c>
      <c r="M2417" s="47">
        <f t="shared" si="708"/>
        <v>0</v>
      </c>
      <c r="N2417" s="177">
        <f>SUMIFS('Support - Transition'!G:G,'Support - Transition'!J:J,'Step 2'!D2417,'Support - Transition'!E:E,"2009 WELFARE ALLOCATION FACTOR")</f>
        <v>0</v>
      </c>
      <c r="O2417" s="152">
        <f t="shared" si="713"/>
        <v>0</v>
      </c>
      <c r="P2417" s="126">
        <f>IF(E2417="Y",0,SUMIFS('Support - Transition'!G:G,'Support - Transition'!J:J,'Step 2'!D2417,'Support - Transition'!E:E,"2009 SCHOOL ALLOCATION FACTOR"))</f>
        <v>0</v>
      </c>
      <c r="Q2417" s="126">
        <f>IF(E2417="Y",VLOOKUP(D2417,'Support - Unit Adjustments'!F:G,2,FALSE),0)</f>
        <v>0</v>
      </c>
      <c r="R2417" s="155">
        <f t="shared" si="725"/>
        <v>0</v>
      </c>
      <c r="S2417" s="47">
        <f t="shared" si="724"/>
        <v>0</v>
      </c>
      <c r="T2417" s="151">
        <f t="shared" si="709"/>
        <v>0</v>
      </c>
      <c r="U2417" s="151">
        <f t="shared" si="710"/>
        <v>0</v>
      </c>
      <c r="V2417" s="139">
        <f t="shared" si="711"/>
        <v>0</v>
      </c>
      <c r="W2417" s="152">
        <f t="shared" si="714"/>
        <v>0</v>
      </c>
      <c r="X2417" s="127" t="str">
        <f t="shared" si="712"/>
        <v/>
      </c>
      <c r="Y2417" s="207">
        <f t="shared" si="715"/>
        <v>0</v>
      </c>
      <c r="Z2417" s="139">
        <f t="shared" si="716"/>
        <v>0</v>
      </c>
      <c r="AA2417" s="139">
        <f t="shared" si="717"/>
        <v>0</v>
      </c>
      <c r="AC2417" s="47">
        <f t="shared" si="718"/>
        <v>0</v>
      </c>
      <c r="AD2417" s="47">
        <f t="shared" si="719"/>
        <v>0</v>
      </c>
      <c r="AE2417" s="47">
        <f t="shared" si="720"/>
        <v>0</v>
      </c>
      <c r="AG2417" s="47">
        <f t="shared" si="721"/>
        <v>0</v>
      </c>
      <c r="AH2417" s="47">
        <f t="shared" si="722"/>
        <v>0</v>
      </c>
      <c r="AI2417" s="208">
        <f t="shared" si="723"/>
        <v>0</v>
      </c>
    </row>
    <row r="2418" spans="1:35">
      <c r="A2418" t="s">
        <v>2168</v>
      </c>
      <c r="B2418" s="48" t="s">
        <v>6274</v>
      </c>
      <c r="C2418" t="s">
        <v>2187</v>
      </c>
      <c r="D2418" t="str">
        <f>A2418&amp;B2418&amp;C2418</f>
        <v>8400000</v>
      </c>
      <c r="F2418" t="s">
        <v>6358</v>
      </c>
      <c r="G2418" s="126">
        <f>SUMIFS('Support - Transition'!F:F,'Support - Transition'!B:B,'Step 2'!A2418,'Support - Transition'!C:C,'Step 2'!B2418,'Support - Transition'!D:D,'Step 2'!C2418,'Support - Transition'!E:E,"CIVIL")</f>
        <v>0</v>
      </c>
      <c r="H2418" s="126">
        <f>SUMIFS('Support - Transition'!F:F,'Support - Transition'!B:B,'Step 2'!A2418,'Support - Transition'!C:C,'Step 2'!B2418,'Support - Transition'!D:D,'Step 2'!C2418,'Support - Transition'!E:E,"FIRE")</f>
        <v>0</v>
      </c>
      <c r="I2418" s="126">
        <f>IF(B2418="0",SUMIFS('Support - Transition'!F:F,'Support - Transition'!J:J,'Step 2'!D2418,'Support - Transition'!E:E,"STATE UNIT"),SUMIFS('Support - Transition'!F:F,'Support - Transition'!J:J,'Step 2'!D2418))</f>
        <v>8.43E-4</v>
      </c>
      <c r="J2418" s="126">
        <f>SUMIFS('Support - Unit Adjustments'!E:E,'Support - Unit Adjustments'!F:F,'Step 2'!D2418)</f>
        <v>0</v>
      </c>
      <c r="K2418" s="126">
        <f t="shared" si="707"/>
        <v>8.43E-4</v>
      </c>
      <c r="L2418" s="174">
        <f>VLOOKUP(A2418,'Step 1'!$A:$E,4,FALSE)</f>
        <v>793500</v>
      </c>
      <c r="M2418" s="47">
        <f t="shared" si="708"/>
        <v>669</v>
      </c>
      <c r="N2418" s="177">
        <f>SUMIFS('Support - Transition'!G:G,'Support - Transition'!J:J,'Step 2'!D2418,'Support - Transition'!E:E,"2009 WELFARE ALLOCATION FACTOR")</f>
        <v>0</v>
      </c>
      <c r="O2418" s="152">
        <f t="shared" si="713"/>
        <v>0</v>
      </c>
      <c r="P2418" s="126">
        <f>IF(E2418="Y",0,SUMIFS('Support - Transition'!G:G,'Support - Transition'!J:J,'Step 2'!D2418,'Support - Transition'!E:E,"2009 SCHOOL ALLOCATION FACTOR"))</f>
        <v>0</v>
      </c>
      <c r="Q2418" s="126">
        <f>IF(E2418="Y",VLOOKUP(D2418,'Support - Unit Adjustments'!F:G,2,FALSE),0)</f>
        <v>0</v>
      </c>
      <c r="R2418" s="155">
        <f t="shared" si="725"/>
        <v>0</v>
      </c>
      <c r="S2418" s="47">
        <f t="shared" si="724"/>
        <v>0</v>
      </c>
      <c r="T2418" s="151">
        <f t="shared" si="709"/>
        <v>669</v>
      </c>
      <c r="U2418" s="151">
        <f t="shared" si="710"/>
        <v>793500</v>
      </c>
      <c r="V2418" s="139">
        <f t="shared" si="711"/>
        <v>0</v>
      </c>
      <c r="W2418" s="152">
        <f t="shared" si="714"/>
        <v>669</v>
      </c>
      <c r="X2418" s="127">
        <f t="shared" si="712"/>
        <v>0</v>
      </c>
      <c r="Y2418" s="207">
        <f t="shared" si="715"/>
        <v>669</v>
      </c>
      <c r="Z2418" s="139">
        <f t="shared" si="716"/>
        <v>669</v>
      </c>
      <c r="AA2418" s="139">
        <f t="shared" si="717"/>
        <v>0</v>
      </c>
      <c r="AC2418" s="47">
        <f t="shared" si="718"/>
        <v>335</v>
      </c>
      <c r="AD2418" s="47">
        <f t="shared" si="719"/>
        <v>335</v>
      </c>
      <c r="AE2418" s="47">
        <f t="shared" si="720"/>
        <v>0</v>
      </c>
      <c r="AG2418" s="47">
        <f t="shared" si="721"/>
        <v>334</v>
      </c>
      <c r="AH2418" s="47">
        <f t="shared" si="722"/>
        <v>334</v>
      </c>
      <c r="AI2418" s="208">
        <f t="shared" si="723"/>
        <v>0</v>
      </c>
    </row>
    <row r="2419" spans="1:35">
      <c r="A2419" t="s">
        <v>2168</v>
      </c>
      <c r="B2419" t="s">
        <v>3140</v>
      </c>
      <c r="C2419" t="s">
        <v>2187</v>
      </c>
      <c r="D2419" t="s">
        <v>5967</v>
      </c>
      <c r="F2419" t="s">
        <v>1726</v>
      </c>
      <c r="G2419" s="126">
        <f>SUMIFS('Support - Transition'!F:F,'Support - Transition'!B:B,'Step 2'!A2419,'Support - Transition'!C:C,'Step 2'!B2419,'Support - Transition'!D:D,'Step 2'!C2419,'Support - Transition'!E:E,"CIVIL")</f>
        <v>0</v>
      </c>
      <c r="H2419" s="126">
        <f>SUMIFS('Support - Transition'!F:F,'Support - Transition'!B:B,'Step 2'!A2419,'Support - Transition'!C:C,'Step 2'!B2419,'Support - Transition'!D:D,'Step 2'!C2419,'Support - Transition'!E:E,"FIRE")</f>
        <v>0</v>
      </c>
      <c r="I2419" s="126">
        <f>IF(B2419="0",SUMIFS('Support - Transition'!F:F,'Support - Transition'!J:J,'Step 2'!D2419,'Support - Transition'!E:E,"STATE UNIT"),SUMIFS('Support - Transition'!F:F,'Support - Transition'!J:J,'Step 2'!D2419))</f>
        <v>0.20152</v>
      </c>
      <c r="J2419" s="126">
        <f>SUMIFS('Support - Unit Adjustments'!E:E,'Support - Unit Adjustments'!F:F,'Step 2'!D2419)</f>
        <v>0</v>
      </c>
      <c r="K2419" s="126">
        <f t="shared" si="707"/>
        <v>0.20152</v>
      </c>
      <c r="L2419" s="174">
        <f>VLOOKUP(A2419,'Step 1'!$A:$E,4,FALSE)</f>
        <v>793500</v>
      </c>
      <c r="M2419" s="47">
        <f t="shared" si="708"/>
        <v>159906</v>
      </c>
      <c r="N2419" s="177">
        <f>SUMIFS('Support - Transition'!G:G,'Support - Transition'!J:J,'Step 2'!D2419,'Support - Transition'!E:E,"2009 WELFARE ALLOCATION FACTOR")</f>
        <v>0.192386</v>
      </c>
      <c r="O2419" s="152">
        <f t="shared" si="713"/>
        <v>30764</v>
      </c>
      <c r="P2419" s="126">
        <f>IF(E2419="Y",0,SUMIFS('Support - Transition'!G:G,'Support - Transition'!J:J,'Step 2'!D2419,'Support - Transition'!E:E,"2009 SCHOOL ALLOCATION FACTOR"))</f>
        <v>0</v>
      </c>
      <c r="Q2419" s="126">
        <f>IF(E2419="Y",VLOOKUP(D2419,'Support - Unit Adjustments'!F:G,2,FALSE),0)</f>
        <v>0</v>
      </c>
      <c r="R2419" s="155">
        <f t="shared" si="725"/>
        <v>0</v>
      </c>
      <c r="S2419" s="47">
        <f t="shared" si="724"/>
        <v>0</v>
      </c>
      <c r="T2419" s="151">
        <f t="shared" si="709"/>
        <v>129142</v>
      </c>
      <c r="U2419" s="151">
        <f t="shared" si="710"/>
        <v>0</v>
      </c>
      <c r="V2419" s="139">
        <f t="shared" si="711"/>
        <v>0</v>
      </c>
      <c r="W2419" s="152">
        <f t="shared" si="714"/>
        <v>129142</v>
      </c>
      <c r="X2419" s="127" t="str">
        <f t="shared" si="712"/>
        <v/>
      </c>
      <c r="Y2419" s="207">
        <f t="shared" si="715"/>
        <v>129142</v>
      </c>
      <c r="Z2419" s="139">
        <f t="shared" si="716"/>
        <v>129142</v>
      </c>
      <c r="AA2419" s="139">
        <f t="shared" si="717"/>
        <v>0</v>
      </c>
      <c r="AC2419" s="47">
        <f t="shared" si="718"/>
        <v>64571</v>
      </c>
      <c r="AD2419" s="47">
        <f t="shared" si="719"/>
        <v>64571</v>
      </c>
      <c r="AE2419" s="47">
        <f t="shared" si="720"/>
        <v>0</v>
      </c>
      <c r="AG2419" s="47">
        <f t="shared" si="721"/>
        <v>64571</v>
      </c>
      <c r="AH2419" s="47">
        <f t="shared" si="722"/>
        <v>64571</v>
      </c>
      <c r="AI2419" s="208">
        <f t="shared" si="723"/>
        <v>0</v>
      </c>
    </row>
    <row r="2420" spans="1:35">
      <c r="A2420" t="s">
        <v>2168</v>
      </c>
      <c r="B2420" t="s">
        <v>3142</v>
      </c>
      <c r="C2420" t="s">
        <v>2188</v>
      </c>
      <c r="D2420" t="s">
        <v>5968</v>
      </c>
      <c r="F2420" t="s">
        <v>1727</v>
      </c>
      <c r="G2420" s="126">
        <f>SUMIFS('Support - Transition'!F:F,'Support - Transition'!B:B,'Step 2'!A2420,'Support - Transition'!C:C,'Step 2'!B2420,'Support - Transition'!D:D,'Step 2'!C2420,'Support - Transition'!E:E,"CIVIL")</f>
        <v>2.12E-4</v>
      </c>
      <c r="H2420" s="126">
        <f>SUMIFS('Support - Transition'!F:F,'Support - Transition'!B:B,'Step 2'!A2420,'Support - Transition'!C:C,'Step 2'!B2420,'Support - Transition'!D:D,'Step 2'!C2420,'Support - Transition'!E:E,"FIRE")</f>
        <v>1.22E-4</v>
      </c>
      <c r="I2420" s="126">
        <f>IF(B2420="0",SUMIFS('Support - Transition'!F:F,'Support - Transition'!J:J,'Step 2'!D2420,'Support - Transition'!E:E,"STATE UNIT"),SUMIFS('Support - Transition'!F:F,'Support - Transition'!J:J,'Step 2'!D2420))</f>
        <v>3.3399999999999999E-4</v>
      </c>
      <c r="J2420" s="126">
        <f>SUMIFS('Support - Unit Adjustments'!E:E,'Support - Unit Adjustments'!F:F,'Step 2'!D2420)</f>
        <v>0</v>
      </c>
      <c r="K2420" s="126">
        <f t="shared" si="707"/>
        <v>3.3399999999999999E-4</v>
      </c>
      <c r="L2420" s="174">
        <f>VLOOKUP(A2420,'Step 1'!$A:$E,4,FALSE)</f>
        <v>793500</v>
      </c>
      <c r="M2420" s="47">
        <f t="shared" si="708"/>
        <v>265</v>
      </c>
      <c r="N2420" s="177">
        <f>SUMIFS('Support - Transition'!G:G,'Support - Transition'!J:J,'Step 2'!D2420,'Support - Transition'!E:E,"2009 WELFARE ALLOCATION FACTOR")</f>
        <v>0</v>
      </c>
      <c r="O2420" s="152">
        <f t="shared" si="713"/>
        <v>0</v>
      </c>
      <c r="P2420" s="126">
        <f>IF(E2420="Y",0,SUMIFS('Support - Transition'!G:G,'Support - Transition'!J:J,'Step 2'!D2420,'Support - Transition'!E:E,"2009 SCHOOL ALLOCATION FACTOR"))</f>
        <v>0</v>
      </c>
      <c r="Q2420" s="126">
        <f>IF(E2420="Y",VLOOKUP(D2420,'Support - Unit Adjustments'!F:G,2,FALSE),0)</f>
        <v>0</v>
      </c>
      <c r="R2420" s="155">
        <f t="shared" si="725"/>
        <v>0</v>
      </c>
      <c r="S2420" s="47">
        <f t="shared" si="724"/>
        <v>0</v>
      </c>
      <c r="T2420" s="151">
        <f t="shared" si="709"/>
        <v>265</v>
      </c>
      <c r="U2420" s="151">
        <f t="shared" si="710"/>
        <v>0</v>
      </c>
      <c r="V2420" s="139">
        <f t="shared" si="711"/>
        <v>0</v>
      </c>
      <c r="W2420" s="152">
        <f t="shared" si="714"/>
        <v>265</v>
      </c>
      <c r="X2420" s="127" t="str">
        <f t="shared" si="712"/>
        <v/>
      </c>
      <c r="Y2420" s="207">
        <f t="shared" si="715"/>
        <v>265</v>
      </c>
      <c r="Z2420" s="139">
        <f t="shared" si="716"/>
        <v>168</v>
      </c>
      <c r="AA2420" s="139">
        <f t="shared" si="717"/>
        <v>97</v>
      </c>
      <c r="AC2420" s="47">
        <f t="shared" si="718"/>
        <v>133</v>
      </c>
      <c r="AD2420" s="47">
        <f t="shared" si="719"/>
        <v>84</v>
      </c>
      <c r="AE2420" s="47">
        <f t="shared" si="720"/>
        <v>49</v>
      </c>
      <c r="AG2420" s="47">
        <f t="shared" si="721"/>
        <v>132</v>
      </c>
      <c r="AH2420" s="47">
        <f t="shared" si="722"/>
        <v>84</v>
      </c>
      <c r="AI2420" s="208">
        <f t="shared" si="723"/>
        <v>48</v>
      </c>
    </row>
    <row r="2421" spans="1:35">
      <c r="A2421" t="s">
        <v>2168</v>
      </c>
      <c r="B2421" t="s">
        <v>3142</v>
      </c>
      <c r="C2421" t="s">
        <v>2189</v>
      </c>
      <c r="D2421" t="s">
        <v>5969</v>
      </c>
      <c r="F2421" t="s">
        <v>86</v>
      </c>
      <c r="G2421" s="126">
        <f>SUMIFS('Support - Transition'!F:F,'Support - Transition'!B:B,'Step 2'!A2421,'Support - Transition'!C:C,'Step 2'!B2421,'Support - Transition'!D:D,'Step 2'!C2421,'Support - Transition'!E:E,"CIVIL")</f>
        <v>5.744E-3</v>
      </c>
      <c r="H2421" s="126">
        <f>SUMIFS('Support - Transition'!F:F,'Support - Transition'!B:B,'Step 2'!A2421,'Support - Transition'!C:C,'Step 2'!B2421,'Support - Transition'!D:D,'Step 2'!C2421,'Support - Transition'!E:E,"FIRE")</f>
        <v>0</v>
      </c>
      <c r="I2421" s="126">
        <f>IF(B2421="0",SUMIFS('Support - Transition'!F:F,'Support - Transition'!J:J,'Step 2'!D2421,'Support - Transition'!E:E,"STATE UNIT"),SUMIFS('Support - Transition'!F:F,'Support - Transition'!J:J,'Step 2'!D2421))</f>
        <v>5.744E-3</v>
      </c>
      <c r="J2421" s="126">
        <f>SUMIFS('Support - Unit Adjustments'!E:E,'Support - Unit Adjustments'!F:F,'Step 2'!D2421)</f>
        <v>0</v>
      </c>
      <c r="K2421" s="126">
        <f t="shared" si="707"/>
        <v>5.744E-3</v>
      </c>
      <c r="L2421" s="174">
        <f>VLOOKUP(A2421,'Step 1'!$A:$E,4,FALSE)</f>
        <v>793500</v>
      </c>
      <c r="M2421" s="47">
        <f t="shared" si="708"/>
        <v>4558</v>
      </c>
      <c r="N2421" s="177">
        <f>SUMIFS('Support - Transition'!G:G,'Support - Transition'!J:J,'Step 2'!D2421,'Support - Transition'!E:E,"2009 WELFARE ALLOCATION FACTOR")</f>
        <v>0</v>
      </c>
      <c r="O2421" s="152">
        <f t="shared" si="713"/>
        <v>0</v>
      </c>
      <c r="P2421" s="126">
        <f>IF(E2421="Y",0,SUMIFS('Support - Transition'!G:G,'Support - Transition'!J:J,'Step 2'!D2421,'Support - Transition'!E:E,"2009 SCHOOL ALLOCATION FACTOR"))</f>
        <v>0</v>
      </c>
      <c r="Q2421" s="126">
        <f>IF(E2421="Y",VLOOKUP(D2421,'Support - Unit Adjustments'!F:G,2,FALSE),0)</f>
        <v>0</v>
      </c>
      <c r="R2421" s="155">
        <f t="shared" si="725"/>
        <v>0</v>
      </c>
      <c r="S2421" s="47">
        <f t="shared" si="724"/>
        <v>0</v>
      </c>
      <c r="T2421" s="151">
        <f t="shared" si="709"/>
        <v>4558</v>
      </c>
      <c r="U2421" s="151">
        <f t="shared" si="710"/>
        <v>0</v>
      </c>
      <c r="V2421" s="139">
        <f t="shared" si="711"/>
        <v>0</v>
      </c>
      <c r="W2421" s="152">
        <f t="shared" si="714"/>
        <v>4558</v>
      </c>
      <c r="X2421" s="127" t="str">
        <f t="shared" si="712"/>
        <v/>
      </c>
      <c r="Y2421" s="207">
        <f t="shared" si="715"/>
        <v>4558</v>
      </c>
      <c r="Z2421" s="139">
        <f t="shared" si="716"/>
        <v>4558</v>
      </c>
      <c r="AA2421" s="139">
        <f t="shared" si="717"/>
        <v>0</v>
      </c>
      <c r="AC2421" s="47">
        <f t="shared" si="718"/>
        <v>2279</v>
      </c>
      <c r="AD2421" s="47">
        <f t="shared" si="719"/>
        <v>2279</v>
      </c>
      <c r="AE2421" s="47">
        <f t="shared" si="720"/>
        <v>0</v>
      </c>
      <c r="AG2421" s="47">
        <f t="shared" si="721"/>
        <v>2279</v>
      </c>
      <c r="AH2421" s="47">
        <f t="shared" si="722"/>
        <v>2279</v>
      </c>
      <c r="AI2421" s="208">
        <f t="shared" si="723"/>
        <v>0</v>
      </c>
    </row>
    <row r="2422" spans="1:35">
      <c r="A2422" t="s">
        <v>2168</v>
      </c>
      <c r="B2422" t="s">
        <v>3142</v>
      </c>
      <c r="C2422" t="s">
        <v>2190</v>
      </c>
      <c r="D2422" t="s">
        <v>5970</v>
      </c>
      <c r="F2422" t="s">
        <v>776</v>
      </c>
      <c r="G2422" s="126">
        <f>SUMIFS('Support - Transition'!F:F,'Support - Transition'!B:B,'Step 2'!A2422,'Support - Transition'!C:C,'Step 2'!B2422,'Support - Transition'!D:D,'Step 2'!C2422,'Support - Transition'!E:E,"CIVIL")</f>
        <v>1.4799999999999999E-4</v>
      </c>
      <c r="H2422" s="126">
        <f>SUMIFS('Support - Transition'!F:F,'Support - Transition'!B:B,'Step 2'!A2422,'Support - Transition'!C:C,'Step 2'!B2422,'Support - Transition'!D:D,'Step 2'!C2422,'Support - Transition'!E:E,"FIRE")</f>
        <v>0</v>
      </c>
      <c r="I2422" s="126">
        <f>IF(B2422="0",SUMIFS('Support - Transition'!F:F,'Support - Transition'!J:J,'Step 2'!D2422,'Support - Transition'!E:E,"STATE UNIT"),SUMIFS('Support - Transition'!F:F,'Support - Transition'!J:J,'Step 2'!D2422))</f>
        <v>1.4799999999999999E-4</v>
      </c>
      <c r="J2422" s="126">
        <f>SUMIFS('Support - Unit Adjustments'!E:E,'Support - Unit Adjustments'!F:F,'Step 2'!D2422)</f>
        <v>0</v>
      </c>
      <c r="K2422" s="126">
        <f t="shared" si="707"/>
        <v>1.4799999999999999E-4</v>
      </c>
      <c r="L2422" s="174">
        <f>VLOOKUP(A2422,'Step 1'!$A:$E,4,FALSE)</f>
        <v>793500</v>
      </c>
      <c r="M2422" s="47">
        <f t="shared" si="708"/>
        <v>117</v>
      </c>
      <c r="N2422" s="177">
        <f>SUMIFS('Support - Transition'!G:G,'Support - Transition'!J:J,'Step 2'!D2422,'Support - Transition'!E:E,"2009 WELFARE ALLOCATION FACTOR")</f>
        <v>0</v>
      </c>
      <c r="O2422" s="152">
        <f t="shared" si="713"/>
        <v>0</v>
      </c>
      <c r="P2422" s="126">
        <f>IF(E2422="Y",0,SUMIFS('Support - Transition'!G:G,'Support - Transition'!J:J,'Step 2'!D2422,'Support - Transition'!E:E,"2009 SCHOOL ALLOCATION FACTOR"))</f>
        <v>0</v>
      </c>
      <c r="Q2422" s="126">
        <f>IF(E2422="Y",VLOOKUP(D2422,'Support - Unit Adjustments'!F:G,2,FALSE),0)</f>
        <v>0</v>
      </c>
      <c r="R2422" s="155">
        <f t="shared" si="725"/>
        <v>0</v>
      </c>
      <c r="S2422" s="47">
        <f t="shared" si="724"/>
        <v>0</v>
      </c>
      <c r="T2422" s="151">
        <f t="shared" si="709"/>
        <v>117</v>
      </c>
      <c r="U2422" s="151">
        <f t="shared" si="710"/>
        <v>0</v>
      </c>
      <c r="V2422" s="139">
        <f t="shared" si="711"/>
        <v>0</v>
      </c>
      <c r="W2422" s="152">
        <f t="shared" si="714"/>
        <v>117</v>
      </c>
      <c r="X2422" s="127" t="str">
        <f t="shared" si="712"/>
        <v/>
      </c>
      <c r="Y2422" s="207">
        <f t="shared" si="715"/>
        <v>117</v>
      </c>
      <c r="Z2422" s="139">
        <f t="shared" si="716"/>
        <v>117</v>
      </c>
      <c r="AA2422" s="139">
        <f t="shared" si="717"/>
        <v>0</v>
      </c>
      <c r="AC2422" s="47">
        <f t="shared" si="718"/>
        <v>59</v>
      </c>
      <c r="AD2422" s="47">
        <f t="shared" si="719"/>
        <v>59</v>
      </c>
      <c r="AE2422" s="47">
        <f t="shared" si="720"/>
        <v>0</v>
      </c>
      <c r="AG2422" s="47">
        <f t="shared" si="721"/>
        <v>58</v>
      </c>
      <c r="AH2422" s="47">
        <f t="shared" si="722"/>
        <v>58</v>
      </c>
      <c r="AI2422" s="208">
        <f t="shared" si="723"/>
        <v>0</v>
      </c>
    </row>
    <row r="2423" spans="1:35">
      <c r="A2423" t="s">
        <v>2168</v>
      </c>
      <c r="B2423" t="s">
        <v>3142</v>
      </c>
      <c r="C2423" t="s">
        <v>2191</v>
      </c>
      <c r="D2423" t="s">
        <v>5971</v>
      </c>
      <c r="F2423" t="s">
        <v>1728</v>
      </c>
      <c r="G2423" s="126">
        <f>SUMIFS('Support - Transition'!F:F,'Support - Transition'!B:B,'Step 2'!A2423,'Support - Transition'!C:C,'Step 2'!B2423,'Support - Transition'!D:D,'Step 2'!C2423,'Support - Transition'!E:E,"CIVIL")</f>
        <v>1.931E-3</v>
      </c>
      <c r="H2423" s="126">
        <f>SUMIFS('Support - Transition'!F:F,'Support - Transition'!B:B,'Step 2'!A2423,'Support - Transition'!C:C,'Step 2'!B2423,'Support - Transition'!D:D,'Step 2'!C2423,'Support - Transition'!E:E,"FIRE")</f>
        <v>1.225E-3</v>
      </c>
      <c r="I2423" s="126">
        <f>IF(B2423="0",SUMIFS('Support - Transition'!F:F,'Support - Transition'!J:J,'Step 2'!D2423,'Support - Transition'!E:E,"STATE UNIT"),SUMIFS('Support - Transition'!F:F,'Support - Transition'!J:J,'Step 2'!D2423))</f>
        <v>3.156E-3</v>
      </c>
      <c r="J2423" s="126">
        <f>SUMIFS('Support - Unit Adjustments'!E:E,'Support - Unit Adjustments'!F:F,'Step 2'!D2423)</f>
        <v>0</v>
      </c>
      <c r="K2423" s="126">
        <f t="shared" si="707"/>
        <v>3.156E-3</v>
      </c>
      <c r="L2423" s="174">
        <f>VLOOKUP(A2423,'Step 1'!$A:$E,4,FALSE)</f>
        <v>793500</v>
      </c>
      <c r="M2423" s="47">
        <f t="shared" si="708"/>
        <v>2504</v>
      </c>
      <c r="N2423" s="177">
        <f>SUMIFS('Support - Transition'!G:G,'Support - Transition'!J:J,'Step 2'!D2423,'Support - Transition'!E:E,"2009 WELFARE ALLOCATION FACTOR")</f>
        <v>0</v>
      </c>
      <c r="O2423" s="152">
        <f t="shared" si="713"/>
        <v>0</v>
      </c>
      <c r="P2423" s="126">
        <f>IF(E2423="Y",0,SUMIFS('Support - Transition'!G:G,'Support - Transition'!J:J,'Step 2'!D2423,'Support - Transition'!E:E,"2009 SCHOOL ALLOCATION FACTOR"))</f>
        <v>0</v>
      </c>
      <c r="Q2423" s="126">
        <f>IF(E2423="Y",VLOOKUP(D2423,'Support - Unit Adjustments'!F:G,2,FALSE),0)</f>
        <v>0</v>
      </c>
      <c r="R2423" s="155">
        <f t="shared" si="725"/>
        <v>0</v>
      </c>
      <c r="S2423" s="47">
        <f t="shared" si="724"/>
        <v>0</v>
      </c>
      <c r="T2423" s="151">
        <f t="shared" si="709"/>
        <v>2504</v>
      </c>
      <c r="U2423" s="151">
        <f t="shared" si="710"/>
        <v>0</v>
      </c>
      <c r="V2423" s="139">
        <f t="shared" si="711"/>
        <v>0</v>
      </c>
      <c r="W2423" s="152">
        <f t="shared" si="714"/>
        <v>2504</v>
      </c>
      <c r="X2423" s="127" t="str">
        <f t="shared" si="712"/>
        <v/>
      </c>
      <c r="Y2423" s="207">
        <f t="shared" si="715"/>
        <v>2504</v>
      </c>
      <c r="Z2423" s="139">
        <f t="shared" si="716"/>
        <v>1532</v>
      </c>
      <c r="AA2423" s="139">
        <f t="shared" si="717"/>
        <v>972</v>
      </c>
      <c r="AC2423" s="47">
        <f t="shared" si="718"/>
        <v>1252</v>
      </c>
      <c r="AD2423" s="47">
        <f t="shared" si="719"/>
        <v>766</v>
      </c>
      <c r="AE2423" s="47">
        <f t="shared" si="720"/>
        <v>486</v>
      </c>
      <c r="AG2423" s="47">
        <f t="shared" si="721"/>
        <v>1252</v>
      </c>
      <c r="AH2423" s="47">
        <f t="shared" si="722"/>
        <v>766</v>
      </c>
      <c r="AI2423" s="208">
        <f t="shared" si="723"/>
        <v>486</v>
      </c>
    </row>
    <row r="2424" spans="1:35">
      <c r="A2424" t="s">
        <v>2168</v>
      </c>
      <c r="B2424" t="s">
        <v>3142</v>
      </c>
      <c r="C2424" t="s">
        <v>2192</v>
      </c>
      <c r="D2424" t="s">
        <v>5972</v>
      </c>
      <c r="F2424" t="s">
        <v>1729</v>
      </c>
      <c r="G2424" s="126">
        <f>SUMIFS('Support - Transition'!F:F,'Support - Transition'!B:B,'Step 2'!A2424,'Support - Transition'!C:C,'Step 2'!B2424,'Support - Transition'!D:D,'Step 2'!C2424,'Support - Transition'!E:E,"CIVIL")</f>
        <v>5.3899999999999998E-4</v>
      </c>
      <c r="H2424" s="126">
        <f>SUMIFS('Support - Transition'!F:F,'Support - Transition'!B:B,'Step 2'!A2424,'Support - Transition'!C:C,'Step 2'!B2424,'Support - Transition'!D:D,'Step 2'!C2424,'Support - Transition'!E:E,"FIRE")</f>
        <v>0</v>
      </c>
      <c r="I2424" s="126">
        <f>IF(B2424="0",SUMIFS('Support - Transition'!F:F,'Support - Transition'!J:J,'Step 2'!D2424,'Support - Transition'!E:E,"STATE UNIT"),SUMIFS('Support - Transition'!F:F,'Support - Transition'!J:J,'Step 2'!D2424))</f>
        <v>5.3899999999999998E-4</v>
      </c>
      <c r="J2424" s="126">
        <f>SUMIFS('Support - Unit Adjustments'!E:E,'Support - Unit Adjustments'!F:F,'Step 2'!D2424)</f>
        <v>0</v>
      </c>
      <c r="K2424" s="126">
        <f t="shared" si="707"/>
        <v>5.3899999999999998E-4</v>
      </c>
      <c r="L2424" s="174">
        <f>VLOOKUP(A2424,'Step 1'!$A:$E,4,FALSE)</f>
        <v>793500</v>
      </c>
      <c r="M2424" s="47">
        <f t="shared" si="708"/>
        <v>428</v>
      </c>
      <c r="N2424" s="177">
        <f>SUMIFS('Support - Transition'!G:G,'Support - Transition'!J:J,'Step 2'!D2424,'Support - Transition'!E:E,"2009 WELFARE ALLOCATION FACTOR")</f>
        <v>0</v>
      </c>
      <c r="O2424" s="152">
        <f t="shared" si="713"/>
        <v>0</v>
      </c>
      <c r="P2424" s="126">
        <f>IF(E2424="Y",0,SUMIFS('Support - Transition'!G:G,'Support - Transition'!J:J,'Step 2'!D2424,'Support - Transition'!E:E,"2009 SCHOOL ALLOCATION FACTOR"))</f>
        <v>0</v>
      </c>
      <c r="Q2424" s="126">
        <f>IF(E2424="Y",VLOOKUP(D2424,'Support - Unit Adjustments'!F:G,2,FALSE),0)</f>
        <v>0</v>
      </c>
      <c r="R2424" s="155">
        <f t="shared" si="725"/>
        <v>0</v>
      </c>
      <c r="S2424" s="47">
        <f t="shared" si="724"/>
        <v>0</v>
      </c>
      <c r="T2424" s="151">
        <f t="shared" si="709"/>
        <v>428</v>
      </c>
      <c r="U2424" s="151">
        <f t="shared" si="710"/>
        <v>0</v>
      </c>
      <c r="V2424" s="139">
        <f t="shared" si="711"/>
        <v>0</v>
      </c>
      <c r="W2424" s="152">
        <f t="shared" si="714"/>
        <v>428</v>
      </c>
      <c r="X2424" s="127" t="str">
        <f t="shared" si="712"/>
        <v/>
      </c>
      <c r="Y2424" s="207">
        <f t="shared" si="715"/>
        <v>428</v>
      </c>
      <c r="Z2424" s="139">
        <f t="shared" si="716"/>
        <v>428</v>
      </c>
      <c r="AA2424" s="139">
        <f t="shared" si="717"/>
        <v>0</v>
      </c>
      <c r="AC2424" s="47">
        <f t="shared" si="718"/>
        <v>214</v>
      </c>
      <c r="AD2424" s="47">
        <f t="shared" si="719"/>
        <v>214</v>
      </c>
      <c r="AE2424" s="47">
        <f t="shared" si="720"/>
        <v>0</v>
      </c>
      <c r="AG2424" s="47">
        <f t="shared" si="721"/>
        <v>214</v>
      </c>
      <c r="AH2424" s="47">
        <f t="shared" si="722"/>
        <v>214</v>
      </c>
      <c r="AI2424" s="208">
        <f t="shared" si="723"/>
        <v>0</v>
      </c>
    </row>
    <row r="2425" spans="1:35">
      <c r="A2425" t="s">
        <v>2168</v>
      </c>
      <c r="B2425" t="s">
        <v>3142</v>
      </c>
      <c r="C2425" t="s">
        <v>2193</v>
      </c>
      <c r="D2425" t="s">
        <v>5973</v>
      </c>
      <c r="F2425" t="s">
        <v>1730</v>
      </c>
      <c r="G2425" s="126">
        <f>SUMIFS('Support - Transition'!F:F,'Support - Transition'!B:B,'Step 2'!A2425,'Support - Transition'!C:C,'Step 2'!B2425,'Support - Transition'!D:D,'Step 2'!C2425,'Support - Transition'!E:E,"CIVIL")</f>
        <v>4.66E-4</v>
      </c>
      <c r="H2425" s="126">
        <f>SUMIFS('Support - Transition'!F:F,'Support - Transition'!B:B,'Step 2'!A2425,'Support - Transition'!C:C,'Step 2'!B2425,'Support - Transition'!D:D,'Step 2'!C2425,'Support - Transition'!E:E,"FIRE")</f>
        <v>1.75E-4</v>
      </c>
      <c r="I2425" s="126">
        <f>IF(B2425="0",SUMIFS('Support - Transition'!F:F,'Support - Transition'!J:J,'Step 2'!D2425,'Support - Transition'!E:E,"STATE UNIT"),SUMIFS('Support - Transition'!F:F,'Support - Transition'!J:J,'Step 2'!D2425))</f>
        <v>6.4099999999999997E-4</v>
      </c>
      <c r="J2425" s="126">
        <f>SUMIFS('Support - Unit Adjustments'!E:E,'Support - Unit Adjustments'!F:F,'Step 2'!D2425)</f>
        <v>0</v>
      </c>
      <c r="K2425" s="126">
        <f t="shared" si="707"/>
        <v>6.4099999999999997E-4</v>
      </c>
      <c r="L2425" s="174">
        <f>VLOOKUP(A2425,'Step 1'!$A:$E,4,FALSE)</f>
        <v>793500</v>
      </c>
      <c r="M2425" s="47">
        <f t="shared" si="708"/>
        <v>509</v>
      </c>
      <c r="N2425" s="177">
        <f>SUMIFS('Support - Transition'!G:G,'Support - Transition'!J:J,'Step 2'!D2425,'Support - Transition'!E:E,"2009 WELFARE ALLOCATION FACTOR")</f>
        <v>0</v>
      </c>
      <c r="O2425" s="152">
        <f t="shared" si="713"/>
        <v>0</v>
      </c>
      <c r="P2425" s="126">
        <f>IF(E2425="Y",0,SUMIFS('Support - Transition'!G:G,'Support - Transition'!J:J,'Step 2'!D2425,'Support - Transition'!E:E,"2009 SCHOOL ALLOCATION FACTOR"))</f>
        <v>0</v>
      </c>
      <c r="Q2425" s="126">
        <f>IF(E2425="Y",VLOOKUP(D2425,'Support - Unit Adjustments'!F:G,2,FALSE),0)</f>
        <v>0</v>
      </c>
      <c r="R2425" s="155">
        <f t="shared" si="725"/>
        <v>0</v>
      </c>
      <c r="S2425" s="47">
        <f t="shared" si="724"/>
        <v>0</v>
      </c>
      <c r="T2425" s="151">
        <f t="shared" si="709"/>
        <v>509</v>
      </c>
      <c r="U2425" s="151">
        <f t="shared" si="710"/>
        <v>0</v>
      </c>
      <c r="V2425" s="139">
        <f t="shared" si="711"/>
        <v>0</v>
      </c>
      <c r="W2425" s="152">
        <f t="shared" si="714"/>
        <v>509</v>
      </c>
      <c r="X2425" s="127" t="str">
        <f t="shared" si="712"/>
        <v/>
      </c>
      <c r="Y2425" s="207">
        <f t="shared" si="715"/>
        <v>509</v>
      </c>
      <c r="Z2425" s="139">
        <f t="shared" si="716"/>
        <v>370</v>
      </c>
      <c r="AA2425" s="139">
        <f t="shared" si="717"/>
        <v>139</v>
      </c>
      <c r="AC2425" s="47">
        <f t="shared" si="718"/>
        <v>255</v>
      </c>
      <c r="AD2425" s="47">
        <f t="shared" si="719"/>
        <v>185</v>
      </c>
      <c r="AE2425" s="47">
        <f t="shared" si="720"/>
        <v>70</v>
      </c>
      <c r="AG2425" s="47">
        <f t="shared" si="721"/>
        <v>254</v>
      </c>
      <c r="AH2425" s="47">
        <f t="shared" si="722"/>
        <v>185</v>
      </c>
      <c r="AI2425" s="208">
        <f t="shared" si="723"/>
        <v>69</v>
      </c>
    </row>
    <row r="2426" spans="1:35">
      <c r="A2426" t="s">
        <v>2168</v>
      </c>
      <c r="B2426" t="s">
        <v>3142</v>
      </c>
      <c r="C2426" t="s">
        <v>2194</v>
      </c>
      <c r="D2426" t="s">
        <v>5974</v>
      </c>
      <c r="F2426" t="s">
        <v>1527</v>
      </c>
      <c r="G2426" s="126">
        <f>SUMIFS('Support - Transition'!F:F,'Support - Transition'!B:B,'Step 2'!A2426,'Support - Transition'!C:C,'Step 2'!B2426,'Support - Transition'!D:D,'Step 2'!C2426,'Support - Transition'!E:E,"CIVIL")</f>
        <v>5.2899999999999996E-4</v>
      </c>
      <c r="H2426" s="126">
        <f>SUMIFS('Support - Transition'!F:F,'Support - Transition'!B:B,'Step 2'!A2426,'Support - Transition'!C:C,'Step 2'!B2426,'Support - Transition'!D:D,'Step 2'!C2426,'Support - Transition'!E:E,"FIRE")</f>
        <v>8.92E-4</v>
      </c>
      <c r="I2426" s="126">
        <f>IF(B2426="0",SUMIFS('Support - Transition'!F:F,'Support - Transition'!J:J,'Step 2'!D2426,'Support - Transition'!E:E,"STATE UNIT"),SUMIFS('Support - Transition'!F:F,'Support - Transition'!J:J,'Step 2'!D2426))</f>
        <v>1.421E-3</v>
      </c>
      <c r="J2426" s="126">
        <f>SUMIFS('Support - Unit Adjustments'!E:E,'Support - Unit Adjustments'!F:F,'Step 2'!D2426)</f>
        <v>0</v>
      </c>
      <c r="K2426" s="126">
        <f t="shared" si="707"/>
        <v>1.421E-3</v>
      </c>
      <c r="L2426" s="174">
        <f>VLOOKUP(A2426,'Step 1'!$A:$E,4,FALSE)</f>
        <v>793500</v>
      </c>
      <c r="M2426" s="47">
        <f t="shared" si="708"/>
        <v>1128</v>
      </c>
      <c r="N2426" s="177">
        <f>SUMIFS('Support - Transition'!G:G,'Support - Transition'!J:J,'Step 2'!D2426,'Support - Transition'!E:E,"2009 WELFARE ALLOCATION FACTOR")</f>
        <v>0</v>
      </c>
      <c r="O2426" s="152">
        <f t="shared" si="713"/>
        <v>0</v>
      </c>
      <c r="P2426" s="126">
        <f>IF(E2426="Y",0,SUMIFS('Support - Transition'!G:G,'Support - Transition'!J:J,'Step 2'!D2426,'Support - Transition'!E:E,"2009 SCHOOL ALLOCATION FACTOR"))</f>
        <v>0</v>
      </c>
      <c r="Q2426" s="126">
        <f>IF(E2426="Y",VLOOKUP(D2426,'Support - Unit Adjustments'!F:G,2,FALSE),0)</f>
        <v>0</v>
      </c>
      <c r="R2426" s="155">
        <f t="shared" si="725"/>
        <v>0</v>
      </c>
      <c r="S2426" s="47">
        <f t="shared" si="724"/>
        <v>0</v>
      </c>
      <c r="T2426" s="151">
        <f t="shared" si="709"/>
        <v>1128</v>
      </c>
      <c r="U2426" s="151">
        <f t="shared" si="710"/>
        <v>0</v>
      </c>
      <c r="V2426" s="139">
        <f t="shared" si="711"/>
        <v>0</v>
      </c>
      <c r="W2426" s="152">
        <f t="shared" si="714"/>
        <v>1128</v>
      </c>
      <c r="X2426" s="127" t="str">
        <f t="shared" si="712"/>
        <v/>
      </c>
      <c r="Y2426" s="207">
        <f t="shared" si="715"/>
        <v>1128</v>
      </c>
      <c r="Z2426" s="139">
        <f t="shared" si="716"/>
        <v>420</v>
      </c>
      <c r="AA2426" s="139">
        <f t="shared" si="717"/>
        <v>708</v>
      </c>
      <c r="AC2426" s="47">
        <f t="shared" si="718"/>
        <v>564</v>
      </c>
      <c r="AD2426" s="47">
        <f t="shared" si="719"/>
        <v>210</v>
      </c>
      <c r="AE2426" s="47">
        <f t="shared" si="720"/>
        <v>354</v>
      </c>
      <c r="AG2426" s="47">
        <f t="shared" si="721"/>
        <v>564</v>
      </c>
      <c r="AH2426" s="47">
        <f t="shared" si="722"/>
        <v>210</v>
      </c>
      <c r="AI2426" s="208">
        <f t="shared" si="723"/>
        <v>354</v>
      </c>
    </row>
    <row r="2427" spans="1:35">
      <c r="A2427" t="s">
        <v>2168</v>
      </c>
      <c r="B2427" t="s">
        <v>3142</v>
      </c>
      <c r="C2427" t="s">
        <v>2195</v>
      </c>
      <c r="D2427" t="s">
        <v>5975</v>
      </c>
      <c r="F2427" t="s">
        <v>1731</v>
      </c>
      <c r="G2427" s="126">
        <f>SUMIFS('Support - Transition'!F:F,'Support - Transition'!B:B,'Step 2'!A2427,'Support - Transition'!C:C,'Step 2'!B2427,'Support - Transition'!D:D,'Step 2'!C2427,'Support - Transition'!E:E,"CIVIL")</f>
        <v>4.44E-4</v>
      </c>
      <c r="H2427" s="126">
        <f>SUMIFS('Support - Transition'!F:F,'Support - Transition'!B:B,'Step 2'!A2427,'Support - Transition'!C:C,'Step 2'!B2427,'Support - Transition'!D:D,'Step 2'!C2427,'Support - Transition'!E:E,"FIRE")</f>
        <v>1.92E-4</v>
      </c>
      <c r="I2427" s="126">
        <f>IF(B2427="0",SUMIFS('Support - Transition'!F:F,'Support - Transition'!J:J,'Step 2'!D2427,'Support - Transition'!E:E,"STATE UNIT"),SUMIFS('Support - Transition'!F:F,'Support - Transition'!J:J,'Step 2'!D2427))</f>
        <v>6.3600000000000006E-4</v>
      </c>
      <c r="J2427" s="126">
        <f>SUMIFS('Support - Unit Adjustments'!E:E,'Support - Unit Adjustments'!F:F,'Step 2'!D2427)</f>
        <v>0</v>
      </c>
      <c r="K2427" s="126">
        <f t="shared" si="707"/>
        <v>6.3600000000000006E-4</v>
      </c>
      <c r="L2427" s="174">
        <f>VLOOKUP(A2427,'Step 1'!$A:$E,4,FALSE)</f>
        <v>793500</v>
      </c>
      <c r="M2427" s="47">
        <f t="shared" si="708"/>
        <v>505</v>
      </c>
      <c r="N2427" s="177">
        <f>SUMIFS('Support - Transition'!G:G,'Support - Transition'!J:J,'Step 2'!D2427,'Support - Transition'!E:E,"2009 WELFARE ALLOCATION FACTOR")</f>
        <v>0</v>
      </c>
      <c r="O2427" s="152">
        <f t="shared" si="713"/>
        <v>0</v>
      </c>
      <c r="P2427" s="126">
        <f>IF(E2427="Y",0,SUMIFS('Support - Transition'!G:G,'Support - Transition'!J:J,'Step 2'!D2427,'Support - Transition'!E:E,"2009 SCHOOL ALLOCATION FACTOR"))</f>
        <v>0</v>
      </c>
      <c r="Q2427" s="126">
        <f>IF(E2427="Y",VLOOKUP(D2427,'Support - Unit Adjustments'!F:G,2,FALSE),0)</f>
        <v>0</v>
      </c>
      <c r="R2427" s="155">
        <f t="shared" si="725"/>
        <v>0</v>
      </c>
      <c r="S2427" s="47">
        <f t="shared" si="724"/>
        <v>0</v>
      </c>
      <c r="T2427" s="151">
        <f t="shared" si="709"/>
        <v>505</v>
      </c>
      <c r="U2427" s="151">
        <f t="shared" si="710"/>
        <v>0</v>
      </c>
      <c r="V2427" s="139">
        <f t="shared" si="711"/>
        <v>0</v>
      </c>
      <c r="W2427" s="152">
        <f t="shared" si="714"/>
        <v>505</v>
      </c>
      <c r="X2427" s="127" t="str">
        <f t="shared" si="712"/>
        <v/>
      </c>
      <c r="Y2427" s="207">
        <f t="shared" si="715"/>
        <v>505</v>
      </c>
      <c r="Z2427" s="139">
        <f t="shared" si="716"/>
        <v>353</v>
      </c>
      <c r="AA2427" s="139">
        <f t="shared" si="717"/>
        <v>152</v>
      </c>
      <c r="AC2427" s="47">
        <f t="shared" si="718"/>
        <v>253</v>
      </c>
      <c r="AD2427" s="47">
        <f t="shared" si="719"/>
        <v>177</v>
      </c>
      <c r="AE2427" s="47">
        <f t="shared" si="720"/>
        <v>76</v>
      </c>
      <c r="AG2427" s="47">
        <f t="shared" si="721"/>
        <v>252</v>
      </c>
      <c r="AH2427" s="47">
        <f t="shared" si="722"/>
        <v>176</v>
      </c>
      <c r="AI2427" s="208">
        <f t="shared" si="723"/>
        <v>76</v>
      </c>
    </row>
    <row r="2428" spans="1:35">
      <c r="A2428" t="s">
        <v>2168</v>
      </c>
      <c r="B2428" t="s">
        <v>3142</v>
      </c>
      <c r="C2428" t="s">
        <v>2196</v>
      </c>
      <c r="D2428" t="s">
        <v>5976</v>
      </c>
      <c r="F2428" t="s">
        <v>1732</v>
      </c>
      <c r="G2428" s="126">
        <f>SUMIFS('Support - Transition'!F:F,'Support - Transition'!B:B,'Step 2'!A2428,'Support - Transition'!C:C,'Step 2'!B2428,'Support - Transition'!D:D,'Step 2'!C2428,'Support - Transition'!E:E,"CIVIL")</f>
        <v>1.075E-3</v>
      </c>
      <c r="H2428" s="126">
        <f>SUMIFS('Support - Transition'!F:F,'Support - Transition'!B:B,'Step 2'!A2428,'Support - Transition'!C:C,'Step 2'!B2428,'Support - Transition'!D:D,'Step 2'!C2428,'Support - Transition'!E:E,"FIRE")</f>
        <v>6.0800000000000003E-4</v>
      </c>
      <c r="I2428" s="126">
        <f>IF(B2428="0",SUMIFS('Support - Transition'!F:F,'Support - Transition'!J:J,'Step 2'!D2428,'Support - Transition'!E:E,"STATE UNIT"),SUMIFS('Support - Transition'!F:F,'Support - Transition'!J:J,'Step 2'!D2428))</f>
        <v>1.683E-3</v>
      </c>
      <c r="J2428" s="126">
        <f>SUMIFS('Support - Unit Adjustments'!E:E,'Support - Unit Adjustments'!F:F,'Step 2'!D2428)</f>
        <v>0</v>
      </c>
      <c r="K2428" s="126">
        <f t="shared" si="707"/>
        <v>1.683E-3</v>
      </c>
      <c r="L2428" s="174">
        <f>VLOOKUP(A2428,'Step 1'!$A:$E,4,FALSE)</f>
        <v>793500</v>
      </c>
      <c r="M2428" s="47">
        <f t="shared" si="708"/>
        <v>1335</v>
      </c>
      <c r="N2428" s="177">
        <f>SUMIFS('Support - Transition'!G:G,'Support - Transition'!J:J,'Step 2'!D2428,'Support - Transition'!E:E,"2009 WELFARE ALLOCATION FACTOR")</f>
        <v>0</v>
      </c>
      <c r="O2428" s="152">
        <f t="shared" si="713"/>
        <v>0</v>
      </c>
      <c r="P2428" s="126">
        <f>IF(E2428="Y",0,SUMIFS('Support - Transition'!G:G,'Support - Transition'!J:J,'Step 2'!D2428,'Support - Transition'!E:E,"2009 SCHOOL ALLOCATION FACTOR"))</f>
        <v>0</v>
      </c>
      <c r="Q2428" s="126">
        <f>IF(E2428="Y",VLOOKUP(D2428,'Support - Unit Adjustments'!F:G,2,FALSE),0)</f>
        <v>0</v>
      </c>
      <c r="R2428" s="155">
        <f t="shared" si="725"/>
        <v>0</v>
      </c>
      <c r="S2428" s="47">
        <f t="shared" si="724"/>
        <v>0</v>
      </c>
      <c r="T2428" s="151">
        <f t="shared" si="709"/>
        <v>1335</v>
      </c>
      <c r="U2428" s="151">
        <f t="shared" si="710"/>
        <v>0</v>
      </c>
      <c r="V2428" s="139">
        <f t="shared" si="711"/>
        <v>0</v>
      </c>
      <c r="W2428" s="152">
        <f t="shared" si="714"/>
        <v>1335</v>
      </c>
      <c r="X2428" s="127" t="str">
        <f t="shared" si="712"/>
        <v/>
      </c>
      <c r="Y2428" s="207">
        <f t="shared" si="715"/>
        <v>1335</v>
      </c>
      <c r="Z2428" s="139">
        <f t="shared" si="716"/>
        <v>853</v>
      </c>
      <c r="AA2428" s="139">
        <f t="shared" si="717"/>
        <v>482</v>
      </c>
      <c r="AC2428" s="47">
        <f t="shared" si="718"/>
        <v>668</v>
      </c>
      <c r="AD2428" s="47">
        <f t="shared" si="719"/>
        <v>427</v>
      </c>
      <c r="AE2428" s="47">
        <f t="shared" si="720"/>
        <v>241</v>
      </c>
      <c r="AG2428" s="47">
        <f t="shared" si="721"/>
        <v>667</v>
      </c>
      <c r="AH2428" s="47">
        <f t="shared" si="722"/>
        <v>426</v>
      </c>
      <c r="AI2428" s="208">
        <f t="shared" si="723"/>
        <v>241</v>
      </c>
    </row>
    <row r="2429" spans="1:35">
      <c r="A2429" t="s">
        <v>2168</v>
      </c>
      <c r="B2429" t="s">
        <v>3142</v>
      </c>
      <c r="C2429" t="s">
        <v>2197</v>
      </c>
      <c r="D2429" t="s">
        <v>5977</v>
      </c>
      <c r="F2429" t="s">
        <v>1733</v>
      </c>
      <c r="G2429" s="126">
        <f>SUMIFS('Support - Transition'!F:F,'Support - Transition'!B:B,'Step 2'!A2429,'Support - Transition'!C:C,'Step 2'!B2429,'Support - Transition'!D:D,'Step 2'!C2429,'Support - Transition'!E:E,"CIVIL")</f>
        <v>1.18E-4</v>
      </c>
      <c r="H2429" s="126">
        <f>SUMIFS('Support - Transition'!F:F,'Support - Transition'!B:B,'Step 2'!A2429,'Support - Transition'!C:C,'Step 2'!B2429,'Support - Transition'!D:D,'Step 2'!C2429,'Support - Transition'!E:E,"FIRE")</f>
        <v>0</v>
      </c>
      <c r="I2429" s="126">
        <f>IF(B2429="0",SUMIFS('Support - Transition'!F:F,'Support - Transition'!J:J,'Step 2'!D2429,'Support - Transition'!E:E,"STATE UNIT"),SUMIFS('Support - Transition'!F:F,'Support - Transition'!J:J,'Step 2'!D2429))</f>
        <v>1.18E-4</v>
      </c>
      <c r="J2429" s="126">
        <f>SUMIFS('Support - Unit Adjustments'!E:E,'Support - Unit Adjustments'!F:F,'Step 2'!D2429)</f>
        <v>0</v>
      </c>
      <c r="K2429" s="126">
        <f t="shared" si="707"/>
        <v>1.18E-4</v>
      </c>
      <c r="L2429" s="174">
        <f>VLOOKUP(A2429,'Step 1'!$A:$E,4,FALSE)</f>
        <v>793500</v>
      </c>
      <c r="M2429" s="47">
        <f t="shared" si="708"/>
        <v>94</v>
      </c>
      <c r="N2429" s="177">
        <f>SUMIFS('Support - Transition'!G:G,'Support - Transition'!J:J,'Step 2'!D2429,'Support - Transition'!E:E,"2009 WELFARE ALLOCATION FACTOR")</f>
        <v>0</v>
      </c>
      <c r="O2429" s="152">
        <f t="shared" si="713"/>
        <v>0</v>
      </c>
      <c r="P2429" s="126">
        <f>IF(E2429="Y",0,SUMIFS('Support - Transition'!G:G,'Support - Transition'!J:J,'Step 2'!D2429,'Support - Transition'!E:E,"2009 SCHOOL ALLOCATION FACTOR"))</f>
        <v>0</v>
      </c>
      <c r="Q2429" s="126">
        <f>IF(E2429="Y",VLOOKUP(D2429,'Support - Unit Adjustments'!F:G,2,FALSE),0)</f>
        <v>0</v>
      </c>
      <c r="R2429" s="155">
        <f t="shared" si="725"/>
        <v>0</v>
      </c>
      <c r="S2429" s="47">
        <f t="shared" si="724"/>
        <v>0</v>
      </c>
      <c r="T2429" s="151">
        <f t="shared" si="709"/>
        <v>94</v>
      </c>
      <c r="U2429" s="151">
        <f t="shared" si="710"/>
        <v>0</v>
      </c>
      <c r="V2429" s="139">
        <f t="shared" si="711"/>
        <v>0</v>
      </c>
      <c r="W2429" s="152">
        <f t="shared" si="714"/>
        <v>94</v>
      </c>
      <c r="X2429" s="127" t="str">
        <f t="shared" si="712"/>
        <v/>
      </c>
      <c r="Y2429" s="207">
        <f t="shared" si="715"/>
        <v>94</v>
      </c>
      <c r="Z2429" s="139">
        <f t="shared" si="716"/>
        <v>94</v>
      </c>
      <c r="AA2429" s="139">
        <f t="shared" si="717"/>
        <v>0</v>
      </c>
      <c r="AC2429" s="47">
        <f t="shared" si="718"/>
        <v>47</v>
      </c>
      <c r="AD2429" s="47">
        <f t="shared" si="719"/>
        <v>47</v>
      </c>
      <c r="AE2429" s="47">
        <f t="shared" si="720"/>
        <v>0</v>
      </c>
      <c r="AG2429" s="47">
        <f t="shared" si="721"/>
        <v>47</v>
      </c>
      <c r="AH2429" s="47">
        <f t="shared" si="722"/>
        <v>47</v>
      </c>
      <c r="AI2429" s="208">
        <f t="shared" si="723"/>
        <v>0</v>
      </c>
    </row>
    <row r="2430" spans="1:35">
      <c r="A2430" t="s">
        <v>2168</v>
      </c>
      <c r="B2430" t="s">
        <v>3142</v>
      </c>
      <c r="C2430" t="s">
        <v>2198</v>
      </c>
      <c r="D2430" t="s">
        <v>5978</v>
      </c>
      <c r="F2430" t="s">
        <v>1734</v>
      </c>
      <c r="G2430" s="126">
        <f>SUMIFS('Support - Transition'!F:F,'Support - Transition'!B:B,'Step 2'!A2430,'Support - Transition'!C:C,'Step 2'!B2430,'Support - Transition'!D:D,'Step 2'!C2430,'Support - Transition'!E:E,"CIVIL")</f>
        <v>6.2000000000000003E-5</v>
      </c>
      <c r="H2430" s="126">
        <f>SUMIFS('Support - Transition'!F:F,'Support - Transition'!B:B,'Step 2'!A2430,'Support - Transition'!C:C,'Step 2'!B2430,'Support - Transition'!D:D,'Step 2'!C2430,'Support - Transition'!E:E,"FIRE")</f>
        <v>0</v>
      </c>
      <c r="I2430" s="126">
        <f>IF(B2430="0",SUMIFS('Support - Transition'!F:F,'Support - Transition'!J:J,'Step 2'!D2430,'Support - Transition'!E:E,"STATE UNIT"),SUMIFS('Support - Transition'!F:F,'Support - Transition'!J:J,'Step 2'!D2430))</f>
        <v>6.2000000000000003E-5</v>
      </c>
      <c r="J2430" s="126">
        <f>SUMIFS('Support - Unit Adjustments'!E:E,'Support - Unit Adjustments'!F:F,'Step 2'!D2430)</f>
        <v>0</v>
      </c>
      <c r="K2430" s="126">
        <f t="shared" si="707"/>
        <v>6.2000000000000003E-5</v>
      </c>
      <c r="L2430" s="174">
        <f>VLOOKUP(A2430,'Step 1'!$A:$E,4,FALSE)</f>
        <v>793500</v>
      </c>
      <c r="M2430" s="47">
        <f t="shared" si="708"/>
        <v>49</v>
      </c>
      <c r="N2430" s="177">
        <f>SUMIFS('Support - Transition'!G:G,'Support - Transition'!J:J,'Step 2'!D2430,'Support - Transition'!E:E,"2009 WELFARE ALLOCATION FACTOR")</f>
        <v>0</v>
      </c>
      <c r="O2430" s="152">
        <f t="shared" si="713"/>
        <v>0</v>
      </c>
      <c r="P2430" s="126">
        <f>IF(E2430="Y",0,SUMIFS('Support - Transition'!G:G,'Support - Transition'!J:J,'Step 2'!D2430,'Support - Transition'!E:E,"2009 SCHOOL ALLOCATION FACTOR"))</f>
        <v>0</v>
      </c>
      <c r="Q2430" s="126">
        <f>IF(E2430="Y",VLOOKUP(D2430,'Support - Unit Adjustments'!F:G,2,FALSE),0)</f>
        <v>0</v>
      </c>
      <c r="R2430" s="155">
        <f t="shared" si="725"/>
        <v>0</v>
      </c>
      <c r="S2430" s="47">
        <f t="shared" si="724"/>
        <v>0</v>
      </c>
      <c r="T2430" s="151">
        <f t="shared" si="709"/>
        <v>49</v>
      </c>
      <c r="U2430" s="151">
        <f t="shared" si="710"/>
        <v>0</v>
      </c>
      <c r="V2430" s="139">
        <f t="shared" si="711"/>
        <v>0</v>
      </c>
      <c r="W2430" s="152">
        <f t="shared" si="714"/>
        <v>49</v>
      </c>
      <c r="X2430" s="127" t="str">
        <f t="shared" si="712"/>
        <v/>
      </c>
      <c r="Y2430" s="207">
        <f t="shared" si="715"/>
        <v>49</v>
      </c>
      <c r="Z2430" s="139">
        <f t="shared" si="716"/>
        <v>49</v>
      </c>
      <c r="AA2430" s="139">
        <f t="shared" si="717"/>
        <v>0</v>
      </c>
      <c r="AC2430" s="47">
        <f t="shared" si="718"/>
        <v>25</v>
      </c>
      <c r="AD2430" s="47">
        <f t="shared" si="719"/>
        <v>25</v>
      </c>
      <c r="AE2430" s="47">
        <f t="shared" si="720"/>
        <v>0</v>
      </c>
      <c r="AG2430" s="47">
        <f t="shared" si="721"/>
        <v>24</v>
      </c>
      <c r="AH2430" s="47">
        <f t="shared" si="722"/>
        <v>24</v>
      </c>
      <c r="AI2430" s="208">
        <f t="shared" si="723"/>
        <v>0</v>
      </c>
    </row>
    <row r="2431" spans="1:35">
      <c r="A2431" t="s">
        <v>2168</v>
      </c>
      <c r="B2431" t="s">
        <v>3142</v>
      </c>
      <c r="C2431" t="s">
        <v>2199</v>
      </c>
      <c r="D2431" t="s">
        <v>5979</v>
      </c>
      <c r="F2431" t="s">
        <v>149</v>
      </c>
      <c r="G2431" s="126">
        <f>SUMIFS('Support - Transition'!F:F,'Support - Transition'!B:B,'Step 2'!A2431,'Support - Transition'!C:C,'Step 2'!B2431,'Support - Transition'!D:D,'Step 2'!C2431,'Support - Transition'!E:E,"CIVIL")</f>
        <v>1.771E-3</v>
      </c>
      <c r="H2431" s="126">
        <f>SUMIFS('Support - Transition'!F:F,'Support - Transition'!B:B,'Step 2'!A2431,'Support - Transition'!C:C,'Step 2'!B2431,'Support - Transition'!D:D,'Step 2'!C2431,'Support - Transition'!E:E,"FIRE")</f>
        <v>0</v>
      </c>
      <c r="I2431" s="126">
        <f>IF(B2431="0",SUMIFS('Support - Transition'!F:F,'Support - Transition'!J:J,'Step 2'!D2431,'Support - Transition'!E:E,"STATE UNIT"),SUMIFS('Support - Transition'!F:F,'Support - Transition'!J:J,'Step 2'!D2431))</f>
        <v>1.771E-3</v>
      </c>
      <c r="J2431" s="126">
        <f>SUMIFS('Support - Unit Adjustments'!E:E,'Support - Unit Adjustments'!F:F,'Step 2'!D2431)</f>
        <v>0</v>
      </c>
      <c r="K2431" s="126">
        <f t="shared" si="707"/>
        <v>1.771E-3</v>
      </c>
      <c r="L2431" s="174">
        <f>VLOOKUP(A2431,'Step 1'!$A:$E,4,FALSE)</f>
        <v>793500</v>
      </c>
      <c r="M2431" s="47">
        <f t="shared" si="708"/>
        <v>1405</v>
      </c>
      <c r="N2431" s="177">
        <f>SUMIFS('Support - Transition'!G:G,'Support - Transition'!J:J,'Step 2'!D2431,'Support - Transition'!E:E,"2009 WELFARE ALLOCATION FACTOR")</f>
        <v>0</v>
      </c>
      <c r="O2431" s="152">
        <f t="shared" si="713"/>
        <v>0</v>
      </c>
      <c r="P2431" s="126">
        <f>IF(E2431="Y",0,SUMIFS('Support - Transition'!G:G,'Support - Transition'!J:J,'Step 2'!D2431,'Support - Transition'!E:E,"2009 SCHOOL ALLOCATION FACTOR"))</f>
        <v>0</v>
      </c>
      <c r="Q2431" s="126">
        <f>IF(E2431="Y",VLOOKUP(D2431,'Support - Unit Adjustments'!F:G,2,FALSE),0)</f>
        <v>0</v>
      </c>
      <c r="R2431" s="155">
        <f t="shared" si="725"/>
        <v>0</v>
      </c>
      <c r="S2431" s="47">
        <f t="shared" si="724"/>
        <v>0</v>
      </c>
      <c r="T2431" s="151">
        <f t="shared" si="709"/>
        <v>1405</v>
      </c>
      <c r="U2431" s="151">
        <f t="shared" si="710"/>
        <v>0</v>
      </c>
      <c r="V2431" s="139">
        <f t="shared" si="711"/>
        <v>0</v>
      </c>
      <c r="W2431" s="152">
        <f t="shared" si="714"/>
        <v>1405</v>
      </c>
      <c r="X2431" s="127" t="str">
        <f t="shared" si="712"/>
        <v/>
      </c>
      <c r="Y2431" s="207">
        <f t="shared" si="715"/>
        <v>1405</v>
      </c>
      <c r="Z2431" s="139">
        <f t="shared" si="716"/>
        <v>1405</v>
      </c>
      <c r="AA2431" s="139">
        <f t="shared" si="717"/>
        <v>0</v>
      </c>
      <c r="AC2431" s="47">
        <f t="shared" si="718"/>
        <v>703</v>
      </c>
      <c r="AD2431" s="47">
        <f t="shared" si="719"/>
        <v>703</v>
      </c>
      <c r="AE2431" s="47">
        <f t="shared" si="720"/>
        <v>0</v>
      </c>
      <c r="AG2431" s="47">
        <f t="shared" si="721"/>
        <v>702</v>
      </c>
      <c r="AH2431" s="47">
        <f t="shared" si="722"/>
        <v>702</v>
      </c>
      <c r="AI2431" s="208">
        <f t="shared" si="723"/>
        <v>0</v>
      </c>
    </row>
    <row r="2432" spans="1:35">
      <c r="A2432" t="s">
        <v>2168</v>
      </c>
      <c r="B2432" t="s">
        <v>3155</v>
      </c>
      <c r="C2432" t="s">
        <v>2256</v>
      </c>
      <c r="D2432" t="s">
        <v>5980</v>
      </c>
      <c r="F2432" t="s">
        <v>1737</v>
      </c>
      <c r="G2432" s="126">
        <f>SUMIFS('Support - Transition'!F:F,'Support - Transition'!B:B,'Step 2'!A2432,'Support - Transition'!C:C,'Step 2'!B2432,'Support - Transition'!D:D,'Step 2'!C2432,'Support - Transition'!E:E,"CIVIL")</f>
        <v>0</v>
      </c>
      <c r="H2432" s="126">
        <f>SUMIFS('Support - Transition'!F:F,'Support - Transition'!B:B,'Step 2'!A2432,'Support - Transition'!C:C,'Step 2'!B2432,'Support - Transition'!D:D,'Step 2'!C2432,'Support - Transition'!E:E,"FIRE")</f>
        <v>0</v>
      </c>
      <c r="I2432" s="126">
        <f>IF(B2432="0",SUMIFS('Support - Transition'!F:F,'Support - Transition'!J:J,'Step 2'!D2432,'Support - Transition'!E:E,"STATE UNIT"),SUMIFS('Support - Transition'!F:F,'Support - Transition'!J:J,'Step 2'!D2432))</f>
        <v>0.20457900000000001</v>
      </c>
      <c r="J2432" s="126">
        <f>SUMIFS('Support - Unit Adjustments'!E:E,'Support - Unit Adjustments'!F:F,'Step 2'!D2432)</f>
        <v>0</v>
      </c>
      <c r="K2432" s="126">
        <f t="shared" si="707"/>
        <v>0.20457900000000001</v>
      </c>
      <c r="L2432" s="174">
        <f>VLOOKUP(A2432,'Step 1'!$A:$E,4,FALSE)</f>
        <v>793500</v>
      </c>
      <c r="M2432" s="47">
        <f t="shared" si="708"/>
        <v>162333</v>
      </c>
      <c r="N2432" s="177">
        <f>SUMIFS('Support - Transition'!G:G,'Support - Transition'!J:J,'Step 2'!D2432,'Support - Transition'!E:E,"2009 WELFARE ALLOCATION FACTOR")</f>
        <v>0</v>
      </c>
      <c r="O2432" s="152">
        <f t="shared" si="713"/>
        <v>0</v>
      </c>
      <c r="P2432" s="126">
        <f>IF(E2432="Y",0,SUMIFS('Support - Transition'!G:G,'Support - Transition'!J:J,'Step 2'!D2432,'Support - Transition'!E:E,"2009 SCHOOL ALLOCATION FACTOR"))</f>
        <v>0</v>
      </c>
      <c r="Q2432" s="126">
        <f>IF(E2432="Y",VLOOKUP(D2432,'Support - Unit Adjustments'!F:G,2,FALSE),0)</f>
        <v>0</v>
      </c>
      <c r="R2432" s="155">
        <f t="shared" si="725"/>
        <v>0</v>
      </c>
      <c r="S2432" s="47">
        <f t="shared" si="724"/>
        <v>0</v>
      </c>
      <c r="T2432" s="151">
        <f t="shared" si="709"/>
        <v>162333</v>
      </c>
      <c r="U2432" s="151">
        <f t="shared" si="710"/>
        <v>0</v>
      </c>
      <c r="V2432" s="139">
        <f t="shared" si="711"/>
        <v>0</v>
      </c>
      <c r="W2432" s="152">
        <f t="shared" si="714"/>
        <v>162333</v>
      </c>
      <c r="X2432" s="127" t="str">
        <f t="shared" si="712"/>
        <v/>
      </c>
      <c r="Y2432" s="207">
        <f t="shared" si="715"/>
        <v>162333</v>
      </c>
      <c r="Z2432" s="139">
        <f t="shared" si="716"/>
        <v>162333</v>
      </c>
      <c r="AA2432" s="139">
        <f t="shared" si="717"/>
        <v>0</v>
      </c>
      <c r="AC2432" s="47">
        <f t="shared" si="718"/>
        <v>81167</v>
      </c>
      <c r="AD2432" s="47">
        <f t="shared" si="719"/>
        <v>81167</v>
      </c>
      <c r="AE2432" s="47">
        <f t="shared" si="720"/>
        <v>0</v>
      </c>
      <c r="AG2432" s="47">
        <f t="shared" si="721"/>
        <v>81166</v>
      </c>
      <c r="AH2432" s="47">
        <f t="shared" si="722"/>
        <v>81166</v>
      </c>
      <c r="AI2432" s="208">
        <f t="shared" si="723"/>
        <v>0</v>
      </c>
    </row>
    <row r="2433" spans="1:35">
      <c r="A2433" t="s">
        <v>2168</v>
      </c>
      <c r="B2433" t="s">
        <v>3155</v>
      </c>
      <c r="C2433" t="s">
        <v>3062</v>
      </c>
      <c r="D2433" t="s">
        <v>5981</v>
      </c>
      <c r="F2433" t="s">
        <v>1735</v>
      </c>
      <c r="G2433" s="126">
        <f>SUMIFS('Support - Transition'!F:F,'Support - Transition'!B:B,'Step 2'!A2433,'Support - Transition'!C:C,'Step 2'!B2433,'Support - Transition'!D:D,'Step 2'!C2433,'Support - Transition'!E:E,"CIVIL")</f>
        <v>0</v>
      </c>
      <c r="H2433" s="126">
        <f>SUMIFS('Support - Transition'!F:F,'Support - Transition'!B:B,'Step 2'!A2433,'Support - Transition'!C:C,'Step 2'!B2433,'Support - Transition'!D:D,'Step 2'!C2433,'Support - Transition'!E:E,"FIRE")</f>
        <v>0</v>
      </c>
      <c r="I2433" s="126">
        <f>IF(B2433="0",SUMIFS('Support - Transition'!F:F,'Support - Transition'!J:J,'Step 2'!D2433,'Support - Transition'!E:E,"STATE UNIT"),SUMIFS('Support - Transition'!F:F,'Support - Transition'!J:J,'Step 2'!D2433))</f>
        <v>9.9999999999999995E-7</v>
      </c>
      <c r="J2433" s="126">
        <f>SUMIFS('Support - Unit Adjustments'!E:E,'Support - Unit Adjustments'!F:F,'Step 2'!D2433)</f>
        <v>0</v>
      </c>
      <c r="K2433" s="126">
        <f t="shared" si="707"/>
        <v>9.9999999999999995E-7</v>
      </c>
      <c r="L2433" s="174">
        <f>VLOOKUP(A2433,'Step 1'!$A:$E,4,FALSE)</f>
        <v>793500</v>
      </c>
      <c r="M2433" s="47">
        <f t="shared" si="708"/>
        <v>1</v>
      </c>
      <c r="N2433" s="177">
        <f>SUMIFS('Support - Transition'!G:G,'Support - Transition'!J:J,'Step 2'!D2433,'Support - Transition'!E:E,"2009 WELFARE ALLOCATION FACTOR")</f>
        <v>0</v>
      </c>
      <c r="O2433" s="152">
        <f t="shared" si="713"/>
        <v>0</v>
      </c>
      <c r="P2433" s="126">
        <f>IF(E2433="Y",0,SUMIFS('Support - Transition'!G:G,'Support - Transition'!J:J,'Step 2'!D2433,'Support - Transition'!E:E,"2009 SCHOOL ALLOCATION FACTOR"))</f>
        <v>0</v>
      </c>
      <c r="Q2433" s="126">
        <f>IF(E2433="Y",VLOOKUP(D2433,'Support - Unit Adjustments'!F:G,2,FALSE),0)</f>
        <v>0</v>
      </c>
      <c r="R2433" s="155">
        <f t="shared" si="725"/>
        <v>0</v>
      </c>
      <c r="S2433" s="47">
        <f t="shared" si="724"/>
        <v>0</v>
      </c>
      <c r="T2433" s="151">
        <f t="shared" si="709"/>
        <v>1</v>
      </c>
      <c r="U2433" s="151">
        <f t="shared" si="710"/>
        <v>0</v>
      </c>
      <c r="V2433" s="139">
        <f t="shared" si="711"/>
        <v>0</v>
      </c>
      <c r="W2433" s="152">
        <f t="shared" si="714"/>
        <v>1</v>
      </c>
      <c r="X2433" s="127" t="str">
        <f t="shared" si="712"/>
        <v/>
      </c>
      <c r="Y2433" s="207">
        <f t="shared" si="715"/>
        <v>1</v>
      </c>
      <c r="Z2433" s="139">
        <f t="shared" si="716"/>
        <v>1</v>
      </c>
      <c r="AA2433" s="139">
        <f t="shared" si="717"/>
        <v>0</v>
      </c>
      <c r="AC2433" s="47">
        <f t="shared" si="718"/>
        <v>1</v>
      </c>
      <c r="AD2433" s="47">
        <f t="shared" si="719"/>
        <v>1</v>
      </c>
      <c r="AE2433" s="47">
        <f t="shared" si="720"/>
        <v>0</v>
      </c>
      <c r="AG2433" s="47">
        <f t="shared" si="721"/>
        <v>0</v>
      </c>
      <c r="AH2433" s="47">
        <f t="shared" si="722"/>
        <v>0</v>
      </c>
      <c r="AI2433" s="208">
        <f t="shared" si="723"/>
        <v>0</v>
      </c>
    </row>
    <row r="2434" spans="1:35">
      <c r="A2434" t="s">
        <v>2168</v>
      </c>
      <c r="B2434" t="s">
        <v>3155</v>
      </c>
      <c r="C2434" t="s">
        <v>3063</v>
      </c>
      <c r="D2434" t="s">
        <v>5982</v>
      </c>
      <c r="F2434" t="s">
        <v>1736</v>
      </c>
      <c r="G2434" s="126">
        <f>SUMIFS('Support - Transition'!F:F,'Support - Transition'!B:B,'Step 2'!A2434,'Support - Transition'!C:C,'Step 2'!B2434,'Support - Transition'!D:D,'Step 2'!C2434,'Support - Transition'!E:E,"CIVIL")</f>
        <v>0</v>
      </c>
      <c r="H2434" s="126">
        <f>SUMIFS('Support - Transition'!F:F,'Support - Transition'!B:B,'Step 2'!A2434,'Support - Transition'!C:C,'Step 2'!B2434,'Support - Transition'!D:D,'Step 2'!C2434,'Support - Transition'!E:E,"FIRE")</f>
        <v>0</v>
      </c>
      <c r="I2434" s="126">
        <f>IF(B2434="0",SUMIFS('Support - Transition'!F:F,'Support - Transition'!J:J,'Step 2'!D2434,'Support - Transition'!E:E,"STATE UNIT"),SUMIFS('Support - Transition'!F:F,'Support - Transition'!J:J,'Step 2'!D2434))</f>
        <v>9.5000000000000005E-5</v>
      </c>
      <c r="J2434" s="126">
        <f>SUMIFS('Support - Unit Adjustments'!E:E,'Support - Unit Adjustments'!F:F,'Step 2'!D2434)</f>
        <v>0</v>
      </c>
      <c r="K2434" s="126">
        <f t="shared" ref="K2434:K2497" si="726">+I2434+J2434</f>
        <v>9.5000000000000005E-5</v>
      </c>
      <c r="L2434" s="174">
        <f>VLOOKUP(A2434,'Step 1'!$A:$E,4,FALSE)</f>
        <v>793500</v>
      </c>
      <c r="M2434" s="47">
        <f t="shared" ref="M2434:M2497" si="727">ROUND(+K2434*L2434,0)</f>
        <v>75</v>
      </c>
      <c r="N2434" s="177">
        <f>SUMIFS('Support - Transition'!G:G,'Support - Transition'!J:J,'Step 2'!D2434,'Support - Transition'!E:E,"2009 WELFARE ALLOCATION FACTOR")</f>
        <v>0</v>
      </c>
      <c r="O2434" s="152">
        <f t="shared" si="713"/>
        <v>0</v>
      </c>
      <c r="P2434" s="126">
        <f>IF(E2434="Y",0,SUMIFS('Support - Transition'!G:G,'Support - Transition'!J:J,'Step 2'!D2434,'Support - Transition'!E:E,"2009 SCHOOL ALLOCATION FACTOR"))</f>
        <v>0</v>
      </c>
      <c r="Q2434" s="126">
        <f>IF(E2434="Y",VLOOKUP(D2434,'Support - Unit Adjustments'!F:G,2,FALSE),0)</f>
        <v>0</v>
      </c>
      <c r="R2434" s="155">
        <f t="shared" si="725"/>
        <v>0</v>
      </c>
      <c r="S2434" s="47">
        <f t="shared" si="724"/>
        <v>0</v>
      </c>
      <c r="T2434" s="151">
        <f t="shared" ref="T2434:T2497" si="728">ROUND(+M2434-O2434-S2434,2)</f>
        <v>75</v>
      </c>
      <c r="U2434" s="151">
        <f t="shared" ref="U2434:U2497" si="729">IF(B2434="0",SUMIFS(O:O,A:A,A2434)+SUMIFS(S:S,A:A,A2434)+SUMIFS(T:T,A:A,A2434),0)</f>
        <v>0</v>
      </c>
      <c r="V2434" s="139">
        <f t="shared" ref="V2434:V2497" si="730">IF(B2434="0",U2434-L2434,0)</f>
        <v>0</v>
      </c>
      <c r="W2434" s="152">
        <f t="shared" si="714"/>
        <v>75</v>
      </c>
      <c r="X2434" s="127" t="str">
        <f t="shared" ref="X2434:X2497" si="731">IF(B2434="0",SUMIFS(O:O,A:A,A2434)+SUMIFS(S:S,A:A,A2434)+SUMIFS(W:W,A:A,A2434)-L2434,"")</f>
        <v/>
      </c>
      <c r="Y2434" s="207">
        <f t="shared" si="715"/>
        <v>75</v>
      </c>
      <c r="Z2434" s="139">
        <f t="shared" si="716"/>
        <v>75</v>
      </c>
      <c r="AA2434" s="139">
        <f t="shared" si="717"/>
        <v>0</v>
      </c>
      <c r="AC2434" s="47">
        <f t="shared" si="718"/>
        <v>38</v>
      </c>
      <c r="AD2434" s="47">
        <f t="shared" si="719"/>
        <v>38</v>
      </c>
      <c r="AE2434" s="47">
        <f t="shared" si="720"/>
        <v>0</v>
      </c>
      <c r="AG2434" s="47">
        <f t="shared" si="721"/>
        <v>37</v>
      </c>
      <c r="AH2434" s="47">
        <f t="shared" si="722"/>
        <v>37</v>
      </c>
      <c r="AI2434" s="208">
        <f t="shared" si="723"/>
        <v>0</v>
      </c>
    </row>
    <row r="2435" spans="1:35">
      <c r="A2435" t="s">
        <v>2168</v>
      </c>
      <c r="B2435" t="s">
        <v>3155</v>
      </c>
      <c r="C2435" t="s">
        <v>3064</v>
      </c>
      <c r="D2435" t="s">
        <v>5983</v>
      </c>
      <c r="F2435" t="s">
        <v>1738</v>
      </c>
      <c r="G2435" s="126">
        <f>SUMIFS('Support - Transition'!F:F,'Support - Transition'!B:B,'Step 2'!A2435,'Support - Transition'!C:C,'Step 2'!B2435,'Support - Transition'!D:D,'Step 2'!C2435,'Support - Transition'!E:E,"CIVIL")</f>
        <v>0</v>
      </c>
      <c r="H2435" s="126">
        <f>SUMIFS('Support - Transition'!F:F,'Support - Transition'!B:B,'Step 2'!A2435,'Support - Transition'!C:C,'Step 2'!B2435,'Support - Transition'!D:D,'Step 2'!C2435,'Support - Transition'!E:E,"FIRE")</f>
        <v>0</v>
      </c>
      <c r="I2435" s="126">
        <f>IF(B2435="0",SUMIFS('Support - Transition'!F:F,'Support - Transition'!J:J,'Step 2'!D2435,'Support - Transition'!E:E,"STATE UNIT"),SUMIFS('Support - Transition'!F:F,'Support - Transition'!J:J,'Step 2'!D2435))</f>
        <v>5.1120000000000002E-3</v>
      </c>
      <c r="J2435" s="126">
        <f>SUMIFS('Support - Unit Adjustments'!E:E,'Support - Unit Adjustments'!F:F,'Step 2'!D2435)</f>
        <v>0</v>
      </c>
      <c r="K2435" s="126">
        <f t="shared" si="726"/>
        <v>5.1120000000000002E-3</v>
      </c>
      <c r="L2435" s="174">
        <f>VLOOKUP(A2435,'Step 1'!$A:$E,4,FALSE)</f>
        <v>793500</v>
      </c>
      <c r="M2435" s="47">
        <f t="shared" si="727"/>
        <v>4056</v>
      </c>
      <c r="N2435" s="177">
        <f>SUMIFS('Support - Transition'!G:G,'Support - Transition'!J:J,'Step 2'!D2435,'Support - Transition'!E:E,"2009 WELFARE ALLOCATION FACTOR")</f>
        <v>0</v>
      </c>
      <c r="O2435" s="152">
        <f t="shared" ref="O2435:O2498" si="732">ROUND(+N2435*M2435,0)</f>
        <v>0</v>
      </c>
      <c r="P2435" s="126">
        <f>IF(E2435="Y",0,SUMIFS('Support - Transition'!G:G,'Support - Transition'!J:J,'Step 2'!D2435,'Support - Transition'!E:E,"2009 SCHOOL ALLOCATION FACTOR"))</f>
        <v>0</v>
      </c>
      <c r="Q2435" s="126">
        <f>IF(E2435="Y",VLOOKUP(D2435,'Support - Unit Adjustments'!F:G,2,FALSE),0)</f>
        <v>0</v>
      </c>
      <c r="R2435" s="155">
        <f t="shared" si="725"/>
        <v>0</v>
      </c>
      <c r="S2435" s="47">
        <f t="shared" si="724"/>
        <v>0</v>
      </c>
      <c r="T2435" s="151">
        <f t="shared" si="728"/>
        <v>4056</v>
      </c>
      <c r="U2435" s="151">
        <f t="shared" si="729"/>
        <v>0</v>
      </c>
      <c r="V2435" s="139">
        <f t="shared" si="730"/>
        <v>0</v>
      </c>
      <c r="W2435" s="152">
        <f t="shared" ref="W2435:W2498" si="733">+T2435-V2435</f>
        <v>4056</v>
      </c>
      <c r="X2435" s="127" t="str">
        <f t="shared" si="731"/>
        <v/>
      </c>
      <c r="Y2435" s="207">
        <f t="shared" ref="Y2435:Y2498" si="734">W2435</f>
        <v>4056</v>
      </c>
      <c r="Z2435" s="139">
        <f t="shared" ref="Z2435:Z2498" si="735">IFERROR(IF(B2435="2",ROUND(Y2435*G2435/I2435,0),Y2435),0)</f>
        <v>4056</v>
      </c>
      <c r="AA2435" s="139">
        <f t="shared" ref="AA2435:AA2498" si="736">+Y2435-Z2435</f>
        <v>0</v>
      </c>
      <c r="AC2435" s="47">
        <f t="shared" ref="AC2435:AC2498" si="737">ROUND(Y2435/2,0)</f>
        <v>2028</v>
      </c>
      <c r="AD2435" s="47">
        <f t="shared" ref="AD2435:AD2498" si="738">ROUND(Z2435/2,0)</f>
        <v>2028</v>
      </c>
      <c r="AE2435" s="47">
        <f t="shared" ref="AE2435:AE2498" si="739">ROUND(AA2435/2,0)</f>
        <v>0</v>
      </c>
      <c r="AG2435" s="47">
        <f t="shared" ref="AG2435:AG2498" si="740">+Y2435-AC2435</f>
        <v>2028</v>
      </c>
      <c r="AH2435" s="47">
        <f t="shared" ref="AH2435:AH2498" si="741">+Z2435-AD2435</f>
        <v>2028</v>
      </c>
      <c r="AI2435" s="208">
        <f t="shared" ref="AI2435:AI2498" si="742">+AA2435-AE2435</f>
        <v>0</v>
      </c>
    </row>
    <row r="2436" spans="1:35">
      <c r="A2436" t="s">
        <v>2168</v>
      </c>
      <c r="B2436" t="s">
        <v>3160</v>
      </c>
      <c r="C2436" t="s">
        <v>3065</v>
      </c>
      <c r="D2436" t="s">
        <v>5984</v>
      </c>
      <c r="F2436" t="s">
        <v>1739</v>
      </c>
      <c r="G2436" s="126">
        <f>SUMIFS('Support - Transition'!F:F,'Support - Transition'!B:B,'Step 2'!A2436,'Support - Transition'!C:C,'Step 2'!B2436,'Support - Transition'!D:D,'Step 2'!C2436,'Support - Transition'!E:E,"CIVIL")</f>
        <v>0</v>
      </c>
      <c r="H2436" s="126">
        <f>SUMIFS('Support - Transition'!F:F,'Support - Transition'!B:B,'Step 2'!A2436,'Support - Transition'!C:C,'Step 2'!B2436,'Support - Transition'!D:D,'Step 2'!C2436,'Support - Transition'!E:E,"FIRE")</f>
        <v>0</v>
      </c>
      <c r="I2436" s="126">
        <f>IF(B2436="0",SUMIFS('Support - Transition'!F:F,'Support - Transition'!J:J,'Step 2'!D2436,'Support - Transition'!E:E,"STATE UNIT"),SUMIFS('Support - Transition'!F:F,'Support - Transition'!J:J,'Step 2'!D2436))</f>
        <v>0.47371200000000002</v>
      </c>
      <c r="J2436" s="126">
        <f>SUMIFS('Support - Unit Adjustments'!E:E,'Support - Unit Adjustments'!F:F,'Step 2'!D2436)</f>
        <v>0</v>
      </c>
      <c r="K2436" s="126">
        <f t="shared" si="726"/>
        <v>0.47371200000000002</v>
      </c>
      <c r="L2436" s="174">
        <f>VLOOKUP(A2436,'Step 1'!$A:$E,4,FALSE)</f>
        <v>793500</v>
      </c>
      <c r="M2436" s="47">
        <f t="shared" si="727"/>
        <v>375890</v>
      </c>
      <c r="N2436" s="177">
        <f>SUMIFS('Support - Transition'!G:G,'Support - Transition'!J:J,'Step 2'!D2436,'Support - Transition'!E:E,"2009 WELFARE ALLOCATION FACTOR")</f>
        <v>0</v>
      </c>
      <c r="O2436" s="152">
        <f t="shared" si="732"/>
        <v>0</v>
      </c>
      <c r="P2436" s="126">
        <f>IF(E2436="Y",0,SUMIFS('Support - Transition'!G:G,'Support - Transition'!J:J,'Step 2'!D2436,'Support - Transition'!E:E,"2009 SCHOOL ALLOCATION FACTOR"))</f>
        <v>0.47839900000000002</v>
      </c>
      <c r="Q2436" s="126">
        <f>IF(E2436="Y",VLOOKUP(D2436,'Support - Unit Adjustments'!F:G,2,FALSE),0)</f>
        <v>0</v>
      </c>
      <c r="R2436" s="155">
        <f t="shared" si="725"/>
        <v>0.47839900000000002</v>
      </c>
      <c r="S2436" s="47">
        <f t="shared" si="724"/>
        <v>179825</v>
      </c>
      <c r="T2436" s="151">
        <f t="shared" si="728"/>
        <v>196065</v>
      </c>
      <c r="U2436" s="151">
        <f t="shared" si="729"/>
        <v>0</v>
      </c>
      <c r="V2436" s="139">
        <f t="shared" si="730"/>
        <v>0</v>
      </c>
      <c r="W2436" s="152">
        <f t="shared" si="733"/>
        <v>196065</v>
      </c>
      <c r="X2436" s="127" t="str">
        <f t="shared" si="731"/>
        <v/>
      </c>
      <c r="Y2436" s="207">
        <f t="shared" si="734"/>
        <v>196065</v>
      </c>
      <c r="Z2436" s="139">
        <f t="shared" si="735"/>
        <v>196065</v>
      </c>
      <c r="AA2436" s="139">
        <f t="shared" si="736"/>
        <v>0</v>
      </c>
      <c r="AC2436" s="47">
        <f t="shared" si="737"/>
        <v>98033</v>
      </c>
      <c r="AD2436" s="47">
        <f t="shared" si="738"/>
        <v>98033</v>
      </c>
      <c r="AE2436" s="47">
        <f t="shared" si="739"/>
        <v>0</v>
      </c>
      <c r="AG2436" s="47">
        <f t="shared" si="740"/>
        <v>98032</v>
      </c>
      <c r="AH2436" s="47">
        <f t="shared" si="741"/>
        <v>98032</v>
      </c>
      <c r="AI2436" s="208">
        <f t="shared" si="742"/>
        <v>0</v>
      </c>
    </row>
    <row r="2437" spans="1:35">
      <c r="A2437" t="s">
        <v>2168</v>
      </c>
      <c r="B2437" t="s">
        <v>3166</v>
      </c>
      <c r="C2437" t="s">
        <v>5985</v>
      </c>
      <c r="D2437" t="s">
        <v>5986</v>
      </c>
      <c r="F2437" t="s">
        <v>1740</v>
      </c>
      <c r="G2437" s="126">
        <f>SUMIFS('Support - Transition'!F:F,'Support - Transition'!B:B,'Step 2'!A2437,'Support - Transition'!C:C,'Step 2'!B2437,'Support - Transition'!D:D,'Step 2'!C2437,'Support - Transition'!E:E,"CIVIL")</f>
        <v>0</v>
      </c>
      <c r="H2437" s="126">
        <f>SUMIFS('Support - Transition'!F:F,'Support - Transition'!B:B,'Step 2'!A2437,'Support - Transition'!C:C,'Step 2'!B2437,'Support - Transition'!D:D,'Step 2'!C2437,'Support - Transition'!E:E,"FIRE")</f>
        <v>0</v>
      </c>
      <c r="I2437" s="126">
        <f>IF(B2437="0",SUMIFS('Support - Transition'!F:F,'Support - Transition'!J:J,'Step 2'!D2437,'Support - Transition'!E:E,"STATE UNIT"),SUMIFS('Support - Transition'!F:F,'Support - Transition'!J:J,'Step 2'!D2437))</f>
        <v>4.0315999999999998E-2</v>
      </c>
      <c r="J2437" s="126">
        <f>SUMIFS('Support - Unit Adjustments'!E:E,'Support - Unit Adjustments'!F:F,'Step 2'!D2437)</f>
        <v>0</v>
      </c>
      <c r="K2437" s="126">
        <f t="shared" si="726"/>
        <v>4.0315999999999998E-2</v>
      </c>
      <c r="L2437" s="174">
        <f>VLOOKUP(A2437,'Step 1'!$A:$E,4,FALSE)</f>
        <v>793500</v>
      </c>
      <c r="M2437" s="47">
        <f t="shared" si="727"/>
        <v>31991</v>
      </c>
      <c r="N2437" s="177">
        <f>SUMIFS('Support - Transition'!G:G,'Support - Transition'!J:J,'Step 2'!D2437,'Support - Transition'!E:E,"2009 WELFARE ALLOCATION FACTOR")</f>
        <v>0</v>
      </c>
      <c r="O2437" s="152">
        <f t="shared" si="732"/>
        <v>0</v>
      </c>
      <c r="P2437" s="126">
        <f>IF(E2437="Y",0,SUMIFS('Support - Transition'!G:G,'Support - Transition'!J:J,'Step 2'!D2437,'Support - Transition'!E:E,"2009 SCHOOL ALLOCATION FACTOR"))</f>
        <v>0</v>
      </c>
      <c r="Q2437" s="126">
        <f>IF(E2437="Y",VLOOKUP(D2437,'Support - Unit Adjustments'!F:G,2,FALSE),0)</f>
        <v>0</v>
      </c>
      <c r="R2437" s="155">
        <f t="shared" si="725"/>
        <v>0</v>
      </c>
      <c r="S2437" s="47">
        <f t="shared" si="724"/>
        <v>0</v>
      </c>
      <c r="T2437" s="151">
        <f t="shared" si="728"/>
        <v>31991</v>
      </c>
      <c r="U2437" s="151">
        <f t="shared" si="729"/>
        <v>0</v>
      </c>
      <c r="V2437" s="139">
        <f t="shared" si="730"/>
        <v>0</v>
      </c>
      <c r="W2437" s="152">
        <f t="shared" si="733"/>
        <v>31991</v>
      </c>
      <c r="X2437" s="127" t="str">
        <f t="shared" si="731"/>
        <v/>
      </c>
      <c r="Y2437" s="207">
        <f t="shared" si="734"/>
        <v>31991</v>
      </c>
      <c r="Z2437" s="139">
        <f t="shared" si="735"/>
        <v>31991</v>
      </c>
      <c r="AA2437" s="139">
        <f t="shared" si="736"/>
        <v>0</v>
      </c>
      <c r="AC2437" s="47">
        <f t="shared" si="737"/>
        <v>15996</v>
      </c>
      <c r="AD2437" s="47">
        <f t="shared" si="738"/>
        <v>15996</v>
      </c>
      <c r="AE2437" s="47">
        <f t="shared" si="739"/>
        <v>0</v>
      </c>
      <c r="AG2437" s="47">
        <f t="shared" si="740"/>
        <v>15995</v>
      </c>
      <c r="AH2437" s="47">
        <f t="shared" si="741"/>
        <v>15995</v>
      </c>
      <c r="AI2437" s="208">
        <f t="shared" si="742"/>
        <v>0</v>
      </c>
    </row>
    <row r="2438" spans="1:35">
      <c r="A2438" t="s">
        <v>2168</v>
      </c>
      <c r="B2438" t="s">
        <v>3170</v>
      </c>
      <c r="C2438" t="s">
        <v>5987</v>
      </c>
      <c r="D2438" t="s">
        <v>5988</v>
      </c>
      <c r="F2438" t="s">
        <v>5989</v>
      </c>
      <c r="G2438" s="126">
        <f>SUMIFS('Support - Transition'!F:F,'Support - Transition'!B:B,'Step 2'!A2438,'Support - Transition'!C:C,'Step 2'!B2438,'Support - Transition'!D:D,'Step 2'!C2438,'Support - Transition'!E:E,"CIVIL")</f>
        <v>0</v>
      </c>
      <c r="H2438" s="126">
        <f>SUMIFS('Support - Transition'!F:F,'Support - Transition'!B:B,'Step 2'!A2438,'Support - Transition'!C:C,'Step 2'!B2438,'Support - Transition'!D:D,'Step 2'!C2438,'Support - Transition'!E:E,"FIRE")</f>
        <v>0</v>
      </c>
      <c r="I2438" s="126">
        <f>IF(B2438="0",SUMIFS('Support - Transition'!F:F,'Support - Transition'!J:J,'Step 2'!D2438,'Support - Transition'!E:E,"STATE UNIT"),SUMIFS('Support - Transition'!F:F,'Support - Transition'!J:J,'Step 2'!D2438))</f>
        <v>0</v>
      </c>
      <c r="J2438" s="126">
        <f>SUMIFS('Support - Unit Adjustments'!E:E,'Support - Unit Adjustments'!F:F,'Step 2'!D2438)</f>
        <v>0</v>
      </c>
      <c r="K2438" s="126">
        <f t="shared" si="726"/>
        <v>0</v>
      </c>
      <c r="L2438" s="174">
        <f>VLOOKUP(A2438,'Step 1'!$A:$E,4,FALSE)</f>
        <v>793500</v>
      </c>
      <c r="M2438" s="47">
        <f t="shared" si="727"/>
        <v>0</v>
      </c>
      <c r="N2438" s="177">
        <f>SUMIFS('Support - Transition'!G:G,'Support - Transition'!J:J,'Step 2'!D2438,'Support - Transition'!E:E,"2009 WELFARE ALLOCATION FACTOR")</f>
        <v>0</v>
      </c>
      <c r="O2438" s="152">
        <f t="shared" si="732"/>
        <v>0</v>
      </c>
      <c r="P2438" s="126">
        <f>IF(E2438="Y",0,SUMIFS('Support - Transition'!G:G,'Support - Transition'!J:J,'Step 2'!D2438,'Support - Transition'!E:E,"2009 SCHOOL ALLOCATION FACTOR"))</f>
        <v>0</v>
      </c>
      <c r="Q2438" s="126">
        <f>IF(E2438="Y",VLOOKUP(D2438,'Support - Unit Adjustments'!F:G,2,FALSE),0)</f>
        <v>0</v>
      </c>
      <c r="R2438" s="155">
        <f t="shared" si="725"/>
        <v>0</v>
      </c>
      <c r="S2438" s="47">
        <f t="shared" si="724"/>
        <v>0</v>
      </c>
      <c r="T2438" s="151">
        <f t="shared" si="728"/>
        <v>0</v>
      </c>
      <c r="U2438" s="151">
        <f t="shared" si="729"/>
        <v>0</v>
      </c>
      <c r="V2438" s="139">
        <f t="shared" si="730"/>
        <v>0</v>
      </c>
      <c r="W2438" s="152">
        <f t="shared" si="733"/>
        <v>0</v>
      </c>
      <c r="X2438" s="127" t="str">
        <f t="shared" si="731"/>
        <v/>
      </c>
      <c r="Y2438" s="207">
        <f t="shared" si="734"/>
        <v>0</v>
      </c>
      <c r="Z2438" s="139">
        <f t="shared" si="735"/>
        <v>0</v>
      </c>
      <c r="AA2438" s="139">
        <f t="shared" si="736"/>
        <v>0</v>
      </c>
      <c r="AC2438" s="47">
        <f t="shared" si="737"/>
        <v>0</v>
      </c>
      <c r="AD2438" s="47">
        <f t="shared" si="738"/>
        <v>0</v>
      </c>
      <c r="AE2438" s="47">
        <f t="shared" si="739"/>
        <v>0</v>
      </c>
      <c r="AG2438" s="47">
        <f t="shared" si="740"/>
        <v>0</v>
      </c>
      <c r="AH2438" s="47">
        <f t="shared" si="741"/>
        <v>0</v>
      </c>
      <c r="AI2438" s="208">
        <f t="shared" si="742"/>
        <v>0</v>
      </c>
    </row>
    <row r="2439" spans="1:35">
      <c r="A2439" t="s">
        <v>2168</v>
      </c>
      <c r="B2439" t="s">
        <v>3170</v>
      </c>
      <c r="C2439" t="s">
        <v>3011</v>
      </c>
      <c r="D2439" t="s">
        <v>5990</v>
      </c>
      <c r="F2439" t="s">
        <v>1747</v>
      </c>
      <c r="G2439" s="126">
        <f>SUMIFS('Support - Transition'!F:F,'Support - Transition'!B:B,'Step 2'!A2439,'Support - Transition'!C:C,'Step 2'!B2439,'Support - Transition'!D:D,'Step 2'!C2439,'Support - Transition'!E:E,"CIVIL")</f>
        <v>0</v>
      </c>
      <c r="H2439" s="126">
        <f>SUMIFS('Support - Transition'!F:F,'Support - Transition'!B:B,'Step 2'!A2439,'Support - Transition'!C:C,'Step 2'!B2439,'Support - Transition'!D:D,'Step 2'!C2439,'Support - Transition'!E:E,"FIRE")</f>
        <v>0</v>
      </c>
      <c r="I2439" s="126">
        <f>IF(B2439="0",SUMIFS('Support - Transition'!F:F,'Support - Transition'!J:J,'Step 2'!D2439,'Support - Transition'!E:E,"STATE UNIT"),SUMIFS('Support - Transition'!F:F,'Support - Transition'!J:J,'Step 2'!D2439))</f>
        <v>3.0622E-2</v>
      </c>
      <c r="J2439" s="126">
        <f>SUMIFS('Support - Unit Adjustments'!E:E,'Support - Unit Adjustments'!F:F,'Step 2'!D2439)</f>
        <v>0</v>
      </c>
      <c r="K2439" s="126">
        <f t="shared" si="726"/>
        <v>3.0622E-2</v>
      </c>
      <c r="L2439" s="174">
        <f>VLOOKUP(A2439,'Step 1'!$A:$E,4,FALSE)</f>
        <v>793500</v>
      </c>
      <c r="M2439" s="47">
        <f t="shared" si="727"/>
        <v>24299</v>
      </c>
      <c r="N2439" s="177">
        <f>SUMIFS('Support - Transition'!G:G,'Support - Transition'!J:J,'Step 2'!D2439,'Support - Transition'!E:E,"2009 WELFARE ALLOCATION FACTOR")</f>
        <v>0</v>
      </c>
      <c r="O2439" s="152">
        <f t="shared" si="732"/>
        <v>0</v>
      </c>
      <c r="P2439" s="126">
        <f>IF(E2439="Y",0,SUMIFS('Support - Transition'!G:G,'Support - Transition'!J:J,'Step 2'!D2439,'Support - Transition'!E:E,"2009 SCHOOL ALLOCATION FACTOR"))</f>
        <v>0</v>
      </c>
      <c r="Q2439" s="126">
        <f>IF(E2439="Y",VLOOKUP(D2439,'Support - Unit Adjustments'!F:G,2,FALSE),0)</f>
        <v>0</v>
      </c>
      <c r="R2439" s="155">
        <f t="shared" si="725"/>
        <v>0</v>
      </c>
      <c r="S2439" s="47">
        <f t="shared" si="724"/>
        <v>0</v>
      </c>
      <c r="T2439" s="151">
        <f t="shared" si="728"/>
        <v>24299</v>
      </c>
      <c r="U2439" s="151">
        <f t="shared" si="729"/>
        <v>0</v>
      </c>
      <c r="V2439" s="139">
        <f t="shared" si="730"/>
        <v>0</v>
      </c>
      <c r="W2439" s="152">
        <f t="shared" si="733"/>
        <v>24299</v>
      </c>
      <c r="X2439" s="127" t="str">
        <f t="shared" si="731"/>
        <v/>
      </c>
      <c r="Y2439" s="207">
        <f t="shared" si="734"/>
        <v>24299</v>
      </c>
      <c r="Z2439" s="139">
        <f t="shared" si="735"/>
        <v>24299</v>
      </c>
      <c r="AA2439" s="139">
        <f t="shared" si="736"/>
        <v>0</v>
      </c>
      <c r="AC2439" s="47">
        <f t="shared" si="737"/>
        <v>12150</v>
      </c>
      <c r="AD2439" s="47">
        <f t="shared" si="738"/>
        <v>12150</v>
      </c>
      <c r="AE2439" s="47">
        <f t="shared" si="739"/>
        <v>0</v>
      </c>
      <c r="AG2439" s="47">
        <f t="shared" si="740"/>
        <v>12149</v>
      </c>
      <c r="AH2439" s="47">
        <f t="shared" si="741"/>
        <v>12149</v>
      </c>
      <c r="AI2439" s="208">
        <f t="shared" si="742"/>
        <v>0</v>
      </c>
    </row>
    <row r="2440" spans="1:35">
      <c r="A2440" t="s">
        <v>2168</v>
      </c>
      <c r="B2440" t="s">
        <v>3170</v>
      </c>
      <c r="C2440" t="s">
        <v>3012</v>
      </c>
      <c r="D2440" t="s">
        <v>5991</v>
      </c>
      <c r="F2440" t="s">
        <v>5992</v>
      </c>
      <c r="G2440" s="126">
        <f>SUMIFS('Support - Transition'!F:F,'Support - Transition'!B:B,'Step 2'!A2440,'Support - Transition'!C:C,'Step 2'!B2440,'Support - Transition'!D:D,'Step 2'!C2440,'Support - Transition'!E:E,"CIVIL")</f>
        <v>0</v>
      </c>
      <c r="H2440" s="126">
        <f>SUMIFS('Support - Transition'!F:F,'Support - Transition'!B:B,'Step 2'!A2440,'Support - Transition'!C:C,'Step 2'!B2440,'Support - Transition'!D:D,'Step 2'!C2440,'Support - Transition'!E:E,"FIRE")</f>
        <v>0</v>
      </c>
      <c r="I2440" s="126">
        <f>IF(B2440="0",SUMIFS('Support - Transition'!F:F,'Support - Transition'!J:J,'Step 2'!D2440,'Support - Transition'!E:E,"STATE UNIT"),SUMIFS('Support - Transition'!F:F,'Support - Transition'!J:J,'Step 2'!D2440))</f>
        <v>0</v>
      </c>
      <c r="J2440" s="126">
        <f>SUMIFS('Support - Unit Adjustments'!E:E,'Support - Unit Adjustments'!F:F,'Step 2'!D2440)</f>
        <v>1.6992E-2</v>
      </c>
      <c r="K2440" s="126">
        <f t="shared" si="726"/>
        <v>1.6992E-2</v>
      </c>
      <c r="L2440" s="174">
        <f>VLOOKUP(A2440,'Step 1'!$A:$E,4,FALSE)</f>
        <v>793500</v>
      </c>
      <c r="M2440" s="47">
        <f t="shared" si="727"/>
        <v>13483</v>
      </c>
      <c r="N2440" s="177">
        <f>SUMIFS('Support - Transition'!G:G,'Support - Transition'!J:J,'Step 2'!D2440,'Support - Transition'!E:E,"2009 WELFARE ALLOCATION FACTOR")</f>
        <v>0</v>
      </c>
      <c r="O2440" s="152">
        <f t="shared" si="732"/>
        <v>0</v>
      </c>
      <c r="P2440" s="126">
        <f>IF(E2440="Y",0,SUMIFS('Support - Transition'!G:G,'Support - Transition'!J:J,'Step 2'!D2440,'Support - Transition'!E:E,"2009 SCHOOL ALLOCATION FACTOR"))</f>
        <v>0</v>
      </c>
      <c r="Q2440" s="126">
        <f>IF(E2440="Y",VLOOKUP(D2440,'Support - Unit Adjustments'!F:G,2,FALSE),0)</f>
        <v>0</v>
      </c>
      <c r="R2440" s="155">
        <f t="shared" si="725"/>
        <v>0</v>
      </c>
      <c r="S2440" s="47">
        <f t="shared" ref="S2440:S2503" si="743">ROUND(+R2440*M2440,0)</f>
        <v>0</v>
      </c>
      <c r="T2440" s="151">
        <f t="shared" si="728"/>
        <v>13483</v>
      </c>
      <c r="U2440" s="151">
        <f t="shared" si="729"/>
        <v>0</v>
      </c>
      <c r="V2440" s="139">
        <f t="shared" si="730"/>
        <v>0</v>
      </c>
      <c r="W2440" s="152">
        <f t="shared" si="733"/>
        <v>13483</v>
      </c>
      <c r="X2440" s="127" t="str">
        <f t="shared" si="731"/>
        <v/>
      </c>
      <c r="Y2440" s="207">
        <f t="shared" si="734"/>
        <v>13483</v>
      </c>
      <c r="Z2440" s="139">
        <f t="shared" si="735"/>
        <v>13483</v>
      </c>
      <c r="AA2440" s="139">
        <f t="shared" si="736"/>
        <v>0</v>
      </c>
      <c r="AC2440" s="47">
        <f t="shared" si="737"/>
        <v>6742</v>
      </c>
      <c r="AD2440" s="47">
        <f t="shared" si="738"/>
        <v>6742</v>
      </c>
      <c r="AE2440" s="47">
        <f t="shared" si="739"/>
        <v>0</v>
      </c>
      <c r="AG2440" s="47">
        <f t="shared" si="740"/>
        <v>6741</v>
      </c>
      <c r="AH2440" s="47">
        <f t="shared" si="741"/>
        <v>6741</v>
      </c>
      <c r="AI2440" s="208">
        <f t="shared" si="742"/>
        <v>0</v>
      </c>
    </row>
    <row r="2441" spans="1:35">
      <c r="A2441" t="s">
        <v>2168</v>
      </c>
      <c r="B2441" t="s">
        <v>3170</v>
      </c>
      <c r="C2441" t="s">
        <v>3051</v>
      </c>
      <c r="D2441" t="s">
        <v>5993</v>
      </c>
      <c r="F2441" t="s">
        <v>1741</v>
      </c>
      <c r="G2441" s="126">
        <f>SUMIFS('Support - Transition'!F:F,'Support - Transition'!B:B,'Step 2'!A2441,'Support - Transition'!C:C,'Step 2'!B2441,'Support - Transition'!D:D,'Step 2'!C2441,'Support - Transition'!E:E,"CIVIL")</f>
        <v>0</v>
      </c>
      <c r="H2441" s="126">
        <f>SUMIFS('Support - Transition'!F:F,'Support - Transition'!B:B,'Step 2'!A2441,'Support - Transition'!C:C,'Step 2'!B2441,'Support - Transition'!D:D,'Step 2'!C2441,'Support - Transition'!E:E,"FIRE")</f>
        <v>0</v>
      </c>
      <c r="I2441" s="126">
        <f>IF(B2441="0",SUMIFS('Support - Transition'!F:F,'Support - Transition'!J:J,'Step 2'!D2441,'Support - Transition'!E:E,"STATE UNIT"),SUMIFS('Support - Transition'!F:F,'Support - Transition'!J:J,'Step 2'!D2441))</f>
        <v>3.4889999999999999E-3</v>
      </c>
      <c r="J2441" s="126">
        <f>SUMIFS('Support - Unit Adjustments'!E:E,'Support - Unit Adjustments'!F:F,'Step 2'!D2441)</f>
        <v>0</v>
      </c>
      <c r="K2441" s="126">
        <f t="shared" si="726"/>
        <v>3.4889999999999999E-3</v>
      </c>
      <c r="L2441" s="174">
        <f>VLOOKUP(A2441,'Step 1'!$A:$E,4,FALSE)</f>
        <v>793500</v>
      </c>
      <c r="M2441" s="47">
        <f t="shared" si="727"/>
        <v>2769</v>
      </c>
      <c r="N2441" s="177">
        <f>SUMIFS('Support - Transition'!G:G,'Support - Transition'!J:J,'Step 2'!D2441,'Support - Transition'!E:E,"2009 WELFARE ALLOCATION FACTOR")</f>
        <v>0</v>
      </c>
      <c r="O2441" s="152">
        <f t="shared" si="732"/>
        <v>0</v>
      </c>
      <c r="P2441" s="126">
        <f>IF(E2441="Y",0,SUMIFS('Support - Transition'!G:G,'Support - Transition'!J:J,'Step 2'!D2441,'Support - Transition'!E:E,"2009 SCHOOL ALLOCATION FACTOR"))</f>
        <v>0</v>
      </c>
      <c r="Q2441" s="126">
        <f>IF(E2441="Y",VLOOKUP(D2441,'Support - Unit Adjustments'!F:G,2,FALSE),0)</f>
        <v>0</v>
      </c>
      <c r="R2441" s="155">
        <f t="shared" ref="R2441:R2504" si="744">+P2441+Q2441</f>
        <v>0</v>
      </c>
      <c r="S2441" s="47">
        <f t="shared" si="743"/>
        <v>0</v>
      </c>
      <c r="T2441" s="151">
        <f t="shared" si="728"/>
        <v>2769</v>
      </c>
      <c r="U2441" s="151">
        <f t="shared" si="729"/>
        <v>0</v>
      </c>
      <c r="V2441" s="139">
        <f t="shared" si="730"/>
        <v>0</v>
      </c>
      <c r="W2441" s="152">
        <f t="shared" si="733"/>
        <v>2769</v>
      </c>
      <c r="X2441" s="127" t="str">
        <f t="shared" si="731"/>
        <v/>
      </c>
      <c r="Y2441" s="207">
        <f t="shared" si="734"/>
        <v>2769</v>
      </c>
      <c r="Z2441" s="139">
        <f t="shared" si="735"/>
        <v>2769</v>
      </c>
      <c r="AA2441" s="139">
        <f t="shared" si="736"/>
        <v>0</v>
      </c>
      <c r="AC2441" s="47">
        <f t="shared" si="737"/>
        <v>1385</v>
      </c>
      <c r="AD2441" s="47">
        <f t="shared" si="738"/>
        <v>1385</v>
      </c>
      <c r="AE2441" s="47">
        <f t="shared" si="739"/>
        <v>0</v>
      </c>
      <c r="AG2441" s="47">
        <f t="shared" si="740"/>
        <v>1384</v>
      </c>
      <c r="AH2441" s="47">
        <f t="shared" si="741"/>
        <v>1384</v>
      </c>
      <c r="AI2441" s="208">
        <f t="shared" si="742"/>
        <v>0</v>
      </c>
    </row>
    <row r="2442" spans="1:35">
      <c r="A2442" t="s">
        <v>2168</v>
      </c>
      <c r="B2442" t="s">
        <v>3170</v>
      </c>
      <c r="C2442" t="s">
        <v>2656</v>
      </c>
      <c r="D2442" t="s">
        <v>5994</v>
      </c>
      <c r="F2442" t="s">
        <v>5995</v>
      </c>
      <c r="G2442" s="126">
        <f>SUMIFS('Support - Transition'!F:F,'Support - Transition'!B:B,'Step 2'!A2442,'Support - Transition'!C:C,'Step 2'!B2442,'Support - Transition'!D:D,'Step 2'!C2442,'Support - Transition'!E:E,"CIVIL")</f>
        <v>0</v>
      </c>
      <c r="H2442" s="126">
        <f>SUMIFS('Support - Transition'!F:F,'Support - Transition'!B:B,'Step 2'!A2442,'Support - Transition'!C:C,'Step 2'!B2442,'Support - Transition'!D:D,'Step 2'!C2442,'Support - Transition'!E:E,"FIRE")</f>
        <v>0</v>
      </c>
      <c r="I2442" s="126">
        <f>IF(B2442="0",SUMIFS('Support - Transition'!F:F,'Support - Transition'!J:J,'Step 2'!D2442,'Support - Transition'!E:E,"STATE UNIT"),SUMIFS('Support - Transition'!F:F,'Support - Transition'!J:J,'Step 2'!D2442))</f>
        <v>0</v>
      </c>
      <c r="J2442" s="126">
        <f>SUMIFS('Support - Unit Adjustments'!E:E,'Support - Unit Adjustments'!F:F,'Step 2'!D2442)</f>
        <v>0</v>
      </c>
      <c r="K2442" s="126">
        <f t="shared" si="726"/>
        <v>0</v>
      </c>
      <c r="L2442" s="174">
        <f>VLOOKUP(A2442,'Step 1'!$A:$E,4,FALSE)</f>
        <v>793500</v>
      </c>
      <c r="M2442" s="47">
        <f t="shared" si="727"/>
        <v>0</v>
      </c>
      <c r="N2442" s="177">
        <f>SUMIFS('Support - Transition'!G:G,'Support - Transition'!J:J,'Step 2'!D2442,'Support - Transition'!E:E,"2009 WELFARE ALLOCATION FACTOR")</f>
        <v>0</v>
      </c>
      <c r="O2442" s="152">
        <f t="shared" si="732"/>
        <v>0</v>
      </c>
      <c r="P2442" s="126">
        <f>IF(E2442="Y",0,SUMIFS('Support - Transition'!G:G,'Support - Transition'!J:J,'Step 2'!D2442,'Support - Transition'!E:E,"2009 SCHOOL ALLOCATION FACTOR"))</f>
        <v>0</v>
      </c>
      <c r="Q2442" s="126">
        <f>IF(E2442="Y",VLOOKUP(D2442,'Support - Unit Adjustments'!F:G,2,FALSE),0)</f>
        <v>0</v>
      </c>
      <c r="R2442" s="155">
        <f t="shared" si="744"/>
        <v>0</v>
      </c>
      <c r="S2442" s="47">
        <f t="shared" si="743"/>
        <v>0</v>
      </c>
      <c r="T2442" s="151">
        <f t="shared" si="728"/>
        <v>0</v>
      </c>
      <c r="U2442" s="151">
        <f t="shared" si="729"/>
        <v>0</v>
      </c>
      <c r="V2442" s="139">
        <f t="shared" si="730"/>
        <v>0</v>
      </c>
      <c r="W2442" s="152">
        <f t="shared" si="733"/>
        <v>0</v>
      </c>
      <c r="X2442" s="127" t="str">
        <f t="shared" si="731"/>
        <v/>
      </c>
      <c r="Y2442" s="207">
        <f t="shared" si="734"/>
        <v>0</v>
      </c>
      <c r="Z2442" s="139">
        <f t="shared" si="735"/>
        <v>0</v>
      </c>
      <c r="AA2442" s="139">
        <f t="shared" si="736"/>
        <v>0</v>
      </c>
      <c r="AC2442" s="47">
        <f t="shared" si="737"/>
        <v>0</v>
      </c>
      <c r="AD2442" s="47">
        <f t="shared" si="738"/>
        <v>0</v>
      </c>
      <c r="AE2442" s="47">
        <f t="shared" si="739"/>
        <v>0</v>
      </c>
      <c r="AG2442" s="47">
        <f t="shared" si="740"/>
        <v>0</v>
      </c>
      <c r="AH2442" s="47">
        <f t="shared" si="741"/>
        <v>0</v>
      </c>
      <c r="AI2442" s="208">
        <f t="shared" si="742"/>
        <v>0</v>
      </c>
    </row>
    <row r="2443" spans="1:35">
      <c r="A2443" t="s">
        <v>2168</v>
      </c>
      <c r="B2443" t="s">
        <v>3170</v>
      </c>
      <c r="C2443" t="s">
        <v>5996</v>
      </c>
      <c r="D2443" t="s">
        <v>5997</v>
      </c>
      <c r="F2443" t="s">
        <v>1743</v>
      </c>
      <c r="G2443" s="126">
        <f>SUMIFS('Support - Transition'!F:F,'Support - Transition'!B:B,'Step 2'!A2443,'Support - Transition'!C:C,'Step 2'!B2443,'Support - Transition'!D:D,'Step 2'!C2443,'Support - Transition'!E:E,"CIVIL")</f>
        <v>0</v>
      </c>
      <c r="H2443" s="126">
        <f>SUMIFS('Support - Transition'!F:F,'Support - Transition'!B:B,'Step 2'!A2443,'Support - Transition'!C:C,'Step 2'!B2443,'Support - Transition'!D:D,'Step 2'!C2443,'Support - Transition'!E:E,"FIRE")</f>
        <v>0</v>
      </c>
      <c r="I2443" s="126">
        <f>IF(B2443="0",SUMIFS('Support - Transition'!F:F,'Support - Transition'!J:J,'Step 2'!D2443,'Support - Transition'!E:E,"STATE UNIT"),SUMIFS('Support - Transition'!F:F,'Support - Transition'!J:J,'Step 2'!D2443))</f>
        <v>2.5579999999999999E-3</v>
      </c>
      <c r="J2443" s="126">
        <f>SUMIFS('Support - Unit Adjustments'!E:E,'Support - Unit Adjustments'!F:F,'Step 2'!D2443)</f>
        <v>0</v>
      </c>
      <c r="K2443" s="126">
        <f t="shared" si="726"/>
        <v>2.5579999999999999E-3</v>
      </c>
      <c r="L2443" s="174">
        <f>VLOOKUP(A2443,'Step 1'!$A:$E,4,FALSE)</f>
        <v>793500</v>
      </c>
      <c r="M2443" s="47">
        <f t="shared" si="727"/>
        <v>2030</v>
      </c>
      <c r="N2443" s="177">
        <f>SUMIFS('Support - Transition'!G:G,'Support - Transition'!J:J,'Step 2'!D2443,'Support - Transition'!E:E,"2009 WELFARE ALLOCATION FACTOR")</f>
        <v>0</v>
      </c>
      <c r="O2443" s="152">
        <f t="shared" si="732"/>
        <v>0</v>
      </c>
      <c r="P2443" s="126">
        <f>IF(E2443="Y",0,SUMIFS('Support - Transition'!G:G,'Support - Transition'!J:J,'Step 2'!D2443,'Support - Transition'!E:E,"2009 SCHOOL ALLOCATION FACTOR"))</f>
        <v>0</v>
      </c>
      <c r="Q2443" s="126">
        <f>IF(E2443="Y",VLOOKUP(D2443,'Support - Unit Adjustments'!F:G,2,FALSE),0)</f>
        <v>0</v>
      </c>
      <c r="R2443" s="155">
        <f t="shared" si="744"/>
        <v>0</v>
      </c>
      <c r="S2443" s="47">
        <f t="shared" si="743"/>
        <v>0</v>
      </c>
      <c r="T2443" s="151">
        <f t="shared" si="728"/>
        <v>2030</v>
      </c>
      <c r="U2443" s="151">
        <f t="shared" si="729"/>
        <v>0</v>
      </c>
      <c r="V2443" s="139">
        <f t="shared" si="730"/>
        <v>0</v>
      </c>
      <c r="W2443" s="152">
        <f t="shared" si="733"/>
        <v>2030</v>
      </c>
      <c r="X2443" s="127" t="str">
        <f t="shared" si="731"/>
        <v/>
      </c>
      <c r="Y2443" s="207">
        <f t="shared" si="734"/>
        <v>2030</v>
      </c>
      <c r="Z2443" s="139">
        <f t="shared" si="735"/>
        <v>2030</v>
      </c>
      <c r="AA2443" s="139">
        <f t="shared" si="736"/>
        <v>0</v>
      </c>
      <c r="AC2443" s="47">
        <f t="shared" si="737"/>
        <v>1015</v>
      </c>
      <c r="AD2443" s="47">
        <f t="shared" si="738"/>
        <v>1015</v>
      </c>
      <c r="AE2443" s="47">
        <f t="shared" si="739"/>
        <v>0</v>
      </c>
      <c r="AG2443" s="47">
        <f t="shared" si="740"/>
        <v>1015</v>
      </c>
      <c r="AH2443" s="47">
        <f t="shared" si="741"/>
        <v>1015</v>
      </c>
      <c r="AI2443" s="208">
        <f t="shared" si="742"/>
        <v>0</v>
      </c>
    </row>
    <row r="2444" spans="1:35">
      <c r="A2444" t="s">
        <v>2168</v>
      </c>
      <c r="B2444" t="s">
        <v>3170</v>
      </c>
      <c r="C2444" t="s">
        <v>5998</v>
      </c>
      <c r="D2444" t="s">
        <v>5999</v>
      </c>
      <c r="F2444" t="s">
        <v>1744</v>
      </c>
      <c r="G2444" s="126">
        <f>SUMIFS('Support - Transition'!F:F,'Support - Transition'!B:B,'Step 2'!A2444,'Support - Transition'!C:C,'Step 2'!B2444,'Support - Transition'!D:D,'Step 2'!C2444,'Support - Transition'!E:E,"CIVIL")</f>
        <v>0</v>
      </c>
      <c r="H2444" s="126">
        <f>SUMIFS('Support - Transition'!F:F,'Support - Transition'!B:B,'Step 2'!A2444,'Support - Transition'!C:C,'Step 2'!B2444,'Support - Transition'!D:D,'Step 2'!C2444,'Support - Transition'!E:E,"FIRE")</f>
        <v>0</v>
      </c>
      <c r="I2444" s="126">
        <f>IF(B2444="0",SUMIFS('Support - Transition'!F:F,'Support - Transition'!J:J,'Step 2'!D2444,'Support - Transition'!E:E,"STATE UNIT"),SUMIFS('Support - Transition'!F:F,'Support - Transition'!J:J,'Step 2'!D2444))</f>
        <v>7.6400000000000003E-4</v>
      </c>
      <c r="J2444" s="126">
        <f>SUMIFS('Support - Unit Adjustments'!E:E,'Support - Unit Adjustments'!F:F,'Step 2'!D2444)</f>
        <v>0</v>
      </c>
      <c r="K2444" s="126">
        <f t="shared" si="726"/>
        <v>7.6400000000000003E-4</v>
      </c>
      <c r="L2444" s="174">
        <f>VLOOKUP(A2444,'Step 1'!$A:$E,4,FALSE)</f>
        <v>793500</v>
      </c>
      <c r="M2444" s="47">
        <f t="shared" si="727"/>
        <v>606</v>
      </c>
      <c r="N2444" s="177">
        <f>SUMIFS('Support - Transition'!G:G,'Support - Transition'!J:J,'Step 2'!D2444,'Support - Transition'!E:E,"2009 WELFARE ALLOCATION FACTOR")</f>
        <v>0</v>
      </c>
      <c r="O2444" s="152">
        <f t="shared" si="732"/>
        <v>0</v>
      </c>
      <c r="P2444" s="126">
        <f>IF(E2444="Y",0,SUMIFS('Support - Transition'!G:G,'Support - Transition'!J:J,'Step 2'!D2444,'Support - Transition'!E:E,"2009 SCHOOL ALLOCATION FACTOR"))</f>
        <v>0</v>
      </c>
      <c r="Q2444" s="126">
        <f>IF(E2444="Y",VLOOKUP(D2444,'Support - Unit Adjustments'!F:G,2,FALSE),0)</f>
        <v>0</v>
      </c>
      <c r="R2444" s="155">
        <f t="shared" si="744"/>
        <v>0</v>
      </c>
      <c r="S2444" s="47">
        <f t="shared" si="743"/>
        <v>0</v>
      </c>
      <c r="T2444" s="151">
        <f t="shared" si="728"/>
        <v>606</v>
      </c>
      <c r="U2444" s="151">
        <f t="shared" si="729"/>
        <v>0</v>
      </c>
      <c r="V2444" s="139">
        <f t="shared" si="730"/>
        <v>0</v>
      </c>
      <c r="W2444" s="152">
        <f t="shared" si="733"/>
        <v>606</v>
      </c>
      <c r="X2444" s="127" t="str">
        <f t="shared" si="731"/>
        <v/>
      </c>
      <c r="Y2444" s="207">
        <f t="shared" si="734"/>
        <v>606</v>
      </c>
      <c r="Z2444" s="139">
        <f t="shared" si="735"/>
        <v>606</v>
      </c>
      <c r="AA2444" s="139">
        <f t="shared" si="736"/>
        <v>0</v>
      </c>
      <c r="AC2444" s="47">
        <f t="shared" si="737"/>
        <v>303</v>
      </c>
      <c r="AD2444" s="47">
        <f t="shared" si="738"/>
        <v>303</v>
      </c>
      <c r="AE2444" s="47">
        <f t="shared" si="739"/>
        <v>0</v>
      </c>
      <c r="AG2444" s="47">
        <f t="shared" si="740"/>
        <v>303</v>
      </c>
      <c r="AH2444" s="47">
        <f t="shared" si="741"/>
        <v>303</v>
      </c>
      <c r="AI2444" s="208">
        <f t="shared" si="742"/>
        <v>0</v>
      </c>
    </row>
    <row r="2445" spans="1:35">
      <c r="A2445" t="s">
        <v>2168</v>
      </c>
      <c r="B2445" t="s">
        <v>3170</v>
      </c>
      <c r="C2445" t="s">
        <v>6000</v>
      </c>
      <c r="D2445" t="s">
        <v>6001</v>
      </c>
      <c r="F2445" t="s">
        <v>1745</v>
      </c>
      <c r="G2445" s="126">
        <f>SUMIFS('Support - Transition'!F:F,'Support - Transition'!B:B,'Step 2'!A2445,'Support - Transition'!C:C,'Step 2'!B2445,'Support - Transition'!D:D,'Step 2'!C2445,'Support - Transition'!E:E,"CIVIL")</f>
        <v>0</v>
      </c>
      <c r="H2445" s="126">
        <f>SUMIFS('Support - Transition'!F:F,'Support - Transition'!B:B,'Step 2'!A2445,'Support - Transition'!C:C,'Step 2'!B2445,'Support - Transition'!D:D,'Step 2'!C2445,'Support - Transition'!E:E,"FIRE")</f>
        <v>0</v>
      </c>
      <c r="I2445" s="126">
        <f>IF(B2445="0",SUMIFS('Support - Transition'!F:F,'Support - Transition'!J:J,'Step 2'!D2445,'Support - Transition'!E:E,"STATE UNIT"),SUMIFS('Support - Transition'!F:F,'Support - Transition'!J:J,'Step 2'!D2445))</f>
        <v>2.99E-4</v>
      </c>
      <c r="J2445" s="126">
        <f>SUMIFS('Support - Unit Adjustments'!E:E,'Support - Unit Adjustments'!F:F,'Step 2'!D2445)</f>
        <v>0</v>
      </c>
      <c r="K2445" s="126">
        <f t="shared" si="726"/>
        <v>2.99E-4</v>
      </c>
      <c r="L2445" s="174">
        <f>VLOOKUP(A2445,'Step 1'!$A:$E,4,FALSE)</f>
        <v>793500</v>
      </c>
      <c r="M2445" s="47">
        <f t="shared" si="727"/>
        <v>237</v>
      </c>
      <c r="N2445" s="177">
        <f>SUMIFS('Support - Transition'!G:G,'Support - Transition'!J:J,'Step 2'!D2445,'Support - Transition'!E:E,"2009 WELFARE ALLOCATION FACTOR")</f>
        <v>0</v>
      </c>
      <c r="O2445" s="152">
        <f t="shared" si="732"/>
        <v>0</v>
      </c>
      <c r="P2445" s="126">
        <f>IF(E2445="Y",0,SUMIFS('Support - Transition'!G:G,'Support - Transition'!J:J,'Step 2'!D2445,'Support - Transition'!E:E,"2009 SCHOOL ALLOCATION FACTOR"))</f>
        <v>0</v>
      </c>
      <c r="Q2445" s="126">
        <f>IF(E2445="Y",VLOOKUP(D2445,'Support - Unit Adjustments'!F:G,2,FALSE),0)</f>
        <v>0</v>
      </c>
      <c r="R2445" s="155">
        <f t="shared" si="744"/>
        <v>0</v>
      </c>
      <c r="S2445" s="47">
        <f t="shared" si="743"/>
        <v>0</v>
      </c>
      <c r="T2445" s="151">
        <f t="shared" si="728"/>
        <v>237</v>
      </c>
      <c r="U2445" s="151">
        <f t="shared" si="729"/>
        <v>0</v>
      </c>
      <c r="V2445" s="139">
        <f t="shared" si="730"/>
        <v>0</v>
      </c>
      <c r="W2445" s="152">
        <f t="shared" si="733"/>
        <v>237</v>
      </c>
      <c r="X2445" s="127" t="str">
        <f t="shared" si="731"/>
        <v/>
      </c>
      <c r="Y2445" s="207">
        <f t="shared" si="734"/>
        <v>237</v>
      </c>
      <c r="Z2445" s="139">
        <f t="shared" si="735"/>
        <v>237</v>
      </c>
      <c r="AA2445" s="139">
        <f t="shared" si="736"/>
        <v>0</v>
      </c>
      <c r="AC2445" s="47">
        <f t="shared" si="737"/>
        <v>119</v>
      </c>
      <c r="AD2445" s="47">
        <f t="shared" si="738"/>
        <v>119</v>
      </c>
      <c r="AE2445" s="47">
        <f t="shared" si="739"/>
        <v>0</v>
      </c>
      <c r="AG2445" s="47">
        <f t="shared" si="740"/>
        <v>118</v>
      </c>
      <c r="AH2445" s="47">
        <f t="shared" si="741"/>
        <v>118</v>
      </c>
      <c r="AI2445" s="208">
        <f t="shared" si="742"/>
        <v>0</v>
      </c>
    </row>
    <row r="2446" spans="1:35">
      <c r="A2446" t="s">
        <v>2168</v>
      </c>
      <c r="B2446" t="s">
        <v>3170</v>
      </c>
      <c r="C2446" t="s">
        <v>4421</v>
      </c>
      <c r="D2446" t="s">
        <v>6002</v>
      </c>
      <c r="F2446" t="s">
        <v>1746</v>
      </c>
      <c r="G2446" s="126">
        <f>SUMIFS('Support - Transition'!F:F,'Support - Transition'!B:B,'Step 2'!A2446,'Support - Transition'!C:C,'Step 2'!B2446,'Support - Transition'!D:D,'Step 2'!C2446,'Support - Transition'!E:E,"CIVIL")</f>
        <v>0</v>
      </c>
      <c r="H2446" s="126">
        <f>SUMIFS('Support - Transition'!F:F,'Support - Transition'!B:B,'Step 2'!A2446,'Support - Transition'!C:C,'Step 2'!B2446,'Support - Transition'!D:D,'Step 2'!C2446,'Support - Transition'!E:E,"FIRE")</f>
        <v>0</v>
      </c>
      <c r="I2446" s="126">
        <f>IF(B2446="0",SUMIFS('Support - Transition'!F:F,'Support - Transition'!J:J,'Step 2'!D2446,'Support - Transition'!E:E,"STATE UNIT"),SUMIFS('Support - Transition'!F:F,'Support - Transition'!J:J,'Step 2'!D2446))</f>
        <v>2.8449999999999999E-3</v>
      </c>
      <c r="J2446" s="126">
        <f>SUMIFS('Support - Unit Adjustments'!E:E,'Support - Unit Adjustments'!F:F,'Step 2'!D2446)</f>
        <v>0</v>
      </c>
      <c r="K2446" s="126">
        <f t="shared" si="726"/>
        <v>2.8449999999999999E-3</v>
      </c>
      <c r="L2446" s="174">
        <f>VLOOKUP(A2446,'Step 1'!$A:$E,4,FALSE)</f>
        <v>793500</v>
      </c>
      <c r="M2446" s="47">
        <f t="shared" si="727"/>
        <v>2258</v>
      </c>
      <c r="N2446" s="177">
        <f>SUMIFS('Support - Transition'!G:G,'Support - Transition'!J:J,'Step 2'!D2446,'Support - Transition'!E:E,"2009 WELFARE ALLOCATION FACTOR")</f>
        <v>0</v>
      </c>
      <c r="O2446" s="152">
        <f t="shared" si="732"/>
        <v>0</v>
      </c>
      <c r="P2446" s="126">
        <f>IF(E2446="Y",0,SUMIFS('Support - Transition'!G:G,'Support - Transition'!J:J,'Step 2'!D2446,'Support - Transition'!E:E,"2009 SCHOOL ALLOCATION FACTOR"))</f>
        <v>0</v>
      </c>
      <c r="Q2446" s="126">
        <f>IF(E2446="Y",VLOOKUP(D2446,'Support - Unit Adjustments'!F:G,2,FALSE),0)</f>
        <v>0</v>
      </c>
      <c r="R2446" s="155">
        <f t="shared" si="744"/>
        <v>0</v>
      </c>
      <c r="S2446" s="47">
        <f t="shared" si="743"/>
        <v>0</v>
      </c>
      <c r="T2446" s="151">
        <f t="shared" si="728"/>
        <v>2258</v>
      </c>
      <c r="U2446" s="151">
        <f t="shared" si="729"/>
        <v>0</v>
      </c>
      <c r="V2446" s="139">
        <f t="shared" si="730"/>
        <v>0</v>
      </c>
      <c r="W2446" s="152">
        <f t="shared" si="733"/>
        <v>2258</v>
      </c>
      <c r="X2446" s="127" t="str">
        <f t="shared" si="731"/>
        <v/>
      </c>
      <c r="Y2446" s="207">
        <f t="shared" si="734"/>
        <v>2258</v>
      </c>
      <c r="Z2446" s="139">
        <f t="shared" si="735"/>
        <v>2258</v>
      </c>
      <c r="AA2446" s="139">
        <f t="shared" si="736"/>
        <v>0</v>
      </c>
      <c r="AC2446" s="47">
        <f t="shared" si="737"/>
        <v>1129</v>
      </c>
      <c r="AD2446" s="47">
        <f t="shared" si="738"/>
        <v>1129</v>
      </c>
      <c r="AE2446" s="47">
        <f t="shared" si="739"/>
        <v>0</v>
      </c>
      <c r="AG2446" s="47">
        <f t="shared" si="740"/>
        <v>1129</v>
      </c>
      <c r="AH2446" s="47">
        <f t="shared" si="741"/>
        <v>1129</v>
      </c>
      <c r="AI2446" s="208">
        <f t="shared" si="742"/>
        <v>0</v>
      </c>
    </row>
    <row r="2447" spans="1:35">
      <c r="A2447" t="s">
        <v>2168</v>
      </c>
      <c r="B2447" t="s">
        <v>3286</v>
      </c>
      <c r="C2447" t="s">
        <v>2374</v>
      </c>
      <c r="D2447" t="s">
        <v>6003</v>
      </c>
      <c r="F2447" t="s">
        <v>4095</v>
      </c>
      <c r="G2447" s="126">
        <f>SUMIFS('Support - Transition'!F:F,'Support - Transition'!B:B,'Step 2'!A2447,'Support - Transition'!C:C,'Step 2'!B2447,'Support - Transition'!D:D,'Step 2'!C2447,'Support - Transition'!E:E,"CIVIL")</f>
        <v>0</v>
      </c>
      <c r="H2447" s="126">
        <f>SUMIFS('Support - Transition'!F:F,'Support - Transition'!B:B,'Step 2'!A2447,'Support - Transition'!C:C,'Step 2'!B2447,'Support - Transition'!D:D,'Step 2'!C2447,'Support - Transition'!E:E,"FIRE")</f>
        <v>0</v>
      </c>
      <c r="I2447" s="126">
        <f>IF(B2447="0",SUMIFS('Support - Transition'!F:F,'Support - Transition'!J:J,'Step 2'!D2447,'Support - Transition'!E:E,"STATE UNIT"),SUMIFS('Support - Transition'!F:F,'Support - Transition'!J:J,'Step 2'!D2447))</f>
        <v>0</v>
      </c>
      <c r="J2447" s="126">
        <f>SUMIFS('Support - Unit Adjustments'!E:E,'Support - Unit Adjustments'!F:F,'Step 2'!D2447)</f>
        <v>0</v>
      </c>
      <c r="K2447" s="126">
        <f t="shared" si="726"/>
        <v>0</v>
      </c>
      <c r="L2447" s="174">
        <f>VLOOKUP(A2447,'Step 1'!$A:$E,4,FALSE)</f>
        <v>793500</v>
      </c>
      <c r="M2447" s="47">
        <f t="shared" si="727"/>
        <v>0</v>
      </c>
      <c r="N2447" s="177">
        <f>SUMIFS('Support - Transition'!G:G,'Support - Transition'!J:J,'Step 2'!D2447,'Support - Transition'!E:E,"2009 WELFARE ALLOCATION FACTOR")</f>
        <v>0</v>
      </c>
      <c r="O2447" s="152">
        <f t="shared" si="732"/>
        <v>0</v>
      </c>
      <c r="P2447" s="126">
        <f>IF(E2447="Y",0,SUMIFS('Support - Transition'!G:G,'Support - Transition'!J:J,'Step 2'!D2447,'Support - Transition'!E:E,"2009 SCHOOL ALLOCATION FACTOR"))</f>
        <v>0</v>
      </c>
      <c r="Q2447" s="126">
        <f>IF(E2447="Y",VLOOKUP(D2447,'Support - Unit Adjustments'!F:G,2,FALSE),0)</f>
        <v>0</v>
      </c>
      <c r="R2447" s="155">
        <f t="shared" si="744"/>
        <v>0</v>
      </c>
      <c r="S2447" s="47">
        <f t="shared" si="743"/>
        <v>0</v>
      </c>
      <c r="T2447" s="151">
        <f t="shared" si="728"/>
        <v>0</v>
      </c>
      <c r="U2447" s="151">
        <f t="shared" si="729"/>
        <v>0</v>
      </c>
      <c r="V2447" s="139">
        <f t="shared" si="730"/>
        <v>0</v>
      </c>
      <c r="W2447" s="152">
        <f t="shared" si="733"/>
        <v>0</v>
      </c>
      <c r="X2447" s="127" t="str">
        <f t="shared" si="731"/>
        <v/>
      </c>
      <c r="Y2447" s="207">
        <f t="shared" si="734"/>
        <v>0</v>
      </c>
      <c r="Z2447" s="139">
        <f t="shared" si="735"/>
        <v>0</v>
      </c>
      <c r="AA2447" s="139">
        <f t="shared" si="736"/>
        <v>0</v>
      </c>
      <c r="AC2447" s="47">
        <f t="shared" si="737"/>
        <v>0</v>
      </c>
      <c r="AD2447" s="47">
        <f t="shared" si="738"/>
        <v>0</v>
      </c>
      <c r="AE2447" s="47">
        <f t="shared" si="739"/>
        <v>0</v>
      </c>
      <c r="AG2447" s="47">
        <f t="shared" si="740"/>
        <v>0</v>
      </c>
      <c r="AH2447" s="47">
        <f t="shared" si="741"/>
        <v>0</v>
      </c>
      <c r="AI2447" s="208">
        <f t="shared" si="742"/>
        <v>0</v>
      </c>
    </row>
    <row r="2448" spans="1:35">
      <c r="A2448" t="s">
        <v>2168</v>
      </c>
      <c r="B2448" t="s">
        <v>3286</v>
      </c>
      <c r="C2448" t="s">
        <v>2400</v>
      </c>
      <c r="D2448" t="s">
        <v>6004</v>
      </c>
      <c r="F2448" t="s">
        <v>6005</v>
      </c>
      <c r="G2448" s="126">
        <f>SUMIFS('Support - Transition'!F:F,'Support - Transition'!B:B,'Step 2'!A2448,'Support - Transition'!C:C,'Step 2'!B2448,'Support - Transition'!D:D,'Step 2'!C2448,'Support - Transition'!E:E,"CIVIL")</f>
        <v>0</v>
      </c>
      <c r="H2448" s="126">
        <f>SUMIFS('Support - Transition'!F:F,'Support - Transition'!B:B,'Step 2'!A2448,'Support - Transition'!C:C,'Step 2'!B2448,'Support - Transition'!D:D,'Step 2'!C2448,'Support - Transition'!E:E,"FIRE")</f>
        <v>0</v>
      </c>
      <c r="I2448" s="126">
        <f>IF(B2448="0",SUMIFS('Support - Transition'!F:F,'Support - Transition'!J:J,'Step 2'!D2448,'Support - Transition'!E:E,"STATE UNIT"),SUMIFS('Support - Transition'!F:F,'Support - Transition'!J:J,'Step 2'!D2448))</f>
        <v>0</v>
      </c>
      <c r="J2448" s="126">
        <f>SUMIFS('Support - Unit Adjustments'!E:E,'Support - Unit Adjustments'!F:F,'Step 2'!D2448)</f>
        <v>0</v>
      </c>
      <c r="K2448" s="126">
        <f t="shared" si="726"/>
        <v>0</v>
      </c>
      <c r="L2448" s="174">
        <f>VLOOKUP(A2448,'Step 1'!$A:$E,4,FALSE)</f>
        <v>793500</v>
      </c>
      <c r="M2448" s="47">
        <f t="shared" si="727"/>
        <v>0</v>
      </c>
      <c r="N2448" s="177">
        <f>SUMIFS('Support - Transition'!G:G,'Support - Transition'!J:J,'Step 2'!D2448,'Support - Transition'!E:E,"2009 WELFARE ALLOCATION FACTOR")</f>
        <v>0</v>
      </c>
      <c r="O2448" s="152">
        <f t="shared" si="732"/>
        <v>0</v>
      </c>
      <c r="P2448" s="126">
        <f>IF(E2448="Y",0,SUMIFS('Support - Transition'!G:G,'Support - Transition'!J:J,'Step 2'!D2448,'Support - Transition'!E:E,"2009 SCHOOL ALLOCATION FACTOR"))</f>
        <v>0</v>
      </c>
      <c r="Q2448" s="126">
        <f>IF(E2448="Y",VLOOKUP(D2448,'Support - Unit Adjustments'!F:G,2,FALSE),0)</f>
        <v>0</v>
      </c>
      <c r="R2448" s="155">
        <f t="shared" si="744"/>
        <v>0</v>
      </c>
      <c r="S2448" s="47">
        <f t="shared" si="743"/>
        <v>0</v>
      </c>
      <c r="T2448" s="151">
        <f t="shared" si="728"/>
        <v>0</v>
      </c>
      <c r="U2448" s="151">
        <f t="shared" si="729"/>
        <v>0</v>
      </c>
      <c r="V2448" s="139">
        <f t="shared" si="730"/>
        <v>0</v>
      </c>
      <c r="W2448" s="152">
        <f t="shared" si="733"/>
        <v>0</v>
      </c>
      <c r="X2448" s="127" t="str">
        <f t="shared" si="731"/>
        <v/>
      </c>
      <c r="Y2448" s="207">
        <f t="shared" si="734"/>
        <v>0</v>
      </c>
      <c r="Z2448" s="139">
        <f t="shared" si="735"/>
        <v>0</v>
      </c>
      <c r="AA2448" s="139">
        <f t="shared" si="736"/>
        <v>0</v>
      </c>
      <c r="AC2448" s="47">
        <f t="shared" si="737"/>
        <v>0</v>
      </c>
      <c r="AD2448" s="47">
        <f t="shared" si="738"/>
        <v>0</v>
      </c>
      <c r="AE2448" s="47">
        <f t="shared" si="739"/>
        <v>0</v>
      </c>
      <c r="AG2448" s="47">
        <f t="shared" si="740"/>
        <v>0</v>
      </c>
      <c r="AH2448" s="47">
        <f t="shared" si="741"/>
        <v>0</v>
      </c>
      <c r="AI2448" s="208">
        <f t="shared" si="742"/>
        <v>0</v>
      </c>
    </row>
    <row r="2449" spans="1:35">
      <c r="A2449" t="s">
        <v>2168</v>
      </c>
      <c r="B2449" t="s">
        <v>3286</v>
      </c>
      <c r="C2449" t="s">
        <v>3667</v>
      </c>
      <c r="D2449" t="s">
        <v>6006</v>
      </c>
      <c r="F2449" t="s">
        <v>6007</v>
      </c>
      <c r="G2449" s="126">
        <f>SUMIFS('Support - Transition'!F:F,'Support - Transition'!B:B,'Step 2'!A2449,'Support - Transition'!C:C,'Step 2'!B2449,'Support - Transition'!D:D,'Step 2'!C2449,'Support - Transition'!E:E,"CIVIL")</f>
        <v>0</v>
      </c>
      <c r="H2449" s="126">
        <f>SUMIFS('Support - Transition'!F:F,'Support - Transition'!B:B,'Step 2'!A2449,'Support - Transition'!C:C,'Step 2'!B2449,'Support - Transition'!D:D,'Step 2'!C2449,'Support - Transition'!E:E,"FIRE")</f>
        <v>0</v>
      </c>
      <c r="I2449" s="126">
        <f>IF(B2449="0",SUMIFS('Support - Transition'!F:F,'Support - Transition'!J:J,'Step 2'!D2449,'Support - Transition'!E:E,"STATE UNIT"),SUMIFS('Support - Transition'!F:F,'Support - Transition'!J:J,'Step 2'!D2449))</f>
        <v>0</v>
      </c>
      <c r="J2449" s="126">
        <f>SUMIFS('Support - Unit Adjustments'!E:E,'Support - Unit Adjustments'!F:F,'Step 2'!D2449)</f>
        <v>0</v>
      </c>
      <c r="K2449" s="126">
        <f t="shared" si="726"/>
        <v>0</v>
      </c>
      <c r="L2449" s="174">
        <f>VLOOKUP(A2449,'Step 1'!$A:$E,4,FALSE)</f>
        <v>793500</v>
      </c>
      <c r="M2449" s="47">
        <f t="shared" si="727"/>
        <v>0</v>
      </c>
      <c r="N2449" s="177">
        <f>SUMIFS('Support - Transition'!G:G,'Support - Transition'!J:J,'Step 2'!D2449,'Support - Transition'!E:E,"2009 WELFARE ALLOCATION FACTOR")</f>
        <v>0</v>
      </c>
      <c r="O2449" s="152">
        <f t="shared" si="732"/>
        <v>0</v>
      </c>
      <c r="P2449" s="126">
        <f>IF(E2449="Y",0,SUMIFS('Support - Transition'!G:G,'Support - Transition'!J:J,'Step 2'!D2449,'Support - Transition'!E:E,"2009 SCHOOL ALLOCATION FACTOR"))</f>
        <v>0</v>
      </c>
      <c r="Q2449" s="126">
        <f>IF(E2449="Y",VLOOKUP(D2449,'Support - Unit Adjustments'!F:G,2,FALSE),0)</f>
        <v>0</v>
      </c>
      <c r="R2449" s="155">
        <f t="shared" si="744"/>
        <v>0</v>
      </c>
      <c r="S2449" s="47">
        <f t="shared" si="743"/>
        <v>0</v>
      </c>
      <c r="T2449" s="151">
        <f t="shared" si="728"/>
        <v>0</v>
      </c>
      <c r="U2449" s="151">
        <f t="shared" si="729"/>
        <v>0</v>
      </c>
      <c r="V2449" s="139">
        <f t="shared" si="730"/>
        <v>0</v>
      </c>
      <c r="W2449" s="152">
        <f t="shared" si="733"/>
        <v>0</v>
      </c>
      <c r="X2449" s="127" t="str">
        <f t="shared" si="731"/>
        <v/>
      </c>
      <c r="Y2449" s="207">
        <f t="shared" si="734"/>
        <v>0</v>
      </c>
      <c r="Z2449" s="139">
        <f t="shared" si="735"/>
        <v>0</v>
      </c>
      <c r="AA2449" s="139">
        <f t="shared" si="736"/>
        <v>0</v>
      </c>
      <c r="AC2449" s="47">
        <f t="shared" si="737"/>
        <v>0</v>
      </c>
      <c r="AD2449" s="47">
        <f t="shared" si="738"/>
        <v>0</v>
      </c>
      <c r="AE2449" s="47">
        <f t="shared" si="739"/>
        <v>0</v>
      </c>
      <c r="AG2449" s="47">
        <f t="shared" si="740"/>
        <v>0</v>
      </c>
      <c r="AH2449" s="47">
        <f t="shared" si="741"/>
        <v>0</v>
      </c>
      <c r="AI2449" s="208">
        <f t="shared" si="742"/>
        <v>0</v>
      </c>
    </row>
    <row r="2450" spans="1:35">
      <c r="A2450" t="s">
        <v>2168</v>
      </c>
      <c r="B2450" t="s">
        <v>3286</v>
      </c>
      <c r="C2450" t="s">
        <v>2697</v>
      </c>
      <c r="D2450" t="s">
        <v>6008</v>
      </c>
      <c r="F2450" t="s">
        <v>6009</v>
      </c>
      <c r="G2450" s="126">
        <f>SUMIFS('Support - Transition'!F:F,'Support - Transition'!B:B,'Step 2'!A2450,'Support - Transition'!C:C,'Step 2'!B2450,'Support - Transition'!D:D,'Step 2'!C2450,'Support - Transition'!E:E,"CIVIL")</f>
        <v>0</v>
      </c>
      <c r="H2450" s="126">
        <f>SUMIFS('Support - Transition'!F:F,'Support - Transition'!B:B,'Step 2'!A2450,'Support - Transition'!C:C,'Step 2'!B2450,'Support - Transition'!D:D,'Step 2'!C2450,'Support - Transition'!E:E,"FIRE")</f>
        <v>0</v>
      </c>
      <c r="I2450" s="126">
        <f>IF(B2450="0",SUMIFS('Support - Transition'!F:F,'Support - Transition'!J:J,'Step 2'!D2450,'Support - Transition'!E:E,"STATE UNIT"),SUMIFS('Support - Transition'!F:F,'Support - Transition'!J:J,'Step 2'!D2450))</f>
        <v>0</v>
      </c>
      <c r="J2450" s="126">
        <f>SUMIFS('Support - Unit Adjustments'!E:E,'Support - Unit Adjustments'!F:F,'Step 2'!D2450)</f>
        <v>0</v>
      </c>
      <c r="K2450" s="126">
        <f t="shared" si="726"/>
        <v>0</v>
      </c>
      <c r="L2450" s="174">
        <f>VLOOKUP(A2450,'Step 1'!$A:$E,4,FALSE)</f>
        <v>793500</v>
      </c>
      <c r="M2450" s="47">
        <f t="shared" si="727"/>
        <v>0</v>
      </c>
      <c r="N2450" s="177">
        <f>SUMIFS('Support - Transition'!G:G,'Support - Transition'!J:J,'Step 2'!D2450,'Support - Transition'!E:E,"2009 WELFARE ALLOCATION FACTOR")</f>
        <v>0</v>
      </c>
      <c r="O2450" s="152">
        <f t="shared" si="732"/>
        <v>0</v>
      </c>
      <c r="P2450" s="126">
        <f>IF(E2450="Y",0,SUMIFS('Support - Transition'!G:G,'Support - Transition'!J:J,'Step 2'!D2450,'Support - Transition'!E:E,"2009 SCHOOL ALLOCATION FACTOR"))</f>
        <v>0</v>
      </c>
      <c r="Q2450" s="126">
        <f>IF(E2450="Y",VLOOKUP(D2450,'Support - Unit Adjustments'!F:G,2,FALSE),0)</f>
        <v>0</v>
      </c>
      <c r="R2450" s="155">
        <f t="shared" si="744"/>
        <v>0</v>
      </c>
      <c r="S2450" s="47">
        <f t="shared" si="743"/>
        <v>0</v>
      </c>
      <c r="T2450" s="151">
        <f t="shared" si="728"/>
        <v>0</v>
      </c>
      <c r="U2450" s="151">
        <f t="shared" si="729"/>
        <v>0</v>
      </c>
      <c r="V2450" s="139">
        <f t="shared" si="730"/>
        <v>0</v>
      </c>
      <c r="W2450" s="152">
        <f t="shared" si="733"/>
        <v>0</v>
      </c>
      <c r="X2450" s="127" t="str">
        <f t="shared" si="731"/>
        <v/>
      </c>
      <c r="Y2450" s="207">
        <f t="shared" si="734"/>
        <v>0</v>
      </c>
      <c r="Z2450" s="139">
        <f t="shared" si="735"/>
        <v>0</v>
      </c>
      <c r="AA2450" s="139">
        <f t="shared" si="736"/>
        <v>0</v>
      </c>
      <c r="AC2450" s="47">
        <f t="shared" si="737"/>
        <v>0</v>
      </c>
      <c r="AD2450" s="47">
        <f t="shared" si="738"/>
        <v>0</v>
      </c>
      <c r="AE2450" s="47">
        <f t="shared" si="739"/>
        <v>0</v>
      </c>
      <c r="AG2450" s="47">
        <f t="shared" si="740"/>
        <v>0</v>
      </c>
      <c r="AH2450" s="47">
        <f t="shared" si="741"/>
        <v>0</v>
      </c>
      <c r="AI2450" s="208">
        <f t="shared" si="742"/>
        <v>0</v>
      </c>
    </row>
    <row r="2451" spans="1:35">
      <c r="A2451" t="s">
        <v>2168</v>
      </c>
      <c r="B2451" t="s">
        <v>3286</v>
      </c>
      <c r="C2451" t="s">
        <v>6010</v>
      </c>
      <c r="D2451" t="s">
        <v>6011</v>
      </c>
      <c r="F2451" t="s">
        <v>6012</v>
      </c>
      <c r="G2451" s="126">
        <f>SUMIFS('Support - Transition'!F:F,'Support - Transition'!B:B,'Step 2'!A2451,'Support - Transition'!C:C,'Step 2'!B2451,'Support - Transition'!D:D,'Step 2'!C2451,'Support - Transition'!E:E,"CIVIL")</f>
        <v>0</v>
      </c>
      <c r="H2451" s="126">
        <f>SUMIFS('Support - Transition'!F:F,'Support - Transition'!B:B,'Step 2'!A2451,'Support - Transition'!C:C,'Step 2'!B2451,'Support - Transition'!D:D,'Step 2'!C2451,'Support - Transition'!E:E,"FIRE")</f>
        <v>0</v>
      </c>
      <c r="I2451" s="126">
        <f>IF(B2451="0",SUMIFS('Support - Transition'!F:F,'Support - Transition'!J:J,'Step 2'!D2451,'Support - Transition'!E:E,"STATE UNIT"),SUMIFS('Support - Transition'!F:F,'Support - Transition'!J:J,'Step 2'!D2451))</f>
        <v>0</v>
      </c>
      <c r="J2451" s="126">
        <f>SUMIFS('Support - Unit Adjustments'!E:E,'Support - Unit Adjustments'!F:F,'Step 2'!D2451)</f>
        <v>0</v>
      </c>
      <c r="K2451" s="126">
        <f t="shared" si="726"/>
        <v>0</v>
      </c>
      <c r="L2451" s="174">
        <f>VLOOKUP(A2451,'Step 1'!$A:$E,4,FALSE)</f>
        <v>793500</v>
      </c>
      <c r="M2451" s="47">
        <f t="shared" si="727"/>
        <v>0</v>
      </c>
      <c r="N2451" s="177">
        <f>SUMIFS('Support - Transition'!G:G,'Support - Transition'!J:J,'Step 2'!D2451,'Support - Transition'!E:E,"2009 WELFARE ALLOCATION FACTOR")</f>
        <v>0</v>
      </c>
      <c r="O2451" s="152">
        <f t="shared" si="732"/>
        <v>0</v>
      </c>
      <c r="P2451" s="126">
        <f>IF(E2451="Y",0,SUMIFS('Support - Transition'!G:G,'Support - Transition'!J:J,'Step 2'!D2451,'Support - Transition'!E:E,"2009 SCHOOL ALLOCATION FACTOR"))</f>
        <v>0</v>
      </c>
      <c r="Q2451" s="126">
        <f>IF(E2451="Y",VLOOKUP(D2451,'Support - Unit Adjustments'!F:G,2,FALSE),0)</f>
        <v>0</v>
      </c>
      <c r="R2451" s="155">
        <f t="shared" si="744"/>
        <v>0</v>
      </c>
      <c r="S2451" s="47">
        <f t="shared" si="743"/>
        <v>0</v>
      </c>
      <c r="T2451" s="151">
        <f t="shared" si="728"/>
        <v>0</v>
      </c>
      <c r="U2451" s="151">
        <f t="shared" si="729"/>
        <v>0</v>
      </c>
      <c r="V2451" s="139">
        <f t="shared" si="730"/>
        <v>0</v>
      </c>
      <c r="W2451" s="152">
        <f t="shared" si="733"/>
        <v>0</v>
      </c>
      <c r="X2451" s="127" t="str">
        <f t="shared" si="731"/>
        <v/>
      </c>
      <c r="Y2451" s="207">
        <f t="shared" si="734"/>
        <v>0</v>
      </c>
      <c r="Z2451" s="139">
        <f t="shared" si="735"/>
        <v>0</v>
      </c>
      <c r="AA2451" s="139">
        <f t="shared" si="736"/>
        <v>0</v>
      </c>
      <c r="AC2451" s="47">
        <f t="shared" si="737"/>
        <v>0</v>
      </c>
      <c r="AD2451" s="47">
        <f t="shared" si="738"/>
        <v>0</v>
      </c>
      <c r="AE2451" s="47">
        <f t="shared" si="739"/>
        <v>0</v>
      </c>
      <c r="AG2451" s="47">
        <f t="shared" si="740"/>
        <v>0</v>
      </c>
      <c r="AH2451" s="47">
        <f t="shared" si="741"/>
        <v>0</v>
      </c>
      <c r="AI2451" s="208">
        <f t="shared" si="742"/>
        <v>0</v>
      </c>
    </row>
    <row r="2452" spans="1:35">
      <c r="A2452" t="s">
        <v>2168</v>
      </c>
      <c r="B2452" t="s">
        <v>3286</v>
      </c>
      <c r="C2452" t="s">
        <v>2963</v>
      </c>
      <c r="D2452" t="s">
        <v>6013</v>
      </c>
      <c r="F2452" t="s">
        <v>6014</v>
      </c>
      <c r="G2452" s="126">
        <f>SUMIFS('Support - Transition'!F:F,'Support - Transition'!B:B,'Step 2'!A2452,'Support - Transition'!C:C,'Step 2'!B2452,'Support - Transition'!D:D,'Step 2'!C2452,'Support - Transition'!E:E,"CIVIL")</f>
        <v>0</v>
      </c>
      <c r="H2452" s="126">
        <f>SUMIFS('Support - Transition'!F:F,'Support - Transition'!B:B,'Step 2'!A2452,'Support - Transition'!C:C,'Step 2'!B2452,'Support - Transition'!D:D,'Step 2'!C2452,'Support - Transition'!E:E,"FIRE")</f>
        <v>0</v>
      </c>
      <c r="I2452" s="126">
        <f>IF(B2452="0",SUMIFS('Support - Transition'!F:F,'Support - Transition'!J:J,'Step 2'!D2452,'Support - Transition'!E:E,"STATE UNIT"),SUMIFS('Support - Transition'!F:F,'Support - Transition'!J:J,'Step 2'!D2452))</f>
        <v>0</v>
      </c>
      <c r="J2452" s="126">
        <f>SUMIFS('Support - Unit Adjustments'!E:E,'Support - Unit Adjustments'!F:F,'Step 2'!D2452)</f>
        <v>0</v>
      </c>
      <c r="K2452" s="126">
        <f t="shared" si="726"/>
        <v>0</v>
      </c>
      <c r="L2452" s="174">
        <f>VLOOKUP(A2452,'Step 1'!$A:$E,4,FALSE)</f>
        <v>793500</v>
      </c>
      <c r="M2452" s="47">
        <f t="shared" si="727"/>
        <v>0</v>
      </c>
      <c r="N2452" s="177">
        <f>SUMIFS('Support - Transition'!G:G,'Support - Transition'!J:J,'Step 2'!D2452,'Support - Transition'!E:E,"2009 WELFARE ALLOCATION FACTOR")</f>
        <v>0</v>
      </c>
      <c r="O2452" s="152">
        <f t="shared" si="732"/>
        <v>0</v>
      </c>
      <c r="P2452" s="126">
        <f>IF(E2452="Y",0,SUMIFS('Support - Transition'!G:G,'Support - Transition'!J:J,'Step 2'!D2452,'Support - Transition'!E:E,"2009 SCHOOL ALLOCATION FACTOR"))</f>
        <v>0</v>
      </c>
      <c r="Q2452" s="126">
        <f>IF(E2452="Y",VLOOKUP(D2452,'Support - Unit Adjustments'!F:G,2,FALSE),0)</f>
        <v>0</v>
      </c>
      <c r="R2452" s="155">
        <f t="shared" si="744"/>
        <v>0</v>
      </c>
      <c r="S2452" s="47">
        <f t="shared" si="743"/>
        <v>0</v>
      </c>
      <c r="T2452" s="151">
        <f t="shared" si="728"/>
        <v>0</v>
      </c>
      <c r="U2452" s="151">
        <f t="shared" si="729"/>
        <v>0</v>
      </c>
      <c r="V2452" s="139">
        <f t="shared" si="730"/>
        <v>0</v>
      </c>
      <c r="W2452" s="152">
        <f t="shared" si="733"/>
        <v>0</v>
      </c>
      <c r="X2452" s="127" t="str">
        <f t="shared" si="731"/>
        <v/>
      </c>
      <c r="Y2452" s="207">
        <f t="shared" si="734"/>
        <v>0</v>
      </c>
      <c r="Z2452" s="139">
        <f t="shared" si="735"/>
        <v>0</v>
      </c>
      <c r="AA2452" s="139">
        <f t="shared" si="736"/>
        <v>0</v>
      </c>
      <c r="AC2452" s="47">
        <f t="shared" si="737"/>
        <v>0</v>
      </c>
      <c r="AD2452" s="47">
        <f t="shared" si="738"/>
        <v>0</v>
      </c>
      <c r="AE2452" s="47">
        <f t="shared" si="739"/>
        <v>0</v>
      </c>
      <c r="AG2452" s="47">
        <f t="shared" si="740"/>
        <v>0</v>
      </c>
      <c r="AH2452" s="47">
        <f t="shared" si="741"/>
        <v>0</v>
      </c>
      <c r="AI2452" s="208">
        <f t="shared" si="742"/>
        <v>0</v>
      </c>
    </row>
    <row r="2453" spans="1:35">
      <c r="A2453" t="s">
        <v>2169</v>
      </c>
      <c r="B2453" s="48" t="s">
        <v>6274</v>
      </c>
      <c r="C2453" t="s">
        <v>2187</v>
      </c>
      <c r="D2453" t="str">
        <f>A2453&amp;B2453&amp;C2453</f>
        <v>8500000</v>
      </c>
      <c r="F2453" t="s">
        <v>6359</v>
      </c>
      <c r="G2453" s="126">
        <f>SUMIFS('Support - Transition'!F:F,'Support - Transition'!B:B,'Step 2'!A2453,'Support - Transition'!C:C,'Step 2'!B2453,'Support - Transition'!D:D,'Step 2'!C2453,'Support - Transition'!E:E,"CIVIL")</f>
        <v>0</v>
      </c>
      <c r="H2453" s="126">
        <f>SUMIFS('Support - Transition'!F:F,'Support - Transition'!B:B,'Step 2'!A2453,'Support - Transition'!C:C,'Step 2'!B2453,'Support - Transition'!D:D,'Step 2'!C2453,'Support - Transition'!E:E,"FIRE")</f>
        <v>0</v>
      </c>
      <c r="I2453" s="126">
        <f>IF(B2453="0",SUMIFS('Support - Transition'!F:F,'Support - Transition'!J:J,'Step 2'!D2453,'Support - Transition'!E:E,"STATE UNIT"),SUMIFS('Support - Transition'!F:F,'Support - Transition'!J:J,'Step 2'!D2453))</f>
        <v>1.253E-3</v>
      </c>
      <c r="J2453" s="126">
        <f>SUMIFS('Support - Unit Adjustments'!E:E,'Support - Unit Adjustments'!F:F,'Step 2'!D2453)</f>
        <v>0</v>
      </c>
      <c r="K2453" s="126">
        <f t="shared" si="726"/>
        <v>1.253E-3</v>
      </c>
      <c r="L2453" s="174">
        <f>VLOOKUP(A2453,'Step 1'!$A:$E,4,FALSE)</f>
        <v>349169</v>
      </c>
      <c r="M2453" s="47">
        <f t="shared" si="727"/>
        <v>438</v>
      </c>
      <c r="N2453" s="177">
        <f>SUMIFS('Support - Transition'!G:G,'Support - Transition'!J:J,'Step 2'!D2453,'Support - Transition'!E:E,"2009 WELFARE ALLOCATION FACTOR")</f>
        <v>0</v>
      </c>
      <c r="O2453" s="152">
        <f t="shared" si="732"/>
        <v>0</v>
      </c>
      <c r="P2453" s="126">
        <f>IF(E2453="Y",0,SUMIFS('Support - Transition'!G:G,'Support - Transition'!J:J,'Step 2'!D2453,'Support - Transition'!E:E,"2009 SCHOOL ALLOCATION FACTOR"))</f>
        <v>0</v>
      </c>
      <c r="Q2453" s="126">
        <f>IF(E2453="Y",VLOOKUP(D2453,'Support - Unit Adjustments'!F:G,2,FALSE),0)</f>
        <v>0</v>
      </c>
      <c r="R2453" s="155">
        <f t="shared" si="744"/>
        <v>0</v>
      </c>
      <c r="S2453" s="47">
        <f t="shared" si="743"/>
        <v>0</v>
      </c>
      <c r="T2453" s="151">
        <f t="shared" si="728"/>
        <v>438</v>
      </c>
      <c r="U2453" s="151">
        <f t="shared" si="729"/>
        <v>349168</v>
      </c>
      <c r="V2453" s="139">
        <f t="shared" si="730"/>
        <v>-1</v>
      </c>
      <c r="W2453" s="152">
        <f t="shared" si="733"/>
        <v>439</v>
      </c>
      <c r="X2453" s="127">
        <f t="shared" si="731"/>
        <v>0</v>
      </c>
      <c r="Y2453" s="207">
        <f t="shared" si="734"/>
        <v>439</v>
      </c>
      <c r="Z2453" s="139">
        <f t="shared" si="735"/>
        <v>439</v>
      </c>
      <c r="AA2453" s="139">
        <f t="shared" si="736"/>
        <v>0</v>
      </c>
      <c r="AC2453" s="47">
        <f t="shared" si="737"/>
        <v>220</v>
      </c>
      <c r="AD2453" s="47">
        <f t="shared" si="738"/>
        <v>220</v>
      </c>
      <c r="AE2453" s="47">
        <f t="shared" si="739"/>
        <v>0</v>
      </c>
      <c r="AG2453" s="47">
        <f t="shared" si="740"/>
        <v>219</v>
      </c>
      <c r="AH2453" s="47">
        <f t="shared" si="741"/>
        <v>219</v>
      </c>
      <c r="AI2453" s="208">
        <f t="shared" si="742"/>
        <v>0</v>
      </c>
    </row>
    <row r="2454" spans="1:35">
      <c r="A2454" t="s">
        <v>2169</v>
      </c>
      <c r="B2454" t="s">
        <v>3140</v>
      </c>
      <c r="C2454" t="s">
        <v>2187</v>
      </c>
      <c r="D2454" t="s">
        <v>6015</v>
      </c>
      <c r="F2454" t="s">
        <v>1749</v>
      </c>
      <c r="G2454" s="126">
        <f>SUMIFS('Support - Transition'!F:F,'Support - Transition'!B:B,'Step 2'!A2454,'Support - Transition'!C:C,'Step 2'!B2454,'Support - Transition'!D:D,'Step 2'!C2454,'Support - Transition'!E:E,"CIVIL")</f>
        <v>0</v>
      </c>
      <c r="H2454" s="126">
        <f>SUMIFS('Support - Transition'!F:F,'Support - Transition'!B:B,'Step 2'!A2454,'Support - Transition'!C:C,'Step 2'!B2454,'Support - Transition'!D:D,'Step 2'!C2454,'Support - Transition'!E:E,"FIRE")</f>
        <v>0</v>
      </c>
      <c r="I2454" s="126">
        <f>IF(B2454="0",SUMIFS('Support - Transition'!F:F,'Support - Transition'!J:J,'Step 2'!D2454,'Support - Transition'!E:E,"STATE UNIT"),SUMIFS('Support - Transition'!F:F,'Support - Transition'!J:J,'Step 2'!D2454))</f>
        <v>0.21440999999999999</v>
      </c>
      <c r="J2454" s="126">
        <f>SUMIFS('Support - Unit Adjustments'!E:E,'Support - Unit Adjustments'!F:F,'Step 2'!D2454)</f>
        <v>0</v>
      </c>
      <c r="K2454" s="126">
        <f t="shared" si="726"/>
        <v>0.21440999999999999</v>
      </c>
      <c r="L2454" s="174">
        <f>VLOOKUP(A2454,'Step 1'!$A:$E,4,FALSE)</f>
        <v>349169</v>
      </c>
      <c r="M2454" s="47">
        <f t="shared" si="727"/>
        <v>74865</v>
      </c>
      <c r="N2454" s="177">
        <f>SUMIFS('Support - Transition'!G:G,'Support - Transition'!J:J,'Step 2'!D2454,'Support - Transition'!E:E,"2009 WELFARE ALLOCATION FACTOR")</f>
        <v>0.336231</v>
      </c>
      <c r="O2454" s="152">
        <f t="shared" si="732"/>
        <v>25172</v>
      </c>
      <c r="P2454" s="126">
        <f>IF(E2454="Y",0,SUMIFS('Support - Transition'!G:G,'Support - Transition'!J:J,'Step 2'!D2454,'Support - Transition'!E:E,"2009 SCHOOL ALLOCATION FACTOR"))</f>
        <v>0</v>
      </c>
      <c r="Q2454" s="126">
        <f>IF(E2454="Y",VLOOKUP(D2454,'Support - Unit Adjustments'!F:G,2,FALSE),0)</f>
        <v>0</v>
      </c>
      <c r="R2454" s="155">
        <f t="shared" si="744"/>
        <v>0</v>
      </c>
      <c r="S2454" s="47">
        <f t="shared" si="743"/>
        <v>0</v>
      </c>
      <c r="T2454" s="151">
        <f t="shared" si="728"/>
        <v>49693</v>
      </c>
      <c r="U2454" s="151">
        <f t="shared" si="729"/>
        <v>0</v>
      </c>
      <c r="V2454" s="139">
        <f t="shared" si="730"/>
        <v>0</v>
      </c>
      <c r="W2454" s="152">
        <f t="shared" si="733"/>
        <v>49693</v>
      </c>
      <c r="X2454" s="127" t="str">
        <f t="shared" si="731"/>
        <v/>
      </c>
      <c r="Y2454" s="207">
        <f t="shared" si="734"/>
        <v>49693</v>
      </c>
      <c r="Z2454" s="139">
        <f t="shared" si="735"/>
        <v>49693</v>
      </c>
      <c r="AA2454" s="139">
        <f t="shared" si="736"/>
        <v>0</v>
      </c>
      <c r="AC2454" s="47">
        <f t="shared" si="737"/>
        <v>24847</v>
      </c>
      <c r="AD2454" s="47">
        <f t="shared" si="738"/>
        <v>24847</v>
      </c>
      <c r="AE2454" s="47">
        <f t="shared" si="739"/>
        <v>0</v>
      </c>
      <c r="AG2454" s="47">
        <f t="shared" si="740"/>
        <v>24846</v>
      </c>
      <c r="AH2454" s="47">
        <f t="shared" si="741"/>
        <v>24846</v>
      </c>
      <c r="AI2454" s="208">
        <f t="shared" si="742"/>
        <v>0</v>
      </c>
    </row>
    <row r="2455" spans="1:35">
      <c r="A2455" t="s">
        <v>2169</v>
      </c>
      <c r="B2455" t="s">
        <v>3142</v>
      </c>
      <c r="C2455" t="s">
        <v>2188</v>
      </c>
      <c r="D2455" t="s">
        <v>6016</v>
      </c>
      <c r="F2455" t="s">
        <v>1750</v>
      </c>
      <c r="G2455" s="126">
        <f>SUMIFS('Support - Transition'!F:F,'Support - Transition'!B:B,'Step 2'!A2455,'Support - Transition'!C:C,'Step 2'!B2455,'Support - Transition'!D:D,'Step 2'!C2455,'Support - Transition'!E:E,"CIVIL")</f>
        <v>7.6940000000000003E-3</v>
      </c>
      <c r="H2455" s="126">
        <f>SUMIFS('Support - Transition'!F:F,'Support - Transition'!B:B,'Step 2'!A2455,'Support - Transition'!C:C,'Step 2'!B2455,'Support - Transition'!D:D,'Step 2'!C2455,'Support - Transition'!E:E,"FIRE")</f>
        <v>1.034E-3</v>
      </c>
      <c r="I2455" s="126">
        <f>IF(B2455="0",SUMIFS('Support - Transition'!F:F,'Support - Transition'!J:J,'Step 2'!D2455,'Support - Transition'!E:E,"STATE UNIT"),SUMIFS('Support - Transition'!F:F,'Support - Transition'!J:J,'Step 2'!D2455))</f>
        <v>8.7279999999999996E-3</v>
      </c>
      <c r="J2455" s="126">
        <f>SUMIFS('Support - Unit Adjustments'!E:E,'Support - Unit Adjustments'!F:F,'Step 2'!D2455)</f>
        <v>0</v>
      </c>
      <c r="K2455" s="126">
        <f t="shared" si="726"/>
        <v>8.7279999999999996E-3</v>
      </c>
      <c r="L2455" s="174">
        <f>VLOOKUP(A2455,'Step 1'!$A:$E,4,FALSE)</f>
        <v>349169</v>
      </c>
      <c r="M2455" s="47">
        <f t="shared" si="727"/>
        <v>3048</v>
      </c>
      <c r="N2455" s="177">
        <f>SUMIFS('Support - Transition'!G:G,'Support - Transition'!J:J,'Step 2'!D2455,'Support - Transition'!E:E,"2009 WELFARE ALLOCATION FACTOR")</f>
        <v>0</v>
      </c>
      <c r="O2455" s="152">
        <f t="shared" si="732"/>
        <v>0</v>
      </c>
      <c r="P2455" s="126">
        <f>IF(E2455="Y",0,SUMIFS('Support - Transition'!G:G,'Support - Transition'!J:J,'Step 2'!D2455,'Support - Transition'!E:E,"2009 SCHOOL ALLOCATION FACTOR"))</f>
        <v>0</v>
      </c>
      <c r="Q2455" s="126">
        <f>IF(E2455="Y",VLOOKUP(D2455,'Support - Unit Adjustments'!F:G,2,FALSE),0)</f>
        <v>0</v>
      </c>
      <c r="R2455" s="155">
        <f t="shared" si="744"/>
        <v>0</v>
      </c>
      <c r="S2455" s="47">
        <f t="shared" si="743"/>
        <v>0</v>
      </c>
      <c r="T2455" s="151">
        <f t="shared" si="728"/>
        <v>3048</v>
      </c>
      <c r="U2455" s="151">
        <f t="shared" si="729"/>
        <v>0</v>
      </c>
      <c r="V2455" s="139">
        <f t="shared" si="730"/>
        <v>0</v>
      </c>
      <c r="W2455" s="152">
        <f t="shared" si="733"/>
        <v>3048</v>
      </c>
      <c r="X2455" s="127" t="str">
        <f t="shared" si="731"/>
        <v/>
      </c>
      <c r="Y2455" s="207">
        <f t="shared" si="734"/>
        <v>3048</v>
      </c>
      <c r="Z2455" s="139">
        <f t="shared" si="735"/>
        <v>2687</v>
      </c>
      <c r="AA2455" s="139">
        <f t="shared" si="736"/>
        <v>361</v>
      </c>
      <c r="AC2455" s="47">
        <f t="shared" si="737"/>
        <v>1524</v>
      </c>
      <c r="AD2455" s="47">
        <f t="shared" si="738"/>
        <v>1344</v>
      </c>
      <c r="AE2455" s="47">
        <f t="shared" si="739"/>
        <v>181</v>
      </c>
      <c r="AG2455" s="47">
        <f t="shared" si="740"/>
        <v>1524</v>
      </c>
      <c r="AH2455" s="47">
        <f t="shared" si="741"/>
        <v>1343</v>
      </c>
      <c r="AI2455" s="208">
        <f t="shared" si="742"/>
        <v>180</v>
      </c>
    </row>
    <row r="2456" spans="1:35">
      <c r="A2456" t="s">
        <v>2169</v>
      </c>
      <c r="B2456" t="s">
        <v>3142</v>
      </c>
      <c r="C2456" t="s">
        <v>2189</v>
      </c>
      <c r="D2456" t="s">
        <v>6017</v>
      </c>
      <c r="F2456" t="s">
        <v>1751</v>
      </c>
      <c r="G2456" s="126">
        <f>SUMIFS('Support - Transition'!F:F,'Support - Transition'!B:B,'Step 2'!A2456,'Support - Transition'!C:C,'Step 2'!B2456,'Support - Transition'!D:D,'Step 2'!C2456,'Support - Transition'!E:E,"CIVIL")</f>
        <v>9.7900000000000005E-4</v>
      </c>
      <c r="H2456" s="126">
        <f>SUMIFS('Support - Transition'!F:F,'Support - Transition'!B:B,'Step 2'!A2456,'Support - Transition'!C:C,'Step 2'!B2456,'Support - Transition'!D:D,'Step 2'!C2456,'Support - Transition'!E:E,"FIRE")</f>
        <v>1.7099999999999999E-3</v>
      </c>
      <c r="I2456" s="126">
        <f>IF(B2456="0",SUMIFS('Support - Transition'!F:F,'Support - Transition'!J:J,'Step 2'!D2456,'Support - Transition'!E:E,"STATE UNIT"),SUMIFS('Support - Transition'!F:F,'Support - Transition'!J:J,'Step 2'!D2456))</f>
        <v>2.689E-3</v>
      </c>
      <c r="J2456" s="126">
        <f>SUMIFS('Support - Unit Adjustments'!E:E,'Support - Unit Adjustments'!F:F,'Step 2'!D2456)</f>
        <v>0</v>
      </c>
      <c r="K2456" s="126">
        <f t="shared" si="726"/>
        <v>2.689E-3</v>
      </c>
      <c r="L2456" s="174">
        <f>VLOOKUP(A2456,'Step 1'!$A:$E,4,FALSE)</f>
        <v>349169</v>
      </c>
      <c r="M2456" s="47">
        <f t="shared" si="727"/>
        <v>939</v>
      </c>
      <c r="N2456" s="177">
        <f>SUMIFS('Support - Transition'!G:G,'Support - Transition'!J:J,'Step 2'!D2456,'Support - Transition'!E:E,"2009 WELFARE ALLOCATION FACTOR")</f>
        <v>0</v>
      </c>
      <c r="O2456" s="152">
        <f t="shared" si="732"/>
        <v>0</v>
      </c>
      <c r="P2456" s="126">
        <f>IF(E2456="Y",0,SUMIFS('Support - Transition'!G:G,'Support - Transition'!J:J,'Step 2'!D2456,'Support - Transition'!E:E,"2009 SCHOOL ALLOCATION FACTOR"))</f>
        <v>0</v>
      </c>
      <c r="Q2456" s="126">
        <f>IF(E2456="Y",VLOOKUP(D2456,'Support - Unit Adjustments'!F:G,2,FALSE),0)</f>
        <v>0</v>
      </c>
      <c r="R2456" s="155">
        <f t="shared" si="744"/>
        <v>0</v>
      </c>
      <c r="S2456" s="47">
        <f t="shared" si="743"/>
        <v>0</v>
      </c>
      <c r="T2456" s="151">
        <f t="shared" si="728"/>
        <v>939</v>
      </c>
      <c r="U2456" s="151">
        <f t="shared" si="729"/>
        <v>0</v>
      </c>
      <c r="V2456" s="139">
        <f t="shared" si="730"/>
        <v>0</v>
      </c>
      <c r="W2456" s="152">
        <f t="shared" si="733"/>
        <v>939</v>
      </c>
      <c r="X2456" s="127" t="str">
        <f t="shared" si="731"/>
        <v/>
      </c>
      <c r="Y2456" s="207">
        <f t="shared" si="734"/>
        <v>939</v>
      </c>
      <c r="Z2456" s="139">
        <f t="shared" si="735"/>
        <v>342</v>
      </c>
      <c r="AA2456" s="139">
        <f t="shared" si="736"/>
        <v>597</v>
      </c>
      <c r="AC2456" s="47">
        <f t="shared" si="737"/>
        <v>470</v>
      </c>
      <c r="AD2456" s="47">
        <f t="shared" si="738"/>
        <v>171</v>
      </c>
      <c r="AE2456" s="47">
        <f t="shared" si="739"/>
        <v>299</v>
      </c>
      <c r="AG2456" s="47">
        <f t="shared" si="740"/>
        <v>469</v>
      </c>
      <c r="AH2456" s="47">
        <f t="shared" si="741"/>
        <v>171</v>
      </c>
      <c r="AI2456" s="208">
        <f t="shared" si="742"/>
        <v>298</v>
      </c>
    </row>
    <row r="2457" spans="1:35">
      <c r="A2457" t="s">
        <v>2169</v>
      </c>
      <c r="B2457" t="s">
        <v>3142</v>
      </c>
      <c r="C2457" t="s">
        <v>2190</v>
      </c>
      <c r="D2457" t="s">
        <v>6018</v>
      </c>
      <c r="F2457" t="s">
        <v>181</v>
      </c>
      <c r="G2457" s="126">
        <f>SUMIFS('Support - Transition'!F:F,'Support - Transition'!B:B,'Step 2'!A2457,'Support - Transition'!C:C,'Step 2'!B2457,'Support - Transition'!D:D,'Step 2'!C2457,'Support - Transition'!E:E,"CIVIL")</f>
        <v>7.3099999999999999E-4</v>
      </c>
      <c r="H2457" s="126">
        <f>SUMIFS('Support - Transition'!F:F,'Support - Transition'!B:B,'Step 2'!A2457,'Support - Transition'!C:C,'Step 2'!B2457,'Support - Transition'!D:D,'Step 2'!C2457,'Support - Transition'!E:E,"FIRE")</f>
        <v>6.8900000000000005E-4</v>
      </c>
      <c r="I2457" s="126">
        <f>IF(B2457="0",SUMIFS('Support - Transition'!F:F,'Support - Transition'!J:J,'Step 2'!D2457,'Support - Transition'!E:E,"STATE UNIT"),SUMIFS('Support - Transition'!F:F,'Support - Transition'!J:J,'Step 2'!D2457))</f>
        <v>1.42E-3</v>
      </c>
      <c r="J2457" s="126">
        <f>SUMIFS('Support - Unit Adjustments'!E:E,'Support - Unit Adjustments'!F:F,'Step 2'!D2457)</f>
        <v>0</v>
      </c>
      <c r="K2457" s="126">
        <f t="shared" si="726"/>
        <v>1.42E-3</v>
      </c>
      <c r="L2457" s="174">
        <f>VLOOKUP(A2457,'Step 1'!$A:$E,4,FALSE)</f>
        <v>349169</v>
      </c>
      <c r="M2457" s="47">
        <f t="shared" si="727"/>
        <v>496</v>
      </c>
      <c r="N2457" s="177">
        <f>SUMIFS('Support - Transition'!G:G,'Support - Transition'!J:J,'Step 2'!D2457,'Support - Transition'!E:E,"2009 WELFARE ALLOCATION FACTOR")</f>
        <v>0</v>
      </c>
      <c r="O2457" s="152">
        <f t="shared" si="732"/>
        <v>0</v>
      </c>
      <c r="P2457" s="126">
        <f>IF(E2457="Y",0,SUMIFS('Support - Transition'!G:G,'Support - Transition'!J:J,'Step 2'!D2457,'Support - Transition'!E:E,"2009 SCHOOL ALLOCATION FACTOR"))</f>
        <v>0</v>
      </c>
      <c r="Q2457" s="126">
        <f>IF(E2457="Y",VLOOKUP(D2457,'Support - Unit Adjustments'!F:G,2,FALSE),0)</f>
        <v>0</v>
      </c>
      <c r="R2457" s="155">
        <f t="shared" si="744"/>
        <v>0</v>
      </c>
      <c r="S2457" s="47">
        <f t="shared" si="743"/>
        <v>0</v>
      </c>
      <c r="T2457" s="151">
        <f t="shared" si="728"/>
        <v>496</v>
      </c>
      <c r="U2457" s="151">
        <f t="shared" si="729"/>
        <v>0</v>
      </c>
      <c r="V2457" s="139">
        <f t="shared" si="730"/>
        <v>0</v>
      </c>
      <c r="W2457" s="152">
        <f t="shared" si="733"/>
        <v>496</v>
      </c>
      <c r="X2457" s="127" t="str">
        <f t="shared" si="731"/>
        <v/>
      </c>
      <c r="Y2457" s="207">
        <f t="shared" si="734"/>
        <v>496</v>
      </c>
      <c r="Z2457" s="139">
        <f t="shared" si="735"/>
        <v>255</v>
      </c>
      <c r="AA2457" s="139">
        <f t="shared" si="736"/>
        <v>241</v>
      </c>
      <c r="AC2457" s="47">
        <f t="shared" si="737"/>
        <v>248</v>
      </c>
      <c r="AD2457" s="47">
        <f t="shared" si="738"/>
        <v>128</v>
      </c>
      <c r="AE2457" s="47">
        <f t="shared" si="739"/>
        <v>121</v>
      </c>
      <c r="AG2457" s="47">
        <f t="shared" si="740"/>
        <v>248</v>
      </c>
      <c r="AH2457" s="47">
        <f t="shared" si="741"/>
        <v>127</v>
      </c>
      <c r="AI2457" s="208">
        <f t="shared" si="742"/>
        <v>120</v>
      </c>
    </row>
    <row r="2458" spans="1:35">
      <c r="A2458" t="s">
        <v>2169</v>
      </c>
      <c r="B2458" t="s">
        <v>3142</v>
      </c>
      <c r="C2458" t="s">
        <v>2191</v>
      </c>
      <c r="D2458" t="s">
        <v>6019</v>
      </c>
      <c r="F2458" t="s">
        <v>203</v>
      </c>
      <c r="G2458" s="126">
        <f>SUMIFS('Support - Transition'!F:F,'Support - Transition'!B:B,'Step 2'!A2458,'Support - Transition'!C:C,'Step 2'!B2458,'Support - Transition'!D:D,'Step 2'!C2458,'Support - Transition'!E:E,"CIVIL")</f>
        <v>8.5140000000000007E-3</v>
      </c>
      <c r="H2458" s="126">
        <f>SUMIFS('Support - Transition'!F:F,'Support - Transition'!B:B,'Step 2'!A2458,'Support - Transition'!C:C,'Step 2'!B2458,'Support - Transition'!D:D,'Step 2'!C2458,'Support - Transition'!E:E,"FIRE")</f>
        <v>1.9E-3</v>
      </c>
      <c r="I2458" s="126">
        <f>IF(B2458="0",SUMIFS('Support - Transition'!F:F,'Support - Transition'!J:J,'Step 2'!D2458,'Support - Transition'!E:E,"STATE UNIT"),SUMIFS('Support - Transition'!F:F,'Support - Transition'!J:J,'Step 2'!D2458))</f>
        <v>1.0414000000000001E-2</v>
      </c>
      <c r="J2458" s="126">
        <f>SUMIFS('Support - Unit Adjustments'!E:E,'Support - Unit Adjustments'!F:F,'Step 2'!D2458)</f>
        <v>0</v>
      </c>
      <c r="K2458" s="126">
        <f t="shared" si="726"/>
        <v>1.0414000000000001E-2</v>
      </c>
      <c r="L2458" s="174">
        <f>VLOOKUP(A2458,'Step 1'!$A:$E,4,FALSE)</f>
        <v>349169</v>
      </c>
      <c r="M2458" s="47">
        <f t="shared" si="727"/>
        <v>3636</v>
      </c>
      <c r="N2458" s="177">
        <f>SUMIFS('Support - Transition'!G:G,'Support - Transition'!J:J,'Step 2'!D2458,'Support - Transition'!E:E,"2009 WELFARE ALLOCATION FACTOR")</f>
        <v>0</v>
      </c>
      <c r="O2458" s="152">
        <f t="shared" si="732"/>
        <v>0</v>
      </c>
      <c r="P2458" s="126">
        <f>IF(E2458="Y",0,SUMIFS('Support - Transition'!G:G,'Support - Transition'!J:J,'Step 2'!D2458,'Support - Transition'!E:E,"2009 SCHOOL ALLOCATION FACTOR"))</f>
        <v>0</v>
      </c>
      <c r="Q2458" s="126">
        <f>IF(E2458="Y",VLOOKUP(D2458,'Support - Unit Adjustments'!F:G,2,FALSE),0)</f>
        <v>0</v>
      </c>
      <c r="R2458" s="155">
        <f t="shared" si="744"/>
        <v>0</v>
      </c>
      <c r="S2458" s="47">
        <f t="shared" si="743"/>
        <v>0</v>
      </c>
      <c r="T2458" s="151">
        <f t="shared" si="728"/>
        <v>3636</v>
      </c>
      <c r="U2458" s="151">
        <f t="shared" si="729"/>
        <v>0</v>
      </c>
      <c r="V2458" s="139">
        <f t="shared" si="730"/>
        <v>0</v>
      </c>
      <c r="W2458" s="152">
        <f t="shared" si="733"/>
        <v>3636</v>
      </c>
      <c r="X2458" s="127" t="str">
        <f t="shared" si="731"/>
        <v/>
      </c>
      <c r="Y2458" s="207">
        <f t="shared" si="734"/>
        <v>3636</v>
      </c>
      <c r="Z2458" s="139">
        <f t="shared" si="735"/>
        <v>2973</v>
      </c>
      <c r="AA2458" s="139">
        <f t="shared" si="736"/>
        <v>663</v>
      </c>
      <c r="AC2458" s="47">
        <f t="shared" si="737"/>
        <v>1818</v>
      </c>
      <c r="AD2458" s="47">
        <f t="shared" si="738"/>
        <v>1487</v>
      </c>
      <c r="AE2458" s="47">
        <f t="shared" si="739"/>
        <v>332</v>
      </c>
      <c r="AG2458" s="47">
        <f t="shared" si="740"/>
        <v>1818</v>
      </c>
      <c r="AH2458" s="47">
        <f t="shared" si="741"/>
        <v>1486</v>
      </c>
      <c r="AI2458" s="208">
        <f t="shared" si="742"/>
        <v>331</v>
      </c>
    </row>
    <row r="2459" spans="1:35">
      <c r="A2459" t="s">
        <v>2169</v>
      </c>
      <c r="B2459" t="s">
        <v>3142</v>
      </c>
      <c r="C2459" t="s">
        <v>2192</v>
      </c>
      <c r="D2459" t="s">
        <v>6020</v>
      </c>
      <c r="F2459" t="s">
        <v>1752</v>
      </c>
      <c r="G2459" s="126">
        <f>SUMIFS('Support - Transition'!F:F,'Support - Transition'!B:B,'Step 2'!A2459,'Support - Transition'!C:C,'Step 2'!B2459,'Support - Transition'!D:D,'Step 2'!C2459,'Support - Transition'!E:E,"CIVIL")</f>
        <v>1.5920000000000001E-3</v>
      </c>
      <c r="H2459" s="126">
        <f>SUMIFS('Support - Transition'!F:F,'Support - Transition'!B:B,'Step 2'!A2459,'Support - Transition'!C:C,'Step 2'!B2459,'Support - Transition'!D:D,'Step 2'!C2459,'Support - Transition'!E:E,"FIRE")</f>
        <v>5.53E-4</v>
      </c>
      <c r="I2459" s="126">
        <f>IF(B2459="0",SUMIFS('Support - Transition'!F:F,'Support - Transition'!J:J,'Step 2'!D2459,'Support - Transition'!E:E,"STATE UNIT"),SUMIFS('Support - Transition'!F:F,'Support - Transition'!J:J,'Step 2'!D2459))</f>
        <v>2.1450000000000002E-3</v>
      </c>
      <c r="J2459" s="126">
        <f>SUMIFS('Support - Unit Adjustments'!E:E,'Support - Unit Adjustments'!F:F,'Step 2'!D2459)</f>
        <v>0</v>
      </c>
      <c r="K2459" s="126">
        <f t="shared" si="726"/>
        <v>2.1450000000000002E-3</v>
      </c>
      <c r="L2459" s="174">
        <f>VLOOKUP(A2459,'Step 1'!$A:$E,4,FALSE)</f>
        <v>349169</v>
      </c>
      <c r="M2459" s="47">
        <f t="shared" si="727"/>
        <v>749</v>
      </c>
      <c r="N2459" s="177">
        <f>SUMIFS('Support - Transition'!G:G,'Support - Transition'!J:J,'Step 2'!D2459,'Support - Transition'!E:E,"2009 WELFARE ALLOCATION FACTOR")</f>
        <v>0</v>
      </c>
      <c r="O2459" s="152">
        <f t="shared" si="732"/>
        <v>0</v>
      </c>
      <c r="P2459" s="126">
        <f>IF(E2459="Y",0,SUMIFS('Support - Transition'!G:G,'Support - Transition'!J:J,'Step 2'!D2459,'Support - Transition'!E:E,"2009 SCHOOL ALLOCATION FACTOR"))</f>
        <v>0</v>
      </c>
      <c r="Q2459" s="126">
        <f>IF(E2459="Y",VLOOKUP(D2459,'Support - Unit Adjustments'!F:G,2,FALSE),0)</f>
        <v>0</v>
      </c>
      <c r="R2459" s="155">
        <f t="shared" si="744"/>
        <v>0</v>
      </c>
      <c r="S2459" s="47">
        <f t="shared" si="743"/>
        <v>0</v>
      </c>
      <c r="T2459" s="151">
        <f t="shared" si="728"/>
        <v>749</v>
      </c>
      <c r="U2459" s="151">
        <f t="shared" si="729"/>
        <v>0</v>
      </c>
      <c r="V2459" s="139">
        <f t="shared" si="730"/>
        <v>0</v>
      </c>
      <c r="W2459" s="152">
        <f t="shared" si="733"/>
        <v>749</v>
      </c>
      <c r="X2459" s="127" t="str">
        <f t="shared" si="731"/>
        <v/>
      </c>
      <c r="Y2459" s="207">
        <f t="shared" si="734"/>
        <v>749</v>
      </c>
      <c r="Z2459" s="139">
        <f t="shared" si="735"/>
        <v>556</v>
      </c>
      <c r="AA2459" s="139">
        <f t="shared" si="736"/>
        <v>193</v>
      </c>
      <c r="AC2459" s="47">
        <f t="shared" si="737"/>
        <v>375</v>
      </c>
      <c r="AD2459" s="47">
        <f t="shared" si="738"/>
        <v>278</v>
      </c>
      <c r="AE2459" s="47">
        <f t="shared" si="739"/>
        <v>97</v>
      </c>
      <c r="AG2459" s="47">
        <f t="shared" si="740"/>
        <v>374</v>
      </c>
      <c r="AH2459" s="47">
        <f t="shared" si="741"/>
        <v>278</v>
      </c>
      <c r="AI2459" s="208">
        <f t="shared" si="742"/>
        <v>96</v>
      </c>
    </row>
    <row r="2460" spans="1:35">
      <c r="A2460" t="s">
        <v>2169</v>
      </c>
      <c r="B2460" t="s">
        <v>3142</v>
      </c>
      <c r="C2460" t="s">
        <v>2193</v>
      </c>
      <c r="D2460" t="s">
        <v>6021</v>
      </c>
      <c r="F2460" t="s">
        <v>57</v>
      </c>
      <c r="G2460" s="126">
        <f>SUMIFS('Support - Transition'!F:F,'Support - Transition'!B:B,'Step 2'!A2460,'Support - Transition'!C:C,'Step 2'!B2460,'Support - Transition'!D:D,'Step 2'!C2460,'Support - Transition'!E:E,"CIVIL")</f>
        <v>6.0920000000000002E-3</v>
      </c>
      <c r="H2460" s="126">
        <f>SUMIFS('Support - Transition'!F:F,'Support - Transition'!B:B,'Step 2'!A2460,'Support - Transition'!C:C,'Step 2'!B2460,'Support - Transition'!D:D,'Step 2'!C2460,'Support - Transition'!E:E,"FIRE")</f>
        <v>4.8390000000000004E-3</v>
      </c>
      <c r="I2460" s="126">
        <f>IF(B2460="0",SUMIFS('Support - Transition'!F:F,'Support - Transition'!J:J,'Step 2'!D2460,'Support - Transition'!E:E,"STATE UNIT"),SUMIFS('Support - Transition'!F:F,'Support - Transition'!J:J,'Step 2'!D2460))</f>
        <v>1.0931E-2</v>
      </c>
      <c r="J2460" s="126">
        <f>SUMIFS('Support - Unit Adjustments'!E:E,'Support - Unit Adjustments'!F:F,'Step 2'!D2460)</f>
        <v>0</v>
      </c>
      <c r="K2460" s="126">
        <f t="shared" si="726"/>
        <v>1.0931E-2</v>
      </c>
      <c r="L2460" s="174">
        <f>VLOOKUP(A2460,'Step 1'!$A:$E,4,FALSE)</f>
        <v>349169</v>
      </c>
      <c r="M2460" s="47">
        <f t="shared" si="727"/>
        <v>3817</v>
      </c>
      <c r="N2460" s="177">
        <f>SUMIFS('Support - Transition'!G:G,'Support - Transition'!J:J,'Step 2'!D2460,'Support - Transition'!E:E,"2009 WELFARE ALLOCATION FACTOR")</f>
        <v>0</v>
      </c>
      <c r="O2460" s="152">
        <f t="shared" si="732"/>
        <v>0</v>
      </c>
      <c r="P2460" s="126">
        <f>IF(E2460="Y",0,SUMIFS('Support - Transition'!G:G,'Support - Transition'!J:J,'Step 2'!D2460,'Support - Transition'!E:E,"2009 SCHOOL ALLOCATION FACTOR"))</f>
        <v>0</v>
      </c>
      <c r="Q2460" s="126">
        <f>IF(E2460="Y",VLOOKUP(D2460,'Support - Unit Adjustments'!F:G,2,FALSE),0)</f>
        <v>0</v>
      </c>
      <c r="R2460" s="155">
        <f t="shared" si="744"/>
        <v>0</v>
      </c>
      <c r="S2460" s="47">
        <f t="shared" si="743"/>
        <v>0</v>
      </c>
      <c r="T2460" s="151">
        <f t="shared" si="728"/>
        <v>3817</v>
      </c>
      <c r="U2460" s="151">
        <f t="shared" si="729"/>
        <v>0</v>
      </c>
      <c r="V2460" s="139">
        <f t="shared" si="730"/>
        <v>0</v>
      </c>
      <c r="W2460" s="152">
        <f t="shared" si="733"/>
        <v>3817</v>
      </c>
      <c r="X2460" s="127" t="str">
        <f t="shared" si="731"/>
        <v/>
      </c>
      <c r="Y2460" s="207">
        <f t="shared" si="734"/>
        <v>3817</v>
      </c>
      <c r="Z2460" s="139">
        <f t="shared" si="735"/>
        <v>2127</v>
      </c>
      <c r="AA2460" s="139">
        <f t="shared" si="736"/>
        <v>1690</v>
      </c>
      <c r="AC2460" s="47">
        <f t="shared" si="737"/>
        <v>1909</v>
      </c>
      <c r="AD2460" s="47">
        <f t="shared" si="738"/>
        <v>1064</v>
      </c>
      <c r="AE2460" s="47">
        <f t="shared" si="739"/>
        <v>845</v>
      </c>
      <c r="AG2460" s="47">
        <f t="shared" si="740"/>
        <v>1908</v>
      </c>
      <c r="AH2460" s="47">
        <f t="shared" si="741"/>
        <v>1063</v>
      </c>
      <c r="AI2460" s="208">
        <f t="shared" si="742"/>
        <v>845</v>
      </c>
    </row>
    <row r="2461" spans="1:35">
      <c r="A2461" t="s">
        <v>2169</v>
      </c>
      <c r="B2461" t="s">
        <v>3142</v>
      </c>
      <c r="C2461" t="s">
        <v>2194</v>
      </c>
      <c r="D2461" t="s">
        <v>6022</v>
      </c>
      <c r="F2461" t="s">
        <v>1753</v>
      </c>
      <c r="G2461" s="126">
        <f>SUMIFS('Support - Transition'!F:F,'Support - Transition'!B:B,'Step 2'!A2461,'Support - Transition'!C:C,'Step 2'!B2461,'Support - Transition'!D:D,'Step 2'!C2461,'Support - Transition'!E:E,"CIVIL")</f>
        <v>2.3000000000000001E-4</v>
      </c>
      <c r="H2461" s="126">
        <f>SUMIFS('Support - Transition'!F:F,'Support - Transition'!B:B,'Step 2'!A2461,'Support - Transition'!C:C,'Step 2'!B2461,'Support - Transition'!D:D,'Step 2'!C2461,'Support - Transition'!E:E,"FIRE")</f>
        <v>1.25E-4</v>
      </c>
      <c r="I2461" s="126">
        <f>IF(B2461="0",SUMIFS('Support - Transition'!F:F,'Support - Transition'!J:J,'Step 2'!D2461,'Support - Transition'!E:E,"STATE UNIT"),SUMIFS('Support - Transition'!F:F,'Support - Transition'!J:J,'Step 2'!D2461))</f>
        <v>3.5500000000000001E-4</v>
      </c>
      <c r="J2461" s="126">
        <f>SUMIFS('Support - Unit Adjustments'!E:E,'Support - Unit Adjustments'!F:F,'Step 2'!D2461)</f>
        <v>0</v>
      </c>
      <c r="K2461" s="126">
        <f t="shared" si="726"/>
        <v>3.5500000000000001E-4</v>
      </c>
      <c r="L2461" s="174">
        <f>VLOOKUP(A2461,'Step 1'!$A:$E,4,FALSE)</f>
        <v>349169</v>
      </c>
      <c r="M2461" s="47">
        <f t="shared" si="727"/>
        <v>124</v>
      </c>
      <c r="N2461" s="177">
        <f>SUMIFS('Support - Transition'!G:G,'Support - Transition'!J:J,'Step 2'!D2461,'Support - Transition'!E:E,"2009 WELFARE ALLOCATION FACTOR")</f>
        <v>0</v>
      </c>
      <c r="O2461" s="152">
        <f t="shared" si="732"/>
        <v>0</v>
      </c>
      <c r="P2461" s="126">
        <f>IF(E2461="Y",0,SUMIFS('Support - Transition'!G:G,'Support - Transition'!J:J,'Step 2'!D2461,'Support - Transition'!E:E,"2009 SCHOOL ALLOCATION FACTOR"))</f>
        <v>0</v>
      </c>
      <c r="Q2461" s="126">
        <f>IF(E2461="Y",VLOOKUP(D2461,'Support - Unit Adjustments'!F:G,2,FALSE),0)</f>
        <v>0</v>
      </c>
      <c r="R2461" s="155">
        <f t="shared" si="744"/>
        <v>0</v>
      </c>
      <c r="S2461" s="47">
        <f t="shared" si="743"/>
        <v>0</v>
      </c>
      <c r="T2461" s="151">
        <f t="shared" si="728"/>
        <v>124</v>
      </c>
      <c r="U2461" s="151">
        <f t="shared" si="729"/>
        <v>0</v>
      </c>
      <c r="V2461" s="139">
        <f t="shared" si="730"/>
        <v>0</v>
      </c>
      <c r="W2461" s="152">
        <f t="shared" si="733"/>
        <v>124</v>
      </c>
      <c r="X2461" s="127" t="str">
        <f t="shared" si="731"/>
        <v/>
      </c>
      <c r="Y2461" s="207">
        <f t="shared" si="734"/>
        <v>124</v>
      </c>
      <c r="Z2461" s="139">
        <f t="shared" si="735"/>
        <v>80</v>
      </c>
      <c r="AA2461" s="139">
        <f t="shared" si="736"/>
        <v>44</v>
      </c>
      <c r="AC2461" s="47">
        <f t="shared" si="737"/>
        <v>62</v>
      </c>
      <c r="AD2461" s="47">
        <f t="shared" si="738"/>
        <v>40</v>
      </c>
      <c r="AE2461" s="47">
        <f t="shared" si="739"/>
        <v>22</v>
      </c>
      <c r="AG2461" s="47">
        <f t="shared" si="740"/>
        <v>62</v>
      </c>
      <c r="AH2461" s="47">
        <f t="shared" si="741"/>
        <v>40</v>
      </c>
      <c r="AI2461" s="208">
        <f t="shared" si="742"/>
        <v>22</v>
      </c>
    </row>
    <row r="2462" spans="1:35">
      <c r="A2462" t="s">
        <v>2169</v>
      </c>
      <c r="B2462" t="s">
        <v>3155</v>
      </c>
      <c r="C2462" t="s">
        <v>3066</v>
      </c>
      <c r="D2462" t="s">
        <v>6023</v>
      </c>
      <c r="F2462" t="s">
        <v>1758</v>
      </c>
      <c r="G2462" s="126">
        <f>SUMIFS('Support - Transition'!F:F,'Support - Transition'!B:B,'Step 2'!A2462,'Support - Transition'!C:C,'Step 2'!B2462,'Support - Transition'!D:D,'Step 2'!C2462,'Support - Transition'!E:E,"CIVIL")</f>
        <v>0</v>
      </c>
      <c r="H2462" s="126">
        <f>SUMIFS('Support - Transition'!F:F,'Support - Transition'!B:B,'Step 2'!A2462,'Support - Transition'!C:C,'Step 2'!B2462,'Support - Transition'!D:D,'Step 2'!C2462,'Support - Transition'!E:E,"FIRE")</f>
        <v>0</v>
      </c>
      <c r="I2462" s="126">
        <f>IF(B2462="0",SUMIFS('Support - Transition'!F:F,'Support - Transition'!J:J,'Step 2'!D2462,'Support - Transition'!E:E,"STATE UNIT"),SUMIFS('Support - Transition'!F:F,'Support - Transition'!J:J,'Step 2'!D2462))</f>
        <v>7.4989E-2</v>
      </c>
      <c r="J2462" s="126">
        <f>SUMIFS('Support - Unit Adjustments'!E:E,'Support - Unit Adjustments'!F:F,'Step 2'!D2462)</f>
        <v>0</v>
      </c>
      <c r="K2462" s="126">
        <f t="shared" si="726"/>
        <v>7.4989E-2</v>
      </c>
      <c r="L2462" s="174">
        <f>VLOOKUP(A2462,'Step 1'!$A:$E,4,FALSE)</f>
        <v>349169</v>
      </c>
      <c r="M2462" s="47">
        <f t="shared" si="727"/>
        <v>26184</v>
      </c>
      <c r="N2462" s="177">
        <f>SUMIFS('Support - Transition'!G:G,'Support - Transition'!J:J,'Step 2'!D2462,'Support - Transition'!E:E,"2009 WELFARE ALLOCATION FACTOR")</f>
        <v>0</v>
      </c>
      <c r="O2462" s="152">
        <f t="shared" si="732"/>
        <v>0</v>
      </c>
      <c r="P2462" s="126">
        <f>IF(E2462="Y",0,SUMIFS('Support - Transition'!G:G,'Support - Transition'!J:J,'Step 2'!D2462,'Support - Transition'!E:E,"2009 SCHOOL ALLOCATION FACTOR"))</f>
        <v>0</v>
      </c>
      <c r="Q2462" s="126">
        <f>IF(E2462="Y",VLOOKUP(D2462,'Support - Unit Adjustments'!F:G,2,FALSE),0)</f>
        <v>0</v>
      </c>
      <c r="R2462" s="155">
        <f t="shared" si="744"/>
        <v>0</v>
      </c>
      <c r="S2462" s="47">
        <f t="shared" si="743"/>
        <v>0</v>
      </c>
      <c r="T2462" s="151">
        <f t="shared" si="728"/>
        <v>26184</v>
      </c>
      <c r="U2462" s="151">
        <f t="shared" si="729"/>
        <v>0</v>
      </c>
      <c r="V2462" s="139">
        <f t="shared" si="730"/>
        <v>0</v>
      </c>
      <c r="W2462" s="152">
        <f t="shared" si="733"/>
        <v>26184</v>
      </c>
      <c r="X2462" s="127" t="str">
        <f t="shared" si="731"/>
        <v/>
      </c>
      <c r="Y2462" s="207">
        <f t="shared" si="734"/>
        <v>26184</v>
      </c>
      <c r="Z2462" s="139">
        <f t="shared" si="735"/>
        <v>26184</v>
      </c>
      <c r="AA2462" s="139">
        <f t="shared" si="736"/>
        <v>0</v>
      </c>
      <c r="AC2462" s="47">
        <f t="shared" si="737"/>
        <v>13092</v>
      </c>
      <c r="AD2462" s="47">
        <f t="shared" si="738"/>
        <v>13092</v>
      </c>
      <c r="AE2462" s="47">
        <f t="shared" si="739"/>
        <v>0</v>
      </c>
      <c r="AG2462" s="47">
        <f t="shared" si="740"/>
        <v>13092</v>
      </c>
      <c r="AH2462" s="47">
        <f t="shared" si="741"/>
        <v>13092</v>
      </c>
      <c r="AI2462" s="208">
        <f t="shared" si="742"/>
        <v>0</v>
      </c>
    </row>
    <row r="2463" spans="1:35">
      <c r="A2463" t="s">
        <v>2169</v>
      </c>
      <c r="B2463" t="s">
        <v>3155</v>
      </c>
      <c r="C2463" t="s">
        <v>3067</v>
      </c>
      <c r="D2463" t="s">
        <v>6024</v>
      </c>
      <c r="F2463" t="s">
        <v>1756</v>
      </c>
      <c r="G2463" s="126">
        <f>SUMIFS('Support - Transition'!F:F,'Support - Transition'!B:B,'Step 2'!A2463,'Support - Transition'!C:C,'Step 2'!B2463,'Support - Transition'!D:D,'Step 2'!C2463,'Support - Transition'!E:E,"CIVIL")</f>
        <v>0</v>
      </c>
      <c r="H2463" s="126">
        <f>SUMIFS('Support - Transition'!F:F,'Support - Transition'!B:B,'Step 2'!A2463,'Support - Transition'!C:C,'Step 2'!B2463,'Support - Transition'!D:D,'Step 2'!C2463,'Support - Transition'!E:E,"FIRE")</f>
        <v>0</v>
      </c>
      <c r="I2463" s="126">
        <f>IF(B2463="0",SUMIFS('Support - Transition'!F:F,'Support - Transition'!J:J,'Step 2'!D2463,'Support - Transition'!E:E,"STATE UNIT"),SUMIFS('Support - Transition'!F:F,'Support - Transition'!J:J,'Step 2'!D2463))</f>
        <v>2.5801999999999999E-2</v>
      </c>
      <c r="J2463" s="126">
        <f>SUMIFS('Support - Unit Adjustments'!E:E,'Support - Unit Adjustments'!F:F,'Step 2'!D2463)</f>
        <v>0</v>
      </c>
      <c r="K2463" s="126">
        <f t="shared" si="726"/>
        <v>2.5801999999999999E-2</v>
      </c>
      <c r="L2463" s="174">
        <f>VLOOKUP(A2463,'Step 1'!$A:$E,4,FALSE)</f>
        <v>349169</v>
      </c>
      <c r="M2463" s="47">
        <f t="shared" si="727"/>
        <v>9009</v>
      </c>
      <c r="N2463" s="177">
        <f>SUMIFS('Support - Transition'!G:G,'Support - Transition'!J:J,'Step 2'!D2463,'Support - Transition'!E:E,"2009 WELFARE ALLOCATION FACTOR")</f>
        <v>0</v>
      </c>
      <c r="O2463" s="152">
        <f t="shared" si="732"/>
        <v>0</v>
      </c>
      <c r="P2463" s="126">
        <f>IF(E2463="Y",0,SUMIFS('Support - Transition'!G:G,'Support - Transition'!J:J,'Step 2'!D2463,'Support - Transition'!E:E,"2009 SCHOOL ALLOCATION FACTOR"))</f>
        <v>0</v>
      </c>
      <c r="Q2463" s="126">
        <f>IF(E2463="Y",VLOOKUP(D2463,'Support - Unit Adjustments'!F:G,2,FALSE),0)</f>
        <v>0</v>
      </c>
      <c r="R2463" s="155">
        <f t="shared" si="744"/>
        <v>0</v>
      </c>
      <c r="S2463" s="47">
        <f t="shared" si="743"/>
        <v>0</v>
      </c>
      <c r="T2463" s="151">
        <f t="shared" si="728"/>
        <v>9009</v>
      </c>
      <c r="U2463" s="151">
        <f t="shared" si="729"/>
        <v>0</v>
      </c>
      <c r="V2463" s="139">
        <f t="shared" si="730"/>
        <v>0</v>
      </c>
      <c r="W2463" s="152">
        <f t="shared" si="733"/>
        <v>9009</v>
      </c>
      <c r="X2463" s="127" t="str">
        <f t="shared" si="731"/>
        <v/>
      </c>
      <c r="Y2463" s="207">
        <f t="shared" si="734"/>
        <v>9009</v>
      </c>
      <c r="Z2463" s="139">
        <f t="shared" si="735"/>
        <v>9009</v>
      </c>
      <c r="AA2463" s="139">
        <f t="shared" si="736"/>
        <v>0</v>
      </c>
      <c r="AC2463" s="47">
        <f t="shared" si="737"/>
        <v>4505</v>
      </c>
      <c r="AD2463" s="47">
        <f t="shared" si="738"/>
        <v>4505</v>
      </c>
      <c r="AE2463" s="47">
        <f t="shared" si="739"/>
        <v>0</v>
      </c>
      <c r="AG2463" s="47">
        <f t="shared" si="740"/>
        <v>4504</v>
      </c>
      <c r="AH2463" s="47">
        <f t="shared" si="741"/>
        <v>4504</v>
      </c>
      <c r="AI2463" s="208">
        <f t="shared" si="742"/>
        <v>0</v>
      </c>
    </row>
    <row r="2464" spans="1:35">
      <c r="A2464" t="s">
        <v>2169</v>
      </c>
      <c r="B2464" t="s">
        <v>3155</v>
      </c>
      <c r="C2464" t="s">
        <v>3068</v>
      </c>
      <c r="D2464" t="s">
        <v>6025</v>
      </c>
      <c r="F2464" t="s">
        <v>1754</v>
      </c>
      <c r="G2464" s="126">
        <f>SUMIFS('Support - Transition'!F:F,'Support - Transition'!B:B,'Step 2'!A2464,'Support - Transition'!C:C,'Step 2'!B2464,'Support - Transition'!D:D,'Step 2'!C2464,'Support - Transition'!E:E,"CIVIL")</f>
        <v>0</v>
      </c>
      <c r="H2464" s="126">
        <f>SUMIFS('Support - Transition'!F:F,'Support - Transition'!B:B,'Step 2'!A2464,'Support - Transition'!C:C,'Step 2'!B2464,'Support - Transition'!D:D,'Step 2'!C2464,'Support - Transition'!E:E,"FIRE")</f>
        <v>0</v>
      </c>
      <c r="I2464" s="126">
        <f>IF(B2464="0",SUMIFS('Support - Transition'!F:F,'Support - Transition'!J:J,'Step 2'!D2464,'Support - Transition'!E:E,"STATE UNIT"),SUMIFS('Support - Transition'!F:F,'Support - Transition'!J:J,'Step 2'!D2464))</f>
        <v>1.3129999999999999E-3</v>
      </c>
      <c r="J2464" s="126">
        <f>SUMIFS('Support - Unit Adjustments'!E:E,'Support - Unit Adjustments'!F:F,'Step 2'!D2464)</f>
        <v>0</v>
      </c>
      <c r="K2464" s="126">
        <f t="shared" si="726"/>
        <v>1.3129999999999999E-3</v>
      </c>
      <c r="L2464" s="174">
        <f>VLOOKUP(A2464,'Step 1'!$A:$E,4,FALSE)</f>
        <v>349169</v>
      </c>
      <c r="M2464" s="47">
        <f t="shared" si="727"/>
        <v>458</v>
      </c>
      <c r="N2464" s="177">
        <f>SUMIFS('Support - Transition'!G:G,'Support - Transition'!J:J,'Step 2'!D2464,'Support - Transition'!E:E,"2009 WELFARE ALLOCATION FACTOR")</f>
        <v>0</v>
      </c>
      <c r="O2464" s="152">
        <f t="shared" si="732"/>
        <v>0</v>
      </c>
      <c r="P2464" s="126">
        <f>IF(E2464="Y",0,SUMIFS('Support - Transition'!G:G,'Support - Transition'!J:J,'Step 2'!D2464,'Support - Transition'!E:E,"2009 SCHOOL ALLOCATION FACTOR"))</f>
        <v>0</v>
      </c>
      <c r="Q2464" s="126">
        <f>IF(E2464="Y",VLOOKUP(D2464,'Support - Unit Adjustments'!F:G,2,FALSE),0)</f>
        <v>0</v>
      </c>
      <c r="R2464" s="155">
        <f t="shared" si="744"/>
        <v>0</v>
      </c>
      <c r="S2464" s="47">
        <f t="shared" si="743"/>
        <v>0</v>
      </c>
      <c r="T2464" s="151">
        <f t="shared" si="728"/>
        <v>458</v>
      </c>
      <c r="U2464" s="151">
        <f t="shared" si="729"/>
        <v>0</v>
      </c>
      <c r="V2464" s="139">
        <f t="shared" si="730"/>
        <v>0</v>
      </c>
      <c r="W2464" s="152">
        <f t="shared" si="733"/>
        <v>458</v>
      </c>
      <c r="X2464" s="127" t="str">
        <f t="shared" si="731"/>
        <v/>
      </c>
      <c r="Y2464" s="207">
        <f t="shared" si="734"/>
        <v>458</v>
      </c>
      <c r="Z2464" s="139">
        <f t="shared" si="735"/>
        <v>458</v>
      </c>
      <c r="AA2464" s="139">
        <f t="shared" si="736"/>
        <v>0</v>
      </c>
      <c r="AC2464" s="47">
        <f t="shared" si="737"/>
        <v>229</v>
      </c>
      <c r="AD2464" s="47">
        <f t="shared" si="738"/>
        <v>229</v>
      </c>
      <c r="AE2464" s="47">
        <f t="shared" si="739"/>
        <v>0</v>
      </c>
      <c r="AG2464" s="47">
        <f t="shared" si="740"/>
        <v>229</v>
      </c>
      <c r="AH2464" s="47">
        <f t="shared" si="741"/>
        <v>229</v>
      </c>
      <c r="AI2464" s="208">
        <f t="shared" si="742"/>
        <v>0</v>
      </c>
    </row>
    <row r="2465" spans="1:35">
      <c r="A2465" t="s">
        <v>2169</v>
      </c>
      <c r="B2465" t="s">
        <v>3155</v>
      </c>
      <c r="C2465" t="s">
        <v>3069</v>
      </c>
      <c r="D2465" t="s">
        <v>6026</v>
      </c>
      <c r="F2465" t="s">
        <v>1755</v>
      </c>
      <c r="G2465" s="126">
        <f>SUMIFS('Support - Transition'!F:F,'Support - Transition'!B:B,'Step 2'!A2465,'Support - Transition'!C:C,'Step 2'!B2465,'Support - Transition'!D:D,'Step 2'!C2465,'Support - Transition'!E:E,"CIVIL")</f>
        <v>0</v>
      </c>
      <c r="H2465" s="126">
        <f>SUMIFS('Support - Transition'!F:F,'Support - Transition'!B:B,'Step 2'!A2465,'Support - Transition'!C:C,'Step 2'!B2465,'Support - Transition'!D:D,'Step 2'!C2465,'Support - Transition'!E:E,"FIRE")</f>
        <v>0</v>
      </c>
      <c r="I2465" s="126">
        <f>IF(B2465="0",SUMIFS('Support - Transition'!F:F,'Support - Transition'!J:J,'Step 2'!D2465,'Support - Transition'!E:E,"STATE UNIT"),SUMIFS('Support - Transition'!F:F,'Support - Transition'!J:J,'Step 2'!D2465))</f>
        <v>9.9200000000000004E-4</v>
      </c>
      <c r="J2465" s="126">
        <f>SUMIFS('Support - Unit Adjustments'!E:E,'Support - Unit Adjustments'!F:F,'Step 2'!D2465)</f>
        <v>0</v>
      </c>
      <c r="K2465" s="126">
        <f t="shared" si="726"/>
        <v>9.9200000000000004E-4</v>
      </c>
      <c r="L2465" s="174">
        <f>VLOOKUP(A2465,'Step 1'!$A:$E,4,FALSE)</f>
        <v>349169</v>
      </c>
      <c r="M2465" s="47">
        <f t="shared" si="727"/>
        <v>346</v>
      </c>
      <c r="N2465" s="177">
        <f>SUMIFS('Support - Transition'!G:G,'Support - Transition'!J:J,'Step 2'!D2465,'Support - Transition'!E:E,"2009 WELFARE ALLOCATION FACTOR")</f>
        <v>0</v>
      </c>
      <c r="O2465" s="152">
        <f t="shared" si="732"/>
        <v>0</v>
      </c>
      <c r="P2465" s="126">
        <f>IF(E2465="Y",0,SUMIFS('Support - Transition'!G:G,'Support - Transition'!J:J,'Step 2'!D2465,'Support - Transition'!E:E,"2009 SCHOOL ALLOCATION FACTOR"))</f>
        <v>0</v>
      </c>
      <c r="Q2465" s="126">
        <f>IF(E2465="Y",VLOOKUP(D2465,'Support - Unit Adjustments'!F:G,2,FALSE),0)</f>
        <v>0</v>
      </c>
      <c r="R2465" s="155">
        <f t="shared" si="744"/>
        <v>0</v>
      </c>
      <c r="S2465" s="47">
        <f t="shared" si="743"/>
        <v>0</v>
      </c>
      <c r="T2465" s="151">
        <f t="shared" si="728"/>
        <v>346</v>
      </c>
      <c r="U2465" s="151">
        <f t="shared" si="729"/>
        <v>0</v>
      </c>
      <c r="V2465" s="139">
        <f t="shared" si="730"/>
        <v>0</v>
      </c>
      <c r="W2465" s="152">
        <f t="shared" si="733"/>
        <v>346</v>
      </c>
      <c r="X2465" s="127" t="str">
        <f t="shared" si="731"/>
        <v/>
      </c>
      <c r="Y2465" s="207">
        <f t="shared" si="734"/>
        <v>346</v>
      </c>
      <c r="Z2465" s="139">
        <f t="shared" si="735"/>
        <v>346</v>
      </c>
      <c r="AA2465" s="139">
        <f t="shared" si="736"/>
        <v>0</v>
      </c>
      <c r="AC2465" s="47">
        <f t="shared" si="737"/>
        <v>173</v>
      </c>
      <c r="AD2465" s="47">
        <f t="shared" si="738"/>
        <v>173</v>
      </c>
      <c r="AE2465" s="47">
        <f t="shared" si="739"/>
        <v>0</v>
      </c>
      <c r="AG2465" s="47">
        <f t="shared" si="740"/>
        <v>173</v>
      </c>
      <c r="AH2465" s="47">
        <f t="shared" si="741"/>
        <v>173</v>
      </c>
      <c r="AI2465" s="208">
        <f t="shared" si="742"/>
        <v>0</v>
      </c>
    </row>
    <row r="2466" spans="1:35">
      <c r="A2466" t="s">
        <v>2169</v>
      </c>
      <c r="B2466" t="s">
        <v>3155</v>
      </c>
      <c r="C2466" t="s">
        <v>3070</v>
      </c>
      <c r="D2466" t="s">
        <v>6027</v>
      </c>
      <c r="F2466" t="s">
        <v>1757</v>
      </c>
      <c r="G2466" s="126">
        <f>SUMIFS('Support - Transition'!F:F,'Support - Transition'!B:B,'Step 2'!A2466,'Support - Transition'!C:C,'Step 2'!B2466,'Support - Transition'!D:D,'Step 2'!C2466,'Support - Transition'!E:E,"CIVIL")</f>
        <v>0</v>
      </c>
      <c r="H2466" s="126">
        <f>SUMIFS('Support - Transition'!F:F,'Support - Transition'!B:B,'Step 2'!A2466,'Support - Transition'!C:C,'Step 2'!B2466,'Support - Transition'!D:D,'Step 2'!C2466,'Support - Transition'!E:E,"FIRE")</f>
        <v>0</v>
      </c>
      <c r="I2466" s="126">
        <f>IF(B2466="0",SUMIFS('Support - Transition'!F:F,'Support - Transition'!J:J,'Step 2'!D2466,'Support - Transition'!E:E,"STATE UNIT"),SUMIFS('Support - Transition'!F:F,'Support - Transition'!J:J,'Step 2'!D2466))</f>
        <v>5.9000000000000003E-4</v>
      </c>
      <c r="J2466" s="126">
        <f>SUMIFS('Support - Unit Adjustments'!E:E,'Support - Unit Adjustments'!F:F,'Step 2'!D2466)</f>
        <v>0</v>
      </c>
      <c r="K2466" s="126">
        <f t="shared" si="726"/>
        <v>5.9000000000000003E-4</v>
      </c>
      <c r="L2466" s="174">
        <f>VLOOKUP(A2466,'Step 1'!$A:$E,4,FALSE)</f>
        <v>349169</v>
      </c>
      <c r="M2466" s="47">
        <f t="shared" si="727"/>
        <v>206</v>
      </c>
      <c r="N2466" s="177">
        <f>SUMIFS('Support - Transition'!G:G,'Support - Transition'!J:J,'Step 2'!D2466,'Support - Transition'!E:E,"2009 WELFARE ALLOCATION FACTOR")</f>
        <v>0</v>
      </c>
      <c r="O2466" s="152">
        <f t="shared" si="732"/>
        <v>0</v>
      </c>
      <c r="P2466" s="126">
        <f>IF(E2466="Y",0,SUMIFS('Support - Transition'!G:G,'Support - Transition'!J:J,'Step 2'!D2466,'Support - Transition'!E:E,"2009 SCHOOL ALLOCATION FACTOR"))</f>
        <v>0</v>
      </c>
      <c r="Q2466" s="126">
        <f>IF(E2466="Y",VLOOKUP(D2466,'Support - Unit Adjustments'!F:G,2,FALSE),0)</f>
        <v>0</v>
      </c>
      <c r="R2466" s="155">
        <f t="shared" si="744"/>
        <v>0</v>
      </c>
      <c r="S2466" s="47">
        <f t="shared" si="743"/>
        <v>0</v>
      </c>
      <c r="T2466" s="151">
        <f t="shared" si="728"/>
        <v>206</v>
      </c>
      <c r="U2466" s="151">
        <f t="shared" si="729"/>
        <v>0</v>
      </c>
      <c r="V2466" s="139">
        <f t="shared" si="730"/>
        <v>0</v>
      </c>
      <c r="W2466" s="152">
        <f t="shared" si="733"/>
        <v>206</v>
      </c>
      <c r="X2466" s="127" t="str">
        <f t="shared" si="731"/>
        <v/>
      </c>
      <c r="Y2466" s="207">
        <f t="shared" si="734"/>
        <v>206</v>
      </c>
      <c r="Z2466" s="139">
        <f t="shared" si="735"/>
        <v>206</v>
      </c>
      <c r="AA2466" s="139">
        <f t="shared" si="736"/>
        <v>0</v>
      </c>
      <c r="AC2466" s="47">
        <f t="shared" si="737"/>
        <v>103</v>
      </c>
      <c r="AD2466" s="47">
        <f t="shared" si="738"/>
        <v>103</v>
      </c>
      <c r="AE2466" s="47">
        <f t="shared" si="739"/>
        <v>0</v>
      </c>
      <c r="AG2466" s="47">
        <f t="shared" si="740"/>
        <v>103</v>
      </c>
      <c r="AH2466" s="47">
        <f t="shared" si="741"/>
        <v>103</v>
      </c>
      <c r="AI2466" s="208">
        <f t="shared" si="742"/>
        <v>0</v>
      </c>
    </row>
    <row r="2467" spans="1:35">
      <c r="A2467" t="s">
        <v>2169</v>
      </c>
      <c r="B2467" t="s">
        <v>3160</v>
      </c>
      <c r="C2467" t="s">
        <v>3071</v>
      </c>
      <c r="D2467" t="s">
        <v>6028</v>
      </c>
      <c r="F2467" t="s">
        <v>1760</v>
      </c>
      <c r="G2467" s="126">
        <f>SUMIFS('Support - Transition'!F:F,'Support - Transition'!B:B,'Step 2'!A2467,'Support - Transition'!C:C,'Step 2'!B2467,'Support - Transition'!D:D,'Step 2'!C2467,'Support - Transition'!E:E,"CIVIL")</f>
        <v>0</v>
      </c>
      <c r="H2467" s="126">
        <f>SUMIFS('Support - Transition'!F:F,'Support - Transition'!B:B,'Step 2'!A2467,'Support - Transition'!C:C,'Step 2'!B2467,'Support - Transition'!D:D,'Step 2'!C2467,'Support - Transition'!E:E,"FIRE")</f>
        <v>0</v>
      </c>
      <c r="I2467" s="126">
        <f>IF(B2467="0",SUMIFS('Support - Transition'!F:F,'Support - Transition'!J:J,'Step 2'!D2467,'Support - Transition'!E:E,"STATE UNIT"),SUMIFS('Support - Transition'!F:F,'Support - Transition'!J:J,'Step 2'!D2467))</f>
        <v>0.266567</v>
      </c>
      <c r="J2467" s="126">
        <f>SUMIFS('Support - Unit Adjustments'!E:E,'Support - Unit Adjustments'!F:F,'Step 2'!D2467)</f>
        <v>0</v>
      </c>
      <c r="K2467" s="126">
        <f t="shared" si="726"/>
        <v>0.266567</v>
      </c>
      <c r="L2467" s="174">
        <f>VLOOKUP(A2467,'Step 1'!$A:$E,4,FALSE)</f>
        <v>349169</v>
      </c>
      <c r="M2467" s="47">
        <f t="shared" si="727"/>
        <v>93077</v>
      </c>
      <c r="N2467" s="177">
        <f>SUMIFS('Support - Transition'!G:G,'Support - Transition'!J:J,'Step 2'!D2467,'Support - Transition'!E:E,"2009 WELFARE ALLOCATION FACTOR")</f>
        <v>0</v>
      </c>
      <c r="O2467" s="152">
        <f t="shared" si="732"/>
        <v>0</v>
      </c>
      <c r="P2467" s="126">
        <f>IF(E2467="Y",0,SUMIFS('Support - Transition'!G:G,'Support - Transition'!J:J,'Step 2'!D2467,'Support - Transition'!E:E,"2009 SCHOOL ALLOCATION FACTOR"))</f>
        <v>0.44625799999999999</v>
      </c>
      <c r="Q2467" s="126">
        <f>IF(E2467="Y",VLOOKUP(D2467,'Support - Unit Adjustments'!F:G,2,FALSE),0)</f>
        <v>0</v>
      </c>
      <c r="R2467" s="155">
        <f t="shared" si="744"/>
        <v>0.44625799999999999</v>
      </c>
      <c r="S2467" s="47">
        <f t="shared" si="743"/>
        <v>41536</v>
      </c>
      <c r="T2467" s="151">
        <f t="shared" si="728"/>
        <v>51541</v>
      </c>
      <c r="U2467" s="151">
        <f t="shared" si="729"/>
        <v>0</v>
      </c>
      <c r="V2467" s="139">
        <f t="shared" si="730"/>
        <v>0</v>
      </c>
      <c r="W2467" s="152">
        <f t="shared" si="733"/>
        <v>51541</v>
      </c>
      <c r="X2467" s="127" t="str">
        <f t="shared" si="731"/>
        <v/>
      </c>
      <c r="Y2467" s="207">
        <f t="shared" si="734"/>
        <v>51541</v>
      </c>
      <c r="Z2467" s="139">
        <f t="shared" si="735"/>
        <v>51541</v>
      </c>
      <c r="AA2467" s="139">
        <f t="shared" si="736"/>
        <v>0</v>
      </c>
      <c r="AC2467" s="47">
        <f t="shared" si="737"/>
        <v>25771</v>
      </c>
      <c r="AD2467" s="47">
        <f t="shared" si="738"/>
        <v>25771</v>
      </c>
      <c r="AE2467" s="47">
        <f t="shared" si="739"/>
        <v>0</v>
      </c>
      <c r="AG2467" s="47">
        <f t="shared" si="740"/>
        <v>25770</v>
      </c>
      <c r="AH2467" s="47">
        <f t="shared" si="741"/>
        <v>25770</v>
      </c>
      <c r="AI2467" s="208">
        <f t="shared" si="742"/>
        <v>0</v>
      </c>
    </row>
    <row r="2468" spans="1:35">
      <c r="A2468" t="s">
        <v>2169</v>
      </c>
      <c r="B2468" t="s">
        <v>3160</v>
      </c>
      <c r="C2468" t="s">
        <v>3072</v>
      </c>
      <c r="D2468" t="s">
        <v>6029</v>
      </c>
      <c r="F2468" t="s">
        <v>1759</v>
      </c>
      <c r="G2468" s="126">
        <f>SUMIFS('Support - Transition'!F:F,'Support - Transition'!B:B,'Step 2'!A2468,'Support - Transition'!C:C,'Step 2'!B2468,'Support - Transition'!D:D,'Step 2'!C2468,'Support - Transition'!E:E,"CIVIL")</f>
        <v>0</v>
      </c>
      <c r="H2468" s="126">
        <f>SUMIFS('Support - Transition'!F:F,'Support - Transition'!B:B,'Step 2'!A2468,'Support - Transition'!C:C,'Step 2'!B2468,'Support - Transition'!D:D,'Step 2'!C2468,'Support - Transition'!E:E,"FIRE")</f>
        <v>0</v>
      </c>
      <c r="I2468" s="126">
        <f>IF(B2468="0",SUMIFS('Support - Transition'!F:F,'Support - Transition'!J:J,'Step 2'!D2468,'Support - Transition'!E:E,"STATE UNIT"),SUMIFS('Support - Transition'!F:F,'Support - Transition'!J:J,'Step 2'!D2468))</f>
        <v>0.299896</v>
      </c>
      <c r="J2468" s="126">
        <f>SUMIFS('Support - Unit Adjustments'!E:E,'Support - Unit Adjustments'!F:F,'Step 2'!D2468)</f>
        <v>0</v>
      </c>
      <c r="K2468" s="126">
        <f t="shared" si="726"/>
        <v>0.299896</v>
      </c>
      <c r="L2468" s="174">
        <f>VLOOKUP(A2468,'Step 1'!$A:$E,4,FALSE)</f>
        <v>349169</v>
      </c>
      <c r="M2468" s="47">
        <f t="shared" si="727"/>
        <v>104714</v>
      </c>
      <c r="N2468" s="177">
        <f>SUMIFS('Support - Transition'!G:G,'Support - Transition'!J:J,'Step 2'!D2468,'Support - Transition'!E:E,"2009 WELFARE ALLOCATION FACTOR")</f>
        <v>0</v>
      </c>
      <c r="O2468" s="152">
        <f t="shared" si="732"/>
        <v>0</v>
      </c>
      <c r="P2468" s="126">
        <f>IF(E2468="Y",0,SUMIFS('Support - Transition'!G:G,'Support - Transition'!J:J,'Step 2'!D2468,'Support - Transition'!E:E,"2009 SCHOOL ALLOCATION FACTOR"))</f>
        <v>0.50551199999999996</v>
      </c>
      <c r="Q2468" s="126">
        <f>IF(E2468="Y",VLOOKUP(D2468,'Support - Unit Adjustments'!F:G,2,FALSE),0)</f>
        <v>0</v>
      </c>
      <c r="R2468" s="155">
        <f t="shared" si="744"/>
        <v>0.50551199999999996</v>
      </c>
      <c r="S2468" s="47">
        <f t="shared" si="743"/>
        <v>52934</v>
      </c>
      <c r="T2468" s="151">
        <f t="shared" si="728"/>
        <v>51780</v>
      </c>
      <c r="U2468" s="151">
        <f t="shared" si="729"/>
        <v>0</v>
      </c>
      <c r="V2468" s="139">
        <f t="shared" si="730"/>
        <v>0</v>
      </c>
      <c r="W2468" s="152">
        <f t="shared" si="733"/>
        <v>51780</v>
      </c>
      <c r="X2468" s="127" t="str">
        <f t="shared" si="731"/>
        <v/>
      </c>
      <c r="Y2468" s="207">
        <f t="shared" si="734"/>
        <v>51780</v>
      </c>
      <c r="Z2468" s="139">
        <f t="shared" si="735"/>
        <v>51780</v>
      </c>
      <c r="AA2468" s="139">
        <f t="shared" si="736"/>
        <v>0</v>
      </c>
      <c r="AC2468" s="47">
        <f t="shared" si="737"/>
        <v>25890</v>
      </c>
      <c r="AD2468" s="47">
        <f t="shared" si="738"/>
        <v>25890</v>
      </c>
      <c r="AE2468" s="47">
        <f t="shared" si="739"/>
        <v>0</v>
      </c>
      <c r="AG2468" s="47">
        <f t="shared" si="740"/>
        <v>25890</v>
      </c>
      <c r="AH2468" s="47">
        <f t="shared" si="741"/>
        <v>25890</v>
      </c>
      <c r="AI2468" s="208">
        <f t="shared" si="742"/>
        <v>0</v>
      </c>
    </row>
    <row r="2469" spans="1:35">
      <c r="A2469" t="s">
        <v>2169</v>
      </c>
      <c r="B2469" t="s">
        <v>3160</v>
      </c>
      <c r="C2469" t="s">
        <v>3073</v>
      </c>
      <c r="D2469" t="s">
        <v>6030</v>
      </c>
      <c r="F2469" t="s">
        <v>1761</v>
      </c>
      <c r="G2469" s="126">
        <f>SUMIFS('Support - Transition'!F:F,'Support - Transition'!B:B,'Step 2'!A2469,'Support - Transition'!C:C,'Step 2'!B2469,'Support - Transition'!D:D,'Step 2'!C2469,'Support - Transition'!E:E,"CIVIL")</f>
        <v>0</v>
      </c>
      <c r="H2469" s="126">
        <f>SUMIFS('Support - Transition'!F:F,'Support - Transition'!B:B,'Step 2'!A2469,'Support - Transition'!C:C,'Step 2'!B2469,'Support - Transition'!D:D,'Step 2'!C2469,'Support - Transition'!E:E,"FIRE")</f>
        <v>0</v>
      </c>
      <c r="I2469" s="126">
        <f>IF(B2469="0",SUMIFS('Support - Transition'!F:F,'Support - Transition'!J:J,'Step 2'!D2469,'Support - Transition'!E:E,"STATE UNIT"),SUMIFS('Support - Transition'!F:F,'Support - Transition'!J:J,'Step 2'!D2469))</f>
        <v>6.5846000000000002E-2</v>
      </c>
      <c r="J2469" s="126">
        <f>SUMIFS('Support - Unit Adjustments'!E:E,'Support - Unit Adjustments'!F:F,'Step 2'!D2469)</f>
        <v>0</v>
      </c>
      <c r="K2469" s="126">
        <f t="shared" si="726"/>
        <v>6.5846000000000002E-2</v>
      </c>
      <c r="L2469" s="174">
        <f>VLOOKUP(A2469,'Step 1'!$A:$E,4,FALSE)</f>
        <v>349169</v>
      </c>
      <c r="M2469" s="47">
        <f t="shared" si="727"/>
        <v>22991</v>
      </c>
      <c r="N2469" s="177">
        <f>SUMIFS('Support - Transition'!G:G,'Support - Transition'!J:J,'Step 2'!D2469,'Support - Transition'!E:E,"2009 WELFARE ALLOCATION FACTOR")</f>
        <v>0</v>
      </c>
      <c r="O2469" s="152">
        <f t="shared" si="732"/>
        <v>0</v>
      </c>
      <c r="P2469" s="126">
        <f>IF(E2469="Y",0,SUMIFS('Support - Transition'!G:G,'Support - Transition'!J:J,'Step 2'!D2469,'Support - Transition'!E:E,"2009 SCHOOL ALLOCATION FACTOR"))</f>
        <v>0.53324499999999997</v>
      </c>
      <c r="Q2469" s="126">
        <f>IF(E2469="Y",VLOOKUP(D2469,'Support - Unit Adjustments'!F:G,2,FALSE),0)</f>
        <v>0</v>
      </c>
      <c r="R2469" s="155">
        <f t="shared" si="744"/>
        <v>0.53324499999999997</v>
      </c>
      <c r="S2469" s="47">
        <f t="shared" si="743"/>
        <v>12260</v>
      </c>
      <c r="T2469" s="151">
        <f t="shared" si="728"/>
        <v>10731</v>
      </c>
      <c r="U2469" s="151">
        <f t="shared" si="729"/>
        <v>0</v>
      </c>
      <c r="V2469" s="139">
        <f t="shared" si="730"/>
        <v>0</v>
      </c>
      <c r="W2469" s="152">
        <f t="shared" si="733"/>
        <v>10731</v>
      </c>
      <c r="X2469" s="127" t="str">
        <f t="shared" si="731"/>
        <v/>
      </c>
      <c r="Y2469" s="207">
        <f t="shared" si="734"/>
        <v>10731</v>
      </c>
      <c r="Z2469" s="139">
        <f t="shared" si="735"/>
        <v>10731</v>
      </c>
      <c r="AA2469" s="139">
        <f t="shared" si="736"/>
        <v>0</v>
      </c>
      <c r="AC2469" s="47">
        <f t="shared" si="737"/>
        <v>5366</v>
      </c>
      <c r="AD2469" s="47">
        <f t="shared" si="738"/>
        <v>5366</v>
      </c>
      <c r="AE2469" s="47">
        <f t="shared" si="739"/>
        <v>0</v>
      </c>
      <c r="AG2469" s="47">
        <f t="shared" si="740"/>
        <v>5365</v>
      </c>
      <c r="AH2469" s="47">
        <f t="shared" si="741"/>
        <v>5365</v>
      </c>
      <c r="AI2469" s="208">
        <f t="shared" si="742"/>
        <v>0</v>
      </c>
    </row>
    <row r="2470" spans="1:35">
      <c r="A2470" t="s">
        <v>2169</v>
      </c>
      <c r="B2470" t="s">
        <v>3166</v>
      </c>
      <c r="C2470" t="s">
        <v>6031</v>
      </c>
      <c r="D2470" t="s">
        <v>6032</v>
      </c>
      <c r="F2470" t="s">
        <v>1762</v>
      </c>
      <c r="G2470" s="126">
        <f>SUMIFS('Support - Transition'!F:F,'Support - Transition'!B:B,'Step 2'!A2470,'Support - Transition'!C:C,'Step 2'!B2470,'Support - Transition'!D:D,'Step 2'!C2470,'Support - Transition'!E:E,"CIVIL")</f>
        <v>0</v>
      </c>
      <c r="H2470" s="126">
        <f>SUMIFS('Support - Transition'!F:F,'Support - Transition'!B:B,'Step 2'!A2470,'Support - Transition'!C:C,'Step 2'!B2470,'Support - Transition'!D:D,'Step 2'!C2470,'Support - Transition'!E:E,"FIRE")</f>
        <v>0</v>
      </c>
      <c r="I2470" s="126">
        <f>IF(B2470="0",SUMIFS('Support - Transition'!F:F,'Support - Transition'!J:J,'Step 2'!D2470,'Support - Transition'!E:E,"STATE UNIT"),SUMIFS('Support - Transition'!F:F,'Support - Transition'!J:J,'Step 2'!D2470))</f>
        <v>3.0170000000000002E-3</v>
      </c>
      <c r="J2470" s="126">
        <f>SUMIFS('Support - Unit Adjustments'!E:E,'Support - Unit Adjustments'!F:F,'Step 2'!D2470)</f>
        <v>0</v>
      </c>
      <c r="K2470" s="126">
        <f t="shared" si="726"/>
        <v>3.0170000000000002E-3</v>
      </c>
      <c r="L2470" s="174">
        <f>VLOOKUP(A2470,'Step 1'!$A:$E,4,FALSE)</f>
        <v>349169</v>
      </c>
      <c r="M2470" s="47">
        <f t="shared" si="727"/>
        <v>1053</v>
      </c>
      <c r="N2470" s="177">
        <f>SUMIFS('Support - Transition'!G:G,'Support - Transition'!J:J,'Step 2'!D2470,'Support - Transition'!E:E,"2009 WELFARE ALLOCATION FACTOR")</f>
        <v>0</v>
      </c>
      <c r="O2470" s="152">
        <f t="shared" si="732"/>
        <v>0</v>
      </c>
      <c r="P2470" s="126">
        <f>IF(E2470="Y",0,SUMIFS('Support - Transition'!G:G,'Support - Transition'!J:J,'Step 2'!D2470,'Support - Transition'!E:E,"2009 SCHOOL ALLOCATION FACTOR"))</f>
        <v>0</v>
      </c>
      <c r="Q2470" s="126">
        <f>IF(E2470="Y",VLOOKUP(D2470,'Support - Unit Adjustments'!F:G,2,FALSE),0)</f>
        <v>0</v>
      </c>
      <c r="R2470" s="155">
        <f t="shared" si="744"/>
        <v>0</v>
      </c>
      <c r="S2470" s="47">
        <f t="shared" si="743"/>
        <v>0</v>
      </c>
      <c r="T2470" s="151">
        <f t="shared" si="728"/>
        <v>1053</v>
      </c>
      <c r="U2470" s="151">
        <f t="shared" si="729"/>
        <v>0</v>
      </c>
      <c r="V2470" s="139">
        <f t="shared" si="730"/>
        <v>0</v>
      </c>
      <c r="W2470" s="152">
        <f t="shared" si="733"/>
        <v>1053</v>
      </c>
      <c r="X2470" s="127" t="str">
        <f t="shared" si="731"/>
        <v/>
      </c>
      <c r="Y2470" s="207">
        <f t="shared" si="734"/>
        <v>1053</v>
      </c>
      <c r="Z2470" s="139">
        <f t="shared" si="735"/>
        <v>1053</v>
      </c>
      <c r="AA2470" s="139">
        <f t="shared" si="736"/>
        <v>0</v>
      </c>
      <c r="AC2470" s="47">
        <f t="shared" si="737"/>
        <v>527</v>
      </c>
      <c r="AD2470" s="47">
        <f t="shared" si="738"/>
        <v>527</v>
      </c>
      <c r="AE2470" s="47">
        <f t="shared" si="739"/>
        <v>0</v>
      </c>
      <c r="AG2470" s="47">
        <f t="shared" si="740"/>
        <v>526</v>
      </c>
      <c r="AH2470" s="47">
        <f t="shared" si="741"/>
        <v>526</v>
      </c>
      <c r="AI2470" s="208">
        <f t="shared" si="742"/>
        <v>0</v>
      </c>
    </row>
    <row r="2471" spans="1:35">
      <c r="A2471" t="s">
        <v>2169</v>
      </c>
      <c r="B2471" t="s">
        <v>3166</v>
      </c>
      <c r="C2471" t="s">
        <v>3074</v>
      </c>
      <c r="D2471" t="s">
        <v>6033</v>
      </c>
      <c r="F2471" t="s">
        <v>1763</v>
      </c>
      <c r="G2471" s="126">
        <f>SUMIFS('Support - Transition'!F:F,'Support - Transition'!B:B,'Step 2'!A2471,'Support - Transition'!C:C,'Step 2'!B2471,'Support - Transition'!D:D,'Step 2'!C2471,'Support - Transition'!E:E,"CIVIL")</f>
        <v>0</v>
      </c>
      <c r="H2471" s="126">
        <f>SUMIFS('Support - Transition'!F:F,'Support - Transition'!B:B,'Step 2'!A2471,'Support - Transition'!C:C,'Step 2'!B2471,'Support - Transition'!D:D,'Step 2'!C2471,'Support - Transition'!E:E,"FIRE")</f>
        <v>0</v>
      </c>
      <c r="I2471" s="126">
        <f>IF(B2471="0",SUMIFS('Support - Transition'!F:F,'Support - Transition'!J:J,'Step 2'!D2471,'Support - Transition'!E:E,"STATE UNIT"),SUMIFS('Support - Transition'!F:F,'Support - Transition'!J:J,'Step 2'!D2471))</f>
        <v>1.673E-3</v>
      </c>
      <c r="J2471" s="126">
        <f>SUMIFS('Support - Unit Adjustments'!E:E,'Support - Unit Adjustments'!F:F,'Step 2'!D2471)</f>
        <v>0</v>
      </c>
      <c r="K2471" s="126">
        <f t="shared" si="726"/>
        <v>1.673E-3</v>
      </c>
      <c r="L2471" s="174">
        <f>VLOOKUP(A2471,'Step 1'!$A:$E,4,FALSE)</f>
        <v>349169</v>
      </c>
      <c r="M2471" s="47">
        <f t="shared" si="727"/>
        <v>584</v>
      </c>
      <c r="N2471" s="177">
        <f>SUMIFS('Support - Transition'!G:G,'Support - Transition'!J:J,'Step 2'!D2471,'Support - Transition'!E:E,"2009 WELFARE ALLOCATION FACTOR")</f>
        <v>0</v>
      </c>
      <c r="O2471" s="152">
        <f t="shared" si="732"/>
        <v>0</v>
      </c>
      <c r="P2471" s="126">
        <f>IF(E2471="Y",0,SUMIFS('Support - Transition'!G:G,'Support - Transition'!J:J,'Step 2'!D2471,'Support - Transition'!E:E,"2009 SCHOOL ALLOCATION FACTOR"))</f>
        <v>0</v>
      </c>
      <c r="Q2471" s="126">
        <f>IF(E2471="Y",VLOOKUP(D2471,'Support - Unit Adjustments'!F:G,2,FALSE),0)</f>
        <v>0</v>
      </c>
      <c r="R2471" s="155">
        <f t="shared" si="744"/>
        <v>0</v>
      </c>
      <c r="S2471" s="47">
        <f t="shared" si="743"/>
        <v>0</v>
      </c>
      <c r="T2471" s="151">
        <f t="shared" si="728"/>
        <v>584</v>
      </c>
      <c r="U2471" s="151">
        <f t="shared" si="729"/>
        <v>0</v>
      </c>
      <c r="V2471" s="139">
        <f t="shared" si="730"/>
        <v>0</v>
      </c>
      <c r="W2471" s="152">
        <f t="shared" si="733"/>
        <v>584</v>
      </c>
      <c r="X2471" s="127" t="str">
        <f t="shared" si="731"/>
        <v/>
      </c>
      <c r="Y2471" s="207">
        <f t="shared" si="734"/>
        <v>584</v>
      </c>
      <c r="Z2471" s="139">
        <f t="shared" si="735"/>
        <v>584</v>
      </c>
      <c r="AA2471" s="139">
        <f t="shared" si="736"/>
        <v>0</v>
      </c>
      <c r="AC2471" s="47">
        <f t="shared" si="737"/>
        <v>292</v>
      </c>
      <c r="AD2471" s="47">
        <f t="shared" si="738"/>
        <v>292</v>
      </c>
      <c r="AE2471" s="47">
        <f t="shared" si="739"/>
        <v>0</v>
      </c>
      <c r="AG2471" s="47">
        <f t="shared" si="740"/>
        <v>292</v>
      </c>
      <c r="AH2471" s="47">
        <f t="shared" si="741"/>
        <v>292</v>
      </c>
      <c r="AI2471" s="208">
        <f t="shared" si="742"/>
        <v>0</v>
      </c>
    </row>
    <row r="2472" spans="1:35">
      <c r="A2472" t="s">
        <v>2169</v>
      </c>
      <c r="B2472" t="s">
        <v>3166</v>
      </c>
      <c r="C2472" t="s">
        <v>3075</v>
      </c>
      <c r="D2472" t="s">
        <v>6034</v>
      </c>
      <c r="F2472" t="s">
        <v>1764</v>
      </c>
      <c r="G2472" s="126">
        <f>SUMIFS('Support - Transition'!F:F,'Support - Transition'!B:B,'Step 2'!A2472,'Support - Transition'!C:C,'Step 2'!B2472,'Support - Transition'!D:D,'Step 2'!C2472,'Support - Transition'!E:E,"CIVIL")</f>
        <v>0</v>
      </c>
      <c r="H2472" s="126">
        <f>SUMIFS('Support - Transition'!F:F,'Support - Transition'!B:B,'Step 2'!A2472,'Support - Transition'!C:C,'Step 2'!B2472,'Support - Transition'!D:D,'Step 2'!C2472,'Support - Transition'!E:E,"FIRE")</f>
        <v>0</v>
      </c>
      <c r="I2472" s="126">
        <f>IF(B2472="0",SUMIFS('Support - Transition'!F:F,'Support - Transition'!J:J,'Step 2'!D2472,'Support - Transition'!E:E,"STATE UNIT"),SUMIFS('Support - Transition'!F:F,'Support - Transition'!J:J,'Step 2'!D2472))</f>
        <v>6.9700000000000317E-3</v>
      </c>
      <c r="J2472" s="126">
        <f>SUMIFS('Support - Unit Adjustments'!E:E,'Support - Unit Adjustments'!F:F,'Step 2'!D2472)</f>
        <v>0</v>
      </c>
      <c r="K2472" s="126">
        <f t="shared" si="726"/>
        <v>6.9700000000000317E-3</v>
      </c>
      <c r="L2472" s="174">
        <f>VLOOKUP(A2472,'Step 1'!$A:$E,4,FALSE)</f>
        <v>349169</v>
      </c>
      <c r="M2472" s="47">
        <f t="shared" si="727"/>
        <v>2434</v>
      </c>
      <c r="N2472" s="177">
        <f>SUMIFS('Support - Transition'!G:G,'Support - Transition'!J:J,'Step 2'!D2472,'Support - Transition'!E:E,"2009 WELFARE ALLOCATION FACTOR")</f>
        <v>0</v>
      </c>
      <c r="O2472" s="152">
        <f t="shared" si="732"/>
        <v>0</v>
      </c>
      <c r="P2472" s="126">
        <f>IF(E2472="Y",0,SUMIFS('Support - Transition'!G:G,'Support - Transition'!J:J,'Step 2'!D2472,'Support - Transition'!E:E,"2009 SCHOOL ALLOCATION FACTOR"))</f>
        <v>0</v>
      </c>
      <c r="Q2472" s="126">
        <f>IF(E2472="Y",VLOOKUP(D2472,'Support - Unit Adjustments'!F:G,2,FALSE),0)</f>
        <v>0</v>
      </c>
      <c r="R2472" s="155">
        <f t="shared" si="744"/>
        <v>0</v>
      </c>
      <c r="S2472" s="47">
        <f t="shared" si="743"/>
        <v>0</v>
      </c>
      <c r="T2472" s="151">
        <f t="shared" si="728"/>
        <v>2434</v>
      </c>
      <c r="U2472" s="151">
        <f t="shared" si="729"/>
        <v>0</v>
      </c>
      <c r="V2472" s="139">
        <f t="shared" si="730"/>
        <v>0</v>
      </c>
      <c r="W2472" s="152">
        <f t="shared" si="733"/>
        <v>2434</v>
      </c>
      <c r="X2472" s="127" t="str">
        <f t="shared" si="731"/>
        <v/>
      </c>
      <c r="Y2472" s="207">
        <f t="shared" si="734"/>
        <v>2434</v>
      </c>
      <c r="Z2472" s="139">
        <f t="shared" si="735"/>
        <v>2434</v>
      </c>
      <c r="AA2472" s="139">
        <f t="shared" si="736"/>
        <v>0</v>
      </c>
      <c r="AC2472" s="47">
        <f t="shared" si="737"/>
        <v>1217</v>
      </c>
      <c r="AD2472" s="47">
        <f t="shared" si="738"/>
        <v>1217</v>
      </c>
      <c r="AE2472" s="47">
        <f t="shared" si="739"/>
        <v>0</v>
      </c>
      <c r="AG2472" s="47">
        <f t="shared" si="740"/>
        <v>1217</v>
      </c>
      <c r="AH2472" s="47">
        <f t="shared" si="741"/>
        <v>1217</v>
      </c>
      <c r="AI2472" s="208">
        <f t="shared" si="742"/>
        <v>0</v>
      </c>
    </row>
    <row r="2473" spans="1:35">
      <c r="A2473" t="s">
        <v>2169</v>
      </c>
      <c r="B2473" t="s">
        <v>3170</v>
      </c>
      <c r="C2473" t="s">
        <v>6035</v>
      </c>
      <c r="D2473" t="s">
        <v>6036</v>
      </c>
      <c r="F2473" t="s">
        <v>6037</v>
      </c>
      <c r="G2473" s="126">
        <f>SUMIFS('Support - Transition'!F:F,'Support - Transition'!B:B,'Step 2'!A2473,'Support - Transition'!C:C,'Step 2'!B2473,'Support - Transition'!D:D,'Step 2'!C2473,'Support - Transition'!E:E,"CIVIL")</f>
        <v>0</v>
      </c>
      <c r="H2473" s="126">
        <f>SUMIFS('Support - Transition'!F:F,'Support - Transition'!B:B,'Step 2'!A2473,'Support - Transition'!C:C,'Step 2'!B2473,'Support - Transition'!D:D,'Step 2'!C2473,'Support - Transition'!E:E,"FIRE")</f>
        <v>0</v>
      </c>
      <c r="I2473" s="126">
        <f>IF(B2473="0",SUMIFS('Support - Transition'!F:F,'Support - Transition'!J:J,'Step 2'!D2473,'Support - Transition'!E:E,"STATE UNIT"),SUMIFS('Support - Transition'!F:F,'Support - Transition'!J:J,'Step 2'!D2473))</f>
        <v>0</v>
      </c>
      <c r="J2473" s="126">
        <f>SUMIFS('Support - Unit Adjustments'!E:E,'Support - Unit Adjustments'!F:F,'Step 2'!D2473)</f>
        <v>0</v>
      </c>
      <c r="K2473" s="126">
        <f t="shared" si="726"/>
        <v>0</v>
      </c>
      <c r="L2473" s="174">
        <f>VLOOKUP(A2473,'Step 1'!$A:$E,4,FALSE)</f>
        <v>349169</v>
      </c>
      <c r="M2473" s="47">
        <f t="shared" si="727"/>
        <v>0</v>
      </c>
      <c r="N2473" s="177">
        <f>SUMIFS('Support - Transition'!G:G,'Support - Transition'!J:J,'Step 2'!D2473,'Support - Transition'!E:E,"2009 WELFARE ALLOCATION FACTOR")</f>
        <v>0</v>
      </c>
      <c r="O2473" s="152">
        <f t="shared" si="732"/>
        <v>0</v>
      </c>
      <c r="P2473" s="126">
        <f>IF(E2473="Y",0,SUMIFS('Support - Transition'!G:G,'Support - Transition'!J:J,'Step 2'!D2473,'Support - Transition'!E:E,"2009 SCHOOL ALLOCATION FACTOR"))</f>
        <v>0</v>
      </c>
      <c r="Q2473" s="126">
        <f>IF(E2473="Y",VLOOKUP(D2473,'Support - Unit Adjustments'!F:G,2,FALSE),0)</f>
        <v>0</v>
      </c>
      <c r="R2473" s="155">
        <f t="shared" si="744"/>
        <v>0</v>
      </c>
      <c r="S2473" s="47">
        <f t="shared" si="743"/>
        <v>0</v>
      </c>
      <c r="T2473" s="151">
        <f t="shared" si="728"/>
        <v>0</v>
      </c>
      <c r="U2473" s="151">
        <f t="shared" si="729"/>
        <v>0</v>
      </c>
      <c r="V2473" s="139">
        <f t="shared" si="730"/>
        <v>0</v>
      </c>
      <c r="W2473" s="152">
        <f t="shared" si="733"/>
        <v>0</v>
      </c>
      <c r="X2473" s="127" t="str">
        <f t="shared" si="731"/>
        <v/>
      </c>
      <c r="Y2473" s="207">
        <f t="shared" si="734"/>
        <v>0</v>
      </c>
      <c r="Z2473" s="139">
        <f t="shared" si="735"/>
        <v>0</v>
      </c>
      <c r="AA2473" s="139">
        <f t="shared" si="736"/>
        <v>0</v>
      </c>
      <c r="AC2473" s="47">
        <f t="shared" si="737"/>
        <v>0</v>
      </c>
      <c r="AD2473" s="47">
        <f t="shared" si="738"/>
        <v>0</v>
      </c>
      <c r="AE2473" s="47">
        <f t="shared" si="739"/>
        <v>0</v>
      </c>
      <c r="AG2473" s="47">
        <f t="shared" si="740"/>
        <v>0</v>
      </c>
      <c r="AH2473" s="47">
        <f t="shared" si="741"/>
        <v>0</v>
      </c>
      <c r="AI2473" s="208">
        <f t="shared" si="742"/>
        <v>0</v>
      </c>
    </row>
    <row r="2474" spans="1:35">
      <c r="A2474" t="s">
        <v>2170</v>
      </c>
      <c r="B2474" s="48" t="s">
        <v>6274</v>
      </c>
      <c r="C2474" t="s">
        <v>2187</v>
      </c>
      <c r="D2474" t="str">
        <f>A2474&amp;B2474&amp;C2474</f>
        <v>8600000</v>
      </c>
      <c r="F2474" t="s">
        <v>6360</v>
      </c>
      <c r="G2474" s="126">
        <f>SUMIFS('Support - Transition'!F:F,'Support - Transition'!B:B,'Step 2'!A2474,'Support - Transition'!C:C,'Step 2'!B2474,'Support - Transition'!D:D,'Step 2'!C2474,'Support - Transition'!E:E,"CIVIL")</f>
        <v>0</v>
      </c>
      <c r="H2474" s="126">
        <f>SUMIFS('Support - Transition'!F:F,'Support - Transition'!B:B,'Step 2'!A2474,'Support - Transition'!C:C,'Step 2'!B2474,'Support - Transition'!D:D,'Step 2'!C2474,'Support - Transition'!E:E,"FIRE")</f>
        <v>0</v>
      </c>
      <c r="I2474" s="126">
        <f>IF(B2474="0",SUMIFS('Support - Transition'!F:F,'Support - Transition'!J:J,'Step 2'!D2474,'Support - Transition'!E:E,"STATE UNIT"),SUMIFS('Support - Transition'!F:F,'Support - Transition'!J:J,'Step 2'!D2474))</f>
        <v>1.3699999999999999E-3</v>
      </c>
      <c r="J2474" s="126">
        <f>SUMIFS('Support - Unit Adjustments'!E:E,'Support - Unit Adjustments'!F:F,'Step 2'!D2474)</f>
        <v>0</v>
      </c>
      <c r="K2474" s="126">
        <f t="shared" si="726"/>
        <v>1.3699999999999999E-3</v>
      </c>
      <c r="L2474" s="174">
        <f>VLOOKUP(A2474,'Step 1'!$A:$E,4,FALSE)</f>
        <v>57220</v>
      </c>
      <c r="M2474" s="47">
        <f t="shared" si="727"/>
        <v>78</v>
      </c>
      <c r="N2474" s="177">
        <f>SUMIFS('Support - Transition'!G:G,'Support - Transition'!J:J,'Step 2'!D2474,'Support - Transition'!E:E,"2009 WELFARE ALLOCATION FACTOR")</f>
        <v>0</v>
      </c>
      <c r="O2474" s="152">
        <f t="shared" si="732"/>
        <v>0</v>
      </c>
      <c r="P2474" s="126">
        <f>IF(E2474="Y",0,SUMIFS('Support - Transition'!G:G,'Support - Transition'!J:J,'Step 2'!D2474,'Support - Transition'!E:E,"2009 SCHOOL ALLOCATION FACTOR"))</f>
        <v>0</v>
      </c>
      <c r="Q2474" s="126">
        <f>IF(E2474="Y",VLOOKUP(D2474,'Support - Unit Adjustments'!F:G,2,FALSE),0)</f>
        <v>0</v>
      </c>
      <c r="R2474" s="155">
        <f t="shared" si="744"/>
        <v>0</v>
      </c>
      <c r="S2474" s="47">
        <f t="shared" si="743"/>
        <v>0</v>
      </c>
      <c r="T2474" s="151">
        <f t="shared" si="728"/>
        <v>78</v>
      </c>
      <c r="U2474" s="151">
        <f t="shared" si="729"/>
        <v>57217</v>
      </c>
      <c r="V2474" s="139">
        <f t="shared" si="730"/>
        <v>-3</v>
      </c>
      <c r="W2474" s="152">
        <f t="shared" si="733"/>
        <v>81</v>
      </c>
      <c r="X2474" s="127">
        <f t="shared" si="731"/>
        <v>0</v>
      </c>
      <c r="Y2474" s="207">
        <f t="shared" si="734"/>
        <v>81</v>
      </c>
      <c r="Z2474" s="139">
        <f t="shared" si="735"/>
        <v>81</v>
      </c>
      <c r="AA2474" s="139">
        <f t="shared" si="736"/>
        <v>0</v>
      </c>
      <c r="AC2474" s="47">
        <f t="shared" si="737"/>
        <v>41</v>
      </c>
      <c r="AD2474" s="47">
        <f t="shared" si="738"/>
        <v>41</v>
      </c>
      <c r="AE2474" s="47">
        <f t="shared" si="739"/>
        <v>0</v>
      </c>
      <c r="AG2474" s="47">
        <f t="shared" si="740"/>
        <v>40</v>
      </c>
      <c r="AH2474" s="47">
        <f t="shared" si="741"/>
        <v>40</v>
      </c>
      <c r="AI2474" s="208">
        <f t="shared" si="742"/>
        <v>0</v>
      </c>
    </row>
    <row r="2475" spans="1:35">
      <c r="A2475" t="s">
        <v>2170</v>
      </c>
      <c r="B2475" t="s">
        <v>3140</v>
      </c>
      <c r="C2475" t="s">
        <v>2187</v>
      </c>
      <c r="D2475" t="s">
        <v>6038</v>
      </c>
      <c r="F2475" t="s">
        <v>1767</v>
      </c>
      <c r="G2475" s="126">
        <f>SUMIFS('Support - Transition'!F:F,'Support - Transition'!B:B,'Step 2'!A2475,'Support - Transition'!C:C,'Step 2'!B2475,'Support - Transition'!D:D,'Step 2'!C2475,'Support - Transition'!E:E,"CIVIL")</f>
        <v>0</v>
      </c>
      <c r="H2475" s="126">
        <f>SUMIFS('Support - Transition'!F:F,'Support - Transition'!B:B,'Step 2'!A2475,'Support - Transition'!C:C,'Step 2'!B2475,'Support - Transition'!D:D,'Step 2'!C2475,'Support - Transition'!E:E,"FIRE")</f>
        <v>0</v>
      </c>
      <c r="I2475" s="126">
        <f>IF(B2475="0",SUMIFS('Support - Transition'!F:F,'Support - Transition'!J:J,'Step 2'!D2475,'Support - Transition'!E:E,"STATE UNIT"),SUMIFS('Support - Transition'!F:F,'Support - Transition'!J:J,'Step 2'!D2475))</f>
        <v>0.313029</v>
      </c>
      <c r="J2475" s="126">
        <f>SUMIFS('Support - Unit Adjustments'!E:E,'Support - Unit Adjustments'!F:F,'Step 2'!D2475)</f>
        <v>0</v>
      </c>
      <c r="K2475" s="126">
        <f t="shared" si="726"/>
        <v>0.313029</v>
      </c>
      <c r="L2475" s="174">
        <f>VLOOKUP(A2475,'Step 1'!$A:$E,4,FALSE)</f>
        <v>57220</v>
      </c>
      <c r="M2475" s="47">
        <f t="shared" si="727"/>
        <v>17912</v>
      </c>
      <c r="N2475" s="177">
        <f>SUMIFS('Support - Transition'!G:G,'Support - Transition'!J:J,'Step 2'!D2475,'Support - Transition'!E:E,"2009 WELFARE ALLOCATION FACTOR")</f>
        <v>9.2796000000000003E-2</v>
      </c>
      <c r="O2475" s="152">
        <f t="shared" si="732"/>
        <v>1662</v>
      </c>
      <c r="P2475" s="126">
        <f>IF(E2475="Y",0,SUMIFS('Support - Transition'!G:G,'Support - Transition'!J:J,'Step 2'!D2475,'Support - Transition'!E:E,"2009 SCHOOL ALLOCATION FACTOR"))</f>
        <v>0</v>
      </c>
      <c r="Q2475" s="126">
        <f>IF(E2475="Y",VLOOKUP(D2475,'Support - Unit Adjustments'!F:G,2,FALSE),0)</f>
        <v>0</v>
      </c>
      <c r="R2475" s="155">
        <f t="shared" si="744"/>
        <v>0</v>
      </c>
      <c r="S2475" s="47">
        <f t="shared" si="743"/>
        <v>0</v>
      </c>
      <c r="T2475" s="151">
        <f t="shared" si="728"/>
        <v>16250</v>
      </c>
      <c r="U2475" s="151">
        <f t="shared" si="729"/>
        <v>0</v>
      </c>
      <c r="V2475" s="139">
        <f t="shared" si="730"/>
        <v>0</v>
      </c>
      <c r="W2475" s="152">
        <f t="shared" si="733"/>
        <v>16250</v>
      </c>
      <c r="X2475" s="127" t="str">
        <f t="shared" si="731"/>
        <v/>
      </c>
      <c r="Y2475" s="207">
        <f t="shared" si="734"/>
        <v>16250</v>
      </c>
      <c r="Z2475" s="139">
        <f t="shared" si="735"/>
        <v>16250</v>
      </c>
      <c r="AA2475" s="139">
        <f t="shared" si="736"/>
        <v>0</v>
      </c>
      <c r="AC2475" s="47">
        <f t="shared" si="737"/>
        <v>8125</v>
      </c>
      <c r="AD2475" s="47">
        <f t="shared" si="738"/>
        <v>8125</v>
      </c>
      <c r="AE2475" s="47">
        <f t="shared" si="739"/>
        <v>0</v>
      </c>
      <c r="AG2475" s="47">
        <f t="shared" si="740"/>
        <v>8125</v>
      </c>
      <c r="AH2475" s="47">
        <f t="shared" si="741"/>
        <v>8125</v>
      </c>
      <c r="AI2475" s="208">
        <f t="shared" si="742"/>
        <v>0</v>
      </c>
    </row>
    <row r="2476" spans="1:35">
      <c r="A2476" t="s">
        <v>2170</v>
      </c>
      <c r="B2476" t="s">
        <v>3142</v>
      </c>
      <c r="C2476" t="s">
        <v>2188</v>
      </c>
      <c r="D2476" t="s">
        <v>6039</v>
      </c>
      <c r="F2476" t="s">
        <v>46</v>
      </c>
      <c r="G2476" s="126">
        <f>SUMIFS('Support - Transition'!F:F,'Support - Transition'!B:B,'Step 2'!A2476,'Support - Transition'!C:C,'Step 2'!B2476,'Support - Transition'!D:D,'Step 2'!C2476,'Support - Transition'!E:E,"CIVIL")</f>
        <v>1.768E-3</v>
      </c>
      <c r="H2476" s="126">
        <f>SUMIFS('Support - Transition'!F:F,'Support - Transition'!B:B,'Step 2'!A2476,'Support - Transition'!C:C,'Step 2'!B2476,'Support - Transition'!D:D,'Step 2'!C2476,'Support - Transition'!E:E,"FIRE")</f>
        <v>3.5E-4</v>
      </c>
      <c r="I2476" s="126">
        <f>IF(B2476="0",SUMIFS('Support - Transition'!F:F,'Support - Transition'!J:J,'Step 2'!D2476,'Support - Transition'!E:E,"STATE UNIT"),SUMIFS('Support - Transition'!F:F,'Support - Transition'!J:J,'Step 2'!D2476))</f>
        <v>2.1180000000000001E-3</v>
      </c>
      <c r="J2476" s="126">
        <f>SUMIFS('Support - Unit Adjustments'!E:E,'Support - Unit Adjustments'!F:F,'Step 2'!D2476)</f>
        <v>0</v>
      </c>
      <c r="K2476" s="126">
        <f t="shared" si="726"/>
        <v>2.1180000000000001E-3</v>
      </c>
      <c r="L2476" s="174">
        <f>VLOOKUP(A2476,'Step 1'!$A:$E,4,FALSE)</f>
        <v>57220</v>
      </c>
      <c r="M2476" s="47">
        <f t="shared" si="727"/>
        <v>121</v>
      </c>
      <c r="N2476" s="177">
        <f>SUMIFS('Support - Transition'!G:G,'Support - Transition'!J:J,'Step 2'!D2476,'Support - Transition'!E:E,"2009 WELFARE ALLOCATION FACTOR")</f>
        <v>0</v>
      </c>
      <c r="O2476" s="152">
        <f t="shared" si="732"/>
        <v>0</v>
      </c>
      <c r="P2476" s="126">
        <f>IF(E2476="Y",0,SUMIFS('Support - Transition'!G:G,'Support - Transition'!J:J,'Step 2'!D2476,'Support - Transition'!E:E,"2009 SCHOOL ALLOCATION FACTOR"))</f>
        <v>0</v>
      </c>
      <c r="Q2476" s="126">
        <f>IF(E2476="Y",VLOOKUP(D2476,'Support - Unit Adjustments'!F:G,2,FALSE),0)</f>
        <v>0</v>
      </c>
      <c r="R2476" s="155">
        <f t="shared" si="744"/>
        <v>0</v>
      </c>
      <c r="S2476" s="47">
        <f t="shared" si="743"/>
        <v>0</v>
      </c>
      <c r="T2476" s="151">
        <f t="shared" si="728"/>
        <v>121</v>
      </c>
      <c r="U2476" s="151">
        <f t="shared" si="729"/>
        <v>0</v>
      </c>
      <c r="V2476" s="139">
        <f t="shared" si="730"/>
        <v>0</v>
      </c>
      <c r="W2476" s="152">
        <f t="shared" si="733"/>
        <v>121</v>
      </c>
      <c r="X2476" s="127" t="str">
        <f t="shared" si="731"/>
        <v/>
      </c>
      <c r="Y2476" s="207">
        <f t="shared" si="734"/>
        <v>121</v>
      </c>
      <c r="Z2476" s="139">
        <f t="shared" si="735"/>
        <v>101</v>
      </c>
      <c r="AA2476" s="139">
        <f t="shared" si="736"/>
        <v>20</v>
      </c>
      <c r="AC2476" s="47">
        <f t="shared" si="737"/>
        <v>61</v>
      </c>
      <c r="AD2476" s="47">
        <f t="shared" si="738"/>
        <v>51</v>
      </c>
      <c r="AE2476" s="47">
        <f t="shared" si="739"/>
        <v>10</v>
      </c>
      <c r="AG2476" s="47">
        <f t="shared" si="740"/>
        <v>60</v>
      </c>
      <c r="AH2476" s="47">
        <f t="shared" si="741"/>
        <v>50</v>
      </c>
      <c r="AI2476" s="208">
        <f t="shared" si="742"/>
        <v>10</v>
      </c>
    </row>
    <row r="2477" spans="1:35">
      <c r="A2477" t="s">
        <v>2170</v>
      </c>
      <c r="B2477" t="s">
        <v>3142</v>
      </c>
      <c r="C2477" t="s">
        <v>2189</v>
      </c>
      <c r="D2477" t="s">
        <v>6040</v>
      </c>
      <c r="F2477" t="s">
        <v>835</v>
      </c>
      <c r="G2477" s="126">
        <f>SUMIFS('Support - Transition'!F:F,'Support - Transition'!B:B,'Step 2'!A2477,'Support - Transition'!C:C,'Step 2'!B2477,'Support - Transition'!D:D,'Step 2'!C2477,'Support - Transition'!E:E,"CIVIL")</f>
        <v>8.4400000000000002E-4</v>
      </c>
      <c r="H2477" s="126">
        <f>SUMIFS('Support - Transition'!F:F,'Support - Transition'!B:B,'Step 2'!A2477,'Support - Transition'!C:C,'Step 2'!B2477,'Support - Transition'!D:D,'Step 2'!C2477,'Support - Transition'!E:E,"FIRE")</f>
        <v>3.5E-4</v>
      </c>
      <c r="I2477" s="126">
        <f>IF(B2477="0",SUMIFS('Support - Transition'!F:F,'Support - Transition'!J:J,'Step 2'!D2477,'Support - Transition'!E:E,"STATE UNIT"),SUMIFS('Support - Transition'!F:F,'Support - Transition'!J:J,'Step 2'!D2477))</f>
        <v>1.194E-3</v>
      </c>
      <c r="J2477" s="126">
        <f>SUMIFS('Support - Unit Adjustments'!E:E,'Support - Unit Adjustments'!F:F,'Step 2'!D2477)</f>
        <v>0</v>
      </c>
      <c r="K2477" s="126">
        <f t="shared" si="726"/>
        <v>1.194E-3</v>
      </c>
      <c r="L2477" s="174">
        <f>VLOOKUP(A2477,'Step 1'!$A:$E,4,FALSE)</f>
        <v>57220</v>
      </c>
      <c r="M2477" s="47">
        <f t="shared" si="727"/>
        <v>68</v>
      </c>
      <c r="N2477" s="177">
        <f>SUMIFS('Support - Transition'!G:G,'Support - Transition'!J:J,'Step 2'!D2477,'Support - Transition'!E:E,"2009 WELFARE ALLOCATION FACTOR")</f>
        <v>0</v>
      </c>
      <c r="O2477" s="152">
        <f t="shared" si="732"/>
        <v>0</v>
      </c>
      <c r="P2477" s="126">
        <f>IF(E2477="Y",0,SUMIFS('Support - Transition'!G:G,'Support - Transition'!J:J,'Step 2'!D2477,'Support - Transition'!E:E,"2009 SCHOOL ALLOCATION FACTOR"))</f>
        <v>0</v>
      </c>
      <c r="Q2477" s="126">
        <f>IF(E2477="Y",VLOOKUP(D2477,'Support - Unit Adjustments'!F:G,2,FALSE),0)</f>
        <v>0</v>
      </c>
      <c r="R2477" s="155">
        <f t="shared" si="744"/>
        <v>0</v>
      </c>
      <c r="S2477" s="47">
        <f t="shared" si="743"/>
        <v>0</v>
      </c>
      <c r="T2477" s="151">
        <f t="shared" si="728"/>
        <v>68</v>
      </c>
      <c r="U2477" s="151">
        <f t="shared" si="729"/>
        <v>0</v>
      </c>
      <c r="V2477" s="139">
        <f t="shared" si="730"/>
        <v>0</v>
      </c>
      <c r="W2477" s="152">
        <f t="shared" si="733"/>
        <v>68</v>
      </c>
      <c r="X2477" s="127" t="str">
        <f t="shared" si="731"/>
        <v/>
      </c>
      <c r="Y2477" s="207">
        <f t="shared" si="734"/>
        <v>68</v>
      </c>
      <c r="Z2477" s="139">
        <f t="shared" si="735"/>
        <v>48</v>
      </c>
      <c r="AA2477" s="139">
        <f t="shared" si="736"/>
        <v>20</v>
      </c>
      <c r="AC2477" s="47">
        <f t="shared" si="737"/>
        <v>34</v>
      </c>
      <c r="AD2477" s="47">
        <f t="shared" si="738"/>
        <v>24</v>
      </c>
      <c r="AE2477" s="47">
        <f t="shared" si="739"/>
        <v>10</v>
      </c>
      <c r="AG2477" s="47">
        <f t="shared" si="740"/>
        <v>34</v>
      </c>
      <c r="AH2477" s="47">
        <f t="shared" si="741"/>
        <v>24</v>
      </c>
      <c r="AI2477" s="208">
        <f t="shared" si="742"/>
        <v>10</v>
      </c>
    </row>
    <row r="2478" spans="1:35">
      <c r="A2478" t="s">
        <v>2170</v>
      </c>
      <c r="B2478" t="s">
        <v>3142</v>
      </c>
      <c r="C2478" t="s">
        <v>2190</v>
      </c>
      <c r="D2478" t="s">
        <v>6041</v>
      </c>
      <c r="F2478" t="s">
        <v>1768</v>
      </c>
      <c r="G2478" s="126">
        <f>SUMIFS('Support - Transition'!F:F,'Support - Transition'!B:B,'Step 2'!A2478,'Support - Transition'!C:C,'Step 2'!B2478,'Support - Transition'!D:D,'Step 2'!C2478,'Support - Transition'!E:E,"CIVIL")</f>
        <v>3.5999999999999999E-3</v>
      </c>
      <c r="H2478" s="126">
        <f>SUMIFS('Support - Transition'!F:F,'Support - Transition'!B:B,'Step 2'!A2478,'Support - Transition'!C:C,'Step 2'!B2478,'Support - Transition'!D:D,'Step 2'!C2478,'Support - Transition'!E:E,"FIRE")</f>
        <v>2.0869999999999999E-3</v>
      </c>
      <c r="I2478" s="126">
        <f>IF(B2478="0",SUMIFS('Support - Transition'!F:F,'Support - Transition'!J:J,'Step 2'!D2478,'Support - Transition'!E:E,"STATE UNIT"),SUMIFS('Support - Transition'!F:F,'Support - Transition'!J:J,'Step 2'!D2478))</f>
        <v>5.6869999999999993E-3</v>
      </c>
      <c r="J2478" s="126">
        <f>SUMIFS('Support - Unit Adjustments'!E:E,'Support - Unit Adjustments'!F:F,'Step 2'!D2478)</f>
        <v>0</v>
      </c>
      <c r="K2478" s="126">
        <f t="shared" si="726"/>
        <v>5.6869999999999993E-3</v>
      </c>
      <c r="L2478" s="174">
        <f>VLOOKUP(A2478,'Step 1'!$A:$E,4,FALSE)</f>
        <v>57220</v>
      </c>
      <c r="M2478" s="47">
        <f t="shared" si="727"/>
        <v>325</v>
      </c>
      <c r="N2478" s="177">
        <f>SUMIFS('Support - Transition'!G:G,'Support - Transition'!J:J,'Step 2'!D2478,'Support - Transition'!E:E,"2009 WELFARE ALLOCATION FACTOR")</f>
        <v>0</v>
      </c>
      <c r="O2478" s="152">
        <f t="shared" si="732"/>
        <v>0</v>
      </c>
      <c r="P2478" s="126">
        <f>IF(E2478="Y",0,SUMIFS('Support - Transition'!G:G,'Support - Transition'!J:J,'Step 2'!D2478,'Support - Transition'!E:E,"2009 SCHOOL ALLOCATION FACTOR"))</f>
        <v>0</v>
      </c>
      <c r="Q2478" s="126">
        <f>IF(E2478="Y",VLOOKUP(D2478,'Support - Unit Adjustments'!F:G,2,FALSE),0)</f>
        <v>0</v>
      </c>
      <c r="R2478" s="155">
        <f t="shared" si="744"/>
        <v>0</v>
      </c>
      <c r="S2478" s="47">
        <f t="shared" si="743"/>
        <v>0</v>
      </c>
      <c r="T2478" s="151">
        <f t="shared" si="728"/>
        <v>325</v>
      </c>
      <c r="U2478" s="151">
        <f t="shared" si="729"/>
        <v>0</v>
      </c>
      <c r="V2478" s="139">
        <f t="shared" si="730"/>
        <v>0</v>
      </c>
      <c r="W2478" s="152">
        <f t="shared" si="733"/>
        <v>325</v>
      </c>
      <c r="X2478" s="127" t="str">
        <f t="shared" si="731"/>
        <v/>
      </c>
      <c r="Y2478" s="207">
        <f t="shared" si="734"/>
        <v>325</v>
      </c>
      <c r="Z2478" s="139">
        <f t="shared" si="735"/>
        <v>206</v>
      </c>
      <c r="AA2478" s="139">
        <f t="shared" si="736"/>
        <v>119</v>
      </c>
      <c r="AC2478" s="47">
        <f t="shared" si="737"/>
        <v>163</v>
      </c>
      <c r="AD2478" s="47">
        <f t="shared" si="738"/>
        <v>103</v>
      </c>
      <c r="AE2478" s="47">
        <f t="shared" si="739"/>
        <v>60</v>
      </c>
      <c r="AG2478" s="47">
        <f t="shared" si="740"/>
        <v>162</v>
      </c>
      <c r="AH2478" s="47">
        <f t="shared" si="741"/>
        <v>103</v>
      </c>
      <c r="AI2478" s="208">
        <f t="shared" si="742"/>
        <v>59</v>
      </c>
    </row>
    <row r="2479" spans="1:35">
      <c r="A2479" t="s">
        <v>2170</v>
      </c>
      <c r="B2479" t="s">
        <v>3142</v>
      </c>
      <c r="C2479" t="s">
        <v>2191</v>
      </c>
      <c r="D2479" t="s">
        <v>6042</v>
      </c>
      <c r="F2479" t="s">
        <v>181</v>
      </c>
      <c r="G2479" s="126">
        <f>SUMIFS('Support - Transition'!F:F,'Support - Transition'!B:B,'Step 2'!A2479,'Support - Transition'!C:C,'Step 2'!B2479,'Support - Transition'!D:D,'Step 2'!C2479,'Support - Transition'!E:E,"CIVIL")</f>
        <v>6.2760000000000003E-3</v>
      </c>
      <c r="H2479" s="126">
        <f>SUMIFS('Support - Transition'!F:F,'Support - Transition'!B:B,'Step 2'!A2479,'Support - Transition'!C:C,'Step 2'!B2479,'Support - Transition'!D:D,'Step 2'!C2479,'Support - Transition'!E:E,"FIRE")</f>
        <v>1.3060000000000001E-3</v>
      </c>
      <c r="I2479" s="126">
        <f>IF(B2479="0",SUMIFS('Support - Transition'!F:F,'Support - Transition'!J:J,'Step 2'!D2479,'Support - Transition'!E:E,"STATE UNIT"),SUMIFS('Support - Transition'!F:F,'Support - Transition'!J:J,'Step 2'!D2479))</f>
        <v>7.5820000000000002E-3</v>
      </c>
      <c r="J2479" s="126">
        <f>SUMIFS('Support - Unit Adjustments'!E:E,'Support - Unit Adjustments'!F:F,'Step 2'!D2479)</f>
        <v>0</v>
      </c>
      <c r="K2479" s="126">
        <f t="shared" si="726"/>
        <v>7.5820000000000002E-3</v>
      </c>
      <c r="L2479" s="174">
        <f>VLOOKUP(A2479,'Step 1'!$A:$E,4,FALSE)</f>
        <v>57220</v>
      </c>
      <c r="M2479" s="47">
        <f t="shared" si="727"/>
        <v>434</v>
      </c>
      <c r="N2479" s="177">
        <f>SUMIFS('Support - Transition'!G:G,'Support - Transition'!J:J,'Step 2'!D2479,'Support - Transition'!E:E,"2009 WELFARE ALLOCATION FACTOR")</f>
        <v>0</v>
      </c>
      <c r="O2479" s="152">
        <f t="shared" si="732"/>
        <v>0</v>
      </c>
      <c r="P2479" s="126">
        <f>IF(E2479="Y",0,SUMIFS('Support - Transition'!G:G,'Support - Transition'!J:J,'Step 2'!D2479,'Support - Transition'!E:E,"2009 SCHOOL ALLOCATION FACTOR"))</f>
        <v>0</v>
      </c>
      <c r="Q2479" s="126">
        <f>IF(E2479="Y",VLOOKUP(D2479,'Support - Unit Adjustments'!F:G,2,FALSE),0)</f>
        <v>0</v>
      </c>
      <c r="R2479" s="155">
        <f t="shared" si="744"/>
        <v>0</v>
      </c>
      <c r="S2479" s="47">
        <f t="shared" si="743"/>
        <v>0</v>
      </c>
      <c r="T2479" s="151">
        <f t="shared" si="728"/>
        <v>434</v>
      </c>
      <c r="U2479" s="151">
        <f t="shared" si="729"/>
        <v>0</v>
      </c>
      <c r="V2479" s="139">
        <f t="shared" si="730"/>
        <v>0</v>
      </c>
      <c r="W2479" s="152">
        <f t="shared" si="733"/>
        <v>434</v>
      </c>
      <c r="X2479" s="127" t="str">
        <f t="shared" si="731"/>
        <v/>
      </c>
      <c r="Y2479" s="207">
        <f t="shared" si="734"/>
        <v>434</v>
      </c>
      <c r="Z2479" s="139">
        <f t="shared" si="735"/>
        <v>359</v>
      </c>
      <c r="AA2479" s="139">
        <f t="shared" si="736"/>
        <v>75</v>
      </c>
      <c r="AC2479" s="47">
        <f t="shared" si="737"/>
        <v>217</v>
      </c>
      <c r="AD2479" s="47">
        <f t="shared" si="738"/>
        <v>180</v>
      </c>
      <c r="AE2479" s="47">
        <f t="shared" si="739"/>
        <v>38</v>
      </c>
      <c r="AG2479" s="47">
        <f t="shared" si="740"/>
        <v>217</v>
      </c>
      <c r="AH2479" s="47">
        <f t="shared" si="741"/>
        <v>179</v>
      </c>
      <c r="AI2479" s="208">
        <f t="shared" si="742"/>
        <v>37</v>
      </c>
    </row>
    <row r="2480" spans="1:35">
      <c r="A2480" t="s">
        <v>2170</v>
      </c>
      <c r="B2480" t="s">
        <v>3142</v>
      </c>
      <c r="C2480" t="s">
        <v>2192</v>
      </c>
      <c r="D2480" t="s">
        <v>6043</v>
      </c>
      <c r="F2480" t="s">
        <v>1769</v>
      </c>
      <c r="G2480" s="126">
        <f>SUMIFS('Support - Transition'!F:F,'Support - Transition'!B:B,'Step 2'!A2480,'Support - Transition'!C:C,'Step 2'!B2480,'Support - Transition'!D:D,'Step 2'!C2480,'Support - Transition'!E:E,"CIVIL")</f>
        <v>2.405E-3</v>
      </c>
      <c r="H2480" s="126">
        <f>SUMIFS('Support - Transition'!F:F,'Support - Transition'!B:B,'Step 2'!A2480,'Support - Transition'!C:C,'Step 2'!B2480,'Support - Transition'!D:D,'Step 2'!C2480,'Support - Transition'!E:E,"FIRE")</f>
        <v>7.3300000000000004E-4</v>
      </c>
      <c r="I2480" s="126">
        <f>IF(B2480="0",SUMIFS('Support - Transition'!F:F,'Support - Transition'!J:J,'Step 2'!D2480,'Support - Transition'!E:E,"STATE UNIT"),SUMIFS('Support - Transition'!F:F,'Support - Transition'!J:J,'Step 2'!D2480))</f>
        <v>3.1380000000000002E-3</v>
      </c>
      <c r="J2480" s="126">
        <f>SUMIFS('Support - Unit Adjustments'!E:E,'Support - Unit Adjustments'!F:F,'Step 2'!D2480)</f>
        <v>0</v>
      </c>
      <c r="K2480" s="126">
        <f t="shared" si="726"/>
        <v>3.1380000000000002E-3</v>
      </c>
      <c r="L2480" s="174">
        <f>VLOOKUP(A2480,'Step 1'!$A:$E,4,FALSE)</f>
        <v>57220</v>
      </c>
      <c r="M2480" s="47">
        <f t="shared" si="727"/>
        <v>180</v>
      </c>
      <c r="N2480" s="177">
        <f>SUMIFS('Support - Transition'!G:G,'Support - Transition'!J:J,'Step 2'!D2480,'Support - Transition'!E:E,"2009 WELFARE ALLOCATION FACTOR")</f>
        <v>0</v>
      </c>
      <c r="O2480" s="152">
        <f t="shared" si="732"/>
        <v>0</v>
      </c>
      <c r="P2480" s="126">
        <f>IF(E2480="Y",0,SUMIFS('Support - Transition'!G:G,'Support - Transition'!J:J,'Step 2'!D2480,'Support - Transition'!E:E,"2009 SCHOOL ALLOCATION FACTOR"))</f>
        <v>0</v>
      </c>
      <c r="Q2480" s="126">
        <f>IF(E2480="Y",VLOOKUP(D2480,'Support - Unit Adjustments'!F:G,2,FALSE),0)</f>
        <v>0</v>
      </c>
      <c r="R2480" s="155">
        <f t="shared" si="744"/>
        <v>0</v>
      </c>
      <c r="S2480" s="47">
        <f t="shared" si="743"/>
        <v>0</v>
      </c>
      <c r="T2480" s="151">
        <f t="shared" si="728"/>
        <v>180</v>
      </c>
      <c r="U2480" s="151">
        <f t="shared" si="729"/>
        <v>0</v>
      </c>
      <c r="V2480" s="139">
        <f t="shared" si="730"/>
        <v>0</v>
      </c>
      <c r="W2480" s="152">
        <f t="shared" si="733"/>
        <v>180</v>
      </c>
      <c r="X2480" s="127" t="str">
        <f t="shared" si="731"/>
        <v/>
      </c>
      <c r="Y2480" s="207">
        <f t="shared" si="734"/>
        <v>180</v>
      </c>
      <c r="Z2480" s="139">
        <f t="shared" si="735"/>
        <v>138</v>
      </c>
      <c r="AA2480" s="139">
        <f t="shared" si="736"/>
        <v>42</v>
      </c>
      <c r="AC2480" s="47">
        <f t="shared" si="737"/>
        <v>90</v>
      </c>
      <c r="AD2480" s="47">
        <f t="shared" si="738"/>
        <v>69</v>
      </c>
      <c r="AE2480" s="47">
        <f t="shared" si="739"/>
        <v>21</v>
      </c>
      <c r="AG2480" s="47">
        <f t="shared" si="740"/>
        <v>90</v>
      </c>
      <c r="AH2480" s="47">
        <f t="shared" si="741"/>
        <v>69</v>
      </c>
      <c r="AI2480" s="208">
        <f t="shared" si="742"/>
        <v>21</v>
      </c>
    </row>
    <row r="2481" spans="1:35">
      <c r="A2481" t="s">
        <v>2170</v>
      </c>
      <c r="B2481" t="s">
        <v>3142</v>
      </c>
      <c r="C2481" t="s">
        <v>2193</v>
      </c>
      <c r="D2481" t="s">
        <v>6044</v>
      </c>
      <c r="F2481" t="s">
        <v>1770</v>
      </c>
      <c r="G2481" s="126">
        <f>SUMIFS('Support - Transition'!F:F,'Support - Transition'!B:B,'Step 2'!A2481,'Support - Transition'!C:C,'Step 2'!B2481,'Support - Transition'!D:D,'Step 2'!C2481,'Support - Transition'!E:E,"CIVIL")</f>
        <v>1.529E-3</v>
      </c>
      <c r="H2481" s="126">
        <f>SUMIFS('Support - Transition'!F:F,'Support - Transition'!B:B,'Step 2'!A2481,'Support - Transition'!C:C,'Step 2'!B2481,'Support - Transition'!D:D,'Step 2'!C2481,'Support - Transition'!E:E,"FIRE")</f>
        <v>9.0799999999999995E-4</v>
      </c>
      <c r="I2481" s="126">
        <f>IF(B2481="0",SUMIFS('Support - Transition'!F:F,'Support - Transition'!J:J,'Step 2'!D2481,'Support - Transition'!E:E,"STATE UNIT"),SUMIFS('Support - Transition'!F:F,'Support - Transition'!J:J,'Step 2'!D2481))</f>
        <v>2.4369999999999999E-3</v>
      </c>
      <c r="J2481" s="126">
        <f>SUMIFS('Support - Unit Adjustments'!E:E,'Support - Unit Adjustments'!F:F,'Step 2'!D2481)</f>
        <v>0</v>
      </c>
      <c r="K2481" s="126">
        <f t="shared" si="726"/>
        <v>2.4369999999999999E-3</v>
      </c>
      <c r="L2481" s="174">
        <f>VLOOKUP(A2481,'Step 1'!$A:$E,4,FALSE)</f>
        <v>57220</v>
      </c>
      <c r="M2481" s="47">
        <f t="shared" si="727"/>
        <v>139</v>
      </c>
      <c r="N2481" s="177">
        <f>SUMIFS('Support - Transition'!G:G,'Support - Transition'!J:J,'Step 2'!D2481,'Support - Transition'!E:E,"2009 WELFARE ALLOCATION FACTOR")</f>
        <v>0</v>
      </c>
      <c r="O2481" s="152">
        <f t="shared" si="732"/>
        <v>0</v>
      </c>
      <c r="P2481" s="126">
        <f>IF(E2481="Y",0,SUMIFS('Support - Transition'!G:G,'Support - Transition'!J:J,'Step 2'!D2481,'Support - Transition'!E:E,"2009 SCHOOL ALLOCATION FACTOR"))</f>
        <v>0</v>
      </c>
      <c r="Q2481" s="126">
        <f>IF(E2481="Y",VLOOKUP(D2481,'Support - Unit Adjustments'!F:G,2,FALSE),0)</f>
        <v>0</v>
      </c>
      <c r="R2481" s="155">
        <f t="shared" si="744"/>
        <v>0</v>
      </c>
      <c r="S2481" s="47">
        <f t="shared" si="743"/>
        <v>0</v>
      </c>
      <c r="T2481" s="151">
        <f t="shared" si="728"/>
        <v>139</v>
      </c>
      <c r="U2481" s="151">
        <f t="shared" si="729"/>
        <v>0</v>
      </c>
      <c r="V2481" s="139">
        <f t="shared" si="730"/>
        <v>0</v>
      </c>
      <c r="W2481" s="152">
        <f t="shared" si="733"/>
        <v>139</v>
      </c>
      <c r="X2481" s="127" t="str">
        <f t="shared" si="731"/>
        <v/>
      </c>
      <c r="Y2481" s="207">
        <f t="shared" si="734"/>
        <v>139</v>
      </c>
      <c r="Z2481" s="139">
        <f t="shared" si="735"/>
        <v>87</v>
      </c>
      <c r="AA2481" s="139">
        <f t="shared" si="736"/>
        <v>52</v>
      </c>
      <c r="AC2481" s="47">
        <f t="shared" si="737"/>
        <v>70</v>
      </c>
      <c r="AD2481" s="47">
        <f t="shared" si="738"/>
        <v>44</v>
      </c>
      <c r="AE2481" s="47">
        <f t="shared" si="739"/>
        <v>26</v>
      </c>
      <c r="AG2481" s="47">
        <f t="shared" si="740"/>
        <v>69</v>
      </c>
      <c r="AH2481" s="47">
        <f t="shared" si="741"/>
        <v>43</v>
      </c>
      <c r="AI2481" s="208">
        <f t="shared" si="742"/>
        <v>26</v>
      </c>
    </row>
    <row r="2482" spans="1:35">
      <c r="A2482" t="s">
        <v>2170</v>
      </c>
      <c r="B2482" t="s">
        <v>3142</v>
      </c>
      <c r="C2482" t="s">
        <v>2194</v>
      </c>
      <c r="D2482" t="s">
        <v>6045</v>
      </c>
      <c r="F2482" t="s">
        <v>858</v>
      </c>
      <c r="G2482" s="126">
        <f>SUMIFS('Support - Transition'!F:F,'Support - Transition'!B:B,'Step 2'!A2482,'Support - Transition'!C:C,'Step 2'!B2482,'Support - Transition'!D:D,'Step 2'!C2482,'Support - Transition'!E:E,"CIVIL")</f>
        <v>3.8200000000000002E-4</v>
      </c>
      <c r="H2482" s="126">
        <f>SUMIFS('Support - Transition'!F:F,'Support - Transition'!B:B,'Step 2'!A2482,'Support - Transition'!C:C,'Step 2'!B2482,'Support - Transition'!D:D,'Step 2'!C2482,'Support - Transition'!E:E,"FIRE")</f>
        <v>1.4300000000000001E-4</v>
      </c>
      <c r="I2482" s="126">
        <f>IF(B2482="0",SUMIFS('Support - Transition'!F:F,'Support - Transition'!J:J,'Step 2'!D2482,'Support - Transition'!E:E,"STATE UNIT"),SUMIFS('Support - Transition'!F:F,'Support - Transition'!J:J,'Step 2'!D2482))</f>
        <v>5.2500000000000008E-4</v>
      </c>
      <c r="J2482" s="126">
        <f>SUMIFS('Support - Unit Adjustments'!E:E,'Support - Unit Adjustments'!F:F,'Step 2'!D2482)</f>
        <v>0</v>
      </c>
      <c r="K2482" s="126">
        <f t="shared" si="726"/>
        <v>5.2500000000000008E-4</v>
      </c>
      <c r="L2482" s="174">
        <f>VLOOKUP(A2482,'Step 1'!$A:$E,4,FALSE)</f>
        <v>57220</v>
      </c>
      <c r="M2482" s="47">
        <f t="shared" si="727"/>
        <v>30</v>
      </c>
      <c r="N2482" s="177">
        <f>SUMIFS('Support - Transition'!G:G,'Support - Transition'!J:J,'Step 2'!D2482,'Support - Transition'!E:E,"2009 WELFARE ALLOCATION FACTOR")</f>
        <v>0</v>
      </c>
      <c r="O2482" s="152">
        <f t="shared" si="732"/>
        <v>0</v>
      </c>
      <c r="P2482" s="126">
        <f>IF(E2482="Y",0,SUMIFS('Support - Transition'!G:G,'Support - Transition'!J:J,'Step 2'!D2482,'Support - Transition'!E:E,"2009 SCHOOL ALLOCATION FACTOR"))</f>
        <v>0</v>
      </c>
      <c r="Q2482" s="126">
        <f>IF(E2482="Y",VLOOKUP(D2482,'Support - Unit Adjustments'!F:G,2,FALSE),0)</f>
        <v>0</v>
      </c>
      <c r="R2482" s="155">
        <f t="shared" si="744"/>
        <v>0</v>
      </c>
      <c r="S2482" s="47">
        <f t="shared" si="743"/>
        <v>0</v>
      </c>
      <c r="T2482" s="151">
        <f t="shared" si="728"/>
        <v>30</v>
      </c>
      <c r="U2482" s="151">
        <f t="shared" si="729"/>
        <v>0</v>
      </c>
      <c r="V2482" s="139">
        <f t="shared" si="730"/>
        <v>0</v>
      </c>
      <c r="W2482" s="152">
        <f t="shared" si="733"/>
        <v>30</v>
      </c>
      <c r="X2482" s="127" t="str">
        <f t="shared" si="731"/>
        <v/>
      </c>
      <c r="Y2482" s="207">
        <f t="shared" si="734"/>
        <v>30</v>
      </c>
      <c r="Z2482" s="139">
        <f t="shared" si="735"/>
        <v>22</v>
      </c>
      <c r="AA2482" s="139">
        <f t="shared" si="736"/>
        <v>8</v>
      </c>
      <c r="AC2482" s="47">
        <f t="shared" si="737"/>
        <v>15</v>
      </c>
      <c r="AD2482" s="47">
        <f t="shared" si="738"/>
        <v>11</v>
      </c>
      <c r="AE2482" s="47">
        <f t="shared" si="739"/>
        <v>4</v>
      </c>
      <c r="AG2482" s="47">
        <f t="shared" si="740"/>
        <v>15</v>
      </c>
      <c r="AH2482" s="47">
        <f t="shared" si="741"/>
        <v>11</v>
      </c>
      <c r="AI2482" s="208">
        <f t="shared" si="742"/>
        <v>4</v>
      </c>
    </row>
    <row r="2483" spans="1:35">
      <c r="A2483" t="s">
        <v>2170</v>
      </c>
      <c r="B2483" t="s">
        <v>3142</v>
      </c>
      <c r="C2483" t="s">
        <v>2195</v>
      </c>
      <c r="D2483" t="s">
        <v>6046</v>
      </c>
      <c r="F2483" t="s">
        <v>113</v>
      </c>
      <c r="G2483" s="126">
        <f>SUMIFS('Support - Transition'!F:F,'Support - Transition'!B:B,'Step 2'!A2483,'Support - Transition'!C:C,'Step 2'!B2483,'Support - Transition'!D:D,'Step 2'!C2483,'Support - Transition'!E:E,"CIVIL")</f>
        <v>1.338E-3</v>
      </c>
      <c r="H2483" s="126">
        <f>SUMIFS('Support - Transition'!F:F,'Support - Transition'!B:B,'Step 2'!A2483,'Support - Transition'!C:C,'Step 2'!B2483,'Support - Transition'!D:D,'Step 2'!C2483,'Support - Transition'!E:E,"FIRE")</f>
        <v>4.1399999999999998E-4</v>
      </c>
      <c r="I2483" s="126">
        <f>IF(B2483="0",SUMIFS('Support - Transition'!F:F,'Support - Transition'!J:J,'Step 2'!D2483,'Support - Transition'!E:E,"STATE UNIT"),SUMIFS('Support - Transition'!F:F,'Support - Transition'!J:J,'Step 2'!D2483))</f>
        <v>1.7520000000000001E-3</v>
      </c>
      <c r="J2483" s="126">
        <f>SUMIFS('Support - Unit Adjustments'!E:E,'Support - Unit Adjustments'!F:F,'Step 2'!D2483)</f>
        <v>0</v>
      </c>
      <c r="K2483" s="126">
        <f t="shared" si="726"/>
        <v>1.7520000000000001E-3</v>
      </c>
      <c r="L2483" s="174">
        <f>VLOOKUP(A2483,'Step 1'!$A:$E,4,FALSE)</f>
        <v>57220</v>
      </c>
      <c r="M2483" s="47">
        <f t="shared" si="727"/>
        <v>100</v>
      </c>
      <c r="N2483" s="177">
        <f>SUMIFS('Support - Transition'!G:G,'Support - Transition'!J:J,'Step 2'!D2483,'Support - Transition'!E:E,"2009 WELFARE ALLOCATION FACTOR")</f>
        <v>0</v>
      </c>
      <c r="O2483" s="152">
        <f t="shared" si="732"/>
        <v>0</v>
      </c>
      <c r="P2483" s="126">
        <f>IF(E2483="Y",0,SUMIFS('Support - Transition'!G:G,'Support - Transition'!J:J,'Step 2'!D2483,'Support - Transition'!E:E,"2009 SCHOOL ALLOCATION FACTOR"))</f>
        <v>0</v>
      </c>
      <c r="Q2483" s="126">
        <f>IF(E2483="Y",VLOOKUP(D2483,'Support - Unit Adjustments'!F:G,2,FALSE),0)</f>
        <v>0</v>
      </c>
      <c r="R2483" s="155">
        <f t="shared" si="744"/>
        <v>0</v>
      </c>
      <c r="S2483" s="47">
        <f t="shared" si="743"/>
        <v>0</v>
      </c>
      <c r="T2483" s="151">
        <f t="shared" si="728"/>
        <v>100</v>
      </c>
      <c r="U2483" s="151">
        <f t="shared" si="729"/>
        <v>0</v>
      </c>
      <c r="V2483" s="139">
        <f t="shared" si="730"/>
        <v>0</v>
      </c>
      <c r="W2483" s="152">
        <f t="shared" si="733"/>
        <v>100</v>
      </c>
      <c r="X2483" s="127" t="str">
        <f t="shared" si="731"/>
        <v/>
      </c>
      <c r="Y2483" s="207">
        <f t="shared" si="734"/>
        <v>100</v>
      </c>
      <c r="Z2483" s="139">
        <f t="shared" si="735"/>
        <v>76</v>
      </c>
      <c r="AA2483" s="139">
        <f t="shared" si="736"/>
        <v>24</v>
      </c>
      <c r="AC2483" s="47">
        <f t="shared" si="737"/>
        <v>50</v>
      </c>
      <c r="AD2483" s="47">
        <f t="shared" si="738"/>
        <v>38</v>
      </c>
      <c r="AE2483" s="47">
        <f t="shared" si="739"/>
        <v>12</v>
      </c>
      <c r="AG2483" s="47">
        <f t="shared" si="740"/>
        <v>50</v>
      </c>
      <c r="AH2483" s="47">
        <f t="shared" si="741"/>
        <v>38</v>
      </c>
      <c r="AI2483" s="208">
        <f t="shared" si="742"/>
        <v>12</v>
      </c>
    </row>
    <row r="2484" spans="1:35">
      <c r="A2484" t="s">
        <v>2170</v>
      </c>
      <c r="B2484" t="s">
        <v>3142</v>
      </c>
      <c r="C2484" t="s">
        <v>2196</v>
      </c>
      <c r="D2484" t="s">
        <v>6047</v>
      </c>
      <c r="F2484" t="s">
        <v>744</v>
      </c>
      <c r="G2484" s="126">
        <f>SUMIFS('Support - Transition'!F:F,'Support - Transition'!B:B,'Step 2'!A2484,'Support - Transition'!C:C,'Step 2'!B2484,'Support - Transition'!D:D,'Step 2'!C2484,'Support - Transition'!E:E,"CIVIL")</f>
        <v>3.8200000000000002E-4</v>
      </c>
      <c r="H2484" s="126">
        <f>SUMIFS('Support - Transition'!F:F,'Support - Transition'!B:B,'Step 2'!A2484,'Support - Transition'!C:C,'Step 2'!B2484,'Support - Transition'!D:D,'Step 2'!C2484,'Support - Transition'!E:E,"FIRE")</f>
        <v>2.8699999999999998E-4</v>
      </c>
      <c r="I2484" s="126">
        <f>IF(B2484="0",SUMIFS('Support - Transition'!F:F,'Support - Transition'!J:J,'Step 2'!D2484,'Support - Transition'!E:E,"STATE UNIT"),SUMIFS('Support - Transition'!F:F,'Support - Transition'!J:J,'Step 2'!D2484))</f>
        <v>6.69E-4</v>
      </c>
      <c r="J2484" s="126">
        <f>SUMIFS('Support - Unit Adjustments'!E:E,'Support - Unit Adjustments'!F:F,'Step 2'!D2484)</f>
        <v>0</v>
      </c>
      <c r="K2484" s="126">
        <f t="shared" si="726"/>
        <v>6.69E-4</v>
      </c>
      <c r="L2484" s="174">
        <f>VLOOKUP(A2484,'Step 1'!$A:$E,4,FALSE)</f>
        <v>57220</v>
      </c>
      <c r="M2484" s="47">
        <f t="shared" si="727"/>
        <v>38</v>
      </c>
      <c r="N2484" s="177">
        <f>SUMIFS('Support - Transition'!G:G,'Support - Transition'!J:J,'Step 2'!D2484,'Support - Transition'!E:E,"2009 WELFARE ALLOCATION FACTOR")</f>
        <v>0</v>
      </c>
      <c r="O2484" s="152">
        <f t="shared" si="732"/>
        <v>0</v>
      </c>
      <c r="P2484" s="126">
        <f>IF(E2484="Y",0,SUMIFS('Support - Transition'!G:G,'Support - Transition'!J:J,'Step 2'!D2484,'Support - Transition'!E:E,"2009 SCHOOL ALLOCATION FACTOR"))</f>
        <v>0</v>
      </c>
      <c r="Q2484" s="126">
        <f>IF(E2484="Y",VLOOKUP(D2484,'Support - Unit Adjustments'!F:G,2,FALSE),0)</f>
        <v>0</v>
      </c>
      <c r="R2484" s="155">
        <f t="shared" si="744"/>
        <v>0</v>
      </c>
      <c r="S2484" s="47">
        <f t="shared" si="743"/>
        <v>0</v>
      </c>
      <c r="T2484" s="151">
        <f t="shared" si="728"/>
        <v>38</v>
      </c>
      <c r="U2484" s="151">
        <f t="shared" si="729"/>
        <v>0</v>
      </c>
      <c r="V2484" s="139">
        <f t="shared" si="730"/>
        <v>0</v>
      </c>
      <c r="W2484" s="152">
        <f t="shared" si="733"/>
        <v>38</v>
      </c>
      <c r="X2484" s="127" t="str">
        <f t="shared" si="731"/>
        <v/>
      </c>
      <c r="Y2484" s="207">
        <f t="shared" si="734"/>
        <v>38</v>
      </c>
      <c r="Z2484" s="139">
        <f t="shared" si="735"/>
        <v>22</v>
      </c>
      <c r="AA2484" s="139">
        <f t="shared" si="736"/>
        <v>16</v>
      </c>
      <c r="AC2484" s="47">
        <f t="shared" si="737"/>
        <v>19</v>
      </c>
      <c r="AD2484" s="47">
        <f t="shared" si="738"/>
        <v>11</v>
      </c>
      <c r="AE2484" s="47">
        <f t="shared" si="739"/>
        <v>8</v>
      </c>
      <c r="AG2484" s="47">
        <f t="shared" si="740"/>
        <v>19</v>
      </c>
      <c r="AH2484" s="47">
        <f t="shared" si="741"/>
        <v>11</v>
      </c>
      <c r="AI2484" s="208">
        <f t="shared" si="742"/>
        <v>8</v>
      </c>
    </row>
    <row r="2485" spans="1:35">
      <c r="A2485" t="s">
        <v>2170</v>
      </c>
      <c r="B2485" t="s">
        <v>3142</v>
      </c>
      <c r="C2485" t="s">
        <v>2197</v>
      </c>
      <c r="D2485" t="s">
        <v>6048</v>
      </c>
      <c r="F2485" t="s">
        <v>1626</v>
      </c>
      <c r="G2485" s="126">
        <f>SUMIFS('Support - Transition'!F:F,'Support - Transition'!B:B,'Step 2'!A2485,'Support - Transition'!C:C,'Step 2'!B2485,'Support - Transition'!D:D,'Step 2'!C2485,'Support - Transition'!E:E,"CIVIL")</f>
        <v>6.0499999999999996E-4</v>
      </c>
      <c r="H2485" s="126">
        <f>SUMIFS('Support - Transition'!F:F,'Support - Transition'!B:B,'Step 2'!A2485,'Support - Transition'!C:C,'Step 2'!B2485,'Support - Transition'!D:D,'Step 2'!C2485,'Support - Transition'!E:E,"FIRE")</f>
        <v>3.0299999999999999E-4</v>
      </c>
      <c r="I2485" s="126">
        <f>IF(B2485="0",SUMIFS('Support - Transition'!F:F,'Support - Transition'!J:J,'Step 2'!D2485,'Support - Transition'!E:E,"STATE UNIT"),SUMIFS('Support - Transition'!F:F,'Support - Transition'!J:J,'Step 2'!D2485))</f>
        <v>9.0799999999999995E-4</v>
      </c>
      <c r="J2485" s="126">
        <f>SUMIFS('Support - Unit Adjustments'!E:E,'Support - Unit Adjustments'!F:F,'Step 2'!D2485)</f>
        <v>0</v>
      </c>
      <c r="K2485" s="126">
        <f t="shared" si="726"/>
        <v>9.0799999999999995E-4</v>
      </c>
      <c r="L2485" s="174">
        <f>VLOOKUP(A2485,'Step 1'!$A:$E,4,FALSE)</f>
        <v>57220</v>
      </c>
      <c r="M2485" s="47">
        <f t="shared" si="727"/>
        <v>52</v>
      </c>
      <c r="N2485" s="177">
        <f>SUMIFS('Support - Transition'!G:G,'Support - Transition'!J:J,'Step 2'!D2485,'Support - Transition'!E:E,"2009 WELFARE ALLOCATION FACTOR")</f>
        <v>0</v>
      </c>
      <c r="O2485" s="152">
        <f t="shared" si="732"/>
        <v>0</v>
      </c>
      <c r="P2485" s="126">
        <f>IF(E2485="Y",0,SUMIFS('Support - Transition'!G:G,'Support - Transition'!J:J,'Step 2'!D2485,'Support - Transition'!E:E,"2009 SCHOOL ALLOCATION FACTOR"))</f>
        <v>0</v>
      </c>
      <c r="Q2485" s="126">
        <f>IF(E2485="Y",VLOOKUP(D2485,'Support - Unit Adjustments'!F:G,2,FALSE),0)</f>
        <v>0</v>
      </c>
      <c r="R2485" s="155">
        <f t="shared" si="744"/>
        <v>0</v>
      </c>
      <c r="S2485" s="47">
        <f t="shared" si="743"/>
        <v>0</v>
      </c>
      <c r="T2485" s="151">
        <f t="shared" si="728"/>
        <v>52</v>
      </c>
      <c r="U2485" s="151">
        <f t="shared" si="729"/>
        <v>0</v>
      </c>
      <c r="V2485" s="139">
        <f t="shared" si="730"/>
        <v>0</v>
      </c>
      <c r="W2485" s="152">
        <f t="shared" si="733"/>
        <v>52</v>
      </c>
      <c r="X2485" s="127" t="str">
        <f t="shared" si="731"/>
        <v/>
      </c>
      <c r="Y2485" s="207">
        <f t="shared" si="734"/>
        <v>52</v>
      </c>
      <c r="Z2485" s="139">
        <f t="shared" si="735"/>
        <v>35</v>
      </c>
      <c r="AA2485" s="139">
        <f t="shared" si="736"/>
        <v>17</v>
      </c>
      <c r="AC2485" s="47">
        <f t="shared" si="737"/>
        <v>26</v>
      </c>
      <c r="AD2485" s="47">
        <f t="shared" si="738"/>
        <v>18</v>
      </c>
      <c r="AE2485" s="47">
        <f t="shared" si="739"/>
        <v>9</v>
      </c>
      <c r="AG2485" s="47">
        <f t="shared" si="740"/>
        <v>26</v>
      </c>
      <c r="AH2485" s="47">
        <f t="shared" si="741"/>
        <v>17</v>
      </c>
      <c r="AI2485" s="208">
        <f t="shared" si="742"/>
        <v>8</v>
      </c>
    </row>
    <row r="2486" spans="1:35">
      <c r="A2486" t="s">
        <v>2170</v>
      </c>
      <c r="B2486" t="s">
        <v>3142</v>
      </c>
      <c r="C2486" t="s">
        <v>2198</v>
      </c>
      <c r="D2486" t="s">
        <v>6049</v>
      </c>
      <c r="F2486" t="s">
        <v>272</v>
      </c>
      <c r="G2486" s="126">
        <f>SUMIFS('Support - Transition'!F:F,'Support - Transition'!B:B,'Step 2'!A2486,'Support - Transition'!C:C,'Step 2'!B2486,'Support - Transition'!D:D,'Step 2'!C2486,'Support - Transition'!E:E,"CIVIL")</f>
        <v>4.6200000000000001E-4</v>
      </c>
      <c r="H2486" s="126">
        <f>SUMIFS('Support - Transition'!F:F,'Support - Transition'!B:B,'Step 2'!A2486,'Support - Transition'!C:C,'Step 2'!B2486,'Support - Transition'!D:D,'Step 2'!C2486,'Support - Transition'!E:E,"FIRE")</f>
        <v>2.8699999999999998E-4</v>
      </c>
      <c r="I2486" s="126">
        <f>IF(B2486="0",SUMIFS('Support - Transition'!F:F,'Support - Transition'!J:J,'Step 2'!D2486,'Support - Transition'!E:E,"STATE UNIT"),SUMIFS('Support - Transition'!F:F,'Support - Transition'!J:J,'Step 2'!D2486))</f>
        <v>7.4899999999999999E-4</v>
      </c>
      <c r="J2486" s="126">
        <f>SUMIFS('Support - Unit Adjustments'!E:E,'Support - Unit Adjustments'!F:F,'Step 2'!D2486)</f>
        <v>0</v>
      </c>
      <c r="K2486" s="126">
        <f t="shared" si="726"/>
        <v>7.4899999999999999E-4</v>
      </c>
      <c r="L2486" s="174">
        <f>VLOOKUP(A2486,'Step 1'!$A:$E,4,FALSE)</f>
        <v>57220</v>
      </c>
      <c r="M2486" s="47">
        <f t="shared" si="727"/>
        <v>43</v>
      </c>
      <c r="N2486" s="177">
        <f>SUMIFS('Support - Transition'!G:G,'Support - Transition'!J:J,'Step 2'!D2486,'Support - Transition'!E:E,"2009 WELFARE ALLOCATION FACTOR")</f>
        <v>0</v>
      </c>
      <c r="O2486" s="152">
        <f t="shared" si="732"/>
        <v>0</v>
      </c>
      <c r="P2486" s="126">
        <f>IF(E2486="Y",0,SUMIFS('Support - Transition'!G:G,'Support - Transition'!J:J,'Step 2'!D2486,'Support - Transition'!E:E,"2009 SCHOOL ALLOCATION FACTOR"))</f>
        <v>0</v>
      </c>
      <c r="Q2486" s="126">
        <f>IF(E2486="Y",VLOOKUP(D2486,'Support - Unit Adjustments'!F:G,2,FALSE),0)</f>
        <v>0</v>
      </c>
      <c r="R2486" s="155">
        <f t="shared" si="744"/>
        <v>0</v>
      </c>
      <c r="S2486" s="47">
        <f t="shared" si="743"/>
        <v>0</v>
      </c>
      <c r="T2486" s="151">
        <f t="shared" si="728"/>
        <v>43</v>
      </c>
      <c r="U2486" s="151">
        <f t="shared" si="729"/>
        <v>0</v>
      </c>
      <c r="V2486" s="139">
        <f t="shared" si="730"/>
        <v>0</v>
      </c>
      <c r="W2486" s="152">
        <f t="shared" si="733"/>
        <v>43</v>
      </c>
      <c r="X2486" s="127" t="str">
        <f t="shared" si="731"/>
        <v/>
      </c>
      <c r="Y2486" s="207">
        <f t="shared" si="734"/>
        <v>43</v>
      </c>
      <c r="Z2486" s="139">
        <f t="shared" si="735"/>
        <v>27</v>
      </c>
      <c r="AA2486" s="139">
        <f t="shared" si="736"/>
        <v>16</v>
      </c>
      <c r="AC2486" s="47">
        <f t="shared" si="737"/>
        <v>22</v>
      </c>
      <c r="AD2486" s="47">
        <f t="shared" si="738"/>
        <v>14</v>
      </c>
      <c r="AE2486" s="47">
        <f t="shared" si="739"/>
        <v>8</v>
      </c>
      <c r="AG2486" s="47">
        <f t="shared" si="740"/>
        <v>21</v>
      </c>
      <c r="AH2486" s="47">
        <f t="shared" si="741"/>
        <v>13</v>
      </c>
      <c r="AI2486" s="208">
        <f t="shared" si="742"/>
        <v>8</v>
      </c>
    </row>
    <row r="2487" spans="1:35">
      <c r="A2487" t="s">
        <v>2170</v>
      </c>
      <c r="B2487" t="s">
        <v>3142</v>
      </c>
      <c r="C2487" t="s">
        <v>2199</v>
      </c>
      <c r="D2487" t="s">
        <v>6050</v>
      </c>
      <c r="F2487" t="s">
        <v>22</v>
      </c>
      <c r="G2487" s="126">
        <f>SUMIFS('Support - Transition'!F:F,'Support - Transition'!B:B,'Step 2'!A2487,'Support - Transition'!C:C,'Step 2'!B2487,'Support - Transition'!D:D,'Step 2'!C2487,'Support - Transition'!E:E,"CIVIL")</f>
        <v>1.27E-4</v>
      </c>
      <c r="H2487" s="126">
        <f>SUMIFS('Support - Transition'!F:F,'Support - Transition'!B:B,'Step 2'!A2487,'Support - Transition'!C:C,'Step 2'!B2487,'Support - Transition'!D:D,'Step 2'!C2487,'Support - Transition'!E:E,"FIRE")</f>
        <v>0</v>
      </c>
      <c r="I2487" s="126">
        <f>IF(B2487="0",SUMIFS('Support - Transition'!F:F,'Support - Transition'!J:J,'Step 2'!D2487,'Support - Transition'!E:E,"STATE UNIT"),SUMIFS('Support - Transition'!F:F,'Support - Transition'!J:J,'Step 2'!D2487))</f>
        <v>1.27E-4</v>
      </c>
      <c r="J2487" s="126">
        <f>SUMIFS('Support - Unit Adjustments'!E:E,'Support - Unit Adjustments'!F:F,'Step 2'!D2487)</f>
        <v>0</v>
      </c>
      <c r="K2487" s="126">
        <f t="shared" si="726"/>
        <v>1.27E-4</v>
      </c>
      <c r="L2487" s="174">
        <f>VLOOKUP(A2487,'Step 1'!$A:$E,4,FALSE)</f>
        <v>57220</v>
      </c>
      <c r="M2487" s="47">
        <f t="shared" si="727"/>
        <v>7</v>
      </c>
      <c r="N2487" s="177">
        <f>SUMIFS('Support - Transition'!G:G,'Support - Transition'!J:J,'Step 2'!D2487,'Support - Transition'!E:E,"2009 WELFARE ALLOCATION FACTOR")</f>
        <v>0</v>
      </c>
      <c r="O2487" s="152">
        <f t="shared" si="732"/>
        <v>0</v>
      </c>
      <c r="P2487" s="126">
        <f>IF(E2487="Y",0,SUMIFS('Support - Transition'!G:G,'Support - Transition'!J:J,'Step 2'!D2487,'Support - Transition'!E:E,"2009 SCHOOL ALLOCATION FACTOR"))</f>
        <v>0</v>
      </c>
      <c r="Q2487" s="126">
        <f>IF(E2487="Y",VLOOKUP(D2487,'Support - Unit Adjustments'!F:G,2,FALSE),0)</f>
        <v>0</v>
      </c>
      <c r="R2487" s="155">
        <f t="shared" si="744"/>
        <v>0</v>
      </c>
      <c r="S2487" s="47">
        <f t="shared" si="743"/>
        <v>0</v>
      </c>
      <c r="T2487" s="151">
        <f t="shared" si="728"/>
        <v>7</v>
      </c>
      <c r="U2487" s="151">
        <f t="shared" si="729"/>
        <v>0</v>
      </c>
      <c r="V2487" s="139">
        <f t="shared" si="730"/>
        <v>0</v>
      </c>
      <c r="W2487" s="152">
        <f t="shared" si="733"/>
        <v>7</v>
      </c>
      <c r="X2487" s="127" t="str">
        <f t="shared" si="731"/>
        <v/>
      </c>
      <c r="Y2487" s="207">
        <f t="shared" si="734"/>
        <v>7</v>
      </c>
      <c r="Z2487" s="139">
        <f t="shared" si="735"/>
        <v>7</v>
      </c>
      <c r="AA2487" s="139">
        <f t="shared" si="736"/>
        <v>0</v>
      </c>
      <c r="AC2487" s="47">
        <f t="shared" si="737"/>
        <v>4</v>
      </c>
      <c r="AD2487" s="47">
        <f t="shared" si="738"/>
        <v>4</v>
      </c>
      <c r="AE2487" s="47">
        <f t="shared" si="739"/>
        <v>0</v>
      </c>
      <c r="AG2487" s="47">
        <f t="shared" si="740"/>
        <v>3</v>
      </c>
      <c r="AH2487" s="47">
        <f t="shared" si="741"/>
        <v>3</v>
      </c>
      <c r="AI2487" s="208">
        <f t="shared" si="742"/>
        <v>0</v>
      </c>
    </row>
    <row r="2488" spans="1:35">
      <c r="A2488" t="s">
        <v>2170</v>
      </c>
      <c r="B2488" t="s">
        <v>3155</v>
      </c>
      <c r="C2488" t="s">
        <v>3076</v>
      </c>
      <c r="D2488" t="s">
        <v>6051</v>
      </c>
      <c r="F2488" t="s">
        <v>1771</v>
      </c>
      <c r="G2488" s="126">
        <f>SUMIFS('Support - Transition'!F:F,'Support - Transition'!B:B,'Step 2'!A2488,'Support - Transition'!C:C,'Step 2'!B2488,'Support - Transition'!D:D,'Step 2'!C2488,'Support - Transition'!E:E,"CIVIL")</f>
        <v>0</v>
      </c>
      <c r="H2488" s="126">
        <f>SUMIFS('Support - Transition'!F:F,'Support - Transition'!B:B,'Step 2'!A2488,'Support - Transition'!C:C,'Step 2'!B2488,'Support - Transition'!D:D,'Step 2'!C2488,'Support - Transition'!E:E,"FIRE")</f>
        <v>0</v>
      </c>
      <c r="I2488" s="126">
        <f>IF(B2488="0",SUMIFS('Support - Transition'!F:F,'Support - Transition'!J:J,'Step 2'!D2488,'Support - Transition'!E:E,"STATE UNIT"),SUMIFS('Support - Transition'!F:F,'Support - Transition'!J:J,'Step 2'!D2488))</f>
        <v>0</v>
      </c>
      <c r="J2488" s="126">
        <f>SUMIFS('Support - Unit Adjustments'!E:E,'Support - Unit Adjustments'!F:F,'Step 2'!D2488)</f>
        <v>0</v>
      </c>
      <c r="K2488" s="126">
        <f t="shared" si="726"/>
        <v>0</v>
      </c>
      <c r="L2488" s="174">
        <f>VLOOKUP(A2488,'Step 1'!$A:$E,4,FALSE)</f>
        <v>57220</v>
      </c>
      <c r="M2488" s="47">
        <f t="shared" si="727"/>
        <v>0</v>
      </c>
      <c r="N2488" s="177">
        <f>SUMIFS('Support - Transition'!G:G,'Support - Transition'!J:J,'Step 2'!D2488,'Support - Transition'!E:E,"2009 WELFARE ALLOCATION FACTOR")</f>
        <v>0</v>
      </c>
      <c r="O2488" s="152">
        <f t="shared" si="732"/>
        <v>0</v>
      </c>
      <c r="P2488" s="126">
        <f>IF(E2488="Y",0,SUMIFS('Support - Transition'!G:G,'Support - Transition'!J:J,'Step 2'!D2488,'Support - Transition'!E:E,"2009 SCHOOL ALLOCATION FACTOR"))</f>
        <v>0</v>
      </c>
      <c r="Q2488" s="126">
        <f>IF(E2488="Y",VLOOKUP(D2488,'Support - Unit Adjustments'!F:G,2,FALSE),0)</f>
        <v>0</v>
      </c>
      <c r="R2488" s="155">
        <f t="shared" si="744"/>
        <v>0</v>
      </c>
      <c r="S2488" s="47">
        <f t="shared" si="743"/>
        <v>0</v>
      </c>
      <c r="T2488" s="151">
        <f t="shared" si="728"/>
        <v>0</v>
      </c>
      <c r="U2488" s="151">
        <f t="shared" si="729"/>
        <v>0</v>
      </c>
      <c r="V2488" s="139">
        <f t="shared" si="730"/>
        <v>0</v>
      </c>
      <c r="W2488" s="152">
        <f t="shared" si="733"/>
        <v>0</v>
      </c>
      <c r="X2488" s="127" t="str">
        <f t="shared" si="731"/>
        <v/>
      </c>
      <c r="Y2488" s="207">
        <f t="shared" si="734"/>
        <v>0</v>
      </c>
      <c r="Z2488" s="139">
        <f t="shared" si="735"/>
        <v>0</v>
      </c>
      <c r="AA2488" s="139">
        <f t="shared" si="736"/>
        <v>0</v>
      </c>
      <c r="AC2488" s="47">
        <f t="shared" si="737"/>
        <v>0</v>
      </c>
      <c r="AD2488" s="47">
        <f t="shared" si="738"/>
        <v>0</v>
      </c>
      <c r="AE2488" s="47">
        <f t="shared" si="739"/>
        <v>0</v>
      </c>
      <c r="AG2488" s="47">
        <f t="shared" si="740"/>
        <v>0</v>
      </c>
      <c r="AH2488" s="47">
        <f t="shared" si="741"/>
        <v>0</v>
      </c>
      <c r="AI2488" s="208">
        <f t="shared" si="742"/>
        <v>0</v>
      </c>
    </row>
    <row r="2489" spans="1:35">
      <c r="A2489" t="s">
        <v>2170</v>
      </c>
      <c r="B2489" t="s">
        <v>3155</v>
      </c>
      <c r="C2489" t="s">
        <v>3077</v>
      </c>
      <c r="D2489" t="s">
        <v>6052</v>
      </c>
      <c r="F2489" t="s">
        <v>1772</v>
      </c>
      <c r="G2489" s="126">
        <f>SUMIFS('Support - Transition'!F:F,'Support - Transition'!B:B,'Step 2'!A2489,'Support - Transition'!C:C,'Step 2'!B2489,'Support - Transition'!D:D,'Step 2'!C2489,'Support - Transition'!E:E,"CIVIL")</f>
        <v>0</v>
      </c>
      <c r="H2489" s="126">
        <f>SUMIFS('Support - Transition'!F:F,'Support - Transition'!B:B,'Step 2'!A2489,'Support - Transition'!C:C,'Step 2'!B2489,'Support - Transition'!D:D,'Step 2'!C2489,'Support - Transition'!E:E,"FIRE")</f>
        <v>0</v>
      </c>
      <c r="I2489" s="126">
        <f>IF(B2489="0",SUMIFS('Support - Transition'!F:F,'Support - Transition'!J:J,'Step 2'!D2489,'Support - Transition'!E:E,"STATE UNIT"),SUMIFS('Support - Transition'!F:F,'Support - Transition'!J:J,'Step 2'!D2489))</f>
        <v>2.8699999999999998E-4</v>
      </c>
      <c r="J2489" s="126">
        <f>SUMIFS('Support - Unit Adjustments'!E:E,'Support - Unit Adjustments'!F:F,'Step 2'!D2489)</f>
        <v>0</v>
      </c>
      <c r="K2489" s="126">
        <f t="shared" si="726"/>
        <v>2.8699999999999998E-4</v>
      </c>
      <c r="L2489" s="174">
        <f>VLOOKUP(A2489,'Step 1'!$A:$E,4,FALSE)</f>
        <v>57220</v>
      </c>
      <c r="M2489" s="47">
        <f t="shared" si="727"/>
        <v>16</v>
      </c>
      <c r="N2489" s="177">
        <f>SUMIFS('Support - Transition'!G:G,'Support - Transition'!J:J,'Step 2'!D2489,'Support - Transition'!E:E,"2009 WELFARE ALLOCATION FACTOR")</f>
        <v>0</v>
      </c>
      <c r="O2489" s="152">
        <f t="shared" si="732"/>
        <v>0</v>
      </c>
      <c r="P2489" s="126">
        <f>IF(E2489="Y",0,SUMIFS('Support - Transition'!G:G,'Support - Transition'!J:J,'Step 2'!D2489,'Support - Transition'!E:E,"2009 SCHOOL ALLOCATION FACTOR"))</f>
        <v>0</v>
      </c>
      <c r="Q2489" s="126">
        <f>IF(E2489="Y",VLOOKUP(D2489,'Support - Unit Adjustments'!F:G,2,FALSE),0)</f>
        <v>0</v>
      </c>
      <c r="R2489" s="155">
        <f t="shared" si="744"/>
        <v>0</v>
      </c>
      <c r="S2489" s="47">
        <f t="shared" si="743"/>
        <v>0</v>
      </c>
      <c r="T2489" s="151">
        <f t="shared" si="728"/>
        <v>16</v>
      </c>
      <c r="U2489" s="151">
        <f t="shared" si="729"/>
        <v>0</v>
      </c>
      <c r="V2489" s="139">
        <f t="shared" si="730"/>
        <v>0</v>
      </c>
      <c r="W2489" s="152">
        <f t="shared" si="733"/>
        <v>16</v>
      </c>
      <c r="X2489" s="127" t="str">
        <f t="shared" si="731"/>
        <v/>
      </c>
      <c r="Y2489" s="207">
        <f t="shared" si="734"/>
        <v>16</v>
      </c>
      <c r="Z2489" s="139">
        <f t="shared" si="735"/>
        <v>16</v>
      </c>
      <c r="AA2489" s="139">
        <f t="shared" si="736"/>
        <v>0</v>
      </c>
      <c r="AC2489" s="47">
        <f t="shared" si="737"/>
        <v>8</v>
      </c>
      <c r="AD2489" s="47">
        <f t="shared" si="738"/>
        <v>8</v>
      </c>
      <c r="AE2489" s="47">
        <f t="shared" si="739"/>
        <v>0</v>
      </c>
      <c r="AG2489" s="47">
        <f t="shared" si="740"/>
        <v>8</v>
      </c>
      <c r="AH2489" s="47">
        <f t="shared" si="741"/>
        <v>8</v>
      </c>
      <c r="AI2489" s="208">
        <f t="shared" si="742"/>
        <v>0</v>
      </c>
    </row>
    <row r="2490" spans="1:35">
      <c r="A2490" t="s">
        <v>2170</v>
      </c>
      <c r="B2490" t="s">
        <v>3155</v>
      </c>
      <c r="C2490" t="s">
        <v>3078</v>
      </c>
      <c r="D2490" t="s">
        <v>6053</v>
      </c>
      <c r="F2490" t="s">
        <v>1773</v>
      </c>
      <c r="G2490" s="126">
        <f>SUMIFS('Support - Transition'!F:F,'Support - Transition'!B:B,'Step 2'!A2490,'Support - Transition'!C:C,'Step 2'!B2490,'Support - Transition'!D:D,'Step 2'!C2490,'Support - Transition'!E:E,"CIVIL")</f>
        <v>0</v>
      </c>
      <c r="H2490" s="126">
        <f>SUMIFS('Support - Transition'!F:F,'Support - Transition'!B:B,'Step 2'!A2490,'Support - Transition'!C:C,'Step 2'!B2490,'Support - Transition'!D:D,'Step 2'!C2490,'Support - Transition'!E:E,"FIRE")</f>
        <v>0</v>
      </c>
      <c r="I2490" s="126">
        <f>IF(B2490="0",SUMIFS('Support - Transition'!F:F,'Support - Transition'!J:J,'Step 2'!D2490,'Support - Transition'!E:E,"STATE UNIT"),SUMIFS('Support - Transition'!F:F,'Support - Transition'!J:J,'Step 2'!D2490))</f>
        <v>1.0349999999999999E-3</v>
      </c>
      <c r="J2490" s="126">
        <f>SUMIFS('Support - Unit Adjustments'!E:E,'Support - Unit Adjustments'!F:F,'Step 2'!D2490)</f>
        <v>0</v>
      </c>
      <c r="K2490" s="126">
        <f t="shared" si="726"/>
        <v>1.0349999999999999E-3</v>
      </c>
      <c r="L2490" s="174">
        <f>VLOOKUP(A2490,'Step 1'!$A:$E,4,FALSE)</f>
        <v>57220</v>
      </c>
      <c r="M2490" s="47">
        <f t="shared" si="727"/>
        <v>59</v>
      </c>
      <c r="N2490" s="177">
        <f>SUMIFS('Support - Transition'!G:G,'Support - Transition'!J:J,'Step 2'!D2490,'Support - Transition'!E:E,"2009 WELFARE ALLOCATION FACTOR")</f>
        <v>0</v>
      </c>
      <c r="O2490" s="152">
        <f t="shared" si="732"/>
        <v>0</v>
      </c>
      <c r="P2490" s="126">
        <f>IF(E2490="Y",0,SUMIFS('Support - Transition'!G:G,'Support - Transition'!J:J,'Step 2'!D2490,'Support - Transition'!E:E,"2009 SCHOOL ALLOCATION FACTOR"))</f>
        <v>0</v>
      </c>
      <c r="Q2490" s="126">
        <f>IF(E2490="Y",VLOOKUP(D2490,'Support - Unit Adjustments'!F:G,2,FALSE),0)</f>
        <v>0</v>
      </c>
      <c r="R2490" s="155">
        <f t="shared" si="744"/>
        <v>0</v>
      </c>
      <c r="S2490" s="47">
        <f t="shared" si="743"/>
        <v>0</v>
      </c>
      <c r="T2490" s="151">
        <f t="shared" si="728"/>
        <v>59</v>
      </c>
      <c r="U2490" s="151">
        <f t="shared" si="729"/>
        <v>0</v>
      </c>
      <c r="V2490" s="139">
        <f t="shared" si="730"/>
        <v>0</v>
      </c>
      <c r="W2490" s="152">
        <f t="shared" si="733"/>
        <v>59</v>
      </c>
      <c r="X2490" s="127" t="str">
        <f t="shared" si="731"/>
        <v/>
      </c>
      <c r="Y2490" s="207">
        <f t="shared" si="734"/>
        <v>59</v>
      </c>
      <c r="Z2490" s="139">
        <f t="shared" si="735"/>
        <v>59</v>
      </c>
      <c r="AA2490" s="139">
        <f t="shared" si="736"/>
        <v>0</v>
      </c>
      <c r="AC2490" s="47">
        <f t="shared" si="737"/>
        <v>30</v>
      </c>
      <c r="AD2490" s="47">
        <f t="shared" si="738"/>
        <v>30</v>
      </c>
      <c r="AE2490" s="47">
        <f t="shared" si="739"/>
        <v>0</v>
      </c>
      <c r="AG2490" s="47">
        <f t="shared" si="740"/>
        <v>29</v>
      </c>
      <c r="AH2490" s="47">
        <f t="shared" si="741"/>
        <v>29</v>
      </c>
      <c r="AI2490" s="208">
        <f t="shared" si="742"/>
        <v>0</v>
      </c>
    </row>
    <row r="2491" spans="1:35">
      <c r="A2491" t="s">
        <v>2170</v>
      </c>
      <c r="B2491" t="s">
        <v>3155</v>
      </c>
      <c r="C2491" t="s">
        <v>3079</v>
      </c>
      <c r="D2491" t="s">
        <v>6054</v>
      </c>
      <c r="F2491" t="s">
        <v>1774</v>
      </c>
      <c r="G2491" s="126">
        <f>SUMIFS('Support - Transition'!F:F,'Support - Transition'!B:B,'Step 2'!A2491,'Support - Transition'!C:C,'Step 2'!B2491,'Support - Transition'!D:D,'Step 2'!C2491,'Support - Transition'!E:E,"CIVIL")</f>
        <v>0</v>
      </c>
      <c r="H2491" s="126">
        <f>SUMIFS('Support - Transition'!F:F,'Support - Transition'!B:B,'Step 2'!A2491,'Support - Transition'!C:C,'Step 2'!B2491,'Support - Transition'!D:D,'Step 2'!C2491,'Support - Transition'!E:E,"FIRE")</f>
        <v>0</v>
      </c>
      <c r="I2491" s="126">
        <f>IF(B2491="0",SUMIFS('Support - Transition'!F:F,'Support - Transition'!J:J,'Step 2'!D2491,'Support - Transition'!E:E,"STATE UNIT"),SUMIFS('Support - Transition'!F:F,'Support - Transition'!J:J,'Step 2'!D2491))</f>
        <v>2.31E-3</v>
      </c>
      <c r="J2491" s="126">
        <f>SUMIFS('Support - Unit Adjustments'!E:E,'Support - Unit Adjustments'!F:F,'Step 2'!D2491)</f>
        <v>0</v>
      </c>
      <c r="K2491" s="126">
        <f t="shared" si="726"/>
        <v>2.31E-3</v>
      </c>
      <c r="L2491" s="174">
        <f>VLOOKUP(A2491,'Step 1'!$A:$E,4,FALSE)</f>
        <v>57220</v>
      </c>
      <c r="M2491" s="47">
        <f t="shared" si="727"/>
        <v>132</v>
      </c>
      <c r="N2491" s="177">
        <f>SUMIFS('Support - Transition'!G:G,'Support - Transition'!J:J,'Step 2'!D2491,'Support - Transition'!E:E,"2009 WELFARE ALLOCATION FACTOR")</f>
        <v>0</v>
      </c>
      <c r="O2491" s="152">
        <f t="shared" si="732"/>
        <v>0</v>
      </c>
      <c r="P2491" s="126">
        <f>IF(E2491="Y",0,SUMIFS('Support - Transition'!G:G,'Support - Transition'!J:J,'Step 2'!D2491,'Support - Transition'!E:E,"2009 SCHOOL ALLOCATION FACTOR"))</f>
        <v>0</v>
      </c>
      <c r="Q2491" s="126">
        <f>IF(E2491="Y",VLOOKUP(D2491,'Support - Unit Adjustments'!F:G,2,FALSE),0)</f>
        <v>0</v>
      </c>
      <c r="R2491" s="155">
        <f t="shared" si="744"/>
        <v>0</v>
      </c>
      <c r="S2491" s="47">
        <f t="shared" si="743"/>
        <v>0</v>
      </c>
      <c r="T2491" s="151">
        <f t="shared" si="728"/>
        <v>132</v>
      </c>
      <c r="U2491" s="151">
        <f t="shared" si="729"/>
        <v>0</v>
      </c>
      <c r="V2491" s="139">
        <f t="shared" si="730"/>
        <v>0</v>
      </c>
      <c r="W2491" s="152">
        <f t="shared" si="733"/>
        <v>132</v>
      </c>
      <c r="X2491" s="127" t="str">
        <f t="shared" si="731"/>
        <v/>
      </c>
      <c r="Y2491" s="207">
        <f t="shared" si="734"/>
        <v>132</v>
      </c>
      <c r="Z2491" s="139">
        <f t="shared" si="735"/>
        <v>132</v>
      </c>
      <c r="AA2491" s="139">
        <f t="shared" si="736"/>
        <v>0</v>
      </c>
      <c r="AC2491" s="47">
        <f t="shared" si="737"/>
        <v>66</v>
      </c>
      <c r="AD2491" s="47">
        <f t="shared" si="738"/>
        <v>66</v>
      </c>
      <c r="AE2491" s="47">
        <f t="shared" si="739"/>
        <v>0</v>
      </c>
      <c r="AG2491" s="47">
        <f t="shared" si="740"/>
        <v>66</v>
      </c>
      <c r="AH2491" s="47">
        <f t="shared" si="741"/>
        <v>66</v>
      </c>
      <c r="AI2491" s="208">
        <f t="shared" si="742"/>
        <v>0</v>
      </c>
    </row>
    <row r="2492" spans="1:35">
      <c r="A2492" t="s">
        <v>2170</v>
      </c>
      <c r="B2492" t="s">
        <v>3160</v>
      </c>
      <c r="C2492" t="s">
        <v>2246</v>
      </c>
      <c r="D2492" t="s">
        <v>6055</v>
      </c>
      <c r="F2492" t="s">
        <v>122</v>
      </c>
      <c r="G2492" s="126">
        <f>SUMIFS('Support - Transition'!F:F,'Support - Transition'!B:B,'Step 2'!A2492,'Support - Transition'!C:C,'Step 2'!B2492,'Support - Transition'!D:D,'Step 2'!C2492,'Support - Transition'!E:E,"CIVIL")</f>
        <v>0</v>
      </c>
      <c r="H2492" s="126">
        <f>SUMIFS('Support - Transition'!F:F,'Support - Transition'!B:B,'Step 2'!A2492,'Support - Transition'!C:C,'Step 2'!B2492,'Support - Transition'!D:D,'Step 2'!C2492,'Support - Transition'!E:E,"FIRE")</f>
        <v>0</v>
      </c>
      <c r="I2492" s="126">
        <f>IF(B2492="0",SUMIFS('Support - Transition'!F:F,'Support - Transition'!J:J,'Step 2'!D2492,'Support - Transition'!E:E,"STATE UNIT"),SUMIFS('Support - Transition'!F:F,'Support - Transition'!J:J,'Step 2'!D2492))</f>
        <v>0.10784199999999999</v>
      </c>
      <c r="J2492" s="126">
        <f>SUMIFS('Support - Unit Adjustments'!E:E,'Support - Unit Adjustments'!F:F,'Step 2'!D2492)</f>
        <v>0</v>
      </c>
      <c r="K2492" s="126">
        <f t="shared" si="726"/>
        <v>0.10784199999999999</v>
      </c>
      <c r="L2492" s="174">
        <f>VLOOKUP(A2492,'Step 1'!$A:$E,4,FALSE)</f>
        <v>57220</v>
      </c>
      <c r="M2492" s="47">
        <f t="shared" si="727"/>
        <v>6171</v>
      </c>
      <c r="N2492" s="177">
        <f>SUMIFS('Support - Transition'!G:G,'Support - Transition'!J:J,'Step 2'!D2492,'Support - Transition'!E:E,"2009 WELFARE ALLOCATION FACTOR")</f>
        <v>0</v>
      </c>
      <c r="O2492" s="152">
        <f t="shared" si="732"/>
        <v>0</v>
      </c>
      <c r="P2492" s="126">
        <f>IF(E2492="Y",0,SUMIFS('Support - Transition'!G:G,'Support - Transition'!J:J,'Step 2'!D2492,'Support - Transition'!E:E,"2009 SCHOOL ALLOCATION FACTOR"))</f>
        <v>0.45683600000000002</v>
      </c>
      <c r="Q2492" s="126">
        <f>IF(E2492="Y",VLOOKUP(D2492,'Support - Unit Adjustments'!F:G,2,FALSE),0)</f>
        <v>0</v>
      </c>
      <c r="R2492" s="155">
        <f t="shared" si="744"/>
        <v>0.45683600000000002</v>
      </c>
      <c r="S2492" s="47">
        <f t="shared" si="743"/>
        <v>2819</v>
      </c>
      <c r="T2492" s="151">
        <f t="shared" si="728"/>
        <v>3352</v>
      </c>
      <c r="U2492" s="151">
        <f t="shared" si="729"/>
        <v>0</v>
      </c>
      <c r="V2492" s="139">
        <f t="shared" si="730"/>
        <v>0</v>
      </c>
      <c r="W2492" s="152">
        <f t="shared" si="733"/>
        <v>3352</v>
      </c>
      <c r="X2492" s="127" t="str">
        <f t="shared" si="731"/>
        <v/>
      </c>
      <c r="Y2492" s="207">
        <f t="shared" si="734"/>
        <v>3352</v>
      </c>
      <c r="Z2492" s="139">
        <f t="shared" si="735"/>
        <v>3352</v>
      </c>
      <c r="AA2492" s="139">
        <f t="shared" si="736"/>
        <v>0</v>
      </c>
      <c r="AC2492" s="47">
        <f t="shared" si="737"/>
        <v>1676</v>
      </c>
      <c r="AD2492" s="47">
        <f t="shared" si="738"/>
        <v>1676</v>
      </c>
      <c r="AE2492" s="47">
        <f t="shared" si="739"/>
        <v>0</v>
      </c>
      <c r="AG2492" s="47">
        <f t="shared" si="740"/>
        <v>1676</v>
      </c>
      <c r="AH2492" s="47">
        <f t="shared" si="741"/>
        <v>1676</v>
      </c>
      <c r="AI2492" s="208">
        <f t="shared" si="742"/>
        <v>0</v>
      </c>
    </row>
    <row r="2493" spans="1:35">
      <c r="A2493" t="s">
        <v>2170</v>
      </c>
      <c r="B2493" t="s">
        <v>3160</v>
      </c>
      <c r="C2493" t="s">
        <v>2439</v>
      </c>
      <c r="D2493" t="s">
        <v>6056</v>
      </c>
      <c r="F2493" t="s">
        <v>517</v>
      </c>
      <c r="G2493" s="126">
        <f>SUMIFS('Support - Transition'!F:F,'Support - Transition'!B:B,'Step 2'!A2493,'Support - Transition'!C:C,'Step 2'!B2493,'Support - Transition'!D:D,'Step 2'!C2493,'Support - Transition'!E:E,"CIVIL")</f>
        <v>0</v>
      </c>
      <c r="H2493" s="126">
        <f>SUMIFS('Support - Transition'!F:F,'Support - Transition'!B:B,'Step 2'!A2493,'Support - Transition'!C:C,'Step 2'!B2493,'Support - Transition'!D:D,'Step 2'!C2493,'Support - Transition'!E:E,"FIRE")</f>
        <v>0</v>
      </c>
      <c r="I2493" s="126">
        <f>IF(B2493="0",SUMIFS('Support - Transition'!F:F,'Support - Transition'!J:J,'Step 2'!D2493,'Support - Transition'!E:E,"STATE UNIT"),SUMIFS('Support - Transition'!F:F,'Support - Transition'!J:J,'Step 2'!D2493))</f>
        <v>6.4577999999999997E-2</v>
      </c>
      <c r="J2493" s="126">
        <f>SUMIFS('Support - Unit Adjustments'!E:E,'Support - Unit Adjustments'!F:F,'Step 2'!D2493)</f>
        <v>0</v>
      </c>
      <c r="K2493" s="126">
        <f t="shared" si="726"/>
        <v>6.4577999999999997E-2</v>
      </c>
      <c r="L2493" s="174">
        <f>VLOOKUP(A2493,'Step 1'!$A:$E,4,FALSE)</f>
        <v>57220</v>
      </c>
      <c r="M2493" s="47">
        <f t="shared" si="727"/>
        <v>3695</v>
      </c>
      <c r="N2493" s="177">
        <f>SUMIFS('Support - Transition'!G:G,'Support - Transition'!J:J,'Step 2'!D2493,'Support - Transition'!E:E,"2009 WELFARE ALLOCATION FACTOR")</f>
        <v>0</v>
      </c>
      <c r="O2493" s="152">
        <f t="shared" si="732"/>
        <v>0</v>
      </c>
      <c r="P2493" s="126">
        <f>IF(E2493="Y",0,SUMIFS('Support - Transition'!G:G,'Support - Transition'!J:J,'Step 2'!D2493,'Support - Transition'!E:E,"2009 SCHOOL ALLOCATION FACTOR"))</f>
        <v>0.45909</v>
      </c>
      <c r="Q2493" s="126">
        <f>IF(E2493="Y",VLOOKUP(D2493,'Support - Unit Adjustments'!F:G,2,FALSE),0)</f>
        <v>0</v>
      </c>
      <c r="R2493" s="155">
        <f t="shared" si="744"/>
        <v>0.45909</v>
      </c>
      <c r="S2493" s="47">
        <f t="shared" si="743"/>
        <v>1696</v>
      </c>
      <c r="T2493" s="151">
        <f t="shared" si="728"/>
        <v>1999</v>
      </c>
      <c r="U2493" s="151">
        <f t="shared" si="729"/>
        <v>0</v>
      </c>
      <c r="V2493" s="139">
        <f t="shared" si="730"/>
        <v>0</v>
      </c>
      <c r="W2493" s="152">
        <f t="shared" si="733"/>
        <v>1999</v>
      </c>
      <c r="X2493" s="127" t="str">
        <f t="shared" si="731"/>
        <v/>
      </c>
      <c r="Y2493" s="207">
        <f t="shared" si="734"/>
        <v>1999</v>
      </c>
      <c r="Z2493" s="139">
        <f t="shared" si="735"/>
        <v>1999</v>
      </c>
      <c r="AA2493" s="139">
        <f t="shared" si="736"/>
        <v>0</v>
      </c>
      <c r="AC2493" s="47">
        <f t="shared" si="737"/>
        <v>1000</v>
      </c>
      <c r="AD2493" s="47">
        <f t="shared" si="738"/>
        <v>1000</v>
      </c>
      <c r="AE2493" s="47">
        <f t="shared" si="739"/>
        <v>0</v>
      </c>
      <c r="AG2493" s="47">
        <f t="shared" si="740"/>
        <v>999</v>
      </c>
      <c r="AH2493" s="47">
        <f t="shared" si="741"/>
        <v>999</v>
      </c>
      <c r="AI2493" s="208">
        <f t="shared" si="742"/>
        <v>0</v>
      </c>
    </row>
    <row r="2494" spans="1:35">
      <c r="A2494" t="s">
        <v>2170</v>
      </c>
      <c r="B2494" t="s">
        <v>3160</v>
      </c>
      <c r="C2494" t="s">
        <v>3080</v>
      </c>
      <c r="D2494" t="s">
        <v>6057</v>
      </c>
      <c r="F2494" t="s">
        <v>6058</v>
      </c>
      <c r="G2494" s="126">
        <f>SUMIFS('Support - Transition'!F:F,'Support - Transition'!B:B,'Step 2'!A2494,'Support - Transition'!C:C,'Step 2'!B2494,'Support - Transition'!D:D,'Step 2'!C2494,'Support - Transition'!E:E,"CIVIL")</f>
        <v>0</v>
      </c>
      <c r="H2494" s="126">
        <f>SUMIFS('Support - Transition'!F:F,'Support - Transition'!B:B,'Step 2'!A2494,'Support - Transition'!C:C,'Step 2'!B2494,'Support - Transition'!D:D,'Step 2'!C2494,'Support - Transition'!E:E,"FIRE")</f>
        <v>0</v>
      </c>
      <c r="I2494" s="126">
        <f>IF(B2494="0",SUMIFS('Support - Transition'!F:F,'Support - Transition'!J:J,'Step 2'!D2494,'Support - Transition'!E:E,"STATE UNIT"),SUMIFS('Support - Transition'!F:F,'Support - Transition'!J:J,'Step 2'!D2494))</f>
        <v>0.464231</v>
      </c>
      <c r="J2494" s="126">
        <f>SUMIFS('Support - Unit Adjustments'!E:E,'Support - Unit Adjustments'!F:F,'Step 2'!D2494)</f>
        <v>0</v>
      </c>
      <c r="K2494" s="126">
        <f t="shared" si="726"/>
        <v>0.464231</v>
      </c>
      <c r="L2494" s="174">
        <f>VLOOKUP(A2494,'Step 1'!$A:$E,4,FALSE)</f>
        <v>57220</v>
      </c>
      <c r="M2494" s="47">
        <f t="shared" si="727"/>
        <v>26563</v>
      </c>
      <c r="N2494" s="177">
        <f>SUMIFS('Support - Transition'!G:G,'Support - Transition'!J:J,'Step 2'!D2494,'Support - Transition'!E:E,"2009 WELFARE ALLOCATION FACTOR")</f>
        <v>0</v>
      </c>
      <c r="O2494" s="152">
        <f t="shared" si="732"/>
        <v>0</v>
      </c>
      <c r="P2494" s="126">
        <f>IF(E2494="Y",0,SUMIFS('Support - Transition'!G:G,'Support - Transition'!J:J,'Step 2'!D2494,'Support - Transition'!E:E,"2009 SCHOOL ALLOCATION FACTOR"))</f>
        <v>0.47661399999999998</v>
      </c>
      <c r="Q2494" s="126">
        <f>IF(E2494="Y",VLOOKUP(D2494,'Support - Unit Adjustments'!F:G,2,FALSE),0)</f>
        <v>0</v>
      </c>
      <c r="R2494" s="155">
        <f t="shared" si="744"/>
        <v>0.47661399999999998</v>
      </c>
      <c r="S2494" s="47">
        <f t="shared" si="743"/>
        <v>12660</v>
      </c>
      <c r="T2494" s="151">
        <f t="shared" si="728"/>
        <v>13903</v>
      </c>
      <c r="U2494" s="151">
        <f t="shared" si="729"/>
        <v>0</v>
      </c>
      <c r="V2494" s="139">
        <f t="shared" si="730"/>
        <v>0</v>
      </c>
      <c r="W2494" s="152">
        <f t="shared" si="733"/>
        <v>13903</v>
      </c>
      <c r="X2494" s="127" t="str">
        <f t="shared" si="731"/>
        <v/>
      </c>
      <c r="Y2494" s="207">
        <f t="shared" si="734"/>
        <v>13903</v>
      </c>
      <c r="Z2494" s="139">
        <f t="shared" si="735"/>
        <v>13903</v>
      </c>
      <c r="AA2494" s="139">
        <f t="shared" si="736"/>
        <v>0</v>
      </c>
      <c r="AC2494" s="47">
        <f t="shared" si="737"/>
        <v>6952</v>
      </c>
      <c r="AD2494" s="47">
        <f t="shared" si="738"/>
        <v>6952</v>
      </c>
      <c r="AE2494" s="47">
        <f t="shared" si="739"/>
        <v>0</v>
      </c>
      <c r="AG2494" s="47">
        <f t="shared" si="740"/>
        <v>6951</v>
      </c>
      <c r="AH2494" s="47">
        <f t="shared" si="741"/>
        <v>6951</v>
      </c>
      <c r="AI2494" s="208">
        <f t="shared" si="742"/>
        <v>0</v>
      </c>
    </row>
    <row r="2495" spans="1:35">
      <c r="A2495" t="s">
        <v>2170</v>
      </c>
      <c r="B2495" t="s">
        <v>3166</v>
      </c>
      <c r="C2495" t="s">
        <v>6059</v>
      </c>
      <c r="D2495" t="s">
        <v>6060</v>
      </c>
      <c r="F2495" t="s">
        <v>1776</v>
      </c>
      <c r="G2495" s="126">
        <f>SUMIFS('Support - Transition'!F:F,'Support - Transition'!B:B,'Step 2'!A2495,'Support - Transition'!C:C,'Step 2'!B2495,'Support - Transition'!D:D,'Step 2'!C2495,'Support - Transition'!E:E,"CIVIL")</f>
        <v>0</v>
      </c>
      <c r="H2495" s="126">
        <f>SUMIFS('Support - Transition'!F:F,'Support - Transition'!B:B,'Step 2'!A2495,'Support - Transition'!C:C,'Step 2'!B2495,'Support - Transition'!D:D,'Step 2'!C2495,'Support - Transition'!E:E,"FIRE")</f>
        <v>0</v>
      </c>
      <c r="I2495" s="126">
        <f>IF(B2495="0",SUMIFS('Support - Transition'!F:F,'Support - Transition'!J:J,'Step 2'!D2495,'Support - Transition'!E:E,"STATE UNIT"),SUMIFS('Support - Transition'!F:F,'Support - Transition'!J:J,'Step 2'!D2495))</f>
        <v>1.5449999999999999E-3</v>
      </c>
      <c r="J2495" s="126">
        <f>SUMIFS('Support - Unit Adjustments'!E:E,'Support - Unit Adjustments'!F:F,'Step 2'!D2495)</f>
        <v>0</v>
      </c>
      <c r="K2495" s="126">
        <f t="shared" si="726"/>
        <v>1.5449999999999999E-3</v>
      </c>
      <c r="L2495" s="174">
        <f>VLOOKUP(A2495,'Step 1'!$A:$E,4,FALSE)</f>
        <v>57220</v>
      </c>
      <c r="M2495" s="47">
        <f t="shared" si="727"/>
        <v>88</v>
      </c>
      <c r="N2495" s="177">
        <f>SUMIFS('Support - Transition'!G:G,'Support - Transition'!J:J,'Step 2'!D2495,'Support - Transition'!E:E,"2009 WELFARE ALLOCATION FACTOR")</f>
        <v>0</v>
      </c>
      <c r="O2495" s="152">
        <f t="shared" si="732"/>
        <v>0</v>
      </c>
      <c r="P2495" s="126">
        <f>IF(E2495="Y",0,SUMIFS('Support - Transition'!G:G,'Support - Transition'!J:J,'Step 2'!D2495,'Support - Transition'!E:E,"2009 SCHOOL ALLOCATION FACTOR"))</f>
        <v>0</v>
      </c>
      <c r="Q2495" s="126">
        <f>IF(E2495="Y",VLOOKUP(D2495,'Support - Unit Adjustments'!F:G,2,FALSE),0)</f>
        <v>0</v>
      </c>
      <c r="R2495" s="155">
        <f t="shared" si="744"/>
        <v>0</v>
      </c>
      <c r="S2495" s="47">
        <f t="shared" si="743"/>
        <v>0</v>
      </c>
      <c r="T2495" s="151">
        <f t="shared" si="728"/>
        <v>88</v>
      </c>
      <c r="U2495" s="151">
        <f t="shared" si="729"/>
        <v>0</v>
      </c>
      <c r="V2495" s="139">
        <f t="shared" si="730"/>
        <v>0</v>
      </c>
      <c r="W2495" s="152">
        <f t="shared" si="733"/>
        <v>88</v>
      </c>
      <c r="X2495" s="127" t="str">
        <f t="shared" si="731"/>
        <v/>
      </c>
      <c r="Y2495" s="207">
        <f t="shared" si="734"/>
        <v>88</v>
      </c>
      <c r="Z2495" s="139">
        <f t="shared" si="735"/>
        <v>88</v>
      </c>
      <c r="AA2495" s="139">
        <f t="shared" si="736"/>
        <v>0</v>
      </c>
      <c r="AC2495" s="47">
        <f t="shared" si="737"/>
        <v>44</v>
      </c>
      <c r="AD2495" s="47">
        <f t="shared" si="738"/>
        <v>44</v>
      </c>
      <c r="AE2495" s="47">
        <f t="shared" si="739"/>
        <v>0</v>
      </c>
      <c r="AG2495" s="47">
        <f t="shared" si="740"/>
        <v>44</v>
      </c>
      <c r="AH2495" s="47">
        <f t="shared" si="741"/>
        <v>44</v>
      </c>
      <c r="AI2495" s="208">
        <f t="shared" si="742"/>
        <v>0</v>
      </c>
    </row>
    <row r="2496" spans="1:35">
      <c r="A2496" t="s">
        <v>2170</v>
      </c>
      <c r="B2496" t="s">
        <v>3166</v>
      </c>
      <c r="C2496" t="s">
        <v>6061</v>
      </c>
      <c r="D2496" t="s">
        <v>6062</v>
      </c>
      <c r="F2496" t="s">
        <v>1777</v>
      </c>
      <c r="G2496" s="126">
        <f>SUMIFS('Support - Transition'!F:F,'Support - Transition'!B:B,'Step 2'!A2496,'Support - Transition'!C:C,'Step 2'!B2496,'Support - Transition'!D:D,'Step 2'!C2496,'Support - Transition'!E:E,"CIVIL")</f>
        <v>0</v>
      </c>
      <c r="H2496" s="126">
        <f>SUMIFS('Support - Transition'!F:F,'Support - Transition'!B:B,'Step 2'!A2496,'Support - Transition'!C:C,'Step 2'!B2496,'Support - Transition'!D:D,'Step 2'!C2496,'Support - Transition'!E:E,"FIRE")</f>
        <v>0</v>
      </c>
      <c r="I2496" s="126">
        <f>IF(B2496="0",SUMIFS('Support - Transition'!F:F,'Support - Transition'!J:J,'Step 2'!D2496,'Support - Transition'!E:E,"STATE UNIT"),SUMIFS('Support - Transition'!F:F,'Support - Transition'!J:J,'Step 2'!D2496))</f>
        <v>2.3579999999999999E-3</v>
      </c>
      <c r="J2496" s="126">
        <f>SUMIFS('Support - Unit Adjustments'!E:E,'Support - Unit Adjustments'!F:F,'Step 2'!D2496)</f>
        <v>0</v>
      </c>
      <c r="K2496" s="126">
        <f t="shared" si="726"/>
        <v>2.3579999999999999E-3</v>
      </c>
      <c r="L2496" s="174">
        <f>VLOOKUP(A2496,'Step 1'!$A:$E,4,FALSE)</f>
        <v>57220</v>
      </c>
      <c r="M2496" s="47">
        <f t="shared" si="727"/>
        <v>135</v>
      </c>
      <c r="N2496" s="177">
        <f>SUMIFS('Support - Transition'!G:G,'Support - Transition'!J:J,'Step 2'!D2496,'Support - Transition'!E:E,"2009 WELFARE ALLOCATION FACTOR")</f>
        <v>0</v>
      </c>
      <c r="O2496" s="152">
        <f t="shared" si="732"/>
        <v>0</v>
      </c>
      <c r="P2496" s="126">
        <f>IF(E2496="Y",0,SUMIFS('Support - Transition'!G:G,'Support - Transition'!J:J,'Step 2'!D2496,'Support - Transition'!E:E,"2009 SCHOOL ALLOCATION FACTOR"))</f>
        <v>0</v>
      </c>
      <c r="Q2496" s="126">
        <f>IF(E2496="Y",VLOOKUP(D2496,'Support - Unit Adjustments'!F:G,2,FALSE),0)</f>
        <v>0</v>
      </c>
      <c r="R2496" s="155">
        <f t="shared" si="744"/>
        <v>0</v>
      </c>
      <c r="S2496" s="47">
        <f t="shared" si="743"/>
        <v>0</v>
      </c>
      <c r="T2496" s="151">
        <f t="shared" si="728"/>
        <v>135</v>
      </c>
      <c r="U2496" s="151">
        <f t="shared" si="729"/>
        <v>0</v>
      </c>
      <c r="V2496" s="139">
        <f t="shared" si="730"/>
        <v>0</v>
      </c>
      <c r="W2496" s="152">
        <f t="shared" si="733"/>
        <v>135</v>
      </c>
      <c r="X2496" s="127" t="str">
        <f t="shared" si="731"/>
        <v/>
      </c>
      <c r="Y2496" s="207">
        <f t="shared" si="734"/>
        <v>135</v>
      </c>
      <c r="Z2496" s="139">
        <f t="shared" si="735"/>
        <v>135</v>
      </c>
      <c r="AA2496" s="139">
        <f t="shared" si="736"/>
        <v>0</v>
      </c>
      <c r="AC2496" s="47">
        <f t="shared" si="737"/>
        <v>68</v>
      </c>
      <c r="AD2496" s="47">
        <f t="shared" si="738"/>
        <v>68</v>
      </c>
      <c r="AE2496" s="47">
        <f t="shared" si="739"/>
        <v>0</v>
      </c>
      <c r="AG2496" s="47">
        <f t="shared" si="740"/>
        <v>67</v>
      </c>
      <c r="AH2496" s="47">
        <f t="shared" si="741"/>
        <v>67</v>
      </c>
      <c r="AI2496" s="208">
        <f t="shared" si="742"/>
        <v>0</v>
      </c>
    </row>
    <row r="2497" spans="1:35">
      <c r="A2497" t="s">
        <v>2170</v>
      </c>
      <c r="B2497" t="s">
        <v>3170</v>
      </c>
      <c r="C2497" t="s">
        <v>3081</v>
      </c>
      <c r="D2497" t="s">
        <v>6063</v>
      </c>
      <c r="F2497" t="s">
        <v>1778</v>
      </c>
      <c r="G2497" s="126">
        <f>SUMIFS('Support - Transition'!F:F,'Support - Transition'!B:B,'Step 2'!A2497,'Support - Transition'!C:C,'Step 2'!B2497,'Support - Transition'!D:D,'Step 2'!C2497,'Support - Transition'!E:E,"CIVIL")</f>
        <v>0</v>
      </c>
      <c r="H2497" s="126">
        <f>SUMIFS('Support - Transition'!F:F,'Support - Transition'!B:B,'Step 2'!A2497,'Support - Transition'!C:C,'Step 2'!B2497,'Support - Transition'!D:D,'Step 2'!C2497,'Support - Transition'!E:E,"FIRE")</f>
        <v>0</v>
      </c>
      <c r="I2497" s="126">
        <f>IF(B2497="0",SUMIFS('Support - Transition'!F:F,'Support - Transition'!J:J,'Step 2'!D2497,'Support - Transition'!E:E,"STATE UNIT"),SUMIFS('Support - Transition'!F:F,'Support - Transition'!J:J,'Step 2'!D2497))</f>
        <v>1.4529000000000014E-2</v>
      </c>
      <c r="J2497" s="126">
        <f>SUMIFS('Support - Unit Adjustments'!E:E,'Support - Unit Adjustments'!F:F,'Step 2'!D2497)</f>
        <v>0</v>
      </c>
      <c r="K2497" s="126">
        <f t="shared" si="726"/>
        <v>1.4529000000000014E-2</v>
      </c>
      <c r="L2497" s="174">
        <f>VLOOKUP(A2497,'Step 1'!$A:$E,4,FALSE)</f>
        <v>57220</v>
      </c>
      <c r="M2497" s="47">
        <f t="shared" si="727"/>
        <v>831</v>
      </c>
      <c r="N2497" s="177">
        <f>SUMIFS('Support - Transition'!G:G,'Support - Transition'!J:J,'Step 2'!D2497,'Support - Transition'!E:E,"2009 WELFARE ALLOCATION FACTOR")</f>
        <v>0</v>
      </c>
      <c r="O2497" s="152">
        <f t="shared" si="732"/>
        <v>0</v>
      </c>
      <c r="P2497" s="126">
        <f>IF(E2497="Y",0,SUMIFS('Support - Transition'!G:G,'Support - Transition'!J:J,'Step 2'!D2497,'Support - Transition'!E:E,"2009 SCHOOL ALLOCATION FACTOR"))</f>
        <v>0</v>
      </c>
      <c r="Q2497" s="126">
        <f>IF(E2497="Y",VLOOKUP(D2497,'Support - Unit Adjustments'!F:G,2,FALSE),0)</f>
        <v>0</v>
      </c>
      <c r="R2497" s="155">
        <f t="shared" si="744"/>
        <v>0</v>
      </c>
      <c r="S2497" s="47">
        <f t="shared" si="743"/>
        <v>0</v>
      </c>
      <c r="T2497" s="151">
        <f t="shared" si="728"/>
        <v>831</v>
      </c>
      <c r="U2497" s="151">
        <f t="shared" si="729"/>
        <v>0</v>
      </c>
      <c r="V2497" s="139">
        <f t="shared" si="730"/>
        <v>0</v>
      </c>
      <c r="W2497" s="152">
        <f t="shared" si="733"/>
        <v>831</v>
      </c>
      <c r="X2497" s="127" t="str">
        <f t="shared" si="731"/>
        <v/>
      </c>
      <c r="Y2497" s="207">
        <f t="shared" si="734"/>
        <v>831</v>
      </c>
      <c r="Z2497" s="139">
        <f t="shared" si="735"/>
        <v>831</v>
      </c>
      <c r="AA2497" s="139">
        <f t="shared" si="736"/>
        <v>0</v>
      </c>
      <c r="AC2497" s="47">
        <f t="shared" si="737"/>
        <v>416</v>
      </c>
      <c r="AD2497" s="47">
        <f t="shared" si="738"/>
        <v>416</v>
      </c>
      <c r="AE2497" s="47">
        <f t="shared" si="739"/>
        <v>0</v>
      </c>
      <c r="AG2497" s="47">
        <f t="shared" si="740"/>
        <v>415</v>
      </c>
      <c r="AH2497" s="47">
        <f t="shared" si="741"/>
        <v>415</v>
      </c>
      <c r="AI2497" s="208">
        <f t="shared" si="742"/>
        <v>0</v>
      </c>
    </row>
    <row r="2498" spans="1:35">
      <c r="A2498" t="s">
        <v>2170</v>
      </c>
      <c r="B2498" t="s">
        <v>3170</v>
      </c>
      <c r="C2498" t="s">
        <v>3283</v>
      </c>
      <c r="D2498" t="s">
        <v>6064</v>
      </c>
      <c r="F2498" t="s">
        <v>3285</v>
      </c>
      <c r="G2498" s="126">
        <f>SUMIFS('Support - Transition'!F:F,'Support - Transition'!B:B,'Step 2'!A2498,'Support - Transition'!C:C,'Step 2'!B2498,'Support - Transition'!D:D,'Step 2'!C2498,'Support - Transition'!E:E,"CIVIL")</f>
        <v>0</v>
      </c>
      <c r="H2498" s="126">
        <f>SUMIFS('Support - Transition'!F:F,'Support - Transition'!B:B,'Step 2'!A2498,'Support - Transition'!C:C,'Step 2'!B2498,'Support - Transition'!D:D,'Step 2'!C2498,'Support - Transition'!E:E,"FIRE")</f>
        <v>0</v>
      </c>
      <c r="I2498" s="126">
        <f>IF(B2498="0",SUMIFS('Support - Transition'!F:F,'Support - Transition'!J:J,'Step 2'!D2498,'Support - Transition'!E:E,"STATE UNIT"),SUMIFS('Support - Transition'!F:F,'Support - Transition'!J:J,'Step 2'!D2498))</f>
        <v>0</v>
      </c>
      <c r="J2498" s="126">
        <f>SUMIFS('Support - Unit Adjustments'!E:E,'Support - Unit Adjustments'!F:F,'Step 2'!D2498)</f>
        <v>0</v>
      </c>
      <c r="K2498" s="126">
        <f t="shared" ref="K2498:K2561" si="745">+I2498+J2498</f>
        <v>0</v>
      </c>
      <c r="L2498" s="174">
        <f>VLOOKUP(A2498,'Step 1'!$A:$E,4,FALSE)</f>
        <v>57220</v>
      </c>
      <c r="M2498" s="47">
        <f t="shared" ref="M2498:M2561" si="746">ROUND(+K2498*L2498,0)</f>
        <v>0</v>
      </c>
      <c r="N2498" s="177">
        <f>SUMIFS('Support - Transition'!G:G,'Support - Transition'!J:J,'Step 2'!D2498,'Support - Transition'!E:E,"2009 WELFARE ALLOCATION FACTOR")</f>
        <v>0</v>
      </c>
      <c r="O2498" s="152">
        <f t="shared" si="732"/>
        <v>0</v>
      </c>
      <c r="P2498" s="126">
        <f>IF(E2498="Y",0,SUMIFS('Support - Transition'!G:G,'Support - Transition'!J:J,'Step 2'!D2498,'Support - Transition'!E:E,"2009 SCHOOL ALLOCATION FACTOR"))</f>
        <v>0</v>
      </c>
      <c r="Q2498" s="126">
        <f>IF(E2498="Y",VLOOKUP(D2498,'Support - Unit Adjustments'!F:G,2,FALSE),0)</f>
        <v>0</v>
      </c>
      <c r="R2498" s="155">
        <f t="shared" si="744"/>
        <v>0</v>
      </c>
      <c r="S2498" s="47">
        <f t="shared" si="743"/>
        <v>0</v>
      </c>
      <c r="T2498" s="151">
        <f t="shared" ref="T2498:T2561" si="747">ROUND(+M2498-O2498-S2498,2)</f>
        <v>0</v>
      </c>
      <c r="U2498" s="151">
        <f t="shared" ref="U2498:U2561" si="748">IF(B2498="0",SUMIFS(O:O,A:A,A2498)+SUMIFS(S:S,A:A,A2498)+SUMIFS(T:T,A:A,A2498),0)</f>
        <v>0</v>
      </c>
      <c r="V2498" s="139">
        <f t="shared" ref="V2498:V2561" si="749">IF(B2498="0",U2498-L2498,0)</f>
        <v>0</v>
      </c>
      <c r="W2498" s="152">
        <f t="shared" si="733"/>
        <v>0</v>
      </c>
      <c r="X2498" s="127" t="str">
        <f t="shared" ref="X2498:X2561" si="750">IF(B2498="0",SUMIFS(O:O,A:A,A2498)+SUMIFS(S:S,A:A,A2498)+SUMIFS(W:W,A:A,A2498)-L2498,"")</f>
        <v/>
      </c>
      <c r="Y2498" s="207">
        <f t="shared" si="734"/>
        <v>0</v>
      </c>
      <c r="Z2498" s="139">
        <f t="shared" si="735"/>
        <v>0</v>
      </c>
      <c r="AA2498" s="139">
        <f t="shared" si="736"/>
        <v>0</v>
      </c>
      <c r="AC2498" s="47">
        <f t="shared" si="737"/>
        <v>0</v>
      </c>
      <c r="AD2498" s="47">
        <f t="shared" si="738"/>
        <v>0</v>
      </c>
      <c r="AE2498" s="47">
        <f t="shared" si="739"/>
        <v>0</v>
      </c>
      <c r="AG2498" s="47">
        <f t="shared" si="740"/>
        <v>0</v>
      </c>
      <c r="AH2498" s="47">
        <f t="shared" si="741"/>
        <v>0</v>
      </c>
      <c r="AI2498" s="208">
        <f t="shared" si="742"/>
        <v>0</v>
      </c>
    </row>
    <row r="2499" spans="1:35">
      <c r="A2499" t="s">
        <v>2170</v>
      </c>
      <c r="B2499" t="s">
        <v>3286</v>
      </c>
      <c r="C2499" t="s">
        <v>3782</v>
      </c>
      <c r="D2499" t="s">
        <v>6065</v>
      </c>
      <c r="F2499" t="s">
        <v>6066</v>
      </c>
      <c r="G2499" s="126">
        <f>SUMIFS('Support - Transition'!F:F,'Support - Transition'!B:B,'Step 2'!A2499,'Support - Transition'!C:C,'Step 2'!B2499,'Support - Transition'!D:D,'Step 2'!C2499,'Support - Transition'!E:E,"CIVIL")</f>
        <v>0</v>
      </c>
      <c r="H2499" s="126">
        <f>SUMIFS('Support - Transition'!F:F,'Support - Transition'!B:B,'Step 2'!A2499,'Support - Transition'!C:C,'Step 2'!B2499,'Support - Transition'!D:D,'Step 2'!C2499,'Support - Transition'!E:E,"FIRE")</f>
        <v>0</v>
      </c>
      <c r="I2499" s="126">
        <f>IF(B2499="0",SUMIFS('Support - Transition'!F:F,'Support - Transition'!J:J,'Step 2'!D2499,'Support - Transition'!E:E,"STATE UNIT"),SUMIFS('Support - Transition'!F:F,'Support - Transition'!J:J,'Step 2'!D2499))</f>
        <v>0</v>
      </c>
      <c r="J2499" s="126">
        <f>SUMIFS('Support - Unit Adjustments'!E:E,'Support - Unit Adjustments'!F:F,'Step 2'!D2499)</f>
        <v>0</v>
      </c>
      <c r="K2499" s="126">
        <f t="shared" si="745"/>
        <v>0</v>
      </c>
      <c r="L2499" s="174">
        <f>VLOOKUP(A2499,'Step 1'!$A:$E,4,FALSE)</f>
        <v>57220</v>
      </c>
      <c r="M2499" s="47">
        <f t="shared" si="746"/>
        <v>0</v>
      </c>
      <c r="N2499" s="177">
        <f>SUMIFS('Support - Transition'!G:G,'Support - Transition'!J:J,'Step 2'!D2499,'Support - Transition'!E:E,"2009 WELFARE ALLOCATION FACTOR")</f>
        <v>0</v>
      </c>
      <c r="O2499" s="152">
        <f t="shared" ref="O2499:O2562" si="751">ROUND(+N2499*M2499,0)</f>
        <v>0</v>
      </c>
      <c r="P2499" s="126">
        <f>IF(E2499="Y",0,SUMIFS('Support - Transition'!G:G,'Support - Transition'!J:J,'Step 2'!D2499,'Support - Transition'!E:E,"2009 SCHOOL ALLOCATION FACTOR"))</f>
        <v>0</v>
      </c>
      <c r="Q2499" s="126">
        <f>IF(E2499="Y",VLOOKUP(D2499,'Support - Unit Adjustments'!F:G,2,FALSE),0)</f>
        <v>0</v>
      </c>
      <c r="R2499" s="155">
        <f t="shared" si="744"/>
        <v>0</v>
      </c>
      <c r="S2499" s="47">
        <f t="shared" si="743"/>
        <v>0</v>
      </c>
      <c r="T2499" s="151">
        <f t="shared" si="747"/>
        <v>0</v>
      </c>
      <c r="U2499" s="151">
        <f t="shared" si="748"/>
        <v>0</v>
      </c>
      <c r="V2499" s="139">
        <f t="shared" si="749"/>
        <v>0</v>
      </c>
      <c r="W2499" s="152">
        <f t="shared" ref="W2499:W2562" si="752">+T2499-V2499</f>
        <v>0</v>
      </c>
      <c r="X2499" s="127" t="str">
        <f t="shared" si="750"/>
        <v/>
      </c>
      <c r="Y2499" s="207">
        <f t="shared" ref="Y2499:Y2562" si="753">W2499</f>
        <v>0</v>
      </c>
      <c r="Z2499" s="139">
        <f t="shared" ref="Z2499:Z2562" si="754">IFERROR(IF(B2499="2",ROUND(Y2499*G2499/I2499,0),Y2499),0)</f>
        <v>0</v>
      </c>
      <c r="AA2499" s="139">
        <f t="shared" ref="AA2499:AA2562" si="755">+Y2499-Z2499</f>
        <v>0</v>
      </c>
      <c r="AC2499" s="47">
        <f t="shared" ref="AC2499:AC2562" si="756">ROUND(Y2499/2,0)</f>
        <v>0</v>
      </c>
      <c r="AD2499" s="47">
        <f t="shared" ref="AD2499:AD2562" si="757">ROUND(Z2499/2,0)</f>
        <v>0</v>
      </c>
      <c r="AE2499" s="47">
        <f t="shared" ref="AE2499:AE2562" si="758">ROUND(AA2499/2,0)</f>
        <v>0</v>
      </c>
      <c r="AG2499" s="47">
        <f t="shared" ref="AG2499:AG2562" si="759">+Y2499-AC2499</f>
        <v>0</v>
      </c>
      <c r="AH2499" s="47">
        <f t="shared" ref="AH2499:AH2562" si="760">+Z2499-AD2499</f>
        <v>0</v>
      </c>
      <c r="AI2499" s="208">
        <f t="shared" ref="AI2499:AI2562" si="761">+AA2499-AE2499</f>
        <v>0</v>
      </c>
    </row>
    <row r="2500" spans="1:35">
      <c r="A2500" t="s">
        <v>2170</v>
      </c>
      <c r="B2500" t="s">
        <v>3286</v>
      </c>
      <c r="C2500" t="s">
        <v>2417</v>
      </c>
      <c r="D2500" t="s">
        <v>6067</v>
      </c>
      <c r="F2500" t="s">
        <v>6068</v>
      </c>
      <c r="G2500" s="126">
        <f>SUMIFS('Support - Transition'!F:F,'Support - Transition'!B:B,'Step 2'!A2500,'Support - Transition'!C:C,'Step 2'!B2500,'Support - Transition'!D:D,'Step 2'!C2500,'Support - Transition'!E:E,"CIVIL")</f>
        <v>0</v>
      </c>
      <c r="H2500" s="126">
        <f>SUMIFS('Support - Transition'!F:F,'Support - Transition'!B:B,'Step 2'!A2500,'Support - Transition'!C:C,'Step 2'!B2500,'Support - Transition'!D:D,'Step 2'!C2500,'Support - Transition'!E:E,"FIRE")</f>
        <v>0</v>
      </c>
      <c r="I2500" s="126">
        <f>IF(B2500="0",SUMIFS('Support - Transition'!F:F,'Support - Transition'!J:J,'Step 2'!D2500,'Support - Transition'!E:E,"STATE UNIT"),SUMIFS('Support - Transition'!F:F,'Support - Transition'!J:J,'Step 2'!D2500))</f>
        <v>0</v>
      </c>
      <c r="J2500" s="126">
        <f>SUMIFS('Support - Unit Adjustments'!E:E,'Support - Unit Adjustments'!F:F,'Step 2'!D2500)</f>
        <v>0</v>
      </c>
      <c r="K2500" s="126">
        <f t="shared" si="745"/>
        <v>0</v>
      </c>
      <c r="L2500" s="174">
        <f>VLOOKUP(A2500,'Step 1'!$A:$E,4,FALSE)</f>
        <v>57220</v>
      </c>
      <c r="M2500" s="47">
        <f t="shared" si="746"/>
        <v>0</v>
      </c>
      <c r="N2500" s="177">
        <f>SUMIFS('Support - Transition'!G:G,'Support - Transition'!J:J,'Step 2'!D2500,'Support - Transition'!E:E,"2009 WELFARE ALLOCATION FACTOR")</f>
        <v>0</v>
      </c>
      <c r="O2500" s="152">
        <f t="shared" si="751"/>
        <v>0</v>
      </c>
      <c r="P2500" s="126">
        <f>IF(E2500="Y",0,SUMIFS('Support - Transition'!G:G,'Support - Transition'!J:J,'Step 2'!D2500,'Support - Transition'!E:E,"2009 SCHOOL ALLOCATION FACTOR"))</f>
        <v>0</v>
      </c>
      <c r="Q2500" s="126">
        <f>IF(E2500="Y",VLOOKUP(D2500,'Support - Unit Adjustments'!F:G,2,FALSE),0)</f>
        <v>0</v>
      </c>
      <c r="R2500" s="155">
        <f t="shared" si="744"/>
        <v>0</v>
      </c>
      <c r="S2500" s="47">
        <f t="shared" si="743"/>
        <v>0</v>
      </c>
      <c r="T2500" s="151">
        <f t="shared" si="747"/>
        <v>0</v>
      </c>
      <c r="U2500" s="151">
        <f t="shared" si="748"/>
        <v>0</v>
      </c>
      <c r="V2500" s="139">
        <f t="shared" si="749"/>
        <v>0</v>
      </c>
      <c r="W2500" s="152">
        <f t="shared" si="752"/>
        <v>0</v>
      </c>
      <c r="X2500" s="127" t="str">
        <f t="shared" si="750"/>
        <v/>
      </c>
      <c r="Y2500" s="207">
        <f t="shared" si="753"/>
        <v>0</v>
      </c>
      <c r="Z2500" s="139">
        <f t="shared" si="754"/>
        <v>0</v>
      </c>
      <c r="AA2500" s="139">
        <f t="shared" si="755"/>
        <v>0</v>
      </c>
      <c r="AC2500" s="47">
        <f t="shared" si="756"/>
        <v>0</v>
      </c>
      <c r="AD2500" s="47">
        <f t="shared" si="757"/>
        <v>0</v>
      </c>
      <c r="AE2500" s="47">
        <f t="shared" si="758"/>
        <v>0</v>
      </c>
      <c r="AG2500" s="47">
        <f t="shared" si="759"/>
        <v>0</v>
      </c>
      <c r="AH2500" s="47">
        <f t="shared" si="760"/>
        <v>0</v>
      </c>
      <c r="AI2500" s="208">
        <f t="shared" si="761"/>
        <v>0</v>
      </c>
    </row>
    <row r="2501" spans="1:35">
      <c r="A2501" t="s">
        <v>2171</v>
      </c>
      <c r="B2501" s="48" t="s">
        <v>6274</v>
      </c>
      <c r="C2501" t="s">
        <v>2187</v>
      </c>
      <c r="D2501" t="str">
        <f>A2501&amp;B2501&amp;C2501</f>
        <v>8700000</v>
      </c>
      <c r="F2501" t="s">
        <v>6361</v>
      </c>
      <c r="G2501" s="126">
        <f>SUMIFS('Support - Transition'!F:F,'Support - Transition'!B:B,'Step 2'!A2501,'Support - Transition'!C:C,'Step 2'!B2501,'Support - Transition'!D:D,'Step 2'!C2501,'Support - Transition'!E:E,"CIVIL")</f>
        <v>0</v>
      </c>
      <c r="H2501" s="126">
        <f>SUMIFS('Support - Transition'!F:F,'Support - Transition'!B:B,'Step 2'!A2501,'Support - Transition'!C:C,'Step 2'!B2501,'Support - Transition'!D:D,'Step 2'!C2501,'Support - Transition'!E:E,"FIRE")</f>
        <v>0</v>
      </c>
      <c r="I2501" s="126">
        <f>IF(B2501="0",SUMIFS('Support - Transition'!F:F,'Support - Transition'!J:J,'Step 2'!D2501,'Support - Transition'!E:E,"STATE UNIT"),SUMIFS('Support - Transition'!F:F,'Support - Transition'!J:J,'Step 2'!D2501))</f>
        <v>1.3389999999999999E-3</v>
      </c>
      <c r="J2501" s="126">
        <f>SUMIFS('Support - Unit Adjustments'!E:E,'Support - Unit Adjustments'!F:F,'Step 2'!D2501)</f>
        <v>0</v>
      </c>
      <c r="K2501" s="126">
        <f t="shared" si="745"/>
        <v>1.3389999999999999E-3</v>
      </c>
      <c r="L2501" s="174">
        <f>VLOOKUP(A2501,'Step 1'!$A:$E,4,FALSE)</f>
        <v>275697</v>
      </c>
      <c r="M2501" s="47">
        <f t="shared" si="746"/>
        <v>369</v>
      </c>
      <c r="N2501" s="177">
        <f>SUMIFS('Support - Transition'!G:G,'Support - Transition'!J:J,'Step 2'!D2501,'Support - Transition'!E:E,"2009 WELFARE ALLOCATION FACTOR")</f>
        <v>0</v>
      </c>
      <c r="O2501" s="152">
        <f t="shared" si="751"/>
        <v>0</v>
      </c>
      <c r="P2501" s="126">
        <f>IF(E2501="Y",0,SUMIFS('Support - Transition'!G:G,'Support - Transition'!J:J,'Step 2'!D2501,'Support - Transition'!E:E,"2009 SCHOOL ALLOCATION FACTOR"))</f>
        <v>0</v>
      </c>
      <c r="Q2501" s="126">
        <f>IF(E2501="Y",VLOOKUP(D2501,'Support - Unit Adjustments'!F:G,2,FALSE),0)</f>
        <v>0</v>
      </c>
      <c r="R2501" s="155">
        <f t="shared" si="744"/>
        <v>0</v>
      </c>
      <c r="S2501" s="47">
        <f t="shared" si="743"/>
        <v>0</v>
      </c>
      <c r="T2501" s="151">
        <f t="shared" si="747"/>
        <v>369</v>
      </c>
      <c r="U2501" s="151">
        <f t="shared" si="748"/>
        <v>275699</v>
      </c>
      <c r="V2501" s="139">
        <f t="shared" si="749"/>
        <v>2</v>
      </c>
      <c r="W2501" s="152">
        <f t="shared" si="752"/>
        <v>367</v>
      </c>
      <c r="X2501" s="127">
        <f t="shared" si="750"/>
        <v>0</v>
      </c>
      <c r="Y2501" s="207">
        <f t="shared" si="753"/>
        <v>367</v>
      </c>
      <c r="Z2501" s="139">
        <f t="shared" si="754"/>
        <v>367</v>
      </c>
      <c r="AA2501" s="139">
        <f t="shared" si="755"/>
        <v>0</v>
      </c>
      <c r="AC2501" s="47">
        <f t="shared" si="756"/>
        <v>184</v>
      </c>
      <c r="AD2501" s="47">
        <f t="shared" si="757"/>
        <v>184</v>
      </c>
      <c r="AE2501" s="47">
        <f t="shared" si="758"/>
        <v>0</v>
      </c>
      <c r="AG2501" s="47">
        <f t="shared" si="759"/>
        <v>183</v>
      </c>
      <c r="AH2501" s="47">
        <f t="shared" si="760"/>
        <v>183</v>
      </c>
      <c r="AI2501" s="208">
        <f t="shared" si="761"/>
        <v>0</v>
      </c>
    </row>
    <row r="2502" spans="1:35">
      <c r="A2502" t="s">
        <v>2171</v>
      </c>
      <c r="B2502" t="s">
        <v>3140</v>
      </c>
      <c r="C2502" t="s">
        <v>2187</v>
      </c>
      <c r="D2502" t="s">
        <v>6069</v>
      </c>
      <c r="F2502" t="s">
        <v>1780</v>
      </c>
      <c r="G2502" s="126">
        <f>SUMIFS('Support - Transition'!F:F,'Support - Transition'!B:B,'Step 2'!A2502,'Support - Transition'!C:C,'Step 2'!B2502,'Support - Transition'!D:D,'Step 2'!C2502,'Support - Transition'!E:E,"CIVIL")</f>
        <v>0</v>
      </c>
      <c r="H2502" s="126">
        <f>SUMIFS('Support - Transition'!F:F,'Support - Transition'!B:B,'Step 2'!A2502,'Support - Transition'!C:C,'Step 2'!B2502,'Support - Transition'!D:D,'Step 2'!C2502,'Support - Transition'!E:E,"FIRE")</f>
        <v>0</v>
      </c>
      <c r="I2502" s="126">
        <f>IF(B2502="0",SUMIFS('Support - Transition'!F:F,'Support - Transition'!J:J,'Step 2'!D2502,'Support - Transition'!E:E,"STATE UNIT"),SUMIFS('Support - Transition'!F:F,'Support - Transition'!J:J,'Step 2'!D2502))</f>
        <v>0.22764699999999999</v>
      </c>
      <c r="J2502" s="126">
        <f>SUMIFS('Support - Unit Adjustments'!E:E,'Support - Unit Adjustments'!F:F,'Step 2'!D2502)</f>
        <v>0</v>
      </c>
      <c r="K2502" s="126">
        <f t="shared" si="745"/>
        <v>0.22764699999999999</v>
      </c>
      <c r="L2502" s="174">
        <f>VLOOKUP(A2502,'Step 1'!$A:$E,4,FALSE)</f>
        <v>275697</v>
      </c>
      <c r="M2502" s="47">
        <f t="shared" si="746"/>
        <v>62762</v>
      </c>
      <c r="N2502" s="177">
        <f>SUMIFS('Support - Transition'!G:G,'Support - Transition'!J:J,'Step 2'!D2502,'Support - Transition'!E:E,"2009 WELFARE ALLOCATION FACTOR")</f>
        <v>0.11051999999999999</v>
      </c>
      <c r="O2502" s="152">
        <f t="shared" si="751"/>
        <v>6936</v>
      </c>
      <c r="P2502" s="126">
        <f>IF(E2502="Y",0,SUMIFS('Support - Transition'!G:G,'Support - Transition'!J:J,'Step 2'!D2502,'Support - Transition'!E:E,"2009 SCHOOL ALLOCATION FACTOR"))</f>
        <v>0</v>
      </c>
      <c r="Q2502" s="126">
        <f>IF(E2502="Y",VLOOKUP(D2502,'Support - Unit Adjustments'!F:G,2,FALSE),0)</f>
        <v>0</v>
      </c>
      <c r="R2502" s="155">
        <f t="shared" si="744"/>
        <v>0</v>
      </c>
      <c r="S2502" s="47">
        <f t="shared" si="743"/>
        <v>0</v>
      </c>
      <c r="T2502" s="151">
        <f t="shared" si="747"/>
        <v>55826</v>
      </c>
      <c r="U2502" s="151">
        <f t="shared" si="748"/>
        <v>0</v>
      </c>
      <c r="V2502" s="139">
        <f t="shared" si="749"/>
        <v>0</v>
      </c>
      <c r="W2502" s="152">
        <f t="shared" si="752"/>
        <v>55826</v>
      </c>
      <c r="X2502" s="127" t="str">
        <f t="shared" si="750"/>
        <v/>
      </c>
      <c r="Y2502" s="207">
        <f t="shared" si="753"/>
        <v>55826</v>
      </c>
      <c r="Z2502" s="139">
        <f t="shared" si="754"/>
        <v>55826</v>
      </c>
      <c r="AA2502" s="139">
        <f t="shared" si="755"/>
        <v>0</v>
      </c>
      <c r="AC2502" s="47">
        <f t="shared" si="756"/>
        <v>27913</v>
      </c>
      <c r="AD2502" s="47">
        <f t="shared" si="757"/>
        <v>27913</v>
      </c>
      <c r="AE2502" s="47">
        <f t="shared" si="758"/>
        <v>0</v>
      </c>
      <c r="AG2502" s="47">
        <f t="shared" si="759"/>
        <v>27913</v>
      </c>
      <c r="AH2502" s="47">
        <f t="shared" si="760"/>
        <v>27913</v>
      </c>
      <c r="AI2502" s="208">
        <f t="shared" si="761"/>
        <v>0</v>
      </c>
    </row>
    <row r="2503" spans="1:35">
      <c r="A2503" t="s">
        <v>2171</v>
      </c>
      <c r="B2503" t="s">
        <v>3142</v>
      </c>
      <c r="C2503" t="s">
        <v>2188</v>
      </c>
      <c r="D2503" t="s">
        <v>6070</v>
      </c>
      <c r="F2503" t="s">
        <v>1122</v>
      </c>
      <c r="G2503" s="126">
        <f>SUMIFS('Support - Transition'!F:F,'Support - Transition'!B:B,'Step 2'!A2503,'Support - Transition'!C:C,'Step 2'!B2503,'Support - Transition'!D:D,'Step 2'!C2503,'Support - Transition'!E:E,"CIVIL")</f>
        <v>4.5600000000000003E-4</v>
      </c>
      <c r="H2503" s="126">
        <f>SUMIFS('Support - Transition'!F:F,'Support - Transition'!B:B,'Step 2'!A2503,'Support - Transition'!C:C,'Step 2'!B2503,'Support - Transition'!D:D,'Step 2'!C2503,'Support - Transition'!E:E,"FIRE")</f>
        <v>3.3399999999999999E-4</v>
      </c>
      <c r="I2503" s="126">
        <f>IF(B2503="0",SUMIFS('Support - Transition'!F:F,'Support - Transition'!J:J,'Step 2'!D2503,'Support - Transition'!E:E,"STATE UNIT"),SUMIFS('Support - Transition'!F:F,'Support - Transition'!J:J,'Step 2'!D2503))</f>
        <v>7.9000000000000001E-4</v>
      </c>
      <c r="J2503" s="126">
        <f>SUMIFS('Support - Unit Adjustments'!E:E,'Support - Unit Adjustments'!F:F,'Step 2'!D2503)</f>
        <v>0</v>
      </c>
      <c r="K2503" s="126">
        <f t="shared" si="745"/>
        <v>7.9000000000000001E-4</v>
      </c>
      <c r="L2503" s="174">
        <f>VLOOKUP(A2503,'Step 1'!$A:$E,4,FALSE)</f>
        <v>275697</v>
      </c>
      <c r="M2503" s="47">
        <f t="shared" si="746"/>
        <v>218</v>
      </c>
      <c r="N2503" s="177">
        <f>SUMIFS('Support - Transition'!G:G,'Support - Transition'!J:J,'Step 2'!D2503,'Support - Transition'!E:E,"2009 WELFARE ALLOCATION FACTOR")</f>
        <v>0</v>
      </c>
      <c r="O2503" s="152">
        <f t="shared" si="751"/>
        <v>0</v>
      </c>
      <c r="P2503" s="126">
        <f>IF(E2503="Y",0,SUMIFS('Support - Transition'!G:G,'Support - Transition'!J:J,'Step 2'!D2503,'Support - Transition'!E:E,"2009 SCHOOL ALLOCATION FACTOR"))</f>
        <v>0</v>
      </c>
      <c r="Q2503" s="126">
        <f>IF(E2503="Y",VLOOKUP(D2503,'Support - Unit Adjustments'!F:G,2,FALSE),0)</f>
        <v>0</v>
      </c>
      <c r="R2503" s="155">
        <f t="shared" si="744"/>
        <v>0</v>
      </c>
      <c r="S2503" s="47">
        <f t="shared" si="743"/>
        <v>0</v>
      </c>
      <c r="T2503" s="151">
        <f t="shared" si="747"/>
        <v>218</v>
      </c>
      <c r="U2503" s="151">
        <f t="shared" si="748"/>
        <v>0</v>
      </c>
      <c r="V2503" s="139">
        <f t="shared" si="749"/>
        <v>0</v>
      </c>
      <c r="W2503" s="152">
        <f t="shared" si="752"/>
        <v>218</v>
      </c>
      <c r="X2503" s="127" t="str">
        <f t="shared" si="750"/>
        <v/>
      </c>
      <c r="Y2503" s="207">
        <f t="shared" si="753"/>
        <v>218</v>
      </c>
      <c r="Z2503" s="139">
        <f t="shared" si="754"/>
        <v>126</v>
      </c>
      <c r="AA2503" s="139">
        <f t="shared" si="755"/>
        <v>92</v>
      </c>
      <c r="AC2503" s="47">
        <f t="shared" si="756"/>
        <v>109</v>
      </c>
      <c r="AD2503" s="47">
        <f t="shared" si="757"/>
        <v>63</v>
      </c>
      <c r="AE2503" s="47">
        <f t="shared" si="758"/>
        <v>46</v>
      </c>
      <c r="AG2503" s="47">
        <f t="shared" si="759"/>
        <v>109</v>
      </c>
      <c r="AH2503" s="47">
        <f t="shared" si="760"/>
        <v>63</v>
      </c>
      <c r="AI2503" s="208">
        <f t="shared" si="761"/>
        <v>46</v>
      </c>
    </row>
    <row r="2504" spans="1:35">
      <c r="A2504" t="s">
        <v>2171</v>
      </c>
      <c r="B2504" t="s">
        <v>3142</v>
      </c>
      <c r="C2504" t="s">
        <v>2189</v>
      </c>
      <c r="D2504" t="s">
        <v>6071</v>
      </c>
      <c r="F2504" t="s">
        <v>1781</v>
      </c>
      <c r="G2504" s="126">
        <f>SUMIFS('Support - Transition'!F:F,'Support - Transition'!B:B,'Step 2'!A2504,'Support - Transition'!C:C,'Step 2'!B2504,'Support - Transition'!D:D,'Step 2'!C2504,'Support - Transition'!E:E,"CIVIL")</f>
        <v>6.2009999999999999E-3</v>
      </c>
      <c r="H2504" s="126">
        <f>SUMIFS('Support - Transition'!F:F,'Support - Transition'!B:B,'Step 2'!A2504,'Support - Transition'!C:C,'Step 2'!B2504,'Support - Transition'!D:D,'Step 2'!C2504,'Support - Transition'!E:E,"FIRE")</f>
        <v>4.5019999999999999E-3</v>
      </c>
      <c r="I2504" s="126">
        <f>IF(B2504="0",SUMIFS('Support - Transition'!F:F,'Support - Transition'!J:J,'Step 2'!D2504,'Support - Transition'!E:E,"STATE UNIT"),SUMIFS('Support - Transition'!F:F,'Support - Transition'!J:J,'Step 2'!D2504))</f>
        <v>1.0703000000000001E-2</v>
      </c>
      <c r="J2504" s="126">
        <f>SUMIFS('Support - Unit Adjustments'!E:E,'Support - Unit Adjustments'!F:F,'Step 2'!D2504)</f>
        <v>0</v>
      </c>
      <c r="K2504" s="126">
        <f t="shared" si="745"/>
        <v>1.0703000000000001E-2</v>
      </c>
      <c r="L2504" s="174">
        <f>VLOOKUP(A2504,'Step 1'!$A:$E,4,FALSE)</f>
        <v>275697</v>
      </c>
      <c r="M2504" s="47">
        <f t="shared" si="746"/>
        <v>2951</v>
      </c>
      <c r="N2504" s="177">
        <f>SUMIFS('Support - Transition'!G:G,'Support - Transition'!J:J,'Step 2'!D2504,'Support - Transition'!E:E,"2009 WELFARE ALLOCATION FACTOR")</f>
        <v>0</v>
      </c>
      <c r="O2504" s="152">
        <f t="shared" si="751"/>
        <v>0</v>
      </c>
      <c r="P2504" s="126">
        <f>IF(E2504="Y",0,SUMIFS('Support - Transition'!G:G,'Support - Transition'!J:J,'Step 2'!D2504,'Support - Transition'!E:E,"2009 SCHOOL ALLOCATION FACTOR"))</f>
        <v>0</v>
      </c>
      <c r="Q2504" s="126">
        <f>IF(E2504="Y",VLOOKUP(D2504,'Support - Unit Adjustments'!F:G,2,FALSE),0)</f>
        <v>0</v>
      </c>
      <c r="R2504" s="155">
        <f t="shared" si="744"/>
        <v>0</v>
      </c>
      <c r="S2504" s="47">
        <f t="shared" ref="S2504:S2567" si="762">ROUND(+R2504*M2504,0)</f>
        <v>0</v>
      </c>
      <c r="T2504" s="151">
        <f t="shared" si="747"/>
        <v>2951</v>
      </c>
      <c r="U2504" s="151">
        <f t="shared" si="748"/>
        <v>0</v>
      </c>
      <c r="V2504" s="139">
        <f t="shared" si="749"/>
        <v>0</v>
      </c>
      <c r="W2504" s="152">
        <f t="shared" si="752"/>
        <v>2951</v>
      </c>
      <c r="X2504" s="127" t="str">
        <f t="shared" si="750"/>
        <v/>
      </c>
      <c r="Y2504" s="207">
        <f t="shared" si="753"/>
        <v>2951</v>
      </c>
      <c r="Z2504" s="139">
        <f t="shared" si="754"/>
        <v>1710</v>
      </c>
      <c r="AA2504" s="139">
        <f t="shared" si="755"/>
        <v>1241</v>
      </c>
      <c r="AC2504" s="47">
        <f t="shared" si="756"/>
        <v>1476</v>
      </c>
      <c r="AD2504" s="47">
        <f t="shared" si="757"/>
        <v>855</v>
      </c>
      <c r="AE2504" s="47">
        <f t="shared" si="758"/>
        <v>621</v>
      </c>
      <c r="AG2504" s="47">
        <f t="shared" si="759"/>
        <v>1475</v>
      </c>
      <c r="AH2504" s="47">
        <f t="shared" si="760"/>
        <v>855</v>
      </c>
      <c r="AI2504" s="208">
        <f t="shared" si="761"/>
        <v>620</v>
      </c>
    </row>
    <row r="2505" spans="1:35">
      <c r="A2505" t="s">
        <v>2171</v>
      </c>
      <c r="B2505" t="s">
        <v>3142</v>
      </c>
      <c r="C2505" t="s">
        <v>2190</v>
      </c>
      <c r="D2505" t="s">
        <v>6072</v>
      </c>
      <c r="F2505" t="s">
        <v>885</v>
      </c>
      <c r="G2505" s="126">
        <f>SUMIFS('Support - Transition'!F:F,'Support - Transition'!B:B,'Step 2'!A2505,'Support - Transition'!C:C,'Step 2'!B2505,'Support - Transition'!D:D,'Step 2'!C2505,'Support - Transition'!E:E,"CIVIL")</f>
        <v>1.75E-4</v>
      </c>
      <c r="H2505" s="126">
        <f>SUMIFS('Support - Transition'!F:F,'Support - Transition'!B:B,'Step 2'!A2505,'Support - Transition'!C:C,'Step 2'!B2505,'Support - Transition'!D:D,'Step 2'!C2505,'Support - Transition'!E:E,"FIRE")</f>
        <v>6.0000000000000002E-5</v>
      </c>
      <c r="I2505" s="126">
        <f>IF(B2505="0",SUMIFS('Support - Transition'!F:F,'Support - Transition'!J:J,'Step 2'!D2505,'Support - Transition'!E:E,"STATE UNIT"),SUMIFS('Support - Transition'!F:F,'Support - Transition'!J:J,'Step 2'!D2505))</f>
        <v>2.3499999999999999E-4</v>
      </c>
      <c r="J2505" s="126">
        <f>SUMIFS('Support - Unit Adjustments'!E:E,'Support - Unit Adjustments'!F:F,'Step 2'!D2505)</f>
        <v>0</v>
      </c>
      <c r="K2505" s="126">
        <f t="shared" si="745"/>
        <v>2.3499999999999999E-4</v>
      </c>
      <c r="L2505" s="174">
        <f>VLOOKUP(A2505,'Step 1'!$A:$E,4,FALSE)</f>
        <v>275697</v>
      </c>
      <c r="M2505" s="47">
        <f t="shared" si="746"/>
        <v>65</v>
      </c>
      <c r="N2505" s="177">
        <f>SUMIFS('Support - Transition'!G:G,'Support - Transition'!J:J,'Step 2'!D2505,'Support - Transition'!E:E,"2009 WELFARE ALLOCATION FACTOR")</f>
        <v>0</v>
      </c>
      <c r="O2505" s="152">
        <f t="shared" si="751"/>
        <v>0</v>
      </c>
      <c r="P2505" s="126">
        <f>IF(E2505="Y",0,SUMIFS('Support - Transition'!G:G,'Support - Transition'!J:J,'Step 2'!D2505,'Support - Transition'!E:E,"2009 SCHOOL ALLOCATION FACTOR"))</f>
        <v>0</v>
      </c>
      <c r="Q2505" s="126">
        <f>IF(E2505="Y",VLOOKUP(D2505,'Support - Unit Adjustments'!F:G,2,FALSE),0)</f>
        <v>0</v>
      </c>
      <c r="R2505" s="155">
        <f t="shared" ref="R2505:R2568" si="763">+P2505+Q2505</f>
        <v>0</v>
      </c>
      <c r="S2505" s="47">
        <f t="shared" si="762"/>
        <v>0</v>
      </c>
      <c r="T2505" s="151">
        <f t="shared" si="747"/>
        <v>65</v>
      </c>
      <c r="U2505" s="151">
        <f t="shared" si="748"/>
        <v>0</v>
      </c>
      <c r="V2505" s="139">
        <f t="shared" si="749"/>
        <v>0</v>
      </c>
      <c r="W2505" s="152">
        <f t="shared" si="752"/>
        <v>65</v>
      </c>
      <c r="X2505" s="127" t="str">
        <f t="shared" si="750"/>
        <v/>
      </c>
      <c r="Y2505" s="207">
        <f t="shared" si="753"/>
        <v>65</v>
      </c>
      <c r="Z2505" s="139">
        <f t="shared" si="754"/>
        <v>48</v>
      </c>
      <c r="AA2505" s="139">
        <f t="shared" si="755"/>
        <v>17</v>
      </c>
      <c r="AC2505" s="47">
        <f t="shared" si="756"/>
        <v>33</v>
      </c>
      <c r="AD2505" s="47">
        <f t="shared" si="757"/>
        <v>24</v>
      </c>
      <c r="AE2505" s="47">
        <f t="shared" si="758"/>
        <v>9</v>
      </c>
      <c r="AG2505" s="47">
        <f t="shared" si="759"/>
        <v>32</v>
      </c>
      <c r="AH2505" s="47">
        <f t="shared" si="760"/>
        <v>24</v>
      </c>
      <c r="AI2505" s="208">
        <f t="shared" si="761"/>
        <v>8</v>
      </c>
    </row>
    <row r="2506" spans="1:35">
      <c r="A2506" t="s">
        <v>2171</v>
      </c>
      <c r="B2506" t="s">
        <v>3142</v>
      </c>
      <c r="C2506" t="s">
        <v>2191</v>
      </c>
      <c r="D2506" t="s">
        <v>6073</v>
      </c>
      <c r="F2506" t="s">
        <v>1782</v>
      </c>
      <c r="G2506" s="126">
        <f>SUMIFS('Support - Transition'!F:F,'Support - Transition'!B:B,'Step 2'!A2506,'Support - Transition'!C:C,'Step 2'!B2506,'Support - Transition'!D:D,'Step 2'!C2506,'Support - Transition'!E:E,"CIVIL")</f>
        <v>2.036E-3</v>
      </c>
      <c r="H2506" s="126">
        <f>SUMIFS('Support - Transition'!F:F,'Support - Transition'!B:B,'Step 2'!A2506,'Support - Transition'!C:C,'Step 2'!B2506,'Support - Transition'!D:D,'Step 2'!C2506,'Support - Transition'!E:E,"FIRE")</f>
        <v>4.3600000000000003E-4</v>
      </c>
      <c r="I2506" s="126">
        <f>IF(B2506="0",SUMIFS('Support - Transition'!F:F,'Support - Transition'!J:J,'Step 2'!D2506,'Support - Transition'!E:E,"STATE UNIT"),SUMIFS('Support - Transition'!F:F,'Support - Transition'!J:J,'Step 2'!D2506))</f>
        <v>2.4720000000000002E-3</v>
      </c>
      <c r="J2506" s="126">
        <f>SUMIFS('Support - Unit Adjustments'!E:E,'Support - Unit Adjustments'!F:F,'Step 2'!D2506)</f>
        <v>0</v>
      </c>
      <c r="K2506" s="126">
        <f t="shared" si="745"/>
        <v>2.4720000000000002E-3</v>
      </c>
      <c r="L2506" s="174">
        <f>VLOOKUP(A2506,'Step 1'!$A:$E,4,FALSE)</f>
        <v>275697</v>
      </c>
      <c r="M2506" s="47">
        <f t="shared" si="746"/>
        <v>682</v>
      </c>
      <c r="N2506" s="177">
        <f>SUMIFS('Support - Transition'!G:G,'Support - Transition'!J:J,'Step 2'!D2506,'Support - Transition'!E:E,"2009 WELFARE ALLOCATION FACTOR")</f>
        <v>0</v>
      </c>
      <c r="O2506" s="152">
        <f t="shared" si="751"/>
        <v>0</v>
      </c>
      <c r="P2506" s="126">
        <f>IF(E2506="Y",0,SUMIFS('Support - Transition'!G:G,'Support - Transition'!J:J,'Step 2'!D2506,'Support - Transition'!E:E,"2009 SCHOOL ALLOCATION FACTOR"))</f>
        <v>0</v>
      </c>
      <c r="Q2506" s="126">
        <f>IF(E2506="Y",VLOOKUP(D2506,'Support - Unit Adjustments'!F:G,2,FALSE),0)</f>
        <v>0</v>
      </c>
      <c r="R2506" s="155">
        <f t="shared" si="763"/>
        <v>0</v>
      </c>
      <c r="S2506" s="47">
        <f t="shared" si="762"/>
        <v>0</v>
      </c>
      <c r="T2506" s="151">
        <f t="shared" si="747"/>
        <v>682</v>
      </c>
      <c r="U2506" s="151">
        <f t="shared" si="748"/>
        <v>0</v>
      </c>
      <c r="V2506" s="139">
        <f t="shared" si="749"/>
        <v>0</v>
      </c>
      <c r="W2506" s="152">
        <f t="shared" si="752"/>
        <v>682</v>
      </c>
      <c r="X2506" s="127" t="str">
        <f t="shared" si="750"/>
        <v/>
      </c>
      <c r="Y2506" s="207">
        <f t="shared" si="753"/>
        <v>682</v>
      </c>
      <c r="Z2506" s="139">
        <f t="shared" si="754"/>
        <v>562</v>
      </c>
      <c r="AA2506" s="139">
        <f t="shared" si="755"/>
        <v>120</v>
      </c>
      <c r="AC2506" s="47">
        <f t="shared" si="756"/>
        <v>341</v>
      </c>
      <c r="AD2506" s="47">
        <f t="shared" si="757"/>
        <v>281</v>
      </c>
      <c r="AE2506" s="47">
        <f t="shared" si="758"/>
        <v>60</v>
      </c>
      <c r="AG2506" s="47">
        <f t="shared" si="759"/>
        <v>341</v>
      </c>
      <c r="AH2506" s="47">
        <f t="shared" si="760"/>
        <v>281</v>
      </c>
      <c r="AI2506" s="208">
        <f t="shared" si="761"/>
        <v>60</v>
      </c>
    </row>
    <row r="2507" spans="1:35">
      <c r="A2507" t="s">
        <v>2171</v>
      </c>
      <c r="B2507" t="s">
        <v>3142</v>
      </c>
      <c r="C2507" t="s">
        <v>2192</v>
      </c>
      <c r="D2507" t="s">
        <v>6074</v>
      </c>
      <c r="F2507" t="s">
        <v>1783</v>
      </c>
      <c r="G2507" s="126">
        <f>SUMIFS('Support - Transition'!F:F,'Support - Transition'!B:B,'Step 2'!A2507,'Support - Transition'!C:C,'Step 2'!B2507,'Support - Transition'!D:D,'Step 2'!C2507,'Support - Transition'!E:E,"CIVIL")</f>
        <v>1.7819999999999999E-3</v>
      </c>
      <c r="H2507" s="126">
        <f>SUMIFS('Support - Transition'!F:F,'Support - Transition'!B:B,'Step 2'!A2507,'Support - Transition'!C:C,'Step 2'!B2507,'Support - Transition'!D:D,'Step 2'!C2507,'Support - Transition'!E:E,"FIRE")</f>
        <v>1.3780000000000001E-3</v>
      </c>
      <c r="I2507" s="126">
        <f>IF(B2507="0",SUMIFS('Support - Transition'!F:F,'Support - Transition'!J:J,'Step 2'!D2507,'Support - Transition'!E:E,"STATE UNIT"),SUMIFS('Support - Transition'!F:F,'Support - Transition'!J:J,'Step 2'!D2507))</f>
        <v>3.16E-3</v>
      </c>
      <c r="J2507" s="126">
        <f>SUMIFS('Support - Unit Adjustments'!E:E,'Support - Unit Adjustments'!F:F,'Step 2'!D2507)</f>
        <v>0</v>
      </c>
      <c r="K2507" s="126">
        <f t="shared" si="745"/>
        <v>3.16E-3</v>
      </c>
      <c r="L2507" s="174">
        <f>VLOOKUP(A2507,'Step 1'!$A:$E,4,FALSE)</f>
        <v>275697</v>
      </c>
      <c r="M2507" s="47">
        <f t="shared" si="746"/>
        <v>871</v>
      </c>
      <c r="N2507" s="177">
        <f>SUMIFS('Support - Transition'!G:G,'Support - Transition'!J:J,'Step 2'!D2507,'Support - Transition'!E:E,"2009 WELFARE ALLOCATION FACTOR")</f>
        <v>0</v>
      </c>
      <c r="O2507" s="152">
        <f t="shared" si="751"/>
        <v>0</v>
      </c>
      <c r="P2507" s="126">
        <f>IF(E2507="Y",0,SUMIFS('Support - Transition'!G:G,'Support - Transition'!J:J,'Step 2'!D2507,'Support - Transition'!E:E,"2009 SCHOOL ALLOCATION FACTOR"))</f>
        <v>0</v>
      </c>
      <c r="Q2507" s="126">
        <f>IF(E2507="Y",VLOOKUP(D2507,'Support - Unit Adjustments'!F:G,2,FALSE),0)</f>
        <v>0</v>
      </c>
      <c r="R2507" s="155">
        <f t="shared" si="763"/>
        <v>0</v>
      </c>
      <c r="S2507" s="47">
        <f t="shared" si="762"/>
        <v>0</v>
      </c>
      <c r="T2507" s="151">
        <f t="shared" si="747"/>
        <v>871</v>
      </c>
      <c r="U2507" s="151">
        <f t="shared" si="748"/>
        <v>0</v>
      </c>
      <c r="V2507" s="139">
        <f t="shared" si="749"/>
        <v>0</v>
      </c>
      <c r="W2507" s="152">
        <f t="shared" si="752"/>
        <v>871</v>
      </c>
      <c r="X2507" s="127" t="str">
        <f t="shared" si="750"/>
        <v/>
      </c>
      <c r="Y2507" s="207">
        <f t="shared" si="753"/>
        <v>871</v>
      </c>
      <c r="Z2507" s="139">
        <f t="shared" si="754"/>
        <v>491</v>
      </c>
      <c r="AA2507" s="139">
        <f t="shared" si="755"/>
        <v>380</v>
      </c>
      <c r="AC2507" s="47">
        <f t="shared" si="756"/>
        <v>436</v>
      </c>
      <c r="AD2507" s="47">
        <f t="shared" si="757"/>
        <v>246</v>
      </c>
      <c r="AE2507" s="47">
        <f t="shared" si="758"/>
        <v>190</v>
      </c>
      <c r="AG2507" s="47">
        <f t="shared" si="759"/>
        <v>435</v>
      </c>
      <c r="AH2507" s="47">
        <f t="shared" si="760"/>
        <v>245</v>
      </c>
      <c r="AI2507" s="208">
        <f t="shared" si="761"/>
        <v>190</v>
      </c>
    </row>
    <row r="2508" spans="1:35">
      <c r="A2508" t="s">
        <v>2171</v>
      </c>
      <c r="B2508" t="s">
        <v>3142</v>
      </c>
      <c r="C2508" t="s">
        <v>2193</v>
      </c>
      <c r="D2508" t="s">
        <v>6075</v>
      </c>
      <c r="F2508" t="s">
        <v>1784</v>
      </c>
      <c r="G2508" s="126">
        <f>SUMIFS('Support - Transition'!F:F,'Support - Transition'!B:B,'Step 2'!A2508,'Support - Transition'!C:C,'Step 2'!B2508,'Support - Transition'!D:D,'Step 2'!C2508,'Support - Transition'!E:E,"CIVIL")</f>
        <v>2.5999999999999998E-5</v>
      </c>
      <c r="H2508" s="126">
        <f>SUMIFS('Support - Transition'!F:F,'Support - Transition'!B:B,'Step 2'!A2508,'Support - Transition'!C:C,'Step 2'!B2508,'Support - Transition'!D:D,'Step 2'!C2508,'Support - Transition'!E:E,"FIRE")</f>
        <v>1.7E-5</v>
      </c>
      <c r="I2508" s="126">
        <f>IF(B2508="0",SUMIFS('Support - Transition'!F:F,'Support - Transition'!J:J,'Step 2'!D2508,'Support - Transition'!E:E,"STATE UNIT"),SUMIFS('Support - Transition'!F:F,'Support - Transition'!J:J,'Step 2'!D2508))</f>
        <v>4.3000000000000002E-5</v>
      </c>
      <c r="J2508" s="126">
        <f>SUMIFS('Support - Unit Adjustments'!E:E,'Support - Unit Adjustments'!F:F,'Step 2'!D2508)</f>
        <v>0</v>
      </c>
      <c r="K2508" s="126">
        <f t="shared" si="745"/>
        <v>4.3000000000000002E-5</v>
      </c>
      <c r="L2508" s="174">
        <f>VLOOKUP(A2508,'Step 1'!$A:$E,4,FALSE)</f>
        <v>275697</v>
      </c>
      <c r="M2508" s="47">
        <f t="shared" si="746"/>
        <v>12</v>
      </c>
      <c r="N2508" s="177">
        <f>SUMIFS('Support - Transition'!G:G,'Support - Transition'!J:J,'Step 2'!D2508,'Support - Transition'!E:E,"2009 WELFARE ALLOCATION FACTOR")</f>
        <v>0</v>
      </c>
      <c r="O2508" s="152">
        <f t="shared" si="751"/>
        <v>0</v>
      </c>
      <c r="P2508" s="126">
        <f>IF(E2508="Y",0,SUMIFS('Support - Transition'!G:G,'Support - Transition'!J:J,'Step 2'!D2508,'Support - Transition'!E:E,"2009 SCHOOL ALLOCATION FACTOR"))</f>
        <v>0</v>
      </c>
      <c r="Q2508" s="126">
        <f>IF(E2508="Y",VLOOKUP(D2508,'Support - Unit Adjustments'!F:G,2,FALSE),0)</f>
        <v>0</v>
      </c>
      <c r="R2508" s="155">
        <f t="shared" si="763"/>
        <v>0</v>
      </c>
      <c r="S2508" s="47">
        <f t="shared" si="762"/>
        <v>0</v>
      </c>
      <c r="T2508" s="151">
        <f t="shared" si="747"/>
        <v>12</v>
      </c>
      <c r="U2508" s="151">
        <f t="shared" si="748"/>
        <v>0</v>
      </c>
      <c r="V2508" s="139">
        <f t="shared" si="749"/>
        <v>0</v>
      </c>
      <c r="W2508" s="152">
        <f t="shared" si="752"/>
        <v>12</v>
      </c>
      <c r="X2508" s="127" t="str">
        <f t="shared" si="750"/>
        <v/>
      </c>
      <c r="Y2508" s="207">
        <f t="shared" si="753"/>
        <v>12</v>
      </c>
      <c r="Z2508" s="139">
        <f t="shared" si="754"/>
        <v>7</v>
      </c>
      <c r="AA2508" s="139">
        <f t="shared" si="755"/>
        <v>5</v>
      </c>
      <c r="AC2508" s="47">
        <f t="shared" si="756"/>
        <v>6</v>
      </c>
      <c r="AD2508" s="47">
        <f t="shared" si="757"/>
        <v>4</v>
      </c>
      <c r="AE2508" s="47">
        <f t="shared" si="758"/>
        <v>3</v>
      </c>
      <c r="AG2508" s="47">
        <f t="shared" si="759"/>
        <v>6</v>
      </c>
      <c r="AH2508" s="47">
        <f t="shared" si="760"/>
        <v>3</v>
      </c>
      <c r="AI2508" s="208">
        <f t="shared" si="761"/>
        <v>2</v>
      </c>
    </row>
    <row r="2509" spans="1:35">
      <c r="A2509" t="s">
        <v>2171</v>
      </c>
      <c r="B2509" t="s">
        <v>3142</v>
      </c>
      <c r="C2509" t="s">
        <v>2194</v>
      </c>
      <c r="D2509" t="s">
        <v>6076</v>
      </c>
      <c r="F2509" t="s">
        <v>88</v>
      </c>
      <c r="G2509" s="126">
        <f>SUMIFS('Support - Transition'!F:F,'Support - Transition'!B:B,'Step 2'!A2509,'Support - Transition'!C:C,'Step 2'!B2509,'Support - Transition'!D:D,'Step 2'!C2509,'Support - Transition'!E:E,"CIVIL")</f>
        <v>4.8960000000000002E-3</v>
      </c>
      <c r="H2509" s="126">
        <f>SUMIFS('Support - Transition'!F:F,'Support - Transition'!B:B,'Step 2'!A2509,'Support - Transition'!C:C,'Step 2'!B2509,'Support - Transition'!D:D,'Step 2'!C2509,'Support - Transition'!E:E,"FIRE")</f>
        <v>7.1999999999999998E-3</v>
      </c>
      <c r="I2509" s="126">
        <f>IF(B2509="0",SUMIFS('Support - Transition'!F:F,'Support - Transition'!J:J,'Step 2'!D2509,'Support - Transition'!E:E,"STATE UNIT"),SUMIFS('Support - Transition'!F:F,'Support - Transition'!J:J,'Step 2'!D2509))</f>
        <v>1.2095999999999999E-2</v>
      </c>
      <c r="J2509" s="126">
        <f>SUMIFS('Support - Unit Adjustments'!E:E,'Support - Unit Adjustments'!F:F,'Step 2'!D2509)</f>
        <v>0</v>
      </c>
      <c r="K2509" s="126">
        <f t="shared" si="745"/>
        <v>1.2095999999999999E-2</v>
      </c>
      <c r="L2509" s="174">
        <f>VLOOKUP(A2509,'Step 1'!$A:$E,4,FALSE)</f>
        <v>275697</v>
      </c>
      <c r="M2509" s="47">
        <f t="shared" si="746"/>
        <v>3335</v>
      </c>
      <c r="N2509" s="177">
        <f>SUMIFS('Support - Transition'!G:G,'Support - Transition'!J:J,'Step 2'!D2509,'Support - Transition'!E:E,"2009 WELFARE ALLOCATION FACTOR")</f>
        <v>0</v>
      </c>
      <c r="O2509" s="152">
        <f t="shared" si="751"/>
        <v>0</v>
      </c>
      <c r="P2509" s="126">
        <f>IF(E2509="Y",0,SUMIFS('Support - Transition'!G:G,'Support - Transition'!J:J,'Step 2'!D2509,'Support - Transition'!E:E,"2009 SCHOOL ALLOCATION FACTOR"))</f>
        <v>0</v>
      </c>
      <c r="Q2509" s="126">
        <f>IF(E2509="Y",VLOOKUP(D2509,'Support - Unit Adjustments'!F:G,2,FALSE),0)</f>
        <v>0</v>
      </c>
      <c r="R2509" s="155">
        <f t="shared" si="763"/>
        <v>0</v>
      </c>
      <c r="S2509" s="47">
        <f t="shared" si="762"/>
        <v>0</v>
      </c>
      <c r="T2509" s="151">
        <f t="shared" si="747"/>
        <v>3335</v>
      </c>
      <c r="U2509" s="151">
        <f t="shared" si="748"/>
        <v>0</v>
      </c>
      <c r="V2509" s="139">
        <f t="shared" si="749"/>
        <v>0</v>
      </c>
      <c r="W2509" s="152">
        <f t="shared" si="752"/>
        <v>3335</v>
      </c>
      <c r="X2509" s="127" t="str">
        <f t="shared" si="750"/>
        <v/>
      </c>
      <c r="Y2509" s="207">
        <f t="shared" si="753"/>
        <v>3335</v>
      </c>
      <c r="Z2509" s="139">
        <f t="shared" si="754"/>
        <v>1350</v>
      </c>
      <c r="AA2509" s="139">
        <f t="shared" si="755"/>
        <v>1985</v>
      </c>
      <c r="AC2509" s="47">
        <f t="shared" si="756"/>
        <v>1668</v>
      </c>
      <c r="AD2509" s="47">
        <f t="shared" si="757"/>
        <v>675</v>
      </c>
      <c r="AE2509" s="47">
        <f t="shared" si="758"/>
        <v>993</v>
      </c>
      <c r="AG2509" s="47">
        <f t="shared" si="759"/>
        <v>1667</v>
      </c>
      <c r="AH2509" s="47">
        <f t="shared" si="760"/>
        <v>675</v>
      </c>
      <c r="AI2509" s="208">
        <f t="shared" si="761"/>
        <v>992</v>
      </c>
    </row>
    <row r="2510" spans="1:35">
      <c r="A2510" t="s">
        <v>2171</v>
      </c>
      <c r="B2510" t="s">
        <v>3142</v>
      </c>
      <c r="C2510" t="s">
        <v>2195</v>
      </c>
      <c r="D2510" t="s">
        <v>6077</v>
      </c>
      <c r="F2510" t="s">
        <v>224</v>
      </c>
      <c r="G2510" s="126">
        <f>SUMIFS('Support - Transition'!F:F,'Support - Transition'!B:B,'Step 2'!A2510,'Support - Transition'!C:C,'Step 2'!B2510,'Support - Transition'!D:D,'Step 2'!C2510,'Support - Transition'!E:E,"CIVIL")</f>
        <v>2.8400000000000002E-4</v>
      </c>
      <c r="H2510" s="126">
        <f>SUMIFS('Support - Transition'!F:F,'Support - Transition'!B:B,'Step 2'!A2510,'Support - Transition'!C:C,'Step 2'!B2510,'Support - Transition'!D:D,'Step 2'!C2510,'Support - Transition'!E:E,"FIRE")</f>
        <v>1.3200000000000001E-4</v>
      </c>
      <c r="I2510" s="126">
        <f>IF(B2510="0",SUMIFS('Support - Transition'!F:F,'Support - Transition'!J:J,'Step 2'!D2510,'Support - Transition'!E:E,"STATE UNIT"),SUMIFS('Support - Transition'!F:F,'Support - Transition'!J:J,'Step 2'!D2510))</f>
        <v>4.1600000000000003E-4</v>
      </c>
      <c r="J2510" s="126">
        <f>SUMIFS('Support - Unit Adjustments'!E:E,'Support - Unit Adjustments'!F:F,'Step 2'!D2510)</f>
        <v>0</v>
      </c>
      <c r="K2510" s="126">
        <f t="shared" si="745"/>
        <v>4.1600000000000003E-4</v>
      </c>
      <c r="L2510" s="174">
        <f>VLOOKUP(A2510,'Step 1'!$A:$E,4,FALSE)</f>
        <v>275697</v>
      </c>
      <c r="M2510" s="47">
        <f t="shared" si="746"/>
        <v>115</v>
      </c>
      <c r="N2510" s="177">
        <f>SUMIFS('Support - Transition'!G:G,'Support - Transition'!J:J,'Step 2'!D2510,'Support - Transition'!E:E,"2009 WELFARE ALLOCATION FACTOR")</f>
        <v>0</v>
      </c>
      <c r="O2510" s="152">
        <f t="shared" si="751"/>
        <v>0</v>
      </c>
      <c r="P2510" s="126">
        <f>IF(E2510="Y",0,SUMIFS('Support - Transition'!G:G,'Support - Transition'!J:J,'Step 2'!D2510,'Support - Transition'!E:E,"2009 SCHOOL ALLOCATION FACTOR"))</f>
        <v>0</v>
      </c>
      <c r="Q2510" s="126">
        <f>IF(E2510="Y",VLOOKUP(D2510,'Support - Unit Adjustments'!F:G,2,FALSE),0)</f>
        <v>0</v>
      </c>
      <c r="R2510" s="155">
        <f t="shared" si="763"/>
        <v>0</v>
      </c>
      <c r="S2510" s="47">
        <f t="shared" si="762"/>
        <v>0</v>
      </c>
      <c r="T2510" s="151">
        <f t="shared" si="747"/>
        <v>115</v>
      </c>
      <c r="U2510" s="151">
        <f t="shared" si="748"/>
        <v>0</v>
      </c>
      <c r="V2510" s="139">
        <f t="shared" si="749"/>
        <v>0</v>
      </c>
      <c r="W2510" s="152">
        <f t="shared" si="752"/>
        <v>115</v>
      </c>
      <c r="X2510" s="127" t="str">
        <f t="shared" si="750"/>
        <v/>
      </c>
      <c r="Y2510" s="207">
        <f t="shared" si="753"/>
        <v>115</v>
      </c>
      <c r="Z2510" s="139">
        <f t="shared" si="754"/>
        <v>79</v>
      </c>
      <c r="AA2510" s="139">
        <f t="shared" si="755"/>
        <v>36</v>
      </c>
      <c r="AC2510" s="47">
        <f t="shared" si="756"/>
        <v>58</v>
      </c>
      <c r="AD2510" s="47">
        <f t="shared" si="757"/>
        <v>40</v>
      </c>
      <c r="AE2510" s="47">
        <f t="shared" si="758"/>
        <v>18</v>
      </c>
      <c r="AG2510" s="47">
        <f t="shared" si="759"/>
        <v>57</v>
      </c>
      <c r="AH2510" s="47">
        <f t="shared" si="760"/>
        <v>39</v>
      </c>
      <c r="AI2510" s="208">
        <f t="shared" si="761"/>
        <v>18</v>
      </c>
    </row>
    <row r="2511" spans="1:35">
      <c r="A2511" t="s">
        <v>2171</v>
      </c>
      <c r="B2511" t="s">
        <v>3142</v>
      </c>
      <c r="C2511" t="s">
        <v>2196</v>
      </c>
      <c r="D2511" t="s">
        <v>6078</v>
      </c>
      <c r="F2511" t="s">
        <v>1702</v>
      </c>
      <c r="G2511" s="126">
        <f>SUMIFS('Support - Transition'!F:F,'Support - Transition'!B:B,'Step 2'!A2511,'Support - Transition'!C:C,'Step 2'!B2511,'Support - Transition'!D:D,'Step 2'!C2511,'Support - Transition'!E:E,"CIVIL")</f>
        <v>1.686E-3</v>
      </c>
      <c r="H2511" s="126">
        <f>SUMIFS('Support - Transition'!F:F,'Support - Transition'!B:B,'Step 2'!A2511,'Support - Transition'!C:C,'Step 2'!B2511,'Support - Transition'!D:D,'Step 2'!C2511,'Support - Transition'!E:E,"FIRE")</f>
        <v>6.5499999999999998E-4</v>
      </c>
      <c r="I2511" s="126">
        <f>IF(B2511="0",SUMIFS('Support - Transition'!F:F,'Support - Transition'!J:J,'Step 2'!D2511,'Support - Transition'!E:E,"STATE UNIT"),SUMIFS('Support - Transition'!F:F,'Support - Transition'!J:J,'Step 2'!D2511))</f>
        <v>2.3410000000000002E-3</v>
      </c>
      <c r="J2511" s="126">
        <f>SUMIFS('Support - Unit Adjustments'!E:E,'Support - Unit Adjustments'!F:F,'Step 2'!D2511)</f>
        <v>0</v>
      </c>
      <c r="K2511" s="126">
        <f t="shared" si="745"/>
        <v>2.3410000000000002E-3</v>
      </c>
      <c r="L2511" s="174">
        <f>VLOOKUP(A2511,'Step 1'!$A:$E,4,FALSE)</f>
        <v>275697</v>
      </c>
      <c r="M2511" s="47">
        <f t="shared" si="746"/>
        <v>645</v>
      </c>
      <c r="N2511" s="177">
        <f>SUMIFS('Support - Transition'!G:G,'Support - Transition'!J:J,'Step 2'!D2511,'Support - Transition'!E:E,"2009 WELFARE ALLOCATION FACTOR")</f>
        <v>0</v>
      </c>
      <c r="O2511" s="152">
        <f t="shared" si="751"/>
        <v>0</v>
      </c>
      <c r="P2511" s="126">
        <f>IF(E2511="Y",0,SUMIFS('Support - Transition'!G:G,'Support - Transition'!J:J,'Step 2'!D2511,'Support - Transition'!E:E,"2009 SCHOOL ALLOCATION FACTOR"))</f>
        <v>0</v>
      </c>
      <c r="Q2511" s="126">
        <f>IF(E2511="Y",VLOOKUP(D2511,'Support - Unit Adjustments'!F:G,2,FALSE),0)</f>
        <v>0</v>
      </c>
      <c r="R2511" s="155">
        <f t="shared" si="763"/>
        <v>0</v>
      </c>
      <c r="S2511" s="47">
        <f t="shared" si="762"/>
        <v>0</v>
      </c>
      <c r="T2511" s="151">
        <f t="shared" si="747"/>
        <v>645</v>
      </c>
      <c r="U2511" s="151">
        <f t="shared" si="748"/>
        <v>0</v>
      </c>
      <c r="V2511" s="139">
        <f t="shared" si="749"/>
        <v>0</v>
      </c>
      <c r="W2511" s="152">
        <f t="shared" si="752"/>
        <v>645</v>
      </c>
      <c r="X2511" s="127" t="str">
        <f t="shared" si="750"/>
        <v/>
      </c>
      <c r="Y2511" s="207">
        <f t="shared" si="753"/>
        <v>645</v>
      </c>
      <c r="Z2511" s="139">
        <f t="shared" si="754"/>
        <v>465</v>
      </c>
      <c r="AA2511" s="139">
        <f t="shared" si="755"/>
        <v>180</v>
      </c>
      <c r="AC2511" s="47">
        <f t="shared" si="756"/>
        <v>323</v>
      </c>
      <c r="AD2511" s="47">
        <f t="shared" si="757"/>
        <v>233</v>
      </c>
      <c r="AE2511" s="47">
        <f t="shared" si="758"/>
        <v>90</v>
      </c>
      <c r="AG2511" s="47">
        <f t="shared" si="759"/>
        <v>322</v>
      </c>
      <c r="AH2511" s="47">
        <f t="shared" si="760"/>
        <v>232</v>
      </c>
      <c r="AI2511" s="208">
        <f t="shared" si="761"/>
        <v>90</v>
      </c>
    </row>
    <row r="2512" spans="1:35">
      <c r="A2512" t="s">
        <v>2171</v>
      </c>
      <c r="B2512" t="s">
        <v>3142</v>
      </c>
      <c r="C2512" t="s">
        <v>2197</v>
      </c>
      <c r="D2512" t="s">
        <v>6079</v>
      </c>
      <c r="F2512" t="s">
        <v>1785</v>
      </c>
      <c r="G2512" s="126">
        <f>SUMIFS('Support - Transition'!F:F,'Support - Transition'!B:B,'Step 2'!A2512,'Support - Transition'!C:C,'Step 2'!B2512,'Support - Transition'!D:D,'Step 2'!C2512,'Support - Transition'!E:E,"CIVIL")</f>
        <v>8.6899999999999998E-4</v>
      </c>
      <c r="H2512" s="126">
        <f>SUMIFS('Support - Transition'!F:F,'Support - Transition'!B:B,'Step 2'!A2512,'Support - Transition'!C:C,'Step 2'!B2512,'Support - Transition'!D:D,'Step 2'!C2512,'Support - Transition'!E:E,"FIRE")</f>
        <v>7.9299999999999998E-4</v>
      </c>
      <c r="I2512" s="126">
        <f>IF(B2512="0",SUMIFS('Support - Transition'!F:F,'Support - Transition'!J:J,'Step 2'!D2512,'Support - Transition'!E:E,"STATE UNIT"),SUMIFS('Support - Transition'!F:F,'Support - Transition'!J:J,'Step 2'!D2512))</f>
        <v>1.6619999999999998E-3</v>
      </c>
      <c r="J2512" s="126">
        <f>SUMIFS('Support - Unit Adjustments'!E:E,'Support - Unit Adjustments'!F:F,'Step 2'!D2512)</f>
        <v>0</v>
      </c>
      <c r="K2512" s="126">
        <f t="shared" si="745"/>
        <v>1.6619999999999998E-3</v>
      </c>
      <c r="L2512" s="174">
        <f>VLOOKUP(A2512,'Step 1'!$A:$E,4,FALSE)</f>
        <v>275697</v>
      </c>
      <c r="M2512" s="47">
        <f t="shared" si="746"/>
        <v>458</v>
      </c>
      <c r="N2512" s="177">
        <f>SUMIFS('Support - Transition'!G:G,'Support - Transition'!J:J,'Step 2'!D2512,'Support - Transition'!E:E,"2009 WELFARE ALLOCATION FACTOR")</f>
        <v>0</v>
      </c>
      <c r="O2512" s="152">
        <f t="shared" si="751"/>
        <v>0</v>
      </c>
      <c r="P2512" s="126">
        <f>IF(E2512="Y",0,SUMIFS('Support - Transition'!G:G,'Support - Transition'!J:J,'Step 2'!D2512,'Support - Transition'!E:E,"2009 SCHOOL ALLOCATION FACTOR"))</f>
        <v>0</v>
      </c>
      <c r="Q2512" s="126">
        <f>IF(E2512="Y",VLOOKUP(D2512,'Support - Unit Adjustments'!F:G,2,FALSE),0)</f>
        <v>0</v>
      </c>
      <c r="R2512" s="155">
        <f t="shared" si="763"/>
        <v>0</v>
      </c>
      <c r="S2512" s="47">
        <f t="shared" si="762"/>
        <v>0</v>
      </c>
      <c r="T2512" s="151">
        <f t="shared" si="747"/>
        <v>458</v>
      </c>
      <c r="U2512" s="151">
        <f t="shared" si="748"/>
        <v>0</v>
      </c>
      <c r="V2512" s="139">
        <f t="shared" si="749"/>
        <v>0</v>
      </c>
      <c r="W2512" s="152">
        <f t="shared" si="752"/>
        <v>458</v>
      </c>
      <c r="X2512" s="127" t="str">
        <f t="shared" si="750"/>
        <v/>
      </c>
      <c r="Y2512" s="207">
        <f t="shared" si="753"/>
        <v>458</v>
      </c>
      <c r="Z2512" s="139">
        <f t="shared" si="754"/>
        <v>239</v>
      </c>
      <c r="AA2512" s="139">
        <f t="shared" si="755"/>
        <v>219</v>
      </c>
      <c r="AC2512" s="47">
        <f t="shared" si="756"/>
        <v>229</v>
      </c>
      <c r="AD2512" s="47">
        <f t="shared" si="757"/>
        <v>120</v>
      </c>
      <c r="AE2512" s="47">
        <f t="shared" si="758"/>
        <v>110</v>
      </c>
      <c r="AG2512" s="47">
        <f t="shared" si="759"/>
        <v>229</v>
      </c>
      <c r="AH2512" s="47">
        <f t="shared" si="760"/>
        <v>119</v>
      </c>
      <c r="AI2512" s="208">
        <f t="shared" si="761"/>
        <v>109</v>
      </c>
    </row>
    <row r="2513" spans="1:35">
      <c r="A2513" t="s">
        <v>2171</v>
      </c>
      <c r="B2513" t="s">
        <v>3155</v>
      </c>
      <c r="C2513" t="s">
        <v>2188</v>
      </c>
      <c r="D2513" t="s">
        <v>6080</v>
      </c>
      <c r="F2513" t="s">
        <v>6081</v>
      </c>
      <c r="G2513" s="126">
        <f>SUMIFS('Support - Transition'!F:F,'Support - Transition'!B:B,'Step 2'!A2513,'Support - Transition'!C:C,'Step 2'!B2513,'Support - Transition'!D:D,'Step 2'!C2513,'Support - Transition'!E:E,"CIVIL")</f>
        <v>0</v>
      </c>
      <c r="H2513" s="126">
        <f>SUMIFS('Support - Transition'!F:F,'Support - Transition'!B:B,'Step 2'!A2513,'Support - Transition'!C:C,'Step 2'!B2513,'Support - Transition'!D:D,'Step 2'!C2513,'Support - Transition'!E:E,"FIRE")</f>
        <v>0</v>
      </c>
      <c r="I2513" s="126">
        <f>IF(B2513="0",SUMIFS('Support - Transition'!F:F,'Support - Transition'!J:J,'Step 2'!D2513,'Support - Transition'!E:E,"STATE UNIT"),SUMIFS('Support - Transition'!F:F,'Support - Transition'!J:J,'Step 2'!D2513))</f>
        <v>0</v>
      </c>
      <c r="J2513" s="126">
        <f>SUMIFS('Support - Unit Adjustments'!E:E,'Support - Unit Adjustments'!F:F,'Step 2'!D2513)</f>
        <v>0</v>
      </c>
      <c r="K2513" s="126">
        <f t="shared" si="745"/>
        <v>0</v>
      </c>
      <c r="L2513" s="174">
        <f>VLOOKUP(A2513,'Step 1'!$A:$E,4,FALSE)</f>
        <v>275697</v>
      </c>
      <c r="M2513" s="47">
        <f t="shared" si="746"/>
        <v>0</v>
      </c>
      <c r="N2513" s="177">
        <f>SUMIFS('Support - Transition'!G:G,'Support - Transition'!J:J,'Step 2'!D2513,'Support - Transition'!E:E,"2009 WELFARE ALLOCATION FACTOR")</f>
        <v>0</v>
      </c>
      <c r="O2513" s="152">
        <f t="shared" si="751"/>
        <v>0</v>
      </c>
      <c r="P2513" s="126">
        <f>IF(E2513="Y",0,SUMIFS('Support - Transition'!G:G,'Support - Transition'!J:J,'Step 2'!D2513,'Support - Transition'!E:E,"2009 SCHOOL ALLOCATION FACTOR"))</f>
        <v>0</v>
      </c>
      <c r="Q2513" s="126">
        <f>IF(E2513="Y",VLOOKUP(D2513,'Support - Unit Adjustments'!F:G,2,FALSE),0)</f>
        <v>0</v>
      </c>
      <c r="R2513" s="155">
        <f t="shared" si="763"/>
        <v>0</v>
      </c>
      <c r="S2513" s="47">
        <f t="shared" si="762"/>
        <v>0</v>
      </c>
      <c r="T2513" s="151">
        <f t="shared" si="747"/>
        <v>0</v>
      </c>
      <c r="U2513" s="151">
        <f t="shared" si="748"/>
        <v>0</v>
      </c>
      <c r="V2513" s="139">
        <f t="shared" si="749"/>
        <v>0</v>
      </c>
      <c r="W2513" s="152">
        <f t="shared" si="752"/>
        <v>0</v>
      </c>
      <c r="X2513" s="127" t="str">
        <f t="shared" si="750"/>
        <v/>
      </c>
      <c r="Y2513" s="207">
        <f t="shared" si="753"/>
        <v>0</v>
      </c>
      <c r="Z2513" s="139">
        <f t="shared" si="754"/>
        <v>0</v>
      </c>
      <c r="AA2513" s="139">
        <f t="shared" si="755"/>
        <v>0</v>
      </c>
      <c r="AC2513" s="47">
        <f t="shared" si="756"/>
        <v>0</v>
      </c>
      <c r="AD2513" s="47">
        <f t="shared" si="757"/>
        <v>0</v>
      </c>
      <c r="AE2513" s="47">
        <f t="shared" si="758"/>
        <v>0</v>
      </c>
      <c r="AG2513" s="47">
        <f t="shared" si="759"/>
        <v>0</v>
      </c>
      <c r="AH2513" s="47">
        <f t="shared" si="760"/>
        <v>0</v>
      </c>
      <c r="AI2513" s="208">
        <f t="shared" si="761"/>
        <v>0</v>
      </c>
    </row>
    <row r="2514" spans="1:35">
      <c r="A2514" t="s">
        <v>2171</v>
      </c>
      <c r="B2514" t="s">
        <v>3155</v>
      </c>
      <c r="C2514" t="s">
        <v>3082</v>
      </c>
      <c r="D2514" t="s">
        <v>6082</v>
      </c>
      <c r="F2514" t="s">
        <v>1786</v>
      </c>
      <c r="G2514" s="126">
        <f>SUMIFS('Support - Transition'!F:F,'Support - Transition'!B:B,'Step 2'!A2514,'Support - Transition'!C:C,'Step 2'!B2514,'Support - Transition'!D:D,'Step 2'!C2514,'Support - Transition'!E:E,"CIVIL")</f>
        <v>0</v>
      </c>
      <c r="H2514" s="126">
        <f>SUMIFS('Support - Transition'!F:F,'Support - Transition'!B:B,'Step 2'!A2514,'Support - Transition'!C:C,'Step 2'!B2514,'Support - Transition'!D:D,'Step 2'!C2514,'Support - Transition'!E:E,"FIRE")</f>
        <v>0</v>
      </c>
      <c r="I2514" s="126">
        <f>IF(B2514="0",SUMIFS('Support - Transition'!F:F,'Support - Transition'!J:J,'Step 2'!D2514,'Support - Transition'!E:E,"STATE UNIT"),SUMIFS('Support - Transition'!F:F,'Support - Transition'!J:J,'Step 2'!D2514))</f>
        <v>1.6226999999999998E-2</v>
      </c>
      <c r="J2514" s="126">
        <f>SUMIFS('Support - Unit Adjustments'!E:E,'Support - Unit Adjustments'!F:F,'Step 2'!D2514)</f>
        <v>0</v>
      </c>
      <c r="K2514" s="126">
        <f t="shared" si="745"/>
        <v>1.6226999999999998E-2</v>
      </c>
      <c r="L2514" s="174">
        <f>VLOOKUP(A2514,'Step 1'!$A:$E,4,FALSE)</f>
        <v>275697</v>
      </c>
      <c r="M2514" s="47">
        <f t="shared" si="746"/>
        <v>4474</v>
      </c>
      <c r="N2514" s="177">
        <f>SUMIFS('Support - Transition'!G:G,'Support - Transition'!J:J,'Step 2'!D2514,'Support - Transition'!E:E,"2009 WELFARE ALLOCATION FACTOR")</f>
        <v>0</v>
      </c>
      <c r="O2514" s="152">
        <f t="shared" si="751"/>
        <v>0</v>
      </c>
      <c r="P2514" s="126">
        <f>IF(E2514="Y",0,SUMIFS('Support - Transition'!G:G,'Support - Transition'!J:J,'Step 2'!D2514,'Support - Transition'!E:E,"2009 SCHOOL ALLOCATION FACTOR"))</f>
        <v>0</v>
      </c>
      <c r="Q2514" s="126">
        <f>IF(E2514="Y",VLOOKUP(D2514,'Support - Unit Adjustments'!F:G,2,FALSE),0)</f>
        <v>0</v>
      </c>
      <c r="R2514" s="155">
        <f t="shared" si="763"/>
        <v>0</v>
      </c>
      <c r="S2514" s="47">
        <f t="shared" si="762"/>
        <v>0</v>
      </c>
      <c r="T2514" s="151">
        <f t="shared" si="747"/>
        <v>4474</v>
      </c>
      <c r="U2514" s="151">
        <f t="shared" si="748"/>
        <v>0</v>
      </c>
      <c r="V2514" s="139">
        <f t="shared" si="749"/>
        <v>0</v>
      </c>
      <c r="W2514" s="152">
        <f t="shared" si="752"/>
        <v>4474</v>
      </c>
      <c r="X2514" s="127" t="str">
        <f t="shared" si="750"/>
        <v/>
      </c>
      <c r="Y2514" s="207">
        <f t="shared" si="753"/>
        <v>4474</v>
      </c>
      <c r="Z2514" s="139">
        <f t="shared" si="754"/>
        <v>4474</v>
      </c>
      <c r="AA2514" s="139">
        <f t="shared" si="755"/>
        <v>0</v>
      </c>
      <c r="AC2514" s="47">
        <f t="shared" si="756"/>
        <v>2237</v>
      </c>
      <c r="AD2514" s="47">
        <f t="shared" si="757"/>
        <v>2237</v>
      </c>
      <c r="AE2514" s="47">
        <f t="shared" si="758"/>
        <v>0</v>
      </c>
      <c r="AG2514" s="47">
        <f t="shared" si="759"/>
        <v>2237</v>
      </c>
      <c r="AH2514" s="47">
        <f t="shared" si="760"/>
        <v>2237</v>
      </c>
      <c r="AI2514" s="208">
        <f t="shared" si="761"/>
        <v>0</v>
      </c>
    </row>
    <row r="2515" spans="1:35">
      <c r="A2515" t="s">
        <v>2171</v>
      </c>
      <c r="B2515" t="s">
        <v>3155</v>
      </c>
      <c r="C2515" t="s">
        <v>3083</v>
      </c>
      <c r="D2515" t="s">
        <v>6083</v>
      </c>
      <c r="F2515" t="s">
        <v>1787</v>
      </c>
      <c r="G2515" s="126">
        <f>SUMIFS('Support - Transition'!F:F,'Support - Transition'!B:B,'Step 2'!A2515,'Support - Transition'!C:C,'Step 2'!B2515,'Support - Transition'!D:D,'Step 2'!C2515,'Support - Transition'!E:E,"CIVIL")</f>
        <v>0</v>
      </c>
      <c r="H2515" s="126">
        <f>SUMIFS('Support - Transition'!F:F,'Support - Transition'!B:B,'Step 2'!A2515,'Support - Transition'!C:C,'Step 2'!B2515,'Support - Transition'!D:D,'Step 2'!C2515,'Support - Transition'!E:E,"FIRE")</f>
        <v>0</v>
      </c>
      <c r="I2515" s="126">
        <f>IF(B2515="0",SUMIFS('Support - Transition'!F:F,'Support - Transition'!J:J,'Step 2'!D2515,'Support - Transition'!E:E,"STATE UNIT"),SUMIFS('Support - Transition'!F:F,'Support - Transition'!J:J,'Step 2'!D2515))</f>
        <v>3.4123000000000001E-2</v>
      </c>
      <c r="J2515" s="126">
        <f>SUMIFS('Support - Unit Adjustments'!E:E,'Support - Unit Adjustments'!F:F,'Step 2'!D2515)</f>
        <v>0</v>
      </c>
      <c r="K2515" s="126">
        <f t="shared" si="745"/>
        <v>3.4123000000000001E-2</v>
      </c>
      <c r="L2515" s="174">
        <f>VLOOKUP(A2515,'Step 1'!$A:$E,4,FALSE)</f>
        <v>275697</v>
      </c>
      <c r="M2515" s="47">
        <f t="shared" si="746"/>
        <v>9408</v>
      </c>
      <c r="N2515" s="177">
        <f>SUMIFS('Support - Transition'!G:G,'Support - Transition'!J:J,'Step 2'!D2515,'Support - Transition'!E:E,"2009 WELFARE ALLOCATION FACTOR")</f>
        <v>0</v>
      </c>
      <c r="O2515" s="152">
        <f t="shared" si="751"/>
        <v>0</v>
      </c>
      <c r="P2515" s="126">
        <f>IF(E2515="Y",0,SUMIFS('Support - Transition'!G:G,'Support - Transition'!J:J,'Step 2'!D2515,'Support - Transition'!E:E,"2009 SCHOOL ALLOCATION FACTOR"))</f>
        <v>0</v>
      </c>
      <c r="Q2515" s="126">
        <f>IF(E2515="Y",VLOOKUP(D2515,'Support - Unit Adjustments'!F:G,2,FALSE),0)</f>
        <v>0</v>
      </c>
      <c r="R2515" s="155">
        <f t="shared" si="763"/>
        <v>0</v>
      </c>
      <c r="S2515" s="47">
        <f t="shared" si="762"/>
        <v>0</v>
      </c>
      <c r="T2515" s="151">
        <f t="shared" si="747"/>
        <v>9408</v>
      </c>
      <c r="U2515" s="151">
        <f t="shared" si="748"/>
        <v>0</v>
      </c>
      <c r="V2515" s="139">
        <f t="shared" si="749"/>
        <v>0</v>
      </c>
      <c r="W2515" s="152">
        <f t="shared" si="752"/>
        <v>9408</v>
      </c>
      <c r="X2515" s="127" t="str">
        <f t="shared" si="750"/>
        <v/>
      </c>
      <c r="Y2515" s="207">
        <f t="shared" si="753"/>
        <v>9408</v>
      </c>
      <c r="Z2515" s="139">
        <f t="shared" si="754"/>
        <v>9408</v>
      </c>
      <c r="AA2515" s="139">
        <f t="shared" si="755"/>
        <v>0</v>
      </c>
      <c r="AC2515" s="47">
        <f t="shared" si="756"/>
        <v>4704</v>
      </c>
      <c r="AD2515" s="47">
        <f t="shared" si="757"/>
        <v>4704</v>
      </c>
      <c r="AE2515" s="47">
        <f t="shared" si="758"/>
        <v>0</v>
      </c>
      <c r="AG2515" s="47">
        <f t="shared" si="759"/>
        <v>4704</v>
      </c>
      <c r="AH2515" s="47">
        <f t="shared" si="760"/>
        <v>4704</v>
      </c>
      <c r="AI2515" s="208">
        <f t="shared" si="761"/>
        <v>0</v>
      </c>
    </row>
    <row r="2516" spans="1:35">
      <c r="A2516" t="s">
        <v>2171</v>
      </c>
      <c r="B2516" t="s">
        <v>3155</v>
      </c>
      <c r="C2516" t="s">
        <v>3084</v>
      </c>
      <c r="D2516" t="s">
        <v>6084</v>
      </c>
      <c r="F2516" t="s">
        <v>1788</v>
      </c>
      <c r="G2516" s="126">
        <f>SUMIFS('Support - Transition'!F:F,'Support - Transition'!B:B,'Step 2'!A2516,'Support - Transition'!C:C,'Step 2'!B2516,'Support - Transition'!D:D,'Step 2'!C2516,'Support - Transition'!E:E,"CIVIL")</f>
        <v>0</v>
      </c>
      <c r="H2516" s="126">
        <f>SUMIFS('Support - Transition'!F:F,'Support - Transition'!B:B,'Step 2'!A2516,'Support - Transition'!C:C,'Step 2'!B2516,'Support - Transition'!D:D,'Step 2'!C2516,'Support - Transition'!E:E,"FIRE")</f>
        <v>0</v>
      </c>
      <c r="I2516" s="126">
        <f>IF(B2516="0",SUMIFS('Support - Transition'!F:F,'Support - Transition'!J:J,'Step 2'!D2516,'Support - Transition'!E:E,"STATE UNIT"),SUMIFS('Support - Transition'!F:F,'Support - Transition'!J:J,'Step 2'!D2516))</f>
        <v>8.9300000000000002E-4</v>
      </c>
      <c r="J2516" s="126">
        <f>SUMIFS('Support - Unit Adjustments'!E:E,'Support - Unit Adjustments'!F:F,'Step 2'!D2516)</f>
        <v>0</v>
      </c>
      <c r="K2516" s="126">
        <f t="shared" si="745"/>
        <v>8.9300000000000002E-4</v>
      </c>
      <c r="L2516" s="174">
        <f>VLOOKUP(A2516,'Step 1'!$A:$E,4,FALSE)</f>
        <v>275697</v>
      </c>
      <c r="M2516" s="47">
        <f t="shared" si="746"/>
        <v>246</v>
      </c>
      <c r="N2516" s="177">
        <f>SUMIFS('Support - Transition'!G:G,'Support - Transition'!J:J,'Step 2'!D2516,'Support - Transition'!E:E,"2009 WELFARE ALLOCATION FACTOR")</f>
        <v>0</v>
      </c>
      <c r="O2516" s="152">
        <f t="shared" si="751"/>
        <v>0</v>
      </c>
      <c r="P2516" s="126">
        <f>IF(E2516="Y",0,SUMIFS('Support - Transition'!G:G,'Support - Transition'!J:J,'Step 2'!D2516,'Support - Transition'!E:E,"2009 SCHOOL ALLOCATION FACTOR"))</f>
        <v>0</v>
      </c>
      <c r="Q2516" s="126">
        <f>IF(E2516="Y",VLOOKUP(D2516,'Support - Unit Adjustments'!F:G,2,FALSE),0)</f>
        <v>0</v>
      </c>
      <c r="R2516" s="155">
        <f t="shared" si="763"/>
        <v>0</v>
      </c>
      <c r="S2516" s="47">
        <f t="shared" si="762"/>
        <v>0</v>
      </c>
      <c r="T2516" s="151">
        <f t="shared" si="747"/>
        <v>246</v>
      </c>
      <c r="U2516" s="151">
        <f t="shared" si="748"/>
        <v>0</v>
      </c>
      <c r="V2516" s="139">
        <f t="shared" si="749"/>
        <v>0</v>
      </c>
      <c r="W2516" s="152">
        <f t="shared" si="752"/>
        <v>246</v>
      </c>
      <c r="X2516" s="127" t="str">
        <f t="shared" si="750"/>
        <v/>
      </c>
      <c r="Y2516" s="207">
        <f t="shared" si="753"/>
        <v>246</v>
      </c>
      <c r="Z2516" s="139">
        <f t="shared" si="754"/>
        <v>246</v>
      </c>
      <c r="AA2516" s="139">
        <f t="shared" si="755"/>
        <v>0</v>
      </c>
      <c r="AC2516" s="47">
        <f t="shared" si="756"/>
        <v>123</v>
      </c>
      <c r="AD2516" s="47">
        <f t="shared" si="757"/>
        <v>123</v>
      </c>
      <c r="AE2516" s="47">
        <f t="shared" si="758"/>
        <v>0</v>
      </c>
      <c r="AG2516" s="47">
        <f t="shared" si="759"/>
        <v>123</v>
      </c>
      <c r="AH2516" s="47">
        <f t="shared" si="760"/>
        <v>123</v>
      </c>
      <c r="AI2516" s="208">
        <f t="shared" si="761"/>
        <v>0</v>
      </c>
    </row>
    <row r="2517" spans="1:35">
      <c r="A2517" t="s">
        <v>2171</v>
      </c>
      <c r="B2517" t="s">
        <v>3155</v>
      </c>
      <c r="C2517" t="s">
        <v>3085</v>
      </c>
      <c r="D2517" t="s">
        <v>6085</v>
      </c>
      <c r="F2517" t="s">
        <v>1789</v>
      </c>
      <c r="G2517" s="126">
        <f>SUMIFS('Support - Transition'!F:F,'Support - Transition'!B:B,'Step 2'!A2517,'Support - Transition'!C:C,'Step 2'!B2517,'Support - Transition'!D:D,'Step 2'!C2517,'Support - Transition'!E:E,"CIVIL")</f>
        <v>0</v>
      </c>
      <c r="H2517" s="126">
        <f>SUMIFS('Support - Transition'!F:F,'Support - Transition'!B:B,'Step 2'!A2517,'Support - Transition'!C:C,'Step 2'!B2517,'Support - Transition'!D:D,'Step 2'!C2517,'Support - Transition'!E:E,"FIRE")</f>
        <v>0</v>
      </c>
      <c r="I2517" s="126">
        <f>IF(B2517="0",SUMIFS('Support - Transition'!F:F,'Support - Transition'!J:J,'Step 2'!D2517,'Support - Transition'!E:E,"STATE UNIT"),SUMIFS('Support - Transition'!F:F,'Support - Transition'!J:J,'Step 2'!D2517))</f>
        <v>0</v>
      </c>
      <c r="J2517" s="126">
        <f>SUMIFS('Support - Unit Adjustments'!E:E,'Support - Unit Adjustments'!F:F,'Step 2'!D2517)</f>
        <v>0</v>
      </c>
      <c r="K2517" s="126">
        <f t="shared" si="745"/>
        <v>0</v>
      </c>
      <c r="L2517" s="174">
        <f>VLOOKUP(A2517,'Step 1'!$A:$E,4,FALSE)</f>
        <v>275697</v>
      </c>
      <c r="M2517" s="47">
        <f t="shared" si="746"/>
        <v>0</v>
      </c>
      <c r="N2517" s="177">
        <f>SUMIFS('Support - Transition'!G:G,'Support - Transition'!J:J,'Step 2'!D2517,'Support - Transition'!E:E,"2009 WELFARE ALLOCATION FACTOR")</f>
        <v>0</v>
      </c>
      <c r="O2517" s="152">
        <f t="shared" si="751"/>
        <v>0</v>
      </c>
      <c r="P2517" s="126">
        <f>IF(E2517="Y",0,SUMIFS('Support - Transition'!G:G,'Support - Transition'!J:J,'Step 2'!D2517,'Support - Transition'!E:E,"2009 SCHOOL ALLOCATION FACTOR"))</f>
        <v>0</v>
      </c>
      <c r="Q2517" s="126">
        <f>IF(E2517="Y",VLOOKUP(D2517,'Support - Unit Adjustments'!F:G,2,FALSE),0)</f>
        <v>0</v>
      </c>
      <c r="R2517" s="155">
        <f t="shared" si="763"/>
        <v>0</v>
      </c>
      <c r="S2517" s="47">
        <f t="shared" si="762"/>
        <v>0</v>
      </c>
      <c r="T2517" s="151">
        <f t="shared" si="747"/>
        <v>0</v>
      </c>
      <c r="U2517" s="151">
        <f t="shared" si="748"/>
        <v>0</v>
      </c>
      <c r="V2517" s="139">
        <f t="shared" si="749"/>
        <v>0</v>
      </c>
      <c r="W2517" s="152">
        <f t="shared" si="752"/>
        <v>0</v>
      </c>
      <c r="X2517" s="127" t="str">
        <f t="shared" si="750"/>
        <v/>
      </c>
      <c r="Y2517" s="207">
        <f t="shared" si="753"/>
        <v>0</v>
      </c>
      <c r="Z2517" s="139">
        <f t="shared" si="754"/>
        <v>0</v>
      </c>
      <c r="AA2517" s="139">
        <f t="shared" si="755"/>
        <v>0</v>
      </c>
      <c r="AC2517" s="47">
        <f t="shared" si="756"/>
        <v>0</v>
      </c>
      <c r="AD2517" s="47">
        <f t="shared" si="757"/>
        <v>0</v>
      </c>
      <c r="AE2517" s="47">
        <f t="shared" si="758"/>
        <v>0</v>
      </c>
      <c r="AG2517" s="47">
        <f t="shared" si="759"/>
        <v>0</v>
      </c>
      <c r="AH2517" s="47">
        <f t="shared" si="760"/>
        <v>0</v>
      </c>
      <c r="AI2517" s="208">
        <f t="shared" si="761"/>
        <v>0</v>
      </c>
    </row>
    <row r="2518" spans="1:35">
      <c r="A2518" t="s">
        <v>2171</v>
      </c>
      <c r="B2518" t="s">
        <v>3155</v>
      </c>
      <c r="C2518" t="s">
        <v>3086</v>
      </c>
      <c r="D2518" t="s">
        <v>6086</v>
      </c>
      <c r="F2518" t="s">
        <v>1790</v>
      </c>
      <c r="G2518" s="126">
        <f>SUMIFS('Support - Transition'!F:F,'Support - Transition'!B:B,'Step 2'!A2518,'Support - Transition'!C:C,'Step 2'!B2518,'Support - Transition'!D:D,'Step 2'!C2518,'Support - Transition'!E:E,"CIVIL")</f>
        <v>0</v>
      </c>
      <c r="H2518" s="126">
        <f>SUMIFS('Support - Transition'!F:F,'Support - Transition'!B:B,'Step 2'!A2518,'Support - Transition'!C:C,'Step 2'!B2518,'Support - Transition'!D:D,'Step 2'!C2518,'Support - Transition'!E:E,"FIRE")</f>
        <v>0</v>
      </c>
      <c r="I2518" s="126">
        <f>IF(B2518="0",SUMIFS('Support - Transition'!F:F,'Support - Transition'!J:J,'Step 2'!D2518,'Support - Transition'!E:E,"STATE UNIT"),SUMIFS('Support - Transition'!F:F,'Support - Transition'!J:J,'Step 2'!D2518))</f>
        <v>1.944E-3</v>
      </c>
      <c r="J2518" s="126">
        <f>SUMIFS('Support - Unit Adjustments'!E:E,'Support - Unit Adjustments'!F:F,'Step 2'!D2518)</f>
        <v>0</v>
      </c>
      <c r="K2518" s="126">
        <f t="shared" si="745"/>
        <v>1.944E-3</v>
      </c>
      <c r="L2518" s="174">
        <f>VLOOKUP(A2518,'Step 1'!$A:$E,4,FALSE)</f>
        <v>275697</v>
      </c>
      <c r="M2518" s="47">
        <f t="shared" si="746"/>
        <v>536</v>
      </c>
      <c r="N2518" s="177">
        <f>SUMIFS('Support - Transition'!G:G,'Support - Transition'!J:J,'Step 2'!D2518,'Support - Transition'!E:E,"2009 WELFARE ALLOCATION FACTOR")</f>
        <v>0</v>
      </c>
      <c r="O2518" s="152">
        <f t="shared" si="751"/>
        <v>0</v>
      </c>
      <c r="P2518" s="126">
        <f>IF(E2518="Y",0,SUMIFS('Support - Transition'!G:G,'Support - Transition'!J:J,'Step 2'!D2518,'Support - Transition'!E:E,"2009 SCHOOL ALLOCATION FACTOR"))</f>
        <v>0</v>
      </c>
      <c r="Q2518" s="126">
        <f>IF(E2518="Y",VLOOKUP(D2518,'Support - Unit Adjustments'!F:G,2,FALSE),0)</f>
        <v>0</v>
      </c>
      <c r="R2518" s="155">
        <f t="shared" si="763"/>
        <v>0</v>
      </c>
      <c r="S2518" s="47">
        <f t="shared" si="762"/>
        <v>0</v>
      </c>
      <c r="T2518" s="151">
        <f t="shared" si="747"/>
        <v>536</v>
      </c>
      <c r="U2518" s="151">
        <f t="shared" si="748"/>
        <v>0</v>
      </c>
      <c r="V2518" s="139">
        <f t="shared" si="749"/>
        <v>0</v>
      </c>
      <c r="W2518" s="152">
        <f t="shared" si="752"/>
        <v>536</v>
      </c>
      <c r="X2518" s="127" t="str">
        <f t="shared" si="750"/>
        <v/>
      </c>
      <c r="Y2518" s="207">
        <f t="shared" si="753"/>
        <v>536</v>
      </c>
      <c r="Z2518" s="139">
        <f t="shared" si="754"/>
        <v>536</v>
      </c>
      <c r="AA2518" s="139">
        <f t="shared" si="755"/>
        <v>0</v>
      </c>
      <c r="AC2518" s="47">
        <f t="shared" si="756"/>
        <v>268</v>
      </c>
      <c r="AD2518" s="47">
        <f t="shared" si="757"/>
        <v>268</v>
      </c>
      <c r="AE2518" s="47">
        <f t="shared" si="758"/>
        <v>0</v>
      </c>
      <c r="AG2518" s="47">
        <f t="shared" si="759"/>
        <v>268</v>
      </c>
      <c r="AH2518" s="47">
        <f t="shared" si="760"/>
        <v>268</v>
      </c>
      <c r="AI2518" s="208">
        <f t="shared" si="761"/>
        <v>0</v>
      </c>
    </row>
    <row r="2519" spans="1:35">
      <c r="A2519" t="s">
        <v>2171</v>
      </c>
      <c r="B2519" t="s">
        <v>3155</v>
      </c>
      <c r="C2519" t="s">
        <v>3087</v>
      </c>
      <c r="D2519" t="s">
        <v>6087</v>
      </c>
      <c r="F2519" t="s">
        <v>1791</v>
      </c>
      <c r="G2519" s="126">
        <f>SUMIFS('Support - Transition'!F:F,'Support - Transition'!B:B,'Step 2'!A2519,'Support - Transition'!C:C,'Step 2'!B2519,'Support - Transition'!D:D,'Step 2'!C2519,'Support - Transition'!E:E,"CIVIL")</f>
        <v>0</v>
      </c>
      <c r="H2519" s="126">
        <f>SUMIFS('Support - Transition'!F:F,'Support - Transition'!B:B,'Step 2'!A2519,'Support - Transition'!C:C,'Step 2'!B2519,'Support - Transition'!D:D,'Step 2'!C2519,'Support - Transition'!E:E,"FIRE")</f>
        <v>0</v>
      </c>
      <c r="I2519" s="126">
        <f>IF(B2519="0",SUMIFS('Support - Transition'!F:F,'Support - Transition'!J:J,'Step 2'!D2519,'Support - Transition'!E:E,"STATE UNIT"),SUMIFS('Support - Transition'!F:F,'Support - Transition'!J:J,'Step 2'!D2519))</f>
        <v>1.75E-4</v>
      </c>
      <c r="J2519" s="126">
        <f>SUMIFS('Support - Unit Adjustments'!E:E,'Support - Unit Adjustments'!F:F,'Step 2'!D2519)</f>
        <v>0</v>
      </c>
      <c r="K2519" s="126">
        <f t="shared" si="745"/>
        <v>1.75E-4</v>
      </c>
      <c r="L2519" s="174">
        <f>VLOOKUP(A2519,'Step 1'!$A:$E,4,FALSE)</f>
        <v>275697</v>
      </c>
      <c r="M2519" s="47">
        <f t="shared" si="746"/>
        <v>48</v>
      </c>
      <c r="N2519" s="177">
        <f>SUMIFS('Support - Transition'!G:G,'Support - Transition'!J:J,'Step 2'!D2519,'Support - Transition'!E:E,"2009 WELFARE ALLOCATION FACTOR")</f>
        <v>0</v>
      </c>
      <c r="O2519" s="152">
        <f t="shared" si="751"/>
        <v>0</v>
      </c>
      <c r="P2519" s="126">
        <f>IF(E2519="Y",0,SUMIFS('Support - Transition'!G:G,'Support - Transition'!J:J,'Step 2'!D2519,'Support - Transition'!E:E,"2009 SCHOOL ALLOCATION FACTOR"))</f>
        <v>0</v>
      </c>
      <c r="Q2519" s="126">
        <f>IF(E2519="Y",VLOOKUP(D2519,'Support - Unit Adjustments'!F:G,2,FALSE),0)</f>
        <v>0</v>
      </c>
      <c r="R2519" s="155">
        <f t="shared" si="763"/>
        <v>0</v>
      </c>
      <c r="S2519" s="47">
        <f t="shared" si="762"/>
        <v>0</v>
      </c>
      <c r="T2519" s="151">
        <f t="shared" si="747"/>
        <v>48</v>
      </c>
      <c r="U2519" s="151">
        <f t="shared" si="748"/>
        <v>0</v>
      </c>
      <c r="V2519" s="139">
        <f t="shared" si="749"/>
        <v>0</v>
      </c>
      <c r="W2519" s="152">
        <f t="shared" si="752"/>
        <v>48</v>
      </c>
      <c r="X2519" s="127" t="str">
        <f t="shared" si="750"/>
        <v/>
      </c>
      <c r="Y2519" s="207">
        <f t="shared" si="753"/>
        <v>48</v>
      </c>
      <c r="Z2519" s="139">
        <f t="shared" si="754"/>
        <v>48</v>
      </c>
      <c r="AA2519" s="139">
        <f t="shared" si="755"/>
        <v>0</v>
      </c>
      <c r="AC2519" s="47">
        <f t="shared" si="756"/>
        <v>24</v>
      </c>
      <c r="AD2519" s="47">
        <f t="shared" si="757"/>
        <v>24</v>
      </c>
      <c r="AE2519" s="47">
        <f t="shared" si="758"/>
        <v>0</v>
      </c>
      <c r="AG2519" s="47">
        <f t="shared" si="759"/>
        <v>24</v>
      </c>
      <c r="AH2519" s="47">
        <f t="shared" si="760"/>
        <v>24</v>
      </c>
      <c r="AI2519" s="208">
        <f t="shared" si="761"/>
        <v>0</v>
      </c>
    </row>
    <row r="2520" spans="1:35">
      <c r="A2520" t="s">
        <v>2171</v>
      </c>
      <c r="B2520" t="s">
        <v>3160</v>
      </c>
      <c r="C2520" t="s">
        <v>3088</v>
      </c>
      <c r="D2520" t="s">
        <v>6088</v>
      </c>
      <c r="F2520" t="s">
        <v>1792</v>
      </c>
      <c r="G2520" s="126">
        <f>SUMIFS('Support - Transition'!F:F,'Support - Transition'!B:B,'Step 2'!A2520,'Support - Transition'!C:C,'Step 2'!B2520,'Support - Transition'!D:D,'Step 2'!C2520,'Support - Transition'!E:E,"CIVIL")</f>
        <v>0</v>
      </c>
      <c r="H2520" s="126">
        <f>SUMIFS('Support - Transition'!F:F,'Support - Transition'!B:B,'Step 2'!A2520,'Support - Transition'!C:C,'Step 2'!B2520,'Support - Transition'!D:D,'Step 2'!C2520,'Support - Transition'!E:E,"FIRE")</f>
        <v>0</v>
      </c>
      <c r="I2520" s="126">
        <f>IF(B2520="0",SUMIFS('Support - Transition'!F:F,'Support - Transition'!J:J,'Step 2'!D2520,'Support - Transition'!E:E,"STATE UNIT"),SUMIFS('Support - Transition'!F:F,'Support - Transition'!J:J,'Step 2'!D2520))</f>
        <v>0.63734100000000005</v>
      </c>
      <c r="J2520" s="126">
        <f>SUMIFS('Support - Unit Adjustments'!E:E,'Support - Unit Adjustments'!F:F,'Step 2'!D2520)</f>
        <v>0</v>
      </c>
      <c r="K2520" s="126">
        <f t="shared" si="745"/>
        <v>0.63734100000000005</v>
      </c>
      <c r="L2520" s="174">
        <f>VLOOKUP(A2520,'Step 1'!$A:$E,4,FALSE)</f>
        <v>275697</v>
      </c>
      <c r="M2520" s="47">
        <f t="shared" si="746"/>
        <v>175713</v>
      </c>
      <c r="N2520" s="177">
        <f>SUMIFS('Support - Transition'!G:G,'Support - Transition'!J:J,'Step 2'!D2520,'Support - Transition'!E:E,"2009 WELFARE ALLOCATION FACTOR")</f>
        <v>0</v>
      </c>
      <c r="O2520" s="152">
        <f t="shared" si="751"/>
        <v>0</v>
      </c>
      <c r="P2520" s="126">
        <f>IF(E2520="Y",0,SUMIFS('Support - Transition'!G:G,'Support - Transition'!J:J,'Step 2'!D2520,'Support - Transition'!E:E,"2009 SCHOOL ALLOCATION FACTOR"))</f>
        <v>0.48412500000000003</v>
      </c>
      <c r="Q2520" s="126">
        <f>IF(E2520="Y",VLOOKUP(D2520,'Support - Unit Adjustments'!F:G,2,FALSE),0)</f>
        <v>0</v>
      </c>
      <c r="R2520" s="155">
        <f t="shared" si="763"/>
        <v>0.48412500000000003</v>
      </c>
      <c r="S2520" s="47">
        <f t="shared" si="762"/>
        <v>85067</v>
      </c>
      <c r="T2520" s="151">
        <f t="shared" si="747"/>
        <v>90646</v>
      </c>
      <c r="U2520" s="151">
        <f t="shared" si="748"/>
        <v>0</v>
      </c>
      <c r="V2520" s="139">
        <f t="shared" si="749"/>
        <v>0</v>
      </c>
      <c r="W2520" s="152">
        <f t="shared" si="752"/>
        <v>90646</v>
      </c>
      <c r="X2520" s="127" t="str">
        <f t="shared" si="750"/>
        <v/>
      </c>
      <c r="Y2520" s="207">
        <f t="shared" si="753"/>
        <v>90646</v>
      </c>
      <c r="Z2520" s="139">
        <f t="shared" si="754"/>
        <v>90646</v>
      </c>
      <c r="AA2520" s="139">
        <f t="shared" si="755"/>
        <v>0</v>
      </c>
      <c r="AC2520" s="47">
        <f t="shared" si="756"/>
        <v>45323</v>
      </c>
      <c r="AD2520" s="47">
        <f t="shared" si="757"/>
        <v>45323</v>
      </c>
      <c r="AE2520" s="47">
        <f t="shared" si="758"/>
        <v>0</v>
      </c>
      <c r="AG2520" s="47">
        <f t="shared" si="759"/>
        <v>45323</v>
      </c>
      <c r="AH2520" s="47">
        <f t="shared" si="760"/>
        <v>45323</v>
      </c>
      <c r="AI2520" s="208">
        <f t="shared" si="761"/>
        <v>0</v>
      </c>
    </row>
    <row r="2521" spans="1:35">
      <c r="A2521" t="s">
        <v>2171</v>
      </c>
      <c r="B2521" t="s">
        <v>3166</v>
      </c>
      <c r="C2521" t="s">
        <v>2224</v>
      </c>
      <c r="D2521" t="s">
        <v>6089</v>
      </c>
      <c r="F2521" t="s">
        <v>6090</v>
      </c>
      <c r="G2521" s="126">
        <f>SUMIFS('Support - Transition'!F:F,'Support - Transition'!B:B,'Step 2'!A2521,'Support - Transition'!C:C,'Step 2'!B2521,'Support - Transition'!D:D,'Step 2'!C2521,'Support - Transition'!E:E,"CIVIL")</f>
        <v>0</v>
      </c>
      <c r="H2521" s="126">
        <f>SUMIFS('Support - Transition'!F:F,'Support - Transition'!B:B,'Step 2'!A2521,'Support - Transition'!C:C,'Step 2'!B2521,'Support - Transition'!D:D,'Step 2'!C2521,'Support - Transition'!E:E,"FIRE")</f>
        <v>0</v>
      </c>
      <c r="I2521" s="126">
        <f>IF(B2521="0",SUMIFS('Support - Transition'!F:F,'Support - Transition'!J:J,'Step 2'!D2521,'Support - Transition'!E:E,"STATE UNIT"),SUMIFS('Support - Transition'!F:F,'Support - Transition'!J:J,'Step 2'!D2521))</f>
        <v>2.4358999999999999E-2</v>
      </c>
      <c r="J2521" s="126">
        <f>SUMIFS('Support - Unit Adjustments'!E:E,'Support - Unit Adjustments'!F:F,'Step 2'!D2521)</f>
        <v>0</v>
      </c>
      <c r="K2521" s="126">
        <f t="shared" si="745"/>
        <v>2.4358999999999999E-2</v>
      </c>
      <c r="L2521" s="174">
        <f>VLOOKUP(A2521,'Step 1'!$A:$E,4,FALSE)</f>
        <v>275697</v>
      </c>
      <c r="M2521" s="47">
        <f t="shared" si="746"/>
        <v>6716</v>
      </c>
      <c r="N2521" s="177">
        <f>SUMIFS('Support - Transition'!G:G,'Support - Transition'!J:J,'Step 2'!D2521,'Support - Transition'!E:E,"2009 WELFARE ALLOCATION FACTOR")</f>
        <v>0</v>
      </c>
      <c r="O2521" s="152">
        <f t="shared" si="751"/>
        <v>0</v>
      </c>
      <c r="P2521" s="126">
        <f>IF(E2521="Y",0,SUMIFS('Support - Transition'!G:G,'Support - Transition'!J:J,'Step 2'!D2521,'Support - Transition'!E:E,"2009 SCHOOL ALLOCATION FACTOR"))</f>
        <v>0</v>
      </c>
      <c r="Q2521" s="126">
        <f>IF(E2521="Y",VLOOKUP(D2521,'Support - Unit Adjustments'!F:G,2,FALSE),0)</f>
        <v>0</v>
      </c>
      <c r="R2521" s="155">
        <f t="shared" si="763"/>
        <v>0</v>
      </c>
      <c r="S2521" s="47">
        <f t="shared" si="762"/>
        <v>0</v>
      </c>
      <c r="T2521" s="151">
        <f t="shared" si="747"/>
        <v>6716</v>
      </c>
      <c r="U2521" s="151">
        <f t="shared" si="748"/>
        <v>0</v>
      </c>
      <c r="V2521" s="139">
        <f t="shared" si="749"/>
        <v>0</v>
      </c>
      <c r="W2521" s="152">
        <f t="shared" si="752"/>
        <v>6716</v>
      </c>
      <c r="X2521" s="127" t="str">
        <f t="shared" si="750"/>
        <v/>
      </c>
      <c r="Y2521" s="207">
        <f t="shared" si="753"/>
        <v>6716</v>
      </c>
      <c r="Z2521" s="139">
        <f t="shared" si="754"/>
        <v>6716</v>
      </c>
      <c r="AA2521" s="139">
        <f t="shared" si="755"/>
        <v>0</v>
      </c>
      <c r="AC2521" s="47">
        <f t="shared" si="756"/>
        <v>3358</v>
      </c>
      <c r="AD2521" s="47">
        <f t="shared" si="757"/>
        <v>3358</v>
      </c>
      <c r="AE2521" s="47">
        <f t="shared" si="758"/>
        <v>0</v>
      </c>
      <c r="AG2521" s="47">
        <f t="shared" si="759"/>
        <v>3358</v>
      </c>
      <c r="AH2521" s="47">
        <f t="shared" si="760"/>
        <v>3358</v>
      </c>
      <c r="AI2521" s="208">
        <f t="shared" si="761"/>
        <v>0</v>
      </c>
    </row>
    <row r="2522" spans="1:35">
      <c r="A2522" t="s">
        <v>2171</v>
      </c>
      <c r="B2522" t="s">
        <v>3166</v>
      </c>
      <c r="C2522" t="s">
        <v>6091</v>
      </c>
      <c r="D2522" t="s">
        <v>6092</v>
      </c>
      <c r="F2522" t="s">
        <v>1793</v>
      </c>
      <c r="G2522" s="126">
        <f>SUMIFS('Support - Transition'!F:F,'Support - Transition'!B:B,'Step 2'!A2522,'Support - Transition'!C:C,'Step 2'!B2522,'Support - Transition'!D:D,'Step 2'!C2522,'Support - Transition'!E:E,"CIVIL")</f>
        <v>0</v>
      </c>
      <c r="H2522" s="126">
        <f>SUMIFS('Support - Transition'!F:F,'Support - Transition'!B:B,'Step 2'!A2522,'Support - Transition'!C:C,'Step 2'!B2522,'Support - Transition'!D:D,'Step 2'!C2522,'Support - Transition'!E:E,"FIRE")</f>
        <v>0</v>
      </c>
      <c r="I2522" s="126">
        <f>IF(B2522="0",SUMIFS('Support - Transition'!F:F,'Support - Transition'!J:J,'Step 2'!D2522,'Support - Transition'!E:E,"STATE UNIT"),SUMIFS('Support - Transition'!F:F,'Support - Transition'!J:J,'Step 2'!D2522))</f>
        <v>1.1464E-2</v>
      </c>
      <c r="J2522" s="126">
        <f>SUMIFS('Support - Unit Adjustments'!E:E,'Support - Unit Adjustments'!F:F,'Step 2'!D2522)</f>
        <v>0</v>
      </c>
      <c r="K2522" s="126">
        <f t="shared" si="745"/>
        <v>1.1464E-2</v>
      </c>
      <c r="L2522" s="174">
        <f>VLOOKUP(A2522,'Step 1'!$A:$E,4,FALSE)</f>
        <v>275697</v>
      </c>
      <c r="M2522" s="47">
        <f t="shared" si="746"/>
        <v>3161</v>
      </c>
      <c r="N2522" s="177">
        <f>SUMIFS('Support - Transition'!G:G,'Support - Transition'!J:J,'Step 2'!D2522,'Support - Transition'!E:E,"2009 WELFARE ALLOCATION FACTOR")</f>
        <v>0</v>
      </c>
      <c r="O2522" s="152">
        <f t="shared" si="751"/>
        <v>0</v>
      </c>
      <c r="P2522" s="126">
        <f>IF(E2522="Y",0,SUMIFS('Support - Transition'!G:G,'Support - Transition'!J:J,'Step 2'!D2522,'Support - Transition'!E:E,"2009 SCHOOL ALLOCATION FACTOR"))</f>
        <v>0</v>
      </c>
      <c r="Q2522" s="126">
        <f>IF(E2522="Y",VLOOKUP(D2522,'Support - Unit Adjustments'!F:G,2,FALSE),0)</f>
        <v>0</v>
      </c>
      <c r="R2522" s="155">
        <f t="shared" si="763"/>
        <v>0</v>
      </c>
      <c r="S2522" s="47">
        <f t="shared" si="762"/>
        <v>0</v>
      </c>
      <c r="T2522" s="151">
        <f t="shared" si="747"/>
        <v>3161</v>
      </c>
      <c r="U2522" s="151">
        <f t="shared" si="748"/>
        <v>0</v>
      </c>
      <c r="V2522" s="139">
        <f t="shared" si="749"/>
        <v>0</v>
      </c>
      <c r="W2522" s="152">
        <f t="shared" si="752"/>
        <v>3161</v>
      </c>
      <c r="X2522" s="127" t="str">
        <f t="shared" si="750"/>
        <v/>
      </c>
      <c r="Y2522" s="207">
        <f t="shared" si="753"/>
        <v>3161</v>
      </c>
      <c r="Z2522" s="139">
        <f t="shared" si="754"/>
        <v>3161</v>
      </c>
      <c r="AA2522" s="139">
        <f t="shared" si="755"/>
        <v>0</v>
      </c>
      <c r="AC2522" s="47">
        <f t="shared" si="756"/>
        <v>1581</v>
      </c>
      <c r="AD2522" s="47">
        <f t="shared" si="757"/>
        <v>1581</v>
      </c>
      <c r="AE2522" s="47">
        <f t="shared" si="758"/>
        <v>0</v>
      </c>
      <c r="AG2522" s="47">
        <f t="shared" si="759"/>
        <v>1580</v>
      </c>
      <c r="AH2522" s="47">
        <f t="shared" si="760"/>
        <v>1580</v>
      </c>
      <c r="AI2522" s="208">
        <f t="shared" si="761"/>
        <v>0</v>
      </c>
    </row>
    <row r="2523" spans="1:35">
      <c r="A2523" t="s">
        <v>2171</v>
      </c>
      <c r="B2523" t="s">
        <v>3170</v>
      </c>
      <c r="C2523" t="s">
        <v>6093</v>
      </c>
      <c r="D2523" t="s">
        <v>6094</v>
      </c>
      <c r="F2523" t="s">
        <v>1795</v>
      </c>
      <c r="G2523" s="126">
        <f>SUMIFS('Support - Transition'!F:F,'Support - Transition'!B:B,'Step 2'!A2523,'Support - Transition'!C:C,'Step 2'!B2523,'Support - Transition'!D:D,'Step 2'!C2523,'Support - Transition'!E:E,"CIVIL")</f>
        <v>0</v>
      </c>
      <c r="H2523" s="126">
        <f>SUMIFS('Support - Transition'!F:F,'Support - Transition'!B:B,'Step 2'!A2523,'Support - Transition'!C:C,'Step 2'!B2523,'Support - Transition'!D:D,'Step 2'!C2523,'Support - Transition'!E:E,"FIRE")</f>
        <v>0</v>
      </c>
      <c r="I2523" s="126">
        <f>IF(B2523="0",SUMIFS('Support - Transition'!F:F,'Support - Transition'!J:J,'Step 2'!D2523,'Support - Transition'!E:E,"STATE UNIT"),SUMIFS('Support - Transition'!F:F,'Support - Transition'!J:J,'Step 2'!D2523))</f>
        <v>1.0569999999999857E-2</v>
      </c>
      <c r="J2523" s="126">
        <f>SUMIFS('Support - Unit Adjustments'!E:E,'Support - Unit Adjustments'!F:F,'Step 2'!D2523)</f>
        <v>0</v>
      </c>
      <c r="K2523" s="126">
        <f t="shared" si="745"/>
        <v>1.0569999999999857E-2</v>
      </c>
      <c r="L2523" s="174">
        <f>VLOOKUP(A2523,'Step 1'!$A:$E,4,FALSE)</f>
        <v>275697</v>
      </c>
      <c r="M2523" s="47">
        <f t="shared" si="746"/>
        <v>2914</v>
      </c>
      <c r="N2523" s="177">
        <f>SUMIFS('Support - Transition'!G:G,'Support - Transition'!J:J,'Step 2'!D2523,'Support - Transition'!E:E,"2009 WELFARE ALLOCATION FACTOR")</f>
        <v>0</v>
      </c>
      <c r="O2523" s="152">
        <f t="shared" si="751"/>
        <v>0</v>
      </c>
      <c r="P2523" s="126">
        <f>IF(E2523="Y",0,SUMIFS('Support - Transition'!G:G,'Support - Transition'!J:J,'Step 2'!D2523,'Support - Transition'!E:E,"2009 SCHOOL ALLOCATION FACTOR"))</f>
        <v>0</v>
      </c>
      <c r="Q2523" s="126">
        <f>IF(E2523="Y",VLOOKUP(D2523,'Support - Unit Adjustments'!F:G,2,FALSE),0)</f>
        <v>0</v>
      </c>
      <c r="R2523" s="155">
        <f t="shared" si="763"/>
        <v>0</v>
      </c>
      <c r="S2523" s="47">
        <f t="shared" si="762"/>
        <v>0</v>
      </c>
      <c r="T2523" s="151">
        <f t="shared" si="747"/>
        <v>2914</v>
      </c>
      <c r="U2523" s="151">
        <f t="shared" si="748"/>
        <v>0</v>
      </c>
      <c r="V2523" s="139">
        <f t="shared" si="749"/>
        <v>0</v>
      </c>
      <c r="W2523" s="152">
        <f t="shared" si="752"/>
        <v>2914</v>
      </c>
      <c r="X2523" s="127" t="str">
        <f t="shared" si="750"/>
        <v/>
      </c>
      <c r="Y2523" s="207">
        <f t="shared" si="753"/>
        <v>2914</v>
      </c>
      <c r="Z2523" s="139">
        <f t="shared" si="754"/>
        <v>2914</v>
      </c>
      <c r="AA2523" s="139">
        <f t="shared" si="755"/>
        <v>0</v>
      </c>
      <c r="AC2523" s="47">
        <f t="shared" si="756"/>
        <v>1457</v>
      </c>
      <c r="AD2523" s="47">
        <f t="shared" si="757"/>
        <v>1457</v>
      </c>
      <c r="AE2523" s="47">
        <f t="shared" si="758"/>
        <v>0</v>
      </c>
      <c r="AG2523" s="47">
        <f t="shared" si="759"/>
        <v>1457</v>
      </c>
      <c r="AH2523" s="47">
        <f t="shared" si="760"/>
        <v>1457</v>
      </c>
      <c r="AI2523" s="208">
        <f t="shared" si="761"/>
        <v>0</v>
      </c>
    </row>
    <row r="2524" spans="1:35">
      <c r="A2524" t="s">
        <v>2172</v>
      </c>
      <c r="B2524" s="48" t="s">
        <v>6274</v>
      </c>
      <c r="C2524" t="s">
        <v>2187</v>
      </c>
      <c r="D2524" t="str">
        <f>A2524&amp;B2524&amp;C2524</f>
        <v>8800000</v>
      </c>
      <c r="F2524" t="s">
        <v>6362</v>
      </c>
      <c r="G2524" s="126">
        <f>SUMIFS('Support - Transition'!F:F,'Support - Transition'!B:B,'Step 2'!A2524,'Support - Transition'!C:C,'Step 2'!B2524,'Support - Transition'!D:D,'Step 2'!C2524,'Support - Transition'!E:E,"CIVIL")</f>
        <v>0</v>
      </c>
      <c r="H2524" s="126">
        <f>SUMIFS('Support - Transition'!F:F,'Support - Transition'!B:B,'Step 2'!A2524,'Support - Transition'!C:C,'Step 2'!B2524,'Support - Transition'!D:D,'Step 2'!C2524,'Support - Transition'!E:E,"FIRE")</f>
        <v>0</v>
      </c>
      <c r="I2524" s="126">
        <f>IF(B2524="0",SUMIFS('Support - Transition'!F:F,'Support - Transition'!J:J,'Step 2'!D2524,'Support - Transition'!E:E,"STATE UNIT"),SUMIFS('Support - Transition'!F:F,'Support - Transition'!J:J,'Step 2'!D2524))</f>
        <v>1.217E-3</v>
      </c>
      <c r="J2524" s="126">
        <f>SUMIFS('Support - Unit Adjustments'!E:E,'Support - Unit Adjustments'!F:F,'Step 2'!D2524)</f>
        <v>0</v>
      </c>
      <c r="K2524" s="126">
        <f t="shared" si="745"/>
        <v>1.217E-3</v>
      </c>
      <c r="L2524" s="174">
        <f>VLOOKUP(A2524,'Step 1'!$A:$E,4,FALSE)</f>
        <v>176760</v>
      </c>
      <c r="M2524" s="47">
        <f t="shared" si="746"/>
        <v>215</v>
      </c>
      <c r="N2524" s="177">
        <f>SUMIFS('Support - Transition'!G:G,'Support - Transition'!J:J,'Step 2'!D2524,'Support - Transition'!E:E,"2009 WELFARE ALLOCATION FACTOR")</f>
        <v>0</v>
      </c>
      <c r="O2524" s="152">
        <f t="shared" si="751"/>
        <v>0</v>
      </c>
      <c r="P2524" s="126">
        <f>IF(E2524="Y",0,SUMIFS('Support - Transition'!G:G,'Support - Transition'!J:J,'Step 2'!D2524,'Support - Transition'!E:E,"2009 SCHOOL ALLOCATION FACTOR"))</f>
        <v>0</v>
      </c>
      <c r="Q2524" s="126">
        <f>IF(E2524="Y",VLOOKUP(D2524,'Support - Unit Adjustments'!F:G,2,FALSE),0)</f>
        <v>0</v>
      </c>
      <c r="R2524" s="155">
        <f t="shared" si="763"/>
        <v>0</v>
      </c>
      <c r="S2524" s="47">
        <f t="shared" si="762"/>
        <v>0</v>
      </c>
      <c r="T2524" s="151">
        <f t="shared" si="747"/>
        <v>215</v>
      </c>
      <c r="U2524" s="151">
        <f t="shared" si="748"/>
        <v>176761</v>
      </c>
      <c r="V2524" s="139">
        <f t="shared" si="749"/>
        <v>1</v>
      </c>
      <c r="W2524" s="152">
        <f t="shared" si="752"/>
        <v>214</v>
      </c>
      <c r="X2524" s="127">
        <f t="shared" si="750"/>
        <v>0</v>
      </c>
      <c r="Y2524" s="207">
        <f t="shared" si="753"/>
        <v>214</v>
      </c>
      <c r="Z2524" s="139">
        <f t="shared" si="754"/>
        <v>214</v>
      </c>
      <c r="AA2524" s="139">
        <f t="shared" si="755"/>
        <v>0</v>
      </c>
      <c r="AC2524" s="47">
        <f t="shared" si="756"/>
        <v>107</v>
      </c>
      <c r="AD2524" s="47">
        <f t="shared" si="757"/>
        <v>107</v>
      </c>
      <c r="AE2524" s="47">
        <f t="shared" si="758"/>
        <v>0</v>
      </c>
      <c r="AG2524" s="47">
        <f t="shared" si="759"/>
        <v>107</v>
      </c>
      <c r="AH2524" s="47">
        <f t="shared" si="760"/>
        <v>107</v>
      </c>
      <c r="AI2524" s="208">
        <f t="shared" si="761"/>
        <v>0</v>
      </c>
    </row>
    <row r="2525" spans="1:35">
      <c r="A2525" t="s">
        <v>2172</v>
      </c>
      <c r="B2525" t="s">
        <v>3140</v>
      </c>
      <c r="C2525" t="s">
        <v>2187</v>
      </c>
      <c r="D2525" t="s">
        <v>6095</v>
      </c>
      <c r="F2525" t="s">
        <v>1797</v>
      </c>
      <c r="G2525" s="126">
        <f>SUMIFS('Support - Transition'!F:F,'Support - Transition'!B:B,'Step 2'!A2525,'Support - Transition'!C:C,'Step 2'!B2525,'Support - Transition'!D:D,'Step 2'!C2525,'Support - Transition'!E:E,"CIVIL")</f>
        <v>0</v>
      </c>
      <c r="H2525" s="126">
        <f>SUMIFS('Support - Transition'!F:F,'Support - Transition'!B:B,'Step 2'!A2525,'Support - Transition'!C:C,'Step 2'!B2525,'Support - Transition'!D:D,'Step 2'!C2525,'Support - Transition'!E:E,"FIRE")</f>
        <v>0</v>
      </c>
      <c r="I2525" s="126">
        <f>IF(B2525="0",SUMIFS('Support - Transition'!F:F,'Support - Transition'!J:J,'Step 2'!D2525,'Support - Transition'!E:E,"STATE UNIT"),SUMIFS('Support - Transition'!F:F,'Support - Transition'!J:J,'Step 2'!D2525))</f>
        <v>0.25672099999999998</v>
      </c>
      <c r="J2525" s="126">
        <f>SUMIFS('Support - Unit Adjustments'!E:E,'Support - Unit Adjustments'!F:F,'Step 2'!D2525)</f>
        <v>1.0000000000000001E-5</v>
      </c>
      <c r="K2525" s="126">
        <f t="shared" si="745"/>
        <v>0.25673099999999999</v>
      </c>
      <c r="L2525" s="174">
        <f>VLOOKUP(A2525,'Step 1'!$A:$E,4,FALSE)</f>
        <v>176760</v>
      </c>
      <c r="M2525" s="47">
        <f t="shared" si="746"/>
        <v>45380</v>
      </c>
      <c r="N2525" s="177">
        <f>SUMIFS('Support - Transition'!G:G,'Support - Transition'!J:J,'Step 2'!D2525,'Support - Transition'!E:E,"2009 WELFARE ALLOCATION FACTOR")</f>
        <v>0.220443</v>
      </c>
      <c r="O2525" s="152">
        <f t="shared" si="751"/>
        <v>10004</v>
      </c>
      <c r="P2525" s="126">
        <f>IF(E2525="Y",0,SUMIFS('Support - Transition'!G:G,'Support - Transition'!J:J,'Step 2'!D2525,'Support - Transition'!E:E,"2009 SCHOOL ALLOCATION FACTOR"))</f>
        <v>0</v>
      </c>
      <c r="Q2525" s="126">
        <f>IF(E2525="Y",VLOOKUP(D2525,'Support - Unit Adjustments'!F:G,2,FALSE),0)</f>
        <v>0</v>
      </c>
      <c r="R2525" s="155">
        <f t="shared" si="763"/>
        <v>0</v>
      </c>
      <c r="S2525" s="47">
        <f t="shared" si="762"/>
        <v>0</v>
      </c>
      <c r="T2525" s="151">
        <f t="shared" si="747"/>
        <v>35376</v>
      </c>
      <c r="U2525" s="151">
        <f t="shared" si="748"/>
        <v>0</v>
      </c>
      <c r="V2525" s="139">
        <f t="shared" si="749"/>
        <v>0</v>
      </c>
      <c r="W2525" s="152">
        <f t="shared" si="752"/>
        <v>35376</v>
      </c>
      <c r="X2525" s="127" t="str">
        <f t="shared" si="750"/>
        <v/>
      </c>
      <c r="Y2525" s="207">
        <f t="shared" si="753"/>
        <v>35376</v>
      </c>
      <c r="Z2525" s="139">
        <f t="shared" si="754"/>
        <v>35376</v>
      </c>
      <c r="AA2525" s="139">
        <f t="shared" si="755"/>
        <v>0</v>
      </c>
      <c r="AC2525" s="47">
        <f t="shared" si="756"/>
        <v>17688</v>
      </c>
      <c r="AD2525" s="47">
        <f t="shared" si="757"/>
        <v>17688</v>
      </c>
      <c r="AE2525" s="47">
        <f t="shared" si="758"/>
        <v>0</v>
      </c>
      <c r="AG2525" s="47">
        <f t="shared" si="759"/>
        <v>17688</v>
      </c>
      <c r="AH2525" s="47">
        <f t="shared" si="760"/>
        <v>17688</v>
      </c>
      <c r="AI2525" s="208">
        <f t="shared" si="761"/>
        <v>0</v>
      </c>
    </row>
    <row r="2526" spans="1:35">
      <c r="A2526" t="s">
        <v>2172</v>
      </c>
      <c r="B2526" t="s">
        <v>3142</v>
      </c>
      <c r="C2526" t="s">
        <v>2188</v>
      </c>
      <c r="D2526" t="s">
        <v>6096</v>
      </c>
      <c r="F2526" t="s">
        <v>671</v>
      </c>
      <c r="G2526" s="126">
        <f>SUMIFS('Support - Transition'!F:F,'Support - Transition'!B:B,'Step 2'!A2526,'Support - Transition'!C:C,'Step 2'!B2526,'Support - Transition'!D:D,'Step 2'!C2526,'Support - Transition'!E:E,"CIVIL")</f>
        <v>6.7500000000000004E-4</v>
      </c>
      <c r="H2526" s="126">
        <f>SUMIFS('Support - Transition'!F:F,'Support - Transition'!B:B,'Step 2'!A2526,'Support - Transition'!C:C,'Step 2'!B2526,'Support - Transition'!D:D,'Step 2'!C2526,'Support - Transition'!E:E,"FIRE")</f>
        <v>0</v>
      </c>
      <c r="I2526" s="126">
        <f>IF(B2526="0",SUMIFS('Support - Transition'!F:F,'Support - Transition'!J:J,'Step 2'!D2526,'Support - Transition'!E:E,"STATE UNIT"),SUMIFS('Support - Transition'!F:F,'Support - Transition'!J:J,'Step 2'!D2526))</f>
        <v>6.7500000000000004E-4</v>
      </c>
      <c r="J2526" s="126">
        <f>SUMIFS('Support - Unit Adjustments'!E:E,'Support - Unit Adjustments'!F:F,'Step 2'!D2526)</f>
        <v>0</v>
      </c>
      <c r="K2526" s="126">
        <f t="shared" si="745"/>
        <v>6.7500000000000004E-4</v>
      </c>
      <c r="L2526" s="174">
        <f>VLOOKUP(A2526,'Step 1'!$A:$E,4,FALSE)</f>
        <v>176760</v>
      </c>
      <c r="M2526" s="47">
        <f t="shared" si="746"/>
        <v>119</v>
      </c>
      <c r="N2526" s="177">
        <f>SUMIFS('Support - Transition'!G:G,'Support - Transition'!J:J,'Step 2'!D2526,'Support - Transition'!E:E,"2009 WELFARE ALLOCATION FACTOR")</f>
        <v>0</v>
      </c>
      <c r="O2526" s="152">
        <f t="shared" si="751"/>
        <v>0</v>
      </c>
      <c r="P2526" s="126">
        <f>IF(E2526="Y",0,SUMIFS('Support - Transition'!G:G,'Support - Transition'!J:J,'Step 2'!D2526,'Support - Transition'!E:E,"2009 SCHOOL ALLOCATION FACTOR"))</f>
        <v>0</v>
      </c>
      <c r="Q2526" s="126">
        <f>IF(E2526="Y",VLOOKUP(D2526,'Support - Unit Adjustments'!F:G,2,FALSE),0)</f>
        <v>0</v>
      </c>
      <c r="R2526" s="155">
        <f t="shared" si="763"/>
        <v>0</v>
      </c>
      <c r="S2526" s="47">
        <f t="shared" si="762"/>
        <v>0</v>
      </c>
      <c r="T2526" s="151">
        <f t="shared" si="747"/>
        <v>119</v>
      </c>
      <c r="U2526" s="151">
        <f t="shared" si="748"/>
        <v>0</v>
      </c>
      <c r="V2526" s="139">
        <f t="shared" si="749"/>
        <v>0</v>
      </c>
      <c r="W2526" s="152">
        <f t="shared" si="752"/>
        <v>119</v>
      </c>
      <c r="X2526" s="127" t="str">
        <f t="shared" si="750"/>
        <v/>
      </c>
      <c r="Y2526" s="207">
        <f t="shared" si="753"/>
        <v>119</v>
      </c>
      <c r="Z2526" s="139">
        <f t="shared" si="754"/>
        <v>119</v>
      </c>
      <c r="AA2526" s="139">
        <f t="shared" si="755"/>
        <v>0</v>
      </c>
      <c r="AC2526" s="47">
        <f t="shared" si="756"/>
        <v>60</v>
      </c>
      <c r="AD2526" s="47">
        <f t="shared" si="757"/>
        <v>60</v>
      </c>
      <c r="AE2526" s="47">
        <f t="shared" si="758"/>
        <v>0</v>
      </c>
      <c r="AG2526" s="47">
        <f t="shared" si="759"/>
        <v>59</v>
      </c>
      <c r="AH2526" s="47">
        <f t="shared" si="760"/>
        <v>59</v>
      </c>
      <c r="AI2526" s="208">
        <f t="shared" si="761"/>
        <v>0</v>
      </c>
    </row>
    <row r="2527" spans="1:35">
      <c r="A2527" t="s">
        <v>2172</v>
      </c>
      <c r="B2527" t="s">
        <v>3142</v>
      </c>
      <c r="C2527" t="s">
        <v>2189</v>
      </c>
      <c r="D2527" t="s">
        <v>6097</v>
      </c>
      <c r="F2527" t="s">
        <v>372</v>
      </c>
      <c r="G2527" s="126">
        <f>SUMIFS('Support - Transition'!F:F,'Support - Transition'!B:B,'Step 2'!A2527,'Support - Transition'!C:C,'Step 2'!B2527,'Support - Transition'!D:D,'Step 2'!C2527,'Support - Transition'!E:E,"CIVIL")</f>
        <v>9.9500000000000001E-4</v>
      </c>
      <c r="H2527" s="126">
        <f>SUMIFS('Support - Transition'!F:F,'Support - Transition'!B:B,'Step 2'!A2527,'Support - Transition'!C:C,'Step 2'!B2527,'Support - Transition'!D:D,'Step 2'!C2527,'Support - Transition'!E:E,"FIRE")</f>
        <v>6.7000000000000002E-4</v>
      </c>
      <c r="I2527" s="126">
        <f>IF(B2527="0",SUMIFS('Support - Transition'!F:F,'Support - Transition'!J:J,'Step 2'!D2527,'Support - Transition'!E:E,"STATE UNIT"),SUMIFS('Support - Transition'!F:F,'Support - Transition'!J:J,'Step 2'!D2527))</f>
        <v>1.665E-3</v>
      </c>
      <c r="J2527" s="126">
        <f>SUMIFS('Support - Unit Adjustments'!E:E,'Support - Unit Adjustments'!F:F,'Step 2'!D2527)</f>
        <v>0</v>
      </c>
      <c r="K2527" s="126">
        <f t="shared" si="745"/>
        <v>1.665E-3</v>
      </c>
      <c r="L2527" s="174">
        <f>VLOOKUP(A2527,'Step 1'!$A:$E,4,FALSE)</f>
        <v>176760</v>
      </c>
      <c r="M2527" s="47">
        <f t="shared" si="746"/>
        <v>294</v>
      </c>
      <c r="N2527" s="177">
        <f>SUMIFS('Support - Transition'!G:G,'Support - Transition'!J:J,'Step 2'!D2527,'Support - Transition'!E:E,"2009 WELFARE ALLOCATION FACTOR")</f>
        <v>0</v>
      </c>
      <c r="O2527" s="152">
        <f t="shared" si="751"/>
        <v>0</v>
      </c>
      <c r="P2527" s="126">
        <f>IF(E2527="Y",0,SUMIFS('Support - Transition'!G:G,'Support - Transition'!J:J,'Step 2'!D2527,'Support - Transition'!E:E,"2009 SCHOOL ALLOCATION FACTOR"))</f>
        <v>0</v>
      </c>
      <c r="Q2527" s="126">
        <f>IF(E2527="Y",VLOOKUP(D2527,'Support - Unit Adjustments'!F:G,2,FALSE),0)</f>
        <v>0</v>
      </c>
      <c r="R2527" s="155">
        <f t="shared" si="763"/>
        <v>0</v>
      </c>
      <c r="S2527" s="47">
        <f t="shared" si="762"/>
        <v>0</v>
      </c>
      <c r="T2527" s="151">
        <f t="shared" si="747"/>
        <v>294</v>
      </c>
      <c r="U2527" s="151">
        <f t="shared" si="748"/>
        <v>0</v>
      </c>
      <c r="V2527" s="139">
        <f t="shared" si="749"/>
        <v>0</v>
      </c>
      <c r="W2527" s="152">
        <f t="shared" si="752"/>
        <v>294</v>
      </c>
      <c r="X2527" s="127" t="str">
        <f t="shared" si="750"/>
        <v/>
      </c>
      <c r="Y2527" s="207">
        <f t="shared" si="753"/>
        <v>294</v>
      </c>
      <c r="Z2527" s="139">
        <f t="shared" si="754"/>
        <v>176</v>
      </c>
      <c r="AA2527" s="139">
        <f t="shared" si="755"/>
        <v>118</v>
      </c>
      <c r="AC2527" s="47">
        <f t="shared" si="756"/>
        <v>147</v>
      </c>
      <c r="AD2527" s="47">
        <f t="shared" si="757"/>
        <v>88</v>
      </c>
      <c r="AE2527" s="47">
        <f t="shared" si="758"/>
        <v>59</v>
      </c>
      <c r="AG2527" s="47">
        <f t="shared" si="759"/>
        <v>147</v>
      </c>
      <c r="AH2527" s="47">
        <f t="shared" si="760"/>
        <v>88</v>
      </c>
      <c r="AI2527" s="208">
        <f t="shared" si="761"/>
        <v>59</v>
      </c>
    </row>
    <row r="2528" spans="1:35">
      <c r="A2528" t="s">
        <v>2172</v>
      </c>
      <c r="B2528" t="s">
        <v>3142</v>
      </c>
      <c r="C2528" t="s">
        <v>2190</v>
      </c>
      <c r="D2528" t="s">
        <v>6098</v>
      </c>
      <c r="F2528" t="s">
        <v>1798</v>
      </c>
      <c r="G2528" s="126">
        <f>SUMIFS('Support - Transition'!F:F,'Support - Transition'!B:B,'Step 2'!A2528,'Support - Transition'!C:C,'Step 2'!B2528,'Support - Transition'!D:D,'Step 2'!C2528,'Support - Transition'!E:E,"CIVIL")</f>
        <v>7.4200000000000004E-4</v>
      </c>
      <c r="H2528" s="126">
        <f>SUMIFS('Support - Transition'!F:F,'Support - Transition'!B:B,'Step 2'!A2528,'Support - Transition'!C:C,'Step 2'!B2528,'Support - Transition'!D:D,'Step 2'!C2528,'Support - Transition'!E:E,"FIRE")</f>
        <v>9.5399999999999999E-4</v>
      </c>
      <c r="I2528" s="126">
        <f>IF(B2528="0",SUMIFS('Support - Transition'!F:F,'Support - Transition'!J:J,'Step 2'!D2528,'Support - Transition'!E:E,"STATE UNIT"),SUMIFS('Support - Transition'!F:F,'Support - Transition'!J:J,'Step 2'!D2528))</f>
        <v>1.696E-3</v>
      </c>
      <c r="J2528" s="126">
        <f>SUMIFS('Support - Unit Adjustments'!E:E,'Support - Unit Adjustments'!F:F,'Step 2'!D2528)</f>
        <v>0</v>
      </c>
      <c r="K2528" s="126">
        <f t="shared" si="745"/>
        <v>1.696E-3</v>
      </c>
      <c r="L2528" s="174">
        <f>VLOOKUP(A2528,'Step 1'!$A:$E,4,FALSE)</f>
        <v>176760</v>
      </c>
      <c r="M2528" s="47">
        <f t="shared" si="746"/>
        <v>300</v>
      </c>
      <c r="N2528" s="177">
        <f>SUMIFS('Support - Transition'!G:G,'Support - Transition'!J:J,'Step 2'!D2528,'Support - Transition'!E:E,"2009 WELFARE ALLOCATION FACTOR")</f>
        <v>0</v>
      </c>
      <c r="O2528" s="152">
        <f t="shared" si="751"/>
        <v>0</v>
      </c>
      <c r="P2528" s="126">
        <f>IF(E2528="Y",0,SUMIFS('Support - Transition'!G:G,'Support - Transition'!J:J,'Step 2'!D2528,'Support - Transition'!E:E,"2009 SCHOOL ALLOCATION FACTOR"))</f>
        <v>0</v>
      </c>
      <c r="Q2528" s="126">
        <f>IF(E2528="Y",VLOOKUP(D2528,'Support - Unit Adjustments'!F:G,2,FALSE),0)</f>
        <v>0</v>
      </c>
      <c r="R2528" s="155">
        <f t="shared" si="763"/>
        <v>0</v>
      </c>
      <c r="S2528" s="47">
        <f t="shared" si="762"/>
        <v>0</v>
      </c>
      <c r="T2528" s="151">
        <f t="shared" si="747"/>
        <v>300</v>
      </c>
      <c r="U2528" s="151">
        <f t="shared" si="748"/>
        <v>0</v>
      </c>
      <c r="V2528" s="139">
        <f t="shared" si="749"/>
        <v>0</v>
      </c>
      <c r="W2528" s="152">
        <f t="shared" si="752"/>
        <v>300</v>
      </c>
      <c r="X2528" s="127" t="str">
        <f t="shared" si="750"/>
        <v/>
      </c>
      <c r="Y2528" s="207">
        <f t="shared" si="753"/>
        <v>300</v>
      </c>
      <c r="Z2528" s="139">
        <f t="shared" si="754"/>
        <v>131</v>
      </c>
      <c r="AA2528" s="139">
        <f t="shared" si="755"/>
        <v>169</v>
      </c>
      <c r="AC2528" s="47">
        <f t="shared" si="756"/>
        <v>150</v>
      </c>
      <c r="AD2528" s="47">
        <f t="shared" si="757"/>
        <v>66</v>
      </c>
      <c r="AE2528" s="47">
        <f t="shared" si="758"/>
        <v>85</v>
      </c>
      <c r="AG2528" s="47">
        <f t="shared" si="759"/>
        <v>150</v>
      </c>
      <c r="AH2528" s="47">
        <f t="shared" si="760"/>
        <v>65</v>
      </c>
      <c r="AI2528" s="208">
        <f t="shared" si="761"/>
        <v>84</v>
      </c>
    </row>
    <row r="2529" spans="1:35">
      <c r="A2529" t="s">
        <v>2172</v>
      </c>
      <c r="B2529" t="s">
        <v>3142</v>
      </c>
      <c r="C2529" t="s">
        <v>2191</v>
      </c>
      <c r="D2529" t="s">
        <v>6099</v>
      </c>
      <c r="F2529" t="s">
        <v>777</v>
      </c>
      <c r="G2529" s="126">
        <f>SUMIFS('Support - Transition'!F:F,'Support - Transition'!B:B,'Step 2'!A2529,'Support - Transition'!C:C,'Step 2'!B2529,'Support - Transition'!D:D,'Step 2'!C2529,'Support - Transition'!E:E,"CIVIL")</f>
        <v>1.3899999999999999E-4</v>
      </c>
      <c r="H2529" s="126">
        <f>SUMIFS('Support - Transition'!F:F,'Support - Transition'!B:B,'Step 2'!A2529,'Support - Transition'!C:C,'Step 2'!B2529,'Support - Transition'!D:D,'Step 2'!C2529,'Support - Transition'!E:E,"FIRE")</f>
        <v>0</v>
      </c>
      <c r="I2529" s="126">
        <f>IF(B2529="0",SUMIFS('Support - Transition'!F:F,'Support - Transition'!J:J,'Step 2'!D2529,'Support - Transition'!E:E,"STATE UNIT"),SUMIFS('Support - Transition'!F:F,'Support - Transition'!J:J,'Step 2'!D2529))</f>
        <v>1.3899999999999999E-4</v>
      </c>
      <c r="J2529" s="126">
        <f>SUMIFS('Support - Unit Adjustments'!E:E,'Support - Unit Adjustments'!F:F,'Step 2'!D2529)</f>
        <v>0</v>
      </c>
      <c r="K2529" s="126">
        <f t="shared" si="745"/>
        <v>1.3899999999999999E-4</v>
      </c>
      <c r="L2529" s="174">
        <f>VLOOKUP(A2529,'Step 1'!$A:$E,4,FALSE)</f>
        <v>176760</v>
      </c>
      <c r="M2529" s="47">
        <f t="shared" si="746"/>
        <v>25</v>
      </c>
      <c r="N2529" s="177">
        <f>SUMIFS('Support - Transition'!G:G,'Support - Transition'!J:J,'Step 2'!D2529,'Support - Transition'!E:E,"2009 WELFARE ALLOCATION FACTOR")</f>
        <v>0</v>
      </c>
      <c r="O2529" s="152">
        <f t="shared" si="751"/>
        <v>0</v>
      </c>
      <c r="P2529" s="126">
        <f>IF(E2529="Y",0,SUMIFS('Support - Transition'!G:G,'Support - Transition'!J:J,'Step 2'!D2529,'Support - Transition'!E:E,"2009 SCHOOL ALLOCATION FACTOR"))</f>
        <v>0</v>
      </c>
      <c r="Q2529" s="126">
        <f>IF(E2529="Y",VLOOKUP(D2529,'Support - Unit Adjustments'!F:G,2,FALSE),0)</f>
        <v>0</v>
      </c>
      <c r="R2529" s="155">
        <f t="shared" si="763"/>
        <v>0</v>
      </c>
      <c r="S2529" s="47">
        <f t="shared" si="762"/>
        <v>0</v>
      </c>
      <c r="T2529" s="151">
        <f t="shared" si="747"/>
        <v>25</v>
      </c>
      <c r="U2529" s="151">
        <f t="shared" si="748"/>
        <v>0</v>
      </c>
      <c r="V2529" s="139">
        <f t="shared" si="749"/>
        <v>0</v>
      </c>
      <c r="W2529" s="152">
        <f t="shared" si="752"/>
        <v>25</v>
      </c>
      <c r="X2529" s="127" t="str">
        <f t="shared" si="750"/>
        <v/>
      </c>
      <c r="Y2529" s="207">
        <f t="shared" si="753"/>
        <v>25</v>
      </c>
      <c r="Z2529" s="139">
        <f t="shared" si="754"/>
        <v>25</v>
      </c>
      <c r="AA2529" s="139">
        <f t="shared" si="755"/>
        <v>0</v>
      </c>
      <c r="AC2529" s="47">
        <f t="shared" si="756"/>
        <v>13</v>
      </c>
      <c r="AD2529" s="47">
        <f t="shared" si="757"/>
        <v>13</v>
      </c>
      <c r="AE2529" s="47">
        <f t="shared" si="758"/>
        <v>0</v>
      </c>
      <c r="AG2529" s="47">
        <f t="shared" si="759"/>
        <v>12</v>
      </c>
      <c r="AH2529" s="47">
        <f t="shared" si="760"/>
        <v>12</v>
      </c>
      <c r="AI2529" s="208">
        <f t="shared" si="761"/>
        <v>0</v>
      </c>
    </row>
    <row r="2530" spans="1:35">
      <c r="A2530" t="s">
        <v>2172</v>
      </c>
      <c r="B2530" t="s">
        <v>3142</v>
      </c>
      <c r="C2530" t="s">
        <v>2192</v>
      </c>
      <c r="D2530" t="s">
        <v>6100</v>
      </c>
      <c r="F2530" t="s">
        <v>49</v>
      </c>
      <c r="G2530" s="126">
        <f>SUMIFS('Support - Transition'!F:F,'Support - Transition'!B:B,'Step 2'!A2530,'Support - Transition'!C:C,'Step 2'!B2530,'Support - Transition'!D:D,'Step 2'!C2530,'Support - Transition'!E:E,"CIVIL")</f>
        <v>7.3200000000000001E-4</v>
      </c>
      <c r="H2530" s="126">
        <f>SUMIFS('Support - Transition'!F:F,'Support - Transition'!B:B,'Step 2'!A2530,'Support - Transition'!C:C,'Step 2'!B2530,'Support - Transition'!D:D,'Step 2'!C2530,'Support - Transition'!E:E,"FIRE")</f>
        <v>5.31E-4</v>
      </c>
      <c r="I2530" s="126">
        <f>IF(B2530="0",SUMIFS('Support - Transition'!F:F,'Support - Transition'!J:J,'Step 2'!D2530,'Support - Transition'!E:E,"STATE UNIT"),SUMIFS('Support - Transition'!F:F,'Support - Transition'!J:J,'Step 2'!D2530))</f>
        <v>1.263E-3</v>
      </c>
      <c r="J2530" s="126">
        <f>SUMIFS('Support - Unit Adjustments'!E:E,'Support - Unit Adjustments'!F:F,'Step 2'!D2530)</f>
        <v>0</v>
      </c>
      <c r="K2530" s="126">
        <f t="shared" si="745"/>
        <v>1.263E-3</v>
      </c>
      <c r="L2530" s="174">
        <f>VLOOKUP(A2530,'Step 1'!$A:$E,4,FALSE)</f>
        <v>176760</v>
      </c>
      <c r="M2530" s="47">
        <f t="shared" si="746"/>
        <v>223</v>
      </c>
      <c r="N2530" s="177">
        <f>SUMIFS('Support - Transition'!G:G,'Support - Transition'!J:J,'Step 2'!D2530,'Support - Transition'!E:E,"2009 WELFARE ALLOCATION FACTOR")</f>
        <v>0</v>
      </c>
      <c r="O2530" s="152">
        <f t="shared" si="751"/>
        <v>0</v>
      </c>
      <c r="P2530" s="126">
        <f>IF(E2530="Y",0,SUMIFS('Support - Transition'!G:G,'Support - Transition'!J:J,'Step 2'!D2530,'Support - Transition'!E:E,"2009 SCHOOL ALLOCATION FACTOR"))</f>
        <v>0</v>
      </c>
      <c r="Q2530" s="126">
        <f>IF(E2530="Y",VLOOKUP(D2530,'Support - Unit Adjustments'!F:G,2,FALSE),0)</f>
        <v>0</v>
      </c>
      <c r="R2530" s="155">
        <f t="shared" si="763"/>
        <v>0</v>
      </c>
      <c r="S2530" s="47">
        <f t="shared" si="762"/>
        <v>0</v>
      </c>
      <c r="T2530" s="151">
        <f t="shared" si="747"/>
        <v>223</v>
      </c>
      <c r="U2530" s="151">
        <f t="shared" si="748"/>
        <v>0</v>
      </c>
      <c r="V2530" s="139">
        <f t="shared" si="749"/>
        <v>0</v>
      </c>
      <c r="W2530" s="152">
        <f t="shared" si="752"/>
        <v>223</v>
      </c>
      <c r="X2530" s="127" t="str">
        <f t="shared" si="750"/>
        <v/>
      </c>
      <c r="Y2530" s="207">
        <f t="shared" si="753"/>
        <v>223</v>
      </c>
      <c r="Z2530" s="139">
        <f t="shared" si="754"/>
        <v>129</v>
      </c>
      <c r="AA2530" s="139">
        <f t="shared" si="755"/>
        <v>94</v>
      </c>
      <c r="AC2530" s="47">
        <f t="shared" si="756"/>
        <v>112</v>
      </c>
      <c r="AD2530" s="47">
        <f t="shared" si="757"/>
        <v>65</v>
      </c>
      <c r="AE2530" s="47">
        <f t="shared" si="758"/>
        <v>47</v>
      </c>
      <c r="AG2530" s="47">
        <f t="shared" si="759"/>
        <v>111</v>
      </c>
      <c r="AH2530" s="47">
        <f t="shared" si="760"/>
        <v>64</v>
      </c>
      <c r="AI2530" s="208">
        <f t="shared" si="761"/>
        <v>47</v>
      </c>
    </row>
    <row r="2531" spans="1:35">
      <c r="A2531" t="s">
        <v>2172</v>
      </c>
      <c r="B2531" t="s">
        <v>3142</v>
      </c>
      <c r="C2531" t="s">
        <v>2193</v>
      </c>
      <c r="D2531" t="s">
        <v>6101</v>
      </c>
      <c r="F2531" t="s">
        <v>14</v>
      </c>
      <c r="G2531" s="126">
        <f>SUMIFS('Support - Transition'!F:F,'Support - Transition'!B:B,'Step 2'!A2531,'Support - Transition'!C:C,'Step 2'!B2531,'Support - Transition'!D:D,'Step 2'!C2531,'Support - Transition'!E:E,"CIVIL")</f>
        <v>4.64E-4</v>
      </c>
      <c r="H2531" s="126">
        <f>SUMIFS('Support - Transition'!F:F,'Support - Transition'!B:B,'Step 2'!A2531,'Support - Transition'!C:C,'Step 2'!B2531,'Support - Transition'!D:D,'Step 2'!C2531,'Support - Transition'!E:E,"FIRE")</f>
        <v>9.2999999999999997E-5</v>
      </c>
      <c r="I2531" s="126">
        <f>IF(B2531="0",SUMIFS('Support - Transition'!F:F,'Support - Transition'!J:J,'Step 2'!D2531,'Support - Transition'!E:E,"STATE UNIT"),SUMIFS('Support - Transition'!F:F,'Support - Transition'!J:J,'Step 2'!D2531))</f>
        <v>5.5699999999999999E-4</v>
      </c>
      <c r="J2531" s="126">
        <f>SUMIFS('Support - Unit Adjustments'!E:E,'Support - Unit Adjustments'!F:F,'Step 2'!D2531)</f>
        <v>0</v>
      </c>
      <c r="K2531" s="126">
        <f t="shared" si="745"/>
        <v>5.5699999999999999E-4</v>
      </c>
      <c r="L2531" s="174">
        <f>VLOOKUP(A2531,'Step 1'!$A:$E,4,FALSE)</f>
        <v>176760</v>
      </c>
      <c r="M2531" s="47">
        <f t="shared" si="746"/>
        <v>98</v>
      </c>
      <c r="N2531" s="177">
        <f>SUMIFS('Support - Transition'!G:G,'Support - Transition'!J:J,'Step 2'!D2531,'Support - Transition'!E:E,"2009 WELFARE ALLOCATION FACTOR")</f>
        <v>0</v>
      </c>
      <c r="O2531" s="152">
        <f t="shared" si="751"/>
        <v>0</v>
      </c>
      <c r="P2531" s="126">
        <f>IF(E2531="Y",0,SUMIFS('Support - Transition'!G:G,'Support - Transition'!J:J,'Step 2'!D2531,'Support - Transition'!E:E,"2009 SCHOOL ALLOCATION FACTOR"))</f>
        <v>0</v>
      </c>
      <c r="Q2531" s="126">
        <f>IF(E2531="Y",VLOOKUP(D2531,'Support - Unit Adjustments'!F:G,2,FALSE),0)</f>
        <v>0</v>
      </c>
      <c r="R2531" s="155">
        <f t="shared" si="763"/>
        <v>0</v>
      </c>
      <c r="S2531" s="47">
        <f t="shared" si="762"/>
        <v>0</v>
      </c>
      <c r="T2531" s="151">
        <f t="shared" si="747"/>
        <v>98</v>
      </c>
      <c r="U2531" s="151">
        <f t="shared" si="748"/>
        <v>0</v>
      </c>
      <c r="V2531" s="139">
        <f t="shared" si="749"/>
        <v>0</v>
      </c>
      <c r="W2531" s="152">
        <f t="shared" si="752"/>
        <v>98</v>
      </c>
      <c r="X2531" s="127" t="str">
        <f t="shared" si="750"/>
        <v/>
      </c>
      <c r="Y2531" s="207">
        <f t="shared" si="753"/>
        <v>98</v>
      </c>
      <c r="Z2531" s="139">
        <f t="shared" si="754"/>
        <v>82</v>
      </c>
      <c r="AA2531" s="139">
        <f t="shared" si="755"/>
        <v>16</v>
      </c>
      <c r="AC2531" s="47">
        <f t="shared" si="756"/>
        <v>49</v>
      </c>
      <c r="AD2531" s="47">
        <f t="shared" si="757"/>
        <v>41</v>
      </c>
      <c r="AE2531" s="47">
        <f t="shared" si="758"/>
        <v>8</v>
      </c>
      <c r="AG2531" s="47">
        <f t="shared" si="759"/>
        <v>49</v>
      </c>
      <c r="AH2531" s="47">
        <f t="shared" si="760"/>
        <v>41</v>
      </c>
      <c r="AI2531" s="208">
        <f t="shared" si="761"/>
        <v>8</v>
      </c>
    </row>
    <row r="2532" spans="1:35">
      <c r="A2532" t="s">
        <v>2172</v>
      </c>
      <c r="B2532" t="s">
        <v>3142</v>
      </c>
      <c r="C2532" t="s">
        <v>2194</v>
      </c>
      <c r="D2532" t="s">
        <v>6102</v>
      </c>
      <c r="F2532" t="s">
        <v>52</v>
      </c>
      <c r="G2532" s="126">
        <f>SUMIFS('Support - Transition'!F:F,'Support - Transition'!B:B,'Step 2'!A2532,'Support - Transition'!C:C,'Step 2'!B2532,'Support - Transition'!D:D,'Step 2'!C2532,'Support - Transition'!E:E,"CIVIL")</f>
        <v>8.8199999999999997E-4</v>
      </c>
      <c r="H2532" s="126">
        <f>SUMIFS('Support - Transition'!F:F,'Support - Transition'!B:B,'Step 2'!A2532,'Support - Transition'!C:C,'Step 2'!B2532,'Support - Transition'!D:D,'Step 2'!C2532,'Support - Transition'!E:E,"FIRE")</f>
        <v>7.3200000000000001E-4</v>
      </c>
      <c r="I2532" s="126">
        <f>IF(B2532="0",SUMIFS('Support - Transition'!F:F,'Support - Transition'!J:J,'Step 2'!D2532,'Support - Transition'!E:E,"STATE UNIT"),SUMIFS('Support - Transition'!F:F,'Support - Transition'!J:J,'Step 2'!D2532))</f>
        <v>1.614E-3</v>
      </c>
      <c r="J2532" s="126">
        <f>SUMIFS('Support - Unit Adjustments'!E:E,'Support - Unit Adjustments'!F:F,'Step 2'!D2532)</f>
        <v>0</v>
      </c>
      <c r="K2532" s="126">
        <f t="shared" si="745"/>
        <v>1.614E-3</v>
      </c>
      <c r="L2532" s="174">
        <f>VLOOKUP(A2532,'Step 1'!$A:$E,4,FALSE)</f>
        <v>176760</v>
      </c>
      <c r="M2532" s="47">
        <f t="shared" si="746"/>
        <v>285</v>
      </c>
      <c r="N2532" s="177">
        <f>SUMIFS('Support - Transition'!G:G,'Support - Transition'!J:J,'Step 2'!D2532,'Support - Transition'!E:E,"2009 WELFARE ALLOCATION FACTOR")</f>
        <v>0</v>
      </c>
      <c r="O2532" s="152">
        <f t="shared" si="751"/>
        <v>0</v>
      </c>
      <c r="P2532" s="126">
        <f>IF(E2532="Y",0,SUMIFS('Support - Transition'!G:G,'Support - Transition'!J:J,'Step 2'!D2532,'Support - Transition'!E:E,"2009 SCHOOL ALLOCATION FACTOR"))</f>
        <v>0</v>
      </c>
      <c r="Q2532" s="126">
        <f>IF(E2532="Y",VLOOKUP(D2532,'Support - Unit Adjustments'!F:G,2,FALSE),0)</f>
        <v>0</v>
      </c>
      <c r="R2532" s="155">
        <f t="shared" si="763"/>
        <v>0</v>
      </c>
      <c r="S2532" s="47">
        <f t="shared" si="762"/>
        <v>0</v>
      </c>
      <c r="T2532" s="151">
        <f t="shared" si="747"/>
        <v>285</v>
      </c>
      <c r="U2532" s="151">
        <f t="shared" si="748"/>
        <v>0</v>
      </c>
      <c r="V2532" s="139">
        <f t="shared" si="749"/>
        <v>0</v>
      </c>
      <c r="W2532" s="152">
        <f t="shared" si="752"/>
        <v>285</v>
      </c>
      <c r="X2532" s="127" t="str">
        <f t="shared" si="750"/>
        <v/>
      </c>
      <c r="Y2532" s="207">
        <f t="shared" si="753"/>
        <v>285</v>
      </c>
      <c r="Z2532" s="139">
        <f t="shared" si="754"/>
        <v>156</v>
      </c>
      <c r="AA2532" s="139">
        <f t="shared" si="755"/>
        <v>129</v>
      </c>
      <c r="AC2532" s="47">
        <f t="shared" si="756"/>
        <v>143</v>
      </c>
      <c r="AD2532" s="47">
        <f t="shared" si="757"/>
        <v>78</v>
      </c>
      <c r="AE2532" s="47">
        <f t="shared" si="758"/>
        <v>65</v>
      </c>
      <c r="AG2532" s="47">
        <f t="shared" si="759"/>
        <v>142</v>
      </c>
      <c r="AH2532" s="47">
        <f t="shared" si="760"/>
        <v>78</v>
      </c>
      <c r="AI2532" s="208">
        <f t="shared" si="761"/>
        <v>64</v>
      </c>
    </row>
    <row r="2533" spans="1:35">
      <c r="A2533" t="s">
        <v>2172</v>
      </c>
      <c r="B2533" t="s">
        <v>3142</v>
      </c>
      <c r="C2533" t="s">
        <v>2195</v>
      </c>
      <c r="D2533" t="s">
        <v>6103</v>
      </c>
      <c r="F2533" t="s">
        <v>16</v>
      </c>
      <c r="G2533" s="126">
        <f>SUMIFS('Support - Transition'!F:F,'Support - Transition'!B:B,'Step 2'!A2533,'Support - Transition'!C:C,'Step 2'!B2533,'Support - Transition'!D:D,'Step 2'!C2533,'Support - Transition'!E:E,"CIVIL")</f>
        <v>2.9290000000000002E-3</v>
      </c>
      <c r="H2533" s="126">
        <f>SUMIFS('Support - Transition'!F:F,'Support - Transition'!B:B,'Step 2'!A2533,'Support - Transition'!C:C,'Step 2'!B2533,'Support - Transition'!D:D,'Step 2'!C2533,'Support - Transition'!E:E,"FIRE")</f>
        <v>6.1399999999999996E-4</v>
      </c>
      <c r="I2533" s="126">
        <f>IF(B2533="0",SUMIFS('Support - Transition'!F:F,'Support - Transition'!J:J,'Step 2'!D2533,'Support - Transition'!E:E,"STATE UNIT"),SUMIFS('Support - Transition'!F:F,'Support - Transition'!J:J,'Step 2'!D2533))</f>
        <v>3.5430000000000001E-3</v>
      </c>
      <c r="J2533" s="126">
        <f>SUMIFS('Support - Unit Adjustments'!E:E,'Support - Unit Adjustments'!F:F,'Step 2'!D2533)</f>
        <v>0</v>
      </c>
      <c r="K2533" s="126">
        <f t="shared" si="745"/>
        <v>3.5430000000000001E-3</v>
      </c>
      <c r="L2533" s="174">
        <f>VLOOKUP(A2533,'Step 1'!$A:$E,4,FALSE)</f>
        <v>176760</v>
      </c>
      <c r="M2533" s="47">
        <f t="shared" si="746"/>
        <v>626</v>
      </c>
      <c r="N2533" s="177">
        <f>SUMIFS('Support - Transition'!G:G,'Support - Transition'!J:J,'Step 2'!D2533,'Support - Transition'!E:E,"2009 WELFARE ALLOCATION FACTOR")</f>
        <v>0</v>
      </c>
      <c r="O2533" s="152">
        <f t="shared" si="751"/>
        <v>0</v>
      </c>
      <c r="P2533" s="126">
        <f>IF(E2533="Y",0,SUMIFS('Support - Transition'!G:G,'Support - Transition'!J:J,'Step 2'!D2533,'Support - Transition'!E:E,"2009 SCHOOL ALLOCATION FACTOR"))</f>
        <v>0</v>
      </c>
      <c r="Q2533" s="126">
        <f>IF(E2533="Y",VLOOKUP(D2533,'Support - Unit Adjustments'!F:G,2,FALSE),0)</f>
        <v>0</v>
      </c>
      <c r="R2533" s="155">
        <f t="shared" si="763"/>
        <v>0</v>
      </c>
      <c r="S2533" s="47">
        <f t="shared" si="762"/>
        <v>0</v>
      </c>
      <c r="T2533" s="151">
        <f t="shared" si="747"/>
        <v>626</v>
      </c>
      <c r="U2533" s="151">
        <f t="shared" si="748"/>
        <v>0</v>
      </c>
      <c r="V2533" s="139">
        <f t="shared" si="749"/>
        <v>0</v>
      </c>
      <c r="W2533" s="152">
        <f t="shared" si="752"/>
        <v>626</v>
      </c>
      <c r="X2533" s="127" t="str">
        <f t="shared" si="750"/>
        <v/>
      </c>
      <c r="Y2533" s="207">
        <f t="shared" si="753"/>
        <v>626</v>
      </c>
      <c r="Z2533" s="139">
        <f t="shared" si="754"/>
        <v>518</v>
      </c>
      <c r="AA2533" s="139">
        <f t="shared" si="755"/>
        <v>108</v>
      </c>
      <c r="AC2533" s="47">
        <f t="shared" si="756"/>
        <v>313</v>
      </c>
      <c r="AD2533" s="47">
        <f t="shared" si="757"/>
        <v>259</v>
      </c>
      <c r="AE2533" s="47">
        <f t="shared" si="758"/>
        <v>54</v>
      </c>
      <c r="AG2533" s="47">
        <f t="shared" si="759"/>
        <v>313</v>
      </c>
      <c r="AH2533" s="47">
        <f t="shared" si="760"/>
        <v>259</v>
      </c>
      <c r="AI2533" s="208">
        <f t="shared" si="761"/>
        <v>54</v>
      </c>
    </row>
    <row r="2534" spans="1:35">
      <c r="A2534" t="s">
        <v>2172</v>
      </c>
      <c r="B2534" t="s">
        <v>3142</v>
      </c>
      <c r="C2534" t="s">
        <v>2196</v>
      </c>
      <c r="D2534" t="s">
        <v>6104</v>
      </c>
      <c r="F2534" t="s">
        <v>1799</v>
      </c>
      <c r="G2534" s="126">
        <f>SUMIFS('Support - Transition'!F:F,'Support - Transition'!B:B,'Step 2'!A2534,'Support - Transition'!C:C,'Step 2'!B2534,'Support - Transition'!D:D,'Step 2'!C2534,'Support - Transition'!E:E,"CIVIL")</f>
        <v>3.5599999999999998E-4</v>
      </c>
      <c r="H2534" s="126">
        <f>SUMIFS('Support - Transition'!F:F,'Support - Transition'!B:B,'Step 2'!A2534,'Support - Transition'!C:C,'Step 2'!B2534,'Support - Transition'!D:D,'Step 2'!C2534,'Support - Transition'!E:E,"FIRE")</f>
        <v>3.0400000000000002E-4</v>
      </c>
      <c r="I2534" s="126">
        <f>IF(B2534="0",SUMIFS('Support - Transition'!F:F,'Support - Transition'!J:J,'Step 2'!D2534,'Support - Transition'!E:E,"STATE UNIT"),SUMIFS('Support - Transition'!F:F,'Support - Transition'!J:J,'Step 2'!D2534))</f>
        <v>6.6E-4</v>
      </c>
      <c r="J2534" s="126">
        <f>SUMIFS('Support - Unit Adjustments'!E:E,'Support - Unit Adjustments'!F:F,'Step 2'!D2534)</f>
        <v>0</v>
      </c>
      <c r="K2534" s="126">
        <f t="shared" si="745"/>
        <v>6.6E-4</v>
      </c>
      <c r="L2534" s="174">
        <f>VLOOKUP(A2534,'Step 1'!$A:$E,4,FALSE)</f>
        <v>176760</v>
      </c>
      <c r="M2534" s="47">
        <f t="shared" si="746"/>
        <v>117</v>
      </c>
      <c r="N2534" s="177">
        <f>SUMIFS('Support - Transition'!G:G,'Support - Transition'!J:J,'Step 2'!D2534,'Support - Transition'!E:E,"2009 WELFARE ALLOCATION FACTOR")</f>
        <v>0</v>
      </c>
      <c r="O2534" s="152">
        <f t="shared" si="751"/>
        <v>0</v>
      </c>
      <c r="P2534" s="126">
        <f>IF(E2534="Y",0,SUMIFS('Support - Transition'!G:G,'Support - Transition'!J:J,'Step 2'!D2534,'Support - Transition'!E:E,"2009 SCHOOL ALLOCATION FACTOR"))</f>
        <v>0</v>
      </c>
      <c r="Q2534" s="126">
        <f>IF(E2534="Y",VLOOKUP(D2534,'Support - Unit Adjustments'!F:G,2,FALSE),0)</f>
        <v>0</v>
      </c>
      <c r="R2534" s="155">
        <f t="shared" si="763"/>
        <v>0</v>
      </c>
      <c r="S2534" s="47">
        <f t="shared" si="762"/>
        <v>0</v>
      </c>
      <c r="T2534" s="151">
        <f t="shared" si="747"/>
        <v>117</v>
      </c>
      <c r="U2534" s="151">
        <f t="shared" si="748"/>
        <v>0</v>
      </c>
      <c r="V2534" s="139">
        <f t="shared" si="749"/>
        <v>0</v>
      </c>
      <c r="W2534" s="152">
        <f t="shared" si="752"/>
        <v>117</v>
      </c>
      <c r="X2534" s="127" t="str">
        <f t="shared" si="750"/>
        <v/>
      </c>
      <c r="Y2534" s="207">
        <f t="shared" si="753"/>
        <v>117</v>
      </c>
      <c r="Z2534" s="139">
        <f t="shared" si="754"/>
        <v>63</v>
      </c>
      <c r="AA2534" s="139">
        <f t="shared" si="755"/>
        <v>54</v>
      </c>
      <c r="AC2534" s="47">
        <f t="shared" si="756"/>
        <v>59</v>
      </c>
      <c r="AD2534" s="47">
        <f t="shared" si="757"/>
        <v>32</v>
      </c>
      <c r="AE2534" s="47">
        <f t="shared" si="758"/>
        <v>27</v>
      </c>
      <c r="AG2534" s="47">
        <f t="shared" si="759"/>
        <v>58</v>
      </c>
      <c r="AH2534" s="47">
        <f t="shared" si="760"/>
        <v>31</v>
      </c>
      <c r="AI2534" s="208">
        <f t="shared" si="761"/>
        <v>27</v>
      </c>
    </row>
    <row r="2535" spans="1:35">
      <c r="A2535" t="s">
        <v>2172</v>
      </c>
      <c r="B2535" t="s">
        <v>3142</v>
      </c>
      <c r="C2535" t="s">
        <v>2197</v>
      </c>
      <c r="D2535" t="s">
        <v>6105</v>
      </c>
      <c r="F2535" t="s">
        <v>795</v>
      </c>
      <c r="G2535" s="126">
        <f>SUMIFS('Support - Transition'!F:F,'Support - Transition'!B:B,'Step 2'!A2535,'Support - Transition'!C:C,'Step 2'!B2535,'Support - Transition'!D:D,'Step 2'!C2535,'Support - Transition'!E:E,"CIVIL")</f>
        <v>1.165E-3</v>
      </c>
      <c r="H2535" s="126">
        <f>SUMIFS('Support - Transition'!F:F,'Support - Transition'!B:B,'Step 2'!A2535,'Support - Transition'!C:C,'Step 2'!B2535,'Support - Transition'!D:D,'Step 2'!C2535,'Support - Transition'!E:E,"FIRE")</f>
        <v>5.4699999999999996E-4</v>
      </c>
      <c r="I2535" s="126">
        <f>IF(B2535="0",SUMIFS('Support - Transition'!F:F,'Support - Transition'!J:J,'Step 2'!D2535,'Support - Transition'!E:E,"STATE UNIT"),SUMIFS('Support - Transition'!F:F,'Support - Transition'!J:J,'Step 2'!D2535))</f>
        <v>1.712E-3</v>
      </c>
      <c r="J2535" s="126">
        <f>SUMIFS('Support - Unit Adjustments'!E:E,'Support - Unit Adjustments'!F:F,'Step 2'!D2535)</f>
        <v>0</v>
      </c>
      <c r="K2535" s="126">
        <f t="shared" si="745"/>
        <v>1.712E-3</v>
      </c>
      <c r="L2535" s="174">
        <f>VLOOKUP(A2535,'Step 1'!$A:$E,4,FALSE)</f>
        <v>176760</v>
      </c>
      <c r="M2535" s="47">
        <f t="shared" si="746"/>
        <v>303</v>
      </c>
      <c r="N2535" s="177">
        <f>SUMIFS('Support - Transition'!G:G,'Support - Transition'!J:J,'Step 2'!D2535,'Support - Transition'!E:E,"2009 WELFARE ALLOCATION FACTOR")</f>
        <v>0</v>
      </c>
      <c r="O2535" s="152">
        <f t="shared" si="751"/>
        <v>0</v>
      </c>
      <c r="P2535" s="126">
        <f>IF(E2535="Y",0,SUMIFS('Support - Transition'!G:G,'Support - Transition'!J:J,'Step 2'!D2535,'Support - Transition'!E:E,"2009 SCHOOL ALLOCATION FACTOR"))</f>
        <v>0</v>
      </c>
      <c r="Q2535" s="126">
        <f>IF(E2535="Y",VLOOKUP(D2535,'Support - Unit Adjustments'!F:G,2,FALSE),0)</f>
        <v>0</v>
      </c>
      <c r="R2535" s="155">
        <f t="shared" si="763"/>
        <v>0</v>
      </c>
      <c r="S2535" s="47">
        <f t="shared" si="762"/>
        <v>0</v>
      </c>
      <c r="T2535" s="151">
        <f t="shared" si="747"/>
        <v>303</v>
      </c>
      <c r="U2535" s="151">
        <f t="shared" si="748"/>
        <v>0</v>
      </c>
      <c r="V2535" s="139">
        <f t="shared" si="749"/>
        <v>0</v>
      </c>
      <c r="W2535" s="152">
        <f t="shared" si="752"/>
        <v>303</v>
      </c>
      <c r="X2535" s="127" t="str">
        <f t="shared" si="750"/>
        <v/>
      </c>
      <c r="Y2535" s="207">
        <f t="shared" si="753"/>
        <v>303</v>
      </c>
      <c r="Z2535" s="139">
        <f t="shared" si="754"/>
        <v>206</v>
      </c>
      <c r="AA2535" s="139">
        <f t="shared" si="755"/>
        <v>97</v>
      </c>
      <c r="AC2535" s="47">
        <f t="shared" si="756"/>
        <v>152</v>
      </c>
      <c r="AD2535" s="47">
        <f t="shared" si="757"/>
        <v>103</v>
      </c>
      <c r="AE2535" s="47">
        <f t="shared" si="758"/>
        <v>49</v>
      </c>
      <c r="AG2535" s="47">
        <f t="shared" si="759"/>
        <v>151</v>
      </c>
      <c r="AH2535" s="47">
        <f t="shared" si="760"/>
        <v>103</v>
      </c>
      <c r="AI2535" s="208">
        <f t="shared" si="761"/>
        <v>48</v>
      </c>
    </row>
    <row r="2536" spans="1:35">
      <c r="A2536" t="s">
        <v>2172</v>
      </c>
      <c r="B2536" t="s">
        <v>3142</v>
      </c>
      <c r="C2536" t="s">
        <v>2198</v>
      </c>
      <c r="D2536" t="s">
        <v>6106</v>
      </c>
      <c r="F2536" t="s">
        <v>252</v>
      </c>
      <c r="G2536" s="126">
        <f>SUMIFS('Support - Transition'!F:F,'Support - Transition'!B:B,'Step 2'!A2536,'Support - Transition'!C:C,'Step 2'!B2536,'Support - Transition'!D:D,'Step 2'!C2536,'Support - Transition'!E:E,"CIVIL")</f>
        <v>6.0300000000000002E-4</v>
      </c>
      <c r="H2536" s="126">
        <f>SUMIFS('Support - Transition'!F:F,'Support - Transition'!B:B,'Step 2'!A2536,'Support - Transition'!C:C,'Step 2'!B2536,'Support - Transition'!D:D,'Step 2'!C2536,'Support - Transition'!E:E,"FIRE")</f>
        <v>6.3400000000000001E-4</v>
      </c>
      <c r="I2536" s="126">
        <f>IF(B2536="0",SUMIFS('Support - Transition'!F:F,'Support - Transition'!J:J,'Step 2'!D2536,'Support - Transition'!E:E,"STATE UNIT"),SUMIFS('Support - Transition'!F:F,'Support - Transition'!J:J,'Step 2'!D2536))</f>
        <v>1.237E-3</v>
      </c>
      <c r="J2536" s="126">
        <f>SUMIFS('Support - Unit Adjustments'!E:E,'Support - Unit Adjustments'!F:F,'Step 2'!D2536)</f>
        <v>0</v>
      </c>
      <c r="K2536" s="126">
        <f t="shared" si="745"/>
        <v>1.237E-3</v>
      </c>
      <c r="L2536" s="174">
        <f>VLOOKUP(A2536,'Step 1'!$A:$E,4,FALSE)</f>
        <v>176760</v>
      </c>
      <c r="M2536" s="47">
        <f t="shared" si="746"/>
        <v>219</v>
      </c>
      <c r="N2536" s="177">
        <f>SUMIFS('Support - Transition'!G:G,'Support - Transition'!J:J,'Step 2'!D2536,'Support - Transition'!E:E,"2009 WELFARE ALLOCATION FACTOR")</f>
        <v>0</v>
      </c>
      <c r="O2536" s="152">
        <f t="shared" si="751"/>
        <v>0</v>
      </c>
      <c r="P2536" s="126">
        <f>IF(E2536="Y",0,SUMIFS('Support - Transition'!G:G,'Support - Transition'!J:J,'Step 2'!D2536,'Support - Transition'!E:E,"2009 SCHOOL ALLOCATION FACTOR"))</f>
        <v>0</v>
      </c>
      <c r="Q2536" s="126">
        <f>IF(E2536="Y",VLOOKUP(D2536,'Support - Unit Adjustments'!F:G,2,FALSE),0)</f>
        <v>0</v>
      </c>
      <c r="R2536" s="155">
        <f t="shared" si="763"/>
        <v>0</v>
      </c>
      <c r="S2536" s="47">
        <f t="shared" si="762"/>
        <v>0</v>
      </c>
      <c r="T2536" s="151">
        <f t="shared" si="747"/>
        <v>219</v>
      </c>
      <c r="U2536" s="151">
        <f t="shared" si="748"/>
        <v>0</v>
      </c>
      <c r="V2536" s="139">
        <f t="shared" si="749"/>
        <v>0</v>
      </c>
      <c r="W2536" s="152">
        <f t="shared" si="752"/>
        <v>219</v>
      </c>
      <c r="X2536" s="127" t="str">
        <f t="shared" si="750"/>
        <v/>
      </c>
      <c r="Y2536" s="207">
        <f t="shared" si="753"/>
        <v>219</v>
      </c>
      <c r="Z2536" s="139">
        <f t="shared" si="754"/>
        <v>107</v>
      </c>
      <c r="AA2536" s="139">
        <f t="shared" si="755"/>
        <v>112</v>
      </c>
      <c r="AC2536" s="47">
        <f t="shared" si="756"/>
        <v>110</v>
      </c>
      <c r="AD2536" s="47">
        <f t="shared" si="757"/>
        <v>54</v>
      </c>
      <c r="AE2536" s="47">
        <f t="shared" si="758"/>
        <v>56</v>
      </c>
      <c r="AG2536" s="47">
        <f t="shared" si="759"/>
        <v>109</v>
      </c>
      <c r="AH2536" s="47">
        <f t="shared" si="760"/>
        <v>53</v>
      </c>
      <c r="AI2536" s="208">
        <f t="shared" si="761"/>
        <v>56</v>
      </c>
    </row>
    <row r="2537" spans="1:35">
      <c r="A2537" t="s">
        <v>2172</v>
      </c>
      <c r="B2537" t="s">
        <v>3142</v>
      </c>
      <c r="C2537" t="s">
        <v>2199</v>
      </c>
      <c r="D2537" t="s">
        <v>6107</v>
      </c>
      <c r="F2537" t="s">
        <v>673</v>
      </c>
      <c r="G2537" s="126">
        <f>SUMIFS('Support - Transition'!F:F,'Support - Transition'!B:B,'Step 2'!A2537,'Support - Transition'!C:C,'Step 2'!B2537,'Support - Transition'!D:D,'Step 2'!C2537,'Support - Transition'!E:E,"CIVIL")</f>
        <v>7.27E-4</v>
      </c>
      <c r="H2537" s="126">
        <f>SUMIFS('Support - Transition'!F:F,'Support - Transition'!B:B,'Step 2'!A2537,'Support - Transition'!C:C,'Step 2'!B2537,'Support - Transition'!D:D,'Step 2'!C2537,'Support - Transition'!E:E,"FIRE")</f>
        <v>0</v>
      </c>
      <c r="I2537" s="126">
        <f>IF(B2537="0",SUMIFS('Support - Transition'!F:F,'Support - Transition'!J:J,'Step 2'!D2537,'Support - Transition'!E:E,"STATE UNIT"),SUMIFS('Support - Transition'!F:F,'Support - Transition'!J:J,'Step 2'!D2537))</f>
        <v>7.27E-4</v>
      </c>
      <c r="J2537" s="126">
        <f>SUMIFS('Support - Unit Adjustments'!E:E,'Support - Unit Adjustments'!F:F,'Step 2'!D2537)</f>
        <v>0</v>
      </c>
      <c r="K2537" s="126">
        <f t="shared" si="745"/>
        <v>7.27E-4</v>
      </c>
      <c r="L2537" s="174">
        <f>VLOOKUP(A2537,'Step 1'!$A:$E,4,FALSE)</f>
        <v>176760</v>
      </c>
      <c r="M2537" s="47">
        <f t="shared" si="746"/>
        <v>129</v>
      </c>
      <c r="N2537" s="177">
        <f>SUMIFS('Support - Transition'!G:G,'Support - Transition'!J:J,'Step 2'!D2537,'Support - Transition'!E:E,"2009 WELFARE ALLOCATION FACTOR")</f>
        <v>0</v>
      </c>
      <c r="O2537" s="152">
        <f t="shared" si="751"/>
        <v>0</v>
      </c>
      <c r="P2537" s="126">
        <f>IF(E2537="Y",0,SUMIFS('Support - Transition'!G:G,'Support - Transition'!J:J,'Step 2'!D2537,'Support - Transition'!E:E,"2009 SCHOOL ALLOCATION FACTOR"))</f>
        <v>0</v>
      </c>
      <c r="Q2537" s="126">
        <f>IF(E2537="Y",VLOOKUP(D2537,'Support - Unit Adjustments'!F:G,2,FALSE),0)</f>
        <v>0</v>
      </c>
      <c r="R2537" s="155">
        <f t="shared" si="763"/>
        <v>0</v>
      </c>
      <c r="S2537" s="47">
        <f t="shared" si="762"/>
        <v>0</v>
      </c>
      <c r="T2537" s="151">
        <f t="shared" si="747"/>
        <v>129</v>
      </c>
      <c r="U2537" s="151">
        <f t="shared" si="748"/>
        <v>0</v>
      </c>
      <c r="V2537" s="139">
        <f t="shared" si="749"/>
        <v>0</v>
      </c>
      <c r="W2537" s="152">
        <f t="shared" si="752"/>
        <v>129</v>
      </c>
      <c r="X2537" s="127" t="str">
        <f t="shared" si="750"/>
        <v/>
      </c>
      <c r="Y2537" s="207">
        <f t="shared" si="753"/>
        <v>129</v>
      </c>
      <c r="Z2537" s="139">
        <f t="shared" si="754"/>
        <v>129</v>
      </c>
      <c r="AA2537" s="139">
        <f t="shared" si="755"/>
        <v>0</v>
      </c>
      <c r="AC2537" s="47">
        <f t="shared" si="756"/>
        <v>65</v>
      </c>
      <c r="AD2537" s="47">
        <f t="shared" si="757"/>
        <v>65</v>
      </c>
      <c r="AE2537" s="47">
        <f t="shared" si="758"/>
        <v>0</v>
      </c>
      <c r="AG2537" s="47">
        <f t="shared" si="759"/>
        <v>64</v>
      </c>
      <c r="AH2537" s="47">
        <f t="shared" si="760"/>
        <v>64</v>
      </c>
      <c r="AI2537" s="208">
        <f t="shared" si="761"/>
        <v>0</v>
      </c>
    </row>
    <row r="2538" spans="1:35">
      <c r="A2538" t="s">
        <v>2172</v>
      </c>
      <c r="B2538" t="s">
        <v>3142</v>
      </c>
      <c r="C2538" t="s">
        <v>2208</v>
      </c>
      <c r="D2538" t="s">
        <v>6108</v>
      </c>
      <c r="F2538" t="s">
        <v>22</v>
      </c>
      <c r="G2538" s="126">
        <f>SUMIFS('Support - Transition'!F:F,'Support - Transition'!B:B,'Step 2'!A2538,'Support - Transition'!C:C,'Step 2'!B2538,'Support - Transition'!D:D,'Step 2'!C2538,'Support - Transition'!E:E,"CIVIL")</f>
        <v>5.3930000000000002E-3</v>
      </c>
      <c r="H2538" s="126">
        <f>SUMIFS('Support - Transition'!F:F,'Support - Transition'!B:B,'Step 2'!A2538,'Support - Transition'!C:C,'Step 2'!B2538,'Support - Transition'!D:D,'Step 2'!C2538,'Support - Transition'!E:E,"FIRE")</f>
        <v>2.748E-3</v>
      </c>
      <c r="I2538" s="126">
        <f>IF(B2538="0",SUMIFS('Support - Transition'!F:F,'Support - Transition'!J:J,'Step 2'!D2538,'Support - Transition'!E:E,"STATE UNIT"),SUMIFS('Support - Transition'!F:F,'Support - Transition'!J:J,'Step 2'!D2538))</f>
        <v>8.1410000000000007E-3</v>
      </c>
      <c r="J2538" s="126">
        <f>SUMIFS('Support - Unit Adjustments'!E:E,'Support - Unit Adjustments'!F:F,'Step 2'!D2538)</f>
        <v>0</v>
      </c>
      <c r="K2538" s="126">
        <f t="shared" si="745"/>
        <v>8.1410000000000007E-3</v>
      </c>
      <c r="L2538" s="174">
        <f>VLOOKUP(A2538,'Step 1'!$A:$E,4,FALSE)</f>
        <v>176760</v>
      </c>
      <c r="M2538" s="47">
        <f t="shared" si="746"/>
        <v>1439</v>
      </c>
      <c r="N2538" s="177">
        <f>SUMIFS('Support - Transition'!G:G,'Support - Transition'!J:J,'Step 2'!D2538,'Support - Transition'!E:E,"2009 WELFARE ALLOCATION FACTOR")</f>
        <v>0</v>
      </c>
      <c r="O2538" s="152">
        <f t="shared" si="751"/>
        <v>0</v>
      </c>
      <c r="P2538" s="126">
        <f>IF(E2538="Y",0,SUMIFS('Support - Transition'!G:G,'Support - Transition'!J:J,'Step 2'!D2538,'Support - Transition'!E:E,"2009 SCHOOL ALLOCATION FACTOR"))</f>
        <v>0</v>
      </c>
      <c r="Q2538" s="126">
        <f>IF(E2538="Y",VLOOKUP(D2538,'Support - Unit Adjustments'!F:G,2,FALSE),0)</f>
        <v>0</v>
      </c>
      <c r="R2538" s="155">
        <f t="shared" si="763"/>
        <v>0</v>
      </c>
      <c r="S2538" s="47">
        <f t="shared" si="762"/>
        <v>0</v>
      </c>
      <c r="T2538" s="151">
        <f t="shared" si="747"/>
        <v>1439</v>
      </c>
      <c r="U2538" s="151">
        <f t="shared" si="748"/>
        <v>0</v>
      </c>
      <c r="V2538" s="139">
        <f t="shared" si="749"/>
        <v>0</v>
      </c>
      <c r="W2538" s="152">
        <f t="shared" si="752"/>
        <v>1439</v>
      </c>
      <c r="X2538" s="127" t="str">
        <f t="shared" si="750"/>
        <v/>
      </c>
      <c r="Y2538" s="207">
        <f t="shared" si="753"/>
        <v>1439</v>
      </c>
      <c r="Z2538" s="139">
        <f t="shared" si="754"/>
        <v>953</v>
      </c>
      <c r="AA2538" s="139">
        <f t="shared" si="755"/>
        <v>486</v>
      </c>
      <c r="AC2538" s="47">
        <f t="shared" si="756"/>
        <v>720</v>
      </c>
      <c r="AD2538" s="47">
        <f t="shared" si="757"/>
        <v>477</v>
      </c>
      <c r="AE2538" s="47">
        <f t="shared" si="758"/>
        <v>243</v>
      </c>
      <c r="AG2538" s="47">
        <f t="shared" si="759"/>
        <v>719</v>
      </c>
      <c r="AH2538" s="47">
        <f t="shared" si="760"/>
        <v>476</v>
      </c>
      <c r="AI2538" s="208">
        <f t="shared" si="761"/>
        <v>243</v>
      </c>
    </row>
    <row r="2539" spans="1:35">
      <c r="A2539" t="s">
        <v>2172</v>
      </c>
      <c r="B2539" t="s">
        <v>3155</v>
      </c>
      <c r="C2539" t="s">
        <v>3089</v>
      </c>
      <c r="D2539" t="s">
        <v>6109</v>
      </c>
      <c r="F2539" t="s">
        <v>1806</v>
      </c>
      <c r="G2539" s="126">
        <f>SUMIFS('Support - Transition'!F:F,'Support - Transition'!B:B,'Step 2'!A2539,'Support - Transition'!C:C,'Step 2'!B2539,'Support - Transition'!D:D,'Step 2'!C2539,'Support - Transition'!E:E,"CIVIL")</f>
        <v>0</v>
      </c>
      <c r="H2539" s="126">
        <f>SUMIFS('Support - Transition'!F:F,'Support - Transition'!B:B,'Step 2'!A2539,'Support - Transition'!C:C,'Step 2'!B2539,'Support - Transition'!D:D,'Step 2'!C2539,'Support - Transition'!E:E,"FIRE")</f>
        <v>0</v>
      </c>
      <c r="I2539" s="126">
        <f>IF(B2539="0",SUMIFS('Support - Transition'!F:F,'Support - Transition'!J:J,'Step 2'!D2539,'Support - Transition'!E:E,"STATE UNIT"),SUMIFS('Support - Transition'!F:F,'Support - Transition'!J:J,'Step 2'!D2539))</f>
        <v>7.5005000000000002E-2</v>
      </c>
      <c r="J2539" s="126">
        <f>SUMIFS('Support - Unit Adjustments'!E:E,'Support - Unit Adjustments'!F:F,'Step 2'!D2539)</f>
        <v>0</v>
      </c>
      <c r="K2539" s="126">
        <f t="shared" si="745"/>
        <v>7.5005000000000002E-2</v>
      </c>
      <c r="L2539" s="174">
        <f>VLOOKUP(A2539,'Step 1'!$A:$E,4,FALSE)</f>
        <v>176760</v>
      </c>
      <c r="M2539" s="47">
        <f t="shared" si="746"/>
        <v>13258</v>
      </c>
      <c r="N2539" s="177">
        <f>SUMIFS('Support - Transition'!G:G,'Support - Transition'!J:J,'Step 2'!D2539,'Support - Transition'!E:E,"2009 WELFARE ALLOCATION FACTOR")</f>
        <v>0</v>
      </c>
      <c r="O2539" s="152">
        <f t="shared" si="751"/>
        <v>0</v>
      </c>
      <c r="P2539" s="126">
        <f>IF(E2539="Y",0,SUMIFS('Support - Transition'!G:G,'Support - Transition'!J:J,'Step 2'!D2539,'Support - Transition'!E:E,"2009 SCHOOL ALLOCATION FACTOR"))</f>
        <v>0</v>
      </c>
      <c r="Q2539" s="126">
        <f>IF(E2539="Y",VLOOKUP(D2539,'Support - Unit Adjustments'!F:G,2,FALSE),0)</f>
        <v>0</v>
      </c>
      <c r="R2539" s="155">
        <f t="shared" si="763"/>
        <v>0</v>
      </c>
      <c r="S2539" s="47">
        <f t="shared" si="762"/>
        <v>0</v>
      </c>
      <c r="T2539" s="151">
        <f t="shared" si="747"/>
        <v>13258</v>
      </c>
      <c r="U2539" s="151">
        <f t="shared" si="748"/>
        <v>0</v>
      </c>
      <c r="V2539" s="139">
        <f t="shared" si="749"/>
        <v>0</v>
      </c>
      <c r="W2539" s="152">
        <f t="shared" si="752"/>
        <v>13258</v>
      </c>
      <c r="X2539" s="127" t="str">
        <f t="shared" si="750"/>
        <v/>
      </c>
      <c r="Y2539" s="207">
        <f t="shared" si="753"/>
        <v>13258</v>
      </c>
      <c r="Z2539" s="139">
        <f t="shared" si="754"/>
        <v>13258</v>
      </c>
      <c r="AA2539" s="139">
        <f t="shared" si="755"/>
        <v>0</v>
      </c>
      <c r="AC2539" s="47">
        <f t="shared" si="756"/>
        <v>6629</v>
      </c>
      <c r="AD2539" s="47">
        <f t="shared" si="757"/>
        <v>6629</v>
      </c>
      <c r="AE2539" s="47">
        <f t="shared" si="758"/>
        <v>0</v>
      </c>
      <c r="AG2539" s="47">
        <f t="shared" si="759"/>
        <v>6629</v>
      </c>
      <c r="AH2539" s="47">
        <f t="shared" si="760"/>
        <v>6629</v>
      </c>
      <c r="AI2539" s="208">
        <f t="shared" si="761"/>
        <v>0</v>
      </c>
    </row>
    <row r="2540" spans="1:35">
      <c r="A2540" t="s">
        <v>2172</v>
      </c>
      <c r="B2540" t="s">
        <v>3155</v>
      </c>
      <c r="C2540" t="s">
        <v>3090</v>
      </c>
      <c r="D2540" t="s">
        <v>6110</v>
      </c>
      <c r="F2540" t="s">
        <v>1800</v>
      </c>
      <c r="G2540" s="126">
        <f>SUMIFS('Support - Transition'!F:F,'Support - Transition'!B:B,'Step 2'!A2540,'Support - Transition'!C:C,'Step 2'!B2540,'Support - Transition'!D:D,'Step 2'!C2540,'Support - Transition'!E:E,"CIVIL")</f>
        <v>0</v>
      </c>
      <c r="H2540" s="126">
        <f>SUMIFS('Support - Transition'!F:F,'Support - Transition'!B:B,'Step 2'!A2540,'Support - Transition'!C:C,'Step 2'!B2540,'Support - Transition'!D:D,'Step 2'!C2540,'Support - Transition'!E:E,"FIRE")</f>
        <v>0</v>
      </c>
      <c r="I2540" s="126">
        <f>IF(B2540="0",SUMIFS('Support - Transition'!F:F,'Support - Transition'!J:J,'Step 2'!D2540,'Support - Transition'!E:E,"STATE UNIT"),SUMIFS('Support - Transition'!F:F,'Support - Transition'!J:J,'Step 2'!D2540))</f>
        <v>5.7200000000000003E-4</v>
      </c>
      <c r="J2540" s="126">
        <f>SUMIFS('Support - Unit Adjustments'!E:E,'Support - Unit Adjustments'!F:F,'Step 2'!D2540)</f>
        <v>0</v>
      </c>
      <c r="K2540" s="126">
        <f t="shared" si="745"/>
        <v>5.7200000000000003E-4</v>
      </c>
      <c r="L2540" s="174">
        <f>VLOOKUP(A2540,'Step 1'!$A:$E,4,FALSE)</f>
        <v>176760</v>
      </c>
      <c r="M2540" s="47">
        <f t="shared" si="746"/>
        <v>101</v>
      </c>
      <c r="N2540" s="177">
        <f>SUMIFS('Support - Transition'!G:G,'Support - Transition'!J:J,'Step 2'!D2540,'Support - Transition'!E:E,"2009 WELFARE ALLOCATION FACTOR")</f>
        <v>0</v>
      </c>
      <c r="O2540" s="152">
        <f t="shared" si="751"/>
        <v>0</v>
      </c>
      <c r="P2540" s="126">
        <f>IF(E2540="Y",0,SUMIFS('Support - Transition'!G:G,'Support - Transition'!J:J,'Step 2'!D2540,'Support - Transition'!E:E,"2009 SCHOOL ALLOCATION FACTOR"))</f>
        <v>0</v>
      </c>
      <c r="Q2540" s="126">
        <f>IF(E2540="Y",VLOOKUP(D2540,'Support - Unit Adjustments'!F:G,2,FALSE),0)</f>
        <v>0</v>
      </c>
      <c r="R2540" s="155">
        <f t="shared" si="763"/>
        <v>0</v>
      </c>
      <c r="S2540" s="47">
        <f t="shared" si="762"/>
        <v>0</v>
      </c>
      <c r="T2540" s="151">
        <f t="shared" si="747"/>
        <v>101</v>
      </c>
      <c r="U2540" s="151">
        <f t="shared" si="748"/>
        <v>0</v>
      </c>
      <c r="V2540" s="139">
        <f t="shared" si="749"/>
        <v>0</v>
      </c>
      <c r="W2540" s="152">
        <f t="shared" si="752"/>
        <v>101</v>
      </c>
      <c r="X2540" s="127" t="str">
        <f t="shared" si="750"/>
        <v/>
      </c>
      <c r="Y2540" s="207">
        <f t="shared" si="753"/>
        <v>101</v>
      </c>
      <c r="Z2540" s="139">
        <f t="shared" si="754"/>
        <v>101</v>
      </c>
      <c r="AA2540" s="139">
        <f t="shared" si="755"/>
        <v>0</v>
      </c>
      <c r="AC2540" s="47">
        <f t="shared" si="756"/>
        <v>51</v>
      </c>
      <c r="AD2540" s="47">
        <f t="shared" si="757"/>
        <v>51</v>
      </c>
      <c r="AE2540" s="47">
        <f t="shared" si="758"/>
        <v>0</v>
      </c>
      <c r="AG2540" s="47">
        <f t="shared" si="759"/>
        <v>50</v>
      </c>
      <c r="AH2540" s="47">
        <f t="shared" si="760"/>
        <v>50</v>
      </c>
      <c r="AI2540" s="208">
        <f t="shared" si="761"/>
        <v>0</v>
      </c>
    </row>
    <row r="2541" spans="1:35">
      <c r="A2541" t="s">
        <v>2172</v>
      </c>
      <c r="B2541" t="s">
        <v>3155</v>
      </c>
      <c r="C2541" t="s">
        <v>3091</v>
      </c>
      <c r="D2541" t="s">
        <v>6111</v>
      </c>
      <c r="F2541" t="s">
        <v>1803</v>
      </c>
      <c r="G2541" s="126">
        <f>SUMIFS('Support - Transition'!F:F,'Support - Transition'!B:B,'Step 2'!A2541,'Support - Transition'!C:C,'Step 2'!B2541,'Support - Transition'!D:D,'Step 2'!C2541,'Support - Transition'!E:E,"CIVIL")</f>
        <v>0</v>
      </c>
      <c r="H2541" s="126">
        <f>SUMIFS('Support - Transition'!F:F,'Support - Transition'!B:B,'Step 2'!A2541,'Support - Transition'!C:C,'Step 2'!B2541,'Support - Transition'!D:D,'Step 2'!C2541,'Support - Transition'!E:E,"FIRE")</f>
        <v>0</v>
      </c>
      <c r="I2541" s="126">
        <f>IF(B2541="0",SUMIFS('Support - Transition'!F:F,'Support - Transition'!J:J,'Step 2'!D2541,'Support - Transition'!E:E,"STATE UNIT"),SUMIFS('Support - Transition'!F:F,'Support - Transition'!J:J,'Step 2'!D2541))</f>
        <v>2.0999999999999999E-5</v>
      </c>
      <c r="J2541" s="126">
        <f>SUMIFS('Support - Unit Adjustments'!E:E,'Support - Unit Adjustments'!F:F,'Step 2'!D2541)</f>
        <v>0</v>
      </c>
      <c r="K2541" s="126">
        <f t="shared" si="745"/>
        <v>2.0999999999999999E-5</v>
      </c>
      <c r="L2541" s="174">
        <f>VLOOKUP(A2541,'Step 1'!$A:$E,4,FALSE)</f>
        <v>176760</v>
      </c>
      <c r="M2541" s="47">
        <f t="shared" si="746"/>
        <v>4</v>
      </c>
      <c r="N2541" s="177">
        <f>SUMIFS('Support - Transition'!G:G,'Support - Transition'!J:J,'Step 2'!D2541,'Support - Transition'!E:E,"2009 WELFARE ALLOCATION FACTOR")</f>
        <v>0</v>
      </c>
      <c r="O2541" s="152">
        <f t="shared" si="751"/>
        <v>0</v>
      </c>
      <c r="P2541" s="126">
        <f>IF(E2541="Y",0,SUMIFS('Support - Transition'!G:G,'Support - Transition'!J:J,'Step 2'!D2541,'Support - Transition'!E:E,"2009 SCHOOL ALLOCATION FACTOR"))</f>
        <v>0</v>
      </c>
      <c r="Q2541" s="126">
        <f>IF(E2541="Y",VLOOKUP(D2541,'Support - Unit Adjustments'!F:G,2,FALSE),0)</f>
        <v>0</v>
      </c>
      <c r="R2541" s="155">
        <f t="shared" si="763"/>
        <v>0</v>
      </c>
      <c r="S2541" s="47">
        <f t="shared" si="762"/>
        <v>0</v>
      </c>
      <c r="T2541" s="151">
        <f t="shared" si="747"/>
        <v>4</v>
      </c>
      <c r="U2541" s="151">
        <f t="shared" si="748"/>
        <v>0</v>
      </c>
      <c r="V2541" s="139">
        <f t="shared" si="749"/>
        <v>0</v>
      </c>
      <c r="W2541" s="152">
        <f t="shared" si="752"/>
        <v>4</v>
      </c>
      <c r="X2541" s="127" t="str">
        <f t="shared" si="750"/>
        <v/>
      </c>
      <c r="Y2541" s="207">
        <f t="shared" si="753"/>
        <v>4</v>
      </c>
      <c r="Z2541" s="139">
        <f t="shared" si="754"/>
        <v>4</v>
      </c>
      <c r="AA2541" s="139">
        <f t="shared" si="755"/>
        <v>0</v>
      </c>
      <c r="AC2541" s="47">
        <f t="shared" si="756"/>
        <v>2</v>
      </c>
      <c r="AD2541" s="47">
        <f t="shared" si="757"/>
        <v>2</v>
      </c>
      <c r="AE2541" s="47">
        <f t="shared" si="758"/>
        <v>0</v>
      </c>
      <c r="AG2541" s="47">
        <f t="shared" si="759"/>
        <v>2</v>
      </c>
      <c r="AH2541" s="47">
        <f t="shared" si="760"/>
        <v>2</v>
      </c>
      <c r="AI2541" s="208">
        <f t="shared" si="761"/>
        <v>0</v>
      </c>
    </row>
    <row r="2542" spans="1:35">
      <c r="A2542" t="s">
        <v>2172</v>
      </c>
      <c r="B2542" t="s">
        <v>3155</v>
      </c>
      <c r="C2542" t="s">
        <v>2401</v>
      </c>
      <c r="D2542" t="s">
        <v>6112</v>
      </c>
      <c r="F2542" t="s">
        <v>1804</v>
      </c>
      <c r="G2542" s="126">
        <f>SUMIFS('Support - Transition'!F:F,'Support - Transition'!B:B,'Step 2'!A2542,'Support - Transition'!C:C,'Step 2'!B2542,'Support - Transition'!D:D,'Step 2'!C2542,'Support - Transition'!E:E,"CIVIL")</f>
        <v>0</v>
      </c>
      <c r="H2542" s="126">
        <f>SUMIFS('Support - Transition'!F:F,'Support - Transition'!B:B,'Step 2'!A2542,'Support - Transition'!C:C,'Step 2'!B2542,'Support - Transition'!D:D,'Step 2'!C2542,'Support - Transition'!E:E,"FIRE")</f>
        <v>0</v>
      </c>
      <c r="I2542" s="126">
        <f>IF(B2542="0",SUMIFS('Support - Transition'!F:F,'Support - Transition'!J:J,'Step 2'!D2542,'Support - Transition'!E:E,"STATE UNIT"),SUMIFS('Support - Transition'!F:F,'Support - Transition'!J:J,'Step 2'!D2542))</f>
        <v>4.3300000000000001E-4</v>
      </c>
      <c r="J2542" s="126">
        <f>SUMIFS('Support - Unit Adjustments'!E:E,'Support - Unit Adjustments'!F:F,'Step 2'!D2542)</f>
        <v>0</v>
      </c>
      <c r="K2542" s="126">
        <f t="shared" si="745"/>
        <v>4.3300000000000001E-4</v>
      </c>
      <c r="L2542" s="174">
        <f>VLOOKUP(A2542,'Step 1'!$A:$E,4,FALSE)</f>
        <v>176760</v>
      </c>
      <c r="M2542" s="47">
        <f t="shared" si="746"/>
        <v>77</v>
      </c>
      <c r="N2542" s="177">
        <f>SUMIFS('Support - Transition'!G:G,'Support - Transition'!J:J,'Step 2'!D2542,'Support - Transition'!E:E,"2009 WELFARE ALLOCATION FACTOR")</f>
        <v>0</v>
      </c>
      <c r="O2542" s="152">
        <f t="shared" si="751"/>
        <v>0</v>
      </c>
      <c r="P2542" s="126">
        <f>IF(E2542="Y",0,SUMIFS('Support - Transition'!G:G,'Support - Transition'!J:J,'Step 2'!D2542,'Support - Transition'!E:E,"2009 SCHOOL ALLOCATION FACTOR"))</f>
        <v>0</v>
      </c>
      <c r="Q2542" s="126">
        <f>IF(E2542="Y",VLOOKUP(D2542,'Support - Unit Adjustments'!F:G,2,FALSE),0)</f>
        <v>0</v>
      </c>
      <c r="R2542" s="155">
        <f t="shared" si="763"/>
        <v>0</v>
      </c>
      <c r="S2542" s="47">
        <f t="shared" si="762"/>
        <v>0</v>
      </c>
      <c r="T2542" s="151">
        <f t="shared" si="747"/>
        <v>77</v>
      </c>
      <c r="U2542" s="151">
        <f t="shared" si="748"/>
        <v>0</v>
      </c>
      <c r="V2542" s="139">
        <f t="shared" si="749"/>
        <v>0</v>
      </c>
      <c r="W2542" s="152">
        <f t="shared" si="752"/>
        <v>77</v>
      </c>
      <c r="X2542" s="127" t="str">
        <f t="shared" si="750"/>
        <v/>
      </c>
      <c r="Y2542" s="207">
        <f t="shared" si="753"/>
        <v>77</v>
      </c>
      <c r="Z2542" s="139">
        <f t="shared" si="754"/>
        <v>77</v>
      </c>
      <c r="AA2542" s="139">
        <f t="shared" si="755"/>
        <v>0</v>
      </c>
      <c r="AC2542" s="47">
        <f t="shared" si="756"/>
        <v>39</v>
      </c>
      <c r="AD2542" s="47">
        <f t="shared" si="757"/>
        <v>39</v>
      </c>
      <c r="AE2542" s="47">
        <f t="shared" si="758"/>
        <v>0</v>
      </c>
      <c r="AG2542" s="47">
        <f t="shared" si="759"/>
        <v>38</v>
      </c>
      <c r="AH2542" s="47">
        <f t="shared" si="760"/>
        <v>38</v>
      </c>
      <c r="AI2542" s="208">
        <f t="shared" si="761"/>
        <v>0</v>
      </c>
    </row>
    <row r="2543" spans="1:35">
      <c r="A2543" t="s">
        <v>2172</v>
      </c>
      <c r="B2543" t="s">
        <v>3155</v>
      </c>
      <c r="C2543" t="s">
        <v>3092</v>
      </c>
      <c r="D2543" t="s">
        <v>6113</v>
      </c>
      <c r="F2543" t="s">
        <v>1805</v>
      </c>
      <c r="G2543" s="126">
        <f>SUMIFS('Support - Transition'!F:F,'Support - Transition'!B:B,'Step 2'!A2543,'Support - Transition'!C:C,'Step 2'!B2543,'Support - Transition'!D:D,'Step 2'!C2543,'Support - Transition'!E:E,"CIVIL")</f>
        <v>0</v>
      </c>
      <c r="H2543" s="126">
        <f>SUMIFS('Support - Transition'!F:F,'Support - Transition'!B:B,'Step 2'!A2543,'Support - Transition'!C:C,'Step 2'!B2543,'Support - Transition'!D:D,'Step 2'!C2543,'Support - Transition'!E:E,"FIRE")</f>
        <v>0</v>
      </c>
      <c r="I2543" s="126">
        <f>IF(B2543="0",SUMIFS('Support - Transition'!F:F,'Support - Transition'!J:J,'Step 2'!D2543,'Support - Transition'!E:E,"STATE UNIT"),SUMIFS('Support - Transition'!F:F,'Support - Transition'!J:J,'Step 2'!D2543))</f>
        <v>4.3620000000000004E-3</v>
      </c>
      <c r="J2543" s="126">
        <f>SUMIFS('Support - Unit Adjustments'!E:E,'Support - Unit Adjustments'!F:F,'Step 2'!D2543)</f>
        <v>0</v>
      </c>
      <c r="K2543" s="126">
        <f t="shared" si="745"/>
        <v>4.3620000000000004E-3</v>
      </c>
      <c r="L2543" s="174">
        <f>VLOOKUP(A2543,'Step 1'!$A:$E,4,FALSE)</f>
        <v>176760</v>
      </c>
      <c r="M2543" s="47">
        <f t="shared" si="746"/>
        <v>771</v>
      </c>
      <c r="N2543" s="177">
        <f>SUMIFS('Support - Transition'!G:G,'Support - Transition'!J:J,'Step 2'!D2543,'Support - Transition'!E:E,"2009 WELFARE ALLOCATION FACTOR")</f>
        <v>0</v>
      </c>
      <c r="O2543" s="152">
        <f t="shared" si="751"/>
        <v>0</v>
      </c>
      <c r="P2543" s="126">
        <f>IF(E2543="Y",0,SUMIFS('Support - Transition'!G:G,'Support - Transition'!J:J,'Step 2'!D2543,'Support - Transition'!E:E,"2009 SCHOOL ALLOCATION FACTOR"))</f>
        <v>0</v>
      </c>
      <c r="Q2543" s="126">
        <f>IF(E2543="Y",VLOOKUP(D2543,'Support - Unit Adjustments'!F:G,2,FALSE),0)</f>
        <v>0</v>
      </c>
      <c r="R2543" s="155">
        <f t="shared" si="763"/>
        <v>0</v>
      </c>
      <c r="S2543" s="47">
        <f t="shared" si="762"/>
        <v>0</v>
      </c>
      <c r="T2543" s="151">
        <f t="shared" si="747"/>
        <v>771</v>
      </c>
      <c r="U2543" s="151">
        <f t="shared" si="748"/>
        <v>0</v>
      </c>
      <c r="V2543" s="139">
        <f t="shared" si="749"/>
        <v>0</v>
      </c>
      <c r="W2543" s="152">
        <f t="shared" si="752"/>
        <v>771</v>
      </c>
      <c r="X2543" s="127" t="str">
        <f t="shared" si="750"/>
        <v/>
      </c>
      <c r="Y2543" s="207">
        <f t="shared" si="753"/>
        <v>771</v>
      </c>
      <c r="Z2543" s="139">
        <f t="shared" si="754"/>
        <v>771</v>
      </c>
      <c r="AA2543" s="139">
        <f t="shared" si="755"/>
        <v>0</v>
      </c>
      <c r="AC2543" s="47">
        <f t="shared" si="756"/>
        <v>386</v>
      </c>
      <c r="AD2543" s="47">
        <f t="shared" si="757"/>
        <v>386</v>
      </c>
      <c r="AE2543" s="47">
        <f t="shared" si="758"/>
        <v>0</v>
      </c>
      <c r="AG2543" s="47">
        <f t="shared" si="759"/>
        <v>385</v>
      </c>
      <c r="AH2543" s="47">
        <f t="shared" si="760"/>
        <v>385</v>
      </c>
      <c r="AI2543" s="208">
        <f t="shared" si="761"/>
        <v>0</v>
      </c>
    </row>
    <row r="2544" spans="1:35">
      <c r="A2544" t="s">
        <v>2172</v>
      </c>
      <c r="B2544" t="s">
        <v>3155</v>
      </c>
      <c r="C2544" t="s">
        <v>3093</v>
      </c>
      <c r="D2544" t="s">
        <v>6114</v>
      </c>
      <c r="F2544" t="s">
        <v>1807</v>
      </c>
      <c r="G2544" s="126">
        <f>SUMIFS('Support - Transition'!F:F,'Support - Transition'!B:B,'Step 2'!A2544,'Support - Transition'!C:C,'Step 2'!B2544,'Support - Transition'!D:D,'Step 2'!C2544,'Support - Transition'!E:E,"CIVIL")</f>
        <v>0</v>
      </c>
      <c r="H2544" s="126">
        <f>SUMIFS('Support - Transition'!F:F,'Support - Transition'!B:B,'Step 2'!A2544,'Support - Transition'!C:C,'Step 2'!B2544,'Support - Transition'!D:D,'Step 2'!C2544,'Support - Transition'!E:E,"FIRE")</f>
        <v>0</v>
      </c>
      <c r="I2544" s="126">
        <f>IF(B2544="0",SUMIFS('Support - Transition'!F:F,'Support - Transition'!J:J,'Step 2'!D2544,'Support - Transition'!E:E,"STATE UNIT"),SUMIFS('Support - Transition'!F:F,'Support - Transition'!J:J,'Step 2'!D2544))</f>
        <v>7.1199999999999996E-4</v>
      </c>
      <c r="J2544" s="126">
        <f>SUMIFS('Support - Unit Adjustments'!E:E,'Support - Unit Adjustments'!F:F,'Step 2'!D2544)</f>
        <v>0</v>
      </c>
      <c r="K2544" s="126">
        <f t="shared" si="745"/>
        <v>7.1199999999999996E-4</v>
      </c>
      <c r="L2544" s="174">
        <f>VLOOKUP(A2544,'Step 1'!$A:$E,4,FALSE)</f>
        <v>176760</v>
      </c>
      <c r="M2544" s="47">
        <f t="shared" si="746"/>
        <v>126</v>
      </c>
      <c r="N2544" s="177">
        <f>SUMIFS('Support - Transition'!G:G,'Support - Transition'!J:J,'Step 2'!D2544,'Support - Transition'!E:E,"2009 WELFARE ALLOCATION FACTOR")</f>
        <v>0</v>
      </c>
      <c r="O2544" s="152">
        <f t="shared" si="751"/>
        <v>0</v>
      </c>
      <c r="P2544" s="126">
        <f>IF(E2544="Y",0,SUMIFS('Support - Transition'!G:G,'Support - Transition'!J:J,'Step 2'!D2544,'Support - Transition'!E:E,"2009 SCHOOL ALLOCATION FACTOR"))</f>
        <v>0</v>
      </c>
      <c r="Q2544" s="126">
        <f>IF(E2544="Y",VLOOKUP(D2544,'Support - Unit Adjustments'!F:G,2,FALSE),0)</f>
        <v>0</v>
      </c>
      <c r="R2544" s="155">
        <f t="shared" si="763"/>
        <v>0</v>
      </c>
      <c r="S2544" s="47">
        <f t="shared" si="762"/>
        <v>0</v>
      </c>
      <c r="T2544" s="151">
        <f t="shared" si="747"/>
        <v>126</v>
      </c>
      <c r="U2544" s="151">
        <f t="shared" si="748"/>
        <v>0</v>
      </c>
      <c r="V2544" s="139">
        <f t="shared" si="749"/>
        <v>0</v>
      </c>
      <c r="W2544" s="152">
        <f t="shared" si="752"/>
        <v>126</v>
      </c>
      <c r="X2544" s="127" t="str">
        <f t="shared" si="750"/>
        <v/>
      </c>
      <c r="Y2544" s="207">
        <f t="shared" si="753"/>
        <v>126</v>
      </c>
      <c r="Z2544" s="139">
        <f t="shared" si="754"/>
        <v>126</v>
      </c>
      <c r="AA2544" s="139">
        <f t="shared" si="755"/>
        <v>0</v>
      </c>
      <c r="AC2544" s="47">
        <f t="shared" si="756"/>
        <v>63</v>
      </c>
      <c r="AD2544" s="47">
        <f t="shared" si="757"/>
        <v>63</v>
      </c>
      <c r="AE2544" s="47">
        <f t="shared" si="758"/>
        <v>0</v>
      </c>
      <c r="AG2544" s="47">
        <f t="shared" si="759"/>
        <v>63</v>
      </c>
      <c r="AH2544" s="47">
        <f t="shared" si="760"/>
        <v>63</v>
      </c>
      <c r="AI2544" s="208">
        <f t="shared" si="761"/>
        <v>0</v>
      </c>
    </row>
    <row r="2545" spans="1:35">
      <c r="A2545" t="s">
        <v>2172</v>
      </c>
      <c r="B2545" t="s">
        <v>3160</v>
      </c>
      <c r="C2545" t="s">
        <v>3094</v>
      </c>
      <c r="D2545" t="s">
        <v>6115</v>
      </c>
      <c r="F2545" t="s">
        <v>1809</v>
      </c>
      <c r="G2545" s="126">
        <f>SUMIFS('Support - Transition'!F:F,'Support - Transition'!B:B,'Step 2'!A2545,'Support - Transition'!C:C,'Step 2'!B2545,'Support - Transition'!D:D,'Step 2'!C2545,'Support - Transition'!E:E,"CIVIL")</f>
        <v>0</v>
      </c>
      <c r="H2545" s="126">
        <f>SUMIFS('Support - Transition'!F:F,'Support - Transition'!B:B,'Step 2'!A2545,'Support - Transition'!C:C,'Step 2'!B2545,'Support - Transition'!D:D,'Step 2'!C2545,'Support - Transition'!E:E,"FIRE")</f>
        <v>0</v>
      </c>
      <c r="I2545" s="126">
        <f>IF(B2545="0",SUMIFS('Support - Transition'!F:F,'Support - Transition'!J:J,'Step 2'!D2545,'Support - Transition'!E:E,"STATE UNIT"),SUMIFS('Support - Transition'!F:F,'Support - Transition'!J:J,'Step 2'!D2545))</f>
        <v>0.35965200000000003</v>
      </c>
      <c r="J2545" s="126">
        <f>SUMIFS('Support - Unit Adjustments'!E:E,'Support - Unit Adjustments'!F:F,'Step 2'!D2545)</f>
        <v>0</v>
      </c>
      <c r="K2545" s="126">
        <f t="shared" si="745"/>
        <v>0.35965200000000003</v>
      </c>
      <c r="L2545" s="174">
        <f>VLOOKUP(A2545,'Step 1'!$A:$E,4,FALSE)</f>
        <v>176760</v>
      </c>
      <c r="M2545" s="47">
        <f t="shared" si="746"/>
        <v>63572</v>
      </c>
      <c r="N2545" s="177">
        <f>SUMIFS('Support - Transition'!G:G,'Support - Transition'!J:J,'Step 2'!D2545,'Support - Transition'!E:E,"2009 WELFARE ALLOCATION FACTOR")</f>
        <v>0</v>
      </c>
      <c r="O2545" s="152">
        <f t="shared" si="751"/>
        <v>0</v>
      </c>
      <c r="P2545" s="126">
        <f>IF(E2545="Y",0,SUMIFS('Support - Transition'!G:G,'Support - Transition'!J:J,'Step 2'!D2545,'Support - Transition'!E:E,"2009 SCHOOL ALLOCATION FACTOR"))</f>
        <v>0.389629</v>
      </c>
      <c r="Q2545" s="126">
        <f>IF(E2545="Y",VLOOKUP(D2545,'Support - Unit Adjustments'!F:G,2,FALSE),0)</f>
        <v>0</v>
      </c>
      <c r="R2545" s="155">
        <f t="shared" si="763"/>
        <v>0.389629</v>
      </c>
      <c r="S2545" s="47">
        <f t="shared" si="762"/>
        <v>24769</v>
      </c>
      <c r="T2545" s="151">
        <f t="shared" si="747"/>
        <v>38803</v>
      </c>
      <c r="U2545" s="151">
        <f t="shared" si="748"/>
        <v>0</v>
      </c>
      <c r="V2545" s="139">
        <f t="shared" si="749"/>
        <v>0</v>
      </c>
      <c r="W2545" s="152">
        <f t="shared" si="752"/>
        <v>38803</v>
      </c>
      <c r="X2545" s="127" t="str">
        <f t="shared" si="750"/>
        <v/>
      </c>
      <c r="Y2545" s="207">
        <f t="shared" si="753"/>
        <v>38803</v>
      </c>
      <c r="Z2545" s="139">
        <f t="shared" si="754"/>
        <v>38803</v>
      </c>
      <c r="AA2545" s="139">
        <f t="shared" si="755"/>
        <v>0</v>
      </c>
      <c r="AC2545" s="47">
        <f t="shared" si="756"/>
        <v>19402</v>
      </c>
      <c r="AD2545" s="47">
        <f t="shared" si="757"/>
        <v>19402</v>
      </c>
      <c r="AE2545" s="47">
        <f t="shared" si="758"/>
        <v>0</v>
      </c>
      <c r="AG2545" s="47">
        <f t="shared" si="759"/>
        <v>19401</v>
      </c>
      <c r="AH2545" s="47">
        <f t="shared" si="760"/>
        <v>19401</v>
      </c>
      <c r="AI2545" s="208">
        <f t="shared" si="761"/>
        <v>0</v>
      </c>
    </row>
    <row r="2546" spans="1:35">
      <c r="A2546" t="s">
        <v>2172</v>
      </c>
      <c r="B2546" t="s">
        <v>3160</v>
      </c>
      <c r="C2546" t="s">
        <v>3095</v>
      </c>
      <c r="D2546" t="s">
        <v>6116</v>
      </c>
      <c r="F2546" t="s">
        <v>1808</v>
      </c>
      <c r="G2546" s="126">
        <f>SUMIFS('Support - Transition'!F:F,'Support - Transition'!B:B,'Step 2'!A2546,'Support - Transition'!C:C,'Step 2'!B2546,'Support - Transition'!D:D,'Step 2'!C2546,'Support - Transition'!E:E,"CIVIL")</f>
        <v>0</v>
      </c>
      <c r="H2546" s="126">
        <f>SUMIFS('Support - Transition'!F:F,'Support - Transition'!B:B,'Step 2'!A2546,'Support - Transition'!C:C,'Step 2'!B2546,'Support - Transition'!D:D,'Step 2'!C2546,'Support - Transition'!E:E,"FIRE")</f>
        <v>0</v>
      </c>
      <c r="I2546" s="126">
        <f>IF(B2546="0",SUMIFS('Support - Transition'!F:F,'Support - Transition'!J:J,'Step 2'!D2546,'Support - Transition'!E:E,"STATE UNIT"),SUMIFS('Support - Transition'!F:F,'Support - Transition'!J:J,'Step 2'!D2546))</f>
        <v>0.122225</v>
      </c>
      <c r="J2546" s="126">
        <f>SUMIFS('Support - Unit Adjustments'!E:E,'Support - Unit Adjustments'!F:F,'Step 2'!D2546)</f>
        <v>0</v>
      </c>
      <c r="K2546" s="126">
        <f t="shared" si="745"/>
        <v>0.122225</v>
      </c>
      <c r="L2546" s="174">
        <f>VLOOKUP(A2546,'Step 1'!$A:$E,4,FALSE)</f>
        <v>176760</v>
      </c>
      <c r="M2546" s="47">
        <f t="shared" si="746"/>
        <v>21604</v>
      </c>
      <c r="N2546" s="177">
        <f>SUMIFS('Support - Transition'!G:G,'Support - Transition'!J:J,'Step 2'!D2546,'Support - Transition'!E:E,"2009 WELFARE ALLOCATION FACTOR")</f>
        <v>0</v>
      </c>
      <c r="O2546" s="152">
        <f t="shared" si="751"/>
        <v>0</v>
      </c>
      <c r="P2546" s="126">
        <f>IF(E2546="Y",0,SUMIFS('Support - Transition'!G:G,'Support - Transition'!J:J,'Step 2'!D2546,'Support - Transition'!E:E,"2009 SCHOOL ALLOCATION FACTOR"))</f>
        <v>0.36418400000000001</v>
      </c>
      <c r="Q2546" s="126">
        <f>IF(E2546="Y",VLOOKUP(D2546,'Support - Unit Adjustments'!F:G,2,FALSE),0)</f>
        <v>0</v>
      </c>
      <c r="R2546" s="155">
        <f t="shared" si="763"/>
        <v>0.36418400000000001</v>
      </c>
      <c r="S2546" s="47">
        <f t="shared" si="762"/>
        <v>7868</v>
      </c>
      <c r="T2546" s="151">
        <f t="shared" si="747"/>
        <v>13736</v>
      </c>
      <c r="U2546" s="151">
        <f t="shared" si="748"/>
        <v>0</v>
      </c>
      <c r="V2546" s="139">
        <f t="shared" si="749"/>
        <v>0</v>
      </c>
      <c r="W2546" s="152">
        <f t="shared" si="752"/>
        <v>13736</v>
      </c>
      <c r="X2546" s="127" t="str">
        <f t="shared" si="750"/>
        <v/>
      </c>
      <c r="Y2546" s="207">
        <f t="shared" si="753"/>
        <v>13736</v>
      </c>
      <c r="Z2546" s="139">
        <f t="shared" si="754"/>
        <v>13736</v>
      </c>
      <c r="AA2546" s="139">
        <f t="shared" si="755"/>
        <v>0</v>
      </c>
      <c r="AC2546" s="47">
        <f t="shared" si="756"/>
        <v>6868</v>
      </c>
      <c r="AD2546" s="47">
        <f t="shared" si="757"/>
        <v>6868</v>
      </c>
      <c r="AE2546" s="47">
        <f t="shared" si="758"/>
        <v>0</v>
      </c>
      <c r="AG2546" s="47">
        <f t="shared" si="759"/>
        <v>6868</v>
      </c>
      <c r="AH2546" s="47">
        <f t="shared" si="760"/>
        <v>6868</v>
      </c>
      <c r="AI2546" s="208">
        <f t="shared" si="761"/>
        <v>0</v>
      </c>
    </row>
    <row r="2547" spans="1:35">
      <c r="A2547" t="s">
        <v>2172</v>
      </c>
      <c r="B2547" t="s">
        <v>3160</v>
      </c>
      <c r="C2547" t="s">
        <v>3096</v>
      </c>
      <c r="D2547" t="s">
        <v>6117</v>
      </c>
      <c r="F2547" t="s">
        <v>1810</v>
      </c>
      <c r="G2547" s="126">
        <f>SUMIFS('Support - Transition'!F:F,'Support - Transition'!B:B,'Step 2'!A2547,'Support - Transition'!C:C,'Step 2'!B2547,'Support - Transition'!D:D,'Step 2'!C2547,'Support - Transition'!E:E,"CIVIL")</f>
        <v>0</v>
      </c>
      <c r="H2547" s="126">
        <f>SUMIFS('Support - Transition'!F:F,'Support - Transition'!B:B,'Step 2'!A2547,'Support - Transition'!C:C,'Step 2'!B2547,'Support - Transition'!D:D,'Step 2'!C2547,'Support - Transition'!E:E,"FIRE")</f>
        <v>0</v>
      </c>
      <c r="I2547" s="126">
        <f>IF(B2547="0",SUMIFS('Support - Transition'!F:F,'Support - Transition'!J:J,'Step 2'!D2547,'Support - Transition'!E:E,"STATE UNIT"),SUMIFS('Support - Transition'!F:F,'Support - Transition'!J:J,'Step 2'!D2547))</f>
        <v>0.11051</v>
      </c>
      <c r="J2547" s="126">
        <f>SUMIFS('Support - Unit Adjustments'!E:E,'Support - Unit Adjustments'!F:F,'Step 2'!D2547)</f>
        <v>0</v>
      </c>
      <c r="K2547" s="126">
        <f t="shared" si="745"/>
        <v>0.11051</v>
      </c>
      <c r="L2547" s="174">
        <f>VLOOKUP(A2547,'Step 1'!$A:$E,4,FALSE)</f>
        <v>176760</v>
      </c>
      <c r="M2547" s="47">
        <f t="shared" si="746"/>
        <v>19534</v>
      </c>
      <c r="N2547" s="177">
        <f>SUMIFS('Support - Transition'!G:G,'Support - Transition'!J:J,'Step 2'!D2547,'Support - Transition'!E:E,"2009 WELFARE ALLOCATION FACTOR")</f>
        <v>0</v>
      </c>
      <c r="O2547" s="152">
        <f t="shared" si="751"/>
        <v>0</v>
      </c>
      <c r="P2547" s="126">
        <f>IF(E2547="Y",0,SUMIFS('Support - Transition'!G:G,'Support - Transition'!J:J,'Step 2'!D2547,'Support - Transition'!E:E,"2009 SCHOOL ALLOCATION FACTOR"))</f>
        <v>0.41133399999999998</v>
      </c>
      <c r="Q2547" s="126">
        <f>IF(E2547="Y",VLOOKUP(D2547,'Support - Unit Adjustments'!F:G,2,FALSE),0)</f>
        <v>0</v>
      </c>
      <c r="R2547" s="155">
        <f t="shared" si="763"/>
        <v>0.41133399999999998</v>
      </c>
      <c r="S2547" s="47">
        <f t="shared" si="762"/>
        <v>8035</v>
      </c>
      <c r="T2547" s="151">
        <f t="shared" si="747"/>
        <v>11499</v>
      </c>
      <c r="U2547" s="151">
        <f t="shared" si="748"/>
        <v>0</v>
      </c>
      <c r="V2547" s="139">
        <f t="shared" si="749"/>
        <v>0</v>
      </c>
      <c r="W2547" s="152">
        <f t="shared" si="752"/>
        <v>11499</v>
      </c>
      <c r="X2547" s="127" t="str">
        <f t="shared" si="750"/>
        <v/>
      </c>
      <c r="Y2547" s="207">
        <f t="shared" si="753"/>
        <v>11499</v>
      </c>
      <c r="Z2547" s="139">
        <f t="shared" si="754"/>
        <v>11499</v>
      </c>
      <c r="AA2547" s="139">
        <f t="shared" si="755"/>
        <v>0</v>
      </c>
      <c r="AC2547" s="47">
        <f t="shared" si="756"/>
        <v>5750</v>
      </c>
      <c r="AD2547" s="47">
        <f t="shared" si="757"/>
        <v>5750</v>
      </c>
      <c r="AE2547" s="47">
        <f t="shared" si="758"/>
        <v>0</v>
      </c>
      <c r="AG2547" s="47">
        <f t="shared" si="759"/>
        <v>5749</v>
      </c>
      <c r="AH2547" s="47">
        <f t="shared" si="760"/>
        <v>5749</v>
      </c>
      <c r="AI2547" s="208">
        <f t="shared" si="761"/>
        <v>0</v>
      </c>
    </row>
    <row r="2548" spans="1:35">
      <c r="A2548" t="s">
        <v>2172</v>
      </c>
      <c r="B2548" t="s">
        <v>3166</v>
      </c>
      <c r="C2548" t="s">
        <v>3097</v>
      </c>
      <c r="D2548" t="s">
        <v>6118</v>
      </c>
      <c r="F2548" t="s">
        <v>1811</v>
      </c>
      <c r="G2548" s="126">
        <f>SUMIFS('Support - Transition'!F:F,'Support - Transition'!B:B,'Step 2'!A2548,'Support - Transition'!C:C,'Step 2'!B2548,'Support - Transition'!D:D,'Step 2'!C2548,'Support - Transition'!E:E,"CIVIL")</f>
        <v>0</v>
      </c>
      <c r="H2548" s="126">
        <f>SUMIFS('Support - Transition'!F:F,'Support - Transition'!B:B,'Step 2'!A2548,'Support - Transition'!C:C,'Step 2'!B2548,'Support - Transition'!D:D,'Step 2'!C2548,'Support - Transition'!E:E,"FIRE")</f>
        <v>0</v>
      </c>
      <c r="I2548" s="126">
        <f>IF(B2548="0",SUMIFS('Support - Transition'!F:F,'Support - Transition'!J:J,'Step 2'!D2548,'Support - Transition'!E:E,"STATE UNIT"),SUMIFS('Support - Transition'!F:F,'Support - Transition'!J:J,'Step 2'!D2548))</f>
        <v>1.091E-2</v>
      </c>
      <c r="J2548" s="126">
        <f>SUMIFS('Support - Unit Adjustments'!E:E,'Support - Unit Adjustments'!F:F,'Step 2'!D2548)</f>
        <v>0</v>
      </c>
      <c r="K2548" s="126">
        <f t="shared" si="745"/>
        <v>1.091E-2</v>
      </c>
      <c r="L2548" s="174">
        <f>VLOOKUP(A2548,'Step 1'!$A:$E,4,FALSE)</f>
        <v>176760</v>
      </c>
      <c r="M2548" s="47">
        <f t="shared" si="746"/>
        <v>1928</v>
      </c>
      <c r="N2548" s="177">
        <f>SUMIFS('Support - Transition'!G:G,'Support - Transition'!J:J,'Step 2'!D2548,'Support - Transition'!E:E,"2009 WELFARE ALLOCATION FACTOR")</f>
        <v>0</v>
      </c>
      <c r="O2548" s="152">
        <f t="shared" si="751"/>
        <v>0</v>
      </c>
      <c r="P2548" s="126">
        <f>IF(E2548="Y",0,SUMIFS('Support - Transition'!G:G,'Support - Transition'!J:J,'Step 2'!D2548,'Support - Transition'!E:E,"2009 SCHOOL ALLOCATION FACTOR"))</f>
        <v>0</v>
      </c>
      <c r="Q2548" s="126">
        <f>IF(E2548="Y",VLOOKUP(D2548,'Support - Unit Adjustments'!F:G,2,FALSE),0)</f>
        <v>0</v>
      </c>
      <c r="R2548" s="155">
        <f t="shared" si="763"/>
        <v>0</v>
      </c>
      <c r="S2548" s="47">
        <f t="shared" si="762"/>
        <v>0</v>
      </c>
      <c r="T2548" s="151">
        <f t="shared" si="747"/>
        <v>1928</v>
      </c>
      <c r="U2548" s="151">
        <f t="shared" si="748"/>
        <v>0</v>
      </c>
      <c r="V2548" s="139">
        <f t="shared" si="749"/>
        <v>0</v>
      </c>
      <c r="W2548" s="152">
        <f t="shared" si="752"/>
        <v>1928</v>
      </c>
      <c r="X2548" s="127" t="str">
        <f t="shared" si="750"/>
        <v/>
      </c>
      <c r="Y2548" s="207">
        <f t="shared" si="753"/>
        <v>1928</v>
      </c>
      <c r="Z2548" s="139">
        <f t="shared" si="754"/>
        <v>1928</v>
      </c>
      <c r="AA2548" s="139">
        <f t="shared" si="755"/>
        <v>0</v>
      </c>
      <c r="AC2548" s="47">
        <f t="shared" si="756"/>
        <v>964</v>
      </c>
      <c r="AD2548" s="47">
        <f t="shared" si="757"/>
        <v>964</v>
      </c>
      <c r="AE2548" s="47">
        <f t="shared" si="758"/>
        <v>0</v>
      </c>
      <c r="AG2548" s="47">
        <f t="shared" si="759"/>
        <v>964</v>
      </c>
      <c r="AH2548" s="47">
        <f t="shared" si="760"/>
        <v>964</v>
      </c>
      <c r="AI2548" s="208">
        <f t="shared" si="761"/>
        <v>0</v>
      </c>
    </row>
    <row r="2549" spans="1:35">
      <c r="A2549" t="s">
        <v>2172</v>
      </c>
      <c r="B2549" t="s">
        <v>3170</v>
      </c>
      <c r="C2549" t="s">
        <v>6119</v>
      </c>
      <c r="D2549" t="s">
        <v>6120</v>
      </c>
      <c r="F2549" t="s">
        <v>1813</v>
      </c>
      <c r="G2549" s="126">
        <f>SUMIFS('Support - Transition'!F:F,'Support - Transition'!B:B,'Step 2'!A2549,'Support - Transition'!C:C,'Step 2'!B2549,'Support - Transition'!D:D,'Step 2'!C2549,'Support - Transition'!E:E,"CIVIL")</f>
        <v>0</v>
      </c>
      <c r="H2549" s="126">
        <f>SUMIFS('Support - Transition'!F:F,'Support - Transition'!B:B,'Step 2'!A2549,'Support - Transition'!C:C,'Step 2'!B2549,'Support - Transition'!D:D,'Step 2'!C2549,'Support - Transition'!E:E,"FIRE")</f>
        <v>0</v>
      </c>
      <c r="I2549" s="126">
        <f>IF(B2549="0",SUMIFS('Support - Transition'!F:F,'Support - Transition'!J:J,'Step 2'!D2549,'Support - Transition'!E:E,"STATE UNIT"),SUMIFS('Support - Transition'!F:F,'Support - Transition'!J:J,'Step 2'!D2549))</f>
        <v>4.45E-3</v>
      </c>
      <c r="J2549" s="126">
        <f>SUMIFS('Support - Unit Adjustments'!E:E,'Support - Unit Adjustments'!F:F,'Step 2'!D2549)</f>
        <v>0</v>
      </c>
      <c r="K2549" s="126">
        <f t="shared" si="745"/>
        <v>4.45E-3</v>
      </c>
      <c r="L2549" s="174">
        <f>VLOOKUP(A2549,'Step 1'!$A:$E,4,FALSE)</f>
        <v>176760</v>
      </c>
      <c r="M2549" s="47">
        <f t="shared" si="746"/>
        <v>787</v>
      </c>
      <c r="N2549" s="177">
        <f>SUMIFS('Support - Transition'!G:G,'Support - Transition'!J:J,'Step 2'!D2549,'Support - Transition'!E:E,"2009 WELFARE ALLOCATION FACTOR")</f>
        <v>0</v>
      </c>
      <c r="O2549" s="152">
        <f t="shared" si="751"/>
        <v>0</v>
      </c>
      <c r="P2549" s="126">
        <f>IF(E2549="Y",0,SUMIFS('Support - Transition'!G:G,'Support - Transition'!J:J,'Step 2'!D2549,'Support - Transition'!E:E,"2009 SCHOOL ALLOCATION FACTOR"))</f>
        <v>0</v>
      </c>
      <c r="Q2549" s="126">
        <f>IF(E2549="Y",VLOOKUP(D2549,'Support - Unit Adjustments'!F:G,2,FALSE),0)</f>
        <v>0</v>
      </c>
      <c r="R2549" s="155">
        <f t="shared" si="763"/>
        <v>0</v>
      </c>
      <c r="S2549" s="47">
        <f t="shared" si="762"/>
        <v>0</v>
      </c>
      <c r="T2549" s="151">
        <f t="shared" si="747"/>
        <v>787</v>
      </c>
      <c r="U2549" s="151">
        <f t="shared" si="748"/>
        <v>0</v>
      </c>
      <c r="V2549" s="139">
        <f t="shared" si="749"/>
        <v>0</v>
      </c>
      <c r="W2549" s="152">
        <f t="shared" si="752"/>
        <v>787</v>
      </c>
      <c r="X2549" s="127" t="str">
        <f t="shared" si="750"/>
        <v/>
      </c>
      <c r="Y2549" s="207">
        <f t="shared" si="753"/>
        <v>787</v>
      </c>
      <c r="Z2549" s="139">
        <f t="shared" si="754"/>
        <v>787</v>
      </c>
      <c r="AA2549" s="139">
        <f t="shared" si="755"/>
        <v>0</v>
      </c>
      <c r="AC2549" s="47">
        <f t="shared" si="756"/>
        <v>394</v>
      </c>
      <c r="AD2549" s="47">
        <f t="shared" si="757"/>
        <v>394</v>
      </c>
      <c r="AE2549" s="47">
        <f t="shared" si="758"/>
        <v>0</v>
      </c>
      <c r="AG2549" s="47">
        <f t="shared" si="759"/>
        <v>393</v>
      </c>
      <c r="AH2549" s="47">
        <f t="shared" si="760"/>
        <v>393</v>
      </c>
      <c r="AI2549" s="208">
        <f t="shared" si="761"/>
        <v>0</v>
      </c>
    </row>
    <row r="2550" spans="1:35">
      <c r="A2550" t="s">
        <v>2172</v>
      </c>
      <c r="B2550" t="s">
        <v>3170</v>
      </c>
      <c r="C2550" t="s">
        <v>6121</v>
      </c>
      <c r="D2550" t="s">
        <v>6122</v>
      </c>
      <c r="F2550" t="s">
        <v>1814</v>
      </c>
      <c r="G2550" s="126">
        <f>SUMIFS('Support - Transition'!F:F,'Support - Transition'!B:B,'Step 2'!A2550,'Support - Transition'!C:C,'Step 2'!B2550,'Support - Transition'!D:D,'Step 2'!C2550,'Support - Transition'!E:E,"CIVIL")</f>
        <v>0</v>
      </c>
      <c r="H2550" s="126">
        <f>SUMIFS('Support - Transition'!F:F,'Support - Transition'!B:B,'Step 2'!A2550,'Support - Transition'!C:C,'Step 2'!B2550,'Support - Transition'!D:D,'Step 2'!C2550,'Support - Transition'!E:E,"FIRE")</f>
        <v>0</v>
      </c>
      <c r="I2550" s="126">
        <f>IF(B2550="0",SUMIFS('Support - Transition'!F:F,'Support - Transition'!J:J,'Step 2'!D2550,'Support - Transition'!E:E,"STATE UNIT"),SUMIFS('Support - Transition'!F:F,'Support - Transition'!J:J,'Step 2'!D2550))</f>
        <v>0</v>
      </c>
      <c r="J2550" s="126">
        <f>SUMIFS('Support - Unit Adjustments'!E:E,'Support - Unit Adjustments'!F:F,'Step 2'!D2550)</f>
        <v>2.9183999999999766E-2</v>
      </c>
      <c r="K2550" s="126">
        <f t="shared" si="745"/>
        <v>2.9183999999999766E-2</v>
      </c>
      <c r="L2550" s="174">
        <f>VLOOKUP(A2550,'Step 1'!$A:$E,4,FALSE)</f>
        <v>176760</v>
      </c>
      <c r="M2550" s="47">
        <f t="shared" si="746"/>
        <v>5159</v>
      </c>
      <c r="N2550" s="177">
        <f>SUMIFS('Support - Transition'!G:G,'Support - Transition'!J:J,'Step 2'!D2550,'Support - Transition'!E:E,"2009 WELFARE ALLOCATION FACTOR")</f>
        <v>0</v>
      </c>
      <c r="O2550" s="152">
        <f t="shared" si="751"/>
        <v>0</v>
      </c>
      <c r="P2550" s="126">
        <f>IF(E2550="Y",0,SUMIFS('Support - Transition'!G:G,'Support - Transition'!J:J,'Step 2'!D2550,'Support - Transition'!E:E,"2009 SCHOOL ALLOCATION FACTOR"))</f>
        <v>0</v>
      </c>
      <c r="Q2550" s="126">
        <f>IF(E2550="Y",VLOOKUP(D2550,'Support - Unit Adjustments'!F:G,2,FALSE),0)</f>
        <v>0</v>
      </c>
      <c r="R2550" s="155">
        <f t="shared" si="763"/>
        <v>0</v>
      </c>
      <c r="S2550" s="47">
        <f t="shared" si="762"/>
        <v>0</v>
      </c>
      <c r="T2550" s="151">
        <f t="shared" si="747"/>
        <v>5159</v>
      </c>
      <c r="U2550" s="151">
        <f t="shared" si="748"/>
        <v>0</v>
      </c>
      <c r="V2550" s="139">
        <f t="shared" si="749"/>
        <v>0</v>
      </c>
      <c r="W2550" s="152">
        <f t="shared" si="752"/>
        <v>5159</v>
      </c>
      <c r="X2550" s="127" t="str">
        <f t="shared" si="750"/>
        <v/>
      </c>
      <c r="Y2550" s="207">
        <f t="shared" si="753"/>
        <v>5159</v>
      </c>
      <c r="Z2550" s="139">
        <f t="shared" si="754"/>
        <v>5159</v>
      </c>
      <c r="AA2550" s="139">
        <f t="shared" si="755"/>
        <v>0</v>
      </c>
      <c r="AC2550" s="47">
        <f t="shared" si="756"/>
        <v>2580</v>
      </c>
      <c r="AD2550" s="47">
        <f t="shared" si="757"/>
        <v>2580</v>
      </c>
      <c r="AE2550" s="47">
        <f t="shared" si="758"/>
        <v>0</v>
      </c>
      <c r="AG2550" s="47">
        <f t="shared" si="759"/>
        <v>2579</v>
      </c>
      <c r="AH2550" s="47">
        <f t="shared" si="760"/>
        <v>2579</v>
      </c>
      <c r="AI2550" s="208">
        <f t="shared" si="761"/>
        <v>0</v>
      </c>
    </row>
    <row r="2551" spans="1:35">
      <c r="A2551" t="s">
        <v>2172</v>
      </c>
      <c r="B2551" t="s">
        <v>3170</v>
      </c>
      <c r="C2551" t="s">
        <v>4412</v>
      </c>
      <c r="D2551" t="s">
        <v>6123</v>
      </c>
      <c r="F2551" t="s">
        <v>1812</v>
      </c>
      <c r="G2551" s="126">
        <f>SUMIFS('Support - Transition'!F:F,'Support - Transition'!B:B,'Step 2'!A2551,'Support - Transition'!C:C,'Step 2'!B2551,'Support - Transition'!D:D,'Step 2'!C2551,'Support - Transition'!E:E,"CIVIL")</f>
        <v>0</v>
      </c>
      <c r="H2551" s="126">
        <f>SUMIFS('Support - Transition'!F:F,'Support - Transition'!B:B,'Step 2'!A2551,'Support - Transition'!C:C,'Step 2'!B2551,'Support - Transition'!D:D,'Step 2'!C2551,'Support - Transition'!E:E,"FIRE")</f>
        <v>0</v>
      </c>
      <c r="I2551" s="126">
        <f>IF(B2551="0",SUMIFS('Support - Transition'!F:F,'Support - Transition'!J:J,'Step 2'!D2551,'Support - Transition'!E:E,"STATE UNIT"),SUMIFS('Support - Transition'!F:F,'Support - Transition'!J:J,'Step 2'!D2551))</f>
        <v>3.8699999999999997E-4</v>
      </c>
      <c r="J2551" s="126">
        <f>SUMIFS('Support - Unit Adjustments'!E:E,'Support - Unit Adjustments'!F:F,'Step 2'!D2551)</f>
        <v>0</v>
      </c>
      <c r="K2551" s="126">
        <f t="shared" si="745"/>
        <v>3.8699999999999997E-4</v>
      </c>
      <c r="L2551" s="174">
        <f>VLOOKUP(A2551,'Step 1'!$A:$E,4,FALSE)</f>
        <v>176760</v>
      </c>
      <c r="M2551" s="47">
        <f t="shared" si="746"/>
        <v>68</v>
      </c>
      <c r="N2551" s="177">
        <f>SUMIFS('Support - Transition'!G:G,'Support - Transition'!J:J,'Step 2'!D2551,'Support - Transition'!E:E,"2009 WELFARE ALLOCATION FACTOR")</f>
        <v>0</v>
      </c>
      <c r="O2551" s="152">
        <f t="shared" si="751"/>
        <v>0</v>
      </c>
      <c r="P2551" s="126">
        <f>IF(E2551="Y",0,SUMIFS('Support - Transition'!G:G,'Support - Transition'!J:J,'Step 2'!D2551,'Support - Transition'!E:E,"2009 SCHOOL ALLOCATION FACTOR"))</f>
        <v>0</v>
      </c>
      <c r="Q2551" s="126">
        <f>IF(E2551="Y",VLOOKUP(D2551,'Support - Unit Adjustments'!F:G,2,FALSE),0)</f>
        <v>0</v>
      </c>
      <c r="R2551" s="155">
        <f t="shared" si="763"/>
        <v>0</v>
      </c>
      <c r="S2551" s="47">
        <f t="shared" si="762"/>
        <v>0</v>
      </c>
      <c r="T2551" s="151">
        <f t="shared" si="747"/>
        <v>68</v>
      </c>
      <c r="U2551" s="151">
        <f t="shared" si="748"/>
        <v>0</v>
      </c>
      <c r="V2551" s="139">
        <f t="shared" si="749"/>
        <v>0</v>
      </c>
      <c r="W2551" s="152">
        <f t="shared" si="752"/>
        <v>68</v>
      </c>
      <c r="X2551" s="127" t="str">
        <f t="shared" si="750"/>
        <v/>
      </c>
      <c r="Y2551" s="207">
        <f t="shared" si="753"/>
        <v>68</v>
      </c>
      <c r="Z2551" s="139">
        <f t="shared" si="754"/>
        <v>68</v>
      </c>
      <c r="AA2551" s="139">
        <f t="shared" si="755"/>
        <v>0</v>
      </c>
      <c r="AC2551" s="47">
        <f t="shared" si="756"/>
        <v>34</v>
      </c>
      <c r="AD2551" s="47">
        <f t="shared" si="757"/>
        <v>34</v>
      </c>
      <c r="AE2551" s="47">
        <f t="shared" si="758"/>
        <v>0</v>
      </c>
      <c r="AG2551" s="47">
        <f t="shared" si="759"/>
        <v>34</v>
      </c>
      <c r="AH2551" s="47">
        <f t="shared" si="760"/>
        <v>34</v>
      </c>
      <c r="AI2551" s="208">
        <f t="shared" si="761"/>
        <v>0</v>
      </c>
    </row>
    <row r="2552" spans="1:35">
      <c r="A2552" t="s">
        <v>2172</v>
      </c>
      <c r="B2552" t="s">
        <v>3286</v>
      </c>
      <c r="C2552" t="s">
        <v>2418</v>
      </c>
      <c r="D2552" t="s">
        <v>6124</v>
      </c>
      <c r="F2552" t="s">
        <v>6125</v>
      </c>
      <c r="G2552" s="126">
        <f>SUMIFS('Support - Transition'!F:F,'Support - Transition'!B:B,'Step 2'!A2552,'Support - Transition'!C:C,'Step 2'!B2552,'Support - Transition'!D:D,'Step 2'!C2552,'Support - Transition'!E:E,"CIVIL")</f>
        <v>0</v>
      </c>
      <c r="H2552" s="126">
        <f>SUMIFS('Support - Transition'!F:F,'Support - Transition'!B:B,'Step 2'!A2552,'Support - Transition'!C:C,'Step 2'!B2552,'Support - Transition'!D:D,'Step 2'!C2552,'Support - Transition'!E:E,"FIRE")</f>
        <v>0</v>
      </c>
      <c r="I2552" s="126">
        <f>IF(B2552="0",SUMIFS('Support - Transition'!F:F,'Support - Transition'!J:J,'Step 2'!D2552,'Support - Transition'!E:E,"STATE UNIT"),SUMIFS('Support - Transition'!F:F,'Support - Transition'!J:J,'Step 2'!D2552))</f>
        <v>0</v>
      </c>
      <c r="J2552" s="126">
        <f>SUMIFS('Support - Unit Adjustments'!E:E,'Support - Unit Adjustments'!F:F,'Step 2'!D2552)</f>
        <v>0</v>
      </c>
      <c r="K2552" s="126">
        <f t="shared" si="745"/>
        <v>0</v>
      </c>
      <c r="L2552" s="174">
        <f>VLOOKUP(A2552,'Step 1'!$A:$E,4,FALSE)</f>
        <v>176760</v>
      </c>
      <c r="M2552" s="47">
        <f t="shared" si="746"/>
        <v>0</v>
      </c>
      <c r="N2552" s="177">
        <f>SUMIFS('Support - Transition'!G:G,'Support - Transition'!J:J,'Step 2'!D2552,'Support - Transition'!E:E,"2009 WELFARE ALLOCATION FACTOR")</f>
        <v>0</v>
      </c>
      <c r="O2552" s="152">
        <f t="shared" si="751"/>
        <v>0</v>
      </c>
      <c r="P2552" s="126">
        <f>IF(E2552="Y",0,SUMIFS('Support - Transition'!G:G,'Support - Transition'!J:J,'Step 2'!D2552,'Support - Transition'!E:E,"2009 SCHOOL ALLOCATION FACTOR"))</f>
        <v>0</v>
      </c>
      <c r="Q2552" s="126">
        <f>IF(E2552="Y",VLOOKUP(D2552,'Support - Unit Adjustments'!F:G,2,FALSE),0)</f>
        <v>0</v>
      </c>
      <c r="R2552" s="155">
        <f t="shared" si="763"/>
        <v>0</v>
      </c>
      <c r="S2552" s="47">
        <f t="shared" si="762"/>
        <v>0</v>
      </c>
      <c r="T2552" s="151">
        <f t="shared" si="747"/>
        <v>0</v>
      </c>
      <c r="U2552" s="151">
        <f t="shared" si="748"/>
        <v>0</v>
      </c>
      <c r="V2552" s="139">
        <f t="shared" si="749"/>
        <v>0</v>
      </c>
      <c r="W2552" s="152">
        <f t="shared" si="752"/>
        <v>0</v>
      </c>
      <c r="X2552" s="127" t="str">
        <f t="shared" si="750"/>
        <v/>
      </c>
      <c r="Y2552" s="207">
        <f t="shared" si="753"/>
        <v>0</v>
      </c>
      <c r="Z2552" s="139">
        <f t="shared" si="754"/>
        <v>0</v>
      </c>
      <c r="AA2552" s="139">
        <f t="shared" si="755"/>
        <v>0</v>
      </c>
      <c r="AC2552" s="47">
        <f t="shared" si="756"/>
        <v>0</v>
      </c>
      <c r="AD2552" s="47">
        <f t="shared" si="757"/>
        <v>0</v>
      </c>
      <c r="AE2552" s="47">
        <f t="shared" si="758"/>
        <v>0</v>
      </c>
      <c r="AG2552" s="47">
        <f t="shared" si="759"/>
        <v>0</v>
      </c>
      <c r="AH2552" s="47">
        <f t="shared" si="760"/>
        <v>0</v>
      </c>
      <c r="AI2552" s="208">
        <f t="shared" si="761"/>
        <v>0</v>
      </c>
    </row>
    <row r="2553" spans="1:35">
      <c r="A2553" t="s">
        <v>2172</v>
      </c>
      <c r="B2553" t="s">
        <v>3286</v>
      </c>
      <c r="C2553" t="s">
        <v>2419</v>
      </c>
      <c r="D2553" t="s">
        <v>6126</v>
      </c>
      <c r="F2553" t="s">
        <v>6127</v>
      </c>
      <c r="G2553" s="126">
        <f>SUMIFS('Support - Transition'!F:F,'Support - Transition'!B:B,'Step 2'!A2553,'Support - Transition'!C:C,'Step 2'!B2553,'Support - Transition'!D:D,'Step 2'!C2553,'Support - Transition'!E:E,"CIVIL")</f>
        <v>0</v>
      </c>
      <c r="H2553" s="126">
        <f>SUMIFS('Support - Transition'!F:F,'Support - Transition'!B:B,'Step 2'!A2553,'Support - Transition'!C:C,'Step 2'!B2553,'Support - Transition'!D:D,'Step 2'!C2553,'Support - Transition'!E:E,"FIRE")</f>
        <v>0</v>
      </c>
      <c r="I2553" s="126">
        <f>IF(B2553="0",SUMIFS('Support - Transition'!F:F,'Support - Transition'!J:J,'Step 2'!D2553,'Support - Transition'!E:E,"STATE UNIT"),SUMIFS('Support - Transition'!F:F,'Support - Transition'!J:J,'Step 2'!D2553))</f>
        <v>0</v>
      </c>
      <c r="J2553" s="126">
        <f>SUMIFS('Support - Unit Adjustments'!E:E,'Support - Unit Adjustments'!F:F,'Step 2'!D2553)</f>
        <v>0</v>
      </c>
      <c r="K2553" s="126">
        <f t="shared" si="745"/>
        <v>0</v>
      </c>
      <c r="L2553" s="174">
        <f>VLOOKUP(A2553,'Step 1'!$A:$E,4,FALSE)</f>
        <v>176760</v>
      </c>
      <c r="M2553" s="47">
        <f t="shared" si="746"/>
        <v>0</v>
      </c>
      <c r="N2553" s="177">
        <f>SUMIFS('Support - Transition'!G:G,'Support - Transition'!J:J,'Step 2'!D2553,'Support - Transition'!E:E,"2009 WELFARE ALLOCATION FACTOR")</f>
        <v>0</v>
      </c>
      <c r="O2553" s="152">
        <f t="shared" si="751"/>
        <v>0</v>
      </c>
      <c r="P2553" s="126">
        <f>IF(E2553="Y",0,SUMIFS('Support - Transition'!G:G,'Support - Transition'!J:J,'Step 2'!D2553,'Support - Transition'!E:E,"2009 SCHOOL ALLOCATION FACTOR"))</f>
        <v>0</v>
      </c>
      <c r="Q2553" s="126">
        <f>IF(E2553="Y",VLOOKUP(D2553,'Support - Unit Adjustments'!F:G,2,FALSE),0)</f>
        <v>0</v>
      </c>
      <c r="R2553" s="155">
        <f t="shared" si="763"/>
        <v>0</v>
      </c>
      <c r="S2553" s="47">
        <f t="shared" si="762"/>
        <v>0</v>
      </c>
      <c r="T2553" s="151">
        <f t="shared" si="747"/>
        <v>0</v>
      </c>
      <c r="U2553" s="151">
        <f t="shared" si="748"/>
        <v>0</v>
      </c>
      <c r="V2553" s="139">
        <f t="shared" si="749"/>
        <v>0</v>
      </c>
      <c r="W2553" s="152">
        <f t="shared" si="752"/>
        <v>0</v>
      </c>
      <c r="X2553" s="127" t="str">
        <f t="shared" si="750"/>
        <v/>
      </c>
      <c r="Y2553" s="207">
        <f t="shared" si="753"/>
        <v>0</v>
      </c>
      <c r="Z2553" s="139">
        <f t="shared" si="754"/>
        <v>0</v>
      </c>
      <c r="AA2553" s="139">
        <f t="shared" si="755"/>
        <v>0</v>
      </c>
      <c r="AC2553" s="47">
        <f t="shared" si="756"/>
        <v>0</v>
      </c>
      <c r="AD2553" s="47">
        <f t="shared" si="757"/>
        <v>0</v>
      </c>
      <c r="AE2553" s="47">
        <f t="shared" si="758"/>
        <v>0</v>
      </c>
      <c r="AG2553" s="47">
        <f t="shared" si="759"/>
        <v>0</v>
      </c>
      <c r="AH2553" s="47">
        <f t="shared" si="760"/>
        <v>0</v>
      </c>
      <c r="AI2553" s="208">
        <f t="shared" si="761"/>
        <v>0</v>
      </c>
    </row>
    <row r="2554" spans="1:35">
      <c r="A2554" t="s">
        <v>2172</v>
      </c>
      <c r="B2554" t="s">
        <v>3286</v>
      </c>
      <c r="C2554" t="s">
        <v>2420</v>
      </c>
      <c r="D2554" t="s">
        <v>6128</v>
      </c>
      <c r="F2554" t="s">
        <v>6129</v>
      </c>
      <c r="G2554" s="126">
        <f>SUMIFS('Support - Transition'!F:F,'Support - Transition'!B:B,'Step 2'!A2554,'Support - Transition'!C:C,'Step 2'!B2554,'Support - Transition'!D:D,'Step 2'!C2554,'Support - Transition'!E:E,"CIVIL")</f>
        <v>0</v>
      </c>
      <c r="H2554" s="126">
        <f>SUMIFS('Support - Transition'!F:F,'Support - Transition'!B:B,'Step 2'!A2554,'Support - Transition'!C:C,'Step 2'!B2554,'Support - Transition'!D:D,'Step 2'!C2554,'Support - Transition'!E:E,"FIRE")</f>
        <v>0</v>
      </c>
      <c r="I2554" s="126">
        <f>IF(B2554="0",SUMIFS('Support - Transition'!F:F,'Support - Transition'!J:J,'Step 2'!D2554,'Support - Transition'!E:E,"STATE UNIT"),SUMIFS('Support - Transition'!F:F,'Support - Transition'!J:J,'Step 2'!D2554))</f>
        <v>0</v>
      </c>
      <c r="J2554" s="126">
        <f>SUMIFS('Support - Unit Adjustments'!E:E,'Support - Unit Adjustments'!F:F,'Step 2'!D2554)</f>
        <v>0</v>
      </c>
      <c r="K2554" s="126">
        <f t="shared" si="745"/>
        <v>0</v>
      </c>
      <c r="L2554" s="174">
        <f>VLOOKUP(A2554,'Step 1'!$A:$E,4,FALSE)</f>
        <v>176760</v>
      </c>
      <c r="M2554" s="47">
        <f t="shared" si="746"/>
        <v>0</v>
      </c>
      <c r="N2554" s="177">
        <f>SUMIFS('Support - Transition'!G:G,'Support - Transition'!J:J,'Step 2'!D2554,'Support - Transition'!E:E,"2009 WELFARE ALLOCATION FACTOR")</f>
        <v>0</v>
      </c>
      <c r="O2554" s="152">
        <f t="shared" si="751"/>
        <v>0</v>
      </c>
      <c r="P2554" s="126">
        <f>IF(E2554="Y",0,SUMIFS('Support - Transition'!G:G,'Support - Transition'!J:J,'Step 2'!D2554,'Support - Transition'!E:E,"2009 SCHOOL ALLOCATION FACTOR"))</f>
        <v>0</v>
      </c>
      <c r="Q2554" s="126">
        <f>IF(E2554="Y",VLOOKUP(D2554,'Support - Unit Adjustments'!F:G,2,FALSE),0)</f>
        <v>0</v>
      </c>
      <c r="R2554" s="155">
        <f t="shared" si="763"/>
        <v>0</v>
      </c>
      <c r="S2554" s="47">
        <f t="shared" si="762"/>
        <v>0</v>
      </c>
      <c r="T2554" s="151">
        <f t="shared" si="747"/>
        <v>0</v>
      </c>
      <c r="U2554" s="151">
        <f t="shared" si="748"/>
        <v>0</v>
      </c>
      <c r="V2554" s="139">
        <f t="shared" si="749"/>
        <v>0</v>
      </c>
      <c r="W2554" s="152">
        <f t="shared" si="752"/>
        <v>0</v>
      </c>
      <c r="X2554" s="127" t="str">
        <f t="shared" si="750"/>
        <v/>
      </c>
      <c r="Y2554" s="207">
        <f t="shared" si="753"/>
        <v>0</v>
      </c>
      <c r="Z2554" s="139">
        <f t="shared" si="754"/>
        <v>0</v>
      </c>
      <c r="AA2554" s="139">
        <f t="shared" si="755"/>
        <v>0</v>
      </c>
      <c r="AC2554" s="47">
        <f t="shared" si="756"/>
        <v>0</v>
      </c>
      <c r="AD2554" s="47">
        <f t="shared" si="757"/>
        <v>0</v>
      </c>
      <c r="AE2554" s="47">
        <f t="shared" si="758"/>
        <v>0</v>
      </c>
      <c r="AG2554" s="47">
        <f t="shared" si="759"/>
        <v>0</v>
      </c>
      <c r="AH2554" s="47">
        <f t="shared" si="760"/>
        <v>0</v>
      </c>
      <c r="AI2554" s="208">
        <f t="shared" si="761"/>
        <v>0</v>
      </c>
    </row>
    <row r="2555" spans="1:35">
      <c r="A2555" t="s">
        <v>2172</v>
      </c>
      <c r="B2555" t="s">
        <v>3286</v>
      </c>
      <c r="C2555" t="s">
        <v>2301</v>
      </c>
      <c r="D2555" t="s">
        <v>6130</v>
      </c>
      <c r="F2555" t="s">
        <v>3472</v>
      </c>
      <c r="G2555" s="126">
        <f>SUMIFS('Support - Transition'!F:F,'Support - Transition'!B:B,'Step 2'!A2555,'Support - Transition'!C:C,'Step 2'!B2555,'Support - Transition'!D:D,'Step 2'!C2555,'Support - Transition'!E:E,"CIVIL")</f>
        <v>0</v>
      </c>
      <c r="H2555" s="126">
        <f>SUMIFS('Support - Transition'!F:F,'Support - Transition'!B:B,'Step 2'!A2555,'Support - Transition'!C:C,'Step 2'!B2555,'Support - Transition'!D:D,'Step 2'!C2555,'Support - Transition'!E:E,"FIRE")</f>
        <v>0</v>
      </c>
      <c r="I2555" s="126">
        <f>IF(B2555="0",SUMIFS('Support - Transition'!F:F,'Support - Transition'!J:J,'Step 2'!D2555,'Support - Transition'!E:E,"STATE UNIT"),SUMIFS('Support - Transition'!F:F,'Support - Transition'!J:J,'Step 2'!D2555))</f>
        <v>0</v>
      </c>
      <c r="J2555" s="126">
        <f>SUMIFS('Support - Unit Adjustments'!E:E,'Support - Unit Adjustments'!F:F,'Step 2'!D2555)</f>
        <v>0</v>
      </c>
      <c r="K2555" s="126">
        <f t="shared" si="745"/>
        <v>0</v>
      </c>
      <c r="L2555" s="174">
        <f>VLOOKUP(A2555,'Step 1'!$A:$E,4,FALSE)</f>
        <v>176760</v>
      </c>
      <c r="M2555" s="47">
        <f t="shared" si="746"/>
        <v>0</v>
      </c>
      <c r="N2555" s="177">
        <f>SUMIFS('Support - Transition'!G:G,'Support - Transition'!J:J,'Step 2'!D2555,'Support - Transition'!E:E,"2009 WELFARE ALLOCATION FACTOR")</f>
        <v>0</v>
      </c>
      <c r="O2555" s="152">
        <f t="shared" si="751"/>
        <v>0</v>
      </c>
      <c r="P2555" s="126">
        <f>IF(E2555="Y",0,SUMIFS('Support - Transition'!G:G,'Support - Transition'!J:J,'Step 2'!D2555,'Support - Transition'!E:E,"2009 SCHOOL ALLOCATION FACTOR"))</f>
        <v>0</v>
      </c>
      <c r="Q2555" s="126">
        <f>IF(E2555="Y",VLOOKUP(D2555,'Support - Unit Adjustments'!F:G,2,FALSE),0)</f>
        <v>0</v>
      </c>
      <c r="R2555" s="155">
        <f t="shared" si="763"/>
        <v>0</v>
      </c>
      <c r="S2555" s="47">
        <f t="shared" si="762"/>
        <v>0</v>
      </c>
      <c r="T2555" s="151">
        <f t="shared" si="747"/>
        <v>0</v>
      </c>
      <c r="U2555" s="151">
        <f t="shared" si="748"/>
        <v>0</v>
      </c>
      <c r="V2555" s="139">
        <f t="shared" si="749"/>
        <v>0</v>
      </c>
      <c r="W2555" s="152">
        <f t="shared" si="752"/>
        <v>0</v>
      </c>
      <c r="X2555" s="127" t="str">
        <f t="shared" si="750"/>
        <v/>
      </c>
      <c r="Y2555" s="207">
        <f t="shared" si="753"/>
        <v>0</v>
      </c>
      <c r="Z2555" s="139">
        <f t="shared" si="754"/>
        <v>0</v>
      </c>
      <c r="AA2555" s="139">
        <f t="shared" si="755"/>
        <v>0</v>
      </c>
      <c r="AC2555" s="47">
        <f t="shared" si="756"/>
        <v>0</v>
      </c>
      <c r="AD2555" s="47">
        <f t="shared" si="757"/>
        <v>0</v>
      </c>
      <c r="AE2555" s="47">
        <f t="shared" si="758"/>
        <v>0</v>
      </c>
      <c r="AG2555" s="47">
        <f t="shared" si="759"/>
        <v>0</v>
      </c>
      <c r="AH2555" s="47">
        <f t="shared" si="760"/>
        <v>0</v>
      </c>
      <c r="AI2555" s="208">
        <f t="shared" si="761"/>
        <v>0</v>
      </c>
    </row>
    <row r="2556" spans="1:35">
      <c r="A2556" t="s">
        <v>2173</v>
      </c>
      <c r="B2556" s="48" t="s">
        <v>6274</v>
      </c>
      <c r="C2556" t="s">
        <v>2187</v>
      </c>
      <c r="D2556" t="str">
        <f>A2556&amp;B2556&amp;C2556</f>
        <v>8900000</v>
      </c>
      <c r="F2556" t="s">
        <v>6363</v>
      </c>
      <c r="G2556" s="126">
        <f>SUMIFS('Support - Transition'!F:F,'Support - Transition'!B:B,'Step 2'!A2556,'Support - Transition'!C:C,'Step 2'!B2556,'Support - Transition'!D:D,'Step 2'!C2556,'Support - Transition'!E:E,"CIVIL")</f>
        <v>0</v>
      </c>
      <c r="H2556" s="126">
        <f>SUMIFS('Support - Transition'!F:F,'Support - Transition'!B:B,'Step 2'!A2556,'Support - Transition'!C:C,'Step 2'!B2556,'Support - Transition'!D:D,'Step 2'!C2556,'Support - Transition'!E:E,"FIRE")</f>
        <v>0</v>
      </c>
      <c r="I2556" s="126">
        <f>IF(B2556="0",SUMIFS('Support - Transition'!F:F,'Support - Transition'!J:J,'Step 2'!D2556,'Support - Transition'!E:E,"STATE UNIT"),SUMIFS('Support - Transition'!F:F,'Support - Transition'!J:J,'Step 2'!D2556))</f>
        <v>9.3899999999999995E-4</v>
      </c>
      <c r="J2556" s="126">
        <f>SUMIFS('Support - Unit Adjustments'!E:E,'Support - Unit Adjustments'!F:F,'Step 2'!D2556)</f>
        <v>0</v>
      </c>
      <c r="K2556" s="126">
        <f t="shared" si="745"/>
        <v>9.3899999999999995E-4</v>
      </c>
      <c r="L2556" s="174">
        <f>VLOOKUP(A2556,'Step 1'!$A:$E,4,FALSE)</f>
        <v>975274</v>
      </c>
      <c r="M2556" s="47">
        <f t="shared" si="746"/>
        <v>916</v>
      </c>
      <c r="N2556" s="177">
        <f>SUMIFS('Support - Transition'!G:G,'Support - Transition'!J:J,'Step 2'!D2556,'Support - Transition'!E:E,"2009 WELFARE ALLOCATION FACTOR")</f>
        <v>0</v>
      </c>
      <c r="O2556" s="152">
        <f t="shared" si="751"/>
        <v>0</v>
      </c>
      <c r="P2556" s="126">
        <f>IF(E2556="Y",0,SUMIFS('Support - Transition'!G:G,'Support - Transition'!J:J,'Step 2'!D2556,'Support - Transition'!E:E,"2009 SCHOOL ALLOCATION FACTOR"))</f>
        <v>0</v>
      </c>
      <c r="Q2556" s="126">
        <f>IF(E2556="Y",VLOOKUP(D2556,'Support - Unit Adjustments'!F:G,2,FALSE),0)</f>
        <v>0</v>
      </c>
      <c r="R2556" s="155">
        <f t="shared" si="763"/>
        <v>0</v>
      </c>
      <c r="S2556" s="47">
        <f t="shared" si="762"/>
        <v>0</v>
      </c>
      <c r="T2556" s="151">
        <f t="shared" si="747"/>
        <v>916</v>
      </c>
      <c r="U2556" s="151">
        <f t="shared" si="748"/>
        <v>975271</v>
      </c>
      <c r="V2556" s="139">
        <f t="shared" si="749"/>
        <v>-3</v>
      </c>
      <c r="W2556" s="152">
        <f t="shared" si="752"/>
        <v>919</v>
      </c>
      <c r="X2556" s="127">
        <f t="shared" si="750"/>
        <v>0</v>
      </c>
      <c r="Y2556" s="207">
        <f t="shared" si="753"/>
        <v>919</v>
      </c>
      <c r="Z2556" s="139">
        <f t="shared" si="754"/>
        <v>919</v>
      </c>
      <c r="AA2556" s="139">
        <f t="shared" si="755"/>
        <v>0</v>
      </c>
      <c r="AC2556" s="47">
        <f t="shared" si="756"/>
        <v>460</v>
      </c>
      <c r="AD2556" s="47">
        <f t="shared" si="757"/>
        <v>460</v>
      </c>
      <c r="AE2556" s="47">
        <f t="shared" si="758"/>
        <v>0</v>
      </c>
      <c r="AG2556" s="47">
        <f t="shared" si="759"/>
        <v>459</v>
      </c>
      <c r="AH2556" s="47">
        <f t="shared" si="760"/>
        <v>459</v>
      </c>
      <c r="AI2556" s="208">
        <f t="shared" si="761"/>
        <v>0</v>
      </c>
    </row>
    <row r="2557" spans="1:35">
      <c r="A2557" t="s">
        <v>2173</v>
      </c>
      <c r="B2557" t="s">
        <v>3140</v>
      </c>
      <c r="C2557" t="s">
        <v>2187</v>
      </c>
      <c r="D2557" t="s">
        <v>6131</v>
      </c>
      <c r="F2557" t="s">
        <v>1816</v>
      </c>
      <c r="G2557" s="126">
        <f>SUMIFS('Support - Transition'!F:F,'Support - Transition'!B:B,'Step 2'!A2557,'Support - Transition'!C:C,'Step 2'!B2557,'Support - Transition'!D:D,'Step 2'!C2557,'Support - Transition'!E:E,"CIVIL")</f>
        <v>0</v>
      </c>
      <c r="H2557" s="126">
        <f>SUMIFS('Support - Transition'!F:F,'Support - Transition'!B:B,'Step 2'!A2557,'Support - Transition'!C:C,'Step 2'!B2557,'Support - Transition'!D:D,'Step 2'!C2557,'Support - Transition'!E:E,"FIRE")</f>
        <v>0</v>
      </c>
      <c r="I2557" s="126">
        <f>IF(B2557="0",SUMIFS('Support - Transition'!F:F,'Support - Transition'!J:J,'Step 2'!D2557,'Support - Transition'!E:E,"STATE UNIT"),SUMIFS('Support - Transition'!F:F,'Support - Transition'!J:J,'Step 2'!D2557))</f>
        <v>0.193577</v>
      </c>
      <c r="J2557" s="126">
        <f>SUMIFS('Support - Unit Adjustments'!E:E,'Support - Unit Adjustments'!F:F,'Step 2'!D2557)</f>
        <v>0</v>
      </c>
      <c r="K2557" s="126">
        <f t="shared" si="745"/>
        <v>0.193577</v>
      </c>
      <c r="L2557" s="174">
        <f>VLOOKUP(A2557,'Step 1'!$A:$E,4,FALSE)</f>
        <v>975274</v>
      </c>
      <c r="M2557" s="47">
        <f t="shared" si="746"/>
        <v>188791</v>
      </c>
      <c r="N2557" s="177">
        <f>SUMIFS('Support - Transition'!G:G,'Support - Transition'!J:J,'Step 2'!D2557,'Support - Transition'!E:E,"2009 WELFARE ALLOCATION FACTOR")</f>
        <v>0.113464</v>
      </c>
      <c r="O2557" s="152">
        <f t="shared" si="751"/>
        <v>21421</v>
      </c>
      <c r="P2557" s="126">
        <f>IF(E2557="Y",0,SUMIFS('Support - Transition'!G:G,'Support - Transition'!J:J,'Step 2'!D2557,'Support - Transition'!E:E,"2009 SCHOOL ALLOCATION FACTOR"))</f>
        <v>0</v>
      </c>
      <c r="Q2557" s="126">
        <f>IF(E2557="Y",VLOOKUP(D2557,'Support - Unit Adjustments'!F:G,2,FALSE),0)</f>
        <v>0</v>
      </c>
      <c r="R2557" s="155">
        <f t="shared" si="763"/>
        <v>0</v>
      </c>
      <c r="S2557" s="47">
        <f t="shared" si="762"/>
        <v>0</v>
      </c>
      <c r="T2557" s="151">
        <f t="shared" si="747"/>
        <v>167370</v>
      </c>
      <c r="U2557" s="151">
        <f t="shared" si="748"/>
        <v>0</v>
      </c>
      <c r="V2557" s="139">
        <f t="shared" si="749"/>
        <v>0</v>
      </c>
      <c r="W2557" s="152">
        <f t="shared" si="752"/>
        <v>167370</v>
      </c>
      <c r="X2557" s="127" t="str">
        <f t="shared" si="750"/>
        <v/>
      </c>
      <c r="Y2557" s="207">
        <f t="shared" si="753"/>
        <v>167370</v>
      </c>
      <c r="Z2557" s="139">
        <f t="shared" si="754"/>
        <v>167370</v>
      </c>
      <c r="AA2557" s="139">
        <f t="shared" si="755"/>
        <v>0</v>
      </c>
      <c r="AC2557" s="47">
        <f t="shared" si="756"/>
        <v>83685</v>
      </c>
      <c r="AD2557" s="47">
        <f t="shared" si="757"/>
        <v>83685</v>
      </c>
      <c r="AE2557" s="47">
        <f t="shared" si="758"/>
        <v>0</v>
      </c>
      <c r="AG2557" s="47">
        <f t="shared" si="759"/>
        <v>83685</v>
      </c>
      <c r="AH2557" s="47">
        <f t="shared" si="760"/>
        <v>83685</v>
      </c>
      <c r="AI2557" s="208">
        <f t="shared" si="761"/>
        <v>0</v>
      </c>
    </row>
    <row r="2558" spans="1:35">
      <c r="A2558" t="s">
        <v>2173</v>
      </c>
      <c r="B2558" t="s">
        <v>3142</v>
      </c>
      <c r="C2558" t="s">
        <v>2188</v>
      </c>
      <c r="D2558" t="s">
        <v>6132</v>
      </c>
      <c r="F2558" t="s">
        <v>1817</v>
      </c>
      <c r="G2558" s="126">
        <f>SUMIFS('Support - Transition'!F:F,'Support - Transition'!B:B,'Step 2'!A2558,'Support - Transition'!C:C,'Step 2'!B2558,'Support - Transition'!D:D,'Step 2'!C2558,'Support - Transition'!E:E,"CIVIL")</f>
        <v>9.4499999999999998E-4</v>
      </c>
      <c r="H2558" s="126">
        <f>SUMIFS('Support - Transition'!F:F,'Support - Transition'!B:B,'Step 2'!A2558,'Support - Transition'!C:C,'Step 2'!B2558,'Support - Transition'!D:D,'Step 2'!C2558,'Support - Transition'!E:E,"FIRE")</f>
        <v>4.1399999999999998E-4</v>
      </c>
      <c r="I2558" s="126">
        <f>IF(B2558="0",SUMIFS('Support - Transition'!F:F,'Support - Transition'!J:J,'Step 2'!D2558,'Support - Transition'!E:E,"STATE UNIT"),SUMIFS('Support - Transition'!F:F,'Support - Transition'!J:J,'Step 2'!D2558))</f>
        <v>1.359E-3</v>
      </c>
      <c r="J2558" s="126">
        <f>SUMIFS('Support - Unit Adjustments'!E:E,'Support - Unit Adjustments'!F:F,'Step 2'!D2558)</f>
        <v>0</v>
      </c>
      <c r="K2558" s="126">
        <f t="shared" si="745"/>
        <v>1.359E-3</v>
      </c>
      <c r="L2558" s="174">
        <f>VLOOKUP(A2558,'Step 1'!$A:$E,4,FALSE)</f>
        <v>975274</v>
      </c>
      <c r="M2558" s="47">
        <f t="shared" si="746"/>
        <v>1325</v>
      </c>
      <c r="N2558" s="177">
        <f>SUMIFS('Support - Transition'!G:G,'Support - Transition'!J:J,'Step 2'!D2558,'Support - Transition'!E:E,"2009 WELFARE ALLOCATION FACTOR")</f>
        <v>0</v>
      </c>
      <c r="O2558" s="152">
        <f t="shared" si="751"/>
        <v>0</v>
      </c>
      <c r="P2558" s="126">
        <f>IF(E2558="Y",0,SUMIFS('Support - Transition'!G:G,'Support - Transition'!J:J,'Step 2'!D2558,'Support - Transition'!E:E,"2009 SCHOOL ALLOCATION FACTOR"))</f>
        <v>0</v>
      </c>
      <c r="Q2558" s="126">
        <f>IF(E2558="Y",VLOOKUP(D2558,'Support - Unit Adjustments'!F:G,2,FALSE),0)</f>
        <v>0</v>
      </c>
      <c r="R2558" s="155">
        <f t="shared" si="763"/>
        <v>0</v>
      </c>
      <c r="S2558" s="47">
        <f t="shared" si="762"/>
        <v>0</v>
      </c>
      <c r="T2558" s="151">
        <f t="shared" si="747"/>
        <v>1325</v>
      </c>
      <c r="U2558" s="151">
        <f t="shared" si="748"/>
        <v>0</v>
      </c>
      <c r="V2558" s="139">
        <f t="shared" si="749"/>
        <v>0</v>
      </c>
      <c r="W2558" s="152">
        <f t="shared" si="752"/>
        <v>1325</v>
      </c>
      <c r="X2558" s="127" t="str">
        <f t="shared" si="750"/>
        <v/>
      </c>
      <c r="Y2558" s="207">
        <f t="shared" si="753"/>
        <v>1325</v>
      </c>
      <c r="Z2558" s="139">
        <f t="shared" si="754"/>
        <v>921</v>
      </c>
      <c r="AA2558" s="139">
        <f t="shared" si="755"/>
        <v>404</v>
      </c>
      <c r="AC2558" s="47">
        <f t="shared" si="756"/>
        <v>663</v>
      </c>
      <c r="AD2558" s="47">
        <f t="shared" si="757"/>
        <v>461</v>
      </c>
      <c r="AE2558" s="47">
        <f t="shared" si="758"/>
        <v>202</v>
      </c>
      <c r="AG2558" s="47">
        <f t="shared" si="759"/>
        <v>662</v>
      </c>
      <c r="AH2558" s="47">
        <f t="shared" si="760"/>
        <v>460</v>
      </c>
      <c r="AI2558" s="208">
        <f t="shared" si="761"/>
        <v>202</v>
      </c>
    </row>
    <row r="2559" spans="1:35">
      <c r="A2559" t="s">
        <v>2173</v>
      </c>
      <c r="B2559" t="s">
        <v>3142</v>
      </c>
      <c r="C2559" t="s">
        <v>2189</v>
      </c>
      <c r="D2559" t="s">
        <v>6133</v>
      </c>
      <c r="F2559" t="s">
        <v>1818</v>
      </c>
      <c r="G2559" s="126">
        <f>SUMIFS('Support - Transition'!F:F,'Support - Transition'!B:B,'Step 2'!A2559,'Support - Transition'!C:C,'Step 2'!B2559,'Support - Transition'!D:D,'Step 2'!C2559,'Support - Transition'!E:E,"CIVIL")</f>
        <v>2.5999999999999998E-5</v>
      </c>
      <c r="H2559" s="126">
        <f>SUMIFS('Support - Transition'!F:F,'Support - Transition'!B:B,'Step 2'!A2559,'Support - Transition'!C:C,'Step 2'!B2559,'Support - Transition'!D:D,'Step 2'!C2559,'Support - Transition'!E:E,"FIRE")</f>
        <v>7.7999999999999999E-5</v>
      </c>
      <c r="I2559" s="126">
        <f>IF(B2559="0",SUMIFS('Support - Transition'!F:F,'Support - Transition'!J:J,'Step 2'!D2559,'Support - Transition'!E:E,"STATE UNIT"),SUMIFS('Support - Transition'!F:F,'Support - Transition'!J:J,'Step 2'!D2559))</f>
        <v>1.0399999999999999E-4</v>
      </c>
      <c r="J2559" s="126">
        <f>SUMIFS('Support - Unit Adjustments'!E:E,'Support - Unit Adjustments'!F:F,'Step 2'!D2559)</f>
        <v>0</v>
      </c>
      <c r="K2559" s="126">
        <f t="shared" si="745"/>
        <v>1.0399999999999999E-4</v>
      </c>
      <c r="L2559" s="174">
        <f>VLOOKUP(A2559,'Step 1'!$A:$E,4,FALSE)</f>
        <v>975274</v>
      </c>
      <c r="M2559" s="47">
        <f t="shared" si="746"/>
        <v>101</v>
      </c>
      <c r="N2559" s="177">
        <f>SUMIFS('Support - Transition'!G:G,'Support - Transition'!J:J,'Step 2'!D2559,'Support - Transition'!E:E,"2009 WELFARE ALLOCATION FACTOR")</f>
        <v>0</v>
      </c>
      <c r="O2559" s="152">
        <f t="shared" si="751"/>
        <v>0</v>
      </c>
      <c r="P2559" s="126">
        <f>IF(E2559="Y",0,SUMIFS('Support - Transition'!G:G,'Support - Transition'!J:J,'Step 2'!D2559,'Support - Transition'!E:E,"2009 SCHOOL ALLOCATION FACTOR"))</f>
        <v>0</v>
      </c>
      <c r="Q2559" s="126">
        <f>IF(E2559="Y",VLOOKUP(D2559,'Support - Unit Adjustments'!F:G,2,FALSE),0)</f>
        <v>0</v>
      </c>
      <c r="R2559" s="155">
        <f t="shared" si="763"/>
        <v>0</v>
      </c>
      <c r="S2559" s="47">
        <f t="shared" si="762"/>
        <v>0</v>
      </c>
      <c r="T2559" s="151">
        <f t="shared" si="747"/>
        <v>101</v>
      </c>
      <c r="U2559" s="151">
        <f t="shared" si="748"/>
        <v>0</v>
      </c>
      <c r="V2559" s="139">
        <f t="shared" si="749"/>
        <v>0</v>
      </c>
      <c r="W2559" s="152">
        <f t="shared" si="752"/>
        <v>101</v>
      </c>
      <c r="X2559" s="127" t="str">
        <f t="shared" si="750"/>
        <v/>
      </c>
      <c r="Y2559" s="207">
        <f t="shared" si="753"/>
        <v>101</v>
      </c>
      <c r="Z2559" s="139">
        <f t="shared" si="754"/>
        <v>25</v>
      </c>
      <c r="AA2559" s="139">
        <f t="shared" si="755"/>
        <v>76</v>
      </c>
      <c r="AC2559" s="47">
        <f t="shared" si="756"/>
        <v>51</v>
      </c>
      <c r="AD2559" s="47">
        <f t="shared" si="757"/>
        <v>13</v>
      </c>
      <c r="AE2559" s="47">
        <f t="shared" si="758"/>
        <v>38</v>
      </c>
      <c r="AG2559" s="47">
        <f t="shared" si="759"/>
        <v>50</v>
      </c>
      <c r="AH2559" s="47">
        <f t="shared" si="760"/>
        <v>12</v>
      </c>
      <c r="AI2559" s="208">
        <f t="shared" si="761"/>
        <v>38</v>
      </c>
    </row>
    <row r="2560" spans="1:35">
      <c r="A2560" t="s">
        <v>2173</v>
      </c>
      <c r="B2560" t="s">
        <v>3142</v>
      </c>
      <c r="C2560" t="s">
        <v>2190</v>
      </c>
      <c r="D2560" t="s">
        <v>6134</v>
      </c>
      <c r="F2560" t="s">
        <v>107</v>
      </c>
      <c r="G2560" s="126">
        <f>SUMIFS('Support - Transition'!F:F,'Support - Transition'!B:B,'Step 2'!A2560,'Support - Transition'!C:C,'Step 2'!B2560,'Support - Transition'!D:D,'Step 2'!C2560,'Support - Transition'!E:E,"CIVIL")</f>
        <v>5.9100000000000005E-4</v>
      </c>
      <c r="H2560" s="126">
        <f>SUMIFS('Support - Transition'!F:F,'Support - Transition'!B:B,'Step 2'!A2560,'Support - Transition'!C:C,'Step 2'!B2560,'Support - Transition'!D:D,'Step 2'!C2560,'Support - Transition'!E:E,"FIRE")</f>
        <v>6.78E-4</v>
      </c>
      <c r="I2560" s="126">
        <f>IF(B2560="0",SUMIFS('Support - Transition'!F:F,'Support - Transition'!J:J,'Step 2'!D2560,'Support - Transition'!E:E,"STATE UNIT"),SUMIFS('Support - Transition'!F:F,'Support - Transition'!J:J,'Step 2'!D2560))</f>
        <v>1.2690000000000002E-3</v>
      </c>
      <c r="J2560" s="126">
        <f>SUMIFS('Support - Unit Adjustments'!E:E,'Support - Unit Adjustments'!F:F,'Step 2'!D2560)</f>
        <v>0</v>
      </c>
      <c r="K2560" s="126">
        <f t="shared" si="745"/>
        <v>1.2690000000000002E-3</v>
      </c>
      <c r="L2560" s="174">
        <f>VLOOKUP(A2560,'Step 1'!$A:$E,4,FALSE)</f>
        <v>975274</v>
      </c>
      <c r="M2560" s="47">
        <f t="shared" si="746"/>
        <v>1238</v>
      </c>
      <c r="N2560" s="177">
        <f>SUMIFS('Support - Transition'!G:G,'Support - Transition'!J:J,'Step 2'!D2560,'Support - Transition'!E:E,"2009 WELFARE ALLOCATION FACTOR")</f>
        <v>0</v>
      </c>
      <c r="O2560" s="152">
        <f t="shared" si="751"/>
        <v>0</v>
      </c>
      <c r="P2560" s="126">
        <f>IF(E2560="Y",0,SUMIFS('Support - Transition'!G:G,'Support - Transition'!J:J,'Step 2'!D2560,'Support - Transition'!E:E,"2009 SCHOOL ALLOCATION FACTOR"))</f>
        <v>0</v>
      </c>
      <c r="Q2560" s="126">
        <f>IF(E2560="Y",VLOOKUP(D2560,'Support - Unit Adjustments'!F:G,2,FALSE),0)</f>
        <v>0</v>
      </c>
      <c r="R2560" s="155">
        <f t="shared" si="763"/>
        <v>0</v>
      </c>
      <c r="S2560" s="47">
        <f t="shared" si="762"/>
        <v>0</v>
      </c>
      <c r="T2560" s="151">
        <f t="shared" si="747"/>
        <v>1238</v>
      </c>
      <c r="U2560" s="151">
        <f t="shared" si="748"/>
        <v>0</v>
      </c>
      <c r="V2560" s="139">
        <f t="shared" si="749"/>
        <v>0</v>
      </c>
      <c r="W2560" s="152">
        <f t="shared" si="752"/>
        <v>1238</v>
      </c>
      <c r="X2560" s="127" t="str">
        <f t="shared" si="750"/>
        <v/>
      </c>
      <c r="Y2560" s="207">
        <f t="shared" si="753"/>
        <v>1238</v>
      </c>
      <c r="Z2560" s="139">
        <f t="shared" si="754"/>
        <v>577</v>
      </c>
      <c r="AA2560" s="139">
        <f t="shared" si="755"/>
        <v>661</v>
      </c>
      <c r="AC2560" s="47">
        <f t="shared" si="756"/>
        <v>619</v>
      </c>
      <c r="AD2560" s="47">
        <f t="shared" si="757"/>
        <v>289</v>
      </c>
      <c r="AE2560" s="47">
        <f t="shared" si="758"/>
        <v>331</v>
      </c>
      <c r="AG2560" s="47">
        <f t="shared" si="759"/>
        <v>619</v>
      </c>
      <c r="AH2560" s="47">
        <f t="shared" si="760"/>
        <v>288</v>
      </c>
      <c r="AI2560" s="208">
        <f t="shared" si="761"/>
        <v>330</v>
      </c>
    </row>
    <row r="2561" spans="1:35">
      <c r="A2561" t="s">
        <v>2173</v>
      </c>
      <c r="B2561" t="s">
        <v>3142</v>
      </c>
      <c r="C2561" t="s">
        <v>2191</v>
      </c>
      <c r="D2561" t="s">
        <v>6135</v>
      </c>
      <c r="F2561" t="s">
        <v>81</v>
      </c>
      <c r="G2561" s="126">
        <f>SUMIFS('Support - Transition'!F:F,'Support - Transition'!B:B,'Step 2'!A2561,'Support - Transition'!C:C,'Step 2'!B2561,'Support - Transition'!D:D,'Step 2'!C2561,'Support - Transition'!E:E,"CIVIL")</f>
        <v>1.01E-4</v>
      </c>
      <c r="H2561" s="126">
        <f>SUMIFS('Support - Transition'!F:F,'Support - Transition'!B:B,'Step 2'!A2561,'Support - Transition'!C:C,'Step 2'!B2561,'Support - Transition'!D:D,'Step 2'!C2561,'Support - Transition'!E:E,"FIRE")</f>
        <v>2.2100000000000001E-4</v>
      </c>
      <c r="I2561" s="126">
        <f>IF(B2561="0",SUMIFS('Support - Transition'!F:F,'Support - Transition'!J:J,'Step 2'!D2561,'Support - Transition'!E:E,"STATE UNIT"),SUMIFS('Support - Transition'!F:F,'Support - Transition'!J:J,'Step 2'!D2561))</f>
        <v>3.2200000000000002E-4</v>
      </c>
      <c r="J2561" s="126">
        <f>SUMIFS('Support - Unit Adjustments'!E:E,'Support - Unit Adjustments'!F:F,'Step 2'!D2561)</f>
        <v>0</v>
      </c>
      <c r="K2561" s="126">
        <f t="shared" si="745"/>
        <v>3.2200000000000002E-4</v>
      </c>
      <c r="L2561" s="174">
        <f>VLOOKUP(A2561,'Step 1'!$A:$E,4,FALSE)</f>
        <v>975274</v>
      </c>
      <c r="M2561" s="47">
        <f t="shared" si="746"/>
        <v>314</v>
      </c>
      <c r="N2561" s="177">
        <f>SUMIFS('Support - Transition'!G:G,'Support - Transition'!J:J,'Step 2'!D2561,'Support - Transition'!E:E,"2009 WELFARE ALLOCATION FACTOR")</f>
        <v>0</v>
      </c>
      <c r="O2561" s="152">
        <f t="shared" si="751"/>
        <v>0</v>
      </c>
      <c r="P2561" s="126">
        <f>IF(E2561="Y",0,SUMIFS('Support - Transition'!G:G,'Support - Transition'!J:J,'Step 2'!D2561,'Support - Transition'!E:E,"2009 SCHOOL ALLOCATION FACTOR"))</f>
        <v>0</v>
      </c>
      <c r="Q2561" s="126">
        <f>IF(E2561="Y",VLOOKUP(D2561,'Support - Unit Adjustments'!F:G,2,FALSE),0)</f>
        <v>0</v>
      </c>
      <c r="R2561" s="155">
        <f t="shared" si="763"/>
        <v>0</v>
      </c>
      <c r="S2561" s="47">
        <f t="shared" si="762"/>
        <v>0</v>
      </c>
      <c r="T2561" s="151">
        <f t="shared" si="747"/>
        <v>314</v>
      </c>
      <c r="U2561" s="151">
        <f t="shared" si="748"/>
        <v>0</v>
      </c>
      <c r="V2561" s="139">
        <f t="shared" si="749"/>
        <v>0</v>
      </c>
      <c r="W2561" s="152">
        <f t="shared" si="752"/>
        <v>314</v>
      </c>
      <c r="X2561" s="127" t="str">
        <f t="shared" si="750"/>
        <v/>
      </c>
      <c r="Y2561" s="207">
        <f t="shared" si="753"/>
        <v>314</v>
      </c>
      <c r="Z2561" s="139">
        <f t="shared" si="754"/>
        <v>98</v>
      </c>
      <c r="AA2561" s="139">
        <f t="shared" si="755"/>
        <v>216</v>
      </c>
      <c r="AC2561" s="47">
        <f t="shared" si="756"/>
        <v>157</v>
      </c>
      <c r="AD2561" s="47">
        <f t="shared" si="757"/>
        <v>49</v>
      </c>
      <c r="AE2561" s="47">
        <f t="shared" si="758"/>
        <v>108</v>
      </c>
      <c r="AG2561" s="47">
        <f t="shared" si="759"/>
        <v>157</v>
      </c>
      <c r="AH2561" s="47">
        <f t="shared" si="760"/>
        <v>49</v>
      </c>
      <c r="AI2561" s="208">
        <f t="shared" si="761"/>
        <v>108</v>
      </c>
    </row>
    <row r="2562" spans="1:35">
      <c r="A2562" t="s">
        <v>2173</v>
      </c>
      <c r="B2562" t="s">
        <v>3142</v>
      </c>
      <c r="C2562" t="s">
        <v>2192</v>
      </c>
      <c r="D2562" t="s">
        <v>6136</v>
      </c>
      <c r="F2562" t="s">
        <v>1819</v>
      </c>
      <c r="G2562" s="126">
        <f>SUMIFS('Support - Transition'!F:F,'Support - Transition'!B:B,'Step 2'!A2562,'Support - Transition'!C:C,'Step 2'!B2562,'Support - Transition'!D:D,'Step 2'!C2562,'Support - Transition'!E:E,"CIVIL")</f>
        <v>7.2999999999999999E-5</v>
      </c>
      <c r="H2562" s="126">
        <f>SUMIFS('Support - Transition'!F:F,'Support - Transition'!B:B,'Step 2'!A2562,'Support - Transition'!C:C,'Step 2'!B2562,'Support - Transition'!D:D,'Step 2'!C2562,'Support - Transition'!E:E,"FIRE")</f>
        <v>3.8999999999999999E-5</v>
      </c>
      <c r="I2562" s="126">
        <f>IF(B2562="0",SUMIFS('Support - Transition'!F:F,'Support - Transition'!J:J,'Step 2'!D2562,'Support - Transition'!E:E,"STATE UNIT"),SUMIFS('Support - Transition'!F:F,'Support - Transition'!J:J,'Step 2'!D2562))</f>
        <v>1.12E-4</v>
      </c>
      <c r="J2562" s="126">
        <f>SUMIFS('Support - Unit Adjustments'!E:E,'Support - Unit Adjustments'!F:F,'Step 2'!D2562)</f>
        <v>0</v>
      </c>
      <c r="K2562" s="126">
        <f t="shared" ref="K2562:K2625" si="764">+I2562+J2562</f>
        <v>1.12E-4</v>
      </c>
      <c r="L2562" s="174">
        <f>VLOOKUP(A2562,'Step 1'!$A:$E,4,FALSE)</f>
        <v>975274</v>
      </c>
      <c r="M2562" s="47">
        <f t="shared" ref="M2562:M2625" si="765">ROUND(+K2562*L2562,0)</f>
        <v>109</v>
      </c>
      <c r="N2562" s="177">
        <f>SUMIFS('Support - Transition'!G:G,'Support - Transition'!J:J,'Step 2'!D2562,'Support - Transition'!E:E,"2009 WELFARE ALLOCATION FACTOR")</f>
        <v>0</v>
      </c>
      <c r="O2562" s="152">
        <f t="shared" si="751"/>
        <v>0</v>
      </c>
      <c r="P2562" s="126">
        <f>IF(E2562="Y",0,SUMIFS('Support - Transition'!G:G,'Support - Transition'!J:J,'Step 2'!D2562,'Support - Transition'!E:E,"2009 SCHOOL ALLOCATION FACTOR"))</f>
        <v>0</v>
      </c>
      <c r="Q2562" s="126">
        <f>IF(E2562="Y",VLOOKUP(D2562,'Support - Unit Adjustments'!F:G,2,FALSE),0)</f>
        <v>0</v>
      </c>
      <c r="R2562" s="155">
        <f t="shared" si="763"/>
        <v>0</v>
      </c>
      <c r="S2562" s="47">
        <f t="shared" si="762"/>
        <v>0</v>
      </c>
      <c r="T2562" s="151">
        <f t="shared" ref="T2562:T2625" si="766">ROUND(+M2562-O2562-S2562,2)</f>
        <v>109</v>
      </c>
      <c r="U2562" s="151">
        <f t="shared" ref="U2562:U2625" si="767">IF(B2562="0",SUMIFS(O:O,A:A,A2562)+SUMIFS(S:S,A:A,A2562)+SUMIFS(T:T,A:A,A2562),0)</f>
        <v>0</v>
      </c>
      <c r="V2562" s="139">
        <f t="shared" ref="V2562:V2625" si="768">IF(B2562="0",U2562-L2562,0)</f>
        <v>0</v>
      </c>
      <c r="W2562" s="152">
        <f t="shared" si="752"/>
        <v>109</v>
      </c>
      <c r="X2562" s="127" t="str">
        <f t="shared" ref="X2562:X2625" si="769">IF(B2562="0",SUMIFS(O:O,A:A,A2562)+SUMIFS(S:S,A:A,A2562)+SUMIFS(W:W,A:A,A2562)-L2562,"")</f>
        <v/>
      </c>
      <c r="Y2562" s="207">
        <f t="shared" si="753"/>
        <v>109</v>
      </c>
      <c r="Z2562" s="139">
        <f t="shared" si="754"/>
        <v>71</v>
      </c>
      <c r="AA2562" s="139">
        <f t="shared" si="755"/>
        <v>38</v>
      </c>
      <c r="AC2562" s="47">
        <f t="shared" si="756"/>
        <v>55</v>
      </c>
      <c r="AD2562" s="47">
        <f t="shared" si="757"/>
        <v>36</v>
      </c>
      <c r="AE2562" s="47">
        <f t="shared" si="758"/>
        <v>19</v>
      </c>
      <c r="AG2562" s="47">
        <f t="shared" si="759"/>
        <v>54</v>
      </c>
      <c r="AH2562" s="47">
        <f t="shared" si="760"/>
        <v>35</v>
      </c>
      <c r="AI2562" s="208">
        <f t="shared" si="761"/>
        <v>19</v>
      </c>
    </row>
    <row r="2563" spans="1:35">
      <c r="A2563" t="s">
        <v>2173</v>
      </c>
      <c r="B2563" t="s">
        <v>3142</v>
      </c>
      <c r="C2563" t="s">
        <v>2193</v>
      </c>
      <c r="D2563" t="s">
        <v>6137</v>
      </c>
      <c r="F2563" t="s">
        <v>372</v>
      </c>
      <c r="G2563" s="126">
        <f>SUMIFS('Support - Transition'!F:F,'Support - Transition'!B:B,'Step 2'!A2563,'Support - Transition'!C:C,'Step 2'!B2563,'Support - Transition'!D:D,'Step 2'!C2563,'Support - Transition'!E:E,"CIVIL")</f>
        <v>6.3999999999999997E-5</v>
      </c>
      <c r="H2563" s="126">
        <f>SUMIFS('Support - Transition'!F:F,'Support - Transition'!B:B,'Step 2'!A2563,'Support - Transition'!C:C,'Step 2'!B2563,'Support - Transition'!D:D,'Step 2'!C2563,'Support - Transition'!E:E,"FIRE")</f>
        <v>2.0699999999999999E-4</v>
      </c>
      <c r="I2563" s="126">
        <f>IF(B2563="0",SUMIFS('Support - Transition'!F:F,'Support - Transition'!J:J,'Step 2'!D2563,'Support - Transition'!E:E,"STATE UNIT"),SUMIFS('Support - Transition'!F:F,'Support - Transition'!J:J,'Step 2'!D2563))</f>
        <v>2.7099999999999997E-4</v>
      </c>
      <c r="J2563" s="126">
        <f>SUMIFS('Support - Unit Adjustments'!E:E,'Support - Unit Adjustments'!F:F,'Step 2'!D2563)</f>
        <v>0</v>
      </c>
      <c r="K2563" s="126">
        <f t="shared" si="764"/>
        <v>2.7099999999999997E-4</v>
      </c>
      <c r="L2563" s="174">
        <f>VLOOKUP(A2563,'Step 1'!$A:$E,4,FALSE)</f>
        <v>975274</v>
      </c>
      <c r="M2563" s="47">
        <f t="shared" si="765"/>
        <v>264</v>
      </c>
      <c r="N2563" s="177">
        <f>SUMIFS('Support - Transition'!G:G,'Support - Transition'!J:J,'Step 2'!D2563,'Support - Transition'!E:E,"2009 WELFARE ALLOCATION FACTOR")</f>
        <v>0</v>
      </c>
      <c r="O2563" s="152">
        <f t="shared" ref="O2563:O2626" si="770">ROUND(+N2563*M2563,0)</f>
        <v>0</v>
      </c>
      <c r="P2563" s="126">
        <f>IF(E2563="Y",0,SUMIFS('Support - Transition'!G:G,'Support - Transition'!J:J,'Step 2'!D2563,'Support - Transition'!E:E,"2009 SCHOOL ALLOCATION FACTOR"))</f>
        <v>0</v>
      </c>
      <c r="Q2563" s="126">
        <f>IF(E2563="Y",VLOOKUP(D2563,'Support - Unit Adjustments'!F:G,2,FALSE),0)</f>
        <v>0</v>
      </c>
      <c r="R2563" s="155">
        <f t="shared" si="763"/>
        <v>0</v>
      </c>
      <c r="S2563" s="47">
        <f t="shared" si="762"/>
        <v>0</v>
      </c>
      <c r="T2563" s="151">
        <f t="shared" si="766"/>
        <v>264</v>
      </c>
      <c r="U2563" s="151">
        <f t="shared" si="767"/>
        <v>0</v>
      </c>
      <c r="V2563" s="139">
        <f t="shared" si="768"/>
        <v>0</v>
      </c>
      <c r="W2563" s="152">
        <f t="shared" ref="W2563:W2626" si="771">+T2563-V2563</f>
        <v>264</v>
      </c>
      <c r="X2563" s="127" t="str">
        <f t="shared" si="769"/>
        <v/>
      </c>
      <c r="Y2563" s="207">
        <f t="shared" ref="Y2563:Y2626" si="772">W2563</f>
        <v>264</v>
      </c>
      <c r="Z2563" s="139">
        <f t="shared" ref="Z2563:Z2626" si="773">IFERROR(IF(B2563="2",ROUND(Y2563*G2563/I2563,0),Y2563),0)</f>
        <v>62</v>
      </c>
      <c r="AA2563" s="139">
        <f t="shared" ref="AA2563:AA2626" si="774">+Y2563-Z2563</f>
        <v>202</v>
      </c>
      <c r="AC2563" s="47">
        <f t="shared" ref="AC2563:AC2626" si="775">ROUND(Y2563/2,0)</f>
        <v>132</v>
      </c>
      <c r="AD2563" s="47">
        <f t="shared" ref="AD2563:AD2626" si="776">ROUND(Z2563/2,0)</f>
        <v>31</v>
      </c>
      <c r="AE2563" s="47">
        <f t="shared" ref="AE2563:AE2626" si="777">ROUND(AA2563/2,0)</f>
        <v>101</v>
      </c>
      <c r="AG2563" s="47">
        <f t="shared" ref="AG2563:AG2626" si="778">+Y2563-AC2563</f>
        <v>132</v>
      </c>
      <c r="AH2563" s="47">
        <f t="shared" ref="AH2563:AH2626" si="779">+Z2563-AD2563</f>
        <v>31</v>
      </c>
      <c r="AI2563" s="208">
        <f t="shared" ref="AI2563:AI2626" si="780">+AA2563-AE2563</f>
        <v>101</v>
      </c>
    </row>
    <row r="2564" spans="1:35">
      <c r="A2564" t="s">
        <v>2173</v>
      </c>
      <c r="B2564" t="s">
        <v>3142</v>
      </c>
      <c r="C2564" t="s">
        <v>2194</v>
      </c>
      <c r="D2564" t="s">
        <v>6138</v>
      </c>
      <c r="F2564" t="s">
        <v>855</v>
      </c>
      <c r="G2564" s="126">
        <f>SUMIFS('Support - Transition'!F:F,'Support - Transition'!B:B,'Step 2'!A2564,'Support - Transition'!C:C,'Step 2'!B2564,'Support - Transition'!D:D,'Step 2'!C2564,'Support - Transition'!E:E,"CIVIL")</f>
        <v>4.7699999999999999E-4</v>
      </c>
      <c r="H2564" s="126">
        <f>SUMIFS('Support - Transition'!F:F,'Support - Transition'!B:B,'Step 2'!A2564,'Support - Transition'!C:C,'Step 2'!B2564,'Support - Transition'!D:D,'Step 2'!C2564,'Support - Transition'!E:E,"FIRE")</f>
        <v>3.6999999999999999E-4</v>
      </c>
      <c r="I2564" s="126">
        <f>IF(B2564="0",SUMIFS('Support - Transition'!F:F,'Support - Transition'!J:J,'Step 2'!D2564,'Support - Transition'!E:E,"STATE UNIT"),SUMIFS('Support - Transition'!F:F,'Support - Transition'!J:J,'Step 2'!D2564))</f>
        <v>8.4699999999999999E-4</v>
      </c>
      <c r="J2564" s="126">
        <f>SUMIFS('Support - Unit Adjustments'!E:E,'Support - Unit Adjustments'!F:F,'Step 2'!D2564)</f>
        <v>0</v>
      </c>
      <c r="K2564" s="126">
        <f t="shared" si="764"/>
        <v>8.4699999999999999E-4</v>
      </c>
      <c r="L2564" s="174">
        <f>VLOOKUP(A2564,'Step 1'!$A:$E,4,FALSE)</f>
        <v>975274</v>
      </c>
      <c r="M2564" s="47">
        <f t="shared" si="765"/>
        <v>826</v>
      </c>
      <c r="N2564" s="177">
        <f>SUMIFS('Support - Transition'!G:G,'Support - Transition'!J:J,'Step 2'!D2564,'Support - Transition'!E:E,"2009 WELFARE ALLOCATION FACTOR")</f>
        <v>0</v>
      </c>
      <c r="O2564" s="152">
        <f t="shared" si="770"/>
        <v>0</v>
      </c>
      <c r="P2564" s="126">
        <f>IF(E2564="Y",0,SUMIFS('Support - Transition'!G:G,'Support - Transition'!J:J,'Step 2'!D2564,'Support - Transition'!E:E,"2009 SCHOOL ALLOCATION FACTOR"))</f>
        <v>0</v>
      </c>
      <c r="Q2564" s="126">
        <f>IF(E2564="Y",VLOOKUP(D2564,'Support - Unit Adjustments'!F:G,2,FALSE),0)</f>
        <v>0</v>
      </c>
      <c r="R2564" s="155">
        <f t="shared" si="763"/>
        <v>0</v>
      </c>
      <c r="S2564" s="47">
        <f t="shared" si="762"/>
        <v>0</v>
      </c>
      <c r="T2564" s="151">
        <f t="shared" si="766"/>
        <v>826</v>
      </c>
      <c r="U2564" s="151">
        <f t="shared" si="767"/>
        <v>0</v>
      </c>
      <c r="V2564" s="139">
        <f t="shared" si="768"/>
        <v>0</v>
      </c>
      <c r="W2564" s="152">
        <f t="shared" si="771"/>
        <v>826</v>
      </c>
      <c r="X2564" s="127" t="str">
        <f t="shared" si="769"/>
        <v/>
      </c>
      <c r="Y2564" s="207">
        <f t="shared" si="772"/>
        <v>826</v>
      </c>
      <c r="Z2564" s="139">
        <f t="shared" si="773"/>
        <v>465</v>
      </c>
      <c r="AA2564" s="139">
        <f t="shared" si="774"/>
        <v>361</v>
      </c>
      <c r="AC2564" s="47">
        <f t="shared" si="775"/>
        <v>413</v>
      </c>
      <c r="AD2564" s="47">
        <f t="shared" si="776"/>
        <v>233</v>
      </c>
      <c r="AE2564" s="47">
        <f t="shared" si="777"/>
        <v>181</v>
      </c>
      <c r="AG2564" s="47">
        <f t="shared" si="778"/>
        <v>413</v>
      </c>
      <c r="AH2564" s="47">
        <f t="shared" si="779"/>
        <v>232</v>
      </c>
      <c r="AI2564" s="208">
        <f t="shared" si="780"/>
        <v>180</v>
      </c>
    </row>
    <row r="2565" spans="1:35">
      <c r="A2565" t="s">
        <v>2173</v>
      </c>
      <c r="B2565" t="s">
        <v>3142</v>
      </c>
      <c r="C2565" t="s">
        <v>2195</v>
      </c>
      <c r="D2565" t="s">
        <v>6139</v>
      </c>
      <c r="F2565" t="s">
        <v>86</v>
      </c>
      <c r="G2565" s="126">
        <f>SUMIFS('Support - Transition'!F:F,'Support - Transition'!B:B,'Step 2'!A2565,'Support - Transition'!C:C,'Step 2'!B2565,'Support - Transition'!D:D,'Step 2'!C2565,'Support - Transition'!E:E,"CIVIL")</f>
        <v>5.0000000000000004E-6</v>
      </c>
      <c r="H2565" s="126">
        <f>SUMIFS('Support - Transition'!F:F,'Support - Transition'!B:B,'Step 2'!A2565,'Support - Transition'!C:C,'Step 2'!B2565,'Support - Transition'!D:D,'Step 2'!C2565,'Support - Transition'!E:E,"FIRE")</f>
        <v>3.9999999999999998E-6</v>
      </c>
      <c r="I2565" s="126">
        <f>IF(B2565="0",SUMIFS('Support - Transition'!F:F,'Support - Transition'!J:J,'Step 2'!D2565,'Support - Transition'!E:E,"STATE UNIT"),SUMIFS('Support - Transition'!F:F,'Support - Transition'!J:J,'Step 2'!D2565))</f>
        <v>9.0000000000000002E-6</v>
      </c>
      <c r="J2565" s="126">
        <f>SUMIFS('Support - Unit Adjustments'!E:E,'Support - Unit Adjustments'!F:F,'Step 2'!D2565)</f>
        <v>0</v>
      </c>
      <c r="K2565" s="126">
        <f t="shared" si="764"/>
        <v>9.0000000000000002E-6</v>
      </c>
      <c r="L2565" s="174">
        <f>VLOOKUP(A2565,'Step 1'!$A:$E,4,FALSE)</f>
        <v>975274</v>
      </c>
      <c r="M2565" s="47">
        <f t="shared" si="765"/>
        <v>9</v>
      </c>
      <c r="N2565" s="177">
        <f>SUMIFS('Support - Transition'!G:G,'Support - Transition'!J:J,'Step 2'!D2565,'Support - Transition'!E:E,"2009 WELFARE ALLOCATION FACTOR")</f>
        <v>0</v>
      </c>
      <c r="O2565" s="152">
        <f t="shared" si="770"/>
        <v>0</v>
      </c>
      <c r="P2565" s="126">
        <f>IF(E2565="Y",0,SUMIFS('Support - Transition'!G:G,'Support - Transition'!J:J,'Step 2'!D2565,'Support - Transition'!E:E,"2009 SCHOOL ALLOCATION FACTOR"))</f>
        <v>0</v>
      </c>
      <c r="Q2565" s="126">
        <f>IF(E2565="Y",VLOOKUP(D2565,'Support - Unit Adjustments'!F:G,2,FALSE),0)</f>
        <v>0</v>
      </c>
      <c r="R2565" s="155">
        <f t="shared" si="763"/>
        <v>0</v>
      </c>
      <c r="S2565" s="47">
        <f t="shared" si="762"/>
        <v>0</v>
      </c>
      <c r="T2565" s="151">
        <f t="shared" si="766"/>
        <v>9</v>
      </c>
      <c r="U2565" s="151">
        <f t="shared" si="767"/>
        <v>0</v>
      </c>
      <c r="V2565" s="139">
        <f t="shared" si="768"/>
        <v>0</v>
      </c>
      <c r="W2565" s="152">
        <f t="shared" si="771"/>
        <v>9</v>
      </c>
      <c r="X2565" s="127" t="str">
        <f t="shared" si="769"/>
        <v/>
      </c>
      <c r="Y2565" s="207">
        <f t="shared" si="772"/>
        <v>9</v>
      </c>
      <c r="Z2565" s="139">
        <f t="shared" si="773"/>
        <v>5</v>
      </c>
      <c r="AA2565" s="139">
        <f t="shared" si="774"/>
        <v>4</v>
      </c>
      <c r="AC2565" s="47">
        <f t="shared" si="775"/>
        <v>5</v>
      </c>
      <c r="AD2565" s="47">
        <f t="shared" si="776"/>
        <v>3</v>
      </c>
      <c r="AE2565" s="47">
        <f t="shared" si="777"/>
        <v>2</v>
      </c>
      <c r="AG2565" s="47">
        <f t="shared" si="778"/>
        <v>4</v>
      </c>
      <c r="AH2565" s="47">
        <f t="shared" si="779"/>
        <v>2</v>
      </c>
      <c r="AI2565" s="208">
        <f t="shared" si="780"/>
        <v>2</v>
      </c>
    </row>
    <row r="2566" spans="1:35">
      <c r="A2566" t="s">
        <v>2173</v>
      </c>
      <c r="B2566" t="s">
        <v>3142</v>
      </c>
      <c r="C2566" t="s">
        <v>2196</v>
      </c>
      <c r="D2566" t="s">
        <v>6140</v>
      </c>
      <c r="F2566" t="s">
        <v>49</v>
      </c>
      <c r="G2566" s="126">
        <f>SUMIFS('Support - Transition'!F:F,'Support - Transition'!B:B,'Step 2'!A2566,'Support - Transition'!C:C,'Step 2'!B2566,'Support - Transition'!D:D,'Step 2'!C2566,'Support - Transition'!E:E,"CIVIL")</f>
        <v>8.8900000000000003E-4</v>
      </c>
      <c r="H2566" s="126">
        <f>SUMIFS('Support - Transition'!F:F,'Support - Transition'!B:B,'Step 2'!A2566,'Support - Transition'!C:C,'Step 2'!B2566,'Support - Transition'!D:D,'Step 2'!C2566,'Support - Transition'!E:E,"FIRE")</f>
        <v>2.2000000000000001E-4</v>
      </c>
      <c r="I2566" s="126">
        <f>IF(B2566="0",SUMIFS('Support - Transition'!F:F,'Support - Transition'!J:J,'Step 2'!D2566,'Support - Transition'!E:E,"STATE UNIT"),SUMIFS('Support - Transition'!F:F,'Support - Transition'!J:J,'Step 2'!D2566))</f>
        <v>1.109E-3</v>
      </c>
      <c r="J2566" s="126">
        <f>SUMIFS('Support - Unit Adjustments'!E:E,'Support - Unit Adjustments'!F:F,'Step 2'!D2566)</f>
        <v>0</v>
      </c>
      <c r="K2566" s="126">
        <f t="shared" si="764"/>
        <v>1.109E-3</v>
      </c>
      <c r="L2566" s="174">
        <f>VLOOKUP(A2566,'Step 1'!$A:$E,4,FALSE)</f>
        <v>975274</v>
      </c>
      <c r="M2566" s="47">
        <f t="shared" si="765"/>
        <v>1082</v>
      </c>
      <c r="N2566" s="177">
        <f>SUMIFS('Support - Transition'!G:G,'Support - Transition'!J:J,'Step 2'!D2566,'Support - Transition'!E:E,"2009 WELFARE ALLOCATION FACTOR")</f>
        <v>0</v>
      </c>
      <c r="O2566" s="152">
        <f t="shared" si="770"/>
        <v>0</v>
      </c>
      <c r="P2566" s="126">
        <f>IF(E2566="Y",0,SUMIFS('Support - Transition'!G:G,'Support - Transition'!J:J,'Step 2'!D2566,'Support - Transition'!E:E,"2009 SCHOOL ALLOCATION FACTOR"))</f>
        <v>0</v>
      </c>
      <c r="Q2566" s="126">
        <f>IF(E2566="Y",VLOOKUP(D2566,'Support - Unit Adjustments'!F:G,2,FALSE),0)</f>
        <v>0</v>
      </c>
      <c r="R2566" s="155">
        <f t="shared" si="763"/>
        <v>0</v>
      </c>
      <c r="S2566" s="47">
        <f t="shared" si="762"/>
        <v>0</v>
      </c>
      <c r="T2566" s="151">
        <f t="shared" si="766"/>
        <v>1082</v>
      </c>
      <c r="U2566" s="151">
        <f t="shared" si="767"/>
        <v>0</v>
      </c>
      <c r="V2566" s="139">
        <f t="shared" si="768"/>
        <v>0</v>
      </c>
      <c r="W2566" s="152">
        <f t="shared" si="771"/>
        <v>1082</v>
      </c>
      <c r="X2566" s="127" t="str">
        <f t="shared" si="769"/>
        <v/>
      </c>
      <c r="Y2566" s="207">
        <f t="shared" si="772"/>
        <v>1082</v>
      </c>
      <c r="Z2566" s="139">
        <f t="shared" si="773"/>
        <v>867</v>
      </c>
      <c r="AA2566" s="139">
        <f t="shared" si="774"/>
        <v>215</v>
      </c>
      <c r="AC2566" s="47">
        <f t="shared" si="775"/>
        <v>541</v>
      </c>
      <c r="AD2566" s="47">
        <f t="shared" si="776"/>
        <v>434</v>
      </c>
      <c r="AE2566" s="47">
        <f t="shared" si="777"/>
        <v>108</v>
      </c>
      <c r="AG2566" s="47">
        <f t="shared" si="778"/>
        <v>541</v>
      </c>
      <c r="AH2566" s="47">
        <f t="shared" si="779"/>
        <v>433</v>
      </c>
      <c r="AI2566" s="208">
        <f t="shared" si="780"/>
        <v>107</v>
      </c>
    </row>
    <row r="2567" spans="1:35">
      <c r="A2567" t="s">
        <v>2173</v>
      </c>
      <c r="B2567" t="s">
        <v>3142</v>
      </c>
      <c r="C2567" t="s">
        <v>2197</v>
      </c>
      <c r="D2567" t="s">
        <v>6141</v>
      </c>
      <c r="F2567" t="s">
        <v>14</v>
      </c>
      <c r="G2567" s="126">
        <f>SUMIFS('Support - Transition'!F:F,'Support - Transition'!B:B,'Step 2'!A2567,'Support - Transition'!C:C,'Step 2'!B2567,'Support - Transition'!D:D,'Step 2'!C2567,'Support - Transition'!E:E,"CIVIL")</f>
        <v>5.7499999999999999E-4</v>
      </c>
      <c r="H2567" s="126">
        <f>SUMIFS('Support - Transition'!F:F,'Support - Transition'!B:B,'Step 2'!A2567,'Support - Transition'!C:C,'Step 2'!B2567,'Support - Transition'!D:D,'Step 2'!C2567,'Support - Transition'!E:E,"FIRE")</f>
        <v>1.64E-4</v>
      </c>
      <c r="I2567" s="126">
        <f>IF(B2567="0",SUMIFS('Support - Transition'!F:F,'Support - Transition'!J:J,'Step 2'!D2567,'Support - Transition'!E:E,"STATE UNIT"),SUMIFS('Support - Transition'!F:F,'Support - Transition'!J:J,'Step 2'!D2567))</f>
        <v>7.3899999999999997E-4</v>
      </c>
      <c r="J2567" s="126">
        <f>SUMIFS('Support - Unit Adjustments'!E:E,'Support - Unit Adjustments'!F:F,'Step 2'!D2567)</f>
        <v>0</v>
      </c>
      <c r="K2567" s="126">
        <f t="shared" si="764"/>
        <v>7.3899999999999997E-4</v>
      </c>
      <c r="L2567" s="174">
        <f>VLOOKUP(A2567,'Step 1'!$A:$E,4,FALSE)</f>
        <v>975274</v>
      </c>
      <c r="M2567" s="47">
        <f t="shared" si="765"/>
        <v>721</v>
      </c>
      <c r="N2567" s="177">
        <f>SUMIFS('Support - Transition'!G:G,'Support - Transition'!J:J,'Step 2'!D2567,'Support - Transition'!E:E,"2009 WELFARE ALLOCATION FACTOR")</f>
        <v>0</v>
      </c>
      <c r="O2567" s="152">
        <f t="shared" si="770"/>
        <v>0</v>
      </c>
      <c r="P2567" s="126">
        <f>IF(E2567="Y",0,SUMIFS('Support - Transition'!G:G,'Support - Transition'!J:J,'Step 2'!D2567,'Support - Transition'!E:E,"2009 SCHOOL ALLOCATION FACTOR"))</f>
        <v>0</v>
      </c>
      <c r="Q2567" s="126">
        <f>IF(E2567="Y",VLOOKUP(D2567,'Support - Unit Adjustments'!F:G,2,FALSE),0)</f>
        <v>0</v>
      </c>
      <c r="R2567" s="155">
        <f t="shared" si="763"/>
        <v>0</v>
      </c>
      <c r="S2567" s="47">
        <f t="shared" si="762"/>
        <v>0</v>
      </c>
      <c r="T2567" s="151">
        <f t="shared" si="766"/>
        <v>721</v>
      </c>
      <c r="U2567" s="151">
        <f t="shared" si="767"/>
        <v>0</v>
      </c>
      <c r="V2567" s="139">
        <f t="shared" si="768"/>
        <v>0</v>
      </c>
      <c r="W2567" s="152">
        <f t="shared" si="771"/>
        <v>721</v>
      </c>
      <c r="X2567" s="127" t="str">
        <f t="shared" si="769"/>
        <v/>
      </c>
      <c r="Y2567" s="207">
        <f t="shared" si="772"/>
        <v>721</v>
      </c>
      <c r="Z2567" s="139">
        <f t="shared" si="773"/>
        <v>561</v>
      </c>
      <c r="AA2567" s="139">
        <f t="shared" si="774"/>
        <v>160</v>
      </c>
      <c r="AC2567" s="47">
        <f t="shared" si="775"/>
        <v>361</v>
      </c>
      <c r="AD2567" s="47">
        <f t="shared" si="776"/>
        <v>281</v>
      </c>
      <c r="AE2567" s="47">
        <f t="shared" si="777"/>
        <v>80</v>
      </c>
      <c r="AG2567" s="47">
        <f t="shared" si="778"/>
        <v>360</v>
      </c>
      <c r="AH2567" s="47">
        <f t="shared" si="779"/>
        <v>280</v>
      </c>
      <c r="AI2567" s="208">
        <f t="shared" si="780"/>
        <v>80</v>
      </c>
    </row>
    <row r="2568" spans="1:35">
      <c r="A2568" t="s">
        <v>2173</v>
      </c>
      <c r="B2568" t="s">
        <v>3142</v>
      </c>
      <c r="C2568" t="s">
        <v>2198</v>
      </c>
      <c r="D2568" t="s">
        <v>6142</v>
      </c>
      <c r="F2568" t="s">
        <v>1820</v>
      </c>
      <c r="G2568" s="126">
        <f>SUMIFS('Support - Transition'!F:F,'Support - Transition'!B:B,'Step 2'!A2568,'Support - Transition'!C:C,'Step 2'!B2568,'Support - Transition'!D:D,'Step 2'!C2568,'Support - Transition'!E:E,"CIVIL")</f>
        <v>2.33E-4</v>
      </c>
      <c r="H2568" s="126">
        <f>SUMIFS('Support - Transition'!F:F,'Support - Transition'!B:B,'Step 2'!A2568,'Support - Transition'!C:C,'Step 2'!B2568,'Support - Transition'!D:D,'Step 2'!C2568,'Support - Transition'!E:E,"FIRE")</f>
        <v>1.9599999999999999E-4</v>
      </c>
      <c r="I2568" s="126">
        <f>IF(B2568="0",SUMIFS('Support - Transition'!F:F,'Support - Transition'!J:J,'Step 2'!D2568,'Support - Transition'!E:E,"STATE UNIT"),SUMIFS('Support - Transition'!F:F,'Support - Transition'!J:J,'Step 2'!D2568))</f>
        <v>4.2900000000000002E-4</v>
      </c>
      <c r="J2568" s="126">
        <f>SUMIFS('Support - Unit Adjustments'!E:E,'Support - Unit Adjustments'!F:F,'Step 2'!D2568)</f>
        <v>0</v>
      </c>
      <c r="K2568" s="126">
        <f t="shared" si="764"/>
        <v>4.2900000000000002E-4</v>
      </c>
      <c r="L2568" s="174">
        <f>VLOOKUP(A2568,'Step 1'!$A:$E,4,FALSE)</f>
        <v>975274</v>
      </c>
      <c r="M2568" s="47">
        <f t="shared" si="765"/>
        <v>418</v>
      </c>
      <c r="N2568" s="177">
        <f>SUMIFS('Support - Transition'!G:G,'Support - Transition'!J:J,'Step 2'!D2568,'Support - Transition'!E:E,"2009 WELFARE ALLOCATION FACTOR")</f>
        <v>0</v>
      </c>
      <c r="O2568" s="152">
        <f t="shared" si="770"/>
        <v>0</v>
      </c>
      <c r="P2568" s="126">
        <f>IF(E2568="Y",0,SUMIFS('Support - Transition'!G:G,'Support - Transition'!J:J,'Step 2'!D2568,'Support - Transition'!E:E,"2009 SCHOOL ALLOCATION FACTOR"))</f>
        <v>0</v>
      </c>
      <c r="Q2568" s="126">
        <f>IF(E2568="Y",VLOOKUP(D2568,'Support - Unit Adjustments'!F:G,2,FALSE),0)</f>
        <v>0</v>
      </c>
      <c r="R2568" s="155">
        <f t="shared" si="763"/>
        <v>0</v>
      </c>
      <c r="S2568" s="47">
        <f t="shared" ref="S2568:S2631" si="781">ROUND(+R2568*M2568,0)</f>
        <v>0</v>
      </c>
      <c r="T2568" s="151">
        <f t="shared" si="766"/>
        <v>418</v>
      </c>
      <c r="U2568" s="151">
        <f t="shared" si="767"/>
        <v>0</v>
      </c>
      <c r="V2568" s="139">
        <f t="shared" si="768"/>
        <v>0</v>
      </c>
      <c r="W2568" s="152">
        <f t="shared" si="771"/>
        <v>418</v>
      </c>
      <c r="X2568" s="127" t="str">
        <f t="shared" si="769"/>
        <v/>
      </c>
      <c r="Y2568" s="207">
        <f t="shared" si="772"/>
        <v>418</v>
      </c>
      <c r="Z2568" s="139">
        <f t="shared" si="773"/>
        <v>227</v>
      </c>
      <c r="AA2568" s="139">
        <f t="shared" si="774"/>
        <v>191</v>
      </c>
      <c r="AC2568" s="47">
        <f t="shared" si="775"/>
        <v>209</v>
      </c>
      <c r="AD2568" s="47">
        <f t="shared" si="776"/>
        <v>114</v>
      </c>
      <c r="AE2568" s="47">
        <f t="shared" si="777"/>
        <v>96</v>
      </c>
      <c r="AG2568" s="47">
        <f t="shared" si="778"/>
        <v>209</v>
      </c>
      <c r="AH2568" s="47">
        <f t="shared" si="779"/>
        <v>113</v>
      </c>
      <c r="AI2568" s="208">
        <f t="shared" si="780"/>
        <v>95</v>
      </c>
    </row>
    <row r="2569" spans="1:35">
      <c r="A2569" t="s">
        <v>2173</v>
      </c>
      <c r="B2569" t="s">
        <v>3142</v>
      </c>
      <c r="C2569" t="s">
        <v>2199</v>
      </c>
      <c r="D2569" t="s">
        <v>6143</v>
      </c>
      <c r="F2569" t="s">
        <v>56</v>
      </c>
      <c r="G2569" s="126">
        <f>SUMIFS('Support - Transition'!F:F,'Support - Transition'!B:B,'Step 2'!A2569,'Support - Transition'!C:C,'Step 2'!B2569,'Support - Transition'!D:D,'Step 2'!C2569,'Support - Transition'!E:E,"CIVIL")</f>
        <v>8.8999999999999995E-5</v>
      </c>
      <c r="H2569" s="126">
        <f>SUMIFS('Support - Transition'!F:F,'Support - Transition'!B:B,'Step 2'!A2569,'Support - Transition'!C:C,'Step 2'!B2569,'Support - Transition'!D:D,'Step 2'!C2569,'Support - Transition'!E:E,"FIRE")</f>
        <v>1.8000000000000001E-4</v>
      </c>
      <c r="I2569" s="126">
        <f>IF(B2569="0",SUMIFS('Support - Transition'!F:F,'Support - Transition'!J:J,'Step 2'!D2569,'Support - Transition'!E:E,"STATE UNIT"),SUMIFS('Support - Transition'!F:F,'Support - Transition'!J:J,'Step 2'!D2569))</f>
        <v>2.6900000000000003E-4</v>
      </c>
      <c r="J2569" s="126">
        <f>SUMIFS('Support - Unit Adjustments'!E:E,'Support - Unit Adjustments'!F:F,'Step 2'!D2569)</f>
        <v>0</v>
      </c>
      <c r="K2569" s="126">
        <f t="shared" si="764"/>
        <v>2.6900000000000003E-4</v>
      </c>
      <c r="L2569" s="174">
        <f>VLOOKUP(A2569,'Step 1'!$A:$E,4,FALSE)</f>
        <v>975274</v>
      </c>
      <c r="M2569" s="47">
        <f t="shared" si="765"/>
        <v>262</v>
      </c>
      <c r="N2569" s="177">
        <f>SUMIFS('Support - Transition'!G:G,'Support - Transition'!J:J,'Step 2'!D2569,'Support - Transition'!E:E,"2009 WELFARE ALLOCATION FACTOR")</f>
        <v>0</v>
      </c>
      <c r="O2569" s="152">
        <f t="shared" si="770"/>
        <v>0</v>
      </c>
      <c r="P2569" s="126">
        <f>IF(E2569="Y",0,SUMIFS('Support - Transition'!G:G,'Support - Transition'!J:J,'Step 2'!D2569,'Support - Transition'!E:E,"2009 SCHOOL ALLOCATION FACTOR"))</f>
        <v>0</v>
      </c>
      <c r="Q2569" s="126">
        <f>IF(E2569="Y",VLOOKUP(D2569,'Support - Unit Adjustments'!F:G,2,FALSE),0)</f>
        <v>0</v>
      </c>
      <c r="R2569" s="155">
        <f t="shared" ref="R2569:R2632" si="782">+P2569+Q2569</f>
        <v>0</v>
      </c>
      <c r="S2569" s="47">
        <f t="shared" si="781"/>
        <v>0</v>
      </c>
      <c r="T2569" s="151">
        <f t="shared" si="766"/>
        <v>262</v>
      </c>
      <c r="U2569" s="151">
        <f t="shared" si="767"/>
        <v>0</v>
      </c>
      <c r="V2569" s="139">
        <f t="shared" si="768"/>
        <v>0</v>
      </c>
      <c r="W2569" s="152">
        <f t="shared" si="771"/>
        <v>262</v>
      </c>
      <c r="X2569" s="127" t="str">
        <f t="shared" si="769"/>
        <v/>
      </c>
      <c r="Y2569" s="207">
        <f t="shared" si="772"/>
        <v>262</v>
      </c>
      <c r="Z2569" s="139">
        <f t="shared" si="773"/>
        <v>87</v>
      </c>
      <c r="AA2569" s="139">
        <f t="shared" si="774"/>
        <v>175</v>
      </c>
      <c r="AC2569" s="47">
        <f t="shared" si="775"/>
        <v>131</v>
      </c>
      <c r="AD2569" s="47">
        <f t="shared" si="776"/>
        <v>44</v>
      </c>
      <c r="AE2569" s="47">
        <f t="shared" si="777"/>
        <v>88</v>
      </c>
      <c r="AG2569" s="47">
        <f t="shared" si="778"/>
        <v>131</v>
      </c>
      <c r="AH2569" s="47">
        <f t="shared" si="779"/>
        <v>43</v>
      </c>
      <c r="AI2569" s="208">
        <f t="shared" si="780"/>
        <v>87</v>
      </c>
    </row>
    <row r="2570" spans="1:35">
      <c r="A2570" t="s">
        <v>2173</v>
      </c>
      <c r="B2570" t="s">
        <v>3142</v>
      </c>
      <c r="C2570" t="s">
        <v>2208</v>
      </c>
      <c r="D2570" t="s">
        <v>6144</v>
      </c>
      <c r="F2570" t="s">
        <v>22</v>
      </c>
      <c r="G2570" s="126">
        <f>SUMIFS('Support - Transition'!F:F,'Support - Transition'!B:B,'Step 2'!A2570,'Support - Transition'!C:C,'Step 2'!B2570,'Support - Transition'!D:D,'Step 2'!C2570,'Support - Transition'!E:E,"CIVIL")</f>
        <v>1E-4</v>
      </c>
      <c r="H2570" s="126">
        <f>SUMIFS('Support - Transition'!F:F,'Support - Transition'!B:B,'Step 2'!A2570,'Support - Transition'!C:C,'Step 2'!B2570,'Support - Transition'!D:D,'Step 2'!C2570,'Support - Transition'!E:E,"FIRE")</f>
        <v>1.7899999999999999E-4</v>
      </c>
      <c r="I2570" s="126">
        <f>IF(B2570="0",SUMIFS('Support - Transition'!F:F,'Support - Transition'!J:J,'Step 2'!D2570,'Support - Transition'!E:E,"STATE UNIT"),SUMIFS('Support - Transition'!F:F,'Support - Transition'!J:J,'Step 2'!D2570))</f>
        <v>2.7900000000000001E-4</v>
      </c>
      <c r="J2570" s="126">
        <f>SUMIFS('Support - Unit Adjustments'!E:E,'Support - Unit Adjustments'!F:F,'Step 2'!D2570)</f>
        <v>0</v>
      </c>
      <c r="K2570" s="126">
        <f t="shared" si="764"/>
        <v>2.7900000000000001E-4</v>
      </c>
      <c r="L2570" s="174">
        <f>VLOOKUP(A2570,'Step 1'!$A:$E,4,FALSE)</f>
        <v>975274</v>
      </c>
      <c r="M2570" s="47">
        <f t="shared" si="765"/>
        <v>272</v>
      </c>
      <c r="N2570" s="177">
        <f>SUMIFS('Support - Transition'!G:G,'Support - Transition'!J:J,'Step 2'!D2570,'Support - Transition'!E:E,"2009 WELFARE ALLOCATION FACTOR")</f>
        <v>0</v>
      </c>
      <c r="O2570" s="152">
        <f t="shared" si="770"/>
        <v>0</v>
      </c>
      <c r="P2570" s="126">
        <f>IF(E2570="Y",0,SUMIFS('Support - Transition'!G:G,'Support - Transition'!J:J,'Step 2'!D2570,'Support - Transition'!E:E,"2009 SCHOOL ALLOCATION FACTOR"))</f>
        <v>0</v>
      </c>
      <c r="Q2570" s="126">
        <f>IF(E2570="Y",VLOOKUP(D2570,'Support - Unit Adjustments'!F:G,2,FALSE),0)</f>
        <v>0</v>
      </c>
      <c r="R2570" s="155">
        <f t="shared" si="782"/>
        <v>0</v>
      </c>
      <c r="S2570" s="47">
        <f t="shared" si="781"/>
        <v>0</v>
      </c>
      <c r="T2570" s="151">
        <f t="shared" si="766"/>
        <v>272</v>
      </c>
      <c r="U2570" s="151">
        <f t="shared" si="767"/>
        <v>0</v>
      </c>
      <c r="V2570" s="139">
        <f t="shared" si="768"/>
        <v>0</v>
      </c>
      <c r="W2570" s="152">
        <f t="shared" si="771"/>
        <v>272</v>
      </c>
      <c r="X2570" s="127" t="str">
        <f t="shared" si="769"/>
        <v/>
      </c>
      <c r="Y2570" s="207">
        <f t="shared" si="772"/>
        <v>272</v>
      </c>
      <c r="Z2570" s="139">
        <f t="shared" si="773"/>
        <v>97</v>
      </c>
      <c r="AA2570" s="139">
        <f t="shared" si="774"/>
        <v>175</v>
      </c>
      <c r="AC2570" s="47">
        <f t="shared" si="775"/>
        <v>136</v>
      </c>
      <c r="AD2570" s="47">
        <f t="shared" si="776"/>
        <v>49</v>
      </c>
      <c r="AE2570" s="47">
        <f t="shared" si="777"/>
        <v>88</v>
      </c>
      <c r="AG2570" s="47">
        <f t="shared" si="778"/>
        <v>136</v>
      </c>
      <c r="AH2570" s="47">
        <f t="shared" si="779"/>
        <v>48</v>
      </c>
      <c r="AI2570" s="208">
        <f t="shared" si="780"/>
        <v>87</v>
      </c>
    </row>
    <row r="2571" spans="1:35">
      <c r="A2571" t="s">
        <v>2173</v>
      </c>
      <c r="B2571" t="s">
        <v>3142</v>
      </c>
      <c r="C2571" t="s">
        <v>2209</v>
      </c>
      <c r="D2571" t="s">
        <v>6145</v>
      </c>
      <c r="F2571" t="s">
        <v>61</v>
      </c>
      <c r="G2571" s="126">
        <f>SUMIFS('Support - Transition'!F:F,'Support - Transition'!B:B,'Step 2'!A2571,'Support - Transition'!C:C,'Step 2'!B2571,'Support - Transition'!D:D,'Step 2'!C2571,'Support - Transition'!E:E,"CIVIL")</f>
        <v>1.0315E-2</v>
      </c>
      <c r="H2571" s="126">
        <f>SUMIFS('Support - Transition'!F:F,'Support - Transition'!B:B,'Step 2'!A2571,'Support - Transition'!C:C,'Step 2'!B2571,'Support - Transition'!D:D,'Step 2'!C2571,'Support - Transition'!E:E,"FIRE")</f>
        <v>9.5399999999999999E-4</v>
      </c>
      <c r="I2571" s="126">
        <f>IF(B2571="0",SUMIFS('Support - Transition'!F:F,'Support - Transition'!J:J,'Step 2'!D2571,'Support - Transition'!E:E,"STATE UNIT"),SUMIFS('Support - Transition'!F:F,'Support - Transition'!J:J,'Step 2'!D2571))</f>
        <v>1.1269E-2</v>
      </c>
      <c r="J2571" s="126">
        <f>SUMIFS('Support - Unit Adjustments'!E:E,'Support - Unit Adjustments'!F:F,'Step 2'!D2571)</f>
        <v>0</v>
      </c>
      <c r="K2571" s="126">
        <f t="shared" si="764"/>
        <v>1.1269E-2</v>
      </c>
      <c r="L2571" s="174">
        <f>VLOOKUP(A2571,'Step 1'!$A:$E,4,FALSE)</f>
        <v>975274</v>
      </c>
      <c r="M2571" s="47">
        <f t="shared" si="765"/>
        <v>10990</v>
      </c>
      <c r="N2571" s="177">
        <f>SUMIFS('Support - Transition'!G:G,'Support - Transition'!J:J,'Step 2'!D2571,'Support - Transition'!E:E,"2009 WELFARE ALLOCATION FACTOR")</f>
        <v>0</v>
      </c>
      <c r="O2571" s="152">
        <f t="shared" si="770"/>
        <v>0</v>
      </c>
      <c r="P2571" s="126">
        <f>IF(E2571="Y",0,SUMIFS('Support - Transition'!G:G,'Support - Transition'!J:J,'Step 2'!D2571,'Support - Transition'!E:E,"2009 SCHOOL ALLOCATION FACTOR"))</f>
        <v>0</v>
      </c>
      <c r="Q2571" s="126">
        <f>IF(E2571="Y",VLOOKUP(D2571,'Support - Unit Adjustments'!F:G,2,FALSE),0)</f>
        <v>0</v>
      </c>
      <c r="R2571" s="155">
        <f t="shared" si="782"/>
        <v>0</v>
      </c>
      <c r="S2571" s="47">
        <f t="shared" si="781"/>
        <v>0</v>
      </c>
      <c r="T2571" s="151">
        <f t="shared" si="766"/>
        <v>10990</v>
      </c>
      <c r="U2571" s="151">
        <f t="shared" si="767"/>
        <v>0</v>
      </c>
      <c r="V2571" s="139">
        <f t="shared" si="768"/>
        <v>0</v>
      </c>
      <c r="W2571" s="152">
        <f t="shared" si="771"/>
        <v>10990</v>
      </c>
      <c r="X2571" s="127" t="str">
        <f t="shared" si="769"/>
        <v/>
      </c>
      <c r="Y2571" s="207">
        <f t="shared" si="772"/>
        <v>10990</v>
      </c>
      <c r="Z2571" s="139">
        <f t="shared" si="773"/>
        <v>10060</v>
      </c>
      <c r="AA2571" s="139">
        <f t="shared" si="774"/>
        <v>930</v>
      </c>
      <c r="AC2571" s="47">
        <f t="shared" si="775"/>
        <v>5495</v>
      </c>
      <c r="AD2571" s="47">
        <f t="shared" si="776"/>
        <v>5030</v>
      </c>
      <c r="AE2571" s="47">
        <f t="shared" si="777"/>
        <v>465</v>
      </c>
      <c r="AG2571" s="47">
        <f t="shared" si="778"/>
        <v>5495</v>
      </c>
      <c r="AH2571" s="47">
        <f t="shared" si="779"/>
        <v>5030</v>
      </c>
      <c r="AI2571" s="208">
        <f t="shared" si="780"/>
        <v>465</v>
      </c>
    </row>
    <row r="2572" spans="1:35">
      <c r="A2572" t="s">
        <v>2173</v>
      </c>
      <c r="B2572" t="s">
        <v>3142</v>
      </c>
      <c r="C2572" t="s">
        <v>2204</v>
      </c>
      <c r="D2572" t="s">
        <v>6146</v>
      </c>
      <c r="F2572" t="s">
        <v>692</v>
      </c>
      <c r="G2572" s="126">
        <f>SUMIFS('Support - Transition'!F:F,'Support - Transition'!B:B,'Step 2'!A2572,'Support - Transition'!C:C,'Step 2'!B2572,'Support - Transition'!D:D,'Step 2'!C2572,'Support - Transition'!E:E,"CIVIL")</f>
        <v>2.4699999999999999E-4</v>
      </c>
      <c r="H2572" s="126">
        <f>SUMIFS('Support - Transition'!F:F,'Support - Transition'!B:B,'Step 2'!A2572,'Support - Transition'!C:C,'Step 2'!B2572,'Support - Transition'!D:D,'Step 2'!C2572,'Support - Transition'!E:E,"FIRE")</f>
        <v>2.31E-4</v>
      </c>
      <c r="I2572" s="126">
        <f>IF(B2572="0",SUMIFS('Support - Transition'!F:F,'Support - Transition'!J:J,'Step 2'!D2572,'Support - Transition'!E:E,"STATE UNIT"),SUMIFS('Support - Transition'!F:F,'Support - Transition'!J:J,'Step 2'!D2572))</f>
        <v>4.7800000000000002E-4</v>
      </c>
      <c r="J2572" s="126">
        <f>SUMIFS('Support - Unit Adjustments'!E:E,'Support - Unit Adjustments'!F:F,'Step 2'!D2572)</f>
        <v>0</v>
      </c>
      <c r="K2572" s="126">
        <f t="shared" si="764"/>
        <v>4.7800000000000002E-4</v>
      </c>
      <c r="L2572" s="174">
        <f>VLOOKUP(A2572,'Step 1'!$A:$E,4,FALSE)</f>
        <v>975274</v>
      </c>
      <c r="M2572" s="47">
        <f t="shared" si="765"/>
        <v>466</v>
      </c>
      <c r="N2572" s="177">
        <f>SUMIFS('Support - Transition'!G:G,'Support - Transition'!J:J,'Step 2'!D2572,'Support - Transition'!E:E,"2009 WELFARE ALLOCATION FACTOR")</f>
        <v>0</v>
      </c>
      <c r="O2572" s="152">
        <f t="shared" si="770"/>
        <v>0</v>
      </c>
      <c r="P2572" s="126">
        <f>IF(E2572="Y",0,SUMIFS('Support - Transition'!G:G,'Support - Transition'!J:J,'Step 2'!D2572,'Support - Transition'!E:E,"2009 SCHOOL ALLOCATION FACTOR"))</f>
        <v>0</v>
      </c>
      <c r="Q2572" s="126">
        <f>IF(E2572="Y",VLOOKUP(D2572,'Support - Unit Adjustments'!F:G,2,FALSE),0)</f>
        <v>0</v>
      </c>
      <c r="R2572" s="155">
        <f t="shared" si="782"/>
        <v>0</v>
      </c>
      <c r="S2572" s="47">
        <f t="shared" si="781"/>
        <v>0</v>
      </c>
      <c r="T2572" s="151">
        <f t="shared" si="766"/>
        <v>466</v>
      </c>
      <c r="U2572" s="151">
        <f t="shared" si="767"/>
        <v>0</v>
      </c>
      <c r="V2572" s="139">
        <f t="shared" si="768"/>
        <v>0</v>
      </c>
      <c r="W2572" s="152">
        <f t="shared" si="771"/>
        <v>466</v>
      </c>
      <c r="X2572" s="127" t="str">
        <f t="shared" si="769"/>
        <v/>
      </c>
      <c r="Y2572" s="207">
        <f t="shared" si="772"/>
        <v>466</v>
      </c>
      <c r="Z2572" s="139">
        <f t="shared" si="773"/>
        <v>241</v>
      </c>
      <c r="AA2572" s="139">
        <f t="shared" si="774"/>
        <v>225</v>
      </c>
      <c r="AC2572" s="47">
        <f t="shared" si="775"/>
        <v>233</v>
      </c>
      <c r="AD2572" s="47">
        <f t="shared" si="776"/>
        <v>121</v>
      </c>
      <c r="AE2572" s="47">
        <f t="shared" si="777"/>
        <v>113</v>
      </c>
      <c r="AG2572" s="47">
        <f t="shared" si="778"/>
        <v>233</v>
      </c>
      <c r="AH2572" s="47">
        <f t="shared" si="779"/>
        <v>120</v>
      </c>
      <c r="AI2572" s="208">
        <f t="shared" si="780"/>
        <v>112</v>
      </c>
    </row>
    <row r="2573" spans="1:35">
      <c r="A2573" t="s">
        <v>2173</v>
      </c>
      <c r="B2573" t="s">
        <v>3155</v>
      </c>
      <c r="C2573" t="s">
        <v>2239</v>
      </c>
      <c r="D2573" t="s">
        <v>6147</v>
      </c>
      <c r="F2573" t="s">
        <v>1832</v>
      </c>
      <c r="G2573" s="126">
        <f>SUMIFS('Support - Transition'!F:F,'Support - Transition'!B:B,'Step 2'!A2573,'Support - Transition'!C:C,'Step 2'!B2573,'Support - Transition'!D:D,'Step 2'!C2573,'Support - Transition'!E:E,"CIVIL")</f>
        <v>0</v>
      </c>
      <c r="H2573" s="126">
        <f>SUMIFS('Support - Transition'!F:F,'Support - Transition'!B:B,'Step 2'!A2573,'Support - Transition'!C:C,'Step 2'!B2573,'Support - Transition'!D:D,'Step 2'!C2573,'Support - Transition'!E:E,"FIRE")</f>
        <v>0</v>
      </c>
      <c r="I2573" s="126">
        <f>IF(B2573="0",SUMIFS('Support - Transition'!F:F,'Support - Transition'!J:J,'Step 2'!D2573,'Support - Transition'!E:E,"STATE UNIT"),SUMIFS('Support - Transition'!F:F,'Support - Transition'!J:J,'Step 2'!D2573))</f>
        <v>0.196908</v>
      </c>
      <c r="J2573" s="126">
        <f>SUMIFS('Support - Unit Adjustments'!E:E,'Support - Unit Adjustments'!F:F,'Step 2'!D2573)</f>
        <v>0</v>
      </c>
      <c r="K2573" s="126">
        <f t="shared" si="764"/>
        <v>0.196908</v>
      </c>
      <c r="L2573" s="174">
        <f>VLOOKUP(A2573,'Step 1'!$A:$E,4,FALSE)</f>
        <v>975274</v>
      </c>
      <c r="M2573" s="47">
        <f t="shared" si="765"/>
        <v>192039</v>
      </c>
      <c r="N2573" s="177">
        <f>SUMIFS('Support - Transition'!G:G,'Support - Transition'!J:J,'Step 2'!D2573,'Support - Transition'!E:E,"2009 WELFARE ALLOCATION FACTOR")</f>
        <v>0</v>
      </c>
      <c r="O2573" s="152">
        <f t="shared" si="770"/>
        <v>0</v>
      </c>
      <c r="P2573" s="126">
        <f>IF(E2573="Y",0,SUMIFS('Support - Transition'!G:G,'Support - Transition'!J:J,'Step 2'!D2573,'Support - Transition'!E:E,"2009 SCHOOL ALLOCATION FACTOR"))</f>
        <v>0</v>
      </c>
      <c r="Q2573" s="126">
        <f>IF(E2573="Y",VLOOKUP(D2573,'Support - Unit Adjustments'!F:G,2,FALSE),0)</f>
        <v>0</v>
      </c>
      <c r="R2573" s="155">
        <f t="shared" si="782"/>
        <v>0</v>
      </c>
      <c r="S2573" s="47">
        <f t="shared" si="781"/>
        <v>0</v>
      </c>
      <c r="T2573" s="151">
        <f t="shared" si="766"/>
        <v>192039</v>
      </c>
      <c r="U2573" s="151">
        <f t="shared" si="767"/>
        <v>0</v>
      </c>
      <c r="V2573" s="139">
        <f t="shared" si="768"/>
        <v>0</v>
      </c>
      <c r="W2573" s="152">
        <f t="shared" si="771"/>
        <v>192039</v>
      </c>
      <c r="X2573" s="127" t="str">
        <f t="shared" si="769"/>
        <v/>
      </c>
      <c r="Y2573" s="207">
        <f t="shared" si="772"/>
        <v>192039</v>
      </c>
      <c r="Z2573" s="139">
        <f t="shared" si="773"/>
        <v>192039</v>
      </c>
      <c r="AA2573" s="139">
        <f t="shared" si="774"/>
        <v>0</v>
      </c>
      <c r="AC2573" s="47">
        <f t="shared" si="775"/>
        <v>96020</v>
      </c>
      <c r="AD2573" s="47">
        <f t="shared" si="776"/>
        <v>96020</v>
      </c>
      <c r="AE2573" s="47">
        <f t="shared" si="777"/>
        <v>0</v>
      </c>
      <c r="AG2573" s="47">
        <f t="shared" si="778"/>
        <v>96019</v>
      </c>
      <c r="AH2573" s="47">
        <f t="shared" si="779"/>
        <v>96019</v>
      </c>
      <c r="AI2573" s="208">
        <f t="shared" si="780"/>
        <v>0</v>
      </c>
    </row>
    <row r="2574" spans="1:35">
      <c r="A2574" t="s">
        <v>2173</v>
      </c>
      <c r="B2574" t="s">
        <v>3155</v>
      </c>
      <c r="C2574" t="s">
        <v>3098</v>
      </c>
      <c r="D2574" t="s">
        <v>6148</v>
      </c>
      <c r="F2574" t="s">
        <v>1821</v>
      </c>
      <c r="G2574" s="126">
        <f>SUMIFS('Support - Transition'!F:F,'Support - Transition'!B:B,'Step 2'!A2574,'Support - Transition'!C:C,'Step 2'!B2574,'Support - Transition'!D:D,'Step 2'!C2574,'Support - Transition'!E:E,"CIVIL")</f>
        <v>0</v>
      </c>
      <c r="H2574" s="126">
        <f>SUMIFS('Support - Transition'!F:F,'Support - Transition'!B:B,'Step 2'!A2574,'Support - Transition'!C:C,'Step 2'!B2574,'Support - Transition'!D:D,'Step 2'!C2574,'Support - Transition'!E:E,"FIRE")</f>
        <v>0</v>
      </c>
      <c r="I2574" s="126">
        <f>IF(B2574="0",SUMIFS('Support - Transition'!F:F,'Support - Transition'!J:J,'Step 2'!D2574,'Support - Transition'!E:E,"STATE UNIT"),SUMIFS('Support - Transition'!F:F,'Support - Transition'!J:J,'Step 2'!D2574))</f>
        <v>0</v>
      </c>
      <c r="J2574" s="126">
        <f>SUMIFS('Support - Unit Adjustments'!E:E,'Support - Unit Adjustments'!F:F,'Step 2'!D2574)</f>
        <v>0</v>
      </c>
      <c r="K2574" s="126">
        <f t="shared" si="764"/>
        <v>0</v>
      </c>
      <c r="L2574" s="174">
        <f>VLOOKUP(A2574,'Step 1'!$A:$E,4,FALSE)</f>
        <v>975274</v>
      </c>
      <c r="M2574" s="47">
        <f t="shared" si="765"/>
        <v>0</v>
      </c>
      <c r="N2574" s="177">
        <f>SUMIFS('Support - Transition'!G:G,'Support - Transition'!J:J,'Step 2'!D2574,'Support - Transition'!E:E,"2009 WELFARE ALLOCATION FACTOR")</f>
        <v>0</v>
      </c>
      <c r="O2574" s="152">
        <f t="shared" si="770"/>
        <v>0</v>
      </c>
      <c r="P2574" s="126">
        <f>IF(E2574="Y",0,SUMIFS('Support - Transition'!G:G,'Support - Transition'!J:J,'Step 2'!D2574,'Support - Transition'!E:E,"2009 SCHOOL ALLOCATION FACTOR"))</f>
        <v>0</v>
      </c>
      <c r="Q2574" s="126">
        <f>IF(E2574="Y",VLOOKUP(D2574,'Support - Unit Adjustments'!F:G,2,FALSE),0)</f>
        <v>0</v>
      </c>
      <c r="R2574" s="155">
        <f t="shared" si="782"/>
        <v>0</v>
      </c>
      <c r="S2574" s="47">
        <f t="shared" si="781"/>
        <v>0</v>
      </c>
      <c r="T2574" s="151">
        <f t="shared" si="766"/>
        <v>0</v>
      </c>
      <c r="U2574" s="151">
        <f t="shared" si="767"/>
        <v>0</v>
      </c>
      <c r="V2574" s="139">
        <f t="shared" si="768"/>
        <v>0</v>
      </c>
      <c r="W2574" s="152">
        <f t="shared" si="771"/>
        <v>0</v>
      </c>
      <c r="X2574" s="127" t="str">
        <f t="shared" si="769"/>
        <v/>
      </c>
      <c r="Y2574" s="207">
        <f t="shared" si="772"/>
        <v>0</v>
      </c>
      <c r="Z2574" s="139">
        <f t="shared" si="773"/>
        <v>0</v>
      </c>
      <c r="AA2574" s="139">
        <f t="shared" si="774"/>
        <v>0</v>
      </c>
      <c r="AC2574" s="47">
        <f t="shared" si="775"/>
        <v>0</v>
      </c>
      <c r="AD2574" s="47">
        <f t="shared" si="776"/>
        <v>0</v>
      </c>
      <c r="AE2574" s="47">
        <f t="shared" si="777"/>
        <v>0</v>
      </c>
      <c r="AG2574" s="47">
        <f t="shared" si="778"/>
        <v>0</v>
      </c>
      <c r="AH2574" s="47">
        <f t="shared" si="779"/>
        <v>0</v>
      </c>
      <c r="AI2574" s="208">
        <f t="shared" si="780"/>
        <v>0</v>
      </c>
    </row>
    <row r="2575" spans="1:35">
      <c r="A2575" t="s">
        <v>2173</v>
      </c>
      <c r="B2575" t="s">
        <v>3155</v>
      </c>
      <c r="C2575" t="s">
        <v>3099</v>
      </c>
      <c r="D2575" t="s">
        <v>6149</v>
      </c>
      <c r="F2575" t="s">
        <v>1822</v>
      </c>
      <c r="G2575" s="126">
        <f>SUMIFS('Support - Transition'!F:F,'Support - Transition'!B:B,'Step 2'!A2575,'Support - Transition'!C:C,'Step 2'!B2575,'Support - Transition'!D:D,'Step 2'!C2575,'Support - Transition'!E:E,"CIVIL")</f>
        <v>0</v>
      </c>
      <c r="H2575" s="126">
        <f>SUMIFS('Support - Transition'!F:F,'Support - Transition'!B:B,'Step 2'!A2575,'Support - Transition'!C:C,'Step 2'!B2575,'Support - Transition'!D:D,'Step 2'!C2575,'Support - Transition'!E:E,"FIRE")</f>
        <v>0</v>
      </c>
      <c r="I2575" s="126">
        <f>IF(B2575="0",SUMIFS('Support - Transition'!F:F,'Support - Transition'!J:J,'Step 2'!D2575,'Support - Transition'!E:E,"STATE UNIT"),SUMIFS('Support - Transition'!F:F,'Support - Transition'!J:J,'Step 2'!D2575))</f>
        <v>3.1050000000000001E-3</v>
      </c>
      <c r="J2575" s="126">
        <f>SUMIFS('Support - Unit Adjustments'!E:E,'Support - Unit Adjustments'!F:F,'Step 2'!D2575)</f>
        <v>0</v>
      </c>
      <c r="K2575" s="126">
        <f t="shared" si="764"/>
        <v>3.1050000000000001E-3</v>
      </c>
      <c r="L2575" s="174">
        <f>VLOOKUP(A2575,'Step 1'!$A:$E,4,FALSE)</f>
        <v>975274</v>
      </c>
      <c r="M2575" s="47">
        <f t="shared" si="765"/>
        <v>3028</v>
      </c>
      <c r="N2575" s="177">
        <f>SUMIFS('Support - Transition'!G:G,'Support - Transition'!J:J,'Step 2'!D2575,'Support - Transition'!E:E,"2009 WELFARE ALLOCATION FACTOR")</f>
        <v>0</v>
      </c>
      <c r="O2575" s="152">
        <f t="shared" si="770"/>
        <v>0</v>
      </c>
      <c r="P2575" s="126">
        <f>IF(E2575="Y",0,SUMIFS('Support - Transition'!G:G,'Support - Transition'!J:J,'Step 2'!D2575,'Support - Transition'!E:E,"2009 SCHOOL ALLOCATION FACTOR"))</f>
        <v>0</v>
      </c>
      <c r="Q2575" s="126">
        <f>IF(E2575="Y",VLOOKUP(D2575,'Support - Unit Adjustments'!F:G,2,FALSE),0)</f>
        <v>0</v>
      </c>
      <c r="R2575" s="155">
        <f t="shared" si="782"/>
        <v>0</v>
      </c>
      <c r="S2575" s="47">
        <f t="shared" si="781"/>
        <v>0</v>
      </c>
      <c r="T2575" s="151">
        <f t="shared" si="766"/>
        <v>3028</v>
      </c>
      <c r="U2575" s="151">
        <f t="shared" si="767"/>
        <v>0</v>
      </c>
      <c r="V2575" s="139">
        <f t="shared" si="768"/>
        <v>0</v>
      </c>
      <c r="W2575" s="152">
        <f t="shared" si="771"/>
        <v>3028</v>
      </c>
      <c r="X2575" s="127" t="str">
        <f t="shared" si="769"/>
        <v/>
      </c>
      <c r="Y2575" s="207">
        <f t="shared" si="772"/>
        <v>3028</v>
      </c>
      <c r="Z2575" s="139">
        <f t="shared" si="773"/>
        <v>3028</v>
      </c>
      <c r="AA2575" s="139">
        <f t="shared" si="774"/>
        <v>0</v>
      </c>
      <c r="AC2575" s="47">
        <f t="shared" si="775"/>
        <v>1514</v>
      </c>
      <c r="AD2575" s="47">
        <f t="shared" si="776"/>
        <v>1514</v>
      </c>
      <c r="AE2575" s="47">
        <f t="shared" si="777"/>
        <v>0</v>
      </c>
      <c r="AG2575" s="47">
        <f t="shared" si="778"/>
        <v>1514</v>
      </c>
      <c r="AH2575" s="47">
        <f t="shared" si="779"/>
        <v>1514</v>
      </c>
      <c r="AI2575" s="208">
        <f t="shared" si="780"/>
        <v>0</v>
      </c>
    </row>
    <row r="2576" spans="1:35">
      <c r="A2576" t="s">
        <v>2173</v>
      </c>
      <c r="B2576" t="s">
        <v>3155</v>
      </c>
      <c r="C2576" t="s">
        <v>3100</v>
      </c>
      <c r="D2576" t="s">
        <v>6150</v>
      </c>
      <c r="F2576" t="s">
        <v>1823</v>
      </c>
      <c r="G2576" s="126">
        <f>SUMIFS('Support - Transition'!F:F,'Support - Transition'!B:B,'Step 2'!A2576,'Support - Transition'!C:C,'Step 2'!B2576,'Support - Transition'!D:D,'Step 2'!C2576,'Support - Transition'!E:E,"CIVIL")</f>
        <v>0</v>
      </c>
      <c r="H2576" s="126">
        <f>SUMIFS('Support - Transition'!F:F,'Support - Transition'!B:B,'Step 2'!A2576,'Support - Transition'!C:C,'Step 2'!B2576,'Support - Transition'!D:D,'Step 2'!C2576,'Support - Transition'!E:E,"FIRE")</f>
        <v>0</v>
      </c>
      <c r="I2576" s="126">
        <f>IF(B2576="0",SUMIFS('Support - Transition'!F:F,'Support - Transition'!J:J,'Step 2'!D2576,'Support - Transition'!E:E,"STATE UNIT"),SUMIFS('Support - Transition'!F:F,'Support - Transition'!J:J,'Step 2'!D2576))</f>
        <v>4.4079999999999996E-3</v>
      </c>
      <c r="J2576" s="126">
        <f>SUMIFS('Support - Unit Adjustments'!E:E,'Support - Unit Adjustments'!F:F,'Step 2'!D2576)</f>
        <v>0</v>
      </c>
      <c r="K2576" s="126">
        <f t="shared" si="764"/>
        <v>4.4079999999999996E-3</v>
      </c>
      <c r="L2576" s="174">
        <f>VLOOKUP(A2576,'Step 1'!$A:$E,4,FALSE)</f>
        <v>975274</v>
      </c>
      <c r="M2576" s="47">
        <f t="shared" si="765"/>
        <v>4299</v>
      </c>
      <c r="N2576" s="177">
        <f>SUMIFS('Support - Transition'!G:G,'Support - Transition'!J:J,'Step 2'!D2576,'Support - Transition'!E:E,"2009 WELFARE ALLOCATION FACTOR")</f>
        <v>0</v>
      </c>
      <c r="O2576" s="152">
        <f t="shared" si="770"/>
        <v>0</v>
      </c>
      <c r="P2576" s="126">
        <f>IF(E2576="Y",0,SUMIFS('Support - Transition'!G:G,'Support - Transition'!J:J,'Step 2'!D2576,'Support - Transition'!E:E,"2009 SCHOOL ALLOCATION FACTOR"))</f>
        <v>0</v>
      </c>
      <c r="Q2576" s="126">
        <f>IF(E2576="Y",VLOOKUP(D2576,'Support - Unit Adjustments'!F:G,2,FALSE),0)</f>
        <v>0</v>
      </c>
      <c r="R2576" s="155">
        <f t="shared" si="782"/>
        <v>0</v>
      </c>
      <c r="S2576" s="47">
        <f t="shared" si="781"/>
        <v>0</v>
      </c>
      <c r="T2576" s="151">
        <f t="shared" si="766"/>
        <v>4299</v>
      </c>
      <c r="U2576" s="151">
        <f t="shared" si="767"/>
        <v>0</v>
      </c>
      <c r="V2576" s="139">
        <f t="shared" si="768"/>
        <v>0</v>
      </c>
      <c r="W2576" s="152">
        <f t="shared" si="771"/>
        <v>4299</v>
      </c>
      <c r="X2576" s="127" t="str">
        <f t="shared" si="769"/>
        <v/>
      </c>
      <c r="Y2576" s="207">
        <f t="shared" si="772"/>
        <v>4299</v>
      </c>
      <c r="Z2576" s="139">
        <f t="shared" si="773"/>
        <v>4299</v>
      </c>
      <c r="AA2576" s="139">
        <f t="shared" si="774"/>
        <v>0</v>
      </c>
      <c r="AC2576" s="47">
        <f t="shared" si="775"/>
        <v>2150</v>
      </c>
      <c r="AD2576" s="47">
        <f t="shared" si="776"/>
        <v>2150</v>
      </c>
      <c r="AE2576" s="47">
        <f t="shared" si="777"/>
        <v>0</v>
      </c>
      <c r="AG2576" s="47">
        <f t="shared" si="778"/>
        <v>2149</v>
      </c>
      <c r="AH2576" s="47">
        <f t="shared" si="779"/>
        <v>2149</v>
      </c>
      <c r="AI2576" s="208">
        <f t="shared" si="780"/>
        <v>0</v>
      </c>
    </row>
    <row r="2577" spans="1:35">
      <c r="A2577" t="s">
        <v>2173</v>
      </c>
      <c r="B2577" t="s">
        <v>3155</v>
      </c>
      <c r="C2577" t="s">
        <v>3101</v>
      </c>
      <c r="D2577" t="s">
        <v>6151</v>
      </c>
      <c r="F2577" t="s">
        <v>1824</v>
      </c>
      <c r="G2577" s="126">
        <f>SUMIFS('Support - Transition'!F:F,'Support - Transition'!B:B,'Step 2'!A2577,'Support - Transition'!C:C,'Step 2'!B2577,'Support - Transition'!D:D,'Step 2'!C2577,'Support - Transition'!E:E,"CIVIL")</f>
        <v>0</v>
      </c>
      <c r="H2577" s="126">
        <f>SUMIFS('Support - Transition'!F:F,'Support - Transition'!B:B,'Step 2'!A2577,'Support - Transition'!C:C,'Step 2'!B2577,'Support - Transition'!D:D,'Step 2'!C2577,'Support - Transition'!E:E,"FIRE")</f>
        <v>0</v>
      </c>
      <c r="I2577" s="126">
        <f>IF(B2577="0",SUMIFS('Support - Transition'!F:F,'Support - Transition'!J:J,'Step 2'!D2577,'Support - Transition'!E:E,"STATE UNIT"),SUMIFS('Support - Transition'!F:F,'Support - Transition'!J:J,'Step 2'!D2577))</f>
        <v>3.6699999999999998E-4</v>
      </c>
      <c r="J2577" s="126">
        <f>SUMIFS('Support - Unit Adjustments'!E:E,'Support - Unit Adjustments'!F:F,'Step 2'!D2577)</f>
        <v>0</v>
      </c>
      <c r="K2577" s="126">
        <f t="shared" si="764"/>
        <v>3.6699999999999998E-4</v>
      </c>
      <c r="L2577" s="174">
        <f>VLOOKUP(A2577,'Step 1'!$A:$E,4,FALSE)</f>
        <v>975274</v>
      </c>
      <c r="M2577" s="47">
        <f t="shared" si="765"/>
        <v>358</v>
      </c>
      <c r="N2577" s="177">
        <f>SUMIFS('Support - Transition'!G:G,'Support - Transition'!J:J,'Step 2'!D2577,'Support - Transition'!E:E,"2009 WELFARE ALLOCATION FACTOR")</f>
        <v>0</v>
      </c>
      <c r="O2577" s="152">
        <f t="shared" si="770"/>
        <v>0</v>
      </c>
      <c r="P2577" s="126">
        <f>IF(E2577="Y",0,SUMIFS('Support - Transition'!G:G,'Support - Transition'!J:J,'Step 2'!D2577,'Support - Transition'!E:E,"2009 SCHOOL ALLOCATION FACTOR"))</f>
        <v>0</v>
      </c>
      <c r="Q2577" s="126">
        <f>IF(E2577="Y",VLOOKUP(D2577,'Support - Unit Adjustments'!F:G,2,FALSE),0)</f>
        <v>0</v>
      </c>
      <c r="R2577" s="155">
        <f t="shared" si="782"/>
        <v>0</v>
      </c>
      <c r="S2577" s="47">
        <f t="shared" si="781"/>
        <v>0</v>
      </c>
      <c r="T2577" s="151">
        <f t="shared" si="766"/>
        <v>358</v>
      </c>
      <c r="U2577" s="151">
        <f t="shared" si="767"/>
        <v>0</v>
      </c>
      <c r="V2577" s="139">
        <f t="shared" si="768"/>
        <v>0</v>
      </c>
      <c r="W2577" s="152">
        <f t="shared" si="771"/>
        <v>358</v>
      </c>
      <c r="X2577" s="127" t="str">
        <f t="shared" si="769"/>
        <v/>
      </c>
      <c r="Y2577" s="207">
        <f t="shared" si="772"/>
        <v>358</v>
      </c>
      <c r="Z2577" s="139">
        <f t="shared" si="773"/>
        <v>358</v>
      </c>
      <c r="AA2577" s="139">
        <f t="shared" si="774"/>
        <v>0</v>
      </c>
      <c r="AC2577" s="47">
        <f t="shared" si="775"/>
        <v>179</v>
      </c>
      <c r="AD2577" s="47">
        <f t="shared" si="776"/>
        <v>179</v>
      </c>
      <c r="AE2577" s="47">
        <f t="shared" si="777"/>
        <v>0</v>
      </c>
      <c r="AG2577" s="47">
        <f t="shared" si="778"/>
        <v>179</v>
      </c>
      <c r="AH2577" s="47">
        <f t="shared" si="779"/>
        <v>179</v>
      </c>
      <c r="AI2577" s="208">
        <f t="shared" si="780"/>
        <v>0</v>
      </c>
    </row>
    <row r="2578" spans="1:35">
      <c r="A2578" t="s">
        <v>2173</v>
      </c>
      <c r="B2578" t="s">
        <v>3155</v>
      </c>
      <c r="C2578" t="s">
        <v>3102</v>
      </c>
      <c r="D2578" t="s">
        <v>6152</v>
      </c>
      <c r="F2578" t="s">
        <v>1825</v>
      </c>
      <c r="G2578" s="126">
        <f>SUMIFS('Support - Transition'!F:F,'Support - Transition'!B:B,'Step 2'!A2578,'Support - Transition'!C:C,'Step 2'!B2578,'Support - Transition'!D:D,'Step 2'!C2578,'Support - Transition'!E:E,"CIVIL")</f>
        <v>0</v>
      </c>
      <c r="H2578" s="126">
        <f>SUMIFS('Support - Transition'!F:F,'Support - Transition'!B:B,'Step 2'!A2578,'Support - Transition'!C:C,'Step 2'!B2578,'Support - Transition'!D:D,'Step 2'!C2578,'Support - Transition'!E:E,"FIRE")</f>
        <v>0</v>
      </c>
      <c r="I2578" s="126">
        <f>IF(B2578="0",SUMIFS('Support - Transition'!F:F,'Support - Transition'!J:J,'Step 2'!D2578,'Support - Transition'!E:E,"STATE UNIT"),SUMIFS('Support - Transition'!F:F,'Support - Transition'!J:J,'Step 2'!D2578))</f>
        <v>3.7599999999999998E-4</v>
      </c>
      <c r="J2578" s="126">
        <f>SUMIFS('Support - Unit Adjustments'!E:E,'Support - Unit Adjustments'!F:F,'Step 2'!D2578)</f>
        <v>0</v>
      </c>
      <c r="K2578" s="126">
        <f t="shared" si="764"/>
        <v>3.7599999999999998E-4</v>
      </c>
      <c r="L2578" s="174">
        <f>VLOOKUP(A2578,'Step 1'!$A:$E,4,FALSE)</f>
        <v>975274</v>
      </c>
      <c r="M2578" s="47">
        <f t="shared" si="765"/>
        <v>367</v>
      </c>
      <c r="N2578" s="177">
        <f>SUMIFS('Support - Transition'!G:G,'Support - Transition'!J:J,'Step 2'!D2578,'Support - Transition'!E:E,"2009 WELFARE ALLOCATION FACTOR")</f>
        <v>0</v>
      </c>
      <c r="O2578" s="152">
        <f t="shared" si="770"/>
        <v>0</v>
      </c>
      <c r="P2578" s="126">
        <f>IF(E2578="Y",0,SUMIFS('Support - Transition'!G:G,'Support - Transition'!J:J,'Step 2'!D2578,'Support - Transition'!E:E,"2009 SCHOOL ALLOCATION FACTOR"))</f>
        <v>0</v>
      </c>
      <c r="Q2578" s="126">
        <f>IF(E2578="Y",VLOOKUP(D2578,'Support - Unit Adjustments'!F:G,2,FALSE),0)</f>
        <v>0</v>
      </c>
      <c r="R2578" s="155">
        <f t="shared" si="782"/>
        <v>0</v>
      </c>
      <c r="S2578" s="47">
        <f t="shared" si="781"/>
        <v>0</v>
      </c>
      <c r="T2578" s="151">
        <f t="shared" si="766"/>
        <v>367</v>
      </c>
      <c r="U2578" s="151">
        <f t="shared" si="767"/>
        <v>0</v>
      </c>
      <c r="V2578" s="139">
        <f t="shared" si="768"/>
        <v>0</v>
      </c>
      <c r="W2578" s="152">
        <f t="shared" si="771"/>
        <v>367</v>
      </c>
      <c r="X2578" s="127" t="str">
        <f t="shared" si="769"/>
        <v/>
      </c>
      <c r="Y2578" s="207">
        <f t="shared" si="772"/>
        <v>367</v>
      </c>
      <c r="Z2578" s="139">
        <f t="shared" si="773"/>
        <v>367</v>
      </c>
      <c r="AA2578" s="139">
        <f t="shared" si="774"/>
        <v>0</v>
      </c>
      <c r="AC2578" s="47">
        <f t="shared" si="775"/>
        <v>184</v>
      </c>
      <c r="AD2578" s="47">
        <f t="shared" si="776"/>
        <v>184</v>
      </c>
      <c r="AE2578" s="47">
        <f t="shared" si="777"/>
        <v>0</v>
      </c>
      <c r="AG2578" s="47">
        <f t="shared" si="778"/>
        <v>183</v>
      </c>
      <c r="AH2578" s="47">
        <f t="shared" si="779"/>
        <v>183</v>
      </c>
      <c r="AI2578" s="208">
        <f t="shared" si="780"/>
        <v>0</v>
      </c>
    </row>
    <row r="2579" spans="1:35">
      <c r="A2579" t="s">
        <v>2173</v>
      </c>
      <c r="B2579" t="s">
        <v>3155</v>
      </c>
      <c r="C2579" t="s">
        <v>3103</v>
      </c>
      <c r="D2579" t="s">
        <v>6153</v>
      </c>
      <c r="F2579" t="s">
        <v>1826</v>
      </c>
      <c r="G2579" s="126">
        <f>SUMIFS('Support - Transition'!F:F,'Support - Transition'!B:B,'Step 2'!A2579,'Support - Transition'!C:C,'Step 2'!B2579,'Support - Transition'!D:D,'Step 2'!C2579,'Support - Transition'!E:E,"CIVIL")</f>
        <v>0</v>
      </c>
      <c r="H2579" s="126">
        <f>SUMIFS('Support - Transition'!F:F,'Support - Transition'!B:B,'Step 2'!A2579,'Support - Transition'!C:C,'Step 2'!B2579,'Support - Transition'!D:D,'Step 2'!C2579,'Support - Transition'!E:E,"FIRE")</f>
        <v>0</v>
      </c>
      <c r="I2579" s="126">
        <f>IF(B2579="0",SUMIFS('Support - Transition'!F:F,'Support - Transition'!J:J,'Step 2'!D2579,'Support - Transition'!E:E,"STATE UNIT"),SUMIFS('Support - Transition'!F:F,'Support - Transition'!J:J,'Step 2'!D2579))</f>
        <v>3.1999999999999999E-5</v>
      </c>
      <c r="J2579" s="126">
        <f>SUMIFS('Support - Unit Adjustments'!E:E,'Support - Unit Adjustments'!F:F,'Step 2'!D2579)</f>
        <v>0</v>
      </c>
      <c r="K2579" s="126">
        <f t="shared" si="764"/>
        <v>3.1999999999999999E-5</v>
      </c>
      <c r="L2579" s="174">
        <f>VLOOKUP(A2579,'Step 1'!$A:$E,4,FALSE)</f>
        <v>975274</v>
      </c>
      <c r="M2579" s="47">
        <f t="shared" si="765"/>
        <v>31</v>
      </c>
      <c r="N2579" s="177">
        <f>SUMIFS('Support - Transition'!G:G,'Support - Transition'!J:J,'Step 2'!D2579,'Support - Transition'!E:E,"2009 WELFARE ALLOCATION FACTOR")</f>
        <v>0</v>
      </c>
      <c r="O2579" s="152">
        <f t="shared" si="770"/>
        <v>0</v>
      </c>
      <c r="P2579" s="126">
        <f>IF(E2579="Y",0,SUMIFS('Support - Transition'!G:G,'Support - Transition'!J:J,'Step 2'!D2579,'Support - Transition'!E:E,"2009 SCHOOL ALLOCATION FACTOR"))</f>
        <v>0</v>
      </c>
      <c r="Q2579" s="126">
        <f>IF(E2579="Y",VLOOKUP(D2579,'Support - Unit Adjustments'!F:G,2,FALSE),0)</f>
        <v>0</v>
      </c>
      <c r="R2579" s="155">
        <f t="shared" si="782"/>
        <v>0</v>
      </c>
      <c r="S2579" s="47">
        <f t="shared" si="781"/>
        <v>0</v>
      </c>
      <c r="T2579" s="151">
        <f t="shared" si="766"/>
        <v>31</v>
      </c>
      <c r="U2579" s="151">
        <f t="shared" si="767"/>
        <v>0</v>
      </c>
      <c r="V2579" s="139">
        <f t="shared" si="768"/>
        <v>0</v>
      </c>
      <c r="W2579" s="152">
        <f t="shared" si="771"/>
        <v>31</v>
      </c>
      <c r="X2579" s="127" t="str">
        <f t="shared" si="769"/>
        <v/>
      </c>
      <c r="Y2579" s="207">
        <f t="shared" si="772"/>
        <v>31</v>
      </c>
      <c r="Z2579" s="139">
        <f t="shared" si="773"/>
        <v>31</v>
      </c>
      <c r="AA2579" s="139">
        <f t="shared" si="774"/>
        <v>0</v>
      </c>
      <c r="AC2579" s="47">
        <f t="shared" si="775"/>
        <v>16</v>
      </c>
      <c r="AD2579" s="47">
        <f t="shared" si="776"/>
        <v>16</v>
      </c>
      <c r="AE2579" s="47">
        <f t="shared" si="777"/>
        <v>0</v>
      </c>
      <c r="AG2579" s="47">
        <f t="shared" si="778"/>
        <v>15</v>
      </c>
      <c r="AH2579" s="47">
        <f t="shared" si="779"/>
        <v>15</v>
      </c>
      <c r="AI2579" s="208">
        <f t="shared" si="780"/>
        <v>0</v>
      </c>
    </row>
    <row r="2580" spans="1:35">
      <c r="A2580" t="s">
        <v>2173</v>
      </c>
      <c r="B2580" t="s">
        <v>3155</v>
      </c>
      <c r="C2580" t="s">
        <v>3104</v>
      </c>
      <c r="D2580" t="s">
        <v>6154</v>
      </c>
      <c r="F2580" t="s">
        <v>1827</v>
      </c>
      <c r="G2580" s="126">
        <f>SUMIFS('Support - Transition'!F:F,'Support - Transition'!B:B,'Step 2'!A2580,'Support - Transition'!C:C,'Step 2'!B2580,'Support - Transition'!D:D,'Step 2'!C2580,'Support - Transition'!E:E,"CIVIL")</f>
        <v>0</v>
      </c>
      <c r="H2580" s="126">
        <f>SUMIFS('Support - Transition'!F:F,'Support - Transition'!B:B,'Step 2'!A2580,'Support - Transition'!C:C,'Step 2'!B2580,'Support - Transition'!D:D,'Step 2'!C2580,'Support - Transition'!E:E,"FIRE")</f>
        <v>0</v>
      </c>
      <c r="I2580" s="126">
        <f>IF(B2580="0",SUMIFS('Support - Transition'!F:F,'Support - Transition'!J:J,'Step 2'!D2580,'Support - Transition'!E:E,"STATE UNIT"),SUMIFS('Support - Transition'!F:F,'Support - Transition'!J:J,'Step 2'!D2580))</f>
        <v>0</v>
      </c>
      <c r="J2580" s="126">
        <f>SUMIFS('Support - Unit Adjustments'!E:E,'Support - Unit Adjustments'!F:F,'Step 2'!D2580)</f>
        <v>0</v>
      </c>
      <c r="K2580" s="126">
        <f t="shared" si="764"/>
        <v>0</v>
      </c>
      <c r="L2580" s="174">
        <f>VLOOKUP(A2580,'Step 1'!$A:$E,4,FALSE)</f>
        <v>975274</v>
      </c>
      <c r="M2580" s="47">
        <f t="shared" si="765"/>
        <v>0</v>
      </c>
      <c r="N2580" s="177">
        <f>SUMIFS('Support - Transition'!G:G,'Support - Transition'!J:J,'Step 2'!D2580,'Support - Transition'!E:E,"2009 WELFARE ALLOCATION FACTOR")</f>
        <v>0</v>
      </c>
      <c r="O2580" s="152">
        <f t="shared" si="770"/>
        <v>0</v>
      </c>
      <c r="P2580" s="126">
        <f>IF(E2580="Y",0,SUMIFS('Support - Transition'!G:G,'Support - Transition'!J:J,'Step 2'!D2580,'Support - Transition'!E:E,"2009 SCHOOL ALLOCATION FACTOR"))</f>
        <v>0</v>
      </c>
      <c r="Q2580" s="126">
        <f>IF(E2580="Y",VLOOKUP(D2580,'Support - Unit Adjustments'!F:G,2,FALSE),0)</f>
        <v>0</v>
      </c>
      <c r="R2580" s="155">
        <f t="shared" si="782"/>
        <v>0</v>
      </c>
      <c r="S2580" s="47">
        <f t="shared" si="781"/>
        <v>0</v>
      </c>
      <c r="T2580" s="151">
        <f t="shared" si="766"/>
        <v>0</v>
      </c>
      <c r="U2580" s="151">
        <f t="shared" si="767"/>
        <v>0</v>
      </c>
      <c r="V2580" s="139">
        <f t="shared" si="768"/>
        <v>0</v>
      </c>
      <c r="W2580" s="152">
        <f t="shared" si="771"/>
        <v>0</v>
      </c>
      <c r="X2580" s="127" t="str">
        <f t="shared" si="769"/>
        <v/>
      </c>
      <c r="Y2580" s="207">
        <f t="shared" si="772"/>
        <v>0</v>
      </c>
      <c r="Z2580" s="139">
        <f t="shared" si="773"/>
        <v>0</v>
      </c>
      <c r="AA2580" s="139">
        <f t="shared" si="774"/>
        <v>0</v>
      </c>
      <c r="AC2580" s="47">
        <f t="shared" si="775"/>
        <v>0</v>
      </c>
      <c r="AD2580" s="47">
        <f t="shared" si="776"/>
        <v>0</v>
      </c>
      <c r="AE2580" s="47">
        <f t="shared" si="777"/>
        <v>0</v>
      </c>
      <c r="AG2580" s="47">
        <f t="shared" si="778"/>
        <v>0</v>
      </c>
      <c r="AH2580" s="47">
        <f t="shared" si="779"/>
        <v>0</v>
      </c>
      <c r="AI2580" s="208">
        <f t="shared" si="780"/>
        <v>0</v>
      </c>
    </row>
    <row r="2581" spans="1:35">
      <c r="A2581" t="s">
        <v>2173</v>
      </c>
      <c r="B2581" t="s">
        <v>3155</v>
      </c>
      <c r="C2581" t="s">
        <v>2473</v>
      </c>
      <c r="D2581" t="s">
        <v>6155</v>
      </c>
      <c r="F2581" t="s">
        <v>1828</v>
      </c>
      <c r="G2581" s="126">
        <f>SUMIFS('Support - Transition'!F:F,'Support - Transition'!B:B,'Step 2'!A2581,'Support - Transition'!C:C,'Step 2'!B2581,'Support - Transition'!D:D,'Step 2'!C2581,'Support - Transition'!E:E,"CIVIL")</f>
        <v>0</v>
      </c>
      <c r="H2581" s="126">
        <f>SUMIFS('Support - Transition'!F:F,'Support - Transition'!B:B,'Step 2'!A2581,'Support - Transition'!C:C,'Step 2'!B2581,'Support - Transition'!D:D,'Step 2'!C2581,'Support - Transition'!E:E,"FIRE")</f>
        <v>0</v>
      </c>
      <c r="I2581" s="126">
        <f>IF(B2581="0",SUMIFS('Support - Transition'!F:F,'Support - Transition'!J:J,'Step 2'!D2581,'Support - Transition'!E:E,"STATE UNIT"),SUMIFS('Support - Transition'!F:F,'Support - Transition'!J:J,'Step 2'!D2581))</f>
        <v>0</v>
      </c>
      <c r="J2581" s="126">
        <f>SUMIFS('Support - Unit Adjustments'!E:E,'Support - Unit Adjustments'!F:F,'Step 2'!D2581)</f>
        <v>0</v>
      </c>
      <c r="K2581" s="126">
        <f t="shared" si="764"/>
        <v>0</v>
      </c>
      <c r="L2581" s="174">
        <f>VLOOKUP(A2581,'Step 1'!$A:$E,4,FALSE)</f>
        <v>975274</v>
      </c>
      <c r="M2581" s="47">
        <f t="shared" si="765"/>
        <v>0</v>
      </c>
      <c r="N2581" s="177">
        <f>SUMIFS('Support - Transition'!G:G,'Support - Transition'!J:J,'Step 2'!D2581,'Support - Transition'!E:E,"2009 WELFARE ALLOCATION FACTOR")</f>
        <v>0</v>
      </c>
      <c r="O2581" s="152">
        <f t="shared" si="770"/>
        <v>0</v>
      </c>
      <c r="P2581" s="126">
        <f>IF(E2581="Y",0,SUMIFS('Support - Transition'!G:G,'Support - Transition'!J:J,'Step 2'!D2581,'Support - Transition'!E:E,"2009 SCHOOL ALLOCATION FACTOR"))</f>
        <v>0</v>
      </c>
      <c r="Q2581" s="126">
        <f>IF(E2581="Y",VLOOKUP(D2581,'Support - Unit Adjustments'!F:G,2,FALSE),0)</f>
        <v>0</v>
      </c>
      <c r="R2581" s="155">
        <f t="shared" si="782"/>
        <v>0</v>
      </c>
      <c r="S2581" s="47">
        <f t="shared" si="781"/>
        <v>0</v>
      </c>
      <c r="T2581" s="151">
        <f t="shared" si="766"/>
        <v>0</v>
      </c>
      <c r="U2581" s="151">
        <f t="shared" si="767"/>
        <v>0</v>
      </c>
      <c r="V2581" s="139">
        <f t="shared" si="768"/>
        <v>0</v>
      </c>
      <c r="W2581" s="152">
        <f t="shared" si="771"/>
        <v>0</v>
      </c>
      <c r="X2581" s="127" t="str">
        <f t="shared" si="769"/>
        <v/>
      </c>
      <c r="Y2581" s="207">
        <f t="shared" si="772"/>
        <v>0</v>
      </c>
      <c r="Z2581" s="139">
        <f t="shared" si="773"/>
        <v>0</v>
      </c>
      <c r="AA2581" s="139">
        <f t="shared" si="774"/>
        <v>0</v>
      </c>
      <c r="AC2581" s="47">
        <f t="shared" si="775"/>
        <v>0</v>
      </c>
      <c r="AD2581" s="47">
        <f t="shared" si="776"/>
        <v>0</v>
      </c>
      <c r="AE2581" s="47">
        <f t="shared" si="777"/>
        <v>0</v>
      </c>
      <c r="AG2581" s="47">
        <f t="shared" si="778"/>
        <v>0</v>
      </c>
      <c r="AH2581" s="47">
        <f t="shared" si="779"/>
        <v>0</v>
      </c>
      <c r="AI2581" s="208">
        <f t="shared" si="780"/>
        <v>0</v>
      </c>
    </row>
    <row r="2582" spans="1:35">
      <c r="A2582" t="s">
        <v>2173</v>
      </c>
      <c r="B2582" t="s">
        <v>3155</v>
      </c>
      <c r="C2582" t="s">
        <v>3105</v>
      </c>
      <c r="D2582" t="s">
        <v>6156</v>
      </c>
      <c r="F2582" t="s">
        <v>1829</v>
      </c>
      <c r="G2582" s="126">
        <f>SUMIFS('Support - Transition'!F:F,'Support - Transition'!B:B,'Step 2'!A2582,'Support - Transition'!C:C,'Step 2'!B2582,'Support - Transition'!D:D,'Step 2'!C2582,'Support - Transition'!E:E,"CIVIL")</f>
        <v>0</v>
      </c>
      <c r="H2582" s="126">
        <f>SUMIFS('Support - Transition'!F:F,'Support - Transition'!B:B,'Step 2'!A2582,'Support - Transition'!C:C,'Step 2'!B2582,'Support - Transition'!D:D,'Step 2'!C2582,'Support - Transition'!E:E,"FIRE")</f>
        <v>0</v>
      </c>
      <c r="I2582" s="126">
        <f>IF(B2582="0",SUMIFS('Support - Transition'!F:F,'Support - Transition'!J:J,'Step 2'!D2582,'Support - Transition'!E:E,"STATE UNIT"),SUMIFS('Support - Transition'!F:F,'Support - Transition'!J:J,'Step 2'!D2582))</f>
        <v>1.524E-3</v>
      </c>
      <c r="J2582" s="126">
        <f>SUMIFS('Support - Unit Adjustments'!E:E,'Support - Unit Adjustments'!F:F,'Step 2'!D2582)</f>
        <v>0</v>
      </c>
      <c r="K2582" s="126">
        <f t="shared" si="764"/>
        <v>1.524E-3</v>
      </c>
      <c r="L2582" s="174">
        <f>VLOOKUP(A2582,'Step 1'!$A:$E,4,FALSE)</f>
        <v>975274</v>
      </c>
      <c r="M2582" s="47">
        <f t="shared" si="765"/>
        <v>1486</v>
      </c>
      <c r="N2582" s="177">
        <f>SUMIFS('Support - Transition'!G:G,'Support - Transition'!J:J,'Step 2'!D2582,'Support - Transition'!E:E,"2009 WELFARE ALLOCATION FACTOR")</f>
        <v>0</v>
      </c>
      <c r="O2582" s="152">
        <f t="shared" si="770"/>
        <v>0</v>
      </c>
      <c r="P2582" s="126">
        <f>IF(E2582="Y",0,SUMIFS('Support - Transition'!G:G,'Support - Transition'!J:J,'Step 2'!D2582,'Support - Transition'!E:E,"2009 SCHOOL ALLOCATION FACTOR"))</f>
        <v>0</v>
      </c>
      <c r="Q2582" s="126">
        <f>IF(E2582="Y",VLOOKUP(D2582,'Support - Unit Adjustments'!F:G,2,FALSE),0)</f>
        <v>0</v>
      </c>
      <c r="R2582" s="155">
        <f t="shared" si="782"/>
        <v>0</v>
      </c>
      <c r="S2582" s="47">
        <f t="shared" si="781"/>
        <v>0</v>
      </c>
      <c r="T2582" s="151">
        <f t="shared" si="766"/>
        <v>1486</v>
      </c>
      <c r="U2582" s="151">
        <f t="shared" si="767"/>
        <v>0</v>
      </c>
      <c r="V2582" s="139">
        <f t="shared" si="768"/>
        <v>0</v>
      </c>
      <c r="W2582" s="152">
        <f t="shared" si="771"/>
        <v>1486</v>
      </c>
      <c r="X2582" s="127" t="str">
        <f t="shared" si="769"/>
        <v/>
      </c>
      <c r="Y2582" s="207">
        <f t="shared" si="772"/>
        <v>1486</v>
      </c>
      <c r="Z2582" s="139">
        <f t="shared" si="773"/>
        <v>1486</v>
      </c>
      <c r="AA2582" s="139">
        <f t="shared" si="774"/>
        <v>0</v>
      </c>
      <c r="AC2582" s="47">
        <f t="shared" si="775"/>
        <v>743</v>
      </c>
      <c r="AD2582" s="47">
        <f t="shared" si="776"/>
        <v>743</v>
      </c>
      <c r="AE2582" s="47">
        <f t="shared" si="777"/>
        <v>0</v>
      </c>
      <c r="AG2582" s="47">
        <f t="shared" si="778"/>
        <v>743</v>
      </c>
      <c r="AH2582" s="47">
        <f t="shared" si="779"/>
        <v>743</v>
      </c>
      <c r="AI2582" s="208">
        <f t="shared" si="780"/>
        <v>0</v>
      </c>
    </row>
    <row r="2583" spans="1:35">
      <c r="A2583" t="s">
        <v>2173</v>
      </c>
      <c r="B2583" t="s">
        <v>3155</v>
      </c>
      <c r="C2583" t="s">
        <v>3106</v>
      </c>
      <c r="D2583" t="s">
        <v>6157</v>
      </c>
      <c r="F2583" t="s">
        <v>1830</v>
      </c>
      <c r="G2583" s="126">
        <f>SUMIFS('Support - Transition'!F:F,'Support - Transition'!B:B,'Step 2'!A2583,'Support - Transition'!C:C,'Step 2'!B2583,'Support - Transition'!D:D,'Step 2'!C2583,'Support - Transition'!E:E,"CIVIL")</f>
        <v>0</v>
      </c>
      <c r="H2583" s="126">
        <f>SUMIFS('Support - Transition'!F:F,'Support - Transition'!B:B,'Step 2'!A2583,'Support - Transition'!C:C,'Step 2'!B2583,'Support - Transition'!D:D,'Step 2'!C2583,'Support - Transition'!E:E,"FIRE")</f>
        <v>0</v>
      </c>
      <c r="I2583" s="126">
        <f>IF(B2583="0",SUMIFS('Support - Transition'!F:F,'Support - Transition'!J:J,'Step 2'!D2583,'Support - Transition'!E:E,"STATE UNIT"),SUMIFS('Support - Transition'!F:F,'Support - Transition'!J:J,'Step 2'!D2583))</f>
        <v>3.4E-5</v>
      </c>
      <c r="J2583" s="126">
        <f>SUMIFS('Support - Unit Adjustments'!E:E,'Support - Unit Adjustments'!F:F,'Step 2'!D2583)</f>
        <v>0</v>
      </c>
      <c r="K2583" s="126">
        <f t="shared" si="764"/>
        <v>3.4E-5</v>
      </c>
      <c r="L2583" s="174">
        <f>VLOOKUP(A2583,'Step 1'!$A:$E,4,FALSE)</f>
        <v>975274</v>
      </c>
      <c r="M2583" s="47">
        <f t="shared" si="765"/>
        <v>33</v>
      </c>
      <c r="N2583" s="177">
        <f>SUMIFS('Support - Transition'!G:G,'Support - Transition'!J:J,'Step 2'!D2583,'Support - Transition'!E:E,"2009 WELFARE ALLOCATION FACTOR")</f>
        <v>0</v>
      </c>
      <c r="O2583" s="152">
        <f t="shared" si="770"/>
        <v>0</v>
      </c>
      <c r="P2583" s="126">
        <f>IF(E2583="Y",0,SUMIFS('Support - Transition'!G:G,'Support - Transition'!J:J,'Step 2'!D2583,'Support - Transition'!E:E,"2009 SCHOOL ALLOCATION FACTOR"))</f>
        <v>0</v>
      </c>
      <c r="Q2583" s="126">
        <f>IF(E2583="Y",VLOOKUP(D2583,'Support - Unit Adjustments'!F:G,2,FALSE),0)</f>
        <v>0</v>
      </c>
      <c r="R2583" s="155">
        <f t="shared" si="782"/>
        <v>0</v>
      </c>
      <c r="S2583" s="47">
        <f t="shared" si="781"/>
        <v>0</v>
      </c>
      <c r="T2583" s="151">
        <f t="shared" si="766"/>
        <v>33</v>
      </c>
      <c r="U2583" s="151">
        <f t="shared" si="767"/>
        <v>0</v>
      </c>
      <c r="V2583" s="139">
        <f t="shared" si="768"/>
        <v>0</v>
      </c>
      <c r="W2583" s="152">
        <f t="shared" si="771"/>
        <v>33</v>
      </c>
      <c r="X2583" s="127" t="str">
        <f t="shared" si="769"/>
        <v/>
      </c>
      <c r="Y2583" s="207">
        <f t="shared" si="772"/>
        <v>33</v>
      </c>
      <c r="Z2583" s="139">
        <f t="shared" si="773"/>
        <v>33</v>
      </c>
      <c r="AA2583" s="139">
        <f t="shared" si="774"/>
        <v>0</v>
      </c>
      <c r="AC2583" s="47">
        <f t="shared" si="775"/>
        <v>17</v>
      </c>
      <c r="AD2583" s="47">
        <f t="shared" si="776"/>
        <v>17</v>
      </c>
      <c r="AE2583" s="47">
        <f t="shared" si="777"/>
        <v>0</v>
      </c>
      <c r="AG2583" s="47">
        <f t="shared" si="778"/>
        <v>16</v>
      </c>
      <c r="AH2583" s="47">
        <f t="shared" si="779"/>
        <v>16</v>
      </c>
      <c r="AI2583" s="208">
        <f t="shared" si="780"/>
        <v>0</v>
      </c>
    </row>
    <row r="2584" spans="1:35">
      <c r="A2584" t="s">
        <v>2173</v>
      </c>
      <c r="B2584" t="s">
        <v>3155</v>
      </c>
      <c r="C2584" t="s">
        <v>2296</v>
      </c>
      <c r="D2584" t="s">
        <v>6158</v>
      </c>
      <c r="F2584" t="s">
        <v>1831</v>
      </c>
      <c r="G2584" s="126">
        <f>SUMIFS('Support - Transition'!F:F,'Support - Transition'!B:B,'Step 2'!A2584,'Support - Transition'!C:C,'Step 2'!B2584,'Support - Transition'!D:D,'Step 2'!C2584,'Support - Transition'!E:E,"CIVIL")</f>
        <v>0</v>
      </c>
      <c r="H2584" s="126">
        <f>SUMIFS('Support - Transition'!F:F,'Support - Transition'!B:B,'Step 2'!A2584,'Support - Transition'!C:C,'Step 2'!B2584,'Support - Transition'!D:D,'Step 2'!C2584,'Support - Transition'!E:E,"FIRE")</f>
        <v>0</v>
      </c>
      <c r="I2584" s="126">
        <f>IF(B2584="0",SUMIFS('Support - Transition'!F:F,'Support - Transition'!J:J,'Step 2'!D2584,'Support - Transition'!E:E,"STATE UNIT"),SUMIFS('Support - Transition'!F:F,'Support - Transition'!J:J,'Step 2'!D2584))</f>
        <v>5.0000000000000004E-6</v>
      </c>
      <c r="J2584" s="126">
        <f>SUMIFS('Support - Unit Adjustments'!E:E,'Support - Unit Adjustments'!F:F,'Step 2'!D2584)</f>
        <v>0</v>
      </c>
      <c r="K2584" s="126">
        <f t="shared" si="764"/>
        <v>5.0000000000000004E-6</v>
      </c>
      <c r="L2584" s="174">
        <f>VLOOKUP(A2584,'Step 1'!$A:$E,4,FALSE)</f>
        <v>975274</v>
      </c>
      <c r="M2584" s="47">
        <f t="shared" si="765"/>
        <v>5</v>
      </c>
      <c r="N2584" s="177">
        <f>SUMIFS('Support - Transition'!G:G,'Support - Transition'!J:J,'Step 2'!D2584,'Support - Transition'!E:E,"2009 WELFARE ALLOCATION FACTOR")</f>
        <v>0</v>
      </c>
      <c r="O2584" s="152">
        <f t="shared" si="770"/>
        <v>0</v>
      </c>
      <c r="P2584" s="126">
        <f>IF(E2584="Y",0,SUMIFS('Support - Transition'!G:G,'Support - Transition'!J:J,'Step 2'!D2584,'Support - Transition'!E:E,"2009 SCHOOL ALLOCATION FACTOR"))</f>
        <v>0</v>
      </c>
      <c r="Q2584" s="126">
        <f>IF(E2584="Y",VLOOKUP(D2584,'Support - Unit Adjustments'!F:G,2,FALSE),0)</f>
        <v>0</v>
      </c>
      <c r="R2584" s="155">
        <f t="shared" si="782"/>
        <v>0</v>
      </c>
      <c r="S2584" s="47">
        <f t="shared" si="781"/>
        <v>0</v>
      </c>
      <c r="T2584" s="151">
        <f t="shared" si="766"/>
        <v>5</v>
      </c>
      <c r="U2584" s="151">
        <f t="shared" si="767"/>
        <v>0</v>
      </c>
      <c r="V2584" s="139">
        <f t="shared" si="768"/>
        <v>0</v>
      </c>
      <c r="W2584" s="152">
        <f t="shared" si="771"/>
        <v>5</v>
      </c>
      <c r="X2584" s="127" t="str">
        <f t="shared" si="769"/>
        <v/>
      </c>
      <c r="Y2584" s="207">
        <f t="shared" si="772"/>
        <v>5</v>
      </c>
      <c r="Z2584" s="139">
        <f t="shared" si="773"/>
        <v>5</v>
      </c>
      <c r="AA2584" s="139">
        <f t="shared" si="774"/>
        <v>0</v>
      </c>
      <c r="AC2584" s="47">
        <f t="shared" si="775"/>
        <v>3</v>
      </c>
      <c r="AD2584" s="47">
        <f t="shared" si="776"/>
        <v>3</v>
      </c>
      <c r="AE2584" s="47">
        <f t="shared" si="777"/>
        <v>0</v>
      </c>
      <c r="AG2584" s="47">
        <f t="shared" si="778"/>
        <v>2</v>
      </c>
      <c r="AH2584" s="47">
        <f t="shared" si="779"/>
        <v>2</v>
      </c>
      <c r="AI2584" s="208">
        <f t="shared" si="780"/>
        <v>0</v>
      </c>
    </row>
    <row r="2585" spans="1:35">
      <c r="A2585" t="s">
        <v>2173</v>
      </c>
      <c r="B2585" t="s">
        <v>3155</v>
      </c>
      <c r="C2585" t="s">
        <v>2667</v>
      </c>
      <c r="D2585" t="s">
        <v>6159</v>
      </c>
      <c r="F2585" t="s">
        <v>1833</v>
      </c>
      <c r="G2585" s="126">
        <f>SUMIFS('Support - Transition'!F:F,'Support - Transition'!B:B,'Step 2'!A2585,'Support - Transition'!C:C,'Step 2'!B2585,'Support - Transition'!D:D,'Step 2'!C2585,'Support - Transition'!E:E,"CIVIL")</f>
        <v>0</v>
      </c>
      <c r="H2585" s="126">
        <f>SUMIFS('Support - Transition'!F:F,'Support - Transition'!B:B,'Step 2'!A2585,'Support - Transition'!C:C,'Step 2'!B2585,'Support - Transition'!D:D,'Step 2'!C2585,'Support - Transition'!E:E,"FIRE")</f>
        <v>0</v>
      </c>
      <c r="I2585" s="126">
        <f>IF(B2585="0",SUMIFS('Support - Transition'!F:F,'Support - Transition'!J:J,'Step 2'!D2585,'Support - Transition'!E:E,"STATE UNIT"),SUMIFS('Support - Transition'!F:F,'Support - Transition'!J:J,'Step 2'!D2585))</f>
        <v>6.0000000000000002E-6</v>
      </c>
      <c r="J2585" s="126">
        <f>SUMIFS('Support - Unit Adjustments'!E:E,'Support - Unit Adjustments'!F:F,'Step 2'!D2585)</f>
        <v>0</v>
      </c>
      <c r="K2585" s="126">
        <f t="shared" si="764"/>
        <v>6.0000000000000002E-6</v>
      </c>
      <c r="L2585" s="174">
        <f>VLOOKUP(A2585,'Step 1'!$A:$E,4,FALSE)</f>
        <v>975274</v>
      </c>
      <c r="M2585" s="47">
        <f t="shared" si="765"/>
        <v>6</v>
      </c>
      <c r="N2585" s="177">
        <f>SUMIFS('Support - Transition'!G:G,'Support - Transition'!J:J,'Step 2'!D2585,'Support - Transition'!E:E,"2009 WELFARE ALLOCATION FACTOR")</f>
        <v>0</v>
      </c>
      <c r="O2585" s="152">
        <f t="shared" si="770"/>
        <v>0</v>
      </c>
      <c r="P2585" s="126">
        <f>IF(E2585="Y",0,SUMIFS('Support - Transition'!G:G,'Support - Transition'!J:J,'Step 2'!D2585,'Support - Transition'!E:E,"2009 SCHOOL ALLOCATION FACTOR"))</f>
        <v>0</v>
      </c>
      <c r="Q2585" s="126">
        <f>IF(E2585="Y",VLOOKUP(D2585,'Support - Unit Adjustments'!F:G,2,FALSE),0)</f>
        <v>0</v>
      </c>
      <c r="R2585" s="155">
        <f t="shared" si="782"/>
        <v>0</v>
      </c>
      <c r="S2585" s="47">
        <f t="shared" si="781"/>
        <v>0</v>
      </c>
      <c r="T2585" s="151">
        <f t="shared" si="766"/>
        <v>6</v>
      </c>
      <c r="U2585" s="151">
        <f t="shared" si="767"/>
        <v>0</v>
      </c>
      <c r="V2585" s="139">
        <f t="shared" si="768"/>
        <v>0</v>
      </c>
      <c r="W2585" s="152">
        <f t="shared" si="771"/>
        <v>6</v>
      </c>
      <c r="X2585" s="127" t="str">
        <f t="shared" si="769"/>
        <v/>
      </c>
      <c r="Y2585" s="207">
        <f t="shared" si="772"/>
        <v>6</v>
      </c>
      <c r="Z2585" s="139">
        <f t="shared" si="773"/>
        <v>6</v>
      </c>
      <c r="AA2585" s="139">
        <f t="shared" si="774"/>
        <v>0</v>
      </c>
      <c r="AC2585" s="47">
        <f t="shared" si="775"/>
        <v>3</v>
      </c>
      <c r="AD2585" s="47">
        <f t="shared" si="776"/>
        <v>3</v>
      </c>
      <c r="AE2585" s="47">
        <f t="shared" si="777"/>
        <v>0</v>
      </c>
      <c r="AG2585" s="47">
        <f t="shared" si="778"/>
        <v>3</v>
      </c>
      <c r="AH2585" s="47">
        <f t="shared" si="779"/>
        <v>3</v>
      </c>
      <c r="AI2585" s="208">
        <f t="shared" si="780"/>
        <v>0</v>
      </c>
    </row>
    <row r="2586" spans="1:35">
      <c r="A2586" t="s">
        <v>2173</v>
      </c>
      <c r="B2586" t="s">
        <v>3155</v>
      </c>
      <c r="C2586" t="s">
        <v>3107</v>
      </c>
      <c r="D2586" t="s">
        <v>6160</v>
      </c>
      <c r="F2586" t="s">
        <v>1834</v>
      </c>
      <c r="G2586" s="126">
        <f>SUMIFS('Support - Transition'!F:F,'Support - Transition'!B:B,'Step 2'!A2586,'Support - Transition'!C:C,'Step 2'!B2586,'Support - Transition'!D:D,'Step 2'!C2586,'Support - Transition'!E:E,"CIVIL")</f>
        <v>0</v>
      </c>
      <c r="H2586" s="126">
        <f>SUMIFS('Support - Transition'!F:F,'Support - Transition'!B:B,'Step 2'!A2586,'Support - Transition'!C:C,'Step 2'!B2586,'Support - Transition'!D:D,'Step 2'!C2586,'Support - Transition'!E:E,"FIRE")</f>
        <v>0</v>
      </c>
      <c r="I2586" s="126">
        <f>IF(B2586="0",SUMIFS('Support - Transition'!F:F,'Support - Transition'!J:J,'Step 2'!D2586,'Support - Transition'!E:E,"STATE UNIT"),SUMIFS('Support - Transition'!F:F,'Support - Transition'!J:J,'Step 2'!D2586))</f>
        <v>0</v>
      </c>
      <c r="J2586" s="126">
        <f>SUMIFS('Support - Unit Adjustments'!E:E,'Support - Unit Adjustments'!F:F,'Step 2'!D2586)</f>
        <v>0</v>
      </c>
      <c r="K2586" s="126">
        <f t="shared" si="764"/>
        <v>0</v>
      </c>
      <c r="L2586" s="174">
        <f>VLOOKUP(A2586,'Step 1'!$A:$E,4,FALSE)</f>
        <v>975274</v>
      </c>
      <c r="M2586" s="47">
        <f t="shared" si="765"/>
        <v>0</v>
      </c>
      <c r="N2586" s="177">
        <f>SUMIFS('Support - Transition'!G:G,'Support - Transition'!J:J,'Step 2'!D2586,'Support - Transition'!E:E,"2009 WELFARE ALLOCATION FACTOR")</f>
        <v>0</v>
      </c>
      <c r="O2586" s="152">
        <f t="shared" si="770"/>
        <v>0</v>
      </c>
      <c r="P2586" s="126">
        <f>IF(E2586="Y",0,SUMIFS('Support - Transition'!G:G,'Support - Transition'!J:J,'Step 2'!D2586,'Support - Transition'!E:E,"2009 SCHOOL ALLOCATION FACTOR"))</f>
        <v>0</v>
      </c>
      <c r="Q2586" s="126">
        <f>IF(E2586="Y",VLOOKUP(D2586,'Support - Unit Adjustments'!F:G,2,FALSE),0)</f>
        <v>0</v>
      </c>
      <c r="R2586" s="155">
        <f t="shared" si="782"/>
        <v>0</v>
      </c>
      <c r="S2586" s="47">
        <f t="shared" si="781"/>
        <v>0</v>
      </c>
      <c r="T2586" s="151">
        <f t="shared" si="766"/>
        <v>0</v>
      </c>
      <c r="U2586" s="151">
        <f t="shared" si="767"/>
        <v>0</v>
      </c>
      <c r="V2586" s="139">
        <f t="shared" si="768"/>
        <v>0</v>
      </c>
      <c r="W2586" s="152">
        <f t="shared" si="771"/>
        <v>0</v>
      </c>
      <c r="X2586" s="127" t="str">
        <f t="shared" si="769"/>
        <v/>
      </c>
      <c r="Y2586" s="207">
        <f t="shared" si="772"/>
        <v>0</v>
      </c>
      <c r="Z2586" s="139">
        <f t="shared" si="773"/>
        <v>0</v>
      </c>
      <c r="AA2586" s="139">
        <f t="shared" si="774"/>
        <v>0</v>
      </c>
      <c r="AC2586" s="47">
        <f t="shared" si="775"/>
        <v>0</v>
      </c>
      <c r="AD2586" s="47">
        <f t="shared" si="776"/>
        <v>0</v>
      </c>
      <c r="AE2586" s="47">
        <f t="shared" si="777"/>
        <v>0</v>
      </c>
      <c r="AG2586" s="47">
        <f t="shared" si="778"/>
        <v>0</v>
      </c>
      <c r="AH2586" s="47">
        <f t="shared" si="779"/>
        <v>0</v>
      </c>
      <c r="AI2586" s="208">
        <f t="shared" si="780"/>
        <v>0</v>
      </c>
    </row>
    <row r="2587" spans="1:35">
      <c r="A2587" t="s">
        <v>2173</v>
      </c>
      <c r="B2587" t="s">
        <v>3160</v>
      </c>
      <c r="C2587" t="s">
        <v>2588</v>
      </c>
      <c r="D2587" t="s">
        <v>6161</v>
      </c>
      <c r="F2587" t="s">
        <v>764</v>
      </c>
      <c r="G2587" s="126">
        <f>SUMIFS('Support - Transition'!F:F,'Support - Transition'!B:B,'Step 2'!A2587,'Support - Transition'!C:C,'Step 2'!B2587,'Support - Transition'!D:D,'Step 2'!C2587,'Support - Transition'!E:E,"CIVIL")</f>
        <v>0</v>
      </c>
      <c r="H2587" s="126">
        <f>SUMIFS('Support - Transition'!F:F,'Support - Transition'!B:B,'Step 2'!A2587,'Support - Transition'!C:C,'Step 2'!B2587,'Support - Transition'!D:D,'Step 2'!C2587,'Support - Transition'!E:E,"FIRE")</f>
        <v>0</v>
      </c>
      <c r="I2587" s="126">
        <f>IF(B2587="0",SUMIFS('Support - Transition'!F:F,'Support - Transition'!J:J,'Step 2'!D2587,'Support - Transition'!E:E,"STATE UNIT"),SUMIFS('Support - Transition'!F:F,'Support - Transition'!J:J,'Step 2'!D2587))</f>
        <v>2.2197000000000001E-2</v>
      </c>
      <c r="J2587" s="126">
        <f>SUMIFS('Support - Unit Adjustments'!E:E,'Support - Unit Adjustments'!F:F,'Step 2'!D2587)</f>
        <v>0</v>
      </c>
      <c r="K2587" s="126">
        <f t="shared" si="764"/>
        <v>2.2197000000000001E-2</v>
      </c>
      <c r="L2587" s="174">
        <f>VLOOKUP(A2587,'Step 1'!$A:$E,4,FALSE)</f>
        <v>975274</v>
      </c>
      <c r="M2587" s="47">
        <f t="shared" si="765"/>
        <v>21648</v>
      </c>
      <c r="N2587" s="177">
        <f>SUMIFS('Support - Transition'!G:G,'Support - Transition'!J:J,'Step 2'!D2587,'Support - Transition'!E:E,"2009 WELFARE ALLOCATION FACTOR")</f>
        <v>0</v>
      </c>
      <c r="O2587" s="152">
        <f t="shared" si="770"/>
        <v>0</v>
      </c>
      <c r="P2587" s="126">
        <f>IF(E2587="Y",0,SUMIFS('Support - Transition'!G:G,'Support - Transition'!J:J,'Step 2'!D2587,'Support - Transition'!E:E,"2009 SCHOOL ALLOCATION FACTOR"))</f>
        <v>0.434776</v>
      </c>
      <c r="Q2587" s="126">
        <f>IF(E2587="Y",VLOOKUP(D2587,'Support - Unit Adjustments'!F:G,2,FALSE),0)</f>
        <v>0</v>
      </c>
      <c r="R2587" s="155">
        <f t="shared" si="782"/>
        <v>0.434776</v>
      </c>
      <c r="S2587" s="47">
        <f t="shared" si="781"/>
        <v>9412</v>
      </c>
      <c r="T2587" s="151">
        <f t="shared" si="766"/>
        <v>12236</v>
      </c>
      <c r="U2587" s="151">
        <f t="shared" si="767"/>
        <v>0</v>
      </c>
      <c r="V2587" s="139">
        <f t="shared" si="768"/>
        <v>0</v>
      </c>
      <c r="W2587" s="152">
        <f t="shared" si="771"/>
        <v>12236</v>
      </c>
      <c r="X2587" s="127" t="str">
        <f t="shared" si="769"/>
        <v/>
      </c>
      <c r="Y2587" s="207">
        <f t="shared" si="772"/>
        <v>12236</v>
      </c>
      <c r="Z2587" s="139">
        <f t="shared" si="773"/>
        <v>12236</v>
      </c>
      <c r="AA2587" s="139">
        <f t="shared" si="774"/>
        <v>0</v>
      </c>
      <c r="AC2587" s="47">
        <f t="shared" si="775"/>
        <v>6118</v>
      </c>
      <c r="AD2587" s="47">
        <f t="shared" si="776"/>
        <v>6118</v>
      </c>
      <c r="AE2587" s="47">
        <f t="shared" si="777"/>
        <v>0</v>
      </c>
      <c r="AG2587" s="47">
        <f t="shared" si="778"/>
        <v>6118</v>
      </c>
      <c r="AH2587" s="47">
        <f t="shared" si="779"/>
        <v>6118</v>
      </c>
      <c r="AI2587" s="208">
        <f t="shared" si="780"/>
        <v>0</v>
      </c>
    </row>
    <row r="2588" spans="1:35">
      <c r="A2588" t="s">
        <v>2173</v>
      </c>
      <c r="B2588" t="s">
        <v>3160</v>
      </c>
      <c r="C2588" t="s">
        <v>3108</v>
      </c>
      <c r="D2588" t="s">
        <v>6162</v>
      </c>
      <c r="F2588" t="s">
        <v>1838</v>
      </c>
      <c r="G2588" s="126">
        <f>SUMIFS('Support - Transition'!F:F,'Support - Transition'!B:B,'Step 2'!A2588,'Support - Transition'!C:C,'Step 2'!B2588,'Support - Transition'!D:D,'Step 2'!C2588,'Support - Transition'!E:E,"CIVIL")</f>
        <v>0</v>
      </c>
      <c r="H2588" s="126">
        <f>SUMIFS('Support - Transition'!F:F,'Support - Transition'!B:B,'Step 2'!A2588,'Support - Transition'!C:C,'Step 2'!B2588,'Support - Transition'!D:D,'Step 2'!C2588,'Support - Transition'!E:E,"FIRE")</f>
        <v>0</v>
      </c>
      <c r="I2588" s="126">
        <f>IF(B2588="0",SUMIFS('Support - Transition'!F:F,'Support - Transition'!J:J,'Step 2'!D2588,'Support - Transition'!E:E,"STATE UNIT"),SUMIFS('Support - Transition'!F:F,'Support - Transition'!J:J,'Step 2'!D2588))</f>
        <v>3.1468000000000003E-2</v>
      </c>
      <c r="J2588" s="126">
        <f>SUMIFS('Support - Unit Adjustments'!E:E,'Support - Unit Adjustments'!F:F,'Step 2'!D2588)</f>
        <v>0</v>
      </c>
      <c r="K2588" s="126">
        <f t="shared" si="764"/>
        <v>3.1468000000000003E-2</v>
      </c>
      <c r="L2588" s="174">
        <f>VLOOKUP(A2588,'Step 1'!$A:$E,4,FALSE)</f>
        <v>975274</v>
      </c>
      <c r="M2588" s="47">
        <f t="shared" si="765"/>
        <v>30690</v>
      </c>
      <c r="N2588" s="177">
        <f>SUMIFS('Support - Transition'!G:G,'Support - Transition'!J:J,'Step 2'!D2588,'Support - Transition'!E:E,"2009 WELFARE ALLOCATION FACTOR")</f>
        <v>0</v>
      </c>
      <c r="O2588" s="152">
        <f t="shared" si="770"/>
        <v>0</v>
      </c>
      <c r="P2588" s="126">
        <f>IF(E2588="Y",0,SUMIFS('Support - Transition'!G:G,'Support - Transition'!J:J,'Step 2'!D2588,'Support - Transition'!E:E,"2009 SCHOOL ALLOCATION FACTOR"))</f>
        <v>0.40614</v>
      </c>
      <c r="Q2588" s="126">
        <f>IF(E2588="Y",VLOOKUP(D2588,'Support - Unit Adjustments'!F:G,2,FALSE),0)</f>
        <v>0</v>
      </c>
      <c r="R2588" s="155">
        <f t="shared" si="782"/>
        <v>0.40614</v>
      </c>
      <c r="S2588" s="47">
        <f t="shared" si="781"/>
        <v>12464</v>
      </c>
      <c r="T2588" s="151">
        <f t="shared" si="766"/>
        <v>18226</v>
      </c>
      <c r="U2588" s="151">
        <f t="shared" si="767"/>
        <v>0</v>
      </c>
      <c r="V2588" s="139">
        <f t="shared" si="768"/>
        <v>0</v>
      </c>
      <c r="W2588" s="152">
        <f t="shared" si="771"/>
        <v>18226</v>
      </c>
      <c r="X2588" s="127" t="str">
        <f t="shared" si="769"/>
        <v/>
      </c>
      <c r="Y2588" s="207">
        <f t="shared" si="772"/>
        <v>18226</v>
      </c>
      <c r="Z2588" s="139">
        <f t="shared" si="773"/>
        <v>18226</v>
      </c>
      <c r="AA2588" s="139">
        <f t="shared" si="774"/>
        <v>0</v>
      </c>
      <c r="AC2588" s="47">
        <f t="shared" si="775"/>
        <v>9113</v>
      </c>
      <c r="AD2588" s="47">
        <f t="shared" si="776"/>
        <v>9113</v>
      </c>
      <c r="AE2588" s="47">
        <f t="shared" si="777"/>
        <v>0</v>
      </c>
      <c r="AG2588" s="47">
        <f t="shared" si="778"/>
        <v>9113</v>
      </c>
      <c r="AH2588" s="47">
        <f t="shared" si="779"/>
        <v>9113</v>
      </c>
      <c r="AI2588" s="208">
        <f t="shared" si="780"/>
        <v>0</v>
      </c>
    </row>
    <row r="2589" spans="1:35">
      <c r="A2589" t="s">
        <v>2173</v>
      </c>
      <c r="B2589" t="s">
        <v>3160</v>
      </c>
      <c r="C2589" t="s">
        <v>3109</v>
      </c>
      <c r="D2589" t="s">
        <v>6163</v>
      </c>
      <c r="F2589" t="s">
        <v>6164</v>
      </c>
      <c r="G2589" s="126">
        <f>SUMIFS('Support - Transition'!F:F,'Support - Transition'!B:B,'Step 2'!A2589,'Support - Transition'!C:C,'Step 2'!B2589,'Support - Transition'!D:D,'Step 2'!C2589,'Support - Transition'!E:E,"CIVIL")</f>
        <v>0</v>
      </c>
      <c r="H2589" s="126">
        <f>SUMIFS('Support - Transition'!F:F,'Support - Transition'!B:B,'Step 2'!A2589,'Support - Transition'!C:C,'Step 2'!B2589,'Support - Transition'!D:D,'Step 2'!C2589,'Support - Transition'!E:E,"FIRE")</f>
        <v>0</v>
      </c>
      <c r="I2589" s="126">
        <f>IF(B2589="0",SUMIFS('Support - Transition'!F:F,'Support - Transition'!J:J,'Step 2'!D2589,'Support - Transition'!E:E,"STATE UNIT"),SUMIFS('Support - Transition'!F:F,'Support - Transition'!J:J,'Step 2'!D2589))</f>
        <v>5.0383999999999998E-2</v>
      </c>
      <c r="J2589" s="126">
        <f>SUMIFS('Support - Unit Adjustments'!E:E,'Support - Unit Adjustments'!F:F,'Step 2'!D2589)</f>
        <v>0</v>
      </c>
      <c r="K2589" s="126">
        <f t="shared" si="764"/>
        <v>5.0383999999999998E-2</v>
      </c>
      <c r="L2589" s="174">
        <f>VLOOKUP(A2589,'Step 1'!$A:$E,4,FALSE)</f>
        <v>975274</v>
      </c>
      <c r="M2589" s="47">
        <f t="shared" si="765"/>
        <v>49138</v>
      </c>
      <c r="N2589" s="177">
        <f>SUMIFS('Support - Transition'!G:G,'Support - Transition'!J:J,'Step 2'!D2589,'Support - Transition'!E:E,"2009 WELFARE ALLOCATION FACTOR")</f>
        <v>0</v>
      </c>
      <c r="O2589" s="152">
        <f t="shared" si="770"/>
        <v>0</v>
      </c>
      <c r="P2589" s="126">
        <f>IF(E2589="Y",0,SUMIFS('Support - Transition'!G:G,'Support - Transition'!J:J,'Step 2'!D2589,'Support - Transition'!E:E,"2009 SCHOOL ALLOCATION FACTOR"))</f>
        <v>0.34016200000000002</v>
      </c>
      <c r="Q2589" s="126">
        <f>IF(E2589="Y",VLOOKUP(D2589,'Support - Unit Adjustments'!F:G,2,FALSE),0)</f>
        <v>0</v>
      </c>
      <c r="R2589" s="155">
        <f t="shared" si="782"/>
        <v>0.34016200000000002</v>
      </c>
      <c r="S2589" s="47">
        <f t="shared" si="781"/>
        <v>16715</v>
      </c>
      <c r="T2589" s="151">
        <f t="shared" si="766"/>
        <v>32423</v>
      </c>
      <c r="U2589" s="151">
        <f t="shared" si="767"/>
        <v>0</v>
      </c>
      <c r="V2589" s="139">
        <f t="shared" si="768"/>
        <v>0</v>
      </c>
      <c r="W2589" s="152">
        <f t="shared" si="771"/>
        <v>32423</v>
      </c>
      <c r="X2589" s="127" t="str">
        <f t="shared" si="769"/>
        <v/>
      </c>
      <c r="Y2589" s="207">
        <f t="shared" si="772"/>
        <v>32423</v>
      </c>
      <c r="Z2589" s="139">
        <f t="shared" si="773"/>
        <v>32423</v>
      </c>
      <c r="AA2589" s="139">
        <f t="shared" si="774"/>
        <v>0</v>
      </c>
      <c r="AC2589" s="47">
        <f t="shared" si="775"/>
        <v>16212</v>
      </c>
      <c r="AD2589" s="47">
        <f t="shared" si="776"/>
        <v>16212</v>
      </c>
      <c r="AE2589" s="47">
        <f t="shared" si="777"/>
        <v>0</v>
      </c>
      <c r="AG2589" s="47">
        <f t="shared" si="778"/>
        <v>16211</v>
      </c>
      <c r="AH2589" s="47">
        <f t="shared" si="779"/>
        <v>16211</v>
      </c>
      <c r="AI2589" s="208">
        <f t="shared" si="780"/>
        <v>0</v>
      </c>
    </row>
    <row r="2590" spans="1:35">
      <c r="A2590" t="s">
        <v>2173</v>
      </c>
      <c r="B2590" t="s">
        <v>3160</v>
      </c>
      <c r="C2590" t="s">
        <v>3110</v>
      </c>
      <c r="D2590" t="s">
        <v>6165</v>
      </c>
      <c r="F2590" t="s">
        <v>1836</v>
      </c>
      <c r="G2590" s="126">
        <f>SUMIFS('Support - Transition'!F:F,'Support - Transition'!B:B,'Step 2'!A2590,'Support - Transition'!C:C,'Step 2'!B2590,'Support - Transition'!D:D,'Step 2'!C2590,'Support - Transition'!E:E,"CIVIL")</f>
        <v>0</v>
      </c>
      <c r="H2590" s="126">
        <f>SUMIFS('Support - Transition'!F:F,'Support - Transition'!B:B,'Step 2'!A2590,'Support - Transition'!C:C,'Step 2'!B2590,'Support - Transition'!D:D,'Step 2'!C2590,'Support - Transition'!E:E,"FIRE")</f>
        <v>0</v>
      </c>
      <c r="I2590" s="126">
        <f>IF(B2590="0",SUMIFS('Support - Transition'!F:F,'Support - Transition'!J:J,'Step 2'!D2590,'Support - Transition'!E:E,"STATE UNIT"),SUMIFS('Support - Transition'!F:F,'Support - Transition'!J:J,'Step 2'!D2590))</f>
        <v>2.3667000000000001E-2</v>
      </c>
      <c r="J2590" s="126">
        <f>SUMIFS('Support - Unit Adjustments'!E:E,'Support - Unit Adjustments'!F:F,'Step 2'!D2590)</f>
        <v>0</v>
      </c>
      <c r="K2590" s="126">
        <f t="shared" si="764"/>
        <v>2.3667000000000001E-2</v>
      </c>
      <c r="L2590" s="174">
        <f>VLOOKUP(A2590,'Step 1'!$A:$E,4,FALSE)</f>
        <v>975274</v>
      </c>
      <c r="M2590" s="47">
        <f t="shared" si="765"/>
        <v>23082</v>
      </c>
      <c r="N2590" s="177">
        <f>SUMIFS('Support - Transition'!G:G,'Support - Transition'!J:J,'Step 2'!D2590,'Support - Transition'!E:E,"2009 WELFARE ALLOCATION FACTOR")</f>
        <v>0</v>
      </c>
      <c r="O2590" s="152">
        <f t="shared" si="770"/>
        <v>0</v>
      </c>
      <c r="P2590" s="126">
        <f>IF(E2590="Y",0,SUMIFS('Support - Transition'!G:G,'Support - Transition'!J:J,'Step 2'!D2590,'Support - Transition'!E:E,"2009 SCHOOL ALLOCATION FACTOR"))</f>
        <v>0.41495500000000002</v>
      </c>
      <c r="Q2590" s="126">
        <f>IF(E2590="Y",VLOOKUP(D2590,'Support - Unit Adjustments'!F:G,2,FALSE),0)</f>
        <v>0</v>
      </c>
      <c r="R2590" s="155">
        <f t="shared" si="782"/>
        <v>0.41495500000000002</v>
      </c>
      <c r="S2590" s="47">
        <f t="shared" si="781"/>
        <v>9578</v>
      </c>
      <c r="T2590" s="151">
        <f t="shared" si="766"/>
        <v>13504</v>
      </c>
      <c r="U2590" s="151">
        <f t="shared" si="767"/>
        <v>0</v>
      </c>
      <c r="V2590" s="139">
        <f t="shared" si="768"/>
        <v>0</v>
      </c>
      <c r="W2590" s="152">
        <f t="shared" si="771"/>
        <v>13504</v>
      </c>
      <c r="X2590" s="127" t="str">
        <f t="shared" si="769"/>
        <v/>
      </c>
      <c r="Y2590" s="207">
        <f t="shared" si="772"/>
        <v>13504</v>
      </c>
      <c r="Z2590" s="139">
        <f t="shared" si="773"/>
        <v>13504</v>
      </c>
      <c r="AA2590" s="139">
        <f t="shared" si="774"/>
        <v>0</v>
      </c>
      <c r="AC2590" s="47">
        <f t="shared" si="775"/>
        <v>6752</v>
      </c>
      <c r="AD2590" s="47">
        <f t="shared" si="776"/>
        <v>6752</v>
      </c>
      <c r="AE2590" s="47">
        <f t="shared" si="777"/>
        <v>0</v>
      </c>
      <c r="AG2590" s="47">
        <f t="shared" si="778"/>
        <v>6752</v>
      </c>
      <c r="AH2590" s="47">
        <f t="shared" si="779"/>
        <v>6752</v>
      </c>
      <c r="AI2590" s="208">
        <f t="shared" si="780"/>
        <v>0</v>
      </c>
    </row>
    <row r="2591" spans="1:35">
      <c r="A2591" t="s">
        <v>2173</v>
      </c>
      <c r="B2591" t="s">
        <v>3160</v>
      </c>
      <c r="C2591" t="s">
        <v>3111</v>
      </c>
      <c r="D2591" t="s">
        <v>6166</v>
      </c>
      <c r="F2591" t="s">
        <v>1837</v>
      </c>
      <c r="G2591" s="126">
        <f>SUMIFS('Support - Transition'!F:F,'Support - Transition'!B:B,'Step 2'!A2591,'Support - Transition'!C:C,'Step 2'!B2591,'Support - Transition'!D:D,'Step 2'!C2591,'Support - Transition'!E:E,"CIVIL")</f>
        <v>0</v>
      </c>
      <c r="H2591" s="126">
        <f>SUMIFS('Support - Transition'!F:F,'Support - Transition'!B:B,'Step 2'!A2591,'Support - Transition'!C:C,'Step 2'!B2591,'Support - Transition'!D:D,'Step 2'!C2591,'Support - Transition'!E:E,"FIRE")</f>
        <v>0</v>
      </c>
      <c r="I2591" s="126">
        <f>IF(B2591="0",SUMIFS('Support - Transition'!F:F,'Support - Transition'!J:J,'Step 2'!D2591,'Support - Transition'!E:E,"STATE UNIT"),SUMIFS('Support - Transition'!F:F,'Support - Transition'!J:J,'Step 2'!D2591))</f>
        <v>0.36707200000000001</v>
      </c>
      <c r="J2591" s="126">
        <f>SUMIFS('Support - Unit Adjustments'!E:E,'Support - Unit Adjustments'!F:F,'Step 2'!D2591)</f>
        <v>0</v>
      </c>
      <c r="K2591" s="126">
        <f t="shared" si="764"/>
        <v>0.36707200000000001</v>
      </c>
      <c r="L2591" s="174">
        <f>VLOOKUP(A2591,'Step 1'!$A:$E,4,FALSE)</f>
        <v>975274</v>
      </c>
      <c r="M2591" s="47">
        <f t="shared" si="765"/>
        <v>357996</v>
      </c>
      <c r="N2591" s="177">
        <f>SUMIFS('Support - Transition'!G:G,'Support - Transition'!J:J,'Step 2'!D2591,'Support - Transition'!E:E,"2009 WELFARE ALLOCATION FACTOR")</f>
        <v>0</v>
      </c>
      <c r="O2591" s="152">
        <f t="shared" si="770"/>
        <v>0</v>
      </c>
      <c r="P2591" s="126">
        <f>IF(E2591="Y",0,SUMIFS('Support - Transition'!G:G,'Support - Transition'!J:J,'Step 2'!D2591,'Support - Transition'!E:E,"2009 SCHOOL ALLOCATION FACTOR"))</f>
        <v>0.59304100000000004</v>
      </c>
      <c r="Q2591" s="126">
        <f>IF(E2591="Y",VLOOKUP(D2591,'Support - Unit Adjustments'!F:G,2,FALSE),0)</f>
        <v>0</v>
      </c>
      <c r="R2591" s="155">
        <f t="shared" si="782"/>
        <v>0.59304100000000004</v>
      </c>
      <c r="S2591" s="47">
        <f t="shared" si="781"/>
        <v>212306</v>
      </c>
      <c r="T2591" s="151">
        <f t="shared" si="766"/>
        <v>145690</v>
      </c>
      <c r="U2591" s="151">
        <f t="shared" si="767"/>
        <v>0</v>
      </c>
      <c r="V2591" s="139">
        <f t="shared" si="768"/>
        <v>0</v>
      </c>
      <c r="W2591" s="152">
        <f t="shared" si="771"/>
        <v>145690</v>
      </c>
      <c r="X2591" s="127" t="str">
        <f t="shared" si="769"/>
        <v/>
      </c>
      <c r="Y2591" s="207">
        <f t="shared" si="772"/>
        <v>145690</v>
      </c>
      <c r="Z2591" s="139">
        <f t="shared" si="773"/>
        <v>145690</v>
      </c>
      <c r="AA2591" s="139">
        <f t="shared" si="774"/>
        <v>0</v>
      </c>
      <c r="AC2591" s="47">
        <f t="shared" si="775"/>
        <v>72845</v>
      </c>
      <c r="AD2591" s="47">
        <f t="shared" si="776"/>
        <v>72845</v>
      </c>
      <c r="AE2591" s="47">
        <f t="shared" si="777"/>
        <v>0</v>
      </c>
      <c r="AG2591" s="47">
        <f t="shared" si="778"/>
        <v>72845</v>
      </c>
      <c r="AH2591" s="47">
        <f t="shared" si="779"/>
        <v>72845</v>
      </c>
      <c r="AI2591" s="208">
        <f t="shared" si="780"/>
        <v>0</v>
      </c>
    </row>
    <row r="2592" spans="1:35">
      <c r="A2592" t="s">
        <v>2173</v>
      </c>
      <c r="B2592" t="s">
        <v>3166</v>
      </c>
      <c r="C2592" t="s">
        <v>6167</v>
      </c>
      <c r="D2592" t="s">
        <v>6168</v>
      </c>
      <c r="F2592" t="s">
        <v>1839</v>
      </c>
      <c r="G2592" s="126">
        <f>SUMIFS('Support - Transition'!F:F,'Support - Transition'!B:B,'Step 2'!A2592,'Support - Transition'!C:C,'Step 2'!B2592,'Support - Transition'!D:D,'Step 2'!C2592,'Support - Transition'!E:E,"CIVIL")</f>
        <v>0</v>
      </c>
      <c r="H2592" s="126">
        <f>SUMIFS('Support - Transition'!F:F,'Support - Transition'!B:B,'Step 2'!A2592,'Support - Transition'!C:C,'Step 2'!B2592,'Support - Transition'!D:D,'Step 2'!C2592,'Support - Transition'!E:E,"FIRE")</f>
        <v>0</v>
      </c>
      <c r="I2592" s="126">
        <f>IF(B2592="0",SUMIFS('Support - Transition'!F:F,'Support - Transition'!J:J,'Step 2'!D2592,'Support - Transition'!E:E,"STATE UNIT"),SUMIFS('Support - Transition'!F:F,'Support - Transition'!J:J,'Step 2'!D2592))</f>
        <v>1.523E-3</v>
      </c>
      <c r="J2592" s="126">
        <f>SUMIFS('Support - Unit Adjustments'!E:E,'Support - Unit Adjustments'!F:F,'Step 2'!D2592)</f>
        <v>0</v>
      </c>
      <c r="K2592" s="126">
        <f t="shared" si="764"/>
        <v>1.523E-3</v>
      </c>
      <c r="L2592" s="174">
        <f>VLOOKUP(A2592,'Step 1'!$A:$E,4,FALSE)</f>
        <v>975274</v>
      </c>
      <c r="M2592" s="47">
        <f t="shared" si="765"/>
        <v>1485</v>
      </c>
      <c r="N2592" s="177">
        <f>SUMIFS('Support - Transition'!G:G,'Support - Transition'!J:J,'Step 2'!D2592,'Support - Transition'!E:E,"2009 WELFARE ALLOCATION FACTOR")</f>
        <v>0</v>
      </c>
      <c r="O2592" s="152">
        <f t="shared" si="770"/>
        <v>0</v>
      </c>
      <c r="P2592" s="126">
        <f>IF(E2592="Y",0,SUMIFS('Support - Transition'!G:G,'Support - Transition'!J:J,'Step 2'!D2592,'Support - Transition'!E:E,"2009 SCHOOL ALLOCATION FACTOR"))</f>
        <v>0</v>
      </c>
      <c r="Q2592" s="126">
        <f>IF(E2592="Y",VLOOKUP(D2592,'Support - Unit Adjustments'!F:G,2,FALSE),0)</f>
        <v>0</v>
      </c>
      <c r="R2592" s="155">
        <f t="shared" si="782"/>
        <v>0</v>
      </c>
      <c r="S2592" s="47">
        <f t="shared" si="781"/>
        <v>0</v>
      </c>
      <c r="T2592" s="151">
        <f t="shared" si="766"/>
        <v>1485</v>
      </c>
      <c r="U2592" s="151">
        <f t="shared" si="767"/>
        <v>0</v>
      </c>
      <c r="V2592" s="139">
        <f t="shared" si="768"/>
        <v>0</v>
      </c>
      <c r="W2592" s="152">
        <f t="shared" si="771"/>
        <v>1485</v>
      </c>
      <c r="X2592" s="127" t="str">
        <f t="shared" si="769"/>
        <v/>
      </c>
      <c r="Y2592" s="207">
        <f t="shared" si="772"/>
        <v>1485</v>
      </c>
      <c r="Z2592" s="139">
        <f t="shared" si="773"/>
        <v>1485</v>
      </c>
      <c r="AA2592" s="139">
        <f t="shared" si="774"/>
        <v>0</v>
      </c>
      <c r="AC2592" s="47">
        <f t="shared" si="775"/>
        <v>743</v>
      </c>
      <c r="AD2592" s="47">
        <f t="shared" si="776"/>
        <v>743</v>
      </c>
      <c r="AE2592" s="47">
        <f t="shared" si="777"/>
        <v>0</v>
      </c>
      <c r="AG2592" s="47">
        <f t="shared" si="778"/>
        <v>742</v>
      </c>
      <c r="AH2592" s="47">
        <f t="shared" si="779"/>
        <v>742</v>
      </c>
      <c r="AI2592" s="208">
        <f t="shared" si="780"/>
        <v>0</v>
      </c>
    </row>
    <row r="2593" spans="1:35">
      <c r="A2593" t="s">
        <v>2173</v>
      </c>
      <c r="B2593" t="s">
        <v>3166</v>
      </c>
      <c r="C2593" t="s">
        <v>6169</v>
      </c>
      <c r="D2593" t="s">
        <v>6170</v>
      </c>
      <c r="F2593" t="s">
        <v>1840</v>
      </c>
      <c r="G2593" s="126">
        <f>SUMIFS('Support - Transition'!F:F,'Support - Transition'!B:B,'Step 2'!A2593,'Support - Transition'!C:C,'Step 2'!B2593,'Support - Transition'!D:D,'Step 2'!C2593,'Support - Transition'!E:E,"CIVIL")</f>
        <v>0</v>
      </c>
      <c r="H2593" s="126">
        <f>SUMIFS('Support - Transition'!F:F,'Support - Transition'!B:B,'Step 2'!A2593,'Support - Transition'!C:C,'Step 2'!B2593,'Support - Transition'!D:D,'Step 2'!C2593,'Support - Transition'!E:E,"FIRE")</f>
        <v>0</v>
      </c>
      <c r="I2593" s="126">
        <f>IF(B2593="0",SUMIFS('Support - Transition'!F:F,'Support - Transition'!J:J,'Step 2'!D2593,'Support - Transition'!E:E,"STATE UNIT"),SUMIFS('Support - Transition'!F:F,'Support - Transition'!J:J,'Step 2'!D2593))</f>
        <v>2.699E-3</v>
      </c>
      <c r="J2593" s="126">
        <f>SUMIFS('Support - Unit Adjustments'!E:E,'Support - Unit Adjustments'!F:F,'Step 2'!D2593)</f>
        <v>0</v>
      </c>
      <c r="K2593" s="126">
        <f t="shared" si="764"/>
        <v>2.699E-3</v>
      </c>
      <c r="L2593" s="174">
        <f>VLOOKUP(A2593,'Step 1'!$A:$E,4,FALSE)</f>
        <v>975274</v>
      </c>
      <c r="M2593" s="47">
        <f t="shared" si="765"/>
        <v>2632</v>
      </c>
      <c r="N2593" s="177">
        <f>SUMIFS('Support - Transition'!G:G,'Support - Transition'!J:J,'Step 2'!D2593,'Support - Transition'!E:E,"2009 WELFARE ALLOCATION FACTOR")</f>
        <v>0</v>
      </c>
      <c r="O2593" s="152">
        <f t="shared" si="770"/>
        <v>0</v>
      </c>
      <c r="P2593" s="126">
        <f>IF(E2593="Y",0,SUMIFS('Support - Transition'!G:G,'Support - Transition'!J:J,'Step 2'!D2593,'Support - Transition'!E:E,"2009 SCHOOL ALLOCATION FACTOR"))</f>
        <v>0</v>
      </c>
      <c r="Q2593" s="126">
        <f>IF(E2593="Y",VLOOKUP(D2593,'Support - Unit Adjustments'!F:G,2,FALSE),0)</f>
        <v>0</v>
      </c>
      <c r="R2593" s="155">
        <f t="shared" si="782"/>
        <v>0</v>
      </c>
      <c r="S2593" s="47">
        <f t="shared" si="781"/>
        <v>0</v>
      </c>
      <c r="T2593" s="151">
        <f t="shared" si="766"/>
        <v>2632</v>
      </c>
      <c r="U2593" s="151">
        <f t="shared" si="767"/>
        <v>0</v>
      </c>
      <c r="V2593" s="139">
        <f t="shared" si="768"/>
        <v>0</v>
      </c>
      <c r="W2593" s="152">
        <f t="shared" si="771"/>
        <v>2632</v>
      </c>
      <c r="X2593" s="127" t="str">
        <f t="shared" si="769"/>
        <v/>
      </c>
      <c r="Y2593" s="207">
        <f t="shared" si="772"/>
        <v>2632</v>
      </c>
      <c r="Z2593" s="139">
        <f t="shared" si="773"/>
        <v>2632</v>
      </c>
      <c r="AA2593" s="139">
        <f t="shared" si="774"/>
        <v>0</v>
      </c>
      <c r="AC2593" s="47">
        <f t="shared" si="775"/>
        <v>1316</v>
      </c>
      <c r="AD2593" s="47">
        <f t="shared" si="776"/>
        <v>1316</v>
      </c>
      <c r="AE2593" s="47">
        <f t="shared" si="777"/>
        <v>0</v>
      </c>
      <c r="AG2593" s="47">
        <f t="shared" si="778"/>
        <v>1316</v>
      </c>
      <c r="AH2593" s="47">
        <f t="shared" si="779"/>
        <v>1316</v>
      </c>
      <c r="AI2593" s="208">
        <f t="shared" si="780"/>
        <v>0</v>
      </c>
    </row>
    <row r="2594" spans="1:35">
      <c r="A2594" t="s">
        <v>2173</v>
      </c>
      <c r="B2594" t="s">
        <v>3166</v>
      </c>
      <c r="C2594" t="s">
        <v>3112</v>
      </c>
      <c r="D2594" t="s">
        <v>6171</v>
      </c>
      <c r="F2594" t="s">
        <v>1841</v>
      </c>
      <c r="G2594" s="126">
        <f>SUMIFS('Support - Transition'!F:F,'Support - Transition'!B:B,'Step 2'!A2594,'Support - Transition'!C:C,'Step 2'!B2594,'Support - Transition'!D:D,'Step 2'!C2594,'Support - Transition'!E:E,"CIVIL")</f>
        <v>0</v>
      </c>
      <c r="H2594" s="126">
        <f>SUMIFS('Support - Transition'!F:F,'Support - Transition'!B:B,'Step 2'!A2594,'Support - Transition'!C:C,'Step 2'!B2594,'Support - Transition'!D:D,'Step 2'!C2594,'Support - Transition'!E:E,"FIRE")</f>
        <v>0</v>
      </c>
      <c r="I2594" s="126">
        <f>IF(B2594="0",SUMIFS('Support - Transition'!F:F,'Support - Transition'!J:J,'Step 2'!D2594,'Support - Transition'!E:E,"STATE UNIT"),SUMIFS('Support - Transition'!F:F,'Support - Transition'!J:J,'Step 2'!D2594))</f>
        <v>8.2000000000000001E-5</v>
      </c>
      <c r="J2594" s="126">
        <f>SUMIFS('Support - Unit Adjustments'!E:E,'Support - Unit Adjustments'!F:F,'Step 2'!D2594)</f>
        <v>0</v>
      </c>
      <c r="K2594" s="126">
        <f t="shared" si="764"/>
        <v>8.2000000000000001E-5</v>
      </c>
      <c r="L2594" s="174">
        <f>VLOOKUP(A2594,'Step 1'!$A:$E,4,FALSE)</f>
        <v>975274</v>
      </c>
      <c r="M2594" s="47">
        <f t="shared" si="765"/>
        <v>80</v>
      </c>
      <c r="N2594" s="177">
        <f>SUMIFS('Support - Transition'!G:G,'Support - Transition'!J:J,'Step 2'!D2594,'Support - Transition'!E:E,"2009 WELFARE ALLOCATION FACTOR")</f>
        <v>0</v>
      </c>
      <c r="O2594" s="152">
        <f t="shared" si="770"/>
        <v>0</v>
      </c>
      <c r="P2594" s="126">
        <f>IF(E2594="Y",0,SUMIFS('Support - Transition'!G:G,'Support - Transition'!J:J,'Step 2'!D2594,'Support - Transition'!E:E,"2009 SCHOOL ALLOCATION FACTOR"))</f>
        <v>0</v>
      </c>
      <c r="Q2594" s="126">
        <f>IF(E2594="Y",VLOOKUP(D2594,'Support - Unit Adjustments'!F:G,2,FALSE),0)</f>
        <v>0</v>
      </c>
      <c r="R2594" s="155">
        <f t="shared" si="782"/>
        <v>0</v>
      </c>
      <c r="S2594" s="47">
        <f t="shared" si="781"/>
        <v>0</v>
      </c>
      <c r="T2594" s="151">
        <f t="shared" si="766"/>
        <v>80</v>
      </c>
      <c r="U2594" s="151">
        <f t="shared" si="767"/>
        <v>0</v>
      </c>
      <c r="V2594" s="139">
        <f t="shared" si="768"/>
        <v>0</v>
      </c>
      <c r="W2594" s="152">
        <f t="shared" si="771"/>
        <v>80</v>
      </c>
      <c r="X2594" s="127" t="str">
        <f t="shared" si="769"/>
        <v/>
      </c>
      <c r="Y2594" s="207">
        <f t="shared" si="772"/>
        <v>80</v>
      </c>
      <c r="Z2594" s="139">
        <f t="shared" si="773"/>
        <v>80</v>
      </c>
      <c r="AA2594" s="139">
        <f t="shared" si="774"/>
        <v>0</v>
      </c>
      <c r="AC2594" s="47">
        <f t="shared" si="775"/>
        <v>40</v>
      </c>
      <c r="AD2594" s="47">
        <f t="shared" si="776"/>
        <v>40</v>
      </c>
      <c r="AE2594" s="47">
        <f t="shared" si="777"/>
        <v>0</v>
      </c>
      <c r="AG2594" s="47">
        <f t="shared" si="778"/>
        <v>40</v>
      </c>
      <c r="AH2594" s="47">
        <f t="shared" si="779"/>
        <v>40</v>
      </c>
      <c r="AI2594" s="208">
        <f t="shared" si="780"/>
        <v>0</v>
      </c>
    </row>
    <row r="2595" spans="1:35">
      <c r="A2595" t="s">
        <v>2173</v>
      </c>
      <c r="B2595" t="s">
        <v>3166</v>
      </c>
      <c r="C2595" t="s">
        <v>3113</v>
      </c>
      <c r="D2595" t="s">
        <v>6172</v>
      </c>
      <c r="F2595" t="s">
        <v>1842</v>
      </c>
      <c r="G2595" s="126">
        <f>SUMIFS('Support - Transition'!F:F,'Support - Transition'!B:B,'Step 2'!A2595,'Support - Transition'!C:C,'Step 2'!B2595,'Support - Transition'!D:D,'Step 2'!C2595,'Support - Transition'!E:E,"CIVIL")</f>
        <v>0</v>
      </c>
      <c r="H2595" s="126">
        <f>SUMIFS('Support - Transition'!F:F,'Support - Transition'!B:B,'Step 2'!A2595,'Support - Transition'!C:C,'Step 2'!B2595,'Support - Transition'!D:D,'Step 2'!C2595,'Support - Transition'!E:E,"FIRE")</f>
        <v>0</v>
      </c>
      <c r="I2595" s="126">
        <f>IF(B2595="0",SUMIFS('Support - Transition'!F:F,'Support - Transition'!J:J,'Step 2'!D2595,'Support - Transition'!E:E,"STATE UNIT"),SUMIFS('Support - Transition'!F:F,'Support - Transition'!J:J,'Step 2'!D2595))</f>
        <v>1.276E-3</v>
      </c>
      <c r="J2595" s="126">
        <f>SUMIFS('Support - Unit Adjustments'!E:E,'Support - Unit Adjustments'!F:F,'Step 2'!D2595)</f>
        <v>0</v>
      </c>
      <c r="K2595" s="126">
        <f t="shared" si="764"/>
        <v>1.276E-3</v>
      </c>
      <c r="L2595" s="174">
        <f>VLOOKUP(A2595,'Step 1'!$A:$E,4,FALSE)</f>
        <v>975274</v>
      </c>
      <c r="M2595" s="47">
        <f t="shared" si="765"/>
        <v>1244</v>
      </c>
      <c r="N2595" s="177">
        <f>SUMIFS('Support - Transition'!G:G,'Support - Transition'!J:J,'Step 2'!D2595,'Support - Transition'!E:E,"2009 WELFARE ALLOCATION FACTOR")</f>
        <v>0</v>
      </c>
      <c r="O2595" s="152">
        <f t="shared" si="770"/>
        <v>0</v>
      </c>
      <c r="P2595" s="126">
        <f>IF(E2595="Y",0,SUMIFS('Support - Transition'!G:G,'Support - Transition'!J:J,'Step 2'!D2595,'Support - Transition'!E:E,"2009 SCHOOL ALLOCATION FACTOR"))</f>
        <v>0</v>
      </c>
      <c r="Q2595" s="126">
        <f>IF(E2595="Y",VLOOKUP(D2595,'Support - Unit Adjustments'!F:G,2,FALSE),0)</f>
        <v>0</v>
      </c>
      <c r="R2595" s="155">
        <f t="shared" si="782"/>
        <v>0</v>
      </c>
      <c r="S2595" s="47">
        <f t="shared" si="781"/>
        <v>0</v>
      </c>
      <c r="T2595" s="151">
        <f t="shared" si="766"/>
        <v>1244</v>
      </c>
      <c r="U2595" s="151">
        <f t="shared" si="767"/>
        <v>0</v>
      </c>
      <c r="V2595" s="139">
        <f t="shared" si="768"/>
        <v>0</v>
      </c>
      <c r="W2595" s="152">
        <f t="shared" si="771"/>
        <v>1244</v>
      </c>
      <c r="X2595" s="127" t="str">
        <f t="shared" si="769"/>
        <v/>
      </c>
      <c r="Y2595" s="207">
        <f t="shared" si="772"/>
        <v>1244</v>
      </c>
      <c r="Z2595" s="139">
        <f t="shared" si="773"/>
        <v>1244</v>
      </c>
      <c r="AA2595" s="139">
        <f t="shared" si="774"/>
        <v>0</v>
      </c>
      <c r="AC2595" s="47">
        <f t="shared" si="775"/>
        <v>622</v>
      </c>
      <c r="AD2595" s="47">
        <f t="shared" si="776"/>
        <v>622</v>
      </c>
      <c r="AE2595" s="47">
        <f t="shared" si="777"/>
        <v>0</v>
      </c>
      <c r="AG2595" s="47">
        <f t="shared" si="778"/>
        <v>622</v>
      </c>
      <c r="AH2595" s="47">
        <f t="shared" si="779"/>
        <v>622</v>
      </c>
      <c r="AI2595" s="208">
        <f t="shared" si="780"/>
        <v>0</v>
      </c>
    </row>
    <row r="2596" spans="1:35">
      <c r="A2596" t="s">
        <v>2173</v>
      </c>
      <c r="B2596" t="s">
        <v>3166</v>
      </c>
      <c r="C2596" t="s">
        <v>6173</v>
      </c>
      <c r="D2596" t="s">
        <v>6174</v>
      </c>
      <c r="F2596" t="s">
        <v>1843</v>
      </c>
      <c r="G2596" s="126">
        <f>SUMIFS('Support - Transition'!F:F,'Support - Transition'!B:B,'Step 2'!A2596,'Support - Transition'!C:C,'Step 2'!B2596,'Support - Transition'!D:D,'Step 2'!C2596,'Support - Transition'!E:E,"CIVIL")</f>
        <v>0</v>
      </c>
      <c r="H2596" s="126">
        <f>SUMIFS('Support - Transition'!F:F,'Support - Transition'!B:B,'Step 2'!A2596,'Support - Transition'!C:C,'Step 2'!B2596,'Support - Transition'!D:D,'Step 2'!C2596,'Support - Transition'!E:E,"FIRE")</f>
        <v>0</v>
      </c>
      <c r="I2596" s="126">
        <f>IF(B2596="0",SUMIFS('Support - Transition'!F:F,'Support - Transition'!J:J,'Step 2'!D2596,'Support - Transition'!E:E,"STATE UNIT"),SUMIFS('Support - Transition'!F:F,'Support - Transition'!J:J,'Step 2'!D2596))</f>
        <v>3.1675000000000002E-2</v>
      </c>
      <c r="J2596" s="126">
        <f>SUMIFS('Support - Unit Adjustments'!E:E,'Support - Unit Adjustments'!F:F,'Step 2'!D2596)</f>
        <v>0</v>
      </c>
      <c r="K2596" s="126">
        <f t="shared" si="764"/>
        <v>3.1675000000000002E-2</v>
      </c>
      <c r="L2596" s="174">
        <f>VLOOKUP(A2596,'Step 1'!$A:$E,4,FALSE)</f>
        <v>975274</v>
      </c>
      <c r="M2596" s="47">
        <f t="shared" si="765"/>
        <v>30892</v>
      </c>
      <c r="N2596" s="177">
        <f>SUMIFS('Support - Transition'!G:G,'Support - Transition'!J:J,'Step 2'!D2596,'Support - Transition'!E:E,"2009 WELFARE ALLOCATION FACTOR")</f>
        <v>0</v>
      </c>
      <c r="O2596" s="152">
        <f t="shared" si="770"/>
        <v>0</v>
      </c>
      <c r="P2596" s="126">
        <f>IF(E2596="Y",0,SUMIFS('Support - Transition'!G:G,'Support - Transition'!J:J,'Step 2'!D2596,'Support - Transition'!E:E,"2009 SCHOOL ALLOCATION FACTOR"))</f>
        <v>0</v>
      </c>
      <c r="Q2596" s="126">
        <f>IF(E2596="Y",VLOOKUP(D2596,'Support - Unit Adjustments'!F:G,2,FALSE),0)</f>
        <v>0</v>
      </c>
      <c r="R2596" s="155">
        <f t="shared" si="782"/>
        <v>0</v>
      </c>
      <c r="S2596" s="47">
        <f t="shared" si="781"/>
        <v>0</v>
      </c>
      <c r="T2596" s="151">
        <f t="shared" si="766"/>
        <v>30892</v>
      </c>
      <c r="U2596" s="151">
        <f t="shared" si="767"/>
        <v>0</v>
      </c>
      <c r="V2596" s="139">
        <f t="shared" si="768"/>
        <v>0</v>
      </c>
      <c r="W2596" s="152">
        <f t="shared" si="771"/>
        <v>30892</v>
      </c>
      <c r="X2596" s="127" t="str">
        <f t="shared" si="769"/>
        <v/>
      </c>
      <c r="Y2596" s="207">
        <f t="shared" si="772"/>
        <v>30892</v>
      </c>
      <c r="Z2596" s="139">
        <f t="shared" si="773"/>
        <v>30892</v>
      </c>
      <c r="AA2596" s="139">
        <f t="shared" si="774"/>
        <v>0</v>
      </c>
      <c r="AC2596" s="47">
        <f t="shared" si="775"/>
        <v>15446</v>
      </c>
      <c r="AD2596" s="47">
        <f t="shared" si="776"/>
        <v>15446</v>
      </c>
      <c r="AE2596" s="47">
        <f t="shared" si="777"/>
        <v>0</v>
      </c>
      <c r="AG2596" s="47">
        <f t="shared" si="778"/>
        <v>15446</v>
      </c>
      <c r="AH2596" s="47">
        <f t="shared" si="779"/>
        <v>15446</v>
      </c>
      <c r="AI2596" s="208">
        <f t="shared" si="780"/>
        <v>0</v>
      </c>
    </row>
    <row r="2597" spans="1:35">
      <c r="A2597" t="s">
        <v>2173</v>
      </c>
      <c r="B2597" t="s">
        <v>3166</v>
      </c>
      <c r="C2597" t="s">
        <v>6175</v>
      </c>
      <c r="D2597" t="s">
        <v>6176</v>
      </c>
      <c r="F2597" t="s">
        <v>1844</v>
      </c>
      <c r="G2597" s="126">
        <f>SUMIFS('Support - Transition'!F:F,'Support - Transition'!B:B,'Step 2'!A2597,'Support - Transition'!C:C,'Step 2'!B2597,'Support - Transition'!D:D,'Step 2'!C2597,'Support - Transition'!E:E,"CIVIL")</f>
        <v>0</v>
      </c>
      <c r="H2597" s="126">
        <f>SUMIFS('Support - Transition'!F:F,'Support - Transition'!B:B,'Step 2'!A2597,'Support - Transition'!C:C,'Step 2'!B2597,'Support - Transition'!D:D,'Step 2'!C2597,'Support - Transition'!E:E,"FIRE")</f>
        <v>0</v>
      </c>
      <c r="I2597" s="126">
        <f>IF(B2597="0",SUMIFS('Support - Transition'!F:F,'Support - Transition'!J:J,'Step 2'!D2597,'Support - Transition'!E:E,"STATE UNIT"),SUMIFS('Support - Transition'!F:F,'Support - Transition'!J:J,'Step 2'!D2597))</f>
        <v>1.4369999999999999E-3</v>
      </c>
      <c r="J2597" s="126">
        <f>SUMIFS('Support - Unit Adjustments'!E:E,'Support - Unit Adjustments'!F:F,'Step 2'!D2597)</f>
        <v>0</v>
      </c>
      <c r="K2597" s="126">
        <f t="shared" si="764"/>
        <v>1.4369999999999999E-3</v>
      </c>
      <c r="L2597" s="174">
        <f>VLOOKUP(A2597,'Step 1'!$A:$E,4,FALSE)</f>
        <v>975274</v>
      </c>
      <c r="M2597" s="47">
        <f t="shared" si="765"/>
        <v>1401</v>
      </c>
      <c r="N2597" s="177">
        <f>SUMIFS('Support - Transition'!G:G,'Support - Transition'!J:J,'Step 2'!D2597,'Support - Transition'!E:E,"2009 WELFARE ALLOCATION FACTOR")</f>
        <v>0</v>
      </c>
      <c r="O2597" s="152">
        <f t="shared" si="770"/>
        <v>0</v>
      </c>
      <c r="P2597" s="126">
        <f>IF(E2597="Y",0,SUMIFS('Support - Transition'!G:G,'Support - Transition'!J:J,'Step 2'!D2597,'Support - Transition'!E:E,"2009 SCHOOL ALLOCATION FACTOR"))</f>
        <v>0</v>
      </c>
      <c r="Q2597" s="126">
        <f>IF(E2597="Y",VLOOKUP(D2597,'Support - Unit Adjustments'!F:G,2,FALSE),0)</f>
        <v>0</v>
      </c>
      <c r="R2597" s="155">
        <f t="shared" si="782"/>
        <v>0</v>
      </c>
      <c r="S2597" s="47">
        <f t="shared" si="781"/>
        <v>0</v>
      </c>
      <c r="T2597" s="151">
        <f t="shared" si="766"/>
        <v>1401</v>
      </c>
      <c r="U2597" s="151">
        <f t="shared" si="767"/>
        <v>0</v>
      </c>
      <c r="V2597" s="139">
        <f t="shared" si="768"/>
        <v>0</v>
      </c>
      <c r="W2597" s="152">
        <f t="shared" si="771"/>
        <v>1401</v>
      </c>
      <c r="X2597" s="127" t="str">
        <f t="shared" si="769"/>
        <v/>
      </c>
      <c r="Y2597" s="207">
        <f t="shared" si="772"/>
        <v>1401</v>
      </c>
      <c r="Z2597" s="139">
        <f t="shared" si="773"/>
        <v>1401</v>
      </c>
      <c r="AA2597" s="139">
        <f t="shared" si="774"/>
        <v>0</v>
      </c>
      <c r="AC2597" s="47">
        <f t="shared" si="775"/>
        <v>701</v>
      </c>
      <c r="AD2597" s="47">
        <f t="shared" si="776"/>
        <v>701</v>
      </c>
      <c r="AE2597" s="47">
        <f t="shared" si="777"/>
        <v>0</v>
      </c>
      <c r="AG2597" s="47">
        <f t="shared" si="778"/>
        <v>700</v>
      </c>
      <c r="AH2597" s="47">
        <f t="shared" si="779"/>
        <v>700</v>
      </c>
      <c r="AI2597" s="208">
        <f t="shared" si="780"/>
        <v>0</v>
      </c>
    </row>
    <row r="2598" spans="1:35">
      <c r="A2598" t="s">
        <v>2173</v>
      </c>
      <c r="B2598" t="s">
        <v>3170</v>
      </c>
      <c r="C2598" t="s">
        <v>3076</v>
      </c>
      <c r="D2598" t="s">
        <v>6177</v>
      </c>
      <c r="F2598" t="s">
        <v>1845</v>
      </c>
      <c r="G2598" s="126">
        <f>SUMIFS('Support - Transition'!F:F,'Support - Transition'!B:B,'Step 2'!A2598,'Support - Transition'!C:C,'Step 2'!B2598,'Support - Transition'!D:D,'Step 2'!C2598,'Support - Transition'!E:E,"CIVIL")</f>
        <v>0</v>
      </c>
      <c r="H2598" s="126">
        <f>SUMIFS('Support - Transition'!F:F,'Support - Transition'!B:B,'Step 2'!A2598,'Support - Transition'!C:C,'Step 2'!B2598,'Support - Transition'!D:D,'Step 2'!C2598,'Support - Transition'!E:E,"FIRE")</f>
        <v>0</v>
      </c>
      <c r="I2598" s="126">
        <f>IF(B2598="0",SUMIFS('Support - Transition'!F:F,'Support - Transition'!J:J,'Step 2'!D2598,'Support - Transition'!E:E,"STATE UNIT"),SUMIFS('Support - Transition'!F:F,'Support - Transition'!J:J,'Step 2'!D2598))</f>
        <v>4.6373999999999693E-2</v>
      </c>
      <c r="J2598" s="126">
        <f>SUMIFS('Support - Unit Adjustments'!E:E,'Support - Unit Adjustments'!F:F,'Step 2'!D2598)</f>
        <v>0</v>
      </c>
      <c r="K2598" s="126">
        <f t="shared" si="764"/>
        <v>4.6373999999999693E-2</v>
      </c>
      <c r="L2598" s="174">
        <f>VLOOKUP(A2598,'Step 1'!$A:$E,4,FALSE)</f>
        <v>975274</v>
      </c>
      <c r="M2598" s="47">
        <f t="shared" si="765"/>
        <v>45227</v>
      </c>
      <c r="N2598" s="177">
        <f>SUMIFS('Support - Transition'!G:G,'Support - Transition'!J:J,'Step 2'!D2598,'Support - Transition'!E:E,"2009 WELFARE ALLOCATION FACTOR")</f>
        <v>0</v>
      </c>
      <c r="O2598" s="152">
        <f t="shared" si="770"/>
        <v>0</v>
      </c>
      <c r="P2598" s="126">
        <f>IF(E2598="Y",0,SUMIFS('Support - Transition'!G:G,'Support - Transition'!J:J,'Step 2'!D2598,'Support - Transition'!E:E,"2009 SCHOOL ALLOCATION FACTOR"))</f>
        <v>0</v>
      </c>
      <c r="Q2598" s="126">
        <f>IF(E2598="Y",VLOOKUP(D2598,'Support - Unit Adjustments'!F:G,2,FALSE),0)</f>
        <v>0</v>
      </c>
      <c r="R2598" s="155">
        <f t="shared" si="782"/>
        <v>0</v>
      </c>
      <c r="S2598" s="47">
        <f t="shared" si="781"/>
        <v>0</v>
      </c>
      <c r="T2598" s="151">
        <f t="shared" si="766"/>
        <v>45227</v>
      </c>
      <c r="U2598" s="151">
        <f t="shared" si="767"/>
        <v>0</v>
      </c>
      <c r="V2598" s="139">
        <f t="shared" si="768"/>
        <v>0</v>
      </c>
      <c r="W2598" s="152">
        <f t="shared" si="771"/>
        <v>45227</v>
      </c>
      <c r="X2598" s="127" t="str">
        <f t="shared" si="769"/>
        <v/>
      </c>
      <c r="Y2598" s="207">
        <f t="shared" si="772"/>
        <v>45227</v>
      </c>
      <c r="Z2598" s="139">
        <f t="shared" si="773"/>
        <v>45227</v>
      </c>
      <c r="AA2598" s="139">
        <f t="shared" si="774"/>
        <v>0</v>
      </c>
      <c r="AC2598" s="47">
        <f t="shared" si="775"/>
        <v>22614</v>
      </c>
      <c r="AD2598" s="47">
        <f t="shared" si="776"/>
        <v>22614</v>
      </c>
      <c r="AE2598" s="47">
        <f t="shared" si="777"/>
        <v>0</v>
      </c>
      <c r="AG2598" s="47">
        <f t="shared" si="778"/>
        <v>22613</v>
      </c>
      <c r="AH2598" s="47">
        <f t="shared" si="779"/>
        <v>22613</v>
      </c>
      <c r="AI2598" s="208">
        <f t="shared" si="780"/>
        <v>0</v>
      </c>
    </row>
    <row r="2599" spans="1:35">
      <c r="A2599" t="s">
        <v>2173</v>
      </c>
      <c r="B2599" t="s">
        <v>3170</v>
      </c>
      <c r="C2599" t="s">
        <v>5919</v>
      </c>
      <c r="D2599" t="s">
        <v>6178</v>
      </c>
      <c r="F2599" t="s">
        <v>1697</v>
      </c>
      <c r="G2599" s="126">
        <f>SUMIFS('Support - Transition'!F:F,'Support - Transition'!B:B,'Step 2'!A2599,'Support - Transition'!C:C,'Step 2'!B2599,'Support - Transition'!D:D,'Step 2'!C2599,'Support - Transition'!E:E,"CIVIL")</f>
        <v>0</v>
      </c>
      <c r="H2599" s="126">
        <f>SUMIFS('Support - Transition'!F:F,'Support - Transition'!B:B,'Step 2'!A2599,'Support - Transition'!C:C,'Step 2'!B2599,'Support - Transition'!D:D,'Step 2'!C2599,'Support - Transition'!E:E,"FIRE")</f>
        <v>0</v>
      </c>
      <c r="I2599" s="126">
        <f>IF(B2599="0",SUMIFS('Support - Transition'!F:F,'Support - Transition'!J:J,'Step 2'!D2599,'Support - Transition'!E:E,"STATE UNIT"),SUMIFS('Support - Transition'!F:F,'Support - Transition'!J:J,'Step 2'!D2599))</f>
        <v>0</v>
      </c>
      <c r="J2599" s="126">
        <f>SUMIFS('Support - Unit Adjustments'!E:E,'Support - Unit Adjustments'!F:F,'Step 2'!D2599)</f>
        <v>0</v>
      </c>
      <c r="K2599" s="126">
        <f t="shared" si="764"/>
        <v>0</v>
      </c>
      <c r="L2599" s="174">
        <f>VLOOKUP(A2599,'Step 1'!$A:$E,4,FALSE)</f>
        <v>975274</v>
      </c>
      <c r="M2599" s="47">
        <f t="shared" si="765"/>
        <v>0</v>
      </c>
      <c r="N2599" s="177">
        <f>SUMIFS('Support - Transition'!G:G,'Support - Transition'!J:J,'Step 2'!D2599,'Support - Transition'!E:E,"2009 WELFARE ALLOCATION FACTOR")</f>
        <v>0</v>
      </c>
      <c r="O2599" s="152">
        <f t="shared" si="770"/>
        <v>0</v>
      </c>
      <c r="P2599" s="126">
        <f>IF(E2599="Y",0,SUMIFS('Support - Transition'!G:G,'Support - Transition'!J:J,'Step 2'!D2599,'Support - Transition'!E:E,"2009 SCHOOL ALLOCATION FACTOR"))</f>
        <v>0</v>
      </c>
      <c r="Q2599" s="126">
        <f>IF(E2599="Y",VLOOKUP(D2599,'Support - Unit Adjustments'!F:G,2,FALSE),0)</f>
        <v>0</v>
      </c>
      <c r="R2599" s="155">
        <f t="shared" si="782"/>
        <v>0</v>
      </c>
      <c r="S2599" s="47">
        <f t="shared" si="781"/>
        <v>0</v>
      </c>
      <c r="T2599" s="151">
        <f t="shared" si="766"/>
        <v>0</v>
      </c>
      <c r="U2599" s="151">
        <f t="shared" si="767"/>
        <v>0</v>
      </c>
      <c r="V2599" s="139">
        <f t="shared" si="768"/>
        <v>0</v>
      </c>
      <c r="W2599" s="152">
        <f t="shared" si="771"/>
        <v>0</v>
      </c>
      <c r="X2599" s="127" t="str">
        <f t="shared" si="769"/>
        <v/>
      </c>
      <c r="Y2599" s="207">
        <f t="shared" si="772"/>
        <v>0</v>
      </c>
      <c r="Z2599" s="139">
        <f t="shared" si="773"/>
        <v>0</v>
      </c>
      <c r="AA2599" s="139">
        <f t="shared" si="774"/>
        <v>0</v>
      </c>
      <c r="AC2599" s="47">
        <f t="shared" si="775"/>
        <v>0</v>
      </c>
      <c r="AD2599" s="47">
        <f t="shared" si="776"/>
        <v>0</v>
      </c>
      <c r="AE2599" s="47">
        <f t="shared" si="777"/>
        <v>0</v>
      </c>
      <c r="AG2599" s="47">
        <f t="shared" si="778"/>
        <v>0</v>
      </c>
      <c r="AH2599" s="47">
        <f t="shared" si="779"/>
        <v>0</v>
      </c>
      <c r="AI2599" s="208">
        <f t="shared" si="780"/>
        <v>0</v>
      </c>
    </row>
    <row r="2600" spans="1:35">
      <c r="A2600" t="s">
        <v>2174</v>
      </c>
      <c r="B2600" s="48" t="s">
        <v>6274</v>
      </c>
      <c r="C2600" t="s">
        <v>2187</v>
      </c>
      <c r="D2600" t="str">
        <f>A2600&amp;B2600&amp;C2600</f>
        <v>9000000</v>
      </c>
      <c r="F2600" t="s">
        <v>6364</v>
      </c>
      <c r="G2600" s="126">
        <f>SUMIFS('Support - Transition'!F:F,'Support - Transition'!B:B,'Step 2'!A2600,'Support - Transition'!C:C,'Step 2'!B2600,'Support - Transition'!D:D,'Step 2'!C2600,'Support - Transition'!E:E,"CIVIL")</f>
        <v>0</v>
      </c>
      <c r="H2600" s="126">
        <f>SUMIFS('Support - Transition'!F:F,'Support - Transition'!B:B,'Step 2'!A2600,'Support - Transition'!C:C,'Step 2'!B2600,'Support - Transition'!D:D,'Step 2'!C2600,'Support - Transition'!E:E,"FIRE")</f>
        <v>0</v>
      </c>
      <c r="I2600" s="126">
        <f>IF(B2600="0",SUMIFS('Support - Transition'!F:F,'Support - Transition'!J:J,'Step 2'!D2600,'Support - Transition'!E:E,"STATE UNIT"),SUMIFS('Support - Transition'!F:F,'Support - Transition'!J:J,'Step 2'!D2600))</f>
        <v>1.121E-3</v>
      </c>
      <c r="J2600" s="126">
        <f>SUMIFS('Support - Unit Adjustments'!E:E,'Support - Unit Adjustments'!F:F,'Step 2'!D2600)</f>
        <v>0</v>
      </c>
      <c r="K2600" s="126">
        <f t="shared" si="764"/>
        <v>1.121E-3</v>
      </c>
      <c r="L2600" s="174">
        <f>VLOOKUP(A2600,'Step 1'!$A:$E,4,FALSE)</f>
        <v>481081</v>
      </c>
      <c r="M2600" s="47">
        <f t="shared" si="765"/>
        <v>539</v>
      </c>
      <c r="N2600" s="177">
        <f>SUMIFS('Support - Transition'!G:G,'Support - Transition'!J:J,'Step 2'!D2600,'Support - Transition'!E:E,"2009 WELFARE ALLOCATION FACTOR")</f>
        <v>0</v>
      </c>
      <c r="O2600" s="152">
        <f t="shared" si="770"/>
        <v>0</v>
      </c>
      <c r="P2600" s="126">
        <f>IF(E2600="Y",0,SUMIFS('Support - Transition'!G:G,'Support - Transition'!J:J,'Step 2'!D2600,'Support - Transition'!E:E,"2009 SCHOOL ALLOCATION FACTOR"))</f>
        <v>0</v>
      </c>
      <c r="Q2600" s="126">
        <f>IF(E2600="Y",VLOOKUP(D2600,'Support - Unit Adjustments'!F:G,2,FALSE),0)</f>
        <v>0</v>
      </c>
      <c r="R2600" s="155">
        <f t="shared" si="782"/>
        <v>0</v>
      </c>
      <c r="S2600" s="47">
        <f t="shared" si="781"/>
        <v>0</v>
      </c>
      <c r="T2600" s="151">
        <f t="shared" si="766"/>
        <v>539</v>
      </c>
      <c r="U2600" s="151">
        <f t="shared" si="767"/>
        <v>481082</v>
      </c>
      <c r="V2600" s="139">
        <f t="shared" si="768"/>
        <v>1</v>
      </c>
      <c r="W2600" s="152">
        <f t="shared" si="771"/>
        <v>538</v>
      </c>
      <c r="X2600" s="127">
        <f t="shared" si="769"/>
        <v>0</v>
      </c>
      <c r="Y2600" s="207">
        <f t="shared" si="772"/>
        <v>538</v>
      </c>
      <c r="Z2600" s="139">
        <f t="shared" si="773"/>
        <v>538</v>
      </c>
      <c r="AA2600" s="139">
        <f t="shared" si="774"/>
        <v>0</v>
      </c>
      <c r="AC2600" s="47">
        <f t="shared" si="775"/>
        <v>269</v>
      </c>
      <c r="AD2600" s="47">
        <f t="shared" si="776"/>
        <v>269</v>
      </c>
      <c r="AE2600" s="47">
        <f t="shared" si="777"/>
        <v>0</v>
      </c>
      <c r="AG2600" s="47">
        <f t="shared" si="778"/>
        <v>269</v>
      </c>
      <c r="AH2600" s="47">
        <f t="shared" si="779"/>
        <v>269</v>
      </c>
      <c r="AI2600" s="208">
        <f t="shared" si="780"/>
        <v>0</v>
      </c>
    </row>
    <row r="2601" spans="1:35">
      <c r="A2601" t="s">
        <v>2174</v>
      </c>
      <c r="B2601" t="s">
        <v>3140</v>
      </c>
      <c r="C2601" t="s">
        <v>2187</v>
      </c>
      <c r="D2601" t="s">
        <v>6179</v>
      </c>
      <c r="F2601" t="s">
        <v>1847</v>
      </c>
      <c r="G2601" s="126">
        <f>SUMIFS('Support - Transition'!F:F,'Support - Transition'!B:B,'Step 2'!A2601,'Support - Transition'!C:C,'Step 2'!B2601,'Support - Transition'!D:D,'Step 2'!C2601,'Support - Transition'!E:E,"CIVIL")</f>
        <v>0</v>
      </c>
      <c r="H2601" s="126">
        <f>SUMIFS('Support - Transition'!F:F,'Support - Transition'!B:B,'Step 2'!A2601,'Support - Transition'!C:C,'Step 2'!B2601,'Support - Transition'!D:D,'Step 2'!C2601,'Support - Transition'!E:E,"FIRE")</f>
        <v>0</v>
      </c>
      <c r="I2601" s="126">
        <f>IF(B2601="0",SUMIFS('Support - Transition'!F:F,'Support - Transition'!J:J,'Step 2'!D2601,'Support - Transition'!E:E,"STATE UNIT"),SUMIFS('Support - Transition'!F:F,'Support - Transition'!J:J,'Step 2'!D2601))</f>
        <v>0.201131</v>
      </c>
      <c r="J2601" s="126">
        <f>SUMIFS('Support - Unit Adjustments'!E:E,'Support - Unit Adjustments'!F:F,'Step 2'!D2601)</f>
        <v>0</v>
      </c>
      <c r="K2601" s="126">
        <f t="shared" si="764"/>
        <v>0.201131</v>
      </c>
      <c r="L2601" s="174">
        <f>VLOOKUP(A2601,'Step 1'!$A:$E,4,FALSE)</f>
        <v>481081</v>
      </c>
      <c r="M2601" s="47">
        <f t="shared" si="765"/>
        <v>96760</v>
      </c>
      <c r="N2601" s="177">
        <f>SUMIFS('Support - Transition'!G:G,'Support - Transition'!J:J,'Step 2'!D2601,'Support - Transition'!E:E,"2009 WELFARE ALLOCATION FACTOR")</f>
        <v>0.16194800000000001</v>
      </c>
      <c r="O2601" s="152">
        <f t="shared" si="770"/>
        <v>15670</v>
      </c>
      <c r="P2601" s="126">
        <f>IF(E2601="Y",0,SUMIFS('Support - Transition'!G:G,'Support - Transition'!J:J,'Step 2'!D2601,'Support - Transition'!E:E,"2009 SCHOOL ALLOCATION FACTOR"))</f>
        <v>0</v>
      </c>
      <c r="Q2601" s="126">
        <f>IF(E2601="Y",VLOOKUP(D2601,'Support - Unit Adjustments'!F:G,2,FALSE),0)</f>
        <v>0</v>
      </c>
      <c r="R2601" s="155">
        <f t="shared" si="782"/>
        <v>0</v>
      </c>
      <c r="S2601" s="47">
        <f t="shared" si="781"/>
        <v>0</v>
      </c>
      <c r="T2601" s="151">
        <f t="shared" si="766"/>
        <v>81090</v>
      </c>
      <c r="U2601" s="151">
        <f t="shared" si="767"/>
        <v>0</v>
      </c>
      <c r="V2601" s="139">
        <f t="shared" si="768"/>
        <v>0</v>
      </c>
      <c r="W2601" s="152">
        <f t="shared" si="771"/>
        <v>81090</v>
      </c>
      <c r="X2601" s="127" t="str">
        <f t="shared" si="769"/>
        <v/>
      </c>
      <c r="Y2601" s="207">
        <f t="shared" si="772"/>
        <v>81090</v>
      </c>
      <c r="Z2601" s="139">
        <f t="shared" si="773"/>
        <v>81090</v>
      </c>
      <c r="AA2601" s="139">
        <f t="shared" si="774"/>
        <v>0</v>
      </c>
      <c r="AC2601" s="47">
        <f t="shared" si="775"/>
        <v>40545</v>
      </c>
      <c r="AD2601" s="47">
        <f t="shared" si="776"/>
        <v>40545</v>
      </c>
      <c r="AE2601" s="47">
        <f t="shared" si="777"/>
        <v>0</v>
      </c>
      <c r="AG2601" s="47">
        <f t="shared" si="778"/>
        <v>40545</v>
      </c>
      <c r="AH2601" s="47">
        <f t="shared" si="779"/>
        <v>40545</v>
      </c>
      <c r="AI2601" s="208">
        <f t="shared" si="780"/>
        <v>0</v>
      </c>
    </row>
    <row r="2602" spans="1:35">
      <c r="A2602" t="s">
        <v>2174</v>
      </c>
      <c r="B2602" t="s">
        <v>3142</v>
      </c>
      <c r="C2602" t="s">
        <v>2188</v>
      </c>
      <c r="D2602" t="s">
        <v>6180</v>
      </c>
      <c r="F2602" t="s">
        <v>1750</v>
      </c>
      <c r="G2602" s="126">
        <f>SUMIFS('Support - Transition'!F:F,'Support - Transition'!B:B,'Step 2'!A2602,'Support - Transition'!C:C,'Step 2'!B2602,'Support - Transition'!D:D,'Step 2'!C2602,'Support - Transition'!E:E,"CIVIL")</f>
        <v>1.3100000000000001E-4</v>
      </c>
      <c r="H2602" s="126">
        <f>SUMIFS('Support - Transition'!F:F,'Support - Transition'!B:B,'Step 2'!A2602,'Support - Transition'!C:C,'Step 2'!B2602,'Support - Transition'!D:D,'Step 2'!C2602,'Support - Transition'!E:E,"FIRE")</f>
        <v>2.24E-4</v>
      </c>
      <c r="I2602" s="126">
        <f>IF(B2602="0",SUMIFS('Support - Transition'!F:F,'Support - Transition'!J:J,'Step 2'!D2602,'Support - Transition'!E:E,"STATE UNIT"),SUMIFS('Support - Transition'!F:F,'Support - Transition'!J:J,'Step 2'!D2602))</f>
        <v>3.5500000000000001E-4</v>
      </c>
      <c r="J2602" s="126">
        <f>SUMIFS('Support - Unit Adjustments'!E:E,'Support - Unit Adjustments'!F:F,'Step 2'!D2602)</f>
        <v>0</v>
      </c>
      <c r="K2602" s="126">
        <f t="shared" si="764"/>
        <v>3.5500000000000001E-4</v>
      </c>
      <c r="L2602" s="174">
        <f>VLOOKUP(A2602,'Step 1'!$A:$E,4,FALSE)</f>
        <v>481081</v>
      </c>
      <c r="M2602" s="47">
        <f t="shared" si="765"/>
        <v>171</v>
      </c>
      <c r="N2602" s="177">
        <f>SUMIFS('Support - Transition'!G:G,'Support - Transition'!J:J,'Step 2'!D2602,'Support - Transition'!E:E,"2009 WELFARE ALLOCATION FACTOR")</f>
        <v>0</v>
      </c>
      <c r="O2602" s="152">
        <f t="shared" si="770"/>
        <v>0</v>
      </c>
      <c r="P2602" s="126">
        <f>IF(E2602="Y",0,SUMIFS('Support - Transition'!G:G,'Support - Transition'!J:J,'Step 2'!D2602,'Support - Transition'!E:E,"2009 SCHOOL ALLOCATION FACTOR"))</f>
        <v>0</v>
      </c>
      <c r="Q2602" s="126">
        <f>IF(E2602="Y",VLOOKUP(D2602,'Support - Unit Adjustments'!F:G,2,FALSE),0)</f>
        <v>0</v>
      </c>
      <c r="R2602" s="155">
        <f t="shared" si="782"/>
        <v>0</v>
      </c>
      <c r="S2602" s="47">
        <f t="shared" si="781"/>
        <v>0</v>
      </c>
      <c r="T2602" s="151">
        <f t="shared" si="766"/>
        <v>171</v>
      </c>
      <c r="U2602" s="151">
        <f t="shared" si="767"/>
        <v>0</v>
      </c>
      <c r="V2602" s="139">
        <f t="shared" si="768"/>
        <v>0</v>
      </c>
      <c r="W2602" s="152">
        <f t="shared" si="771"/>
        <v>171</v>
      </c>
      <c r="X2602" s="127" t="str">
        <f t="shared" si="769"/>
        <v/>
      </c>
      <c r="Y2602" s="207">
        <f t="shared" si="772"/>
        <v>171</v>
      </c>
      <c r="Z2602" s="139">
        <f t="shared" si="773"/>
        <v>63</v>
      </c>
      <c r="AA2602" s="139">
        <f t="shared" si="774"/>
        <v>108</v>
      </c>
      <c r="AC2602" s="47">
        <f t="shared" si="775"/>
        <v>86</v>
      </c>
      <c r="AD2602" s="47">
        <f t="shared" si="776"/>
        <v>32</v>
      </c>
      <c r="AE2602" s="47">
        <f t="shared" si="777"/>
        <v>54</v>
      </c>
      <c r="AG2602" s="47">
        <f t="shared" si="778"/>
        <v>85</v>
      </c>
      <c r="AH2602" s="47">
        <f t="shared" si="779"/>
        <v>31</v>
      </c>
      <c r="AI2602" s="208">
        <f t="shared" si="780"/>
        <v>54</v>
      </c>
    </row>
    <row r="2603" spans="1:35">
      <c r="A2603" t="s">
        <v>2174</v>
      </c>
      <c r="B2603" t="s">
        <v>3142</v>
      </c>
      <c r="C2603" t="s">
        <v>2189</v>
      </c>
      <c r="D2603" t="s">
        <v>6181</v>
      </c>
      <c r="F2603" t="s">
        <v>86</v>
      </c>
      <c r="G2603" s="126">
        <f>SUMIFS('Support - Transition'!F:F,'Support - Transition'!B:B,'Step 2'!A2603,'Support - Transition'!C:C,'Step 2'!B2603,'Support - Transition'!D:D,'Step 2'!C2603,'Support - Transition'!E:E,"CIVIL")</f>
        <v>2.745E-3</v>
      </c>
      <c r="H2603" s="126">
        <f>SUMIFS('Support - Transition'!F:F,'Support - Transition'!B:B,'Step 2'!A2603,'Support - Transition'!C:C,'Step 2'!B2603,'Support - Transition'!D:D,'Step 2'!C2603,'Support - Transition'!E:E,"FIRE")</f>
        <v>9.7599999999999998E-4</v>
      </c>
      <c r="I2603" s="126">
        <f>IF(B2603="0",SUMIFS('Support - Transition'!F:F,'Support - Transition'!J:J,'Step 2'!D2603,'Support - Transition'!E:E,"STATE UNIT"),SUMIFS('Support - Transition'!F:F,'Support - Transition'!J:J,'Step 2'!D2603))</f>
        <v>3.7209999999999999E-3</v>
      </c>
      <c r="J2603" s="126">
        <f>SUMIFS('Support - Unit Adjustments'!E:E,'Support - Unit Adjustments'!F:F,'Step 2'!D2603)</f>
        <v>0</v>
      </c>
      <c r="K2603" s="126">
        <f t="shared" si="764"/>
        <v>3.7209999999999999E-3</v>
      </c>
      <c r="L2603" s="174">
        <f>VLOOKUP(A2603,'Step 1'!$A:$E,4,FALSE)</f>
        <v>481081</v>
      </c>
      <c r="M2603" s="47">
        <f t="shared" si="765"/>
        <v>1790</v>
      </c>
      <c r="N2603" s="177">
        <f>SUMIFS('Support - Transition'!G:G,'Support - Transition'!J:J,'Step 2'!D2603,'Support - Transition'!E:E,"2009 WELFARE ALLOCATION FACTOR")</f>
        <v>0</v>
      </c>
      <c r="O2603" s="152">
        <f t="shared" si="770"/>
        <v>0</v>
      </c>
      <c r="P2603" s="126">
        <f>IF(E2603="Y",0,SUMIFS('Support - Transition'!G:G,'Support - Transition'!J:J,'Step 2'!D2603,'Support - Transition'!E:E,"2009 SCHOOL ALLOCATION FACTOR"))</f>
        <v>0</v>
      </c>
      <c r="Q2603" s="126">
        <f>IF(E2603="Y",VLOOKUP(D2603,'Support - Unit Adjustments'!F:G,2,FALSE),0)</f>
        <v>0</v>
      </c>
      <c r="R2603" s="155">
        <f t="shared" si="782"/>
        <v>0</v>
      </c>
      <c r="S2603" s="47">
        <f t="shared" si="781"/>
        <v>0</v>
      </c>
      <c r="T2603" s="151">
        <f t="shared" si="766"/>
        <v>1790</v>
      </c>
      <c r="U2603" s="151">
        <f t="shared" si="767"/>
        <v>0</v>
      </c>
      <c r="V2603" s="139">
        <f t="shared" si="768"/>
        <v>0</v>
      </c>
      <c r="W2603" s="152">
        <f t="shared" si="771"/>
        <v>1790</v>
      </c>
      <c r="X2603" s="127" t="str">
        <f t="shared" si="769"/>
        <v/>
      </c>
      <c r="Y2603" s="207">
        <f t="shared" si="772"/>
        <v>1790</v>
      </c>
      <c r="Z2603" s="139">
        <f t="shared" si="773"/>
        <v>1320</v>
      </c>
      <c r="AA2603" s="139">
        <f t="shared" si="774"/>
        <v>470</v>
      </c>
      <c r="AC2603" s="47">
        <f t="shared" si="775"/>
        <v>895</v>
      </c>
      <c r="AD2603" s="47">
        <f t="shared" si="776"/>
        <v>660</v>
      </c>
      <c r="AE2603" s="47">
        <f t="shared" si="777"/>
        <v>235</v>
      </c>
      <c r="AG2603" s="47">
        <f t="shared" si="778"/>
        <v>895</v>
      </c>
      <c r="AH2603" s="47">
        <f t="shared" si="779"/>
        <v>660</v>
      </c>
      <c r="AI2603" s="208">
        <f t="shared" si="780"/>
        <v>235</v>
      </c>
    </row>
    <row r="2604" spans="1:35">
      <c r="A2604" t="s">
        <v>2174</v>
      </c>
      <c r="B2604" t="s">
        <v>3142</v>
      </c>
      <c r="C2604" t="s">
        <v>2190</v>
      </c>
      <c r="D2604" t="s">
        <v>6182</v>
      </c>
      <c r="F2604" t="s">
        <v>49</v>
      </c>
      <c r="G2604" s="126">
        <f>SUMIFS('Support - Transition'!F:F,'Support - Transition'!B:B,'Step 2'!A2604,'Support - Transition'!C:C,'Step 2'!B2604,'Support - Transition'!D:D,'Step 2'!C2604,'Support - Transition'!E:E,"CIVIL")</f>
        <v>1.9900000000000001E-4</v>
      </c>
      <c r="H2604" s="126">
        <f>SUMIFS('Support - Transition'!F:F,'Support - Transition'!B:B,'Step 2'!A2604,'Support - Transition'!C:C,'Step 2'!B2604,'Support - Transition'!D:D,'Step 2'!C2604,'Support - Transition'!E:E,"FIRE")</f>
        <v>1.17E-4</v>
      </c>
      <c r="I2604" s="126">
        <f>IF(B2604="0",SUMIFS('Support - Transition'!F:F,'Support - Transition'!J:J,'Step 2'!D2604,'Support - Transition'!E:E,"STATE UNIT"),SUMIFS('Support - Transition'!F:F,'Support - Transition'!J:J,'Step 2'!D2604))</f>
        <v>3.1599999999999998E-4</v>
      </c>
      <c r="J2604" s="126">
        <f>SUMIFS('Support - Unit Adjustments'!E:E,'Support - Unit Adjustments'!F:F,'Step 2'!D2604)</f>
        <v>0</v>
      </c>
      <c r="K2604" s="126">
        <f t="shared" si="764"/>
        <v>3.1599999999999998E-4</v>
      </c>
      <c r="L2604" s="174">
        <f>VLOOKUP(A2604,'Step 1'!$A:$E,4,FALSE)</f>
        <v>481081</v>
      </c>
      <c r="M2604" s="47">
        <f t="shared" si="765"/>
        <v>152</v>
      </c>
      <c r="N2604" s="177">
        <f>SUMIFS('Support - Transition'!G:G,'Support - Transition'!J:J,'Step 2'!D2604,'Support - Transition'!E:E,"2009 WELFARE ALLOCATION FACTOR")</f>
        <v>0</v>
      </c>
      <c r="O2604" s="152">
        <f t="shared" si="770"/>
        <v>0</v>
      </c>
      <c r="P2604" s="126">
        <f>IF(E2604="Y",0,SUMIFS('Support - Transition'!G:G,'Support - Transition'!J:J,'Step 2'!D2604,'Support - Transition'!E:E,"2009 SCHOOL ALLOCATION FACTOR"))</f>
        <v>0</v>
      </c>
      <c r="Q2604" s="126">
        <f>IF(E2604="Y",VLOOKUP(D2604,'Support - Unit Adjustments'!F:G,2,FALSE),0)</f>
        <v>0</v>
      </c>
      <c r="R2604" s="155">
        <f t="shared" si="782"/>
        <v>0</v>
      </c>
      <c r="S2604" s="47">
        <f t="shared" si="781"/>
        <v>0</v>
      </c>
      <c r="T2604" s="151">
        <f t="shared" si="766"/>
        <v>152</v>
      </c>
      <c r="U2604" s="151">
        <f t="shared" si="767"/>
        <v>0</v>
      </c>
      <c r="V2604" s="139">
        <f t="shared" si="768"/>
        <v>0</v>
      </c>
      <c r="W2604" s="152">
        <f t="shared" si="771"/>
        <v>152</v>
      </c>
      <c r="X2604" s="127" t="str">
        <f t="shared" si="769"/>
        <v/>
      </c>
      <c r="Y2604" s="207">
        <f t="shared" si="772"/>
        <v>152</v>
      </c>
      <c r="Z2604" s="139">
        <f t="shared" si="773"/>
        <v>96</v>
      </c>
      <c r="AA2604" s="139">
        <f t="shared" si="774"/>
        <v>56</v>
      </c>
      <c r="AC2604" s="47">
        <f t="shared" si="775"/>
        <v>76</v>
      </c>
      <c r="AD2604" s="47">
        <f t="shared" si="776"/>
        <v>48</v>
      </c>
      <c r="AE2604" s="47">
        <f t="shared" si="777"/>
        <v>28</v>
      </c>
      <c r="AG2604" s="47">
        <f t="shared" si="778"/>
        <v>76</v>
      </c>
      <c r="AH2604" s="47">
        <f t="shared" si="779"/>
        <v>48</v>
      </c>
      <c r="AI2604" s="208">
        <f t="shared" si="780"/>
        <v>28</v>
      </c>
    </row>
    <row r="2605" spans="1:35">
      <c r="A2605" t="s">
        <v>2174</v>
      </c>
      <c r="B2605" t="s">
        <v>3142</v>
      </c>
      <c r="C2605" t="s">
        <v>2191</v>
      </c>
      <c r="D2605" t="s">
        <v>6183</v>
      </c>
      <c r="F2605" t="s">
        <v>14</v>
      </c>
      <c r="G2605" s="126">
        <f>SUMIFS('Support - Transition'!F:F,'Support - Transition'!B:B,'Step 2'!A2605,'Support - Transition'!C:C,'Step 2'!B2605,'Support - Transition'!D:D,'Step 2'!C2605,'Support - Transition'!E:E,"CIVIL")</f>
        <v>3.6900000000000002E-4</v>
      </c>
      <c r="H2605" s="126">
        <f>SUMIFS('Support - Transition'!F:F,'Support - Transition'!B:B,'Step 2'!A2605,'Support - Transition'!C:C,'Step 2'!B2605,'Support - Transition'!D:D,'Step 2'!C2605,'Support - Transition'!E:E,"FIRE")</f>
        <v>1.1400000000000001E-4</v>
      </c>
      <c r="I2605" s="126">
        <f>IF(B2605="0",SUMIFS('Support - Transition'!F:F,'Support - Transition'!J:J,'Step 2'!D2605,'Support - Transition'!E:E,"STATE UNIT"),SUMIFS('Support - Transition'!F:F,'Support - Transition'!J:J,'Step 2'!D2605))</f>
        <v>4.8300000000000003E-4</v>
      </c>
      <c r="J2605" s="126">
        <f>SUMIFS('Support - Unit Adjustments'!E:E,'Support - Unit Adjustments'!F:F,'Step 2'!D2605)</f>
        <v>0</v>
      </c>
      <c r="K2605" s="126">
        <f t="shared" si="764"/>
        <v>4.8300000000000003E-4</v>
      </c>
      <c r="L2605" s="174">
        <f>VLOOKUP(A2605,'Step 1'!$A:$E,4,FALSE)</f>
        <v>481081</v>
      </c>
      <c r="M2605" s="47">
        <f t="shared" si="765"/>
        <v>232</v>
      </c>
      <c r="N2605" s="177">
        <f>SUMIFS('Support - Transition'!G:G,'Support - Transition'!J:J,'Step 2'!D2605,'Support - Transition'!E:E,"2009 WELFARE ALLOCATION FACTOR")</f>
        <v>0</v>
      </c>
      <c r="O2605" s="152">
        <f t="shared" si="770"/>
        <v>0</v>
      </c>
      <c r="P2605" s="126">
        <f>IF(E2605="Y",0,SUMIFS('Support - Transition'!G:G,'Support - Transition'!J:J,'Step 2'!D2605,'Support - Transition'!E:E,"2009 SCHOOL ALLOCATION FACTOR"))</f>
        <v>0</v>
      </c>
      <c r="Q2605" s="126">
        <f>IF(E2605="Y",VLOOKUP(D2605,'Support - Unit Adjustments'!F:G,2,FALSE),0)</f>
        <v>0</v>
      </c>
      <c r="R2605" s="155">
        <f t="shared" si="782"/>
        <v>0</v>
      </c>
      <c r="S2605" s="47">
        <f t="shared" si="781"/>
        <v>0</v>
      </c>
      <c r="T2605" s="151">
        <f t="shared" si="766"/>
        <v>232</v>
      </c>
      <c r="U2605" s="151">
        <f t="shared" si="767"/>
        <v>0</v>
      </c>
      <c r="V2605" s="139">
        <f t="shared" si="768"/>
        <v>0</v>
      </c>
      <c r="W2605" s="152">
        <f t="shared" si="771"/>
        <v>232</v>
      </c>
      <c r="X2605" s="127" t="str">
        <f t="shared" si="769"/>
        <v/>
      </c>
      <c r="Y2605" s="207">
        <f t="shared" si="772"/>
        <v>232</v>
      </c>
      <c r="Z2605" s="139">
        <f t="shared" si="773"/>
        <v>177</v>
      </c>
      <c r="AA2605" s="139">
        <f t="shared" si="774"/>
        <v>55</v>
      </c>
      <c r="AC2605" s="47">
        <f t="shared" si="775"/>
        <v>116</v>
      </c>
      <c r="AD2605" s="47">
        <f t="shared" si="776"/>
        <v>89</v>
      </c>
      <c r="AE2605" s="47">
        <f t="shared" si="777"/>
        <v>28</v>
      </c>
      <c r="AG2605" s="47">
        <f t="shared" si="778"/>
        <v>116</v>
      </c>
      <c r="AH2605" s="47">
        <f t="shared" si="779"/>
        <v>88</v>
      </c>
      <c r="AI2605" s="208">
        <f t="shared" si="780"/>
        <v>27</v>
      </c>
    </row>
    <row r="2606" spans="1:35">
      <c r="A2606" t="s">
        <v>2174</v>
      </c>
      <c r="B2606" t="s">
        <v>3142</v>
      </c>
      <c r="C2606" t="s">
        <v>2192</v>
      </c>
      <c r="D2606" t="s">
        <v>6184</v>
      </c>
      <c r="F2606" t="s">
        <v>794</v>
      </c>
      <c r="G2606" s="126">
        <f>SUMIFS('Support - Transition'!F:F,'Support - Transition'!B:B,'Step 2'!A2606,'Support - Transition'!C:C,'Step 2'!B2606,'Support - Transition'!D:D,'Step 2'!C2606,'Support - Transition'!E:E,"CIVIL")</f>
        <v>1.3010000000000001E-3</v>
      </c>
      <c r="H2606" s="126">
        <f>SUMIFS('Support - Transition'!F:F,'Support - Transition'!B:B,'Step 2'!A2606,'Support - Transition'!C:C,'Step 2'!B2606,'Support - Transition'!D:D,'Step 2'!C2606,'Support - Transition'!E:E,"FIRE")</f>
        <v>4.0299999999999998E-4</v>
      </c>
      <c r="I2606" s="126">
        <f>IF(B2606="0",SUMIFS('Support - Transition'!F:F,'Support - Transition'!J:J,'Step 2'!D2606,'Support - Transition'!E:E,"STATE UNIT"),SUMIFS('Support - Transition'!F:F,'Support - Transition'!J:J,'Step 2'!D2606))</f>
        <v>1.704E-3</v>
      </c>
      <c r="J2606" s="126">
        <f>SUMIFS('Support - Unit Adjustments'!E:E,'Support - Unit Adjustments'!F:F,'Step 2'!D2606)</f>
        <v>0</v>
      </c>
      <c r="K2606" s="126">
        <f t="shared" si="764"/>
        <v>1.704E-3</v>
      </c>
      <c r="L2606" s="174">
        <f>VLOOKUP(A2606,'Step 1'!$A:$E,4,FALSE)</f>
        <v>481081</v>
      </c>
      <c r="M2606" s="47">
        <f t="shared" si="765"/>
        <v>820</v>
      </c>
      <c r="N2606" s="177">
        <f>SUMIFS('Support - Transition'!G:G,'Support - Transition'!J:J,'Step 2'!D2606,'Support - Transition'!E:E,"2009 WELFARE ALLOCATION FACTOR")</f>
        <v>0</v>
      </c>
      <c r="O2606" s="152">
        <f t="shared" si="770"/>
        <v>0</v>
      </c>
      <c r="P2606" s="126">
        <f>IF(E2606="Y",0,SUMIFS('Support - Transition'!G:G,'Support - Transition'!J:J,'Step 2'!D2606,'Support - Transition'!E:E,"2009 SCHOOL ALLOCATION FACTOR"))</f>
        <v>0</v>
      </c>
      <c r="Q2606" s="126">
        <f>IF(E2606="Y",VLOOKUP(D2606,'Support - Unit Adjustments'!F:G,2,FALSE),0)</f>
        <v>0</v>
      </c>
      <c r="R2606" s="155">
        <f t="shared" si="782"/>
        <v>0</v>
      </c>
      <c r="S2606" s="47">
        <f t="shared" si="781"/>
        <v>0</v>
      </c>
      <c r="T2606" s="151">
        <f t="shared" si="766"/>
        <v>820</v>
      </c>
      <c r="U2606" s="151">
        <f t="shared" si="767"/>
        <v>0</v>
      </c>
      <c r="V2606" s="139">
        <f t="shared" si="768"/>
        <v>0</v>
      </c>
      <c r="W2606" s="152">
        <f t="shared" si="771"/>
        <v>820</v>
      </c>
      <c r="X2606" s="127" t="str">
        <f t="shared" si="769"/>
        <v/>
      </c>
      <c r="Y2606" s="207">
        <f t="shared" si="772"/>
        <v>820</v>
      </c>
      <c r="Z2606" s="139">
        <f t="shared" si="773"/>
        <v>626</v>
      </c>
      <c r="AA2606" s="139">
        <f t="shared" si="774"/>
        <v>194</v>
      </c>
      <c r="AC2606" s="47">
        <f t="shared" si="775"/>
        <v>410</v>
      </c>
      <c r="AD2606" s="47">
        <f t="shared" si="776"/>
        <v>313</v>
      </c>
      <c r="AE2606" s="47">
        <f t="shared" si="777"/>
        <v>97</v>
      </c>
      <c r="AG2606" s="47">
        <f t="shared" si="778"/>
        <v>410</v>
      </c>
      <c r="AH2606" s="47">
        <f t="shared" si="779"/>
        <v>313</v>
      </c>
      <c r="AI2606" s="208">
        <f t="shared" si="780"/>
        <v>97</v>
      </c>
    </row>
    <row r="2607" spans="1:35">
      <c r="A2607" t="s">
        <v>2174</v>
      </c>
      <c r="B2607" t="s">
        <v>3142</v>
      </c>
      <c r="C2607" t="s">
        <v>2193</v>
      </c>
      <c r="D2607" t="s">
        <v>6185</v>
      </c>
      <c r="F2607" t="s">
        <v>181</v>
      </c>
      <c r="G2607" s="126">
        <f>SUMIFS('Support - Transition'!F:F,'Support - Transition'!B:B,'Step 2'!A2607,'Support - Transition'!C:C,'Step 2'!B2607,'Support - Transition'!D:D,'Step 2'!C2607,'Support - Transition'!E:E,"CIVIL")</f>
        <v>4.8899999999999996E-4</v>
      </c>
      <c r="H2607" s="126">
        <f>SUMIFS('Support - Transition'!F:F,'Support - Transition'!B:B,'Step 2'!A2607,'Support - Transition'!C:C,'Step 2'!B2607,'Support - Transition'!D:D,'Step 2'!C2607,'Support - Transition'!E:E,"FIRE")</f>
        <v>3.3199999999999999E-4</v>
      </c>
      <c r="I2607" s="126">
        <f>IF(B2607="0",SUMIFS('Support - Transition'!F:F,'Support - Transition'!J:J,'Step 2'!D2607,'Support - Transition'!E:E,"STATE UNIT"),SUMIFS('Support - Transition'!F:F,'Support - Transition'!J:J,'Step 2'!D2607))</f>
        <v>8.209999999999999E-4</v>
      </c>
      <c r="J2607" s="126">
        <f>SUMIFS('Support - Unit Adjustments'!E:E,'Support - Unit Adjustments'!F:F,'Step 2'!D2607)</f>
        <v>0</v>
      </c>
      <c r="K2607" s="126">
        <f t="shared" si="764"/>
        <v>8.209999999999999E-4</v>
      </c>
      <c r="L2607" s="174">
        <f>VLOOKUP(A2607,'Step 1'!$A:$E,4,FALSE)</f>
        <v>481081</v>
      </c>
      <c r="M2607" s="47">
        <f t="shared" si="765"/>
        <v>395</v>
      </c>
      <c r="N2607" s="177">
        <f>SUMIFS('Support - Transition'!G:G,'Support - Transition'!J:J,'Step 2'!D2607,'Support - Transition'!E:E,"2009 WELFARE ALLOCATION FACTOR")</f>
        <v>0</v>
      </c>
      <c r="O2607" s="152">
        <f t="shared" si="770"/>
        <v>0</v>
      </c>
      <c r="P2607" s="126">
        <f>IF(E2607="Y",0,SUMIFS('Support - Transition'!G:G,'Support - Transition'!J:J,'Step 2'!D2607,'Support - Transition'!E:E,"2009 SCHOOL ALLOCATION FACTOR"))</f>
        <v>0</v>
      </c>
      <c r="Q2607" s="126">
        <f>IF(E2607="Y",VLOOKUP(D2607,'Support - Unit Adjustments'!F:G,2,FALSE),0)</f>
        <v>0</v>
      </c>
      <c r="R2607" s="155">
        <f t="shared" si="782"/>
        <v>0</v>
      </c>
      <c r="S2607" s="47">
        <f t="shared" si="781"/>
        <v>0</v>
      </c>
      <c r="T2607" s="151">
        <f t="shared" si="766"/>
        <v>395</v>
      </c>
      <c r="U2607" s="151">
        <f t="shared" si="767"/>
        <v>0</v>
      </c>
      <c r="V2607" s="139">
        <f t="shared" si="768"/>
        <v>0</v>
      </c>
      <c r="W2607" s="152">
        <f t="shared" si="771"/>
        <v>395</v>
      </c>
      <c r="X2607" s="127" t="str">
        <f t="shared" si="769"/>
        <v/>
      </c>
      <c r="Y2607" s="207">
        <f t="shared" si="772"/>
        <v>395</v>
      </c>
      <c r="Z2607" s="139">
        <f t="shared" si="773"/>
        <v>235</v>
      </c>
      <c r="AA2607" s="139">
        <f t="shared" si="774"/>
        <v>160</v>
      </c>
      <c r="AC2607" s="47">
        <f t="shared" si="775"/>
        <v>198</v>
      </c>
      <c r="AD2607" s="47">
        <f t="shared" si="776"/>
        <v>118</v>
      </c>
      <c r="AE2607" s="47">
        <f t="shared" si="777"/>
        <v>80</v>
      </c>
      <c r="AG2607" s="47">
        <f t="shared" si="778"/>
        <v>197</v>
      </c>
      <c r="AH2607" s="47">
        <f t="shared" si="779"/>
        <v>117</v>
      </c>
      <c r="AI2607" s="208">
        <f t="shared" si="780"/>
        <v>80</v>
      </c>
    </row>
    <row r="2608" spans="1:35">
      <c r="A2608" t="s">
        <v>2174</v>
      </c>
      <c r="B2608" t="s">
        <v>3142</v>
      </c>
      <c r="C2608" t="s">
        <v>2194</v>
      </c>
      <c r="D2608" t="s">
        <v>6186</v>
      </c>
      <c r="F2608" t="s">
        <v>1848</v>
      </c>
      <c r="G2608" s="126">
        <f>SUMIFS('Support - Transition'!F:F,'Support - Transition'!B:B,'Step 2'!A2608,'Support - Transition'!C:C,'Step 2'!B2608,'Support - Transition'!D:D,'Step 2'!C2608,'Support - Transition'!E:E,"CIVIL")</f>
        <v>6.0999999999999999E-5</v>
      </c>
      <c r="H2608" s="126">
        <f>SUMIFS('Support - Transition'!F:F,'Support - Transition'!B:B,'Step 2'!A2608,'Support - Transition'!C:C,'Step 2'!B2608,'Support - Transition'!D:D,'Step 2'!C2608,'Support - Transition'!E:E,"FIRE")</f>
        <v>4.3999999999999999E-5</v>
      </c>
      <c r="I2608" s="126">
        <f>IF(B2608="0",SUMIFS('Support - Transition'!F:F,'Support - Transition'!J:J,'Step 2'!D2608,'Support - Transition'!E:E,"STATE UNIT"),SUMIFS('Support - Transition'!F:F,'Support - Transition'!J:J,'Step 2'!D2608))</f>
        <v>1.05E-4</v>
      </c>
      <c r="J2608" s="126">
        <f>SUMIFS('Support - Unit Adjustments'!E:E,'Support - Unit Adjustments'!F:F,'Step 2'!D2608)</f>
        <v>0</v>
      </c>
      <c r="K2608" s="126">
        <f t="shared" si="764"/>
        <v>1.05E-4</v>
      </c>
      <c r="L2608" s="174">
        <f>VLOOKUP(A2608,'Step 1'!$A:$E,4,FALSE)</f>
        <v>481081</v>
      </c>
      <c r="M2608" s="47">
        <f t="shared" si="765"/>
        <v>51</v>
      </c>
      <c r="N2608" s="177">
        <f>SUMIFS('Support - Transition'!G:G,'Support - Transition'!J:J,'Step 2'!D2608,'Support - Transition'!E:E,"2009 WELFARE ALLOCATION FACTOR")</f>
        <v>0</v>
      </c>
      <c r="O2608" s="152">
        <f t="shared" si="770"/>
        <v>0</v>
      </c>
      <c r="P2608" s="126">
        <f>IF(E2608="Y",0,SUMIFS('Support - Transition'!G:G,'Support - Transition'!J:J,'Step 2'!D2608,'Support - Transition'!E:E,"2009 SCHOOL ALLOCATION FACTOR"))</f>
        <v>0</v>
      </c>
      <c r="Q2608" s="126">
        <f>IF(E2608="Y",VLOOKUP(D2608,'Support - Unit Adjustments'!F:G,2,FALSE),0)</f>
        <v>0</v>
      </c>
      <c r="R2608" s="155">
        <f t="shared" si="782"/>
        <v>0</v>
      </c>
      <c r="S2608" s="47">
        <f t="shared" si="781"/>
        <v>0</v>
      </c>
      <c r="T2608" s="151">
        <f t="shared" si="766"/>
        <v>51</v>
      </c>
      <c r="U2608" s="151">
        <f t="shared" si="767"/>
        <v>0</v>
      </c>
      <c r="V2608" s="139">
        <f t="shared" si="768"/>
        <v>0</v>
      </c>
      <c r="W2608" s="152">
        <f t="shared" si="771"/>
        <v>51</v>
      </c>
      <c r="X2608" s="127" t="str">
        <f t="shared" si="769"/>
        <v/>
      </c>
      <c r="Y2608" s="207">
        <f t="shared" si="772"/>
        <v>51</v>
      </c>
      <c r="Z2608" s="139">
        <f t="shared" si="773"/>
        <v>30</v>
      </c>
      <c r="AA2608" s="139">
        <f t="shared" si="774"/>
        <v>21</v>
      </c>
      <c r="AC2608" s="47">
        <f t="shared" si="775"/>
        <v>26</v>
      </c>
      <c r="AD2608" s="47">
        <f t="shared" si="776"/>
        <v>15</v>
      </c>
      <c r="AE2608" s="47">
        <f t="shared" si="777"/>
        <v>11</v>
      </c>
      <c r="AG2608" s="47">
        <f t="shared" si="778"/>
        <v>25</v>
      </c>
      <c r="AH2608" s="47">
        <f t="shared" si="779"/>
        <v>15</v>
      </c>
      <c r="AI2608" s="208">
        <f t="shared" si="780"/>
        <v>10</v>
      </c>
    </row>
    <row r="2609" spans="1:35">
      <c r="A2609" t="s">
        <v>2174</v>
      </c>
      <c r="B2609" t="s">
        <v>3142</v>
      </c>
      <c r="C2609" t="s">
        <v>2195</v>
      </c>
      <c r="D2609" t="s">
        <v>6187</v>
      </c>
      <c r="F2609" t="s">
        <v>89</v>
      </c>
      <c r="G2609" s="126">
        <f>SUMIFS('Support - Transition'!F:F,'Support - Transition'!B:B,'Step 2'!A2609,'Support - Transition'!C:C,'Step 2'!B2609,'Support - Transition'!D:D,'Step 2'!C2609,'Support - Transition'!E:E,"CIVIL")</f>
        <v>4.64E-4</v>
      </c>
      <c r="H2609" s="126">
        <f>SUMIFS('Support - Transition'!F:F,'Support - Transition'!B:B,'Step 2'!A2609,'Support - Transition'!C:C,'Step 2'!B2609,'Support - Transition'!D:D,'Step 2'!C2609,'Support - Transition'!E:E,"FIRE")</f>
        <v>3.4E-5</v>
      </c>
      <c r="I2609" s="126">
        <f>IF(B2609="0",SUMIFS('Support - Transition'!F:F,'Support - Transition'!J:J,'Step 2'!D2609,'Support - Transition'!E:E,"STATE UNIT"),SUMIFS('Support - Transition'!F:F,'Support - Transition'!J:J,'Step 2'!D2609))</f>
        <v>4.9799999999999996E-4</v>
      </c>
      <c r="J2609" s="126">
        <f>SUMIFS('Support - Unit Adjustments'!E:E,'Support - Unit Adjustments'!F:F,'Step 2'!D2609)</f>
        <v>0</v>
      </c>
      <c r="K2609" s="126">
        <f t="shared" si="764"/>
        <v>4.9799999999999996E-4</v>
      </c>
      <c r="L2609" s="174">
        <f>VLOOKUP(A2609,'Step 1'!$A:$E,4,FALSE)</f>
        <v>481081</v>
      </c>
      <c r="M2609" s="47">
        <f t="shared" si="765"/>
        <v>240</v>
      </c>
      <c r="N2609" s="177">
        <f>SUMIFS('Support - Transition'!G:G,'Support - Transition'!J:J,'Step 2'!D2609,'Support - Transition'!E:E,"2009 WELFARE ALLOCATION FACTOR")</f>
        <v>0</v>
      </c>
      <c r="O2609" s="152">
        <f t="shared" si="770"/>
        <v>0</v>
      </c>
      <c r="P2609" s="126">
        <f>IF(E2609="Y",0,SUMIFS('Support - Transition'!G:G,'Support - Transition'!J:J,'Step 2'!D2609,'Support - Transition'!E:E,"2009 SCHOOL ALLOCATION FACTOR"))</f>
        <v>0</v>
      </c>
      <c r="Q2609" s="126">
        <f>IF(E2609="Y",VLOOKUP(D2609,'Support - Unit Adjustments'!F:G,2,FALSE),0)</f>
        <v>0</v>
      </c>
      <c r="R2609" s="155">
        <f t="shared" si="782"/>
        <v>0</v>
      </c>
      <c r="S2609" s="47">
        <f t="shared" si="781"/>
        <v>0</v>
      </c>
      <c r="T2609" s="151">
        <f t="shared" si="766"/>
        <v>240</v>
      </c>
      <c r="U2609" s="151">
        <f t="shared" si="767"/>
        <v>0</v>
      </c>
      <c r="V2609" s="139">
        <f t="shared" si="768"/>
        <v>0</v>
      </c>
      <c r="W2609" s="152">
        <f t="shared" si="771"/>
        <v>240</v>
      </c>
      <c r="X2609" s="127" t="str">
        <f t="shared" si="769"/>
        <v/>
      </c>
      <c r="Y2609" s="207">
        <f t="shared" si="772"/>
        <v>240</v>
      </c>
      <c r="Z2609" s="139">
        <f t="shared" si="773"/>
        <v>224</v>
      </c>
      <c r="AA2609" s="139">
        <f t="shared" si="774"/>
        <v>16</v>
      </c>
      <c r="AC2609" s="47">
        <f t="shared" si="775"/>
        <v>120</v>
      </c>
      <c r="AD2609" s="47">
        <f t="shared" si="776"/>
        <v>112</v>
      </c>
      <c r="AE2609" s="47">
        <f t="shared" si="777"/>
        <v>8</v>
      </c>
      <c r="AG2609" s="47">
        <f t="shared" si="778"/>
        <v>120</v>
      </c>
      <c r="AH2609" s="47">
        <f t="shared" si="779"/>
        <v>112</v>
      </c>
      <c r="AI2609" s="208">
        <f t="shared" si="780"/>
        <v>8</v>
      </c>
    </row>
    <row r="2610" spans="1:35">
      <c r="A2610" t="s">
        <v>2174</v>
      </c>
      <c r="B2610" t="s">
        <v>3142</v>
      </c>
      <c r="C2610" t="s">
        <v>2196</v>
      </c>
      <c r="D2610" t="s">
        <v>6188</v>
      </c>
      <c r="F2610" t="s">
        <v>20</v>
      </c>
      <c r="G2610" s="126">
        <f>SUMIFS('Support - Transition'!F:F,'Support - Transition'!B:B,'Step 2'!A2610,'Support - Transition'!C:C,'Step 2'!B2610,'Support - Transition'!D:D,'Step 2'!C2610,'Support - Transition'!E:E,"CIVIL")</f>
        <v>4.3399999999999998E-4</v>
      </c>
      <c r="H2610" s="126">
        <f>SUMIFS('Support - Transition'!F:F,'Support - Transition'!B:B,'Step 2'!A2610,'Support - Transition'!C:C,'Step 2'!B2610,'Support - Transition'!D:D,'Step 2'!C2610,'Support - Transition'!E:E,"FIRE")</f>
        <v>2.31E-4</v>
      </c>
      <c r="I2610" s="126">
        <f>IF(B2610="0",SUMIFS('Support - Transition'!F:F,'Support - Transition'!J:J,'Step 2'!D2610,'Support - Transition'!E:E,"STATE UNIT"),SUMIFS('Support - Transition'!F:F,'Support - Transition'!J:J,'Step 2'!D2610))</f>
        <v>6.6500000000000001E-4</v>
      </c>
      <c r="J2610" s="126">
        <f>SUMIFS('Support - Unit Adjustments'!E:E,'Support - Unit Adjustments'!F:F,'Step 2'!D2610)</f>
        <v>0</v>
      </c>
      <c r="K2610" s="126">
        <f t="shared" si="764"/>
        <v>6.6500000000000001E-4</v>
      </c>
      <c r="L2610" s="174">
        <f>VLOOKUP(A2610,'Step 1'!$A:$E,4,FALSE)</f>
        <v>481081</v>
      </c>
      <c r="M2610" s="47">
        <f t="shared" si="765"/>
        <v>320</v>
      </c>
      <c r="N2610" s="177">
        <f>SUMIFS('Support - Transition'!G:G,'Support - Transition'!J:J,'Step 2'!D2610,'Support - Transition'!E:E,"2009 WELFARE ALLOCATION FACTOR")</f>
        <v>0</v>
      </c>
      <c r="O2610" s="152">
        <f t="shared" si="770"/>
        <v>0</v>
      </c>
      <c r="P2610" s="126">
        <f>IF(E2610="Y",0,SUMIFS('Support - Transition'!G:G,'Support - Transition'!J:J,'Step 2'!D2610,'Support - Transition'!E:E,"2009 SCHOOL ALLOCATION FACTOR"))</f>
        <v>0</v>
      </c>
      <c r="Q2610" s="126">
        <f>IF(E2610="Y",VLOOKUP(D2610,'Support - Unit Adjustments'!F:G,2,FALSE),0)</f>
        <v>0</v>
      </c>
      <c r="R2610" s="155">
        <f t="shared" si="782"/>
        <v>0</v>
      </c>
      <c r="S2610" s="47">
        <f t="shared" si="781"/>
        <v>0</v>
      </c>
      <c r="T2610" s="151">
        <f t="shared" si="766"/>
        <v>320</v>
      </c>
      <c r="U2610" s="151">
        <f t="shared" si="767"/>
        <v>0</v>
      </c>
      <c r="V2610" s="139">
        <f t="shared" si="768"/>
        <v>0</v>
      </c>
      <c r="W2610" s="152">
        <f t="shared" si="771"/>
        <v>320</v>
      </c>
      <c r="X2610" s="127" t="str">
        <f t="shared" si="769"/>
        <v/>
      </c>
      <c r="Y2610" s="207">
        <f t="shared" si="772"/>
        <v>320</v>
      </c>
      <c r="Z2610" s="139">
        <f t="shared" si="773"/>
        <v>209</v>
      </c>
      <c r="AA2610" s="139">
        <f t="shared" si="774"/>
        <v>111</v>
      </c>
      <c r="AC2610" s="47">
        <f t="shared" si="775"/>
        <v>160</v>
      </c>
      <c r="AD2610" s="47">
        <f t="shared" si="776"/>
        <v>105</v>
      </c>
      <c r="AE2610" s="47">
        <f t="shared" si="777"/>
        <v>56</v>
      </c>
      <c r="AG2610" s="47">
        <f t="shared" si="778"/>
        <v>160</v>
      </c>
      <c r="AH2610" s="47">
        <f t="shared" si="779"/>
        <v>104</v>
      </c>
      <c r="AI2610" s="208">
        <f t="shared" si="780"/>
        <v>55</v>
      </c>
    </row>
    <row r="2611" spans="1:35">
      <c r="A2611" t="s">
        <v>2174</v>
      </c>
      <c r="B2611" t="s">
        <v>3155</v>
      </c>
      <c r="C2611" t="s">
        <v>3114</v>
      </c>
      <c r="D2611" t="s">
        <v>6189</v>
      </c>
      <c r="F2611" t="s">
        <v>1849</v>
      </c>
      <c r="G2611" s="126">
        <f>SUMIFS('Support - Transition'!F:F,'Support - Transition'!B:B,'Step 2'!A2611,'Support - Transition'!C:C,'Step 2'!B2611,'Support - Transition'!D:D,'Step 2'!C2611,'Support - Transition'!E:E,"CIVIL")</f>
        <v>0</v>
      </c>
      <c r="H2611" s="126">
        <f>SUMIFS('Support - Transition'!F:F,'Support - Transition'!B:B,'Step 2'!A2611,'Support - Transition'!C:C,'Step 2'!B2611,'Support - Transition'!D:D,'Step 2'!C2611,'Support - Transition'!E:E,"FIRE")</f>
        <v>0</v>
      </c>
      <c r="I2611" s="126">
        <f>IF(B2611="0",SUMIFS('Support - Transition'!F:F,'Support - Transition'!J:J,'Step 2'!D2611,'Support - Transition'!E:E,"STATE UNIT"),SUMIFS('Support - Transition'!F:F,'Support - Transition'!J:J,'Step 2'!D2611))</f>
        <v>0.149226</v>
      </c>
      <c r="J2611" s="126">
        <f>SUMIFS('Support - Unit Adjustments'!E:E,'Support - Unit Adjustments'!F:F,'Step 2'!D2611)</f>
        <v>0</v>
      </c>
      <c r="K2611" s="126">
        <f t="shared" si="764"/>
        <v>0.149226</v>
      </c>
      <c r="L2611" s="174">
        <f>VLOOKUP(A2611,'Step 1'!$A:$E,4,FALSE)</f>
        <v>481081</v>
      </c>
      <c r="M2611" s="47">
        <f t="shared" si="765"/>
        <v>71790</v>
      </c>
      <c r="N2611" s="177">
        <f>SUMIFS('Support - Transition'!G:G,'Support - Transition'!J:J,'Step 2'!D2611,'Support - Transition'!E:E,"2009 WELFARE ALLOCATION FACTOR")</f>
        <v>0</v>
      </c>
      <c r="O2611" s="152">
        <f t="shared" si="770"/>
        <v>0</v>
      </c>
      <c r="P2611" s="126">
        <f>IF(E2611="Y",0,SUMIFS('Support - Transition'!G:G,'Support - Transition'!J:J,'Step 2'!D2611,'Support - Transition'!E:E,"2009 SCHOOL ALLOCATION FACTOR"))</f>
        <v>0</v>
      </c>
      <c r="Q2611" s="126">
        <f>IF(E2611="Y",VLOOKUP(D2611,'Support - Unit Adjustments'!F:G,2,FALSE),0)</f>
        <v>0</v>
      </c>
      <c r="R2611" s="155">
        <f t="shared" si="782"/>
        <v>0</v>
      </c>
      <c r="S2611" s="47">
        <f t="shared" si="781"/>
        <v>0</v>
      </c>
      <c r="T2611" s="151">
        <f t="shared" si="766"/>
        <v>71790</v>
      </c>
      <c r="U2611" s="151">
        <f t="shared" si="767"/>
        <v>0</v>
      </c>
      <c r="V2611" s="139">
        <f t="shared" si="768"/>
        <v>0</v>
      </c>
      <c r="W2611" s="152">
        <f t="shared" si="771"/>
        <v>71790</v>
      </c>
      <c r="X2611" s="127" t="str">
        <f t="shared" si="769"/>
        <v/>
      </c>
      <c r="Y2611" s="207">
        <f t="shared" si="772"/>
        <v>71790</v>
      </c>
      <c r="Z2611" s="139">
        <f t="shared" si="773"/>
        <v>71790</v>
      </c>
      <c r="AA2611" s="139">
        <f t="shared" si="774"/>
        <v>0</v>
      </c>
      <c r="AC2611" s="47">
        <f t="shared" si="775"/>
        <v>35895</v>
      </c>
      <c r="AD2611" s="47">
        <f t="shared" si="776"/>
        <v>35895</v>
      </c>
      <c r="AE2611" s="47">
        <f t="shared" si="777"/>
        <v>0</v>
      </c>
      <c r="AG2611" s="47">
        <f t="shared" si="778"/>
        <v>35895</v>
      </c>
      <c r="AH2611" s="47">
        <f t="shared" si="779"/>
        <v>35895</v>
      </c>
      <c r="AI2611" s="208">
        <f t="shared" si="780"/>
        <v>0</v>
      </c>
    </row>
    <row r="2612" spans="1:35">
      <c r="A2612" t="s">
        <v>2174</v>
      </c>
      <c r="B2612" t="s">
        <v>3155</v>
      </c>
      <c r="C2612" t="s">
        <v>2218</v>
      </c>
      <c r="D2612" t="s">
        <v>6190</v>
      </c>
      <c r="F2612" t="s">
        <v>69</v>
      </c>
      <c r="G2612" s="126">
        <f>SUMIFS('Support - Transition'!F:F,'Support - Transition'!B:B,'Step 2'!A2612,'Support - Transition'!C:C,'Step 2'!B2612,'Support - Transition'!D:D,'Step 2'!C2612,'Support - Transition'!E:E,"CIVIL")</f>
        <v>0</v>
      </c>
      <c r="H2612" s="126">
        <f>SUMIFS('Support - Transition'!F:F,'Support - Transition'!B:B,'Step 2'!A2612,'Support - Transition'!C:C,'Step 2'!B2612,'Support - Transition'!D:D,'Step 2'!C2612,'Support - Transition'!E:E,"FIRE")</f>
        <v>0</v>
      </c>
      <c r="I2612" s="126">
        <f>IF(B2612="0",SUMIFS('Support - Transition'!F:F,'Support - Transition'!J:J,'Step 2'!D2612,'Support - Transition'!E:E,"STATE UNIT"),SUMIFS('Support - Transition'!F:F,'Support - Transition'!J:J,'Step 2'!D2612))</f>
        <v>1.7279999999999999E-3</v>
      </c>
      <c r="J2612" s="126">
        <f>SUMIFS('Support - Unit Adjustments'!E:E,'Support - Unit Adjustments'!F:F,'Step 2'!D2612)</f>
        <v>0</v>
      </c>
      <c r="K2612" s="126">
        <f t="shared" si="764"/>
        <v>1.7279999999999999E-3</v>
      </c>
      <c r="L2612" s="174">
        <f>VLOOKUP(A2612,'Step 1'!$A:$E,4,FALSE)</f>
        <v>481081</v>
      </c>
      <c r="M2612" s="47">
        <f t="shared" si="765"/>
        <v>831</v>
      </c>
      <c r="N2612" s="177">
        <f>SUMIFS('Support - Transition'!G:G,'Support - Transition'!J:J,'Step 2'!D2612,'Support - Transition'!E:E,"2009 WELFARE ALLOCATION FACTOR")</f>
        <v>0</v>
      </c>
      <c r="O2612" s="152">
        <f t="shared" si="770"/>
        <v>0</v>
      </c>
      <c r="P2612" s="126">
        <f>IF(E2612="Y",0,SUMIFS('Support - Transition'!G:G,'Support - Transition'!J:J,'Step 2'!D2612,'Support - Transition'!E:E,"2009 SCHOOL ALLOCATION FACTOR"))</f>
        <v>0</v>
      </c>
      <c r="Q2612" s="126">
        <f>IF(E2612="Y",VLOOKUP(D2612,'Support - Unit Adjustments'!F:G,2,FALSE),0)</f>
        <v>0</v>
      </c>
      <c r="R2612" s="155">
        <f t="shared" si="782"/>
        <v>0</v>
      </c>
      <c r="S2612" s="47">
        <f t="shared" si="781"/>
        <v>0</v>
      </c>
      <c r="T2612" s="151">
        <f t="shared" si="766"/>
        <v>831</v>
      </c>
      <c r="U2612" s="151">
        <f t="shared" si="767"/>
        <v>0</v>
      </c>
      <c r="V2612" s="139">
        <f t="shared" si="768"/>
        <v>0</v>
      </c>
      <c r="W2612" s="152">
        <f t="shared" si="771"/>
        <v>831</v>
      </c>
      <c r="X2612" s="127" t="str">
        <f t="shared" si="769"/>
        <v/>
      </c>
      <c r="Y2612" s="207">
        <f t="shared" si="772"/>
        <v>831</v>
      </c>
      <c r="Z2612" s="139">
        <f t="shared" si="773"/>
        <v>831</v>
      </c>
      <c r="AA2612" s="139">
        <f t="shared" si="774"/>
        <v>0</v>
      </c>
      <c r="AC2612" s="47">
        <f t="shared" si="775"/>
        <v>416</v>
      </c>
      <c r="AD2612" s="47">
        <f t="shared" si="776"/>
        <v>416</v>
      </c>
      <c r="AE2612" s="47">
        <f t="shared" si="777"/>
        <v>0</v>
      </c>
      <c r="AG2612" s="47">
        <f t="shared" si="778"/>
        <v>415</v>
      </c>
      <c r="AH2612" s="47">
        <f t="shared" si="779"/>
        <v>415</v>
      </c>
      <c r="AI2612" s="208">
        <f t="shared" si="780"/>
        <v>0</v>
      </c>
    </row>
    <row r="2613" spans="1:35">
      <c r="A2613" t="s">
        <v>2174</v>
      </c>
      <c r="B2613" t="s">
        <v>3155</v>
      </c>
      <c r="C2613" t="s">
        <v>2601</v>
      </c>
      <c r="D2613" t="s">
        <v>6191</v>
      </c>
      <c r="F2613" t="s">
        <v>799</v>
      </c>
      <c r="G2613" s="126">
        <f>SUMIFS('Support - Transition'!F:F,'Support - Transition'!B:B,'Step 2'!A2613,'Support - Transition'!C:C,'Step 2'!B2613,'Support - Transition'!D:D,'Step 2'!C2613,'Support - Transition'!E:E,"CIVIL")</f>
        <v>0</v>
      </c>
      <c r="H2613" s="126">
        <f>SUMIFS('Support - Transition'!F:F,'Support - Transition'!B:B,'Step 2'!A2613,'Support - Transition'!C:C,'Step 2'!B2613,'Support - Transition'!D:D,'Step 2'!C2613,'Support - Transition'!E:E,"FIRE")</f>
        <v>0</v>
      </c>
      <c r="I2613" s="126">
        <f>IF(B2613="0",SUMIFS('Support - Transition'!F:F,'Support - Transition'!J:J,'Step 2'!D2613,'Support - Transition'!E:E,"STATE UNIT"),SUMIFS('Support - Transition'!F:F,'Support - Transition'!J:J,'Step 2'!D2613))</f>
        <v>1.722E-3</v>
      </c>
      <c r="J2613" s="126">
        <f>SUMIFS('Support - Unit Adjustments'!E:E,'Support - Unit Adjustments'!F:F,'Step 2'!D2613)</f>
        <v>0</v>
      </c>
      <c r="K2613" s="126">
        <f t="shared" si="764"/>
        <v>1.722E-3</v>
      </c>
      <c r="L2613" s="174">
        <f>VLOOKUP(A2613,'Step 1'!$A:$E,4,FALSE)</f>
        <v>481081</v>
      </c>
      <c r="M2613" s="47">
        <f t="shared" si="765"/>
        <v>828</v>
      </c>
      <c r="N2613" s="177">
        <f>SUMIFS('Support - Transition'!G:G,'Support - Transition'!J:J,'Step 2'!D2613,'Support - Transition'!E:E,"2009 WELFARE ALLOCATION FACTOR")</f>
        <v>0</v>
      </c>
      <c r="O2613" s="152">
        <f t="shared" si="770"/>
        <v>0</v>
      </c>
      <c r="P2613" s="126">
        <f>IF(E2613="Y",0,SUMIFS('Support - Transition'!G:G,'Support - Transition'!J:J,'Step 2'!D2613,'Support - Transition'!E:E,"2009 SCHOOL ALLOCATION FACTOR"))</f>
        <v>0</v>
      </c>
      <c r="Q2613" s="126">
        <f>IF(E2613="Y",VLOOKUP(D2613,'Support - Unit Adjustments'!F:G,2,FALSE),0)</f>
        <v>0</v>
      </c>
      <c r="R2613" s="155">
        <f t="shared" si="782"/>
        <v>0</v>
      </c>
      <c r="S2613" s="47">
        <f t="shared" si="781"/>
        <v>0</v>
      </c>
      <c r="T2613" s="151">
        <f t="shared" si="766"/>
        <v>828</v>
      </c>
      <c r="U2613" s="151">
        <f t="shared" si="767"/>
        <v>0</v>
      </c>
      <c r="V2613" s="139">
        <f t="shared" si="768"/>
        <v>0</v>
      </c>
      <c r="W2613" s="152">
        <f t="shared" si="771"/>
        <v>828</v>
      </c>
      <c r="X2613" s="127" t="str">
        <f t="shared" si="769"/>
        <v/>
      </c>
      <c r="Y2613" s="207">
        <f t="shared" si="772"/>
        <v>828</v>
      </c>
      <c r="Z2613" s="139">
        <f t="shared" si="773"/>
        <v>828</v>
      </c>
      <c r="AA2613" s="139">
        <f t="shared" si="774"/>
        <v>0</v>
      </c>
      <c r="AC2613" s="47">
        <f t="shared" si="775"/>
        <v>414</v>
      </c>
      <c r="AD2613" s="47">
        <f t="shared" si="776"/>
        <v>414</v>
      </c>
      <c r="AE2613" s="47">
        <f t="shared" si="777"/>
        <v>0</v>
      </c>
      <c r="AG2613" s="47">
        <f t="shared" si="778"/>
        <v>414</v>
      </c>
      <c r="AH2613" s="47">
        <f t="shared" si="779"/>
        <v>414</v>
      </c>
      <c r="AI2613" s="208">
        <f t="shared" si="780"/>
        <v>0</v>
      </c>
    </row>
    <row r="2614" spans="1:35">
      <c r="A2614" t="s">
        <v>2174</v>
      </c>
      <c r="B2614" t="s">
        <v>3155</v>
      </c>
      <c r="C2614" t="s">
        <v>2819</v>
      </c>
      <c r="D2614" t="s">
        <v>6192</v>
      </c>
      <c r="F2614" t="s">
        <v>1850</v>
      </c>
      <c r="G2614" s="126">
        <f>SUMIFS('Support - Transition'!F:F,'Support - Transition'!B:B,'Step 2'!A2614,'Support - Transition'!C:C,'Step 2'!B2614,'Support - Transition'!D:D,'Step 2'!C2614,'Support - Transition'!E:E,"CIVIL")</f>
        <v>0</v>
      </c>
      <c r="H2614" s="126">
        <f>SUMIFS('Support - Transition'!F:F,'Support - Transition'!B:B,'Step 2'!A2614,'Support - Transition'!C:C,'Step 2'!B2614,'Support - Transition'!D:D,'Step 2'!C2614,'Support - Transition'!E:E,"FIRE")</f>
        <v>0</v>
      </c>
      <c r="I2614" s="126">
        <f>IF(B2614="0",SUMIFS('Support - Transition'!F:F,'Support - Transition'!J:J,'Step 2'!D2614,'Support - Transition'!E:E,"STATE UNIT"),SUMIFS('Support - Transition'!F:F,'Support - Transition'!J:J,'Step 2'!D2614))</f>
        <v>1.9189999999999999E-3</v>
      </c>
      <c r="J2614" s="126">
        <f>SUMIFS('Support - Unit Adjustments'!E:E,'Support - Unit Adjustments'!F:F,'Step 2'!D2614)</f>
        <v>0</v>
      </c>
      <c r="K2614" s="126">
        <f t="shared" si="764"/>
        <v>1.9189999999999999E-3</v>
      </c>
      <c r="L2614" s="174">
        <f>VLOOKUP(A2614,'Step 1'!$A:$E,4,FALSE)</f>
        <v>481081</v>
      </c>
      <c r="M2614" s="47">
        <f t="shared" si="765"/>
        <v>923</v>
      </c>
      <c r="N2614" s="177">
        <f>SUMIFS('Support - Transition'!G:G,'Support - Transition'!J:J,'Step 2'!D2614,'Support - Transition'!E:E,"2009 WELFARE ALLOCATION FACTOR")</f>
        <v>0</v>
      </c>
      <c r="O2614" s="152">
        <f t="shared" si="770"/>
        <v>0</v>
      </c>
      <c r="P2614" s="126">
        <f>IF(E2614="Y",0,SUMIFS('Support - Transition'!G:G,'Support - Transition'!J:J,'Step 2'!D2614,'Support - Transition'!E:E,"2009 SCHOOL ALLOCATION FACTOR"))</f>
        <v>0</v>
      </c>
      <c r="Q2614" s="126">
        <f>IF(E2614="Y",VLOOKUP(D2614,'Support - Unit Adjustments'!F:G,2,FALSE),0)</f>
        <v>0</v>
      </c>
      <c r="R2614" s="155">
        <f t="shared" si="782"/>
        <v>0</v>
      </c>
      <c r="S2614" s="47">
        <f t="shared" si="781"/>
        <v>0</v>
      </c>
      <c r="T2614" s="151">
        <f t="shared" si="766"/>
        <v>923</v>
      </c>
      <c r="U2614" s="151">
        <f t="shared" si="767"/>
        <v>0</v>
      </c>
      <c r="V2614" s="139">
        <f t="shared" si="768"/>
        <v>0</v>
      </c>
      <c r="W2614" s="152">
        <f t="shared" si="771"/>
        <v>923</v>
      </c>
      <c r="X2614" s="127" t="str">
        <f t="shared" si="769"/>
        <v/>
      </c>
      <c r="Y2614" s="207">
        <f t="shared" si="772"/>
        <v>923</v>
      </c>
      <c r="Z2614" s="139">
        <f t="shared" si="773"/>
        <v>923</v>
      </c>
      <c r="AA2614" s="139">
        <f t="shared" si="774"/>
        <v>0</v>
      </c>
      <c r="AC2614" s="47">
        <f t="shared" si="775"/>
        <v>462</v>
      </c>
      <c r="AD2614" s="47">
        <f t="shared" si="776"/>
        <v>462</v>
      </c>
      <c r="AE2614" s="47">
        <f t="shared" si="777"/>
        <v>0</v>
      </c>
      <c r="AG2614" s="47">
        <f t="shared" si="778"/>
        <v>461</v>
      </c>
      <c r="AH2614" s="47">
        <f t="shared" si="779"/>
        <v>461</v>
      </c>
      <c r="AI2614" s="208">
        <f t="shared" si="780"/>
        <v>0</v>
      </c>
    </row>
    <row r="2615" spans="1:35">
      <c r="A2615" t="s">
        <v>2174</v>
      </c>
      <c r="B2615" t="s">
        <v>3155</v>
      </c>
      <c r="C2615" t="s">
        <v>2820</v>
      </c>
      <c r="D2615" t="s">
        <v>6193</v>
      </c>
      <c r="F2615" t="s">
        <v>1851</v>
      </c>
      <c r="G2615" s="126">
        <f>SUMIFS('Support - Transition'!F:F,'Support - Transition'!B:B,'Step 2'!A2615,'Support - Transition'!C:C,'Step 2'!B2615,'Support - Transition'!D:D,'Step 2'!C2615,'Support - Transition'!E:E,"CIVIL")</f>
        <v>0</v>
      </c>
      <c r="H2615" s="126">
        <f>SUMIFS('Support - Transition'!F:F,'Support - Transition'!B:B,'Step 2'!A2615,'Support - Transition'!C:C,'Step 2'!B2615,'Support - Transition'!D:D,'Step 2'!C2615,'Support - Transition'!E:E,"FIRE")</f>
        <v>0</v>
      </c>
      <c r="I2615" s="126">
        <f>IF(B2615="0",SUMIFS('Support - Transition'!F:F,'Support - Transition'!J:J,'Step 2'!D2615,'Support - Transition'!E:E,"STATE UNIT"),SUMIFS('Support - Transition'!F:F,'Support - Transition'!J:J,'Step 2'!D2615))</f>
        <v>3.6939999999999998E-3</v>
      </c>
      <c r="J2615" s="126">
        <f>SUMIFS('Support - Unit Adjustments'!E:E,'Support - Unit Adjustments'!F:F,'Step 2'!D2615)</f>
        <v>0</v>
      </c>
      <c r="K2615" s="126">
        <f t="shared" si="764"/>
        <v>3.6939999999999998E-3</v>
      </c>
      <c r="L2615" s="174">
        <f>VLOOKUP(A2615,'Step 1'!$A:$E,4,FALSE)</f>
        <v>481081</v>
      </c>
      <c r="M2615" s="47">
        <f t="shared" si="765"/>
        <v>1777</v>
      </c>
      <c r="N2615" s="177">
        <f>SUMIFS('Support - Transition'!G:G,'Support - Transition'!J:J,'Step 2'!D2615,'Support - Transition'!E:E,"2009 WELFARE ALLOCATION FACTOR")</f>
        <v>0</v>
      </c>
      <c r="O2615" s="152">
        <f t="shared" si="770"/>
        <v>0</v>
      </c>
      <c r="P2615" s="126">
        <f>IF(E2615="Y",0,SUMIFS('Support - Transition'!G:G,'Support - Transition'!J:J,'Step 2'!D2615,'Support - Transition'!E:E,"2009 SCHOOL ALLOCATION FACTOR"))</f>
        <v>0</v>
      </c>
      <c r="Q2615" s="126">
        <f>IF(E2615="Y",VLOOKUP(D2615,'Support - Unit Adjustments'!F:G,2,FALSE),0)</f>
        <v>0</v>
      </c>
      <c r="R2615" s="155">
        <f t="shared" si="782"/>
        <v>0</v>
      </c>
      <c r="S2615" s="47">
        <f t="shared" si="781"/>
        <v>0</v>
      </c>
      <c r="T2615" s="151">
        <f t="shared" si="766"/>
        <v>1777</v>
      </c>
      <c r="U2615" s="151">
        <f t="shared" si="767"/>
        <v>0</v>
      </c>
      <c r="V2615" s="139">
        <f t="shared" si="768"/>
        <v>0</v>
      </c>
      <c r="W2615" s="152">
        <f t="shared" si="771"/>
        <v>1777</v>
      </c>
      <c r="X2615" s="127" t="str">
        <f t="shared" si="769"/>
        <v/>
      </c>
      <c r="Y2615" s="207">
        <f t="shared" si="772"/>
        <v>1777</v>
      </c>
      <c r="Z2615" s="139">
        <f t="shared" si="773"/>
        <v>1777</v>
      </c>
      <c r="AA2615" s="139">
        <f t="shared" si="774"/>
        <v>0</v>
      </c>
      <c r="AC2615" s="47">
        <f t="shared" si="775"/>
        <v>889</v>
      </c>
      <c r="AD2615" s="47">
        <f t="shared" si="776"/>
        <v>889</v>
      </c>
      <c r="AE2615" s="47">
        <f t="shared" si="777"/>
        <v>0</v>
      </c>
      <c r="AG2615" s="47">
        <f t="shared" si="778"/>
        <v>888</v>
      </c>
      <c r="AH2615" s="47">
        <f t="shared" si="779"/>
        <v>888</v>
      </c>
      <c r="AI2615" s="208">
        <f t="shared" si="780"/>
        <v>0</v>
      </c>
    </row>
    <row r="2616" spans="1:35">
      <c r="A2616" t="s">
        <v>2174</v>
      </c>
      <c r="B2616" t="s">
        <v>3155</v>
      </c>
      <c r="C2616" t="s">
        <v>2617</v>
      </c>
      <c r="D2616" t="s">
        <v>6194</v>
      </c>
      <c r="F2616" t="s">
        <v>1852</v>
      </c>
      <c r="G2616" s="126">
        <f>SUMIFS('Support - Transition'!F:F,'Support - Transition'!B:B,'Step 2'!A2616,'Support - Transition'!C:C,'Step 2'!B2616,'Support - Transition'!D:D,'Step 2'!C2616,'Support - Transition'!E:E,"CIVIL")</f>
        <v>0</v>
      </c>
      <c r="H2616" s="126">
        <f>SUMIFS('Support - Transition'!F:F,'Support - Transition'!B:B,'Step 2'!A2616,'Support - Transition'!C:C,'Step 2'!B2616,'Support - Transition'!D:D,'Step 2'!C2616,'Support - Transition'!E:E,"FIRE")</f>
        <v>0</v>
      </c>
      <c r="I2616" s="126">
        <f>IF(B2616="0",SUMIFS('Support - Transition'!F:F,'Support - Transition'!J:J,'Step 2'!D2616,'Support - Transition'!E:E,"STATE UNIT"),SUMIFS('Support - Transition'!F:F,'Support - Transition'!J:J,'Step 2'!D2616))</f>
        <v>5.9690000000000003E-3</v>
      </c>
      <c r="J2616" s="126">
        <f>SUMIFS('Support - Unit Adjustments'!E:E,'Support - Unit Adjustments'!F:F,'Step 2'!D2616)</f>
        <v>0</v>
      </c>
      <c r="K2616" s="126">
        <f t="shared" si="764"/>
        <v>5.9690000000000003E-3</v>
      </c>
      <c r="L2616" s="174">
        <f>VLOOKUP(A2616,'Step 1'!$A:$E,4,FALSE)</f>
        <v>481081</v>
      </c>
      <c r="M2616" s="47">
        <f t="shared" si="765"/>
        <v>2872</v>
      </c>
      <c r="N2616" s="177">
        <f>SUMIFS('Support - Transition'!G:G,'Support - Transition'!J:J,'Step 2'!D2616,'Support - Transition'!E:E,"2009 WELFARE ALLOCATION FACTOR")</f>
        <v>0</v>
      </c>
      <c r="O2616" s="152">
        <f t="shared" si="770"/>
        <v>0</v>
      </c>
      <c r="P2616" s="126">
        <f>IF(E2616="Y",0,SUMIFS('Support - Transition'!G:G,'Support - Transition'!J:J,'Step 2'!D2616,'Support - Transition'!E:E,"2009 SCHOOL ALLOCATION FACTOR"))</f>
        <v>0</v>
      </c>
      <c r="Q2616" s="126">
        <f>IF(E2616="Y",VLOOKUP(D2616,'Support - Unit Adjustments'!F:G,2,FALSE),0)</f>
        <v>0</v>
      </c>
      <c r="R2616" s="155">
        <f t="shared" si="782"/>
        <v>0</v>
      </c>
      <c r="S2616" s="47">
        <f t="shared" si="781"/>
        <v>0</v>
      </c>
      <c r="T2616" s="151">
        <f t="shared" si="766"/>
        <v>2872</v>
      </c>
      <c r="U2616" s="151">
        <f t="shared" si="767"/>
        <v>0</v>
      </c>
      <c r="V2616" s="139">
        <f t="shared" si="768"/>
        <v>0</v>
      </c>
      <c r="W2616" s="152">
        <f t="shared" si="771"/>
        <v>2872</v>
      </c>
      <c r="X2616" s="127" t="str">
        <f t="shared" si="769"/>
        <v/>
      </c>
      <c r="Y2616" s="207">
        <f t="shared" si="772"/>
        <v>2872</v>
      </c>
      <c r="Z2616" s="139">
        <f t="shared" si="773"/>
        <v>2872</v>
      </c>
      <c r="AA2616" s="139">
        <f t="shared" si="774"/>
        <v>0</v>
      </c>
      <c r="AC2616" s="47">
        <f t="shared" si="775"/>
        <v>1436</v>
      </c>
      <c r="AD2616" s="47">
        <f t="shared" si="776"/>
        <v>1436</v>
      </c>
      <c r="AE2616" s="47">
        <f t="shared" si="777"/>
        <v>0</v>
      </c>
      <c r="AG2616" s="47">
        <f t="shared" si="778"/>
        <v>1436</v>
      </c>
      <c r="AH2616" s="47">
        <f t="shared" si="779"/>
        <v>1436</v>
      </c>
      <c r="AI2616" s="208">
        <f t="shared" si="780"/>
        <v>0</v>
      </c>
    </row>
    <row r="2617" spans="1:35">
      <c r="A2617" t="s">
        <v>2174</v>
      </c>
      <c r="B2617" t="s">
        <v>3155</v>
      </c>
      <c r="C2617" t="s">
        <v>3115</v>
      </c>
      <c r="D2617" t="s">
        <v>6195</v>
      </c>
      <c r="F2617" t="s">
        <v>1853</v>
      </c>
      <c r="G2617" s="126">
        <f>SUMIFS('Support - Transition'!F:F,'Support - Transition'!B:B,'Step 2'!A2617,'Support - Transition'!C:C,'Step 2'!B2617,'Support - Transition'!D:D,'Step 2'!C2617,'Support - Transition'!E:E,"CIVIL")</f>
        <v>0</v>
      </c>
      <c r="H2617" s="126">
        <f>SUMIFS('Support - Transition'!F:F,'Support - Transition'!B:B,'Step 2'!A2617,'Support - Transition'!C:C,'Step 2'!B2617,'Support - Transition'!D:D,'Step 2'!C2617,'Support - Transition'!E:E,"FIRE")</f>
        <v>0</v>
      </c>
      <c r="I2617" s="126">
        <f>IF(B2617="0",SUMIFS('Support - Transition'!F:F,'Support - Transition'!J:J,'Step 2'!D2617,'Support - Transition'!E:E,"STATE UNIT"),SUMIFS('Support - Transition'!F:F,'Support - Transition'!J:J,'Step 2'!D2617))</f>
        <v>3.9999999999999998E-6</v>
      </c>
      <c r="J2617" s="126">
        <f>SUMIFS('Support - Unit Adjustments'!E:E,'Support - Unit Adjustments'!F:F,'Step 2'!D2617)</f>
        <v>0</v>
      </c>
      <c r="K2617" s="126">
        <f t="shared" si="764"/>
        <v>3.9999999999999998E-6</v>
      </c>
      <c r="L2617" s="174">
        <f>VLOOKUP(A2617,'Step 1'!$A:$E,4,FALSE)</f>
        <v>481081</v>
      </c>
      <c r="M2617" s="47">
        <f t="shared" si="765"/>
        <v>2</v>
      </c>
      <c r="N2617" s="177">
        <f>SUMIFS('Support - Transition'!G:G,'Support - Transition'!J:J,'Step 2'!D2617,'Support - Transition'!E:E,"2009 WELFARE ALLOCATION FACTOR")</f>
        <v>0</v>
      </c>
      <c r="O2617" s="152">
        <f t="shared" si="770"/>
        <v>0</v>
      </c>
      <c r="P2617" s="126">
        <f>IF(E2617="Y",0,SUMIFS('Support - Transition'!G:G,'Support - Transition'!J:J,'Step 2'!D2617,'Support - Transition'!E:E,"2009 SCHOOL ALLOCATION FACTOR"))</f>
        <v>0</v>
      </c>
      <c r="Q2617" s="126">
        <f>IF(E2617="Y",VLOOKUP(D2617,'Support - Unit Adjustments'!F:G,2,FALSE),0)</f>
        <v>0</v>
      </c>
      <c r="R2617" s="155">
        <f t="shared" si="782"/>
        <v>0</v>
      </c>
      <c r="S2617" s="47">
        <f t="shared" si="781"/>
        <v>0</v>
      </c>
      <c r="T2617" s="151">
        <f t="shared" si="766"/>
        <v>2</v>
      </c>
      <c r="U2617" s="151">
        <f t="shared" si="767"/>
        <v>0</v>
      </c>
      <c r="V2617" s="139">
        <f t="shared" si="768"/>
        <v>0</v>
      </c>
      <c r="W2617" s="152">
        <f t="shared" si="771"/>
        <v>2</v>
      </c>
      <c r="X2617" s="127" t="str">
        <f t="shared" si="769"/>
        <v/>
      </c>
      <c r="Y2617" s="207">
        <f t="shared" si="772"/>
        <v>2</v>
      </c>
      <c r="Z2617" s="139">
        <f t="shared" si="773"/>
        <v>2</v>
      </c>
      <c r="AA2617" s="139">
        <f t="shared" si="774"/>
        <v>0</v>
      </c>
      <c r="AC2617" s="47">
        <f t="shared" si="775"/>
        <v>1</v>
      </c>
      <c r="AD2617" s="47">
        <f t="shared" si="776"/>
        <v>1</v>
      </c>
      <c r="AE2617" s="47">
        <f t="shared" si="777"/>
        <v>0</v>
      </c>
      <c r="AG2617" s="47">
        <f t="shared" si="778"/>
        <v>1</v>
      </c>
      <c r="AH2617" s="47">
        <f t="shared" si="779"/>
        <v>1</v>
      </c>
      <c r="AI2617" s="208">
        <f t="shared" si="780"/>
        <v>0</v>
      </c>
    </row>
    <row r="2618" spans="1:35">
      <c r="A2618" t="s">
        <v>2174</v>
      </c>
      <c r="B2618" t="s">
        <v>3160</v>
      </c>
      <c r="C2618" t="s">
        <v>3116</v>
      </c>
      <c r="D2618" t="s">
        <v>6196</v>
      </c>
      <c r="F2618" t="s">
        <v>6197</v>
      </c>
      <c r="G2618" s="126">
        <f>SUMIFS('Support - Transition'!F:F,'Support - Transition'!B:B,'Step 2'!A2618,'Support - Transition'!C:C,'Step 2'!B2618,'Support - Transition'!D:D,'Step 2'!C2618,'Support - Transition'!E:E,"CIVIL")</f>
        <v>0</v>
      </c>
      <c r="H2618" s="126">
        <f>SUMIFS('Support - Transition'!F:F,'Support - Transition'!B:B,'Step 2'!A2618,'Support - Transition'!C:C,'Step 2'!B2618,'Support - Transition'!D:D,'Step 2'!C2618,'Support - Transition'!E:E,"FIRE")</f>
        <v>0</v>
      </c>
      <c r="I2618" s="126">
        <f>IF(B2618="0",SUMIFS('Support - Transition'!F:F,'Support - Transition'!J:J,'Step 2'!D2618,'Support - Transition'!E:E,"STATE UNIT"),SUMIFS('Support - Transition'!F:F,'Support - Transition'!J:J,'Step 2'!D2618))</f>
        <v>5.2875999999999999E-2</v>
      </c>
      <c r="J2618" s="126">
        <f>SUMIFS('Support - Unit Adjustments'!E:E,'Support - Unit Adjustments'!F:F,'Step 2'!D2618)</f>
        <v>0</v>
      </c>
      <c r="K2618" s="126">
        <f t="shared" si="764"/>
        <v>5.2875999999999999E-2</v>
      </c>
      <c r="L2618" s="174">
        <f>VLOOKUP(A2618,'Step 1'!$A:$E,4,FALSE)</f>
        <v>481081</v>
      </c>
      <c r="M2618" s="47">
        <f t="shared" si="765"/>
        <v>25438</v>
      </c>
      <c r="N2618" s="177">
        <f>SUMIFS('Support - Transition'!G:G,'Support - Transition'!J:J,'Step 2'!D2618,'Support - Transition'!E:E,"2009 WELFARE ALLOCATION FACTOR")</f>
        <v>0</v>
      </c>
      <c r="O2618" s="152">
        <f t="shared" si="770"/>
        <v>0</v>
      </c>
      <c r="P2618" s="126">
        <f>IF(E2618="Y",0,SUMIFS('Support - Transition'!G:G,'Support - Transition'!J:J,'Step 2'!D2618,'Support - Transition'!E:E,"2009 SCHOOL ALLOCATION FACTOR"))</f>
        <v>0.52107999999999999</v>
      </c>
      <c r="Q2618" s="126">
        <f>IF(E2618="Y",VLOOKUP(D2618,'Support - Unit Adjustments'!F:G,2,FALSE),0)</f>
        <v>0</v>
      </c>
      <c r="R2618" s="155">
        <f t="shared" si="782"/>
        <v>0.52107999999999999</v>
      </c>
      <c r="S2618" s="47">
        <f t="shared" si="781"/>
        <v>13255</v>
      </c>
      <c r="T2618" s="151">
        <f t="shared" si="766"/>
        <v>12183</v>
      </c>
      <c r="U2618" s="151">
        <f t="shared" si="767"/>
        <v>0</v>
      </c>
      <c r="V2618" s="139">
        <f t="shared" si="768"/>
        <v>0</v>
      </c>
      <c r="W2618" s="152">
        <f t="shared" si="771"/>
        <v>12183</v>
      </c>
      <c r="X2618" s="127" t="str">
        <f t="shared" si="769"/>
        <v/>
      </c>
      <c r="Y2618" s="207">
        <f t="shared" si="772"/>
        <v>12183</v>
      </c>
      <c r="Z2618" s="139">
        <f t="shared" si="773"/>
        <v>12183</v>
      </c>
      <c r="AA2618" s="139">
        <f t="shared" si="774"/>
        <v>0</v>
      </c>
      <c r="AC2618" s="47">
        <f t="shared" si="775"/>
        <v>6092</v>
      </c>
      <c r="AD2618" s="47">
        <f t="shared" si="776"/>
        <v>6092</v>
      </c>
      <c r="AE2618" s="47">
        <f t="shared" si="777"/>
        <v>0</v>
      </c>
      <c r="AG2618" s="47">
        <f t="shared" si="778"/>
        <v>6091</v>
      </c>
      <c r="AH2618" s="47">
        <f t="shared" si="779"/>
        <v>6091</v>
      </c>
      <c r="AI2618" s="208">
        <f t="shared" si="780"/>
        <v>0</v>
      </c>
    </row>
    <row r="2619" spans="1:35">
      <c r="A2619" t="s">
        <v>2174</v>
      </c>
      <c r="B2619" t="s">
        <v>3160</v>
      </c>
      <c r="C2619" t="s">
        <v>6198</v>
      </c>
      <c r="D2619" t="s">
        <v>6199</v>
      </c>
      <c r="F2619" t="s">
        <v>6200</v>
      </c>
      <c r="G2619" s="126">
        <f>SUMIFS('Support - Transition'!F:F,'Support - Transition'!B:B,'Step 2'!A2619,'Support - Transition'!C:C,'Step 2'!B2619,'Support - Transition'!D:D,'Step 2'!C2619,'Support - Transition'!E:E,"CIVIL")</f>
        <v>0</v>
      </c>
      <c r="H2619" s="126">
        <f>SUMIFS('Support - Transition'!F:F,'Support - Transition'!B:B,'Step 2'!A2619,'Support - Transition'!C:C,'Step 2'!B2619,'Support - Transition'!D:D,'Step 2'!C2619,'Support - Transition'!E:E,"FIRE")</f>
        <v>0</v>
      </c>
      <c r="I2619" s="126">
        <f>IF(B2619="0",SUMIFS('Support - Transition'!F:F,'Support - Transition'!J:J,'Step 2'!D2619,'Support - Transition'!E:E,"STATE UNIT"),SUMIFS('Support - Transition'!F:F,'Support - Transition'!J:J,'Step 2'!D2619))</f>
        <v>0.18484900000000001</v>
      </c>
      <c r="J2619" s="126">
        <f>SUMIFS('Support - Unit Adjustments'!E:E,'Support - Unit Adjustments'!F:F,'Step 2'!D2619)</f>
        <v>0</v>
      </c>
      <c r="K2619" s="126">
        <f t="shared" si="764"/>
        <v>0.18484900000000001</v>
      </c>
      <c r="L2619" s="174">
        <f>VLOOKUP(A2619,'Step 1'!$A:$E,4,FALSE)</f>
        <v>481081</v>
      </c>
      <c r="M2619" s="47">
        <f t="shared" si="765"/>
        <v>88927</v>
      </c>
      <c r="N2619" s="177">
        <f>SUMIFS('Support - Transition'!G:G,'Support - Transition'!J:J,'Step 2'!D2619,'Support - Transition'!E:E,"2009 WELFARE ALLOCATION FACTOR")</f>
        <v>0</v>
      </c>
      <c r="O2619" s="152">
        <f t="shared" si="770"/>
        <v>0</v>
      </c>
      <c r="P2619" s="126">
        <f>IF(E2619="Y",0,SUMIFS('Support - Transition'!G:G,'Support - Transition'!J:J,'Step 2'!D2619,'Support - Transition'!E:E,"2009 SCHOOL ALLOCATION FACTOR"))</f>
        <v>0.48863099999999998</v>
      </c>
      <c r="Q2619" s="126">
        <f>IF(E2619="Y",VLOOKUP(D2619,'Support - Unit Adjustments'!F:G,2,FALSE),0)</f>
        <v>0</v>
      </c>
      <c r="R2619" s="155">
        <f t="shared" si="782"/>
        <v>0.48863099999999998</v>
      </c>
      <c r="S2619" s="47">
        <f t="shared" si="781"/>
        <v>43452</v>
      </c>
      <c r="T2619" s="151">
        <f t="shared" si="766"/>
        <v>45475</v>
      </c>
      <c r="U2619" s="151">
        <f t="shared" si="767"/>
        <v>0</v>
      </c>
      <c r="V2619" s="139">
        <f t="shared" si="768"/>
        <v>0</v>
      </c>
      <c r="W2619" s="152">
        <f t="shared" si="771"/>
        <v>45475</v>
      </c>
      <c r="X2619" s="127" t="str">
        <f t="shared" si="769"/>
        <v/>
      </c>
      <c r="Y2619" s="207">
        <f t="shared" si="772"/>
        <v>45475</v>
      </c>
      <c r="Z2619" s="139">
        <f t="shared" si="773"/>
        <v>45475</v>
      </c>
      <c r="AA2619" s="139">
        <f t="shared" si="774"/>
        <v>0</v>
      </c>
      <c r="AC2619" s="47">
        <f t="shared" si="775"/>
        <v>22738</v>
      </c>
      <c r="AD2619" s="47">
        <f t="shared" si="776"/>
        <v>22738</v>
      </c>
      <c r="AE2619" s="47">
        <f t="shared" si="777"/>
        <v>0</v>
      </c>
      <c r="AG2619" s="47">
        <f t="shared" si="778"/>
        <v>22737</v>
      </c>
      <c r="AH2619" s="47">
        <f t="shared" si="779"/>
        <v>22737</v>
      </c>
      <c r="AI2619" s="208">
        <f t="shared" si="780"/>
        <v>0</v>
      </c>
    </row>
    <row r="2620" spans="1:35">
      <c r="A2620" t="s">
        <v>2174</v>
      </c>
      <c r="B2620" t="s">
        <v>3160</v>
      </c>
      <c r="C2620" t="s">
        <v>3117</v>
      </c>
      <c r="D2620" t="s">
        <v>6201</v>
      </c>
      <c r="F2620" t="s">
        <v>6202</v>
      </c>
      <c r="G2620" s="126">
        <f>SUMIFS('Support - Transition'!F:F,'Support - Transition'!B:B,'Step 2'!A2620,'Support - Transition'!C:C,'Step 2'!B2620,'Support - Transition'!D:D,'Step 2'!C2620,'Support - Transition'!E:E,"CIVIL")</f>
        <v>0</v>
      </c>
      <c r="H2620" s="126">
        <f>SUMIFS('Support - Transition'!F:F,'Support - Transition'!B:B,'Step 2'!A2620,'Support - Transition'!C:C,'Step 2'!B2620,'Support - Transition'!D:D,'Step 2'!C2620,'Support - Transition'!E:E,"FIRE")</f>
        <v>0</v>
      </c>
      <c r="I2620" s="126">
        <f>IF(B2620="0",SUMIFS('Support - Transition'!F:F,'Support - Transition'!J:J,'Step 2'!D2620,'Support - Transition'!E:E,"STATE UNIT"),SUMIFS('Support - Transition'!F:F,'Support - Transition'!J:J,'Step 2'!D2620))</f>
        <v>0.34828599999999998</v>
      </c>
      <c r="J2620" s="126">
        <f>SUMIFS('Support - Unit Adjustments'!E:E,'Support - Unit Adjustments'!F:F,'Step 2'!D2620)</f>
        <v>0</v>
      </c>
      <c r="K2620" s="126">
        <f t="shared" si="764"/>
        <v>0.34828599999999998</v>
      </c>
      <c r="L2620" s="174">
        <f>VLOOKUP(A2620,'Step 1'!$A:$E,4,FALSE)</f>
        <v>481081</v>
      </c>
      <c r="M2620" s="47">
        <f t="shared" si="765"/>
        <v>167554</v>
      </c>
      <c r="N2620" s="177">
        <f>SUMIFS('Support - Transition'!G:G,'Support - Transition'!J:J,'Step 2'!D2620,'Support - Transition'!E:E,"2009 WELFARE ALLOCATION FACTOR")</f>
        <v>0</v>
      </c>
      <c r="O2620" s="152">
        <f t="shared" si="770"/>
        <v>0</v>
      </c>
      <c r="P2620" s="126">
        <f>IF(E2620="Y",0,SUMIFS('Support - Transition'!G:G,'Support - Transition'!J:J,'Step 2'!D2620,'Support - Transition'!E:E,"2009 SCHOOL ALLOCATION FACTOR"))</f>
        <v>0.434307</v>
      </c>
      <c r="Q2620" s="126">
        <f>IF(E2620="Y",VLOOKUP(D2620,'Support - Unit Adjustments'!F:G,2,FALSE),0)</f>
        <v>0</v>
      </c>
      <c r="R2620" s="155">
        <f t="shared" si="782"/>
        <v>0.434307</v>
      </c>
      <c r="S2620" s="47">
        <f t="shared" si="781"/>
        <v>72770</v>
      </c>
      <c r="T2620" s="151">
        <f t="shared" si="766"/>
        <v>94784</v>
      </c>
      <c r="U2620" s="151">
        <f t="shared" si="767"/>
        <v>0</v>
      </c>
      <c r="V2620" s="139">
        <f t="shared" si="768"/>
        <v>0</v>
      </c>
      <c r="W2620" s="152">
        <f t="shared" si="771"/>
        <v>94784</v>
      </c>
      <c r="X2620" s="127" t="str">
        <f t="shared" si="769"/>
        <v/>
      </c>
      <c r="Y2620" s="207">
        <f t="shared" si="772"/>
        <v>94784</v>
      </c>
      <c r="Z2620" s="139">
        <f t="shared" si="773"/>
        <v>94784</v>
      </c>
      <c r="AA2620" s="139">
        <f t="shared" si="774"/>
        <v>0</v>
      </c>
      <c r="AC2620" s="47">
        <f t="shared" si="775"/>
        <v>47392</v>
      </c>
      <c r="AD2620" s="47">
        <f t="shared" si="776"/>
        <v>47392</v>
      </c>
      <c r="AE2620" s="47">
        <f t="shared" si="777"/>
        <v>0</v>
      </c>
      <c r="AG2620" s="47">
        <f t="shared" si="778"/>
        <v>47392</v>
      </c>
      <c r="AH2620" s="47">
        <f t="shared" si="779"/>
        <v>47392</v>
      </c>
      <c r="AI2620" s="208">
        <f t="shared" si="780"/>
        <v>0</v>
      </c>
    </row>
    <row r="2621" spans="1:35">
      <c r="A2621" t="s">
        <v>2174</v>
      </c>
      <c r="B2621" t="s">
        <v>3166</v>
      </c>
      <c r="C2621" t="s">
        <v>6203</v>
      </c>
      <c r="D2621" t="s">
        <v>6204</v>
      </c>
      <c r="F2621" t="s">
        <v>1857</v>
      </c>
      <c r="G2621" s="126">
        <f>SUMIFS('Support - Transition'!F:F,'Support - Transition'!B:B,'Step 2'!A2621,'Support - Transition'!C:C,'Step 2'!B2621,'Support - Transition'!D:D,'Step 2'!C2621,'Support - Transition'!E:E,"CIVIL")</f>
        <v>0</v>
      </c>
      <c r="H2621" s="126">
        <f>SUMIFS('Support - Transition'!F:F,'Support - Transition'!B:B,'Step 2'!A2621,'Support - Transition'!C:C,'Step 2'!B2621,'Support - Transition'!D:D,'Step 2'!C2621,'Support - Transition'!E:E,"FIRE")</f>
        <v>0</v>
      </c>
      <c r="I2621" s="126">
        <f>IF(B2621="0",SUMIFS('Support - Transition'!F:F,'Support - Transition'!J:J,'Step 2'!D2621,'Support - Transition'!E:E,"STATE UNIT"),SUMIFS('Support - Transition'!F:F,'Support - Transition'!J:J,'Step 2'!D2621))</f>
        <v>3.8626999999999967E-2</v>
      </c>
      <c r="J2621" s="126">
        <f>SUMIFS('Support - Unit Adjustments'!E:E,'Support - Unit Adjustments'!F:F,'Step 2'!D2621)</f>
        <v>0</v>
      </c>
      <c r="K2621" s="126">
        <f t="shared" si="764"/>
        <v>3.8626999999999967E-2</v>
      </c>
      <c r="L2621" s="174">
        <f>VLOOKUP(A2621,'Step 1'!$A:$E,4,FALSE)</f>
        <v>481081</v>
      </c>
      <c r="M2621" s="47">
        <f t="shared" si="765"/>
        <v>18583</v>
      </c>
      <c r="N2621" s="177">
        <f>SUMIFS('Support - Transition'!G:G,'Support - Transition'!J:J,'Step 2'!D2621,'Support - Transition'!E:E,"2009 WELFARE ALLOCATION FACTOR")</f>
        <v>0</v>
      </c>
      <c r="O2621" s="152">
        <f t="shared" si="770"/>
        <v>0</v>
      </c>
      <c r="P2621" s="126">
        <f>IF(E2621="Y",0,SUMIFS('Support - Transition'!G:G,'Support - Transition'!J:J,'Step 2'!D2621,'Support - Transition'!E:E,"2009 SCHOOL ALLOCATION FACTOR"))</f>
        <v>0</v>
      </c>
      <c r="Q2621" s="126">
        <f>IF(E2621="Y",VLOOKUP(D2621,'Support - Unit Adjustments'!F:G,2,FALSE),0)</f>
        <v>0</v>
      </c>
      <c r="R2621" s="155">
        <f t="shared" si="782"/>
        <v>0</v>
      </c>
      <c r="S2621" s="47">
        <f t="shared" si="781"/>
        <v>0</v>
      </c>
      <c r="T2621" s="151">
        <f t="shared" si="766"/>
        <v>18583</v>
      </c>
      <c r="U2621" s="151">
        <f t="shared" si="767"/>
        <v>0</v>
      </c>
      <c r="V2621" s="139">
        <f t="shared" si="768"/>
        <v>0</v>
      </c>
      <c r="W2621" s="152">
        <f t="shared" si="771"/>
        <v>18583</v>
      </c>
      <c r="X2621" s="127" t="str">
        <f t="shared" si="769"/>
        <v/>
      </c>
      <c r="Y2621" s="207">
        <f t="shared" si="772"/>
        <v>18583</v>
      </c>
      <c r="Z2621" s="139">
        <f t="shared" si="773"/>
        <v>18583</v>
      </c>
      <c r="AA2621" s="139">
        <f t="shared" si="774"/>
        <v>0</v>
      </c>
      <c r="AC2621" s="47">
        <f t="shared" si="775"/>
        <v>9292</v>
      </c>
      <c r="AD2621" s="47">
        <f t="shared" si="776"/>
        <v>9292</v>
      </c>
      <c r="AE2621" s="47">
        <f t="shared" si="777"/>
        <v>0</v>
      </c>
      <c r="AG2621" s="47">
        <f t="shared" si="778"/>
        <v>9291</v>
      </c>
      <c r="AH2621" s="47">
        <f t="shared" si="779"/>
        <v>9291</v>
      </c>
      <c r="AI2621" s="208">
        <f t="shared" si="780"/>
        <v>0</v>
      </c>
    </row>
    <row r="2622" spans="1:35">
      <c r="A2622" t="s">
        <v>2174</v>
      </c>
      <c r="B2622" t="s">
        <v>3166</v>
      </c>
      <c r="C2622" t="s">
        <v>2608</v>
      </c>
      <c r="D2622" t="s">
        <v>6205</v>
      </c>
      <c r="F2622" t="s">
        <v>4374</v>
      </c>
      <c r="G2622" s="126">
        <f>SUMIFS('Support - Transition'!F:F,'Support - Transition'!B:B,'Step 2'!A2622,'Support - Transition'!C:C,'Step 2'!B2622,'Support - Transition'!D:D,'Step 2'!C2622,'Support - Transition'!E:E,"CIVIL")</f>
        <v>0</v>
      </c>
      <c r="H2622" s="126">
        <f>SUMIFS('Support - Transition'!F:F,'Support - Transition'!B:B,'Step 2'!A2622,'Support - Transition'!C:C,'Step 2'!B2622,'Support - Transition'!D:D,'Step 2'!C2622,'Support - Transition'!E:E,"FIRE")</f>
        <v>0</v>
      </c>
      <c r="I2622" s="126">
        <f>IF(B2622="0",SUMIFS('Support - Transition'!F:F,'Support - Transition'!J:J,'Step 2'!D2622,'Support - Transition'!E:E,"STATE UNIT"),SUMIFS('Support - Transition'!F:F,'Support - Transition'!J:J,'Step 2'!D2622))</f>
        <v>0</v>
      </c>
      <c r="J2622" s="126">
        <f>SUMIFS('Support - Unit Adjustments'!E:E,'Support - Unit Adjustments'!F:F,'Step 2'!D2622)</f>
        <v>1.8000000000000001E-4</v>
      </c>
      <c r="K2622" s="126">
        <f t="shared" si="764"/>
        <v>1.8000000000000001E-4</v>
      </c>
      <c r="L2622" s="174">
        <f>VLOOKUP(A2622,'Step 1'!$A:$E,4,FALSE)</f>
        <v>481081</v>
      </c>
      <c r="M2622" s="47">
        <f t="shared" si="765"/>
        <v>87</v>
      </c>
      <c r="N2622" s="177">
        <f>SUMIFS('Support - Transition'!G:G,'Support - Transition'!J:J,'Step 2'!D2622,'Support - Transition'!E:E,"2009 WELFARE ALLOCATION FACTOR")</f>
        <v>0</v>
      </c>
      <c r="O2622" s="152">
        <f t="shared" si="770"/>
        <v>0</v>
      </c>
      <c r="P2622" s="126">
        <f>IF(E2622="Y",0,SUMIFS('Support - Transition'!G:G,'Support - Transition'!J:J,'Step 2'!D2622,'Support - Transition'!E:E,"2009 SCHOOL ALLOCATION FACTOR"))</f>
        <v>0</v>
      </c>
      <c r="Q2622" s="126">
        <f>IF(E2622="Y",VLOOKUP(D2622,'Support - Unit Adjustments'!F:G,2,FALSE),0)</f>
        <v>0</v>
      </c>
      <c r="R2622" s="155">
        <f t="shared" si="782"/>
        <v>0</v>
      </c>
      <c r="S2622" s="47">
        <f t="shared" si="781"/>
        <v>0</v>
      </c>
      <c r="T2622" s="151">
        <f t="shared" si="766"/>
        <v>87</v>
      </c>
      <c r="U2622" s="151">
        <f t="shared" si="767"/>
        <v>0</v>
      </c>
      <c r="V2622" s="139">
        <f t="shared" si="768"/>
        <v>0</v>
      </c>
      <c r="W2622" s="152">
        <f t="shared" si="771"/>
        <v>87</v>
      </c>
      <c r="X2622" s="127" t="str">
        <f t="shared" si="769"/>
        <v/>
      </c>
      <c r="Y2622" s="207">
        <f t="shared" si="772"/>
        <v>87</v>
      </c>
      <c r="Z2622" s="139">
        <f t="shared" si="773"/>
        <v>87</v>
      </c>
      <c r="AA2622" s="139">
        <f t="shared" si="774"/>
        <v>0</v>
      </c>
      <c r="AC2622" s="47">
        <f t="shared" si="775"/>
        <v>44</v>
      </c>
      <c r="AD2622" s="47">
        <f t="shared" si="776"/>
        <v>44</v>
      </c>
      <c r="AE2622" s="47">
        <f t="shared" si="777"/>
        <v>0</v>
      </c>
      <c r="AG2622" s="47">
        <f t="shared" si="778"/>
        <v>43</v>
      </c>
      <c r="AH2622" s="47">
        <f t="shared" si="779"/>
        <v>43</v>
      </c>
      <c r="AI2622" s="208">
        <f t="shared" si="780"/>
        <v>0</v>
      </c>
    </row>
    <row r="2623" spans="1:35">
      <c r="A2623" t="s">
        <v>2174</v>
      </c>
      <c r="B2623" t="s">
        <v>3170</v>
      </c>
      <c r="C2623" t="s">
        <v>6206</v>
      </c>
      <c r="D2623" t="s">
        <v>6207</v>
      </c>
      <c r="F2623" t="s">
        <v>6208</v>
      </c>
      <c r="G2623" s="126">
        <f>SUMIFS('Support - Transition'!F:F,'Support - Transition'!B:B,'Step 2'!A2623,'Support - Transition'!C:C,'Step 2'!B2623,'Support - Transition'!D:D,'Step 2'!C2623,'Support - Transition'!E:E,"CIVIL")</f>
        <v>0</v>
      </c>
      <c r="H2623" s="126">
        <f>SUMIFS('Support - Transition'!F:F,'Support - Transition'!B:B,'Step 2'!A2623,'Support - Transition'!C:C,'Step 2'!B2623,'Support - Transition'!D:D,'Step 2'!C2623,'Support - Transition'!E:E,"FIRE")</f>
        <v>0</v>
      </c>
      <c r="I2623" s="126">
        <f>IF(B2623="0",SUMIFS('Support - Transition'!F:F,'Support - Transition'!J:J,'Step 2'!D2623,'Support - Transition'!E:E,"STATE UNIT"),SUMIFS('Support - Transition'!F:F,'Support - Transition'!J:J,'Step 2'!D2623))</f>
        <v>0</v>
      </c>
      <c r="J2623" s="126">
        <f>SUMIFS('Support - Unit Adjustments'!E:E,'Support - Unit Adjustments'!F:F,'Step 2'!D2623)</f>
        <v>0</v>
      </c>
      <c r="K2623" s="126">
        <f t="shared" si="764"/>
        <v>0</v>
      </c>
      <c r="L2623" s="174">
        <f>VLOOKUP(A2623,'Step 1'!$A:$E,4,FALSE)</f>
        <v>481081</v>
      </c>
      <c r="M2623" s="47">
        <f t="shared" si="765"/>
        <v>0</v>
      </c>
      <c r="N2623" s="177">
        <f>SUMIFS('Support - Transition'!G:G,'Support - Transition'!J:J,'Step 2'!D2623,'Support - Transition'!E:E,"2009 WELFARE ALLOCATION FACTOR")</f>
        <v>0</v>
      </c>
      <c r="O2623" s="152">
        <f t="shared" si="770"/>
        <v>0</v>
      </c>
      <c r="P2623" s="126">
        <f>IF(E2623="Y",0,SUMIFS('Support - Transition'!G:G,'Support - Transition'!J:J,'Step 2'!D2623,'Support - Transition'!E:E,"2009 SCHOOL ALLOCATION FACTOR"))</f>
        <v>0</v>
      </c>
      <c r="Q2623" s="126">
        <f>IF(E2623="Y",VLOOKUP(D2623,'Support - Unit Adjustments'!F:G,2,FALSE),0)</f>
        <v>0</v>
      </c>
      <c r="R2623" s="155">
        <f t="shared" si="782"/>
        <v>0</v>
      </c>
      <c r="S2623" s="47">
        <f t="shared" si="781"/>
        <v>0</v>
      </c>
      <c r="T2623" s="151">
        <f t="shared" si="766"/>
        <v>0</v>
      </c>
      <c r="U2623" s="151">
        <f t="shared" si="767"/>
        <v>0</v>
      </c>
      <c r="V2623" s="139">
        <f t="shared" si="768"/>
        <v>0</v>
      </c>
      <c r="W2623" s="152">
        <f t="shared" si="771"/>
        <v>0</v>
      </c>
      <c r="X2623" s="127" t="str">
        <f t="shared" si="769"/>
        <v/>
      </c>
      <c r="Y2623" s="207">
        <f t="shared" si="772"/>
        <v>0</v>
      </c>
      <c r="Z2623" s="139">
        <f t="shared" si="773"/>
        <v>0</v>
      </c>
      <c r="AA2623" s="139">
        <f t="shared" si="774"/>
        <v>0</v>
      </c>
      <c r="AC2623" s="47">
        <f t="shared" si="775"/>
        <v>0</v>
      </c>
      <c r="AD2623" s="47">
        <f t="shared" si="776"/>
        <v>0</v>
      </c>
      <c r="AE2623" s="47">
        <f t="shared" si="777"/>
        <v>0</v>
      </c>
      <c r="AG2623" s="47">
        <f t="shared" si="778"/>
        <v>0</v>
      </c>
      <c r="AH2623" s="47">
        <f t="shared" si="779"/>
        <v>0</v>
      </c>
      <c r="AI2623" s="208">
        <f t="shared" si="780"/>
        <v>0</v>
      </c>
    </row>
    <row r="2624" spans="1:35">
      <c r="A2624" t="s">
        <v>2174</v>
      </c>
      <c r="B2624" t="s">
        <v>3286</v>
      </c>
      <c r="C2624" t="s">
        <v>3828</v>
      </c>
      <c r="D2624" t="s">
        <v>6209</v>
      </c>
      <c r="F2624" t="s">
        <v>4378</v>
      </c>
      <c r="G2624" s="126">
        <f>SUMIFS('Support - Transition'!F:F,'Support - Transition'!B:B,'Step 2'!A2624,'Support - Transition'!C:C,'Step 2'!B2624,'Support - Transition'!D:D,'Step 2'!C2624,'Support - Transition'!E:E,"CIVIL")</f>
        <v>0</v>
      </c>
      <c r="H2624" s="126">
        <f>SUMIFS('Support - Transition'!F:F,'Support - Transition'!B:B,'Step 2'!A2624,'Support - Transition'!C:C,'Step 2'!B2624,'Support - Transition'!D:D,'Step 2'!C2624,'Support - Transition'!E:E,"FIRE")</f>
        <v>0</v>
      </c>
      <c r="I2624" s="126">
        <f>IF(B2624="0",SUMIFS('Support - Transition'!F:F,'Support - Transition'!J:J,'Step 2'!D2624,'Support - Transition'!E:E,"STATE UNIT"),SUMIFS('Support - Transition'!F:F,'Support - Transition'!J:J,'Step 2'!D2624))</f>
        <v>0</v>
      </c>
      <c r="J2624" s="126">
        <f>SUMIFS('Support - Unit Adjustments'!E:E,'Support - Unit Adjustments'!F:F,'Step 2'!D2624)</f>
        <v>0</v>
      </c>
      <c r="K2624" s="126">
        <f t="shared" si="764"/>
        <v>0</v>
      </c>
      <c r="L2624" s="174">
        <f>VLOOKUP(A2624,'Step 1'!$A:$E,4,FALSE)</f>
        <v>481081</v>
      </c>
      <c r="M2624" s="47">
        <f t="shared" si="765"/>
        <v>0</v>
      </c>
      <c r="N2624" s="177">
        <f>SUMIFS('Support - Transition'!G:G,'Support - Transition'!J:J,'Step 2'!D2624,'Support - Transition'!E:E,"2009 WELFARE ALLOCATION FACTOR")</f>
        <v>0</v>
      </c>
      <c r="O2624" s="152">
        <f t="shared" si="770"/>
        <v>0</v>
      </c>
      <c r="P2624" s="126">
        <f>IF(E2624="Y",0,SUMIFS('Support - Transition'!G:G,'Support - Transition'!J:J,'Step 2'!D2624,'Support - Transition'!E:E,"2009 SCHOOL ALLOCATION FACTOR"))</f>
        <v>0</v>
      </c>
      <c r="Q2624" s="126">
        <f>IF(E2624="Y",VLOOKUP(D2624,'Support - Unit Adjustments'!F:G,2,FALSE),0)</f>
        <v>0</v>
      </c>
      <c r="R2624" s="155">
        <f t="shared" si="782"/>
        <v>0</v>
      </c>
      <c r="S2624" s="47">
        <f t="shared" si="781"/>
        <v>0</v>
      </c>
      <c r="T2624" s="151">
        <f t="shared" si="766"/>
        <v>0</v>
      </c>
      <c r="U2624" s="151">
        <f t="shared" si="767"/>
        <v>0</v>
      </c>
      <c r="V2624" s="139">
        <f t="shared" si="768"/>
        <v>0</v>
      </c>
      <c r="W2624" s="152">
        <f t="shared" si="771"/>
        <v>0</v>
      </c>
      <c r="X2624" s="127" t="str">
        <f t="shared" si="769"/>
        <v/>
      </c>
      <c r="Y2624" s="207">
        <f t="shared" si="772"/>
        <v>0</v>
      </c>
      <c r="Z2624" s="139">
        <f t="shared" si="773"/>
        <v>0</v>
      </c>
      <c r="AA2624" s="139">
        <f t="shared" si="774"/>
        <v>0</v>
      </c>
      <c r="AC2624" s="47">
        <f t="shared" si="775"/>
        <v>0</v>
      </c>
      <c r="AD2624" s="47">
        <f t="shared" si="776"/>
        <v>0</v>
      </c>
      <c r="AE2624" s="47">
        <f t="shared" si="777"/>
        <v>0</v>
      </c>
      <c r="AG2624" s="47">
        <f t="shared" si="778"/>
        <v>0</v>
      </c>
      <c r="AH2624" s="47">
        <f t="shared" si="779"/>
        <v>0</v>
      </c>
      <c r="AI2624" s="208">
        <f t="shared" si="780"/>
        <v>0</v>
      </c>
    </row>
    <row r="2625" spans="1:35">
      <c r="A2625" t="s">
        <v>2175</v>
      </c>
      <c r="B2625" s="48" t="s">
        <v>6274</v>
      </c>
      <c r="C2625" t="s">
        <v>2187</v>
      </c>
      <c r="D2625" t="str">
        <f>A2625&amp;B2625&amp;C2625</f>
        <v>9100000</v>
      </c>
      <c r="F2625" t="s">
        <v>6365</v>
      </c>
      <c r="G2625" s="126">
        <f>SUMIFS('Support - Transition'!F:F,'Support - Transition'!B:B,'Step 2'!A2625,'Support - Transition'!C:C,'Step 2'!B2625,'Support - Transition'!D:D,'Step 2'!C2625,'Support - Transition'!E:E,"CIVIL")</f>
        <v>0</v>
      </c>
      <c r="H2625" s="126">
        <f>SUMIFS('Support - Transition'!F:F,'Support - Transition'!B:B,'Step 2'!A2625,'Support - Transition'!C:C,'Step 2'!B2625,'Support - Transition'!D:D,'Step 2'!C2625,'Support - Transition'!E:E,"FIRE")</f>
        <v>0</v>
      </c>
      <c r="I2625" s="126">
        <f>IF(B2625="0",SUMIFS('Support - Transition'!F:F,'Support - Transition'!J:J,'Step 2'!D2625,'Support - Transition'!E:E,"STATE UNIT"),SUMIFS('Support - Transition'!F:F,'Support - Transition'!J:J,'Step 2'!D2625))</f>
        <v>1.261E-3</v>
      </c>
      <c r="J2625" s="126">
        <f>SUMIFS('Support - Unit Adjustments'!E:E,'Support - Unit Adjustments'!F:F,'Step 2'!D2625)</f>
        <v>0</v>
      </c>
      <c r="K2625" s="126">
        <f t="shared" si="764"/>
        <v>1.261E-3</v>
      </c>
      <c r="L2625" s="174">
        <f>VLOOKUP(A2625,'Step 1'!$A:$E,4,FALSE)</f>
        <v>442143</v>
      </c>
      <c r="M2625" s="47">
        <f t="shared" si="765"/>
        <v>558</v>
      </c>
      <c r="N2625" s="177">
        <f>SUMIFS('Support - Transition'!G:G,'Support - Transition'!J:J,'Step 2'!D2625,'Support - Transition'!E:E,"2009 WELFARE ALLOCATION FACTOR")</f>
        <v>0</v>
      </c>
      <c r="O2625" s="152">
        <f t="shared" si="770"/>
        <v>0</v>
      </c>
      <c r="P2625" s="126">
        <f>IF(E2625="Y",0,SUMIFS('Support - Transition'!G:G,'Support - Transition'!J:J,'Step 2'!D2625,'Support - Transition'!E:E,"2009 SCHOOL ALLOCATION FACTOR"))</f>
        <v>0</v>
      </c>
      <c r="Q2625" s="126">
        <f>IF(E2625="Y",VLOOKUP(D2625,'Support - Unit Adjustments'!F:G,2,FALSE),0)</f>
        <v>0</v>
      </c>
      <c r="R2625" s="155">
        <f t="shared" si="782"/>
        <v>0</v>
      </c>
      <c r="S2625" s="47">
        <f t="shared" si="781"/>
        <v>0</v>
      </c>
      <c r="T2625" s="151">
        <f t="shared" si="766"/>
        <v>558</v>
      </c>
      <c r="U2625" s="151">
        <f t="shared" si="767"/>
        <v>442144</v>
      </c>
      <c r="V2625" s="139">
        <f t="shared" si="768"/>
        <v>1</v>
      </c>
      <c r="W2625" s="152">
        <f t="shared" si="771"/>
        <v>557</v>
      </c>
      <c r="X2625" s="127">
        <f t="shared" si="769"/>
        <v>0</v>
      </c>
      <c r="Y2625" s="207">
        <f t="shared" si="772"/>
        <v>557</v>
      </c>
      <c r="Z2625" s="139">
        <f t="shared" si="773"/>
        <v>557</v>
      </c>
      <c r="AA2625" s="139">
        <f t="shared" si="774"/>
        <v>0</v>
      </c>
      <c r="AC2625" s="47">
        <f t="shared" si="775"/>
        <v>279</v>
      </c>
      <c r="AD2625" s="47">
        <f t="shared" si="776"/>
        <v>279</v>
      </c>
      <c r="AE2625" s="47">
        <f t="shared" si="777"/>
        <v>0</v>
      </c>
      <c r="AG2625" s="47">
        <f t="shared" si="778"/>
        <v>278</v>
      </c>
      <c r="AH2625" s="47">
        <f t="shared" si="779"/>
        <v>278</v>
      </c>
      <c r="AI2625" s="208">
        <f t="shared" si="780"/>
        <v>0</v>
      </c>
    </row>
    <row r="2626" spans="1:35">
      <c r="A2626" t="s">
        <v>2175</v>
      </c>
      <c r="B2626" t="s">
        <v>3140</v>
      </c>
      <c r="C2626" t="s">
        <v>2187</v>
      </c>
      <c r="D2626" t="s">
        <v>6210</v>
      </c>
      <c r="F2626" t="s">
        <v>1859</v>
      </c>
      <c r="G2626" s="126">
        <f>SUMIFS('Support - Transition'!F:F,'Support - Transition'!B:B,'Step 2'!A2626,'Support - Transition'!C:C,'Step 2'!B2626,'Support - Transition'!D:D,'Step 2'!C2626,'Support - Transition'!E:E,"CIVIL")</f>
        <v>0</v>
      </c>
      <c r="H2626" s="126">
        <f>SUMIFS('Support - Transition'!F:F,'Support - Transition'!B:B,'Step 2'!A2626,'Support - Transition'!C:C,'Step 2'!B2626,'Support - Transition'!D:D,'Step 2'!C2626,'Support - Transition'!E:E,"FIRE")</f>
        <v>0</v>
      </c>
      <c r="I2626" s="126">
        <f>IF(B2626="0",SUMIFS('Support - Transition'!F:F,'Support - Transition'!J:J,'Step 2'!D2626,'Support - Transition'!E:E,"STATE UNIT"),SUMIFS('Support - Transition'!F:F,'Support - Transition'!J:J,'Step 2'!D2626))</f>
        <v>0.17491399999999999</v>
      </c>
      <c r="J2626" s="126">
        <f>SUMIFS('Support - Unit Adjustments'!E:E,'Support - Unit Adjustments'!F:F,'Step 2'!D2626)</f>
        <v>0</v>
      </c>
      <c r="K2626" s="126">
        <f t="shared" ref="K2626:K2678" si="783">+I2626+J2626</f>
        <v>0.17491399999999999</v>
      </c>
      <c r="L2626" s="174">
        <f>VLOOKUP(A2626,'Step 1'!$A:$E,4,FALSE)</f>
        <v>442143</v>
      </c>
      <c r="M2626" s="47">
        <f t="shared" ref="M2626:M2678" si="784">ROUND(+K2626*L2626,0)</f>
        <v>77337</v>
      </c>
      <c r="N2626" s="177">
        <f>SUMIFS('Support - Transition'!G:G,'Support - Transition'!J:J,'Step 2'!D2626,'Support - Transition'!E:E,"2009 WELFARE ALLOCATION FACTOR")</f>
        <v>7.7237E-2</v>
      </c>
      <c r="O2626" s="152">
        <f t="shared" si="770"/>
        <v>5973</v>
      </c>
      <c r="P2626" s="126">
        <f>IF(E2626="Y",0,SUMIFS('Support - Transition'!G:G,'Support - Transition'!J:J,'Step 2'!D2626,'Support - Transition'!E:E,"2009 SCHOOL ALLOCATION FACTOR"))</f>
        <v>0</v>
      </c>
      <c r="Q2626" s="126">
        <f>IF(E2626="Y",VLOOKUP(D2626,'Support - Unit Adjustments'!F:G,2,FALSE),0)</f>
        <v>0</v>
      </c>
      <c r="R2626" s="155">
        <f t="shared" si="782"/>
        <v>0</v>
      </c>
      <c r="S2626" s="47">
        <f t="shared" si="781"/>
        <v>0</v>
      </c>
      <c r="T2626" s="151">
        <f t="shared" ref="T2626" si="785">ROUND(+M2626-O2626-S2626,2)</f>
        <v>71364</v>
      </c>
      <c r="U2626" s="151">
        <f t="shared" ref="U2626:U2678" si="786">IF(B2626="0",SUMIFS(O:O,A:A,A2626)+SUMIFS(S:S,A:A,A2626)+SUMIFS(T:T,A:A,A2626),0)</f>
        <v>0</v>
      </c>
      <c r="V2626" s="139">
        <f t="shared" ref="V2626:V2678" si="787">IF(B2626="0",U2626-L2626,0)</f>
        <v>0</v>
      </c>
      <c r="W2626" s="152">
        <f t="shared" si="771"/>
        <v>71364</v>
      </c>
      <c r="X2626" s="127" t="str">
        <f t="shared" ref="X2626:X2678" si="788">IF(B2626="0",SUMIFS(O:O,A:A,A2626)+SUMIFS(S:S,A:A,A2626)+SUMIFS(W:W,A:A,A2626)-L2626,"")</f>
        <v/>
      </c>
      <c r="Y2626" s="207">
        <f t="shared" si="772"/>
        <v>71364</v>
      </c>
      <c r="Z2626" s="139">
        <f t="shared" si="773"/>
        <v>71364</v>
      </c>
      <c r="AA2626" s="139">
        <f t="shared" si="774"/>
        <v>0</v>
      </c>
      <c r="AC2626" s="47">
        <f t="shared" si="775"/>
        <v>35682</v>
      </c>
      <c r="AD2626" s="47">
        <f t="shared" si="776"/>
        <v>35682</v>
      </c>
      <c r="AE2626" s="47">
        <f t="shared" si="777"/>
        <v>0</v>
      </c>
      <c r="AG2626" s="47">
        <f t="shared" si="778"/>
        <v>35682</v>
      </c>
      <c r="AH2626" s="47">
        <f t="shared" si="779"/>
        <v>35682</v>
      </c>
      <c r="AI2626" s="208">
        <f t="shared" si="780"/>
        <v>0</v>
      </c>
    </row>
    <row r="2627" spans="1:35">
      <c r="A2627" t="s">
        <v>2175</v>
      </c>
      <c r="B2627" t="s">
        <v>3142</v>
      </c>
      <c r="C2627" t="s">
        <v>2188</v>
      </c>
      <c r="D2627" t="s">
        <v>6211</v>
      </c>
      <c r="F2627" t="s">
        <v>1860</v>
      </c>
      <c r="G2627" s="126">
        <f>SUMIFS('Support - Transition'!F:F,'Support - Transition'!B:B,'Step 2'!A2627,'Support - Transition'!C:C,'Step 2'!B2627,'Support - Transition'!D:D,'Step 2'!C2627,'Support - Transition'!E:E,"CIVIL")</f>
        <v>2.1599999999999999E-4</v>
      </c>
      <c r="H2627" s="126">
        <f>SUMIFS('Support - Transition'!F:F,'Support - Transition'!B:B,'Step 2'!A2627,'Support - Transition'!C:C,'Step 2'!B2627,'Support - Transition'!D:D,'Step 2'!C2627,'Support - Transition'!E:E,"FIRE")</f>
        <v>3.4600000000000001E-4</v>
      </c>
      <c r="I2627" s="126">
        <f>IF(B2627="0",SUMIFS('Support - Transition'!F:F,'Support - Transition'!J:J,'Step 2'!D2627,'Support - Transition'!E:E,"STATE UNIT"),SUMIFS('Support - Transition'!F:F,'Support - Transition'!J:J,'Step 2'!D2627))</f>
        <v>5.62E-4</v>
      </c>
      <c r="J2627" s="126">
        <f>SUMIFS('Support - Unit Adjustments'!E:E,'Support - Unit Adjustments'!F:F,'Step 2'!D2627)</f>
        <v>0</v>
      </c>
      <c r="K2627" s="126">
        <f t="shared" si="783"/>
        <v>5.62E-4</v>
      </c>
      <c r="L2627" s="174">
        <f>VLOOKUP(A2627,'Step 1'!$A:$E,4,FALSE)</f>
        <v>442143</v>
      </c>
      <c r="M2627" s="47">
        <f t="shared" si="784"/>
        <v>248</v>
      </c>
      <c r="N2627" s="177">
        <f>SUMIFS('Support - Transition'!G:G,'Support - Transition'!J:J,'Step 2'!D2627,'Support - Transition'!E:E,"2009 WELFARE ALLOCATION FACTOR")</f>
        <v>0</v>
      </c>
      <c r="O2627" s="152">
        <f t="shared" ref="O2627:O2678" si="789">ROUND(+N2627*M2627,0)</f>
        <v>0</v>
      </c>
      <c r="P2627" s="126">
        <f>IF(E2627="Y",0,SUMIFS('Support - Transition'!G:G,'Support - Transition'!J:J,'Step 2'!D2627,'Support - Transition'!E:E,"2009 SCHOOL ALLOCATION FACTOR"))</f>
        <v>0</v>
      </c>
      <c r="Q2627" s="126">
        <f>IF(E2627="Y",VLOOKUP(D2627,'Support - Unit Adjustments'!F:G,2,FALSE),0)</f>
        <v>0</v>
      </c>
      <c r="R2627" s="155">
        <f t="shared" si="782"/>
        <v>0</v>
      </c>
      <c r="S2627" s="47">
        <f t="shared" si="781"/>
        <v>0</v>
      </c>
      <c r="T2627" s="151">
        <f t="shared" ref="T2627:T2678" si="790">ROUND(+M2627-O2627-S2627,2)</f>
        <v>248</v>
      </c>
      <c r="U2627" s="151">
        <f t="shared" si="786"/>
        <v>0</v>
      </c>
      <c r="V2627" s="139">
        <f t="shared" si="787"/>
        <v>0</v>
      </c>
      <c r="W2627" s="152">
        <f t="shared" ref="W2627:W2678" si="791">+T2627-V2627</f>
        <v>248</v>
      </c>
      <c r="X2627" s="127" t="str">
        <f t="shared" si="788"/>
        <v/>
      </c>
      <c r="Y2627" s="207">
        <f t="shared" ref="Y2627:Y2678" si="792">W2627</f>
        <v>248</v>
      </c>
      <c r="Z2627" s="139">
        <f t="shared" ref="Z2627:Z2678" si="793">IFERROR(IF(B2627="2",ROUND(Y2627*G2627/I2627,0),Y2627),0)</f>
        <v>95</v>
      </c>
      <c r="AA2627" s="139">
        <f t="shared" ref="AA2627:AA2678" si="794">+Y2627-Z2627</f>
        <v>153</v>
      </c>
      <c r="AC2627" s="47">
        <f t="shared" ref="AC2627:AC2678" si="795">ROUND(Y2627/2,0)</f>
        <v>124</v>
      </c>
      <c r="AD2627" s="47">
        <f t="shared" ref="AD2627:AD2678" si="796">ROUND(Z2627/2,0)</f>
        <v>48</v>
      </c>
      <c r="AE2627" s="47">
        <f t="shared" ref="AE2627:AE2678" si="797">ROUND(AA2627/2,0)</f>
        <v>77</v>
      </c>
      <c r="AG2627" s="47">
        <f t="shared" ref="AG2627:AG2678" si="798">+Y2627-AC2627</f>
        <v>124</v>
      </c>
      <c r="AH2627" s="47">
        <f t="shared" ref="AH2627:AH2678" si="799">+Z2627-AD2627</f>
        <v>47</v>
      </c>
      <c r="AI2627" s="208">
        <f t="shared" ref="AI2627:AI2678" si="800">+AA2627-AE2627</f>
        <v>76</v>
      </c>
    </row>
    <row r="2628" spans="1:35">
      <c r="A2628" t="s">
        <v>2175</v>
      </c>
      <c r="B2628" t="s">
        <v>3142</v>
      </c>
      <c r="C2628" t="s">
        <v>2189</v>
      </c>
      <c r="D2628" t="s">
        <v>6212</v>
      </c>
      <c r="F2628" t="s">
        <v>249</v>
      </c>
      <c r="G2628" s="126">
        <f>SUMIFS('Support - Transition'!F:F,'Support - Transition'!B:B,'Step 2'!A2628,'Support - Transition'!C:C,'Step 2'!B2628,'Support - Transition'!D:D,'Step 2'!C2628,'Support - Transition'!E:E,"CIVIL")</f>
        <v>2.5399999999999999E-4</v>
      </c>
      <c r="H2628" s="126">
        <f>SUMIFS('Support - Transition'!F:F,'Support - Transition'!B:B,'Step 2'!A2628,'Support - Transition'!C:C,'Step 2'!B2628,'Support - Transition'!D:D,'Step 2'!C2628,'Support - Transition'!E:E,"FIRE")</f>
        <v>1.05E-4</v>
      </c>
      <c r="I2628" s="126">
        <f>IF(B2628="0",SUMIFS('Support - Transition'!F:F,'Support - Transition'!J:J,'Step 2'!D2628,'Support - Transition'!E:E,"STATE UNIT"),SUMIFS('Support - Transition'!F:F,'Support - Transition'!J:J,'Step 2'!D2628))</f>
        <v>3.59E-4</v>
      </c>
      <c r="J2628" s="126">
        <f>SUMIFS('Support - Unit Adjustments'!E:E,'Support - Unit Adjustments'!F:F,'Step 2'!D2628)</f>
        <v>0</v>
      </c>
      <c r="K2628" s="126">
        <f t="shared" si="783"/>
        <v>3.59E-4</v>
      </c>
      <c r="L2628" s="174">
        <f>VLOOKUP(A2628,'Step 1'!$A:$E,4,FALSE)</f>
        <v>442143</v>
      </c>
      <c r="M2628" s="47">
        <f t="shared" si="784"/>
        <v>159</v>
      </c>
      <c r="N2628" s="177">
        <f>SUMIFS('Support - Transition'!G:G,'Support - Transition'!J:J,'Step 2'!D2628,'Support - Transition'!E:E,"2009 WELFARE ALLOCATION FACTOR")</f>
        <v>0</v>
      </c>
      <c r="O2628" s="152">
        <f t="shared" si="789"/>
        <v>0</v>
      </c>
      <c r="P2628" s="126">
        <f>IF(E2628="Y",0,SUMIFS('Support - Transition'!G:G,'Support - Transition'!J:J,'Step 2'!D2628,'Support - Transition'!E:E,"2009 SCHOOL ALLOCATION FACTOR"))</f>
        <v>0</v>
      </c>
      <c r="Q2628" s="126">
        <f>IF(E2628="Y",VLOOKUP(D2628,'Support - Unit Adjustments'!F:G,2,FALSE),0)</f>
        <v>0</v>
      </c>
      <c r="R2628" s="155">
        <f t="shared" si="782"/>
        <v>0</v>
      </c>
      <c r="S2628" s="47">
        <f t="shared" si="781"/>
        <v>0</v>
      </c>
      <c r="T2628" s="151">
        <f t="shared" si="790"/>
        <v>159</v>
      </c>
      <c r="U2628" s="151">
        <f t="shared" si="786"/>
        <v>0</v>
      </c>
      <c r="V2628" s="139">
        <f t="shared" si="787"/>
        <v>0</v>
      </c>
      <c r="W2628" s="152">
        <f t="shared" si="791"/>
        <v>159</v>
      </c>
      <c r="X2628" s="127" t="str">
        <f t="shared" si="788"/>
        <v/>
      </c>
      <c r="Y2628" s="207">
        <f t="shared" si="792"/>
        <v>159</v>
      </c>
      <c r="Z2628" s="139">
        <f t="shared" si="793"/>
        <v>112</v>
      </c>
      <c r="AA2628" s="139">
        <f t="shared" si="794"/>
        <v>47</v>
      </c>
      <c r="AC2628" s="47">
        <f t="shared" si="795"/>
        <v>80</v>
      </c>
      <c r="AD2628" s="47">
        <f t="shared" si="796"/>
        <v>56</v>
      </c>
      <c r="AE2628" s="47">
        <f t="shared" si="797"/>
        <v>24</v>
      </c>
      <c r="AG2628" s="47">
        <f t="shared" si="798"/>
        <v>79</v>
      </c>
      <c r="AH2628" s="47">
        <f t="shared" si="799"/>
        <v>56</v>
      </c>
      <c r="AI2628" s="208">
        <f t="shared" si="800"/>
        <v>23</v>
      </c>
    </row>
    <row r="2629" spans="1:35">
      <c r="A2629" t="s">
        <v>2175</v>
      </c>
      <c r="B2629" t="s">
        <v>3142</v>
      </c>
      <c r="C2629" t="s">
        <v>2190</v>
      </c>
      <c r="D2629" t="s">
        <v>6213</v>
      </c>
      <c r="F2629" t="s">
        <v>776</v>
      </c>
      <c r="G2629" s="126">
        <f>SUMIFS('Support - Transition'!F:F,'Support - Transition'!B:B,'Step 2'!A2629,'Support - Transition'!C:C,'Step 2'!B2629,'Support - Transition'!D:D,'Step 2'!C2629,'Support - Transition'!E:E,"CIVIL")</f>
        <v>1.3749999999999999E-3</v>
      </c>
      <c r="H2629" s="126">
        <f>SUMIFS('Support - Transition'!F:F,'Support - Transition'!B:B,'Step 2'!A2629,'Support - Transition'!C:C,'Step 2'!B2629,'Support - Transition'!D:D,'Step 2'!C2629,'Support - Transition'!E:E,"FIRE")</f>
        <v>1.0549999999999999E-3</v>
      </c>
      <c r="I2629" s="126">
        <f>IF(B2629="0",SUMIFS('Support - Transition'!F:F,'Support - Transition'!J:J,'Step 2'!D2629,'Support - Transition'!E:E,"STATE UNIT"),SUMIFS('Support - Transition'!F:F,'Support - Transition'!J:J,'Step 2'!D2629))</f>
        <v>2.4299999999999999E-3</v>
      </c>
      <c r="J2629" s="126">
        <f>SUMIFS('Support - Unit Adjustments'!E:E,'Support - Unit Adjustments'!F:F,'Step 2'!D2629)</f>
        <v>0</v>
      </c>
      <c r="K2629" s="126">
        <f t="shared" si="783"/>
        <v>2.4299999999999999E-3</v>
      </c>
      <c r="L2629" s="174">
        <f>VLOOKUP(A2629,'Step 1'!$A:$E,4,FALSE)</f>
        <v>442143</v>
      </c>
      <c r="M2629" s="47">
        <f t="shared" si="784"/>
        <v>1074</v>
      </c>
      <c r="N2629" s="177">
        <f>SUMIFS('Support - Transition'!G:G,'Support - Transition'!J:J,'Step 2'!D2629,'Support - Transition'!E:E,"2009 WELFARE ALLOCATION FACTOR")</f>
        <v>0</v>
      </c>
      <c r="O2629" s="152">
        <f t="shared" si="789"/>
        <v>0</v>
      </c>
      <c r="P2629" s="126">
        <f>IF(E2629="Y",0,SUMIFS('Support - Transition'!G:G,'Support - Transition'!J:J,'Step 2'!D2629,'Support - Transition'!E:E,"2009 SCHOOL ALLOCATION FACTOR"))</f>
        <v>0</v>
      </c>
      <c r="Q2629" s="126">
        <f>IF(E2629="Y",VLOOKUP(D2629,'Support - Unit Adjustments'!F:G,2,FALSE),0)</f>
        <v>0</v>
      </c>
      <c r="R2629" s="155">
        <f t="shared" si="782"/>
        <v>0</v>
      </c>
      <c r="S2629" s="47">
        <f t="shared" si="781"/>
        <v>0</v>
      </c>
      <c r="T2629" s="151">
        <f t="shared" si="790"/>
        <v>1074</v>
      </c>
      <c r="U2629" s="151">
        <f t="shared" si="786"/>
        <v>0</v>
      </c>
      <c r="V2629" s="139">
        <f t="shared" si="787"/>
        <v>0</v>
      </c>
      <c r="W2629" s="152">
        <f t="shared" si="791"/>
        <v>1074</v>
      </c>
      <c r="X2629" s="127" t="str">
        <f t="shared" si="788"/>
        <v/>
      </c>
      <c r="Y2629" s="207">
        <f t="shared" si="792"/>
        <v>1074</v>
      </c>
      <c r="Z2629" s="139">
        <f t="shared" si="793"/>
        <v>608</v>
      </c>
      <c r="AA2629" s="139">
        <f t="shared" si="794"/>
        <v>466</v>
      </c>
      <c r="AC2629" s="47">
        <f t="shared" si="795"/>
        <v>537</v>
      </c>
      <c r="AD2629" s="47">
        <f t="shared" si="796"/>
        <v>304</v>
      </c>
      <c r="AE2629" s="47">
        <f t="shared" si="797"/>
        <v>233</v>
      </c>
      <c r="AG2629" s="47">
        <f t="shared" si="798"/>
        <v>537</v>
      </c>
      <c r="AH2629" s="47">
        <f t="shared" si="799"/>
        <v>304</v>
      </c>
      <c r="AI2629" s="208">
        <f t="shared" si="800"/>
        <v>233</v>
      </c>
    </row>
    <row r="2630" spans="1:35">
      <c r="A2630" t="s">
        <v>2175</v>
      </c>
      <c r="B2630" t="s">
        <v>3142</v>
      </c>
      <c r="C2630" t="s">
        <v>2191</v>
      </c>
      <c r="D2630" t="s">
        <v>6214</v>
      </c>
      <c r="F2630" t="s">
        <v>49</v>
      </c>
      <c r="G2630" s="126">
        <f>SUMIFS('Support - Transition'!F:F,'Support - Transition'!B:B,'Step 2'!A2630,'Support - Transition'!C:C,'Step 2'!B2630,'Support - Transition'!D:D,'Step 2'!C2630,'Support - Transition'!E:E,"CIVIL")</f>
        <v>3.6999999999999998E-5</v>
      </c>
      <c r="H2630" s="126">
        <f>SUMIFS('Support - Transition'!F:F,'Support - Transition'!B:B,'Step 2'!A2630,'Support - Transition'!C:C,'Step 2'!B2630,'Support - Transition'!D:D,'Step 2'!C2630,'Support - Transition'!E:E,"FIRE")</f>
        <v>7.9999999999999996E-6</v>
      </c>
      <c r="I2630" s="126">
        <f>IF(B2630="0",SUMIFS('Support - Transition'!F:F,'Support - Transition'!J:J,'Step 2'!D2630,'Support - Transition'!E:E,"STATE UNIT"),SUMIFS('Support - Transition'!F:F,'Support - Transition'!J:J,'Step 2'!D2630))</f>
        <v>4.4999999999999996E-5</v>
      </c>
      <c r="J2630" s="126">
        <f>SUMIFS('Support - Unit Adjustments'!E:E,'Support - Unit Adjustments'!F:F,'Step 2'!D2630)</f>
        <v>0</v>
      </c>
      <c r="K2630" s="126">
        <f t="shared" si="783"/>
        <v>4.4999999999999996E-5</v>
      </c>
      <c r="L2630" s="174">
        <f>VLOOKUP(A2630,'Step 1'!$A:$E,4,FALSE)</f>
        <v>442143</v>
      </c>
      <c r="M2630" s="47">
        <f t="shared" si="784"/>
        <v>20</v>
      </c>
      <c r="N2630" s="177">
        <f>SUMIFS('Support - Transition'!G:G,'Support - Transition'!J:J,'Step 2'!D2630,'Support - Transition'!E:E,"2009 WELFARE ALLOCATION FACTOR")</f>
        <v>0</v>
      </c>
      <c r="O2630" s="152">
        <f t="shared" si="789"/>
        <v>0</v>
      </c>
      <c r="P2630" s="126">
        <f>IF(E2630="Y",0,SUMIFS('Support - Transition'!G:G,'Support - Transition'!J:J,'Step 2'!D2630,'Support - Transition'!E:E,"2009 SCHOOL ALLOCATION FACTOR"))</f>
        <v>0</v>
      </c>
      <c r="Q2630" s="126">
        <f>IF(E2630="Y",VLOOKUP(D2630,'Support - Unit Adjustments'!F:G,2,FALSE),0)</f>
        <v>0</v>
      </c>
      <c r="R2630" s="155">
        <f t="shared" si="782"/>
        <v>0</v>
      </c>
      <c r="S2630" s="47">
        <f t="shared" si="781"/>
        <v>0</v>
      </c>
      <c r="T2630" s="151">
        <f t="shared" si="790"/>
        <v>20</v>
      </c>
      <c r="U2630" s="151">
        <f t="shared" si="786"/>
        <v>0</v>
      </c>
      <c r="V2630" s="139">
        <f t="shared" si="787"/>
        <v>0</v>
      </c>
      <c r="W2630" s="152">
        <f t="shared" si="791"/>
        <v>20</v>
      </c>
      <c r="X2630" s="127" t="str">
        <f t="shared" si="788"/>
        <v/>
      </c>
      <c r="Y2630" s="207">
        <f t="shared" si="792"/>
        <v>20</v>
      </c>
      <c r="Z2630" s="139">
        <f t="shared" si="793"/>
        <v>16</v>
      </c>
      <c r="AA2630" s="139">
        <f t="shared" si="794"/>
        <v>4</v>
      </c>
      <c r="AC2630" s="47">
        <f t="shared" si="795"/>
        <v>10</v>
      </c>
      <c r="AD2630" s="47">
        <f t="shared" si="796"/>
        <v>8</v>
      </c>
      <c r="AE2630" s="47">
        <f t="shared" si="797"/>
        <v>2</v>
      </c>
      <c r="AG2630" s="47">
        <f t="shared" si="798"/>
        <v>10</v>
      </c>
      <c r="AH2630" s="47">
        <f t="shared" si="799"/>
        <v>8</v>
      </c>
      <c r="AI2630" s="208">
        <f t="shared" si="800"/>
        <v>2</v>
      </c>
    </row>
    <row r="2631" spans="1:35">
      <c r="A2631" t="s">
        <v>2175</v>
      </c>
      <c r="B2631" t="s">
        <v>3142</v>
      </c>
      <c r="C2631" t="s">
        <v>2192</v>
      </c>
      <c r="D2631" t="s">
        <v>6215</v>
      </c>
      <c r="F2631" t="s">
        <v>181</v>
      </c>
      <c r="G2631" s="126">
        <f>SUMIFS('Support - Transition'!F:F,'Support - Transition'!B:B,'Step 2'!A2631,'Support - Transition'!C:C,'Step 2'!B2631,'Support - Transition'!D:D,'Step 2'!C2631,'Support - Transition'!E:E,"CIVIL")</f>
        <v>0</v>
      </c>
      <c r="H2631" s="126">
        <f>SUMIFS('Support - Transition'!F:F,'Support - Transition'!B:B,'Step 2'!A2631,'Support - Transition'!C:C,'Step 2'!B2631,'Support - Transition'!D:D,'Step 2'!C2631,'Support - Transition'!E:E,"FIRE")</f>
        <v>0</v>
      </c>
      <c r="I2631" s="126">
        <f>IF(B2631="0",SUMIFS('Support - Transition'!F:F,'Support - Transition'!J:J,'Step 2'!D2631,'Support - Transition'!E:E,"STATE UNIT"),SUMIFS('Support - Transition'!F:F,'Support - Transition'!J:J,'Step 2'!D2631))</f>
        <v>0</v>
      </c>
      <c r="J2631" s="126">
        <f>SUMIFS('Support - Unit Adjustments'!E:E,'Support - Unit Adjustments'!F:F,'Step 2'!D2631)</f>
        <v>0</v>
      </c>
      <c r="K2631" s="126">
        <f t="shared" si="783"/>
        <v>0</v>
      </c>
      <c r="L2631" s="174">
        <f>VLOOKUP(A2631,'Step 1'!$A:$E,4,FALSE)</f>
        <v>442143</v>
      </c>
      <c r="M2631" s="47">
        <f t="shared" si="784"/>
        <v>0</v>
      </c>
      <c r="N2631" s="177">
        <f>SUMIFS('Support - Transition'!G:G,'Support - Transition'!J:J,'Step 2'!D2631,'Support - Transition'!E:E,"2009 WELFARE ALLOCATION FACTOR")</f>
        <v>0</v>
      </c>
      <c r="O2631" s="152">
        <f t="shared" si="789"/>
        <v>0</v>
      </c>
      <c r="P2631" s="126">
        <f>IF(E2631="Y",0,SUMIFS('Support - Transition'!G:G,'Support - Transition'!J:J,'Step 2'!D2631,'Support - Transition'!E:E,"2009 SCHOOL ALLOCATION FACTOR"))</f>
        <v>0</v>
      </c>
      <c r="Q2631" s="126">
        <f>IF(E2631="Y",VLOOKUP(D2631,'Support - Unit Adjustments'!F:G,2,FALSE),0)</f>
        <v>0</v>
      </c>
      <c r="R2631" s="155">
        <f t="shared" si="782"/>
        <v>0</v>
      </c>
      <c r="S2631" s="47">
        <f t="shared" si="781"/>
        <v>0</v>
      </c>
      <c r="T2631" s="151">
        <f t="shared" si="790"/>
        <v>0</v>
      </c>
      <c r="U2631" s="151">
        <f t="shared" si="786"/>
        <v>0</v>
      </c>
      <c r="V2631" s="139">
        <f t="shared" si="787"/>
        <v>0</v>
      </c>
      <c r="W2631" s="152">
        <f t="shared" si="791"/>
        <v>0</v>
      </c>
      <c r="X2631" s="127" t="str">
        <f t="shared" si="788"/>
        <v/>
      </c>
      <c r="Y2631" s="207">
        <f t="shared" si="792"/>
        <v>0</v>
      </c>
      <c r="Z2631" s="139">
        <f t="shared" si="793"/>
        <v>0</v>
      </c>
      <c r="AA2631" s="139">
        <f t="shared" si="794"/>
        <v>0</v>
      </c>
      <c r="AC2631" s="47">
        <f t="shared" si="795"/>
        <v>0</v>
      </c>
      <c r="AD2631" s="47">
        <f t="shared" si="796"/>
        <v>0</v>
      </c>
      <c r="AE2631" s="47">
        <f t="shared" si="797"/>
        <v>0</v>
      </c>
      <c r="AG2631" s="47">
        <f t="shared" si="798"/>
        <v>0</v>
      </c>
      <c r="AH2631" s="47">
        <f t="shared" si="799"/>
        <v>0</v>
      </c>
      <c r="AI2631" s="208">
        <f t="shared" si="800"/>
        <v>0</v>
      </c>
    </row>
    <row r="2632" spans="1:35">
      <c r="A2632" t="s">
        <v>2175</v>
      </c>
      <c r="B2632" t="s">
        <v>3142</v>
      </c>
      <c r="C2632" t="s">
        <v>2193</v>
      </c>
      <c r="D2632" t="s">
        <v>6216</v>
      </c>
      <c r="F2632" t="s">
        <v>714</v>
      </c>
      <c r="G2632" s="126">
        <f>SUMIFS('Support - Transition'!F:F,'Support - Transition'!B:B,'Step 2'!A2632,'Support - Transition'!C:C,'Step 2'!B2632,'Support - Transition'!D:D,'Step 2'!C2632,'Support - Transition'!E:E,"CIVIL")</f>
        <v>3.1100000000000002E-4</v>
      </c>
      <c r="H2632" s="126">
        <f>SUMIFS('Support - Transition'!F:F,'Support - Transition'!B:B,'Step 2'!A2632,'Support - Transition'!C:C,'Step 2'!B2632,'Support - Transition'!D:D,'Step 2'!C2632,'Support - Transition'!E:E,"FIRE")</f>
        <v>8.2000000000000001E-5</v>
      </c>
      <c r="I2632" s="126">
        <f>IF(B2632="0",SUMIFS('Support - Transition'!F:F,'Support - Transition'!J:J,'Step 2'!D2632,'Support - Transition'!E:E,"STATE UNIT"),SUMIFS('Support - Transition'!F:F,'Support - Transition'!J:J,'Step 2'!D2632))</f>
        <v>3.9300000000000001E-4</v>
      </c>
      <c r="J2632" s="126">
        <f>SUMIFS('Support - Unit Adjustments'!E:E,'Support - Unit Adjustments'!F:F,'Step 2'!D2632)</f>
        <v>0</v>
      </c>
      <c r="K2632" s="126">
        <f t="shared" si="783"/>
        <v>3.9300000000000001E-4</v>
      </c>
      <c r="L2632" s="174">
        <f>VLOOKUP(A2632,'Step 1'!$A:$E,4,FALSE)</f>
        <v>442143</v>
      </c>
      <c r="M2632" s="47">
        <f t="shared" si="784"/>
        <v>174</v>
      </c>
      <c r="N2632" s="177">
        <f>SUMIFS('Support - Transition'!G:G,'Support - Transition'!J:J,'Step 2'!D2632,'Support - Transition'!E:E,"2009 WELFARE ALLOCATION FACTOR")</f>
        <v>0</v>
      </c>
      <c r="O2632" s="152">
        <f t="shared" si="789"/>
        <v>0</v>
      </c>
      <c r="P2632" s="126">
        <f>IF(E2632="Y",0,SUMIFS('Support - Transition'!G:G,'Support - Transition'!J:J,'Step 2'!D2632,'Support - Transition'!E:E,"2009 SCHOOL ALLOCATION FACTOR"))</f>
        <v>0</v>
      </c>
      <c r="Q2632" s="126">
        <f>IF(E2632="Y",VLOOKUP(D2632,'Support - Unit Adjustments'!F:G,2,FALSE),0)</f>
        <v>0</v>
      </c>
      <c r="R2632" s="155">
        <f t="shared" si="782"/>
        <v>0</v>
      </c>
      <c r="S2632" s="47">
        <f t="shared" ref="S2632:S2678" si="801">ROUND(+R2632*M2632,0)</f>
        <v>0</v>
      </c>
      <c r="T2632" s="151">
        <f t="shared" si="790"/>
        <v>174</v>
      </c>
      <c r="U2632" s="151">
        <f t="shared" si="786"/>
        <v>0</v>
      </c>
      <c r="V2632" s="139">
        <f t="shared" si="787"/>
        <v>0</v>
      </c>
      <c r="W2632" s="152">
        <f t="shared" si="791"/>
        <v>174</v>
      </c>
      <c r="X2632" s="127" t="str">
        <f t="shared" si="788"/>
        <v/>
      </c>
      <c r="Y2632" s="207">
        <f t="shared" si="792"/>
        <v>174</v>
      </c>
      <c r="Z2632" s="139">
        <f t="shared" si="793"/>
        <v>138</v>
      </c>
      <c r="AA2632" s="139">
        <f t="shared" si="794"/>
        <v>36</v>
      </c>
      <c r="AC2632" s="47">
        <f t="shared" si="795"/>
        <v>87</v>
      </c>
      <c r="AD2632" s="47">
        <f t="shared" si="796"/>
        <v>69</v>
      </c>
      <c r="AE2632" s="47">
        <f t="shared" si="797"/>
        <v>18</v>
      </c>
      <c r="AG2632" s="47">
        <f t="shared" si="798"/>
        <v>87</v>
      </c>
      <c r="AH2632" s="47">
        <f t="shared" si="799"/>
        <v>69</v>
      </c>
      <c r="AI2632" s="208">
        <f t="shared" si="800"/>
        <v>18</v>
      </c>
    </row>
    <row r="2633" spans="1:35">
      <c r="A2633" t="s">
        <v>2175</v>
      </c>
      <c r="B2633" t="s">
        <v>3142</v>
      </c>
      <c r="C2633" t="s">
        <v>2194</v>
      </c>
      <c r="D2633" t="s">
        <v>6217</v>
      </c>
      <c r="F2633" t="s">
        <v>1861</v>
      </c>
      <c r="G2633" s="126">
        <f>SUMIFS('Support - Transition'!F:F,'Support - Transition'!B:B,'Step 2'!A2633,'Support - Transition'!C:C,'Step 2'!B2633,'Support - Transition'!D:D,'Step 2'!C2633,'Support - Transition'!E:E,"CIVIL")</f>
        <v>6.8199999999999999E-4</v>
      </c>
      <c r="H2633" s="126">
        <f>SUMIFS('Support - Transition'!F:F,'Support - Transition'!B:B,'Step 2'!A2633,'Support - Transition'!C:C,'Step 2'!B2633,'Support - Transition'!D:D,'Step 2'!C2633,'Support - Transition'!E:E,"FIRE")</f>
        <v>3.3799999999999998E-4</v>
      </c>
      <c r="I2633" s="126">
        <f>IF(B2633="0",SUMIFS('Support - Transition'!F:F,'Support - Transition'!J:J,'Step 2'!D2633,'Support - Transition'!E:E,"STATE UNIT"),SUMIFS('Support - Transition'!F:F,'Support - Transition'!J:J,'Step 2'!D2633))</f>
        <v>1.0200000000000001E-3</v>
      </c>
      <c r="J2633" s="126">
        <f>SUMIFS('Support - Unit Adjustments'!E:E,'Support - Unit Adjustments'!F:F,'Step 2'!D2633)</f>
        <v>0</v>
      </c>
      <c r="K2633" s="126">
        <f t="shared" si="783"/>
        <v>1.0200000000000001E-3</v>
      </c>
      <c r="L2633" s="174">
        <f>VLOOKUP(A2633,'Step 1'!$A:$E,4,FALSE)</f>
        <v>442143</v>
      </c>
      <c r="M2633" s="47">
        <f t="shared" si="784"/>
        <v>451</v>
      </c>
      <c r="N2633" s="177">
        <f>SUMIFS('Support - Transition'!G:G,'Support - Transition'!J:J,'Step 2'!D2633,'Support - Transition'!E:E,"2009 WELFARE ALLOCATION FACTOR")</f>
        <v>0</v>
      </c>
      <c r="O2633" s="152">
        <f t="shared" si="789"/>
        <v>0</v>
      </c>
      <c r="P2633" s="126">
        <f>IF(E2633="Y",0,SUMIFS('Support - Transition'!G:G,'Support - Transition'!J:J,'Step 2'!D2633,'Support - Transition'!E:E,"2009 SCHOOL ALLOCATION FACTOR"))</f>
        <v>0</v>
      </c>
      <c r="Q2633" s="126">
        <f>IF(E2633="Y",VLOOKUP(D2633,'Support - Unit Adjustments'!F:G,2,FALSE),0)</f>
        <v>0</v>
      </c>
      <c r="R2633" s="155">
        <f t="shared" ref="R2633:R2678" si="802">+P2633+Q2633</f>
        <v>0</v>
      </c>
      <c r="S2633" s="47">
        <f t="shared" si="801"/>
        <v>0</v>
      </c>
      <c r="T2633" s="151">
        <f t="shared" si="790"/>
        <v>451</v>
      </c>
      <c r="U2633" s="151">
        <f t="shared" si="786"/>
        <v>0</v>
      </c>
      <c r="V2633" s="139">
        <f t="shared" si="787"/>
        <v>0</v>
      </c>
      <c r="W2633" s="152">
        <f t="shared" si="791"/>
        <v>451</v>
      </c>
      <c r="X2633" s="127" t="str">
        <f t="shared" si="788"/>
        <v/>
      </c>
      <c r="Y2633" s="207">
        <f t="shared" si="792"/>
        <v>451</v>
      </c>
      <c r="Z2633" s="139">
        <f t="shared" si="793"/>
        <v>302</v>
      </c>
      <c r="AA2633" s="139">
        <f t="shared" si="794"/>
        <v>149</v>
      </c>
      <c r="AC2633" s="47">
        <f t="shared" si="795"/>
        <v>226</v>
      </c>
      <c r="AD2633" s="47">
        <f t="shared" si="796"/>
        <v>151</v>
      </c>
      <c r="AE2633" s="47">
        <f t="shared" si="797"/>
        <v>75</v>
      </c>
      <c r="AG2633" s="47">
        <f t="shared" si="798"/>
        <v>225</v>
      </c>
      <c r="AH2633" s="47">
        <f t="shared" si="799"/>
        <v>151</v>
      </c>
      <c r="AI2633" s="208">
        <f t="shared" si="800"/>
        <v>74</v>
      </c>
    </row>
    <row r="2634" spans="1:35">
      <c r="A2634" t="s">
        <v>2175</v>
      </c>
      <c r="B2634" t="s">
        <v>3142</v>
      </c>
      <c r="C2634" t="s">
        <v>2195</v>
      </c>
      <c r="D2634" t="s">
        <v>6218</v>
      </c>
      <c r="F2634" t="s">
        <v>744</v>
      </c>
      <c r="G2634" s="126">
        <f>SUMIFS('Support - Transition'!F:F,'Support - Transition'!B:B,'Step 2'!A2634,'Support - Transition'!C:C,'Step 2'!B2634,'Support - Transition'!D:D,'Step 2'!C2634,'Support - Transition'!E:E,"CIVIL")</f>
        <v>3.4400000000000001E-4</v>
      </c>
      <c r="H2634" s="126">
        <f>SUMIFS('Support - Transition'!F:F,'Support - Transition'!B:B,'Step 2'!A2634,'Support - Transition'!C:C,'Step 2'!B2634,'Support - Transition'!D:D,'Step 2'!C2634,'Support - Transition'!E:E,"FIRE")</f>
        <v>5.5900000000000004E-4</v>
      </c>
      <c r="I2634" s="126">
        <f>IF(B2634="0",SUMIFS('Support - Transition'!F:F,'Support - Transition'!J:J,'Step 2'!D2634,'Support - Transition'!E:E,"STATE UNIT"),SUMIFS('Support - Transition'!F:F,'Support - Transition'!J:J,'Step 2'!D2634))</f>
        <v>9.0300000000000005E-4</v>
      </c>
      <c r="J2634" s="126">
        <f>SUMIFS('Support - Unit Adjustments'!E:E,'Support - Unit Adjustments'!F:F,'Step 2'!D2634)</f>
        <v>0</v>
      </c>
      <c r="K2634" s="126">
        <f t="shared" si="783"/>
        <v>9.0300000000000005E-4</v>
      </c>
      <c r="L2634" s="174">
        <f>VLOOKUP(A2634,'Step 1'!$A:$E,4,FALSE)</f>
        <v>442143</v>
      </c>
      <c r="M2634" s="47">
        <f t="shared" si="784"/>
        <v>399</v>
      </c>
      <c r="N2634" s="177">
        <f>SUMIFS('Support - Transition'!G:G,'Support - Transition'!J:J,'Step 2'!D2634,'Support - Transition'!E:E,"2009 WELFARE ALLOCATION FACTOR")</f>
        <v>0</v>
      </c>
      <c r="O2634" s="152">
        <f t="shared" si="789"/>
        <v>0</v>
      </c>
      <c r="P2634" s="126">
        <f>IF(E2634="Y",0,SUMIFS('Support - Transition'!G:G,'Support - Transition'!J:J,'Step 2'!D2634,'Support - Transition'!E:E,"2009 SCHOOL ALLOCATION FACTOR"))</f>
        <v>0</v>
      </c>
      <c r="Q2634" s="126">
        <f>IF(E2634="Y",VLOOKUP(D2634,'Support - Unit Adjustments'!F:G,2,FALSE),0)</f>
        <v>0</v>
      </c>
      <c r="R2634" s="155">
        <f t="shared" si="802"/>
        <v>0</v>
      </c>
      <c r="S2634" s="47">
        <f t="shared" si="801"/>
        <v>0</v>
      </c>
      <c r="T2634" s="151">
        <f t="shared" si="790"/>
        <v>399</v>
      </c>
      <c r="U2634" s="151">
        <f t="shared" si="786"/>
        <v>0</v>
      </c>
      <c r="V2634" s="139">
        <f t="shared" si="787"/>
        <v>0</v>
      </c>
      <c r="W2634" s="152">
        <f t="shared" si="791"/>
        <v>399</v>
      </c>
      <c r="X2634" s="127" t="str">
        <f t="shared" si="788"/>
        <v/>
      </c>
      <c r="Y2634" s="207">
        <f t="shared" si="792"/>
        <v>399</v>
      </c>
      <c r="Z2634" s="139">
        <f t="shared" si="793"/>
        <v>152</v>
      </c>
      <c r="AA2634" s="139">
        <f t="shared" si="794"/>
        <v>247</v>
      </c>
      <c r="AC2634" s="47">
        <f t="shared" si="795"/>
        <v>200</v>
      </c>
      <c r="AD2634" s="47">
        <f t="shared" si="796"/>
        <v>76</v>
      </c>
      <c r="AE2634" s="47">
        <f t="shared" si="797"/>
        <v>124</v>
      </c>
      <c r="AG2634" s="47">
        <f t="shared" si="798"/>
        <v>199</v>
      </c>
      <c r="AH2634" s="47">
        <f t="shared" si="799"/>
        <v>76</v>
      </c>
      <c r="AI2634" s="208">
        <f t="shared" si="800"/>
        <v>123</v>
      </c>
    </row>
    <row r="2635" spans="1:35">
      <c r="A2635" t="s">
        <v>2175</v>
      </c>
      <c r="B2635" t="s">
        <v>3142</v>
      </c>
      <c r="C2635" t="s">
        <v>2196</v>
      </c>
      <c r="D2635" t="s">
        <v>6219</v>
      </c>
      <c r="F2635" t="s">
        <v>1862</v>
      </c>
      <c r="G2635" s="126">
        <f>SUMIFS('Support - Transition'!F:F,'Support - Transition'!B:B,'Step 2'!A2635,'Support - Transition'!C:C,'Step 2'!B2635,'Support - Transition'!D:D,'Step 2'!C2635,'Support - Transition'!E:E,"CIVIL")</f>
        <v>3.852E-3</v>
      </c>
      <c r="H2635" s="126">
        <f>SUMIFS('Support - Transition'!F:F,'Support - Transition'!B:B,'Step 2'!A2635,'Support - Transition'!C:C,'Step 2'!B2635,'Support - Transition'!D:D,'Step 2'!C2635,'Support - Transition'!E:E,"FIRE")</f>
        <v>2.0010000000000002E-3</v>
      </c>
      <c r="I2635" s="126">
        <f>IF(B2635="0",SUMIFS('Support - Transition'!F:F,'Support - Transition'!J:J,'Step 2'!D2635,'Support - Transition'!E:E,"STATE UNIT"),SUMIFS('Support - Transition'!F:F,'Support - Transition'!J:J,'Step 2'!D2635))</f>
        <v>5.8530000000000006E-3</v>
      </c>
      <c r="J2635" s="126">
        <f>SUMIFS('Support - Unit Adjustments'!E:E,'Support - Unit Adjustments'!F:F,'Step 2'!D2635)</f>
        <v>0</v>
      </c>
      <c r="K2635" s="126">
        <f t="shared" si="783"/>
        <v>5.8530000000000006E-3</v>
      </c>
      <c r="L2635" s="174">
        <f>VLOOKUP(A2635,'Step 1'!$A:$E,4,FALSE)</f>
        <v>442143</v>
      </c>
      <c r="M2635" s="47">
        <f t="shared" si="784"/>
        <v>2588</v>
      </c>
      <c r="N2635" s="177">
        <f>SUMIFS('Support - Transition'!G:G,'Support - Transition'!J:J,'Step 2'!D2635,'Support - Transition'!E:E,"2009 WELFARE ALLOCATION FACTOR")</f>
        <v>0</v>
      </c>
      <c r="O2635" s="152">
        <f t="shared" si="789"/>
        <v>0</v>
      </c>
      <c r="P2635" s="126">
        <f>IF(E2635="Y",0,SUMIFS('Support - Transition'!G:G,'Support - Transition'!J:J,'Step 2'!D2635,'Support - Transition'!E:E,"2009 SCHOOL ALLOCATION FACTOR"))</f>
        <v>0</v>
      </c>
      <c r="Q2635" s="126">
        <f>IF(E2635="Y",VLOOKUP(D2635,'Support - Unit Adjustments'!F:G,2,FALSE),0)</f>
        <v>0</v>
      </c>
      <c r="R2635" s="155">
        <f t="shared" si="802"/>
        <v>0</v>
      </c>
      <c r="S2635" s="47">
        <f t="shared" si="801"/>
        <v>0</v>
      </c>
      <c r="T2635" s="151">
        <f t="shared" si="790"/>
        <v>2588</v>
      </c>
      <c r="U2635" s="151">
        <f t="shared" si="786"/>
        <v>0</v>
      </c>
      <c r="V2635" s="139">
        <f t="shared" si="787"/>
        <v>0</v>
      </c>
      <c r="W2635" s="152">
        <f t="shared" si="791"/>
        <v>2588</v>
      </c>
      <c r="X2635" s="127" t="str">
        <f t="shared" si="788"/>
        <v/>
      </c>
      <c r="Y2635" s="207">
        <f t="shared" si="792"/>
        <v>2588</v>
      </c>
      <c r="Z2635" s="139">
        <f t="shared" si="793"/>
        <v>1703</v>
      </c>
      <c r="AA2635" s="139">
        <f t="shared" si="794"/>
        <v>885</v>
      </c>
      <c r="AC2635" s="47">
        <f t="shared" si="795"/>
        <v>1294</v>
      </c>
      <c r="AD2635" s="47">
        <f t="shared" si="796"/>
        <v>852</v>
      </c>
      <c r="AE2635" s="47">
        <f t="shared" si="797"/>
        <v>443</v>
      </c>
      <c r="AG2635" s="47">
        <f t="shared" si="798"/>
        <v>1294</v>
      </c>
      <c r="AH2635" s="47">
        <f t="shared" si="799"/>
        <v>851</v>
      </c>
      <c r="AI2635" s="208">
        <f t="shared" si="800"/>
        <v>442</v>
      </c>
    </row>
    <row r="2636" spans="1:35">
      <c r="A2636" t="s">
        <v>2175</v>
      </c>
      <c r="B2636" t="s">
        <v>3142</v>
      </c>
      <c r="C2636" t="s">
        <v>2197</v>
      </c>
      <c r="D2636" t="s">
        <v>6220</v>
      </c>
      <c r="F2636" t="s">
        <v>1863</v>
      </c>
      <c r="G2636" s="126">
        <f>SUMIFS('Support - Transition'!F:F,'Support - Transition'!B:B,'Step 2'!A2636,'Support - Transition'!C:C,'Step 2'!B2636,'Support - Transition'!D:D,'Step 2'!C2636,'Support - Transition'!E:E,"CIVIL")</f>
        <v>2.2900000000000001E-4</v>
      </c>
      <c r="H2636" s="126">
        <f>SUMIFS('Support - Transition'!F:F,'Support - Transition'!B:B,'Step 2'!A2636,'Support - Transition'!C:C,'Step 2'!B2636,'Support - Transition'!D:D,'Step 2'!C2636,'Support - Transition'!E:E,"FIRE")</f>
        <v>1.9599999999999999E-4</v>
      </c>
      <c r="I2636" s="126">
        <f>IF(B2636="0",SUMIFS('Support - Transition'!F:F,'Support - Transition'!J:J,'Step 2'!D2636,'Support - Transition'!E:E,"STATE UNIT"),SUMIFS('Support - Transition'!F:F,'Support - Transition'!J:J,'Step 2'!D2636))</f>
        <v>4.2500000000000003E-4</v>
      </c>
      <c r="J2636" s="126">
        <f>SUMIFS('Support - Unit Adjustments'!E:E,'Support - Unit Adjustments'!F:F,'Step 2'!D2636)</f>
        <v>0</v>
      </c>
      <c r="K2636" s="126">
        <f t="shared" si="783"/>
        <v>4.2500000000000003E-4</v>
      </c>
      <c r="L2636" s="174">
        <f>VLOOKUP(A2636,'Step 1'!$A:$E,4,FALSE)</f>
        <v>442143</v>
      </c>
      <c r="M2636" s="47">
        <f t="shared" si="784"/>
        <v>188</v>
      </c>
      <c r="N2636" s="177">
        <f>SUMIFS('Support - Transition'!G:G,'Support - Transition'!J:J,'Step 2'!D2636,'Support - Transition'!E:E,"2009 WELFARE ALLOCATION FACTOR")</f>
        <v>0</v>
      </c>
      <c r="O2636" s="152">
        <f t="shared" si="789"/>
        <v>0</v>
      </c>
      <c r="P2636" s="126">
        <f>IF(E2636="Y",0,SUMIFS('Support - Transition'!G:G,'Support - Transition'!J:J,'Step 2'!D2636,'Support - Transition'!E:E,"2009 SCHOOL ALLOCATION FACTOR"))</f>
        <v>0</v>
      </c>
      <c r="Q2636" s="126">
        <f>IF(E2636="Y",VLOOKUP(D2636,'Support - Unit Adjustments'!F:G,2,FALSE),0)</f>
        <v>0</v>
      </c>
      <c r="R2636" s="155">
        <f t="shared" si="802"/>
        <v>0</v>
      </c>
      <c r="S2636" s="47">
        <f t="shared" si="801"/>
        <v>0</v>
      </c>
      <c r="T2636" s="151">
        <f t="shared" si="790"/>
        <v>188</v>
      </c>
      <c r="U2636" s="151">
        <f t="shared" si="786"/>
        <v>0</v>
      </c>
      <c r="V2636" s="139">
        <f t="shared" si="787"/>
        <v>0</v>
      </c>
      <c r="W2636" s="152">
        <f t="shared" si="791"/>
        <v>188</v>
      </c>
      <c r="X2636" s="127" t="str">
        <f t="shared" si="788"/>
        <v/>
      </c>
      <c r="Y2636" s="207">
        <f t="shared" si="792"/>
        <v>188</v>
      </c>
      <c r="Z2636" s="139">
        <f t="shared" si="793"/>
        <v>101</v>
      </c>
      <c r="AA2636" s="139">
        <f t="shared" si="794"/>
        <v>87</v>
      </c>
      <c r="AC2636" s="47">
        <f t="shared" si="795"/>
        <v>94</v>
      </c>
      <c r="AD2636" s="47">
        <f t="shared" si="796"/>
        <v>51</v>
      </c>
      <c r="AE2636" s="47">
        <f t="shared" si="797"/>
        <v>44</v>
      </c>
      <c r="AG2636" s="47">
        <f t="shared" si="798"/>
        <v>94</v>
      </c>
      <c r="AH2636" s="47">
        <f t="shared" si="799"/>
        <v>50</v>
      </c>
      <c r="AI2636" s="208">
        <f t="shared" si="800"/>
        <v>43</v>
      </c>
    </row>
    <row r="2637" spans="1:35">
      <c r="A2637" t="s">
        <v>2175</v>
      </c>
      <c r="B2637" t="s">
        <v>3142</v>
      </c>
      <c r="C2637" t="s">
        <v>2198</v>
      </c>
      <c r="D2637" t="s">
        <v>6221</v>
      </c>
      <c r="F2637" t="s">
        <v>20</v>
      </c>
      <c r="G2637" s="126">
        <f>SUMIFS('Support - Transition'!F:F,'Support - Transition'!B:B,'Step 2'!A2637,'Support - Transition'!C:C,'Step 2'!B2637,'Support - Transition'!D:D,'Step 2'!C2637,'Support - Transition'!E:E,"CIVIL")</f>
        <v>1.49E-3</v>
      </c>
      <c r="H2637" s="126">
        <f>SUMIFS('Support - Transition'!F:F,'Support - Transition'!B:B,'Step 2'!A2637,'Support - Transition'!C:C,'Step 2'!B2637,'Support - Transition'!D:D,'Step 2'!C2637,'Support - Transition'!E:E,"FIRE")</f>
        <v>7.0500000000000001E-4</v>
      </c>
      <c r="I2637" s="126">
        <f>IF(B2637="0",SUMIFS('Support - Transition'!F:F,'Support - Transition'!J:J,'Step 2'!D2637,'Support - Transition'!E:E,"STATE UNIT"),SUMIFS('Support - Transition'!F:F,'Support - Transition'!J:J,'Step 2'!D2637))</f>
        <v>2.1949999999999999E-3</v>
      </c>
      <c r="J2637" s="126">
        <f>SUMIFS('Support - Unit Adjustments'!E:E,'Support - Unit Adjustments'!F:F,'Step 2'!D2637)</f>
        <v>0</v>
      </c>
      <c r="K2637" s="126">
        <f t="shared" si="783"/>
        <v>2.1949999999999999E-3</v>
      </c>
      <c r="L2637" s="174">
        <f>VLOOKUP(A2637,'Step 1'!$A:$E,4,FALSE)</f>
        <v>442143</v>
      </c>
      <c r="M2637" s="47">
        <f t="shared" si="784"/>
        <v>971</v>
      </c>
      <c r="N2637" s="177">
        <f>SUMIFS('Support - Transition'!G:G,'Support - Transition'!J:J,'Step 2'!D2637,'Support - Transition'!E:E,"2009 WELFARE ALLOCATION FACTOR")</f>
        <v>0</v>
      </c>
      <c r="O2637" s="152">
        <f t="shared" si="789"/>
        <v>0</v>
      </c>
      <c r="P2637" s="126">
        <f>IF(E2637="Y",0,SUMIFS('Support - Transition'!G:G,'Support - Transition'!J:J,'Step 2'!D2637,'Support - Transition'!E:E,"2009 SCHOOL ALLOCATION FACTOR"))</f>
        <v>0</v>
      </c>
      <c r="Q2637" s="126">
        <f>IF(E2637="Y",VLOOKUP(D2637,'Support - Unit Adjustments'!F:G,2,FALSE),0)</f>
        <v>0</v>
      </c>
      <c r="R2637" s="155">
        <f t="shared" si="802"/>
        <v>0</v>
      </c>
      <c r="S2637" s="47">
        <f t="shared" si="801"/>
        <v>0</v>
      </c>
      <c r="T2637" s="151">
        <f t="shared" si="790"/>
        <v>971</v>
      </c>
      <c r="U2637" s="151">
        <f t="shared" si="786"/>
        <v>0</v>
      </c>
      <c r="V2637" s="139">
        <f t="shared" si="787"/>
        <v>0</v>
      </c>
      <c r="W2637" s="152">
        <f t="shared" si="791"/>
        <v>971</v>
      </c>
      <c r="X2637" s="127" t="str">
        <f t="shared" si="788"/>
        <v/>
      </c>
      <c r="Y2637" s="207">
        <f t="shared" si="792"/>
        <v>971</v>
      </c>
      <c r="Z2637" s="139">
        <f t="shared" si="793"/>
        <v>659</v>
      </c>
      <c r="AA2637" s="139">
        <f t="shared" si="794"/>
        <v>312</v>
      </c>
      <c r="AC2637" s="47">
        <f t="shared" si="795"/>
        <v>486</v>
      </c>
      <c r="AD2637" s="47">
        <f t="shared" si="796"/>
        <v>330</v>
      </c>
      <c r="AE2637" s="47">
        <f t="shared" si="797"/>
        <v>156</v>
      </c>
      <c r="AG2637" s="47">
        <f t="shared" si="798"/>
        <v>485</v>
      </c>
      <c r="AH2637" s="47">
        <f t="shared" si="799"/>
        <v>329</v>
      </c>
      <c r="AI2637" s="208">
        <f t="shared" si="800"/>
        <v>156</v>
      </c>
    </row>
    <row r="2638" spans="1:35">
      <c r="A2638" t="s">
        <v>2175</v>
      </c>
      <c r="B2638" t="s">
        <v>3142</v>
      </c>
      <c r="C2638" t="s">
        <v>2199</v>
      </c>
      <c r="D2638" t="s">
        <v>6222</v>
      </c>
      <c r="F2638" t="s">
        <v>1864</v>
      </c>
      <c r="G2638" s="126">
        <f>SUMIFS('Support - Transition'!F:F,'Support - Transition'!B:B,'Step 2'!A2638,'Support - Transition'!C:C,'Step 2'!B2638,'Support - Transition'!D:D,'Step 2'!C2638,'Support - Transition'!E:E,"CIVIL")</f>
        <v>3.5500000000000001E-4</v>
      </c>
      <c r="H2638" s="126">
        <f>SUMIFS('Support - Transition'!F:F,'Support - Transition'!B:B,'Step 2'!A2638,'Support - Transition'!C:C,'Step 2'!B2638,'Support - Transition'!D:D,'Step 2'!C2638,'Support - Transition'!E:E,"FIRE")</f>
        <v>2.2900000000000001E-4</v>
      </c>
      <c r="I2638" s="126">
        <f>IF(B2638="0",SUMIFS('Support - Transition'!F:F,'Support - Transition'!J:J,'Step 2'!D2638,'Support - Transition'!E:E,"STATE UNIT"),SUMIFS('Support - Transition'!F:F,'Support - Transition'!J:J,'Step 2'!D2638))</f>
        <v>5.8399999999999999E-4</v>
      </c>
      <c r="J2638" s="126">
        <f>SUMIFS('Support - Unit Adjustments'!E:E,'Support - Unit Adjustments'!F:F,'Step 2'!D2638)</f>
        <v>0</v>
      </c>
      <c r="K2638" s="126">
        <f t="shared" si="783"/>
        <v>5.8399999999999999E-4</v>
      </c>
      <c r="L2638" s="174">
        <f>VLOOKUP(A2638,'Step 1'!$A:$E,4,FALSE)</f>
        <v>442143</v>
      </c>
      <c r="M2638" s="47">
        <f t="shared" si="784"/>
        <v>258</v>
      </c>
      <c r="N2638" s="177">
        <f>SUMIFS('Support - Transition'!G:G,'Support - Transition'!J:J,'Step 2'!D2638,'Support - Transition'!E:E,"2009 WELFARE ALLOCATION FACTOR")</f>
        <v>0</v>
      </c>
      <c r="O2638" s="152">
        <f t="shared" si="789"/>
        <v>0</v>
      </c>
      <c r="P2638" s="126">
        <f>IF(E2638="Y",0,SUMIFS('Support - Transition'!G:G,'Support - Transition'!J:J,'Step 2'!D2638,'Support - Transition'!E:E,"2009 SCHOOL ALLOCATION FACTOR"))</f>
        <v>0</v>
      </c>
      <c r="Q2638" s="126">
        <f>IF(E2638="Y",VLOOKUP(D2638,'Support - Unit Adjustments'!F:G,2,FALSE),0)</f>
        <v>0</v>
      </c>
      <c r="R2638" s="155">
        <f t="shared" si="802"/>
        <v>0</v>
      </c>
      <c r="S2638" s="47">
        <f t="shared" si="801"/>
        <v>0</v>
      </c>
      <c r="T2638" s="151">
        <f t="shared" si="790"/>
        <v>258</v>
      </c>
      <c r="U2638" s="151">
        <f t="shared" si="786"/>
        <v>0</v>
      </c>
      <c r="V2638" s="139">
        <f t="shared" si="787"/>
        <v>0</v>
      </c>
      <c r="W2638" s="152">
        <f t="shared" si="791"/>
        <v>258</v>
      </c>
      <c r="X2638" s="127" t="str">
        <f t="shared" si="788"/>
        <v/>
      </c>
      <c r="Y2638" s="207">
        <f t="shared" si="792"/>
        <v>258</v>
      </c>
      <c r="Z2638" s="139">
        <f t="shared" si="793"/>
        <v>157</v>
      </c>
      <c r="AA2638" s="139">
        <f t="shared" si="794"/>
        <v>101</v>
      </c>
      <c r="AC2638" s="47">
        <f t="shared" si="795"/>
        <v>129</v>
      </c>
      <c r="AD2638" s="47">
        <f t="shared" si="796"/>
        <v>79</v>
      </c>
      <c r="AE2638" s="47">
        <f t="shared" si="797"/>
        <v>51</v>
      </c>
      <c r="AG2638" s="47">
        <f t="shared" si="798"/>
        <v>129</v>
      </c>
      <c r="AH2638" s="47">
        <f t="shared" si="799"/>
        <v>78</v>
      </c>
      <c r="AI2638" s="208">
        <f t="shared" si="800"/>
        <v>50</v>
      </c>
    </row>
    <row r="2639" spans="1:35">
      <c r="A2639" t="s">
        <v>2175</v>
      </c>
      <c r="B2639" t="s">
        <v>3155</v>
      </c>
      <c r="C2639" t="s">
        <v>3118</v>
      </c>
      <c r="D2639" t="s">
        <v>6223</v>
      </c>
      <c r="F2639" t="s">
        <v>1869</v>
      </c>
      <c r="G2639" s="126">
        <f>SUMIFS('Support - Transition'!F:F,'Support - Transition'!B:B,'Step 2'!A2639,'Support - Transition'!C:C,'Step 2'!B2639,'Support - Transition'!D:D,'Step 2'!C2639,'Support - Transition'!E:E,"CIVIL")</f>
        <v>0</v>
      </c>
      <c r="H2639" s="126">
        <f>SUMIFS('Support - Transition'!F:F,'Support - Transition'!B:B,'Step 2'!A2639,'Support - Transition'!C:C,'Step 2'!B2639,'Support - Transition'!D:D,'Step 2'!C2639,'Support - Transition'!E:E,"FIRE")</f>
        <v>0</v>
      </c>
      <c r="I2639" s="126">
        <f>IF(B2639="0",SUMIFS('Support - Transition'!F:F,'Support - Transition'!J:J,'Step 2'!D2639,'Support - Transition'!E:E,"STATE UNIT"),SUMIFS('Support - Transition'!F:F,'Support - Transition'!J:J,'Step 2'!D2639))</f>
        <v>7.5796000000000002E-2</v>
      </c>
      <c r="J2639" s="126">
        <f>SUMIFS('Support - Unit Adjustments'!E:E,'Support - Unit Adjustments'!F:F,'Step 2'!D2639)</f>
        <v>0</v>
      </c>
      <c r="K2639" s="126">
        <f t="shared" si="783"/>
        <v>7.5796000000000002E-2</v>
      </c>
      <c r="L2639" s="174">
        <f>VLOOKUP(A2639,'Step 1'!$A:$E,4,FALSE)</f>
        <v>442143</v>
      </c>
      <c r="M2639" s="47">
        <f t="shared" si="784"/>
        <v>33513</v>
      </c>
      <c r="N2639" s="177">
        <f>SUMIFS('Support - Transition'!G:G,'Support - Transition'!J:J,'Step 2'!D2639,'Support - Transition'!E:E,"2009 WELFARE ALLOCATION FACTOR")</f>
        <v>0</v>
      </c>
      <c r="O2639" s="152">
        <f t="shared" si="789"/>
        <v>0</v>
      </c>
      <c r="P2639" s="126">
        <f>IF(E2639="Y",0,SUMIFS('Support - Transition'!G:G,'Support - Transition'!J:J,'Step 2'!D2639,'Support - Transition'!E:E,"2009 SCHOOL ALLOCATION FACTOR"))</f>
        <v>0</v>
      </c>
      <c r="Q2639" s="126">
        <f>IF(E2639="Y",VLOOKUP(D2639,'Support - Unit Adjustments'!F:G,2,FALSE),0)</f>
        <v>0</v>
      </c>
      <c r="R2639" s="155">
        <f t="shared" si="802"/>
        <v>0</v>
      </c>
      <c r="S2639" s="47">
        <f t="shared" si="801"/>
        <v>0</v>
      </c>
      <c r="T2639" s="151">
        <f t="shared" si="790"/>
        <v>33513</v>
      </c>
      <c r="U2639" s="151">
        <f t="shared" si="786"/>
        <v>0</v>
      </c>
      <c r="V2639" s="139">
        <f t="shared" si="787"/>
        <v>0</v>
      </c>
      <c r="W2639" s="152">
        <f t="shared" si="791"/>
        <v>33513</v>
      </c>
      <c r="X2639" s="127" t="str">
        <f t="shared" si="788"/>
        <v/>
      </c>
      <c r="Y2639" s="207">
        <f t="shared" si="792"/>
        <v>33513</v>
      </c>
      <c r="Z2639" s="139">
        <f t="shared" si="793"/>
        <v>33513</v>
      </c>
      <c r="AA2639" s="139">
        <f t="shared" si="794"/>
        <v>0</v>
      </c>
      <c r="AC2639" s="47">
        <f t="shared" si="795"/>
        <v>16757</v>
      </c>
      <c r="AD2639" s="47">
        <f t="shared" si="796"/>
        <v>16757</v>
      </c>
      <c r="AE2639" s="47">
        <f t="shared" si="797"/>
        <v>0</v>
      </c>
      <c r="AG2639" s="47">
        <f t="shared" si="798"/>
        <v>16756</v>
      </c>
      <c r="AH2639" s="47">
        <f t="shared" si="799"/>
        <v>16756</v>
      </c>
      <c r="AI2639" s="208">
        <f t="shared" si="800"/>
        <v>0</v>
      </c>
    </row>
    <row r="2640" spans="1:35">
      <c r="A2640" t="s">
        <v>2175</v>
      </c>
      <c r="B2640" t="s">
        <v>3155</v>
      </c>
      <c r="C2640" t="s">
        <v>3119</v>
      </c>
      <c r="D2640" t="s">
        <v>6224</v>
      </c>
      <c r="F2640" t="s">
        <v>1865</v>
      </c>
      <c r="G2640" s="126">
        <f>SUMIFS('Support - Transition'!F:F,'Support - Transition'!B:B,'Step 2'!A2640,'Support - Transition'!C:C,'Step 2'!B2640,'Support - Transition'!D:D,'Step 2'!C2640,'Support - Transition'!E:E,"CIVIL")</f>
        <v>0</v>
      </c>
      <c r="H2640" s="126">
        <f>SUMIFS('Support - Transition'!F:F,'Support - Transition'!B:B,'Step 2'!A2640,'Support - Transition'!C:C,'Step 2'!B2640,'Support - Transition'!D:D,'Step 2'!C2640,'Support - Transition'!E:E,"FIRE")</f>
        <v>0</v>
      </c>
      <c r="I2640" s="126">
        <f>IF(B2640="0",SUMIFS('Support - Transition'!F:F,'Support - Transition'!J:J,'Step 2'!D2640,'Support - Transition'!E:E,"STATE UNIT"),SUMIFS('Support - Transition'!F:F,'Support - Transition'!J:J,'Step 2'!D2640))</f>
        <v>2.111E-3</v>
      </c>
      <c r="J2640" s="126">
        <f>SUMIFS('Support - Unit Adjustments'!E:E,'Support - Unit Adjustments'!F:F,'Step 2'!D2640)</f>
        <v>0</v>
      </c>
      <c r="K2640" s="126">
        <f t="shared" si="783"/>
        <v>2.111E-3</v>
      </c>
      <c r="L2640" s="174">
        <f>VLOOKUP(A2640,'Step 1'!$A:$E,4,FALSE)</f>
        <v>442143</v>
      </c>
      <c r="M2640" s="47">
        <f t="shared" si="784"/>
        <v>933</v>
      </c>
      <c r="N2640" s="177">
        <f>SUMIFS('Support - Transition'!G:G,'Support - Transition'!J:J,'Step 2'!D2640,'Support - Transition'!E:E,"2009 WELFARE ALLOCATION FACTOR")</f>
        <v>0</v>
      </c>
      <c r="O2640" s="152">
        <f t="shared" si="789"/>
        <v>0</v>
      </c>
      <c r="P2640" s="126">
        <f>IF(E2640="Y",0,SUMIFS('Support - Transition'!G:G,'Support - Transition'!J:J,'Step 2'!D2640,'Support - Transition'!E:E,"2009 SCHOOL ALLOCATION FACTOR"))</f>
        <v>0</v>
      </c>
      <c r="Q2640" s="126">
        <f>IF(E2640="Y",VLOOKUP(D2640,'Support - Unit Adjustments'!F:G,2,FALSE),0)</f>
        <v>0</v>
      </c>
      <c r="R2640" s="155">
        <f t="shared" si="802"/>
        <v>0</v>
      </c>
      <c r="S2640" s="47">
        <f t="shared" si="801"/>
        <v>0</v>
      </c>
      <c r="T2640" s="151">
        <f t="shared" si="790"/>
        <v>933</v>
      </c>
      <c r="U2640" s="151">
        <f t="shared" si="786"/>
        <v>0</v>
      </c>
      <c r="V2640" s="139">
        <f t="shared" si="787"/>
        <v>0</v>
      </c>
      <c r="W2640" s="152">
        <f t="shared" si="791"/>
        <v>933</v>
      </c>
      <c r="X2640" s="127" t="str">
        <f t="shared" si="788"/>
        <v/>
      </c>
      <c r="Y2640" s="207">
        <f t="shared" si="792"/>
        <v>933</v>
      </c>
      <c r="Z2640" s="139">
        <f t="shared" si="793"/>
        <v>933</v>
      </c>
      <c r="AA2640" s="139">
        <f t="shared" si="794"/>
        <v>0</v>
      </c>
      <c r="AC2640" s="47">
        <f t="shared" si="795"/>
        <v>467</v>
      </c>
      <c r="AD2640" s="47">
        <f t="shared" si="796"/>
        <v>467</v>
      </c>
      <c r="AE2640" s="47">
        <f t="shared" si="797"/>
        <v>0</v>
      </c>
      <c r="AG2640" s="47">
        <f t="shared" si="798"/>
        <v>466</v>
      </c>
      <c r="AH2640" s="47">
        <f t="shared" si="799"/>
        <v>466</v>
      </c>
      <c r="AI2640" s="208">
        <f t="shared" si="800"/>
        <v>0</v>
      </c>
    </row>
    <row r="2641" spans="1:35">
      <c r="A2641" t="s">
        <v>2175</v>
      </c>
      <c r="B2641" t="s">
        <v>3155</v>
      </c>
      <c r="C2641" t="s">
        <v>3120</v>
      </c>
      <c r="D2641" t="s">
        <v>6225</v>
      </c>
      <c r="F2641" t="s">
        <v>1866</v>
      </c>
      <c r="G2641" s="126">
        <f>SUMIFS('Support - Transition'!F:F,'Support - Transition'!B:B,'Step 2'!A2641,'Support - Transition'!C:C,'Step 2'!B2641,'Support - Transition'!D:D,'Step 2'!C2641,'Support - Transition'!E:E,"CIVIL")</f>
        <v>0</v>
      </c>
      <c r="H2641" s="126">
        <f>SUMIFS('Support - Transition'!F:F,'Support - Transition'!B:B,'Step 2'!A2641,'Support - Transition'!C:C,'Step 2'!B2641,'Support - Transition'!D:D,'Step 2'!C2641,'Support - Transition'!E:E,"FIRE")</f>
        <v>0</v>
      </c>
      <c r="I2641" s="126">
        <f>IF(B2641="0",SUMIFS('Support - Transition'!F:F,'Support - Transition'!J:J,'Step 2'!D2641,'Support - Transition'!E:E,"STATE UNIT"),SUMIFS('Support - Transition'!F:F,'Support - Transition'!J:J,'Step 2'!D2641))</f>
        <v>3.4999999999999997E-5</v>
      </c>
      <c r="J2641" s="126">
        <f>SUMIFS('Support - Unit Adjustments'!E:E,'Support - Unit Adjustments'!F:F,'Step 2'!D2641)</f>
        <v>0</v>
      </c>
      <c r="K2641" s="126">
        <f t="shared" si="783"/>
        <v>3.4999999999999997E-5</v>
      </c>
      <c r="L2641" s="174">
        <f>VLOOKUP(A2641,'Step 1'!$A:$E,4,FALSE)</f>
        <v>442143</v>
      </c>
      <c r="M2641" s="47">
        <f t="shared" si="784"/>
        <v>15</v>
      </c>
      <c r="N2641" s="177">
        <f>SUMIFS('Support - Transition'!G:G,'Support - Transition'!J:J,'Step 2'!D2641,'Support - Transition'!E:E,"2009 WELFARE ALLOCATION FACTOR")</f>
        <v>0</v>
      </c>
      <c r="O2641" s="152">
        <f t="shared" si="789"/>
        <v>0</v>
      </c>
      <c r="P2641" s="126">
        <f>IF(E2641="Y",0,SUMIFS('Support - Transition'!G:G,'Support - Transition'!J:J,'Step 2'!D2641,'Support - Transition'!E:E,"2009 SCHOOL ALLOCATION FACTOR"))</f>
        <v>0</v>
      </c>
      <c r="Q2641" s="126">
        <f>IF(E2641="Y",VLOOKUP(D2641,'Support - Unit Adjustments'!F:G,2,FALSE),0)</f>
        <v>0</v>
      </c>
      <c r="R2641" s="155">
        <f t="shared" si="802"/>
        <v>0</v>
      </c>
      <c r="S2641" s="47">
        <f t="shared" si="801"/>
        <v>0</v>
      </c>
      <c r="T2641" s="151">
        <f t="shared" si="790"/>
        <v>15</v>
      </c>
      <c r="U2641" s="151">
        <f t="shared" si="786"/>
        <v>0</v>
      </c>
      <c r="V2641" s="139">
        <f t="shared" si="787"/>
        <v>0</v>
      </c>
      <c r="W2641" s="152">
        <f t="shared" si="791"/>
        <v>15</v>
      </c>
      <c r="X2641" s="127" t="str">
        <f t="shared" si="788"/>
        <v/>
      </c>
      <c r="Y2641" s="207">
        <f t="shared" si="792"/>
        <v>15</v>
      </c>
      <c r="Z2641" s="139">
        <f t="shared" si="793"/>
        <v>15</v>
      </c>
      <c r="AA2641" s="139">
        <f t="shared" si="794"/>
        <v>0</v>
      </c>
      <c r="AC2641" s="47">
        <f t="shared" si="795"/>
        <v>8</v>
      </c>
      <c r="AD2641" s="47">
        <f t="shared" si="796"/>
        <v>8</v>
      </c>
      <c r="AE2641" s="47">
        <f t="shared" si="797"/>
        <v>0</v>
      </c>
      <c r="AG2641" s="47">
        <f t="shared" si="798"/>
        <v>7</v>
      </c>
      <c r="AH2641" s="47">
        <f t="shared" si="799"/>
        <v>7</v>
      </c>
      <c r="AI2641" s="208">
        <f t="shared" si="800"/>
        <v>0</v>
      </c>
    </row>
    <row r="2642" spans="1:35">
      <c r="A2642" t="s">
        <v>2175</v>
      </c>
      <c r="B2642" t="s">
        <v>3155</v>
      </c>
      <c r="C2642" t="s">
        <v>3121</v>
      </c>
      <c r="D2642" t="s">
        <v>6226</v>
      </c>
      <c r="F2642" t="s">
        <v>1867</v>
      </c>
      <c r="G2642" s="126">
        <f>SUMIFS('Support - Transition'!F:F,'Support - Transition'!B:B,'Step 2'!A2642,'Support - Transition'!C:C,'Step 2'!B2642,'Support - Transition'!D:D,'Step 2'!C2642,'Support - Transition'!E:E,"CIVIL")</f>
        <v>0</v>
      </c>
      <c r="H2642" s="126">
        <f>SUMIFS('Support - Transition'!F:F,'Support - Transition'!B:B,'Step 2'!A2642,'Support - Transition'!C:C,'Step 2'!B2642,'Support - Transition'!D:D,'Step 2'!C2642,'Support - Transition'!E:E,"FIRE")</f>
        <v>0</v>
      </c>
      <c r="I2642" s="126">
        <f>IF(B2642="0",SUMIFS('Support - Transition'!F:F,'Support - Transition'!J:J,'Step 2'!D2642,'Support - Transition'!E:E,"STATE UNIT"),SUMIFS('Support - Transition'!F:F,'Support - Transition'!J:J,'Step 2'!D2642))</f>
        <v>2.5349999999999999E-3</v>
      </c>
      <c r="J2642" s="126">
        <f>SUMIFS('Support - Unit Adjustments'!E:E,'Support - Unit Adjustments'!F:F,'Step 2'!D2642)</f>
        <v>0</v>
      </c>
      <c r="K2642" s="126">
        <f t="shared" si="783"/>
        <v>2.5349999999999999E-3</v>
      </c>
      <c r="L2642" s="174">
        <f>VLOOKUP(A2642,'Step 1'!$A:$E,4,FALSE)</f>
        <v>442143</v>
      </c>
      <c r="M2642" s="47">
        <f t="shared" si="784"/>
        <v>1121</v>
      </c>
      <c r="N2642" s="177">
        <f>SUMIFS('Support - Transition'!G:G,'Support - Transition'!J:J,'Step 2'!D2642,'Support - Transition'!E:E,"2009 WELFARE ALLOCATION FACTOR")</f>
        <v>0</v>
      </c>
      <c r="O2642" s="152">
        <f t="shared" si="789"/>
        <v>0</v>
      </c>
      <c r="P2642" s="126">
        <f>IF(E2642="Y",0,SUMIFS('Support - Transition'!G:G,'Support - Transition'!J:J,'Step 2'!D2642,'Support - Transition'!E:E,"2009 SCHOOL ALLOCATION FACTOR"))</f>
        <v>0</v>
      </c>
      <c r="Q2642" s="126">
        <f>IF(E2642="Y",VLOOKUP(D2642,'Support - Unit Adjustments'!F:G,2,FALSE),0)</f>
        <v>0</v>
      </c>
      <c r="R2642" s="155">
        <f t="shared" si="802"/>
        <v>0</v>
      </c>
      <c r="S2642" s="47">
        <f t="shared" si="801"/>
        <v>0</v>
      </c>
      <c r="T2642" s="151">
        <f t="shared" si="790"/>
        <v>1121</v>
      </c>
      <c r="U2642" s="151">
        <f t="shared" si="786"/>
        <v>0</v>
      </c>
      <c r="V2642" s="139">
        <f t="shared" si="787"/>
        <v>0</v>
      </c>
      <c r="W2642" s="152">
        <f t="shared" si="791"/>
        <v>1121</v>
      </c>
      <c r="X2642" s="127" t="str">
        <f t="shared" si="788"/>
        <v/>
      </c>
      <c r="Y2642" s="207">
        <f t="shared" si="792"/>
        <v>1121</v>
      </c>
      <c r="Z2642" s="139">
        <f t="shared" si="793"/>
        <v>1121</v>
      </c>
      <c r="AA2642" s="139">
        <f t="shared" si="794"/>
        <v>0</v>
      </c>
      <c r="AC2642" s="47">
        <f t="shared" si="795"/>
        <v>561</v>
      </c>
      <c r="AD2642" s="47">
        <f t="shared" si="796"/>
        <v>561</v>
      </c>
      <c r="AE2642" s="47">
        <f t="shared" si="797"/>
        <v>0</v>
      </c>
      <c r="AG2642" s="47">
        <f t="shared" si="798"/>
        <v>560</v>
      </c>
      <c r="AH2642" s="47">
        <f t="shared" si="799"/>
        <v>560</v>
      </c>
      <c r="AI2642" s="208">
        <f t="shared" si="800"/>
        <v>0</v>
      </c>
    </row>
    <row r="2643" spans="1:35">
      <c r="A2643" t="s">
        <v>2175</v>
      </c>
      <c r="B2643" t="s">
        <v>3155</v>
      </c>
      <c r="C2643" t="s">
        <v>2297</v>
      </c>
      <c r="D2643" t="s">
        <v>6227</v>
      </c>
      <c r="F2643" t="s">
        <v>1868</v>
      </c>
      <c r="G2643" s="126">
        <f>SUMIFS('Support - Transition'!F:F,'Support - Transition'!B:B,'Step 2'!A2643,'Support - Transition'!C:C,'Step 2'!B2643,'Support - Transition'!D:D,'Step 2'!C2643,'Support - Transition'!E:E,"CIVIL")</f>
        <v>0</v>
      </c>
      <c r="H2643" s="126">
        <f>SUMIFS('Support - Transition'!F:F,'Support - Transition'!B:B,'Step 2'!A2643,'Support - Transition'!C:C,'Step 2'!B2643,'Support - Transition'!D:D,'Step 2'!C2643,'Support - Transition'!E:E,"FIRE")</f>
        <v>0</v>
      </c>
      <c r="I2643" s="126">
        <f>IF(B2643="0",SUMIFS('Support - Transition'!F:F,'Support - Transition'!J:J,'Step 2'!D2643,'Support - Transition'!E:E,"STATE UNIT"),SUMIFS('Support - Transition'!F:F,'Support - Transition'!J:J,'Step 2'!D2643))</f>
        <v>3.0980000000000001E-3</v>
      </c>
      <c r="J2643" s="126">
        <f>SUMIFS('Support - Unit Adjustments'!E:E,'Support - Unit Adjustments'!F:F,'Step 2'!D2643)</f>
        <v>0</v>
      </c>
      <c r="K2643" s="126">
        <f t="shared" si="783"/>
        <v>3.0980000000000001E-3</v>
      </c>
      <c r="L2643" s="174">
        <f>VLOOKUP(A2643,'Step 1'!$A:$E,4,FALSE)</f>
        <v>442143</v>
      </c>
      <c r="M2643" s="47">
        <f t="shared" si="784"/>
        <v>1370</v>
      </c>
      <c r="N2643" s="177">
        <f>SUMIFS('Support - Transition'!G:G,'Support - Transition'!J:J,'Step 2'!D2643,'Support - Transition'!E:E,"2009 WELFARE ALLOCATION FACTOR")</f>
        <v>0</v>
      </c>
      <c r="O2643" s="152">
        <f t="shared" si="789"/>
        <v>0</v>
      </c>
      <c r="P2643" s="126">
        <f>IF(E2643="Y",0,SUMIFS('Support - Transition'!G:G,'Support - Transition'!J:J,'Step 2'!D2643,'Support - Transition'!E:E,"2009 SCHOOL ALLOCATION FACTOR"))</f>
        <v>0</v>
      </c>
      <c r="Q2643" s="126">
        <f>IF(E2643="Y",VLOOKUP(D2643,'Support - Unit Adjustments'!F:G,2,FALSE),0)</f>
        <v>0</v>
      </c>
      <c r="R2643" s="155">
        <f t="shared" si="802"/>
        <v>0</v>
      </c>
      <c r="S2643" s="47">
        <f t="shared" si="801"/>
        <v>0</v>
      </c>
      <c r="T2643" s="151">
        <f t="shared" si="790"/>
        <v>1370</v>
      </c>
      <c r="U2643" s="151">
        <f t="shared" si="786"/>
        <v>0</v>
      </c>
      <c r="V2643" s="139">
        <f t="shared" si="787"/>
        <v>0</v>
      </c>
      <c r="W2643" s="152">
        <f t="shared" si="791"/>
        <v>1370</v>
      </c>
      <c r="X2643" s="127" t="str">
        <f t="shared" si="788"/>
        <v/>
      </c>
      <c r="Y2643" s="207">
        <f t="shared" si="792"/>
        <v>1370</v>
      </c>
      <c r="Z2643" s="139">
        <f t="shared" si="793"/>
        <v>1370</v>
      </c>
      <c r="AA2643" s="139">
        <f t="shared" si="794"/>
        <v>0</v>
      </c>
      <c r="AC2643" s="47">
        <f t="shared" si="795"/>
        <v>685</v>
      </c>
      <c r="AD2643" s="47">
        <f t="shared" si="796"/>
        <v>685</v>
      </c>
      <c r="AE2643" s="47">
        <f t="shared" si="797"/>
        <v>0</v>
      </c>
      <c r="AG2643" s="47">
        <f t="shared" si="798"/>
        <v>685</v>
      </c>
      <c r="AH2643" s="47">
        <f t="shared" si="799"/>
        <v>685</v>
      </c>
      <c r="AI2643" s="208">
        <f t="shared" si="800"/>
        <v>0</v>
      </c>
    </row>
    <row r="2644" spans="1:35">
      <c r="A2644" t="s">
        <v>2175</v>
      </c>
      <c r="B2644" t="s">
        <v>3155</v>
      </c>
      <c r="C2644" t="s">
        <v>3122</v>
      </c>
      <c r="D2644" t="s">
        <v>6228</v>
      </c>
      <c r="F2644" t="s">
        <v>1870</v>
      </c>
      <c r="G2644" s="126">
        <f>SUMIFS('Support - Transition'!F:F,'Support - Transition'!B:B,'Step 2'!A2644,'Support - Transition'!C:C,'Step 2'!B2644,'Support - Transition'!D:D,'Step 2'!C2644,'Support - Transition'!E:E,"CIVIL")</f>
        <v>0</v>
      </c>
      <c r="H2644" s="126">
        <f>SUMIFS('Support - Transition'!F:F,'Support - Transition'!B:B,'Step 2'!A2644,'Support - Transition'!C:C,'Step 2'!B2644,'Support - Transition'!D:D,'Step 2'!C2644,'Support - Transition'!E:E,"FIRE")</f>
        <v>0</v>
      </c>
      <c r="I2644" s="126">
        <f>IF(B2644="0",SUMIFS('Support - Transition'!F:F,'Support - Transition'!J:J,'Step 2'!D2644,'Support - Transition'!E:E,"STATE UNIT"),SUMIFS('Support - Transition'!F:F,'Support - Transition'!J:J,'Step 2'!D2644))</f>
        <v>1.5250000000000001E-3</v>
      </c>
      <c r="J2644" s="126">
        <f>SUMIFS('Support - Unit Adjustments'!E:E,'Support - Unit Adjustments'!F:F,'Step 2'!D2644)</f>
        <v>0</v>
      </c>
      <c r="K2644" s="126">
        <f t="shared" si="783"/>
        <v>1.5250000000000001E-3</v>
      </c>
      <c r="L2644" s="174">
        <f>VLOOKUP(A2644,'Step 1'!$A:$E,4,FALSE)</f>
        <v>442143</v>
      </c>
      <c r="M2644" s="47">
        <f t="shared" si="784"/>
        <v>674</v>
      </c>
      <c r="N2644" s="177">
        <f>SUMIFS('Support - Transition'!G:G,'Support - Transition'!J:J,'Step 2'!D2644,'Support - Transition'!E:E,"2009 WELFARE ALLOCATION FACTOR")</f>
        <v>0</v>
      </c>
      <c r="O2644" s="152">
        <f t="shared" si="789"/>
        <v>0</v>
      </c>
      <c r="P2644" s="126">
        <f>IF(E2644="Y",0,SUMIFS('Support - Transition'!G:G,'Support - Transition'!J:J,'Step 2'!D2644,'Support - Transition'!E:E,"2009 SCHOOL ALLOCATION FACTOR"))</f>
        <v>0</v>
      </c>
      <c r="Q2644" s="126">
        <f>IF(E2644="Y",VLOOKUP(D2644,'Support - Unit Adjustments'!F:G,2,FALSE),0)</f>
        <v>0</v>
      </c>
      <c r="R2644" s="155">
        <f t="shared" si="802"/>
        <v>0</v>
      </c>
      <c r="S2644" s="47">
        <f t="shared" si="801"/>
        <v>0</v>
      </c>
      <c r="T2644" s="151">
        <f t="shared" si="790"/>
        <v>674</v>
      </c>
      <c r="U2644" s="151">
        <f t="shared" si="786"/>
        <v>0</v>
      </c>
      <c r="V2644" s="139">
        <f t="shared" si="787"/>
        <v>0</v>
      </c>
      <c r="W2644" s="152">
        <f t="shared" si="791"/>
        <v>674</v>
      </c>
      <c r="X2644" s="127" t="str">
        <f t="shared" si="788"/>
        <v/>
      </c>
      <c r="Y2644" s="207">
        <f t="shared" si="792"/>
        <v>674</v>
      </c>
      <c r="Z2644" s="139">
        <f t="shared" si="793"/>
        <v>674</v>
      </c>
      <c r="AA2644" s="139">
        <f t="shared" si="794"/>
        <v>0</v>
      </c>
      <c r="AC2644" s="47">
        <f t="shared" si="795"/>
        <v>337</v>
      </c>
      <c r="AD2644" s="47">
        <f t="shared" si="796"/>
        <v>337</v>
      </c>
      <c r="AE2644" s="47">
        <f t="shared" si="797"/>
        <v>0</v>
      </c>
      <c r="AG2644" s="47">
        <f t="shared" si="798"/>
        <v>337</v>
      </c>
      <c r="AH2644" s="47">
        <f t="shared" si="799"/>
        <v>337</v>
      </c>
      <c r="AI2644" s="208">
        <f t="shared" si="800"/>
        <v>0</v>
      </c>
    </row>
    <row r="2645" spans="1:35">
      <c r="A2645" t="s">
        <v>2175</v>
      </c>
      <c r="B2645" t="s">
        <v>3155</v>
      </c>
      <c r="C2645" t="s">
        <v>3123</v>
      </c>
      <c r="D2645" t="s">
        <v>6229</v>
      </c>
      <c r="F2645" t="s">
        <v>1871</v>
      </c>
      <c r="G2645" s="126">
        <f>SUMIFS('Support - Transition'!F:F,'Support - Transition'!B:B,'Step 2'!A2645,'Support - Transition'!C:C,'Step 2'!B2645,'Support - Transition'!D:D,'Step 2'!C2645,'Support - Transition'!E:E,"CIVIL")</f>
        <v>0</v>
      </c>
      <c r="H2645" s="126">
        <f>SUMIFS('Support - Transition'!F:F,'Support - Transition'!B:B,'Step 2'!A2645,'Support - Transition'!C:C,'Step 2'!B2645,'Support - Transition'!D:D,'Step 2'!C2645,'Support - Transition'!E:E,"FIRE")</f>
        <v>0</v>
      </c>
      <c r="I2645" s="126">
        <f>IF(B2645="0",SUMIFS('Support - Transition'!F:F,'Support - Transition'!J:J,'Step 2'!D2645,'Support - Transition'!E:E,"STATE UNIT"),SUMIFS('Support - Transition'!F:F,'Support - Transition'!J:J,'Step 2'!D2645))</f>
        <v>7.8040000000000002E-3</v>
      </c>
      <c r="J2645" s="126">
        <f>SUMIFS('Support - Unit Adjustments'!E:E,'Support - Unit Adjustments'!F:F,'Step 2'!D2645)</f>
        <v>0</v>
      </c>
      <c r="K2645" s="126">
        <f t="shared" si="783"/>
        <v>7.8040000000000002E-3</v>
      </c>
      <c r="L2645" s="174">
        <f>VLOOKUP(A2645,'Step 1'!$A:$E,4,FALSE)</f>
        <v>442143</v>
      </c>
      <c r="M2645" s="47">
        <f t="shared" si="784"/>
        <v>3450</v>
      </c>
      <c r="N2645" s="177">
        <f>SUMIFS('Support - Transition'!G:G,'Support - Transition'!J:J,'Step 2'!D2645,'Support - Transition'!E:E,"2009 WELFARE ALLOCATION FACTOR")</f>
        <v>0</v>
      </c>
      <c r="O2645" s="152">
        <f t="shared" si="789"/>
        <v>0</v>
      </c>
      <c r="P2645" s="126">
        <f>IF(E2645="Y",0,SUMIFS('Support - Transition'!G:G,'Support - Transition'!J:J,'Step 2'!D2645,'Support - Transition'!E:E,"2009 SCHOOL ALLOCATION FACTOR"))</f>
        <v>0</v>
      </c>
      <c r="Q2645" s="126">
        <f>IF(E2645="Y",VLOOKUP(D2645,'Support - Unit Adjustments'!F:G,2,FALSE),0)</f>
        <v>0</v>
      </c>
      <c r="R2645" s="155">
        <f t="shared" si="802"/>
        <v>0</v>
      </c>
      <c r="S2645" s="47">
        <f t="shared" si="801"/>
        <v>0</v>
      </c>
      <c r="T2645" s="151">
        <f t="shared" si="790"/>
        <v>3450</v>
      </c>
      <c r="U2645" s="151">
        <f t="shared" si="786"/>
        <v>0</v>
      </c>
      <c r="V2645" s="139">
        <f t="shared" si="787"/>
        <v>0</v>
      </c>
      <c r="W2645" s="152">
        <f t="shared" si="791"/>
        <v>3450</v>
      </c>
      <c r="X2645" s="127" t="str">
        <f t="shared" si="788"/>
        <v/>
      </c>
      <c r="Y2645" s="207">
        <f t="shared" si="792"/>
        <v>3450</v>
      </c>
      <c r="Z2645" s="139">
        <f t="shared" si="793"/>
        <v>3450</v>
      </c>
      <c r="AA2645" s="139">
        <f t="shared" si="794"/>
        <v>0</v>
      </c>
      <c r="AC2645" s="47">
        <f t="shared" si="795"/>
        <v>1725</v>
      </c>
      <c r="AD2645" s="47">
        <f t="shared" si="796"/>
        <v>1725</v>
      </c>
      <c r="AE2645" s="47">
        <f t="shared" si="797"/>
        <v>0</v>
      </c>
      <c r="AG2645" s="47">
        <f t="shared" si="798"/>
        <v>1725</v>
      </c>
      <c r="AH2645" s="47">
        <f t="shared" si="799"/>
        <v>1725</v>
      </c>
      <c r="AI2645" s="208">
        <f t="shared" si="800"/>
        <v>0</v>
      </c>
    </row>
    <row r="2646" spans="1:35">
      <c r="A2646" t="s">
        <v>2175</v>
      </c>
      <c r="B2646" t="s">
        <v>3160</v>
      </c>
      <c r="C2646" t="s">
        <v>2284</v>
      </c>
      <c r="D2646" t="s">
        <v>6230</v>
      </c>
      <c r="F2646" t="s">
        <v>212</v>
      </c>
      <c r="G2646" s="126">
        <f>SUMIFS('Support - Transition'!F:F,'Support - Transition'!B:B,'Step 2'!A2646,'Support - Transition'!C:C,'Step 2'!B2646,'Support - Transition'!D:D,'Step 2'!C2646,'Support - Transition'!E:E,"CIVIL")</f>
        <v>0</v>
      </c>
      <c r="H2646" s="126">
        <f>SUMIFS('Support - Transition'!F:F,'Support - Transition'!B:B,'Step 2'!A2646,'Support - Transition'!C:C,'Step 2'!B2646,'Support - Transition'!D:D,'Step 2'!C2646,'Support - Transition'!E:E,"FIRE")</f>
        <v>0</v>
      </c>
      <c r="I2646" s="126">
        <f>IF(B2646="0",SUMIFS('Support - Transition'!F:F,'Support - Transition'!J:J,'Step 2'!D2646,'Support - Transition'!E:E,"STATE UNIT"),SUMIFS('Support - Transition'!F:F,'Support - Transition'!J:J,'Step 2'!D2646))</f>
        <v>7.0429999999999998E-3</v>
      </c>
      <c r="J2646" s="126">
        <f>SUMIFS('Support - Unit Adjustments'!E:E,'Support - Unit Adjustments'!F:F,'Step 2'!D2646)</f>
        <v>0</v>
      </c>
      <c r="K2646" s="126">
        <f t="shared" si="783"/>
        <v>7.0429999999999998E-3</v>
      </c>
      <c r="L2646" s="174">
        <f>VLOOKUP(A2646,'Step 1'!$A:$E,4,FALSE)</f>
        <v>442143</v>
      </c>
      <c r="M2646" s="47">
        <f t="shared" si="784"/>
        <v>3114</v>
      </c>
      <c r="N2646" s="177">
        <f>SUMIFS('Support - Transition'!G:G,'Support - Transition'!J:J,'Step 2'!D2646,'Support - Transition'!E:E,"2009 WELFARE ALLOCATION FACTOR")</f>
        <v>0</v>
      </c>
      <c r="O2646" s="152">
        <f t="shared" si="789"/>
        <v>0</v>
      </c>
      <c r="P2646" s="126">
        <f>IF(E2646="Y",0,SUMIFS('Support - Transition'!G:G,'Support - Transition'!J:J,'Step 2'!D2646,'Support - Transition'!E:E,"2009 SCHOOL ALLOCATION FACTOR"))</f>
        <v>0.42050199999999999</v>
      </c>
      <c r="Q2646" s="126">
        <f>IF(E2646="Y",VLOOKUP(D2646,'Support - Unit Adjustments'!F:G,2,FALSE),0)</f>
        <v>0</v>
      </c>
      <c r="R2646" s="155">
        <f t="shared" si="802"/>
        <v>0.42050199999999999</v>
      </c>
      <c r="S2646" s="47">
        <f t="shared" si="801"/>
        <v>1309</v>
      </c>
      <c r="T2646" s="151">
        <f t="shared" si="790"/>
        <v>1805</v>
      </c>
      <c r="U2646" s="151">
        <f t="shared" si="786"/>
        <v>0</v>
      </c>
      <c r="V2646" s="139">
        <f t="shared" si="787"/>
        <v>0</v>
      </c>
      <c r="W2646" s="152">
        <f t="shared" si="791"/>
        <v>1805</v>
      </c>
      <c r="X2646" s="127" t="str">
        <f t="shared" si="788"/>
        <v/>
      </c>
      <c r="Y2646" s="207">
        <f t="shared" si="792"/>
        <v>1805</v>
      </c>
      <c r="Z2646" s="139">
        <f t="shared" si="793"/>
        <v>1805</v>
      </c>
      <c r="AA2646" s="139">
        <f t="shared" si="794"/>
        <v>0</v>
      </c>
      <c r="AC2646" s="47">
        <f t="shared" si="795"/>
        <v>903</v>
      </c>
      <c r="AD2646" s="47">
        <f t="shared" si="796"/>
        <v>903</v>
      </c>
      <c r="AE2646" s="47">
        <f t="shared" si="797"/>
        <v>0</v>
      </c>
      <c r="AG2646" s="47">
        <f t="shared" si="798"/>
        <v>902</v>
      </c>
      <c r="AH2646" s="47">
        <f t="shared" si="799"/>
        <v>902</v>
      </c>
      <c r="AI2646" s="208">
        <f t="shared" si="800"/>
        <v>0</v>
      </c>
    </row>
    <row r="2647" spans="1:35">
      <c r="A2647" t="s">
        <v>2175</v>
      </c>
      <c r="B2647" t="s">
        <v>3160</v>
      </c>
      <c r="C2647" t="s">
        <v>3124</v>
      </c>
      <c r="D2647" t="s">
        <v>6231</v>
      </c>
      <c r="F2647" t="s">
        <v>1873</v>
      </c>
      <c r="G2647" s="126">
        <f>SUMIFS('Support - Transition'!F:F,'Support - Transition'!B:B,'Step 2'!A2647,'Support - Transition'!C:C,'Step 2'!B2647,'Support - Transition'!D:D,'Step 2'!C2647,'Support - Transition'!E:E,"CIVIL")</f>
        <v>0</v>
      </c>
      <c r="H2647" s="126">
        <f>SUMIFS('Support - Transition'!F:F,'Support - Transition'!B:B,'Step 2'!A2647,'Support - Transition'!C:C,'Step 2'!B2647,'Support - Transition'!D:D,'Step 2'!C2647,'Support - Transition'!E:E,"FIRE")</f>
        <v>0</v>
      </c>
      <c r="I2647" s="126">
        <f>IF(B2647="0",SUMIFS('Support - Transition'!F:F,'Support - Transition'!J:J,'Step 2'!D2647,'Support - Transition'!E:E,"STATE UNIT"),SUMIFS('Support - Transition'!F:F,'Support - Transition'!J:J,'Step 2'!D2647))</f>
        <v>8.4162000000000001E-2</v>
      </c>
      <c r="J2647" s="126">
        <f>SUMIFS('Support - Unit Adjustments'!E:E,'Support - Unit Adjustments'!F:F,'Step 2'!D2647)</f>
        <v>0</v>
      </c>
      <c r="K2647" s="126">
        <f t="shared" si="783"/>
        <v>8.4162000000000001E-2</v>
      </c>
      <c r="L2647" s="174">
        <f>VLOOKUP(A2647,'Step 1'!$A:$E,4,FALSE)</f>
        <v>442143</v>
      </c>
      <c r="M2647" s="47">
        <f t="shared" si="784"/>
        <v>37212</v>
      </c>
      <c r="N2647" s="177">
        <f>SUMIFS('Support - Transition'!G:G,'Support - Transition'!J:J,'Step 2'!D2647,'Support - Transition'!E:E,"2009 WELFARE ALLOCATION FACTOR")</f>
        <v>0</v>
      </c>
      <c r="O2647" s="152">
        <f t="shared" si="789"/>
        <v>0</v>
      </c>
      <c r="P2647" s="126">
        <f>IF(E2647="Y",0,SUMIFS('Support - Transition'!G:G,'Support - Transition'!J:J,'Step 2'!D2647,'Support - Transition'!E:E,"2009 SCHOOL ALLOCATION FACTOR"))</f>
        <v>0.44906800000000002</v>
      </c>
      <c r="Q2647" s="126">
        <f>IF(E2647="Y",VLOOKUP(D2647,'Support - Unit Adjustments'!F:G,2,FALSE),0)</f>
        <v>0</v>
      </c>
      <c r="R2647" s="155">
        <f t="shared" si="802"/>
        <v>0.44906800000000002</v>
      </c>
      <c r="S2647" s="47">
        <f t="shared" si="801"/>
        <v>16711</v>
      </c>
      <c r="T2647" s="151">
        <f t="shared" si="790"/>
        <v>20501</v>
      </c>
      <c r="U2647" s="151">
        <f t="shared" si="786"/>
        <v>0</v>
      </c>
      <c r="V2647" s="139">
        <f t="shared" si="787"/>
        <v>0</v>
      </c>
      <c r="W2647" s="152">
        <f t="shared" si="791"/>
        <v>20501</v>
      </c>
      <c r="X2647" s="127" t="str">
        <f t="shared" si="788"/>
        <v/>
      </c>
      <c r="Y2647" s="207">
        <f t="shared" si="792"/>
        <v>20501</v>
      </c>
      <c r="Z2647" s="139">
        <f t="shared" si="793"/>
        <v>20501</v>
      </c>
      <c r="AA2647" s="139">
        <f t="shared" si="794"/>
        <v>0</v>
      </c>
      <c r="AC2647" s="47">
        <f t="shared" si="795"/>
        <v>10251</v>
      </c>
      <c r="AD2647" s="47">
        <f t="shared" si="796"/>
        <v>10251</v>
      </c>
      <c r="AE2647" s="47">
        <f t="shared" si="797"/>
        <v>0</v>
      </c>
      <c r="AG2647" s="47">
        <f t="shared" si="798"/>
        <v>10250</v>
      </c>
      <c r="AH2647" s="47">
        <f t="shared" si="799"/>
        <v>10250</v>
      </c>
      <c r="AI2647" s="208">
        <f t="shared" si="800"/>
        <v>0</v>
      </c>
    </row>
    <row r="2648" spans="1:35">
      <c r="A2648" t="s">
        <v>2175</v>
      </c>
      <c r="B2648" t="s">
        <v>3160</v>
      </c>
      <c r="C2648" t="s">
        <v>3125</v>
      </c>
      <c r="D2648" t="s">
        <v>6232</v>
      </c>
      <c r="F2648" t="s">
        <v>1872</v>
      </c>
      <c r="G2648" s="126">
        <f>SUMIFS('Support - Transition'!F:F,'Support - Transition'!B:B,'Step 2'!A2648,'Support - Transition'!C:C,'Step 2'!B2648,'Support - Transition'!D:D,'Step 2'!C2648,'Support - Transition'!E:E,"CIVIL")</f>
        <v>0</v>
      </c>
      <c r="H2648" s="126">
        <f>SUMIFS('Support - Transition'!F:F,'Support - Transition'!B:B,'Step 2'!A2648,'Support - Transition'!C:C,'Step 2'!B2648,'Support - Transition'!D:D,'Step 2'!C2648,'Support - Transition'!E:E,"FIRE")</f>
        <v>0</v>
      </c>
      <c r="I2648" s="126">
        <f>IF(B2648="0",SUMIFS('Support - Transition'!F:F,'Support - Transition'!J:J,'Step 2'!D2648,'Support - Transition'!E:E,"STATE UNIT"),SUMIFS('Support - Transition'!F:F,'Support - Transition'!J:J,'Step 2'!D2648))</f>
        <v>7.0579000000000003E-2</v>
      </c>
      <c r="J2648" s="126">
        <f>SUMIFS('Support - Unit Adjustments'!E:E,'Support - Unit Adjustments'!F:F,'Step 2'!D2648)</f>
        <v>0</v>
      </c>
      <c r="K2648" s="126">
        <f t="shared" si="783"/>
        <v>7.0579000000000003E-2</v>
      </c>
      <c r="L2648" s="174">
        <f>VLOOKUP(A2648,'Step 1'!$A:$E,4,FALSE)</f>
        <v>442143</v>
      </c>
      <c r="M2648" s="47">
        <f t="shared" si="784"/>
        <v>31206</v>
      </c>
      <c r="N2648" s="177">
        <f>SUMIFS('Support - Transition'!G:G,'Support - Transition'!J:J,'Step 2'!D2648,'Support - Transition'!E:E,"2009 WELFARE ALLOCATION FACTOR")</f>
        <v>0</v>
      </c>
      <c r="O2648" s="152">
        <f t="shared" si="789"/>
        <v>0</v>
      </c>
      <c r="P2648" s="126">
        <f>IF(E2648="Y",0,SUMIFS('Support - Transition'!G:G,'Support - Transition'!J:J,'Step 2'!D2648,'Support - Transition'!E:E,"2009 SCHOOL ALLOCATION FACTOR"))</f>
        <v>0.44338</v>
      </c>
      <c r="Q2648" s="126">
        <f>IF(E2648="Y",VLOOKUP(D2648,'Support - Unit Adjustments'!F:G,2,FALSE),0)</f>
        <v>0</v>
      </c>
      <c r="R2648" s="155">
        <f t="shared" si="802"/>
        <v>0.44338</v>
      </c>
      <c r="S2648" s="47">
        <f t="shared" si="801"/>
        <v>13836</v>
      </c>
      <c r="T2648" s="151">
        <f t="shared" si="790"/>
        <v>17370</v>
      </c>
      <c r="U2648" s="151">
        <f t="shared" si="786"/>
        <v>0</v>
      </c>
      <c r="V2648" s="139">
        <f t="shared" si="787"/>
        <v>0</v>
      </c>
      <c r="W2648" s="152">
        <f t="shared" si="791"/>
        <v>17370</v>
      </c>
      <c r="X2648" s="127" t="str">
        <f t="shared" si="788"/>
        <v/>
      </c>
      <c r="Y2648" s="207">
        <f t="shared" si="792"/>
        <v>17370</v>
      </c>
      <c r="Z2648" s="139">
        <f t="shared" si="793"/>
        <v>17370</v>
      </c>
      <c r="AA2648" s="139">
        <f t="shared" si="794"/>
        <v>0</v>
      </c>
      <c r="AC2648" s="47">
        <f t="shared" si="795"/>
        <v>8685</v>
      </c>
      <c r="AD2648" s="47">
        <f t="shared" si="796"/>
        <v>8685</v>
      </c>
      <c r="AE2648" s="47">
        <f t="shared" si="797"/>
        <v>0</v>
      </c>
      <c r="AG2648" s="47">
        <f t="shared" si="798"/>
        <v>8685</v>
      </c>
      <c r="AH2648" s="47">
        <f t="shared" si="799"/>
        <v>8685</v>
      </c>
      <c r="AI2648" s="208">
        <f t="shared" si="800"/>
        <v>0</v>
      </c>
    </row>
    <row r="2649" spans="1:35">
      <c r="A2649" t="s">
        <v>2175</v>
      </c>
      <c r="B2649" t="s">
        <v>3160</v>
      </c>
      <c r="C2649" t="s">
        <v>2248</v>
      </c>
      <c r="D2649" t="s">
        <v>6233</v>
      </c>
      <c r="F2649" t="s">
        <v>848</v>
      </c>
      <c r="G2649" s="126">
        <f>SUMIFS('Support - Transition'!F:F,'Support - Transition'!B:B,'Step 2'!A2649,'Support - Transition'!C:C,'Step 2'!B2649,'Support - Transition'!D:D,'Step 2'!C2649,'Support - Transition'!E:E,"CIVIL")</f>
        <v>0</v>
      </c>
      <c r="H2649" s="126">
        <f>SUMIFS('Support - Transition'!F:F,'Support - Transition'!B:B,'Step 2'!A2649,'Support - Transition'!C:C,'Step 2'!B2649,'Support - Transition'!D:D,'Step 2'!C2649,'Support - Transition'!E:E,"FIRE")</f>
        <v>0</v>
      </c>
      <c r="I2649" s="126">
        <f>IF(B2649="0",SUMIFS('Support - Transition'!F:F,'Support - Transition'!J:J,'Step 2'!D2649,'Support - Transition'!E:E,"STATE UNIT"),SUMIFS('Support - Transition'!F:F,'Support - Transition'!J:J,'Step 2'!D2649))</f>
        <v>0.31158200000000003</v>
      </c>
      <c r="J2649" s="126">
        <f>SUMIFS('Support - Unit Adjustments'!E:E,'Support - Unit Adjustments'!F:F,'Step 2'!D2649)</f>
        <v>0</v>
      </c>
      <c r="K2649" s="126">
        <f t="shared" si="783"/>
        <v>0.31158200000000003</v>
      </c>
      <c r="L2649" s="174">
        <f>VLOOKUP(A2649,'Step 1'!$A:$E,4,FALSE)</f>
        <v>442143</v>
      </c>
      <c r="M2649" s="47">
        <f t="shared" si="784"/>
        <v>137764</v>
      </c>
      <c r="N2649" s="177">
        <f>SUMIFS('Support - Transition'!G:G,'Support - Transition'!J:J,'Step 2'!D2649,'Support - Transition'!E:E,"2009 WELFARE ALLOCATION FACTOR")</f>
        <v>0</v>
      </c>
      <c r="O2649" s="152">
        <f t="shared" si="789"/>
        <v>0</v>
      </c>
      <c r="P2649" s="126">
        <f>IF(E2649="Y",0,SUMIFS('Support - Transition'!G:G,'Support - Transition'!J:J,'Step 2'!D2649,'Support - Transition'!E:E,"2009 SCHOOL ALLOCATION FACTOR"))</f>
        <v>0.55134700000000003</v>
      </c>
      <c r="Q2649" s="126">
        <f>IF(E2649="Y",VLOOKUP(D2649,'Support - Unit Adjustments'!F:G,2,FALSE),0)</f>
        <v>0</v>
      </c>
      <c r="R2649" s="155">
        <f t="shared" si="802"/>
        <v>0.55134700000000003</v>
      </c>
      <c r="S2649" s="47">
        <f t="shared" si="801"/>
        <v>75956</v>
      </c>
      <c r="T2649" s="151">
        <f t="shared" si="790"/>
        <v>61808</v>
      </c>
      <c r="U2649" s="151">
        <f t="shared" si="786"/>
        <v>0</v>
      </c>
      <c r="V2649" s="139">
        <f t="shared" si="787"/>
        <v>0</v>
      </c>
      <c r="W2649" s="152">
        <f t="shared" si="791"/>
        <v>61808</v>
      </c>
      <c r="X2649" s="127" t="str">
        <f t="shared" si="788"/>
        <v/>
      </c>
      <c r="Y2649" s="207">
        <f t="shared" si="792"/>
        <v>61808</v>
      </c>
      <c r="Z2649" s="139">
        <f t="shared" si="793"/>
        <v>61808</v>
      </c>
      <c r="AA2649" s="139">
        <f t="shared" si="794"/>
        <v>0</v>
      </c>
      <c r="AC2649" s="47">
        <f t="shared" si="795"/>
        <v>30904</v>
      </c>
      <c r="AD2649" s="47">
        <f t="shared" si="796"/>
        <v>30904</v>
      </c>
      <c r="AE2649" s="47">
        <f t="shared" si="797"/>
        <v>0</v>
      </c>
      <c r="AG2649" s="47">
        <f t="shared" si="798"/>
        <v>30904</v>
      </c>
      <c r="AH2649" s="47">
        <f t="shared" si="799"/>
        <v>30904</v>
      </c>
      <c r="AI2649" s="208">
        <f t="shared" si="800"/>
        <v>0</v>
      </c>
    </row>
    <row r="2650" spans="1:35">
      <c r="A2650" t="s">
        <v>2175</v>
      </c>
      <c r="B2650" t="s">
        <v>3160</v>
      </c>
      <c r="C2650" t="s">
        <v>2278</v>
      </c>
      <c r="D2650" t="s">
        <v>6234</v>
      </c>
      <c r="F2650" t="s">
        <v>192</v>
      </c>
      <c r="G2650" s="126">
        <f>SUMIFS('Support - Transition'!F:F,'Support - Transition'!B:B,'Step 2'!A2650,'Support - Transition'!C:C,'Step 2'!B2650,'Support - Transition'!D:D,'Step 2'!C2650,'Support - Transition'!E:E,"CIVIL")</f>
        <v>0</v>
      </c>
      <c r="H2650" s="126">
        <f>SUMIFS('Support - Transition'!F:F,'Support - Transition'!B:B,'Step 2'!A2650,'Support - Transition'!C:C,'Step 2'!B2650,'Support - Transition'!D:D,'Step 2'!C2650,'Support - Transition'!E:E,"FIRE")</f>
        <v>0</v>
      </c>
      <c r="I2650" s="126">
        <f>IF(B2650="0",SUMIFS('Support - Transition'!F:F,'Support - Transition'!J:J,'Step 2'!D2650,'Support - Transition'!E:E,"STATE UNIT"),SUMIFS('Support - Transition'!F:F,'Support - Transition'!J:J,'Step 2'!D2650))</f>
        <v>0.214952</v>
      </c>
      <c r="J2650" s="126">
        <f>SUMIFS('Support - Unit Adjustments'!E:E,'Support - Unit Adjustments'!F:F,'Step 2'!D2650)</f>
        <v>0</v>
      </c>
      <c r="K2650" s="126">
        <f t="shared" si="783"/>
        <v>0.214952</v>
      </c>
      <c r="L2650" s="174">
        <f>VLOOKUP(A2650,'Step 1'!$A:$E,4,FALSE)</f>
        <v>442143</v>
      </c>
      <c r="M2650" s="47">
        <f t="shared" si="784"/>
        <v>95040</v>
      </c>
      <c r="N2650" s="177">
        <f>SUMIFS('Support - Transition'!G:G,'Support - Transition'!J:J,'Step 2'!D2650,'Support - Transition'!E:E,"2009 WELFARE ALLOCATION FACTOR")</f>
        <v>0</v>
      </c>
      <c r="O2650" s="152">
        <f t="shared" si="789"/>
        <v>0</v>
      </c>
      <c r="P2650" s="126">
        <f>IF(E2650="Y",0,SUMIFS('Support - Transition'!G:G,'Support - Transition'!J:J,'Step 2'!D2650,'Support - Transition'!E:E,"2009 SCHOOL ALLOCATION FACTOR"))</f>
        <v>0.49474200000000002</v>
      </c>
      <c r="Q2650" s="126">
        <f>IF(E2650="Y",VLOOKUP(D2650,'Support - Unit Adjustments'!F:G,2,FALSE),0)</f>
        <v>0</v>
      </c>
      <c r="R2650" s="155">
        <f t="shared" si="802"/>
        <v>0.49474200000000002</v>
      </c>
      <c r="S2650" s="47">
        <f t="shared" si="801"/>
        <v>47020</v>
      </c>
      <c r="T2650" s="151">
        <f t="shared" si="790"/>
        <v>48020</v>
      </c>
      <c r="U2650" s="151">
        <f t="shared" si="786"/>
        <v>0</v>
      </c>
      <c r="V2650" s="139">
        <f t="shared" si="787"/>
        <v>0</v>
      </c>
      <c r="W2650" s="152">
        <f t="shared" si="791"/>
        <v>48020</v>
      </c>
      <c r="X2650" s="127" t="str">
        <f t="shared" si="788"/>
        <v/>
      </c>
      <c r="Y2650" s="207">
        <f t="shared" si="792"/>
        <v>48020</v>
      </c>
      <c r="Z2650" s="139">
        <f t="shared" si="793"/>
        <v>48020</v>
      </c>
      <c r="AA2650" s="139">
        <f t="shared" si="794"/>
        <v>0</v>
      </c>
      <c r="AC2650" s="47">
        <f t="shared" si="795"/>
        <v>24010</v>
      </c>
      <c r="AD2650" s="47">
        <f t="shared" si="796"/>
        <v>24010</v>
      </c>
      <c r="AE2650" s="47">
        <f t="shared" si="797"/>
        <v>0</v>
      </c>
      <c r="AG2650" s="47">
        <f t="shared" si="798"/>
        <v>24010</v>
      </c>
      <c r="AH2650" s="47">
        <f t="shared" si="799"/>
        <v>24010</v>
      </c>
      <c r="AI2650" s="208">
        <f t="shared" si="800"/>
        <v>0</v>
      </c>
    </row>
    <row r="2651" spans="1:35">
      <c r="A2651" t="s">
        <v>2175</v>
      </c>
      <c r="B2651" t="s">
        <v>3166</v>
      </c>
      <c r="C2651" t="s">
        <v>3126</v>
      </c>
      <c r="D2651" t="s">
        <v>6235</v>
      </c>
      <c r="F2651" t="s">
        <v>1875</v>
      </c>
      <c r="G2651" s="126">
        <f>SUMIFS('Support - Transition'!F:F,'Support - Transition'!B:B,'Step 2'!A2651,'Support - Transition'!C:C,'Step 2'!B2651,'Support - Transition'!D:D,'Step 2'!C2651,'Support - Transition'!E:E,"CIVIL")</f>
        <v>0</v>
      </c>
      <c r="H2651" s="126">
        <f>SUMIFS('Support - Transition'!F:F,'Support - Transition'!B:B,'Step 2'!A2651,'Support - Transition'!C:C,'Step 2'!B2651,'Support - Transition'!D:D,'Step 2'!C2651,'Support - Transition'!E:E,"FIRE")</f>
        <v>0</v>
      </c>
      <c r="I2651" s="126">
        <f>IF(B2651="0",SUMIFS('Support - Transition'!F:F,'Support - Transition'!J:J,'Step 2'!D2651,'Support - Transition'!E:E,"STATE UNIT"),SUMIFS('Support - Transition'!F:F,'Support - Transition'!J:J,'Step 2'!D2651))</f>
        <v>3.4689999999999999E-3</v>
      </c>
      <c r="J2651" s="126">
        <f>SUMIFS('Support - Unit Adjustments'!E:E,'Support - Unit Adjustments'!F:F,'Step 2'!D2651)</f>
        <v>0</v>
      </c>
      <c r="K2651" s="126">
        <f t="shared" si="783"/>
        <v>3.4689999999999999E-3</v>
      </c>
      <c r="L2651" s="174">
        <f>VLOOKUP(A2651,'Step 1'!$A:$E,4,FALSE)</f>
        <v>442143</v>
      </c>
      <c r="M2651" s="47">
        <f t="shared" si="784"/>
        <v>1534</v>
      </c>
      <c r="N2651" s="177">
        <f>SUMIFS('Support - Transition'!G:G,'Support - Transition'!J:J,'Step 2'!D2651,'Support - Transition'!E:E,"2009 WELFARE ALLOCATION FACTOR")</f>
        <v>0</v>
      </c>
      <c r="O2651" s="152">
        <f t="shared" si="789"/>
        <v>0</v>
      </c>
      <c r="P2651" s="126">
        <f>IF(E2651="Y",0,SUMIFS('Support - Transition'!G:G,'Support - Transition'!J:J,'Step 2'!D2651,'Support - Transition'!E:E,"2009 SCHOOL ALLOCATION FACTOR"))</f>
        <v>0</v>
      </c>
      <c r="Q2651" s="126">
        <f>IF(E2651="Y",VLOOKUP(D2651,'Support - Unit Adjustments'!F:G,2,FALSE),0)</f>
        <v>0</v>
      </c>
      <c r="R2651" s="155">
        <f t="shared" si="802"/>
        <v>0</v>
      </c>
      <c r="S2651" s="47">
        <f t="shared" si="801"/>
        <v>0</v>
      </c>
      <c r="T2651" s="151">
        <f t="shared" si="790"/>
        <v>1534</v>
      </c>
      <c r="U2651" s="151">
        <f t="shared" si="786"/>
        <v>0</v>
      </c>
      <c r="V2651" s="139">
        <f t="shared" si="787"/>
        <v>0</v>
      </c>
      <c r="W2651" s="152">
        <f t="shared" si="791"/>
        <v>1534</v>
      </c>
      <c r="X2651" s="127" t="str">
        <f t="shared" si="788"/>
        <v/>
      </c>
      <c r="Y2651" s="207">
        <f t="shared" si="792"/>
        <v>1534</v>
      </c>
      <c r="Z2651" s="139">
        <f t="shared" si="793"/>
        <v>1534</v>
      </c>
      <c r="AA2651" s="139">
        <f t="shared" si="794"/>
        <v>0</v>
      </c>
      <c r="AC2651" s="47">
        <f t="shared" si="795"/>
        <v>767</v>
      </c>
      <c r="AD2651" s="47">
        <f t="shared" si="796"/>
        <v>767</v>
      </c>
      <c r="AE2651" s="47">
        <f t="shared" si="797"/>
        <v>0</v>
      </c>
      <c r="AG2651" s="47">
        <f t="shared" si="798"/>
        <v>767</v>
      </c>
      <c r="AH2651" s="47">
        <f t="shared" si="799"/>
        <v>767</v>
      </c>
      <c r="AI2651" s="208">
        <f t="shared" si="800"/>
        <v>0</v>
      </c>
    </row>
    <row r="2652" spans="1:35">
      <c r="A2652" t="s">
        <v>2175</v>
      </c>
      <c r="B2652" t="s">
        <v>3166</v>
      </c>
      <c r="C2652" t="s">
        <v>3127</v>
      </c>
      <c r="D2652" t="s">
        <v>6236</v>
      </c>
      <c r="F2652" t="s">
        <v>1876</v>
      </c>
      <c r="G2652" s="126">
        <f>SUMIFS('Support - Transition'!F:F,'Support - Transition'!B:B,'Step 2'!A2652,'Support - Transition'!C:C,'Step 2'!B2652,'Support - Transition'!D:D,'Step 2'!C2652,'Support - Transition'!E:E,"CIVIL")</f>
        <v>0</v>
      </c>
      <c r="H2652" s="126">
        <f>SUMIFS('Support - Transition'!F:F,'Support - Transition'!B:B,'Step 2'!A2652,'Support - Transition'!C:C,'Step 2'!B2652,'Support - Transition'!D:D,'Step 2'!C2652,'Support - Transition'!E:E,"FIRE")</f>
        <v>0</v>
      </c>
      <c r="I2652" s="126">
        <f>IF(B2652="0",SUMIFS('Support - Transition'!F:F,'Support - Transition'!J:J,'Step 2'!D2652,'Support - Transition'!E:E,"STATE UNIT"),SUMIFS('Support - Transition'!F:F,'Support - Transition'!J:J,'Step 2'!D2652))</f>
        <v>3.0279999999999999E-3</v>
      </c>
      <c r="J2652" s="126">
        <f>SUMIFS('Support - Unit Adjustments'!E:E,'Support - Unit Adjustments'!F:F,'Step 2'!D2652)</f>
        <v>0</v>
      </c>
      <c r="K2652" s="126">
        <f t="shared" si="783"/>
        <v>3.0279999999999999E-3</v>
      </c>
      <c r="L2652" s="174">
        <f>VLOOKUP(A2652,'Step 1'!$A:$E,4,FALSE)</f>
        <v>442143</v>
      </c>
      <c r="M2652" s="47">
        <f t="shared" si="784"/>
        <v>1339</v>
      </c>
      <c r="N2652" s="177">
        <f>SUMIFS('Support - Transition'!G:G,'Support - Transition'!J:J,'Step 2'!D2652,'Support - Transition'!E:E,"2009 WELFARE ALLOCATION FACTOR")</f>
        <v>0</v>
      </c>
      <c r="O2652" s="152">
        <f t="shared" si="789"/>
        <v>0</v>
      </c>
      <c r="P2652" s="126">
        <f>IF(E2652="Y",0,SUMIFS('Support - Transition'!G:G,'Support - Transition'!J:J,'Step 2'!D2652,'Support - Transition'!E:E,"2009 SCHOOL ALLOCATION FACTOR"))</f>
        <v>0</v>
      </c>
      <c r="Q2652" s="126">
        <f>IF(E2652="Y",VLOOKUP(D2652,'Support - Unit Adjustments'!F:G,2,FALSE),0)</f>
        <v>0</v>
      </c>
      <c r="R2652" s="155">
        <f t="shared" si="802"/>
        <v>0</v>
      </c>
      <c r="S2652" s="47">
        <f t="shared" si="801"/>
        <v>0</v>
      </c>
      <c r="T2652" s="151">
        <f t="shared" si="790"/>
        <v>1339</v>
      </c>
      <c r="U2652" s="151">
        <f t="shared" si="786"/>
        <v>0</v>
      </c>
      <c r="V2652" s="139">
        <f t="shared" si="787"/>
        <v>0</v>
      </c>
      <c r="W2652" s="152">
        <f t="shared" si="791"/>
        <v>1339</v>
      </c>
      <c r="X2652" s="127" t="str">
        <f t="shared" si="788"/>
        <v/>
      </c>
      <c r="Y2652" s="207">
        <f t="shared" si="792"/>
        <v>1339</v>
      </c>
      <c r="Z2652" s="139">
        <f t="shared" si="793"/>
        <v>1339</v>
      </c>
      <c r="AA2652" s="139">
        <f t="shared" si="794"/>
        <v>0</v>
      </c>
      <c r="AC2652" s="47">
        <f t="shared" si="795"/>
        <v>670</v>
      </c>
      <c r="AD2652" s="47">
        <f t="shared" si="796"/>
        <v>670</v>
      </c>
      <c r="AE2652" s="47">
        <f t="shared" si="797"/>
        <v>0</v>
      </c>
      <c r="AG2652" s="47">
        <f t="shared" si="798"/>
        <v>669</v>
      </c>
      <c r="AH2652" s="47">
        <f t="shared" si="799"/>
        <v>669</v>
      </c>
      <c r="AI2652" s="208">
        <f t="shared" si="800"/>
        <v>0</v>
      </c>
    </row>
    <row r="2653" spans="1:35">
      <c r="A2653" t="s">
        <v>2175</v>
      </c>
      <c r="B2653" t="s">
        <v>3166</v>
      </c>
      <c r="C2653" t="s">
        <v>3128</v>
      </c>
      <c r="D2653" t="s">
        <v>6237</v>
      </c>
      <c r="F2653" t="s">
        <v>1877</v>
      </c>
      <c r="G2653" s="126">
        <f>SUMIFS('Support - Transition'!F:F,'Support - Transition'!B:B,'Step 2'!A2653,'Support - Transition'!C:C,'Step 2'!B2653,'Support - Transition'!D:D,'Step 2'!C2653,'Support - Transition'!E:E,"CIVIL")</f>
        <v>0</v>
      </c>
      <c r="H2653" s="126">
        <f>SUMIFS('Support - Transition'!F:F,'Support - Transition'!B:B,'Step 2'!A2653,'Support - Transition'!C:C,'Step 2'!B2653,'Support - Transition'!D:D,'Step 2'!C2653,'Support - Transition'!E:E,"FIRE")</f>
        <v>0</v>
      </c>
      <c r="I2653" s="126">
        <f>IF(B2653="0",SUMIFS('Support - Transition'!F:F,'Support - Transition'!J:J,'Step 2'!D2653,'Support - Transition'!E:E,"STATE UNIT"),SUMIFS('Support - Transition'!F:F,'Support - Transition'!J:J,'Step 2'!D2653))</f>
        <v>1.1906999999999999E-2</v>
      </c>
      <c r="J2653" s="126">
        <f>SUMIFS('Support - Unit Adjustments'!E:E,'Support - Unit Adjustments'!F:F,'Step 2'!D2653)</f>
        <v>0</v>
      </c>
      <c r="K2653" s="126">
        <f t="shared" si="783"/>
        <v>1.1906999999999999E-2</v>
      </c>
      <c r="L2653" s="174">
        <f>VLOOKUP(A2653,'Step 1'!$A:$E,4,FALSE)</f>
        <v>442143</v>
      </c>
      <c r="M2653" s="47">
        <f t="shared" si="784"/>
        <v>5265</v>
      </c>
      <c r="N2653" s="177">
        <f>SUMIFS('Support - Transition'!G:G,'Support - Transition'!J:J,'Step 2'!D2653,'Support - Transition'!E:E,"2009 WELFARE ALLOCATION FACTOR")</f>
        <v>0</v>
      </c>
      <c r="O2653" s="152">
        <f t="shared" si="789"/>
        <v>0</v>
      </c>
      <c r="P2653" s="126">
        <f>IF(E2653="Y",0,SUMIFS('Support - Transition'!G:G,'Support - Transition'!J:J,'Step 2'!D2653,'Support - Transition'!E:E,"2009 SCHOOL ALLOCATION FACTOR"))</f>
        <v>0</v>
      </c>
      <c r="Q2653" s="126">
        <f>IF(E2653="Y",VLOOKUP(D2653,'Support - Unit Adjustments'!F:G,2,FALSE),0)</f>
        <v>0</v>
      </c>
      <c r="R2653" s="155">
        <f t="shared" si="802"/>
        <v>0</v>
      </c>
      <c r="S2653" s="47">
        <f t="shared" si="801"/>
        <v>0</v>
      </c>
      <c r="T2653" s="151">
        <f t="shared" si="790"/>
        <v>5265</v>
      </c>
      <c r="U2653" s="151">
        <f t="shared" si="786"/>
        <v>0</v>
      </c>
      <c r="V2653" s="139">
        <f t="shared" si="787"/>
        <v>0</v>
      </c>
      <c r="W2653" s="152">
        <f t="shared" si="791"/>
        <v>5265</v>
      </c>
      <c r="X2653" s="127" t="str">
        <f t="shared" si="788"/>
        <v/>
      </c>
      <c r="Y2653" s="207">
        <f t="shared" si="792"/>
        <v>5265</v>
      </c>
      <c r="Z2653" s="139">
        <f t="shared" si="793"/>
        <v>5265</v>
      </c>
      <c r="AA2653" s="139">
        <f t="shared" si="794"/>
        <v>0</v>
      </c>
      <c r="AC2653" s="47">
        <f t="shared" si="795"/>
        <v>2633</v>
      </c>
      <c r="AD2653" s="47">
        <f t="shared" si="796"/>
        <v>2633</v>
      </c>
      <c r="AE2653" s="47">
        <f t="shared" si="797"/>
        <v>0</v>
      </c>
      <c r="AG2653" s="47">
        <f t="shared" si="798"/>
        <v>2632</v>
      </c>
      <c r="AH2653" s="47">
        <f t="shared" si="799"/>
        <v>2632</v>
      </c>
      <c r="AI2653" s="208">
        <f t="shared" si="800"/>
        <v>0</v>
      </c>
    </row>
    <row r="2654" spans="1:35">
      <c r="A2654" t="s">
        <v>2175</v>
      </c>
      <c r="B2654" t="s">
        <v>3166</v>
      </c>
      <c r="C2654" t="s">
        <v>3129</v>
      </c>
      <c r="D2654" t="s">
        <v>6238</v>
      </c>
      <c r="F2654" t="s">
        <v>1878</v>
      </c>
      <c r="G2654" s="126">
        <f>SUMIFS('Support - Transition'!F:F,'Support - Transition'!B:B,'Step 2'!A2654,'Support - Transition'!C:C,'Step 2'!B2654,'Support - Transition'!D:D,'Step 2'!C2654,'Support - Transition'!E:E,"CIVIL")</f>
        <v>0</v>
      </c>
      <c r="H2654" s="126">
        <f>SUMIFS('Support - Transition'!F:F,'Support - Transition'!B:B,'Step 2'!A2654,'Support - Transition'!C:C,'Step 2'!B2654,'Support - Transition'!D:D,'Step 2'!C2654,'Support - Transition'!E:E,"FIRE")</f>
        <v>0</v>
      </c>
      <c r="I2654" s="126">
        <f>IF(B2654="0",SUMIFS('Support - Transition'!F:F,'Support - Transition'!J:J,'Step 2'!D2654,'Support - Transition'!E:E,"STATE UNIT"),SUMIFS('Support - Transition'!F:F,'Support - Transition'!J:J,'Step 2'!D2654))</f>
        <v>9.4299999999999384E-3</v>
      </c>
      <c r="J2654" s="126">
        <f>SUMIFS('Support - Unit Adjustments'!E:E,'Support - Unit Adjustments'!F:F,'Step 2'!D2654)</f>
        <v>0</v>
      </c>
      <c r="K2654" s="126">
        <f t="shared" si="783"/>
        <v>9.4299999999999384E-3</v>
      </c>
      <c r="L2654" s="174">
        <f>VLOOKUP(A2654,'Step 1'!$A:$E,4,FALSE)</f>
        <v>442143</v>
      </c>
      <c r="M2654" s="47">
        <f t="shared" si="784"/>
        <v>4169</v>
      </c>
      <c r="N2654" s="177">
        <f>SUMIFS('Support - Transition'!G:G,'Support - Transition'!J:J,'Step 2'!D2654,'Support - Transition'!E:E,"2009 WELFARE ALLOCATION FACTOR")</f>
        <v>0</v>
      </c>
      <c r="O2654" s="152">
        <f t="shared" si="789"/>
        <v>0</v>
      </c>
      <c r="P2654" s="126">
        <f>IF(E2654="Y",0,SUMIFS('Support - Transition'!G:G,'Support - Transition'!J:J,'Step 2'!D2654,'Support - Transition'!E:E,"2009 SCHOOL ALLOCATION FACTOR"))</f>
        <v>0</v>
      </c>
      <c r="Q2654" s="126">
        <f>IF(E2654="Y",VLOOKUP(D2654,'Support - Unit Adjustments'!F:G,2,FALSE),0)</f>
        <v>0</v>
      </c>
      <c r="R2654" s="155">
        <f t="shared" si="802"/>
        <v>0</v>
      </c>
      <c r="S2654" s="47">
        <f t="shared" si="801"/>
        <v>0</v>
      </c>
      <c r="T2654" s="151">
        <f t="shared" si="790"/>
        <v>4169</v>
      </c>
      <c r="U2654" s="151">
        <f t="shared" si="786"/>
        <v>0</v>
      </c>
      <c r="V2654" s="139">
        <f t="shared" si="787"/>
        <v>0</v>
      </c>
      <c r="W2654" s="152">
        <f t="shared" si="791"/>
        <v>4169</v>
      </c>
      <c r="X2654" s="127" t="str">
        <f t="shared" si="788"/>
        <v/>
      </c>
      <c r="Y2654" s="207">
        <f t="shared" si="792"/>
        <v>4169</v>
      </c>
      <c r="Z2654" s="139">
        <f t="shared" si="793"/>
        <v>4169</v>
      </c>
      <c r="AA2654" s="139">
        <f t="shared" si="794"/>
        <v>0</v>
      </c>
      <c r="AC2654" s="47">
        <f t="shared" si="795"/>
        <v>2085</v>
      </c>
      <c r="AD2654" s="47">
        <f t="shared" si="796"/>
        <v>2085</v>
      </c>
      <c r="AE2654" s="47">
        <f t="shared" si="797"/>
        <v>0</v>
      </c>
      <c r="AG2654" s="47">
        <f t="shared" si="798"/>
        <v>2084</v>
      </c>
      <c r="AH2654" s="47">
        <f t="shared" si="799"/>
        <v>2084</v>
      </c>
      <c r="AI2654" s="208">
        <f t="shared" si="800"/>
        <v>0</v>
      </c>
    </row>
    <row r="2655" spans="1:35">
      <c r="A2655" t="s">
        <v>2175</v>
      </c>
      <c r="B2655" t="s">
        <v>3170</v>
      </c>
      <c r="C2655" t="s">
        <v>3281</v>
      </c>
      <c r="D2655" t="s">
        <v>6239</v>
      </c>
      <c r="F2655" t="s">
        <v>131</v>
      </c>
      <c r="G2655" s="126">
        <f>SUMIFS('Support - Transition'!F:F,'Support - Transition'!B:B,'Step 2'!A2655,'Support - Transition'!C:C,'Step 2'!B2655,'Support - Transition'!D:D,'Step 2'!C2655,'Support - Transition'!E:E,"CIVIL")</f>
        <v>0</v>
      </c>
      <c r="H2655" s="126">
        <f>SUMIFS('Support - Transition'!F:F,'Support - Transition'!B:B,'Step 2'!A2655,'Support - Transition'!C:C,'Step 2'!B2655,'Support - Transition'!D:D,'Step 2'!C2655,'Support - Transition'!E:E,"FIRE")</f>
        <v>0</v>
      </c>
      <c r="I2655" s="126">
        <f>IF(B2655="0",SUMIFS('Support - Transition'!F:F,'Support - Transition'!J:J,'Step 2'!D2655,'Support - Transition'!E:E,"STATE UNIT"),SUMIFS('Support - Transition'!F:F,'Support - Transition'!J:J,'Step 2'!D2655))</f>
        <v>0</v>
      </c>
      <c r="J2655" s="126">
        <f>SUMIFS('Support - Unit Adjustments'!E:E,'Support - Unit Adjustments'!F:F,'Step 2'!D2655)</f>
        <v>0</v>
      </c>
      <c r="K2655" s="126">
        <f t="shared" si="783"/>
        <v>0</v>
      </c>
      <c r="L2655" s="174">
        <f>VLOOKUP(A2655,'Step 1'!$A:$E,4,FALSE)</f>
        <v>442143</v>
      </c>
      <c r="M2655" s="47">
        <f t="shared" si="784"/>
        <v>0</v>
      </c>
      <c r="N2655" s="177">
        <f>SUMIFS('Support - Transition'!G:G,'Support - Transition'!J:J,'Step 2'!D2655,'Support - Transition'!E:E,"2009 WELFARE ALLOCATION FACTOR")</f>
        <v>0</v>
      </c>
      <c r="O2655" s="152">
        <f t="shared" si="789"/>
        <v>0</v>
      </c>
      <c r="P2655" s="126">
        <f>IF(E2655="Y",0,SUMIFS('Support - Transition'!G:G,'Support - Transition'!J:J,'Step 2'!D2655,'Support - Transition'!E:E,"2009 SCHOOL ALLOCATION FACTOR"))</f>
        <v>0</v>
      </c>
      <c r="Q2655" s="126">
        <f>IF(E2655="Y",VLOOKUP(D2655,'Support - Unit Adjustments'!F:G,2,FALSE),0)</f>
        <v>0</v>
      </c>
      <c r="R2655" s="155">
        <f t="shared" si="802"/>
        <v>0</v>
      </c>
      <c r="S2655" s="47">
        <f t="shared" si="801"/>
        <v>0</v>
      </c>
      <c r="T2655" s="151">
        <f t="shared" si="790"/>
        <v>0</v>
      </c>
      <c r="U2655" s="151">
        <f t="shared" si="786"/>
        <v>0</v>
      </c>
      <c r="V2655" s="139">
        <f t="shared" si="787"/>
        <v>0</v>
      </c>
      <c r="W2655" s="152">
        <f t="shared" si="791"/>
        <v>0</v>
      </c>
      <c r="X2655" s="127" t="str">
        <f t="shared" si="788"/>
        <v/>
      </c>
      <c r="Y2655" s="207">
        <f t="shared" si="792"/>
        <v>0</v>
      </c>
      <c r="Z2655" s="139">
        <f t="shared" si="793"/>
        <v>0</v>
      </c>
      <c r="AA2655" s="139">
        <f t="shared" si="794"/>
        <v>0</v>
      </c>
      <c r="AC2655" s="47">
        <f t="shared" si="795"/>
        <v>0</v>
      </c>
      <c r="AD2655" s="47">
        <f t="shared" si="796"/>
        <v>0</v>
      </c>
      <c r="AE2655" s="47">
        <f t="shared" si="797"/>
        <v>0</v>
      </c>
      <c r="AG2655" s="47">
        <f t="shared" si="798"/>
        <v>0</v>
      </c>
      <c r="AH2655" s="47">
        <f t="shared" si="799"/>
        <v>0</v>
      </c>
      <c r="AI2655" s="208">
        <f t="shared" si="800"/>
        <v>0</v>
      </c>
    </row>
    <row r="2656" spans="1:35">
      <c r="A2656" t="s">
        <v>2175</v>
      </c>
      <c r="B2656" t="s">
        <v>3170</v>
      </c>
      <c r="C2656" t="s">
        <v>3283</v>
      </c>
      <c r="D2656" t="s">
        <v>6240</v>
      </c>
      <c r="F2656" t="s">
        <v>3285</v>
      </c>
      <c r="G2656" s="126">
        <f>SUMIFS('Support - Transition'!F:F,'Support - Transition'!B:B,'Step 2'!A2656,'Support - Transition'!C:C,'Step 2'!B2656,'Support - Transition'!D:D,'Step 2'!C2656,'Support - Transition'!E:E,"CIVIL")</f>
        <v>0</v>
      </c>
      <c r="H2656" s="126">
        <f>SUMIFS('Support - Transition'!F:F,'Support - Transition'!B:B,'Step 2'!A2656,'Support - Transition'!C:C,'Step 2'!B2656,'Support - Transition'!D:D,'Step 2'!C2656,'Support - Transition'!E:E,"FIRE")</f>
        <v>0</v>
      </c>
      <c r="I2656" s="126">
        <f>IF(B2656="0",SUMIFS('Support - Transition'!F:F,'Support - Transition'!J:J,'Step 2'!D2656,'Support - Transition'!E:E,"STATE UNIT"),SUMIFS('Support - Transition'!F:F,'Support - Transition'!J:J,'Step 2'!D2656))</f>
        <v>0</v>
      </c>
      <c r="J2656" s="126">
        <f>SUMIFS('Support - Unit Adjustments'!E:E,'Support - Unit Adjustments'!F:F,'Step 2'!D2656)</f>
        <v>0</v>
      </c>
      <c r="K2656" s="126">
        <f t="shared" si="783"/>
        <v>0</v>
      </c>
      <c r="L2656" s="174">
        <f>VLOOKUP(A2656,'Step 1'!$A:$E,4,FALSE)</f>
        <v>442143</v>
      </c>
      <c r="M2656" s="47">
        <f t="shared" si="784"/>
        <v>0</v>
      </c>
      <c r="N2656" s="177">
        <f>SUMIFS('Support - Transition'!G:G,'Support - Transition'!J:J,'Step 2'!D2656,'Support - Transition'!E:E,"2009 WELFARE ALLOCATION FACTOR")</f>
        <v>0</v>
      </c>
      <c r="O2656" s="152">
        <f t="shared" si="789"/>
        <v>0</v>
      </c>
      <c r="P2656" s="126">
        <f>IF(E2656="Y",0,SUMIFS('Support - Transition'!G:G,'Support - Transition'!J:J,'Step 2'!D2656,'Support - Transition'!E:E,"2009 SCHOOL ALLOCATION FACTOR"))</f>
        <v>0</v>
      </c>
      <c r="Q2656" s="126">
        <f>IF(E2656="Y",VLOOKUP(D2656,'Support - Unit Adjustments'!F:G,2,FALSE),0)</f>
        <v>0</v>
      </c>
      <c r="R2656" s="155">
        <f t="shared" si="802"/>
        <v>0</v>
      </c>
      <c r="S2656" s="47">
        <f t="shared" si="801"/>
        <v>0</v>
      </c>
      <c r="T2656" s="151">
        <f t="shared" si="790"/>
        <v>0</v>
      </c>
      <c r="U2656" s="151">
        <f t="shared" si="786"/>
        <v>0</v>
      </c>
      <c r="V2656" s="139">
        <f t="shared" si="787"/>
        <v>0</v>
      </c>
      <c r="W2656" s="152">
        <f t="shared" si="791"/>
        <v>0</v>
      </c>
      <c r="X2656" s="127" t="str">
        <f t="shared" si="788"/>
        <v/>
      </c>
      <c r="Y2656" s="207">
        <f t="shared" si="792"/>
        <v>0</v>
      </c>
      <c r="Z2656" s="139">
        <f t="shared" si="793"/>
        <v>0</v>
      </c>
      <c r="AA2656" s="139">
        <f t="shared" si="794"/>
        <v>0</v>
      </c>
      <c r="AC2656" s="47">
        <f t="shared" si="795"/>
        <v>0</v>
      </c>
      <c r="AD2656" s="47">
        <f t="shared" si="796"/>
        <v>0</v>
      </c>
      <c r="AE2656" s="47">
        <f t="shared" si="797"/>
        <v>0</v>
      </c>
      <c r="AG2656" s="47">
        <f t="shared" si="798"/>
        <v>0</v>
      </c>
      <c r="AH2656" s="47">
        <f t="shared" si="799"/>
        <v>0</v>
      </c>
      <c r="AI2656" s="208">
        <f t="shared" si="800"/>
        <v>0</v>
      </c>
    </row>
    <row r="2657" spans="1:35">
      <c r="A2657" t="s">
        <v>2176</v>
      </c>
      <c r="B2657" s="48" t="s">
        <v>6274</v>
      </c>
      <c r="C2657" t="s">
        <v>2187</v>
      </c>
      <c r="D2657" t="str">
        <f>A2657&amp;B2657&amp;C2657</f>
        <v>9200000</v>
      </c>
      <c r="F2657" t="s">
        <v>6366</v>
      </c>
      <c r="G2657" s="126">
        <f>SUMIFS('Support - Transition'!F:F,'Support - Transition'!B:B,'Step 2'!A2657,'Support - Transition'!C:C,'Step 2'!B2657,'Support - Transition'!D:D,'Step 2'!C2657,'Support - Transition'!E:E,"CIVIL")</f>
        <v>0</v>
      </c>
      <c r="H2657" s="126">
        <f>SUMIFS('Support - Transition'!F:F,'Support - Transition'!B:B,'Step 2'!A2657,'Support - Transition'!C:C,'Step 2'!B2657,'Support - Transition'!D:D,'Step 2'!C2657,'Support - Transition'!E:E,"FIRE")</f>
        <v>0</v>
      </c>
      <c r="I2657" s="126">
        <f>IF(B2657="0",SUMIFS('Support - Transition'!F:F,'Support - Transition'!J:J,'Step 2'!D2657,'Support - Transition'!E:E,"STATE UNIT"),SUMIFS('Support - Transition'!F:F,'Support - Transition'!J:J,'Step 2'!D2657))</f>
        <v>1.2999999999999999E-3</v>
      </c>
      <c r="J2657" s="126">
        <f>SUMIFS('Support - Unit Adjustments'!E:E,'Support - Unit Adjustments'!F:F,'Step 2'!D2657)</f>
        <v>0</v>
      </c>
      <c r="K2657" s="126">
        <f t="shared" si="783"/>
        <v>1.2999999999999999E-3</v>
      </c>
      <c r="L2657" s="174">
        <f>VLOOKUP(A2657,'Step 1'!$A:$E,4,FALSE)</f>
        <v>538427</v>
      </c>
      <c r="M2657" s="47">
        <f t="shared" si="784"/>
        <v>700</v>
      </c>
      <c r="N2657" s="177">
        <f>SUMIFS('Support - Transition'!G:G,'Support - Transition'!J:J,'Step 2'!D2657,'Support - Transition'!E:E,"2009 WELFARE ALLOCATION FACTOR")</f>
        <v>0</v>
      </c>
      <c r="O2657" s="152">
        <f t="shared" si="789"/>
        <v>0</v>
      </c>
      <c r="P2657" s="126">
        <f>IF(E2657="Y",0,SUMIFS('Support - Transition'!G:G,'Support - Transition'!J:J,'Step 2'!D2657,'Support - Transition'!E:E,"2009 SCHOOL ALLOCATION FACTOR"))</f>
        <v>0</v>
      </c>
      <c r="Q2657" s="126">
        <f>IF(E2657="Y",VLOOKUP(D2657,'Support - Unit Adjustments'!F:G,2,FALSE),0)</f>
        <v>0</v>
      </c>
      <c r="R2657" s="155">
        <f t="shared" si="802"/>
        <v>0</v>
      </c>
      <c r="S2657" s="47">
        <f t="shared" si="801"/>
        <v>0</v>
      </c>
      <c r="T2657" s="151">
        <f t="shared" si="790"/>
        <v>700</v>
      </c>
      <c r="U2657" s="151">
        <f t="shared" si="786"/>
        <v>538427</v>
      </c>
      <c r="V2657" s="139">
        <f t="shared" si="787"/>
        <v>0</v>
      </c>
      <c r="W2657" s="152">
        <f t="shared" si="791"/>
        <v>700</v>
      </c>
      <c r="X2657" s="127">
        <f t="shared" si="788"/>
        <v>0</v>
      </c>
      <c r="Y2657" s="207">
        <f t="shared" si="792"/>
        <v>700</v>
      </c>
      <c r="Z2657" s="139">
        <f t="shared" si="793"/>
        <v>700</v>
      </c>
      <c r="AA2657" s="139">
        <f t="shared" si="794"/>
        <v>0</v>
      </c>
      <c r="AC2657" s="47">
        <f t="shared" si="795"/>
        <v>350</v>
      </c>
      <c r="AD2657" s="47">
        <f t="shared" si="796"/>
        <v>350</v>
      </c>
      <c r="AE2657" s="47">
        <f t="shared" si="797"/>
        <v>0</v>
      </c>
      <c r="AG2657" s="47">
        <f t="shared" si="798"/>
        <v>350</v>
      </c>
      <c r="AH2657" s="47">
        <f t="shared" si="799"/>
        <v>350</v>
      </c>
      <c r="AI2657" s="208">
        <f t="shared" si="800"/>
        <v>0</v>
      </c>
    </row>
    <row r="2658" spans="1:35">
      <c r="A2658" t="s">
        <v>2176</v>
      </c>
      <c r="B2658" t="s">
        <v>3140</v>
      </c>
      <c r="C2658" t="s">
        <v>2187</v>
      </c>
      <c r="D2658" t="s">
        <v>6241</v>
      </c>
      <c r="F2658" t="s">
        <v>1880</v>
      </c>
      <c r="G2658" s="126">
        <f>SUMIFS('Support - Transition'!F:F,'Support - Transition'!B:B,'Step 2'!A2658,'Support - Transition'!C:C,'Step 2'!B2658,'Support - Transition'!D:D,'Step 2'!C2658,'Support - Transition'!E:E,"CIVIL")</f>
        <v>0</v>
      </c>
      <c r="H2658" s="126">
        <f>SUMIFS('Support - Transition'!F:F,'Support - Transition'!B:B,'Step 2'!A2658,'Support - Transition'!C:C,'Step 2'!B2658,'Support - Transition'!D:D,'Step 2'!C2658,'Support - Transition'!E:E,"FIRE")</f>
        <v>0</v>
      </c>
      <c r="I2658" s="126">
        <f>IF(B2658="0",SUMIFS('Support - Transition'!F:F,'Support - Transition'!J:J,'Step 2'!D2658,'Support - Transition'!E:E,"STATE UNIT"),SUMIFS('Support - Transition'!F:F,'Support - Transition'!J:J,'Step 2'!D2658))</f>
        <v>0.196682</v>
      </c>
      <c r="J2658" s="126">
        <f>SUMIFS('Support - Unit Adjustments'!E:E,'Support - Unit Adjustments'!F:F,'Step 2'!D2658)</f>
        <v>0</v>
      </c>
      <c r="K2658" s="126">
        <f t="shared" si="783"/>
        <v>0.196682</v>
      </c>
      <c r="L2658" s="174">
        <f>VLOOKUP(A2658,'Step 1'!$A:$E,4,FALSE)</f>
        <v>538427</v>
      </c>
      <c r="M2658" s="47">
        <f t="shared" si="784"/>
        <v>105899</v>
      </c>
      <c r="N2658" s="177">
        <f>SUMIFS('Support - Transition'!G:G,'Support - Transition'!J:J,'Step 2'!D2658,'Support - Transition'!E:E,"2009 WELFARE ALLOCATION FACTOR")</f>
        <v>0.10637099999999999</v>
      </c>
      <c r="O2658" s="152">
        <f t="shared" si="789"/>
        <v>11265</v>
      </c>
      <c r="P2658" s="126">
        <f>IF(E2658="Y",0,SUMIFS('Support - Transition'!G:G,'Support - Transition'!J:J,'Step 2'!D2658,'Support - Transition'!E:E,"2009 SCHOOL ALLOCATION FACTOR"))</f>
        <v>0</v>
      </c>
      <c r="Q2658" s="126">
        <f>IF(E2658="Y",VLOOKUP(D2658,'Support - Unit Adjustments'!F:G,2,FALSE),0)</f>
        <v>0</v>
      </c>
      <c r="R2658" s="155">
        <f t="shared" si="802"/>
        <v>0</v>
      </c>
      <c r="S2658" s="47">
        <f t="shared" si="801"/>
        <v>0</v>
      </c>
      <c r="T2658" s="151">
        <f t="shared" si="790"/>
        <v>94634</v>
      </c>
      <c r="U2658" s="151">
        <f t="shared" si="786"/>
        <v>0</v>
      </c>
      <c r="V2658" s="139">
        <f t="shared" si="787"/>
        <v>0</v>
      </c>
      <c r="W2658" s="152">
        <f t="shared" si="791"/>
        <v>94634</v>
      </c>
      <c r="X2658" s="127" t="str">
        <f t="shared" si="788"/>
        <v/>
      </c>
      <c r="Y2658" s="207">
        <f t="shared" si="792"/>
        <v>94634</v>
      </c>
      <c r="Z2658" s="139">
        <f t="shared" si="793"/>
        <v>94634</v>
      </c>
      <c r="AA2658" s="139">
        <f t="shared" si="794"/>
        <v>0</v>
      </c>
      <c r="AC2658" s="47">
        <f t="shared" si="795"/>
        <v>47317</v>
      </c>
      <c r="AD2658" s="47">
        <f t="shared" si="796"/>
        <v>47317</v>
      </c>
      <c r="AE2658" s="47">
        <f t="shared" si="797"/>
        <v>0</v>
      </c>
      <c r="AG2658" s="47">
        <f t="shared" si="798"/>
        <v>47317</v>
      </c>
      <c r="AH2658" s="47">
        <f t="shared" si="799"/>
        <v>47317</v>
      </c>
      <c r="AI2658" s="208">
        <f t="shared" si="800"/>
        <v>0</v>
      </c>
    </row>
    <row r="2659" spans="1:35">
      <c r="A2659" t="s">
        <v>2176</v>
      </c>
      <c r="B2659" t="s">
        <v>3142</v>
      </c>
      <c r="C2659" t="s">
        <v>2188</v>
      </c>
      <c r="D2659" t="s">
        <v>6242</v>
      </c>
      <c r="F2659" t="s">
        <v>451</v>
      </c>
      <c r="G2659" s="126">
        <f>SUMIFS('Support - Transition'!F:F,'Support - Transition'!B:B,'Step 2'!A2659,'Support - Transition'!C:C,'Step 2'!B2659,'Support - Transition'!D:D,'Step 2'!C2659,'Support - Transition'!E:E,"CIVIL")</f>
        <v>2.2759999999999998E-3</v>
      </c>
      <c r="H2659" s="126">
        <f>SUMIFS('Support - Transition'!F:F,'Support - Transition'!B:B,'Step 2'!A2659,'Support - Transition'!C:C,'Step 2'!B2659,'Support - Transition'!D:D,'Step 2'!C2659,'Support - Transition'!E:E,"FIRE")</f>
        <v>1.9100000000000001E-4</v>
      </c>
      <c r="I2659" s="126">
        <f>IF(B2659="0",SUMIFS('Support - Transition'!F:F,'Support - Transition'!J:J,'Step 2'!D2659,'Support - Transition'!E:E,"STATE UNIT"),SUMIFS('Support - Transition'!F:F,'Support - Transition'!J:J,'Step 2'!D2659))</f>
        <v>2.467E-3</v>
      </c>
      <c r="J2659" s="126">
        <f>SUMIFS('Support - Unit Adjustments'!E:E,'Support - Unit Adjustments'!F:F,'Step 2'!D2659)</f>
        <v>0</v>
      </c>
      <c r="K2659" s="126">
        <f t="shared" si="783"/>
        <v>2.467E-3</v>
      </c>
      <c r="L2659" s="174">
        <f>VLOOKUP(A2659,'Step 1'!$A:$E,4,FALSE)</f>
        <v>538427</v>
      </c>
      <c r="M2659" s="47">
        <f t="shared" si="784"/>
        <v>1328</v>
      </c>
      <c r="N2659" s="177">
        <f>SUMIFS('Support - Transition'!G:G,'Support - Transition'!J:J,'Step 2'!D2659,'Support - Transition'!E:E,"2009 WELFARE ALLOCATION FACTOR")</f>
        <v>0</v>
      </c>
      <c r="O2659" s="152">
        <f t="shared" si="789"/>
        <v>0</v>
      </c>
      <c r="P2659" s="126">
        <f>IF(E2659="Y",0,SUMIFS('Support - Transition'!G:G,'Support - Transition'!J:J,'Step 2'!D2659,'Support - Transition'!E:E,"2009 SCHOOL ALLOCATION FACTOR"))</f>
        <v>0</v>
      </c>
      <c r="Q2659" s="126">
        <f>IF(E2659="Y",VLOOKUP(D2659,'Support - Unit Adjustments'!F:G,2,FALSE),0)</f>
        <v>0</v>
      </c>
      <c r="R2659" s="155">
        <f t="shared" si="802"/>
        <v>0</v>
      </c>
      <c r="S2659" s="47">
        <f t="shared" si="801"/>
        <v>0</v>
      </c>
      <c r="T2659" s="151">
        <f t="shared" si="790"/>
        <v>1328</v>
      </c>
      <c r="U2659" s="151">
        <f t="shared" si="786"/>
        <v>0</v>
      </c>
      <c r="V2659" s="139">
        <f t="shared" si="787"/>
        <v>0</v>
      </c>
      <c r="W2659" s="152">
        <f t="shared" si="791"/>
        <v>1328</v>
      </c>
      <c r="X2659" s="127" t="str">
        <f t="shared" si="788"/>
        <v/>
      </c>
      <c r="Y2659" s="207">
        <f t="shared" si="792"/>
        <v>1328</v>
      </c>
      <c r="Z2659" s="139">
        <f t="shared" si="793"/>
        <v>1225</v>
      </c>
      <c r="AA2659" s="139">
        <f t="shared" si="794"/>
        <v>103</v>
      </c>
      <c r="AC2659" s="47">
        <f t="shared" si="795"/>
        <v>664</v>
      </c>
      <c r="AD2659" s="47">
        <f t="shared" si="796"/>
        <v>613</v>
      </c>
      <c r="AE2659" s="47">
        <f t="shared" si="797"/>
        <v>52</v>
      </c>
      <c r="AG2659" s="47">
        <f t="shared" si="798"/>
        <v>664</v>
      </c>
      <c r="AH2659" s="47">
        <f t="shared" si="799"/>
        <v>612</v>
      </c>
      <c r="AI2659" s="208">
        <f t="shared" si="800"/>
        <v>51</v>
      </c>
    </row>
    <row r="2660" spans="1:35">
      <c r="A2660" t="s">
        <v>2176</v>
      </c>
      <c r="B2660" t="s">
        <v>3142</v>
      </c>
      <c r="C2660" t="s">
        <v>2189</v>
      </c>
      <c r="D2660" t="s">
        <v>6243</v>
      </c>
      <c r="F2660" t="s">
        <v>429</v>
      </c>
      <c r="G2660" s="126">
        <f>SUMIFS('Support - Transition'!F:F,'Support - Transition'!B:B,'Step 2'!A2660,'Support - Transition'!C:C,'Step 2'!B2660,'Support - Transition'!D:D,'Step 2'!C2660,'Support - Transition'!E:E,"CIVIL")</f>
        <v>2.9619999999999998E-3</v>
      </c>
      <c r="H2660" s="126">
        <f>SUMIFS('Support - Transition'!F:F,'Support - Transition'!B:B,'Step 2'!A2660,'Support - Transition'!C:C,'Step 2'!B2660,'Support - Transition'!D:D,'Step 2'!C2660,'Support - Transition'!E:E,"FIRE")</f>
        <v>5.4199999999999995E-4</v>
      </c>
      <c r="I2660" s="126">
        <f>IF(B2660="0",SUMIFS('Support - Transition'!F:F,'Support - Transition'!J:J,'Step 2'!D2660,'Support - Transition'!E:E,"STATE UNIT"),SUMIFS('Support - Transition'!F:F,'Support - Transition'!J:J,'Step 2'!D2660))</f>
        <v>3.5039999999999997E-3</v>
      </c>
      <c r="J2660" s="126">
        <f>SUMIFS('Support - Unit Adjustments'!E:E,'Support - Unit Adjustments'!F:F,'Step 2'!D2660)</f>
        <v>0</v>
      </c>
      <c r="K2660" s="126">
        <f t="shared" si="783"/>
        <v>3.5039999999999997E-3</v>
      </c>
      <c r="L2660" s="174">
        <f>VLOOKUP(A2660,'Step 1'!$A:$E,4,FALSE)</f>
        <v>538427</v>
      </c>
      <c r="M2660" s="47">
        <f t="shared" si="784"/>
        <v>1887</v>
      </c>
      <c r="N2660" s="177">
        <f>SUMIFS('Support - Transition'!G:G,'Support - Transition'!J:J,'Step 2'!D2660,'Support - Transition'!E:E,"2009 WELFARE ALLOCATION FACTOR")</f>
        <v>0</v>
      </c>
      <c r="O2660" s="152">
        <f t="shared" si="789"/>
        <v>0</v>
      </c>
      <c r="P2660" s="126">
        <f>IF(E2660="Y",0,SUMIFS('Support - Transition'!G:G,'Support - Transition'!J:J,'Step 2'!D2660,'Support - Transition'!E:E,"2009 SCHOOL ALLOCATION FACTOR"))</f>
        <v>0</v>
      </c>
      <c r="Q2660" s="126">
        <f>IF(E2660="Y",VLOOKUP(D2660,'Support - Unit Adjustments'!F:G,2,FALSE),0)</f>
        <v>0</v>
      </c>
      <c r="R2660" s="155">
        <f t="shared" si="802"/>
        <v>0</v>
      </c>
      <c r="S2660" s="47">
        <f t="shared" si="801"/>
        <v>0</v>
      </c>
      <c r="T2660" s="151">
        <f t="shared" si="790"/>
        <v>1887</v>
      </c>
      <c r="U2660" s="151">
        <f t="shared" si="786"/>
        <v>0</v>
      </c>
      <c r="V2660" s="139">
        <f t="shared" si="787"/>
        <v>0</v>
      </c>
      <c r="W2660" s="152">
        <f t="shared" si="791"/>
        <v>1887</v>
      </c>
      <c r="X2660" s="127" t="str">
        <f t="shared" si="788"/>
        <v/>
      </c>
      <c r="Y2660" s="207">
        <f t="shared" si="792"/>
        <v>1887</v>
      </c>
      <c r="Z2660" s="139">
        <f t="shared" si="793"/>
        <v>1595</v>
      </c>
      <c r="AA2660" s="139">
        <f t="shared" si="794"/>
        <v>292</v>
      </c>
      <c r="AC2660" s="47">
        <f t="shared" si="795"/>
        <v>944</v>
      </c>
      <c r="AD2660" s="47">
        <f t="shared" si="796"/>
        <v>798</v>
      </c>
      <c r="AE2660" s="47">
        <f t="shared" si="797"/>
        <v>146</v>
      </c>
      <c r="AG2660" s="47">
        <f t="shared" si="798"/>
        <v>943</v>
      </c>
      <c r="AH2660" s="47">
        <f t="shared" si="799"/>
        <v>797</v>
      </c>
      <c r="AI2660" s="208">
        <f t="shared" si="800"/>
        <v>146</v>
      </c>
    </row>
    <row r="2661" spans="1:35">
      <c r="A2661" t="s">
        <v>2176</v>
      </c>
      <c r="B2661" t="s">
        <v>3142</v>
      </c>
      <c r="C2661" t="s">
        <v>2190</v>
      </c>
      <c r="D2661" t="s">
        <v>6244</v>
      </c>
      <c r="F2661" t="s">
        <v>1881</v>
      </c>
      <c r="G2661" s="126">
        <f>SUMIFS('Support - Transition'!F:F,'Support - Transition'!B:B,'Step 2'!A2661,'Support - Transition'!C:C,'Step 2'!B2661,'Support - Transition'!D:D,'Step 2'!C2661,'Support - Transition'!E:E,"CIVIL")</f>
        <v>1.0319999999999999E-3</v>
      </c>
      <c r="H2661" s="126">
        <f>SUMIFS('Support - Transition'!F:F,'Support - Transition'!B:B,'Step 2'!A2661,'Support - Transition'!C:C,'Step 2'!B2661,'Support - Transition'!D:D,'Step 2'!C2661,'Support - Transition'!E:E,"FIRE")</f>
        <v>3.7399999999999998E-4</v>
      </c>
      <c r="I2661" s="126">
        <f>IF(B2661="0",SUMIFS('Support - Transition'!F:F,'Support - Transition'!J:J,'Step 2'!D2661,'Support - Transition'!E:E,"STATE UNIT"),SUMIFS('Support - Transition'!F:F,'Support - Transition'!J:J,'Step 2'!D2661))</f>
        <v>1.4059999999999999E-3</v>
      </c>
      <c r="J2661" s="126">
        <f>SUMIFS('Support - Unit Adjustments'!E:E,'Support - Unit Adjustments'!F:F,'Step 2'!D2661)</f>
        <v>0</v>
      </c>
      <c r="K2661" s="126">
        <f t="shared" si="783"/>
        <v>1.4059999999999999E-3</v>
      </c>
      <c r="L2661" s="174">
        <f>VLOOKUP(A2661,'Step 1'!$A:$E,4,FALSE)</f>
        <v>538427</v>
      </c>
      <c r="M2661" s="47">
        <f t="shared" si="784"/>
        <v>757</v>
      </c>
      <c r="N2661" s="177">
        <f>SUMIFS('Support - Transition'!G:G,'Support - Transition'!J:J,'Step 2'!D2661,'Support - Transition'!E:E,"2009 WELFARE ALLOCATION FACTOR")</f>
        <v>0</v>
      </c>
      <c r="O2661" s="152">
        <f t="shared" si="789"/>
        <v>0</v>
      </c>
      <c r="P2661" s="126">
        <f>IF(E2661="Y",0,SUMIFS('Support - Transition'!G:G,'Support - Transition'!J:J,'Step 2'!D2661,'Support - Transition'!E:E,"2009 SCHOOL ALLOCATION FACTOR"))</f>
        <v>0</v>
      </c>
      <c r="Q2661" s="126">
        <f>IF(E2661="Y",VLOOKUP(D2661,'Support - Unit Adjustments'!F:G,2,FALSE),0)</f>
        <v>0</v>
      </c>
      <c r="R2661" s="155">
        <f t="shared" si="802"/>
        <v>0</v>
      </c>
      <c r="S2661" s="47">
        <f t="shared" si="801"/>
        <v>0</v>
      </c>
      <c r="T2661" s="151">
        <f t="shared" si="790"/>
        <v>757</v>
      </c>
      <c r="U2661" s="151">
        <f t="shared" si="786"/>
        <v>0</v>
      </c>
      <c r="V2661" s="139">
        <f t="shared" si="787"/>
        <v>0</v>
      </c>
      <c r="W2661" s="152">
        <f t="shared" si="791"/>
        <v>757</v>
      </c>
      <c r="X2661" s="127" t="str">
        <f t="shared" si="788"/>
        <v/>
      </c>
      <c r="Y2661" s="207">
        <f t="shared" si="792"/>
        <v>757</v>
      </c>
      <c r="Z2661" s="139">
        <f t="shared" si="793"/>
        <v>556</v>
      </c>
      <c r="AA2661" s="139">
        <f t="shared" si="794"/>
        <v>201</v>
      </c>
      <c r="AC2661" s="47">
        <f t="shared" si="795"/>
        <v>379</v>
      </c>
      <c r="AD2661" s="47">
        <f t="shared" si="796"/>
        <v>278</v>
      </c>
      <c r="AE2661" s="47">
        <f t="shared" si="797"/>
        <v>101</v>
      </c>
      <c r="AG2661" s="47">
        <f t="shared" si="798"/>
        <v>378</v>
      </c>
      <c r="AH2661" s="47">
        <f t="shared" si="799"/>
        <v>278</v>
      </c>
      <c r="AI2661" s="208">
        <f t="shared" si="800"/>
        <v>100</v>
      </c>
    </row>
    <row r="2662" spans="1:35">
      <c r="A2662" t="s">
        <v>2176</v>
      </c>
      <c r="B2662" t="s">
        <v>3142</v>
      </c>
      <c r="C2662" t="s">
        <v>2191</v>
      </c>
      <c r="D2662" t="s">
        <v>6245</v>
      </c>
      <c r="F2662" t="s">
        <v>14</v>
      </c>
      <c r="G2662" s="126">
        <f>SUMIFS('Support - Transition'!F:F,'Support - Transition'!B:B,'Step 2'!A2662,'Support - Transition'!C:C,'Step 2'!B2662,'Support - Transition'!D:D,'Step 2'!C2662,'Support - Transition'!E:E,"CIVIL")</f>
        <v>2.2390000000000001E-3</v>
      </c>
      <c r="H2662" s="126">
        <f>SUMIFS('Support - Transition'!F:F,'Support - Transition'!B:B,'Step 2'!A2662,'Support - Transition'!C:C,'Step 2'!B2662,'Support - Transition'!D:D,'Step 2'!C2662,'Support - Transition'!E:E,"FIRE")</f>
        <v>1.3029999999999999E-3</v>
      </c>
      <c r="I2662" s="126">
        <f>IF(B2662="0",SUMIFS('Support - Transition'!F:F,'Support - Transition'!J:J,'Step 2'!D2662,'Support - Transition'!E:E,"STATE UNIT"),SUMIFS('Support - Transition'!F:F,'Support - Transition'!J:J,'Step 2'!D2662))</f>
        <v>3.542E-3</v>
      </c>
      <c r="J2662" s="126">
        <f>SUMIFS('Support - Unit Adjustments'!E:E,'Support - Unit Adjustments'!F:F,'Step 2'!D2662)</f>
        <v>0</v>
      </c>
      <c r="K2662" s="126">
        <f t="shared" si="783"/>
        <v>3.542E-3</v>
      </c>
      <c r="L2662" s="174">
        <f>VLOOKUP(A2662,'Step 1'!$A:$E,4,FALSE)</f>
        <v>538427</v>
      </c>
      <c r="M2662" s="47">
        <f t="shared" si="784"/>
        <v>1907</v>
      </c>
      <c r="N2662" s="177">
        <f>SUMIFS('Support - Transition'!G:G,'Support - Transition'!J:J,'Step 2'!D2662,'Support - Transition'!E:E,"2009 WELFARE ALLOCATION FACTOR")</f>
        <v>0</v>
      </c>
      <c r="O2662" s="152">
        <f t="shared" si="789"/>
        <v>0</v>
      </c>
      <c r="P2662" s="126">
        <f>IF(E2662="Y",0,SUMIFS('Support - Transition'!G:G,'Support - Transition'!J:J,'Step 2'!D2662,'Support - Transition'!E:E,"2009 SCHOOL ALLOCATION FACTOR"))</f>
        <v>0</v>
      </c>
      <c r="Q2662" s="126">
        <f>IF(E2662="Y",VLOOKUP(D2662,'Support - Unit Adjustments'!F:G,2,FALSE),0)</f>
        <v>0</v>
      </c>
      <c r="R2662" s="155">
        <f t="shared" si="802"/>
        <v>0</v>
      </c>
      <c r="S2662" s="47">
        <f t="shared" si="801"/>
        <v>0</v>
      </c>
      <c r="T2662" s="151">
        <f t="shared" si="790"/>
        <v>1907</v>
      </c>
      <c r="U2662" s="151">
        <f t="shared" si="786"/>
        <v>0</v>
      </c>
      <c r="V2662" s="139">
        <f t="shared" si="787"/>
        <v>0</v>
      </c>
      <c r="W2662" s="152">
        <f t="shared" si="791"/>
        <v>1907</v>
      </c>
      <c r="X2662" s="127" t="str">
        <f t="shared" si="788"/>
        <v/>
      </c>
      <c r="Y2662" s="207">
        <f t="shared" si="792"/>
        <v>1907</v>
      </c>
      <c r="Z2662" s="139">
        <f t="shared" si="793"/>
        <v>1205</v>
      </c>
      <c r="AA2662" s="139">
        <f t="shared" si="794"/>
        <v>702</v>
      </c>
      <c r="AC2662" s="47">
        <f t="shared" si="795"/>
        <v>954</v>
      </c>
      <c r="AD2662" s="47">
        <f t="shared" si="796"/>
        <v>603</v>
      </c>
      <c r="AE2662" s="47">
        <f t="shared" si="797"/>
        <v>351</v>
      </c>
      <c r="AG2662" s="47">
        <f t="shared" si="798"/>
        <v>953</v>
      </c>
      <c r="AH2662" s="47">
        <f t="shared" si="799"/>
        <v>602</v>
      </c>
      <c r="AI2662" s="208">
        <f t="shared" si="800"/>
        <v>351</v>
      </c>
    </row>
    <row r="2663" spans="1:35">
      <c r="A2663" t="s">
        <v>2176</v>
      </c>
      <c r="B2663" t="s">
        <v>3142</v>
      </c>
      <c r="C2663" t="s">
        <v>2192</v>
      </c>
      <c r="D2663" t="s">
        <v>6246</v>
      </c>
      <c r="F2663" t="s">
        <v>114</v>
      </c>
      <c r="G2663" s="126">
        <f>SUMIFS('Support - Transition'!F:F,'Support - Transition'!B:B,'Step 2'!A2663,'Support - Transition'!C:C,'Step 2'!B2663,'Support - Transition'!D:D,'Step 2'!C2663,'Support - Transition'!E:E,"CIVIL")</f>
        <v>1.444E-3</v>
      </c>
      <c r="H2663" s="126">
        <f>SUMIFS('Support - Transition'!F:F,'Support - Transition'!B:B,'Step 2'!A2663,'Support - Transition'!C:C,'Step 2'!B2663,'Support - Transition'!D:D,'Step 2'!C2663,'Support - Transition'!E:E,"FIRE")</f>
        <v>2.23E-4</v>
      </c>
      <c r="I2663" s="126">
        <f>IF(B2663="0",SUMIFS('Support - Transition'!F:F,'Support - Transition'!J:J,'Step 2'!D2663,'Support - Transition'!E:E,"STATE UNIT"),SUMIFS('Support - Transition'!F:F,'Support - Transition'!J:J,'Step 2'!D2663))</f>
        <v>1.6670000000000001E-3</v>
      </c>
      <c r="J2663" s="126">
        <f>SUMIFS('Support - Unit Adjustments'!E:E,'Support - Unit Adjustments'!F:F,'Step 2'!D2663)</f>
        <v>0</v>
      </c>
      <c r="K2663" s="126">
        <f t="shared" si="783"/>
        <v>1.6670000000000001E-3</v>
      </c>
      <c r="L2663" s="174">
        <f>VLOOKUP(A2663,'Step 1'!$A:$E,4,FALSE)</f>
        <v>538427</v>
      </c>
      <c r="M2663" s="47">
        <f t="shared" si="784"/>
        <v>898</v>
      </c>
      <c r="N2663" s="177">
        <f>SUMIFS('Support - Transition'!G:G,'Support - Transition'!J:J,'Step 2'!D2663,'Support - Transition'!E:E,"2009 WELFARE ALLOCATION FACTOR")</f>
        <v>0</v>
      </c>
      <c r="O2663" s="152">
        <f t="shared" si="789"/>
        <v>0</v>
      </c>
      <c r="P2663" s="126">
        <f>IF(E2663="Y",0,SUMIFS('Support - Transition'!G:G,'Support - Transition'!J:J,'Step 2'!D2663,'Support - Transition'!E:E,"2009 SCHOOL ALLOCATION FACTOR"))</f>
        <v>0</v>
      </c>
      <c r="Q2663" s="126">
        <f>IF(E2663="Y",VLOOKUP(D2663,'Support - Unit Adjustments'!F:G,2,FALSE),0)</f>
        <v>0</v>
      </c>
      <c r="R2663" s="155">
        <f t="shared" si="802"/>
        <v>0</v>
      </c>
      <c r="S2663" s="47">
        <f t="shared" si="801"/>
        <v>0</v>
      </c>
      <c r="T2663" s="151">
        <f t="shared" si="790"/>
        <v>898</v>
      </c>
      <c r="U2663" s="151">
        <f t="shared" si="786"/>
        <v>0</v>
      </c>
      <c r="V2663" s="139">
        <f t="shared" si="787"/>
        <v>0</v>
      </c>
      <c r="W2663" s="152">
        <f t="shared" si="791"/>
        <v>898</v>
      </c>
      <c r="X2663" s="127" t="str">
        <f t="shared" si="788"/>
        <v/>
      </c>
      <c r="Y2663" s="207">
        <f t="shared" si="792"/>
        <v>898</v>
      </c>
      <c r="Z2663" s="139">
        <f t="shared" si="793"/>
        <v>778</v>
      </c>
      <c r="AA2663" s="139">
        <f t="shared" si="794"/>
        <v>120</v>
      </c>
      <c r="AC2663" s="47">
        <f t="shared" si="795"/>
        <v>449</v>
      </c>
      <c r="AD2663" s="47">
        <f t="shared" si="796"/>
        <v>389</v>
      </c>
      <c r="AE2663" s="47">
        <f t="shared" si="797"/>
        <v>60</v>
      </c>
      <c r="AG2663" s="47">
        <f t="shared" si="798"/>
        <v>449</v>
      </c>
      <c r="AH2663" s="47">
        <f t="shared" si="799"/>
        <v>389</v>
      </c>
      <c r="AI2663" s="208">
        <f t="shared" si="800"/>
        <v>60</v>
      </c>
    </row>
    <row r="2664" spans="1:35">
      <c r="A2664" t="s">
        <v>2176</v>
      </c>
      <c r="B2664" t="s">
        <v>3142</v>
      </c>
      <c r="C2664" t="s">
        <v>2193</v>
      </c>
      <c r="D2664" t="s">
        <v>6247</v>
      </c>
      <c r="F2664" t="s">
        <v>625</v>
      </c>
      <c r="G2664" s="126">
        <f>SUMIFS('Support - Transition'!F:F,'Support - Transition'!B:B,'Step 2'!A2664,'Support - Transition'!C:C,'Step 2'!B2664,'Support - Transition'!D:D,'Step 2'!C2664,'Support - Transition'!E:E,"CIVIL")</f>
        <v>1.5939999999999999E-3</v>
      </c>
      <c r="H2664" s="126">
        <f>SUMIFS('Support - Transition'!F:F,'Support - Transition'!B:B,'Step 2'!A2664,'Support - Transition'!C:C,'Step 2'!B2664,'Support - Transition'!D:D,'Step 2'!C2664,'Support - Transition'!E:E,"FIRE")</f>
        <v>8.3799999999999999E-4</v>
      </c>
      <c r="I2664" s="126">
        <f>IF(B2664="0",SUMIFS('Support - Transition'!F:F,'Support - Transition'!J:J,'Step 2'!D2664,'Support - Transition'!E:E,"STATE UNIT"),SUMIFS('Support - Transition'!F:F,'Support - Transition'!J:J,'Step 2'!D2664))</f>
        <v>2.4320000000000001E-3</v>
      </c>
      <c r="J2664" s="126">
        <f>SUMIFS('Support - Unit Adjustments'!E:E,'Support - Unit Adjustments'!F:F,'Step 2'!D2664)</f>
        <v>0</v>
      </c>
      <c r="K2664" s="126">
        <f t="shared" si="783"/>
        <v>2.4320000000000001E-3</v>
      </c>
      <c r="L2664" s="174">
        <f>VLOOKUP(A2664,'Step 1'!$A:$E,4,FALSE)</f>
        <v>538427</v>
      </c>
      <c r="M2664" s="47">
        <f t="shared" si="784"/>
        <v>1309</v>
      </c>
      <c r="N2664" s="177">
        <f>SUMIFS('Support - Transition'!G:G,'Support - Transition'!J:J,'Step 2'!D2664,'Support - Transition'!E:E,"2009 WELFARE ALLOCATION FACTOR")</f>
        <v>0</v>
      </c>
      <c r="O2664" s="152">
        <f t="shared" si="789"/>
        <v>0</v>
      </c>
      <c r="P2664" s="126">
        <f>IF(E2664="Y",0,SUMIFS('Support - Transition'!G:G,'Support - Transition'!J:J,'Step 2'!D2664,'Support - Transition'!E:E,"2009 SCHOOL ALLOCATION FACTOR"))</f>
        <v>0</v>
      </c>
      <c r="Q2664" s="126">
        <f>IF(E2664="Y",VLOOKUP(D2664,'Support - Unit Adjustments'!F:G,2,FALSE),0)</f>
        <v>0</v>
      </c>
      <c r="R2664" s="155">
        <f t="shared" si="802"/>
        <v>0</v>
      </c>
      <c r="S2664" s="47">
        <f t="shared" si="801"/>
        <v>0</v>
      </c>
      <c r="T2664" s="151">
        <f t="shared" si="790"/>
        <v>1309</v>
      </c>
      <c r="U2664" s="151">
        <f t="shared" si="786"/>
        <v>0</v>
      </c>
      <c r="V2664" s="139">
        <f t="shared" si="787"/>
        <v>0</v>
      </c>
      <c r="W2664" s="152">
        <f t="shared" si="791"/>
        <v>1309</v>
      </c>
      <c r="X2664" s="127" t="str">
        <f t="shared" si="788"/>
        <v/>
      </c>
      <c r="Y2664" s="207">
        <f t="shared" si="792"/>
        <v>1309</v>
      </c>
      <c r="Z2664" s="139">
        <f t="shared" si="793"/>
        <v>858</v>
      </c>
      <c r="AA2664" s="139">
        <f t="shared" si="794"/>
        <v>451</v>
      </c>
      <c r="AC2664" s="47">
        <f t="shared" si="795"/>
        <v>655</v>
      </c>
      <c r="AD2664" s="47">
        <f t="shared" si="796"/>
        <v>429</v>
      </c>
      <c r="AE2664" s="47">
        <f t="shared" si="797"/>
        <v>226</v>
      </c>
      <c r="AG2664" s="47">
        <f t="shared" si="798"/>
        <v>654</v>
      </c>
      <c r="AH2664" s="47">
        <f t="shared" si="799"/>
        <v>429</v>
      </c>
      <c r="AI2664" s="208">
        <f t="shared" si="800"/>
        <v>225</v>
      </c>
    </row>
    <row r="2665" spans="1:35">
      <c r="A2665" t="s">
        <v>2176</v>
      </c>
      <c r="B2665" t="s">
        <v>3142</v>
      </c>
      <c r="C2665" t="s">
        <v>2194</v>
      </c>
      <c r="D2665" t="s">
        <v>6248</v>
      </c>
      <c r="F2665" t="s">
        <v>1882</v>
      </c>
      <c r="G2665" s="126">
        <f>SUMIFS('Support - Transition'!F:F,'Support - Transition'!B:B,'Step 2'!A2665,'Support - Transition'!C:C,'Step 2'!B2665,'Support - Transition'!D:D,'Step 2'!C2665,'Support - Transition'!E:E,"CIVIL")</f>
        <v>1.4339999999999999E-3</v>
      </c>
      <c r="H2665" s="126">
        <f>SUMIFS('Support - Transition'!F:F,'Support - Transition'!B:B,'Step 2'!A2665,'Support - Transition'!C:C,'Step 2'!B2665,'Support - Transition'!D:D,'Step 2'!C2665,'Support - Transition'!E:E,"FIRE")</f>
        <v>2.4000000000000001E-4</v>
      </c>
      <c r="I2665" s="126">
        <f>IF(B2665="0",SUMIFS('Support - Transition'!F:F,'Support - Transition'!J:J,'Step 2'!D2665,'Support - Transition'!E:E,"STATE UNIT"),SUMIFS('Support - Transition'!F:F,'Support - Transition'!J:J,'Step 2'!D2665))</f>
        <v>1.6739999999999999E-3</v>
      </c>
      <c r="J2665" s="126">
        <f>SUMIFS('Support - Unit Adjustments'!E:E,'Support - Unit Adjustments'!F:F,'Step 2'!D2665)</f>
        <v>0</v>
      </c>
      <c r="K2665" s="126">
        <f t="shared" si="783"/>
        <v>1.6739999999999999E-3</v>
      </c>
      <c r="L2665" s="174">
        <f>VLOOKUP(A2665,'Step 1'!$A:$E,4,FALSE)</f>
        <v>538427</v>
      </c>
      <c r="M2665" s="47">
        <f t="shared" si="784"/>
        <v>901</v>
      </c>
      <c r="N2665" s="177">
        <f>SUMIFS('Support - Transition'!G:G,'Support - Transition'!J:J,'Step 2'!D2665,'Support - Transition'!E:E,"2009 WELFARE ALLOCATION FACTOR")</f>
        <v>0</v>
      </c>
      <c r="O2665" s="152">
        <f t="shared" si="789"/>
        <v>0</v>
      </c>
      <c r="P2665" s="126">
        <f>IF(E2665="Y",0,SUMIFS('Support - Transition'!G:G,'Support - Transition'!J:J,'Step 2'!D2665,'Support - Transition'!E:E,"2009 SCHOOL ALLOCATION FACTOR"))</f>
        <v>0</v>
      </c>
      <c r="Q2665" s="126">
        <f>IF(E2665="Y",VLOOKUP(D2665,'Support - Unit Adjustments'!F:G,2,FALSE),0)</f>
        <v>0</v>
      </c>
      <c r="R2665" s="155">
        <f t="shared" si="802"/>
        <v>0</v>
      </c>
      <c r="S2665" s="47">
        <f t="shared" si="801"/>
        <v>0</v>
      </c>
      <c r="T2665" s="151">
        <f t="shared" si="790"/>
        <v>901</v>
      </c>
      <c r="U2665" s="151">
        <f t="shared" si="786"/>
        <v>0</v>
      </c>
      <c r="V2665" s="139">
        <f t="shared" si="787"/>
        <v>0</v>
      </c>
      <c r="W2665" s="152">
        <f t="shared" si="791"/>
        <v>901</v>
      </c>
      <c r="X2665" s="127" t="str">
        <f t="shared" si="788"/>
        <v/>
      </c>
      <c r="Y2665" s="207">
        <f t="shared" si="792"/>
        <v>901</v>
      </c>
      <c r="Z2665" s="139">
        <f t="shared" si="793"/>
        <v>772</v>
      </c>
      <c r="AA2665" s="139">
        <f t="shared" si="794"/>
        <v>129</v>
      </c>
      <c r="AC2665" s="47">
        <f t="shared" si="795"/>
        <v>451</v>
      </c>
      <c r="AD2665" s="47">
        <f t="shared" si="796"/>
        <v>386</v>
      </c>
      <c r="AE2665" s="47">
        <f t="shared" si="797"/>
        <v>65</v>
      </c>
      <c r="AG2665" s="47">
        <f t="shared" si="798"/>
        <v>450</v>
      </c>
      <c r="AH2665" s="47">
        <f t="shared" si="799"/>
        <v>386</v>
      </c>
      <c r="AI2665" s="208">
        <f t="shared" si="800"/>
        <v>64</v>
      </c>
    </row>
    <row r="2666" spans="1:35">
      <c r="A2666" t="s">
        <v>2176</v>
      </c>
      <c r="B2666" t="s">
        <v>3142</v>
      </c>
      <c r="C2666" t="s">
        <v>2195</v>
      </c>
      <c r="D2666" t="s">
        <v>6249</v>
      </c>
      <c r="F2666" t="s">
        <v>20</v>
      </c>
      <c r="G2666" s="126">
        <f>SUMIFS('Support - Transition'!F:F,'Support - Transition'!B:B,'Step 2'!A2666,'Support - Transition'!C:C,'Step 2'!B2666,'Support - Transition'!D:D,'Step 2'!C2666,'Support - Transition'!E:E,"CIVIL")</f>
        <v>7.8300000000000002E-3</v>
      </c>
      <c r="H2666" s="126">
        <f>SUMIFS('Support - Transition'!F:F,'Support - Transition'!B:B,'Step 2'!A2666,'Support - Transition'!C:C,'Step 2'!B2666,'Support - Transition'!D:D,'Step 2'!C2666,'Support - Transition'!E:E,"FIRE")</f>
        <v>1.114E-3</v>
      </c>
      <c r="I2666" s="126">
        <f>IF(B2666="0",SUMIFS('Support - Transition'!F:F,'Support - Transition'!J:J,'Step 2'!D2666,'Support - Transition'!E:E,"STATE UNIT"),SUMIFS('Support - Transition'!F:F,'Support - Transition'!J:J,'Step 2'!D2666))</f>
        <v>8.9440000000000006E-3</v>
      </c>
      <c r="J2666" s="126">
        <f>SUMIFS('Support - Unit Adjustments'!E:E,'Support - Unit Adjustments'!F:F,'Step 2'!D2666)</f>
        <v>0</v>
      </c>
      <c r="K2666" s="126">
        <f t="shared" si="783"/>
        <v>8.9440000000000006E-3</v>
      </c>
      <c r="L2666" s="174">
        <f>VLOOKUP(A2666,'Step 1'!$A:$E,4,FALSE)</f>
        <v>538427</v>
      </c>
      <c r="M2666" s="47">
        <f t="shared" si="784"/>
        <v>4816</v>
      </c>
      <c r="N2666" s="177">
        <f>SUMIFS('Support - Transition'!G:G,'Support - Transition'!J:J,'Step 2'!D2666,'Support - Transition'!E:E,"2009 WELFARE ALLOCATION FACTOR")</f>
        <v>0</v>
      </c>
      <c r="O2666" s="152">
        <f t="shared" si="789"/>
        <v>0</v>
      </c>
      <c r="P2666" s="126">
        <f>IF(E2666="Y",0,SUMIFS('Support - Transition'!G:G,'Support - Transition'!J:J,'Step 2'!D2666,'Support - Transition'!E:E,"2009 SCHOOL ALLOCATION FACTOR"))</f>
        <v>0</v>
      </c>
      <c r="Q2666" s="126">
        <f>IF(E2666="Y",VLOOKUP(D2666,'Support - Unit Adjustments'!F:G,2,FALSE),0)</f>
        <v>0</v>
      </c>
      <c r="R2666" s="155">
        <f t="shared" si="802"/>
        <v>0</v>
      </c>
      <c r="S2666" s="47">
        <f t="shared" si="801"/>
        <v>0</v>
      </c>
      <c r="T2666" s="151">
        <f t="shared" si="790"/>
        <v>4816</v>
      </c>
      <c r="U2666" s="151">
        <f t="shared" si="786"/>
        <v>0</v>
      </c>
      <c r="V2666" s="139">
        <f t="shared" si="787"/>
        <v>0</v>
      </c>
      <c r="W2666" s="152">
        <f t="shared" si="791"/>
        <v>4816</v>
      </c>
      <c r="X2666" s="127" t="str">
        <f t="shared" si="788"/>
        <v/>
      </c>
      <c r="Y2666" s="207">
        <f t="shared" si="792"/>
        <v>4816</v>
      </c>
      <c r="Z2666" s="139">
        <f t="shared" si="793"/>
        <v>4216</v>
      </c>
      <c r="AA2666" s="139">
        <f t="shared" si="794"/>
        <v>600</v>
      </c>
      <c r="AC2666" s="47">
        <f t="shared" si="795"/>
        <v>2408</v>
      </c>
      <c r="AD2666" s="47">
        <f t="shared" si="796"/>
        <v>2108</v>
      </c>
      <c r="AE2666" s="47">
        <f t="shared" si="797"/>
        <v>300</v>
      </c>
      <c r="AG2666" s="47">
        <f t="shared" si="798"/>
        <v>2408</v>
      </c>
      <c r="AH2666" s="47">
        <f t="shared" si="799"/>
        <v>2108</v>
      </c>
      <c r="AI2666" s="208">
        <f t="shared" si="800"/>
        <v>300</v>
      </c>
    </row>
    <row r="2667" spans="1:35">
      <c r="A2667" t="s">
        <v>2176</v>
      </c>
      <c r="B2667" t="s">
        <v>3142</v>
      </c>
      <c r="C2667" t="s">
        <v>2196</v>
      </c>
      <c r="D2667" t="s">
        <v>6250</v>
      </c>
      <c r="F2667" t="s">
        <v>22</v>
      </c>
      <c r="G2667" s="126">
        <f>SUMIFS('Support - Transition'!F:F,'Support - Transition'!B:B,'Step 2'!A2667,'Support - Transition'!C:C,'Step 2'!B2667,'Support - Transition'!D:D,'Step 2'!C2667,'Support - Transition'!E:E,"CIVIL")</f>
        <v>9.9700000000000006E-4</v>
      </c>
      <c r="H2667" s="126">
        <f>SUMIFS('Support - Transition'!F:F,'Support - Transition'!B:B,'Step 2'!A2667,'Support - Transition'!C:C,'Step 2'!B2667,'Support - Transition'!D:D,'Step 2'!C2667,'Support - Transition'!E:E,"FIRE")</f>
        <v>4.1800000000000002E-4</v>
      </c>
      <c r="I2667" s="126">
        <f>IF(B2667="0",SUMIFS('Support - Transition'!F:F,'Support - Transition'!J:J,'Step 2'!D2667,'Support - Transition'!E:E,"STATE UNIT"),SUMIFS('Support - Transition'!F:F,'Support - Transition'!J:J,'Step 2'!D2667))</f>
        <v>1.415E-3</v>
      </c>
      <c r="J2667" s="126">
        <f>SUMIFS('Support - Unit Adjustments'!E:E,'Support - Unit Adjustments'!F:F,'Step 2'!D2667)</f>
        <v>0</v>
      </c>
      <c r="K2667" s="126">
        <f t="shared" si="783"/>
        <v>1.415E-3</v>
      </c>
      <c r="L2667" s="174">
        <f>VLOOKUP(A2667,'Step 1'!$A:$E,4,FALSE)</f>
        <v>538427</v>
      </c>
      <c r="M2667" s="47">
        <f t="shared" si="784"/>
        <v>762</v>
      </c>
      <c r="N2667" s="177">
        <f>SUMIFS('Support - Transition'!G:G,'Support - Transition'!J:J,'Step 2'!D2667,'Support - Transition'!E:E,"2009 WELFARE ALLOCATION FACTOR")</f>
        <v>0</v>
      </c>
      <c r="O2667" s="152">
        <f t="shared" si="789"/>
        <v>0</v>
      </c>
      <c r="P2667" s="126">
        <f>IF(E2667="Y",0,SUMIFS('Support - Transition'!G:G,'Support - Transition'!J:J,'Step 2'!D2667,'Support - Transition'!E:E,"2009 SCHOOL ALLOCATION FACTOR"))</f>
        <v>0</v>
      </c>
      <c r="Q2667" s="126">
        <f>IF(E2667="Y",VLOOKUP(D2667,'Support - Unit Adjustments'!F:G,2,FALSE),0)</f>
        <v>0</v>
      </c>
      <c r="R2667" s="155">
        <f t="shared" si="802"/>
        <v>0</v>
      </c>
      <c r="S2667" s="47">
        <f t="shared" si="801"/>
        <v>0</v>
      </c>
      <c r="T2667" s="151">
        <f t="shared" si="790"/>
        <v>762</v>
      </c>
      <c r="U2667" s="151">
        <f t="shared" si="786"/>
        <v>0</v>
      </c>
      <c r="V2667" s="139">
        <f t="shared" si="787"/>
        <v>0</v>
      </c>
      <c r="W2667" s="152">
        <f t="shared" si="791"/>
        <v>762</v>
      </c>
      <c r="X2667" s="127" t="str">
        <f t="shared" si="788"/>
        <v/>
      </c>
      <c r="Y2667" s="207">
        <f t="shared" si="792"/>
        <v>762</v>
      </c>
      <c r="Z2667" s="139">
        <f t="shared" si="793"/>
        <v>537</v>
      </c>
      <c r="AA2667" s="139">
        <f t="shared" si="794"/>
        <v>225</v>
      </c>
      <c r="AC2667" s="47">
        <f t="shared" si="795"/>
        <v>381</v>
      </c>
      <c r="AD2667" s="47">
        <f t="shared" si="796"/>
        <v>269</v>
      </c>
      <c r="AE2667" s="47">
        <f t="shared" si="797"/>
        <v>113</v>
      </c>
      <c r="AG2667" s="47">
        <f t="shared" si="798"/>
        <v>381</v>
      </c>
      <c r="AH2667" s="47">
        <f t="shared" si="799"/>
        <v>268</v>
      </c>
      <c r="AI2667" s="208">
        <f t="shared" si="800"/>
        <v>112</v>
      </c>
    </row>
    <row r="2668" spans="1:35">
      <c r="A2668" t="s">
        <v>2176</v>
      </c>
      <c r="B2668" t="s">
        <v>3155</v>
      </c>
      <c r="C2668" t="s">
        <v>3130</v>
      </c>
      <c r="D2668" t="s">
        <v>6251</v>
      </c>
      <c r="F2668" t="s">
        <v>1884</v>
      </c>
      <c r="G2668" s="126">
        <f>SUMIFS('Support - Transition'!F:F,'Support - Transition'!B:B,'Step 2'!A2668,'Support - Transition'!C:C,'Step 2'!B2668,'Support - Transition'!D:D,'Step 2'!C2668,'Support - Transition'!E:E,"CIVIL")</f>
        <v>0</v>
      </c>
      <c r="H2668" s="126">
        <f>SUMIFS('Support - Transition'!F:F,'Support - Transition'!B:B,'Step 2'!A2668,'Support - Transition'!C:C,'Step 2'!B2668,'Support - Transition'!D:D,'Step 2'!C2668,'Support - Transition'!E:E,"FIRE")</f>
        <v>0</v>
      </c>
      <c r="I2668" s="126">
        <f>IF(B2668="0",SUMIFS('Support - Transition'!F:F,'Support - Transition'!J:J,'Step 2'!D2668,'Support - Transition'!E:E,"STATE UNIT"),SUMIFS('Support - Transition'!F:F,'Support - Transition'!J:J,'Step 2'!D2668))</f>
        <v>2.9215000000000001E-2</v>
      </c>
      <c r="J2668" s="126">
        <f>SUMIFS('Support - Unit Adjustments'!E:E,'Support - Unit Adjustments'!F:F,'Step 2'!D2668)</f>
        <v>0</v>
      </c>
      <c r="K2668" s="126">
        <f t="shared" si="783"/>
        <v>2.9215000000000001E-2</v>
      </c>
      <c r="L2668" s="174">
        <f>VLOOKUP(A2668,'Step 1'!$A:$E,4,FALSE)</f>
        <v>538427</v>
      </c>
      <c r="M2668" s="47">
        <f t="shared" si="784"/>
        <v>15730</v>
      </c>
      <c r="N2668" s="177">
        <f>SUMIFS('Support - Transition'!G:G,'Support - Transition'!J:J,'Step 2'!D2668,'Support - Transition'!E:E,"2009 WELFARE ALLOCATION FACTOR")</f>
        <v>0</v>
      </c>
      <c r="O2668" s="152">
        <f t="shared" si="789"/>
        <v>0</v>
      </c>
      <c r="P2668" s="126">
        <f>IF(E2668="Y",0,SUMIFS('Support - Transition'!G:G,'Support - Transition'!J:J,'Step 2'!D2668,'Support - Transition'!E:E,"2009 SCHOOL ALLOCATION FACTOR"))</f>
        <v>0</v>
      </c>
      <c r="Q2668" s="126">
        <f>IF(E2668="Y",VLOOKUP(D2668,'Support - Unit Adjustments'!F:G,2,FALSE),0)</f>
        <v>0</v>
      </c>
      <c r="R2668" s="155">
        <f t="shared" si="802"/>
        <v>0</v>
      </c>
      <c r="S2668" s="47">
        <f t="shared" si="801"/>
        <v>0</v>
      </c>
      <c r="T2668" s="151">
        <f t="shared" si="790"/>
        <v>15730</v>
      </c>
      <c r="U2668" s="151">
        <f t="shared" si="786"/>
        <v>0</v>
      </c>
      <c r="V2668" s="139">
        <f t="shared" si="787"/>
        <v>0</v>
      </c>
      <c r="W2668" s="152">
        <f t="shared" si="791"/>
        <v>15730</v>
      </c>
      <c r="X2668" s="127" t="str">
        <f t="shared" si="788"/>
        <v/>
      </c>
      <c r="Y2668" s="207">
        <f t="shared" si="792"/>
        <v>15730</v>
      </c>
      <c r="Z2668" s="139">
        <f t="shared" si="793"/>
        <v>15730</v>
      </c>
      <c r="AA2668" s="139">
        <f t="shared" si="794"/>
        <v>0</v>
      </c>
      <c r="AC2668" s="47">
        <f t="shared" si="795"/>
        <v>7865</v>
      </c>
      <c r="AD2668" s="47">
        <f t="shared" si="796"/>
        <v>7865</v>
      </c>
      <c r="AE2668" s="47">
        <f t="shared" si="797"/>
        <v>0</v>
      </c>
      <c r="AG2668" s="47">
        <f t="shared" si="798"/>
        <v>7865</v>
      </c>
      <c r="AH2668" s="47">
        <f t="shared" si="799"/>
        <v>7865</v>
      </c>
      <c r="AI2668" s="208">
        <f t="shared" si="800"/>
        <v>0</v>
      </c>
    </row>
    <row r="2669" spans="1:35">
      <c r="A2669" t="s">
        <v>2176</v>
      </c>
      <c r="B2669" t="s">
        <v>3155</v>
      </c>
      <c r="C2669" t="s">
        <v>3131</v>
      </c>
      <c r="D2669" t="s">
        <v>6252</v>
      </c>
      <c r="F2669" t="s">
        <v>1883</v>
      </c>
      <c r="G2669" s="126">
        <f>SUMIFS('Support - Transition'!F:F,'Support - Transition'!B:B,'Step 2'!A2669,'Support - Transition'!C:C,'Step 2'!B2669,'Support - Transition'!D:D,'Step 2'!C2669,'Support - Transition'!E:E,"CIVIL")</f>
        <v>0</v>
      </c>
      <c r="H2669" s="126">
        <f>SUMIFS('Support - Transition'!F:F,'Support - Transition'!B:B,'Step 2'!A2669,'Support - Transition'!C:C,'Step 2'!B2669,'Support - Transition'!D:D,'Step 2'!C2669,'Support - Transition'!E:E,"FIRE")</f>
        <v>0</v>
      </c>
      <c r="I2669" s="126">
        <f>IF(B2669="0",SUMIFS('Support - Transition'!F:F,'Support - Transition'!J:J,'Step 2'!D2669,'Support - Transition'!E:E,"STATE UNIT"),SUMIFS('Support - Transition'!F:F,'Support - Transition'!J:J,'Step 2'!D2669))</f>
        <v>2.2360000000000001E-3</v>
      </c>
      <c r="J2669" s="126">
        <f>SUMIFS('Support - Unit Adjustments'!E:E,'Support - Unit Adjustments'!F:F,'Step 2'!D2669)</f>
        <v>0</v>
      </c>
      <c r="K2669" s="126">
        <f t="shared" si="783"/>
        <v>2.2360000000000001E-3</v>
      </c>
      <c r="L2669" s="174">
        <f>VLOOKUP(A2669,'Step 1'!$A:$E,4,FALSE)</f>
        <v>538427</v>
      </c>
      <c r="M2669" s="47">
        <f t="shared" si="784"/>
        <v>1204</v>
      </c>
      <c r="N2669" s="177">
        <f>SUMIFS('Support - Transition'!G:G,'Support - Transition'!J:J,'Step 2'!D2669,'Support - Transition'!E:E,"2009 WELFARE ALLOCATION FACTOR")</f>
        <v>0</v>
      </c>
      <c r="O2669" s="152">
        <f t="shared" si="789"/>
        <v>0</v>
      </c>
      <c r="P2669" s="126">
        <f>IF(E2669="Y",0,SUMIFS('Support - Transition'!G:G,'Support - Transition'!J:J,'Step 2'!D2669,'Support - Transition'!E:E,"2009 SCHOOL ALLOCATION FACTOR"))</f>
        <v>0</v>
      </c>
      <c r="Q2669" s="126">
        <f>IF(E2669="Y",VLOOKUP(D2669,'Support - Unit Adjustments'!F:G,2,FALSE),0)</f>
        <v>0</v>
      </c>
      <c r="R2669" s="155">
        <f t="shared" si="802"/>
        <v>0</v>
      </c>
      <c r="S2669" s="47">
        <f t="shared" si="801"/>
        <v>0</v>
      </c>
      <c r="T2669" s="151">
        <f t="shared" si="790"/>
        <v>1204</v>
      </c>
      <c r="U2669" s="151">
        <f t="shared" si="786"/>
        <v>0</v>
      </c>
      <c r="V2669" s="139">
        <f t="shared" si="787"/>
        <v>0</v>
      </c>
      <c r="W2669" s="152">
        <f t="shared" si="791"/>
        <v>1204</v>
      </c>
      <c r="X2669" s="127" t="str">
        <f t="shared" si="788"/>
        <v/>
      </c>
      <c r="Y2669" s="207">
        <f t="shared" si="792"/>
        <v>1204</v>
      </c>
      <c r="Z2669" s="139">
        <f t="shared" si="793"/>
        <v>1204</v>
      </c>
      <c r="AA2669" s="139">
        <f t="shared" si="794"/>
        <v>0</v>
      </c>
      <c r="AC2669" s="47">
        <f t="shared" si="795"/>
        <v>602</v>
      </c>
      <c r="AD2669" s="47">
        <f t="shared" si="796"/>
        <v>602</v>
      </c>
      <c r="AE2669" s="47">
        <f t="shared" si="797"/>
        <v>0</v>
      </c>
      <c r="AG2669" s="47">
        <f t="shared" si="798"/>
        <v>602</v>
      </c>
      <c r="AH2669" s="47">
        <f t="shared" si="799"/>
        <v>602</v>
      </c>
      <c r="AI2669" s="208">
        <f t="shared" si="800"/>
        <v>0</v>
      </c>
    </row>
    <row r="2670" spans="1:35">
      <c r="A2670" t="s">
        <v>2176</v>
      </c>
      <c r="B2670" t="s">
        <v>3155</v>
      </c>
      <c r="C2670" t="s">
        <v>3132</v>
      </c>
      <c r="D2670" t="s">
        <v>6253</v>
      </c>
      <c r="F2670" t="s">
        <v>1885</v>
      </c>
      <c r="G2670" s="126">
        <f>SUMIFS('Support - Transition'!F:F,'Support - Transition'!B:B,'Step 2'!A2670,'Support - Transition'!C:C,'Step 2'!B2670,'Support - Transition'!D:D,'Step 2'!C2670,'Support - Transition'!E:E,"CIVIL")</f>
        <v>0</v>
      </c>
      <c r="H2670" s="126">
        <f>SUMIFS('Support - Transition'!F:F,'Support - Transition'!B:B,'Step 2'!A2670,'Support - Transition'!C:C,'Step 2'!B2670,'Support - Transition'!D:D,'Step 2'!C2670,'Support - Transition'!E:E,"FIRE")</f>
        <v>0</v>
      </c>
      <c r="I2670" s="126">
        <f>IF(B2670="0",SUMIFS('Support - Transition'!F:F,'Support - Transition'!J:J,'Step 2'!D2670,'Support - Transition'!E:E,"STATE UNIT"),SUMIFS('Support - Transition'!F:F,'Support - Transition'!J:J,'Step 2'!D2670))</f>
        <v>0</v>
      </c>
      <c r="J2670" s="126">
        <f>SUMIFS('Support - Unit Adjustments'!E:E,'Support - Unit Adjustments'!F:F,'Step 2'!D2670)</f>
        <v>0</v>
      </c>
      <c r="K2670" s="126">
        <f t="shared" si="783"/>
        <v>0</v>
      </c>
      <c r="L2670" s="174">
        <f>VLOOKUP(A2670,'Step 1'!$A:$E,4,FALSE)</f>
        <v>538427</v>
      </c>
      <c r="M2670" s="47">
        <f t="shared" si="784"/>
        <v>0</v>
      </c>
      <c r="N2670" s="177">
        <f>SUMIFS('Support - Transition'!G:G,'Support - Transition'!J:J,'Step 2'!D2670,'Support - Transition'!E:E,"2009 WELFARE ALLOCATION FACTOR")</f>
        <v>0</v>
      </c>
      <c r="O2670" s="152">
        <f t="shared" si="789"/>
        <v>0</v>
      </c>
      <c r="P2670" s="126">
        <f>IF(E2670="Y",0,SUMIFS('Support - Transition'!G:G,'Support - Transition'!J:J,'Step 2'!D2670,'Support - Transition'!E:E,"2009 SCHOOL ALLOCATION FACTOR"))</f>
        <v>0</v>
      </c>
      <c r="Q2670" s="126">
        <f>IF(E2670="Y",VLOOKUP(D2670,'Support - Unit Adjustments'!F:G,2,FALSE),0)</f>
        <v>0</v>
      </c>
      <c r="R2670" s="155">
        <f t="shared" si="802"/>
        <v>0</v>
      </c>
      <c r="S2670" s="47">
        <f t="shared" si="801"/>
        <v>0</v>
      </c>
      <c r="T2670" s="151">
        <f t="shared" si="790"/>
        <v>0</v>
      </c>
      <c r="U2670" s="151">
        <f t="shared" si="786"/>
        <v>0</v>
      </c>
      <c r="V2670" s="139">
        <f t="shared" si="787"/>
        <v>0</v>
      </c>
      <c r="W2670" s="152">
        <f t="shared" si="791"/>
        <v>0</v>
      </c>
      <c r="X2670" s="127" t="str">
        <f t="shared" si="788"/>
        <v/>
      </c>
      <c r="Y2670" s="207">
        <f t="shared" si="792"/>
        <v>0</v>
      </c>
      <c r="Z2670" s="139">
        <f t="shared" si="793"/>
        <v>0</v>
      </c>
      <c r="AA2670" s="139">
        <f t="shared" si="794"/>
        <v>0</v>
      </c>
      <c r="AC2670" s="47">
        <f t="shared" si="795"/>
        <v>0</v>
      </c>
      <c r="AD2670" s="47">
        <f t="shared" si="796"/>
        <v>0</v>
      </c>
      <c r="AE2670" s="47">
        <f t="shared" si="797"/>
        <v>0</v>
      </c>
      <c r="AG2670" s="47">
        <f t="shared" si="798"/>
        <v>0</v>
      </c>
      <c r="AH2670" s="47">
        <f t="shared" si="799"/>
        <v>0</v>
      </c>
      <c r="AI2670" s="208">
        <f t="shared" si="800"/>
        <v>0</v>
      </c>
    </row>
    <row r="2671" spans="1:35">
      <c r="A2671" t="s">
        <v>2176</v>
      </c>
      <c r="B2671" t="s">
        <v>3155</v>
      </c>
      <c r="C2671" t="s">
        <v>3133</v>
      </c>
      <c r="D2671" t="s">
        <v>6254</v>
      </c>
      <c r="F2671" t="s">
        <v>1886</v>
      </c>
      <c r="G2671" s="126">
        <f>SUMIFS('Support - Transition'!F:F,'Support - Transition'!B:B,'Step 2'!A2671,'Support - Transition'!C:C,'Step 2'!B2671,'Support - Transition'!D:D,'Step 2'!C2671,'Support - Transition'!E:E,"CIVIL")</f>
        <v>0</v>
      </c>
      <c r="H2671" s="126">
        <f>SUMIFS('Support - Transition'!F:F,'Support - Transition'!B:B,'Step 2'!A2671,'Support - Transition'!C:C,'Step 2'!B2671,'Support - Transition'!D:D,'Step 2'!C2671,'Support - Transition'!E:E,"FIRE")</f>
        <v>0</v>
      </c>
      <c r="I2671" s="126">
        <f>IF(B2671="0",SUMIFS('Support - Transition'!F:F,'Support - Transition'!J:J,'Step 2'!D2671,'Support - Transition'!E:E,"STATE UNIT"),SUMIFS('Support - Transition'!F:F,'Support - Transition'!J:J,'Step 2'!D2671))</f>
        <v>7.7029999999999998E-3</v>
      </c>
      <c r="J2671" s="126">
        <f>SUMIFS('Support - Unit Adjustments'!E:E,'Support - Unit Adjustments'!F:F,'Step 2'!D2671)</f>
        <v>0</v>
      </c>
      <c r="K2671" s="126">
        <f t="shared" si="783"/>
        <v>7.7029999999999998E-3</v>
      </c>
      <c r="L2671" s="174">
        <f>VLOOKUP(A2671,'Step 1'!$A:$E,4,FALSE)</f>
        <v>538427</v>
      </c>
      <c r="M2671" s="47">
        <f t="shared" si="784"/>
        <v>4148</v>
      </c>
      <c r="N2671" s="177">
        <f>SUMIFS('Support - Transition'!G:G,'Support - Transition'!J:J,'Step 2'!D2671,'Support - Transition'!E:E,"2009 WELFARE ALLOCATION FACTOR")</f>
        <v>0</v>
      </c>
      <c r="O2671" s="152">
        <f t="shared" si="789"/>
        <v>0</v>
      </c>
      <c r="P2671" s="126">
        <f>IF(E2671="Y",0,SUMIFS('Support - Transition'!G:G,'Support - Transition'!J:J,'Step 2'!D2671,'Support - Transition'!E:E,"2009 SCHOOL ALLOCATION FACTOR"))</f>
        <v>0</v>
      </c>
      <c r="Q2671" s="126">
        <f>IF(E2671="Y",VLOOKUP(D2671,'Support - Unit Adjustments'!F:G,2,FALSE),0)</f>
        <v>0</v>
      </c>
      <c r="R2671" s="155">
        <f t="shared" si="802"/>
        <v>0</v>
      </c>
      <c r="S2671" s="47">
        <f t="shared" si="801"/>
        <v>0</v>
      </c>
      <c r="T2671" s="151">
        <f t="shared" si="790"/>
        <v>4148</v>
      </c>
      <c r="U2671" s="151">
        <f t="shared" si="786"/>
        <v>0</v>
      </c>
      <c r="V2671" s="139">
        <f t="shared" si="787"/>
        <v>0</v>
      </c>
      <c r="W2671" s="152">
        <f t="shared" si="791"/>
        <v>4148</v>
      </c>
      <c r="X2671" s="127" t="str">
        <f t="shared" si="788"/>
        <v/>
      </c>
      <c r="Y2671" s="207">
        <f t="shared" si="792"/>
        <v>4148</v>
      </c>
      <c r="Z2671" s="139">
        <f t="shared" si="793"/>
        <v>4148</v>
      </c>
      <c r="AA2671" s="139">
        <f t="shared" si="794"/>
        <v>0</v>
      </c>
      <c r="AC2671" s="47">
        <f t="shared" si="795"/>
        <v>2074</v>
      </c>
      <c r="AD2671" s="47">
        <f t="shared" si="796"/>
        <v>2074</v>
      </c>
      <c r="AE2671" s="47">
        <f t="shared" si="797"/>
        <v>0</v>
      </c>
      <c r="AG2671" s="47">
        <f t="shared" si="798"/>
        <v>2074</v>
      </c>
      <c r="AH2671" s="47">
        <f t="shared" si="799"/>
        <v>2074</v>
      </c>
      <c r="AI2671" s="208">
        <f t="shared" si="800"/>
        <v>0</v>
      </c>
    </row>
    <row r="2672" spans="1:35">
      <c r="A2672" t="s">
        <v>2176</v>
      </c>
      <c r="B2672" t="s">
        <v>3160</v>
      </c>
      <c r="C2672" t="s">
        <v>2683</v>
      </c>
      <c r="D2672" t="s">
        <v>6255</v>
      </c>
      <c r="F2672" t="s">
        <v>972</v>
      </c>
      <c r="G2672" s="126">
        <f>SUMIFS('Support - Transition'!F:F,'Support - Transition'!B:B,'Step 2'!A2672,'Support - Transition'!C:C,'Step 2'!B2672,'Support - Transition'!D:D,'Step 2'!C2672,'Support - Transition'!E:E,"CIVIL")</f>
        <v>0</v>
      </c>
      <c r="H2672" s="126">
        <f>SUMIFS('Support - Transition'!F:F,'Support - Transition'!B:B,'Step 2'!A2672,'Support - Transition'!C:C,'Step 2'!B2672,'Support - Transition'!D:D,'Step 2'!C2672,'Support - Transition'!E:E,"FIRE")</f>
        <v>0</v>
      </c>
      <c r="I2672" s="126">
        <f>IF(B2672="0",SUMIFS('Support - Transition'!F:F,'Support - Transition'!J:J,'Step 2'!D2672,'Support - Transition'!E:E,"STATE UNIT"),SUMIFS('Support - Transition'!F:F,'Support - Transition'!J:J,'Step 2'!D2672))</f>
        <v>6.8290000000000003E-2</v>
      </c>
      <c r="J2672" s="126">
        <f>SUMIFS('Support - Unit Adjustments'!E:E,'Support - Unit Adjustments'!F:F,'Step 2'!D2672)</f>
        <v>0</v>
      </c>
      <c r="K2672" s="126">
        <f t="shared" si="783"/>
        <v>6.8290000000000003E-2</v>
      </c>
      <c r="L2672" s="174">
        <f>VLOOKUP(A2672,'Step 1'!$A:$E,4,FALSE)</f>
        <v>538427</v>
      </c>
      <c r="M2672" s="47">
        <f t="shared" si="784"/>
        <v>36769</v>
      </c>
      <c r="N2672" s="177">
        <f>SUMIFS('Support - Transition'!G:G,'Support - Transition'!J:J,'Step 2'!D2672,'Support - Transition'!E:E,"2009 WELFARE ALLOCATION FACTOR")</f>
        <v>0</v>
      </c>
      <c r="O2672" s="152">
        <f t="shared" si="789"/>
        <v>0</v>
      </c>
      <c r="P2672" s="126">
        <f>IF(E2672="Y",0,SUMIFS('Support - Transition'!G:G,'Support - Transition'!J:J,'Step 2'!D2672,'Support - Transition'!E:E,"2009 SCHOOL ALLOCATION FACTOR"))</f>
        <v>0.39480199999999999</v>
      </c>
      <c r="Q2672" s="126">
        <f>IF(E2672="Y",VLOOKUP(D2672,'Support - Unit Adjustments'!F:G,2,FALSE),0)</f>
        <v>0</v>
      </c>
      <c r="R2672" s="155">
        <f t="shared" si="802"/>
        <v>0.39480199999999999</v>
      </c>
      <c r="S2672" s="47">
        <f t="shared" si="801"/>
        <v>14516</v>
      </c>
      <c r="T2672" s="151">
        <f t="shared" si="790"/>
        <v>22253</v>
      </c>
      <c r="U2672" s="151">
        <f t="shared" si="786"/>
        <v>0</v>
      </c>
      <c r="V2672" s="139">
        <f t="shared" si="787"/>
        <v>0</v>
      </c>
      <c r="W2672" s="152">
        <f t="shared" si="791"/>
        <v>22253</v>
      </c>
      <c r="X2672" s="127" t="str">
        <f t="shared" si="788"/>
        <v/>
      </c>
      <c r="Y2672" s="207">
        <f t="shared" si="792"/>
        <v>22253</v>
      </c>
      <c r="Z2672" s="139">
        <f t="shared" si="793"/>
        <v>22253</v>
      </c>
      <c r="AA2672" s="139">
        <f t="shared" si="794"/>
        <v>0</v>
      </c>
      <c r="AC2672" s="47">
        <f t="shared" si="795"/>
        <v>11127</v>
      </c>
      <c r="AD2672" s="47">
        <f t="shared" si="796"/>
        <v>11127</v>
      </c>
      <c r="AE2672" s="47">
        <f t="shared" si="797"/>
        <v>0</v>
      </c>
      <c r="AG2672" s="47">
        <f t="shared" si="798"/>
        <v>11126</v>
      </c>
      <c r="AH2672" s="47">
        <f t="shared" si="799"/>
        <v>11126</v>
      </c>
      <c r="AI2672" s="208">
        <f t="shared" si="800"/>
        <v>0</v>
      </c>
    </row>
    <row r="2673" spans="1:35">
      <c r="A2673" t="s">
        <v>2176</v>
      </c>
      <c r="B2673" t="s">
        <v>3160</v>
      </c>
      <c r="C2673" t="s">
        <v>2893</v>
      </c>
      <c r="D2673" t="s">
        <v>6256</v>
      </c>
      <c r="F2673" t="s">
        <v>1325</v>
      </c>
      <c r="G2673" s="126">
        <f>SUMIFS('Support - Transition'!F:F,'Support - Transition'!B:B,'Step 2'!A2673,'Support - Transition'!C:C,'Step 2'!B2673,'Support - Transition'!D:D,'Step 2'!C2673,'Support - Transition'!E:E,"CIVIL")</f>
        <v>0</v>
      </c>
      <c r="H2673" s="126">
        <f>SUMIFS('Support - Transition'!F:F,'Support - Transition'!B:B,'Step 2'!A2673,'Support - Transition'!C:C,'Step 2'!B2673,'Support - Transition'!D:D,'Step 2'!C2673,'Support - Transition'!E:E,"FIRE")</f>
        <v>0</v>
      </c>
      <c r="I2673" s="126">
        <f>IF(B2673="0",SUMIFS('Support - Transition'!F:F,'Support - Transition'!J:J,'Step 2'!D2673,'Support - Transition'!E:E,"STATE UNIT"),SUMIFS('Support - Transition'!F:F,'Support - Transition'!J:J,'Step 2'!D2673))</f>
        <v>4.3331000000000001E-2</v>
      </c>
      <c r="J2673" s="126">
        <f>SUMIFS('Support - Unit Adjustments'!E:E,'Support - Unit Adjustments'!F:F,'Step 2'!D2673)</f>
        <v>0</v>
      </c>
      <c r="K2673" s="126">
        <f t="shared" si="783"/>
        <v>4.3331000000000001E-2</v>
      </c>
      <c r="L2673" s="174">
        <f>VLOOKUP(A2673,'Step 1'!$A:$E,4,FALSE)</f>
        <v>538427</v>
      </c>
      <c r="M2673" s="47">
        <f t="shared" si="784"/>
        <v>23331</v>
      </c>
      <c r="N2673" s="177">
        <f>SUMIFS('Support - Transition'!G:G,'Support - Transition'!J:J,'Step 2'!D2673,'Support - Transition'!E:E,"2009 WELFARE ALLOCATION FACTOR")</f>
        <v>0</v>
      </c>
      <c r="O2673" s="152">
        <f t="shared" si="789"/>
        <v>0</v>
      </c>
      <c r="P2673" s="126">
        <f>IF(E2673="Y",0,SUMIFS('Support - Transition'!G:G,'Support - Transition'!J:J,'Step 2'!D2673,'Support - Transition'!E:E,"2009 SCHOOL ALLOCATION FACTOR"))</f>
        <v>0.47218100000000002</v>
      </c>
      <c r="Q2673" s="126">
        <f>IF(E2673="Y",VLOOKUP(D2673,'Support - Unit Adjustments'!F:G,2,FALSE),0)</f>
        <v>0</v>
      </c>
      <c r="R2673" s="155">
        <f t="shared" si="802"/>
        <v>0.47218100000000002</v>
      </c>
      <c r="S2673" s="47">
        <f t="shared" si="801"/>
        <v>11016</v>
      </c>
      <c r="T2673" s="151">
        <f t="shared" si="790"/>
        <v>12315</v>
      </c>
      <c r="U2673" s="151">
        <f t="shared" si="786"/>
        <v>0</v>
      </c>
      <c r="V2673" s="139">
        <f t="shared" si="787"/>
        <v>0</v>
      </c>
      <c r="W2673" s="152">
        <f t="shared" si="791"/>
        <v>12315</v>
      </c>
      <c r="X2673" s="127" t="str">
        <f t="shared" si="788"/>
        <v/>
      </c>
      <c r="Y2673" s="207">
        <f t="shared" si="792"/>
        <v>12315</v>
      </c>
      <c r="Z2673" s="139">
        <f t="shared" si="793"/>
        <v>12315</v>
      </c>
      <c r="AA2673" s="139">
        <f t="shared" si="794"/>
        <v>0</v>
      </c>
      <c r="AC2673" s="47">
        <f t="shared" si="795"/>
        <v>6158</v>
      </c>
      <c r="AD2673" s="47">
        <f t="shared" si="796"/>
        <v>6158</v>
      </c>
      <c r="AE2673" s="47">
        <f t="shared" si="797"/>
        <v>0</v>
      </c>
      <c r="AG2673" s="47">
        <f t="shared" si="798"/>
        <v>6157</v>
      </c>
      <c r="AH2673" s="47">
        <f t="shared" si="799"/>
        <v>6157</v>
      </c>
      <c r="AI2673" s="208">
        <f t="shared" si="800"/>
        <v>0</v>
      </c>
    </row>
    <row r="2674" spans="1:35">
      <c r="A2674" t="s">
        <v>2176</v>
      </c>
      <c r="B2674" t="s">
        <v>3160</v>
      </c>
      <c r="C2674" t="s">
        <v>3134</v>
      </c>
      <c r="D2674" t="s">
        <v>6257</v>
      </c>
      <c r="F2674" t="s">
        <v>6258</v>
      </c>
      <c r="G2674" s="126">
        <f>SUMIFS('Support - Transition'!F:F,'Support - Transition'!B:B,'Step 2'!A2674,'Support - Transition'!C:C,'Step 2'!B2674,'Support - Transition'!D:D,'Step 2'!C2674,'Support - Transition'!E:E,"CIVIL")</f>
        <v>0</v>
      </c>
      <c r="H2674" s="126">
        <f>SUMIFS('Support - Transition'!F:F,'Support - Transition'!B:B,'Step 2'!A2674,'Support - Transition'!C:C,'Step 2'!B2674,'Support - Transition'!D:D,'Step 2'!C2674,'Support - Transition'!E:E,"FIRE")</f>
        <v>0</v>
      </c>
      <c r="I2674" s="126">
        <f>IF(B2674="0",SUMIFS('Support - Transition'!F:F,'Support - Transition'!J:J,'Step 2'!D2674,'Support - Transition'!E:E,"STATE UNIT"),SUMIFS('Support - Transition'!F:F,'Support - Transition'!J:J,'Step 2'!D2674))</f>
        <v>0.60919400000000001</v>
      </c>
      <c r="J2674" s="126">
        <f>SUMIFS('Support - Unit Adjustments'!E:E,'Support - Unit Adjustments'!F:F,'Step 2'!D2674)</f>
        <v>0</v>
      </c>
      <c r="K2674" s="126">
        <f t="shared" si="783"/>
        <v>0.60919400000000001</v>
      </c>
      <c r="L2674" s="174">
        <f>VLOOKUP(A2674,'Step 1'!$A:$E,4,FALSE)</f>
        <v>538427</v>
      </c>
      <c r="M2674" s="47">
        <f t="shared" si="784"/>
        <v>328006</v>
      </c>
      <c r="N2674" s="177">
        <f>SUMIFS('Support - Transition'!G:G,'Support - Transition'!J:J,'Step 2'!D2674,'Support - Transition'!E:E,"2009 WELFARE ALLOCATION FACTOR")</f>
        <v>0</v>
      </c>
      <c r="O2674" s="152">
        <f t="shared" si="789"/>
        <v>0</v>
      </c>
      <c r="P2674" s="126">
        <f>IF(E2674="Y",0,SUMIFS('Support - Transition'!G:G,'Support - Transition'!J:J,'Step 2'!D2674,'Support - Transition'!E:E,"2009 SCHOOL ALLOCATION FACTOR"))</f>
        <v>0.48405900000000002</v>
      </c>
      <c r="Q2674" s="126">
        <f>IF(E2674="Y",VLOOKUP(D2674,'Support - Unit Adjustments'!F:G,2,FALSE),0)</f>
        <v>0</v>
      </c>
      <c r="R2674" s="155">
        <f t="shared" si="802"/>
        <v>0.48405900000000002</v>
      </c>
      <c r="S2674" s="47">
        <f t="shared" si="801"/>
        <v>158774</v>
      </c>
      <c r="T2674" s="151">
        <f t="shared" si="790"/>
        <v>169232</v>
      </c>
      <c r="U2674" s="151">
        <f t="shared" si="786"/>
        <v>0</v>
      </c>
      <c r="V2674" s="139">
        <f t="shared" si="787"/>
        <v>0</v>
      </c>
      <c r="W2674" s="152">
        <f t="shared" si="791"/>
        <v>169232</v>
      </c>
      <c r="X2674" s="127" t="str">
        <f t="shared" si="788"/>
        <v/>
      </c>
      <c r="Y2674" s="207">
        <f t="shared" si="792"/>
        <v>169232</v>
      </c>
      <c r="Z2674" s="139">
        <f t="shared" si="793"/>
        <v>169232</v>
      </c>
      <c r="AA2674" s="139">
        <f t="shared" si="794"/>
        <v>0</v>
      </c>
      <c r="AC2674" s="47">
        <f t="shared" si="795"/>
        <v>84616</v>
      </c>
      <c r="AD2674" s="47">
        <f t="shared" si="796"/>
        <v>84616</v>
      </c>
      <c r="AE2674" s="47">
        <f t="shared" si="797"/>
        <v>0</v>
      </c>
      <c r="AG2674" s="47">
        <f t="shared" si="798"/>
        <v>84616</v>
      </c>
      <c r="AH2674" s="47">
        <f t="shared" si="799"/>
        <v>84616</v>
      </c>
      <c r="AI2674" s="208">
        <f t="shared" si="800"/>
        <v>0</v>
      </c>
    </row>
    <row r="2675" spans="1:35">
      <c r="A2675" t="s">
        <v>2176</v>
      </c>
      <c r="B2675" t="s">
        <v>3166</v>
      </c>
      <c r="C2675" t="s">
        <v>3135</v>
      </c>
      <c r="D2675" t="s">
        <v>6259</v>
      </c>
      <c r="F2675" t="s">
        <v>1888</v>
      </c>
      <c r="G2675" s="126">
        <f>SUMIFS('Support - Transition'!F:F,'Support - Transition'!B:B,'Step 2'!A2675,'Support - Transition'!C:C,'Step 2'!B2675,'Support - Transition'!D:D,'Step 2'!C2675,'Support - Transition'!E:E,"CIVIL")</f>
        <v>0</v>
      </c>
      <c r="H2675" s="126">
        <f>SUMIFS('Support - Transition'!F:F,'Support - Transition'!B:B,'Step 2'!A2675,'Support - Transition'!C:C,'Step 2'!B2675,'Support - Transition'!D:D,'Step 2'!C2675,'Support - Transition'!E:E,"FIRE")</f>
        <v>0</v>
      </c>
      <c r="I2675" s="126">
        <f>IF(B2675="0",SUMIFS('Support - Transition'!F:F,'Support - Transition'!J:J,'Step 2'!D2675,'Support - Transition'!E:E,"STATE UNIT"),SUMIFS('Support - Transition'!F:F,'Support - Transition'!J:J,'Step 2'!D2675))</f>
        <v>1.1919999999999999E-3</v>
      </c>
      <c r="J2675" s="126">
        <f>SUMIFS('Support - Unit Adjustments'!E:E,'Support - Unit Adjustments'!F:F,'Step 2'!D2675)</f>
        <v>0</v>
      </c>
      <c r="K2675" s="126">
        <f t="shared" si="783"/>
        <v>1.1919999999999999E-3</v>
      </c>
      <c r="L2675" s="174">
        <f>VLOOKUP(A2675,'Step 1'!$A:$E,4,FALSE)</f>
        <v>538427</v>
      </c>
      <c r="M2675" s="47">
        <f t="shared" si="784"/>
        <v>642</v>
      </c>
      <c r="N2675" s="177">
        <f>SUMIFS('Support - Transition'!G:G,'Support - Transition'!J:J,'Step 2'!D2675,'Support - Transition'!E:E,"2009 WELFARE ALLOCATION FACTOR")</f>
        <v>0</v>
      </c>
      <c r="O2675" s="152">
        <f t="shared" si="789"/>
        <v>0</v>
      </c>
      <c r="P2675" s="126">
        <f>IF(E2675="Y",0,SUMIFS('Support - Transition'!G:G,'Support - Transition'!J:J,'Step 2'!D2675,'Support - Transition'!E:E,"2009 SCHOOL ALLOCATION FACTOR"))</f>
        <v>0</v>
      </c>
      <c r="Q2675" s="126">
        <f>IF(E2675="Y",VLOOKUP(D2675,'Support - Unit Adjustments'!F:G,2,FALSE),0)</f>
        <v>0</v>
      </c>
      <c r="R2675" s="155">
        <f t="shared" si="802"/>
        <v>0</v>
      </c>
      <c r="S2675" s="47">
        <f t="shared" si="801"/>
        <v>0</v>
      </c>
      <c r="T2675" s="151">
        <f t="shared" si="790"/>
        <v>642</v>
      </c>
      <c r="U2675" s="151">
        <f t="shared" si="786"/>
        <v>0</v>
      </c>
      <c r="V2675" s="139">
        <f t="shared" si="787"/>
        <v>0</v>
      </c>
      <c r="W2675" s="152">
        <f t="shared" si="791"/>
        <v>642</v>
      </c>
      <c r="X2675" s="127" t="str">
        <f t="shared" si="788"/>
        <v/>
      </c>
      <c r="Y2675" s="207">
        <f t="shared" si="792"/>
        <v>642</v>
      </c>
      <c r="Z2675" s="139">
        <f t="shared" si="793"/>
        <v>642</v>
      </c>
      <c r="AA2675" s="139">
        <f t="shared" si="794"/>
        <v>0</v>
      </c>
      <c r="AC2675" s="47">
        <f t="shared" si="795"/>
        <v>321</v>
      </c>
      <c r="AD2675" s="47">
        <f t="shared" si="796"/>
        <v>321</v>
      </c>
      <c r="AE2675" s="47">
        <f t="shared" si="797"/>
        <v>0</v>
      </c>
      <c r="AG2675" s="47">
        <f t="shared" si="798"/>
        <v>321</v>
      </c>
      <c r="AH2675" s="47">
        <f t="shared" si="799"/>
        <v>321</v>
      </c>
      <c r="AI2675" s="208">
        <f t="shared" si="800"/>
        <v>0</v>
      </c>
    </row>
    <row r="2676" spans="1:35">
      <c r="A2676" t="s">
        <v>2176</v>
      </c>
      <c r="B2676" t="s">
        <v>3166</v>
      </c>
      <c r="C2676" t="s">
        <v>3136</v>
      </c>
      <c r="D2676" t="s">
        <v>6260</v>
      </c>
      <c r="F2676" t="s">
        <v>1889</v>
      </c>
      <c r="G2676" s="126">
        <f>SUMIFS('Support - Transition'!F:F,'Support - Transition'!B:B,'Step 2'!A2676,'Support - Transition'!C:C,'Step 2'!B2676,'Support - Transition'!D:D,'Step 2'!C2676,'Support - Transition'!E:E,"CIVIL")</f>
        <v>0</v>
      </c>
      <c r="H2676" s="126">
        <f>SUMIFS('Support - Transition'!F:F,'Support - Transition'!B:B,'Step 2'!A2676,'Support - Transition'!C:C,'Step 2'!B2676,'Support - Transition'!D:D,'Step 2'!C2676,'Support - Transition'!E:E,"FIRE")</f>
        <v>0</v>
      </c>
      <c r="I2676" s="126">
        <f>IF(B2676="0",SUMIFS('Support - Transition'!F:F,'Support - Transition'!J:J,'Step 2'!D2676,'Support - Transition'!E:E,"STATE UNIT"),SUMIFS('Support - Transition'!F:F,'Support - Transition'!J:J,'Step 2'!D2676))</f>
        <v>1.167E-2</v>
      </c>
      <c r="J2676" s="126">
        <f>SUMIFS('Support - Unit Adjustments'!E:E,'Support - Unit Adjustments'!F:F,'Step 2'!D2676)</f>
        <v>0</v>
      </c>
      <c r="K2676" s="126">
        <f t="shared" si="783"/>
        <v>1.167E-2</v>
      </c>
      <c r="L2676" s="174">
        <f>VLOOKUP(A2676,'Step 1'!$A:$E,4,FALSE)</f>
        <v>538427</v>
      </c>
      <c r="M2676" s="47">
        <f t="shared" si="784"/>
        <v>6283</v>
      </c>
      <c r="N2676" s="177">
        <f>SUMIFS('Support - Transition'!G:G,'Support - Transition'!J:J,'Step 2'!D2676,'Support - Transition'!E:E,"2009 WELFARE ALLOCATION FACTOR")</f>
        <v>0</v>
      </c>
      <c r="O2676" s="152">
        <f t="shared" si="789"/>
        <v>0</v>
      </c>
      <c r="P2676" s="126">
        <f>IF(E2676="Y",0,SUMIFS('Support - Transition'!G:G,'Support - Transition'!J:J,'Step 2'!D2676,'Support - Transition'!E:E,"2009 SCHOOL ALLOCATION FACTOR"))</f>
        <v>0</v>
      </c>
      <c r="Q2676" s="126">
        <f>IF(E2676="Y",VLOOKUP(D2676,'Support - Unit Adjustments'!F:G,2,FALSE),0)</f>
        <v>0</v>
      </c>
      <c r="R2676" s="155">
        <f t="shared" si="802"/>
        <v>0</v>
      </c>
      <c r="S2676" s="47">
        <f t="shared" si="801"/>
        <v>0</v>
      </c>
      <c r="T2676" s="151">
        <f t="shared" si="790"/>
        <v>6283</v>
      </c>
      <c r="U2676" s="151">
        <f t="shared" si="786"/>
        <v>0</v>
      </c>
      <c r="V2676" s="139">
        <f t="shared" si="787"/>
        <v>0</v>
      </c>
      <c r="W2676" s="152">
        <f t="shared" si="791"/>
        <v>6283</v>
      </c>
      <c r="X2676" s="127" t="str">
        <f t="shared" si="788"/>
        <v/>
      </c>
      <c r="Y2676" s="207">
        <f t="shared" si="792"/>
        <v>6283</v>
      </c>
      <c r="Z2676" s="139">
        <f t="shared" si="793"/>
        <v>6283</v>
      </c>
      <c r="AA2676" s="139">
        <f t="shared" si="794"/>
        <v>0</v>
      </c>
      <c r="AC2676" s="47">
        <f t="shared" si="795"/>
        <v>3142</v>
      </c>
      <c r="AD2676" s="47">
        <f t="shared" si="796"/>
        <v>3142</v>
      </c>
      <c r="AE2676" s="47">
        <f t="shared" si="797"/>
        <v>0</v>
      </c>
      <c r="AG2676" s="47">
        <f t="shared" si="798"/>
        <v>3141</v>
      </c>
      <c r="AH2676" s="47">
        <f t="shared" si="799"/>
        <v>3141</v>
      </c>
      <c r="AI2676" s="208">
        <f t="shared" si="800"/>
        <v>0</v>
      </c>
    </row>
    <row r="2677" spans="1:35">
      <c r="A2677" t="s">
        <v>2176</v>
      </c>
      <c r="B2677" t="s">
        <v>3166</v>
      </c>
      <c r="C2677" t="s">
        <v>6261</v>
      </c>
      <c r="D2677" t="s">
        <v>6262</v>
      </c>
      <c r="F2677" t="s">
        <v>6263</v>
      </c>
      <c r="G2677" s="126">
        <f>SUMIFS('Support - Transition'!F:F,'Support - Transition'!B:B,'Step 2'!A2677,'Support - Transition'!C:C,'Step 2'!B2677,'Support - Transition'!D:D,'Step 2'!C2677,'Support - Transition'!E:E,"CIVIL")</f>
        <v>0</v>
      </c>
      <c r="H2677" s="126">
        <f>SUMIFS('Support - Transition'!F:F,'Support - Transition'!B:B,'Step 2'!A2677,'Support - Transition'!C:C,'Step 2'!B2677,'Support - Transition'!D:D,'Step 2'!C2677,'Support - Transition'!E:E,"FIRE")</f>
        <v>0</v>
      </c>
      <c r="I2677" s="126">
        <f>IF(B2677="0",SUMIFS('Support - Transition'!F:F,'Support - Transition'!J:J,'Step 2'!D2677,'Support - Transition'!E:E,"STATE UNIT"),SUMIFS('Support - Transition'!F:F,'Support - Transition'!J:J,'Step 2'!D2677))</f>
        <v>2.1359999999999999E-3</v>
      </c>
      <c r="J2677" s="126">
        <f>SUMIFS('Support - Unit Adjustments'!E:E,'Support - Unit Adjustments'!F:F,'Step 2'!D2677)</f>
        <v>0</v>
      </c>
      <c r="K2677" s="126">
        <f t="shared" si="783"/>
        <v>2.1359999999999999E-3</v>
      </c>
      <c r="L2677" s="174">
        <f>VLOOKUP(A2677,'Step 1'!$A:$E,4,FALSE)</f>
        <v>538427</v>
      </c>
      <c r="M2677" s="47">
        <f t="shared" si="784"/>
        <v>1150</v>
      </c>
      <c r="N2677" s="177">
        <f>SUMIFS('Support - Transition'!G:G,'Support - Transition'!J:J,'Step 2'!D2677,'Support - Transition'!E:E,"2009 WELFARE ALLOCATION FACTOR")</f>
        <v>0</v>
      </c>
      <c r="O2677" s="152">
        <f t="shared" si="789"/>
        <v>0</v>
      </c>
      <c r="P2677" s="126">
        <f>IF(E2677="Y",0,SUMIFS('Support - Transition'!G:G,'Support - Transition'!J:J,'Step 2'!D2677,'Support - Transition'!E:E,"2009 SCHOOL ALLOCATION FACTOR"))</f>
        <v>0</v>
      </c>
      <c r="Q2677" s="126">
        <f>IF(E2677="Y",VLOOKUP(D2677,'Support - Unit Adjustments'!F:G,2,FALSE),0)</f>
        <v>0</v>
      </c>
      <c r="R2677" s="155">
        <f t="shared" si="802"/>
        <v>0</v>
      </c>
      <c r="S2677" s="47">
        <f t="shared" si="801"/>
        <v>0</v>
      </c>
      <c r="T2677" s="151">
        <f t="shared" si="790"/>
        <v>1150</v>
      </c>
      <c r="U2677" s="151">
        <f t="shared" si="786"/>
        <v>0</v>
      </c>
      <c r="V2677" s="139">
        <f t="shared" si="787"/>
        <v>0</v>
      </c>
      <c r="W2677" s="152">
        <f t="shared" si="791"/>
        <v>1150</v>
      </c>
      <c r="X2677" s="127" t="str">
        <f t="shared" si="788"/>
        <v/>
      </c>
      <c r="Y2677" s="207">
        <f t="shared" si="792"/>
        <v>1150</v>
      </c>
      <c r="Z2677" s="139">
        <f t="shared" si="793"/>
        <v>1150</v>
      </c>
      <c r="AA2677" s="139">
        <f t="shared" si="794"/>
        <v>0</v>
      </c>
      <c r="AC2677" s="47">
        <f t="shared" si="795"/>
        <v>575</v>
      </c>
      <c r="AD2677" s="47">
        <f t="shared" si="796"/>
        <v>575</v>
      </c>
      <c r="AE2677" s="47">
        <f t="shared" si="797"/>
        <v>0</v>
      </c>
      <c r="AG2677" s="47">
        <f t="shared" si="798"/>
        <v>575</v>
      </c>
      <c r="AH2677" s="47">
        <f t="shared" si="799"/>
        <v>575</v>
      </c>
      <c r="AI2677" s="208">
        <f t="shared" si="800"/>
        <v>0</v>
      </c>
    </row>
    <row r="2678" spans="1:35">
      <c r="A2678" t="s">
        <v>2176</v>
      </c>
      <c r="B2678" t="s">
        <v>3170</v>
      </c>
      <c r="C2678" t="s">
        <v>6264</v>
      </c>
      <c r="D2678" t="s">
        <v>6265</v>
      </c>
      <c r="F2678" t="s">
        <v>6266</v>
      </c>
      <c r="G2678" s="126">
        <f>SUMIFS('Support - Transition'!F:F,'Support - Transition'!B:B,'Step 2'!A2678,'Support - Transition'!C:C,'Step 2'!B2678,'Support - Transition'!D:D,'Step 2'!C2678,'Support - Transition'!E:E,"CIVIL")</f>
        <v>0</v>
      </c>
      <c r="H2678" s="126">
        <f>SUMIFS('Support - Transition'!F:F,'Support - Transition'!B:B,'Step 2'!A2678,'Support - Transition'!C:C,'Step 2'!B2678,'Support - Transition'!D:D,'Step 2'!C2678,'Support - Transition'!E:E,"FIRE")</f>
        <v>0</v>
      </c>
      <c r="I2678" s="126">
        <f>IF(B2678="0",SUMIFS('Support - Transition'!F:F,'Support - Transition'!J:J,'Step 2'!D2678,'Support - Transition'!E:E,"STATE UNIT"),SUMIFS('Support - Transition'!F:F,'Support - Transition'!J:J,'Step 2'!D2678))</f>
        <v>0</v>
      </c>
      <c r="J2678" s="126">
        <f>SUMIFS('Support - Unit Adjustments'!E:E,'Support - Unit Adjustments'!F:F,'Step 2'!D2678)</f>
        <v>0</v>
      </c>
      <c r="K2678" s="126">
        <f t="shared" si="783"/>
        <v>0</v>
      </c>
      <c r="L2678" s="174">
        <f>VLOOKUP(A2678,'Step 1'!$A:$E,4,FALSE)</f>
        <v>538427</v>
      </c>
      <c r="M2678" s="47">
        <f t="shared" si="784"/>
        <v>0</v>
      </c>
      <c r="N2678" s="177">
        <f>SUMIFS('Support - Transition'!G:G,'Support - Transition'!J:J,'Step 2'!D2678,'Support - Transition'!E:E,"2009 WELFARE ALLOCATION FACTOR")</f>
        <v>0</v>
      </c>
      <c r="O2678" s="152">
        <f t="shared" si="789"/>
        <v>0</v>
      </c>
      <c r="P2678" s="126">
        <f>IF(E2678="Y",0,SUMIFS('Support - Transition'!G:G,'Support - Transition'!J:J,'Step 2'!D2678,'Support - Transition'!E:E,"2009 SCHOOL ALLOCATION FACTOR"))</f>
        <v>0</v>
      </c>
      <c r="Q2678" s="126">
        <f>IF(E2678="Y",VLOOKUP(D2678,'Support - Unit Adjustments'!F:G,2,FALSE),0)</f>
        <v>0</v>
      </c>
      <c r="R2678" s="155">
        <f t="shared" si="802"/>
        <v>0</v>
      </c>
      <c r="S2678" s="47">
        <f t="shared" si="801"/>
        <v>0</v>
      </c>
      <c r="T2678" s="151">
        <f t="shared" si="790"/>
        <v>0</v>
      </c>
      <c r="U2678" s="151">
        <f t="shared" si="786"/>
        <v>0</v>
      </c>
      <c r="V2678" s="139">
        <f t="shared" si="787"/>
        <v>0</v>
      </c>
      <c r="W2678" s="152">
        <f t="shared" si="791"/>
        <v>0</v>
      </c>
      <c r="X2678" s="127" t="str">
        <f t="shared" si="788"/>
        <v/>
      </c>
      <c r="Y2678" s="207">
        <f t="shared" si="792"/>
        <v>0</v>
      </c>
      <c r="Z2678" s="139">
        <f t="shared" si="793"/>
        <v>0</v>
      </c>
      <c r="AA2678" s="139">
        <f t="shared" si="794"/>
        <v>0</v>
      </c>
      <c r="AC2678" s="47">
        <f t="shared" si="795"/>
        <v>0</v>
      </c>
      <c r="AD2678" s="47">
        <f t="shared" si="796"/>
        <v>0</v>
      </c>
      <c r="AE2678" s="47">
        <f t="shared" si="797"/>
        <v>0</v>
      </c>
      <c r="AG2678" s="47">
        <f t="shared" si="798"/>
        <v>0</v>
      </c>
      <c r="AH2678" s="47">
        <f t="shared" si="799"/>
        <v>0</v>
      </c>
      <c r="AI2678" s="208">
        <f t="shared" si="800"/>
        <v>0</v>
      </c>
    </row>
    <row r="2679" spans="1:35"/>
    <row r="2680" spans="1:35"/>
    <row r="2681" spans="1:35"/>
    <row r="2682" spans="1:35"/>
    <row r="2683" spans="1:35"/>
    <row r="2684" spans="1:35"/>
    <row r="2685" spans="1:35"/>
  </sheetData>
  <sortState xmlns:xlrd2="http://schemas.microsoft.com/office/spreadsheetml/2017/richdata2" ref="A2:F2678">
    <sortCondition ref="D2:D2678"/>
  </sortState>
  <phoneticPr fontId="20" type="noConversion"/>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0">
    <pageSetUpPr fitToPage="1"/>
  </sheetPr>
  <dimension ref="A1:WVB82"/>
  <sheetViews>
    <sheetView topLeftCell="A48" zoomScaleNormal="100" zoomScaleSheetLayoutView="80" workbookViewId="0">
      <selection activeCell="D69" activeCellId="4" sqref="D7:F7 D57:F57 D61:F61 D65:F65 D69:F69"/>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1662</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Worksheet'!$D$82</f>
        <v>1315248</v>
      </c>
      <c r="E3" s="11"/>
      <c r="F3" s="11"/>
    </row>
    <row r="4" spans="1:6">
      <c r="A4" s="8">
        <v>0</v>
      </c>
      <c r="B4" s="11" t="s">
        <v>4</v>
      </c>
      <c r="C4" s="10">
        <v>1.2080000000000001E-3</v>
      </c>
      <c r="D4" s="12">
        <f>ROUND(D$3*C4,0)</f>
        <v>1589</v>
      </c>
      <c r="E4" s="13">
        <f>ROUND(D4/2,0)</f>
        <v>795</v>
      </c>
      <c r="F4" s="12">
        <f>D4-E4</f>
        <v>794</v>
      </c>
    </row>
    <row r="5" spans="1:6">
      <c r="A5" s="8">
        <v>1</v>
      </c>
      <c r="B5" s="11" t="s">
        <v>1663</v>
      </c>
      <c r="C5" s="10">
        <v>0.14877599999999999</v>
      </c>
      <c r="D5" s="9">
        <f>ROUND(D$3*C5,0)</f>
        <v>195677</v>
      </c>
      <c r="E5" s="11">
        <f>ROUND(D5/2,0)</f>
        <v>97839</v>
      </c>
      <c r="F5" s="9">
        <f>D5-E5</f>
        <v>97838</v>
      </c>
    </row>
    <row r="6" spans="1:6">
      <c r="A6" s="8"/>
      <c r="B6" s="11" t="s">
        <v>6</v>
      </c>
      <c r="C6" s="11"/>
      <c r="D6" s="14">
        <v>0.28932400000000003</v>
      </c>
      <c r="E6" s="11"/>
      <c r="F6" s="11"/>
    </row>
    <row r="7" spans="1:6">
      <c r="A7" s="8"/>
      <c r="B7" s="11" t="s">
        <v>7</v>
      </c>
      <c r="C7" s="11"/>
      <c r="D7" s="225">
        <f>ROUND(D5*D6,0)</f>
        <v>56614</v>
      </c>
      <c r="E7" s="226">
        <f>ROUND(D7/2,0)</f>
        <v>28307</v>
      </c>
      <c r="F7" s="225">
        <f>D7-E7</f>
        <v>28307</v>
      </c>
    </row>
    <row r="8" spans="1:6">
      <c r="A8" s="8"/>
      <c r="B8" s="11" t="s">
        <v>8</v>
      </c>
      <c r="C8" s="11"/>
      <c r="D8" s="12">
        <f>+D5-D7</f>
        <v>139063</v>
      </c>
      <c r="E8" s="13">
        <f>ROUND(D8/2,0)</f>
        <v>69532</v>
      </c>
      <c r="F8" s="12">
        <f>D8-E8</f>
        <v>69531</v>
      </c>
    </row>
    <row r="9" spans="1:6">
      <c r="A9" s="8">
        <v>2</v>
      </c>
      <c r="B9" s="11" t="s">
        <v>371</v>
      </c>
      <c r="C9" s="11"/>
      <c r="D9" s="9"/>
      <c r="E9" s="11"/>
      <c r="F9" s="11"/>
    </row>
    <row r="10" spans="1:6">
      <c r="A10" s="8"/>
      <c r="B10" s="11" t="s">
        <v>10</v>
      </c>
      <c r="C10" s="10">
        <v>5.28E-3</v>
      </c>
      <c r="D10" s="12">
        <f>ROUND(D$3*C10,0)</f>
        <v>6945</v>
      </c>
      <c r="E10" s="13">
        <f>ROUND(D10/2,0)</f>
        <v>3473</v>
      </c>
      <c r="F10" s="12">
        <f>D10-E10</f>
        <v>3472</v>
      </c>
    </row>
    <row r="11" spans="1:6">
      <c r="A11" s="8"/>
      <c r="B11" s="11" t="s">
        <v>11</v>
      </c>
      <c r="C11" s="10">
        <v>6.5200000000000002E-4</v>
      </c>
      <c r="D11" s="12">
        <f>ROUND(D$3*C11,0)</f>
        <v>858</v>
      </c>
      <c r="E11" s="13">
        <f>ROUND(D11/2,0)</f>
        <v>429</v>
      </c>
      <c r="F11" s="12">
        <f>D11-E11</f>
        <v>429</v>
      </c>
    </row>
    <row r="12" spans="1:6">
      <c r="A12" s="8">
        <v>2</v>
      </c>
      <c r="B12" s="11" t="s">
        <v>49</v>
      </c>
      <c r="C12" s="11"/>
      <c r="D12" s="9"/>
      <c r="E12" s="11"/>
      <c r="F12" s="11"/>
    </row>
    <row r="13" spans="1:6">
      <c r="A13" s="8"/>
      <c r="B13" s="11" t="s">
        <v>10</v>
      </c>
      <c r="C13" s="10">
        <v>2.41E-4</v>
      </c>
      <c r="D13" s="12">
        <f>ROUND(D$3*C13,0)</f>
        <v>317</v>
      </c>
      <c r="E13" s="13">
        <f>ROUND(D13/2,0)</f>
        <v>159</v>
      </c>
      <c r="F13" s="12">
        <f>D13-E13</f>
        <v>158</v>
      </c>
    </row>
    <row r="14" spans="1:6">
      <c r="A14" s="8"/>
      <c r="B14" s="11" t="s">
        <v>11</v>
      </c>
      <c r="C14" s="10">
        <v>1.64E-4</v>
      </c>
      <c r="D14" s="12">
        <f>ROUND(D$3*C14,0)</f>
        <v>216</v>
      </c>
      <c r="E14" s="13">
        <f>ROUND(D14/2,0)</f>
        <v>108</v>
      </c>
      <c r="F14" s="12">
        <f>D14-E14</f>
        <v>108</v>
      </c>
    </row>
    <row r="15" spans="1:6">
      <c r="A15" s="8">
        <v>2</v>
      </c>
      <c r="B15" s="11" t="s">
        <v>1664</v>
      </c>
      <c r="C15" s="11"/>
      <c r="D15" s="9"/>
      <c r="E15" s="11"/>
      <c r="F15" s="11"/>
    </row>
    <row r="16" spans="1:6">
      <c r="A16" s="8"/>
      <c r="B16" s="11" t="s">
        <v>10</v>
      </c>
      <c r="C16" s="10">
        <v>3.5199999999999999E-4</v>
      </c>
      <c r="D16" s="12">
        <f>ROUND(D$3*C16,0)</f>
        <v>463</v>
      </c>
      <c r="E16" s="13">
        <f>ROUND(D16/2,0)</f>
        <v>232</v>
      </c>
      <c r="F16" s="12">
        <f>D16-E16</f>
        <v>231</v>
      </c>
    </row>
    <row r="17" spans="1:6">
      <c r="A17" s="8"/>
      <c r="B17" s="11" t="s">
        <v>11</v>
      </c>
      <c r="C17" s="10">
        <v>6.4400000000000004E-4</v>
      </c>
      <c r="D17" s="12">
        <f>ROUND(D$3*C17,0)</f>
        <v>847</v>
      </c>
      <c r="E17" s="13">
        <f>ROUND(D17/2,0)</f>
        <v>424</v>
      </c>
      <c r="F17" s="12">
        <f>D17-E17</f>
        <v>423</v>
      </c>
    </row>
    <row r="18" spans="1:6">
      <c r="A18" s="8">
        <v>2</v>
      </c>
      <c r="B18" s="11" t="s">
        <v>56</v>
      </c>
      <c r="C18" s="11"/>
      <c r="D18" s="9"/>
      <c r="E18" s="11"/>
      <c r="F18" s="11"/>
    </row>
    <row r="19" spans="1:6">
      <c r="A19" s="8"/>
      <c r="B19" s="11" t="s">
        <v>10</v>
      </c>
      <c r="C19" s="10">
        <v>2.7399999999999999E-4</v>
      </c>
      <c r="D19" s="12">
        <f>ROUND(D$3*C19,0)</f>
        <v>360</v>
      </c>
      <c r="E19" s="13">
        <f>ROUND(D19/2,0)</f>
        <v>180</v>
      </c>
      <c r="F19" s="12">
        <f>D19-E19</f>
        <v>180</v>
      </c>
    </row>
    <row r="20" spans="1:6">
      <c r="A20" s="8"/>
      <c r="B20" s="11" t="s">
        <v>11</v>
      </c>
      <c r="C20" s="10">
        <v>2.33E-4</v>
      </c>
      <c r="D20" s="12">
        <f>ROUND(D$3*C20,0)</f>
        <v>306</v>
      </c>
      <c r="E20" s="13">
        <f>ROUND(D20/2,0)</f>
        <v>153</v>
      </c>
      <c r="F20" s="12">
        <f>D20-E20</f>
        <v>153</v>
      </c>
    </row>
    <row r="21" spans="1:6">
      <c r="A21" s="8">
        <v>2</v>
      </c>
      <c r="B21" s="11" t="s">
        <v>1333</v>
      </c>
      <c r="C21" s="11"/>
      <c r="D21" s="9"/>
      <c r="E21" s="11"/>
      <c r="F21" s="11"/>
    </row>
    <row r="22" spans="1:6">
      <c r="A22" s="8"/>
      <c r="B22" s="11" t="s">
        <v>10</v>
      </c>
      <c r="C22" s="10">
        <v>9.810000000000001E-4</v>
      </c>
      <c r="D22" s="12">
        <f>ROUND(D$3*C22,0)</f>
        <v>1290</v>
      </c>
      <c r="E22" s="13">
        <f>ROUND(D22/2,0)</f>
        <v>645</v>
      </c>
      <c r="F22" s="12">
        <f>D22-E22</f>
        <v>645</v>
      </c>
    </row>
    <row r="23" spans="1:6">
      <c r="A23" s="8"/>
      <c r="B23" s="11" t="s">
        <v>11</v>
      </c>
      <c r="C23" s="10">
        <v>5.4500000000000002E-4</v>
      </c>
      <c r="D23" s="12">
        <f>ROUND(D$3*C23,0)</f>
        <v>717</v>
      </c>
      <c r="E23" s="13">
        <f>ROUND(D23/2,0)</f>
        <v>359</v>
      </c>
      <c r="F23" s="12">
        <f>D23-E23</f>
        <v>358</v>
      </c>
    </row>
    <row r="24" spans="1:6">
      <c r="A24" s="8">
        <v>2</v>
      </c>
      <c r="B24" s="11" t="s">
        <v>1665</v>
      </c>
      <c r="C24" s="11"/>
      <c r="D24" s="9"/>
      <c r="E24" s="11"/>
      <c r="F24" s="11"/>
    </row>
    <row r="25" spans="1:6">
      <c r="A25" s="8"/>
      <c r="B25" s="11" t="s">
        <v>10</v>
      </c>
      <c r="C25" s="10">
        <v>1.3300000000000001E-4</v>
      </c>
      <c r="D25" s="12">
        <f>ROUND(D$3*C25,0)</f>
        <v>175</v>
      </c>
      <c r="E25" s="13">
        <f>ROUND(D25/2,0)</f>
        <v>88</v>
      </c>
      <c r="F25" s="12">
        <f>D25-E25</f>
        <v>87</v>
      </c>
    </row>
    <row r="26" spans="1:6">
      <c r="A26" s="8"/>
      <c r="B26" s="11" t="s">
        <v>11</v>
      </c>
      <c r="C26" s="10">
        <v>2.8899999999999998E-4</v>
      </c>
      <c r="D26" s="12">
        <f>ROUND(D$3*C26,0)</f>
        <v>380</v>
      </c>
      <c r="E26" s="13">
        <f>ROUND(D26/2,0)</f>
        <v>190</v>
      </c>
      <c r="F26" s="12">
        <f>D26-E26</f>
        <v>190</v>
      </c>
    </row>
    <row r="27" spans="1:6">
      <c r="A27" s="8">
        <v>2</v>
      </c>
      <c r="B27" s="11" t="s">
        <v>873</v>
      </c>
      <c r="C27" s="11"/>
      <c r="D27" s="9"/>
      <c r="E27" s="11"/>
      <c r="F27" s="11"/>
    </row>
    <row r="28" spans="1:6">
      <c r="A28" s="8"/>
      <c r="B28" s="11" t="s">
        <v>10</v>
      </c>
      <c r="C28" s="10">
        <v>1.56E-4</v>
      </c>
      <c r="D28" s="12">
        <f>ROUND(D$3*C28,0)</f>
        <v>205</v>
      </c>
      <c r="E28" s="13">
        <f>ROUND(D28/2,0)</f>
        <v>103</v>
      </c>
      <c r="F28" s="12">
        <f>D28-E28</f>
        <v>102</v>
      </c>
    </row>
    <row r="29" spans="1:6">
      <c r="A29" s="8"/>
      <c r="B29" s="11" t="s">
        <v>11</v>
      </c>
      <c r="C29" s="10">
        <v>2.8600000000000001E-4</v>
      </c>
      <c r="D29" s="12">
        <f>ROUND(D$3*C29,0)</f>
        <v>376</v>
      </c>
      <c r="E29" s="13">
        <f>ROUND(D29/2,0)</f>
        <v>188</v>
      </c>
      <c r="F29" s="12">
        <f>D29-E29</f>
        <v>188</v>
      </c>
    </row>
    <row r="30" spans="1:6">
      <c r="A30" s="8">
        <v>2</v>
      </c>
      <c r="B30" s="11" t="s">
        <v>183</v>
      </c>
      <c r="C30" s="11"/>
      <c r="D30" s="9"/>
      <c r="E30" s="11"/>
      <c r="F30" s="11"/>
    </row>
    <row r="31" spans="1:6">
      <c r="A31" s="8"/>
      <c r="B31" s="11" t="s">
        <v>10</v>
      </c>
      <c r="C31" s="10">
        <v>6.3500000000000004E-4</v>
      </c>
      <c r="D31" s="12">
        <f>ROUND(D$3*C31,0)</f>
        <v>835</v>
      </c>
      <c r="E31" s="13">
        <f>ROUND(D31/2,0)</f>
        <v>418</v>
      </c>
      <c r="F31" s="12">
        <f>D31-E31</f>
        <v>417</v>
      </c>
    </row>
    <row r="32" spans="1:6">
      <c r="A32" s="8"/>
      <c r="B32" s="11" t="s">
        <v>11</v>
      </c>
      <c r="C32" s="10">
        <v>6.9399999999999996E-4</v>
      </c>
      <c r="D32" s="12">
        <f>ROUND(D$3*C32,0)</f>
        <v>913</v>
      </c>
      <c r="E32" s="13">
        <f>ROUND(D32/2,0)</f>
        <v>457</v>
      </c>
      <c r="F32" s="12">
        <f>D32-E32</f>
        <v>456</v>
      </c>
    </row>
    <row r="33" spans="1:6">
      <c r="A33" s="8">
        <v>2</v>
      </c>
      <c r="B33" s="11" t="s">
        <v>20</v>
      </c>
      <c r="C33" s="11"/>
      <c r="D33" s="9"/>
      <c r="E33" s="11"/>
      <c r="F33" s="11"/>
    </row>
    <row r="34" spans="1:6">
      <c r="A34" s="8"/>
      <c r="B34" s="11" t="s">
        <v>10</v>
      </c>
      <c r="C34" s="10">
        <v>1.06E-4</v>
      </c>
      <c r="D34" s="12">
        <f>ROUND(D$3*C34,0)</f>
        <v>139</v>
      </c>
      <c r="E34" s="13">
        <f>ROUND(D34/2,0)</f>
        <v>70</v>
      </c>
      <c r="F34" s="12">
        <f>D34-E34</f>
        <v>69</v>
      </c>
    </row>
    <row r="35" spans="1:6">
      <c r="A35" s="8"/>
      <c r="B35" s="11" t="s">
        <v>11</v>
      </c>
      <c r="C35" s="10">
        <v>0</v>
      </c>
      <c r="D35" s="12">
        <f>ROUND(D$3*C35,0)</f>
        <v>0</v>
      </c>
      <c r="E35" s="13">
        <f>ROUND(D35/2,0)</f>
        <v>0</v>
      </c>
      <c r="F35" s="12">
        <f>D35-E35</f>
        <v>0</v>
      </c>
    </row>
    <row r="36" spans="1:6">
      <c r="A36" s="8">
        <v>2</v>
      </c>
      <c r="B36" s="11" t="s">
        <v>21</v>
      </c>
      <c r="C36" s="11"/>
      <c r="D36" s="9"/>
      <c r="E36" s="11"/>
      <c r="F36" s="11"/>
    </row>
    <row r="37" spans="1:6">
      <c r="A37" s="8"/>
      <c r="B37" s="11" t="s">
        <v>10</v>
      </c>
      <c r="C37" s="10">
        <v>8.6499999999999999E-4</v>
      </c>
      <c r="D37" s="12">
        <f>ROUND(D$3*C37,0)</f>
        <v>1138</v>
      </c>
      <c r="E37" s="13">
        <f>ROUND(D37/2,0)</f>
        <v>569</v>
      </c>
      <c r="F37" s="12">
        <f>D37-E37</f>
        <v>569</v>
      </c>
    </row>
    <row r="38" spans="1:6">
      <c r="A38" s="8"/>
      <c r="B38" s="11" t="s">
        <v>11</v>
      </c>
      <c r="C38" s="10">
        <v>4.06E-4</v>
      </c>
      <c r="D38" s="12">
        <f>ROUND(D$3*C38,0)</f>
        <v>534</v>
      </c>
      <c r="E38" s="13">
        <f>ROUND(D38/2,0)</f>
        <v>267</v>
      </c>
      <c r="F38" s="12">
        <f>D38-E38</f>
        <v>267</v>
      </c>
    </row>
    <row r="39" spans="1:6">
      <c r="A39" s="8">
        <v>2</v>
      </c>
      <c r="B39" s="11" t="s">
        <v>22</v>
      </c>
      <c r="C39" s="11"/>
      <c r="D39" s="9"/>
      <c r="E39" s="11"/>
      <c r="F39" s="11"/>
    </row>
    <row r="40" spans="1:6">
      <c r="A40" s="8"/>
      <c r="B40" s="11" t="s">
        <v>10</v>
      </c>
      <c r="C40" s="10">
        <v>2.5399999999999999E-4</v>
      </c>
      <c r="D40" s="12">
        <f>ROUND(D$3*C40,0)</f>
        <v>334</v>
      </c>
      <c r="E40" s="13">
        <f>ROUND(D40/2,0)</f>
        <v>167</v>
      </c>
      <c r="F40" s="12">
        <f>D40-E40</f>
        <v>167</v>
      </c>
    </row>
    <row r="41" spans="1:6">
      <c r="A41" s="8"/>
      <c r="B41" s="11" t="s">
        <v>11</v>
      </c>
      <c r="C41" s="10">
        <v>2.0599999999999999E-4</v>
      </c>
      <c r="D41" s="12">
        <f>ROUND(D$3*C41,0)</f>
        <v>271</v>
      </c>
      <c r="E41" s="13">
        <f>ROUND(D41/2,0)</f>
        <v>136</v>
      </c>
      <c r="F41" s="12">
        <f>D41-E41</f>
        <v>135</v>
      </c>
    </row>
    <row r="42" spans="1:6">
      <c r="A42" s="8">
        <v>2</v>
      </c>
      <c r="B42" s="11" t="s">
        <v>61</v>
      </c>
      <c r="C42" s="11"/>
      <c r="D42" s="9"/>
      <c r="E42" s="11"/>
      <c r="F42" s="11"/>
    </row>
    <row r="43" spans="1:6">
      <c r="A43" s="8"/>
      <c r="B43" s="11" t="s">
        <v>10</v>
      </c>
      <c r="C43" s="10">
        <v>4.3600000000000003E-4</v>
      </c>
      <c r="D43" s="12">
        <f>ROUND(D$3*C43,0)</f>
        <v>573</v>
      </c>
      <c r="E43" s="13">
        <f>ROUND(D43/2,0)</f>
        <v>287</v>
      </c>
      <c r="F43" s="12">
        <f>D43-E43</f>
        <v>286</v>
      </c>
    </row>
    <row r="44" spans="1:6">
      <c r="A44" s="8"/>
      <c r="B44" s="11" t="s">
        <v>11</v>
      </c>
      <c r="C44" s="10">
        <v>3.7100000000000002E-4</v>
      </c>
      <c r="D44" s="12">
        <f>ROUND(D$3*C44,0)</f>
        <v>488</v>
      </c>
      <c r="E44" s="13">
        <f>ROUND(D44/2,0)</f>
        <v>244</v>
      </c>
      <c r="F44" s="12">
        <f>D44-E44</f>
        <v>244</v>
      </c>
    </row>
    <row r="45" spans="1:6">
      <c r="A45" s="8">
        <v>2</v>
      </c>
      <c r="B45" s="11" t="s">
        <v>1666</v>
      </c>
      <c r="C45" s="11"/>
      <c r="D45" s="9"/>
      <c r="E45" s="11"/>
      <c r="F45" s="11"/>
    </row>
    <row r="46" spans="1:6">
      <c r="A46" s="8"/>
      <c r="B46" s="11" t="s">
        <v>10</v>
      </c>
      <c r="C46" s="10">
        <v>1.9980000000000002E-3</v>
      </c>
      <c r="D46" s="12">
        <f t="shared" ref="D46:D55" si="0">ROUND(D$3*C46,0)</f>
        <v>2628</v>
      </c>
      <c r="E46" s="13">
        <f t="shared" ref="E46:E55" si="1">ROUND(D46/2,0)</f>
        <v>1314</v>
      </c>
      <c r="F46" s="12">
        <f t="shared" ref="F46:F55" si="2">D46-E46</f>
        <v>1314</v>
      </c>
    </row>
    <row r="47" spans="1:6">
      <c r="A47" s="8"/>
      <c r="B47" s="11" t="s">
        <v>11</v>
      </c>
      <c r="C47" s="10">
        <v>9.19E-4</v>
      </c>
      <c r="D47" s="12">
        <f t="shared" si="0"/>
        <v>1209</v>
      </c>
      <c r="E47" s="13">
        <f t="shared" si="1"/>
        <v>605</v>
      </c>
      <c r="F47" s="12">
        <f t="shared" si="2"/>
        <v>604</v>
      </c>
    </row>
    <row r="48" spans="1:6">
      <c r="A48" s="8">
        <v>3</v>
      </c>
      <c r="B48" s="11" t="s">
        <v>1667</v>
      </c>
      <c r="C48" s="10">
        <v>1.9699999999999999E-4</v>
      </c>
      <c r="D48" s="12">
        <f t="shared" si="0"/>
        <v>259</v>
      </c>
      <c r="E48" s="13">
        <f t="shared" si="1"/>
        <v>130</v>
      </c>
      <c r="F48" s="12">
        <f t="shared" si="2"/>
        <v>129</v>
      </c>
    </row>
    <row r="49" spans="1:6">
      <c r="A49" s="8">
        <v>3</v>
      </c>
      <c r="B49" s="11" t="s">
        <v>1668</v>
      </c>
      <c r="C49" s="10">
        <v>2.5700000000000001E-4</v>
      </c>
      <c r="D49" s="12">
        <f t="shared" si="0"/>
        <v>338</v>
      </c>
      <c r="E49" s="13">
        <f t="shared" si="1"/>
        <v>169</v>
      </c>
      <c r="F49" s="12">
        <f t="shared" si="2"/>
        <v>169</v>
      </c>
    </row>
    <row r="50" spans="1:6">
      <c r="A50" s="8">
        <v>3</v>
      </c>
      <c r="B50" s="11" t="s">
        <v>1669</v>
      </c>
      <c r="C50" s="10">
        <v>8.0900000000000004E-4</v>
      </c>
      <c r="D50" s="12">
        <f t="shared" si="0"/>
        <v>1064</v>
      </c>
      <c r="E50" s="13">
        <f t="shared" si="1"/>
        <v>532</v>
      </c>
      <c r="F50" s="12">
        <f t="shared" si="2"/>
        <v>532</v>
      </c>
    </row>
    <row r="51" spans="1:6">
      <c r="A51" s="8">
        <v>3</v>
      </c>
      <c r="B51" s="11" t="s">
        <v>1670</v>
      </c>
      <c r="C51" s="10">
        <v>0.15193000000000001</v>
      </c>
      <c r="D51" s="12">
        <f t="shared" si="0"/>
        <v>199826</v>
      </c>
      <c r="E51" s="13">
        <f t="shared" si="1"/>
        <v>99913</v>
      </c>
      <c r="F51" s="12">
        <f t="shared" si="2"/>
        <v>99913</v>
      </c>
    </row>
    <row r="52" spans="1:6">
      <c r="A52" s="8">
        <v>3</v>
      </c>
      <c r="B52" s="11" t="s">
        <v>120</v>
      </c>
      <c r="C52" s="10">
        <v>1.0369999999999999E-3</v>
      </c>
      <c r="D52" s="12">
        <f t="shared" si="0"/>
        <v>1364</v>
      </c>
      <c r="E52" s="13">
        <f t="shared" si="1"/>
        <v>682</v>
      </c>
      <c r="F52" s="12">
        <f t="shared" si="2"/>
        <v>682</v>
      </c>
    </row>
    <row r="53" spans="1:6">
      <c r="A53" s="8">
        <v>3</v>
      </c>
      <c r="B53" s="11" t="s">
        <v>1671</v>
      </c>
      <c r="C53" s="10">
        <v>8.61E-4</v>
      </c>
      <c r="D53" s="12">
        <f t="shared" si="0"/>
        <v>1132</v>
      </c>
      <c r="E53" s="13">
        <f t="shared" si="1"/>
        <v>566</v>
      </c>
      <c r="F53" s="12">
        <f t="shared" si="2"/>
        <v>566</v>
      </c>
    </row>
    <row r="54" spans="1:6">
      <c r="A54" s="8">
        <v>3</v>
      </c>
      <c r="B54" s="11" t="s">
        <v>1672</v>
      </c>
      <c r="C54" s="10">
        <v>3.7690000000000002E-3</v>
      </c>
      <c r="D54" s="12">
        <f t="shared" si="0"/>
        <v>4957</v>
      </c>
      <c r="E54" s="13">
        <f t="shared" si="1"/>
        <v>2479</v>
      </c>
      <c r="F54" s="12">
        <f t="shared" si="2"/>
        <v>2478</v>
      </c>
    </row>
    <row r="55" spans="1:6">
      <c r="A55" s="8">
        <v>4</v>
      </c>
      <c r="B55" s="11" t="s">
        <v>122</v>
      </c>
      <c r="C55" s="10">
        <v>1.7049000000000002E-2</v>
      </c>
      <c r="D55" s="9">
        <f t="shared" si="0"/>
        <v>22424</v>
      </c>
      <c r="E55" s="11">
        <f t="shared" si="1"/>
        <v>11212</v>
      </c>
      <c r="F55" s="9">
        <f t="shared" si="2"/>
        <v>11212</v>
      </c>
    </row>
    <row r="56" spans="1:6">
      <c r="A56" s="8"/>
      <c r="B56" s="11" t="s">
        <v>28</v>
      </c>
      <c r="C56" s="11"/>
      <c r="D56" s="14">
        <v>0.45708799999999999</v>
      </c>
      <c r="E56" s="11"/>
      <c r="F56" s="11"/>
    </row>
    <row r="57" spans="1:6">
      <c r="A57" s="8"/>
      <c r="B57" s="11" t="s">
        <v>29</v>
      </c>
      <c r="C57" s="11"/>
      <c r="D57" s="225">
        <f>ROUND(D55*D56,0)</f>
        <v>10250</v>
      </c>
      <c r="E57" s="226">
        <f>ROUND(D57/2,0)</f>
        <v>5125</v>
      </c>
      <c r="F57" s="225">
        <f>D57-E57</f>
        <v>5125</v>
      </c>
    </row>
    <row r="58" spans="1:6">
      <c r="A58" s="8"/>
      <c r="B58" s="11" t="s">
        <v>30</v>
      </c>
      <c r="C58" s="11"/>
      <c r="D58" s="12">
        <f>+D55-D57</f>
        <v>12174</v>
      </c>
      <c r="E58" s="13">
        <f>ROUND(D58/2,0)</f>
        <v>6087</v>
      </c>
      <c r="F58" s="12">
        <f>D58-E58</f>
        <v>6087</v>
      </c>
    </row>
    <row r="59" spans="1:6">
      <c r="A59" s="8">
        <v>4</v>
      </c>
      <c r="B59" s="11" t="s">
        <v>1673</v>
      </c>
      <c r="C59" s="10">
        <v>0.20152500000000001</v>
      </c>
      <c r="D59" s="9">
        <f>ROUND(D$3*C59,0)</f>
        <v>265055</v>
      </c>
      <c r="E59" s="11">
        <f>ROUND(D59/2,0)</f>
        <v>132528</v>
      </c>
      <c r="F59" s="9">
        <f>D59-E59</f>
        <v>132527</v>
      </c>
    </row>
    <row r="60" spans="1:6">
      <c r="A60" s="8"/>
      <c r="B60" s="11" t="s">
        <v>28</v>
      </c>
      <c r="C60" s="11"/>
      <c r="D60" s="14">
        <v>0.51582799999999995</v>
      </c>
      <c r="E60" s="11"/>
      <c r="F60" s="11"/>
    </row>
    <row r="61" spans="1:6">
      <c r="A61" s="8"/>
      <c r="B61" s="11" t="s">
        <v>29</v>
      </c>
      <c r="C61" s="11"/>
      <c r="D61" s="225">
        <f>ROUND(D59*D60,0)</f>
        <v>136723</v>
      </c>
      <c r="E61" s="226">
        <f>ROUND(D61/2,0)</f>
        <v>68362</v>
      </c>
      <c r="F61" s="225">
        <f>D61-E61</f>
        <v>68361</v>
      </c>
    </row>
    <row r="62" spans="1:6">
      <c r="A62" s="8"/>
      <c r="B62" s="11" t="s">
        <v>30</v>
      </c>
      <c r="C62" s="11"/>
      <c r="D62" s="12">
        <f>+D59-D61</f>
        <v>128332</v>
      </c>
      <c r="E62" s="13">
        <f>ROUND(D62/2,0)</f>
        <v>64166</v>
      </c>
      <c r="F62" s="12">
        <f>D62-E62</f>
        <v>64166</v>
      </c>
    </row>
    <row r="63" spans="1:6">
      <c r="A63" s="8">
        <v>4</v>
      </c>
      <c r="B63" s="11" t="s">
        <v>1674</v>
      </c>
      <c r="C63" s="10">
        <v>0.41173799999999999</v>
      </c>
      <c r="D63" s="9">
        <f>ROUND(D$3*C63,0)</f>
        <v>541538</v>
      </c>
      <c r="E63" s="11">
        <f>ROUND(D63/2,0)</f>
        <v>270769</v>
      </c>
      <c r="F63" s="9">
        <f>D63-E63</f>
        <v>270769</v>
      </c>
    </row>
    <row r="64" spans="1:6">
      <c r="A64" s="8"/>
      <c r="B64" s="11" t="s">
        <v>28</v>
      </c>
      <c r="C64" s="11"/>
      <c r="D64" s="14">
        <v>0.48616999999999999</v>
      </c>
      <c r="E64" s="11"/>
      <c r="F64" s="11"/>
    </row>
    <row r="65" spans="1:8">
      <c r="A65" s="8"/>
      <c r="B65" s="11" t="s">
        <v>29</v>
      </c>
      <c r="C65" s="11"/>
      <c r="D65" s="225">
        <f>ROUND(D63*D64,0)</f>
        <v>263280</v>
      </c>
      <c r="E65" s="226">
        <f>ROUND(D65/2,0)</f>
        <v>131640</v>
      </c>
      <c r="F65" s="225">
        <f>D65-E65</f>
        <v>131640</v>
      </c>
    </row>
    <row r="66" spans="1:8">
      <c r="A66" s="8"/>
      <c r="B66" s="11" t="s">
        <v>30</v>
      </c>
      <c r="C66" s="11"/>
      <c r="D66" s="12">
        <f>+D63-D65</f>
        <v>278258</v>
      </c>
      <c r="E66" s="13">
        <f>ROUND(D66/2,0)</f>
        <v>139129</v>
      </c>
      <c r="F66" s="12">
        <f>D66-E66</f>
        <v>139129</v>
      </c>
    </row>
    <row r="67" spans="1:8">
      <c r="A67" s="8">
        <v>4</v>
      </c>
      <c r="B67" s="11" t="s">
        <v>1675</v>
      </c>
      <c r="C67" s="10">
        <v>8.881E-3</v>
      </c>
      <c r="D67" s="9">
        <f>ROUND(D$3*C67,0)</f>
        <v>11681</v>
      </c>
      <c r="E67" s="11">
        <f>ROUND(D67/2,0)</f>
        <v>5841</v>
      </c>
      <c r="F67" s="9">
        <f>D67-E67</f>
        <v>5840</v>
      </c>
    </row>
    <row r="68" spans="1:8">
      <c r="A68" s="8"/>
      <c r="B68" s="11" t="s">
        <v>28</v>
      </c>
      <c r="C68" s="11"/>
      <c r="D68" s="14">
        <v>0.60087599999999997</v>
      </c>
      <c r="E68" s="11"/>
      <c r="F68" s="11"/>
    </row>
    <row r="69" spans="1:8">
      <c r="A69" s="8"/>
      <c r="B69" s="11" t="s">
        <v>29</v>
      </c>
      <c r="C69" s="11"/>
      <c r="D69" s="225">
        <f>ROUND(D67*D68,0)</f>
        <v>7019</v>
      </c>
      <c r="E69" s="226">
        <f t="shared" ref="E69:E75" si="3">ROUND(D69/2,0)</f>
        <v>3510</v>
      </c>
      <c r="F69" s="225">
        <f t="shared" ref="F69:F75" si="4">D69-E69</f>
        <v>3509</v>
      </c>
    </row>
    <row r="70" spans="1:8">
      <c r="A70" s="8"/>
      <c r="B70" s="11" t="s">
        <v>30</v>
      </c>
      <c r="C70" s="11"/>
      <c r="D70" s="12">
        <f>+D67-D69</f>
        <v>4662</v>
      </c>
      <c r="E70" s="13">
        <f t="shared" si="3"/>
        <v>2331</v>
      </c>
      <c r="F70" s="12">
        <f t="shared" si="4"/>
        <v>2331</v>
      </c>
    </row>
    <row r="71" spans="1:8">
      <c r="A71" s="8" t="s">
        <v>590</v>
      </c>
      <c r="B71" s="11" t="s">
        <v>128</v>
      </c>
      <c r="C71" s="10">
        <v>1.3899999999999999E-4</v>
      </c>
      <c r="D71" s="12">
        <f>ROUND(D$3*C71,0)</f>
        <v>183</v>
      </c>
      <c r="E71" s="13">
        <f t="shared" si="3"/>
        <v>92</v>
      </c>
      <c r="F71" s="12">
        <f t="shared" si="4"/>
        <v>91</v>
      </c>
    </row>
    <row r="72" spans="1:8">
      <c r="A72" s="8">
        <v>5</v>
      </c>
      <c r="B72" s="11" t="s">
        <v>1676</v>
      </c>
      <c r="C72" s="10">
        <v>2.6286E-2</v>
      </c>
      <c r="D72" s="12">
        <f>ROUND(D$3*C72,0)</f>
        <v>34573</v>
      </c>
      <c r="E72" s="13">
        <f t="shared" si="3"/>
        <v>17287</v>
      </c>
      <c r="F72" s="12">
        <f t="shared" si="4"/>
        <v>17286</v>
      </c>
    </row>
    <row r="73" spans="1:8">
      <c r="A73" s="8">
        <v>5</v>
      </c>
      <c r="B73" s="11" t="s">
        <v>1677</v>
      </c>
      <c r="C73" s="10">
        <v>3.1100000000000002E-4</v>
      </c>
      <c r="D73" s="12">
        <f>ROUND(D$3*C73,0)</f>
        <v>409</v>
      </c>
      <c r="E73" s="13">
        <f t="shared" si="3"/>
        <v>205</v>
      </c>
      <c r="F73" s="12">
        <f t="shared" si="4"/>
        <v>204</v>
      </c>
    </row>
    <row r="74" spans="1:8">
      <c r="A74" s="8">
        <v>6</v>
      </c>
      <c r="B74" s="11" t="s">
        <v>1678</v>
      </c>
      <c r="C74" s="10">
        <v>8.1069999999999996E-3</v>
      </c>
      <c r="D74" s="12">
        <f>+D3-SUM(D4:D5)-SUM(D10:D55)-D59-D63-D67-SUM(D71:D73)</f>
        <v>10662</v>
      </c>
      <c r="E74" s="13">
        <f t="shared" si="3"/>
        <v>5331</v>
      </c>
      <c r="F74" s="12">
        <f t="shared" si="4"/>
        <v>5331</v>
      </c>
    </row>
    <row r="75" spans="1:8">
      <c r="A75" s="8">
        <v>6</v>
      </c>
      <c r="B75" s="11" t="s">
        <v>287</v>
      </c>
      <c r="C75" s="10">
        <v>0</v>
      </c>
      <c r="D75" s="12">
        <f>ROUND(D$3*C75,0)</f>
        <v>0</v>
      </c>
      <c r="E75" s="13">
        <f t="shared" si="3"/>
        <v>0</v>
      </c>
      <c r="F75" s="12">
        <f t="shared" si="4"/>
        <v>0</v>
      </c>
    </row>
    <row r="76" spans="1:8">
      <c r="A76" s="8"/>
      <c r="B76" s="28" t="s">
        <v>288</v>
      </c>
      <c r="C76" s="10">
        <v>1.0000000000000002</v>
      </c>
      <c r="D76" s="12">
        <f>+D4+SUM(D7:D54)+SUM(D57:D58)+SUM(D61:D62)+SUM(D65:D66)+SUM(D69:D75)</f>
        <v>1315248</v>
      </c>
      <c r="E76" s="12">
        <f>+E4+SUM(E7:E54)+SUM(E57:E58)+SUM(E61:E62)+SUM(E65:E66)+SUM(E69:E75)</f>
        <v>657635</v>
      </c>
      <c r="F76" s="12">
        <f>+F4+SUM(F7:F54)+SUM(F57:F58)+SUM(F61:F62)+SUM(F65:F66)+SUM(F69:F75)</f>
        <v>657613</v>
      </c>
    </row>
    <row r="77" spans="1:8">
      <c r="B77" s="18" t="s">
        <v>38</v>
      </c>
      <c r="D77" s="19">
        <f>+D4</f>
        <v>1589</v>
      </c>
      <c r="E77" s="19">
        <f>+E4</f>
        <v>795</v>
      </c>
      <c r="F77" s="19">
        <f>+F4</f>
        <v>794</v>
      </c>
    </row>
    <row r="78" spans="1:8">
      <c r="B78" s="2" t="s">
        <v>39</v>
      </c>
      <c r="D78" s="19">
        <f>+D7</f>
        <v>56614</v>
      </c>
      <c r="E78" s="19">
        <f>+E7</f>
        <v>28307</v>
      </c>
      <c r="F78" s="19">
        <f>+F7</f>
        <v>28307</v>
      </c>
    </row>
    <row r="79" spans="1:8">
      <c r="B79" s="2" t="s">
        <v>40</v>
      </c>
      <c r="D79" s="19">
        <f>+D57+D61+D65+D69</f>
        <v>417272</v>
      </c>
      <c r="E79" s="19">
        <f>+E57+E61+E65+E69</f>
        <v>208637</v>
      </c>
      <c r="F79" s="19">
        <f>+F57+F61+F65+F69</f>
        <v>208635</v>
      </c>
      <c r="H79" s="3">
        <v>1</v>
      </c>
    </row>
    <row r="80" spans="1:8">
      <c r="B80" s="18" t="s">
        <v>41</v>
      </c>
      <c r="D80" s="19">
        <f>+D76-D77-D78-D79</f>
        <v>839773</v>
      </c>
      <c r="E80" s="19">
        <f>+E76-E77-E78-E79</f>
        <v>419896</v>
      </c>
      <c r="F80" s="19">
        <f>+F76-F77-F78-F79</f>
        <v>419877</v>
      </c>
      <c r="H80" s="3">
        <v>2</v>
      </c>
    </row>
    <row r="82" spans="2:4" hidden="1">
      <c r="B82" s="3" t="s">
        <v>42</v>
      </c>
      <c r="C82" s="4">
        <v>0</v>
      </c>
      <c r="D82" s="3">
        <f>+D74-ROUND(D3*C74,0)</f>
        <v>-1</v>
      </c>
    </row>
  </sheetData>
  <pageMargins left="0.7" right="0.7" top="0.75" bottom="0.75" header="0.3" footer="0.3"/>
  <pageSetup scale="56"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1">
    <pageSetUpPr fitToPage="1"/>
  </sheetPr>
  <dimension ref="A1:WVB71"/>
  <sheetViews>
    <sheetView zoomScaleNormal="100" zoomScaleSheetLayoutView="80" workbookViewId="0">
      <selection activeCell="D38" activeCellId="2" sqref="D7:F7 D34:F34 D38:F38"/>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5.425781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5.425781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5.425781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5.425781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5.425781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5.425781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5.425781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5.425781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5.425781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5.425781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5.425781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5.425781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5.425781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5.425781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5.425781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5.425781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5.425781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5.425781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5.425781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5.425781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5.425781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5.425781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5.425781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5.425781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5.425781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5.425781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5.425781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5.425781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5.425781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5.425781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5.425781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5.425781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5.425781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5.425781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5.425781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5.425781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5.425781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5.425781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5.425781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5.425781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5.425781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5.425781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5.425781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5.425781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5.425781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5.425781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5.425781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5.425781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5.425781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5.425781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5.425781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5.425781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5.425781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5.425781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5.425781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5.425781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5.425781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5.425781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5.425781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5.425781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5.425781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5.425781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5.425781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1679</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Worksheet'!$D$83</f>
        <v>165221</v>
      </c>
      <c r="E3" s="11"/>
      <c r="F3" s="11"/>
    </row>
    <row r="4" spans="1:6">
      <c r="A4" s="8">
        <v>0</v>
      </c>
      <c r="B4" s="11" t="s">
        <v>4</v>
      </c>
      <c r="C4" s="10">
        <v>1.2359999999999999E-3</v>
      </c>
      <c r="D4" s="12">
        <f>ROUND(D$3*C4,0)</f>
        <v>204</v>
      </c>
      <c r="E4" s="13">
        <f>ROUND(D4/2,0)</f>
        <v>102</v>
      </c>
      <c r="F4" s="12">
        <f>D4-E4</f>
        <v>102</v>
      </c>
    </row>
    <row r="5" spans="1:6">
      <c r="A5" s="8">
        <v>1</v>
      </c>
      <c r="B5" s="11" t="s">
        <v>1680</v>
      </c>
      <c r="C5" s="10">
        <v>0.18529000000000001</v>
      </c>
      <c r="D5" s="9">
        <f>ROUND(D$3*C5,0)</f>
        <v>30614</v>
      </c>
      <c r="E5" s="11">
        <f>ROUND(D5/2,0)</f>
        <v>15307</v>
      </c>
      <c r="F5" s="9">
        <f>D5-E5</f>
        <v>15307</v>
      </c>
    </row>
    <row r="6" spans="1:6">
      <c r="A6" s="8"/>
      <c r="B6" s="11" t="s">
        <v>6</v>
      </c>
      <c r="C6" s="11"/>
      <c r="D6" s="14">
        <v>7.0050000000000001E-2</v>
      </c>
      <c r="E6" s="11"/>
      <c r="F6" s="11"/>
    </row>
    <row r="7" spans="1:6">
      <c r="A7" s="8"/>
      <c r="B7" s="11" t="s">
        <v>7</v>
      </c>
      <c r="C7" s="11"/>
      <c r="D7" s="225">
        <f>ROUND(D5*D6,0)</f>
        <v>2145</v>
      </c>
      <c r="E7" s="226">
        <f>ROUND(D7/2,0)</f>
        <v>1073</v>
      </c>
      <c r="F7" s="225">
        <f>D7-E7</f>
        <v>1072</v>
      </c>
    </row>
    <row r="8" spans="1:6">
      <c r="A8" s="8"/>
      <c r="B8" s="11" t="s">
        <v>8</v>
      </c>
      <c r="C8" s="11"/>
      <c r="D8" s="12">
        <f>+D5-D7</f>
        <v>28469</v>
      </c>
      <c r="E8" s="13">
        <f>ROUND(D8/2,0)</f>
        <v>14235</v>
      </c>
      <c r="F8" s="12">
        <f>D8-E8</f>
        <v>14234</v>
      </c>
    </row>
    <row r="9" spans="1:6">
      <c r="A9" s="8">
        <v>2</v>
      </c>
      <c r="B9" s="11" t="s">
        <v>1681</v>
      </c>
      <c r="C9" s="11"/>
      <c r="D9" s="9"/>
      <c r="E9" s="11"/>
      <c r="F9" s="11"/>
    </row>
    <row r="10" spans="1:6">
      <c r="A10" s="8"/>
      <c r="B10" s="11" t="s">
        <v>10</v>
      </c>
      <c r="C10" s="10">
        <v>6.0289999999999996E-3</v>
      </c>
      <c r="D10" s="12">
        <f>ROUND(D$3*C10,0)</f>
        <v>996</v>
      </c>
      <c r="E10" s="13">
        <f>ROUND(D10/2,0)</f>
        <v>498</v>
      </c>
      <c r="F10" s="12">
        <f>D10-E10</f>
        <v>498</v>
      </c>
    </row>
    <row r="11" spans="1:6">
      <c r="A11" s="8"/>
      <c r="B11" s="11" t="s">
        <v>11</v>
      </c>
      <c r="C11" s="10">
        <v>7.0000000000000001E-3</v>
      </c>
      <c r="D11" s="12">
        <f>ROUND(D$3*C11,0)</f>
        <v>1157</v>
      </c>
      <c r="E11" s="13">
        <f>ROUND(D11/2,0)</f>
        <v>579</v>
      </c>
      <c r="F11" s="12">
        <f>D11-E11</f>
        <v>578</v>
      </c>
    </row>
    <row r="12" spans="1:6">
      <c r="A12" s="8">
        <v>2</v>
      </c>
      <c r="B12" s="11" t="s">
        <v>14</v>
      </c>
      <c r="C12" s="11"/>
      <c r="D12" s="9"/>
      <c r="E12" s="11"/>
      <c r="F12" s="11"/>
    </row>
    <row r="13" spans="1:6">
      <c r="A13" s="8"/>
      <c r="B13" s="11" t="s">
        <v>10</v>
      </c>
      <c r="C13" s="10">
        <v>2.3939999999999999E-3</v>
      </c>
      <c r="D13" s="12">
        <f>ROUND(D$3*C13,0)</f>
        <v>396</v>
      </c>
      <c r="E13" s="13">
        <f>ROUND(D13/2,0)</f>
        <v>198</v>
      </c>
      <c r="F13" s="12">
        <f>D13-E13</f>
        <v>198</v>
      </c>
    </row>
    <row r="14" spans="1:6">
      <c r="A14" s="8"/>
      <c r="B14" s="11" t="s">
        <v>11</v>
      </c>
      <c r="C14" s="10">
        <v>4.6299999999999998E-4</v>
      </c>
      <c r="D14" s="12">
        <f>ROUND(D$3*C14,0)</f>
        <v>76</v>
      </c>
      <c r="E14" s="13">
        <f>ROUND(D14/2,0)</f>
        <v>38</v>
      </c>
      <c r="F14" s="12">
        <f>D14-E14</f>
        <v>38</v>
      </c>
    </row>
    <row r="15" spans="1:6">
      <c r="A15" s="8">
        <v>2</v>
      </c>
      <c r="B15" s="11" t="s">
        <v>181</v>
      </c>
      <c r="C15" s="11"/>
      <c r="D15" s="9"/>
      <c r="E15" s="11"/>
      <c r="F15" s="11"/>
    </row>
    <row r="16" spans="1:6">
      <c r="A16" s="8"/>
      <c r="B16" s="11" t="s">
        <v>10</v>
      </c>
      <c r="C16" s="10">
        <v>1.704E-3</v>
      </c>
      <c r="D16" s="12">
        <f>ROUND(D$3*C16,0)</f>
        <v>282</v>
      </c>
      <c r="E16" s="13">
        <f>ROUND(D16/2,0)</f>
        <v>141</v>
      </c>
      <c r="F16" s="12">
        <f>D16-E16</f>
        <v>141</v>
      </c>
    </row>
    <row r="17" spans="1:6">
      <c r="A17" s="8"/>
      <c r="B17" s="11" t="s">
        <v>11</v>
      </c>
      <c r="C17" s="10">
        <v>2.333E-3</v>
      </c>
      <c r="D17" s="12">
        <f>ROUND(D$3*C17,0)</f>
        <v>385</v>
      </c>
      <c r="E17" s="13">
        <f>ROUND(D17/2,0)</f>
        <v>193</v>
      </c>
      <c r="F17" s="12">
        <f>D17-E17</f>
        <v>192</v>
      </c>
    </row>
    <row r="18" spans="1:6">
      <c r="A18" s="8">
        <v>2</v>
      </c>
      <c r="B18" s="11" t="s">
        <v>52</v>
      </c>
      <c r="C18" s="11"/>
      <c r="D18" s="9"/>
      <c r="E18" s="11"/>
      <c r="F18" s="11"/>
    </row>
    <row r="19" spans="1:6">
      <c r="A19" s="8"/>
      <c r="B19" s="11" t="s">
        <v>10</v>
      </c>
      <c r="C19" s="10">
        <v>1.3179999999999999E-3</v>
      </c>
      <c r="D19" s="12">
        <f>ROUND(D$3*C19,0)</f>
        <v>218</v>
      </c>
      <c r="E19" s="13">
        <f>ROUND(D19/2,0)</f>
        <v>109</v>
      </c>
      <c r="F19" s="12">
        <f>D19-E19</f>
        <v>109</v>
      </c>
    </row>
    <row r="20" spans="1:6">
      <c r="A20" s="8"/>
      <c r="B20" s="11" t="s">
        <v>11</v>
      </c>
      <c r="C20" s="10">
        <v>2.9840000000000001E-3</v>
      </c>
      <c r="D20" s="12">
        <f>ROUND(D$3*C20,0)</f>
        <v>493</v>
      </c>
      <c r="E20" s="13">
        <f>ROUND(D20/2,0)</f>
        <v>247</v>
      </c>
      <c r="F20" s="12">
        <f>D20-E20</f>
        <v>246</v>
      </c>
    </row>
    <row r="21" spans="1:6">
      <c r="A21" s="8">
        <v>2</v>
      </c>
      <c r="B21" s="11" t="s">
        <v>744</v>
      </c>
      <c r="C21" s="11"/>
      <c r="D21" s="9"/>
      <c r="E21" s="11"/>
      <c r="F21" s="11"/>
    </row>
    <row r="22" spans="1:6">
      <c r="A22" s="8"/>
      <c r="B22" s="11" t="s">
        <v>10</v>
      </c>
      <c r="C22" s="10">
        <v>1.1249999999999999E-3</v>
      </c>
      <c r="D22" s="12">
        <f>ROUND(D$3*C22,0)</f>
        <v>186</v>
      </c>
      <c r="E22" s="13">
        <f>ROUND(D22/2,0)</f>
        <v>93</v>
      </c>
      <c r="F22" s="12">
        <f>D22-E22</f>
        <v>93</v>
      </c>
    </row>
    <row r="23" spans="1:6">
      <c r="A23" s="8"/>
      <c r="B23" s="11" t="s">
        <v>11</v>
      </c>
      <c r="C23" s="10">
        <v>6.1799999999999995E-4</v>
      </c>
      <c r="D23" s="12">
        <f>ROUND(D$3*C23,0)</f>
        <v>102</v>
      </c>
      <c r="E23" s="13">
        <f>ROUND(D23/2,0)</f>
        <v>51</v>
      </c>
      <c r="F23" s="12">
        <f>D23-E23</f>
        <v>51</v>
      </c>
    </row>
    <row r="24" spans="1:6">
      <c r="A24" s="8">
        <v>2</v>
      </c>
      <c r="B24" s="11" t="s">
        <v>1682</v>
      </c>
      <c r="C24" s="11"/>
      <c r="D24" s="9"/>
      <c r="E24" s="11"/>
      <c r="F24" s="11"/>
    </row>
    <row r="25" spans="1:6">
      <c r="A25" s="8"/>
      <c r="B25" s="11" t="s">
        <v>10</v>
      </c>
      <c r="C25" s="10">
        <v>3.0119999999999999E-3</v>
      </c>
      <c r="D25" s="12">
        <f t="shared" ref="D25:D32" si="0">ROUND(D$3*C25,0)</f>
        <v>498</v>
      </c>
      <c r="E25" s="13">
        <f t="shared" ref="E25:E32" si="1">ROUND(D25/2,0)</f>
        <v>249</v>
      </c>
      <c r="F25" s="12">
        <f t="shared" ref="F25:F32" si="2">D25-E25</f>
        <v>249</v>
      </c>
    </row>
    <row r="26" spans="1:6">
      <c r="A26" s="8"/>
      <c r="B26" s="11" t="s">
        <v>11</v>
      </c>
      <c r="C26" s="10">
        <v>1.2800000000000001E-3</v>
      </c>
      <c r="D26" s="12">
        <f t="shared" si="0"/>
        <v>211</v>
      </c>
      <c r="E26" s="13">
        <f t="shared" si="1"/>
        <v>106</v>
      </c>
      <c r="F26" s="12">
        <f t="shared" si="2"/>
        <v>105</v>
      </c>
    </row>
    <row r="27" spans="1:6">
      <c r="A27" s="8">
        <v>3</v>
      </c>
      <c r="B27" s="11" t="s">
        <v>1130</v>
      </c>
      <c r="C27" s="10">
        <v>0</v>
      </c>
      <c r="D27" s="12">
        <f t="shared" si="0"/>
        <v>0</v>
      </c>
      <c r="E27" s="13">
        <f t="shared" si="1"/>
        <v>0</v>
      </c>
      <c r="F27" s="12">
        <f t="shared" si="2"/>
        <v>0</v>
      </c>
    </row>
    <row r="28" spans="1:6">
      <c r="A28" s="8">
        <v>3</v>
      </c>
      <c r="B28" s="11" t="s">
        <v>1683</v>
      </c>
      <c r="C28" s="10">
        <v>1.3619999999999999E-3</v>
      </c>
      <c r="D28" s="12">
        <f t="shared" si="0"/>
        <v>225</v>
      </c>
      <c r="E28" s="13">
        <f t="shared" si="1"/>
        <v>113</v>
      </c>
      <c r="F28" s="12">
        <f t="shared" si="2"/>
        <v>112</v>
      </c>
    </row>
    <row r="29" spans="1:6">
      <c r="A29" s="8">
        <v>3</v>
      </c>
      <c r="B29" s="11" t="s">
        <v>1684</v>
      </c>
      <c r="C29" s="10">
        <v>8.7699999999999996E-4</v>
      </c>
      <c r="D29" s="12">
        <f t="shared" si="0"/>
        <v>145</v>
      </c>
      <c r="E29" s="13">
        <f t="shared" si="1"/>
        <v>73</v>
      </c>
      <c r="F29" s="12">
        <f t="shared" si="2"/>
        <v>72</v>
      </c>
    </row>
    <row r="30" spans="1:6">
      <c r="A30" s="8">
        <v>3</v>
      </c>
      <c r="B30" s="11" t="s">
        <v>1685</v>
      </c>
      <c r="C30" s="10">
        <v>9.1991000000000003E-2</v>
      </c>
      <c r="D30" s="12">
        <f t="shared" si="0"/>
        <v>15199</v>
      </c>
      <c r="E30" s="13">
        <f t="shared" si="1"/>
        <v>7600</v>
      </c>
      <c r="F30" s="12">
        <f t="shared" si="2"/>
        <v>7599</v>
      </c>
    </row>
    <row r="31" spans="1:6">
      <c r="A31" s="8">
        <v>3</v>
      </c>
      <c r="B31" s="11" t="s">
        <v>1686</v>
      </c>
      <c r="C31" s="10">
        <v>4.5620000000000001E-3</v>
      </c>
      <c r="D31" s="12">
        <f t="shared" si="0"/>
        <v>754</v>
      </c>
      <c r="E31" s="13">
        <f t="shared" si="1"/>
        <v>377</v>
      </c>
      <c r="F31" s="12">
        <f t="shared" si="2"/>
        <v>377</v>
      </c>
    </row>
    <row r="32" spans="1:6">
      <c r="A32" s="8">
        <v>4</v>
      </c>
      <c r="B32" s="11" t="s">
        <v>1687</v>
      </c>
      <c r="C32" s="10">
        <v>0.220968</v>
      </c>
      <c r="D32" s="9">
        <f t="shared" si="0"/>
        <v>36509</v>
      </c>
      <c r="E32" s="11">
        <f t="shared" si="1"/>
        <v>18255</v>
      </c>
      <c r="F32" s="9">
        <f t="shared" si="2"/>
        <v>18254</v>
      </c>
    </row>
    <row r="33" spans="1:8">
      <c r="A33" s="8"/>
      <c r="B33" s="11" t="s">
        <v>28</v>
      </c>
      <c r="C33" s="11"/>
      <c r="D33" s="14">
        <v>0.43543100000000001</v>
      </c>
      <c r="E33" s="11"/>
      <c r="F33" s="11"/>
    </row>
    <row r="34" spans="1:8">
      <c r="A34" s="8"/>
      <c r="B34" s="11" t="s">
        <v>29</v>
      </c>
      <c r="C34" s="11"/>
      <c r="D34" s="225">
        <f>ROUND(D32*D33,0)</f>
        <v>15897</v>
      </c>
      <c r="E34" s="226">
        <f>ROUND(D34/2,0)</f>
        <v>7949</v>
      </c>
      <c r="F34" s="225">
        <f>D34-E34</f>
        <v>7948</v>
      </c>
    </row>
    <row r="35" spans="1:8">
      <c r="A35" s="8"/>
      <c r="B35" s="11" t="s">
        <v>30</v>
      </c>
      <c r="C35" s="11"/>
      <c r="D35" s="12">
        <f>+D32-D34</f>
        <v>20612</v>
      </c>
      <c r="E35" s="13">
        <f>ROUND(D35/2,0)</f>
        <v>10306</v>
      </c>
      <c r="F35" s="12">
        <f>D35-E35</f>
        <v>10306</v>
      </c>
    </row>
    <row r="36" spans="1:8">
      <c r="A36" s="8">
        <v>4</v>
      </c>
      <c r="B36" s="11" t="s">
        <v>1688</v>
      </c>
      <c r="C36" s="10">
        <v>0.41634599999999999</v>
      </c>
      <c r="D36" s="9">
        <f>ROUND(D$3*C36,0)</f>
        <v>68789</v>
      </c>
      <c r="E36" s="11">
        <f>ROUND(D36/2,0)</f>
        <v>34395</v>
      </c>
      <c r="F36" s="9">
        <f>D36-E36</f>
        <v>34394</v>
      </c>
    </row>
    <row r="37" spans="1:8">
      <c r="A37" s="8"/>
      <c r="B37" s="11" t="s">
        <v>28</v>
      </c>
      <c r="C37" s="11"/>
      <c r="D37" s="14">
        <v>0.48242400000000002</v>
      </c>
      <c r="E37" s="11"/>
      <c r="F37" s="11"/>
    </row>
    <row r="38" spans="1:8">
      <c r="A38" s="8"/>
      <c r="B38" s="11" t="s">
        <v>29</v>
      </c>
      <c r="C38" s="11"/>
      <c r="D38" s="225">
        <f>ROUND(D36*D37,0)</f>
        <v>33185</v>
      </c>
      <c r="E38" s="226">
        <f>ROUND(D38/2,0)</f>
        <v>16593</v>
      </c>
      <c r="F38" s="225">
        <f>D38-E38</f>
        <v>16592</v>
      </c>
    </row>
    <row r="39" spans="1:8">
      <c r="A39" s="8"/>
      <c r="B39" s="11" t="s">
        <v>30</v>
      </c>
      <c r="C39" s="11"/>
      <c r="D39" s="12">
        <f>+D36-D38</f>
        <v>35604</v>
      </c>
      <c r="E39" s="13">
        <f>ROUND(D39/2,0)</f>
        <v>17802</v>
      </c>
      <c r="F39" s="12">
        <f>D39-E39</f>
        <v>17802</v>
      </c>
    </row>
    <row r="40" spans="1:8">
      <c r="A40" s="8">
        <v>5</v>
      </c>
      <c r="B40" s="11" t="s">
        <v>1689</v>
      </c>
      <c r="C40" s="10">
        <v>4.0856999999999997E-2</v>
      </c>
      <c r="D40" s="12">
        <f>ROUND(D$3*C40,0)</f>
        <v>6750</v>
      </c>
      <c r="E40" s="13">
        <f>ROUND(D40/2,0)</f>
        <v>3375</v>
      </c>
      <c r="F40" s="12">
        <f>D40-E40</f>
        <v>3375</v>
      </c>
    </row>
    <row r="41" spans="1:8">
      <c r="A41" s="8">
        <v>6</v>
      </c>
      <c r="B41" s="11" t="s">
        <v>1690</v>
      </c>
      <c r="C41" s="10">
        <v>6.2510000000000066E-3</v>
      </c>
      <c r="D41" s="12">
        <f>+D3-SUM(D4:D5)-SUM(D10:D32)-D36-D40</f>
        <v>1032</v>
      </c>
      <c r="E41" s="13">
        <f>ROUND(D41/2,0)</f>
        <v>516</v>
      </c>
      <c r="F41" s="12">
        <f>D41-E41</f>
        <v>516</v>
      </c>
    </row>
    <row r="42" spans="1:8">
      <c r="A42" s="8"/>
      <c r="B42" s="28" t="s">
        <v>288</v>
      </c>
      <c r="C42" s="10">
        <v>1</v>
      </c>
      <c r="D42" s="12">
        <f>+D4+SUM(D7:D31)+SUM(D34:D35)+SUM(D38:D41)</f>
        <v>165221</v>
      </c>
      <c r="E42" s="12">
        <f>+E4+SUM(E7:E31)+SUM(E34:E35)+SUM(E38:E41)</f>
        <v>82616</v>
      </c>
      <c r="F42" s="12">
        <f>+F4+SUM(F7:F31)+SUM(F34:F35)+SUM(F38:F41)</f>
        <v>82605</v>
      </c>
    </row>
    <row r="43" spans="1:8">
      <c r="B43" s="18" t="s">
        <v>38</v>
      </c>
      <c r="D43" s="19">
        <f>+D4</f>
        <v>204</v>
      </c>
      <c r="E43" s="19">
        <f>+E4</f>
        <v>102</v>
      </c>
      <c r="F43" s="19">
        <f>+F4</f>
        <v>102</v>
      </c>
    </row>
    <row r="44" spans="1:8">
      <c r="B44" s="2" t="s">
        <v>39</v>
      </c>
      <c r="D44" s="19">
        <f>+D7</f>
        <v>2145</v>
      </c>
      <c r="E44" s="19">
        <f>+E7</f>
        <v>1073</v>
      </c>
      <c r="F44" s="19">
        <f>+F7</f>
        <v>1072</v>
      </c>
    </row>
    <row r="45" spans="1:8">
      <c r="B45" s="2" t="s">
        <v>40</v>
      </c>
      <c r="D45" s="19">
        <f>+D34+D38</f>
        <v>49082</v>
      </c>
      <c r="E45" s="19">
        <f>+E34+E38</f>
        <v>24542</v>
      </c>
      <c r="F45" s="19">
        <f>+F34+F38</f>
        <v>24540</v>
      </c>
      <c r="H45" s="3">
        <v>1</v>
      </c>
    </row>
    <row r="46" spans="1:8">
      <c r="B46" s="18" t="s">
        <v>41</v>
      </c>
      <c r="D46" s="19">
        <f>+D42-D43-D44-D45</f>
        <v>113790</v>
      </c>
      <c r="E46" s="19">
        <f>+E42-E43-E44-E45</f>
        <v>56899</v>
      </c>
      <c r="F46" s="19">
        <f>+F42-F43-F44-F45</f>
        <v>56891</v>
      </c>
      <c r="H46" s="3">
        <v>2</v>
      </c>
    </row>
    <row r="47" spans="1:8" hidden="1"/>
    <row r="48" spans="1:8" hidden="1">
      <c r="B48" s="3" t="s">
        <v>42</v>
      </c>
      <c r="C48" s="4">
        <v>1.0000000000062043E-6</v>
      </c>
      <c r="D48" s="3">
        <f>+D41-ROUND(D3*C41,0)</f>
        <v>-1</v>
      </c>
    </row>
    <row r="49" hidden="1"/>
    <row r="50" hidden="1"/>
    <row r="51" hidden="1"/>
    <row r="52" hidden="1"/>
    <row r="53" hidden="1"/>
    <row r="54" hidden="1"/>
    <row r="55" hidden="1"/>
    <row r="56" hidden="1"/>
    <row r="57" hidden="1"/>
    <row r="58" hidden="1"/>
    <row r="59" hidden="1"/>
    <row r="60" hidden="1"/>
    <row r="61" hidden="1"/>
    <row r="62" hidden="1"/>
    <row r="63" hidden="1"/>
    <row r="64" hidden="1"/>
    <row r="65" spans="1:1" hidden="1"/>
    <row r="66" spans="1:1" hidden="1"/>
    <row r="67" spans="1:1" hidden="1"/>
    <row r="68" spans="1:1" hidden="1"/>
    <row r="69" spans="1:1" hidden="1"/>
    <row r="70" spans="1:1" hidden="1"/>
    <row r="71" spans="1:1" hidden="1">
      <c r="A71" s="1" t="s">
        <v>590</v>
      </c>
    </row>
  </sheetData>
  <pageMargins left="0.7" right="0.7" top="0.75" bottom="0.75" header="0.3" footer="0.3"/>
  <pageSetup scale="65"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pageSetUpPr fitToPage="1"/>
  </sheetPr>
  <dimension ref="A1:WVB71"/>
  <sheetViews>
    <sheetView zoomScaleNormal="100" zoomScaleSheetLayoutView="80" workbookViewId="0">
      <selection activeCell="D31" activeCellId="1" sqref="D7:F7 D31:F31"/>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3.140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3.140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3.140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3.140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3.140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3.140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3.140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3.140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3.140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3.140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3.140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3.140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3.140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3.140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3.140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3.140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3.140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3.140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3.140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3.140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3.140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3.140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3.140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3.140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3.140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3.140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3.140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3.140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3.140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3.140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3.140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3.140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3.140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3.140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3.140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3.140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3.140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3.140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3.140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3.140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3.140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3.140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3.140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3.140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3.140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3.140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3.140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3.140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3.140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3.140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3.140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3.140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3.140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3.140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3.140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3.140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3.140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3.140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3.140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3.140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3.140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3.140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3.140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1691</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Worksheet'!$D$84</f>
        <v>45289</v>
      </c>
      <c r="E3" s="11"/>
      <c r="F3" s="11"/>
    </row>
    <row r="4" spans="1:6">
      <c r="A4" s="8">
        <v>0</v>
      </c>
      <c r="B4" s="11" t="s">
        <v>4</v>
      </c>
      <c r="C4" s="10">
        <v>1.127E-3</v>
      </c>
      <c r="D4" s="12">
        <f>ROUND(D$3*C4,0)</f>
        <v>51</v>
      </c>
      <c r="E4" s="13">
        <f>ROUND(D4/2,0)</f>
        <v>26</v>
      </c>
      <c r="F4" s="12">
        <f>D4-E4</f>
        <v>25</v>
      </c>
    </row>
    <row r="5" spans="1:6">
      <c r="A5" s="8">
        <v>1</v>
      </c>
      <c r="B5" s="11" t="s">
        <v>1692</v>
      </c>
      <c r="C5" s="10">
        <v>0.22220400000000001</v>
      </c>
      <c r="D5" s="9">
        <f>ROUND(D$3*C5,0)</f>
        <v>10063</v>
      </c>
      <c r="E5" s="11">
        <f>ROUND(D5/2,0)</f>
        <v>5032</v>
      </c>
      <c r="F5" s="9">
        <f>D5-E5</f>
        <v>5031</v>
      </c>
    </row>
    <row r="6" spans="1:6">
      <c r="A6" s="8"/>
      <c r="B6" s="11" t="s">
        <v>6</v>
      </c>
      <c r="C6" s="11"/>
      <c r="D6" s="14">
        <v>0.29985800000000001</v>
      </c>
      <c r="E6" s="11"/>
      <c r="F6" s="11"/>
    </row>
    <row r="7" spans="1:6">
      <c r="A7" s="8"/>
      <c r="B7" s="11" t="s">
        <v>7</v>
      </c>
      <c r="C7" s="11"/>
      <c r="D7" s="225">
        <f>ROUND(D5*D6,0)</f>
        <v>3017</v>
      </c>
      <c r="E7" s="226">
        <f>ROUND(D7/2,0)</f>
        <v>1509</v>
      </c>
      <c r="F7" s="225">
        <f>D7-E7</f>
        <v>1508</v>
      </c>
    </row>
    <row r="8" spans="1:6">
      <c r="A8" s="8"/>
      <c r="B8" s="11" t="s">
        <v>8</v>
      </c>
      <c r="C8" s="11"/>
      <c r="D8" s="12">
        <f>+D5-D7</f>
        <v>7046</v>
      </c>
      <c r="E8" s="13">
        <f>ROUND(D8/2,0)</f>
        <v>3523</v>
      </c>
      <c r="F8" s="12">
        <f>D8-E8</f>
        <v>3523</v>
      </c>
    </row>
    <row r="9" spans="1:6">
      <c r="A9" s="8">
        <v>2</v>
      </c>
      <c r="B9" s="11" t="s">
        <v>1693</v>
      </c>
      <c r="C9" s="11"/>
      <c r="D9" s="9"/>
      <c r="E9" s="11"/>
      <c r="F9" s="11"/>
    </row>
    <row r="10" spans="1:6">
      <c r="A10" s="8"/>
      <c r="B10" s="11" t="s">
        <v>10</v>
      </c>
      <c r="C10" s="10">
        <v>3.6200000000000002E-4</v>
      </c>
      <c r="D10" s="12">
        <f>ROUND(D$3*C10,0)</f>
        <v>16</v>
      </c>
      <c r="E10" s="13">
        <f>ROUND(D10/2,0)</f>
        <v>8</v>
      </c>
      <c r="F10" s="12">
        <f>D10-E10</f>
        <v>8</v>
      </c>
    </row>
    <row r="11" spans="1:6">
      <c r="A11" s="8"/>
      <c r="B11" s="11" t="s">
        <v>11</v>
      </c>
      <c r="C11" s="10">
        <v>1.6100000000000001E-4</v>
      </c>
      <c r="D11" s="12">
        <f>ROUND(D$3*C11,0)</f>
        <v>7</v>
      </c>
      <c r="E11" s="13">
        <f>ROUND(D11/2,0)</f>
        <v>4</v>
      </c>
      <c r="F11" s="12">
        <f>D11-E11</f>
        <v>3</v>
      </c>
    </row>
    <row r="12" spans="1:6">
      <c r="A12" s="8">
        <v>2</v>
      </c>
      <c r="B12" s="11" t="s">
        <v>107</v>
      </c>
      <c r="C12" s="11"/>
      <c r="D12" s="9"/>
      <c r="E12" s="11"/>
      <c r="F12" s="11"/>
    </row>
    <row r="13" spans="1:6">
      <c r="A13" s="8"/>
      <c r="B13" s="11" t="s">
        <v>10</v>
      </c>
      <c r="C13" s="10">
        <v>1.5900000000000001E-3</v>
      </c>
      <c r="D13" s="12">
        <f>ROUND(D$3*C13,0)</f>
        <v>72</v>
      </c>
      <c r="E13" s="13">
        <f>ROUND(D13/2,0)</f>
        <v>36</v>
      </c>
      <c r="F13" s="12">
        <f>D13-E13</f>
        <v>36</v>
      </c>
    </row>
    <row r="14" spans="1:6">
      <c r="A14" s="8"/>
      <c r="B14" s="11" t="s">
        <v>11</v>
      </c>
      <c r="C14" s="10">
        <v>1.3680000000000001E-3</v>
      </c>
      <c r="D14" s="12">
        <f>ROUND(D$3*C14,0)</f>
        <v>62</v>
      </c>
      <c r="E14" s="13">
        <f>ROUND(D14/2,0)</f>
        <v>31</v>
      </c>
      <c r="F14" s="12">
        <f>D14-E14</f>
        <v>31</v>
      </c>
    </row>
    <row r="15" spans="1:6">
      <c r="A15" s="8">
        <v>2</v>
      </c>
      <c r="B15" s="11" t="s">
        <v>1440</v>
      </c>
      <c r="C15" s="11"/>
      <c r="D15" s="9"/>
      <c r="E15" s="11"/>
      <c r="F15" s="11"/>
    </row>
    <row r="16" spans="1:6">
      <c r="A16" s="8"/>
      <c r="B16" s="11" t="s">
        <v>10</v>
      </c>
      <c r="C16" s="10">
        <v>7.6499999999999995E-4</v>
      </c>
      <c r="D16" s="12">
        <f>ROUND(D$3*C16,0)</f>
        <v>35</v>
      </c>
      <c r="E16" s="13">
        <f>ROUND(D16/2,0)</f>
        <v>18</v>
      </c>
      <c r="F16" s="12">
        <f>D16-E16</f>
        <v>17</v>
      </c>
    </row>
    <row r="17" spans="1:6">
      <c r="A17" s="8"/>
      <c r="B17" s="11" t="s">
        <v>11</v>
      </c>
      <c r="C17" s="10">
        <v>5.2300000000000003E-4</v>
      </c>
      <c r="D17" s="12">
        <f>ROUND(D$3*C17,0)</f>
        <v>24</v>
      </c>
      <c r="E17" s="13">
        <f>ROUND(D17/2,0)</f>
        <v>12</v>
      </c>
      <c r="F17" s="12">
        <f>D17-E17</f>
        <v>12</v>
      </c>
    </row>
    <row r="18" spans="1:6">
      <c r="A18" s="8">
        <v>2</v>
      </c>
      <c r="B18" s="11" t="s">
        <v>86</v>
      </c>
      <c r="C18" s="11"/>
      <c r="D18" s="9"/>
      <c r="E18" s="11"/>
      <c r="F18" s="11"/>
    </row>
    <row r="19" spans="1:6">
      <c r="A19" s="8"/>
      <c r="B19" s="11" t="s">
        <v>10</v>
      </c>
      <c r="C19" s="10">
        <v>3.0590000000000001E-3</v>
      </c>
      <c r="D19" s="12">
        <f>ROUND(D$3*C19,0)</f>
        <v>139</v>
      </c>
      <c r="E19" s="13">
        <f>ROUND(D19/2,0)</f>
        <v>70</v>
      </c>
      <c r="F19" s="12">
        <f>D19-E19</f>
        <v>69</v>
      </c>
    </row>
    <row r="20" spans="1:6">
      <c r="A20" s="8"/>
      <c r="B20" s="11" t="s">
        <v>11</v>
      </c>
      <c r="C20" s="10">
        <v>2.5149999999999999E-3</v>
      </c>
      <c r="D20" s="12">
        <f>ROUND(D$3*C20,0)</f>
        <v>114</v>
      </c>
      <c r="E20" s="13">
        <f>ROUND(D20/2,0)</f>
        <v>57</v>
      </c>
      <c r="F20" s="12">
        <f>D20-E20</f>
        <v>57</v>
      </c>
    </row>
    <row r="21" spans="1:6">
      <c r="A21" s="8">
        <v>2</v>
      </c>
      <c r="B21" s="11" t="s">
        <v>181</v>
      </c>
      <c r="C21" s="11"/>
      <c r="D21" s="9"/>
      <c r="E21" s="11"/>
      <c r="F21" s="11"/>
    </row>
    <row r="22" spans="1:6">
      <c r="A22" s="8"/>
      <c r="B22" s="11" t="s">
        <v>10</v>
      </c>
      <c r="C22" s="10">
        <v>9.2599999999999996E-4</v>
      </c>
      <c r="D22" s="12">
        <f>ROUND(D$3*C22,0)</f>
        <v>42</v>
      </c>
      <c r="E22" s="13">
        <f>ROUND(D22/2,0)</f>
        <v>21</v>
      </c>
      <c r="F22" s="12">
        <f>D22-E22</f>
        <v>21</v>
      </c>
    </row>
    <row r="23" spans="1:6">
      <c r="A23" s="8"/>
      <c r="B23" s="11" t="s">
        <v>11</v>
      </c>
      <c r="C23" s="10">
        <v>8.8500000000000004E-4</v>
      </c>
      <c r="D23" s="12">
        <f>ROUND(D$3*C23,0)</f>
        <v>40</v>
      </c>
      <c r="E23" s="13">
        <f>ROUND(D23/2,0)</f>
        <v>20</v>
      </c>
      <c r="F23" s="12">
        <f>D23-E23</f>
        <v>20</v>
      </c>
    </row>
    <row r="24" spans="1:6">
      <c r="A24" s="8">
        <v>2</v>
      </c>
      <c r="B24" s="11" t="s">
        <v>20</v>
      </c>
      <c r="C24" s="11"/>
      <c r="D24" s="9"/>
      <c r="E24" s="11"/>
      <c r="F24" s="11"/>
    </row>
    <row r="25" spans="1:6">
      <c r="A25" s="8"/>
      <c r="B25" s="11" t="s">
        <v>10</v>
      </c>
      <c r="C25" s="10">
        <v>1.57E-3</v>
      </c>
      <c r="D25" s="12">
        <f>ROUND(D$3*C25,0)</f>
        <v>71</v>
      </c>
      <c r="E25" s="13">
        <f>ROUND(D25/2,0)</f>
        <v>36</v>
      </c>
      <c r="F25" s="12">
        <f>D25-E25</f>
        <v>35</v>
      </c>
    </row>
    <row r="26" spans="1:6">
      <c r="A26" s="8"/>
      <c r="B26" s="11" t="s">
        <v>11</v>
      </c>
      <c r="C26" s="10">
        <v>1.248E-3</v>
      </c>
      <c r="D26" s="12">
        <f>ROUND(D$3*C26,0)</f>
        <v>57</v>
      </c>
      <c r="E26" s="13">
        <f>ROUND(D26/2,0)</f>
        <v>29</v>
      </c>
      <c r="F26" s="12">
        <f>D26-E26</f>
        <v>28</v>
      </c>
    </row>
    <row r="27" spans="1:6">
      <c r="A27" s="8">
        <v>3</v>
      </c>
      <c r="B27" s="11" t="s">
        <v>1694</v>
      </c>
      <c r="C27" s="10">
        <v>4.4090999999999998E-2</v>
      </c>
      <c r="D27" s="12">
        <f>ROUND(D$3*C27,0)</f>
        <v>1997</v>
      </c>
      <c r="E27" s="13">
        <f>ROUND(D27/2,0)</f>
        <v>999</v>
      </c>
      <c r="F27" s="12">
        <f>D27-E27</f>
        <v>998</v>
      </c>
    </row>
    <row r="28" spans="1:6">
      <c r="A28" s="8">
        <v>3</v>
      </c>
      <c r="B28" s="11" t="s">
        <v>1695</v>
      </c>
      <c r="C28" s="10">
        <v>8.7939999999999997E-3</v>
      </c>
      <c r="D28" s="12">
        <f>ROUND(D$3*C28,0)</f>
        <v>398</v>
      </c>
      <c r="E28" s="13">
        <f>ROUND(D28/2,0)</f>
        <v>199</v>
      </c>
      <c r="F28" s="12">
        <f>D28-E28</f>
        <v>199</v>
      </c>
    </row>
    <row r="29" spans="1:6">
      <c r="A29" s="8">
        <v>4</v>
      </c>
      <c r="B29" s="11" t="s">
        <v>542</v>
      </c>
      <c r="C29" s="10">
        <v>0.67699699999999996</v>
      </c>
      <c r="D29" s="9">
        <f>ROUND(D$3*C29,0)</f>
        <v>30661</v>
      </c>
      <c r="E29" s="11">
        <f>ROUND(D29/2,0)</f>
        <v>15331</v>
      </c>
      <c r="F29" s="9">
        <f>D29-E29</f>
        <v>15330</v>
      </c>
    </row>
    <row r="30" spans="1:6">
      <c r="A30" s="8"/>
      <c r="B30" s="11" t="s">
        <v>28</v>
      </c>
      <c r="C30" s="11"/>
      <c r="D30" s="14">
        <v>0.39346700000000001</v>
      </c>
      <c r="E30" s="11"/>
      <c r="F30" s="11"/>
    </row>
    <row r="31" spans="1:6">
      <c r="A31" s="8"/>
      <c r="B31" s="11" t="s">
        <v>29</v>
      </c>
      <c r="C31" s="11"/>
      <c r="D31" s="225">
        <f>ROUND(D29*D30,0)</f>
        <v>12064</v>
      </c>
      <c r="E31" s="226">
        <f>ROUND(D31/2,0)</f>
        <v>6032</v>
      </c>
      <c r="F31" s="225">
        <f>D31-E31</f>
        <v>6032</v>
      </c>
    </row>
    <row r="32" spans="1:6">
      <c r="A32" s="8"/>
      <c r="B32" s="11" t="s">
        <v>30</v>
      </c>
      <c r="C32" s="11"/>
      <c r="D32" s="12">
        <f>+D29-D31</f>
        <v>18597</v>
      </c>
      <c r="E32" s="13">
        <f>ROUND(D32/2,0)</f>
        <v>9299</v>
      </c>
      <c r="F32" s="12">
        <f>D32-E32</f>
        <v>9298</v>
      </c>
    </row>
    <row r="33" spans="1:8">
      <c r="A33" s="8">
        <v>5</v>
      </c>
      <c r="B33" s="11" t="s">
        <v>1696</v>
      </c>
      <c r="C33" s="10">
        <v>3.1815000000000003E-2</v>
      </c>
      <c r="D33" s="12">
        <f>+D3-SUM(D4:D5)-SUM(D10:D29)</f>
        <v>1440</v>
      </c>
      <c r="E33" s="13">
        <f>ROUND(D33/2,0)</f>
        <v>720</v>
      </c>
      <c r="F33" s="12">
        <f>D33-E33</f>
        <v>720</v>
      </c>
    </row>
    <row r="34" spans="1:8">
      <c r="A34" s="8">
        <v>6</v>
      </c>
      <c r="B34" s="11" t="s">
        <v>1697</v>
      </c>
      <c r="C34" s="10">
        <v>0</v>
      </c>
      <c r="D34" s="12">
        <f>ROUND(D$3*C34,0)</f>
        <v>0</v>
      </c>
      <c r="E34" s="13">
        <f>ROUND(D34/2,0)</f>
        <v>0</v>
      </c>
      <c r="F34" s="12">
        <f>D34-E34</f>
        <v>0</v>
      </c>
    </row>
    <row r="35" spans="1:8">
      <c r="A35" s="8"/>
      <c r="B35" s="28" t="s">
        <v>288</v>
      </c>
      <c r="C35" s="10">
        <v>1</v>
      </c>
      <c r="D35" s="12">
        <f>+D4+SUM(D7:D28)+SUM(D31:D34)</f>
        <v>45289</v>
      </c>
      <c r="E35" s="12">
        <f>+E4+SUM(E7:E28)+SUM(E31:E34)</f>
        <v>22649</v>
      </c>
      <c r="F35" s="12">
        <f>+F4+SUM(F7:F28)+SUM(F31:F34)</f>
        <v>22640</v>
      </c>
    </row>
    <row r="36" spans="1:8">
      <c r="B36" s="18" t="s">
        <v>38</v>
      </c>
      <c r="D36" s="19">
        <f>+D4</f>
        <v>51</v>
      </c>
      <c r="E36" s="19">
        <f>+E4</f>
        <v>26</v>
      </c>
      <c r="F36" s="19">
        <f>+F4</f>
        <v>25</v>
      </c>
    </row>
    <row r="37" spans="1:8">
      <c r="B37" s="2" t="s">
        <v>39</v>
      </c>
      <c r="D37" s="19">
        <f>+D7</f>
        <v>3017</v>
      </c>
      <c r="E37" s="19">
        <f>+E7</f>
        <v>1509</v>
      </c>
      <c r="F37" s="19">
        <f>+F7</f>
        <v>1508</v>
      </c>
    </row>
    <row r="38" spans="1:8">
      <c r="B38" s="2" t="s">
        <v>40</v>
      </c>
      <c r="D38" s="19">
        <f>+D31</f>
        <v>12064</v>
      </c>
      <c r="E38" s="19">
        <f>+E31</f>
        <v>6032</v>
      </c>
      <c r="F38" s="19">
        <f>+F31</f>
        <v>6032</v>
      </c>
      <c r="H38" s="3">
        <v>1</v>
      </c>
    </row>
    <row r="39" spans="1:8">
      <c r="B39" s="18" t="s">
        <v>41</v>
      </c>
      <c r="D39" s="19">
        <f>+D35-D36-D37-D38</f>
        <v>30157</v>
      </c>
      <c r="E39" s="19">
        <f>+E35-E36-E37-E38</f>
        <v>15082</v>
      </c>
      <c r="F39" s="19">
        <f>+F35-F36-F37-F38</f>
        <v>15075</v>
      </c>
      <c r="H39" s="3">
        <v>2</v>
      </c>
    </row>
    <row r="40" spans="1:8" hidden="1"/>
    <row r="41" spans="1:8" hidden="1">
      <c r="B41" s="3" t="s">
        <v>42</v>
      </c>
      <c r="C41" s="4">
        <v>0</v>
      </c>
      <c r="D41" s="3">
        <f>+D33-ROUND(D3*C33,0)</f>
        <v>-1</v>
      </c>
    </row>
    <row r="42" spans="1:8" hidden="1"/>
    <row r="43" spans="1:8" hidden="1"/>
    <row r="44" spans="1:8" hidden="1"/>
    <row r="45" spans="1:8" hidden="1"/>
    <row r="46" spans="1:8" hidden="1"/>
    <row r="47" spans="1:8" hidden="1"/>
    <row r="48" spans="1:8" hidden="1"/>
    <row r="49" hidden="1"/>
    <row r="50" hidden="1"/>
    <row r="51" hidden="1"/>
    <row r="52" hidden="1"/>
    <row r="53" hidden="1"/>
    <row r="54" hidden="1"/>
    <row r="55" hidden="1"/>
    <row r="56" hidden="1"/>
    <row r="57" hidden="1"/>
    <row r="58" hidden="1"/>
    <row r="59" hidden="1"/>
    <row r="60" hidden="1"/>
    <row r="61" hidden="1"/>
    <row r="62" hidden="1"/>
    <row r="63" hidden="1"/>
    <row r="64" hidden="1"/>
    <row r="65" spans="1:1" hidden="1"/>
    <row r="66" spans="1:1" hidden="1"/>
    <row r="67" spans="1:1" hidden="1"/>
    <row r="68" spans="1:1" hidden="1"/>
    <row r="69" spans="1:1" hidden="1"/>
    <row r="70" spans="1:1" hidden="1"/>
    <row r="71" spans="1:1" hidden="1">
      <c r="A71" s="1" t="s">
        <v>590</v>
      </c>
    </row>
  </sheetData>
  <pageMargins left="0.7" right="0.7" top="0.75" bottom="0.75" header="0.3" footer="0.3"/>
  <pageSetup scale="65"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pageSetUpPr fitToPage="1"/>
  </sheetPr>
  <dimension ref="A1:WVB71"/>
  <sheetViews>
    <sheetView zoomScaleNormal="100" zoomScaleSheetLayoutView="80" workbookViewId="0">
      <selection activeCell="D37" activeCellId="1" sqref="D7:F7 D37:F37"/>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6.28515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6.28515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6.28515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6.28515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6.28515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6.28515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6.28515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6.28515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6.28515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6.28515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6.28515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6.28515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6.28515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6.28515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6.28515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6.28515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6.28515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6.28515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6.28515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6.28515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6.28515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6.28515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6.28515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6.28515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6.28515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6.28515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6.28515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6.28515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6.28515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6.28515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6.28515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6.28515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6.28515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6.28515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6.28515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6.28515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6.28515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6.28515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6.28515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6.28515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6.28515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6.28515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6.28515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6.28515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6.28515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6.28515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6.28515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6.28515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6.28515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6.28515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6.28515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6.28515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6.28515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6.28515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6.28515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6.28515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6.28515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6.28515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6.28515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6.28515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6.28515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6.28515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6.28515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1698</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Worksheet'!$D$85</f>
        <v>2433962</v>
      </c>
      <c r="E3" s="11"/>
      <c r="F3" s="11"/>
    </row>
    <row r="4" spans="1:6">
      <c r="A4" s="8">
        <v>0</v>
      </c>
      <c r="B4" s="11" t="s">
        <v>4</v>
      </c>
      <c r="C4" s="10">
        <v>9.6199999999999996E-4</v>
      </c>
      <c r="D4" s="12">
        <f>ROUND(D$3*C4,0)</f>
        <v>2341</v>
      </c>
      <c r="E4" s="13">
        <f>ROUND(D4/2,0)</f>
        <v>1171</v>
      </c>
      <c r="F4" s="12">
        <f>D4-E4</f>
        <v>1170</v>
      </c>
    </row>
    <row r="5" spans="1:6">
      <c r="A5" s="8">
        <v>1</v>
      </c>
      <c r="B5" s="11" t="s">
        <v>1699</v>
      </c>
      <c r="C5" s="10">
        <v>0.23031599999999999</v>
      </c>
      <c r="D5" s="9">
        <f>ROUND(D$3*C5,0)</f>
        <v>560580</v>
      </c>
      <c r="E5" s="11">
        <f>ROUND(D5/2,0)</f>
        <v>280290</v>
      </c>
      <c r="F5" s="9">
        <f>D5-E5</f>
        <v>280290</v>
      </c>
    </row>
    <row r="6" spans="1:6">
      <c r="A6" s="8"/>
      <c r="B6" s="11" t="s">
        <v>6</v>
      </c>
      <c r="C6" s="11"/>
      <c r="D6" s="14">
        <v>0.250915</v>
      </c>
      <c r="E6" s="11"/>
      <c r="F6" s="11"/>
    </row>
    <row r="7" spans="1:6">
      <c r="A7" s="8"/>
      <c r="B7" s="11" t="s">
        <v>7</v>
      </c>
      <c r="C7" s="11"/>
      <c r="D7" s="225">
        <f>ROUND(D5*D6,0)</f>
        <v>140658</v>
      </c>
      <c r="E7" s="226">
        <f>ROUND(D7/2,0)</f>
        <v>70329</v>
      </c>
      <c r="F7" s="225">
        <f>D7-E7</f>
        <v>70329</v>
      </c>
    </row>
    <row r="8" spans="1:6">
      <c r="A8" s="8"/>
      <c r="B8" s="11" t="s">
        <v>8</v>
      </c>
      <c r="C8" s="11"/>
      <c r="D8" s="12">
        <f>+D5-D7</f>
        <v>419922</v>
      </c>
      <c r="E8" s="13">
        <f>ROUND(D8/2,0)</f>
        <v>209961</v>
      </c>
      <c r="F8" s="12">
        <f>D8-E8</f>
        <v>209961</v>
      </c>
    </row>
    <row r="9" spans="1:6">
      <c r="A9" s="8">
        <v>2</v>
      </c>
      <c r="B9" s="11" t="s">
        <v>1700</v>
      </c>
      <c r="C9" s="11"/>
      <c r="D9" s="9"/>
      <c r="E9" s="11"/>
      <c r="F9" s="11"/>
    </row>
    <row r="10" spans="1:6">
      <c r="A10" s="8"/>
      <c r="B10" s="11" t="s">
        <v>10</v>
      </c>
      <c r="C10" s="10">
        <v>3.1000000000000001E-5</v>
      </c>
      <c r="D10" s="9">
        <f>ROUND(D$3*C10,0)</f>
        <v>75</v>
      </c>
      <c r="E10" s="11">
        <f>ROUND(D10/2,0)</f>
        <v>38</v>
      </c>
      <c r="F10" s="9">
        <f>D10-E10</f>
        <v>37</v>
      </c>
    </row>
    <row r="11" spans="1:6">
      <c r="A11" s="8"/>
      <c r="B11" s="11" t="s">
        <v>11</v>
      </c>
      <c r="C11" s="10">
        <v>2.43E-4</v>
      </c>
      <c r="D11" s="9">
        <f>ROUND(D$3*C11,0)</f>
        <v>591</v>
      </c>
      <c r="E11" s="11">
        <f>ROUND(D11/2,0)</f>
        <v>296</v>
      </c>
      <c r="F11" s="9">
        <f>D11-E11</f>
        <v>295</v>
      </c>
    </row>
    <row r="12" spans="1:6">
      <c r="A12" s="8">
        <v>2</v>
      </c>
      <c r="B12" s="11" t="s">
        <v>107</v>
      </c>
      <c r="C12" s="11"/>
      <c r="D12" s="9"/>
      <c r="E12" s="11"/>
      <c r="F12" s="11"/>
    </row>
    <row r="13" spans="1:6">
      <c r="A13" s="8"/>
      <c r="B13" s="11" t="s">
        <v>10</v>
      </c>
      <c r="C13" s="10">
        <v>3.2239999999999999E-3</v>
      </c>
      <c r="D13" s="12">
        <f>ROUND(D$3*C13,0)</f>
        <v>7847</v>
      </c>
      <c r="E13" s="13">
        <f>ROUND(D13/2,0)</f>
        <v>3924</v>
      </c>
      <c r="F13" s="12">
        <f>D13-E13</f>
        <v>3923</v>
      </c>
    </row>
    <row r="14" spans="1:6">
      <c r="A14" s="8"/>
      <c r="B14" s="11" t="s">
        <v>11</v>
      </c>
      <c r="C14" s="10">
        <v>4.95E-4</v>
      </c>
      <c r="D14" s="12">
        <f>ROUND(D$3*C14,0)</f>
        <v>1205</v>
      </c>
      <c r="E14" s="13">
        <f>ROUND(D14/2,0)</f>
        <v>603</v>
      </c>
      <c r="F14" s="12">
        <f>D14-E14</f>
        <v>602</v>
      </c>
    </row>
    <row r="15" spans="1:6">
      <c r="A15" s="8">
        <v>2</v>
      </c>
      <c r="B15" s="11" t="s">
        <v>85</v>
      </c>
      <c r="C15" s="11"/>
      <c r="D15" s="9"/>
      <c r="E15" s="11"/>
      <c r="F15" s="11"/>
    </row>
    <row r="16" spans="1:6">
      <c r="A16" s="8"/>
      <c r="B16" s="11" t="s">
        <v>10</v>
      </c>
      <c r="C16" s="10">
        <v>6.0499999999999996E-4</v>
      </c>
      <c r="D16" s="12">
        <f>ROUND(D$3*C16,0)</f>
        <v>1473</v>
      </c>
      <c r="E16" s="13">
        <f>ROUND(D16/2,0)</f>
        <v>737</v>
      </c>
      <c r="F16" s="12">
        <f>D16-E16</f>
        <v>736</v>
      </c>
    </row>
    <row r="17" spans="1:6">
      <c r="A17" s="8"/>
      <c r="B17" s="11" t="s">
        <v>11</v>
      </c>
      <c r="C17" s="10">
        <v>1.5699999999999999E-4</v>
      </c>
      <c r="D17" s="12">
        <f>ROUND(D$3*C17,0)</f>
        <v>382</v>
      </c>
      <c r="E17" s="13">
        <f>ROUND(D17/2,0)</f>
        <v>191</v>
      </c>
      <c r="F17" s="12">
        <f>D17-E17</f>
        <v>191</v>
      </c>
    </row>
    <row r="18" spans="1:6">
      <c r="A18" s="8">
        <v>2</v>
      </c>
      <c r="B18" s="11" t="s">
        <v>1701</v>
      </c>
      <c r="C18" s="11"/>
      <c r="D18" s="9"/>
      <c r="E18" s="11"/>
      <c r="F18" s="11"/>
    </row>
    <row r="19" spans="1:6">
      <c r="A19" s="8"/>
      <c r="B19" s="11" t="s">
        <v>10</v>
      </c>
      <c r="C19" s="10">
        <v>3.0690000000000001E-3</v>
      </c>
      <c r="D19" s="12">
        <f>ROUND(D$3*C19,0)</f>
        <v>7470</v>
      </c>
      <c r="E19" s="13">
        <f>ROUND(D19/2,0)</f>
        <v>3735</v>
      </c>
      <c r="F19" s="12">
        <f>D19-E19</f>
        <v>3735</v>
      </c>
    </row>
    <row r="20" spans="1:6">
      <c r="A20" s="8"/>
      <c r="B20" s="11" t="s">
        <v>11</v>
      </c>
      <c r="C20" s="10">
        <v>3.1199999999999999E-4</v>
      </c>
      <c r="D20" s="12">
        <f>ROUND(D$3*C20,0)</f>
        <v>759</v>
      </c>
      <c r="E20" s="13">
        <f>ROUND(D20/2,0)</f>
        <v>380</v>
      </c>
      <c r="F20" s="12">
        <f>D20-E20</f>
        <v>379</v>
      </c>
    </row>
    <row r="21" spans="1:6">
      <c r="A21" s="8">
        <v>2</v>
      </c>
      <c r="B21" s="11" t="s">
        <v>56</v>
      </c>
      <c r="C21" s="11"/>
      <c r="D21" s="9"/>
      <c r="E21" s="11"/>
      <c r="F21" s="11"/>
    </row>
    <row r="22" spans="1:6">
      <c r="A22" s="8"/>
      <c r="B22" s="11" t="s">
        <v>10</v>
      </c>
      <c r="C22" s="10">
        <v>8.1700000000000002E-4</v>
      </c>
      <c r="D22" s="12">
        <f>ROUND(D$3*C22,0)</f>
        <v>1989</v>
      </c>
      <c r="E22" s="13">
        <f>ROUND(D22/2,0)</f>
        <v>995</v>
      </c>
      <c r="F22" s="12">
        <f>D22-E22</f>
        <v>994</v>
      </c>
    </row>
    <row r="23" spans="1:6">
      <c r="A23" s="8"/>
      <c r="B23" s="11" t="s">
        <v>11</v>
      </c>
      <c r="C23" s="10">
        <v>1.2E-4</v>
      </c>
      <c r="D23" s="12">
        <f>ROUND(D$3*C23,0)</f>
        <v>292</v>
      </c>
      <c r="E23" s="13">
        <f>ROUND(D23/2,0)</f>
        <v>146</v>
      </c>
      <c r="F23" s="12">
        <f>D23-E23</f>
        <v>146</v>
      </c>
    </row>
    <row r="24" spans="1:6">
      <c r="A24" s="8">
        <v>2</v>
      </c>
      <c r="B24" s="11" t="s">
        <v>1702</v>
      </c>
      <c r="C24" s="11"/>
      <c r="D24" s="9"/>
      <c r="E24" s="11"/>
      <c r="F24" s="11"/>
    </row>
    <row r="25" spans="1:6">
      <c r="A25" s="8"/>
      <c r="B25" s="11" t="s">
        <v>10</v>
      </c>
      <c r="C25" s="10">
        <v>6.4359999999999999E-3</v>
      </c>
      <c r="D25" s="12">
        <f>ROUND(D$3*C25,0)</f>
        <v>15665</v>
      </c>
      <c r="E25" s="13">
        <f>ROUND(D25/2,0)</f>
        <v>7833</v>
      </c>
      <c r="F25" s="12">
        <f>D25-E25</f>
        <v>7832</v>
      </c>
    </row>
    <row r="26" spans="1:6">
      <c r="A26" s="8"/>
      <c r="B26" s="11" t="s">
        <v>11</v>
      </c>
      <c r="C26" s="10">
        <v>5.3000000000000001E-5</v>
      </c>
      <c r="D26" s="12">
        <f>ROUND(D$3*C26,0)</f>
        <v>129</v>
      </c>
      <c r="E26" s="13">
        <f>ROUND(D26/2,0)</f>
        <v>65</v>
      </c>
      <c r="F26" s="12">
        <f>D26-E26</f>
        <v>64</v>
      </c>
    </row>
    <row r="27" spans="1:6">
      <c r="A27" s="8">
        <v>2</v>
      </c>
      <c r="B27" s="11" t="s">
        <v>954</v>
      </c>
      <c r="C27" s="11"/>
      <c r="D27" s="9"/>
      <c r="E27" s="11"/>
      <c r="F27" s="11"/>
    </row>
    <row r="28" spans="1:6">
      <c r="A28" s="8"/>
      <c r="B28" s="11" t="s">
        <v>10</v>
      </c>
      <c r="C28" s="10">
        <v>2.0869999999999999E-3</v>
      </c>
      <c r="D28" s="12">
        <f>ROUND(D$3*C28,0)</f>
        <v>5080</v>
      </c>
      <c r="E28" s="13">
        <f>ROUND(D28/2,0)</f>
        <v>2540</v>
      </c>
      <c r="F28" s="12">
        <f>D28-E28</f>
        <v>2540</v>
      </c>
    </row>
    <row r="29" spans="1:6">
      <c r="A29" s="8"/>
      <c r="B29" s="11" t="s">
        <v>11</v>
      </c>
      <c r="C29" s="10">
        <v>4.9700000000000005E-4</v>
      </c>
      <c r="D29" s="12">
        <f>ROUND(D$3*C29,0)</f>
        <v>1210</v>
      </c>
      <c r="E29" s="13">
        <f>ROUND(D29/2,0)</f>
        <v>605</v>
      </c>
      <c r="F29" s="12">
        <f>D29-E29</f>
        <v>605</v>
      </c>
    </row>
    <row r="30" spans="1:6">
      <c r="A30" s="8">
        <v>2</v>
      </c>
      <c r="B30" s="11" t="s">
        <v>20</v>
      </c>
      <c r="C30" s="11"/>
      <c r="D30" s="9"/>
      <c r="E30" s="11"/>
      <c r="F30" s="11"/>
    </row>
    <row r="31" spans="1:6">
      <c r="A31" s="8"/>
      <c r="B31" s="11" t="s">
        <v>10</v>
      </c>
      <c r="C31" s="10">
        <v>1.3100000000000001E-4</v>
      </c>
      <c r="D31" s="12">
        <f>ROUND(D$3*C31,0)</f>
        <v>319</v>
      </c>
      <c r="E31" s="13">
        <f>ROUND(D31/2,0)</f>
        <v>160</v>
      </c>
      <c r="F31" s="12">
        <f>D31-E31</f>
        <v>159</v>
      </c>
    </row>
    <row r="32" spans="1:6">
      <c r="A32" s="8"/>
      <c r="B32" s="11" t="s">
        <v>11</v>
      </c>
      <c r="C32" s="10">
        <v>7.7999999999999999E-5</v>
      </c>
      <c r="D32" s="12">
        <f>ROUND(D$3*C32,0)</f>
        <v>190</v>
      </c>
      <c r="E32" s="13">
        <f>ROUND(D32/2,0)</f>
        <v>95</v>
      </c>
      <c r="F32" s="12">
        <f>D32-E32</f>
        <v>95</v>
      </c>
    </row>
    <row r="33" spans="1:8">
      <c r="A33" s="8">
        <v>3</v>
      </c>
      <c r="B33" s="11" t="s">
        <v>1703</v>
      </c>
      <c r="C33" s="10">
        <v>2.5000000000000001E-4</v>
      </c>
      <c r="D33" s="12">
        <f>ROUND(D$3*C33,0)</f>
        <v>608</v>
      </c>
      <c r="E33" s="13">
        <f>ROUND(D33/2,0)</f>
        <v>304</v>
      </c>
      <c r="F33" s="12">
        <f>D33-E33</f>
        <v>304</v>
      </c>
    </row>
    <row r="34" spans="1:8">
      <c r="A34" s="8">
        <v>3</v>
      </c>
      <c r="B34" s="11" t="s">
        <v>1704</v>
      </c>
      <c r="C34" s="10">
        <v>0.24037800000000001</v>
      </c>
      <c r="D34" s="12">
        <f>ROUND(D$3*C34,0)</f>
        <v>585071</v>
      </c>
      <c r="E34" s="13">
        <f>ROUND(D34/2,0)</f>
        <v>292536</v>
      </c>
      <c r="F34" s="12">
        <f>D34-E34</f>
        <v>292535</v>
      </c>
    </row>
    <row r="35" spans="1:8">
      <c r="A35" s="8">
        <v>4</v>
      </c>
      <c r="B35" s="11" t="s">
        <v>1705</v>
      </c>
      <c r="C35" s="10">
        <v>0.47154000000000001</v>
      </c>
      <c r="D35" s="9">
        <f>ROUND(D$3*C35,0)</f>
        <v>1147710</v>
      </c>
      <c r="E35" s="11">
        <f>ROUND(D35/2,0)</f>
        <v>573855</v>
      </c>
      <c r="F35" s="9">
        <f>D35-E35</f>
        <v>573855</v>
      </c>
    </row>
    <row r="36" spans="1:8">
      <c r="A36" s="8"/>
      <c r="B36" s="11" t="s">
        <v>28</v>
      </c>
      <c r="C36" s="11"/>
      <c r="D36" s="14">
        <v>0.59133599999999997</v>
      </c>
      <c r="E36" s="11"/>
      <c r="F36" s="11"/>
    </row>
    <row r="37" spans="1:8">
      <c r="A37" s="8"/>
      <c r="B37" s="11" t="s">
        <v>29</v>
      </c>
      <c r="C37" s="11"/>
      <c r="D37" s="225">
        <f>ROUND(D35*D36,0)</f>
        <v>678682</v>
      </c>
      <c r="E37" s="226">
        <f>ROUND(D37/2,0)</f>
        <v>339341</v>
      </c>
      <c r="F37" s="225">
        <f>D37-E37</f>
        <v>339341</v>
      </c>
    </row>
    <row r="38" spans="1:8">
      <c r="A38" s="8"/>
      <c r="B38" s="11" t="s">
        <v>30</v>
      </c>
      <c r="C38" s="11"/>
      <c r="D38" s="12">
        <f>+D35-D37</f>
        <v>469028</v>
      </c>
      <c r="E38" s="13">
        <f>ROUND(D38/2,0)</f>
        <v>234514</v>
      </c>
      <c r="F38" s="12">
        <f>D38-E38</f>
        <v>234514</v>
      </c>
    </row>
    <row r="39" spans="1:8">
      <c r="A39" s="8">
        <v>5</v>
      </c>
      <c r="B39" s="11" t="s">
        <v>1706</v>
      </c>
      <c r="C39" s="10">
        <v>3.8199000000000094E-2</v>
      </c>
      <c r="D39" s="12">
        <f>+D3-SUM(D4:D5)-SUM(D10:D35)</f>
        <v>92976</v>
      </c>
      <c r="E39" s="13">
        <f>ROUND(D39/2,0)</f>
        <v>46488</v>
      </c>
      <c r="F39" s="12">
        <f>D39-E39</f>
        <v>46488</v>
      </c>
    </row>
    <row r="40" spans="1:8">
      <c r="A40" s="8">
        <v>6</v>
      </c>
      <c r="B40" s="11" t="s">
        <v>1707</v>
      </c>
      <c r="C40" s="10">
        <v>0</v>
      </c>
      <c r="D40" s="12">
        <f>ROUND(D$3*C40,0)</f>
        <v>0</v>
      </c>
      <c r="E40" s="13">
        <f>ROUND(D40/2,0)</f>
        <v>0</v>
      </c>
      <c r="F40" s="12">
        <f>D40-E40</f>
        <v>0</v>
      </c>
    </row>
    <row r="41" spans="1:8">
      <c r="A41" s="8"/>
      <c r="B41" s="28" t="s">
        <v>288</v>
      </c>
      <c r="C41" s="10">
        <v>1</v>
      </c>
      <c r="D41" s="12">
        <f>+D4+SUM(D7:D34)+SUM(D37:D40)</f>
        <v>2433962</v>
      </c>
      <c r="E41" s="12">
        <f>+E4+SUM(E7:E34)+SUM(E37:E40)</f>
        <v>1216987</v>
      </c>
      <c r="F41" s="12">
        <f>+F4+SUM(F7:F34)+SUM(F37:F40)</f>
        <v>1216975</v>
      </c>
    </row>
    <row r="42" spans="1:8">
      <c r="B42" s="18" t="s">
        <v>38</v>
      </c>
      <c r="D42" s="19">
        <f>+D4</f>
        <v>2341</v>
      </c>
      <c r="E42" s="19">
        <f>+E4</f>
        <v>1171</v>
      </c>
      <c r="F42" s="19">
        <f>+F4</f>
        <v>1170</v>
      </c>
    </row>
    <row r="43" spans="1:8">
      <c r="B43" s="2" t="s">
        <v>39</v>
      </c>
      <c r="D43" s="19">
        <f>+D7</f>
        <v>140658</v>
      </c>
      <c r="E43" s="19">
        <f>+E7</f>
        <v>70329</v>
      </c>
      <c r="F43" s="19">
        <f>+F7</f>
        <v>70329</v>
      </c>
    </row>
    <row r="44" spans="1:8">
      <c r="B44" s="2" t="s">
        <v>40</v>
      </c>
      <c r="D44" s="19">
        <f>+D37</f>
        <v>678682</v>
      </c>
      <c r="E44" s="19">
        <f>+E37</f>
        <v>339341</v>
      </c>
      <c r="F44" s="19">
        <f>+F37</f>
        <v>339341</v>
      </c>
      <c r="H44" s="3">
        <v>1</v>
      </c>
    </row>
    <row r="45" spans="1:8">
      <c r="B45" s="18" t="s">
        <v>41</v>
      </c>
      <c r="D45" s="19">
        <f>+D41-D42-D43-D44</f>
        <v>1612281</v>
      </c>
      <c r="E45" s="19">
        <f>+E41-E42-E43-E44</f>
        <v>806146</v>
      </c>
      <c r="F45" s="19">
        <f>+F41-F42-F43-F44</f>
        <v>806135</v>
      </c>
      <c r="H45" s="3">
        <v>2</v>
      </c>
    </row>
    <row r="46" spans="1:8" hidden="1"/>
    <row r="47" spans="1:8" hidden="1">
      <c r="B47" s="3" t="s">
        <v>42</v>
      </c>
      <c r="C47" s="4">
        <v>-2.9999999999058558E-6</v>
      </c>
      <c r="D47" s="3">
        <f>+D39-ROUND(D3*C39,0)</f>
        <v>1</v>
      </c>
    </row>
    <row r="48" spans="1:8" hidden="1"/>
    <row r="49" hidden="1"/>
    <row r="50" hidden="1"/>
    <row r="51" hidden="1"/>
    <row r="52" hidden="1"/>
    <row r="53" hidden="1"/>
    <row r="54" hidden="1"/>
    <row r="55" hidden="1"/>
    <row r="56" hidden="1"/>
    <row r="57" hidden="1"/>
    <row r="58" hidden="1"/>
    <row r="59" hidden="1"/>
    <row r="60" hidden="1"/>
    <row r="61" hidden="1"/>
    <row r="62" hidden="1"/>
    <row r="63" hidden="1"/>
    <row r="64" hidden="1"/>
    <row r="65" spans="1:1" hidden="1"/>
    <row r="66" spans="1:1" hidden="1"/>
    <row r="67" spans="1:1" hidden="1"/>
    <row r="68" spans="1:1" hidden="1"/>
    <row r="69" spans="1:1" hidden="1"/>
    <row r="70" spans="1:1" hidden="1"/>
    <row r="71" spans="1:1" hidden="1">
      <c r="A71" s="1" t="s">
        <v>590</v>
      </c>
    </row>
  </sheetData>
  <pageMargins left="0.7" right="0.7" top="0.75" bottom="0.75" header="0.3" footer="0.3"/>
  <pageSetup scale="65"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pageSetUpPr fitToPage="1"/>
  </sheetPr>
  <dimension ref="A1:WVB71"/>
  <sheetViews>
    <sheetView zoomScaleNormal="100" zoomScaleSheetLayoutView="80" workbookViewId="0">
      <selection activeCell="D37" activeCellId="2" sqref="D7:F7 D33:F33 D37:F37"/>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425781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425781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425781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425781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425781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425781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425781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425781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425781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425781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425781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425781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425781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425781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425781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425781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425781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425781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425781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425781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425781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425781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425781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425781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425781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425781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425781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425781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425781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425781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425781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425781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425781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425781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425781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425781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425781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425781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425781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425781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425781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425781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425781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425781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425781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425781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425781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425781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425781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425781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425781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425781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425781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425781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425781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425781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425781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425781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425781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425781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425781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425781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425781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1708</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Worksheet'!$D$86</f>
        <v>180347</v>
      </c>
      <c r="E3" s="11"/>
      <c r="F3" s="11"/>
    </row>
    <row r="4" spans="1:6">
      <c r="A4" s="8">
        <v>0</v>
      </c>
      <c r="B4" s="11" t="s">
        <v>4</v>
      </c>
      <c r="C4" s="10">
        <v>1.157E-3</v>
      </c>
      <c r="D4" s="12">
        <f>ROUND(D$3*C4,0)</f>
        <v>209</v>
      </c>
      <c r="E4" s="13">
        <f>ROUND(D4/2,0)</f>
        <v>105</v>
      </c>
      <c r="F4" s="12">
        <f>D4-E4</f>
        <v>104</v>
      </c>
    </row>
    <row r="5" spans="1:6">
      <c r="A5" s="8">
        <v>1</v>
      </c>
      <c r="B5" s="11" t="s">
        <v>1709</v>
      </c>
      <c r="C5" s="10">
        <v>0.26108700000000001</v>
      </c>
      <c r="D5" s="9">
        <f>ROUND(D$3*C5,0)</f>
        <v>47086</v>
      </c>
      <c r="E5" s="11">
        <f>ROUND(D5/2,0)</f>
        <v>23543</v>
      </c>
      <c r="F5" s="9">
        <f>D5-E5</f>
        <v>23543</v>
      </c>
    </row>
    <row r="6" spans="1:6">
      <c r="A6" s="8"/>
      <c r="B6" s="11" t="s">
        <v>6</v>
      </c>
      <c r="C6" s="11"/>
      <c r="D6" s="14">
        <v>7.6754000000000003E-2</v>
      </c>
      <c r="E6" s="11"/>
      <c r="F6" s="11"/>
    </row>
    <row r="7" spans="1:6">
      <c r="A7" s="8"/>
      <c r="B7" s="11" t="s">
        <v>7</v>
      </c>
      <c r="C7" s="11"/>
      <c r="D7" s="225">
        <f>ROUND(D5*D6,0)</f>
        <v>3614</v>
      </c>
      <c r="E7" s="226">
        <f>ROUND(D7/2,0)</f>
        <v>1807</v>
      </c>
      <c r="F7" s="225">
        <f>D7-E7</f>
        <v>1807</v>
      </c>
    </row>
    <row r="8" spans="1:6">
      <c r="A8" s="8"/>
      <c r="B8" s="11" t="s">
        <v>8</v>
      </c>
      <c r="C8" s="11"/>
      <c r="D8" s="12">
        <f>+D5-D7</f>
        <v>43472</v>
      </c>
      <c r="E8" s="13">
        <f>ROUND(D8/2,0)</f>
        <v>21736</v>
      </c>
      <c r="F8" s="12">
        <f>D8-E8</f>
        <v>21736</v>
      </c>
    </row>
    <row r="9" spans="1:6">
      <c r="A9" s="8">
        <v>2</v>
      </c>
      <c r="B9" s="11" t="s">
        <v>147</v>
      </c>
      <c r="C9" s="11"/>
      <c r="D9" s="9"/>
      <c r="E9" s="11"/>
      <c r="F9" s="11"/>
    </row>
    <row r="10" spans="1:6">
      <c r="A10" s="8"/>
      <c r="B10" s="11" t="s">
        <v>10</v>
      </c>
      <c r="C10" s="10">
        <v>8.8830000000000003E-3</v>
      </c>
      <c r="D10" s="12">
        <f>ROUND(D$3*C10,0)</f>
        <v>1602</v>
      </c>
      <c r="E10" s="13">
        <f>ROUND(D10/2,0)</f>
        <v>801</v>
      </c>
      <c r="F10" s="12">
        <f>D10-E10</f>
        <v>801</v>
      </c>
    </row>
    <row r="11" spans="1:6">
      <c r="A11" s="8"/>
      <c r="B11" s="11" t="s">
        <v>11</v>
      </c>
      <c r="C11" s="10">
        <v>2.2439999999999999E-3</v>
      </c>
      <c r="D11" s="12">
        <f>ROUND(D$3*C11,0)</f>
        <v>405</v>
      </c>
      <c r="E11" s="13">
        <f>ROUND(D11/2,0)</f>
        <v>203</v>
      </c>
      <c r="F11" s="12">
        <f>D11-E11</f>
        <v>202</v>
      </c>
    </row>
    <row r="12" spans="1:6">
      <c r="A12" s="8">
        <v>2</v>
      </c>
      <c r="B12" s="11" t="s">
        <v>1710</v>
      </c>
      <c r="C12" s="11"/>
      <c r="D12" s="9"/>
      <c r="E12" s="11"/>
      <c r="F12" s="11"/>
    </row>
    <row r="13" spans="1:6">
      <c r="A13" s="8"/>
      <c r="B13" s="11" t="s">
        <v>10</v>
      </c>
      <c r="C13" s="10">
        <v>2.6679999999999998E-3</v>
      </c>
      <c r="D13" s="12">
        <f>ROUND(D$3*C13,0)</f>
        <v>481</v>
      </c>
      <c r="E13" s="13">
        <f>ROUND(D13/2,0)</f>
        <v>241</v>
      </c>
      <c r="F13" s="12">
        <f>D13-E13</f>
        <v>240</v>
      </c>
    </row>
    <row r="14" spans="1:6">
      <c r="A14" s="8"/>
      <c r="B14" s="11" t="s">
        <v>11</v>
      </c>
      <c r="C14" s="10">
        <v>1.769E-3</v>
      </c>
      <c r="D14" s="12">
        <f>ROUND(D$3*C14,0)</f>
        <v>319</v>
      </c>
      <c r="E14" s="13">
        <f>ROUND(D14/2,0)</f>
        <v>160</v>
      </c>
      <c r="F14" s="12">
        <f>D14-E14</f>
        <v>159</v>
      </c>
    </row>
    <row r="15" spans="1:6">
      <c r="A15" s="8">
        <v>2</v>
      </c>
      <c r="B15" s="11" t="s">
        <v>1711</v>
      </c>
      <c r="C15" s="11"/>
      <c r="D15" s="9"/>
      <c r="E15" s="11"/>
      <c r="F15" s="11"/>
    </row>
    <row r="16" spans="1:6">
      <c r="A16" s="8"/>
      <c r="B16" s="11" t="s">
        <v>10</v>
      </c>
      <c r="C16" s="10">
        <v>3.1129999999999999E-3</v>
      </c>
      <c r="D16" s="12">
        <f>ROUND(D$3*C16,0)</f>
        <v>561</v>
      </c>
      <c r="E16" s="13">
        <f>ROUND(D16/2,0)</f>
        <v>281</v>
      </c>
      <c r="F16" s="12">
        <f>D16-E16</f>
        <v>280</v>
      </c>
    </row>
    <row r="17" spans="1:6">
      <c r="A17" s="8"/>
      <c r="B17" s="11" t="s">
        <v>11</v>
      </c>
      <c r="C17" s="10">
        <v>2.5569999999999998E-3</v>
      </c>
      <c r="D17" s="12">
        <f>ROUND(D$3*C17,0)</f>
        <v>461</v>
      </c>
      <c r="E17" s="13">
        <f>ROUND(D17/2,0)</f>
        <v>231</v>
      </c>
      <c r="F17" s="12">
        <f>D17-E17</f>
        <v>230</v>
      </c>
    </row>
    <row r="18" spans="1:6">
      <c r="A18" s="8">
        <v>2</v>
      </c>
      <c r="B18" s="11" t="s">
        <v>528</v>
      </c>
      <c r="C18" s="11"/>
      <c r="D18" s="9"/>
      <c r="E18" s="11"/>
      <c r="F18" s="11"/>
    </row>
    <row r="19" spans="1:6">
      <c r="A19" s="8"/>
      <c r="B19" s="11" t="s">
        <v>10</v>
      </c>
      <c r="C19" s="10">
        <v>4.1029999999999999E-3</v>
      </c>
      <c r="D19" s="12">
        <f>ROUND(D$3*C19,0)</f>
        <v>740</v>
      </c>
      <c r="E19" s="13">
        <f>ROUND(D19/2,0)</f>
        <v>370</v>
      </c>
      <c r="F19" s="12">
        <f>D19-E19</f>
        <v>370</v>
      </c>
    </row>
    <row r="20" spans="1:6">
      <c r="A20" s="8"/>
      <c r="B20" s="11" t="s">
        <v>11</v>
      </c>
      <c r="C20" s="10">
        <v>3.274E-3</v>
      </c>
      <c r="D20" s="12">
        <f>ROUND(D$3*C20,0)</f>
        <v>590</v>
      </c>
      <c r="E20" s="13">
        <f>ROUND(D20/2,0)</f>
        <v>295</v>
      </c>
      <c r="F20" s="12">
        <f>D20-E20</f>
        <v>295</v>
      </c>
    </row>
    <row r="21" spans="1:6">
      <c r="A21" s="8">
        <v>2</v>
      </c>
      <c r="B21" s="11" t="s">
        <v>1712</v>
      </c>
      <c r="C21" s="11"/>
      <c r="D21" s="9"/>
      <c r="E21" s="11"/>
      <c r="F21" s="11"/>
    </row>
    <row r="22" spans="1:6">
      <c r="A22" s="8"/>
      <c r="B22" s="11" t="s">
        <v>10</v>
      </c>
      <c r="C22" s="10">
        <v>5.8600000000000004E-4</v>
      </c>
      <c r="D22" s="12">
        <f t="shared" ref="D22:D31" si="0">ROUND(D$3*C22,0)</f>
        <v>106</v>
      </c>
      <c r="E22" s="13">
        <f t="shared" ref="E22:E31" si="1">ROUND(D22/2,0)</f>
        <v>53</v>
      </c>
      <c r="F22" s="12">
        <f t="shared" ref="F22:F31" si="2">D22-E22</f>
        <v>53</v>
      </c>
    </row>
    <row r="23" spans="1:6">
      <c r="A23" s="8"/>
      <c r="B23" s="11" t="s">
        <v>11</v>
      </c>
      <c r="C23" s="10">
        <v>1.21E-4</v>
      </c>
      <c r="D23" s="12">
        <f t="shared" si="0"/>
        <v>22</v>
      </c>
      <c r="E23" s="13">
        <f t="shared" si="1"/>
        <v>11</v>
      </c>
      <c r="F23" s="12">
        <f t="shared" si="2"/>
        <v>11</v>
      </c>
    </row>
    <row r="24" spans="1:6">
      <c r="A24" s="8">
        <v>3</v>
      </c>
      <c r="B24" s="11" t="s">
        <v>1713</v>
      </c>
      <c r="C24" s="10">
        <v>1.0697999999999999E-2</v>
      </c>
      <c r="D24" s="12">
        <f t="shared" si="0"/>
        <v>1929</v>
      </c>
      <c r="E24" s="13">
        <f t="shared" si="1"/>
        <v>965</v>
      </c>
      <c r="F24" s="12">
        <f t="shared" si="2"/>
        <v>964</v>
      </c>
    </row>
    <row r="25" spans="1:6">
      <c r="A25" s="8">
        <v>3</v>
      </c>
      <c r="B25" s="11" t="s">
        <v>1714</v>
      </c>
      <c r="C25" s="10">
        <v>2.5776E-2</v>
      </c>
      <c r="D25" s="12">
        <f t="shared" si="0"/>
        <v>4649</v>
      </c>
      <c r="E25" s="13">
        <f t="shared" si="1"/>
        <v>2325</v>
      </c>
      <c r="F25" s="12">
        <f t="shared" si="2"/>
        <v>2324</v>
      </c>
    </row>
    <row r="26" spans="1:6">
      <c r="A26" s="8">
        <v>3</v>
      </c>
      <c r="B26" s="11" t="s">
        <v>1715</v>
      </c>
      <c r="C26" s="10">
        <v>4.5329999999999997E-3</v>
      </c>
      <c r="D26" s="12">
        <f t="shared" si="0"/>
        <v>818</v>
      </c>
      <c r="E26" s="13">
        <f t="shared" si="1"/>
        <v>409</v>
      </c>
      <c r="F26" s="12">
        <f t="shared" si="2"/>
        <v>409</v>
      </c>
    </row>
    <row r="27" spans="1:6">
      <c r="A27" s="8">
        <v>3</v>
      </c>
      <c r="B27" s="11" t="s">
        <v>1716</v>
      </c>
      <c r="C27" s="10">
        <v>3.1779999999999998E-3</v>
      </c>
      <c r="D27" s="12">
        <f t="shared" si="0"/>
        <v>573</v>
      </c>
      <c r="E27" s="13">
        <f t="shared" si="1"/>
        <v>287</v>
      </c>
      <c r="F27" s="12">
        <f t="shared" si="2"/>
        <v>286</v>
      </c>
    </row>
    <row r="28" spans="1:6">
      <c r="A28" s="8">
        <v>3</v>
      </c>
      <c r="B28" s="11" t="s">
        <v>1717</v>
      </c>
      <c r="C28" s="10">
        <v>6.8199999999999999E-4</v>
      </c>
      <c r="D28" s="12">
        <f t="shared" si="0"/>
        <v>123</v>
      </c>
      <c r="E28" s="13">
        <f t="shared" si="1"/>
        <v>62</v>
      </c>
      <c r="F28" s="12">
        <f t="shared" si="2"/>
        <v>61</v>
      </c>
    </row>
    <row r="29" spans="1:6">
      <c r="A29" s="8">
        <v>3</v>
      </c>
      <c r="B29" s="11" t="s">
        <v>1718</v>
      </c>
      <c r="C29" s="10">
        <v>2.3349999999999998E-3</v>
      </c>
      <c r="D29" s="12">
        <f t="shared" si="0"/>
        <v>421</v>
      </c>
      <c r="E29" s="13">
        <f t="shared" si="1"/>
        <v>211</v>
      </c>
      <c r="F29" s="12">
        <f t="shared" si="2"/>
        <v>210</v>
      </c>
    </row>
    <row r="30" spans="1:6">
      <c r="A30" s="8">
        <v>3</v>
      </c>
      <c r="B30" s="11" t="s">
        <v>1719</v>
      </c>
      <c r="C30" s="10">
        <v>1.4859999999999999E-3</v>
      </c>
      <c r="D30" s="12">
        <f t="shared" si="0"/>
        <v>268</v>
      </c>
      <c r="E30" s="13">
        <f t="shared" si="1"/>
        <v>134</v>
      </c>
      <c r="F30" s="12">
        <f t="shared" si="2"/>
        <v>134</v>
      </c>
    </row>
    <row r="31" spans="1:6">
      <c r="A31" s="8">
        <v>4</v>
      </c>
      <c r="B31" s="11" t="s">
        <v>1720</v>
      </c>
      <c r="C31" s="10">
        <v>0.33277099999999998</v>
      </c>
      <c r="D31" s="9">
        <f t="shared" si="0"/>
        <v>60014</v>
      </c>
      <c r="E31" s="11">
        <f t="shared" si="1"/>
        <v>30007</v>
      </c>
      <c r="F31" s="9">
        <f t="shared" si="2"/>
        <v>30007</v>
      </c>
    </row>
    <row r="32" spans="1:6">
      <c r="A32" s="8"/>
      <c r="B32" s="11" t="s">
        <v>28</v>
      </c>
      <c r="C32" s="11"/>
      <c r="D32" s="14">
        <v>0.46354600000000001</v>
      </c>
      <c r="E32" s="11"/>
      <c r="F32" s="11"/>
    </row>
    <row r="33" spans="1:8">
      <c r="A33" s="8"/>
      <c r="B33" s="11" t="s">
        <v>29</v>
      </c>
      <c r="C33" s="11"/>
      <c r="D33" s="225">
        <f>ROUND(D31*D32,0)</f>
        <v>27819</v>
      </c>
      <c r="E33" s="226">
        <f>ROUND(D33/2,0)</f>
        <v>13910</v>
      </c>
      <c r="F33" s="225">
        <f>D33-E33</f>
        <v>13909</v>
      </c>
    </row>
    <row r="34" spans="1:8">
      <c r="A34" s="8"/>
      <c r="B34" s="11" t="s">
        <v>30</v>
      </c>
      <c r="C34" s="11"/>
      <c r="D34" s="12">
        <f>+D31-D33</f>
        <v>32195</v>
      </c>
      <c r="E34" s="13">
        <f>ROUND(D34/2,0)</f>
        <v>16098</v>
      </c>
      <c r="F34" s="12">
        <f>D34-E34</f>
        <v>16097</v>
      </c>
    </row>
    <row r="35" spans="1:8">
      <c r="A35" s="8">
        <v>4</v>
      </c>
      <c r="B35" s="11" t="s">
        <v>1721</v>
      </c>
      <c r="C35" s="10">
        <v>0.29403299999999999</v>
      </c>
      <c r="D35" s="9">
        <f>ROUND(D$3*C35,0)</f>
        <v>53028</v>
      </c>
      <c r="E35" s="11">
        <f>ROUND(D35/2,0)</f>
        <v>26514</v>
      </c>
      <c r="F35" s="9">
        <f>D35-E35</f>
        <v>26514</v>
      </c>
    </row>
    <row r="36" spans="1:8">
      <c r="A36" s="8"/>
      <c r="B36" s="11" t="s">
        <v>28</v>
      </c>
      <c r="C36" s="11"/>
      <c r="D36" s="14">
        <v>0.41342299999999998</v>
      </c>
      <c r="E36" s="11"/>
      <c r="F36" s="11"/>
    </row>
    <row r="37" spans="1:8">
      <c r="A37" s="8"/>
      <c r="B37" s="11" t="s">
        <v>29</v>
      </c>
      <c r="C37" s="11"/>
      <c r="D37" s="225">
        <f>ROUND(D35*D36,0)</f>
        <v>21923</v>
      </c>
      <c r="E37" s="226">
        <f>ROUND(D37/2,0)</f>
        <v>10962</v>
      </c>
      <c r="F37" s="225">
        <f>D37-E37</f>
        <v>10961</v>
      </c>
    </row>
    <row r="38" spans="1:8">
      <c r="A38" s="8"/>
      <c r="B38" s="11" t="s">
        <v>30</v>
      </c>
      <c r="C38" s="11"/>
      <c r="D38" s="12">
        <f>+D35-D37</f>
        <v>31105</v>
      </c>
      <c r="E38" s="13">
        <f>ROUND(D38/2,0)</f>
        <v>15553</v>
      </c>
      <c r="F38" s="12">
        <f>D38-E38</f>
        <v>15552</v>
      </c>
    </row>
    <row r="39" spans="1:8">
      <c r="A39" s="8">
        <v>5</v>
      </c>
      <c r="B39" s="11" t="s">
        <v>1722</v>
      </c>
      <c r="C39" s="10">
        <v>2.3730000000000001E-2</v>
      </c>
      <c r="D39" s="12">
        <f>ROUND(D$3*C39,0)</f>
        <v>4280</v>
      </c>
      <c r="E39" s="13">
        <f>ROUND(D39/2,0)</f>
        <v>2140</v>
      </c>
      <c r="F39" s="12">
        <f>D39-E39</f>
        <v>2140</v>
      </c>
    </row>
    <row r="40" spans="1:8">
      <c r="A40" s="8">
        <v>5</v>
      </c>
      <c r="B40" s="11" t="s">
        <v>1723</v>
      </c>
      <c r="C40" s="10">
        <v>9.216000000000002E-3</v>
      </c>
      <c r="D40" s="12">
        <f>+D3-SUM(D4:D5)-SUM(D10:D31)-D35-D39</f>
        <v>1662</v>
      </c>
      <c r="E40" s="13">
        <f>ROUND(D40/2,0)</f>
        <v>831</v>
      </c>
      <c r="F40" s="12">
        <f>D40-E40</f>
        <v>831</v>
      </c>
    </row>
    <row r="41" spans="1:8">
      <c r="A41" s="8">
        <v>6</v>
      </c>
      <c r="B41" s="11" t="s">
        <v>1724</v>
      </c>
      <c r="C41" s="10">
        <v>0</v>
      </c>
      <c r="D41" s="12">
        <f>ROUND(D$3*C41,0)</f>
        <v>0</v>
      </c>
      <c r="E41" s="13">
        <f>ROUND(D41/2,0)</f>
        <v>0</v>
      </c>
      <c r="F41" s="12">
        <f>D41-E41</f>
        <v>0</v>
      </c>
    </row>
    <row r="42" spans="1:8">
      <c r="A42" s="8"/>
      <c r="B42" s="28" t="s">
        <v>288</v>
      </c>
      <c r="C42" s="10">
        <v>1</v>
      </c>
      <c r="D42" s="12">
        <f>+D4+SUM(D7:D30)+SUM(D33:D34)+SUM(D37:D41)</f>
        <v>180347</v>
      </c>
      <c r="E42" s="12">
        <f>+E4+SUM(E7:E30)+SUM(E33:E34)+SUM(E37:E41)</f>
        <v>90181</v>
      </c>
      <c r="F42" s="12">
        <f>+F4+SUM(F7:F30)+SUM(F33:F34)+SUM(F37:F41)</f>
        <v>90166</v>
      </c>
    </row>
    <row r="43" spans="1:8">
      <c r="B43" s="18" t="s">
        <v>38</v>
      </c>
      <c r="D43" s="19">
        <f>+D4</f>
        <v>209</v>
      </c>
      <c r="E43" s="19">
        <f>+E4</f>
        <v>105</v>
      </c>
      <c r="F43" s="19">
        <f>+F4</f>
        <v>104</v>
      </c>
    </row>
    <row r="44" spans="1:8">
      <c r="B44" s="2" t="s">
        <v>39</v>
      </c>
      <c r="D44" s="19">
        <f>+D7</f>
        <v>3614</v>
      </c>
      <c r="E44" s="19">
        <f>+E7</f>
        <v>1807</v>
      </c>
      <c r="F44" s="19">
        <f>+F7</f>
        <v>1807</v>
      </c>
    </row>
    <row r="45" spans="1:8">
      <c r="B45" s="2" t="s">
        <v>40</v>
      </c>
      <c r="D45" s="19">
        <f>+D33+D37</f>
        <v>49742</v>
      </c>
      <c r="E45" s="19">
        <f>+E33+E37</f>
        <v>24872</v>
      </c>
      <c r="F45" s="19">
        <f>+F33+F37</f>
        <v>24870</v>
      </c>
      <c r="H45" s="3">
        <v>1</v>
      </c>
    </row>
    <row r="46" spans="1:8">
      <c r="B46" s="18" t="s">
        <v>41</v>
      </c>
      <c r="D46" s="19">
        <f>+D42-D43-D44-D45</f>
        <v>126782</v>
      </c>
      <c r="E46" s="19">
        <f>+E42-E43-E44-E45</f>
        <v>63397</v>
      </c>
      <c r="F46" s="19">
        <f>+F42-F43-F44-F45</f>
        <v>63385</v>
      </c>
      <c r="H46" s="3">
        <v>2</v>
      </c>
    </row>
    <row r="47" spans="1:8" hidden="1"/>
    <row r="48" spans="1:8" hidden="1">
      <c r="B48" s="3" t="s">
        <v>42</v>
      </c>
      <c r="C48" s="4">
        <v>-9.9999999999753064E-7</v>
      </c>
      <c r="D48" s="3">
        <f>+D40-ROUND(D3*C40,0)</f>
        <v>0</v>
      </c>
    </row>
    <row r="49" hidden="1"/>
    <row r="50" hidden="1"/>
    <row r="51" hidden="1"/>
    <row r="52" hidden="1"/>
    <row r="53" hidden="1"/>
    <row r="54" hidden="1"/>
    <row r="55" hidden="1"/>
    <row r="56" hidden="1"/>
    <row r="57" hidden="1"/>
    <row r="58" hidden="1"/>
    <row r="59" hidden="1"/>
    <row r="60" hidden="1"/>
    <row r="61" hidden="1"/>
    <row r="62" hidden="1"/>
    <row r="63" hidden="1"/>
    <row r="64" hidden="1"/>
    <row r="65" spans="1:1" hidden="1"/>
    <row r="66" spans="1:1" hidden="1"/>
    <row r="67" spans="1:1" hidden="1"/>
    <row r="68" spans="1:1" hidden="1"/>
    <row r="69" spans="1:1" hidden="1"/>
    <row r="70" spans="1:1" hidden="1"/>
    <row r="71" spans="1:1" hidden="1">
      <c r="A71" s="1" t="s">
        <v>590</v>
      </c>
    </row>
  </sheetData>
  <pageMargins left="0.7" right="0.7" top="0.75" bottom="0.75" header="0.3" footer="0.3"/>
  <pageSetup scale="65"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pageSetUpPr fitToPage="1"/>
  </sheetPr>
  <dimension ref="A1:WVB71"/>
  <sheetViews>
    <sheetView topLeftCell="A30" zoomScaleNormal="100" zoomScaleSheetLayoutView="80" workbookViewId="0">
      <selection activeCell="D51" activeCellId="1" sqref="D7:F7 D51:F51"/>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3.28515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3.28515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3.28515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3.28515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3.28515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3.28515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3.28515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3.28515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3.28515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3.28515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3.28515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3.28515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3.28515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3.28515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3.28515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3.28515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3.28515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3.28515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3.28515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3.28515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3.28515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3.28515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3.28515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3.28515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3.28515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3.28515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3.28515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3.28515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3.28515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3.28515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3.28515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3.28515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3.28515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3.28515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3.28515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3.28515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3.28515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3.28515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3.28515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3.28515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3.28515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3.28515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3.28515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3.28515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3.28515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3.28515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3.28515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3.28515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3.28515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3.28515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3.28515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3.28515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3.28515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3.28515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3.28515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3.28515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3.28515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3.28515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3.28515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3.28515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3.28515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3.28515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3.28515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1725</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Worksheet'!$D$87</f>
        <v>793500</v>
      </c>
      <c r="E3" s="11"/>
      <c r="F3" s="11"/>
    </row>
    <row r="4" spans="1:6">
      <c r="A4" s="8">
        <v>0</v>
      </c>
      <c r="B4" s="11" t="s">
        <v>4</v>
      </c>
      <c r="C4" s="10">
        <v>8.43E-4</v>
      </c>
      <c r="D4" s="12">
        <f>ROUND(D$3*C4,0)</f>
        <v>669</v>
      </c>
      <c r="E4" s="13">
        <f>ROUND(D4/2,0)</f>
        <v>335</v>
      </c>
      <c r="F4" s="12">
        <f>D4-E4</f>
        <v>334</v>
      </c>
    </row>
    <row r="5" spans="1:6">
      <c r="A5" s="8">
        <v>1</v>
      </c>
      <c r="B5" s="11" t="s">
        <v>1726</v>
      </c>
      <c r="C5" s="10">
        <v>0.20152</v>
      </c>
      <c r="D5" s="9">
        <f>ROUND(D$3*C5,0)</f>
        <v>159906</v>
      </c>
      <c r="E5" s="11">
        <f>ROUND(D5/2,0)</f>
        <v>79953</v>
      </c>
      <c r="F5" s="9">
        <f>D5-E5</f>
        <v>79953</v>
      </c>
    </row>
    <row r="6" spans="1:6">
      <c r="A6" s="8"/>
      <c r="B6" s="11" t="s">
        <v>6</v>
      </c>
      <c r="C6" s="11"/>
      <c r="D6" s="14">
        <v>0.192386</v>
      </c>
      <c r="E6" s="11"/>
      <c r="F6" s="11"/>
    </row>
    <row r="7" spans="1:6">
      <c r="A7" s="8"/>
      <c r="B7" s="11" t="s">
        <v>7</v>
      </c>
      <c r="C7" s="11"/>
      <c r="D7" s="225">
        <f>ROUND(D5*D6,0)</f>
        <v>30764</v>
      </c>
      <c r="E7" s="226">
        <f>ROUND(D7/2,0)</f>
        <v>15382</v>
      </c>
      <c r="F7" s="225">
        <f>D7-E7</f>
        <v>15382</v>
      </c>
    </row>
    <row r="8" spans="1:6">
      <c r="A8" s="8"/>
      <c r="B8" s="11" t="s">
        <v>8</v>
      </c>
      <c r="C8" s="11"/>
      <c r="D8" s="12">
        <f>+D5-D7</f>
        <v>129142</v>
      </c>
      <c r="E8" s="13">
        <f>ROUND(D8/2,0)</f>
        <v>64571</v>
      </c>
      <c r="F8" s="12">
        <f>D8-E8</f>
        <v>64571</v>
      </c>
    </row>
    <row r="9" spans="1:6">
      <c r="A9" s="8">
        <v>2</v>
      </c>
      <c r="B9" s="11" t="s">
        <v>1727</v>
      </c>
      <c r="C9" s="11"/>
      <c r="D9" s="9"/>
      <c r="E9" s="11"/>
      <c r="F9" s="11"/>
    </row>
    <row r="10" spans="1:6">
      <c r="A10" s="8"/>
      <c r="B10" s="11" t="s">
        <v>10</v>
      </c>
      <c r="C10" s="10">
        <v>2.12E-4</v>
      </c>
      <c r="D10" s="12">
        <f>ROUND(D$3*C10,0)</f>
        <v>168</v>
      </c>
      <c r="E10" s="13">
        <f>ROUND(D10/2,0)</f>
        <v>84</v>
      </c>
      <c r="F10" s="12">
        <f>D10-E10</f>
        <v>84</v>
      </c>
    </row>
    <row r="11" spans="1:6">
      <c r="A11" s="8"/>
      <c r="B11" s="11" t="s">
        <v>11</v>
      </c>
      <c r="C11" s="10">
        <v>1.22E-4</v>
      </c>
      <c r="D11" s="12">
        <f>ROUND(D$3*C11,0)</f>
        <v>97</v>
      </c>
      <c r="E11" s="13">
        <f>ROUND(D11/2,0)</f>
        <v>49</v>
      </c>
      <c r="F11" s="12">
        <f>D11-E11</f>
        <v>48</v>
      </c>
    </row>
    <row r="12" spans="1:6">
      <c r="A12" s="8">
        <v>2</v>
      </c>
      <c r="B12" s="11" t="s">
        <v>86</v>
      </c>
      <c r="C12" s="11"/>
      <c r="D12" s="9"/>
      <c r="E12" s="11"/>
      <c r="F12" s="11"/>
    </row>
    <row r="13" spans="1:6">
      <c r="A13" s="8"/>
      <c r="B13" s="11" t="s">
        <v>10</v>
      </c>
      <c r="C13" s="10">
        <v>5.744E-3</v>
      </c>
      <c r="D13" s="12">
        <f>ROUND(D$3*C13,0)</f>
        <v>4558</v>
      </c>
      <c r="E13" s="13">
        <f>ROUND(D13/2,0)</f>
        <v>2279</v>
      </c>
      <c r="F13" s="12">
        <f>D13-E13</f>
        <v>2279</v>
      </c>
    </row>
    <row r="14" spans="1:6">
      <c r="A14" s="8"/>
      <c r="B14" s="11" t="s">
        <v>11</v>
      </c>
      <c r="C14" s="10">
        <v>0</v>
      </c>
      <c r="D14" s="12">
        <f>ROUND(D$3*C14,0)</f>
        <v>0</v>
      </c>
      <c r="E14" s="13">
        <f>ROUND(D14/2,0)</f>
        <v>0</v>
      </c>
      <c r="F14" s="12">
        <f>D14-E14</f>
        <v>0</v>
      </c>
    </row>
    <row r="15" spans="1:6">
      <c r="A15" s="8">
        <v>2</v>
      </c>
      <c r="B15" s="11" t="s">
        <v>776</v>
      </c>
      <c r="C15" s="11"/>
      <c r="D15" s="9"/>
      <c r="E15" s="11"/>
      <c r="F15" s="11"/>
    </row>
    <row r="16" spans="1:6">
      <c r="A16" s="8"/>
      <c r="B16" s="11" t="s">
        <v>10</v>
      </c>
      <c r="C16" s="10">
        <v>1.4799999999999999E-4</v>
      </c>
      <c r="D16" s="12">
        <f>ROUND(D$3*C16,0)</f>
        <v>117</v>
      </c>
      <c r="E16" s="13">
        <f>ROUND(D16/2,0)</f>
        <v>59</v>
      </c>
      <c r="F16" s="12">
        <f>D16-E16</f>
        <v>58</v>
      </c>
    </row>
    <row r="17" spans="1:6">
      <c r="A17" s="8"/>
      <c r="B17" s="11" t="s">
        <v>11</v>
      </c>
      <c r="C17" s="10">
        <v>0</v>
      </c>
      <c r="D17" s="12">
        <f>ROUND(D$3*C17,0)</f>
        <v>0</v>
      </c>
      <c r="E17" s="13">
        <f>ROUND(D17/2,0)</f>
        <v>0</v>
      </c>
      <c r="F17" s="12">
        <f>D17-E17</f>
        <v>0</v>
      </c>
    </row>
    <row r="18" spans="1:6">
      <c r="A18" s="8">
        <v>2</v>
      </c>
      <c r="B18" s="11" t="s">
        <v>1728</v>
      </c>
      <c r="C18" s="11"/>
      <c r="D18" s="9"/>
      <c r="E18" s="11"/>
      <c r="F18" s="11"/>
    </row>
    <row r="19" spans="1:6">
      <c r="A19" s="8"/>
      <c r="B19" s="11" t="s">
        <v>10</v>
      </c>
      <c r="C19" s="10">
        <v>1.931E-3</v>
      </c>
      <c r="D19" s="12">
        <f>ROUND(D$3*C19,0)</f>
        <v>1532</v>
      </c>
      <c r="E19" s="13">
        <f>ROUND(D19/2,0)</f>
        <v>766</v>
      </c>
      <c r="F19" s="12">
        <f>D19-E19</f>
        <v>766</v>
      </c>
    </row>
    <row r="20" spans="1:6">
      <c r="A20" s="8"/>
      <c r="B20" s="11" t="s">
        <v>11</v>
      </c>
      <c r="C20" s="10">
        <v>1.225E-3</v>
      </c>
      <c r="D20" s="12">
        <f>ROUND(D$3*C20,0)</f>
        <v>972</v>
      </c>
      <c r="E20" s="13">
        <f>ROUND(D20/2,0)</f>
        <v>486</v>
      </c>
      <c r="F20" s="12">
        <f>D20-E20</f>
        <v>486</v>
      </c>
    </row>
    <row r="21" spans="1:6">
      <c r="A21" s="8">
        <v>2</v>
      </c>
      <c r="B21" s="11" t="s">
        <v>1729</v>
      </c>
      <c r="C21" s="11"/>
      <c r="D21" s="9"/>
      <c r="E21" s="11"/>
      <c r="F21" s="11"/>
    </row>
    <row r="22" spans="1:6">
      <c r="A22" s="8"/>
      <c r="B22" s="11" t="s">
        <v>10</v>
      </c>
      <c r="C22" s="10">
        <v>5.3899999999999998E-4</v>
      </c>
      <c r="D22" s="12">
        <f>ROUND(D$3*C22,0)</f>
        <v>428</v>
      </c>
      <c r="E22" s="13">
        <f>ROUND(D22/2,0)</f>
        <v>214</v>
      </c>
      <c r="F22" s="12">
        <f>D22-E22</f>
        <v>214</v>
      </c>
    </row>
    <row r="23" spans="1:6">
      <c r="A23" s="8"/>
      <c r="B23" s="11" t="s">
        <v>11</v>
      </c>
      <c r="C23" s="10">
        <v>0</v>
      </c>
      <c r="D23" s="12">
        <f>ROUND(D$3*C23,0)</f>
        <v>0</v>
      </c>
      <c r="E23" s="13">
        <f>ROUND(D23/2,0)</f>
        <v>0</v>
      </c>
      <c r="F23" s="12">
        <f>D23-E23</f>
        <v>0</v>
      </c>
    </row>
    <row r="24" spans="1:6">
      <c r="A24" s="8">
        <v>2</v>
      </c>
      <c r="B24" s="11" t="s">
        <v>1730</v>
      </c>
      <c r="C24" s="11"/>
      <c r="D24" s="9"/>
      <c r="E24" s="11"/>
      <c r="F24" s="11"/>
    </row>
    <row r="25" spans="1:6">
      <c r="A25" s="8"/>
      <c r="B25" s="11" t="s">
        <v>10</v>
      </c>
      <c r="C25" s="10">
        <v>4.66E-4</v>
      </c>
      <c r="D25" s="12">
        <f>ROUND(D$3*C25,0)</f>
        <v>370</v>
      </c>
      <c r="E25" s="13">
        <f>ROUND(D25/2,0)</f>
        <v>185</v>
      </c>
      <c r="F25" s="12">
        <f>D25-E25</f>
        <v>185</v>
      </c>
    </row>
    <row r="26" spans="1:6">
      <c r="A26" s="8"/>
      <c r="B26" s="11" t="s">
        <v>11</v>
      </c>
      <c r="C26" s="10">
        <v>1.75E-4</v>
      </c>
      <c r="D26" s="12">
        <f>ROUND(D$3*C26,0)</f>
        <v>139</v>
      </c>
      <c r="E26" s="13">
        <f>ROUND(D26/2,0)</f>
        <v>70</v>
      </c>
      <c r="F26" s="12">
        <f>D26-E26</f>
        <v>69</v>
      </c>
    </row>
    <row r="27" spans="1:6">
      <c r="A27" s="8">
        <v>2</v>
      </c>
      <c r="B27" s="11" t="s">
        <v>1527</v>
      </c>
      <c r="C27" s="11"/>
      <c r="D27" s="9"/>
      <c r="E27" s="11"/>
      <c r="F27" s="11"/>
    </row>
    <row r="28" spans="1:6">
      <c r="A28" s="8"/>
      <c r="B28" s="11" t="s">
        <v>10</v>
      </c>
      <c r="C28" s="10">
        <v>5.2899999999999996E-4</v>
      </c>
      <c r="D28" s="12">
        <f>ROUND(D$3*C28,0)</f>
        <v>420</v>
      </c>
      <c r="E28" s="13">
        <f>ROUND(D28/2,0)</f>
        <v>210</v>
      </c>
      <c r="F28" s="12">
        <f>D28-E28</f>
        <v>210</v>
      </c>
    </row>
    <row r="29" spans="1:6">
      <c r="A29" s="8"/>
      <c r="B29" s="11" t="s">
        <v>11</v>
      </c>
      <c r="C29" s="10">
        <v>8.92E-4</v>
      </c>
      <c r="D29" s="12">
        <f>ROUND(D$3*C29,0)</f>
        <v>708</v>
      </c>
      <c r="E29" s="13">
        <f>ROUND(D29/2,0)</f>
        <v>354</v>
      </c>
      <c r="F29" s="12">
        <f>D29-E29</f>
        <v>354</v>
      </c>
    </row>
    <row r="30" spans="1:6">
      <c r="A30" s="8">
        <v>2</v>
      </c>
      <c r="B30" s="11" t="s">
        <v>1731</v>
      </c>
      <c r="C30" s="11"/>
      <c r="D30" s="9"/>
      <c r="E30" s="11"/>
      <c r="F30" s="11"/>
    </row>
    <row r="31" spans="1:6">
      <c r="A31" s="8"/>
      <c r="B31" s="11" t="s">
        <v>10</v>
      </c>
      <c r="C31" s="10">
        <v>4.44E-4</v>
      </c>
      <c r="D31" s="12">
        <f>ROUND(D$3*C31,0)</f>
        <v>352</v>
      </c>
      <c r="E31" s="13">
        <f>ROUND(D31/2,0)</f>
        <v>176</v>
      </c>
      <c r="F31" s="12">
        <f>D31-E31</f>
        <v>176</v>
      </c>
    </row>
    <row r="32" spans="1:6">
      <c r="A32" s="8"/>
      <c r="B32" s="11" t="s">
        <v>11</v>
      </c>
      <c r="C32" s="10">
        <v>1.92E-4</v>
      </c>
      <c r="D32" s="12">
        <f>ROUND(D$3*C32,0)</f>
        <v>152</v>
      </c>
      <c r="E32" s="13">
        <f>ROUND(D32/2,0)</f>
        <v>76</v>
      </c>
      <c r="F32" s="12">
        <f>D32-E32</f>
        <v>76</v>
      </c>
    </row>
    <row r="33" spans="1:6">
      <c r="A33" s="8">
        <v>2</v>
      </c>
      <c r="B33" s="11" t="s">
        <v>1732</v>
      </c>
      <c r="C33" s="11"/>
      <c r="D33" s="9"/>
      <c r="E33" s="11"/>
      <c r="F33" s="11"/>
    </row>
    <row r="34" spans="1:6">
      <c r="A34" s="8"/>
      <c r="B34" s="11" t="s">
        <v>10</v>
      </c>
      <c r="C34" s="10">
        <v>1.075E-3</v>
      </c>
      <c r="D34" s="12">
        <f>ROUND(D$3*C34,0)</f>
        <v>853</v>
      </c>
      <c r="E34" s="13">
        <f>ROUND(D34/2,0)</f>
        <v>427</v>
      </c>
      <c r="F34" s="12">
        <f>D34-E34</f>
        <v>426</v>
      </c>
    </row>
    <row r="35" spans="1:6">
      <c r="A35" s="8"/>
      <c r="B35" s="11" t="s">
        <v>11</v>
      </c>
      <c r="C35" s="10">
        <v>6.0800000000000003E-4</v>
      </c>
      <c r="D35" s="12">
        <f>ROUND(D$3*C35,0)</f>
        <v>482</v>
      </c>
      <c r="E35" s="13">
        <f>ROUND(D35/2,0)</f>
        <v>241</v>
      </c>
      <c r="F35" s="12">
        <f>D35-E35</f>
        <v>241</v>
      </c>
    </row>
    <row r="36" spans="1:6">
      <c r="A36" s="8">
        <v>2</v>
      </c>
      <c r="B36" s="11" t="s">
        <v>1733</v>
      </c>
      <c r="C36" s="11"/>
      <c r="D36" s="9"/>
      <c r="E36" s="11"/>
      <c r="F36" s="11"/>
    </row>
    <row r="37" spans="1:6">
      <c r="A37" s="8"/>
      <c r="B37" s="11" t="s">
        <v>10</v>
      </c>
      <c r="C37" s="10">
        <v>1.18E-4</v>
      </c>
      <c r="D37" s="12">
        <f>ROUND(D$3*C37,0)</f>
        <v>94</v>
      </c>
      <c r="E37" s="13">
        <f>ROUND(D37/2,0)</f>
        <v>47</v>
      </c>
      <c r="F37" s="12">
        <f>D37-E37</f>
        <v>47</v>
      </c>
    </row>
    <row r="38" spans="1:6">
      <c r="A38" s="8"/>
      <c r="B38" s="11" t="s">
        <v>11</v>
      </c>
      <c r="C38" s="10">
        <v>0</v>
      </c>
      <c r="D38" s="12">
        <f>ROUND(D$3*C38,0)</f>
        <v>0</v>
      </c>
      <c r="E38" s="13">
        <f>ROUND(D38/2,0)</f>
        <v>0</v>
      </c>
      <c r="F38" s="12">
        <f>D38-E38</f>
        <v>0</v>
      </c>
    </row>
    <row r="39" spans="1:6">
      <c r="A39" s="8">
        <v>2</v>
      </c>
      <c r="B39" s="11" t="s">
        <v>1734</v>
      </c>
      <c r="C39" s="11"/>
      <c r="D39" s="9"/>
      <c r="E39" s="11"/>
      <c r="F39" s="11"/>
    </row>
    <row r="40" spans="1:6">
      <c r="A40" s="8"/>
      <c r="B40" s="11" t="s">
        <v>10</v>
      </c>
      <c r="C40" s="10">
        <v>6.2000000000000003E-5</v>
      </c>
      <c r="D40" s="12">
        <f>ROUND(D$3*C40,0)</f>
        <v>49</v>
      </c>
      <c r="E40" s="13">
        <f>ROUND(D40/2,0)</f>
        <v>25</v>
      </c>
      <c r="F40" s="12">
        <f>D40-E40</f>
        <v>24</v>
      </c>
    </row>
    <row r="41" spans="1:6">
      <c r="A41" s="8"/>
      <c r="B41" s="11" t="s">
        <v>11</v>
      </c>
      <c r="C41" s="10">
        <v>0</v>
      </c>
      <c r="D41" s="12">
        <f>ROUND(D$3*C41,0)</f>
        <v>0</v>
      </c>
      <c r="E41" s="13">
        <f>ROUND(D41/2,0)</f>
        <v>0</v>
      </c>
      <c r="F41" s="12">
        <f>D41-E41</f>
        <v>0</v>
      </c>
    </row>
    <row r="42" spans="1:6">
      <c r="A42" s="8">
        <v>2</v>
      </c>
      <c r="B42" s="11" t="s">
        <v>149</v>
      </c>
      <c r="C42" s="11"/>
      <c r="D42" s="9"/>
      <c r="E42" s="11"/>
      <c r="F42" s="11"/>
    </row>
    <row r="43" spans="1:6">
      <c r="A43" s="8"/>
      <c r="B43" s="11" t="s">
        <v>10</v>
      </c>
      <c r="C43" s="10">
        <v>1.771E-3</v>
      </c>
      <c r="D43" s="12">
        <f t="shared" ref="D43:D49" si="0">ROUND(D$3*C43,0)</f>
        <v>1405</v>
      </c>
      <c r="E43" s="13">
        <f t="shared" ref="E43:E49" si="1">ROUND(D43/2,0)</f>
        <v>703</v>
      </c>
      <c r="F43" s="12">
        <f t="shared" ref="F43:F49" si="2">D43-E43</f>
        <v>702</v>
      </c>
    </row>
    <row r="44" spans="1:6">
      <c r="A44" s="8"/>
      <c r="B44" s="11" t="s">
        <v>11</v>
      </c>
      <c r="C44" s="10">
        <v>0</v>
      </c>
      <c r="D44" s="12">
        <f t="shared" si="0"/>
        <v>0</v>
      </c>
      <c r="E44" s="13">
        <f t="shared" si="1"/>
        <v>0</v>
      </c>
      <c r="F44" s="12">
        <f t="shared" si="2"/>
        <v>0</v>
      </c>
    </row>
    <row r="45" spans="1:6">
      <c r="A45" s="8">
        <v>3</v>
      </c>
      <c r="B45" s="11" t="s">
        <v>1735</v>
      </c>
      <c r="C45" s="10">
        <v>9.9999999999999995E-7</v>
      </c>
      <c r="D45" s="12">
        <f t="shared" si="0"/>
        <v>1</v>
      </c>
      <c r="E45" s="13">
        <f t="shared" si="1"/>
        <v>1</v>
      </c>
      <c r="F45" s="12">
        <f t="shared" si="2"/>
        <v>0</v>
      </c>
    </row>
    <row r="46" spans="1:6">
      <c r="A46" s="8">
        <v>3</v>
      </c>
      <c r="B46" s="11" t="s">
        <v>1736</v>
      </c>
      <c r="C46" s="10">
        <v>9.5000000000000005E-5</v>
      </c>
      <c r="D46" s="12">
        <f t="shared" si="0"/>
        <v>75</v>
      </c>
      <c r="E46" s="13">
        <f t="shared" si="1"/>
        <v>38</v>
      </c>
      <c r="F46" s="12">
        <f t="shared" si="2"/>
        <v>37</v>
      </c>
    </row>
    <row r="47" spans="1:6">
      <c r="A47" s="8">
        <v>3</v>
      </c>
      <c r="B47" s="11" t="s">
        <v>1737</v>
      </c>
      <c r="C47" s="10">
        <v>0.20457900000000001</v>
      </c>
      <c r="D47" s="12">
        <f t="shared" si="0"/>
        <v>162333</v>
      </c>
      <c r="E47" s="13">
        <f t="shared" si="1"/>
        <v>81167</v>
      </c>
      <c r="F47" s="12">
        <f t="shared" si="2"/>
        <v>81166</v>
      </c>
    </row>
    <row r="48" spans="1:6">
      <c r="A48" s="8">
        <v>3</v>
      </c>
      <c r="B48" s="11" t="s">
        <v>1738</v>
      </c>
      <c r="C48" s="10">
        <v>5.1120000000000002E-3</v>
      </c>
      <c r="D48" s="12">
        <f t="shared" si="0"/>
        <v>4056</v>
      </c>
      <c r="E48" s="13">
        <f t="shared" si="1"/>
        <v>2028</v>
      </c>
      <c r="F48" s="12">
        <f t="shared" si="2"/>
        <v>2028</v>
      </c>
    </row>
    <row r="49" spans="1:6">
      <c r="A49" s="8">
        <v>4</v>
      </c>
      <c r="B49" s="11" t="s">
        <v>1739</v>
      </c>
      <c r="C49" s="10">
        <v>0.47371200000000002</v>
      </c>
      <c r="D49" s="9">
        <f t="shared" si="0"/>
        <v>375890</v>
      </c>
      <c r="E49" s="11">
        <f t="shared" si="1"/>
        <v>187945</v>
      </c>
      <c r="F49" s="9">
        <f t="shared" si="2"/>
        <v>187945</v>
      </c>
    </row>
    <row r="50" spans="1:6">
      <c r="A50" s="8"/>
      <c r="B50" s="11" t="s">
        <v>28</v>
      </c>
      <c r="C50" s="11"/>
      <c r="D50" s="14">
        <v>0.47839900000000002</v>
      </c>
      <c r="E50" s="11"/>
      <c r="F50" s="11"/>
    </row>
    <row r="51" spans="1:6">
      <c r="A51" s="8"/>
      <c r="B51" s="11" t="s">
        <v>29</v>
      </c>
      <c r="C51" s="11"/>
      <c r="D51" s="225">
        <f>ROUND(D49*D50,0)</f>
        <v>179825</v>
      </c>
      <c r="E51" s="226">
        <f t="shared" ref="E51:E61" si="3">ROUND(D51/2,0)</f>
        <v>89913</v>
      </c>
      <c r="F51" s="225">
        <f t="shared" ref="F51:F61" si="4">D51-E51</f>
        <v>89912</v>
      </c>
    </row>
    <row r="52" spans="1:6">
      <c r="A52" s="8"/>
      <c r="B52" s="11" t="s">
        <v>30</v>
      </c>
      <c r="C52" s="11"/>
      <c r="D52" s="12">
        <f>+D49-D51</f>
        <v>196065</v>
      </c>
      <c r="E52" s="13">
        <f t="shared" si="3"/>
        <v>98033</v>
      </c>
      <c r="F52" s="12">
        <f t="shared" si="4"/>
        <v>98032</v>
      </c>
    </row>
    <row r="53" spans="1:6">
      <c r="A53" s="8">
        <v>5</v>
      </c>
      <c r="B53" s="11" t="s">
        <v>1740</v>
      </c>
      <c r="C53" s="10">
        <v>4.0315999999999998E-2</v>
      </c>
      <c r="D53" s="12">
        <f t="shared" ref="D53:D60" si="5">ROUND(D$3*C53,0)</f>
        <v>31991</v>
      </c>
      <c r="E53" s="13">
        <f t="shared" si="3"/>
        <v>15996</v>
      </c>
      <c r="F53" s="12">
        <f t="shared" si="4"/>
        <v>15995</v>
      </c>
    </row>
    <row r="54" spans="1:6">
      <c r="A54" s="8">
        <v>6</v>
      </c>
      <c r="B54" s="11" t="s">
        <v>264</v>
      </c>
      <c r="C54" s="10">
        <v>0</v>
      </c>
      <c r="D54" s="12">
        <f t="shared" si="5"/>
        <v>0</v>
      </c>
      <c r="E54" s="13">
        <f t="shared" si="3"/>
        <v>0</v>
      </c>
      <c r="F54" s="12">
        <f t="shared" si="4"/>
        <v>0</v>
      </c>
    </row>
    <row r="55" spans="1:6">
      <c r="A55" s="8">
        <v>6</v>
      </c>
      <c r="B55" s="11" t="s">
        <v>1741</v>
      </c>
      <c r="C55" s="10">
        <v>3.4889999999999999E-3</v>
      </c>
      <c r="D55" s="12">
        <f t="shared" si="5"/>
        <v>2769</v>
      </c>
      <c r="E55" s="13">
        <f t="shared" si="3"/>
        <v>1385</v>
      </c>
      <c r="F55" s="12">
        <f t="shared" si="4"/>
        <v>1384</v>
      </c>
    </row>
    <row r="56" spans="1:6">
      <c r="A56" s="8">
        <v>6</v>
      </c>
      <c r="B56" s="11" t="s">
        <v>1742</v>
      </c>
      <c r="C56" s="10">
        <v>1.6992E-2</v>
      </c>
      <c r="D56" s="12">
        <f t="shared" si="5"/>
        <v>13483</v>
      </c>
      <c r="E56" s="13">
        <f t="shared" si="3"/>
        <v>6742</v>
      </c>
      <c r="F56" s="12">
        <f t="shared" si="4"/>
        <v>6741</v>
      </c>
    </row>
    <row r="57" spans="1:6">
      <c r="A57" s="8">
        <v>6</v>
      </c>
      <c r="B57" s="11" t="s">
        <v>1743</v>
      </c>
      <c r="C57" s="10">
        <v>2.5579999999999999E-3</v>
      </c>
      <c r="D57" s="12">
        <f t="shared" si="5"/>
        <v>2030</v>
      </c>
      <c r="E57" s="13">
        <f t="shared" si="3"/>
        <v>1015</v>
      </c>
      <c r="F57" s="12">
        <f t="shared" si="4"/>
        <v>1015</v>
      </c>
    </row>
    <row r="58" spans="1:6">
      <c r="A58" s="8">
        <v>6</v>
      </c>
      <c r="B58" s="11" t="s">
        <v>1744</v>
      </c>
      <c r="C58" s="10">
        <v>7.6400000000000003E-4</v>
      </c>
      <c r="D58" s="12">
        <f t="shared" si="5"/>
        <v>606</v>
      </c>
      <c r="E58" s="13">
        <f t="shared" si="3"/>
        <v>303</v>
      </c>
      <c r="F58" s="12">
        <f t="shared" si="4"/>
        <v>303</v>
      </c>
    </row>
    <row r="59" spans="1:6">
      <c r="A59" s="8">
        <v>6</v>
      </c>
      <c r="B59" s="11" t="s">
        <v>1745</v>
      </c>
      <c r="C59" s="10">
        <v>2.99E-4</v>
      </c>
      <c r="D59" s="12">
        <f t="shared" si="5"/>
        <v>237</v>
      </c>
      <c r="E59" s="13">
        <f t="shared" si="3"/>
        <v>119</v>
      </c>
      <c r="F59" s="12">
        <f t="shared" si="4"/>
        <v>118</v>
      </c>
    </row>
    <row r="60" spans="1:6">
      <c r="A60" s="8">
        <v>6</v>
      </c>
      <c r="B60" s="11" t="s">
        <v>1746</v>
      </c>
      <c r="C60" s="10">
        <v>2.8449999999999999E-3</v>
      </c>
      <c r="D60" s="12">
        <f t="shared" si="5"/>
        <v>2258</v>
      </c>
      <c r="E60" s="13">
        <f t="shared" si="3"/>
        <v>1129</v>
      </c>
      <c r="F60" s="12">
        <f t="shared" si="4"/>
        <v>1129</v>
      </c>
    </row>
    <row r="61" spans="1:6">
      <c r="A61" s="8">
        <v>6</v>
      </c>
      <c r="B61" s="11" t="s">
        <v>1747</v>
      </c>
      <c r="C61" s="10">
        <v>3.0622E-2</v>
      </c>
      <c r="D61" s="12">
        <f>+D3-SUM(D4:D5)-SUM(D10:D49)-SUM(D53:D60)</f>
        <v>24300</v>
      </c>
      <c r="E61" s="13">
        <f t="shared" si="3"/>
        <v>12150</v>
      </c>
      <c r="F61" s="12">
        <f t="shared" si="4"/>
        <v>12150</v>
      </c>
    </row>
    <row r="62" spans="1:6">
      <c r="A62" s="8"/>
      <c r="B62" s="28" t="s">
        <v>288</v>
      </c>
      <c r="C62" s="10">
        <v>1</v>
      </c>
      <c r="D62" s="12">
        <f>+D4+SUM(D7:D48)+SUM(D51:D61)</f>
        <v>793500</v>
      </c>
      <c r="E62" s="12">
        <f>+E4+SUM(E7:E48)+SUM(E51:E61)</f>
        <v>396758</v>
      </c>
      <c r="F62" s="12">
        <f>+F4+SUM(F7:F48)+SUM(F51:F61)</f>
        <v>396742</v>
      </c>
    </row>
    <row r="63" spans="1:6">
      <c r="B63" s="18" t="s">
        <v>38</v>
      </c>
      <c r="D63" s="19">
        <f>+D4</f>
        <v>669</v>
      </c>
      <c r="E63" s="19">
        <f>+E4</f>
        <v>335</v>
      </c>
      <c r="F63" s="19">
        <f>+F4</f>
        <v>334</v>
      </c>
    </row>
    <row r="64" spans="1:6">
      <c r="B64" s="2" t="s">
        <v>39</v>
      </c>
      <c r="D64" s="19">
        <f>+D7</f>
        <v>30764</v>
      </c>
      <c r="E64" s="19">
        <f>+E7</f>
        <v>15382</v>
      </c>
      <c r="F64" s="19">
        <f>+F7</f>
        <v>15382</v>
      </c>
    </row>
    <row r="65" spans="1:8">
      <c r="B65" s="2" t="s">
        <v>40</v>
      </c>
      <c r="D65" s="19">
        <f>+D51</f>
        <v>179825</v>
      </c>
      <c r="E65" s="19">
        <f>+E51</f>
        <v>89913</v>
      </c>
      <c r="F65" s="19">
        <f>+F51</f>
        <v>89912</v>
      </c>
      <c r="H65" s="3">
        <v>1</v>
      </c>
    </row>
    <row r="66" spans="1:8">
      <c r="B66" s="18" t="s">
        <v>41</v>
      </c>
      <c r="D66" s="19">
        <f>+D62-D63-D64-D65</f>
        <v>582242</v>
      </c>
      <c r="E66" s="19">
        <f>+E62-E63-E64-E65</f>
        <v>291128</v>
      </c>
      <c r="F66" s="19">
        <f>+F62-F63-F64-F65</f>
        <v>291114</v>
      </c>
      <c r="H66" s="3">
        <v>2</v>
      </c>
    </row>
    <row r="67" spans="1:8" hidden="1"/>
    <row r="68" spans="1:8" hidden="1">
      <c r="B68" s="3" t="s">
        <v>42</v>
      </c>
      <c r="C68" s="4">
        <v>0</v>
      </c>
      <c r="D68" s="3">
        <f>+D61-ROUND(D3*C61,0)</f>
        <v>1</v>
      </c>
    </row>
    <row r="69" spans="1:8" hidden="1"/>
    <row r="70" spans="1:8" hidden="1"/>
    <row r="71" spans="1:8" hidden="1">
      <c r="A71" s="1" t="s">
        <v>590</v>
      </c>
    </row>
  </sheetData>
  <pageMargins left="0.7" right="0.7" top="0.75" bottom="0.75" header="0.3" footer="0.3"/>
  <pageSetup scale="65"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pageSetUpPr fitToPage="1"/>
  </sheetPr>
  <dimension ref="A1:WVB71"/>
  <sheetViews>
    <sheetView topLeftCell="A24" zoomScaleNormal="100" zoomScaleSheetLayoutView="80" workbookViewId="0">
      <selection activeCell="D45" activeCellId="3" sqref="D7:F7 D37:F37 D41:F41 D45:F45"/>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4.425781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4.425781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4.425781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4.425781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4.425781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4.425781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4.425781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4.425781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4.425781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4.425781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4.425781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4.425781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4.425781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4.425781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4.425781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4.425781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4.425781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4.425781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4.425781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4.425781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4.425781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4.425781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4.425781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4.425781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4.425781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4.425781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4.425781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4.425781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4.425781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4.425781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4.425781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4.425781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4.425781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4.425781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4.425781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4.425781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4.425781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4.425781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4.425781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4.425781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4.425781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4.425781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4.425781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4.425781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4.425781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4.425781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4.425781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4.425781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4.425781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4.425781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4.425781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4.425781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4.425781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4.425781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4.425781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4.425781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4.425781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4.425781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4.425781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4.425781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4.425781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4.425781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4.425781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1748</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Worksheet'!$D$88</f>
        <v>349169</v>
      </c>
      <c r="E3" s="11"/>
      <c r="F3" s="11"/>
    </row>
    <row r="4" spans="1:6">
      <c r="A4" s="8">
        <v>0</v>
      </c>
      <c r="B4" s="11" t="s">
        <v>4</v>
      </c>
      <c r="C4" s="10">
        <v>1.253E-3</v>
      </c>
      <c r="D4" s="12">
        <f>ROUND(D$3*C4,0)</f>
        <v>438</v>
      </c>
      <c r="E4" s="13">
        <f>ROUND(D4/2,0)</f>
        <v>219</v>
      </c>
      <c r="F4" s="12">
        <f>D4-E4</f>
        <v>219</v>
      </c>
    </row>
    <row r="5" spans="1:6">
      <c r="A5" s="8">
        <v>1</v>
      </c>
      <c r="B5" s="11" t="s">
        <v>1749</v>
      </c>
      <c r="C5" s="10">
        <v>0.21440999999999999</v>
      </c>
      <c r="D5" s="9">
        <f>ROUND(D$3*C5,0)</f>
        <v>74865</v>
      </c>
      <c r="E5" s="11">
        <f>ROUND(D5/2,0)</f>
        <v>37433</v>
      </c>
      <c r="F5" s="9">
        <f>D5-E5</f>
        <v>37432</v>
      </c>
    </row>
    <row r="6" spans="1:6">
      <c r="A6" s="8"/>
      <c r="B6" s="11" t="s">
        <v>6</v>
      </c>
      <c r="C6" s="11"/>
      <c r="D6" s="14">
        <v>0.336231</v>
      </c>
      <c r="E6" s="11"/>
      <c r="F6" s="11"/>
    </row>
    <row r="7" spans="1:6">
      <c r="A7" s="8"/>
      <c r="B7" s="11" t="s">
        <v>7</v>
      </c>
      <c r="C7" s="11"/>
      <c r="D7" s="225">
        <f>ROUND(D5*D6,0)</f>
        <v>25172</v>
      </c>
      <c r="E7" s="226">
        <f>ROUND(D7/2,0)</f>
        <v>12586</v>
      </c>
      <c r="F7" s="225">
        <f>D7-E7</f>
        <v>12586</v>
      </c>
    </row>
    <row r="8" spans="1:6">
      <c r="A8" s="8"/>
      <c r="B8" s="11" t="s">
        <v>8</v>
      </c>
      <c r="C8" s="11"/>
      <c r="D8" s="12">
        <f>+D5-D7</f>
        <v>49693</v>
      </c>
      <c r="E8" s="13">
        <f>ROUND(D8/2,0)</f>
        <v>24847</v>
      </c>
      <c r="F8" s="12">
        <f>D8-E8</f>
        <v>24846</v>
      </c>
    </row>
    <row r="9" spans="1:6">
      <c r="A9" s="8">
        <v>2</v>
      </c>
      <c r="B9" s="11" t="s">
        <v>1750</v>
      </c>
      <c r="C9" s="11"/>
      <c r="D9" s="9"/>
      <c r="E9" s="11"/>
      <c r="F9" s="11"/>
    </row>
    <row r="10" spans="1:6">
      <c r="A10" s="8"/>
      <c r="B10" s="11" t="s">
        <v>10</v>
      </c>
      <c r="C10" s="10">
        <v>7.6940000000000003E-3</v>
      </c>
      <c r="D10" s="12">
        <f>ROUND(D$3*C10,0)</f>
        <v>2687</v>
      </c>
      <c r="E10" s="13">
        <f>ROUND(D10/2,0)</f>
        <v>1344</v>
      </c>
      <c r="F10" s="12">
        <f>D10-E10</f>
        <v>1343</v>
      </c>
    </row>
    <row r="11" spans="1:6">
      <c r="A11" s="8"/>
      <c r="B11" s="11" t="s">
        <v>11</v>
      </c>
      <c r="C11" s="10">
        <v>1.034E-3</v>
      </c>
      <c r="D11" s="12">
        <f>ROUND(D$3*C11,0)</f>
        <v>361</v>
      </c>
      <c r="E11" s="13">
        <f>ROUND(D11/2,0)</f>
        <v>181</v>
      </c>
      <c r="F11" s="12">
        <f>D11-E11</f>
        <v>180</v>
      </c>
    </row>
    <row r="12" spans="1:6">
      <c r="A12" s="8">
        <v>2</v>
      </c>
      <c r="B12" s="11" t="s">
        <v>1751</v>
      </c>
      <c r="C12" s="11"/>
      <c r="D12" s="9"/>
      <c r="E12" s="11"/>
      <c r="F12" s="11"/>
    </row>
    <row r="13" spans="1:6">
      <c r="A13" s="8"/>
      <c r="B13" s="11" t="s">
        <v>10</v>
      </c>
      <c r="C13" s="10">
        <v>9.7900000000000005E-4</v>
      </c>
      <c r="D13" s="12">
        <f>ROUND(D$3*C13,0)</f>
        <v>342</v>
      </c>
      <c r="E13" s="13">
        <f>ROUND(D13/2,0)</f>
        <v>171</v>
      </c>
      <c r="F13" s="12">
        <f>D13-E13</f>
        <v>171</v>
      </c>
    </row>
    <row r="14" spans="1:6">
      <c r="A14" s="8"/>
      <c r="B14" s="11" t="s">
        <v>11</v>
      </c>
      <c r="C14" s="10">
        <v>1.7099999999999999E-3</v>
      </c>
      <c r="D14" s="12">
        <f>ROUND(D$3*C14,0)</f>
        <v>597</v>
      </c>
      <c r="E14" s="13">
        <f>ROUND(D14/2,0)</f>
        <v>299</v>
      </c>
      <c r="F14" s="12">
        <f>D14-E14</f>
        <v>298</v>
      </c>
    </row>
    <row r="15" spans="1:6">
      <c r="A15" s="8">
        <v>2</v>
      </c>
      <c r="B15" s="11" t="s">
        <v>181</v>
      </c>
      <c r="C15" s="11"/>
      <c r="D15" s="9"/>
      <c r="E15" s="11"/>
      <c r="F15" s="11"/>
    </row>
    <row r="16" spans="1:6">
      <c r="A16" s="8"/>
      <c r="B16" s="11" t="s">
        <v>10</v>
      </c>
      <c r="C16" s="10">
        <v>7.3099999999999999E-4</v>
      </c>
      <c r="D16" s="12">
        <f>ROUND(D$3*C16,0)</f>
        <v>255</v>
      </c>
      <c r="E16" s="13">
        <f>ROUND(D16/2,0)</f>
        <v>128</v>
      </c>
      <c r="F16" s="12">
        <f>D16-E16</f>
        <v>127</v>
      </c>
    </row>
    <row r="17" spans="1:6">
      <c r="A17" s="8"/>
      <c r="B17" s="11" t="s">
        <v>11</v>
      </c>
      <c r="C17" s="10">
        <v>6.8900000000000005E-4</v>
      </c>
      <c r="D17" s="12">
        <f>ROUND(D$3*C17,0)</f>
        <v>241</v>
      </c>
      <c r="E17" s="13">
        <f>ROUND(D17/2,0)</f>
        <v>121</v>
      </c>
      <c r="F17" s="12">
        <f>D17-E17</f>
        <v>120</v>
      </c>
    </row>
    <row r="18" spans="1:6">
      <c r="A18" s="8">
        <v>2</v>
      </c>
      <c r="B18" s="11" t="s">
        <v>203</v>
      </c>
      <c r="C18" s="11"/>
      <c r="D18" s="9"/>
      <c r="E18" s="11"/>
      <c r="F18" s="11"/>
    </row>
    <row r="19" spans="1:6">
      <c r="A19" s="8"/>
      <c r="B19" s="11" t="s">
        <v>10</v>
      </c>
      <c r="C19" s="10">
        <v>8.5140000000000007E-3</v>
      </c>
      <c r="D19" s="12">
        <f>ROUND(D$3*C19,0)</f>
        <v>2973</v>
      </c>
      <c r="E19" s="13">
        <f>ROUND(D19/2,0)</f>
        <v>1487</v>
      </c>
      <c r="F19" s="12">
        <f>D19-E19</f>
        <v>1486</v>
      </c>
    </row>
    <row r="20" spans="1:6">
      <c r="A20" s="8"/>
      <c r="B20" s="11" t="s">
        <v>11</v>
      </c>
      <c r="C20" s="10">
        <v>1.9E-3</v>
      </c>
      <c r="D20" s="12">
        <f>ROUND(D$3*C20,0)</f>
        <v>663</v>
      </c>
      <c r="E20" s="13">
        <f>ROUND(D20/2,0)</f>
        <v>332</v>
      </c>
      <c r="F20" s="12">
        <f>D20-E20</f>
        <v>331</v>
      </c>
    </row>
    <row r="21" spans="1:6">
      <c r="A21" s="8">
        <v>2</v>
      </c>
      <c r="B21" s="11" t="s">
        <v>1752</v>
      </c>
      <c r="C21" s="11"/>
      <c r="D21" s="9"/>
      <c r="E21" s="11"/>
      <c r="F21" s="11"/>
    </row>
    <row r="22" spans="1:6">
      <c r="A22" s="8"/>
      <c r="B22" s="11" t="s">
        <v>10</v>
      </c>
      <c r="C22" s="10">
        <v>1.5920000000000001E-3</v>
      </c>
      <c r="D22" s="12">
        <f>ROUND(D$3*C22,0)</f>
        <v>556</v>
      </c>
      <c r="E22" s="13">
        <f>ROUND(D22/2,0)</f>
        <v>278</v>
      </c>
      <c r="F22" s="12">
        <f>D22-E22</f>
        <v>278</v>
      </c>
    </row>
    <row r="23" spans="1:6">
      <c r="A23" s="8"/>
      <c r="B23" s="11" t="s">
        <v>11</v>
      </c>
      <c r="C23" s="10">
        <v>5.53E-4</v>
      </c>
      <c r="D23" s="12">
        <f>ROUND(D$3*C23,0)</f>
        <v>193</v>
      </c>
      <c r="E23" s="13">
        <f>ROUND(D23/2,0)</f>
        <v>97</v>
      </c>
      <c r="F23" s="12">
        <f>D23-E23</f>
        <v>96</v>
      </c>
    </row>
    <row r="24" spans="1:6">
      <c r="A24" s="8">
        <v>2</v>
      </c>
      <c r="B24" s="11" t="s">
        <v>57</v>
      </c>
      <c r="C24" s="11"/>
      <c r="D24" s="9"/>
      <c r="E24" s="11"/>
      <c r="F24" s="11"/>
    </row>
    <row r="25" spans="1:6">
      <c r="A25" s="8"/>
      <c r="B25" s="11" t="s">
        <v>10</v>
      </c>
      <c r="C25" s="10">
        <v>6.0920000000000002E-3</v>
      </c>
      <c r="D25" s="12">
        <f>ROUND(D$3*C25,0)</f>
        <v>2127</v>
      </c>
      <c r="E25" s="13">
        <f>ROUND(D25/2,0)</f>
        <v>1064</v>
      </c>
      <c r="F25" s="12">
        <f>D25-E25</f>
        <v>1063</v>
      </c>
    </row>
    <row r="26" spans="1:6">
      <c r="A26" s="8"/>
      <c r="B26" s="11" t="s">
        <v>11</v>
      </c>
      <c r="C26" s="10">
        <v>4.8390000000000004E-3</v>
      </c>
      <c r="D26" s="12">
        <f>ROUND(D$3*C26,0)</f>
        <v>1690</v>
      </c>
      <c r="E26" s="13">
        <f>ROUND(D26/2,0)</f>
        <v>845</v>
      </c>
      <c r="F26" s="12">
        <f>D26-E26</f>
        <v>845</v>
      </c>
    </row>
    <row r="27" spans="1:6">
      <c r="A27" s="8">
        <v>2</v>
      </c>
      <c r="B27" s="11" t="s">
        <v>1753</v>
      </c>
      <c r="C27" s="11"/>
      <c r="D27" s="9"/>
      <c r="E27" s="11"/>
      <c r="F27" s="11"/>
    </row>
    <row r="28" spans="1:6">
      <c r="A28" s="8"/>
      <c r="B28" s="11" t="s">
        <v>10</v>
      </c>
      <c r="C28" s="10">
        <v>2.3000000000000001E-4</v>
      </c>
      <c r="D28" s="12">
        <f t="shared" ref="D28:D35" si="0">ROUND(D$3*C28,0)</f>
        <v>80</v>
      </c>
      <c r="E28" s="13">
        <f t="shared" ref="E28:E35" si="1">ROUND(D28/2,0)</f>
        <v>40</v>
      </c>
      <c r="F28" s="12">
        <f t="shared" ref="F28:F35" si="2">D28-E28</f>
        <v>40</v>
      </c>
    </row>
    <row r="29" spans="1:6">
      <c r="A29" s="8"/>
      <c r="B29" s="11" t="s">
        <v>11</v>
      </c>
      <c r="C29" s="10">
        <v>1.25E-4</v>
      </c>
      <c r="D29" s="12">
        <f t="shared" si="0"/>
        <v>44</v>
      </c>
      <c r="E29" s="13">
        <f t="shared" si="1"/>
        <v>22</v>
      </c>
      <c r="F29" s="12">
        <f t="shared" si="2"/>
        <v>22</v>
      </c>
    </row>
    <row r="30" spans="1:6">
      <c r="A30" s="8">
        <v>3</v>
      </c>
      <c r="B30" s="11" t="s">
        <v>1754</v>
      </c>
      <c r="C30" s="10">
        <v>1.3129999999999999E-3</v>
      </c>
      <c r="D30" s="12">
        <f t="shared" si="0"/>
        <v>458</v>
      </c>
      <c r="E30" s="13">
        <f t="shared" si="1"/>
        <v>229</v>
      </c>
      <c r="F30" s="12">
        <f t="shared" si="2"/>
        <v>229</v>
      </c>
    </row>
    <row r="31" spans="1:6">
      <c r="A31" s="8">
        <v>3</v>
      </c>
      <c r="B31" s="11" t="s">
        <v>1755</v>
      </c>
      <c r="C31" s="10">
        <v>9.9200000000000004E-4</v>
      </c>
      <c r="D31" s="12">
        <f t="shared" si="0"/>
        <v>346</v>
      </c>
      <c r="E31" s="13">
        <f t="shared" si="1"/>
        <v>173</v>
      </c>
      <c r="F31" s="12">
        <f t="shared" si="2"/>
        <v>173</v>
      </c>
    </row>
    <row r="32" spans="1:6">
      <c r="A32" s="8">
        <v>3</v>
      </c>
      <c r="B32" s="11" t="s">
        <v>1756</v>
      </c>
      <c r="C32" s="10">
        <v>2.5801999999999999E-2</v>
      </c>
      <c r="D32" s="12">
        <f t="shared" si="0"/>
        <v>9009</v>
      </c>
      <c r="E32" s="13">
        <f t="shared" si="1"/>
        <v>4505</v>
      </c>
      <c r="F32" s="12">
        <f t="shared" si="2"/>
        <v>4504</v>
      </c>
    </row>
    <row r="33" spans="1:6">
      <c r="A33" s="8">
        <v>3</v>
      </c>
      <c r="B33" s="11" t="s">
        <v>1757</v>
      </c>
      <c r="C33" s="10">
        <v>5.9000000000000003E-4</v>
      </c>
      <c r="D33" s="12">
        <f t="shared" si="0"/>
        <v>206</v>
      </c>
      <c r="E33" s="13">
        <f t="shared" si="1"/>
        <v>103</v>
      </c>
      <c r="F33" s="12">
        <f t="shared" si="2"/>
        <v>103</v>
      </c>
    </row>
    <row r="34" spans="1:6">
      <c r="A34" s="8">
        <v>3</v>
      </c>
      <c r="B34" s="11" t="s">
        <v>1758</v>
      </c>
      <c r="C34" s="10">
        <v>7.4989E-2</v>
      </c>
      <c r="D34" s="12">
        <f t="shared" si="0"/>
        <v>26184</v>
      </c>
      <c r="E34" s="13">
        <f t="shared" si="1"/>
        <v>13092</v>
      </c>
      <c r="F34" s="12">
        <f t="shared" si="2"/>
        <v>13092</v>
      </c>
    </row>
    <row r="35" spans="1:6">
      <c r="A35" s="8">
        <v>4</v>
      </c>
      <c r="B35" s="11" t="s">
        <v>1759</v>
      </c>
      <c r="C35" s="10">
        <v>0.299896</v>
      </c>
      <c r="D35" s="9">
        <f t="shared" si="0"/>
        <v>104714</v>
      </c>
      <c r="E35" s="11">
        <f t="shared" si="1"/>
        <v>52357</v>
      </c>
      <c r="F35" s="9">
        <f t="shared" si="2"/>
        <v>52357</v>
      </c>
    </row>
    <row r="36" spans="1:6">
      <c r="A36" s="8"/>
      <c r="B36" s="11" t="s">
        <v>28</v>
      </c>
      <c r="C36" s="11"/>
      <c r="D36" s="14">
        <v>0.50551199999999996</v>
      </c>
      <c r="E36" s="11"/>
      <c r="F36" s="11"/>
    </row>
    <row r="37" spans="1:6">
      <c r="A37" s="8"/>
      <c r="B37" s="11" t="s">
        <v>29</v>
      </c>
      <c r="C37" s="11"/>
      <c r="D37" s="225">
        <f>ROUND(D35*D36,0)</f>
        <v>52934</v>
      </c>
      <c r="E37" s="226">
        <f>ROUND(D37/2,0)</f>
        <v>26467</v>
      </c>
      <c r="F37" s="225">
        <f>D37-E37</f>
        <v>26467</v>
      </c>
    </row>
    <row r="38" spans="1:6">
      <c r="A38" s="8"/>
      <c r="B38" s="11" t="s">
        <v>30</v>
      </c>
      <c r="C38" s="11"/>
      <c r="D38" s="12">
        <f>+D35-D37</f>
        <v>51780</v>
      </c>
      <c r="E38" s="13">
        <f>ROUND(D38/2,0)</f>
        <v>25890</v>
      </c>
      <c r="F38" s="12">
        <f>D38-E38</f>
        <v>25890</v>
      </c>
    </row>
    <row r="39" spans="1:6">
      <c r="A39" s="8">
        <v>4</v>
      </c>
      <c r="B39" s="11" t="s">
        <v>1760</v>
      </c>
      <c r="C39" s="10">
        <v>0.266567</v>
      </c>
      <c r="D39" s="9">
        <f>ROUND(D$3*C39,0)</f>
        <v>93077</v>
      </c>
      <c r="E39" s="11">
        <f>ROUND(D39/2,0)</f>
        <v>46539</v>
      </c>
      <c r="F39" s="9">
        <f>D39-E39</f>
        <v>46538</v>
      </c>
    </row>
    <row r="40" spans="1:6">
      <c r="A40" s="8"/>
      <c r="B40" s="11" t="s">
        <v>28</v>
      </c>
      <c r="C40" s="11"/>
      <c r="D40" s="14">
        <v>0.44625799999999999</v>
      </c>
      <c r="E40" s="11"/>
      <c r="F40" s="11"/>
    </row>
    <row r="41" spans="1:6">
      <c r="A41" s="8"/>
      <c r="B41" s="11" t="s">
        <v>29</v>
      </c>
      <c r="C41" s="11"/>
      <c r="D41" s="225">
        <f>ROUND(D39*D40,0)</f>
        <v>41536</v>
      </c>
      <c r="E41" s="226">
        <f>ROUND(D41/2,0)</f>
        <v>20768</v>
      </c>
      <c r="F41" s="225">
        <f>D41-E41</f>
        <v>20768</v>
      </c>
    </row>
    <row r="42" spans="1:6">
      <c r="A42" s="8"/>
      <c r="B42" s="11" t="s">
        <v>30</v>
      </c>
      <c r="C42" s="11"/>
      <c r="D42" s="12">
        <f>+D39-D41</f>
        <v>51541</v>
      </c>
      <c r="E42" s="13">
        <f>ROUND(D42/2,0)</f>
        <v>25771</v>
      </c>
      <c r="F42" s="12">
        <f>D42-E42</f>
        <v>25770</v>
      </c>
    </row>
    <row r="43" spans="1:6">
      <c r="A43" s="8">
        <v>4</v>
      </c>
      <c r="B43" s="11" t="s">
        <v>1761</v>
      </c>
      <c r="C43" s="10">
        <v>6.5846000000000002E-2</v>
      </c>
      <c r="D43" s="9">
        <f>ROUND(D$3*C43,0)</f>
        <v>22991</v>
      </c>
      <c r="E43" s="11">
        <f>ROUND(D43/2,0)</f>
        <v>11496</v>
      </c>
      <c r="F43" s="9">
        <f>D43-E43</f>
        <v>11495</v>
      </c>
    </row>
    <row r="44" spans="1:6">
      <c r="A44" s="8"/>
      <c r="B44" s="11" t="s">
        <v>28</v>
      </c>
      <c r="C44" s="11"/>
      <c r="D44" s="14">
        <v>0.53324499999999997</v>
      </c>
      <c r="E44" s="11"/>
      <c r="F44" s="11"/>
    </row>
    <row r="45" spans="1:6">
      <c r="A45" s="8"/>
      <c r="B45" s="11" t="s">
        <v>29</v>
      </c>
      <c r="C45" s="11"/>
      <c r="D45" s="225">
        <f>ROUND(D43*D44,0)</f>
        <v>12260</v>
      </c>
      <c r="E45" s="226">
        <f t="shared" ref="E45:E50" si="3">ROUND(D45/2,0)</f>
        <v>6130</v>
      </c>
      <c r="F45" s="225">
        <f t="shared" ref="F45:F50" si="4">D45-E45</f>
        <v>6130</v>
      </c>
    </row>
    <row r="46" spans="1:6">
      <c r="A46" s="8"/>
      <c r="B46" s="11" t="s">
        <v>30</v>
      </c>
      <c r="C46" s="11"/>
      <c r="D46" s="12">
        <f>+D43-D45</f>
        <v>10731</v>
      </c>
      <c r="E46" s="13">
        <f t="shared" si="3"/>
        <v>5366</v>
      </c>
      <c r="F46" s="12">
        <f t="shared" si="4"/>
        <v>5365</v>
      </c>
    </row>
    <row r="47" spans="1:6">
      <c r="A47" s="8">
        <v>5</v>
      </c>
      <c r="B47" s="11" t="s">
        <v>1762</v>
      </c>
      <c r="C47" s="10">
        <v>3.0170000000000002E-3</v>
      </c>
      <c r="D47" s="12">
        <f>ROUND(D$3*C47,0)</f>
        <v>1053</v>
      </c>
      <c r="E47" s="13">
        <f t="shared" si="3"/>
        <v>527</v>
      </c>
      <c r="F47" s="12">
        <f t="shared" si="4"/>
        <v>526</v>
      </c>
    </row>
    <row r="48" spans="1:6">
      <c r="A48" s="8">
        <v>5</v>
      </c>
      <c r="B48" s="11" t="s">
        <v>1763</v>
      </c>
      <c r="C48" s="10">
        <v>1.673E-3</v>
      </c>
      <c r="D48" s="12">
        <f>ROUND(D$3*C48,0)</f>
        <v>584</v>
      </c>
      <c r="E48" s="13">
        <f t="shared" si="3"/>
        <v>292</v>
      </c>
      <c r="F48" s="12">
        <f t="shared" si="4"/>
        <v>292</v>
      </c>
    </row>
    <row r="49" spans="1:8">
      <c r="A49" s="8">
        <v>5</v>
      </c>
      <c r="B49" s="11" t="s">
        <v>1764</v>
      </c>
      <c r="C49" s="10">
        <v>6.9700000000000317E-3</v>
      </c>
      <c r="D49" s="12">
        <f>+D3-SUM(D4:D5)-SUM(D10:D35)-D39-D43-SUM(D47:D48)</f>
        <v>2435</v>
      </c>
      <c r="E49" s="13">
        <f t="shared" si="3"/>
        <v>1218</v>
      </c>
      <c r="F49" s="12">
        <f t="shared" si="4"/>
        <v>1217</v>
      </c>
    </row>
    <row r="50" spans="1:8">
      <c r="A50" s="8">
        <v>6</v>
      </c>
      <c r="B50" s="11" t="s">
        <v>1765</v>
      </c>
      <c r="C50" s="10">
        <v>0</v>
      </c>
      <c r="D50" s="12">
        <f>ROUND(D$3*C50,0)</f>
        <v>0</v>
      </c>
      <c r="E50" s="13">
        <f t="shared" si="3"/>
        <v>0</v>
      </c>
      <c r="F50" s="12">
        <f t="shared" si="4"/>
        <v>0</v>
      </c>
    </row>
    <row r="51" spans="1:8">
      <c r="A51" s="8"/>
      <c r="B51" s="28" t="s">
        <v>288</v>
      </c>
      <c r="C51" s="10">
        <v>1</v>
      </c>
      <c r="D51" s="12">
        <f>+D4+SUM(D7:D34)+SUM(D37:D38)+SUM(D41:D42)+SUM(D45:D50)</f>
        <v>349169</v>
      </c>
      <c r="E51" s="12">
        <f>+E4+SUM(E7:E34)+SUM(E37:E38)+SUM(E41:E42)+SUM(E45:E50)</f>
        <v>174592</v>
      </c>
      <c r="F51" s="12">
        <f>+F4+SUM(F7:F34)+SUM(F37:F38)+SUM(F41:F42)+SUM(F45:F50)</f>
        <v>174577</v>
      </c>
    </row>
    <row r="52" spans="1:8">
      <c r="B52" s="18" t="s">
        <v>38</v>
      </c>
      <c r="D52" s="19">
        <f>+D4</f>
        <v>438</v>
      </c>
      <c r="E52" s="19">
        <f>+E4</f>
        <v>219</v>
      </c>
      <c r="F52" s="19">
        <f>+F4</f>
        <v>219</v>
      </c>
    </row>
    <row r="53" spans="1:8">
      <c r="B53" s="2" t="s">
        <v>39</v>
      </c>
      <c r="D53" s="19">
        <f>+D7</f>
        <v>25172</v>
      </c>
      <c r="E53" s="19">
        <f>+E7</f>
        <v>12586</v>
      </c>
      <c r="F53" s="19">
        <f>+F7</f>
        <v>12586</v>
      </c>
    </row>
    <row r="54" spans="1:8">
      <c r="B54" s="2" t="s">
        <v>40</v>
      </c>
      <c r="D54" s="19">
        <f>+D37+D41+D45</f>
        <v>106730</v>
      </c>
      <c r="E54" s="19">
        <f>+E37+E41+E45</f>
        <v>53365</v>
      </c>
      <c r="F54" s="19">
        <f>+F37+F41+F45</f>
        <v>53365</v>
      </c>
      <c r="H54" s="3">
        <v>1</v>
      </c>
    </row>
    <row r="55" spans="1:8">
      <c r="B55" s="18" t="s">
        <v>41</v>
      </c>
      <c r="D55" s="19">
        <f>+D51-D52-D53-D54</f>
        <v>216829</v>
      </c>
      <c r="E55" s="19">
        <f>+E51-E52-E53-E54</f>
        <v>108422</v>
      </c>
      <c r="F55" s="19">
        <f>+F51-F52-F53-F54</f>
        <v>108407</v>
      </c>
      <c r="H55" s="3">
        <v>2</v>
      </c>
    </row>
    <row r="56" spans="1:8" hidden="1"/>
    <row r="57" spans="1:8" hidden="1">
      <c r="B57" s="3" t="s">
        <v>42</v>
      </c>
      <c r="C57" s="4">
        <v>-9.9999999996804034E-7</v>
      </c>
      <c r="D57" s="3">
        <f>+D49-ROUND(D3*C49,0)</f>
        <v>1</v>
      </c>
    </row>
    <row r="58" spans="1:8" hidden="1"/>
    <row r="59" spans="1:8" hidden="1"/>
    <row r="60" spans="1:8" hidden="1"/>
    <row r="61" spans="1:8" hidden="1"/>
    <row r="62" spans="1:8" hidden="1"/>
    <row r="63" spans="1:8" hidden="1"/>
    <row r="64" spans="1:8" hidden="1"/>
    <row r="65" spans="1:1" hidden="1"/>
    <row r="66" spans="1:1" hidden="1"/>
    <row r="67" spans="1:1" hidden="1"/>
    <row r="68" spans="1:1" hidden="1"/>
    <row r="69" spans="1:1" hidden="1"/>
    <row r="70" spans="1:1" hidden="1"/>
    <row r="71" spans="1:1" hidden="1">
      <c r="A71" s="1" t="s">
        <v>590</v>
      </c>
    </row>
  </sheetData>
  <pageMargins left="0.7" right="0.7" top="0.75" bottom="0.75" header="0.3" footer="0.3"/>
  <pageSetup scale="65"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7">
    <pageSetUpPr fitToPage="1"/>
  </sheetPr>
  <dimension ref="A1:WVB71"/>
  <sheetViews>
    <sheetView topLeftCell="A38" zoomScaleNormal="100" zoomScaleSheetLayoutView="80" workbookViewId="0">
      <selection activeCell="D59" activeCellId="3" sqref="D7:F7 D51:F51 D55:F55 D59:F59"/>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3.140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3.140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3.140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3.140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3.140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3.140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3.140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3.140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3.140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3.140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3.140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3.140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3.140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3.140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3.140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3.140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3.140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3.140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3.140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3.140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3.140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3.140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3.140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3.140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3.140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3.140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3.140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3.140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3.140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3.140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3.140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3.140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3.140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3.140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3.140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3.140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3.140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3.140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3.140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3.140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3.140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3.140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3.140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3.140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3.140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3.140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3.140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3.140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3.140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3.140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3.140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3.140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3.140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3.140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3.140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3.140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3.140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3.140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3.140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3.140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3.140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3.140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3.140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A1" s="41"/>
      <c r="B1" s="2" t="s">
        <v>1766</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Worksheet'!$D$89</f>
        <v>57220</v>
      </c>
      <c r="E3" s="11"/>
      <c r="F3" s="11"/>
    </row>
    <row r="4" spans="1:6">
      <c r="A4" s="8">
        <v>0</v>
      </c>
      <c r="B4" s="11" t="s">
        <v>4</v>
      </c>
      <c r="C4" s="10">
        <v>1.3699999999999999E-3</v>
      </c>
      <c r="D4" s="12">
        <f>ROUND(D$3*C4,0)</f>
        <v>78</v>
      </c>
      <c r="E4" s="13">
        <f>ROUND(D4/2,0)</f>
        <v>39</v>
      </c>
      <c r="F4" s="12">
        <f>D4-E4</f>
        <v>39</v>
      </c>
    </row>
    <row r="5" spans="1:6">
      <c r="A5" s="8">
        <v>1</v>
      </c>
      <c r="B5" s="11" t="s">
        <v>1767</v>
      </c>
      <c r="C5" s="10">
        <v>0.313029</v>
      </c>
      <c r="D5" s="9">
        <f>ROUND(D$3*C5,0)</f>
        <v>17912</v>
      </c>
      <c r="E5" s="11">
        <f>ROUND(D5/2,0)</f>
        <v>8956</v>
      </c>
      <c r="F5" s="9">
        <f>D5-E5</f>
        <v>8956</v>
      </c>
    </row>
    <row r="6" spans="1:6">
      <c r="A6" s="8"/>
      <c r="B6" s="11" t="s">
        <v>6</v>
      </c>
      <c r="C6" s="11"/>
      <c r="D6" s="14">
        <v>9.2796000000000003E-2</v>
      </c>
      <c r="E6" s="11"/>
      <c r="F6" s="11"/>
    </row>
    <row r="7" spans="1:6">
      <c r="A7" s="8"/>
      <c r="B7" s="11" t="s">
        <v>7</v>
      </c>
      <c r="C7" s="11"/>
      <c r="D7" s="225">
        <f>ROUND(D5*D6,0)</f>
        <v>1662</v>
      </c>
      <c r="E7" s="226">
        <f>ROUND(D7/2,0)</f>
        <v>831</v>
      </c>
      <c r="F7" s="225">
        <f>D7-E7</f>
        <v>831</v>
      </c>
    </row>
    <row r="8" spans="1:6">
      <c r="A8" s="8"/>
      <c r="B8" s="11" t="s">
        <v>8</v>
      </c>
      <c r="C8" s="11"/>
      <c r="D8" s="12">
        <f>+D5-D7</f>
        <v>16250</v>
      </c>
      <c r="E8" s="13">
        <f>ROUND(D8/2,0)</f>
        <v>8125</v>
      </c>
      <c r="F8" s="12">
        <f>D8-E8</f>
        <v>8125</v>
      </c>
    </row>
    <row r="9" spans="1:6">
      <c r="A9" s="8">
        <v>2</v>
      </c>
      <c r="B9" s="11" t="s">
        <v>46</v>
      </c>
      <c r="C9" s="11"/>
      <c r="D9" s="9"/>
      <c r="E9" s="11"/>
      <c r="F9" s="11"/>
    </row>
    <row r="10" spans="1:6">
      <c r="A10" s="8"/>
      <c r="B10" s="11" t="s">
        <v>10</v>
      </c>
      <c r="C10" s="10">
        <v>1.768E-3</v>
      </c>
      <c r="D10" s="12">
        <f>ROUND(D$3*C10,0)</f>
        <v>101</v>
      </c>
      <c r="E10" s="13">
        <f>ROUND(D10/2,0)</f>
        <v>51</v>
      </c>
      <c r="F10" s="12">
        <f>D10-E10</f>
        <v>50</v>
      </c>
    </row>
    <row r="11" spans="1:6">
      <c r="A11" s="8"/>
      <c r="B11" s="11" t="s">
        <v>11</v>
      </c>
      <c r="C11" s="10">
        <v>3.5E-4</v>
      </c>
      <c r="D11" s="12">
        <f>ROUND(D$3*C11,0)</f>
        <v>20</v>
      </c>
      <c r="E11" s="13">
        <f>ROUND(D11/2,0)</f>
        <v>10</v>
      </c>
      <c r="F11" s="12">
        <f>D11-E11</f>
        <v>10</v>
      </c>
    </row>
    <row r="12" spans="1:6">
      <c r="A12" s="8">
        <v>2</v>
      </c>
      <c r="B12" s="11" t="s">
        <v>835</v>
      </c>
      <c r="C12" s="11"/>
      <c r="D12" s="9"/>
      <c r="E12" s="11"/>
      <c r="F12" s="11"/>
    </row>
    <row r="13" spans="1:6">
      <c r="A13" s="8"/>
      <c r="B13" s="11" t="s">
        <v>10</v>
      </c>
      <c r="C13" s="10">
        <v>8.4400000000000002E-4</v>
      </c>
      <c r="D13" s="12">
        <f>ROUND(D$3*C13,0)</f>
        <v>48</v>
      </c>
      <c r="E13" s="13">
        <f>ROUND(D13/2,0)</f>
        <v>24</v>
      </c>
      <c r="F13" s="12">
        <f>D13-E13</f>
        <v>24</v>
      </c>
    </row>
    <row r="14" spans="1:6">
      <c r="A14" s="8"/>
      <c r="B14" s="11" t="s">
        <v>11</v>
      </c>
      <c r="C14" s="10">
        <v>3.5E-4</v>
      </c>
      <c r="D14" s="12">
        <f>ROUND(D$3*C14,0)</f>
        <v>20</v>
      </c>
      <c r="E14" s="13">
        <f>ROUND(D14/2,0)</f>
        <v>10</v>
      </c>
      <c r="F14" s="12">
        <f>D14-E14</f>
        <v>10</v>
      </c>
    </row>
    <row r="15" spans="1:6">
      <c r="A15" s="8">
        <v>2</v>
      </c>
      <c r="B15" s="11" t="s">
        <v>1768</v>
      </c>
      <c r="C15" s="11"/>
      <c r="D15" s="9"/>
      <c r="E15" s="11"/>
      <c r="F15" s="11"/>
    </row>
    <row r="16" spans="1:6">
      <c r="A16" s="8"/>
      <c r="B16" s="11" t="s">
        <v>10</v>
      </c>
      <c r="C16" s="10">
        <v>3.5999999999999999E-3</v>
      </c>
      <c r="D16" s="12">
        <f>ROUND(D$3*C16,0)</f>
        <v>206</v>
      </c>
      <c r="E16" s="13">
        <f>ROUND(D16/2,0)</f>
        <v>103</v>
      </c>
      <c r="F16" s="12">
        <f>D16-E16</f>
        <v>103</v>
      </c>
    </row>
    <row r="17" spans="1:6">
      <c r="A17" s="8"/>
      <c r="B17" s="11" t="s">
        <v>11</v>
      </c>
      <c r="C17" s="10">
        <v>2.0869999999999999E-3</v>
      </c>
      <c r="D17" s="12">
        <f>ROUND(D$3*C17,0)</f>
        <v>119</v>
      </c>
      <c r="E17" s="13">
        <f>ROUND(D17/2,0)</f>
        <v>60</v>
      </c>
      <c r="F17" s="12">
        <f>D17-E17</f>
        <v>59</v>
      </c>
    </row>
    <row r="18" spans="1:6">
      <c r="A18" s="8">
        <v>2</v>
      </c>
      <c r="B18" s="11" t="s">
        <v>181</v>
      </c>
      <c r="C18" s="11"/>
      <c r="D18" s="9"/>
      <c r="E18" s="11"/>
      <c r="F18" s="11"/>
    </row>
    <row r="19" spans="1:6">
      <c r="A19" s="8"/>
      <c r="B19" s="11" t="s">
        <v>10</v>
      </c>
      <c r="C19" s="10">
        <v>6.2760000000000003E-3</v>
      </c>
      <c r="D19" s="12">
        <f>ROUND(D$3*C19,0)</f>
        <v>359</v>
      </c>
      <c r="E19" s="13">
        <f>ROUND(D19/2,0)</f>
        <v>180</v>
      </c>
      <c r="F19" s="12">
        <f>D19-E19</f>
        <v>179</v>
      </c>
    </row>
    <row r="20" spans="1:6">
      <c r="A20" s="8"/>
      <c r="B20" s="11" t="s">
        <v>11</v>
      </c>
      <c r="C20" s="10">
        <v>1.3060000000000001E-3</v>
      </c>
      <c r="D20" s="12">
        <f>ROUND(D$3*C20,0)</f>
        <v>75</v>
      </c>
      <c r="E20" s="13">
        <f>ROUND(D20/2,0)</f>
        <v>38</v>
      </c>
      <c r="F20" s="12">
        <f>D20-E20</f>
        <v>37</v>
      </c>
    </row>
    <row r="21" spans="1:6">
      <c r="A21" s="8">
        <v>2</v>
      </c>
      <c r="B21" s="11" t="s">
        <v>1769</v>
      </c>
      <c r="C21" s="11"/>
      <c r="D21" s="9"/>
      <c r="E21" s="11"/>
      <c r="F21" s="11"/>
    </row>
    <row r="22" spans="1:6">
      <c r="A22" s="8"/>
      <c r="B22" s="11" t="s">
        <v>10</v>
      </c>
      <c r="C22" s="10">
        <v>2.405E-3</v>
      </c>
      <c r="D22" s="12">
        <f>ROUND(D$3*C22,0)</f>
        <v>138</v>
      </c>
      <c r="E22" s="13">
        <f>ROUND(D22/2,0)</f>
        <v>69</v>
      </c>
      <c r="F22" s="12">
        <f>D22-E22</f>
        <v>69</v>
      </c>
    </row>
    <row r="23" spans="1:6">
      <c r="A23" s="8"/>
      <c r="B23" s="11" t="s">
        <v>11</v>
      </c>
      <c r="C23" s="10">
        <v>7.3300000000000004E-4</v>
      </c>
      <c r="D23" s="12">
        <f>ROUND(D$3*C23,0)</f>
        <v>42</v>
      </c>
      <c r="E23" s="13">
        <f>ROUND(D23/2,0)</f>
        <v>21</v>
      </c>
      <c r="F23" s="12">
        <f>D23-E23</f>
        <v>21</v>
      </c>
    </row>
    <row r="24" spans="1:6">
      <c r="A24" s="8">
        <v>2</v>
      </c>
      <c r="B24" s="11" t="s">
        <v>1770</v>
      </c>
      <c r="C24" s="11"/>
      <c r="D24" s="9"/>
      <c r="E24" s="11"/>
      <c r="F24" s="11"/>
    </row>
    <row r="25" spans="1:6">
      <c r="A25" s="8"/>
      <c r="B25" s="11" t="s">
        <v>10</v>
      </c>
      <c r="C25" s="10">
        <v>1.529E-3</v>
      </c>
      <c r="D25" s="12">
        <f>ROUND(D$3*C25,0)</f>
        <v>87</v>
      </c>
      <c r="E25" s="13">
        <f>ROUND(D25/2,0)</f>
        <v>44</v>
      </c>
      <c r="F25" s="12">
        <f>D25-E25</f>
        <v>43</v>
      </c>
    </row>
    <row r="26" spans="1:6">
      <c r="A26" s="8"/>
      <c r="B26" s="11" t="s">
        <v>11</v>
      </c>
      <c r="C26" s="10">
        <v>9.0799999999999995E-4</v>
      </c>
      <c r="D26" s="12">
        <f>ROUND(D$3*C26,0)</f>
        <v>52</v>
      </c>
      <c r="E26" s="13">
        <f>ROUND(D26/2,0)</f>
        <v>26</v>
      </c>
      <c r="F26" s="12">
        <f>D26-E26</f>
        <v>26</v>
      </c>
    </row>
    <row r="27" spans="1:6">
      <c r="A27" s="8">
        <v>2</v>
      </c>
      <c r="B27" s="11" t="s">
        <v>858</v>
      </c>
      <c r="C27" s="11"/>
      <c r="D27" s="9"/>
      <c r="E27" s="11"/>
      <c r="F27" s="11"/>
    </row>
    <row r="28" spans="1:6">
      <c r="A28" s="8"/>
      <c r="B28" s="11" t="s">
        <v>10</v>
      </c>
      <c r="C28" s="10">
        <v>3.8200000000000002E-4</v>
      </c>
      <c r="D28" s="12">
        <f>ROUND(D$3*C28,0)</f>
        <v>22</v>
      </c>
      <c r="E28" s="13">
        <f>ROUND(D28/2,0)</f>
        <v>11</v>
      </c>
      <c r="F28" s="12">
        <f>D28-E28</f>
        <v>11</v>
      </c>
    </row>
    <row r="29" spans="1:6">
      <c r="A29" s="8"/>
      <c r="B29" s="11" t="s">
        <v>11</v>
      </c>
      <c r="C29" s="10">
        <v>1.4300000000000001E-4</v>
      </c>
      <c r="D29" s="12">
        <f>ROUND(D$3*C29,0)</f>
        <v>8</v>
      </c>
      <c r="E29" s="13">
        <f>ROUND(D29/2,0)</f>
        <v>4</v>
      </c>
      <c r="F29" s="12">
        <f>D29-E29</f>
        <v>4</v>
      </c>
    </row>
    <row r="30" spans="1:6">
      <c r="A30" s="8">
        <v>2</v>
      </c>
      <c r="B30" s="11" t="s">
        <v>113</v>
      </c>
      <c r="C30" s="11"/>
      <c r="D30" s="9"/>
      <c r="E30" s="11"/>
      <c r="F30" s="11"/>
    </row>
    <row r="31" spans="1:6">
      <c r="A31" s="8"/>
      <c r="B31" s="11" t="s">
        <v>10</v>
      </c>
      <c r="C31" s="10">
        <v>1.338E-3</v>
      </c>
      <c r="D31" s="12">
        <f>ROUND(D$3*C31,0)</f>
        <v>77</v>
      </c>
      <c r="E31" s="13">
        <f>ROUND(D31/2,0)</f>
        <v>39</v>
      </c>
      <c r="F31" s="12">
        <f>D31-E31</f>
        <v>38</v>
      </c>
    </row>
    <row r="32" spans="1:6">
      <c r="A32" s="8"/>
      <c r="B32" s="11" t="s">
        <v>11</v>
      </c>
      <c r="C32" s="10">
        <v>4.1399999999999998E-4</v>
      </c>
      <c r="D32" s="12">
        <f>ROUND(D$3*C32,0)</f>
        <v>24</v>
      </c>
      <c r="E32" s="13">
        <f>ROUND(D32/2,0)</f>
        <v>12</v>
      </c>
      <c r="F32" s="12">
        <f>D32-E32</f>
        <v>12</v>
      </c>
    </row>
    <row r="33" spans="1:6">
      <c r="A33" s="8">
        <v>2</v>
      </c>
      <c r="B33" s="11" t="s">
        <v>744</v>
      </c>
      <c r="C33" s="11"/>
      <c r="D33" s="9"/>
      <c r="E33" s="11"/>
      <c r="F33" s="11"/>
    </row>
    <row r="34" spans="1:6">
      <c r="A34" s="8"/>
      <c r="B34" s="11" t="s">
        <v>10</v>
      </c>
      <c r="C34" s="10">
        <v>3.8200000000000002E-4</v>
      </c>
      <c r="D34" s="12">
        <f>ROUND(D$3*C34,0)</f>
        <v>22</v>
      </c>
      <c r="E34" s="13">
        <f>ROUND(D34/2,0)</f>
        <v>11</v>
      </c>
      <c r="F34" s="12">
        <f>D34-E34</f>
        <v>11</v>
      </c>
    </row>
    <row r="35" spans="1:6">
      <c r="A35" s="8"/>
      <c r="B35" s="11" t="s">
        <v>11</v>
      </c>
      <c r="C35" s="10">
        <v>2.8699999999999998E-4</v>
      </c>
      <c r="D35" s="12">
        <f>ROUND(D$3*C35,0)</f>
        <v>16</v>
      </c>
      <c r="E35" s="13">
        <f>ROUND(D35/2,0)</f>
        <v>8</v>
      </c>
      <c r="F35" s="12">
        <f>D35-E35</f>
        <v>8</v>
      </c>
    </row>
    <row r="36" spans="1:6">
      <c r="A36" s="8">
        <v>2</v>
      </c>
      <c r="B36" s="11" t="s">
        <v>1626</v>
      </c>
      <c r="C36" s="11"/>
      <c r="D36" s="9"/>
      <c r="E36" s="11"/>
      <c r="F36" s="11"/>
    </row>
    <row r="37" spans="1:6">
      <c r="A37" s="8"/>
      <c r="B37" s="11" t="s">
        <v>10</v>
      </c>
      <c r="C37" s="10">
        <v>6.0499999999999996E-4</v>
      </c>
      <c r="D37" s="12">
        <f>ROUND(D$3*C37,0)</f>
        <v>35</v>
      </c>
      <c r="E37" s="13">
        <f>ROUND(D37/2,0)</f>
        <v>18</v>
      </c>
      <c r="F37" s="12">
        <f>D37-E37</f>
        <v>17</v>
      </c>
    </row>
    <row r="38" spans="1:6">
      <c r="A38" s="8"/>
      <c r="B38" s="11" t="s">
        <v>11</v>
      </c>
      <c r="C38" s="10">
        <v>3.0299999999999999E-4</v>
      </c>
      <c r="D38" s="12">
        <f>ROUND(D$3*C38,0)</f>
        <v>17</v>
      </c>
      <c r="E38" s="13">
        <f>ROUND(D38/2,0)</f>
        <v>9</v>
      </c>
      <c r="F38" s="12">
        <f>D38-E38</f>
        <v>8</v>
      </c>
    </row>
    <row r="39" spans="1:6">
      <c r="A39" s="8">
        <v>2</v>
      </c>
      <c r="B39" s="11" t="s">
        <v>272</v>
      </c>
      <c r="C39" s="11"/>
      <c r="D39" s="9"/>
      <c r="E39" s="11"/>
      <c r="F39" s="11"/>
    </row>
    <row r="40" spans="1:6">
      <c r="A40" s="8"/>
      <c r="B40" s="11" t="s">
        <v>10</v>
      </c>
      <c r="C40" s="10">
        <v>4.6200000000000001E-4</v>
      </c>
      <c r="D40" s="12">
        <f>ROUND(D$3*C40,0)</f>
        <v>26</v>
      </c>
      <c r="E40" s="13">
        <f>ROUND(D40/2,0)</f>
        <v>13</v>
      </c>
      <c r="F40" s="12">
        <f>D40-E40</f>
        <v>13</v>
      </c>
    </row>
    <row r="41" spans="1:6">
      <c r="A41" s="8"/>
      <c r="B41" s="11" t="s">
        <v>11</v>
      </c>
      <c r="C41" s="10">
        <v>2.8699999999999998E-4</v>
      </c>
      <c r="D41" s="12">
        <f>ROUND(D$3*C41,0)</f>
        <v>16</v>
      </c>
      <c r="E41" s="13">
        <f>ROUND(D41/2,0)</f>
        <v>8</v>
      </c>
      <c r="F41" s="12">
        <f>D41-E41</f>
        <v>8</v>
      </c>
    </row>
    <row r="42" spans="1:6">
      <c r="A42" s="8">
        <v>2</v>
      </c>
      <c r="B42" s="11" t="s">
        <v>22</v>
      </c>
      <c r="C42" s="11"/>
      <c r="D42" s="9"/>
      <c r="E42" s="11"/>
      <c r="F42" s="11"/>
    </row>
    <row r="43" spans="1:6">
      <c r="A43" s="8"/>
      <c r="B43" s="11" t="s">
        <v>10</v>
      </c>
      <c r="C43" s="10">
        <v>1.27E-4</v>
      </c>
      <c r="D43" s="12">
        <f t="shared" ref="D43:D49" si="0">ROUND(D$3*C43,0)</f>
        <v>7</v>
      </c>
      <c r="E43" s="13">
        <f t="shared" ref="E43:E49" si="1">ROUND(D43/2,0)</f>
        <v>4</v>
      </c>
      <c r="F43" s="12">
        <f t="shared" ref="F43:F49" si="2">D43-E43</f>
        <v>3</v>
      </c>
    </row>
    <row r="44" spans="1:6">
      <c r="A44" s="8"/>
      <c r="B44" s="11" t="s">
        <v>11</v>
      </c>
      <c r="C44" s="10">
        <v>0</v>
      </c>
      <c r="D44" s="12">
        <f t="shared" si="0"/>
        <v>0</v>
      </c>
      <c r="E44" s="13">
        <f t="shared" si="1"/>
        <v>0</v>
      </c>
      <c r="F44" s="12">
        <f t="shared" si="2"/>
        <v>0</v>
      </c>
    </row>
    <row r="45" spans="1:6">
      <c r="A45" s="8">
        <v>3</v>
      </c>
      <c r="B45" s="11" t="s">
        <v>1771</v>
      </c>
      <c r="C45" s="10">
        <v>0</v>
      </c>
      <c r="D45" s="12">
        <f t="shared" si="0"/>
        <v>0</v>
      </c>
      <c r="E45" s="13">
        <f t="shared" si="1"/>
        <v>0</v>
      </c>
      <c r="F45" s="12">
        <f t="shared" si="2"/>
        <v>0</v>
      </c>
    </row>
    <row r="46" spans="1:6">
      <c r="A46" s="8">
        <v>3</v>
      </c>
      <c r="B46" s="11" t="s">
        <v>1772</v>
      </c>
      <c r="C46" s="10">
        <v>2.8699999999999998E-4</v>
      </c>
      <c r="D46" s="12">
        <f t="shared" si="0"/>
        <v>16</v>
      </c>
      <c r="E46" s="13">
        <f t="shared" si="1"/>
        <v>8</v>
      </c>
      <c r="F46" s="12">
        <f t="shared" si="2"/>
        <v>8</v>
      </c>
    </row>
    <row r="47" spans="1:6">
      <c r="A47" s="8">
        <v>3</v>
      </c>
      <c r="B47" s="11" t="s">
        <v>1773</v>
      </c>
      <c r="C47" s="10">
        <v>1.0349999999999999E-3</v>
      </c>
      <c r="D47" s="12">
        <f t="shared" si="0"/>
        <v>59</v>
      </c>
      <c r="E47" s="13">
        <f t="shared" si="1"/>
        <v>30</v>
      </c>
      <c r="F47" s="12">
        <f t="shared" si="2"/>
        <v>29</v>
      </c>
    </row>
    <row r="48" spans="1:6">
      <c r="A48" s="8">
        <v>3</v>
      </c>
      <c r="B48" s="11" t="s">
        <v>1774</v>
      </c>
      <c r="C48" s="10">
        <v>2.31E-3</v>
      </c>
      <c r="D48" s="12">
        <f t="shared" si="0"/>
        <v>132</v>
      </c>
      <c r="E48" s="13">
        <f t="shared" si="1"/>
        <v>66</v>
      </c>
      <c r="F48" s="12">
        <f t="shared" si="2"/>
        <v>66</v>
      </c>
    </row>
    <row r="49" spans="1:6">
      <c r="A49" s="8">
        <v>4</v>
      </c>
      <c r="B49" s="11" t="s">
        <v>122</v>
      </c>
      <c r="C49" s="10">
        <v>0.10784199999999999</v>
      </c>
      <c r="D49" s="9">
        <f t="shared" si="0"/>
        <v>6171</v>
      </c>
      <c r="E49" s="11">
        <f t="shared" si="1"/>
        <v>3086</v>
      </c>
      <c r="F49" s="9">
        <f t="shared" si="2"/>
        <v>3085</v>
      </c>
    </row>
    <row r="50" spans="1:6">
      <c r="A50" s="8"/>
      <c r="B50" s="11" t="s">
        <v>28</v>
      </c>
      <c r="C50" s="11"/>
      <c r="D50" s="14">
        <v>0.45683600000000002</v>
      </c>
      <c r="E50" s="11"/>
      <c r="F50" s="11"/>
    </row>
    <row r="51" spans="1:6">
      <c r="A51" s="8"/>
      <c r="B51" s="11" t="s">
        <v>29</v>
      </c>
      <c r="C51" s="11"/>
      <c r="D51" s="225">
        <f>ROUND(D49*D50,0)</f>
        <v>2819</v>
      </c>
      <c r="E51" s="226">
        <f>ROUND(D51/2,0)</f>
        <v>1410</v>
      </c>
      <c r="F51" s="225">
        <f>D51-E51</f>
        <v>1409</v>
      </c>
    </row>
    <row r="52" spans="1:6">
      <c r="A52" s="8"/>
      <c r="B52" s="11" t="s">
        <v>30</v>
      </c>
      <c r="C52" s="11"/>
      <c r="D52" s="12">
        <f>+D49-D51</f>
        <v>3352</v>
      </c>
      <c r="E52" s="13">
        <f>ROUND(D52/2,0)</f>
        <v>1676</v>
      </c>
      <c r="F52" s="12">
        <f>D52-E52</f>
        <v>1676</v>
      </c>
    </row>
    <row r="53" spans="1:6">
      <c r="A53" s="8">
        <v>4</v>
      </c>
      <c r="B53" s="11" t="s">
        <v>517</v>
      </c>
      <c r="C53" s="10">
        <v>6.4577999999999997E-2</v>
      </c>
      <c r="D53" s="9">
        <f>ROUND(D$3*C53,0)</f>
        <v>3695</v>
      </c>
      <c r="E53" s="11">
        <f>ROUND(D53/2,0)</f>
        <v>1848</v>
      </c>
      <c r="F53" s="9">
        <f>D53-E53</f>
        <v>1847</v>
      </c>
    </row>
    <row r="54" spans="1:6">
      <c r="A54" s="8"/>
      <c r="B54" s="11" t="s">
        <v>28</v>
      </c>
      <c r="C54" s="11"/>
      <c r="D54" s="14">
        <v>0.45909</v>
      </c>
      <c r="E54" s="11"/>
      <c r="F54" s="11"/>
    </row>
    <row r="55" spans="1:6">
      <c r="A55" s="8"/>
      <c r="B55" s="11" t="s">
        <v>29</v>
      </c>
      <c r="C55" s="11"/>
      <c r="D55" s="225">
        <f>ROUND(D53*D54,0)</f>
        <v>1696</v>
      </c>
      <c r="E55" s="226">
        <f>ROUND(D55/2,0)</f>
        <v>848</v>
      </c>
      <c r="F55" s="225">
        <f>D55-E55</f>
        <v>848</v>
      </c>
    </row>
    <row r="56" spans="1:6">
      <c r="A56" s="8"/>
      <c r="B56" s="11" t="s">
        <v>30</v>
      </c>
      <c r="C56" s="11"/>
      <c r="D56" s="12">
        <f>+D53-D55</f>
        <v>1999</v>
      </c>
      <c r="E56" s="13">
        <f>ROUND(D56/2,0)</f>
        <v>1000</v>
      </c>
      <c r="F56" s="12">
        <f>D56-E56</f>
        <v>999</v>
      </c>
    </row>
    <row r="57" spans="1:6">
      <c r="A57" s="8">
        <v>4</v>
      </c>
      <c r="B57" s="11" t="s">
        <v>1775</v>
      </c>
      <c r="C57" s="10">
        <v>0.464231</v>
      </c>
      <c r="D57" s="9">
        <f>ROUND(D$3*C57,0)</f>
        <v>26563</v>
      </c>
      <c r="E57" s="11">
        <f>ROUND(D57/2,0)</f>
        <v>13282</v>
      </c>
      <c r="F57" s="9">
        <f>D57-E57</f>
        <v>13281</v>
      </c>
    </row>
    <row r="58" spans="1:6">
      <c r="A58" s="8"/>
      <c r="B58" s="11" t="s">
        <v>28</v>
      </c>
      <c r="C58" s="11"/>
      <c r="D58" s="14">
        <v>0.47661399999999998</v>
      </c>
      <c r="E58" s="11"/>
      <c r="F58" s="11"/>
    </row>
    <row r="59" spans="1:6">
      <c r="A59" s="8"/>
      <c r="B59" s="11" t="s">
        <v>29</v>
      </c>
      <c r="C59" s="11"/>
      <c r="D59" s="225">
        <f>ROUND(D57*D58,0)</f>
        <v>12660</v>
      </c>
      <c r="E59" s="226">
        <f>ROUND(D59/2,0)</f>
        <v>6330</v>
      </c>
      <c r="F59" s="225">
        <f>D59-E59</f>
        <v>6330</v>
      </c>
    </row>
    <row r="60" spans="1:6">
      <c r="A60" s="8"/>
      <c r="B60" s="11" t="s">
        <v>30</v>
      </c>
      <c r="C60" s="11"/>
      <c r="D60" s="12">
        <f>+D57-D59</f>
        <v>13903</v>
      </c>
      <c r="E60" s="13">
        <f>ROUND(D60/2,0)</f>
        <v>6952</v>
      </c>
      <c r="F60" s="12">
        <f>D60-E60</f>
        <v>6951</v>
      </c>
    </row>
    <row r="61" spans="1:6">
      <c r="A61" s="8">
        <v>5</v>
      </c>
      <c r="B61" s="11" t="s">
        <v>1776</v>
      </c>
      <c r="C61" s="10">
        <v>1.5449999999999999E-3</v>
      </c>
      <c r="D61" s="12">
        <f>ROUND(D$3*C61,0)</f>
        <v>88</v>
      </c>
      <c r="E61" s="13">
        <f>ROUND(D61/2,0)</f>
        <v>44</v>
      </c>
      <c r="F61" s="12">
        <f>D61-E61</f>
        <v>44</v>
      </c>
    </row>
    <row r="62" spans="1:6">
      <c r="A62" s="8">
        <v>5</v>
      </c>
      <c r="B62" s="11" t="s">
        <v>1777</v>
      </c>
      <c r="C62" s="10">
        <v>2.3579999999999999E-3</v>
      </c>
      <c r="D62" s="12">
        <f>ROUND(D$3*C62,0)</f>
        <v>135</v>
      </c>
      <c r="E62" s="13">
        <f>ROUND(D62/2,0)</f>
        <v>68</v>
      </c>
      <c r="F62" s="12">
        <f>D62-E62</f>
        <v>67</v>
      </c>
    </row>
    <row r="63" spans="1:6">
      <c r="A63" s="8">
        <v>6</v>
      </c>
      <c r="B63" s="11" t="s">
        <v>1778</v>
      </c>
      <c r="C63" s="10">
        <v>1.4529000000000014E-2</v>
      </c>
      <c r="D63" s="12">
        <f>+D3-SUM(D4:D5)-SUM(D10:D49)-D53-D57-SUM(D61:D62)</f>
        <v>834</v>
      </c>
      <c r="E63" s="13">
        <f>ROUND(D63/2,0)</f>
        <v>417</v>
      </c>
      <c r="F63" s="12">
        <f>D63-E63</f>
        <v>417</v>
      </c>
    </row>
    <row r="64" spans="1:6">
      <c r="A64" s="8"/>
      <c r="B64" s="28" t="s">
        <v>288</v>
      </c>
      <c r="C64" s="10">
        <v>1</v>
      </c>
      <c r="D64" s="12">
        <f>+D4+SUM(D7:D48)+SUM(D51:D52)+SUM(D55:D56)+SUM(D59:D63)</f>
        <v>57220</v>
      </c>
      <c r="E64" s="12">
        <f>+E4+SUM(E7:E48)+SUM(E51:E52)+SUM(E55:E56)+SUM(E59:E63)</f>
        <v>28617</v>
      </c>
      <c r="F64" s="12">
        <f>+F4+SUM(F7:F48)+SUM(F51:F52)+SUM(F55:F56)+SUM(F59:F63)</f>
        <v>28603</v>
      </c>
    </row>
    <row r="65" spans="1:8">
      <c r="B65" s="18" t="s">
        <v>38</v>
      </c>
      <c r="D65" s="19">
        <f>+D4</f>
        <v>78</v>
      </c>
      <c r="E65" s="19">
        <f>+E4</f>
        <v>39</v>
      </c>
      <c r="F65" s="19">
        <f>+F4</f>
        <v>39</v>
      </c>
    </row>
    <row r="66" spans="1:8">
      <c r="B66" s="2" t="s">
        <v>39</v>
      </c>
      <c r="D66" s="19">
        <f>+D7</f>
        <v>1662</v>
      </c>
      <c r="E66" s="19">
        <f>+E7</f>
        <v>831</v>
      </c>
      <c r="F66" s="19">
        <f>+F7</f>
        <v>831</v>
      </c>
    </row>
    <row r="67" spans="1:8">
      <c r="B67" s="2" t="s">
        <v>40</v>
      </c>
      <c r="D67" s="19">
        <f>+D51+D55+D59</f>
        <v>17175</v>
      </c>
      <c r="E67" s="19">
        <f>+E51+E55+E59</f>
        <v>8588</v>
      </c>
      <c r="F67" s="19">
        <f>+F51+F55+F59</f>
        <v>8587</v>
      </c>
      <c r="H67" s="3">
        <v>1</v>
      </c>
    </row>
    <row r="68" spans="1:8">
      <c r="B68" s="18" t="s">
        <v>41</v>
      </c>
      <c r="D68" s="19">
        <f>+D64-D65-D66-D67</f>
        <v>38305</v>
      </c>
      <c r="E68" s="19">
        <f>+E64-E65-E66-E67</f>
        <v>19159</v>
      </c>
      <c r="F68" s="19">
        <f>+F64-F65-F66-F67</f>
        <v>19146</v>
      </c>
      <c r="H68" s="3">
        <v>2</v>
      </c>
    </row>
    <row r="69" spans="1:8" hidden="1"/>
    <row r="70" spans="1:8" hidden="1">
      <c r="B70" s="3" t="s">
        <v>42</v>
      </c>
      <c r="C70" s="4">
        <v>1.0000000000148779E-6</v>
      </c>
      <c r="D70" s="3">
        <f>+D63-ROUND(D3*C63,0)</f>
        <v>3</v>
      </c>
    </row>
    <row r="71" spans="1:8" hidden="1">
      <c r="A71" s="1" t="s">
        <v>590</v>
      </c>
    </row>
  </sheetData>
  <pageMargins left="0.7" right="0.7" top="0.75" bottom="0.75" header="0.3" footer="0.3"/>
  <pageSetup scale="65"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8">
    <pageSetUpPr fitToPage="1"/>
  </sheetPr>
  <dimension ref="A1:WVB71"/>
  <sheetViews>
    <sheetView topLeftCell="A26" zoomScaleNormal="100" zoomScaleSheetLayoutView="80" workbookViewId="0">
      <selection activeCell="D47" activeCellId="1" sqref="D7:F7 D47:F47"/>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3.140625"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3.140625"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3.140625"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3.140625"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3.140625"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3.140625"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3.140625"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3.140625"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3.140625"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3.140625"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3.140625"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3.140625"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3.140625"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3.140625"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3.140625"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3.140625"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3.140625"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3.140625"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3.140625"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3.140625"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3.140625"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3.140625"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3.140625"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3.140625"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3.140625"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3.140625"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3.140625"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3.140625"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3.140625"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3.140625"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3.140625"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3.140625"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3.140625"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3.140625"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3.140625"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3.140625"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3.140625"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3.140625"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3.140625"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3.140625"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3.140625"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3.140625"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3.140625"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3.140625"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3.140625"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3.140625"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3.140625"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3.140625"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3.140625"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3.140625"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3.140625"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3.140625"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3.140625"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3.140625"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3.140625"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3.140625"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3.140625"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3.140625"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3.140625"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3.140625"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3.140625"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3.140625"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3.140625"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1779</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Worksheet'!$D$90</f>
        <v>275697</v>
      </c>
      <c r="E3" s="11"/>
      <c r="F3" s="11"/>
    </row>
    <row r="4" spans="1:6">
      <c r="A4" s="8">
        <v>0</v>
      </c>
      <c r="B4" s="11" t="s">
        <v>4</v>
      </c>
      <c r="C4" s="10">
        <v>1.3389999999999999E-3</v>
      </c>
      <c r="D4" s="12">
        <f>ROUND(D$3*C4,0)</f>
        <v>369</v>
      </c>
      <c r="E4" s="13">
        <f>ROUND(D4/2,0)</f>
        <v>185</v>
      </c>
      <c r="F4" s="12">
        <f>D4-E4</f>
        <v>184</v>
      </c>
    </row>
    <row r="5" spans="1:6">
      <c r="A5" s="8">
        <v>1</v>
      </c>
      <c r="B5" s="11" t="s">
        <v>1780</v>
      </c>
      <c r="C5" s="10">
        <v>0.22764699999999999</v>
      </c>
      <c r="D5" s="9">
        <f>ROUND(D$3*C5,0)</f>
        <v>62762</v>
      </c>
      <c r="E5" s="11">
        <f>ROUND(D5/2,0)</f>
        <v>31381</v>
      </c>
      <c r="F5" s="9">
        <f>D5-E5</f>
        <v>31381</v>
      </c>
    </row>
    <row r="6" spans="1:6">
      <c r="A6" s="8"/>
      <c r="B6" s="11" t="s">
        <v>6</v>
      </c>
      <c r="C6" s="11"/>
      <c r="D6" s="14">
        <v>0.11051999999999999</v>
      </c>
      <c r="E6" s="11"/>
      <c r="F6" s="11"/>
    </row>
    <row r="7" spans="1:6">
      <c r="A7" s="8"/>
      <c r="B7" s="11" t="s">
        <v>7</v>
      </c>
      <c r="C7" s="11"/>
      <c r="D7" s="225">
        <f>ROUND(D5*D6,0)</f>
        <v>6936</v>
      </c>
      <c r="E7" s="226">
        <f>ROUND(D7/2,0)</f>
        <v>3468</v>
      </c>
      <c r="F7" s="225">
        <f>D7-E7</f>
        <v>3468</v>
      </c>
    </row>
    <row r="8" spans="1:6">
      <c r="A8" s="8"/>
      <c r="B8" s="11" t="s">
        <v>8</v>
      </c>
      <c r="C8" s="11"/>
      <c r="D8" s="12">
        <f>+D5-D7</f>
        <v>55826</v>
      </c>
      <c r="E8" s="13">
        <f>ROUND(D8/2,0)</f>
        <v>27913</v>
      </c>
      <c r="F8" s="12">
        <f>D8-E8</f>
        <v>27913</v>
      </c>
    </row>
    <row r="9" spans="1:6">
      <c r="A9" s="8">
        <v>2</v>
      </c>
      <c r="B9" s="11" t="s">
        <v>1122</v>
      </c>
      <c r="C9" s="11"/>
      <c r="D9" s="9"/>
      <c r="E9" s="11"/>
      <c r="F9" s="11"/>
    </row>
    <row r="10" spans="1:6">
      <c r="A10" s="8"/>
      <c r="B10" s="11" t="s">
        <v>10</v>
      </c>
      <c r="C10" s="10">
        <v>4.5600000000000003E-4</v>
      </c>
      <c r="D10" s="12">
        <f>ROUND(D$3*C10,0)</f>
        <v>126</v>
      </c>
      <c r="E10" s="13">
        <f>ROUND(D10/2,0)</f>
        <v>63</v>
      </c>
      <c r="F10" s="12">
        <f>D10-E10</f>
        <v>63</v>
      </c>
    </row>
    <row r="11" spans="1:6">
      <c r="A11" s="8"/>
      <c r="B11" s="11" t="s">
        <v>11</v>
      </c>
      <c r="C11" s="10">
        <v>3.3399999999999999E-4</v>
      </c>
      <c r="D11" s="12">
        <f>ROUND(D$3*C11,0)</f>
        <v>92</v>
      </c>
      <c r="E11" s="13">
        <f>ROUND(D11/2,0)</f>
        <v>46</v>
      </c>
      <c r="F11" s="12">
        <f>D11-E11</f>
        <v>46</v>
      </c>
    </row>
    <row r="12" spans="1:6">
      <c r="A12" s="8">
        <v>2</v>
      </c>
      <c r="B12" s="11" t="s">
        <v>1781</v>
      </c>
      <c r="C12" s="11"/>
      <c r="D12" s="9"/>
      <c r="E12" s="11"/>
      <c r="F12" s="11"/>
    </row>
    <row r="13" spans="1:6">
      <c r="A13" s="8"/>
      <c r="B13" s="11" t="s">
        <v>10</v>
      </c>
      <c r="C13" s="10">
        <v>6.2009999999999999E-3</v>
      </c>
      <c r="D13" s="12">
        <f>ROUND(D$3*C13,0)</f>
        <v>1710</v>
      </c>
      <c r="E13" s="13">
        <f>ROUND(D13/2,0)</f>
        <v>855</v>
      </c>
      <c r="F13" s="12">
        <f>D13-E13</f>
        <v>855</v>
      </c>
    </row>
    <row r="14" spans="1:6">
      <c r="A14" s="8"/>
      <c r="B14" s="11" t="s">
        <v>11</v>
      </c>
      <c r="C14" s="10">
        <v>4.5019999999999999E-3</v>
      </c>
      <c r="D14" s="12">
        <f>ROUND(D$3*C14,0)</f>
        <v>1241</v>
      </c>
      <c r="E14" s="13">
        <f>ROUND(D14/2,0)</f>
        <v>621</v>
      </c>
      <c r="F14" s="12">
        <f>D14-E14</f>
        <v>620</v>
      </c>
    </row>
    <row r="15" spans="1:6">
      <c r="A15" s="8">
        <v>2</v>
      </c>
      <c r="B15" s="11" t="s">
        <v>885</v>
      </c>
      <c r="C15" s="11"/>
      <c r="D15" s="9"/>
      <c r="E15" s="11"/>
      <c r="F15" s="11"/>
    </row>
    <row r="16" spans="1:6">
      <c r="A16" s="8"/>
      <c r="B16" s="11" t="s">
        <v>10</v>
      </c>
      <c r="C16" s="10">
        <v>1.75E-4</v>
      </c>
      <c r="D16" s="12">
        <f>ROUND(D$3*C16,0)</f>
        <v>48</v>
      </c>
      <c r="E16" s="13">
        <f>ROUND(D16/2,0)</f>
        <v>24</v>
      </c>
      <c r="F16" s="12">
        <f>D16-E16</f>
        <v>24</v>
      </c>
    </row>
    <row r="17" spans="1:6">
      <c r="A17" s="8"/>
      <c r="B17" s="11" t="s">
        <v>11</v>
      </c>
      <c r="C17" s="10">
        <v>6.0000000000000002E-5</v>
      </c>
      <c r="D17" s="12">
        <f>ROUND(D$3*C17,0)</f>
        <v>17</v>
      </c>
      <c r="E17" s="13">
        <f>ROUND(D17/2,0)</f>
        <v>9</v>
      </c>
      <c r="F17" s="12">
        <f>D17-E17</f>
        <v>8</v>
      </c>
    </row>
    <row r="18" spans="1:6">
      <c r="A18" s="8">
        <v>2</v>
      </c>
      <c r="B18" s="11" t="s">
        <v>1782</v>
      </c>
      <c r="C18" s="11"/>
      <c r="D18" s="9"/>
      <c r="E18" s="11"/>
      <c r="F18" s="11"/>
    </row>
    <row r="19" spans="1:6">
      <c r="A19" s="8"/>
      <c r="B19" s="11" t="s">
        <v>10</v>
      </c>
      <c r="C19" s="10">
        <v>2.036E-3</v>
      </c>
      <c r="D19" s="12">
        <f>ROUND(D$3*C19,0)</f>
        <v>561</v>
      </c>
      <c r="E19" s="13">
        <f>ROUND(D19/2,0)</f>
        <v>281</v>
      </c>
      <c r="F19" s="12">
        <f>D19-E19</f>
        <v>280</v>
      </c>
    </row>
    <row r="20" spans="1:6">
      <c r="A20" s="8"/>
      <c r="B20" s="11" t="s">
        <v>11</v>
      </c>
      <c r="C20" s="10">
        <v>4.3600000000000003E-4</v>
      </c>
      <c r="D20" s="12">
        <f>ROUND(D$3*C20,0)</f>
        <v>120</v>
      </c>
      <c r="E20" s="13">
        <f>ROUND(D20/2,0)</f>
        <v>60</v>
      </c>
      <c r="F20" s="12">
        <f>D20-E20</f>
        <v>60</v>
      </c>
    </row>
    <row r="21" spans="1:6">
      <c r="A21" s="8">
        <v>2</v>
      </c>
      <c r="B21" s="11" t="s">
        <v>1783</v>
      </c>
      <c r="C21" s="11"/>
      <c r="D21" s="9"/>
      <c r="E21" s="11"/>
      <c r="F21" s="11"/>
    </row>
    <row r="22" spans="1:6">
      <c r="A22" s="8"/>
      <c r="B22" s="11" t="s">
        <v>10</v>
      </c>
      <c r="C22" s="10">
        <v>1.7819999999999999E-3</v>
      </c>
      <c r="D22" s="12">
        <f>ROUND(D$3*C22,0)</f>
        <v>491</v>
      </c>
      <c r="E22" s="13">
        <f>ROUND(D22/2,0)</f>
        <v>246</v>
      </c>
      <c r="F22" s="12">
        <f>D22-E22</f>
        <v>245</v>
      </c>
    </row>
    <row r="23" spans="1:6">
      <c r="A23" s="8"/>
      <c r="B23" s="11" t="s">
        <v>11</v>
      </c>
      <c r="C23" s="10">
        <v>1.3780000000000001E-3</v>
      </c>
      <c r="D23" s="12">
        <f>ROUND(D$3*C23,0)</f>
        <v>380</v>
      </c>
      <c r="E23" s="13">
        <f>ROUND(D23/2,0)</f>
        <v>190</v>
      </c>
      <c r="F23" s="12">
        <f>D23-E23</f>
        <v>190</v>
      </c>
    </row>
    <row r="24" spans="1:6">
      <c r="A24" s="8">
        <v>2</v>
      </c>
      <c r="B24" s="11" t="s">
        <v>1784</v>
      </c>
      <c r="C24" s="11"/>
      <c r="D24" s="9"/>
      <c r="E24" s="11"/>
      <c r="F24" s="11"/>
    </row>
    <row r="25" spans="1:6">
      <c r="A25" s="8"/>
      <c r="B25" s="11" t="s">
        <v>10</v>
      </c>
      <c r="C25" s="10">
        <v>2.5999999999999998E-5</v>
      </c>
      <c r="D25" s="12">
        <f>ROUND(D$3*C25,0)</f>
        <v>7</v>
      </c>
      <c r="E25" s="13">
        <f>ROUND(D25/2,0)</f>
        <v>4</v>
      </c>
      <c r="F25" s="12">
        <f>D25-E25</f>
        <v>3</v>
      </c>
    </row>
    <row r="26" spans="1:6">
      <c r="A26" s="8"/>
      <c r="B26" s="11" t="s">
        <v>11</v>
      </c>
      <c r="C26" s="10">
        <v>1.7E-5</v>
      </c>
      <c r="D26" s="12">
        <f>ROUND(D$3*C26,0)</f>
        <v>5</v>
      </c>
      <c r="E26" s="13">
        <f>ROUND(D26/2,0)</f>
        <v>3</v>
      </c>
      <c r="F26" s="12">
        <f>D26-E26</f>
        <v>2</v>
      </c>
    </row>
    <row r="27" spans="1:6">
      <c r="A27" s="8">
        <v>2</v>
      </c>
      <c r="B27" s="11" t="s">
        <v>88</v>
      </c>
      <c r="C27" s="11"/>
      <c r="D27" s="9"/>
      <c r="E27" s="11"/>
      <c r="F27" s="11"/>
    </row>
    <row r="28" spans="1:6">
      <c r="A28" s="8"/>
      <c r="B28" s="11" t="s">
        <v>10</v>
      </c>
      <c r="C28" s="10">
        <v>4.8960000000000002E-3</v>
      </c>
      <c r="D28" s="12">
        <f>ROUND(D$3*C28,0)</f>
        <v>1350</v>
      </c>
      <c r="E28" s="13">
        <f>ROUND(D28/2,0)</f>
        <v>675</v>
      </c>
      <c r="F28" s="12">
        <f>D28-E28</f>
        <v>675</v>
      </c>
    </row>
    <row r="29" spans="1:6">
      <c r="A29" s="8"/>
      <c r="B29" s="11" t="s">
        <v>11</v>
      </c>
      <c r="C29" s="10">
        <v>7.1999999999999998E-3</v>
      </c>
      <c r="D29" s="12">
        <f>ROUND(D$3*C29,0)</f>
        <v>1985</v>
      </c>
      <c r="E29" s="13">
        <f>ROUND(D29/2,0)</f>
        <v>993</v>
      </c>
      <c r="F29" s="12">
        <f>D29-E29</f>
        <v>992</v>
      </c>
    </row>
    <row r="30" spans="1:6">
      <c r="A30" s="8">
        <v>2</v>
      </c>
      <c r="B30" s="11" t="s">
        <v>224</v>
      </c>
      <c r="C30" s="11"/>
      <c r="D30" s="9"/>
      <c r="E30" s="11"/>
      <c r="F30" s="11"/>
    </row>
    <row r="31" spans="1:6">
      <c r="A31" s="8"/>
      <c r="B31" s="11" t="s">
        <v>10</v>
      </c>
      <c r="C31" s="10">
        <v>2.8400000000000002E-4</v>
      </c>
      <c r="D31" s="12">
        <f>ROUND(D$3*C31,0)</f>
        <v>78</v>
      </c>
      <c r="E31" s="13">
        <f>ROUND(D31/2,0)</f>
        <v>39</v>
      </c>
      <c r="F31" s="12">
        <f>D31-E31</f>
        <v>39</v>
      </c>
    </row>
    <row r="32" spans="1:6">
      <c r="A32" s="8"/>
      <c r="B32" s="11" t="s">
        <v>11</v>
      </c>
      <c r="C32" s="10">
        <v>1.3200000000000001E-4</v>
      </c>
      <c r="D32" s="12">
        <f>ROUND(D$3*C32,0)</f>
        <v>36</v>
      </c>
      <c r="E32" s="13">
        <f>ROUND(D32/2,0)</f>
        <v>18</v>
      </c>
      <c r="F32" s="12">
        <f>D32-E32</f>
        <v>18</v>
      </c>
    </row>
    <row r="33" spans="1:6">
      <c r="A33" s="8">
        <v>2</v>
      </c>
      <c r="B33" s="11" t="s">
        <v>1702</v>
      </c>
      <c r="C33" s="11"/>
      <c r="D33" s="9"/>
      <c r="E33" s="11"/>
      <c r="F33" s="11"/>
    </row>
    <row r="34" spans="1:6">
      <c r="A34" s="8"/>
      <c r="B34" s="11" t="s">
        <v>10</v>
      </c>
      <c r="C34" s="10">
        <v>1.686E-3</v>
      </c>
      <c r="D34" s="12">
        <f>ROUND(D$3*C34,0)</f>
        <v>465</v>
      </c>
      <c r="E34" s="13">
        <f>ROUND(D34/2,0)</f>
        <v>233</v>
      </c>
      <c r="F34" s="12">
        <f>D34-E34</f>
        <v>232</v>
      </c>
    </row>
    <row r="35" spans="1:6">
      <c r="A35" s="8"/>
      <c r="B35" s="11" t="s">
        <v>11</v>
      </c>
      <c r="C35" s="10">
        <v>6.5499999999999998E-4</v>
      </c>
      <c r="D35" s="12">
        <f>ROUND(D$3*C35,0)</f>
        <v>181</v>
      </c>
      <c r="E35" s="13">
        <f>ROUND(D35/2,0)</f>
        <v>91</v>
      </c>
      <c r="F35" s="12">
        <f>D35-E35</f>
        <v>90</v>
      </c>
    </row>
    <row r="36" spans="1:6">
      <c r="A36" s="8">
        <v>2</v>
      </c>
      <c r="B36" s="11" t="s">
        <v>1785</v>
      </c>
      <c r="C36" s="11"/>
      <c r="D36" s="9"/>
      <c r="E36" s="11"/>
      <c r="F36" s="11"/>
    </row>
    <row r="37" spans="1:6">
      <c r="A37" s="8"/>
      <c r="B37" s="11" t="s">
        <v>10</v>
      </c>
      <c r="C37" s="10">
        <v>8.6899999999999998E-4</v>
      </c>
      <c r="D37" s="12">
        <f t="shared" ref="D37:D45" si="0">ROUND(D$3*C37,0)</f>
        <v>240</v>
      </c>
      <c r="E37" s="13">
        <f t="shared" ref="E37:E45" si="1">ROUND(D37/2,0)</f>
        <v>120</v>
      </c>
      <c r="F37" s="12">
        <f t="shared" ref="F37:F45" si="2">D37-E37</f>
        <v>120</v>
      </c>
    </row>
    <row r="38" spans="1:6">
      <c r="A38" s="8"/>
      <c r="B38" s="11" t="s">
        <v>11</v>
      </c>
      <c r="C38" s="10">
        <v>7.9299999999999998E-4</v>
      </c>
      <c r="D38" s="12">
        <f t="shared" si="0"/>
        <v>219</v>
      </c>
      <c r="E38" s="13">
        <f t="shared" si="1"/>
        <v>110</v>
      </c>
      <c r="F38" s="12">
        <f t="shared" si="2"/>
        <v>109</v>
      </c>
    </row>
    <row r="39" spans="1:6">
      <c r="A39" s="8">
        <v>3</v>
      </c>
      <c r="B39" s="11" t="s">
        <v>1786</v>
      </c>
      <c r="C39" s="10">
        <v>1.6226999999999998E-2</v>
      </c>
      <c r="D39" s="12">
        <f t="shared" si="0"/>
        <v>4474</v>
      </c>
      <c r="E39" s="13">
        <f t="shared" si="1"/>
        <v>2237</v>
      </c>
      <c r="F39" s="12">
        <f t="shared" si="2"/>
        <v>2237</v>
      </c>
    </row>
    <row r="40" spans="1:6">
      <c r="A40" s="8">
        <v>3</v>
      </c>
      <c r="B40" s="11" t="s">
        <v>1787</v>
      </c>
      <c r="C40" s="10">
        <v>3.4123000000000001E-2</v>
      </c>
      <c r="D40" s="12">
        <f t="shared" si="0"/>
        <v>9408</v>
      </c>
      <c r="E40" s="13">
        <f t="shared" si="1"/>
        <v>4704</v>
      </c>
      <c r="F40" s="12">
        <f t="shared" si="2"/>
        <v>4704</v>
      </c>
    </row>
    <row r="41" spans="1:6">
      <c r="A41" s="8">
        <v>3</v>
      </c>
      <c r="B41" s="11" t="s">
        <v>1788</v>
      </c>
      <c r="C41" s="10">
        <v>8.9300000000000002E-4</v>
      </c>
      <c r="D41" s="12">
        <f t="shared" si="0"/>
        <v>246</v>
      </c>
      <c r="E41" s="13">
        <f t="shared" si="1"/>
        <v>123</v>
      </c>
      <c r="F41" s="12">
        <f t="shared" si="2"/>
        <v>123</v>
      </c>
    </row>
    <row r="42" spans="1:6">
      <c r="A42" s="8">
        <v>3</v>
      </c>
      <c r="B42" s="11" t="s">
        <v>1789</v>
      </c>
      <c r="C42" s="10">
        <v>0</v>
      </c>
      <c r="D42" s="12">
        <f t="shared" si="0"/>
        <v>0</v>
      </c>
      <c r="E42" s="13">
        <f t="shared" si="1"/>
        <v>0</v>
      </c>
      <c r="F42" s="12">
        <f t="shared" si="2"/>
        <v>0</v>
      </c>
    </row>
    <row r="43" spans="1:6">
      <c r="A43" s="8">
        <v>3</v>
      </c>
      <c r="B43" s="11" t="s">
        <v>1790</v>
      </c>
      <c r="C43" s="10">
        <v>1.944E-3</v>
      </c>
      <c r="D43" s="12">
        <f t="shared" si="0"/>
        <v>536</v>
      </c>
      <c r="E43" s="13">
        <f t="shared" si="1"/>
        <v>268</v>
      </c>
      <c r="F43" s="12">
        <f t="shared" si="2"/>
        <v>268</v>
      </c>
    </row>
    <row r="44" spans="1:6">
      <c r="A44" s="8">
        <v>3</v>
      </c>
      <c r="B44" s="11" t="s">
        <v>1791</v>
      </c>
      <c r="C44" s="10">
        <v>1.75E-4</v>
      </c>
      <c r="D44" s="12">
        <f t="shared" si="0"/>
        <v>48</v>
      </c>
      <c r="E44" s="13">
        <f t="shared" si="1"/>
        <v>24</v>
      </c>
      <c r="F44" s="12">
        <f t="shared" si="2"/>
        <v>24</v>
      </c>
    </row>
    <row r="45" spans="1:6">
      <c r="A45" s="8">
        <v>4</v>
      </c>
      <c r="B45" s="11" t="s">
        <v>1792</v>
      </c>
      <c r="C45" s="10">
        <v>0.63734100000000005</v>
      </c>
      <c r="D45" s="9">
        <f t="shared" si="0"/>
        <v>175713</v>
      </c>
      <c r="E45" s="11">
        <f t="shared" si="1"/>
        <v>87857</v>
      </c>
      <c r="F45" s="9">
        <f t="shared" si="2"/>
        <v>87856</v>
      </c>
    </row>
    <row r="46" spans="1:6">
      <c r="A46" s="8"/>
      <c r="B46" s="11" t="s">
        <v>28</v>
      </c>
      <c r="C46" s="11"/>
      <c r="D46" s="14">
        <v>0.48412500000000003</v>
      </c>
      <c r="E46" s="11"/>
      <c r="F46" s="11"/>
    </row>
    <row r="47" spans="1:6">
      <c r="A47" s="8"/>
      <c r="B47" s="11" t="s">
        <v>29</v>
      </c>
      <c r="C47" s="11"/>
      <c r="D47" s="225">
        <f>ROUND(D45*D46,0)</f>
        <v>85067</v>
      </c>
      <c r="E47" s="226">
        <f>ROUND(D47/2,0)</f>
        <v>42534</v>
      </c>
      <c r="F47" s="225">
        <f>D47-E47</f>
        <v>42533</v>
      </c>
    </row>
    <row r="48" spans="1:6">
      <c r="A48" s="8"/>
      <c r="B48" s="11" t="s">
        <v>30</v>
      </c>
      <c r="C48" s="11"/>
      <c r="D48" s="12">
        <f>+D45-D47</f>
        <v>90646</v>
      </c>
      <c r="E48" s="13">
        <f>ROUND(D48/2,0)</f>
        <v>45323</v>
      </c>
      <c r="F48" s="12">
        <f>D48-E48</f>
        <v>45323</v>
      </c>
    </row>
    <row r="49" spans="1:8">
      <c r="A49" s="8">
        <v>5</v>
      </c>
      <c r="B49" s="11" t="s">
        <v>1793</v>
      </c>
      <c r="C49" s="10">
        <v>1.1464E-2</v>
      </c>
      <c r="D49" s="12">
        <f>ROUND(D$3*C49,0)</f>
        <v>3161</v>
      </c>
      <c r="E49" s="13">
        <f>ROUND(D49/2,0)</f>
        <v>1581</v>
      </c>
      <c r="F49" s="12">
        <f>D49-E49</f>
        <v>1580</v>
      </c>
    </row>
    <row r="50" spans="1:8">
      <c r="A50" s="8">
        <v>5</v>
      </c>
      <c r="B50" s="11" t="s">
        <v>1794</v>
      </c>
      <c r="C50" s="10">
        <v>2.4358999999999999E-2</v>
      </c>
      <c r="D50" s="12">
        <f>ROUND(D$3*C50,0)</f>
        <v>6716</v>
      </c>
      <c r="E50" s="13">
        <f>ROUND(D50/2,0)</f>
        <v>3358</v>
      </c>
      <c r="F50" s="12">
        <f>D50-E50</f>
        <v>3358</v>
      </c>
    </row>
    <row r="51" spans="1:8">
      <c r="A51" s="8">
        <v>6</v>
      </c>
      <c r="B51" s="11" t="s">
        <v>1795</v>
      </c>
      <c r="C51" s="10">
        <v>1.0569999999999857E-2</v>
      </c>
      <c r="D51" s="12">
        <f>+D3-SUM(D4:D5)-SUM(D10:D45)-SUM(D49:D50)</f>
        <v>2912</v>
      </c>
      <c r="E51" s="13">
        <f>ROUND(D51/2,0)</f>
        <v>1456</v>
      </c>
      <c r="F51" s="12">
        <f>D51-E51</f>
        <v>1456</v>
      </c>
    </row>
    <row r="52" spans="1:8">
      <c r="A52" s="8"/>
      <c r="B52" s="28" t="s">
        <v>288</v>
      </c>
      <c r="C52" s="10">
        <v>1</v>
      </c>
      <c r="D52" s="12">
        <f>+D4+SUM(D7:D44)+SUM(D47:D51)</f>
        <v>275697</v>
      </c>
      <c r="E52" s="12">
        <f>+E4+SUM(E7:E44)+SUM(E47:E51)</f>
        <v>137855</v>
      </c>
      <c r="F52" s="12">
        <f>+F4+SUM(F7:F44)+SUM(F47:F51)</f>
        <v>137842</v>
      </c>
    </row>
    <row r="53" spans="1:8">
      <c r="B53" s="18" t="s">
        <v>38</v>
      </c>
      <c r="D53" s="19">
        <f>+D4</f>
        <v>369</v>
      </c>
      <c r="E53" s="19">
        <f>+E4</f>
        <v>185</v>
      </c>
      <c r="F53" s="19">
        <f>+F4</f>
        <v>184</v>
      </c>
    </row>
    <row r="54" spans="1:8">
      <c r="B54" s="2" t="s">
        <v>39</v>
      </c>
      <c r="D54" s="19">
        <f>+D7</f>
        <v>6936</v>
      </c>
      <c r="E54" s="19">
        <f>+E7</f>
        <v>3468</v>
      </c>
      <c r="F54" s="19">
        <f>+F7</f>
        <v>3468</v>
      </c>
    </row>
    <row r="55" spans="1:8">
      <c r="B55" s="2" t="s">
        <v>40</v>
      </c>
      <c r="D55" s="19">
        <f>+D47</f>
        <v>85067</v>
      </c>
      <c r="E55" s="19">
        <f>+E47</f>
        <v>42534</v>
      </c>
      <c r="F55" s="19">
        <f>+F47</f>
        <v>42533</v>
      </c>
      <c r="H55" s="3">
        <v>1</v>
      </c>
    </row>
    <row r="56" spans="1:8">
      <c r="B56" s="18" t="s">
        <v>41</v>
      </c>
      <c r="D56" s="19">
        <f>+D52-D53-D54-D55</f>
        <v>183325</v>
      </c>
      <c r="E56" s="19">
        <f>+E52-E53-E54-E55</f>
        <v>91668</v>
      </c>
      <c r="F56" s="19">
        <f>+F52-F53-F54-F55</f>
        <v>91657</v>
      </c>
      <c r="H56" s="3">
        <v>2</v>
      </c>
    </row>
    <row r="57" spans="1:8" hidden="1"/>
    <row r="58" spans="1:8" hidden="1">
      <c r="B58" s="3" t="s">
        <v>42</v>
      </c>
      <c r="C58" s="4">
        <v>-1.0000000001432474E-6</v>
      </c>
      <c r="D58" s="3">
        <f>+D51-ROUND(D3*C51,0)</f>
        <v>-2</v>
      </c>
    </row>
    <row r="59" spans="1:8" hidden="1"/>
    <row r="60" spans="1:8" hidden="1"/>
    <row r="61" spans="1:8" hidden="1"/>
    <row r="62" spans="1:8" hidden="1"/>
    <row r="63" spans="1:8" hidden="1"/>
    <row r="64" spans="1:8" hidden="1"/>
    <row r="65" spans="1:1" hidden="1"/>
    <row r="66" spans="1:1" hidden="1"/>
    <row r="67" spans="1:1" hidden="1"/>
    <row r="68" spans="1:1" hidden="1"/>
    <row r="69" spans="1:1" hidden="1"/>
    <row r="70" spans="1:1" hidden="1"/>
    <row r="71" spans="1:1" hidden="1">
      <c r="A71" s="1" t="s">
        <v>590</v>
      </c>
    </row>
  </sheetData>
  <pageMargins left="0.7" right="0.7" top="0.75" bottom="0.75" header="0.3" footer="0.3"/>
  <pageSetup scale="65"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9">
    <pageSetUpPr fitToPage="1"/>
  </sheetPr>
  <dimension ref="A1:WVB78"/>
  <sheetViews>
    <sheetView topLeftCell="A45" zoomScaleNormal="100" zoomScaleSheetLayoutView="80" workbookViewId="0">
      <selection activeCell="D66" activeCellId="3" sqref="D7:F7 D58:F58 D62:F62 D66:F66"/>
    </sheetView>
  </sheetViews>
  <sheetFormatPr defaultColWidth="0" defaultRowHeight="15"/>
  <cols>
    <col min="1" max="1" width="13.140625" style="1" customWidth="1"/>
    <col min="2" max="2" width="57.140625" style="3" customWidth="1"/>
    <col min="3" max="3" width="16.28515625" style="3" customWidth="1"/>
    <col min="4" max="4" width="17.28515625" style="3" bestFit="1" customWidth="1"/>
    <col min="5" max="5" width="16" style="3" customWidth="1"/>
    <col min="6" max="6" width="17.5703125" style="3" customWidth="1"/>
    <col min="7" max="7" width="9.140625" style="3" customWidth="1"/>
    <col min="8" max="187" width="9.140625" style="3" hidden="1"/>
    <col min="188" max="188" width="11" style="3" hidden="1"/>
    <col min="189" max="189" width="56" style="3" hidden="1"/>
    <col min="190" max="246" width="9.140625" style="3" hidden="1"/>
    <col min="247" max="247" width="16.28515625" style="3" hidden="1"/>
    <col min="248" max="248" width="21" style="3" hidden="1"/>
    <col min="249" max="249" width="16" style="3" hidden="1"/>
    <col min="250" max="250" width="18.140625" style="3" hidden="1"/>
    <col min="251" max="443" width="9.140625" style="3" hidden="1"/>
    <col min="444" max="444" width="11" style="3" hidden="1"/>
    <col min="445" max="445" width="56" style="3" hidden="1"/>
    <col min="446" max="502" width="9.140625" style="3" hidden="1"/>
    <col min="503" max="503" width="16.28515625" style="3" hidden="1"/>
    <col min="504" max="504" width="21" style="3" hidden="1"/>
    <col min="505" max="505" width="16" style="3" hidden="1"/>
    <col min="506" max="506" width="18.140625" style="3" hidden="1"/>
    <col min="507" max="699" width="9.140625" style="3" hidden="1"/>
    <col min="700" max="700" width="11" style="3" hidden="1"/>
    <col min="701" max="701" width="56" style="3" hidden="1"/>
    <col min="702" max="758" width="9.140625" style="3" hidden="1"/>
    <col min="759" max="759" width="16.28515625" style="3" hidden="1"/>
    <col min="760" max="760" width="21" style="3" hidden="1"/>
    <col min="761" max="761" width="16" style="3" hidden="1"/>
    <col min="762" max="762" width="18.140625" style="3" hidden="1"/>
    <col min="763" max="955" width="9.140625" style="3" hidden="1"/>
    <col min="956" max="956" width="11" style="3" hidden="1"/>
    <col min="957" max="957" width="56" style="3" hidden="1"/>
    <col min="958" max="1014" width="9.140625" style="3" hidden="1"/>
    <col min="1015" max="1015" width="16.28515625" style="3" hidden="1"/>
    <col min="1016" max="1016" width="21" style="3" hidden="1"/>
    <col min="1017" max="1017" width="16" style="3" hidden="1"/>
    <col min="1018" max="1018" width="18.140625" style="3" hidden="1"/>
    <col min="1019" max="1211" width="9.140625" style="3" hidden="1"/>
    <col min="1212" max="1212" width="11" style="3" hidden="1"/>
    <col min="1213" max="1213" width="56" style="3" hidden="1"/>
    <col min="1214" max="1270" width="9.140625" style="3" hidden="1"/>
    <col min="1271" max="1271" width="16.28515625" style="3" hidden="1"/>
    <col min="1272" max="1272" width="21" style="3" hidden="1"/>
    <col min="1273" max="1273" width="16" style="3" hidden="1"/>
    <col min="1274" max="1274" width="18.140625" style="3" hidden="1"/>
    <col min="1275" max="1467" width="9.140625" style="3" hidden="1"/>
    <col min="1468" max="1468" width="11" style="3" hidden="1"/>
    <col min="1469" max="1469" width="56" style="3" hidden="1"/>
    <col min="1470" max="1526" width="9.140625" style="3" hidden="1"/>
    <col min="1527" max="1527" width="16.28515625" style="3" hidden="1"/>
    <col min="1528" max="1528" width="21" style="3" hidden="1"/>
    <col min="1529" max="1529" width="16" style="3" hidden="1"/>
    <col min="1530" max="1530" width="18.140625" style="3" hidden="1"/>
    <col min="1531" max="1723" width="9.140625" style="3" hidden="1"/>
    <col min="1724" max="1724" width="11" style="3" hidden="1"/>
    <col min="1725" max="1725" width="56" style="3" hidden="1"/>
    <col min="1726" max="1782" width="9.140625" style="3" hidden="1"/>
    <col min="1783" max="1783" width="16.28515625" style="3" hidden="1"/>
    <col min="1784" max="1784" width="21" style="3" hidden="1"/>
    <col min="1785" max="1785" width="16" style="3" hidden="1"/>
    <col min="1786" max="1786" width="18.140625" style="3" hidden="1"/>
    <col min="1787" max="1979" width="9.140625" style="3" hidden="1"/>
    <col min="1980" max="1980" width="11" style="3" hidden="1"/>
    <col min="1981" max="1981" width="56" style="3" hidden="1"/>
    <col min="1982" max="2038" width="9.140625" style="3" hidden="1"/>
    <col min="2039" max="2039" width="16.28515625" style="3" hidden="1"/>
    <col min="2040" max="2040" width="21" style="3" hidden="1"/>
    <col min="2041" max="2041" width="16" style="3" hidden="1"/>
    <col min="2042" max="2042" width="18.140625" style="3" hidden="1"/>
    <col min="2043" max="2235" width="9.140625" style="3" hidden="1"/>
    <col min="2236" max="2236" width="11" style="3" hidden="1"/>
    <col min="2237" max="2237" width="56" style="3" hidden="1"/>
    <col min="2238" max="2294" width="9.140625" style="3" hidden="1"/>
    <col min="2295" max="2295" width="16.28515625" style="3" hidden="1"/>
    <col min="2296" max="2296" width="21" style="3" hidden="1"/>
    <col min="2297" max="2297" width="16" style="3" hidden="1"/>
    <col min="2298" max="2298" width="18.140625" style="3" hidden="1"/>
    <col min="2299" max="2491" width="9.140625" style="3" hidden="1"/>
    <col min="2492" max="2492" width="11" style="3" hidden="1"/>
    <col min="2493" max="2493" width="56" style="3" hidden="1"/>
    <col min="2494" max="2550" width="9.140625" style="3" hidden="1"/>
    <col min="2551" max="2551" width="16.28515625" style="3" hidden="1"/>
    <col min="2552" max="2552" width="21" style="3" hidden="1"/>
    <col min="2553" max="2553" width="16" style="3" hidden="1"/>
    <col min="2554" max="2554" width="18.140625" style="3" hidden="1"/>
    <col min="2555" max="2747" width="9.140625" style="3" hidden="1"/>
    <col min="2748" max="2748" width="11" style="3" hidden="1"/>
    <col min="2749" max="2749" width="56" style="3" hidden="1"/>
    <col min="2750" max="2806" width="9.140625" style="3" hidden="1"/>
    <col min="2807" max="2807" width="16.28515625" style="3" hidden="1"/>
    <col min="2808" max="2808" width="21" style="3" hidden="1"/>
    <col min="2809" max="2809" width="16" style="3" hidden="1"/>
    <col min="2810" max="2810" width="18.140625" style="3" hidden="1"/>
    <col min="2811" max="3003" width="9.140625" style="3" hidden="1"/>
    <col min="3004" max="3004" width="11" style="3" hidden="1"/>
    <col min="3005" max="3005" width="56" style="3" hidden="1"/>
    <col min="3006" max="3062" width="9.140625" style="3" hidden="1"/>
    <col min="3063" max="3063" width="16.28515625" style="3" hidden="1"/>
    <col min="3064" max="3064" width="21" style="3" hidden="1"/>
    <col min="3065" max="3065" width="16" style="3" hidden="1"/>
    <col min="3066" max="3066" width="18.140625" style="3" hidden="1"/>
    <col min="3067" max="3259" width="9.140625" style="3" hidden="1"/>
    <col min="3260" max="3260" width="11" style="3" hidden="1"/>
    <col min="3261" max="3261" width="56" style="3" hidden="1"/>
    <col min="3262" max="3318" width="9.140625" style="3" hidden="1"/>
    <col min="3319" max="3319" width="16.28515625" style="3" hidden="1"/>
    <col min="3320" max="3320" width="21" style="3" hidden="1"/>
    <col min="3321" max="3321" width="16" style="3" hidden="1"/>
    <col min="3322" max="3322" width="18.140625" style="3" hidden="1"/>
    <col min="3323" max="3515" width="9.140625" style="3" hidden="1"/>
    <col min="3516" max="3516" width="11" style="3" hidden="1"/>
    <col min="3517" max="3517" width="56" style="3" hidden="1"/>
    <col min="3518" max="3574" width="9.140625" style="3" hidden="1"/>
    <col min="3575" max="3575" width="16.28515625" style="3" hidden="1"/>
    <col min="3576" max="3576" width="21" style="3" hidden="1"/>
    <col min="3577" max="3577" width="16" style="3" hidden="1"/>
    <col min="3578" max="3578" width="18.140625" style="3" hidden="1"/>
    <col min="3579" max="3771" width="9.140625" style="3" hidden="1"/>
    <col min="3772" max="3772" width="11" style="3" hidden="1"/>
    <col min="3773" max="3773" width="56" style="3" hidden="1"/>
    <col min="3774" max="3830" width="9.140625" style="3" hidden="1"/>
    <col min="3831" max="3831" width="16.28515625" style="3" hidden="1"/>
    <col min="3832" max="3832" width="21" style="3" hidden="1"/>
    <col min="3833" max="3833" width="16" style="3" hidden="1"/>
    <col min="3834" max="3834" width="18.140625" style="3" hidden="1"/>
    <col min="3835" max="4027" width="9.140625" style="3" hidden="1"/>
    <col min="4028" max="4028" width="11" style="3" hidden="1"/>
    <col min="4029" max="4029" width="56" style="3" hidden="1"/>
    <col min="4030" max="4086" width="9.140625" style="3" hidden="1"/>
    <col min="4087" max="4087" width="16.28515625" style="3" hidden="1"/>
    <col min="4088" max="4088" width="21" style="3" hidden="1"/>
    <col min="4089" max="4089" width="16" style="3" hidden="1"/>
    <col min="4090" max="4090" width="18.140625" style="3" hidden="1"/>
    <col min="4091" max="4283" width="9.140625" style="3" hidden="1"/>
    <col min="4284" max="4284" width="11" style="3" hidden="1"/>
    <col min="4285" max="4285" width="56" style="3" hidden="1"/>
    <col min="4286" max="4342" width="9.140625" style="3" hidden="1"/>
    <col min="4343" max="4343" width="16.28515625" style="3" hidden="1"/>
    <col min="4344" max="4344" width="21" style="3" hidden="1"/>
    <col min="4345" max="4345" width="16" style="3" hidden="1"/>
    <col min="4346" max="4346" width="18.140625" style="3" hidden="1"/>
    <col min="4347" max="4539" width="9.140625" style="3" hidden="1"/>
    <col min="4540" max="4540" width="11" style="3" hidden="1"/>
    <col min="4541" max="4541" width="56" style="3" hidden="1"/>
    <col min="4542" max="4598" width="9.140625" style="3" hidden="1"/>
    <col min="4599" max="4599" width="16.28515625" style="3" hidden="1"/>
    <col min="4600" max="4600" width="21" style="3" hidden="1"/>
    <col min="4601" max="4601" width="16" style="3" hidden="1"/>
    <col min="4602" max="4602" width="18.140625" style="3" hidden="1"/>
    <col min="4603" max="4795" width="9.140625" style="3" hidden="1"/>
    <col min="4796" max="4796" width="11" style="3" hidden="1"/>
    <col min="4797" max="4797" width="56" style="3" hidden="1"/>
    <col min="4798" max="4854" width="9.140625" style="3" hidden="1"/>
    <col min="4855" max="4855" width="16.28515625" style="3" hidden="1"/>
    <col min="4856" max="4856" width="21" style="3" hidden="1"/>
    <col min="4857" max="4857" width="16" style="3" hidden="1"/>
    <col min="4858" max="4858" width="18.140625" style="3" hidden="1"/>
    <col min="4859" max="5051" width="9.140625" style="3" hidden="1"/>
    <col min="5052" max="5052" width="11" style="3" hidden="1"/>
    <col min="5053" max="5053" width="56" style="3" hidden="1"/>
    <col min="5054" max="5110" width="9.140625" style="3" hidden="1"/>
    <col min="5111" max="5111" width="16.28515625" style="3" hidden="1"/>
    <col min="5112" max="5112" width="21" style="3" hidden="1"/>
    <col min="5113" max="5113" width="16" style="3" hidden="1"/>
    <col min="5114" max="5114" width="18.140625" style="3" hidden="1"/>
    <col min="5115" max="5307" width="9.140625" style="3" hidden="1"/>
    <col min="5308" max="5308" width="11" style="3" hidden="1"/>
    <col min="5309" max="5309" width="56" style="3" hidden="1"/>
    <col min="5310" max="5366" width="9.140625" style="3" hidden="1"/>
    <col min="5367" max="5367" width="16.28515625" style="3" hidden="1"/>
    <col min="5368" max="5368" width="21" style="3" hidden="1"/>
    <col min="5369" max="5369" width="16" style="3" hidden="1"/>
    <col min="5370" max="5370" width="18.140625" style="3" hidden="1"/>
    <col min="5371" max="5563" width="9.140625" style="3" hidden="1"/>
    <col min="5564" max="5564" width="11" style="3" hidden="1"/>
    <col min="5565" max="5565" width="56" style="3" hidden="1"/>
    <col min="5566" max="5622" width="9.140625" style="3" hidden="1"/>
    <col min="5623" max="5623" width="16.28515625" style="3" hidden="1"/>
    <col min="5624" max="5624" width="21" style="3" hidden="1"/>
    <col min="5625" max="5625" width="16" style="3" hidden="1"/>
    <col min="5626" max="5626" width="18.140625" style="3" hidden="1"/>
    <col min="5627" max="5819" width="9.140625" style="3" hidden="1"/>
    <col min="5820" max="5820" width="11" style="3" hidden="1"/>
    <col min="5821" max="5821" width="56" style="3" hidden="1"/>
    <col min="5822" max="5878" width="9.140625" style="3" hidden="1"/>
    <col min="5879" max="5879" width="16.28515625" style="3" hidden="1"/>
    <col min="5880" max="5880" width="21" style="3" hidden="1"/>
    <col min="5881" max="5881" width="16" style="3" hidden="1"/>
    <col min="5882" max="5882" width="18.140625" style="3" hidden="1"/>
    <col min="5883" max="6075" width="9.140625" style="3" hidden="1"/>
    <col min="6076" max="6076" width="11" style="3" hidden="1"/>
    <col min="6077" max="6077" width="56" style="3" hidden="1"/>
    <col min="6078" max="6134" width="9.140625" style="3" hidden="1"/>
    <col min="6135" max="6135" width="16.28515625" style="3" hidden="1"/>
    <col min="6136" max="6136" width="21" style="3" hidden="1"/>
    <col min="6137" max="6137" width="16" style="3" hidden="1"/>
    <col min="6138" max="6138" width="18.140625" style="3" hidden="1"/>
    <col min="6139" max="6331" width="9.140625" style="3" hidden="1"/>
    <col min="6332" max="6332" width="11" style="3" hidden="1"/>
    <col min="6333" max="6333" width="56" style="3" hidden="1"/>
    <col min="6334" max="6390" width="9.140625" style="3" hidden="1"/>
    <col min="6391" max="6391" width="16.28515625" style="3" hidden="1"/>
    <col min="6392" max="6392" width="21" style="3" hidden="1"/>
    <col min="6393" max="6393" width="16" style="3" hidden="1"/>
    <col min="6394" max="6394" width="18.140625" style="3" hidden="1"/>
    <col min="6395" max="6587" width="9.140625" style="3" hidden="1"/>
    <col min="6588" max="6588" width="11" style="3" hidden="1"/>
    <col min="6589" max="6589" width="56" style="3" hidden="1"/>
    <col min="6590" max="6646" width="9.140625" style="3" hidden="1"/>
    <col min="6647" max="6647" width="16.28515625" style="3" hidden="1"/>
    <col min="6648" max="6648" width="21" style="3" hidden="1"/>
    <col min="6649" max="6649" width="16" style="3" hidden="1"/>
    <col min="6650" max="6650" width="18.140625" style="3" hidden="1"/>
    <col min="6651" max="6843" width="9.140625" style="3" hidden="1"/>
    <col min="6844" max="6844" width="11" style="3" hidden="1"/>
    <col min="6845" max="6845" width="56" style="3" hidden="1"/>
    <col min="6846" max="6902" width="9.140625" style="3" hidden="1"/>
    <col min="6903" max="6903" width="16.28515625" style="3" hidden="1"/>
    <col min="6904" max="6904" width="21" style="3" hidden="1"/>
    <col min="6905" max="6905" width="16" style="3" hidden="1"/>
    <col min="6906" max="6906" width="18.140625" style="3" hidden="1"/>
    <col min="6907" max="7099" width="9.140625" style="3" hidden="1"/>
    <col min="7100" max="7100" width="11" style="3" hidden="1"/>
    <col min="7101" max="7101" width="56" style="3" hidden="1"/>
    <col min="7102" max="7158" width="9.140625" style="3" hidden="1"/>
    <col min="7159" max="7159" width="16.28515625" style="3" hidden="1"/>
    <col min="7160" max="7160" width="21" style="3" hidden="1"/>
    <col min="7161" max="7161" width="16" style="3" hidden="1"/>
    <col min="7162" max="7162" width="18.140625" style="3" hidden="1"/>
    <col min="7163" max="7355" width="9.140625" style="3" hidden="1"/>
    <col min="7356" max="7356" width="11" style="3" hidden="1"/>
    <col min="7357" max="7357" width="56" style="3" hidden="1"/>
    <col min="7358" max="7414" width="9.140625" style="3" hidden="1"/>
    <col min="7415" max="7415" width="16.28515625" style="3" hidden="1"/>
    <col min="7416" max="7416" width="21" style="3" hidden="1"/>
    <col min="7417" max="7417" width="16" style="3" hidden="1"/>
    <col min="7418" max="7418" width="18.140625" style="3" hidden="1"/>
    <col min="7419" max="7611" width="9.140625" style="3" hidden="1"/>
    <col min="7612" max="7612" width="11" style="3" hidden="1"/>
    <col min="7613" max="7613" width="56" style="3" hidden="1"/>
    <col min="7614" max="7670" width="9.140625" style="3" hidden="1"/>
    <col min="7671" max="7671" width="16.28515625" style="3" hidden="1"/>
    <col min="7672" max="7672" width="21" style="3" hidden="1"/>
    <col min="7673" max="7673" width="16" style="3" hidden="1"/>
    <col min="7674" max="7674" width="18.140625" style="3" hidden="1"/>
    <col min="7675" max="7867" width="9.140625" style="3" hidden="1"/>
    <col min="7868" max="7868" width="11" style="3" hidden="1"/>
    <col min="7869" max="7869" width="56" style="3" hidden="1"/>
    <col min="7870" max="7926" width="9.140625" style="3" hidden="1"/>
    <col min="7927" max="7927" width="16.28515625" style="3" hidden="1"/>
    <col min="7928" max="7928" width="21" style="3" hidden="1"/>
    <col min="7929" max="7929" width="16" style="3" hidden="1"/>
    <col min="7930" max="7930" width="18.140625" style="3" hidden="1"/>
    <col min="7931" max="8123" width="9.140625" style="3" hidden="1"/>
    <col min="8124" max="8124" width="11" style="3" hidden="1"/>
    <col min="8125" max="8125" width="56" style="3" hidden="1"/>
    <col min="8126" max="8182" width="9.140625" style="3" hidden="1"/>
    <col min="8183" max="8183" width="16.28515625" style="3" hidden="1"/>
    <col min="8184" max="8184" width="21" style="3" hidden="1"/>
    <col min="8185" max="8185" width="16" style="3" hidden="1"/>
    <col min="8186" max="8186" width="18.140625" style="3" hidden="1"/>
    <col min="8187" max="8379" width="9.140625" style="3" hidden="1"/>
    <col min="8380" max="8380" width="11" style="3" hidden="1"/>
    <col min="8381" max="8381" width="56" style="3" hidden="1"/>
    <col min="8382" max="8438" width="9.140625" style="3" hidden="1"/>
    <col min="8439" max="8439" width="16.28515625" style="3" hidden="1"/>
    <col min="8440" max="8440" width="21" style="3" hidden="1"/>
    <col min="8441" max="8441" width="16" style="3" hidden="1"/>
    <col min="8442" max="8442" width="18.140625" style="3" hidden="1"/>
    <col min="8443" max="8635" width="9.140625" style="3" hidden="1"/>
    <col min="8636" max="8636" width="11" style="3" hidden="1"/>
    <col min="8637" max="8637" width="56" style="3" hidden="1"/>
    <col min="8638" max="8694" width="9.140625" style="3" hidden="1"/>
    <col min="8695" max="8695" width="16.28515625" style="3" hidden="1"/>
    <col min="8696" max="8696" width="21" style="3" hidden="1"/>
    <col min="8697" max="8697" width="16" style="3" hidden="1"/>
    <col min="8698" max="8698" width="18.140625" style="3" hidden="1"/>
    <col min="8699" max="8891" width="9.140625" style="3" hidden="1"/>
    <col min="8892" max="8892" width="11" style="3" hidden="1"/>
    <col min="8893" max="8893" width="56" style="3" hidden="1"/>
    <col min="8894" max="8950" width="9.140625" style="3" hidden="1"/>
    <col min="8951" max="8951" width="16.28515625" style="3" hidden="1"/>
    <col min="8952" max="8952" width="21" style="3" hidden="1"/>
    <col min="8953" max="8953" width="16" style="3" hidden="1"/>
    <col min="8954" max="8954" width="18.140625" style="3" hidden="1"/>
    <col min="8955" max="9147" width="9.140625" style="3" hidden="1"/>
    <col min="9148" max="9148" width="11" style="3" hidden="1"/>
    <col min="9149" max="9149" width="56" style="3" hidden="1"/>
    <col min="9150" max="9206" width="9.140625" style="3" hidden="1"/>
    <col min="9207" max="9207" width="16.28515625" style="3" hidden="1"/>
    <col min="9208" max="9208" width="21" style="3" hidden="1"/>
    <col min="9209" max="9209" width="16" style="3" hidden="1"/>
    <col min="9210" max="9210" width="18.140625" style="3" hidden="1"/>
    <col min="9211" max="9403" width="9.140625" style="3" hidden="1"/>
    <col min="9404" max="9404" width="11" style="3" hidden="1"/>
    <col min="9405" max="9405" width="56" style="3" hidden="1"/>
    <col min="9406" max="9462" width="9.140625" style="3" hidden="1"/>
    <col min="9463" max="9463" width="16.28515625" style="3" hidden="1"/>
    <col min="9464" max="9464" width="21" style="3" hidden="1"/>
    <col min="9465" max="9465" width="16" style="3" hidden="1"/>
    <col min="9466" max="9466" width="18.140625" style="3" hidden="1"/>
    <col min="9467" max="9659" width="9.140625" style="3" hidden="1"/>
    <col min="9660" max="9660" width="11" style="3" hidden="1"/>
    <col min="9661" max="9661" width="56" style="3" hidden="1"/>
    <col min="9662" max="9718" width="9.140625" style="3" hidden="1"/>
    <col min="9719" max="9719" width="16.28515625" style="3" hidden="1"/>
    <col min="9720" max="9720" width="21" style="3" hidden="1"/>
    <col min="9721" max="9721" width="16" style="3" hidden="1"/>
    <col min="9722" max="9722" width="18.140625" style="3" hidden="1"/>
    <col min="9723" max="9915" width="9.140625" style="3" hidden="1"/>
    <col min="9916" max="9916" width="11" style="3" hidden="1"/>
    <col min="9917" max="9917" width="56" style="3" hidden="1"/>
    <col min="9918" max="9974" width="9.140625" style="3" hidden="1"/>
    <col min="9975" max="9975" width="16.28515625" style="3" hidden="1"/>
    <col min="9976" max="9976" width="21" style="3" hidden="1"/>
    <col min="9977" max="9977" width="16" style="3" hidden="1"/>
    <col min="9978" max="9978" width="18.140625" style="3" hidden="1"/>
    <col min="9979" max="10171" width="9.140625" style="3" hidden="1"/>
    <col min="10172" max="10172" width="11" style="3" hidden="1"/>
    <col min="10173" max="10173" width="56" style="3" hidden="1"/>
    <col min="10174" max="10230" width="9.140625" style="3" hidden="1"/>
    <col min="10231" max="10231" width="16.28515625" style="3" hidden="1"/>
    <col min="10232" max="10232" width="21" style="3" hidden="1"/>
    <col min="10233" max="10233" width="16" style="3" hidden="1"/>
    <col min="10234" max="10234" width="18.140625" style="3" hidden="1"/>
    <col min="10235" max="10427" width="9.140625" style="3" hidden="1"/>
    <col min="10428" max="10428" width="11" style="3" hidden="1"/>
    <col min="10429" max="10429" width="56" style="3" hidden="1"/>
    <col min="10430" max="10486" width="9.140625" style="3" hidden="1"/>
    <col min="10487" max="10487" width="16.28515625" style="3" hidden="1"/>
    <col min="10488" max="10488" width="21" style="3" hidden="1"/>
    <col min="10489" max="10489" width="16" style="3" hidden="1"/>
    <col min="10490" max="10490" width="18.140625" style="3" hidden="1"/>
    <col min="10491" max="10683" width="9.140625" style="3" hidden="1"/>
    <col min="10684" max="10684" width="11" style="3" hidden="1"/>
    <col min="10685" max="10685" width="56" style="3" hidden="1"/>
    <col min="10686" max="10742" width="9.140625" style="3" hidden="1"/>
    <col min="10743" max="10743" width="16.28515625" style="3" hidden="1"/>
    <col min="10744" max="10744" width="21" style="3" hidden="1"/>
    <col min="10745" max="10745" width="16" style="3" hidden="1"/>
    <col min="10746" max="10746" width="18.140625" style="3" hidden="1"/>
    <col min="10747" max="10939" width="9.140625" style="3" hidden="1"/>
    <col min="10940" max="10940" width="11" style="3" hidden="1"/>
    <col min="10941" max="10941" width="56" style="3" hidden="1"/>
    <col min="10942" max="10998" width="9.140625" style="3" hidden="1"/>
    <col min="10999" max="10999" width="16.28515625" style="3" hidden="1"/>
    <col min="11000" max="11000" width="21" style="3" hidden="1"/>
    <col min="11001" max="11001" width="16" style="3" hidden="1"/>
    <col min="11002" max="11002" width="18.140625" style="3" hidden="1"/>
    <col min="11003" max="11195" width="9.140625" style="3" hidden="1"/>
    <col min="11196" max="11196" width="11" style="3" hidden="1"/>
    <col min="11197" max="11197" width="56" style="3" hidden="1"/>
    <col min="11198" max="11254" width="9.140625" style="3" hidden="1"/>
    <col min="11255" max="11255" width="16.28515625" style="3" hidden="1"/>
    <col min="11256" max="11256" width="21" style="3" hidden="1"/>
    <col min="11257" max="11257" width="16" style="3" hidden="1"/>
    <col min="11258" max="11258" width="18.140625" style="3" hidden="1"/>
    <col min="11259" max="11451" width="9.140625" style="3" hidden="1"/>
    <col min="11452" max="11452" width="11" style="3" hidden="1"/>
    <col min="11453" max="11453" width="56" style="3" hidden="1"/>
    <col min="11454" max="11510" width="9.140625" style="3" hidden="1"/>
    <col min="11511" max="11511" width="16.28515625" style="3" hidden="1"/>
    <col min="11512" max="11512" width="21" style="3" hidden="1"/>
    <col min="11513" max="11513" width="16" style="3" hidden="1"/>
    <col min="11514" max="11514" width="18.140625" style="3" hidden="1"/>
    <col min="11515" max="11707" width="9.140625" style="3" hidden="1"/>
    <col min="11708" max="11708" width="11" style="3" hidden="1"/>
    <col min="11709" max="11709" width="56" style="3" hidden="1"/>
    <col min="11710" max="11766" width="9.140625" style="3" hidden="1"/>
    <col min="11767" max="11767" width="16.28515625" style="3" hidden="1"/>
    <col min="11768" max="11768" width="21" style="3" hidden="1"/>
    <col min="11769" max="11769" width="16" style="3" hidden="1"/>
    <col min="11770" max="11770" width="18.140625" style="3" hidden="1"/>
    <col min="11771" max="11963" width="9.140625" style="3" hidden="1"/>
    <col min="11964" max="11964" width="11" style="3" hidden="1"/>
    <col min="11965" max="11965" width="56" style="3" hidden="1"/>
    <col min="11966" max="12022" width="9.140625" style="3" hidden="1"/>
    <col min="12023" max="12023" width="16.28515625" style="3" hidden="1"/>
    <col min="12024" max="12024" width="21" style="3" hidden="1"/>
    <col min="12025" max="12025" width="16" style="3" hidden="1"/>
    <col min="12026" max="12026" width="18.140625" style="3" hidden="1"/>
    <col min="12027" max="12219" width="9.140625" style="3" hidden="1"/>
    <col min="12220" max="12220" width="11" style="3" hidden="1"/>
    <col min="12221" max="12221" width="56" style="3" hidden="1"/>
    <col min="12222" max="12278" width="9.140625" style="3" hidden="1"/>
    <col min="12279" max="12279" width="16.28515625" style="3" hidden="1"/>
    <col min="12280" max="12280" width="21" style="3" hidden="1"/>
    <col min="12281" max="12281" width="16" style="3" hidden="1"/>
    <col min="12282" max="12282" width="18.140625" style="3" hidden="1"/>
    <col min="12283" max="12475" width="9.140625" style="3" hidden="1"/>
    <col min="12476" max="12476" width="11" style="3" hidden="1"/>
    <col min="12477" max="12477" width="56" style="3" hidden="1"/>
    <col min="12478" max="12534" width="9.140625" style="3" hidden="1"/>
    <col min="12535" max="12535" width="16.28515625" style="3" hidden="1"/>
    <col min="12536" max="12536" width="21" style="3" hidden="1"/>
    <col min="12537" max="12537" width="16" style="3" hidden="1"/>
    <col min="12538" max="12538" width="18.140625" style="3" hidden="1"/>
    <col min="12539" max="12731" width="9.140625" style="3" hidden="1"/>
    <col min="12732" max="12732" width="11" style="3" hidden="1"/>
    <col min="12733" max="12733" width="56" style="3" hidden="1"/>
    <col min="12734" max="12790" width="9.140625" style="3" hidden="1"/>
    <col min="12791" max="12791" width="16.28515625" style="3" hidden="1"/>
    <col min="12792" max="12792" width="21" style="3" hidden="1"/>
    <col min="12793" max="12793" width="16" style="3" hidden="1"/>
    <col min="12794" max="12794" width="18.140625" style="3" hidden="1"/>
    <col min="12795" max="12987" width="9.140625" style="3" hidden="1"/>
    <col min="12988" max="12988" width="11" style="3" hidden="1"/>
    <col min="12989" max="12989" width="56" style="3" hidden="1"/>
    <col min="12990" max="13046" width="9.140625" style="3" hidden="1"/>
    <col min="13047" max="13047" width="16.28515625" style="3" hidden="1"/>
    <col min="13048" max="13048" width="21" style="3" hidden="1"/>
    <col min="13049" max="13049" width="16" style="3" hidden="1"/>
    <col min="13050" max="13050" width="18.140625" style="3" hidden="1"/>
    <col min="13051" max="13243" width="9.140625" style="3" hidden="1"/>
    <col min="13244" max="13244" width="11" style="3" hidden="1"/>
    <col min="13245" max="13245" width="56" style="3" hidden="1"/>
    <col min="13246" max="13302" width="9.140625" style="3" hidden="1"/>
    <col min="13303" max="13303" width="16.28515625" style="3" hidden="1"/>
    <col min="13304" max="13304" width="21" style="3" hidden="1"/>
    <col min="13305" max="13305" width="16" style="3" hidden="1"/>
    <col min="13306" max="13306" width="18.140625" style="3" hidden="1"/>
    <col min="13307" max="13499" width="9.140625" style="3" hidden="1"/>
    <col min="13500" max="13500" width="11" style="3" hidden="1"/>
    <col min="13501" max="13501" width="56" style="3" hidden="1"/>
    <col min="13502" max="13558" width="9.140625" style="3" hidden="1"/>
    <col min="13559" max="13559" width="16.28515625" style="3" hidden="1"/>
    <col min="13560" max="13560" width="21" style="3" hidden="1"/>
    <col min="13561" max="13561" width="16" style="3" hidden="1"/>
    <col min="13562" max="13562" width="18.140625" style="3" hidden="1"/>
    <col min="13563" max="13755" width="9.140625" style="3" hidden="1"/>
    <col min="13756" max="13756" width="11" style="3" hidden="1"/>
    <col min="13757" max="13757" width="56" style="3" hidden="1"/>
    <col min="13758" max="13814" width="9.140625" style="3" hidden="1"/>
    <col min="13815" max="13815" width="16.28515625" style="3" hidden="1"/>
    <col min="13816" max="13816" width="21" style="3" hidden="1"/>
    <col min="13817" max="13817" width="16" style="3" hidden="1"/>
    <col min="13818" max="13818" width="18.140625" style="3" hidden="1"/>
    <col min="13819" max="14011" width="9.140625" style="3" hidden="1"/>
    <col min="14012" max="14012" width="11" style="3" hidden="1"/>
    <col min="14013" max="14013" width="56" style="3" hidden="1"/>
    <col min="14014" max="14070" width="9.140625" style="3" hidden="1"/>
    <col min="14071" max="14071" width="16.28515625" style="3" hidden="1"/>
    <col min="14072" max="14072" width="21" style="3" hidden="1"/>
    <col min="14073" max="14073" width="16" style="3" hidden="1"/>
    <col min="14074" max="14074" width="18.140625" style="3" hidden="1"/>
    <col min="14075" max="14267" width="9.140625" style="3" hidden="1"/>
    <col min="14268" max="14268" width="11" style="3" hidden="1"/>
    <col min="14269" max="14269" width="56" style="3" hidden="1"/>
    <col min="14270" max="14326" width="9.140625" style="3" hidden="1"/>
    <col min="14327" max="14327" width="16.28515625" style="3" hidden="1"/>
    <col min="14328" max="14328" width="21" style="3" hidden="1"/>
    <col min="14329" max="14329" width="16" style="3" hidden="1"/>
    <col min="14330" max="14330" width="18.140625" style="3" hidden="1"/>
    <col min="14331" max="14523" width="9.140625" style="3" hidden="1"/>
    <col min="14524" max="14524" width="11" style="3" hidden="1"/>
    <col min="14525" max="14525" width="56" style="3" hidden="1"/>
    <col min="14526" max="14582" width="9.140625" style="3" hidden="1"/>
    <col min="14583" max="14583" width="16.28515625" style="3" hidden="1"/>
    <col min="14584" max="14584" width="21" style="3" hidden="1"/>
    <col min="14585" max="14585" width="16" style="3" hidden="1"/>
    <col min="14586" max="14586" width="18.140625" style="3" hidden="1"/>
    <col min="14587" max="14779" width="9.140625" style="3" hidden="1"/>
    <col min="14780" max="14780" width="11" style="3" hidden="1"/>
    <col min="14781" max="14781" width="56" style="3" hidden="1"/>
    <col min="14782" max="14838" width="9.140625" style="3" hidden="1"/>
    <col min="14839" max="14839" width="16.28515625" style="3" hidden="1"/>
    <col min="14840" max="14840" width="21" style="3" hidden="1"/>
    <col min="14841" max="14841" width="16" style="3" hidden="1"/>
    <col min="14842" max="14842" width="18.140625" style="3" hidden="1"/>
    <col min="14843" max="15035" width="9.140625" style="3" hidden="1"/>
    <col min="15036" max="15036" width="11" style="3" hidden="1"/>
    <col min="15037" max="15037" width="56" style="3" hidden="1"/>
    <col min="15038" max="15094" width="9.140625" style="3" hidden="1"/>
    <col min="15095" max="15095" width="16.28515625" style="3" hidden="1"/>
    <col min="15096" max="15096" width="21" style="3" hidden="1"/>
    <col min="15097" max="15097" width="16" style="3" hidden="1"/>
    <col min="15098" max="15098" width="18.140625" style="3" hidden="1"/>
    <col min="15099" max="15291" width="9.140625" style="3" hidden="1"/>
    <col min="15292" max="15292" width="11" style="3" hidden="1"/>
    <col min="15293" max="15293" width="56" style="3" hidden="1"/>
    <col min="15294" max="15350" width="9.140625" style="3" hidden="1"/>
    <col min="15351" max="15351" width="16.28515625" style="3" hidden="1"/>
    <col min="15352" max="15352" width="21" style="3" hidden="1"/>
    <col min="15353" max="15353" width="16" style="3" hidden="1"/>
    <col min="15354" max="15354" width="18.140625" style="3" hidden="1"/>
    <col min="15355" max="15547" width="9.140625" style="3" hidden="1"/>
    <col min="15548" max="15548" width="11" style="3" hidden="1"/>
    <col min="15549" max="15549" width="56" style="3" hidden="1"/>
    <col min="15550" max="15606" width="9.140625" style="3" hidden="1"/>
    <col min="15607" max="15607" width="16.28515625" style="3" hidden="1"/>
    <col min="15608" max="15608" width="21" style="3" hidden="1"/>
    <col min="15609" max="15609" width="16" style="3" hidden="1"/>
    <col min="15610" max="15610" width="18.140625" style="3" hidden="1"/>
    <col min="15611" max="15803" width="9.140625" style="3" hidden="1"/>
    <col min="15804" max="15804" width="11" style="3" hidden="1"/>
    <col min="15805" max="15805" width="56" style="3" hidden="1"/>
    <col min="15806" max="15862" width="9.140625" style="3" hidden="1"/>
    <col min="15863" max="15863" width="16.28515625" style="3" hidden="1"/>
    <col min="15864" max="15864" width="21" style="3" hidden="1"/>
    <col min="15865" max="15865" width="16" style="3" hidden="1"/>
    <col min="15866" max="15866" width="18.140625" style="3" hidden="1"/>
    <col min="15867" max="16059" width="9.140625" style="3" hidden="1"/>
    <col min="16060" max="16060" width="11" style="3" hidden="1"/>
    <col min="16061" max="16061" width="56" style="3" hidden="1"/>
    <col min="16062" max="16118" width="9.140625" style="3" hidden="1"/>
    <col min="16119" max="16119" width="16.28515625" style="3" hidden="1"/>
    <col min="16120" max="16120" width="21" style="3" hidden="1"/>
    <col min="16121" max="16121" width="16" style="3" hidden="1"/>
    <col min="16122" max="16122" width="18.140625" style="3" hidden="1"/>
    <col min="16123" max="16384" width="9.140625" style="3" hidden="1"/>
  </cols>
  <sheetData>
    <row r="1" spans="1:6">
      <c r="B1" s="2" t="s">
        <v>1796</v>
      </c>
    </row>
    <row r="2" spans="1:6" ht="60">
      <c r="B2" s="1"/>
      <c r="C2" s="6" t="s">
        <v>1</v>
      </c>
      <c r="D2" s="60" t="str">
        <f>'Allocation Worksheet'!H3</f>
        <v>2026 TOTAL BASED ON CY2025 CVET REVENUE</v>
      </c>
      <c r="E2" s="60" t="str">
        <f>'Allocation Worksheet'!H4</f>
        <v>MAY 2026 DISTRIBUTION</v>
      </c>
      <c r="F2" s="60" t="str">
        <f>'Allocation Worksheet'!H5</f>
        <v>NOVEMBER 2026 DISTRIBUTION</v>
      </c>
    </row>
    <row r="3" spans="1:6">
      <c r="A3" s="7" t="s">
        <v>2</v>
      </c>
      <c r="B3" s="7" t="s">
        <v>3</v>
      </c>
      <c r="C3" s="10"/>
      <c r="D3" s="9">
        <f>'Allocation Worksheet'!$D$91</f>
        <v>176760</v>
      </c>
      <c r="E3" s="11"/>
      <c r="F3" s="11"/>
    </row>
    <row r="4" spans="1:6">
      <c r="A4" s="8">
        <v>0</v>
      </c>
      <c r="B4" s="11" t="s">
        <v>4</v>
      </c>
      <c r="C4" s="10">
        <v>1.217E-3</v>
      </c>
      <c r="D4" s="12">
        <f>ROUND(D$3*C4,0)</f>
        <v>215</v>
      </c>
      <c r="E4" s="13">
        <f>ROUND(D4/2,0)</f>
        <v>108</v>
      </c>
      <c r="F4" s="12">
        <f>D4-E4</f>
        <v>107</v>
      </c>
    </row>
    <row r="5" spans="1:6">
      <c r="A5" s="8">
        <v>1</v>
      </c>
      <c r="B5" s="11" t="s">
        <v>1797</v>
      </c>
      <c r="C5" s="10">
        <v>0.25672099999999998</v>
      </c>
      <c r="D5" s="9">
        <f>ROUND(D$3*C5,0)</f>
        <v>45378</v>
      </c>
      <c r="E5" s="11">
        <f>ROUND(D5/2,0)</f>
        <v>22689</v>
      </c>
      <c r="F5" s="9">
        <f>D5-E5</f>
        <v>22689</v>
      </c>
    </row>
    <row r="6" spans="1:6">
      <c r="A6" s="8"/>
      <c r="B6" s="11" t="s">
        <v>6</v>
      </c>
      <c r="C6" s="11"/>
      <c r="D6" s="14">
        <v>0.220443</v>
      </c>
      <c r="E6" s="11"/>
      <c r="F6" s="11"/>
    </row>
    <row r="7" spans="1:6">
      <c r="A7" s="8"/>
      <c r="B7" s="11" t="s">
        <v>7</v>
      </c>
      <c r="C7" s="11"/>
      <c r="D7" s="225">
        <f>ROUND(D5*D6,0)</f>
        <v>10003</v>
      </c>
      <c r="E7" s="226">
        <f>ROUND(D7/2,0)</f>
        <v>5002</v>
      </c>
      <c r="F7" s="225">
        <f>D7-E7</f>
        <v>5001</v>
      </c>
    </row>
    <row r="8" spans="1:6">
      <c r="A8" s="8"/>
      <c r="B8" s="11" t="s">
        <v>8</v>
      </c>
      <c r="C8" s="11"/>
      <c r="D8" s="12">
        <f>+D5-D7</f>
        <v>35375</v>
      </c>
      <c r="E8" s="13">
        <f>ROUND(D8/2,0)</f>
        <v>17688</v>
      </c>
      <c r="F8" s="12">
        <f>D8-E8</f>
        <v>17687</v>
      </c>
    </row>
    <row r="9" spans="1:6">
      <c r="A9" s="8">
        <v>2</v>
      </c>
      <c r="B9" s="11" t="s">
        <v>671</v>
      </c>
      <c r="C9" s="11"/>
      <c r="D9" s="9"/>
      <c r="E9" s="11"/>
      <c r="F9" s="11"/>
    </row>
    <row r="10" spans="1:6">
      <c r="A10" s="8"/>
      <c r="B10" s="11" t="s">
        <v>10</v>
      </c>
      <c r="C10" s="10">
        <v>6.7500000000000004E-4</v>
      </c>
      <c r="D10" s="12">
        <f>ROUND(D$3*C10,0)</f>
        <v>119</v>
      </c>
      <c r="E10" s="13">
        <f>ROUND(D10/2,0)</f>
        <v>60</v>
      </c>
      <c r="F10" s="12">
        <f>D10-E10</f>
        <v>59</v>
      </c>
    </row>
    <row r="11" spans="1:6">
      <c r="A11" s="8"/>
      <c r="B11" s="11" t="s">
        <v>11</v>
      </c>
      <c r="C11" s="10">
        <v>0</v>
      </c>
      <c r="D11" s="12">
        <f>ROUND(D$3*C11,0)</f>
        <v>0</v>
      </c>
      <c r="E11" s="13">
        <f>ROUND(D11/2,0)</f>
        <v>0</v>
      </c>
      <c r="F11" s="12">
        <f>D11-E11</f>
        <v>0</v>
      </c>
    </row>
    <row r="12" spans="1:6">
      <c r="A12" s="8">
        <v>2</v>
      </c>
      <c r="B12" s="11" t="s">
        <v>372</v>
      </c>
      <c r="C12" s="11"/>
      <c r="D12" s="9"/>
      <c r="E12" s="11"/>
      <c r="F12" s="11"/>
    </row>
    <row r="13" spans="1:6">
      <c r="A13" s="8"/>
      <c r="B13" s="11" t="s">
        <v>10</v>
      </c>
      <c r="C13" s="10">
        <v>9.9500000000000001E-4</v>
      </c>
      <c r="D13" s="12">
        <f>ROUND(D$3*C13,0)</f>
        <v>176</v>
      </c>
      <c r="E13" s="13">
        <f>ROUND(D13/2,0)</f>
        <v>88</v>
      </c>
      <c r="F13" s="12">
        <f>D13-E13</f>
        <v>88</v>
      </c>
    </row>
    <row r="14" spans="1:6">
      <c r="A14" s="8"/>
      <c r="B14" s="11" t="s">
        <v>11</v>
      </c>
      <c r="C14" s="10">
        <v>6.7000000000000002E-4</v>
      </c>
      <c r="D14" s="12">
        <f>ROUND(D$3*C14,0)</f>
        <v>118</v>
      </c>
      <c r="E14" s="13">
        <f>ROUND(D14/2,0)</f>
        <v>59</v>
      </c>
      <c r="F14" s="12">
        <f>D14-E14</f>
        <v>59</v>
      </c>
    </row>
    <row r="15" spans="1:6">
      <c r="A15" s="8">
        <v>2</v>
      </c>
      <c r="B15" s="11" t="s">
        <v>1798</v>
      </c>
      <c r="C15" s="11"/>
      <c r="D15" s="9"/>
      <c r="E15" s="11"/>
      <c r="F15" s="11"/>
    </row>
    <row r="16" spans="1:6">
      <c r="A16" s="8"/>
      <c r="B16" s="11" t="s">
        <v>10</v>
      </c>
      <c r="C16" s="10">
        <v>7.4200000000000004E-4</v>
      </c>
      <c r="D16" s="12">
        <f>ROUND(D$3*C16,0)</f>
        <v>131</v>
      </c>
      <c r="E16" s="13">
        <f>ROUND(D16/2,0)</f>
        <v>66</v>
      </c>
      <c r="F16" s="12">
        <f>D16-E16</f>
        <v>65</v>
      </c>
    </row>
    <row r="17" spans="1:6">
      <c r="A17" s="8"/>
      <c r="B17" s="11" t="s">
        <v>11</v>
      </c>
      <c r="C17" s="10">
        <v>9.5399999999999999E-4</v>
      </c>
      <c r="D17" s="12">
        <f>ROUND(D$3*C17,0)</f>
        <v>169</v>
      </c>
      <c r="E17" s="13">
        <f>ROUND(D17/2,0)</f>
        <v>85</v>
      </c>
      <c r="F17" s="12">
        <f>D17-E17</f>
        <v>84</v>
      </c>
    </row>
    <row r="18" spans="1:6">
      <c r="A18" s="8">
        <v>2</v>
      </c>
      <c r="B18" s="11" t="s">
        <v>777</v>
      </c>
      <c r="C18" s="11"/>
      <c r="D18" s="9"/>
      <c r="E18" s="11"/>
      <c r="F18" s="11"/>
    </row>
    <row r="19" spans="1:6">
      <c r="A19" s="8"/>
      <c r="B19" s="11" t="s">
        <v>10</v>
      </c>
      <c r="C19" s="10">
        <v>1.3899999999999999E-4</v>
      </c>
      <c r="D19" s="12">
        <f>ROUND(D$3*C19,0)</f>
        <v>25</v>
      </c>
      <c r="E19" s="13">
        <f>ROUND(D19/2,0)</f>
        <v>13</v>
      </c>
      <c r="F19" s="12">
        <f>D19-E19</f>
        <v>12</v>
      </c>
    </row>
    <row r="20" spans="1:6">
      <c r="A20" s="8"/>
      <c r="B20" s="11" t="s">
        <v>11</v>
      </c>
      <c r="C20" s="10">
        <v>0</v>
      </c>
      <c r="D20" s="12">
        <f>ROUND(D$3*C20,0)</f>
        <v>0</v>
      </c>
      <c r="E20" s="13">
        <f>ROUND(D20/2,0)</f>
        <v>0</v>
      </c>
      <c r="F20" s="12">
        <f>D20-E20</f>
        <v>0</v>
      </c>
    </row>
    <row r="21" spans="1:6">
      <c r="A21" s="8">
        <v>2</v>
      </c>
      <c r="B21" s="11" t="s">
        <v>49</v>
      </c>
      <c r="C21" s="11"/>
      <c r="D21" s="9"/>
      <c r="E21" s="11"/>
      <c r="F21" s="11"/>
    </row>
    <row r="22" spans="1:6">
      <c r="A22" s="8"/>
      <c r="B22" s="11" t="s">
        <v>10</v>
      </c>
      <c r="C22" s="10">
        <v>7.3200000000000001E-4</v>
      </c>
      <c r="D22" s="12">
        <f>ROUND(D$3*C22,0)</f>
        <v>129</v>
      </c>
      <c r="E22" s="13">
        <f>ROUND(D22/2,0)</f>
        <v>65</v>
      </c>
      <c r="F22" s="12">
        <f>D22-E22</f>
        <v>64</v>
      </c>
    </row>
    <row r="23" spans="1:6">
      <c r="A23" s="8"/>
      <c r="B23" s="11" t="s">
        <v>11</v>
      </c>
      <c r="C23" s="10">
        <v>5.31E-4</v>
      </c>
      <c r="D23" s="12">
        <f>ROUND(D$3*C23,0)</f>
        <v>94</v>
      </c>
      <c r="E23" s="13">
        <f>ROUND(D23/2,0)</f>
        <v>47</v>
      </c>
      <c r="F23" s="12">
        <f>D23-E23</f>
        <v>47</v>
      </c>
    </row>
    <row r="24" spans="1:6">
      <c r="A24" s="8">
        <v>2</v>
      </c>
      <c r="B24" s="11" t="s">
        <v>14</v>
      </c>
      <c r="C24" s="11"/>
      <c r="D24" s="9"/>
      <c r="E24" s="11"/>
      <c r="F24" s="11"/>
    </row>
    <row r="25" spans="1:6">
      <c r="A25" s="8"/>
      <c r="B25" s="11" t="s">
        <v>10</v>
      </c>
      <c r="C25" s="10">
        <v>4.64E-4</v>
      </c>
      <c r="D25" s="12">
        <f>ROUND(D$3*C25,0)</f>
        <v>82</v>
      </c>
      <c r="E25" s="13">
        <f>ROUND(D25/2,0)</f>
        <v>41</v>
      </c>
      <c r="F25" s="12">
        <f>D25-E25</f>
        <v>41</v>
      </c>
    </row>
    <row r="26" spans="1:6">
      <c r="A26" s="8"/>
      <c r="B26" s="11" t="s">
        <v>11</v>
      </c>
      <c r="C26" s="10">
        <v>9.2999999999999997E-5</v>
      </c>
      <c r="D26" s="12">
        <f>ROUND(D$3*C26,0)</f>
        <v>16</v>
      </c>
      <c r="E26" s="13">
        <f>ROUND(D26/2,0)</f>
        <v>8</v>
      </c>
      <c r="F26" s="12">
        <f>D26-E26</f>
        <v>8</v>
      </c>
    </row>
    <row r="27" spans="1:6">
      <c r="A27" s="8">
        <v>2</v>
      </c>
      <c r="B27" s="11" t="s">
        <v>52</v>
      </c>
      <c r="C27" s="11"/>
      <c r="D27" s="9"/>
      <c r="E27" s="11"/>
      <c r="F27" s="11"/>
    </row>
    <row r="28" spans="1:6">
      <c r="A28" s="8"/>
      <c r="B28" s="11" t="s">
        <v>10</v>
      </c>
      <c r="C28" s="10">
        <v>8.8199999999999997E-4</v>
      </c>
      <c r="D28" s="12">
        <f>ROUND(D$3*C28,0)</f>
        <v>156</v>
      </c>
      <c r="E28" s="13">
        <f>ROUND(D28/2,0)</f>
        <v>78</v>
      </c>
      <c r="F28" s="12">
        <f>D28-E28</f>
        <v>78</v>
      </c>
    </row>
    <row r="29" spans="1:6">
      <c r="A29" s="8"/>
      <c r="B29" s="11" t="s">
        <v>11</v>
      </c>
      <c r="C29" s="10">
        <v>7.3200000000000001E-4</v>
      </c>
      <c r="D29" s="12">
        <f>ROUND(D$3*C29,0)</f>
        <v>129</v>
      </c>
      <c r="E29" s="13">
        <f>ROUND(D29/2,0)</f>
        <v>65</v>
      </c>
      <c r="F29" s="12">
        <f>D29-E29</f>
        <v>64</v>
      </c>
    </row>
    <row r="30" spans="1:6">
      <c r="A30" s="8">
        <v>2</v>
      </c>
      <c r="B30" s="11" t="s">
        <v>16</v>
      </c>
      <c r="C30" s="11"/>
      <c r="D30" s="9"/>
      <c r="E30" s="11"/>
      <c r="F30" s="11"/>
    </row>
    <row r="31" spans="1:6">
      <c r="A31" s="8"/>
      <c r="B31" s="11" t="s">
        <v>10</v>
      </c>
      <c r="C31" s="10">
        <v>2.9290000000000002E-3</v>
      </c>
      <c r="D31" s="12">
        <f>ROUND(D$3*C31,0)</f>
        <v>518</v>
      </c>
      <c r="E31" s="13">
        <f>ROUND(D31/2,0)</f>
        <v>259</v>
      </c>
      <c r="F31" s="12">
        <f>D31-E31</f>
        <v>259</v>
      </c>
    </row>
    <row r="32" spans="1:6">
      <c r="A32" s="8"/>
      <c r="B32" s="11" t="s">
        <v>11</v>
      </c>
      <c r="C32" s="10">
        <v>6.1399999999999996E-4</v>
      </c>
      <c r="D32" s="12">
        <f>ROUND(D$3*C32,0)</f>
        <v>109</v>
      </c>
      <c r="E32" s="13">
        <f>ROUND(D32/2,0)</f>
        <v>55</v>
      </c>
      <c r="F32" s="12">
        <f>D32-E32</f>
        <v>54</v>
      </c>
    </row>
    <row r="33" spans="1:6">
      <c r="A33" s="8">
        <v>2</v>
      </c>
      <c r="B33" s="11" t="s">
        <v>1799</v>
      </c>
      <c r="C33" s="11"/>
      <c r="D33" s="9"/>
      <c r="E33" s="11"/>
      <c r="F33" s="11"/>
    </row>
    <row r="34" spans="1:6">
      <c r="A34" s="8"/>
      <c r="B34" s="11" t="s">
        <v>10</v>
      </c>
      <c r="C34" s="10">
        <v>3.5599999999999998E-4</v>
      </c>
      <c r="D34" s="12">
        <f>ROUND(D$3*C34,0)</f>
        <v>63</v>
      </c>
      <c r="E34" s="13">
        <f>ROUND(D34/2,0)</f>
        <v>32</v>
      </c>
      <c r="F34" s="12">
        <f>D34-E34</f>
        <v>31</v>
      </c>
    </row>
    <row r="35" spans="1:6">
      <c r="A35" s="8"/>
      <c r="B35" s="11" t="s">
        <v>11</v>
      </c>
      <c r="C35" s="10">
        <v>3.0400000000000002E-4</v>
      </c>
      <c r="D35" s="12">
        <f>ROUND(D$3*C35,0)</f>
        <v>54</v>
      </c>
      <c r="E35" s="13">
        <f>ROUND(D35/2,0)</f>
        <v>27</v>
      </c>
      <c r="F35" s="12">
        <f>D35-E35</f>
        <v>27</v>
      </c>
    </row>
    <row r="36" spans="1:6">
      <c r="A36" s="8">
        <v>2</v>
      </c>
      <c r="B36" s="11" t="s">
        <v>795</v>
      </c>
      <c r="C36" s="11"/>
      <c r="D36" s="9"/>
      <c r="E36" s="11"/>
      <c r="F36" s="11"/>
    </row>
    <row r="37" spans="1:6">
      <c r="A37" s="8"/>
      <c r="B37" s="11" t="s">
        <v>10</v>
      </c>
      <c r="C37" s="10">
        <v>1.165E-3</v>
      </c>
      <c r="D37" s="12">
        <f>ROUND(D$3*C37,0)</f>
        <v>206</v>
      </c>
      <c r="E37" s="13">
        <f>ROUND(D37/2,0)</f>
        <v>103</v>
      </c>
      <c r="F37" s="12">
        <f>D37-E37</f>
        <v>103</v>
      </c>
    </row>
    <row r="38" spans="1:6">
      <c r="A38" s="8"/>
      <c r="B38" s="11" t="s">
        <v>11</v>
      </c>
      <c r="C38" s="10">
        <v>5.4699999999999996E-4</v>
      </c>
      <c r="D38" s="12">
        <f>ROUND(D$3*C38,0)</f>
        <v>97</v>
      </c>
      <c r="E38" s="13">
        <f>ROUND(D38/2,0)</f>
        <v>49</v>
      </c>
      <c r="F38" s="12">
        <f>D38-E38</f>
        <v>48</v>
      </c>
    </row>
    <row r="39" spans="1:6">
      <c r="A39" s="8">
        <v>2</v>
      </c>
      <c r="B39" s="11" t="s">
        <v>252</v>
      </c>
      <c r="C39" s="11"/>
      <c r="D39" s="9"/>
      <c r="E39" s="11"/>
      <c r="F39" s="11"/>
    </row>
    <row r="40" spans="1:6">
      <c r="A40" s="8"/>
      <c r="B40" s="11" t="s">
        <v>10</v>
      </c>
      <c r="C40" s="10">
        <v>6.0300000000000002E-4</v>
      </c>
      <c r="D40" s="12">
        <f>ROUND(D$3*C40,0)</f>
        <v>107</v>
      </c>
      <c r="E40" s="13">
        <f>ROUND(D40/2,0)</f>
        <v>54</v>
      </c>
      <c r="F40" s="12">
        <f>D40-E40</f>
        <v>53</v>
      </c>
    </row>
    <row r="41" spans="1:6">
      <c r="A41" s="8"/>
      <c r="B41" s="11" t="s">
        <v>11</v>
      </c>
      <c r="C41" s="10">
        <v>6.3400000000000001E-4</v>
      </c>
      <c r="D41" s="12">
        <f>ROUND(D$3*C41,0)</f>
        <v>112</v>
      </c>
      <c r="E41" s="13">
        <f>ROUND(D41/2,0)</f>
        <v>56</v>
      </c>
      <c r="F41" s="12">
        <f>D41-E41</f>
        <v>56</v>
      </c>
    </row>
    <row r="42" spans="1:6">
      <c r="A42" s="8">
        <v>2</v>
      </c>
      <c r="B42" s="11" t="s">
        <v>673</v>
      </c>
      <c r="C42" s="11"/>
      <c r="D42" s="9"/>
      <c r="E42" s="11"/>
      <c r="F42" s="11"/>
    </row>
    <row r="43" spans="1:6">
      <c r="A43" s="8"/>
      <c r="B43" s="11" t="s">
        <v>10</v>
      </c>
      <c r="C43" s="10">
        <v>7.27E-4</v>
      </c>
      <c r="D43" s="12">
        <f>ROUND(D$3*C43,0)</f>
        <v>129</v>
      </c>
      <c r="E43" s="13">
        <f>ROUND(D43/2,0)</f>
        <v>65</v>
      </c>
      <c r="F43" s="12">
        <f>D43-E43</f>
        <v>64</v>
      </c>
    </row>
    <row r="44" spans="1:6">
      <c r="A44" s="8"/>
      <c r="B44" s="11" t="s">
        <v>11</v>
      </c>
      <c r="C44" s="10">
        <v>0</v>
      </c>
      <c r="D44" s="12">
        <f>ROUND(D$3*C44,0)</f>
        <v>0</v>
      </c>
      <c r="E44" s="13">
        <f>ROUND(D44/2,0)</f>
        <v>0</v>
      </c>
      <c r="F44" s="12">
        <f>D44-E44</f>
        <v>0</v>
      </c>
    </row>
    <row r="45" spans="1:6">
      <c r="A45" s="8">
        <v>2</v>
      </c>
      <c r="B45" s="11" t="s">
        <v>22</v>
      </c>
      <c r="C45" s="11"/>
      <c r="D45" s="9"/>
      <c r="E45" s="11"/>
      <c r="F45" s="11"/>
    </row>
    <row r="46" spans="1:6">
      <c r="A46" s="8"/>
      <c r="B46" s="11" t="s">
        <v>10</v>
      </c>
      <c r="C46" s="10">
        <v>5.3930000000000002E-3</v>
      </c>
      <c r="D46" s="12">
        <f t="shared" ref="D46:D56" si="0">ROUND(D$3*C46,0)</f>
        <v>953</v>
      </c>
      <c r="E46" s="13">
        <f t="shared" ref="E46:E56" si="1">ROUND(D46/2,0)</f>
        <v>477</v>
      </c>
      <c r="F46" s="12">
        <f t="shared" ref="F46:F56" si="2">D46-E46</f>
        <v>476</v>
      </c>
    </row>
    <row r="47" spans="1:6">
      <c r="A47" s="8"/>
      <c r="B47" s="11" t="s">
        <v>11</v>
      </c>
      <c r="C47" s="10">
        <v>2.748E-3</v>
      </c>
      <c r="D47" s="12">
        <f t="shared" si="0"/>
        <v>486</v>
      </c>
      <c r="E47" s="13">
        <f t="shared" si="1"/>
        <v>243</v>
      </c>
      <c r="F47" s="12">
        <f t="shared" si="2"/>
        <v>243</v>
      </c>
    </row>
    <row r="48" spans="1:6">
      <c r="A48" s="8">
        <v>3</v>
      </c>
      <c r="B48" s="11" t="s">
        <v>1800</v>
      </c>
      <c r="C48" s="10">
        <v>5.7200000000000003E-4</v>
      </c>
      <c r="D48" s="12">
        <f t="shared" si="0"/>
        <v>101</v>
      </c>
      <c r="E48" s="13">
        <f t="shared" si="1"/>
        <v>51</v>
      </c>
      <c r="F48" s="12">
        <f t="shared" si="2"/>
        <v>50</v>
      </c>
    </row>
    <row r="49" spans="1:6">
      <c r="A49" s="8">
        <v>3</v>
      </c>
      <c r="B49" s="11" t="s">
        <v>1801</v>
      </c>
      <c r="C49" s="10">
        <v>0</v>
      </c>
      <c r="D49" s="12">
        <f t="shared" si="0"/>
        <v>0</v>
      </c>
      <c r="E49" s="13">
        <f t="shared" si="1"/>
        <v>0</v>
      </c>
      <c r="F49" s="12">
        <f t="shared" si="2"/>
        <v>0</v>
      </c>
    </row>
    <row r="50" spans="1:6">
      <c r="A50" s="8">
        <v>3</v>
      </c>
      <c r="B50" s="11" t="s">
        <v>1802</v>
      </c>
      <c r="C50" s="10">
        <v>1.0000000000000001E-5</v>
      </c>
      <c r="D50" s="12">
        <f t="shared" si="0"/>
        <v>2</v>
      </c>
      <c r="E50" s="13">
        <f t="shared" si="1"/>
        <v>1</v>
      </c>
      <c r="F50" s="12">
        <f t="shared" si="2"/>
        <v>1</v>
      </c>
    </row>
    <row r="51" spans="1:6">
      <c r="A51" s="8">
        <v>3</v>
      </c>
      <c r="B51" s="11" t="s">
        <v>1803</v>
      </c>
      <c r="C51" s="10">
        <v>2.0999999999999999E-5</v>
      </c>
      <c r="D51" s="12">
        <f t="shared" si="0"/>
        <v>4</v>
      </c>
      <c r="E51" s="13">
        <f t="shared" si="1"/>
        <v>2</v>
      </c>
      <c r="F51" s="12">
        <f t="shared" si="2"/>
        <v>2</v>
      </c>
    </row>
    <row r="52" spans="1:6">
      <c r="A52" s="8">
        <v>3</v>
      </c>
      <c r="B52" s="11" t="s">
        <v>1804</v>
      </c>
      <c r="C52" s="10">
        <v>4.3300000000000001E-4</v>
      </c>
      <c r="D52" s="12">
        <f t="shared" si="0"/>
        <v>77</v>
      </c>
      <c r="E52" s="13">
        <f t="shared" si="1"/>
        <v>39</v>
      </c>
      <c r="F52" s="12">
        <f t="shared" si="2"/>
        <v>38</v>
      </c>
    </row>
    <row r="53" spans="1:6">
      <c r="A53" s="8">
        <v>3</v>
      </c>
      <c r="B53" s="11" t="s">
        <v>1805</v>
      </c>
      <c r="C53" s="10">
        <v>4.3620000000000004E-3</v>
      </c>
      <c r="D53" s="12">
        <f t="shared" si="0"/>
        <v>771</v>
      </c>
      <c r="E53" s="13">
        <f t="shared" si="1"/>
        <v>386</v>
      </c>
      <c r="F53" s="12">
        <f t="shared" si="2"/>
        <v>385</v>
      </c>
    </row>
    <row r="54" spans="1:6">
      <c r="A54" s="8">
        <v>3</v>
      </c>
      <c r="B54" s="11" t="s">
        <v>1806</v>
      </c>
      <c r="C54" s="10">
        <v>7.5005000000000002E-2</v>
      </c>
      <c r="D54" s="12">
        <f t="shared" si="0"/>
        <v>13258</v>
      </c>
      <c r="E54" s="13">
        <f t="shared" si="1"/>
        <v>6629</v>
      </c>
      <c r="F54" s="12">
        <f t="shared" si="2"/>
        <v>6629</v>
      </c>
    </row>
    <row r="55" spans="1:6">
      <c r="A55" s="8">
        <v>3</v>
      </c>
      <c r="B55" s="11" t="s">
        <v>1807</v>
      </c>
      <c r="C55" s="10">
        <v>7.1199999999999996E-4</v>
      </c>
      <c r="D55" s="12">
        <f t="shared" si="0"/>
        <v>126</v>
      </c>
      <c r="E55" s="13">
        <f t="shared" si="1"/>
        <v>63</v>
      </c>
      <c r="F55" s="12">
        <f t="shared" si="2"/>
        <v>63</v>
      </c>
    </row>
    <row r="56" spans="1:6">
      <c r="A56" s="8">
        <v>4</v>
      </c>
      <c r="B56" s="11" t="s">
        <v>1808</v>
      </c>
      <c r="C56" s="10">
        <v>0.122225</v>
      </c>
      <c r="D56" s="9">
        <f t="shared" si="0"/>
        <v>21604</v>
      </c>
      <c r="E56" s="11">
        <f t="shared" si="1"/>
        <v>10802</v>
      </c>
      <c r="F56" s="9">
        <f t="shared" si="2"/>
        <v>10802</v>
      </c>
    </row>
    <row r="57" spans="1:6">
      <c r="A57" s="8"/>
      <c r="B57" s="11" t="s">
        <v>28</v>
      </c>
      <c r="C57" s="11"/>
      <c r="D57" s="14">
        <v>0.36418400000000001</v>
      </c>
      <c r="E57" s="11"/>
      <c r="F57" s="11"/>
    </row>
    <row r="58" spans="1:6">
      <c r="A58" s="8"/>
      <c r="B58" s="11" t="s">
        <v>29</v>
      </c>
      <c r="C58" s="11"/>
      <c r="D58" s="225">
        <f>ROUND(D56*D57,0)</f>
        <v>7868</v>
      </c>
      <c r="E58" s="226">
        <f>ROUND(D58/2,0)</f>
        <v>3934</v>
      </c>
      <c r="F58" s="225">
        <f>D58-E58</f>
        <v>3934</v>
      </c>
    </row>
    <row r="59" spans="1:6">
      <c r="A59" s="8"/>
      <c r="B59" s="11" t="s">
        <v>30</v>
      </c>
      <c r="C59" s="11"/>
      <c r="D59" s="12">
        <f>+D56-D58</f>
        <v>13736</v>
      </c>
      <c r="E59" s="13">
        <f>ROUND(D59/2,0)</f>
        <v>6868</v>
      </c>
      <c r="F59" s="12">
        <f>D59-E59</f>
        <v>6868</v>
      </c>
    </row>
    <row r="60" spans="1:6">
      <c r="A60" s="8">
        <v>4</v>
      </c>
      <c r="B60" s="11" t="s">
        <v>1809</v>
      </c>
      <c r="C60" s="10">
        <v>0.35965200000000003</v>
      </c>
      <c r="D60" s="9">
        <f>ROUND(D$3*C60,0)</f>
        <v>63572</v>
      </c>
      <c r="E60" s="11">
        <f>ROUND(D60/2,0)</f>
        <v>31786</v>
      </c>
      <c r="F60" s="9">
        <f>D60-E60</f>
        <v>31786</v>
      </c>
    </row>
    <row r="61" spans="1:6">
      <c r="A61" s="8"/>
      <c r="B61" s="11" t="s">
        <v>28</v>
      </c>
      <c r="C61" s="11"/>
      <c r="D61" s="14">
        <v>0.389629</v>
      </c>
      <c r="E61" s="11"/>
      <c r="F61" s="11"/>
    </row>
    <row r="62" spans="1:6">
      <c r="A62" s="8"/>
      <c r="B62" s="11" t="s">
        <v>29</v>
      </c>
      <c r="C62" s="11"/>
      <c r="D62" s="225">
        <f>ROUND(D60*D61,0)</f>
        <v>24769</v>
      </c>
      <c r="E62" s="226">
        <f>ROUND(D62/2,0)</f>
        <v>12385</v>
      </c>
      <c r="F62" s="225">
        <f>D62-E62</f>
        <v>12384</v>
      </c>
    </row>
    <row r="63" spans="1:6">
      <c r="A63" s="8"/>
      <c r="B63" s="11" t="s">
        <v>30</v>
      </c>
      <c r="C63" s="11"/>
      <c r="D63" s="12">
        <f>+D60-D62</f>
        <v>38803</v>
      </c>
      <c r="E63" s="13">
        <f>ROUND(D63/2,0)</f>
        <v>19402</v>
      </c>
      <c r="F63" s="12">
        <f>D63-E63</f>
        <v>19401</v>
      </c>
    </row>
    <row r="64" spans="1:6">
      <c r="A64" s="8">
        <v>4</v>
      </c>
      <c r="B64" s="11" t="s">
        <v>1810</v>
      </c>
      <c r="C64" s="10">
        <v>0.11051</v>
      </c>
      <c r="D64" s="9">
        <f>ROUND(D$3*C64,0)</f>
        <v>19534</v>
      </c>
      <c r="E64" s="11">
        <f>ROUND(D64/2,0)</f>
        <v>9767</v>
      </c>
      <c r="F64" s="9">
        <f>D64-E64</f>
        <v>9767</v>
      </c>
    </row>
    <row r="65" spans="1:8">
      <c r="A65" s="8"/>
      <c r="B65" s="11" t="s">
        <v>28</v>
      </c>
      <c r="C65" s="11"/>
      <c r="D65" s="14">
        <v>0.41133399999999998</v>
      </c>
      <c r="E65" s="11"/>
      <c r="F65" s="11"/>
    </row>
    <row r="66" spans="1:8">
      <c r="A66" s="8"/>
      <c r="B66" s="11" t="s">
        <v>29</v>
      </c>
      <c r="C66" s="11"/>
      <c r="D66" s="225">
        <f>ROUND(D64*D65,0)</f>
        <v>8035</v>
      </c>
      <c r="E66" s="226">
        <f t="shared" ref="E66:E71" si="3">ROUND(D66/2,0)</f>
        <v>4018</v>
      </c>
      <c r="F66" s="225">
        <f t="shared" ref="F66:F71" si="4">D66-E66</f>
        <v>4017</v>
      </c>
    </row>
    <row r="67" spans="1:8">
      <c r="A67" s="8"/>
      <c r="B67" s="11" t="s">
        <v>30</v>
      </c>
      <c r="C67" s="11"/>
      <c r="D67" s="12">
        <f>+D64-D66</f>
        <v>11499</v>
      </c>
      <c r="E67" s="13">
        <f t="shared" si="3"/>
        <v>5750</v>
      </c>
      <c r="F67" s="12">
        <f t="shared" si="4"/>
        <v>5749</v>
      </c>
    </row>
    <row r="68" spans="1:8">
      <c r="A68" s="8">
        <v>5</v>
      </c>
      <c r="B68" s="11" t="s">
        <v>1811</v>
      </c>
      <c r="C68" s="10">
        <v>1.091E-2</v>
      </c>
      <c r="D68" s="12">
        <f>ROUND(D$3*C68,0)</f>
        <v>1928</v>
      </c>
      <c r="E68" s="13">
        <f t="shared" si="3"/>
        <v>964</v>
      </c>
      <c r="F68" s="12">
        <f t="shared" si="4"/>
        <v>964</v>
      </c>
    </row>
    <row r="69" spans="1:8">
      <c r="A69" s="8">
        <v>6</v>
      </c>
      <c r="B69" s="11" t="s">
        <v>1812</v>
      </c>
      <c r="C69" s="10">
        <v>3.8699999999999997E-4</v>
      </c>
      <c r="D69" s="12">
        <f>ROUND(D$3*C69,0)</f>
        <v>68</v>
      </c>
      <c r="E69" s="13">
        <f t="shared" si="3"/>
        <v>34</v>
      </c>
      <c r="F69" s="12">
        <f t="shared" si="4"/>
        <v>34</v>
      </c>
    </row>
    <row r="70" spans="1:8">
      <c r="A70" s="8">
        <v>6</v>
      </c>
      <c r="B70" s="11" t="s">
        <v>1813</v>
      </c>
      <c r="C70" s="10">
        <v>4.45E-3</v>
      </c>
      <c r="D70" s="12">
        <f>ROUND(D$3*C70,0)</f>
        <v>787</v>
      </c>
      <c r="E70" s="13">
        <f t="shared" si="3"/>
        <v>394</v>
      </c>
      <c r="F70" s="12">
        <f t="shared" si="4"/>
        <v>393</v>
      </c>
    </row>
    <row r="71" spans="1:8">
      <c r="A71" s="8" t="s">
        <v>590</v>
      </c>
      <c r="B71" s="11" t="s">
        <v>1814</v>
      </c>
      <c r="C71" s="10">
        <v>2.9183999999999766E-2</v>
      </c>
      <c r="D71" s="12">
        <f>+D3-SUM(D4:D5)-SUM(D10:D56)-D60-D64-SUM(D68:D70)</f>
        <v>5157</v>
      </c>
      <c r="E71" s="13">
        <f t="shared" si="3"/>
        <v>2579</v>
      </c>
      <c r="F71" s="12">
        <f t="shared" si="4"/>
        <v>2578</v>
      </c>
    </row>
    <row r="72" spans="1:8">
      <c r="A72" s="8"/>
      <c r="B72" s="28" t="s">
        <v>288</v>
      </c>
      <c r="C72" s="10">
        <v>1</v>
      </c>
      <c r="D72" s="12">
        <f>+D4+SUM(D7:D55)+SUM(D58:D59)+SUM(D62:D63)+SUM(D66:D71)</f>
        <v>176760</v>
      </c>
      <c r="E72" s="12">
        <f>+E4+SUM(E7:E55)+SUM(E58:E59)+SUM(E62:E63)+SUM(E66:E71)</f>
        <v>88392</v>
      </c>
      <c r="F72" s="12">
        <f>+F4+SUM(F7:F55)+SUM(F58:F59)+SUM(F62:F63)+SUM(F66:F71)</f>
        <v>88368</v>
      </c>
    </row>
    <row r="73" spans="1:8">
      <c r="B73" s="18" t="s">
        <v>38</v>
      </c>
      <c r="D73" s="19">
        <f>+D4</f>
        <v>215</v>
      </c>
      <c r="E73" s="19">
        <f>+E4</f>
        <v>108</v>
      </c>
      <c r="F73" s="19">
        <f>+F4</f>
        <v>107</v>
      </c>
    </row>
    <row r="74" spans="1:8">
      <c r="B74" s="2" t="s">
        <v>39</v>
      </c>
      <c r="D74" s="19">
        <f>+D7</f>
        <v>10003</v>
      </c>
      <c r="E74" s="19">
        <f>+E7</f>
        <v>5002</v>
      </c>
      <c r="F74" s="19">
        <f>+F7</f>
        <v>5001</v>
      </c>
    </row>
    <row r="75" spans="1:8">
      <c r="B75" s="2" t="s">
        <v>40</v>
      </c>
      <c r="D75" s="19">
        <f>+D58+D62+D66</f>
        <v>40672</v>
      </c>
      <c r="E75" s="19">
        <f>+E58+E62+E66</f>
        <v>20337</v>
      </c>
      <c r="F75" s="19">
        <f>+F58+F62+F66</f>
        <v>20335</v>
      </c>
      <c r="H75" s="3">
        <v>1</v>
      </c>
    </row>
    <row r="76" spans="1:8">
      <c r="B76" s="18" t="s">
        <v>41</v>
      </c>
      <c r="D76" s="19">
        <f>+D72-D73-D74-D75</f>
        <v>125870</v>
      </c>
      <c r="E76" s="19">
        <f>+E72-E73-E74-E75</f>
        <v>62945</v>
      </c>
      <c r="F76" s="19">
        <f>+F72-F73-F74-F75</f>
        <v>62925</v>
      </c>
      <c r="H76" s="3">
        <v>2</v>
      </c>
    </row>
    <row r="78" spans="1:8" hidden="1">
      <c r="B78" s="3" t="s">
        <v>42</v>
      </c>
      <c r="C78" s="4">
        <v>9.999999997650777E-7</v>
      </c>
      <c r="D78" s="3">
        <f>+D71-ROUND(D3*C71,0)</f>
        <v>-2</v>
      </c>
    </row>
  </sheetData>
  <pageMargins left="0.7" right="0.7" top="0.75" bottom="0.75" header="0.3" footer="0.3"/>
  <pageSetup scale="5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103</vt:i4>
      </vt:variant>
      <vt:variant>
        <vt:lpstr>Named Ranges</vt:lpstr>
      </vt:variant>
      <vt:variant>
        <vt:i4>97</vt:i4>
      </vt:variant>
    </vt:vector>
  </HeadingPairs>
  <TitlesOfParts>
    <vt:vector size="200" baseType="lpstr">
      <vt:lpstr>Workplan</vt:lpstr>
      <vt:lpstr>Query Layout</vt:lpstr>
      <vt:lpstr>Query Paste</vt:lpstr>
      <vt:lpstr>Query Paste PY</vt:lpstr>
      <vt:lpstr>Allocation Worksheet</vt:lpstr>
      <vt:lpstr>Step 1</vt:lpstr>
      <vt:lpstr>Support - Transition</vt:lpstr>
      <vt:lpstr>Support - Unit Adjustments</vt:lpstr>
      <vt:lpstr>Step 2</vt:lpstr>
      <vt:lpstr>Analytical Procedures</vt:lpstr>
      <vt:lpstr>Step 3 - Distributions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'9'!Print_Area</vt:lpstr>
      <vt:lpstr>'90'!Print_Area</vt:lpstr>
      <vt:lpstr>'91'!Print_Area</vt:lpstr>
      <vt:lpstr>'92'!Print_Area</vt:lpstr>
      <vt:lpstr>'Step 3 - Distributions'!Print_Area</vt:lpstr>
      <vt:lpstr>'2'!Print_Titles</vt:lpstr>
      <vt:lpstr>'3'!Print_Titles</vt:lpstr>
      <vt:lpstr>'45'!Print_Titles</vt:lpstr>
      <vt:lpstr>'46'!Print_Titles</vt:lpstr>
      <vt:lpstr>'49'!Print_Titles</vt:lpstr>
      <vt:lpstr>'Step 3 - Distributions'!Print_Titles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Petter</dc:creator>
  <cp:lastModifiedBy>Van Dorp, Fred</cp:lastModifiedBy>
  <cp:lastPrinted>2024-03-14T18:52:52Z</cp:lastPrinted>
  <dcterms:created xsi:type="dcterms:W3CDTF">2015-04-09T18:56:05Z</dcterms:created>
  <dcterms:modified xsi:type="dcterms:W3CDTF">2026-04-29T12:34:16Z</dcterms:modified>
</cp:coreProperties>
</file>